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Yutiway2\OneDrive - Universitas Teknologi Yogyakarta\Kegiatan Hibah\2025 Fraud\"/>
    </mc:Choice>
  </mc:AlternateContent>
  <xr:revisionPtr revIDLastSave="0" documentId="13_ncr:2001_{63D6524B-18ED-497F-8772-4942A8C28769}" xr6:coauthVersionLast="47" xr6:coauthVersionMax="47" xr10:uidLastSave="{00000000-0000-0000-0000-000000000000}"/>
  <bookViews>
    <workbookView xWindow="-108" yWindow="-108" windowWidth="23256" windowHeight="12456" firstSheet="11" activeTab="19" xr2:uid="{4242DDB7-88AD-49E1-9535-BAA2DD4C5493}"/>
  </bookViews>
  <sheets>
    <sheet name="Data" sheetId="6" r:id="rId1"/>
    <sheet name="Current Ratio" sheetId="8" r:id="rId2"/>
    <sheet name="Cash Ratio" sheetId="9" r:id="rId3"/>
    <sheet name="DAR" sheetId="10" r:id="rId4"/>
    <sheet name="DER" sheetId="11" r:id="rId5"/>
    <sheet name="NPM" sheetId="12" r:id="rId6"/>
    <sheet name="ROA" sheetId="13" r:id="rId7"/>
    <sheet name="ROE" sheetId="14" r:id="rId8"/>
    <sheet name="KM" sheetId="15" r:id="rId9"/>
    <sheet name="KI" sheetId="17" r:id="rId10"/>
    <sheet name="IO" sheetId="26" r:id="rId11"/>
    <sheet name="BoC Size" sheetId="18" r:id="rId12"/>
    <sheet name="TMT E DK" sheetId="28" r:id="rId13"/>
    <sheet name="TMT E DD" sheetId="29" r:id="rId14"/>
    <sheet name="TMT Size" sheetId="19" r:id="rId15"/>
    <sheet name="TA" sheetId="20" r:id="rId16"/>
    <sheet name="PR" sheetId="21" r:id="rId17"/>
    <sheet name="Z Score" sheetId="23" r:id="rId18"/>
    <sheet name="Tabulasi Data" sheetId="31" r:id="rId19"/>
    <sheet name="Final" sheetId="32" r:id="rId2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1" l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118" i="31"/>
  <c r="R119" i="31"/>
  <c r="R120" i="31"/>
  <c r="R121" i="31"/>
  <c r="R122" i="31"/>
  <c r="R123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141" i="31"/>
  <c r="R142" i="31"/>
  <c r="R143" i="31"/>
  <c r="R144" i="31"/>
  <c r="R145" i="31"/>
  <c r="R146" i="31"/>
  <c r="R147" i="31"/>
  <c r="R148" i="31"/>
  <c r="R149" i="31"/>
  <c r="R150" i="31"/>
  <c r="R151" i="31"/>
  <c r="R152" i="31"/>
  <c r="R153" i="31"/>
  <c r="R154" i="31"/>
  <c r="R155" i="31"/>
  <c r="R156" i="31"/>
  <c r="R157" i="31"/>
  <c r="R158" i="31"/>
  <c r="R159" i="31"/>
  <c r="R160" i="31"/>
  <c r="R161" i="31"/>
  <c r="R162" i="31"/>
  <c r="R163" i="31"/>
  <c r="R164" i="31"/>
  <c r="R165" i="31"/>
  <c r="R166" i="31"/>
  <c r="R167" i="31"/>
  <c r="R168" i="31"/>
  <c r="R169" i="31"/>
  <c r="R170" i="31"/>
  <c r="R171" i="31"/>
  <c r="R172" i="31"/>
  <c r="R173" i="31"/>
  <c r="R174" i="31"/>
  <c r="R175" i="31"/>
  <c r="R176" i="31"/>
  <c r="R177" i="31"/>
  <c r="R178" i="31"/>
  <c r="R179" i="31"/>
  <c r="R180" i="31"/>
  <c r="R181" i="31"/>
  <c r="R182" i="31"/>
  <c r="R183" i="31"/>
  <c r="R184" i="31"/>
  <c r="R185" i="31"/>
  <c r="R186" i="31"/>
  <c r="R187" i="31"/>
  <c r="R188" i="31"/>
  <c r="R189" i="31"/>
  <c r="R190" i="31"/>
  <c r="R191" i="31"/>
  <c r="R192" i="31"/>
  <c r="R193" i="31"/>
  <c r="R194" i="31"/>
  <c r="R195" i="31"/>
  <c r="R196" i="31"/>
  <c r="R197" i="31"/>
  <c r="R198" i="31"/>
  <c r="R199" i="31"/>
  <c r="R200" i="31"/>
  <c r="R201" i="31"/>
  <c r="R202" i="31"/>
  <c r="R203" i="31"/>
  <c r="R204" i="31"/>
  <c r="R205" i="31"/>
  <c r="R206" i="31"/>
  <c r="R207" i="31"/>
  <c r="R208" i="31"/>
  <c r="R209" i="31"/>
  <c r="R210" i="31"/>
  <c r="R211" i="31"/>
  <c r="R212" i="31"/>
  <c r="R213" i="31"/>
  <c r="R214" i="31"/>
  <c r="R215" i="31"/>
  <c r="R216" i="31"/>
  <c r="R217" i="31"/>
  <c r="R218" i="31"/>
  <c r="R219" i="31"/>
  <c r="R220" i="31"/>
  <c r="R221" i="31"/>
  <c r="R222" i="31"/>
  <c r="R223" i="31"/>
  <c r="R224" i="31"/>
  <c r="R225" i="31"/>
  <c r="R226" i="31"/>
  <c r="R227" i="31"/>
  <c r="R228" i="31"/>
  <c r="R229" i="31"/>
  <c r="R230" i="31"/>
  <c r="R231" i="31"/>
  <c r="R232" i="31"/>
  <c r="R233" i="31"/>
  <c r="R234" i="31"/>
  <c r="R235" i="31"/>
  <c r="R236" i="31"/>
  <c r="R237" i="31"/>
  <c r="R238" i="31"/>
  <c r="R239" i="31"/>
  <c r="R240" i="31"/>
  <c r="R241" i="31"/>
  <c r="R242" i="31"/>
  <c r="R243" i="31"/>
  <c r="R244" i="31"/>
  <c r="R245" i="31"/>
  <c r="R246" i="31"/>
  <c r="R247" i="31"/>
  <c r="R248" i="31"/>
  <c r="R249" i="31"/>
  <c r="R250" i="31"/>
  <c r="R251" i="31"/>
  <c r="R252" i="31"/>
  <c r="R253" i="31"/>
  <c r="R254" i="31"/>
  <c r="R255" i="31"/>
  <c r="R256" i="31"/>
  <c r="R257" i="31"/>
  <c r="R258" i="31"/>
  <c r="R259" i="31"/>
  <c r="R260" i="31"/>
  <c r="R261" i="31"/>
  <c r="R262" i="31"/>
  <c r="R263" i="31"/>
  <c r="R264" i="31"/>
  <c r="R265" i="31"/>
  <c r="R266" i="31"/>
  <c r="R267" i="31"/>
  <c r="R268" i="31"/>
  <c r="R269" i="31"/>
  <c r="R270" i="31"/>
  <c r="R271" i="31"/>
  <c r="R272" i="31"/>
  <c r="R273" i="31"/>
  <c r="R274" i="31"/>
  <c r="R275" i="31"/>
  <c r="R276" i="31"/>
  <c r="R277" i="31"/>
  <c r="R278" i="31"/>
  <c r="R279" i="31"/>
  <c r="R280" i="31"/>
  <c r="R281" i="31"/>
  <c r="R282" i="31"/>
  <c r="R283" i="31"/>
  <c r="R284" i="31"/>
  <c r="R285" i="31"/>
  <c r="R286" i="31"/>
  <c r="R287" i="31"/>
  <c r="R288" i="31"/>
  <c r="R289" i="31"/>
  <c r="R290" i="31"/>
  <c r="R291" i="31"/>
  <c r="R292" i="31"/>
  <c r="R293" i="31"/>
  <c r="R294" i="31"/>
  <c r="R295" i="31"/>
  <c r="R296" i="31"/>
  <c r="R297" i="31"/>
  <c r="R298" i="31"/>
  <c r="R299" i="31"/>
  <c r="R300" i="31"/>
  <c r="R301" i="31"/>
  <c r="R302" i="31"/>
  <c r="R303" i="31"/>
  <c r="R304" i="31"/>
  <c r="R305" i="31"/>
  <c r="R306" i="31"/>
  <c r="R307" i="31"/>
  <c r="R308" i="31"/>
  <c r="R309" i="31"/>
  <c r="R310" i="31"/>
  <c r="R311" i="31"/>
  <c r="R312" i="31"/>
  <c r="R313" i="31"/>
  <c r="R314" i="31"/>
  <c r="R315" i="31"/>
  <c r="R316" i="31"/>
  <c r="R317" i="31"/>
  <c r="R318" i="31"/>
  <c r="R319" i="31"/>
  <c r="R320" i="31"/>
  <c r="R321" i="31"/>
  <c r="R322" i="31"/>
  <c r="R323" i="31"/>
  <c r="R324" i="31"/>
  <c r="R325" i="31"/>
  <c r="R326" i="31"/>
  <c r="R327" i="31"/>
  <c r="R328" i="31"/>
  <c r="R329" i="31"/>
  <c r="R330" i="31"/>
  <c r="R331" i="31"/>
  <c r="R332" i="31"/>
  <c r="R333" i="31"/>
  <c r="R334" i="31"/>
  <c r="R335" i="31"/>
  <c r="R336" i="31"/>
  <c r="R337" i="31"/>
  <c r="R338" i="31"/>
  <c r="R339" i="31"/>
  <c r="R340" i="31"/>
  <c r="R341" i="31"/>
  <c r="R342" i="31"/>
  <c r="R343" i="31"/>
  <c r="R344" i="31"/>
  <c r="R345" i="31"/>
  <c r="R346" i="31"/>
  <c r="R347" i="31"/>
  <c r="R348" i="31"/>
  <c r="R349" i="31"/>
  <c r="R350" i="31"/>
  <c r="R351" i="31"/>
  <c r="R352" i="31"/>
  <c r="R353" i="31"/>
  <c r="R354" i="31"/>
  <c r="R355" i="31"/>
  <c r="R356" i="31"/>
  <c r="R357" i="31"/>
  <c r="R358" i="31"/>
  <c r="R359" i="31"/>
  <c r="R360" i="31"/>
  <c r="R361" i="31"/>
  <c r="R362" i="31"/>
  <c r="R363" i="31"/>
  <c r="R364" i="31"/>
  <c r="R365" i="31"/>
  <c r="R366" i="31"/>
  <c r="R367" i="31"/>
  <c r="R368" i="31"/>
  <c r="R369" i="31"/>
  <c r="R370" i="31"/>
  <c r="R371" i="31"/>
  <c r="R372" i="31"/>
  <c r="R373" i="31"/>
  <c r="R374" i="31"/>
  <c r="R375" i="31"/>
  <c r="R376" i="31"/>
  <c r="R377" i="31"/>
  <c r="R378" i="31"/>
  <c r="R379" i="31"/>
  <c r="R380" i="31"/>
  <c r="R381" i="31"/>
  <c r="R382" i="31"/>
  <c r="R383" i="31"/>
  <c r="R384" i="31"/>
  <c r="R385" i="31"/>
  <c r="R386" i="31"/>
  <c r="R387" i="31"/>
  <c r="R388" i="31"/>
  <c r="R389" i="31"/>
  <c r="R390" i="31"/>
  <c r="R391" i="31"/>
  <c r="R392" i="31"/>
  <c r="R393" i="31"/>
  <c r="R394" i="31"/>
  <c r="R395" i="31"/>
  <c r="R396" i="31"/>
  <c r="R397" i="31"/>
  <c r="R398" i="31"/>
  <c r="R399" i="31"/>
  <c r="R400" i="31"/>
  <c r="R401" i="31"/>
  <c r="R402" i="31"/>
  <c r="R403" i="31"/>
  <c r="R404" i="31"/>
  <c r="R405" i="31"/>
  <c r="R406" i="31"/>
  <c r="R407" i="31"/>
  <c r="R408" i="31"/>
  <c r="R409" i="31"/>
  <c r="R410" i="31"/>
  <c r="R411" i="31"/>
  <c r="R412" i="31"/>
  <c r="R413" i="31"/>
  <c r="R414" i="31"/>
  <c r="R415" i="31"/>
  <c r="R416" i="31"/>
  <c r="R417" i="31"/>
  <c r="R418" i="31"/>
  <c r="R419" i="31"/>
  <c r="R420" i="31"/>
  <c r="R421" i="31"/>
  <c r="R422" i="31"/>
  <c r="R423" i="31"/>
  <c r="R424" i="31"/>
  <c r="R425" i="31"/>
  <c r="R426" i="31"/>
  <c r="R427" i="31"/>
  <c r="R428" i="31"/>
  <c r="R429" i="31"/>
  <c r="R430" i="31"/>
  <c r="R431" i="31"/>
  <c r="R432" i="31"/>
  <c r="R433" i="31"/>
  <c r="R434" i="31"/>
  <c r="R435" i="31"/>
  <c r="R436" i="31"/>
  <c r="R437" i="31"/>
  <c r="R438" i="31"/>
  <c r="R439" i="31"/>
  <c r="R440" i="31"/>
  <c r="R441" i="31"/>
  <c r="R442" i="31"/>
  <c r="R443" i="31"/>
  <c r="R444" i="31"/>
  <c r="R445" i="31"/>
  <c r="R446" i="31"/>
  <c r="R447" i="31"/>
  <c r="R448" i="31"/>
  <c r="R449" i="31"/>
  <c r="R450" i="31"/>
  <c r="R451" i="31"/>
  <c r="R452" i="31"/>
  <c r="R453" i="31"/>
  <c r="R454" i="31"/>
  <c r="R455" i="31"/>
  <c r="R456" i="31"/>
  <c r="R457" i="31"/>
  <c r="R458" i="31"/>
  <c r="R459" i="31"/>
  <c r="R460" i="31"/>
  <c r="R461" i="31"/>
  <c r="R462" i="31"/>
  <c r="R463" i="31"/>
  <c r="R464" i="31"/>
  <c r="R465" i="31"/>
  <c r="R466" i="31"/>
  <c r="R467" i="31"/>
  <c r="R468" i="31"/>
  <c r="R469" i="31"/>
  <c r="R470" i="31"/>
  <c r="R471" i="31"/>
  <c r="R472" i="31"/>
  <c r="R473" i="31"/>
  <c r="R474" i="31"/>
  <c r="R475" i="31"/>
  <c r="R476" i="31"/>
  <c r="R477" i="31"/>
  <c r="R478" i="31"/>
  <c r="R479" i="31"/>
  <c r="R480" i="31"/>
  <c r="R481" i="31"/>
  <c r="R482" i="31"/>
  <c r="R483" i="31"/>
  <c r="R484" i="31"/>
  <c r="R485" i="31"/>
  <c r="R486" i="31"/>
  <c r="R487" i="31"/>
  <c r="R488" i="31"/>
  <c r="R489" i="31"/>
  <c r="R490" i="31"/>
  <c r="R491" i="31"/>
  <c r="R492" i="31"/>
  <c r="R493" i="31"/>
  <c r="R494" i="31"/>
  <c r="R495" i="31"/>
  <c r="R496" i="31"/>
  <c r="R497" i="31"/>
  <c r="R498" i="31"/>
  <c r="R499" i="31"/>
  <c r="R500" i="31"/>
  <c r="R501" i="31"/>
  <c r="R507" i="31"/>
  <c r="R508" i="31"/>
  <c r="R509" i="31"/>
  <c r="R510" i="31"/>
  <c r="R511" i="31"/>
  <c r="R512" i="31"/>
  <c r="R513" i="31"/>
  <c r="R514" i="31"/>
  <c r="R515" i="31"/>
  <c r="R516" i="31"/>
  <c r="R517" i="31"/>
  <c r="R518" i="31"/>
  <c r="R519" i="31"/>
  <c r="R520" i="31"/>
  <c r="R521" i="31"/>
  <c r="R522" i="31"/>
  <c r="R523" i="31"/>
  <c r="R524" i="31"/>
  <c r="R525" i="31"/>
  <c r="R526" i="31"/>
  <c r="R527" i="31"/>
  <c r="R528" i="31"/>
  <c r="R529" i="31"/>
  <c r="R530" i="31"/>
  <c r="R531" i="31"/>
  <c r="R532" i="31"/>
  <c r="R533" i="31"/>
  <c r="R534" i="31"/>
  <c r="R535" i="31"/>
  <c r="R536" i="31"/>
  <c r="R537" i="31"/>
  <c r="R538" i="31"/>
  <c r="R539" i="31"/>
  <c r="R540" i="31"/>
  <c r="R541" i="31"/>
  <c r="R542" i="31"/>
  <c r="R543" i="31"/>
  <c r="R544" i="31"/>
  <c r="R545" i="31"/>
  <c r="R546" i="31"/>
  <c r="R547" i="31"/>
  <c r="R548" i="31"/>
  <c r="R549" i="31"/>
  <c r="R550" i="31"/>
  <c r="R551" i="31"/>
  <c r="R552" i="31"/>
  <c r="R553" i="31"/>
  <c r="R554" i="31"/>
  <c r="R555" i="31"/>
  <c r="R556" i="31"/>
  <c r="R557" i="31"/>
  <c r="R558" i="31"/>
  <c r="R559" i="31"/>
  <c r="R560" i="31"/>
  <c r="R561" i="31"/>
  <c r="R562" i="31"/>
  <c r="R563" i="31"/>
  <c r="R564" i="31"/>
  <c r="R565" i="31"/>
  <c r="R566" i="31"/>
  <c r="R567" i="31"/>
  <c r="R568" i="31"/>
  <c r="R569" i="31"/>
  <c r="R570" i="31"/>
  <c r="R571" i="31"/>
  <c r="R572" i="31"/>
  <c r="R573" i="31"/>
  <c r="R574" i="31"/>
  <c r="R575" i="31"/>
  <c r="R576" i="31"/>
  <c r="R577" i="31"/>
  <c r="R578" i="31"/>
  <c r="R579" i="31"/>
  <c r="R580" i="31"/>
  <c r="R581" i="31"/>
  <c r="R582" i="31"/>
  <c r="R583" i="31"/>
  <c r="R584" i="31"/>
  <c r="R585" i="31"/>
  <c r="R586" i="31"/>
  <c r="R587" i="31"/>
  <c r="R588" i="31"/>
  <c r="R589" i="31"/>
  <c r="R590" i="31"/>
  <c r="R591" i="31"/>
  <c r="R592" i="31"/>
  <c r="R593" i="31"/>
  <c r="R594" i="31"/>
  <c r="R595" i="31"/>
  <c r="R596" i="31"/>
  <c r="R597" i="31"/>
  <c r="R598" i="31"/>
  <c r="R599" i="31"/>
  <c r="R600" i="31"/>
  <c r="R601" i="31"/>
  <c r="R602" i="31"/>
  <c r="R603" i="31"/>
  <c r="R604" i="31"/>
  <c r="R605" i="31"/>
  <c r="R606" i="31"/>
  <c r="R607" i="31"/>
  <c r="R608" i="31"/>
  <c r="R609" i="31"/>
  <c r="R610" i="31"/>
  <c r="R611" i="31"/>
  <c r="R612" i="31"/>
  <c r="R613" i="31"/>
  <c r="R614" i="31"/>
  <c r="R615" i="31"/>
  <c r="R616" i="31"/>
  <c r="R617" i="31"/>
  <c r="R618" i="31"/>
  <c r="R619" i="31"/>
  <c r="R620" i="31"/>
  <c r="R621" i="31"/>
  <c r="R622" i="31"/>
  <c r="R623" i="31"/>
  <c r="R624" i="31"/>
  <c r="R625" i="31"/>
  <c r="R626" i="31"/>
  <c r="R627" i="31"/>
  <c r="R628" i="31"/>
  <c r="R629" i="31"/>
  <c r="R630" i="31"/>
  <c r="R631" i="31"/>
  <c r="R632" i="31"/>
  <c r="R633" i="31"/>
  <c r="R634" i="31"/>
  <c r="R635" i="31"/>
  <c r="R636" i="31"/>
  <c r="R637" i="31"/>
  <c r="R638" i="31"/>
  <c r="R639" i="31"/>
  <c r="R640" i="31"/>
  <c r="R641" i="31"/>
  <c r="R642" i="31"/>
  <c r="R643" i="31"/>
  <c r="R644" i="31"/>
  <c r="R645" i="31"/>
  <c r="R646" i="31"/>
  <c r="R647" i="31"/>
  <c r="R648" i="31"/>
  <c r="R649" i="31"/>
  <c r="R650" i="31"/>
  <c r="R651" i="31"/>
  <c r="R652" i="31"/>
  <c r="R653" i="31"/>
  <c r="R654" i="31"/>
  <c r="R655" i="31"/>
  <c r="R656" i="31"/>
  <c r="R657" i="31"/>
  <c r="R658" i="31"/>
  <c r="R659" i="31"/>
  <c r="R660" i="31"/>
  <c r="R661" i="31"/>
  <c r="R662" i="31"/>
  <c r="R663" i="31"/>
  <c r="R664" i="31"/>
  <c r="R665" i="31"/>
  <c r="R666" i="31"/>
  <c r="R667" i="31"/>
  <c r="R668" i="31"/>
  <c r="R669" i="31"/>
  <c r="R670" i="31"/>
  <c r="R671" i="31"/>
  <c r="R672" i="31"/>
  <c r="R673" i="31"/>
  <c r="R674" i="31"/>
  <c r="R675" i="31"/>
  <c r="R676" i="31"/>
  <c r="R677" i="31"/>
  <c r="R678" i="31"/>
  <c r="R679" i="31"/>
  <c r="R680" i="31"/>
  <c r="R681" i="31"/>
  <c r="R682" i="31"/>
  <c r="R683" i="31"/>
  <c r="R684" i="31"/>
  <c r="R685" i="31"/>
  <c r="R686" i="31"/>
  <c r="R687" i="31"/>
  <c r="R688" i="31"/>
  <c r="R689" i="31"/>
  <c r="R690" i="31"/>
  <c r="R691" i="31"/>
  <c r="R692" i="31"/>
  <c r="R693" i="31"/>
  <c r="R694" i="31"/>
  <c r="R695" i="31"/>
  <c r="R696" i="31"/>
  <c r="R697" i="31"/>
  <c r="R698" i="31"/>
  <c r="R699" i="31"/>
  <c r="R700" i="31"/>
  <c r="R701" i="31"/>
  <c r="R702" i="31"/>
  <c r="R703" i="31"/>
  <c r="R704" i="31"/>
  <c r="R705" i="31"/>
  <c r="R706" i="31"/>
  <c r="R707" i="31"/>
  <c r="R708" i="31"/>
  <c r="R709" i="31"/>
  <c r="R710" i="31"/>
  <c r="R711" i="31"/>
  <c r="R712" i="31"/>
  <c r="R713" i="31"/>
  <c r="R714" i="31"/>
  <c r="R715" i="31"/>
  <c r="R716" i="31"/>
  <c r="R717" i="31"/>
  <c r="R718" i="31"/>
  <c r="R719" i="31"/>
  <c r="R720" i="31"/>
  <c r="R721" i="31"/>
  <c r="R722" i="31"/>
  <c r="R723" i="31"/>
  <c r="R724" i="31"/>
  <c r="R725" i="31"/>
  <c r="R726" i="31"/>
  <c r="R727" i="31"/>
  <c r="R728" i="31"/>
  <c r="R729" i="31"/>
  <c r="R730" i="31"/>
  <c r="R731" i="31"/>
  <c r="R732" i="31"/>
  <c r="R733" i="31"/>
  <c r="R734" i="31"/>
  <c r="R735" i="31"/>
  <c r="R736" i="31"/>
  <c r="R737" i="31"/>
  <c r="R738" i="31"/>
  <c r="R739" i="31"/>
  <c r="R740" i="31"/>
  <c r="R741" i="31"/>
  <c r="R742" i="31"/>
  <c r="R743" i="31"/>
  <c r="R744" i="31"/>
  <c r="R745" i="31"/>
  <c r="R746" i="31"/>
  <c r="R747" i="31"/>
  <c r="R748" i="31"/>
  <c r="R749" i="31"/>
  <c r="R750" i="31"/>
  <c r="R751" i="31"/>
  <c r="R752" i="31"/>
  <c r="R753" i="31"/>
  <c r="R754" i="31"/>
  <c r="R755" i="31"/>
  <c r="R756" i="31"/>
  <c r="R757" i="31"/>
  <c r="R758" i="31"/>
  <c r="R759" i="31"/>
  <c r="R760" i="31"/>
  <c r="R761" i="31"/>
  <c r="R762" i="31"/>
  <c r="R763" i="31"/>
  <c r="R764" i="31"/>
  <c r="R765" i="31"/>
  <c r="R766" i="31"/>
  <c r="R767" i="31"/>
  <c r="R768" i="31"/>
  <c r="R769" i="31"/>
  <c r="R770" i="31"/>
  <c r="R771" i="31"/>
  <c r="R772" i="31"/>
  <c r="R773" i="31"/>
  <c r="R774" i="31"/>
  <c r="R775" i="31"/>
  <c r="R776" i="31"/>
  <c r="R777" i="31"/>
  <c r="R778" i="31"/>
  <c r="R779" i="31"/>
  <c r="R780" i="31"/>
  <c r="R781" i="31"/>
  <c r="R782" i="31"/>
  <c r="R783" i="31"/>
  <c r="R784" i="31"/>
  <c r="R785" i="31"/>
  <c r="R786" i="31"/>
  <c r="R787" i="31"/>
  <c r="R788" i="31"/>
  <c r="R789" i="31"/>
  <c r="R790" i="31"/>
  <c r="R791" i="31"/>
  <c r="R792" i="31"/>
  <c r="R793" i="31"/>
  <c r="R794" i="31"/>
  <c r="R795" i="31"/>
  <c r="R796" i="31"/>
  <c r="R797" i="31"/>
  <c r="R798" i="31"/>
  <c r="R799" i="31"/>
  <c r="R800" i="31"/>
  <c r="R801" i="31"/>
  <c r="R802" i="31"/>
  <c r="R803" i="31"/>
  <c r="R804" i="31"/>
  <c r="R805" i="31"/>
  <c r="R806" i="31"/>
  <c r="R807" i="31"/>
  <c r="R808" i="31"/>
  <c r="R809" i="31"/>
  <c r="R810" i="31"/>
  <c r="R811" i="31"/>
  <c r="R812" i="31"/>
  <c r="R813" i="31"/>
  <c r="R814" i="31"/>
  <c r="R815" i="31"/>
  <c r="R816" i="31"/>
  <c r="R817" i="31"/>
  <c r="R818" i="31"/>
  <c r="R819" i="31"/>
  <c r="R820" i="31"/>
  <c r="R821" i="31"/>
  <c r="R822" i="31"/>
  <c r="R823" i="31"/>
  <c r="R824" i="31"/>
  <c r="R825" i="31"/>
  <c r="R826" i="31"/>
  <c r="R827" i="31"/>
  <c r="R828" i="31"/>
  <c r="R829" i="31"/>
  <c r="R830" i="31"/>
  <c r="R831" i="31"/>
  <c r="R832" i="31"/>
  <c r="R833" i="31"/>
  <c r="R834" i="31"/>
  <c r="R835" i="31"/>
  <c r="R836" i="31"/>
  <c r="R837" i="31"/>
  <c r="R838" i="31"/>
  <c r="R839" i="31"/>
  <c r="R840" i="31"/>
  <c r="R841" i="31"/>
  <c r="R842" i="31"/>
  <c r="R843" i="31"/>
  <c r="R844" i="31"/>
  <c r="R845" i="31"/>
  <c r="R846" i="31"/>
  <c r="R847" i="31"/>
  <c r="R848" i="31"/>
  <c r="R849" i="31"/>
  <c r="R850" i="31"/>
  <c r="R851" i="31"/>
  <c r="R852" i="31"/>
  <c r="R853" i="31"/>
  <c r="R854" i="31"/>
  <c r="R855" i="31"/>
  <c r="R856" i="31"/>
  <c r="R857" i="31"/>
  <c r="R858" i="31"/>
  <c r="R859" i="31"/>
  <c r="R860" i="31"/>
  <c r="R861" i="31"/>
  <c r="R862" i="31"/>
  <c r="R863" i="31"/>
  <c r="R864" i="31"/>
  <c r="R865" i="31"/>
  <c r="R866" i="31"/>
  <c r="R867" i="31"/>
  <c r="R868" i="31"/>
  <c r="R869" i="31"/>
  <c r="R870" i="31"/>
  <c r="R871" i="31"/>
  <c r="R872" i="31"/>
  <c r="R873" i="31"/>
  <c r="R874" i="31"/>
  <c r="R875" i="31"/>
  <c r="R876" i="31"/>
  <c r="R877" i="31"/>
  <c r="R878" i="31"/>
  <c r="R879" i="31"/>
  <c r="R880" i="31"/>
  <c r="R881" i="31"/>
  <c r="R882" i="31"/>
  <c r="R883" i="31"/>
  <c r="R884" i="31"/>
  <c r="R885" i="31"/>
  <c r="R886" i="31"/>
  <c r="R887" i="31"/>
  <c r="R888" i="31"/>
  <c r="R889" i="31"/>
  <c r="R890" i="31"/>
  <c r="R891" i="31"/>
  <c r="R892" i="31"/>
  <c r="R893" i="31"/>
  <c r="R894" i="31"/>
  <c r="R895" i="31"/>
  <c r="R896" i="31"/>
  <c r="R897" i="31"/>
  <c r="R898" i="31"/>
  <c r="R899" i="31"/>
  <c r="R900" i="31"/>
  <c r="R901" i="31"/>
  <c r="R902" i="31"/>
  <c r="R903" i="31"/>
  <c r="R904" i="31"/>
  <c r="R905" i="31"/>
  <c r="R906" i="31"/>
  <c r="R907" i="31"/>
  <c r="R908" i="31"/>
  <c r="R909" i="31"/>
  <c r="R910" i="31"/>
  <c r="R911" i="31"/>
  <c r="R912" i="31"/>
  <c r="R913" i="31"/>
  <c r="R914" i="31"/>
  <c r="R915" i="31"/>
  <c r="R916" i="31"/>
  <c r="R917" i="31"/>
  <c r="R918" i="31"/>
  <c r="R919" i="31"/>
  <c r="R920" i="31"/>
  <c r="R921" i="31"/>
  <c r="R922" i="31"/>
  <c r="R923" i="31"/>
  <c r="R924" i="31"/>
  <c r="R925" i="31"/>
  <c r="R926" i="31"/>
  <c r="R927" i="31"/>
  <c r="R928" i="31"/>
  <c r="R929" i="31"/>
  <c r="R930" i="31"/>
  <c r="R931" i="31"/>
  <c r="R932" i="31"/>
  <c r="R933" i="31"/>
  <c r="R934" i="31"/>
  <c r="R935" i="31"/>
  <c r="R936" i="31"/>
  <c r="R937" i="31"/>
  <c r="R938" i="31"/>
  <c r="R939" i="31"/>
  <c r="R940" i="31"/>
  <c r="R941" i="31"/>
  <c r="R942" i="31"/>
  <c r="R943" i="31"/>
  <c r="R944" i="31"/>
  <c r="R945" i="31"/>
  <c r="R946" i="31"/>
  <c r="R947" i="31"/>
  <c r="R948" i="31"/>
  <c r="R949" i="31"/>
  <c r="R950" i="31"/>
  <c r="R951" i="31"/>
  <c r="R952" i="31"/>
  <c r="R953" i="31"/>
  <c r="R954" i="31"/>
  <c r="R955" i="31"/>
  <c r="R956" i="31"/>
  <c r="R957" i="31"/>
  <c r="R958" i="31"/>
  <c r="R959" i="31"/>
  <c r="R960" i="31"/>
  <c r="R961" i="31"/>
  <c r="R962" i="31"/>
  <c r="R963" i="31"/>
  <c r="R964" i="31"/>
  <c r="R965" i="31"/>
  <c r="R966" i="31"/>
  <c r="R967" i="31"/>
  <c r="R968" i="31"/>
  <c r="R969" i="31"/>
  <c r="R970" i="31"/>
  <c r="R971" i="31"/>
  <c r="R972" i="31"/>
  <c r="R973" i="31"/>
  <c r="R974" i="31"/>
  <c r="R975" i="31"/>
  <c r="R976" i="31"/>
  <c r="R977" i="31"/>
  <c r="R978" i="31"/>
  <c r="R979" i="31"/>
  <c r="R980" i="31"/>
  <c r="R981" i="31"/>
  <c r="R982" i="31"/>
  <c r="R983" i="31"/>
  <c r="R984" i="31"/>
  <c r="R985" i="31"/>
  <c r="R986" i="31"/>
  <c r="R987" i="31"/>
  <c r="R988" i="31"/>
  <c r="R989" i="31"/>
  <c r="R990" i="31"/>
  <c r="R991" i="31"/>
  <c r="R992" i="31"/>
  <c r="R993" i="31"/>
  <c r="R994" i="31"/>
  <c r="R995" i="31"/>
  <c r="R996" i="31"/>
  <c r="R997" i="31"/>
  <c r="R998" i="31"/>
  <c r="R999" i="31"/>
  <c r="R1000" i="31"/>
  <c r="R1001" i="31"/>
  <c r="R1002" i="31"/>
  <c r="R1003" i="31"/>
  <c r="R1004" i="31"/>
  <c r="R1005" i="31"/>
  <c r="R1006" i="31"/>
  <c r="R1007" i="31"/>
  <c r="R1008" i="31"/>
  <c r="R1009" i="31"/>
  <c r="R1010" i="31"/>
  <c r="R1011" i="31"/>
  <c r="R1012" i="31"/>
  <c r="R1013" i="31"/>
  <c r="R1014" i="31"/>
  <c r="R1015" i="31"/>
  <c r="R1016" i="31"/>
  <c r="R1017" i="31"/>
  <c r="R1018" i="31"/>
  <c r="R1019" i="31"/>
  <c r="R1020" i="31"/>
  <c r="R1021" i="31"/>
  <c r="R1022" i="31"/>
  <c r="R1023" i="31"/>
  <c r="R1024" i="31"/>
  <c r="R1025" i="31"/>
  <c r="R1026" i="31"/>
  <c r="R1027" i="31"/>
  <c r="R1028" i="31"/>
  <c r="R1029" i="31"/>
  <c r="R1030" i="31"/>
  <c r="R1031" i="31"/>
  <c r="R1032" i="31"/>
  <c r="R1033" i="31"/>
  <c r="R1034" i="31"/>
  <c r="R1035" i="31"/>
  <c r="R1036" i="31"/>
  <c r="R1037" i="31"/>
  <c r="R1038" i="31"/>
  <c r="R1039" i="31"/>
  <c r="R1040" i="31"/>
  <c r="R1041" i="31"/>
  <c r="R1042" i="31"/>
  <c r="R1043" i="31"/>
  <c r="R1044" i="31"/>
  <c r="R1045" i="31"/>
  <c r="R1046" i="31"/>
  <c r="R1047" i="31"/>
  <c r="R1048" i="31"/>
  <c r="R1049" i="31"/>
  <c r="R1050" i="31"/>
  <c r="R1051" i="31"/>
  <c r="R1052" i="31"/>
  <c r="R1053" i="31"/>
  <c r="R1054" i="31"/>
  <c r="R1055" i="31"/>
  <c r="R1056" i="31"/>
  <c r="R1057" i="31"/>
  <c r="R1058" i="31"/>
  <c r="R1059" i="31"/>
  <c r="R1060" i="31"/>
  <c r="R1061" i="31"/>
  <c r="R1062" i="31"/>
  <c r="R1063" i="31"/>
  <c r="R1064" i="31"/>
  <c r="R1065" i="31"/>
  <c r="R1066" i="31"/>
  <c r="R1067" i="31"/>
  <c r="R1068" i="31"/>
  <c r="R1069" i="31"/>
  <c r="R1070" i="31"/>
  <c r="R1071" i="31"/>
  <c r="R1072" i="31"/>
  <c r="R1073" i="31"/>
  <c r="R1074" i="31"/>
  <c r="R1075" i="31"/>
  <c r="R1076" i="31"/>
  <c r="R1077" i="31"/>
  <c r="R1078" i="31"/>
  <c r="R1079" i="31"/>
  <c r="R1080" i="31"/>
  <c r="R1081" i="31"/>
  <c r="R1082" i="31"/>
  <c r="R1083" i="31"/>
  <c r="R1084" i="31"/>
  <c r="R1085" i="31"/>
  <c r="R1086" i="31"/>
  <c r="R1087" i="31"/>
  <c r="R1088" i="31"/>
  <c r="R1089" i="31"/>
  <c r="R1090" i="31"/>
  <c r="R1091" i="31"/>
  <c r="R1092" i="31"/>
  <c r="R1093" i="31"/>
  <c r="R1094" i="31"/>
  <c r="R1095" i="31"/>
  <c r="R1096" i="31"/>
  <c r="R1097" i="31"/>
  <c r="R1098" i="31"/>
  <c r="R1099" i="31"/>
  <c r="R1100" i="31"/>
  <c r="R1101" i="31"/>
  <c r="R1102" i="31"/>
  <c r="R1103" i="31"/>
  <c r="R1104" i="31"/>
  <c r="R1105" i="31"/>
  <c r="R1106" i="31"/>
  <c r="R1107" i="31"/>
  <c r="R1108" i="31"/>
  <c r="R1109" i="31"/>
  <c r="R1110" i="31"/>
  <c r="R1111" i="31"/>
  <c r="R1112" i="31"/>
  <c r="R1113" i="31"/>
  <c r="R1114" i="31"/>
  <c r="R1115" i="31"/>
  <c r="R1116" i="31"/>
  <c r="R1117" i="31"/>
  <c r="R1118" i="31"/>
  <c r="R1119" i="31"/>
  <c r="R1120" i="31"/>
  <c r="R1121" i="31"/>
  <c r="R1122" i="31"/>
  <c r="R1123" i="31"/>
  <c r="R1124" i="31"/>
  <c r="R1125" i="31"/>
  <c r="R1126" i="31"/>
  <c r="R1127" i="31"/>
  <c r="R1128" i="31"/>
  <c r="R1129" i="31"/>
  <c r="R1130" i="31"/>
  <c r="R1131" i="31"/>
  <c r="R1132" i="31"/>
  <c r="R1133" i="31"/>
  <c r="R1134" i="31"/>
  <c r="R1135" i="31"/>
  <c r="R1136" i="31"/>
  <c r="R1137" i="31"/>
  <c r="R1138" i="31"/>
  <c r="R1139" i="31"/>
  <c r="R1140" i="31"/>
  <c r="R1141" i="31"/>
  <c r="R1142" i="31"/>
  <c r="R1143" i="31"/>
  <c r="R1144" i="31"/>
  <c r="R1145" i="31"/>
  <c r="R1146" i="31"/>
  <c r="R1147" i="31"/>
  <c r="R1148" i="31"/>
  <c r="R1149" i="31"/>
  <c r="R1150" i="31"/>
  <c r="R1151" i="31"/>
  <c r="R1152" i="31"/>
  <c r="R1153" i="31"/>
  <c r="R1154" i="31"/>
  <c r="R1155" i="31"/>
  <c r="R1156" i="31"/>
  <c r="R1157" i="31"/>
  <c r="R1158" i="31"/>
  <c r="R1159" i="31"/>
  <c r="R1160" i="31"/>
  <c r="R1161" i="31"/>
  <c r="R1162" i="31"/>
  <c r="R1163" i="31"/>
  <c r="R1164" i="31"/>
  <c r="R1165" i="31"/>
  <c r="R1166" i="31"/>
  <c r="R1167" i="31"/>
  <c r="R1168" i="31"/>
  <c r="R1169" i="31"/>
  <c r="R1170" i="31"/>
  <c r="R1171" i="31"/>
  <c r="R1172" i="31"/>
  <c r="R1173" i="31"/>
  <c r="R1174" i="31"/>
  <c r="R1175" i="31"/>
  <c r="R1176" i="31"/>
  <c r="R1177" i="31"/>
  <c r="R1178" i="31"/>
  <c r="R1179" i="31"/>
  <c r="R1180" i="31"/>
  <c r="R1181" i="31"/>
  <c r="R1182" i="31"/>
  <c r="R1183" i="31"/>
  <c r="R1184" i="31"/>
  <c r="R1185" i="31"/>
  <c r="R1186" i="31"/>
  <c r="R1187" i="31"/>
  <c r="R1188" i="31"/>
  <c r="R1189" i="31"/>
  <c r="R1190" i="31"/>
  <c r="R1191" i="31"/>
  <c r="R1192" i="31"/>
  <c r="R1193" i="31"/>
  <c r="R1194" i="31"/>
  <c r="R1195" i="31"/>
  <c r="R1196" i="31"/>
  <c r="R1197" i="31"/>
  <c r="R1198" i="31"/>
  <c r="R1199" i="31"/>
  <c r="R1200" i="31"/>
  <c r="R1201" i="31"/>
  <c r="R1202" i="31"/>
  <c r="R1203" i="31"/>
  <c r="R1204" i="31"/>
  <c r="R1205" i="31"/>
  <c r="R1206" i="31"/>
  <c r="R1207" i="31"/>
  <c r="R1208" i="31"/>
  <c r="R1209" i="31"/>
  <c r="R1210" i="31"/>
  <c r="R1211" i="31"/>
  <c r="R1212" i="31"/>
  <c r="R1213" i="31"/>
  <c r="R1214" i="31"/>
  <c r="R1215" i="31"/>
  <c r="R1216" i="31"/>
  <c r="R1217" i="31"/>
  <c r="R1218" i="31"/>
  <c r="R1219" i="31"/>
  <c r="R1220" i="31"/>
  <c r="R1221" i="31"/>
  <c r="R1222" i="31"/>
  <c r="R1223" i="31"/>
  <c r="R1224" i="31"/>
  <c r="R1225" i="31"/>
  <c r="R1226" i="31"/>
  <c r="R1227" i="31"/>
  <c r="R1228" i="31"/>
  <c r="R1229" i="31"/>
  <c r="R1230" i="31"/>
  <c r="R1231" i="31"/>
  <c r="R1232" i="31"/>
  <c r="R1233" i="31"/>
  <c r="R1234" i="31"/>
  <c r="R1235" i="31"/>
  <c r="R1236" i="31"/>
  <c r="R1237" i="31"/>
  <c r="R1238" i="31"/>
  <c r="R1239" i="31"/>
  <c r="R1240" i="31"/>
  <c r="R1241" i="31"/>
  <c r="R1242" i="31"/>
  <c r="R1243" i="31"/>
  <c r="R1244" i="31"/>
  <c r="R1245" i="31"/>
  <c r="R1246" i="31"/>
  <c r="R1247" i="31"/>
  <c r="R1248" i="31"/>
  <c r="R1249" i="31"/>
  <c r="R1250" i="31"/>
  <c r="R1251" i="31"/>
  <c r="R1252" i="31"/>
  <c r="R1253" i="31"/>
  <c r="R1254" i="31"/>
  <c r="R1255" i="31"/>
  <c r="R1256" i="31"/>
  <c r="R1257" i="31"/>
  <c r="R1258" i="31"/>
  <c r="R1259" i="31"/>
  <c r="R1260" i="31"/>
  <c r="R1261" i="31"/>
  <c r="R1262" i="31"/>
  <c r="R1263" i="31"/>
  <c r="R1264" i="31"/>
  <c r="R1265" i="31"/>
  <c r="R1266" i="31"/>
  <c r="R1267" i="31"/>
  <c r="R1268" i="31"/>
  <c r="R1269" i="31"/>
  <c r="R1270" i="31"/>
  <c r="R1271" i="31"/>
  <c r="R1272" i="31"/>
  <c r="R1273" i="31"/>
  <c r="R1274" i="31"/>
  <c r="R1275" i="31"/>
  <c r="R1276" i="31"/>
  <c r="R1277" i="31"/>
  <c r="R1278" i="31"/>
  <c r="R1279" i="31"/>
  <c r="R1280" i="31"/>
  <c r="R1281" i="31"/>
  <c r="R1282" i="31"/>
  <c r="R1283" i="31"/>
  <c r="R1284" i="31"/>
  <c r="R1285" i="31"/>
  <c r="R1286" i="31"/>
  <c r="R1287" i="31"/>
  <c r="R1288" i="31"/>
  <c r="R1289" i="31"/>
  <c r="R1290" i="31"/>
  <c r="R1291" i="31"/>
  <c r="R1292" i="31"/>
  <c r="R1293" i="31"/>
  <c r="R1294" i="31"/>
  <c r="R1295" i="31"/>
  <c r="R1296" i="31"/>
  <c r="R1297" i="31"/>
  <c r="R1298" i="31"/>
  <c r="R1299" i="31"/>
  <c r="R1300" i="31"/>
  <c r="R1301" i="31"/>
  <c r="R1302" i="31"/>
  <c r="R1303" i="31"/>
  <c r="R1304" i="31"/>
  <c r="R1305" i="31"/>
  <c r="R1306" i="31"/>
  <c r="R1307" i="31"/>
  <c r="R1308" i="31"/>
  <c r="R1309" i="31"/>
  <c r="R1310" i="31"/>
  <c r="R1311" i="31"/>
  <c r="R1312" i="31"/>
  <c r="R1313" i="31"/>
  <c r="R1314" i="31"/>
  <c r="R1315" i="31"/>
  <c r="R1316" i="31"/>
  <c r="R1317" i="31"/>
  <c r="R1318" i="31"/>
  <c r="R1319" i="31"/>
  <c r="R1320" i="31"/>
  <c r="R1321" i="31"/>
  <c r="R1322" i="31"/>
  <c r="R1323" i="31"/>
  <c r="R1324" i="31"/>
  <c r="R1325" i="31"/>
  <c r="R1326" i="31"/>
  <c r="R1327" i="31"/>
  <c r="R1328" i="31"/>
  <c r="R1329" i="31"/>
  <c r="R1330" i="31"/>
  <c r="R1331" i="31"/>
  <c r="R1332" i="31"/>
  <c r="R1333" i="31"/>
  <c r="R1334" i="31"/>
  <c r="R1335" i="31"/>
  <c r="R1336" i="31"/>
  <c r="R1337" i="31"/>
  <c r="R1338" i="31"/>
  <c r="R1339" i="31"/>
  <c r="R1340" i="31"/>
  <c r="R1341" i="31"/>
  <c r="R1342" i="31"/>
  <c r="R1343" i="31"/>
  <c r="R1344" i="31"/>
  <c r="R1345" i="31"/>
  <c r="R1346" i="31"/>
  <c r="R1347" i="31"/>
  <c r="R1348" i="31"/>
  <c r="R1349" i="31"/>
  <c r="R1350" i="31"/>
  <c r="R1351" i="31"/>
  <c r="R1352" i="31"/>
  <c r="R1353" i="31"/>
  <c r="R1354" i="31"/>
  <c r="R1355" i="31"/>
  <c r="R1356" i="31"/>
  <c r="R1357" i="31"/>
  <c r="R1358" i="31"/>
  <c r="R1359" i="31"/>
  <c r="R1360" i="31"/>
  <c r="R1361" i="31"/>
  <c r="R1362" i="31"/>
  <c r="R1363" i="31"/>
  <c r="R1364" i="31"/>
  <c r="R1365" i="31"/>
  <c r="R1366" i="31"/>
  <c r="R1367" i="31"/>
  <c r="R1368" i="31"/>
  <c r="R1369" i="31"/>
  <c r="R1370" i="31"/>
  <c r="R1371" i="31"/>
  <c r="R1372" i="31"/>
  <c r="R1373" i="31"/>
  <c r="R1374" i="31"/>
  <c r="R1375" i="31"/>
  <c r="R1376" i="31"/>
  <c r="R1377" i="31"/>
  <c r="R1378" i="31"/>
  <c r="R1379" i="31"/>
  <c r="R1380" i="31"/>
  <c r="R1381" i="31"/>
  <c r="R1382" i="31"/>
  <c r="R1383" i="31"/>
  <c r="R1384" i="31"/>
  <c r="R1385" i="31"/>
  <c r="R1386" i="31"/>
  <c r="R1387" i="31"/>
  <c r="R1388" i="31"/>
  <c r="R1389" i="31"/>
  <c r="R1390" i="31"/>
  <c r="R1391" i="31"/>
  <c r="R1392" i="31"/>
  <c r="R1393" i="31"/>
  <c r="R1394" i="31"/>
  <c r="R1395" i="31"/>
  <c r="R1396" i="31"/>
  <c r="R1397" i="31"/>
  <c r="R1398" i="31"/>
  <c r="R1399" i="31"/>
  <c r="R1400" i="31"/>
  <c r="R1401" i="31"/>
  <c r="R1402" i="31"/>
  <c r="R1403" i="31"/>
  <c r="R1404" i="31"/>
  <c r="R1405" i="31"/>
  <c r="R1406" i="31"/>
  <c r="R1407" i="31"/>
  <c r="R1408" i="31"/>
  <c r="R1409" i="31"/>
  <c r="R1410" i="31"/>
  <c r="R1411" i="31"/>
  <c r="R1412" i="31"/>
  <c r="R1413" i="31"/>
  <c r="R1414" i="31"/>
  <c r="R1415" i="31"/>
  <c r="R1416" i="31"/>
  <c r="R1417" i="31"/>
  <c r="R1418" i="31"/>
  <c r="R1419" i="31"/>
  <c r="R1420" i="31"/>
  <c r="R1421" i="31"/>
  <c r="R1422" i="31"/>
  <c r="R1423" i="31"/>
  <c r="R1424" i="31"/>
  <c r="R1425" i="31"/>
  <c r="R1426" i="31"/>
  <c r="R1427" i="31"/>
  <c r="R1428" i="31"/>
  <c r="R1429" i="31"/>
  <c r="R1430" i="31"/>
  <c r="R1431" i="31"/>
  <c r="R1432" i="31"/>
  <c r="R1433" i="31"/>
  <c r="R1434" i="31"/>
  <c r="R1435" i="31"/>
  <c r="R1436" i="31"/>
  <c r="R1437" i="31"/>
  <c r="R1438" i="31"/>
  <c r="R1439" i="31"/>
  <c r="R1440" i="31"/>
  <c r="R1441" i="31"/>
  <c r="R1442" i="31"/>
  <c r="R1443" i="31"/>
  <c r="R1444" i="31"/>
  <c r="R1445" i="31"/>
  <c r="R1446" i="31"/>
  <c r="R1447" i="31"/>
  <c r="R1448" i="31"/>
  <c r="R1449" i="31"/>
  <c r="R1450" i="31"/>
  <c r="R1451" i="31"/>
  <c r="R1452" i="31"/>
  <c r="R1453" i="31"/>
  <c r="R1454" i="31"/>
  <c r="R1455" i="31"/>
  <c r="R1456" i="31"/>
  <c r="R1457" i="31"/>
  <c r="R1458" i="31"/>
  <c r="R1459" i="31"/>
  <c r="R1460" i="31"/>
  <c r="R1461" i="31"/>
  <c r="R1462" i="31"/>
  <c r="R1463" i="31"/>
  <c r="R1464" i="31"/>
  <c r="R1465" i="31"/>
  <c r="R1466" i="31"/>
  <c r="R1467" i="31"/>
  <c r="R1468" i="31"/>
  <c r="R1469" i="31"/>
  <c r="R1470" i="31"/>
  <c r="R1471" i="31"/>
  <c r="R1472" i="31"/>
  <c r="R1473" i="31"/>
  <c r="R1474" i="31"/>
  <c r="R1475" i="31"/>
  <c r="R1476" i="31"/>
  <c r="R1477" i="31"/>
  <c r="R1478" i="31"/>
  <c r="R1479" i="31"/>
  <c r="R1480" i="31"/>
  <c r="R1481" i="31"/>
  <c r="Q2" i="31"/>
  <c r="Q3" i="31"/>
  <c r="Q4" i="3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360" i="31"/>
  <c r="Q361" i="31"/>
  <c r="Q362" i="31"/>
  <c r="Q363" i="31"/>
  <c r="Q364" i="31"/>
  <c r="Q365" i="31"/>
  <c r="Q366" i="31"/>
  <c r="Q367" i="31"/>
  <c r="Q368" i="31"/>
  <c r="Q369" i="31"/>
  <c r="Q370" i="31"/>
  <c r="Q371" i="31"/>
  <c r="Q372" i="31"/>
  <c r="Q373" i="31"/>
  <c r="Q374" i="31"/>
  <c r="Q375" i="31"/>
  <c r="Q376" i="31"/>
  <c r="Q377" i="31"/>
  <c r="Q378" i="31"/>
  <c r="Q379" i="31"/>
  <c r="Q380" i="31"/>
  <c r="Q381" i="31"/>
  <c r="Q382" i="31"/>
  <c r="Q383" i="31"/>
  <c r="Q384" i="31"/>
  <c r="Q385" i="31"/>
  <c r="Q386" i="31"/>
  <c r="Q387" i="31"/>
  <c r="Q388" i="31"/>
  <c r="Q389" i="31"/>
  <c r="Q390" i="31"/>
  <c r="Q391" i="31"/>
  <c r="Q392" i="31"/>
  <c r="Q393" i="31"/>
  <c r="Q394" i="31"/>
  <c r="Q395" i="31"/>
  <c r="Q396" i="31"/>
  <c r="Q397" i="31"/>
  <c r="Q398" i="31"/>
  <c r="Q399" i="31"/>
  <c r="Q400" i="31"/>
  <c r="Q401" i="31"/>
  <c r="Q402" i="31"/>
  <c r="Q403" i="31"/>
  <c r="Q404" i="31"/>
  <c r="Q405" i="31"/>
  <c r="Q406" i="31"/>
  <c r="Q407" i="31"/>
  <c r="Q408" i="31"/>
  <c r="Q409" i="31"/>
  <c r="Q410" i="31"/>
  <c r="Q411" i="31"/>
  <c r="Q412" i="31"/>
  <c r="Q413" i="31"/>
  <c r="Q414" i="31"/>
  <c r="Q415" i="31"/>
  <c r="Q416" i="31"/>
  <c r="Q417" i="31"/>
  <c r="Q418" i="31"/>
  <c r="Q419" i="31"/>
  <c r="Q420" i="31"/>
  <c r="Q421" i="31"/>
  <c r="Q422" i="31"/>
  <c r="Q423" i="31"/>
  <c r="Q424" i="31"/>
  <c r="Q425" i="31"/>
  <c r="Q426" i="31"/>
  <c r="Q427" i="31"/>
  <c r="Q428" i="31"/>
  <c r="Q429" i="31"/>
  <c r="Q430" i="31"/>
  <c r="Q431" i="31"/>
  <c r="Q432" i="31"/>
  <c r="Q433" i="31"/>
  <c r="Q434" i="31"/>
  <c r="Q435" i="31"/>
  <c r="Q436" i="31"/>
  <c r="Q437" i="31"/>
  <c r="Q438" i="31"/>
  <c r="Q439" i="31"/>
  <c r="Q440" i="31"/>
  <c r="Q441" i="31"/>
  <c r="Q442" i="31"/>
  <c r="Q443" i="31"/>
  <c r="Q444" i="31"/>
  <c r="Q445" i="31"/>
  <c r="Q446" i="31"/>
  <c r="Q447" i="31"/>
  <c r="Q448" i="31"/>
  <c r="Q449" i="31"/>
  <c r="Q450" i="31"/>
  <c r="Q451" i="31"/>
  <c r="Q452" i="31"/>
  <c r="Q453" i="31"/>
  <c r="Q454" i="31"/>
  <c r="Q455" i="31"/>
  <c r="Q456" i="31"/>
  <c r="Q457" i="31"/>
  <c r="Q458" i="31"/>
  <c r="Q459" i="31"/>
  <c r="Q460" i="31"/>
  <c r="Q461" i="31"/>
  <c r="Q462" i="31"/>
  <c r="Q463" i="31"/>
  <c r="Q464" i="31"/>
  <c r="Q465" i="31"/>
  <c r="Q466" i="31"/>
  <c r="Q467" i="31"/>
  <c r="Q468" i="31"/>
  <c r="Q469" i="31"/>
  <c r="Q470" i="31"/>
  <c r="Q471" i="31"/>
  <c r="Q472" i="31"/>
  <c r="Q473" i="31"/>
  <c r="Q474" i="31"/>
  <c r="Q475" i="31"/>
  <c r="Q476" i="31"/>
  <c r="Q477" i="31"/>
  <c r="Q478" i="31"/>
  <c r="Q479" i="31"/>
  <c r="Q480" i="31"/>
  <c r="Q481" i="31"/>
  <c r="Q482" i="31"/>
  <c r="Q483" i="31"/>
  <c r="Q484" i="31"/>
  <c r="Q485" i="31"/>
  <c r="Q486" i="31"/>
  <c r="Q487" i="31"/>
  <c r="Q488" i="31"/>
  <c r="Q489" i="31"/>
  <c r="Q490" i="31"/>
  <c r="Q491" i="31"/>
  <c r="Q492" i="31"/>
  <c r="Q493" i="31"/>
  <c r="Q494" i="31"/>
  <c r="Q495" i="31"/>
  <c r="Q496" i="31"/>
  <c r="Q497" i="31"/>
  <c r="Q498" i="31"/>
  <c r="Q499" i="31"/>
  <c r="Q500" i="31"/>
  <c r="Q501" i="31"/>
  <c r="Q507" i="31"/>
  <c r="Q508" i="31"/>
  <c r="Q509" i="31"/>
  <c r="Q510" i="31"/>
  <c r="Q511" i="31"/>
  <c r="Q512" i="31"/>
  <c r="Q513" i="31"/>
  <c r="Q514" i="31"/>
  <c r="Q515" i="31"/>
  <c r="Q516" i="31"/>
  <c r="Q517" i="31"/>
  <c r="Q518" i="31"/>
  <c r="Q519" i="31"/>
  <c r="Q520" i="31"/>
  <c r="Q521" i="31"/>
  <c r="Q522" i="31"/>
  <c r="Q523" i="31"/>
  <c r="Q524" i="31"/>
  <c r="Q525" i="31"/>
  <c r="Q526" i="31"/>
  <c r="Q527" i="31"/>
  <c r="Q528" i="31"/>
  <c r="Q529" i="31"/>
  <c r="Q530" i="31"/>
  <c r="Q531" i="31"/>
  <c r="Q532" i="31"/>
  <c r="Q533" i="31"/>
  <c r="Q534" i="31"/>
  <c r="Q535" i="31"/>
  <c r="Q536" i="31"/>
  <c r="Q537" i="31"/>
  <c r="Q538" i="31"/>
  <c r="Q539" i="31"/>
  <c r="Q540" i="31"/>
  <c r="Q541" i="31"/>
  <c r="Q542" i="31"/>
  <c r="Q543" i="31"/>
  <c r="Q544" i="31"/>
  <c r="Q545" i="31"/>
  <c r="Q546" i="31"/>
  <c r="Q547" i="31"/>
  <c r="Q548" i="31"/>
  <c r="Q549" i="31"/>
  <c r="Q550" i="31"/>
  <c r="Q551" i="31"/>
  <c r="Q552" i="31"/>
  <c r="Q553" i="31"/>
  <c r="Q554" i="31"/>
  <c r="Q555" i="31"/>
  <c r="Q556" i="31"/>
  <c r="Q557" i="31"/>
  <c r="Q558" i="31"/>
  <c r="Q559" i="31"/>
  <c r="Q560" i="31"/>
  <c r="Q561" i="31"/>
  <c r="Q562" i="31"/>
  <c r="Q563" i="31"/>
  <c r="Q564" i="31"/>
  <c r="Q565" i="31"/>
  <c r="Q566" i="31"/>
  <c r="Q567" i="31"/>
  <c r="Q568" i="31"/>
  <c r="Q569" i="31"/>
  <c r="Q570" i="31"/>
  <c r="Q571" i="31"/>
  <c r="Q572" i="31"/>
  <c r="Q573" i="31"/>
  <c r="Q574" i="31"/>
  <c r="Q575" i="31"/>
  <c r="Q576" i="31"/>
  <c r="Q577" i="31"/>
  <c r="Q578" i="31"/>
  <c r="Q579" i="31"/>
  <c r="Q580" i="31"/>
  <c r="Q581" i="31"/>
  <c r="Q582" i="31"/>
  <c r="Q583" i="31"/>
  <c r="Q584" i="31"/>
  <c r="Q585" i="31"/>
  <c r="Q586" i="31"/>
  <c r="Q587" i="31"/>
  <c r="Q588" i="31"/>
  <c r="Q589" i="31"/>
  <c r="Q590" i="31"/>
  <c r="Q591" i="31"/>
  <c r="Q592" i="31"/>
  <c r="Q593" i="31"/>
  <c r="Q594" i="31"/>
  <c r="Q595" i="31"/>
  <c r="Q596" i="31"/>
  <c r="Q597" i="31"/>
  <c r="Q598" i="31"/>
  <c r="Q599" i="31"/>
  <c r="Q600" i="31"/>
  <c r="Q601" i="31"/>
  <c r="Q602" i="31"/>
  <c r="Q603" i="31"/>
  <c r="Q604" i="31"/>
  <c r="Q605" i="31"/>
  <c r="Q606" i="31"/>
  <c r="Q607" i="31"/>
  <c r="Q608" i="31"/>
  <c r="Q609" i="31"/>
  <c r="Q610" i="31"/>
  <c r="Q611" i="31"/>
  <c r="Q612" i="31"/>
  <c r="Q613" i="31"/>
  <c r="Q614" i="31"/>
  <c r="Q615" i="31"/>
  <c r="Q616" i="31"/>
  <c r="Q617" i="31"/>
  <c r="Q618" i="31"/>
  <c r="Q619" i="31"/>
  <c r="Q620" i="31"/>
  <c r="Q621" i="31"/>
  <c r="Q622" i="31"/>
  <c r="Q623" i="31"/>
  <c r="Q624" i="31"/>
  <c r="Q625" i="31"/>
  <c r="Q626" i="31"/>
  <c r="Q627" i="31"/>
  <c r="Q628" i="31"/>
  <c r="Q629" i="31"/>
  <c r="Q630" i="31"/>
  <c r="Q631" i="31"/>
  <c r="Q632" i="31"/>
  <c r="Q633" i="31"/>
  <c r="Q634" i="31"/>
  <c r="Q635" i="31"/>
  <c r="Q636" i="31"/>
  <c r="Q637" i="31"/>
  <c r="Q638" i="31"/>
  <c r="Q639" i="31"/>
  <c r="Q640" i="31"/>
  <c r="Q641" i="31"/>
  <c r="Q642" i="31"/>
  <c r="Q643" i="31"/>
  <c r="Q644" i="31"/>
  <c r="Q645" i="31"/>
  <c r="Q646" i="31"/>
  <c r="Q647" i="31"/>
  <c r="Q648" i="31"/>
  <c r="Q649" i="31"/>
  <c r="Q650" i="31"/>
  <c r="Q651" i="31"/>
  <c r="Q652" i="31"/>
  <c r="Q653" i="31"/>
  <c r="Q654" i="31"/>
  <c r="Q655" i="31"/>
  <c r="Q656" i="31"/>
  <c r="Q657" i="31"/>
  <c r="Q658" i="31"/>
  <c r="Q659" i="31"/>
  <c r="Q660" i="31"/>
  <c r="Q661" i="31"/>
  <c r="Q662" i="31"/>
  <c r="Q663" i="31"/>
  <c r="Q664" i="31"/>
  <c r="Q665" i="31"/>
  <c r="Q666" i="31"/>
  <c r="Q667" i="31"/>
  <c r="Q668" i="31"/>
  <c r="Q669" i="31"/>
  <c r="Q670" i="31"/>
  <c r="Q671" i="31"/>
  <c r="Q672" i="31"/>
  <c r="Q673" i="31"/>
  <c r="Q674" i="31"/>
  <c r="Q675" i="31"/>
  <c r="Q676" i="31"/>
  <c r="Q677" i="31"/>
  <c r="Q678" i="31"/>
  <c r="Q679" i="31"/>
  <c r="Q680" i="31"/>
  <c r="Q681" i="31"/>
  <c r="Q682" i="31"/>
  <c r="Q683" i="31"/>
  <c r="Q684" i="31"/>
  <c r="Q685" i="31"/>
  <c r="Q686" i="31"/>
  <c r="Q687" i="31"/>
  <c r="Q688" i="31"/>
  <c r="Q689" i="31"/>
  <c r="Q690" i="31"/>
  <c r="Q691" i="31"/>
  <c r="Q692" i="31"/>
  <c r="Q693" i="31"/>
  <c r="Q694" i="31"/>
  <c r="Q695" i="31"/>
  <c r="Q696" i="31"/>
  <c r="Q697" i="31"/>
  <c r="Q698" i="31"/>
  <c r="Q699" i="31"/>
  <c r="Q700" i="31"/>
  <c r="Q701" i="31"/>
  <c r="Q702" i="31"/>
  <c r="Q703" i="31"/>
  <c r="Q704" i="31"/>
  <c r="Q705" i="31"/>
  <c r="Q706" i="31"/>
  <c r="Q707" i="31"/>
  <c r="Q708" i="31"/>
  <c r="Q709" i="31"/>
  <c r="Q710" i="31"/>
  <c r="Q711" i="31"/>
  <c r="Q712" i="31"/>
  <c r="Q713" i="31"/>
  <c r="Q714" i="31"/>
  <c r="Q715" i="31"/>
  <c r="Q716" i="31"/>
  <c r="Q717" i="31"/>
  <c r="Q718" i="31"/>
  <c r="Q719" i="31"/>
  <c r="Q720" i="31"/>
  <c r="Q721" i="31"/>
  <c r="Q722" i="31"/>
  <c r="Q723" i="31"/>
  <c r="Q724" i="31"/>
  <c r="Q725" i="31"/>
  <c r="Q726" i="31"/>
  <c r="Q727" i="31"/>
  <c r="Q728" i="31"/>
  <c r="Q729" i="31"/>
  <c r="Q730" i="31"/>
  <c r="Q731" i="31"/>
  <c r="Q732" i="31"/>
  <c r="Q733" i="31"/>
  <c r="Q734" i="31"/>
  <c r="Q735" i="31"/>
  <c r="Q736" i="31"/>
  <c r="Q737" i="31"/>
  <c r="Q738" i="31"/>
  <c r="Q739" i="31"/>
  <c r="Q740" i="31"/>
  <c r="Q741" i="31"/>
  <c r="Q742" i="31"/>
  <c r="Q743" i="31"/>
  <c r="Q744" i="31"/>
  <c r="Q745" i="31"/>
  <c r="Q746" i="31"/>
  <c r="Q747" i="31"/>
  <c r="Q748" i="31"/>
  <c r="Q749" i="31"/>
  <c r="Q750" i="31"/>
  <c r="Q751" i="31"/>
  <c r="Q752" i="31"/>
  <c r="Q753" i="31"/>
  <c r="Q754" i="31"/>
  <c r="Q755" i="31"/>
  <c r="Q756" i="31"/>
  <c r="Q757" i="31"/>
  <c r="Q758" i="31"/>
  <c r="Q759" i="31"/>
  <c r="Q760" i="31"/>
  <c r="Q761" i="31"/>
  <c r="Q762" i="31"/>
  <c r="Q763" i="31"/>
  <c r="Q764" i="31"/>
  <c r="Q765" i="31"/>
  <c r="Q766" i="31"/>
  <c r="Q767" i="31"/>
  <c r="Q768" i="31"/>
  <c r="Q769" i="31"/>
  <c r="Q770" i="31"/>
  <c r="Q771" i="31"/>
  <c r="Q772" i="31"/>
  <c r="Q773" i="31"/>
  <c r="Q774" i="31"/>
  <c r="Q775" i="31"/>
  <c r="Q776" i="31"/>
  <c r="Q777" i="31"/>
  <c r="Q778" i="31"/>
  <c r="Q779" i="31"/>
  <c r="Q780" i="31"/>
  <c r="Q781" i="31"/>
  <c r="Q782" i="31"/>
  <c r="Q783" i="31"/>
  <c r="Q784" i="31"/>
  <c r="Q785" i="31"/>
  <c r="Q786" i="31"/>
  <c r="Q787" i="31"/>
  <c r="Q788" i="31"/>
  <c r="Q789" i="31"/>
  <c r="Q790" i="31"/>
  <c r="Q791" i="31"/>
  <c r="Q792" i="31"/>
  <c r="Q793" i="31"/>
  <c r="Q794" i="31"/>
  <c r="Q795" i="31"/>
  <c r="Q796" i="31"/>
  <c r="Q797" i="31"/>
  <c r="Q798" i="31"/>
  <c r="Q799" i="31"/>
  <c r="Q800" i="31"/>
  <c r="Q801" i="31"/>
  <c r="Q802" i="31"/>
  <c r="Q803" i="31"/>
  <c r="Q804" i="31"/>
  <c r="Q805" i="31"/>
  <c r="Q806" i="31"/>
  <c r="Q807" i="31"/>
  <c r="Q808" i="31"/>
  <c r="Q809" i="31"/>
  <c r="Q810" i="31"/>
  <c r="Q811" i="31"/>
  <c r="Q812" i="31"/>
  <c r="Q813" i="31"/>
  <c r="Q814" i="31"/>
  <c r="Q815" i="31"/>
  <c r="Q816" i="31"/>
  <c r="Q817" i="31"/>
  <c r="Q818" i="31"/>
  <c r="Q819" i="31"/>
  <c r="Q820" i="31"/>
  <c r="Q821" i="31"/>
  <c r="Q822" i="31"/>
  <c r="Q823" i="31"/>
  <c r="Q824" i="31"/>
  <c r="Q825" i="31"/>
  <c r="Q826" i="31"/>
  <c r="Q827" i="31"/>
  <c r="Q828" i="31"/>
  <c r="Q829" i="31"/>
  <c r="Q830" i="31"/>
  <c r="Q831" i="31"/>
  <c r="Q832" i="31"/>
  <c r="Q833" i="31"/>
  <c r="Q834" i="31"/>
  <c r="Q835" i="31"/>
  <c r="Q836" i="31"/>
  <c r="Q837" i="31"/>
  <c r="Q838" i="31"/>
  <c r="Q839" i="31"/>
  <c r="Q840" i="31"/>
  <c r="Q841" i="31"/>
  <c r="Q842" i="31"/>
  <c r="Q843" i="31"/>
  <c r="Q844" i="31"/>
  <c r="Q845" i="31"/>
  <c r="Q846" i="31"/>
  <c r="Q847" i="31"/>
  <c r="Q848" i="31"/>
  <c r="Q849" i="31"/>
  <c r="Q850" i="31"/>
  <c r="Q851" i="31"/>
  <c r="Q852" i="31"/>
  <c r="Q853" i="31"/>
  <c r="Q854" i="31"/>
  <c r="Q855" i="31"/>
  <c r="Q856" i="31"/>
  <c r="Q857" i="31"/>
  <c r="Q858" i="31"/>
  <c r="Q859" i="31"/>
  <c r="Q860" i="31"/>
  <c r="Q861" i="31"/>
  <c r="Q862" i="31"/>
  <c r="Q863" i="31"/>
  <c r="Q864" i="31"/>
  <c r="Q865" i="31"/>
  <c r="Q866" i="31"/>
  <c r="Q867" i="31"/>
  <c r="Q868" i="31"/>
  <c r="Q869" i="31"/>
  <c r="Q870" i="31"/>
  <c r="Q871" i="31"/>
  <c r="Q872" i="31"/>
  <c r="Q873" i="31"/>
  <c r="Q874" i="31"/>
  <c r="Q875" i="31"/>
  <c r="Q876" i="31"/>
  <c r="Q877" i="31"/>
  <c r="Q878" i="31"/>
  <c r="Q879" i="31"/>
  <c r="Q880" i="31"/>
  <c r="Q881" i="31"/>
  <c r="Q882" i="31"/>
  <c r="Q883" i="31"/>
  <c r="Q884" i="31"/>
  <c r="Q885" i="31"/>
  <c r="Q886" i="31"/>
  <c r="Q887" i="31"/>
  <c r="Q888" i="31"/>
  <c r="Q889" i="31"/>
  <c r="Q890" i="31"/>
  <c r="Q891" i="31"/>
  <c r="Q892" i="31"/>
  <c r="Q893" i="31"/>
  <c r="Q894" i="31"/>
  <c r="Q895" i="31"/>
  <c r="Q896" i="31"/>
  <c r="Q897" i="31"/>
  <c r="Q898" i="31"/>
  <c r="Q899" i="31"/>
  <c r="Q900" i="31"/>
  <c r="Q901" i="31"/>
  <c r="Q902" i="31"/>
  <c r="Q903" i="31"/>
  <c r="Q904" i="31"/>
  <c r="Q905" i="31"/>
  <c r="Q906" i="31"/>
  <c r="Q907" i="31"/>
  <c r="Q908" i="31"/>
  <c r="Q909" i="31"/>
  <c r="Q910" i="31"/>
  <c r="Q911" i="31"/>
  <c r="Q912" i="31"/>
  <c r="Q913" i="31"/>
  <c r="Q914" i="31"/>
  <c r="Q915" i="31"/>
  <c r="Q916" i="31"/>
  <c r="Q917" i="31"/>
  <c r="Q918" i="31"/>
  <c r="Q919" i="31"/>
  <c r="Q920" i="31"/>
  <c r="Q921" i="31"/>
  <c r="Q922" i="31"/>
  <c r="Q923" i="31"/>
  <c r="Q924" i="31"/>
  <c r="Q925" i="31"/>
  <c r="Q926" i="31"/>
  <c r="Q927" i="31"/>
  <c r="Q928" i="31"/>
  <c r="Q929" i="31"/>
  <c r="Q930" i="31"/>
  <c r="Q931" i="31"/>
  <c r="Q932" i="31"/>
  <c r="Q933" i="31"/>
  <c r="Q934" i="31"/>
  <c r="Q935" i="31"/>
  <c r="Q936" i="31"/>
  <c r="Q937" i="31"/>
  <c r="Q938" i="31"/>
  <c r="Q939" i="31"/>
  <c r="Q940" i="31"/>
  <c r="Q941" i="31"/>
  <c r="Q942" i="31"/>
  <c r="Q943" i="31"/>
  <c r="Q944" i="31"/>
  <c r="Q945" i="31"/>
  <c r="Q946" i="31"/>
  <c r="Q947" i="31"/>
  <c r="Q948" i="31"/>
  <c r="Q949" i="31"/>
  <c r="Q950" i="31"/>
  <c r="Q951" i="31"/>
  <c r="Q952" i="31"/>
  <c r="Q953" i="31"/>
  <c r="Q954" i="31"/>
  <c r="Q955" i="31"/>
  <c r="Q956" i="31"/>
  <c r="Q957" i="31"/>
  <c r="Q958" i="31"/>
  <c r="Q959" i="31"/>
  <c r="Q960" i="31"/>
  <c r="Q961" i="31"/>
  <c r="Q962" i="31"/>
  <c r="Q963" i="31"/>
  <c r="Q964" i="31"/>
  <c r="Q965" i="31"/>
  <c r="Q966" i="31"/>
  <c r="Q967" i="31"/>
  <c r="Q968" i="31"/>
  <c r="Q969" i="31"/>
  <c r="Q970" i="31"/>
  <c r="Q971" i="31"/>
  <c r="Q972" i="31"/>
  <c r="Q973" i="31"/>
  <c r="Q974" i="31"/>
  <c r="Q975" i="31"/>
  <c r="Q976" i="31"/>
  <c r="Q977" i="31"/>
  <c r="Q978" i="31"/>
  <c r="Q979" i="31"/>
  <c r="Q980" i="31"/>
  <c r="Q981" i="31"/>
  <c r="Q982" i="31"/>
  <c r="Q983" i="31"/>
  <c r="Q984" i="31"/>
  <c r="Q985" i="31"/>
  <c r="Q986" i="31"/>
  <c r="Q987" i="31"/>
  <c r="Q988" i="31"/>
  <c r="Q989" i="31"/>
  <c r="Q990" i="31"/>
  <c r="Q991" i="31"/>
  <c r="Q992" i="31"/>
  <c r="Q993" i="31"/>
  <c r="Q994" i="31"/>
  <c r="Q995" i="31"/>
  <c r="Q996" i="31"/>
  <c r="Q997" i="31"/>
  <c r="Q998" i="31"/>
  <c r="Q999" i="31"/>
  <c r="Q1000" i="31"/>
  <c r="Q1001" i="31"/>
  <c r="Q1002" i="31"/>
  <c r="Q1003" i="31"/>
  <c r="Q1004" i="31"/>
  <c r="Q1005" i="31"/>
  <c r="Q1006" i="31"/>
  <c r="Q1007" i="31"/>
  <c r="Q1008" i="31"/>
  <c r="Q1009" i="31"/>
  <c r="Q1010" i="31"/>
  <c r="Q1011" i="31"/>
  <c r="Q1012" i="31"/>
  <c r="Q1013" i="31"/>
  <c r="Q1014" i="31"/>
  <c r="Q1015" i="31"/>
  <c r="Q1016" i="31"/>
  <c r="Q1017" i="31"/>
  <c r="Q1018" i="31"/>
  <c r="Q1019" i="31"/>
  <c r="Q1020" i="31"/>
  <c r="Q1021" i="31"/>
  <c r="Q1022" i="31"/>
  <c r="Q1023" i="31"/>
  <c r="Q1024" i="31"/>
  <c r="Q1025" i="31"/>
  <c r="Q1026" i="31"/>
  <c r="Q1027" i="31"/>
  <c r="Q1028" i="31"/>
  <c r="Q1029" i="31"/>
  <c r="Q1030" i="31"/>
  <c r="Q1031" i="31"/>
  <c r="Q1032" i="31"/>
  <c r="Q1033" i="31"/>
  <c r="Q1034" i="31"/>
  <c r="Q1035" i="31"/>
  <c r="Q1036" i="31"/>
  <c r="Q1037" i="31"/>
  <c r="Q1038" i="31"/>
  <c r="Q1039" i="31"/>
  <c r="Q1040" i="31"/>
  <c r="Q1041" i="31"/>
  <c r="Q1042" i="31"/>
  <c r="Q1043" i="31"/>
  <c r="Q1044" i="31"/>
  <c r="Q1045" i="31"/>
  <c r="Q1046" i="31"/>
  <c r="Q1047" i="31"/>
  <c r="Q1048" i="31"/>
  <c r="Q1049" i="31"/>
  <c r="Q1050" i="31"/>
  <c r="Q1051" i="31"/>
  <c r="Q1052" i="31"/>
  <c r="Q1053" i="31"/>
  <c r="Q1054" i="31"/>
  <c r="Q1055" i="31"/>
  <c r="Q1056" i="31"/>
  <c r="Q1057" i="31"/>
  <c r="Q1058" i="31"/>
  <c r="Q1059" i="31"/>
  <c r="Q1060" i="31"/>
  <c r="Q1061" i="31"/>
  <c r="Q1062" i="31"/>
  <c r="Q1063" i="31"/>
  <c r="Q1064" i="31"/>
  <c r="Q1065" i="31"/>
  <c r="Q1066" i="31"/>
  <c r="Q1067" i="31"/>
  <c r="Q1068" i="31"/>
  <c r="Q1069" i="31"/>
  <c r="Q1070" i="31"/>
  <c r="Q1071" i="31"/>
  <c r="Q1072" i="31"/>
  <c r="Q1073" i="31"/>
  <c r="Q1074" i="31"/>
  <c r="Q1075" i="31"/>
  <c r="Q1076" i="31"/>
  <c r="Q1077" i="31"/>
  <c r="Q1078" i="31"/>
  <c r="Q1079" i="31"/>
  <c r="Q1080" i="31"/>
  <c r="Q1081" i="31"/>
  <c r="Q1082" i="31"/>
  <c r="Q1083" i="31"/>
  <c r="Q1084" i="31"/>
  <c r="Q1085" i="31"/>
  <c r="Q1086" i="31"/>
  <c r="Q1087" i="31"/>
  <c r="Q1088" i="31"/>
  <c r="Q1089" i="31"/>
  <c r="Q1090" i="31"/>
  <c r="Q1091" i="31"/>
  <c r="Q1092" i="31"/>
  <c r="Q1093" i="31"/>
  <c r="Q1094" i="31"/>
  <c r="Q1095" i="31"/>
  <c r="Q1096" i="31"/>
  <c r="Q1097" i="31"/>
  <c r="Q1098" i="31"/>
  <c r="Q1099" i="31"/>
  <c r="Q1100" i="31"/>
  <c r="Q1101" i="31"/>
  <c r="Q1102" i="31"/>
  <c r="Q1103" i="31"/>
  <c r="Q1104" i="31"/>
  <c r="Q1105" i="31"/>
  <c r="Q1106" i="31"/>
  <c r="Q1107" i="31"/>
  <c r="Q1108" i="31"/>
  <c r="Q1109" i="31"/>
  <c r="Q1110" i="31"/>
  <c r="Q1111" i="31"/>
  <c r="Q1112" i="31"/>
  <c r="Q1113" i="31"/>
  <c r="Q1114" i="31"/>
  <c r="Q1115" i="31"/>
  <c r="Q1116" i="31"/>
  <c r="Q1117" i="31"/>
  <c r="Q1118" i="31"/>
  <c r="Q1119" i="31"/>
  <c r="Q1120" i="31"/>
  <c r="Q1121" i="31"/>
  <c r="Q1122" i="31"/>
  <c r="Q1123" i="31"/>
  <c r="Q1124" i="31"/>
  <c r="Q1125" i="31"/>
  <c r="Q1126" i="31"/>
  <c r="Q1127" i="31"/>
  <c r="Q1128" i="31"/>
  <c r="Q1129" i="31"/>
  <c r="Q1130" i="31"/>
  <c r="Q1131" i="31"/>
  <c r="Q1132" i="31"/>
  <c r="Q1133" i="31"/>
  <c r="Q1134" i="31"/>
  <c r="Q1135" i="31"/>
  <c r="Q1136" i="31"/>
  <c r="Q1137" i="31"/>
  <c r="Q1138" i="31"/>
  <c r="Q1139" i="31"/>
  <c r="Q1140" i="31"/>
  <c r="Q1141" i="31"/>
  <c r="Q1142" i="31"/>
  <c r="Q1143" i="31"/>
  <c r="Q1144" i="31"/>
  <c r="Q1145" i="31"/>
  <c r="Q1146" i="31"/>
  <c r="Q1147" i="31"/>
  <c r="Q1148" i="31"/>
  <c r="Q1149" i="31"/>
  <c r="Q1150" i="31"/>
  <c r="Q1151" i="31"/>
  <c r="Q1152" i="31"/>
  <c r="Q1153" i="31"/>
  <c r="Q1154" i="31"/>
  <c r="Q1155" i="31"/>
  <c r="Q1156" i="31"/>
  <c r="Q1157" i="31"/>
  <c r="Q1158" i="31"/>
  <c r="Q1159" i="31"/>
  <c r="Q1160" i="31"/>
  <c r="Q1161" i="31"/>
  <c r="Q1162" i="31"/>
  <c r="Q1163" i="31"/>
  <c r="Q1164" i="31"/>
  <c r="Q1165" i="31"/>
  <c r="Q1166" i="31"/>
  <c r="Q1167" i="31"/>
  <c r="Q1168" i="31"/>
  <c r="Q1169" i="31"/>
  <c r="Q1170" i="31"/>
  <c r="Q1171" i="31"/>
  <c r="Q1172" i="31"/>
  <c r="Q1173" i="31"/>
  <c r="Q1174" i="31"/>
  <c r="Q1175" i="31"/>
  <c r="Q1176" i="31"/>
  <c r="Q1177" i="31"/>
  <c r="Q1178" i="31"/>
  <c r="Q1179" i="31"/>
  <c r="Q1180" i="31"/>
  <c r="Q1181" i="31"/>
  <c r="Q1182" i="31"/>
  <c r="Q1183" i="31"/>
  <c r="Q1184" i="31"/>
  <c r="Q1185" i="31"/>
  <c r="Q1186" i="31"/>
  <c r="Q1187" i="31"/>
  <c r="Q1188" i="31"/>
  <c r="Q1189" i="31"/>
  <c r="Q1190" i="31"/>
  <c r="Q1191" i="31"/>
  <c r="Q1192" i="31"/>
  <c r="Q1193" i="31"/>
  <c r="Q1194" i="31"/>
  <c r="Q1195" i="31"/>
  <c r="Q1196" i="31"/>
  <c r="Q1197" i="31"/>
  <c r="Q1198" i="31"/>
  <c r="Q1199" i="31"/>
  <c r="Q1200" i="31"/>
  <c r="Q1201" i="31"/>
  <c r="Q1202" i="31"/>
  <c r="Q1203" i="31"/>
  <c r="Q1204" i="31"/>
  <c r="Q1205" i="31"/>
  <c r="Q1206" i="31"/>
  <c r="Q1207" i="31"/>
  <c r="Q1208" i="31"/>
  <c r="Q1209" i="31"/>
  <c r="Q1210" i="31"/>
  <c r="Q1211" i="31"/>
  <c r="Q1212" i="31"/>
  <c r="Q1213" i="31"/>
  <c r="Q1214" i="31"/>
  <c r="Q1215" i="31"/>
  <c r="Q1216" i="31"/>
  <c r="Q1217" i="31"/>
  <c r="Q1218" i="31"/>
  <c r="Q1219" i="31"/>
  <c r="Q1220" i="31"/>
  <c r="Q1221" i="31"/>
  <c r="Q1222" i="31"/>
  <c r="Q1223" i="31"/>
  <c r="Q1224" i="31"/>
  <c r="Q1225" i="31"/>
  <c r="Q1226" i="31"/>
  <c r="Q1227" i="31"/>
  <c r="Q1228" i="31"/>
  <c r="Q1229" i="31"/>
  <c r="Q1230" i="31"/>
  <c r="Q1231" i="31"/>
  <c r="Q1232" i="31"/>
  <c r="Q1233" i="31"/>
  <c r="Q1234" i="31"/>
  <c r="Q1235" i="31"/>
  <c r="Q1236" i="31"/>
  <c r="Q1237" i="31"/>
  <c r="Q1238" i="31"/>
  <c r="Q1239" i="31"/>
  <c r="Q1240" i="31"/>
  <c r="Q1241" i="31"/>
  <c r="Q1242" i="31"/>
  <c r="Q1243" i="31"/>
  <c r="Q1244" i="31"/>
  <c r="Q1245" i="31"/>
  <c r="Q1246" i="31"/>
  <c r="Q1247" i="31"/>
  <c r="Q1248" i="31"/>
  <c r="Q1249" i="31"/>
  <c r="Q1250" i="31"/>
  <c r="Q1251" i="31"/>
  <c r="Q1252" i="31"/>
  <c r="Q1253" i="31"/>
  <c r="Q1254" i="31"/>
  <c r="Q1255" i="31"/>
  <c r="Q1256" i="31"/>
  <c r="Q1257" i="31"/>
  <c r="Q1258" i="31"/>
  <c r="Q1259" i="31"/>
  <c r="Q1260" i="31"/>
  <c r="Q1261" i="31"/>
  <c r="Q1262" i="31"/>
  <c r="Q1263" i="31"/>
  <c r="Q1264" i="31"/>
  <c r="Q1265" i="31"/>
  <c r="Q1266" i="31"/>
  <c r="Q1267" i="31"/>
  <c r="Q1268" i="31"/>
  <c r="Q1269" i="31"/>
  <c r="Q1270" i="31"/>
  <c r="Q1271" i="31"/>
  <c r="Q1272" i="31"/>
  <c r="Q1273" i="31"/>
  <c r="Q1274" i="31"/>
  <c r="Q1275" i="31"/>
  <c r="Q1276" i="31"/>
  <c r="Q1277" i="31"/>
  <c r="Q1278" i="31"/>
  <c r="Q1279" i="31"/>
  <c r="Q1280" i="31"/>
  <c r="Q1281" i="31"/>
  <c r="Q1282" i="31"/>
  <c r="Q1283" i="31"/>
  <c r="Q1284" i="31"/>
  <c r="Q1285" i="31"/>
  <c r="Q1286" i="31"/>
  <c r="Q1287" i="31"/>
  <c r="Q1288" i="31"/>
  <c r="Q1289" i="31"/>
  <c r="Q1290" i="31"/>
  <c r="Q1291" i="31"/>
  <c r="Q1292" i="31"/>
  <c r="Q1293" i="31"/>
  <c r="Q1294" i="31"/>
  <c r="Q1295" i="31"/>
  <c r="Q1296" i="31"/>
  <c r="Q1297" i="31"/>
  <c r="Q1298" i="31"/>
  <c r="Q1299" i="31"/>
  <c r="Q1300" i="31"/>
  <c r="Q1301" i="31"/>
  <c r="Q1302" i="31"/>
  <c r="Q1303" i="31"/>
  <c r="Q1304" i="31"/>
  <c r="Q1305" i="31"/>
  <c r="Q1306" i="31"/>
  <c r="Q1307" i="31"/>
  <c r="Q1308" i="31"/>
  <c r="Q1309" i="31"/>
  <c r="Q1310" i="31"/>
  <c r="Q1311" i="31"/>
  <c r="Q1312" i="31"/>
  <c r="Q1313" i="31"/>
  <c r="Q1314" i="31"/>
  <c r="Q1315" i="31"/>
  <c r="Q1316" i="31"/>
  <c r="Q1317" i="31"/>
  <c r="Q1318" i="31"/>
  <c r="Q1319" i="31"/>
  <c r="Q1320" i="31"/>
  <c r="Q1321" i="31"/>
  <c r="Q1322" i="31"/>
  <c r="Q1323" i="31"/>
  <c r="Q1324" i="31"/>
  <c r="Q1325" i="31"/>
  <c r="Q1326" i="31"/>
  <c r="Q1327" i="31"/>
  <c r="Q1328" i="31"/>
  <c r="Q1329" i="31"/>
  <c r="Q1330" i="31"/>
  <c r="Q1331" i="31"/>
  <c r="Q1332" i="31"/>
  <c r="Q1333" i="31"/>
  <c r="Q1334" i="31"/>
  <c r="Q1335" i="31"/>
  <c r="Q1336" i="31"/>
  <c r="Q1337" i="31"/>
  <c r="Q1338" i="31"/>
  <c r="Q1339" i="31"/>
  <c r="Q1340" i="31"/>
  <c r="Q1341" i="31"/>
  <c r="Q1342" i="31"/>
  <c r="Q1343" i="31"/>
  <c r="Q1344" i="31"/>
  <c r="Q1345" i="31"/>
  <c r="Q1346" i="31"/>
  <c r="Q1347" i="31"/>
  <c r="Q1348" i="31"/>
  <c r="Q1349" i="31"/>
  <c r="Q1350" i="31"/>
  <c r="Q1351" i="31"/>
  <c r="Q1352" i="31"/>
  <c r="Q1353" i="31"/>
  <c r="Q1354" i="31"/>
  <c r="Q1355" i="31"/>
  <c r="Q1356" i="31"/>
  <c r="Q1357" i="31"/>
  <c r="Q1358" i="31"/>
  <c r="Q1359" i="31"/>
  <c r="Q1360" i="31"/>
  <c r="Q1361" i="31"/>
  <c r="Q1362" i="31"/>
  <c r="Q1363" i="31"/>
  <c r="Q1364" i="31"/>
  <c r="Q1365" i="31"/>
  <c r="Q1366" i="31"/>
  <c r="Q1367" i="31"/>
  <c r="Q1368" i="31"/>
  <c r="Q1369" i="31"/>
  <c r="Q1370" i="31"/>
  <c r="Q1371" i="31"/>
  <c r="Q1372" i="31"/>
  <c r="Q1373" i="31"/>
  <c r="Q1374" i="31"/>
  <c r="Q1375" i="31"/>
  <c r="Q1376" i="31"/>
  <c r="Q1377" i="31"/>
  <c r="Q1378" i="31"/>
  <c r="Q1379" i="31"/>
  <c r="Q1380" i="31"/>
  <c r="Q1381" i="31"/>
  <c r="Q1382" i="31"/>
  <c r="Q1383" i="31"/>
  <c r="Q1384" i="31"/>
  <c r="Q1385" i="31"/>
  <c r="Q1386" i="31"/>
  <c r="Q1387" i="31"/>
  <c r="Q1388" i="31"/>
  <c r="Q1389" i="31"/>
  <c r="Q1390" i="31"/>
  <c r="Q1391" i="31"/>
  <c r="Q1392" i="31"/>
  <c r="Q1393" i="31"/>
  <c r="Q1394" i="31"/>
  <c r="Q1395" i="31"/>
  <c r="Q1396" i="31"/>
  <c r="Q1397" i="31"/>
  <c r="Q1398" i="31"/>
  <c r="Q1399" i="31"/>
  <c r="Q1400" i="31"/>
  <c r="Q1401" i="31"/>
  <c r="Q1402" i="31"/>
  <c r="Q1403" i="31"/>
  <c r="Q1404" i="31"/>
  <c r="Q1405" i="31"/>
  <c r="Q1406" i="31"/>
  <c r="Q1407" i="31"/>
  <c r="Q1408" i="31"/>
  <c r="Q1409" i="31"/>
  <c r="Q1410" i="31"/>
  <c r="Q1411" i="31"/>
  <c r="Q1412" i="31"/>
  <c r="Q1413" i="31"/>
  <c r="Q1414" i="31"/>
  <c r="Q1415" i="31"/>
  <c r="Q1416" i="31"/>
  <c r="Q1417" i="31"/>
  <c r="Q1418" i="31"/>
  <c r="Q1419" i="31"/>
  <c r="Q1420" i="31"/>
  <c r="Q1421" i="31"/>
  <c r="Q1422" i="31"/>
  <c r="Q1423" i="31"/>
  <c r="Q1424" i="31"/>
  <c r="Q1425" i="31"/>
  <c r="Q1426" i="31"/>
  <c r="Q1427" i="31"/>
  <c r="Q1428" i="31"/>
  <c r="Q1429" i="31"/>
  <c r="Q1430" i="31"/>
  <c r="Q1431" i="31"/>
  <c r="Q1432" i="31"/>
  <c r="Q1433" i="31"/>
  <c r="Q1434" i="31"/>
  <c r="Q1435" i="31"/>
  <c r="Q1436" i="31"/>
  <c r="Q1437" i="31"/>
  <c r="Q1438" i="31"/>
  <c r="Q1439" i="31"/>
  <c r="Q1440" i="31"/>
  <c r="Q1441" i="31"/>
  <c r="Q1442" i="31"/>
  <c r="Q1443" i="31"/>
  <c r="Q1444" i="31"/>
  <c r="Q1445" i="31"/>
  <c r="Q1446" i="31"/>
  <c r="Q1447" i="31"/>
  <c r="Q1448" i="31"/>
  <c r="Q1449" i="31"/>
  <c r="Q1450" i="31"/>
  <c r="Q1451" i="31"/>
  <c r="Q1452" i="31"/>
  <c r="Q1453" i="31"/>
  <c r="Q1454" i="31"/>
  <c r="Q1455" i="31"/>
  <c r="Q1456" i="31"/>
  <c r="Q1457" i="31"/>
  <c r="Q1458" i="31"/>
  <c r="Q1459" i="31"/>
  <c r="Q1460" i="31"/>
  <c r="Q1461" i="31"/>
  <c r="Q1462" i="31"/>
  <c r="Q1463" i="31"/>
  <c r="Q1464" i="31"/>
  <c r="Q1465" i="31"/>
  <c r="Q1466" i="31"/>
  <c r="Q1467" i="31"/>
  <c r="Q1468" i="31"/>
  <c r="Q1469" i="31"/>
  <c r="Q1470" i="31"/>
  <c r="Q1471" i="31"/>
  <c r="Q1472" i="31"/>
  <c r="Q1473" i="31"/>
  <c r="Q1474" i="31"/>
  <c r="Q1475" i="31"/>
  <c r="Q1476" i="31"/>
  <c r="Q1477" i="31"/>
  <c r="Q1478" i="31"/>
  <c r="Q1479" i="31"/>
  <c r="Q1480" i="31"/>
  <c r="Q1481" i="31"/>
  <c r="R6" i="23"/>
  <c r="Z5" i="31" s="1"/>
  <c r="R113" i="23"/>
  <c r="Z102" i="31" s="1"/>
  <c r="R497" i="23"/>
  <c r="R541" i="23"/>
  <c r="R710" i="23"/>
  <c r="Z645" i="31" s="1"/>
  <c r="R797" i="23"/>
  <c r="Z724" i="31" s="1"/>
  <c r="R1476" i="23"/>
  <c r="R1518" i="23"/>
  <c r="Z1380" i="31" s="1"/>
  <c r="Q3" i="23"/>
  <c r="Q4" i="23"/>
  <c r="Q5" i="23"/>
  <c r="Q6" i="23"/>
  <c r="Q7" i="23"/>
  <c r="Q8" i="23"/>
  <c r="Q9" i="23"/>
  <c r="Q10" i="23"/>
  <c r="Q11" i="23"/>
  <c r="Q12" i="23"/>
  <c r="Q13" i="23"/>
  <c r="Q24" i="23"/>
  <c r="Q35" i="23"/>
  <c r="Q36" i="23"/>
  <c r="Q37" i="23"/>
  <c r="Q38" i="23"/>
  <c r="Q39" i="23"/>
  <c r="Q40" i="23"/>
  <c r="Q41" i="23"/>
  <c r="Q42" i="23"/>
  <c r="Q46" i="23"/>
  <c r="Q56" i="23"/>
  <c r="Q57" i="23"/>
  <c r="Q58" i="23"/>
  <c r="Q68" i="23"/>
  <c r="Q79" i="23"/>
  <c r="Q90" i="23"/>
  <c r="Q101" i="23"/>
  <c r="Q112" i="23"/>
  <c r="Q113" i="23"/>
  <c r="Q114" i="23"/>
  <c r="Q115" i="23"/>
  <c r="Q116" i="23"/>
  <c r="Q117" i="23"/>
  <c r="Q123" i="23"/>
  <c r="Q132" i="23"/>
  <c r="Q134" i="23"/>
  <c r="Q145" i="23"/>
  <c r="Q146" i="23"/>
  <c r="Q147" i="23"/>
  <c r="Q148" i="23"/>
  <c r="Q149" i="23"/>
  <c r="Q150" i="23"/>
  <c r="Q151" i="23"/>
  <c r="Q152" i="23"/>
  <c r="Q153" i="23"/>
  <c r="Q154" i="23"/>
  <c r="Q156" i="23"/>
  <c r="Q157" i="23"/>
  <c r="Q158" i="23"/>
  <c r="Q167" i="23"/>
  <c r="Q178" i="23"/>
  <c r="Q179" i="23"/>
  <c r="Q180" i="23"/>
  <c r="Q181" i="23"/>
  <c r="Q182" i="23"/>
  <c r="Q189" i="23"/>
  <c r="Q200" i="23"/>
  <c r="Q211" i="23"/>
  <c r="Q212" i="23"/>
  <c r="Q213" i="23"/>
  <c r="Q222" i="23"/>
  <c r="Q233" i="23"/>
  <c r="Q234" i="23"/>
  <c r="Q244" i="23"/>
  <c r="Q255" i="23"/>
  <c r="Q266" i="23"/>
  <c r="Q277" i="23"/>
  <c r="Q278" i="23"/>
  <c r="Q279" i="23"/>
  <c r="Q280" i="23"/>
  <c r="Q281" i="23"/>
  <c r="Q282" i="23"/>
  <c r="Q283" i="23"/>
  <c r="Q284" i="23"/>
  <c r="Q288" i="23"/>
  <c r="Q299" i="23"/>
  <c r="Q310" i="23"/>
  <c r="Q321" i="23"/>
  <c r="Q322" i="23"/>
  <c r="Q323" i="23"/>
  <c r="Q332" i="23"/>
  <c r="Q333" i="23"/>
  <c r="Q334" i="23"/>
  <c r="Q335" i="23"/>
  <c r="Q336" i="23"/>
  <c r="Q343" i="23"/>
  <c r="Q344" i="23"/>
  <c r="Q354" i="23"/>
  <c r="Q355" i="23"/>
  <c r="Q365" i="23"/>
  <c r="Q376" i="23"/>
  <c r="Q377" i="23"/>
  <c r="Q378" i="23"/>
  <c r="Q379" i="23"/>
  <c r="Q380" i="23"/>
  <c r="Q381" i="23"/>
  <c r="Q387" i="23"/>
  <c r="Q388" i="23"/>
  <c r="Q397" i="23"/>
  <c r="Q398" i="23"/>
  <c r="Q399" i="23"/>
  <c r="Q400" i="23"/>
  <c r="Q409" i="23"/>
  <c r="Q410" i="23"/>
  <c r="Q411" i="23"/>
  <c r="Q420" i="23"/>
  <c r="Q431" i="23"/>
  <c r="Q432" i="23"/>
  <c r="Q433" i="23"/>
  <c r="Q434" i="23"/>
  <c r="Q442" i="23"/>
  <c r="Q443" i="23"/>
  <c r="Q444" i="23"/>
  <c r="Q445" i="23"/>
  <c r="Q453" i="23"/>
  <c r="Q464" i="23"/>
  <c r="Q475" i="23"/>
  <c r="Q486" i="23"/>
  <c r="Q487" i="23"/>
  <c r="Q488" i="23"/>
  <c r="Q489" i="23"/>
  <c r="Q497" i="23"/>
  <c r="Q498" i="23"/>
  <c r="Q508" i="23"/>
  <c r="Q509" i="23"/>
  <c r="Q510" i="23"/>
  <c r="Q511" i="23"/>
  <c r="Q512" i="23"/>
  <c r="Q519" i="23"/>
  <c r="Q530" i="23"/>
  <c r="Q531" i="23"/>
  <c r="Q541" i="23"/>
  <c r="Q552" i="23"/>
  <c r="Q553" i="23"/>
  <c r="Q554" i="23"/>
  <c r="Q555" i="23"/>
  <c r="Q556" i="23"/>
  <c r="Q563" i="23"/>
  <c r="Q574" i="23"/>
  <c r="Q575" i="23"/>
  <c r="Q585" i="23"/>
  <c r="Q586" i="23"/>
  <c r="Q587" i="23"/>
  <c r="Q588" i="23"/>
  <c r="Q589" i="23"/>
  <c r="Q590" i="23"/>
  <c r="Q591" i="23"/>
  <c r="Q596" i="23"/>
  <c r="Q607" i="23"/>
  <c r="Q618" i="23"/>
  <c r="Q619" i="23"/>
  <c r="Q620" i="23"/>
  <c r="Q629" i="23"/>
  <c r="Q630" i="23"/>
  <c r="Q631" i="23"/>
  <c r="Q632" i="23"/>
  <c r="Q633" i="23"/>
  <c r="Q634" i="23"/>
  <c r="Q640" i="23"/>
  <c r="Q641" i="23"/>
  <c r="Q642" i="23"/>
  <c r="Q643" i="23"/>
  <c r="Q644" i="23"/>
  <c r="Q651" i="23"/>
  <c r="Q652" i="23"/>
  <c r="Q653" i="23"/>
  <c r="Q654" i="23"/>
  <c r="Q655" i="23"/>
  <c r="Q656" i="23"/>
  <c r="Q662" i="23"/>
  <c r="Q673" i="23"/>
  <c r="Q674" i="23"/>
  <c r="Q675" i="23"/>
  <c r="Q676" i="23"/>
  <c r="Q684" i="23"/>
  <c r="Q695" i="23"/>
  <c r="Q696" i="23"/>
  <c r="Q697" i="23"/>
  <c r="Q706" i="23"/>
  <c r="Q707" i="23"/>
  <c r="Q708" i="23"/>
  <c r="Q709" i="23"/>
  <c r="Q710" i="23"/>
  <c r="Q711" i="23"/>
  <c r="Q712" i="23"/>
  <c r="Q713" i="23"/>
  <c r="Q717" i="23"/>
  <c r="Q727" i="23"/>
  <c r="Q728" i="23"/>
  <c r="Q739" i="23"/>
  <c r="Q750" i="23"/>
  <c r="Q751" i="23"/>
  <c r="Q752" i="23"/>
  <c r="Q761" i="23"/>
  <c r="Q772" i="23"/>
  <c r="Q783" i="23"/>
  <c r="Q794" i="23"/>
  <c r="Q795" i="23"/>
  <c r="Q796" i="23"/>
  <c r="Q797" i="23"/>
  <c r="Q798" i="23"/>
  <c r="Q805" i="23"/>
  <c r="Q816" i="23"/>
  <c r="Q817" i="23"/>
  <c r="Q818" i="23"/>
  <c r="Q819" i="23"/>
  <c r="Q820" i="23"/>
  <c r="Q821" i="23"/>
  <c r="Q822" i="23"/>
  <c r="Q823" i="23"/>
  <c r="Q824" i="23"/>
  <c r="Q825" i="23"/>
  <c r="Q826" i="23"/>
  <c r="Q827" i="23"/>
  <c r="Q828" i="23"/>
  <c r="Q829" i="23"/>
  <c r="Q830" i="23"/>
  <c r="Q831" i="23"/>
  <c r="Q838" i="23"/>
  <c r="Q839" i="23"/>
  <c r="Q840" i="23"/>
  <c r="Q841" i="23"/>
  <c r="Q849" i="23"/>
  <c r="Q860" i="23"/>
  <c r="Q871" i="23"/>
  <c r="Q882" i="23"/>
  <c r="Q883" i="23"/>
  <c r="Q884" i="23"/>
  <c r="Q885" i="23"/>
  <c r="Q893" i="23"/>
  <c r="Q894" i="23"/>
  <c r="Q895" i="23"/>
  <c r="Q896" i="23"/>
  <c r="Q897" i="23"/>
  <c r="Q898" i="23"/>
  <c r="Q904" i="23"/>
  <c r="Q915" i="23"/>
  <c r="Q926" i="23"/>
  <c r="Q937" i="23"/>
  <c r="Q938" i="23"/>
  <c r="Q948" i="23"/>
  <c r="Q949" i="23"/>
  <c r="Q950" i="23"/>
  <c r="Q951" i="23"/>
  <c r="Q952" i="23"/>
  <c r="Q953" i="23"/>
  <c r="Q954" i="23"/>
  <c r="Q955" i="23"/>
  <c r="Q956" i="23"/>
  <c r="Q957" i="23"/>
  <c r="Q958" i="23"/>
  <c r="Q959" i="23"/>
  <c r="Q960" i="23"/>
  <c r="Q961" i="23"/>
  <c r="Q962" i="23"/>
  <c r="Q963" i="23"/>
  <c r="Q964" i="23"/>
  <c r="Q965" i="23"/>
  <c r="Q966" i="23"/>
  <c r="Q967" i="23"/>
  <c r="Q968" i="23"/>
  <c r="Q969" i="23"/>
  <c r="Q970" i="23"/>
  <c r="Q981" i="23"/>
  <c r="Q992" i="23"/>
  <c r="Q1003" i="23"/>
  <c r="Q1014" i="23"/>
  <c r="Q1025" i="23"/>
  <c r="Q1036" i="23"/>
  <c r="Q1037" i="23"/>
  <c r="Q1038" i="23"/>
  <c r="Q1039" i="23"/>
  <c r="Q1040" i="23"/>
  <c r="Q1047" i="23"/>
  <c r="Q1058" i="23"/>
  <c r="Q1059" i="23"/>
  <c r="Q1060" i="23"/>
  <c r="Q1069" i="23"/>
  <c r="Q1070" i="23"/>
  <c r="Q1071" i="23"/>
  <c r="Q1080" i="23"/>
  <c r="Q1081" i="23"/>
  <c r="Q1082" i="23"/>
  <c r="Q1083" i="23"/>
  <c r="Q1084" i="23"/>
  <c r="Q1085" i="23"/>
  <c r="Q1086" i="23"/>
  <c r="Q1091" i="23"/>
  <c r="Q1102" i="23"/>
  <c r="Q1113" i="23"/>
  <c r="Q1124" i="23"/>
  <c r="Q1135" i="23"/>
  <c r="Q1146" i="23"/>
  <c r="Q1147" i="23"/>
  <c r="Q1157" i="23"/>
  <c r="Q1168" i="23"/>
  <c r="Q1169" i="23"/>
  <c r="Q1170" i="23"/>
  <c r="Q1171" i="23"/>
  <c r="Q1172" i="23"/>
  <c r="Q1179" i="23"/>
  <c r="Q1190" i="23"/>
  <c r="Q1201" i="23"/>
  <c r="Q1212" i="23"/>
  <c r="Q1223" i="23"/>
  <c r="Q1234" i="23"/>
  <c r="Q1235" i="23"/>
  <c r="Q1236" i="23"/>
  <c r="Q1237" i="23"/>
  <c r="Q1245" i="23"/>
  <c r="Q1256" i="23"/>
  <c r="Q1257" i="23"/>
  <c r="Q1258" i="23"/>
  <c r="Q1259" i="23"/>
  <c r="Q1260" i="23"/>
  <c r="Q1261" i="23"/>
  <c r="Q1262" i="23"/>
  <c r="Q1263" i="23"/>
  <c r="Q1267" i="23"/>
  <c r="Q1278" i="23"/>
  <c r="Q1289" i="23"/>
  <c r="Q1290" i="23"/>
  <c r="Q1291" i="23"/>
  <c r="Q1292" i="23"/>
  <c r="Q1300" i="23"/>
  <c r="Q1310" i="23"/>
  <c r="Q1311" i="23"/>
  <c r="Q1322" i="23"/>
  <c r="Q1333" i="23"/>
  <c r="Q1334" i="23"/>
  <c r="Q1335" i="23"/>
  <c r="Q1336" i="23"/>
  <c r="Q1337" i="23"/>
  <c r="Q1338" i="23"/>
  <c r="Q1339" i="23"/>
  <c r="Q1340" i="23"/>
  <c r="Q1341" i="23"/>
  <c r="Q1342" i="23"/>
  <c r="Q1343" i="23"/>
  <c r="Q1344" i="23"/>
  <c r="Q1345" i="23"/>
  <c r="Q1346" i="23"/>
  <c r="Q1347" i="23"/>
  <c r="Q1348" i="23"/>
  <c r="Q1355" i="23"/>
  <c r="Q1366" i="23"/>
  <c r="Q1367" i="23"/>
  <c r="Q1368" i="23"/>
  <c r="Q1369" i="23"/>
  <c r="Q1370" i="23"/>
  <c r="Q1371" i="23"/>
  <c r="Q1372" i="23"/>
  <c r="Q1373" i="23"/>
  <c r="Q1374" i="23"/>
  <c r="Q1375" i="23"/>
  <c r="Q1376" i="23"/>
  <c r="Q1377" i="23"/>
  <c r="Q1378" i="23"/>
  <c r="Q1388" i="23"/>
  <c r="Q1389" i="23"/>
  <c r="Q1399" i="23"/>
  <c r="Q1400" i="23"/>
  <c r="Q1401" i="23"/>
  <c r="Q1402" i="23"/>
  <c r="Q1410" i="23"/>
  <c r="Q1421" i="23"/>
  <c r="Q1422" i="23"/>
  <c r="Q1423" i="23"/>
  <c r="Q1424" i="23"/>
  <c r="Q1425" i="23"/>
  <c r="Q1432" i="23"/>
  <c r="Q1443" i="23"/>
  <c r="Q1444" i="23"/>
  <c r="Q1454" i="23"/>
  <c r="Q1465" i="23"/>
  <c r="Q1466" i="23"/>
  <c r="Q1467" i="23"/>
  <c r="Q1468" i="23"/>
  <c r="Q1469" i="23"/>
  <c r="Q1470" i="23"/>
  <c r="Q1476" i="23"/>
  <c r="Q1477" i="23"/>
  <c r="Q1478" i="23"/>
  <c r="Q1479" i="23"/>
  <c r="Q1480" i="23"/>
  <c r="Q1481" i="23"/>
  <c r="Q1487" i="23"/>
  <c r="Q1488" i="23"/>
  <c r="Q1489" i="23"/>
  <c r="Q1490" i="23"/>
  <c r="Q1491" i="23"/>
  <c r="Q1492" i="23"/>
  <c r="Q1493" i="23"/>
  <c r="Q1494" i="23"/>
  <c r="Q1498" i="23"/>
  <c r="Q1499" i="23"/>
  <c r="Q1509" i="23"/>
  <c r="Q1510" i="23"/>
  <c r="Q1511" i="23"/>
  <c r="Q1512" i="23"/>
  <c r="Q1513" i="23"/>
  <c r="Q1514" i="23"/>
  <c r="Q1515" i="23"/>
  <c r="Q1516" i="23"/>
  <c r="Q1517" i="23"/>
  <c r="Q1518" i="23"/>
  <c r="Q1520" i="23"/>
  <c r="Q1531" i="23"/>
  <c r="Q1542" i="23"/>
  <c r="Q1545" i="23"/>
  <c r="Q1553" i="23"/>
  <c r="Q1554" i="23"/>
  <c r="Q1555" i="23"/>
  <c r="Q1557" i="23"/>
  <c r="Q1564" i="23"/>
  <c r="Q1565" i="23"/>
  <c r="Q1566" i="23"/>
  <c r="Q1567" i="23"/>
  <c r="Q1568" i="23"/>
  <c r="Q1569" i="23"/>
  <c r="Q1570" i="23"/>
  <c r="Q1571" i="23"/>
  <c r="Q1572" i="23"/>
  <c r="Q1573" i="23"/>
  <c r="Q1574" i="23"/>
  <c r="Q1575" i="23"/>
  <c r="Q1576" i="23"/>
  <c r="Q1577" i="23"/>
  <c r="Q1586" i="23"/>
  <c r="Q1590" i="23"/>
  <c r="Q1591" i="23"/>
  <c r="Q1592" i="23"/>
  <c r="Q1593" i="23"/>
  <c r="Q1594" i="23"/>
  <c r="Q1595" i="23"/>
  <c r="Q1596" i="23"/>
  <c r="Q1597" i="23"/>
  <c r="Q1598" i="23"/>
  <c r="Q1599" i="23"/>
  <c r="Q1600" i="23"/>
  <c r="Q1601" i="23"/>
  <c r="Q1602" i="23"/>
  <c r="Q1603" i="23"/>
  <c r="Q1604" i="23"/>
  <c r="Q1605" i="23"/>
  <c r="Q1606" i="23"/>
  <c r="Q1607" i="23"/>
  <c r="Q1608" i="23"/>
  <c r="Q1619" i="23"/>
  <c r="P3" i="23"/>
  <c r="P4" i="23"/>
  <c r="R4" i="23" s="1"/>
  <c r="Z3" i="31" s="1"/>
  <c r="P5" i="23"/>
  <c r="R5" i="23" s="1"/>
  <c r="Z4" i="31" s="1"/>
  <c r="P6" i="23"/>
  <c r="P7" i="23"/>
  <c r="P8" i="23"/>
  <c r="R8" i="23" s="1"/>
  <c r="Z7" i="31" s="1"/>
  <c r="P9" i="23"/>
  <c r="R9" i="23" s="1"/>
  <c r="Z8" i="31" s="1"/>
  <c r="P10" i="23"/>
  <c r="R10" i="23" s="1"/>
  <c r="Z9" i="31" s="1"/>
  <c r="P11" i="23"/>
  <c r="P12" i="23"/>
  <c r="R12" i="23" s="1"/>
  <c r="Z11" i="31" s="1"/>
  <c r="P13" i="23"/>
  <c r="R13" i="23" s="1"/>
  <c r="P24" i="23"/>
  <c r="R24" i="23" s="1"/>
  <c r="P35" i="23"/>
  <c r="P36" i="23"/>
  <c r="R36" i="23" s="1"/>
  <c r="Z32" i="31" s="1"/>
  <c r="P37" i="23"/>
  <c r="R37" i="23" s="1"/>
  <c r="Z33" i="31" s="1"/>
  <c r="P38" i="23"/>
  <c r="R38" i="23" s="1"/>
  <c r="Z34" i="31" s="1"/>
  <c r="P39" i="23"/>
  <c r="P40" i="23"/>
  <c r="R40" i="23" s="1"/>
  <c r="Z36" i="31" s="1"/>
  <c r="P41" i="23"/>
  <c r="R41" i="23" s="1"/>
  <c r="Z37" i="31" s="1"/>
  <c r="P42" i="23"/>
  <c r="R42" i="23" s="1"/>
  <c r="Z38" i="31" s="1"/>
  <c r="P46" i="23"/>
  <c r="R46" i="23" s="1"/>
  <c r="P56" i="23"/>
  <c r="R56" i="23" s="1"/>
  <c r="Z51" i="31" s="1"/>
  <c r="P57" i="23"/>
  <c r="R57" i="23" s="1"/>
  <c r="P58" i="23"/>
  <c r="R58" i="23" s="1"/>
  <c r="Z52" i="31" s="1"/>
  <c r="P68" i="23"/>
  <c r="R68" i="23" s="1"/>
  <c r="P79" i="23"/>
  <c r="P90" i="23"/>
  <c r="R90" i="23" s="1"/>
  <c r="P101" i="23"/>
  <c r="R101" i="23" s="1"/>
  <c r="P112" i="23"/>
  <c r="R112" i="23" s="1"/>
  <c r="P113" i="23"/>
  <c r="P114" i="23"/>
  <c r="R114" i="23" s="1"/>
  <c r="Z103" i="31" s="1"/>
  <c r="P115" i="23"/>
  <c r="P116" i="23"/>
  <c r="R116" i="23" s="1"/>
  <c r="Z105" i="31" s="1"/>
  <c r="P117" i="23"/>
  <c r="R117" i="23" s="1"/>
  <c r="Z106" i="31" s="1"/>
  <c r="P123" i="23"/>
  <c r="P125" i="23"/>
  <c r="P134" i="23"/>
  <c r="R134" i="23" s="1"/>
  <c r="P145" i="23"/>
  <c r="R145" i="23" s="1"/>
  <c r="P146" i="23"/>
  <c r="R146" i="23" s="1"/>
  <c r="Z132" i="31" s="1"/>
  <c r="P147" i="23"/>
  <c r="P148" i="23"/>
  <c r="R148" i="23" s="1"/>
  <c r="Z134" i="31" s="1"/>
  <c r="P149" i="23"/>
  <c r="R149" i="23" s="1"/>
  <c r="Z135" i="31" s="1"/>
  <c r="P150" i="23"/>
  <c r="R150" i="23" s="1"/>
  <c r="Z136" i="31" s="1"/>
  <c r="P151" i="23"/>
  <c r="P152" i="23"/>
  <c r="R152" i="23" s="1"/>
  <c r="Z138" i="31" s="1"/>
  <c r="P153" i="23"/>
  <c r="R153" i="23" s="1"/>
  <c r="Z139" i="31" s="1"/>
  <c r="P154" i="23"/>
  <c r="R154" i="23" s="1"/>
  <c r="Z140" i="31" s="1"/>
  <c r="P156" i="23"/>
  <c r="R156" i="23" s="1"/>
  <c r="P157" i="23"/>
  <c r="R157" i="23" s="1"/>
  <c r="Z142" i="31" s="1"/>
  <c r="P158" i="23"/>
  <c r="R158" i="23" s="1"/>
  <c r="Z143" i="31" s="1"/>
  <c r="P167" i="23"/>
  <c r="P178" i="23"/>
  <c r="R178" i="23" s="1"/>
  <c r="P179" i="23"/>
  <c r="P180" i="23"/>
  <c r="R180" i="23" s="1"/>
  <c r="Z163" i="31" s="1"/>
  <c r="P181" i="23"/>
  <c r="R181" i="23" s="1"/>
  <c r="Z164" i="31" s="1"/>
  <c r="P182" i="23"/>
  <c r="R182" i="23" s="1"/>
  <c r="Z165" i="31" s="1"/>
  <c r="P189" i="23"/>
  <c r="R189" i="23" s="1"/>
  <c r="P200" i="23"/>
  <c r="R200" i="23" s="1"/>
  <c r="P211" i="23"/>
  <c r="P212" i="23"/>
  <c r="R212" i="23" s="1"/>
  <c r="Z192" i="31" s="1"/>
  <c r="P213" i="23"/>
  <c r="R213" i="23" s="1"/>
  <c r="Z193" i="31" s="1"/>
  <c r="P222" i="23"/>
  <c r="R222" i="23" s="1"/>
  <c r="P233" i="23"/>
  <c r="R233" i="23" s="1"/>
  <c r="P234" i="23"/>
  <c r="R234" i="23" s="1"/>
  <c r="Z212" i="31" s="1"/>
  <c r="P244" i="23"/>
  <c r="R244" i="23" s="1"/>
  <c r="P255" i="23"/>
  <c r="P266" i="23"/>
  <c r="R266" i="23" s="1"/>
  <c r="P277" i="23"/>
  <c r="R277" i="23" s="1"/>
  <c r="P278" i="23"/>
  <c r="R278" i="23" s="1"/>
  <c r="Z252" i="31" s="1"/>
  <c r="P279" i="23"/>
  <c r="P280" i="23"/>
  <c r="R280" i="23" s="1"/>
  <c r="Z254" i="31" s="1"/>
  <c r="P281" i="23"/>
  <c r="R281" i="23" s="1"/>
  <c r="Z255" i="31" s="1"/>
  <c r="P282" i="23"/>
  <c r="R282" i="23" s="1"/>
  <c r="Z256" i="31" s="1"/>
  <c r="P283" i="23"/>
  <c r="P284" i="23"/>
  <c r="R284" i="23" s="1"/>
  <c r="Z258" i="31" s="1"/>
  <c r="P288" i="23"/>
  <c r="R288" i="23" s="1"/>
  <c r="P299" i="23"/>
  <c r="R299" i="23" s="1"/>
  <c r="P310" i="23"/>
  <c r="R310" i="23" s="1"/>
  <c r="P321" i="23"/>
  <c r="R321" i="23" s="1"/>
  <c r="P322" i="23"/>
  <c r="R322" i="23" s="1"/>
  <c r="Z292" i="31" s="1"/>
  <c r="P323" i="23"/>
  <c r="R323" i="23" s="1"/>
  <c r="Z293" i="31" s="1"/>
  <c r="P332" i="23"/>
  <c r="R332" i="23" s="1"/>
  <c r="P333" i="23"/>
  <c r="R333" i="23" s="1"/>
  <c r="Z302" i="31" s="1"/>
  <c r="P334" i="23"/>
  <c r="R334" i="23" s="1"/>
  <c r="Z303" i="31" s="1"/>
  <c r="P335" i="23"/>
  <c r="R335" i="23" s="1"/>
  <c r="Z304" i="31" s="1"/>
  <c r="P336" i="23"/>
  <c r="R336" i="23" s="1"/>
  <c r="Z305" i="31" s="1"/>
  <c r="P343" i="23"/>
  <c r="P344" i="23"/>
  <c r="R344" i="23" s="1"/>
  <c r="Z312" i="31" s="1"/>
  <c r="P354" i="23"/>
  <c r="R354" i="23" s="1"/>
  <c r="P355" i="23"/>
  <c r="R355" i="23" s="1"/>
  <c r="Z322" i="31" s="1"/>
  <c r="P365" i="23"/>
  <c r="R365" i="23" s="1"/>
  <c r="P376" i="23"/>
  <c r="R376" i="23" s="1"/>
  <c r="P377" i="23"/>
  <c r="R377" i="23" s="1"/>
  <c r="Z342" i="31" s="1"/>
  <c r="P378" i="23"/>
  <c r="R378" i="23" s="1"/>
  <c r="Z343" i="31" s="1"/>
  <c r="P379" i="23"/>
  <c r="R379" i="23" s="1"/>
  <c r="Z344" i="31" s="1"/>
  <c r="P380" i="23"/>
  <c r="R380" i="23" s="1"/>
  <c r="Z345" i="31" s="1"/>
  <c r="P381" i="23"/>
  <c r="R381" i="23" s="1"/>
  <c r="Z346" i="31" s="1"/>
  <c r="P387" i="23"/>
  <c r="R387" i="23" s="1"/>
  <c r="P388" i="23"/>
  <c r="R388" i="23" s="1"/>
  <c r="Z352" i="31" s="1"/>
  <c r="P397" i="23"/>
  <c r="R397" i="23" s="1"/>
  <c r="Z361" i="31" s="1"/>
  <c r="P398" i="23"/>
  <c r="R398" i="23" s="1"/>
  <c r="P399" i="23"/>
  <c r="R399" i="23" s="1"/>
  <c r="Z362" i="31" s="1"/>
  <c r="P400" i="23"/>
  <c r="R400" i="23" s="1"/>
  <c r="Z363" i="31" s="1"/>
  <c r="P409" i="23"/>
  <c r="R409" i="23" s="1"/>
  <c r="P410" i="23"/>
  <c r="R410" i="23" s="1"/>
  <c r="Z372" i="31" s="1"/>
  <c r="P411" i="23"/>
  <c r="R411" i="23" s="1"/>
  <c r="Z373" i="31" s="1"/>
  <c r="P420" i="23"/>
  <c r="R420" i="23" s="1"/>
  <c r="P431" i="23"/>
  <c r="R431" i="23" s="1"/>
  <c r="P432" i="23"/>
  <c r="R432" i="23" s="1"/>
  <c r="Z392" i="31" s="1"/>
  <c r="P433" i="23"/>
  <c r="R433" i="23" s="1"/>
  <c r="Z393" i="31" s="1"/>
  <c r="P434" i="23"/>
  <c r="R434" i="23" s="1"/>
  <c r="Z394" i="31" s="1"/>
  <c r="P442" i="23"/>
  <c r="R442" i="23" s="1"/>
  <c r="P443" i="23"/>
  <c r="P444" i="23"/>
  <c r="R444" i="23" s="1"/>
  <c r="Z403" i="31" s="1"/>
  <c r="P445" i="23"/>
  <c r="R445" i="23" s="1"/>
  <c r="Z404" i="31" s="1"/>
  <c r="P453" i="23"/>
  <c r="R453" i="23" s="1"/>
  <c r="P464" i="23"/>
  <c r="R464" i="23" s="1"/>
  <c r="P475" i="23"/>
  <c r="P486" i="23"/>
  <c r="R486" i="23" s="1"/>
  <c r="P487" i="23"/>
  <c r="P488" i="23"/>
  <c r="R488" i="23" s="1"/>
  <c r="Z443" i="31" s="1"/>
  <c r="P489" i="23"/>
  <c r="R489" i="23" s="1"/>
  <c r="Z444" i="31" s="1"/>
  <c r="P497" i="23"/>
  <c r="P498" i="23"/>
  <c r="R498" i="23" s="1"/>
  <c r="Z452" i="31" s="1"/>
  <c r="P508" i="23"/>
  <c r="R508" i="23" s="1"/>
  <c r="P509" i="23"/>
  <c r="R509" i="23" s="1"/>
  <c r="Z462" i="31" s="1"/>
  <c r="P510" i="23"/>
  <c r="R510" i="23" s="1"/>
  <c r="Z463" i="31" s="1"/>
  <c r="P511" i="23"/>
  <c r="R511" i="23" s="1"/>
  <c r="Z464" i="31" s="1"/>
  <c r="P512" i="23"/>
  <c r="R512" i="23" s="1"/>
  <c r="Z465" i="31" s="1"/>
  <c r="P519" i="23"/>
  <c r="P530" i="23"/>
  <c r="R530" i="23" s="1"/>
  <c r="P531" i="23"/>
  <c r="P541" i="23"/>
  <c r="P552" i="23"/>
  <c r="R552" i="23" s="1"/>
  <c r="P553" i="23"/>
  <c r="R553" i="23" s="1"/>
  <c r="Z502" i="31" s="1"/>
  <c r="P554" i="23"/>
  <c r="R554" i="23" s="1"/>
  <c r="Z503" i="31" s="1"/>
  <c r="P555" i="23"/>
  <c r="R555" i="23" s="1"/>
  <c r="Z504" i="31" s="1"/>
  <c r="P556" i="23"/>
  <c r="R556" i="23" s="1"/>
  <c r="Z505" i="31" s="1"/>
  <c r="P563" i="23"/>
  <c r="R563" i="23" s="1"/>
  <c r="P574" i="23"/>
  <c r="R574" i="23" s="1"/>
  <c r="P575" i="23"/>
  <c r="R575" i="23" s="1"/>
  <c r="Z522" i="31" s="1"/>
  <c r="P585" i="23"/>
  <c r="R585" i="23" s="1"/>
  <c r="P586" i="23"/>
  <c r="R586" i="23" s="1"/>
  <c r="Z532" i="31" s="1"/>
  <c r="P587" i="23"/>
  <c r="R587" i="23" s="1"/>
  <c r="Z533" i="31" s="1"/>
  <c r="P588" i="23"/>
  <c r="R588" i="23" s="1"/>
  <c r="Z534" i="31" s="1"/>
  <c r="P589" i="23"/>
  <c r="R589" i="23" s="1"/>
  <c r="Z535" i="31" s="1"/>
  <c r="P590" i="23"/>
  <c r="R590" i="23" s="1"/>
  <c r="Z536" i="31" s="1"/>
  <c r="P591" i="23"/>
  <c r="R591" i="23" s="1"/>
  <c r="Z537" i="31" s="1"/>
  <c r="P596" i="23"/>
  <c r="R596" i="23" s="1"/>
  <c r="P607" i="23"/>
  <c r="R607" i="23" s="1"/>
  <c r="P618" i="23"/>
  <c r="R618" i="23" s="1"/>
  <c r="P619" i="23"/>
  <c r="R619" i="23" s="1"/>
  <c r="Z562" i="31" s="1"/>
  <c r="P620" i="23"/>
  <c r="R620" i="23" s="1"/>
  <c r="Z563" i="31" s="1"/>
  <c r="P629" i="23"/>
  <c r="R629" i="23" s="1"/>
  <c r="P630" i="23"/>
  <c r="R630" i="23" s="1"/>
  <c r="Z572" i="31" s="1"/>
  <c r="P631" i="23"/>
  <c r="R631" i="23" s="1"/>
  <c r="Z573" i="31" s="1"/>
  <c r="P632" i="23"/>
  <c r="R632" i="23" s="1"/>
  <c r="Z574" i="31" s="1"/>
  <c r="P633" i="23"/>
  <c r="R633" i="23" s="1"/>
  <c r="Z575" i="31" s="1"/>
  <c r="P634" i="23"/>
  <c r="R634" i="23" s="1"/>
  <c r="Z576" i="31" s="1"/>
  <c r="P640" i="23"/>
  <c r="R640" i="23" s="1"/>
  <c r="P641" i="23"/>
  <c r="R641" i="23" s="1"/>
  <c r="Z582" i="31" s="1"/>
  <c r="P642" i="23"/>
  <c r="R642" i="23" s="1"/>
  <c r="Z583" i="31" s="1"/>
  <c r="P643" i="23"/>
  <c r="R643" i="23" s="1"/>
  <c r="Z584" i="31" s="1"/>
  <c r="P644" i="23"/>
  <c r="R644" i="23" s="1"/>
  <c r="Z585" i="31" s="1"/>
  <c r="P651" i="23"/>
  <c r="R651" i="23" s="1"/>
  <c r="P652" i="23"/>
  <c r="R652" i="23" s="1"/>
  <c r="Z592" i="31" s="1"/>
  <c r="P653" i="23"/>
  <c r="R653" i="23" s="1"/>
  <c r="Z593" i="31" s="1"/>
  <c r="P654" i="23"/>
  <c r="R654" i="23" s="1"/>
  <c r="Z594" i="31" s="1"/>
  <c r="P655" i="23"/>
  <c r="R655" i="23" s="1"/>
  <c r="Z595" i="31" s="1"/>
  <c r="P656" i="23"/>
  <c r="R656" i="23" s="1"/>
  <c r="Z596" i="31" s="1"/>
  <c r="P662" i="23"/>
  <c r="R662" i="23" s="1"/>
  <c r="P673" i="23"/>
  <c r="R673" i="23" s="1"/>
  <c r="P674" i="23"/>
  <c r="R674" i="23" s="1"/>
  <c r="Z612" i="31" s="1"/>
  <c r="P675" i="23"/>
  <c r="R675" i="23" s="1"/>
  <c r="Z613" i="31" s="1"/>
  <c r="P676" i="23"/>
  <c r="R676" i="23" s="1"/>
  <c r="Z614" i="31" s="1"/>
  <c r="P684" i="23"/>
  <c r="R684" i="23" s="1"/>
  <c r="P695" i="23"/>
  <c r="R695" i="23" s="1"/>
  <c r="P696" i="23"/>
  <c r="R696" i="23" s="1"/>
  <c r="Z632" i="31" s="1"/>
  <c r="P697" i="23"/>
  <c r="R697" i="23" s="1"/>
  <c r="Z633" i="31" s="1"/>
  <c r="P706" i="23"/>
  <c r="R706" i="23" s="1"/>
  <c r="P707" i="23"/>
  <c r="R707" i="23" s="1"/>
  <c r="Z642" i="31" s="1"/>
  <c r="P708" i="23"/>
  <c r="R708" i="23" s="1"/>
  <c r="Z643" i="31" s="1"/>
  <c r="P709" i="23"/>
  <c r="R709" i="23" s="1"/>
  <c r="Z644" i="31" s="1"/>
  <c r="P710" i="23"/>
  <c r="P711" i="23"/>
  <c r="R711" i="23" s="1"/>
  <c r="Z646" i="31" s="1"/>
  <c r="P712" i="23"/>
  <c r="R712" i="23" s="1"/>
  <c r="Z647" i="31" s="1"/>
  <c r="P713" i="23"/>
  <c r="R713" i="23" s="1"/>
  <c r="Z648" i="31" s="1"/>
  <c r="P717" i="23"/>
  <c r="R717" i="23" s="1"/>
  <c r="P727" i="23"/>
  <c r="R727" i="23" s="1"/>
  <c r="Z661" i="31" s="1"/>
  <c r="P728" i="23"/>
  <c r="R728" i="23" s="1"/>
  <c r="P739" i="23"/>
  <c r="R739" i="23" s="1"/>
  <c r="P750" i="23"/>
  <c r="R750" i="23" s="1"/>
  <c r="P751" i="23"/>
  <c r="R751" i="23" s="1"/>
  <c r="Z682" i="31" s="1"/>
  <c r="P752" i="23"/>
  <c r="R752" i="23" s="1"/>
  <c r="Z683" i="31" s="1"/>
  <c r="P761" i="23"/>
  <c r="R761" i="23" s="1"/>
  <c r="P772" i="23"/>
  <c r="R772" i="23" s="1"/>
  <c r="P783" i="23"/>
  <c r="R783" i="23" s="1"/>
  <c r="P794" i="23"/>
  <c r="R794" i="23" s="1"/>
  <c r="P795" i="23"/>
  <c r="R795" i="23" s="1"/>
  <c r="Z722" i="31" s="1"/>
  <c r="P796" i="23"/>
  <c r="R796" i="23" s="1"/>
  <c r="Z723" i="31" s="1"/>
  <c r="P797" i="23"/>
  <c r="P798" i="23"/>
  <c r="R798" i="23" s="1"/>
  <c r="Z725" i="31" s="1"/>
  <c r="P805" i="23"/>
  <c r="R805" i="23" s="1"/>
  <c r="P816" i="23"/>
  <c r="R816" i="23" s="1"/>
  <c r="P817" i="23"/>
  <c r="R817" i="23" s="1"/>
  <c r="Z742" i="31" s="1"/>
  <c r="P818" i="23"/>
  <c r="R818" i="23" s="1"/>
  <c r="Z743" i="31" s="1"/>
  <c r="P819" i="23"/>
  <c r="R819" i="23" s="1"/>
  <c r="Z744" i="31" s="1"/>
  <c r="P820" i="23"/>
  <c r="R820" i="23" s="1"/>
  <c r="Z745" i="31" s="1"/>
  <c r="P821" i="23"/>
  <c r="R821" i="23" s="1"/>
  <c r="Z746" i="31" s="1"/>
  <c r="P822" i="23"/>
  <c r="R822" i="23" s="1"/>
  <c r="Z747" i="31" s="1"/>
  <c r="P823" i="23"/>
  <c r="R823" i="23" s="1"/>
  <c r="Z748" i="31" s="1"/>
  <c r="P824" i="23"/>
  <c r="R824" i="23" s="1"/>
  <c r="Z749" i="31" s="1"/>
  <c r="P825" i="23"/>
  <c r="R825" i="23" s="1"/>
  <c r="Z750" i="31" s="1"/>
  <c r="P826" i="23"/>
  <c r="R826" i="23" s="1"/>
  <c r="Z751" i="31" s="1"/>
  <c r="P827" i="23"/>
  <c r="R827" i="23" s="1"/>
  <c r="P828" i="23"/>
  <c r="R828" i="23" s="1"/>
  <c r="Z752" i="31" s="1"/>
  <c r="P829" i="23"/>
  <c r="R829" i="23" s="1"/>
  <c r="Z753" i="31" s="1"/>
  <c r="P830" i="23"/>
  <c r="R830" i="23" s="1"/>
  <c r="Z754" i="31" s="1"/>
  <c r="P831" i="23"/>
  <c r="R831" i="23" s="1"/>
  <c r="Z755" i="31" s="1"/>
  <c r="P838" i="23"/>
  <c r="R838" i="23" s="1"/>
  <c r="P839" i="23"/>
  <c r="R839" i="23" s="1"/>
  <c r="Z762" i="31" s="1"/>
  <c r="P840" i="23"/>
  <c r="R840" i="23" s="1"/>
  <c r="Z763" i="31" s="1"/>
  <c r="P841" i="23"/>
  <c r="R841" i="23" s="1"/>
  <c r="Z764" i="31" s="1"/>
  <c r="P849" i="23"/>
  <c r="R849" i="23" s="1"/>
  <c r="P860" i="23"/>
  <c r="R860" i="23" s="1"/>
  <c r="P871" i="23"/>
  <c r="R871" i="23" s="1"/>
  <c r="P882" i="23"/>
  <c r="R882" i="23" s="1"/>
  <c r="P883" i="23"/>
  <c r="R883" i="23" s="1"/>
  <c r="Z802" i="31" s="1"/>
  <c r="P884" i="23"/>
  <c r="R884" i="23" s="1"/>
  <c r="Z803" i="31" s="1"/>
  <c r="P885" i="23"/>
  <c r="R885" i="23" s="1"/>
  <c r="Z804" i="31" s="1"/>
  <c r="P893" i="23"/>
  <c r="R893" i="23" s="1"/>
  <c r="P894" i="23"/>
  <c r="R894" i="23" s="1"/>
  <c r="Z812" i="31" s="1"/>
  <c r="P895" i="23"/>
  <c r="P896" i="23"/>
  <c r="R896" i="23" s="1"/>
  <c r="Z814" i="31" s="1"/>
  <c r="P897" i="23"/>
  <c r="R897" i="23" s="1"/>
  <c r="Z815" i="31" s="1"/>
  <c r="P898" i="23"/>
  <c r="R898" i="23" s="1"/>
  <c r="Z816" i="31" s="1"/>
  <c r="P904" i="23"/>
  <c r="R904" i="23" s="1"/>
  <c r="P915" i="23"/>
  <c r="R915" i="23" s="1"/>
  <c r="P926" i="23"/>
  <c r="R926" i="23" s="1"/>
  <c r="P937" i="23"/>
  <c r="R937" i="23" s="1"/>
  <c r="P938" i="23"/>
  <c r="R938" i="23" s="1"/>
  <c r="Z852" i="31" s="1"/>
  <c r="P948" i="23"/>
  <c r="R948" i="23" s="1"/>
  <c r="P949" i="23"/>
  <c r="R949" i="23" s="1"/>
  <c r="Z862" i="31" s="1"/>
  <c r="P950" i="23"/>
  <c r="R950" i="23" s="1"/>
  <c r="Z863" i="31" s="1"/>
  <c r="P951" i="23"/>
  <c r="P952" i="23"/>
  <c r="R952" i="23" s="1"/>
  <c r="Z865" i="31" s="1"/>
  <c r="P953" i="23"/>
  <c r="R953" i="23" s="1"/>
  <c r="Z866" i="31" s="1"/>
  <c r="P954" i="23"/>
  <c r="R954" i="23" s="1"/>
  <c r="Z867" i="31" s="1"/>
  <c r="P955" i="23"/>
  <c r="P956" i="23"/>
  <c r="R956" i="23" s="1"/>
  <c r="Z869" i="31" s="1"/>
  <c r="P957" i="23"/>
  <c r="R957" i="23" s="1"/>
  <c r="Z870" i="31" s="1"/>
  <c r="P958" i="23"/>
  <c r="R958" i="23" s="1"/>
  <c r="Z871" i="31" s="1"/>
  <c r="P959" i="23"/>
  <c r="P960" i="23"/>
  <c r="R960" i="23" s="1"/>
  <c r="Z872" i="31" s="1"/>
  <c r="P961" i="23"/>
  <c r="R961" i="23" s="1"/>
  <c r="Z873" i="31" s="1"/>
  <c r="P962" i="23"/>
  <c r="R962" i="23" s="1"/>
  <c r="Z874" i="31" s="1"/>
  <c r="P963" i="23"/>
  <c r="P964" i="23"/>
  <c r="R964" i="23" s="1"/>
  <c r="Z876" i="31" s="1"/>
  <c r="P965" i="23"/>
  <c r="R965" i="23" s="1"/>
  <c r="Z877" i="31" s="1"/>
  <c r="P966" i="23"/>
  <c r="R966" i="23" s="1"/>
  <c r="Z878" i="31" s="1"/>
  <c r="P967" i="23"/>
  <c r="P968" i="23"/>
  <c r="R968" i="23" s="1"/>
  <c r="Z880" i="31" s="1"/>
  <c r="P969" i="23"/>
  <c r="R969" i="23" s="1"/>
  <c r="Z881" i="31" s="1"/>
  <c r="P970" i="23"/>
  <c r="R970" i="23" s="1"/>
  <c r="P981" i="23"/>
  <c r="R981" i="23" s="1"/>
  <c r="P992" i="23"/>
  <c r="R992" i="23" s="1"/>
  <c r="P1003" i="23"/>
  <c r="R1003" i="23" s="1"/>
  <c r="P1014" i="23"/>
  <c r="R1014" i="23" s="1"/>
  <c r="P1025" i="23"/>
  <c r="R1025" i="23" s="1"/>
  <c r="P1036" i="23"/>
  <c r="R1036" i="23" s="1"/>
  <c r="P1037" i="23"/>
  <c r="R1037" i="23" s="1"/>
  <c r="Z942" i="31" s="1"/>
  <c r="P1038" i="23"/>
  <c r="R1038" i="23" s="1"/>
  <c r="Z943" i="31" s="1"/>
  <c r="P1039" i="23"/>
  <c r="P1040" i="23"/>
  <c r="R1040" i="23" s="1"/>
  <c r="Z945" i="31" s="1"/>
  <c r="P1047" i="23"/>
  <c r="R1047" i="23" s="1"/>
  <c r="P1058" i="23"/>
  <c r="R1058" i="23" s="1"/>
  <c r="P1059" i="23"/>
  <c r="R1059" i="23" s="1"/>
  <c r="Z962" i="31" s="1"/>
  <c r="P1060" i="23"/>
  <c r="R1060" i="23" s="1"/>
  <c r="Z963" i="31" s="1"/>
  <c r="P1069" i="23"/>
  <c r="R1069" i="23" s="1"/>
  <c r="P1070" i="23"/>
  <c r="R1070" i="23" s="1"/>
  <c r="Z972" i="31" s="1"/>
  <c r="P1071" i="23"/>
  <c r="R1071" i="23" s="1"/>
  <c r="Z973" i="31" s="1"/>
  <c r="P1080" i="23"/>
  <c r="R1080" i="23" s="1"/>
  <c r="P1081" i="23"/>
  <c r="R1081" i="23" s="1"/>
  <c r="Z982" i="31" s="1"/>
  <c r="P1082" i="23"/>
  <c r="R1082" i="23" s="1"/>
  <c r="Z983" i="31" s="1"/>
  <c r="P1083" i="23"/>
  <c r="R1083" i="23" s="1"/>
  <c r="Z984" i="31" s="1"/>
  <c r="P1084" i="23"/>
  <c r="R1084" i="23" s="1"/>
  <c r="Z985" i="31" s="1"/>
  <c r="P1085" i="23"/>
  <c r="R1085" i="23" s="1"/>
  <c r="Z986" i="31" s="1"/>
  <c r="P1086" i="23"/>
  <c r="R1086" i="23" s="1"/>
  <c r="Z987" i="31" s="1"/>
  <c r="P1091" i="23"/>
  <c r="P1102" i="23"/>
  <c r="R1102" i="23" s="1"/>
  <c r="P1113" i="23"/>
  <c r="R1113" i="23" s="1"/>
  <c r="P1124" i="23"/>
  <c r="R1124" i="23" s="1"/>
  <c r="P1135" i="23"/>
  <c r="R1135" i="23" s="1"/>
  <c r="P1146" i="23"/>
  <c r="R1146" i="23" s="1"/>
  <c r="P1147" i="23"/>
  <c r="R1147" i="23" s="1"/>
  <c r="Z1042" i="31" s="1"/>
  <c r="P1157" i="23"/>
  <c r="R1157" i="23" s="1"/>
  <c r="P1168" i="23"/>
  <c r="R1168" i="23" s="1"/>
  <c r="P1169" i="23"/>
  <c r="R1169" i="23" s="1"/>
  <c r="Z1062" i="31" s="1"/>
  <c r="P1170" i="23"/>
  <c r="R1170" i="23" s="1"/>
  <c r="Z1063" i="31" s="1"/>
  <c r="P1171" i="23"/>
  <c r="P1172" i="23"/>
  <c r="R1172" i="23" s="1"/>
  <c r="Z1065" i="31" s="1"/>
  <c r="P1179" i="23"/>
  <c r="R1179" i="23" s="1"/>
  <c r="P1190" i="23"/>
  <c r="R1190" i="23" s="1"/>
  <c r="P1201" i="23"/>
  <c r="R1201" i="23" s="1"/>
  <c r="P1212" i="23"/>
  <c r="R1212" i="23" s="1"/>
  <c r="P1223" i="23"/>
  <c r="R1223" i="23" s="1"/>
  <c r="P1234" i="23"/>
  <c r="R1234" i="23" s="1"/>
  <c r="P1235" i="23"/>
  <c r="R1235" i="23" s="1"/>
  <c r="Z1122" i="31" s="1"/>
  <c r="P1236" i="23"/>
  <c r="R1236" i="23" s="1"/>
  <c r="Z1123" i="31" s="1"/>
  <c r="P1237" i="23"/>
  <c r="R1237" i="23" s="1"/>
  <c r="Z1124" i="31" s="1"/>
  <c r="P1245" i="23"/>
  <c r="R1245" i="23" s="1"/>
  <c r="P1256" i="23"/>
  <c r="R1256" i="23" s="1"/>
  <c r="P1257" i="23"/>
  <c r="R1257" i="23" s="1"/>
  <c r="Z1142" i="31" s="1"/>
  <c r="P1258" i="23"/>
  <c r="R1258" i="23" s="1"/>
  <c r="Z1143" i="31" s="1"/>
  <c r="P1259" i="23"/>
  <c r="R1259" i="23" s="1"/>
  <c r="Z1144" i="31" s="1"/>
  <c r="P1260" i="23"/>
  <c r="R1260" i="23" s="1"/>
  <c r="Z1145" i="31" s="1"/>
  <c r="P1261" i="23"/>
  <c r="R1261" i="23" s="1"/>
  <c r="Z1146" i="31" s="1"/>
  <c r="P1262" i="23"/>
  <c r="R1262" i="23" s="1"/>
  <c r="Z1147" i="31" s="1"/>
  <c r="P1263" i="23"/>
  <c r="R1263" i="23" s="1"/>
  <c r="Z1148" i="31" s="1"/>
  <c r="P1267" i="23"/>
  <c r="R1267" i="23" s="1"/>
  <c r="P1278" i="23"/>
  <c r="R1278" i="23" s="1"/>
  <c r="P1289" i="23"/>
  <c r="R1289" i="23" s="1"/>
  <c r="P1290" i="23"/>
  <c r="R1290" i="23" s="1"/>
  <c r="Z1172" i="31" s="1"/>
  <c r="P1291" i="23"/>
  <c r="R1291" i="23" s="1"/>
  <c r="Z1173" i="31" s="1"/>
  <c r="P1292" i="23"/>
  <c r="R1292" i="23" s="1"/>
  <c r="Z1174" i="31" s="1"/>
  <c r="P1300" i="23"/>
  <c r="R1300" i="23" s="1"/>
  <c r="P1310" i="23"/>
  <c r="R1310" i="23" s="1"/>
  <c r="Z1191" i="31" s="1"/>
  <c r="P1311" i="23"/>
  <c r="R1311" i="23" s="1"/>
  <c r="P1322" i="23"/>
  <c r="R1322" i="23" s="1"/>
  <c r="P1333" i="23"/>
  <c r="R1333" i="23" s="1"/>
  <c r="P1334" i="23"/>
  <c r="R1334" i="23" s="1"/>
  <c r="Z1212" i="31" s="1"/>
  <c r="P1335" i="23"/>
  <c r="P1336" i="23"/>
  <c r="R1336" i="23" s="1"/>
  <c r="Z1214" i="31" s="1"/>
  <c r="P1337" i="23"/>
  <c r="R1337" i="23" s="1"/>
  <c r="Z1215" i="31" s="1"/>
  <c r="P1338" i="23"/>
  <c r="R1338" i="23" s="1"/>
  <c r="Z1216" i="31" s="1"/>
  <c r="P1339" i="23"/>
  <c r="P1340" i="23"/>
  <c r="R1340" i="23" s="1"/>
  <c r="Z1218" i="31" s="1"/>
  <c r="P1341" i="23"/>
  <c r="R1341" i="23" s="1"/>
  <c r="Z1219" i="31" s="1"/>
  <c r="P1342" i="23"/>
  <c r="R1342" i="23" s="1"/>
  <c r="Z1220" i="31" s="1"/>
  <c r="P1343" i="23"/>
  <c r="P1344" i="23"/>
  <c r="R1344" i="23" s="1"/>
  <c r="P1345" i="23"/>
  <c r="R1345" i="23" s="1"/>
  <c r="Z1222" i="31" s="1"/>
  <c r="P1346" i="23"/>
  <c r="R1346" i="23" s="1"/>
  <c r="Z1223" i="31" s="1"/>
  <c r="P1347" i="23"/>
  <c r="P1348" i="23"/>
  <c r="R1348" i="23" s="1"/>
  <c r="Z1225" i="31" s="1"/>
  <c r="P1355" i="23"/>
  <c r="R1355" i="23" s="1"/>
  <c r="P1366" i="23"/>
  <c r="R1366" i="23" s="1"/>
  <c r="P1367" i="23"/>
  <c r="R1367" i="23" s="1"/>
  <c r="Z1242" i="31" s="1"/>
  <c r="P1368" i="23"/>
  <c r="R1368" i="23" s="1"/>
  <c r="Z1243" i="31" s="1"/>
  <c r="P1369" i="23"/>
  <c r="R1369" i="23" s="1"/>
  <c r="Z1244" i="31" s="1"/>
  <c r="P1370" i="23"/>
  <c r="R1370" i="23" s="1"/>
  <c r="Z1245" i="31" s="1"/>
  <c r="P1371" i="23"/>
  <c r="R1371" i="23" s="1"/>
  <c r="Z1246" i="31" s="1"/>
  <c r="P1372" i="23"/>
  <c r="R1372" i="23" s="1"/>
  <c r="Z1247" i="31" s="1"/>
  <c r="P1373" i="23"/>
  <c r="R1373" i="23" s="1"/>
  <c r="Z1248" i="31" s="1"/>
  <c r="P1374" i="23"/>
  <c r="R1374" i="23" s="1"/>
  <c r="Z1249" i="31" s="1"/>
  <c r="P1375" i="23"/>
  <c r="R1375" i="23" s="1"/>
  <c r="Z1250" i="31" s="1"/>
  <c r="P1376" i="23"/>
  <c r="R1376" i="23" s="1"/>
  <c r="Z1251" i="31" s="1"/>
  <c r="P1377" i="23"/>
  <c r="R1377" i="23" s="1"/>
  <c r="P1378" i="23"/>
  <c r="R1378" i="23" s="1"/>
  <c r="Z1252" i="31" s="1"/>
  <c r="P1388" i="23"/>
  <c r="R1388" i="23" s="1"/>
  <c r="P1389" i="23"/>
  <c r="R1389" i="23" s="1"/>
  <c r="Z1262" i="31" s="1"/>
  <c r="P1399" i="23"/>
  <c r="R1399" i="23" s="1"/>
  <c r="P1400" i="23"/>
  <c r="R1400" i="23" s="1"/>
  <c r="Z1272" i="31" s="1"/>
  <c r="P1401" i="23"/>
  <c r="R1401" i="23" s="1"/>
  <c r="Z1273" i="31" s="1"/>
  <c r="P1402" i="23"/>
  <c r="R1402" i="23" s="1"/>
  <c r="Z1274" i="31" s="1"/>
  <c r="P1410" i="23"/>
  <c r="R1410" i="23" s="1"/>
  <c r="P1421" i="23"/>
  <c r="R1421" i="23" s="1"/>
  <c r="P1422" i="23"/>
  <c r="R1422" i="23" s="1"/>
  <c r="Z1292" i="31" s="1"/>
  <c r="P1423" i="23"/>
  <c r="R1423" i="23" s="1"/>
  <c r="Z1293" i="31" s="1"/>
  <c r="P1424" i="23"/>
  <c r="R1424" i="23" s="1"/>
  <c r="Z1294" i="31" s="1"/>
  <c r="P1425" i="23"/>
  <c r="R1425" i="23" s="1"/>
  <c r="Z1295" i="31" s="1"/>
  <c r="P1432" i="23"/>
  <c r="R1432" i="23" s="1"/>
  <c r="P1443" i="23"/>
  <c r="R1443" i="23" s="1"/>
  <c r="P1444" i="23"/>
  <c r="R1444" i="23" s="1"/>
  <c r="Z1312" i="31" s="1"/>
  <c r="P1454" i="23"/>
  <c r="R1454" i="23" s="1"/>
  <c r="P1465" i="23"/>
  <c r="R1465" i="23" s="1"/>
  <c r="P1466" i="23"/>
  <c r="R1466" i="23" s="1"/>
  <c r="Z1332" i="31" s="1"/>
  <c r="P1467" i="23"/>
  <c r="P1468" i="23"/>
  <c r="R1468" i="23" s="1"/>
  <c r="Z1334" i="31" s="1"/>
  <c r="P1469" i="23"/>
  <c r="R1469" i="23" s="1"/>
  <c r="Z1335" i="31" s="1"/>
  <c r="P1470" i="23"/>
  <c r="R1470" i="23" s="1"/>
  <c r="Z1336" i="31" s="1"/>
  <c r="P1476" i="23"/>
  <c r="P1477" i="23"/>
  <c r="R1477" i="23" s="1"/>
  <c r="Z1342" i="31" s="1"/>
  <c r="P1478" i="23"/>
  <c r="R1478" i="23" s="1"/>
  <c r="Z1343" i="31" s="1"/>
  <c r="P1479" i="23"/>
  <c r="R1479" i="23" s="1"/>
  <c r="Z1344" i="31" s="1"/>
  <c r="P1480" i="23"/>
  <c r="R1480" i="23" s="1"/>
  <c r="Z1345" i="31" s="1"/>
  <c r="P1481" i="23"/>
  <c r="R1481" i="23" s="1"/>
  <c r="Z1346" i="31" s="1"/>
  <c r="P1487" i="23"/>
  <c r="R1487" i="23" s="1"/>
  <c r="P1488" i="23"/>
  <c r="R1488" i="23" s="1"/>
  <c r="Z1352" i="31" s="1"/>
  <c r="P1489" i="23"/>
  <c r="R1489" i="23" s="1"/>
  <c r="Z1353" i="31" s="1"/>
  <c r="P1490" i="23"/>
  <c r="R1490" i="23" s="1"/>
  <c r="Z1354" i="31" s="1"/>
  <c r="P1491" i="23"/>
  <c r="R1491" i="23" s="1"/>
  <c r="Z1355" i="31" s="1"/>
  <c r="P1492" i="23"/>
  <c r="R1492" i="23" s="1"/>
  <c r="Z1356" i="31" s="1"/>
  <c r="P1493" i="23"/>
  <c r="R1493" i="23" s="1"/>
  <c r="Z1357" i="31" s="1"/>
  <c r="P1494" i="23"/>
  <c r="R1494" i="23" s="1"/>
  <c r="Z1358" i="31" s="1"/>
  <c r="P1498" i="23"/>
  <c r="R1498" i="23" s="1"/>
  <c r="P1499" i="23"/>
  <c r="R1499" i="23" s="1"/>
  <c r="Z1362" i="31" s="1"/>
  <c r="P1509" i="23"/>
  <c r="R1509" i="23" s="1"/>
  <c r="P1510" i="23"/>
  <c r="R1510" i="23" s="1"/>
  <c r="Z1372" i="31" s="1"/>
  <c r="P1511" i="23"/>
  <c r="P1512" i="23"/>
  <c r="R1512" i="23" s="1"/>
  <c r="Z1374" i="31" s="1"/>
  <c r="P1513" i="23"/>
  <c r="R1513" i="23" s="1"/>
  <c r="Z1375" i="31" s="1"/>
  <c r="P1514" i="23"/>
  <c r="R1514" i="23" s="1"/>
  <c r="Z1376" i="31" s="1"/>
  <c r="P1515" i="23"/>
  <c r="P1516" i="23"/>
  <c r="R1516" i="23" s="1"/>
  <c r="Z1378" i="31" s="1"/>
  <c r="P1517" i="23"/>
  <c r="R1517" i="23" s="1"/>
  <c r="Z1379" i="31" s="1"/>
  <c r="P1518" i="23"/>
  <c r="P1520" i="23"/>
  <c r="R1520" i="23" s="1"/>
  <c r="P1531" i="23"/>
  <c r="P1542" i="23"/>
  <c r="R1542" i="23" s="1"/>
  <c r="P1545" i="23"/>
  <c r="R1545" i="23" s="1"/>
  <c r="Z1404" i="31" s="1"/>
  <c r="P1553" i="23"/>
  <c r="R1553" i="23" s="1"/>
  <c r="P1554" i="23"/>
  <c r="R1554" i="23" s="1"/>
  <c r="Z1412" i="31" s="1"/>
  <c r="P1555" i="23"/>
  <c r="R1555" i="23" s="1"/>
  <c r="Z1413" i="31" s="1"/>
  <c r="P1557" i="23"/>
  <c r="R1557" i="23" s="1"/>
  <c r="Z1415" i="31" s="1"/>
  <c r="P1564" i="23"/>
  <c r="R1564" i="23" s="1"/>
  <c r="P1565" i="23"/>
  <c r="R1565" i="23" s="1"/>
  <c r="Z1422" i="31" s="1"/>
  <c r="P1566" i="23"/>
  <c r="R1566" i="23" s="1"/>
  <c r="Z1423" i="31" s="1"/>
  <c r="P1567" i="23"/>
  <c r="P1568" i="23"/>
  <c r="R1568" i="23" s="1"/>
  <c r="Z1425" i="31" s="1"/>
  <c r="P1569" i="23"/>
  <c r="R1569" i="23" s="1"/>
  <c r="Z1426" i="31" s="1"/>
  <c r="P1570" i="23"/>
  <c r="R1570" i="23" s="1"/>
  <c r="Z1427" i="31" s="1"/>
  <c r="P1571" i="23"/>
  <c r="P1572" i="23"/>
  <c r="R1572" i="23" s="1"/>
  <c r="Z1429" i="31" s="1"/>
  <c r="P1573" i="23"/>
  <c r="R1573" i="23" s="1"/>
  <c r="Z1430" i="31" s="1"/>
  <c r="P1574" i="23"/>
  <c r="R1574" i="23" s="1"/>
  <c r="Z1431" i="31" s="1"/>
  <c r="P1575" i="23"/>
  <c r="P1576" i="23"/>
  <c r="R1576" i="23" s="1"/>
  <c r="Z1432" i="31" s="1"/>
  <c r="P1577" i="23"/>
  <c r="R1577" i="23" s="1"/>
  <c r="Z1433" i="31" s="1"/>
  <c r="P1586" i="23"/>
  <c r="R1586" i="23" s="1"/>
  <c r="P1590" i="23"/>
  <c r="R1590" i="23" s="1"/>
  <c r="Z1445" i="31" s="1"/>
  <c r="P1591" i="23"/>
  <c r="R1591" i="23" s="1"/>
  <c r="Z1446" i="31" s="1"/>
  <c r="P1592" i="23"/>
  <c r="P1593" i="23"/>
  <c r="R1593" i="23" s="1"/>
  <c r="Z1448" i="31" s="1"/>
  <c r="P1594" i="23"/>
  <c r="R1594" i="23" s="1"/>
  <c r="Z1449" i="31" s="1"/>
  <c r="P1595" i="23"/>
  <c r="R1595" i="23" s="1"/>
  <c r="Z1450" i="31" s="1"/>
  <c r="P1596" i="23"/>
  <c r="P1597" i="23"/>
  <c r="R1597" i="23" s="1"/>
  <c r="P1598" i="23"/>
  <c r="R1598" i="23" s="1"/>
  <c r="Z1452" i="31" s="1"/>
  <c r="P1599" i="23"/>
  <c r="R1599" i="23" s="1"/>
  <c r="Z1453" i="31" s="1"/>
  <c r="P1600" i="23"/>
  <c r="P1601" i="23"/>
  <c r="R1601" i="23" s="1"/>
  <c r="Z1455" i="31" s="1"/>
  <c r="P1602" i="23"/>
  <c r="R1602" i="23" s="1"/>
  <c r="Z1456" i="31" s="1"/>
  <c r="P1603" i="23"/>
  <c r="R1603" i="23" s="1"/>
  <c r="Z1457" i="31" s="1"/>
  <c r="P1604" i="23"/>
  <c r="P1605" i="23"/>
  <c r="R1605" i="23" s="1"/>
  <c r="Z1459" i="31" s="1"/>
  <c r="P1606" i="23"/>
  <c r="R1606" i="23" s="1"/>
  <c r="Z1460" i="31" s="1"/>
  <c r="P1607" i="23"/>
  <c r="R1607" i="23" s="1"/>
  <c r="Z1461" i="31" s="1"/>
  <c r="P1608" i="23"/>
  <c r="P1619" i="23"/>
  <c r="R1619" i="23" s="1"/>
  <c r="O431" i="23"/>
  <c r="O751" i="23"/>
  <c r="Y682" i="31" s="1"/>
  <c r="N596" i="23"/>
  <c r="N818" i="23"/>
  <c r="N1586" i="23"/>
  <c r="M3" i="23"/>
  <c r="M4" i="23"/>
  <c r="M5" i="23"/>
  <c r="O5" i="23" s="1"/>
  <c r="Y4" i="31" s="1"/>
  <c r="M6" i="23"/>
  <c r="M7" i="23"/>
  <c r="M8" i="23"/>
  <c r="M9" i="23"/>
  <c r="O9" i="23" s="1"/>
  <c r="Y8" i="31" s="1"/>
  <c r="M10" i="23"/>
  <c r="M11" i="23"/>
  <c r="M12" i="23"/>
  <c r="M13" i="23"/>
  <c r="O13" i="23" s="1"/>
  <c r="M24" i="23"/>
  <c r="M35" i="23"/>
  <c r="O35" i="23" s="1"/>
  <c r="M36" i="23"/>
  <c r="M37" i="23"/>
  <c r="M38" i="23"/>
  <c r="M39" i="23"/>
  <c r="O39" i="23" s="1"/>
  <c r="Y35" i="31" s="1"/>
  <c r="M40" i="23"/>
  <c r="M41" i="23"/>
  <c r="M42" i="23"/>
  <c r="M46" i="23"/>
  <c r="M47" i="23"/>
  <c r="M56" i="23"/>
  <c r="M57" i="23"/>
  <c r="M58" i="23"/>
  <c r="M68" i="23"/>
  <c r="O68" i="23" s="1"/>
  <c r="M79" i="23"/>
  <c r="M90" i="23"/>
  <c r="M101" i="23"/>
  <c r="M112" i="23"/>
  <c r="O112" i="23" s="1"/>
  <c r="M113" i="23"/>
  <c r="M114" i="23"/>
  <c r="M115" i="23"/>
  <c r="M116" i="23"/>
  <c r="O116" i="23" s="1"/>
  <c r="Y105" i="31" s="1"/>
  <c r="M117" i="23"/>
  <c r="M123" i="23"/>
  <c r="M124" i="23"/>
  <c r="M125" i="23"/>
  <c r="M126" i="23"/>
  <c r="M128" i="23"/>
  <c r="M131" i="23"/>
  <c r="M132" i="23"/>
  <c r="M134" i="23"/>
  <c r="M145" i="23"/>
  <c r="M146" i="23"/>
  <c r="M147" i="23"/>
  <c r="M148" i="23"/>
  <c r="M149" i="23"/>
  <c r="M150" i="23"/>
  <c r="M151" i="23"/>
  <c r="M152" i="23"/>
  <c r="M153" i="23"/>
  <c r="M154" i="23"/>
  <c r="M156" i="23"/>
  <c r="M157" i="23"/>
  <c r="M158" i="23"/>
  <c r="M167" i="23"/>
  <c r="M178" i="23"/>
  <c r="O178" i="23" s="1"/>
  <c r="M179" i="23"/>
  <c r="M180" i="23"/>
  <c r="M181" i="23"/>
  <c r="M182" i="23"/>
  <c r="O182" i="23" s="1"/>
  <c r="Y165" i="31" s="1"/>
  <c r="M189" i="23"/>
  <c r="M200" i="23"/>
  <c r="M211" i="23"/>
  <c r="M212" i="23"/>
  <c r="M213" i="23"/>
  <c r="M222" i="23"/>
  <c r="M233" i="23"/>
  <c r="M234" i="23"/>
  <c r="M244" i="23"/>
  <c r="M255" i="23"/>
  <c r="M266" i="23"/>
  <c r="M277" i="23"/>
  <c r="M278" i="23"/>
  <c r="M279" i="23"/>
  <c r="M280" i="23"/>
  <c r="M281" i="23"/>
  <c r="M282" i="23"/>
  <c r="M283" i="23"/>
  <c r="M284" i="23"/>
  <c r="M288" i="23"/>
  <c r="M299" i="23"/>
  <c r="M310" i="23"/>
  <c r="M321" i="23"/>
  <c r="M322" i="23"/>
  <c r="M323" i="23"/>
  <c r="M332" i="23"/>
  <c r="M333" i="23"/>
  <c r="M334" i="23"/>
  <c r="M335" i="23"/>
  <c r="O335" i="23" s="1"/>
  <c r="Y304" i="31" s="1"/>
  <c r="M336" i="23"/>
  <c r="M343" i="23"/>
  <c r="M344" i="23"/>
  <c r="M354" i="23"/>
  <c r="M355" i="23"/>
  <c r="M365" i="23"/>
  <c r="M376" i="23"/>
  <c r="M377" i="23"/>
  <c r="M378" i="23"/>
  <c r="M379" i="23"/>
  <c r="O379" i="23" s="1"/>
  <c r="Y344" i="31" s="1"/>
  <c r="M380" i="23"/>
  <c r="M381" i="23"/>
  <c r="M387" i="23"/>
  <c r="M388" i="23"/>
  <c r="M397" i="23"/>
  <c r="M398" i="23"/>
  <c r="M399" i="23"/>
  <c r="O399" i="23" s="1"/>
  <c r="Y362" i="31" s="1"/>
  <c r="M400" i="23"/>
  <c r="M409" i="23"/>
  <c r="M410" i="23"/>
  <c r="M411" i="23"/>
  <c r="M420" i="23"/>
  <c r="M431" i="23"/>
  <c r="M432" i="23"/>
  <c r="M433" i="23"/>
  <c r="M434" i="23"/>
  <c r="M442" i="23"/>
  <c r="M443" i="23"/>
  <c r="M444" i="23"/>
  <c r="M445" i="23"/>
  <c r="M453" i="23"/>
  <c r="M464" i="23"/>
  <c r="M475" i="23"/>
  <c r="M486" i="23"/>
  <c r="M487" i="23"/>
  <c r="M488" i="23"/>
  <c r="M489" i="23"/>
  <c r="M497" i="23"/>
  <c r="M498" i="23"/>
  <c r="M508" i="23"/>
  <c r="M509" i="23"/>
  <c r="M510" i="23"/>
  <c r="M511" i="23"/>
  <c r="M512" i="23"/>
  <c r="M519" i="23"/>
  <c r="M530" i="23"/>
  <c r="M531" i="23"/>
  <c r="M541" i="23"/>
  <c r="M552" i="23"/>
  <c r="M553" i="23"/>
  <c r="M554" i="23"/>
  <c r="M555" i="23"/>
  <c r="M556" i="23"/>
  <c r="M563" i="23"/>
  <c r="M574" i="23"/>
  <c r="M575" i="23"/>
  <c r="M585" i="23"/>
  <c r="M586" i="23"/>
  <c r="M587" i="23"/>
  <c r="M588" i="23"/>
  <c r="M589" i="23"/>
  <c r="M590" i="23"/>
  <c r="M591" i="23"/>
  <c r="M596" i="23"/>
  <c r="M607" i="23"/>
  <c r="M618" i="23"/>
  <c r="M619" i="23"/>
  <c r="M620" i="23"/>
  <c r="M629" i="23"/>
  <c r="M630" i="23"/>
  <c r="M631" i="23"/>
  <c r="O631" i="23" s="1"/>
  <c r="Y573" i="31" s="1"/>
  <c r="M632" i="23"/>
  <c r="M633" i="23"/>
  <c r="M634" i="23"/>
  <c r="M640" i="23"/>
  <c r="M641" i="23"/>
  <c r="M642" i="23"/>
  <c r="M643" i="23"/>
  <c r="M644" i="23"/>
  <c r="M651" i="23"/>
  <c r="O651" i="23" s="1"/>
  <c r="M652" i="23"/>
  <c r="M653" i="23"/>
  <c r="M654" i="23"/>
  <c r="M655" i="23"/>
  <c r="O655" i="23" s="1"/>
  <c r="Y595" i="31" s="1"/>
  <c r="M656" i="23"/>
  <c r="M662" i="23"/>
  <c r="M673" i="23"/>
  <c r="M674" i="23"/>
  <c r="M675" i="23"/>
  <c r="M676" i="23"/>
  <c r="M684" i="23"/>
  <c r="M695" i="23"/>
  <c r="O695" i="23" s="1"/>
  <c r="M696" i="23"/>
  <c r="M697" i="23"/>
  <c r="M706" i="23"/>
  <c r="M707" i="23"/>
  <c r="M708" i="23"/>
  <c r="M709" i="23"/>
  <c r="M710" i="23"/>
  <c r="M711" i="23"/>
  <c r="M712" i="23"/>
  <c r="M713" i="23"/>
  <c r="M717" i="23"/>
  <c r="M727" i="23"/>
  <c r="M728" i="23"/>
  <c r="M739" i="23"/>
  <c r="M750" i="23"/>
  <c r="M751" i="23"/>
  <c r="M752" i="23"/>
  <c r="M761" i="23"/>
  <c r="M772" i="23"/>
  <c r="M783" i="23"/>
  <c r="O783" i="23" s="1"/>
  <c r="M794" i="23"/>
  <c r="M795" i="23"/>
  <c r="O795" i="23" s="1"/>
  <c r="Y722" i="31" s="1"/>
  <c r="M796" i="23"/>
  <c r="M797" i="23"/>
  <c r="M798" i="23"/>
  <c r="M799" i="23"/>
  <c r="M805" i="23"/>
  <c r="M816" i="23"/>
  <c r="M817" i="23"/>
  <c r="M818" i="23"/>
  <c r="M819" i="23"/>
  <c r="O819" i="23" s="1"/>
  <c r="Y744" i="31" s="1"/>
  <c r="M820" i="23"/>
  <c r="M821" i="23"/>
  <c r="M822" i="23"/>
  <c r="M823" i="23"/>
  <c r="O823" i="23" s="1"/>
  <c r="Y748" i="31" s="1"/>
  <c r="M824" i="23"/>
  <c r="M825" i="23"/>
  <c r="M826" i="23"/>
  <c r="M827" i="23"/>
  <c r="O827" i="23" s="1"/>
  <c r="M828" i="23"/>
  <c r="M829" i="23"/>
  <c r="M830" i="23"/>
  <c r="M831" i="23"/>
  <c r="O831" i="23" s="1"/>
  <c r="Y755" i="31" s="1"/>
  <c r="M838" i="23"/>
  <c r="M839" i="23"/>
  <c r="O839" i="23" s="1"/>
  <c r="Y762" i="31" s="1"/>
  <c r="M840" i="23"/>
  <c r="M841" i="23"/>
  <c r="M849" i="23"/>
  <c r="M860" i="23"/>
  <c r="M871" i="23"/>
  <c r="O871" i="23" s="1"/>
  <c r="M882" i="23"/>
  <c r="M883" i="23"/>
  <c r="M884" i="23"/>
  <c r="M885" i="23"/>
  <c r="M893" i="23"/>
  <c r="M894" i="23"/>
  <c r="M895" i="23"/>
  <c r="O895" i="23" s="1"/>
  <c r="Y813" i="31" s="1"/>
  <c r="M896" i="23"/>
  <c r="M897" i="23"/>
  <c r="M898" i="23"/>
  <c r="M904" i="23"/>
  <c r="M915" i="23"/>
  <c r="O915" i="23" s="1"/>
  <c r="M926" i="23"/>
  <c r="M937" i="23"/>
  <c r="M938" i="23"/>
  <c r="M948" i="23"/>
  <c r="M949" i="23"/>
  <c r="M950" i="23"/>
  <c r="M951" i="23"/>
  <c r="M952" i="23"/>
  <c r="M953" i="23"/>
  <c r="M954" i="23"/>
  <c r="M955" i="23"/>
  <c r="M956" i="23"/>
  <c r="M957" i="23"/>
  <c r="M958" i="23"/>
  <c r="M959" i="23"/>
  <c r="O959" i="23" s="1"/>
  <c r="M960" i="23"/>
  <c r="M961" i="23"/>
  <c r="M962" i="23"/>
  <c r="M963" i="23"/>
  <c r="M964" i="23"/>
  <c r="M965" i="23"/>
  <c r="M966" i="23"/>
  <c r="M967" i="23"/>
  <c r="M968" i="23"/>
  <c r="M969" i="23"/>
  <c r="M970" i="23"/>
  <c r="M981" i="23"/>
  <c r="M992" i="23"/>
  <c r="M1003" i="23"/>
  <c r="M1014" i="23"/>
  <c r="M1025" i="23"/>
  <c r="M1036" i="23"/>
  <c r="M1037" i="23"/>
  <c r="M1038" i="23"/>
  <c r="M1039" i="23"/>
  <c r="O1039" i="23" s="1"/>
  <c r="Y944" i="31" s="1"/>
  <c r="M1040" i="23"/>
  <c r="M1047" i="23"/>
  <c r="M1058" i="23"/>
  <c r="M1059" i="23"/>
  <c r="M1060" i="23"/>
  <c r="M1069" i="23"/>
  <c r="M1070" i="23"/>
  <c r="M1071" i="23"/>
  <c r="M1080" i="23"/>
  <c r="M1081" i="23"/>
  <c r="M1082" i="23"/>
  <c r="M1083" i="23"/>
  <c r="M1084" i="23"/>
  <c r="M1085" i="23"/>
  <c r="M1086" i="23"/>
  <c r="M1091" i="23"/>
  <c r="M1102" i="23"/>
  <c r="M1113" i="23"/>
  <c r="M1124" i="23"/>
  <c r="M1135" i="23"/>
  <c r="M1146" i="23"/>
  <c r="M1147" i="23"/>
  <c r="M1157" i="23"/>
  <c r="M1168" i="23"/>
  <c r="M1169" i="23"/>
  <c r="M1170" i="23"/>
  <c r="M1171" i="23"/>
  <c r="M1172" i="23"/>
  <c r="M1179" i="23"/>
  <c r="M1190" i="23"/>
  <c r="M1201" i="23"/>
  <c r="M1212" i="23"/>
  <c r="M1223" i="23"/>
  <c r="M1234" i="23"/>
  <c r="M1235" i="23"/>
  <c r="M1236" i="23"/>
  <c r="M1237" i="23"/>
  <c r="M1245" i="23"/>
  <c r="M1256" i="23"/>
  <c r="M1257" i="23"/>
  <c r="M1258" i="23"/>
  <c r="M1259" i="23"/>
  <c r="M1260" i="23"/>
  <c r="M1261" i="23"/>
  <c r="M1262" i="23"/>
  <c r="M1263" i="23"/>
  <c r="M1267" i="23"/>
  <c r="M1278" i="23"/>
  <c r="M1289" i="23"/>
  <c r="M1290" i="23"/>
  <c r="O1290" i="23" s="1"/>
  <c r="Y1172" i="31" s="1"/>
  <c r="M1291" i="23"/>
  <c r="M1292" i="23"/>
  <c r="M1300" i="23"/>
  <c r="M1310" i="23"/>
  <c r="M1311" i="23"/>
  <c r="M1322" i="23"/>
  <c r="M1333" i="23"/>
  <c r="M1334" i="23"/>
  <c r="M1335" i="23"/>
  <c r="M1336" i="23"/>
  <c r="M1337" i="23"/>
  <c r="M1338" i="23"/>
  <c r="M1339" i="23"/>
  <c r="M1340" i="23"/>
  <c r="M1341" i="23"/>
  <c r="M1342" i="23"/>
  <c r="M1343" i="23"/>
  <c r="M1344" i="23"/>
  <c r="M1345" i="23"/>
  <c r="M1346" i="23"/>
  <c r="M1347" i="23"/>
  <c r="M1348" i="23"/>
  <c r="M1355" i="23"/>
  <c r="M1366" i="23"/>
  <c r="M1367" i="23"/>
  <c r="M1368" i="23"/>
  <c r="M1369" i="23"/>
  <c r="M1370" i="23"/>
  <c r="M1371" i="23"/>
  <c r="M1372" i="23"/>
  <c r="M1373" i="23"/>
  <c r="M1374" i="23"/>
  <c r="M1375" i="23"/>
  <c r="M1376" i="23"/>
  <c r="M1377" i="23"/>
  <c r="M1378" i="23"/>
  <c r="M1388" i="23"/>
  <c r="M1389" i="23"/>
  <c r="M1399" i="23"/>
  <c r="M1400" i="23"/>
  <c r="M1401" i="23"/>
  <c r="M1402" i="23"/>
  <c r="M1410" i="23"/>
  <c r="O1410" i="23" s="1"/>
  <c r="M1421" i="23"/>
  <c r="M1422" i="23"/>
  <c r="M1423" i="23"/>
  <c r="M1424" i="23"/>
  <c r="M1425" i="23"/>
  <c r="M1432" i="23"/>
  <c r="M1443" i="23"/>
  <c r="M1444" i="23"/>
  <c r="M1454" i="23"/>
  <c r="M1465" i="23"/>
  <c r="M1466" i="23"/>
  <c r="M1467" i="23"/>
  <c r="M1468" i="23"/>
  <c r="M1469" i="23"/>
  <c r="M1470" i="23"/>
  <c r="M1476" i="23"/>
  <c r="M1477" i="23"/>
  <c r="M1478" i="23"/>
  <c r="M1479" i="23"/>
  <c r="M1480" i="23"/>
  <c r="M1481" i="23"/>
  <c r="M1487" i="23"/>
  <c r="M1488" i="23"/>
  <c r="M1489" i="23"/>
  <c r="M1490" i="23"/>
  <c r="M1491" i="23"/>
  <c r="M1492" i="23"/>
  <c r="M1493" i="23"/>
  <c r="M1494" i="23"/>
  <c r="M1498" i="23"/>
  <c r="M1499" i="23"/>
  <c r="M1509" i="23"/>
  <c r="M1510" i="23"/>
  <c r="M1511" i="23"/>
  <c r="O1511" i="23" s="1"/>
  <c r="Y1373" i="31" s="1"/>
  <c r="M1512" i="23"/>
  <c r="M1513" i="23"/>
  <c r="M1514" i="23"/>
  <c r="M1515" i="23"/>
  <c r="O1515" i="23" s="1"/>
  <c r="Y1377" i="31" s="1"/>
  <c r="M1516" i="23"/>
  <c r="M1517" i="23"/>
  <c r="M1518" i="23"/>
  <c r="M1520" i="23"/>
  <c r="M1531" i="23"/>
  <c r="M1542" i="23"/>
  <c r="M1545" i="23"/>
  <c r="M1553" i="23"/>
  <c r="M1554" i="23"/>
  <c r="M1555" i="23"/>
  <c r="M1557" i="23"/>
  <c r="M1564" i="23"/>
  <c r="M1565" i="23"/>
  <c r="M1566" i="23"/>
  <c r="M1567" i="23"/>
  <c r="M1568" i="23"/>
  <c r="M1569" i="23"/>
  <c r="M1570" i="23"/>
  <c r="M1571" i="23"/>
  <c r="M1572" i="23"/>
  <c r="M1573" i="23"/>
  <c r="M1574" i="23"/>
  <c r="M1575" i="23"/>
  <c r="M1576" i="23"/>
  <c r="M1577" i="23"/>
  <c r="M1586" i="23"/>
  <c r="M1590" i="23"/>
  <c r="M1591" i="23"/>
  <c r="M1592" i="23"/>
  <c r="M1593" i="23"/>
  <c r="M1594" i="23"/>
  <c r="M1595" i="23"/>
  <c r="M1596" i="23"/>
  <c r="M1597" i="23"/>
  <c r="M1598" i="23"/>
  <c r="M1599" i="23"/>
  <c r="M1600" i="23"/>
  <c r="M1601" i="23"/>
  <c r="M1602" i="23"/>
  <c r="M1603" i="23"/>
  <c r="M1604" i="23"/>
  <c r="M1605" i="23"/>
  <c r="M1606" i="23"/>
  <c r="M1607" i="23"/>
  <c r="M1608" i="23"/>
  <c r="M1609" i="23"/>
  <c r="M1610" i="23"/>
  <c r="M1611" i="23"/>
  <c r="M1612" i="23"/>
  <c r="M1613" i="23"/>
  <c r="M1614" i="23"/>
  <c r="M1615" i="23"/>
  <c r="M1616" i="23"/>
  <c r="M1617" i="23"/>
  <c r="M1618" i="23"/>
  <c r="M1619" i="23"/>
  <c r="L40" i="23"/>
  <c r="X36" i="31" s="1"/>
  <c r="L200" i="23"/>
  <c r="L488" i="23"/>
  <c r="X443" i="31" s="1"/>
  <c r="L552" i="23"/>
  <c r="L712" i="23"/>
  <c r="X647" i="31" s="1"/>
  <c r="L840" i="23"/>
  <c r="X763" i="31" s="1"/>
  <c r="L904" i="23"/>
  <c r="L968" i="23"/>
  <c r="X880" i="31" s="1"/>
  <c r="L1480" i="23"/>
  <c r="X1345" i="31" s="1"/>
  <c r="L1576" i="23"/>
  <c r="X1432" i="31" s="1"/>
  <c r="L1608" i="23"/>
  <c r="K5" i="23"/>
  <c r="N5" i="23" s="1"/>
  <c r="K13" i="23"/>
  <c r="N13" i="23" s="1"/>
  <c r="K37" i="23"/>
  <c r="N37" i="23" s="1"/>
  <c r="K101" i="23"/>
  <c r="N101" i="23" s="1"/>
  <c r="K117" i="23"/>
  <c r="N117" i="23" s="1"/>
  <c r="K149" i="23"/>
  <c r="N149" i="23" s="1"/>
  <c r="K157" i="23"/>
  <c r="N157" i="23" s="1"/>
  <c r="K181" i="23"/>
  <c r="N181" i="23" s="1"/>
  <c r="K189" i="23"/>
  <c r="N189" i="23" s="1"/>
  <c r="K213" i="23"/>
  <c r="N213" i="23" s="1"/>
  <c r="K277" i="23"/>
  <c r="N277" i="23" s="1"/>
  <c r="K333" i="23"/>
  <c r="N333" i="23" s="1"/>
  <c r="K365" i="23"/>
  <c r="N365" i="23" s="1"/>
  <c r="K381" i="23"/>
  <c r="N381" i="23" s="1"/>
  <c r="K397" i="23"/>
  <c r="N397" i="23" s="1"/>
  <c r="K445" i="23"/>
  <c r="N445" i="23" s="1"/>
  <c r="K453" i="23"/>
  <c r="N453" i="23" s="1"/>
  <c r="K509" i="23"/>
  <c r="N509" i="23" s="1"/>
  <c r="K541" i="23"/>
  <c r="N541" i="23" s="1"/>
  <c r="K589" i="23"/>
  <c r="N589" i="23" s="1"/>
  <c r="K629" i="23"/>
  <c r="N629" i="23" s="1"/>
  <c r="K653" i="23"/>
  <c r="N653" i="23" s="1"/>
  <c r="K709" i="23"/>
  <c r="N709" i="23" s="1"/>
  <c r="K717" i="23"/>
  <c r="N717" i="23" s="1"/>
  <c r="K797" i="23"/>
  <c r="N797" i="23" s="1"/>
  <c r="K805" i="23"/>
  <c r="N805" i="23" s="1"/>
  <c r="K821" i="23"/>
  <c r="N821" i="23" s="1"/>
  <c r="K829" i="23"/>
  <c r="N829" i="23" s="1"/>
  <c r="K885" i="23"/>
  <c r="N885" i="23" s="1"/>
  <c r="K893" i="23"/>
  <c r="N893" i="23" s="1"/>
  <c r="K949" i="23"/>
  <c r="N949" i="23" s="1"/>
  <c r="K957" i="23"/>
  <c r="N957" i="23" s="1"/>
  <c r="K965" i="23"/>
  <c r="N965" i="23" s="1"/>
  <c r="K981" i="23"/>
  <c r="N981" i="23" s="1"/>
  <c r="K1037" i="23"/>
  <c r="N1037" i="23" s="1"/>
  <c r="K1069" i="23"/>
  <c r="N1069" i="23" s="1"/>
  <c r="K1083" i="23"/>
  <c r="N1083" i="23" s="1"/>
  <c r="K1091" i="23"/>
  <c r="N1091" i="23" s="1"/>
  <c r="K1135" i="23"/>
  <c r="N1135" i="23" s="1"/>
  <c r="O1135" i="23" s="1"/>
  <c r="K1147" i="23"/>
  <c r="N1147" i="23" s="1"/>
  <c r="K1171" i="23"/>
  <c r="N1171" i="23" s="1"/>
  <c r="K1179" i="23"/>
  <c r="N1179" i="23" s="1"/>
  <c r="K1223" i="23"/>
  <c r="N1223" i="23" s="1"/>
  <c r="K1235" i="23"/>
  <c r="N1235" i="23" s="1"/>
  <c r="K1259" i="23"/>
  <c r="N1259" i="23" s="1"/>
  <c r="K1263" i="23"/>
  <c r="N1263" i="23" s="1"/>
  <c r="O1263" i="23" s="1"/>
  <c r="Y1148" i="31" s="1"/>
  <c r="K1267" i="23"/>
  <c r="N1267" i="23" s="1"/>
  <c r="K1291" i="23"/>
  <c r="N1291" i="23" s="1"/>
  <c r="K1311" i="23"/>
  <c r="N1311" i="23" s="1"/>
  <c r="O1311" i="23" s="1"/>
  <c r="K1335" i="23"/>
  <c r="N1335" i="23" s="1"/>
  <c r="K1339" i="23"/>
  <c r="N1339" i="23" s="1"/>
  <c r="K1343" i="23"/>
  <c r="N1343" i="23" s="1"/>
  <c r="K1347" i="23"/>
  <c r="N1347" i="23" s="1"/>
  <c r="K1355" i="23"/>
  <c r="N1355" i="23" s="1"/>
  <c r="K1367" i="23"/>
  <c r="N1367" i="23" s="1"/>
  <c r="K1371" i="23"/>
  <c r="N1371" i="23" s="1"/>
  <c r="K1375" i="23"/>
  <c r="N1375" i="23" s="1"/>
  <c r="O1375" i="23" s="1"/>
  <c r="Y1250" i="31" s="1"/>
  <c r="K1399" i="23"/>
  <c r="N1399" i="23" s="1"/>
  <c r="K1423" i="23"/>
  <c r="N1423" i="23" s="1"/>
  <c r="K1443" i="23"/>
  <c r="N1443" i="23" s="1"/>
  <c r="K1467" i="23"/>
  <c r="N1467" i="23" s="1"/>
  <c r="K1479" i="23"/>
  <c r="N1479" i="23" s="1"/>
  <c r="K1487" i="23"/>
  <c r="N1487" i="23" s="1"/>
  <c r="K1491" i="23"/>
  <c r="N1491" i="23" s="1"/>
  <c r="K1499" i="23"/>
  <c r="N1499" i="23" s="1"/>
  <c r="K1511" i="23"/>
  <c r="N1511" i="23" s="1"/>
  <c r="K1515" i="23"/>
  <c r="N1515" i="23" s="1"/>
  <c r="K1531" i="23"/>
  <c r="N1531" i="23" s="1"/>
  <c r="K1555" i="23"/>
  <c r="N1555" i="23" s="1"/>
  <c r="K1567" i="23"/>
  <c r="N1567" i="23" s="1"/>
  <c r="O1567" i="23" s="1"/>
  <c r="Y1424" i="31" s="1"/>
  <c r="K1571" i="23"/>
  <c r="N1571" i="23" s="1"/>
  <c r="K1575" i="23"/>
  <c r="N1575" i="23" s="1"/>
  <c r="K1591" i="23"/>
  <c r="N1591" i="23" s="1"/>
  <c r="K1595" i="23"/>
  <c r="N1595" i="23" s="1"/>
  <c r="K1599" i="23"/>
  <c r="N1599" i="23" s="1"/>
  <c r="K1603" i="23"/>
  <c r="N1603" i="23" s="1"/>
  <c r="K1607" i="23"/>
  <c r="N1607" i="23" s="1"/>
  <c r="K1619" i="23"/>
  <c r="N1619" i="23" s="1"/>
  <c r="J3" i="23"/>
  <c r="L3" i="23" s="1"/>
  <c r="X2" i="31" s="1"/>
  <c r="J4" i="23"/>
  <c r="J5" i="23"/>
  <c r="J6" i="23"/>
  <c r="J7" i="23"/>
  <c r="L7" i="23" s="1"/>
  <c r="X6" i="31" s="1"/>
  <c r="J8" i="23"/>
  <c r="J9" i="23"/>
  <c r="J10" i="23"/>
  <c r="J11" i="23"/>
  <c r="L11" i="23" s="1"/>
  <c r="X10" i="31" s="1"/>
  <c r="J12" i="23"/>
  <c r="J13" i="23"/>
  <c r="J24" i="23"/>
  <c r="L24" i="23" s="1"/>
  <c r="J35" i="23"/>
  <c r="L35" i="23" s="1"/>
  <c r="J36" i="23"/>
  <c r="J37" i="23"/>
  <c r="J38" i="23"/>
  <c r="J39" i="23"/>
  <c r="L39" i="23" s="1"/>
  <c r="X35" i="31" s="1"/>
  <c r="J40" i="23"/>
  <c r="J41" i="23"/>
  <c r="J42" i="23"/>
  <c r="J46" i="23"/>
  <c r="J56" i="23"/>
  <c r="J57" i="23"/>
  <c r="J58" i="23"/>
  <c r="J68" i="23"/>
  <c r="J79" i="23"/>
  <c r="L79" i="23" s="1"/>
  <c r="J90" i="23"/>
  <c r="J101" i="23"/>
  <c r="J112" i="23"/>
  <c r="L112" i="23" s="1"/>
  <c r="J113" i="23"/>
  <c r="J114" i="23"/>
  <c r="J115" i="23"/>
  <c r="L115" i="23" s="1"/>
  <c r="X104" i="31" s="1"/>
  <c r="J116" i="23"/>
  <c r="J117" i="23"/>
  <c r="J123" i="23"/>
  <c r="L123" i="23" s="1"/>
  <c r="J134" i="23"/>
  <c r="J145" i="23"/>
  <c r="J146" i="23"/>
  <c r="J147" i="23"/>
  <c r="L147" i="23" s="1"/>
  <c r="X133" i="31" s="1"/>
  <c r="J148" i="23"/>
  <c r="J149" i="23"/>
  <c r="J150" i="23"/>
  <c r="J151" i="23"/>
  <c r="L151" i="23" s="1"/>
  <c r="X137" i="31" s="1"/>
  <c r="J152" i="23"/>
  <c r="J153" i="23"/>
  <c r="J154" i="23"/>
  <c r="J156" i="23"/>
  <c r="L156" i="23" s="1"/>
  <c r="J157" i="23"/>
  <c r="J158" i="23"/>
  <c r="J167" i="23"/>
  <c r="L167" i="23" s="1"/>
  <c r="J178" i="23"/>
  <c r="J179" i="23"/>
  <c r="L179" i="23" s="1"/>
  <c r="X162" i="31" s="1"/>
  <c r="J180" i="23"/>
  <c r="J181" i="23"/>
  <c r="J182" i="23"/>
  <c r="J189" i="23"/>
  <c r="J200" i="23"/>
  <c r="J211" i="23"/>
  <c r="L211" i="23" s="1"/>
  <c r="J212" i="23"/>
  <c r="J213" i="23"/>
  <c r="J222" i="23"/>
  <c r="J233" i="23"/>
  <c r="J234" i="23"/>
  <c r="J244" i="23"/>
  <c r="J255" i="23"/>
  <c r="L255" i="23" s="1"/>
  <c r="J266" i="23"/>
  <c r="J277" i="23"/>
  <c r="J278" i="23"/>
  <c r="J279" i="23"/>
  <c r="L279" i="23" s="1"/>
  <c r="X253" i="31" s="1"/>
  <c r="J280" i="23"/>
  <c r="L280" i="23" s="1"/>
  <c r="X254" i="31" s="1"/>
  <c r="J281" i="23"/>
  <c r="J282" i="23"/>
  <c r="J283" i="23"/>
  <c r="L283" i="23" s="1"/>
  <c r="X257" i="31" s="1"/>
  <c r="J284" i="23"/>
  <c r="J288" i="23"/>
  <c r="J299" i="23"/>
  <c r="L299" i="23" s="1"/>
  <c r="J310" i="23"/>
  <c r="J321" i="23"/>
  <c r="J322" i="23"/>
  <c r="J323" i="23"/>
  <c r="L323" i="23" s="1"/>
  <c r="X293" i="31" s="1"/>
  <c r="J332" i="23"/>
  <c r="J333" i="23"/>
  <c r="J334" i="23"/>
  <c r="J335" i="23"/>
  <c r="L335" i="23" s="1"/>
  <c r="X304" i="31" s="1"/>
  <c r="J336" i="23"/>
  <c r="L336" i="23" s="1"/>
  <c r="X305" i="31" s="1"/>
  <c r="J343" i="23"/>
  <c r="L343" i="23" s="1"/>
  <c r="J344" i="23"/>
  <c r="L344" i="23" s="1"/>
  <c r="X312" i="31" s="1"/>
  <c r="J354" i="23"/>
  <c r="J355" i="23"/>
  <c r="L355" i="23" s="1"/>
  <c r="X322" i="31" s="1"/>
  <c r="J365" i="23"/>
  <c r="J376" i="23"/>
  <c r="L376" i="23" s="1"/>
  <c r="J377" i="23"/>
  <c r="J378" i="23"/>
  <c r="J379" i="23"/>
  <c r="L379" i="23" s="1"/>
  <c r="X344" i="31" s="1"/>
  <c r="J380" i="23"/>
  <c r="L380" i="23" s="1"/>
  <c r="X345" i="31" s="1"/>
  <c r="J381" i="23"/>
  <c r="J387" i="23"/>
  <c r="L387" i="23" s="1"/>
  <c r="J388" i="23"/>
  <c r="L388" i="23" s="1"/>
  <c r="X352" i="31" s="1"/>
  <c r="J397" i="23"/>
  <c r="J398" i="23"/>
  <c r="J399" i="23"/>
  <c r="L399" i="23" s="1"/>
  <c r="X362" i="31" s="1"/>
  <c r="J400" i="23"/>
  <c r="L400" i="23" s="1"/>
  <c r="X363" i="31" s="1"/>
  <c r="J409" i="23"/>
  <c r="J410" i="23"/>
  <c r="J411" i="23"/>
  <c r="L411" i="23" s="1"/>
  <c r="X373" i="31" s="1"/>
  <c r="J420" i="23"/>
  <c r="J431" i="23"/>
  <c r="L431" i="23" s="1"/>
  <c r="J432" i="23"/>
  <c r="L432" i="23" s="1"/>
  <c r="X392" i="31" s="1"/>
  <c r="J433" i="23"/>
  <c r="J434" i="23"/>
  <c r="J442" i="23"/>
  <c r="J443" i="23"/>
  <c r="L443" i="23" s="1"/>
  <c r="X402" i="31" s="1"/>
  <c r="J444" i="23"/>
  <c r="J445" i="23"/>
  <c r="J453" i="23"/>
  <c r="J464" i="23"/>
  <c r="J475" i="23"/>
  <c r="L475" i="23" s="1"/>
  <c r="J486" i="23"/>
  <c r="J487" i="23"/>
  <c r="L487" i="23" s="1"/>
  <c r="X442" i="31" s="1"/>
  <c r="J488" i="23"/>
  <c r="J489" i="23"/>
  <c r="J497" i="23"/>
  <c r="J498" i="23"/>
  <c r="J508" i="23"/>
  <c r="J509" i="23"/>
  <c r="J510" i="23"/>
  <c r="J511" i="23"/>
  <c r="L511" i="23" s="1"/>
  <c r="X464" i="31" s="1"/>
  <c r="J512" i="23"/>
  <c r="L512" i="23" s="1"/>
  <c r="X465" i="31" s="1"/>
  <c r="J519" i="23"/>
  <c r="L519" i="23" s="1"/>
  <c r="J530" i="23"/>
  <c r="J531" i="23"/>
  <c r="L531" i="23" s="1"/>
  <c r="X482" i="31" s="1"/>
  <c r="J541" i="23"/>
  <c r="J552" i="23"/>
  <c r="J553" i="23"/>
  <c r="J554" i="23"/>
  <c r="J555" i="23"/>
  <c r="L555" i="23" s="1"/>
  <c r="X504" i="31" s="1"/>
  <c r="J556" i="23"/>
  <c r="J563" i="23"/>
  <c r="L563" i="23" s="1"/>
  <c r="J574" i="23"/>
  <c r="J575" i="23"/>
  <c r="L575" i="23" s="1"/>
  <c r="X522" i="31" s="1"/>
  <c r="J585" i="23"/>
  <c r="J586" i="23"/>
  <c r="J587" i="23"/>
  <c r="L587" i="23" s="1"/>
  <c r="X533" i="31" s="1"/>
  <c r="J588" i="23"/>
  <c r="J589" i="23"/>
  <c r="J590" i="23"/>
  <c r="J591" i="23"/>
  <c r="L591" i="23" s="1"/>
  <c r="X537" i="31" s="1"/>
  <c r="J596" i="23"/>
  <c r="J607" i="23"/>
  <c r="L607" i="23" s="1"/>
  <c r="J618" i="23"/>
  <c r="J619" i="23"/>
  <c r="L619" i="23" s="1"/>
  <c r="X562" i="31" s="1"/>
  <c r="J620" i="23"/>
  <c r="J629" i="23"/>
  <c r="J630" i="23"/>
  <c r="J631" i="23"/>
  <c r="L631" i="23" s="1"/>
  <c r="X573" i="31" s="1"/>
  <c r="J632" i="23"/>
  <c r="J633" i="23"/>
  <c r="J634" i="23"/>
  <c r="J640" i="23"/>
  <c r="J641" i="23"/>
  <c r="J642" i="23"/>
  <c r="J643" i="23"/>
  <c r="L643" i="23" s="1"/>
  <c r="X584" i="31" s="1"/>
  <c r="J644" i="23"/>
  <c r="J651" i="23"/>
  <c r="L651" i="23" s="1"/>
  <c r="J652" i="23"/>
  <c r="J653" i="23"/>
  <c r="J654" i="23"/>
  <c r="J655" i="23"/>
  <c r="L655" i="23" s="1"/>
  <c r="X595" i="31" s="1"/>
  <c r="J656" i="23"/>
  <c r="J662" i="23"/>
  <c r="J673" i="23"/>
  <c r="J674" i="23"/>
  <c r="J675" i="23"/>
  <c r="L675" i="23" s="1"/>
  <c r="X613" i="31" s="1"/>
  <c r="J676" i="23"/>
  <c r="J684" i="23"/>
  <c r="J695" i="23"/>
  <c r="L695" i="23" s="1"/>
  <c r="J696" i="23"/>
  <c r="J697" i="23"/>
  <c r="J706" i="23"/>
  <c r="J707" i="23"/>
  <c r="L707" i="23" s="1"/>
  <c r="X642" i="31" s="1"/>
  <c r="J708" i="23"/>
  <c r="J709" i="23"/>
  <c r="J710" i="23"/>
  <c r="J711" i="23"/>
  <c r="L711" i="23" s="1"/>
  <c r="X646" i="31" s="1"/>
  <c r="J712" i="23"/>
  <c r="J713" i="23"/>
  <c r="J717" i="23"/>
  <c r="J727" i="23"/>
  <c r="L727" i="23" s="1"/>
  <c r="X661" i="31" s="1"/>
  <c r="J728" i="23"/>
  <c r="L728" i="23" s="1"/>
  <c r="J739" i="23"/>
  <c r="L739" i="23" s="1"/>
  <c r="J750" i="23"/>
  <c r="J751" i="23"/>
  <c r="L751" i="23" s="1"/>
  <c r="X682" i="31" s="1"/>
  <c r="J752" i="23"/>
  <c r="L752" i="23" s="1"/>
  <c r="X683" i="31" s="1"/>
  <c r="J761" i="23"/>
  <c r="J772" i="23"/>
  <c r="J783" i="23"/>
  <c r="L783" i="23" s="1"/>
  <c r="J794" i="23"/>
  <c r="J795" i="23"/>
  <c r="L795" i="23" s="1"/>
  <c r="X722" i="31" s="1"/>
  <c r="J796" i="23"/>
  <c r="L796" i="23" s="1"/>
  <c r="X723" i="31" s="1"/>
  <c r="J797" i="23"/>
  <c r="J798" i="23"/>
  <c r="J805" i="23"/>
  <c r="J816" i="23"/>
  <c r="L816" i="23" s="1"/>
  <c r="J817" i="23"/>
  <c r="J818" i="23"/>
  <c r="J819" i="23"/>
  <c r="L819" i="23" s="1"/>
  <c r="X744" i="31" s="1"/>
  <c r="J820" i="23"/>
  <c r="L820" i="23" s="1"/>
  <c r="X745" i="31" s="1"/>
  <c r="J821" i="23"/>
  <c r="J822" i="23"/>
  <c r="J823" i="23"/>
  <c r="L823" i="23" s="1"/>
  <c r="X748" i="31" s="1"/>
  <c r="J824" i="23"/>
  <c r="L824" i="23" s="1"/>
  <c r="X749" i="31" s="1"/>
  <c r="J825" i="23"/>
  <c r="J826" i="23"/>
  <c r="J827" i="23"/>
  <c r="L827" i="23" s="1"/>
  <c r="J828" i="23"/>
  <c r="L828" i="23" s="1"/>
  <c r="X752" i="31" s="1"/>
  <c r="J829" i="23"/>
  <c r="J830" i="23"/>
  <c r="J831" i="23"/>
  <c r="L831" i="23" s="1"/>
  <c r="X755" i="31" s="1"/>
  <c r="J838" i="23"/>
  <c r="J839" i="23"/>
  <c r="L839" i="23" s="1"/>
  <c r="X762" i="31" s="1"/>
  <c r="J840" i="23"/>
  <c r="J841" i="23"/>
  <c r="J849" i="23"/>
  <c r="J860" i="23"/>
  <c r="J871" i="23"/>
  <c r="L871" i="23" s="1"/>
  <c r="J882" i="23"/>
  <c r="J883" i="23"/>
  <c r="L883" i="23" s="1"/>
  <c r="X802" i="31" s="1"/>
  <c r="J884" i="23"/>
  <c r="L884" i="23" s="1"/>
  <c r="X803" i="31" s="1"/>
  <c r="J885" i="23"/>
  <c r="J893" i="23"/>
  <c r="J894" i="23"/>
  <c r="J895" i="23"/>
  <c r="L895" i="23" s="1"/>
  <c r="X813" i="31" s="1"/>
  <c r="J896" i="23"/>
  <c r="L896" i="23" s="1"/>
  <c r="X814" i="31" s="1"/>
  <c r="J897" i="23"/>
  <c r="J898" i="23"/>
  <c r="J904" i="23"/>
  <c r="J915" i="23"/>
  <c r="L915" i="23" s="1"/>
  <c r="J926" i="23"/>
  <c r="J937" i="23"/>
  <c r="J938" i="23"/>
  <c r="J948" i="23"/>
  <c r="J949" i="23"/>
  <c r="J950" i="23"/>
  <c r="J951" i="23"/>
  <c r="L951" i="23" s="1"/>
  <c r="X864" i="31" s="1"/>
  <c r="J952" i="23"/>
  <c r="J953" i="23"/>
  <c r="J954" i="23"/>
  <c r="J955" i="23"/>
  <c r="L955" i="23" s="1"/>
  <c r="X868" i="31" s="1"/>
  <c r="J956" i="23"/>
  <c r="J957" i="23"/>
  <c r="J958" i="23"/>
  <c r="J959" i="23"/>
  <c r="L959" i="23" s="1"/>
  <c r="J960" i="23"/>
  <c r="J961" i="23"/>
  <c r="J962" i="23"/>
  <c r="J963" i="23"/>
  <c r="L963" i="23" s="1"/>
  <c r="X875" i="31" s="1"/>
  <c r="J964" i="23"/>
  <c r="J965" i="23"/>
  <c r="J966" i="23"/>
  <c r="J967" i="23"/>
  <c r="L967" i="23" s="1"/>
  <c r="X879" i="31" s="1"/>
  <c r="J968" i="23"/>
  <c r="J969" i="23"/>
  <c r="J970" i="23"/>
  <c r="J981" i="23"/>
  <c r="J992" i="23"/>
  <c r="L992" i="23" s="1"/>
  <c r="J1003" i="23"/>
  <c r="L1003" i="23" s="1"/>
  <c r="J1014" i="23"/>
  <c r="J1025" i="23"/>
  <c r="J1036" i="23"/>
  <c r="J1037" i="23"/>
  <c r="J1038" i="23"/>
  <c r="J1039" i="23"/>
  <c r="L1039" i="23" s="1"/>
  <c r="X944" i="31" s="1"/>
  <c r="J1040" i="23"/>
  <c r="L1040" i="23" s="1"/>
  <c r="X945" i="31" s="1"/>
  <c r="J1047" i="23"/>
  <c r="L1047" i="23" s="1"/>
  <c r="J1058" i="23"/>
  <c r="J1059" i="23"/>
  <c r="L1059" i="23" s="1"/>
  <c r="X962" i="31" s="1"/>
  <c r="J1060" i="23"/>
  <c r="J1069" i="23"/>
  <c r="J1070" i="23"/>
  <c r="J1071" i="23"/>
  <c r="J1080" i="23"/>
  <c r="L1080" i="23" s="1"/>
  <c r="J1081" i="23"/>
  <c r="J1082" i="23"/>
  <c r="J1083" i="23"/>
  <c r="L1083" i="23" s="1"/>
  <c r="X984" i="31" s="1"/>
  <c r="J1084" i="23"/>
  <c r="J1085" i="23"/>
  <c r="J1086" i="23"/>
  <c r="J1091" i="23"/>
  <c r="L1091" i="23" s="1"/>
  <c r="J1102" i="23"/>
  <c r="J1113" i="23"/>
  <c r="J1124" i="23"/>
  <c r="L1124" i="23" s="1"/>
  <c r="J1135" i="23"/>
  <c r="J1146" i="23"/>
  <c r="J1147" i="23"/>
  <c r="L1147" i="23" s="1"/>
  <c r="X1042" i="31" s="1"/>
  <c r="J1157" i="23"/>
  <c r="J1168" i="23"/>
  <c r="J1169" i="23"/>
  <c r="J1170" i="23"/>
  <c r="J1171" i="23"/>
  <c r="L1171" i="23" s="1"/>
  <c r="X1064" i="31" s="1"/>
  <c r="J1172" i="23"/>
  <c r="J1179" i="23"/>
  <c r="L1179" i="23" s="1"/>
  <c r="J1190" i="23"/>
  <c r="J1201" i="23"/>
  <c r="J1212" i="23"/>
  <c r="L1212" i="23" s="1"/>
  <c r="J1223" i="23"/>
  <c r="L1223" i="23" s="1"/>
  <c r="J1234" i="23"/>
  <c r="J1235" i="23"/>
  <c r="L1235" i="23" s="1"/>
  <c r="X1122" i="31" s="1"/>
  <c r="J1236" i="23"/>
  <c r="J1237" i="23"/>
  <c r="J1245" i="23"/>
  <c r="J1256" i="23"/>
  <c r="L1256" i="23" s="1"/>
  <c r="J1257" i="23"/>
  <c r="J1258" i="23"/>
  <c r="J1259" i="23"/>
  <c r="L1259" i="23" s="1"/>
  <c r="X1144" i="31" s="1"/>
  <c r="J1260" i="23"/>
  <c r="L1260" i="23" s="1"/>
  <c r="X1145" i="31" s="1"/>
  <c r="J1261" i="23"/>
  <c r="J1262" i="23"/>
  <c r="J1263" i="23"/>
  <c r="J1267" i="23"/>
  <c r="L1267" i="23" s="1"/>
  <c r="J1278" i="23"/>
  <c r="J1289" i="23"/>
  <c r="J1290" i="23"/>
  <c r="J1291" i="23"/>
  <c r="L1291" i="23" s="1"/>
  <c r="X1173" i="31" s="1"/>
  <c r="J1292" i="23"/>
  <c r="J1300" i="23"/>
  <c r="J1310" i="23"/>
  <c r="J1311" i="23"/>
  <c r="J1322" i="23"/>
  <c r="J1333" i="23"/>
  <c r="J1334" i="23"/>
  <c r="J1335" i="23"/>
  <c r="L1335" i="23" s="1"/>
  <c r="X1213" i="31" s="1"/>
  <c r="J1336" i="23"/>
  <c r="J1337" i="23"/>
  <c r="J1338" i="23"/>
  <c r="J1339" i="23"/>
  <c r="L1339" i="23" s="1"/>
  <c r="X1217" i="31" s="1"/>
  <c r="J1340" i="23"/>
  <c r="J1341" i="23"/>
  <c r="J1342" i="23"/>
  <c r="J1343" i="23"/>
  <c r="L1343" i="23" s="1"/>
  <c r="X1221" i="31" s="1"/>
  <c r="J1344" i="23"/>
  <c r="J1345" i="23"/>
  <c r="J1346" i="23"/>
  <c r="J1347" i="23"/>
  <c r="L1347" i="23" s="1"/>
  <c r="X1224" i="31" s="1"/>
  <c r="J1348" i="23"/>
  <c r="J1355" i="23"/>
  <c r="L1355" i="23" s="1"/>
  <c r="J1366" i="23"/>
  <c r="J1367" i="23"/>
  <c r="L1367" i="23" s="1"/>
  <c r="X1242" i="31" s="1"/>
  <c r="J1368" i="23"/>
  <c r="J1369" i="23"/>
  <c r="J1370" i="23"/>
  <c r="J1371" i="23"/>
  <c r="L1371" i="23" s="1"/>
  <c r="X1246" i="31" s="1"/>
  <c r="J1372" i="23"/>
  <c r="J1373" i="23"/>
  <c r="J1374" i="23"/>
  <c r="J1375" i="23"/>
  <c r="J1376" i="23"/>
  <c r="J1377" i="23"/>
  <c r="J1378" i="23"/>
  <c r="J1388" i="23"/>
  <c r="J1389" i="23"/>
  <c r="J1399" i="23"/>
  <c r="L1399" i="23" s="1"/>
  <c r="J1400" i="23"/>
  <c r="L1400" i="23" s="1"/>
  <c r="X1272" i="31" s="1"/>
  <c r="J1401" i="23"/>
  <c r="J1402" i="23"/>
  <c r="J1410" i="23"/>
  <c r="J1421" i="23"/>
  <c r="J1422" i="23"/>
  <c r="J1423" i="23"/>
  <c r="J1424" i="23"/>
  <c r="L1424" i="23" s="1"/>
  <c r="X1294" i="31" s="1"/>
  <c r="J1425" i="23"/>
  <c r="J1432" i="23"/>
  <c r="L1432" i="23" s="1"/>
  <c r="J1443" i="23"/>
  <c r="L1443" i="23" s="1"/>
  <c r="J1444" i="23"/>
  <c r="J1454" i="23"/>
  <c r="J1465" i="23"/>
  <c r="J1466" i="23"/>
  <c r="J1467" i="23"/>
  <c r="L1467" i="23" s="1"/>
  <c r="X1333" i="31" s="1"/>
  <c r="J1468" i="23"/>
  <c r="L1468" i="23" s="1"/>
  <c r="X1334" i="31" s="1"/>
  <c r="J1469" i="23"/>
  <c r="J1470" i="23"/>
  <c r="J1476" i="23"/>
  <c r="L1476" i="23" s="1"/>
  <c r="J1477" i="23"/>
  <c r="J1478" i="23"/>
  <c r="J1479" i="23"/>
  <c r="L1479" i="23" s="1"/>
  <c r="X1344" i="31" s="1"/>
  <c r="J1480" i="23"/>
  <c r="J1481" i="23"/>
  <c r="J1487" i="23"/>
  <c r="J1488" i="23"/>
  <c r="L1488" i="23" s="1"/>
  <c r="X1352" i="31" s="1"/>
  <c r="J1489" i="23"/>
  <c r="J1490" i="23"/>
  <c r="J1491" i="23"/>
  <c r="L1491" i="23" s="1"/>
  <c r="X1355" i="31" s="1"/>
  <c r="J1492" i="23"/>
  <c r="L1492" i="23" s="1"/>
  <c r="X1356" i="31" s="1"/>
  <c r="J1493" i="23"/>
  <c r="J1494" i="23"/>
  <c r="J1498" i="23"/>
  <c r="J1499" i="23"/>
  <c r="L1499" i="23" s="1"/>
  <c r="X1362" i="31" s="1"/>
  <c r="J1509" i="23"/>
  <c r="J1510" i="23"/>
  <c r="J1511" i="23"/>
  <c r="L1511" i="23" s="1"/>
  <c r="X1373" i="31" s="1"/>
  <c r="J1512" i="23"/>
  <c r="L1512" i="23" s="1"/>
  <c r="X1374" i="31" s="1"/>
  <c r="J1513" i="23"/>
  <c r="J1514" i="23"/>
  <c r="J1515" i="23"/>
  <c r="L1515" i="23" s="1"/>
  <c r="X1377" i="31" s="1"/>
  <c r="J1516" i="23"/>
  <c r="L1516" i="23" s="1"/>
  <c r="X1378" i="31" s="1"/>
  <c r="J1517" i="23"/>
  <c r="J1518" i="23"/>
  <c r="J1520" i="23"/>
  <c r="L1520" i="23" s="1"/>
  <c r="J1531" i="23"/>
  <c r="L1531" i="23" s="1"/>
  <c r="J1542" i="23"/>
  <c r="J1545" i="23"/>
  <c r="J1553" i="23"/>
  <c r="J1554" i="23"/>
  <c r="J1555" i="23"/>
  <c r="L1555" i="23" s="1"/>
  <c r="X1413" i="31" s="1"/>
  <c r="J1557" i="23"/>
  <c r="J1564" i="23"/>
  <c r="J1565" i="23"/>
  <c r="J1566" i="23"/>
  <c r="J1567" i="23"/>
  <c r="L1567" i="23" s="1"/>
  <c r="X1424" i="31" s="1"/>
  <c r="J1568" i="23"/>
  <c r="L1568" i="23" s="1"/>
  <c r="X1425" i="31" s="1"/>
  <c r="J1569" i="23"/>
  <c r="J1570" i="23"/>
  <c r="J1571" i="23"/>
  <c r="L1571" i="23" s="1"/>
  <c r="X1428" i="31" s="1"/>
  <c r="J1572" i="23"/>
  <c r="J1573" i="23"/>
  <c r="J1574" i="23"/>
  <c r="J1575" i="23"/>
  <c r="L1575" i="23" s="1"/>
  <c r="J1576" i="23"/>
  <c r="J1577" i="23"/>
  <c r="J1586" i="23"/>
  <c r="J1590" i="23"/>
  <c r="J1591" i="23"/>
  <c r="L1591" i="23" s="1"/>
  <c r="X1446" i="31" s="1"/>
  <c r="J1592" i="23"/>
  <c r="L1592" i="23" s="1"/>
  <c r="X1447" i="31" s="1"/>
  <c r="J1593" i="23"/>
  <c r="J1594" i="23"/>
  <c r="J1595" i="23"/>
  <c r="L1595" i="23" s="1"/>
  <c r="X1450" i="31" s="1"/>
  <c r="J1596" i="23"/>
  <c r="J1597" i="23"/>
  <c r="J1598" i="23"/>
  <c r="J1599" i="23"/>
  <c r="L1599" i="23" s="1"/>
  <c r="X1453" i="31" s="1"/>
  <c r="J1600" i="23"/>
  <c r="L1600" i="23" s="1"/>
  <c r="X1454" i="31" s="1"/>
  <c r="J1601" i="23"/>
  <c r="J1602" i="23"/>
  <c r="J1603" i="23"/>
  <c r="L1603" i="23" s="1"/>
  <c r="X1457" i="31" s="1"/>
  <c r="J1604" i="23"/>
  <c r="J1605" i="23"/>
  <c r="J1606" i="23"/>
  <c r="J1607" i="23"/>
  <c r="L1607" i="23" s="1"/>
  <c r="X1461" i="31" s="1"/>
  <c r="J1608" i="23"/>
  <c r="J1619" i="23"/>
  <c r="L1619" i="23" s="1"/>
  <c r="I5" i="23"/>
  <c r="I37" i="23"/>
  <c r="I101" i="23"/>
  <c r="I149" i="23"/>
  <c r="I181" i="23"/>
  <c r="I213" i="23"/>
  <c r="I277" i="23"/>
  <c r="I453" i="23"/>
  <c r="I629" i="23"/>
  <c r="I709" i="23"/>
  <c r="I821" i="23"/>
  <c r="I885" i="23"/>
  <c r="I981" i="23"/>
  <c r="I1157" i="23"/>
  <c r="I1237" i="23"/>
  <c r="I1333" i="23"/>
  <c r="I1477" i="23"/>
  <c r="I1493" i="23"/>
  <c r="I1509" i="23"/>
  <c r="I1557" i="23"/>
  <c r="I1573" i="23"/>
  <c r="I1605" i="23"/>
  <c r="H3" i="23"/>
  <c r="K3" i="23" s="1"/>
  <c r="N3" i="23" s="1"/>
  <c r="H4" i="23"/>
  <c r="K4" i="23" s="1"/>
  <c r="N4" i="23" s="1"/>
  <c r="H5" i="23"/>
  <c r="H6" i="23"/>
  <c r="K6" i="23" s="1"/>
  <c r="N6" i="23" s="1"/>
  <c r="H7" i="23"/>
  <c r="K7" i="23" s="1"/>
  <c r="N7" i="23" s="1"/>
  <c r="H8" i="23"/>
  <c r="K8" i="23" s="1"/>
  <c r="N8" i="23" s="1"/>
  <c r="H9" i="23"/>
  <c r="K9" i="23" s="1"/>
  <c r="N9" i="23" s="1"/>
  <c r="H10" i="23"/>
  <c r="K10" i="23" s="1"/>
  <c r="N10" i="23" s="1"/>
  <c r="H11" i="23"/>
  <c r="K11" i="23" s="1"/>
  <c r="N11" i="23" s="1"/>
  <c r="H12" i="23"/>
  <c r="K12" i="23" s="1"/>
  <c r="N12" i="23" s="1"/>
  <c r="H13" i="23"/>
  <c r="H24" i="23"/>
  <c r="K24" i="23" s="1"/>
  <c r="N24" i="23" s="1"/>
  <c r="H35" i="23"/>
  <c r="K35" i="23" s="1"/>
  <c r="N35" i="23" s="1"/>
  <c r="H36" i="23"/>
  <c r="K36" i="23" s="1"/>
  <c r="N36" i="23" s="1"/>
  <c r="H37" i="23"/>
  <c r="H38" i="23"/>
  <c r="K38" i="23" s="1"/>
  <c r="N38" i="23" s="1"/>
  <c r="H39" i="23"/>
  <c r="K39" i="23" s="1"/>
  <c r="N39" i="23" s="1"/>
  <c r="H40" i="23"/>
  <c r="K40" i="23" s="1"/>
  <c r="N40" i="23" s="1"/>
  <c r="H41" i="23"/>
  <c r="K41" i="23" s="1"/>
  <c r="N41" i="23" s="1"/>
  <c r="H42" i="23"/>
  <c r="K42" i="23" s="1"/>
  <c r="N42" i="23" s="1"/>
  <c r="H46" i="23"/>
  <c r="K46" i="23" s="1"/>
  <c r="N46" i="23" s="1"/>
  <c r="H56" i="23"/>
  <c r="K56" i="23" s="1"/>
  <c r="N56" i="23" s="1"/>
  <c r="H57" i="23"/>
  <c r="K57" i="23" s="1"/>
  <c r="N57" i="23" s="1"/>
  <c r="H58" i="23"/>
  <c r="K58" i="23" s="1"/>
  <c r="N58" i="23" s="1"/>
  <c r="H68" i="23"/>
  <c r="K68" i="23" s="1"/>
  <c r="N68" i="23" s="1"/>
  <c r="H79" i="23"/>
  <c r="K79" i="23" s="1"/>
  <c r="N79" i="23" s="1"/>
  <c r="O79" i="23" s="1"/>
  <c r="H90" i="23"/>
  <c r="K90" i="23" s="1"/>
  <c r="N90" i="23" s="1"/>
  <c r="H101" i="23"/>
  <c r="H112" i="23"/>
  <c r="K112" i="23" s="1"/>
  <c r="N112" i="23" s="1"/>
  <c r="H113" i="23"/>
  <c r="K113" i="23" s="1"/>
  <c r="N113" i="23" s="1"/>
  <c r="H114" i="23"/>
  <c r="K114" i="23" s="1"/>
  <c r="N114" i="23" s="1"/>
  <c r="H115" i="23"/>
  <c r="K115" i="23" s="1"/>
  <c r="N115" i="23" s="1"/>
  <c r="H116" i="23"/>
  <c r="K116" i="23" s="1"/>
  <c r="N116" i="23" s="1"/>
  <c r="H117" i="23"/>
  <c r="H123" i="23"/>
  <c r="K123" i="23" s="1"/>
  <c r="N123" i="23" s="1"/>
  <c r="H134" i="23"/>
  <c r="K134" i="23" s="1"/>
  <c r="N134" i="23" s="1"/>
  <c r="H145" i="23"/>
  <c r="K145" i="23" s="1"/>
  <c r="N145" i="23" s="1"/>
  <c r="H146" i="23"/>
  <c r="K146" i="23" s="1"/>
  <c r="N146" i="23" s="1"/>
  <c r="H147" i="23"/>
  <c r="K147" i="23" s="1"/>
  <c r="N147" i="23" s="1"/>
  <c r="H148" i="23"/>
  <c r="K148" i="23" s="1"/>
  <c r="N148" i="23" s="1"/>
  <c r="H149" i="23"/>
  <c r="H150" i="23"/>
  <c r="K150" i="23" s="1"/>
  <c r="N150" i="23" s="1"/>
  <c r="H151" i="23"/>
  <c r="K151" i="23" s="1"/>
  <c r="N151" i="23" s="1"/>
  <c r="H152" i="23"/>
  <c r="K152" i="23" s="1"/>
  <c r="N152" i="23" s="1"/>
  <c r="H153" i="23"/>
  <c r="K153" i="23" s="1"/>
  <c r="N153" i="23" s="1"/>
  <c r="H154" i="23"/>
  <c r="K154" i="23" s="1"/>
  <c r="N154" i="23" s="1"/>
  <c r="H156" i="23"/>
  <c r="K156" i="23" s="1"/>
  <c r="N156" i="23" s="1"/>
  <c r="H157" i="23"/>
  <c r="H158" i="23"/>
  <c r="K158" i="23" s="1"/>
  <c r="N158" i="23" s="1"/>
  <c r="H167" i="23"/>
  <c r="K167" i="23" s="1"/>
  <c r="N167" i="23" s="1"/>
  <c r="H178" i="23"/>
  <c r="K178" i="23" s="1"/>
  <c r="N178" i="23" s="1"/>
  <c r="H179" i="23"/>
  <c r="K179" i="23" s="1"/>
  <c r="N179" i="23" s="1"/>
  <c r="H180" i="23"/>
  <c r="K180" i="23" s="1"/>
  <c r="N180" i="23" s="1"/>
  <c r="H181" i="23"/>
  <c r="H182" i="23"/>
  <c r="K182" i="23" s="1"/>
  <c r="N182" i="23" s="1"/>
  <c r="H189" i="23"/>
  <c r="H200" i="23"/>
  <c r="K200" i="23" s="1"/>
  <c r="N200" i="23" s="1"/>
  <c r="H211" i="23"/>
  <c r="K211" i="23" s="1"/>
  <c r="N211" i="23" s="1"/>
  <c r="H212" i="23"/>
  <c r="K212" i="23" s="1"/>
  <c r="N212" i="23" s="1"/>
  <c r="H213" i="23"/>
  <c r="H222" i="23"/>
  <c r="K222" i="23" s="1"/>
  <c r="N222" i="23" s="1"/>
  <c r="H233" i="23"/>
  <c r="K233" i="23" s="1"/>
  <c r="N233" i="23" s="1"/>
  <c r="H234" i="23"/>
  <c r="K234" i="23" s="1"/>
  <c r="N234" i="23" s="1"/>
  <c r="H244" i="23"/>
  <c r="K244" i="23" s="1"/>
  <c r="N244" i="23" s="1"/>
  <c r="H255" i="23"/>
  <c r="K255" i="23" s="1"/>
  <c r="N255" i="23" s="1"/>
  <c r="O255" i="23" s="1"/>
  <c r="H266" i="23"/>
  <c r="K266" i="23" s="1"/>
  <c r="N266" i="23" s="1"/>
  <c r="H277" i="23"/>
  <c r="H278" i="23"/>
  <c r="K278" i="23" s="1"/>
  <c r="N278" i="23" s="1"/>
  <c r="H279" i="23"/>
  <c r="K279" i="23" s="1"/>
  <c r="N279" i="23" s="1"/>
  <c r="H280" i="23"/>
  <c r="K280" i="23" s="1"/>
  <c r="N280" i="23" s="1"/>
  <c r="H281" i="23"/>
  <c r="K281" i="23" s="1"/>
  <c r="N281" i="23" s="1"/>
  <c r="H282" i="23"/>
  <c r="K282" i="23" s="1"/>
  <c r="N282" i="23" s="1"/>
  <c r="H283" i="23"/>
  <c r="K283" i="23" s="1"/>
  <c r="N283" i="23" s="1"/>
  <c r="H284" i="23"/>
  <c r="K284" i="23" s="1"/>
  <c r="N284" i="23" s="1"/>
  <c r="H288" i="23"/>
  <c r="K288" i="23" s="1"/>
  <c r="N288" i="23" s="1"/>
  <c r="H299" i="23"/>
  <c r="K299" i="23" s="1"/>
  <c r="N299" i="23" s="1"/>
  <c r="H310" i="23"/>
  <c r="K310" i="23" s="1"/>
  <c r="N310" i="23" s="1"/>
  <c r="H321" i="23"/>
  <c r="K321" i="23" s="1"/>
  <c r="N321" i="23" s="1"/>
  <c r="H322" i="23"/>
  <c r="K322" i="23" s="1"/>
  <c r="N322" i="23" s="1"/>
  <c r="H323" i="23"/>
  <c r="K323" i="23" s="1"/>
  <c r="N323" i="23" s="1"/>
  <c r="H332" i="23"/>
  <c r="K332" i="23" s="1"/>
  <c r="N332" i="23" s="1"/>
  <c r="H333" i="23"/>
  <c r="H334" i="23"/>
  <c r="K334" i="23" s="1"/>
  <c r="N334" i="23" s="1"/>
  <c r="H335" i="23"/>
  <c r="K335" i="23" s="1"/>
  <c r="N335" i="23" s="1"/>
  <c r="H336" i="23"/>
  <c r="K336" i="23" s="1"/>
  <c r="N336" i="23" s="1"/>
  <c r="H343" i="23"/>
  <c r="K343" i="23" s="1"/>
  <c r="N343" i="23" s="1"/>
  <c r="H344" i="23"/>
  <c r="K344" i="23" s="1"/>
  <c r="N344" i="23" s="1"/>
  <c r="H354" i="23"/>
  <c r="K354" i="23" s="1"/>
  <c r="N354" i="23" s="1"/>
  <c r="H355" i="23"/>
  <c r="K355" i="23" s="1"/>
  <c r="N355" i="23" s="1"/>
  <c r="H365" i="23"/>
  <c r="H376" i="23"/>
  <c r="K376" i="23" s="1"/>
  <c r="N376" i="23" s="1"/>
  <c r="H377" i="23"/>
  <c r="K377" i="23" s="1"/>
  <c r="N377" i="23" s="1"/>
  <c r="H378" i="23"/>
  <c r="K378" i="23" s="1"/>
  <c r="N378" i="23" s="1"/>
  <c r="H379" i="23"/>
  <c r="K379" i="23" s="1"/>
  <c r="N379" i="23" s="1"/>
  <c r="H380" i="23"/>
  <c r="K380" i="23" s="1"/>
  <c r="N380" i="23" s="1"/>
  <c r="H381" i="23"/>
  <c r="H387" i="23"/>
  <c r="K387" i="23" s="1"/>
  <c r="N387" i="23" s="1"/>
  <c r="H388" i="23"/>
  <c r="K388" i="23" s="1"/>
  <c r="N388" i="23" s="1"/>
  <c r="H397" i="23"/>
  <c r="H398" i="23"/>
  <c r="K398" i="23" s="1"/>
  <c r="N398" i="23" s="1"/>
  <c r="H399" i="23"/>
  <c r="K399" i="23" s="1"/>
  <c r="N399" i="23" s="1"/>
  <c r="H400" i="23"/>
  <c r="K400" i="23" s="1"/>
  <c r="N400" i="23" s="1"/>
  <c r="H409" i="23"/>
  <c r="K409" i="23" s="1"/>
  <c r="N409" i="23" s="1"/>
  <c r="H410" i="23"/>
  <c r="K410" i="23" s="1"/>
  <c r="N410" i="23" s="1"/>
  <c r="H411" i="23"/>
  <c r="K411" i="23" s="1"/>
  <c r="N411" i="23" s="1"/>
  <c r="H420" i="23"/>
  <c r="K420" i="23" s="1"/>
  <c r="N420" i="23" s="1"/>
  <c r="H431" i="23"/>
  <c r="K431" i="23" s="1"/>
  <c r="N431" i="23" s="1"/>
  <c r="H432" i="23"/>
  <c r="K432" i="23" s="1"/>
  <c r="N432" i="23" s="1"/>
  <c r="H433" i="23"/>
  <c r="K433" i="23" s="1"/>
  <c r="N433" i="23" s="1"/>
  <c r="H434" i="23"/>
  <c r="K434" i="23" s="1"/>
  <c r="N434" i="23" s="1"/>
  <c r="H442" i="23"/>
  <c r="K442" i="23" s="1"/>
  <c r="N442" i="23" s="1"/>
  <c r="H443" i="23"/>
  <c r="K443" i="23" s="1"/>
  <c r="N443" i="23" s="1"/>
  <c r="H444" i="23"/>
  <c r="K444" i="23" s="1"/>
  <c r="N444" i="23" s="1"/>
  <c r="H445" i="23"/>
  <c r="H453" i="23"/>
  <c r="H464" i="23"/>
  <c r="K464" i="23" s="1"/>
  <c r="N464" i="23" s="1"/>
  <c r="H475" i="23"/>
  <c r="K475" i="23" s="1"/>
  <c r="N475" i="23" s="1"/>
  <c r="H486" i="23"/>
  <c r="K486" i="23" s="1"/>
  <c r="N486" i="23" s="1"/>
  <c r="H487" i="23"/>
  <c r="K487" i="23" s="1"/>
  <c r="N487" i="23" s="1"/>
  <c r="H488" i="23"/>
  <c r="K488" i="23" s="1"/>
  <c r="N488" i="23" s="1"/>
  <c r="H489" i="23"/>
  <c r="K489" i="23" s="1"/>
  <c r="N489" i="23" s="1"/>
  <c r="H497" i="23"/>
  <c r="K497" i="23" s="1"/>
  <c r="N497" i="23" s="1"/>
  <c r="H498" i="23"/>
  <c r="K498" i="23" s="1"/>
  <c r="N498" i="23" s="1"/>
  <c r="H508" i="23"/>
  <c r="K508" i="23" s="1"/>
  <c r="N508" i="23" s="1"/>
  <c r="H509" i="23"/>
  <c r="H510" i="23"/>
  <c r="K510" i="23" s="1"/>
  <c r="N510" i="23" s="1"/>
  <c r="H511" i="23"/>
  <c r="K511" i="23" s="1"/>
  <c r="N511" i="23" s="1"/>
  <c r="O511" i="23" s="1"/>
  <c r="Y464" i="31" s="1"/>
  <c r="H512" i="23"/>
  <c r="K512" i="23" s="1"/>
  <c r="N512" i="23" s="1"/>
  <c r="H519" i="23"/>
  <c r="K519" i="23" s="1"/>
  <c r="N519" i="23" s="1"/>
  <c r="H530" i="23"/>
  <c r="K530" i="23" s="1"/>
  <c r="N530" i="23" s="1"/>
  <c r="H531" i="23"/>
  <c r="K531" i="23" s="1"/>
  <c r="N531" i="23" s="1"/>
  <c r="H541" i="23"/>
  <c r="H552" i="23"/>
  <c r="K552" i="23" s="1"/>
  <c r="N552" i="23" s="1"/>
  <c r="H553" i="23"/>
  <c r="K553" i="23" s="1"/>
  <c r="N553" i="23" s="1"/>
  <c r="H554" i="23"/>
  <c r="K554" i="23" s="1"/>
  <c r="N554" i="23" s="1"/>
  <c r="H555" i="23"/>
  <c r="K555" i="23" s="1"/>
  <c r="N555" i="23" s="1"/>
  <c r="H556" i="23"/>
  <c r="K556" i="23" s="1"/>
  <c r="N556" i="23" s="1"/>
  <c r="H563" i="23"/>
  <c r="K563" i="23" s="1"/>
  <c r="N563" i="23" s="1"/>
  <c r="H574" i="23"/>
  <c r="K574" i="23" s="1"/>
  <c r="N574" i="23" s="1"/>
  <c r="H575" i="23"/>
  <c r="K575" i="23" s="1"/>
  <c r="N575" i="23" s="1"/>
  <c r="O575" i="23" s="1"/>
  <c r="Y522" i="31" s="1"/>
  <c r="H585" i="23"/>
  <c r="K585" i="23" s="1"/>
  <c r="N585" i="23" s="1"/>
  <c r="H586" i="23"/>
  <c r="K586" i="23" s="1"/>
  <c r="N586" i="23" s="1"/>
  <c r="H587" i="23"/>
  <c r="K587" i="23" s="1"/>
  <c r="N587" i="23" s="1"/>
  <c r="H588" i="23"/>
  <c r="K588" i="23" s="1"/>
  <c r="N588" i="23" s="1"/>
  <c r="H589" i="23"/>
  <c r="H590" i="23"/>
  <c r="K590" i="23" s="1"/>
  <c r="N590" i="23" s="1"/>
  <c r="H591" i="23"/>
  <c r="K591" i="23" s="1"/>
  <c r="N591" i="23" s="1"/>
  <c r="O591" i="23" s="1"/>
  <c r="Y537" i="31" s="1"/>
  <c r="H596" i="23"/>
  <c r="K596" i="23" s="1"/>
  <c r="H607" i="23"/>
  <c r="K607" i="23" s="1"/>
  <c r="N607" i="23" s="1"/>
  <c r="O607" i="23" s="1"/>
  <c r="H618" i="23"/>
  <c r="K618" i="23" s="1"/>
  <c r="N618" i="23" s="1"/>
  <c r="H619" i="23"/>
  <c r="K619" i="23" s="1"/>
  <c r="N619" i="23" s="1"/>
  <c r="H620" i="23"/>
  <c r="K620" i="23" s="1"/>
  <c r="N620" i="23" s="1"/>
  <c r="H629" i="23"/>
  <c r="H630" i="23"/>
  <c r="K630" i="23" s="1"/>
  <c r="N630" i="23" s="1"/>
  <c r="H631" i="23"/>
  <c r="K631" i="23" s="1"/>
  <c r="N631" i="23" s="1"/>
  <c r="H632" i="23"/>
  <c r="K632" i="23" s="1"/>
  <c r="N632" i="23" s="1"/>
  <c r="H633" i="23"/>
  <c r="K633" i="23" s="1"/>
  <c r="N633" i="23" s="1"/>
  <c r="H634" i="23"/>
  <c r="K634" i="23" s="1"/>
  <c r="N634" i="23" s="1"/>
  <c r="H640" i="23"/>
  <c r="K640" i="23" s="1"/>
  <c r="N640" i="23" s="1"/>
  <c r="H641" i="23"/>
  <c r="K641" i="23" s="1"/>
  <c r="N641" i="23" s="1"/>
  <c r="H642" i="23"/>
  <c r="K642" i="23" s="1"/>
  <c r="N642" i="23" s="1"/>
  <c r="H643" i="23"/>
  <c r="K643" i="23" s="1"/>
  <c r="N643" i="23" s="1"/>
  <c r="H644" i="23"/>
  <c r="K644" i="23" s="1"/>
  <c r="N644" i="23" s="1"/>
  <c r="H651" i="23"/>
  <c r="K651" i="23" s="1"/>
  <c r="N651" i="23" s="1"/>
  <c r="H652" i="23"/>
  <c r="K652" i="23" s="1"/>
  <c r="N652" i="23" s="1"/>
  <c r="H653" i="23"/>
  <c r="H654" i="23"/>
  <c r="K654" i="23" s="1"/>
  <c r="N654" i="23" s="1"/>
  <c r="H655" i="23"/>
  <c r="K655" i="23" s="1"/>
  <c r="N655" i="23" s="1"/>
  <c r="H656" i="23"/>
  <c r="K656" i="23" s="1"/>
  <c r="N656" i="23" s="1"/>
  <c r="H662" i="23"/>
  <c r="K662" i="23" s="1"/>
  <c r="N662" i="23" s="1"/>
  <c r="H673" i="23"/>
  <c r="K673" i="23" s="1"/>
  <c r="N673" i="23" s="1"/>
  <c r="H674" i="23"/>
  <c r="K674" i="23" s="1"/>
  <c r="N674" i="23" s="1"/>
  <c r="H675" i="23"/>
  <c r="K675" i="23" s="1"/>
  <c r="N675" i="23" s="1"/>
  <c r="H676" i="23"/>
  <c r="K676" i="23" s="1"/>
  <c r="N676" i="23" s="1"/>
  <c r="H684" i="23"/>
  <c r="K684" i="23" s="1"/>
  <c r="N684" i="23" s="1"/>
  <c r="H695" i="23"/>
  <c r="K695" i="23" s="1"/>
  <c r="N695" i="23" s="1"/>
  <c r="H696" i="23"/>
  <c r="K696" i="23" s="1"/>
  <c r="N696" i="23" s="1"/>
  <c r="H697" i="23"/>
  <c r="K697" i="23" s="1"/>
  <c r="N697" i="23" s="1"/>
  <c r="H706" i="23"/>
  <c r="K706" i="23" s="1"/>
  <c r="N706" i="23" s="1"/>
  <c r="H707" i="23"/>
  <c r="K707" i="23" s="1"/>
  <c r="N707" i="23" s="1"/>
  <c r="H708" i="23"/>
  <c r="K708" i="23" s="1"/>
  <c r="N708" i="23" s="1"/>
  <c r="H709" i="23"/>
  <c r="H710" i="23"/>
  <c r="K710" i="23" s="1"/>
  <c r="N710" i="23" s="1"/>
  <c r="H711" i="23"/>
  <c r="K711" i="23" s="1"/>
  <c r="N711" i="23" s="1"/>
  <c r="H712" i="23"/>
  <c r="K712" i="23" s="1"/>
  <c r="N712" i="23" s="1"/>
  <c r="H713" i="23"/>
  <c r="K713" i="23" s="1"/>
  <c r="N713" i="23" s="1"/>
  <c r="H717" i="23"/>
  <c r="H727" i="23"/>
  <c r="K727" i="23" s="1"/>
  <c r="N727" i="23" s="1"/>
  <c r="H728" i="23"/>
  <c r="K728" i="23" s="1"/>
  <c r="N728" i="23" s="1"/>
  <c r="H739" i="23"/>
  <c r="K739" i="23" s="1"/>
  <c r="N739" i="23" s="1"/>
  <c r="H750" i="23"/>
  <c r="K750" i="23" s="1"/>
  <c r="N750" i="23" s="1"/>
  <c r="H751" i="23"/>
  <c r="K751" i="23" s="1"/>
  <c r="N751" i="23" s="1"/>
  <c r="H752" i="23"/>
  <c r="K752" i="23" s="1"/>
  <c r="N752" i="23" s="1"/>
  <c r="H761" i="23"/>
  <c r="K761" i="23" s="1"/>
  <c r="N761" i="23" s="1"/>
  <c r="H772" i="23"/>
  <c r="K772" i="23" s="1"/>
  <c r="N772" i="23" s="1"/>
  <c r="H783" i="23"/>
  <c r="K783" i="23" s="1"/>
  <c r="N783" i="23" s="1"/>
  <c r="H794" i="23"/>
  <c r="K794" i="23" s="1"/>
  <c r="N794" i="23" s="1"/>
  <c r="H795" i="23"/>
  <c r="K795" i="23" s="1"/>
  <c r="N795" i="23" s="1"/>
  <c r="H796" i="23"/>
  <c r="K796" i="23" s="1"/>
  <c r="N796" i="23" s="1"/>
  <c r="H797" i="23"/>
  <c r="H798" i="23"/>
  <c r="K798" i="23" s="1"/>
  <c r="N798" i="23" s="1"/>
  <c r="H805" i="23"/>
  <c r="H816" i="23"/>
  <c r="K816" i="23" s="1"/>
  <c r="N816" i="23" s="1"/>
  <c r="H817" i="23"/>
  <c r="K817" i="23" s="1"/>
  <c r="N817" i="23" s="1"/>
  <c r="H818" i="23"/>
  <c r="K818" i="23" s="1"/>
  <c r="H819" i="23"/>
  <c r="K819" i="23" s="1"/>
  <c r="N819" i="23" s="1"/>
  <c r="H820" i="23"/>
  <c r="K820" i="23" s="1"/>
  <c r="N820" i="23" s="1"/>
  <c r="H821" i="23"/>
  <c r="H822" i="23"/>
  <c r="K822" i="23" s="1"/>
  <c r="N822" i="23" s="1"/>
  <c r="H823" i="23"/>
  <c r="K823" i="23" s="1"/>
  <c r="N823" i="23" s="1"/>
  <c r="H824" i="23"/>
  <c r="K824" i="23" s="1"/>
  <c r="N824" i="23" s="1"/>
  <c r="H825" i="23"/>
  <c r="K825" i="23" s="1"/>
  <c r="N825" i="23" s="1"/>
  <c r="H826" i="23"/>
  <c r="K826" i="23" s="1"/>
  <c r="N826" i="23" s="1"/>
  <c r="H827" i="23"/>
  <c r="K827" i="23" s="1"/>
  <c r="N827" i="23" s="1"/>
  <c r="H828" i="23"/>
  <c r="K828" i="23" s="1"/>
  <c r="N828" i="23" s="1"/>
  <c r="H829" i="23"/>
  <c r="H830" i="23"/>
  <c r="K830" i="23" s="1"/>
  <c r="N830" i="23" s="1"/>
  <c r="H831" i="23"/>
  <c r="K831" i="23" s="1"/>
  <c r="N831" i="23" s="1"/>
  <c r="H838" i="23"/>
  <c r="K838" i="23" s="1"/>
  <c r="N838" i="23" s="1"/>
  <c r="H839" i="23"/>
  <c r="K839" i="23" s="1"/>
  <c r="N839" i="23" s="1"/>
  <c r="H840" i="23"/>
  <c r="K840" i="23" s="1"/>
  <c r="N840" i="23" s="1"/>
  <c r="H841" i="23"/>
  <c r="K841" i="23" s="1"/>
  <c r="N841" i="23" s="1"/>
  <c r="H849" i="23"/>
  <c r="K849" i="23" s="1"/>
  <c r="N849" i="23" s="1"/>
  <c r="H860" i="23"/>
  <c r="K860" i="23" s="1"/>
  <c r="N860" i="23" s="1"/>
  <c r="H871" i="23"/>
  <c r="K871" i="23" s="1"/>
  <c r="N871" i="23" s="1"/>
  <c r="H882" i="23"/>
  <c r="K882" i="23" s="1"/>
  <c r="N882" i="23" s="1"/>
  <c r="H883" i="23"/>
  <c r="K883" i="23" s="1"/>
  <c r="N883" i="23" s="1"/>
  <c r="H884" i="23"/>
  <c r="K884" i="23" s="1"/>
  <c r="N884" i="23" s="1"/>
  <c r="H885" i="23"/>
  <c r="H893" i="23"/>
  <c r="H894" i="23"/>
  <c r="K894" i="23" s="1"/>
  <c r="N894" i="23" s="1"/>
  <c r="H895" i="23"/>
  <c r="K895" i="23" s="1"/>
  <c r="N895" i="23" s="1"/>
  <c r="H896" i="23"/>
  <c r="K896" i="23" s="1"/>
  <c r="N896" i="23" s="1"/>
  <c r="H897" i="23"/>
  <c r="K897" i="23" s="1"/>
  <c r="N897" i="23" s="1"/>
  <c r="H898" i="23"/>
  <c r="K898" i="23" s="1"/>
  <c r="N898" i="23" s="1"/>
  <c r="H904" i="23"/>
  <c r="K904" i="23" s="1"/>
  <c r="N904" i="23" s="1"/>
  <c r="H915" i="23"/>
  <c r="K915" i="23" s="1"/>
  <c r="N915" i="23" s="1"/>
  <c r="H926" i="23"/>
  <c r="K926" i="23" s="1"/>
  <c r="N926" i="23" s="1"/>
  <c r="H937" i="23"/>
  <c r="K937" i="23" s="1"/>
  <c r="N937" i="23" s="1"/>
  <c r="H938" i="23"/>
  <c r="K938" i="23" s="1"/>
  <c r="N938" i="23" s="1"/>
  <c r="H948" i="23"/>
  <c r="K948" i="23" s="1"/>
  <c r="N948" i="23" s="1"/>
  <c r="H949" i="23"/>
  <c r="H950" i="23"/>
  <c r="K950" i="23" s="1"/>
  <c r="N950" i="23" s="1"/>
  <c r="H951" i="23"/>
  <c r="K951" i="23" s="1"/>
  <c r="N951" i="23" s="1"/>
  <c r="H952" i="23"/>
  <c r="K952" i="23" s="1"/>
  <c r="N952" i="23" s="1"/>
  <c r="H953" i="23"/>
  <c r="K953" i="23" s="1"/>
  <c r="N953" i="23" s="1"/>
  <c r="H954" i="23"/>
  <c r="K954" i="23" s="1"/>
  <c r="N954" i="23" s="1"/>
  <c r="H955" i="23"/>
  <c r="K955" i="23" s="1"/>
  <c r="N955" i="23" s="1"/>
  <c r="H956" i="23"/>
  <c r="K956" i="23" s="1"/>
  <c r="N956" i="23" s="1"/>
  <c r="H957" i="23"/>
  <c r="H958" i="23"/>
  <c r="K958" i="23" s="1"/>
  <c r="N958" i="23" s="1"/>
  <c r="H959" i="23"/>
  <c r="K959" i="23" s="1"/>
  <c r="N959" i="23" s="1"/>
  <c r="H960" i="23"/>
  <c r="K960" i="23" s="1"/>
  <c r="N960" i="23" s="1"/>
  <c r="H961" i="23"/>
  <c r="K961" i="23" s="1"/>
  <c r="N961" i="23" s="1"/>
  <c r="H962" i="23"/>
  <c r="K962" i="23" s="1"/>
  <c r="N962" i="23" s="1"/>
  <c r="H963" i="23"/>
  <c r="K963" i="23" s="1"/>
  <c r="N963" i="23" s="1"/>
  <c r="H964" i="23"/>
  <c r="K964" i="23" s="1"/>
  <c r="N964" i="23" s="1"/>
  <c r="H965" i="23"/>
  <c r="H966" i="23"/>
  <c r="K966" i="23" s="1"/>
  <c r="N966" i="23" s="1"/>
  <c r="H967" i="23"/>
  <c r="K967" i="23" s="1"/>
  <c r="N967" i="23" s="1"/>
  <c r="H968" i="23"/>
  <c r="K968" i="23" s="1"/>
  <c r="N968" i="23" s="1"/>
  <c r="H969" i="23"/>
  <c r="K969" i="23" s="1"/>
  <c r="N969" i="23" s="1"/>
  <c r="H970" i="23"/>
  <c r="K970" i="23" s="1"/>
  <c r="N970" i="23" s="1"/>
  <c r="H981" i="23"/>
  <c r="H992" i="23"/>
  <c r="K992" i="23" s="1"/>
  <c r="N992" i="23" s="1"/>
  <c r="H1003" i="23"/>
  <c r="K1003" i="23" s="1"/>
  <c r="N1003" i="23" s="1"/>
  <c r="H1014" i="23"/>
  <c r="K1014" i="23" s="1"/>
  <c r="N1014" i="23" s="1"/>
  <c r="H1025" i="23"/>
  <c r="K1025" i="23" s="1"/>
  <c r="N1025" i="23" s="1"/>
  <c r="H1036" i="23"/>
  <c r="K1036" i="23" s="1"/>
  <c r="N1036" i="23" s="1"/>
  <c r="H1037" i="23"/>
  <c r="H1038" i="23"/>
  <c r="K1038" i="23" s="1"/>
  <c r="N1038" i="23" s="1"/>
  <c r="H1039" i="23"/>
  <c r="K1039" i="23" s="1"/>
  <c r="N1039" i="23" s="1"/>
  <c r="H1040" i="23"/>
  <c r="K1040" i="23" s="1"/>
  <c r="N1040" i="23" s="1"/>
  <c r="H1047" i="23"/>
  <c r="K1047" i="23" s="1"/>
  <c r="N1047" i="23" s="1"/>
  <c r="H1058" i="23"/>
  <c r="K1058" i="23" s="1"/>
  <c r="N1058" i="23" s="1"/>
  <c r="H1059" i="23"/>
  <c r="K1059" i="23" s="1"/>
  <c r="N1059" i="23" s="1"/>
  <c r="H1060" i="23"/>
  <c r="K1060" i="23" s="1"/>
  <c r="N1060" i="23" s="1"/>
  <c r="H1069" i="23"/>
  <c r="H1070" i="23"/>
  <c r="K1070" i="23" s="1"/>
  <c r="N1070" i="23" s="1"/>
  <c r="H1071" i="23"/>
  <c r="K1071" i="23" s="1"/>
  <c r="N1071" i="23" s="1"/>
  <c r="O1071" i="23" s="1"/>
  <c r="Y973" i="31" s="1"/>
  <c r="H1080" i="23"/>
  <c r="K1080" i="23" s="1"/>
  <c r="N1080" i="23" s="1"/>
  <c r="H1081" i="23"/>
  <c r="K1081" i="23" s="1"/>
  <c r="N1081" i="23" s="1"/>
  <c r="H1082" i="23"/>
  <c r="K1082" i="23" s="1"/>
  <c r="N1082" i="23" s="1"/>
  <c r="H1083" i="23"/>
  <c r="H1084" i="23"/>
  <c r="K1084" i="23" s="1"/>
  <c r="N1084" i="23" s="1"/>
  <c r="H1085" i="23"/>
  <c r="K1085" i="23" s="1"/>
  <c r="N1085" i="23" s="1"/>
  <c r="H1086" i="23"/>
  <c r="K1086" i="23" s="1"/>
  <c r="N1086" i="23" s="1"/>
  <c r="H1091" i="23"/>
  <c r="H1102" i="23"/>
  <c r="K1102" i="23" s="1"/>
  <c r="N1102" i="23" s="1"/>
  <c r="H1113" i="23"/>
  <c r="K1113" i="23" s="1"/>
  <c r="N1113" i="23" s="1"/>
  <c r="H1124" i="23"/>
  <c r="K1124" i="23" s="1"/>
  <c r="N1124" i="23" s="1"/>
  <c r="H1135" i="23"/>
  <c r="H1146" i="23"/>
  <c r="K1146" i="23" s="1"/>
  <c r="N1146" i="23" s="1"/>
  <c r="H1147" i="23"/>
  <c r="H1157" i="23"/>
  <c r="K1157" i="23" s="1"/>
  <c r="N1157" i="23" s="1"/>
  <c r="H1168" i="23"/>
  <c r="K1168" i="23" s="1"/>
  <c r="N1168" i="23" s="1"/>
  <c r="H1169" i="23"/>
  <c r="K1169" i="23" s="1"/>
  <c r="N1169" i="23" s="1"/>
  <c r="H1170" i="23"/>
  <c r="K1170" i="23" s="1"/>
  <c r="N1170" i="23" s="1"/>
  <c r="H1171" i="23"/>
  <c r="H1172" i="23"/>
  <c r="K1172" i="23" s="1"/>
  <c r="N1172" i="23" s="1"/>
  <c r="H1179" i="23"/>
  <c r="H1190" i="23"/>
  <c r="K1190" i="23" s="1"/>
  <c r="N1190" i="23" s="1"/>
  <c r="H1201" i="23"/>
  <c r="K1201" i="23" s="1"/>
  <c r="N1201" i="23" s="1"/>
  <c r="H1212" i="23"/>
  <c r="K1212" i="23" s="1"/>
  <c r="N1212" i="23" s="1"/>
  <c r="H1223" i="23"/>
  <c r="H1234" i="23"/>
  <c r="K1234" i="23" s="1"/>
  <c r="N1234" i="23" s="1"/>
  <c r="H1235" i="23"/>
  <c r="H1236" i="23"/>
  <c r="K1236" i="23" s="1"/>
  <c r="N1236" i="23" s="1"/>
  <c r="H1237" i="23"/>
  <c r="K1237" i="23" s="1"/>
  <c r="N1237" i="23" s="1"/>
  <c r="H1245" i="23"/>
  <c r="K1245" i="23" s="1"/>
  <c r="N1245" i="23" s="1"/>
  <c r="H1256" i="23"/>
  <c r="K1256" i="23" s="1"/>
  <c r="N1256" i="23" s="1"/>
  <c r="H1257" i="23"/>
  <c r="K1257" i="23" s="1"/>
  <c r="N1257" i="23" s="1"/>
  <c r="H1258" i="23"/>
  <c r="K1258" i="23" s="1"/>
  <c r="N1258" i="23" s="1"/>
  <c r="H1259" i="23"/>
  <c r="H1260" i="23"/>
  <c r="K1260" i="23" s="1"/>
  <c r="N1260" i="23" s="1"/>
  <c r="H1261" i="23"/>
  <c r="K1261" i="23" s="1"/>
  <c r="N1261" i="23" s="1"/>
  <c r="H1262" i="23"/>
  <c r="K1262" i="23" s="1"/>
  <c r="N1262" i="23" s="1"/>
  <c r="H1263" i="23"/>
  <c r="H1267" i="23"/>
  <c r="H1278" i="23"/>
  <c r="K1278" i="23" s="1"/>
  <c r="N1278" i="23" s="1"/>
  <c r="H1289" i="23"/>
  <c r="K1289" i="23" s="1"/>
  <c r="N1289" i="23" s="1"/>
  <c r="H1290" i="23"/>
  <c r="K1290" i="23" s="1"/>
  <c r="N1290" i="23" s="1"/>
  <c r="H1291" i="23"/>
  <c r="H1292" i="23"/>
  <c r="K1292" i="23" s="1"/>
  <c r="N1292" i="23" s="1"/>
  <c r="H1300" i="23"/>
  <c r="K1300" i="23" s="1"/>
  <c r="N1300" i="23" s="1"/>
  <c r="H1310" i="23"/>
  <c r="K1310" i="23" s="1"/>
  <c r="N1310" i="23" s="1"/>
  <c r="H1311" i="23"/>
  <c r="H1322" i="23"/>
  <c r="K1322" i="23" s="1"/>
  <c r="N1322" i="23" s="1"/>
  <c r="H1333" i="23"/>
  <c r="K1333" i="23" s="1"/>
  <c r="N1333" i="23" s="1"/>
  <c r="H1334" i="23"/>
  <c r="K1334" i="23" s="1"/>
  <c r="N1334" i="23" s="1"/>
  <c r="H1335" i="23"/>
  <c r="H1336" i="23"/>
  <c r="K1336" i="23" s="1"/>
  <c r="N1336" i="23" s="1"/>
  <c r="H1337" i="23"/>
  <c r="K1337" i="23" s="1"/>
  <c r="N1337" i="23" s="1"/>
  <c r="H1338" i="23"/>
  <c r="K1338" i="23" s="1"/>
  <c r="N1338" i="23" s="1"/>
  <c r="H1339" i="23"/>
  <c r="H1340" i="23"/>
  <c r="K1340" i="23" s="1"/>
  <c r="N1340" i="23" s="1"/>
  <c r="H1341" i="23"/>
  <c r="K1341" i="23" s="1"/>
  <c r="N1341" i="23" s="1"/>
  <c r="H1342" i="23"/>
  <c r="K1342" i="23" s="1"/>
  <c r="N1342" i="23" s="1"/>
  <c r="H1343" i="23"/>
  <c r="H1344" i="23"/>
  <c r="K1344" i="23" s="1"/>
  <c r="N1344" i="23" s="1"/>
  <c r="H1345" i="23"/>
  <c r="K1345" i="23" s="1"/>
  <c r="N1345" i="23" s="1"/>
  <c r="H1346" i="23"/>
  <c r="K1346" i="23" s="1"/>
  <c r="N1346" i="23" s="1"/>
  <c r="H1347" i="23"/>
  <c r="H1348" i="23"/>
  <c r="K1348" i="23" s="1"/>
  <c r="N1348" i="23" s="1"/>
  <c r="H1355" i="23"/>
  <c r="H1366" i="23"/>
  <c r="K1366" i="23" s="1"/>
  <c r="N1366" i="23" s="1"/>
  <c r="H1367" i="23"/>
  <c r="H1368" i="23"/>
  <c r="K1368" i="23" s="1"/>
  <c r="N1368" i="23" s="1"/>
  <c r="H1369" i="23"/>
  <c r="K1369" i="23" s="1"/>
  <c r="N1369" i="23" s="1"/>
  <c r="H1370" i="23"/>
  <c r="K1370" i="23" s="1"/>
  <c r="N1370" i="23" s="1"/>
  <c r="H1371" i="23"/>
  <c r="H1372" i="23"/>
  <c r="K1372" i="23" s="1"/>
  <c r="N1372" i="23" s="1"/>
  <c r="H1373" i="23"/>
  <c r="K1373" i="23" s="1"/>
  <c r="N1373" i="23" s="1"/>
  <c r="H1374" i="23"/>
  <c r="K1374" i="23" s="1"/>
  <c r="N1374" i="23" s="1"/>
  <c r="H1375" i="23"/>
  <c r="H1376" i="23"/>
  <c r="K1376" i="23" s="1"/>
  <c r="N1376" i="23" s="1"/>
  <c r="H1377" i="23"/>
  <c r="K1377" i="23" s="1"/>
  <c r="N1377" i="23" s="1"/>
  <c r="H1378" i="23"/>
  <c r="K1378" i="23" s="1"/>
  <c r="N1378" i="23" s="1"/>
  <c r="H1388" i="23"/>
  <c r="K1388" i="23" s="1"/>
  <c r="N1388" i="23" s="1"/>
  <c r="H1389" i="23"/>
  <c r="K1389" i="23" s="1"/>
  <c r="N1389" i="23" s="1"/>
  <c r="H1399" i="23"/>
  <c r="H1400" i="23"/>
  <c r="K1400" i="23" s="1"/>
  <c r="N1400" i="23" s="1"/>
  <c r="H1401" i="23"/>
  <c r="K1401" i="23" s="1"/>
  <c r="N1401" i="23" s="1"/>
  <c r="H1402" i="23"/>
  <c r="K1402" i="23" s="1"/>
  <c r="N1402" i="23" s="1"/>
  <c r="H1410" i="23"/>
  <c r="K1410" i="23" s="1"/>
  <c r="N1410" i="23" s="1"/>
  <c r="H1421" i="23"/>
  <c r="K1421" i="23" s="1"/>
  <c r="N1421" i="23" s="1"/>
  <c r="H1422" i="23"/>
  <c r="K1422" i="23" s="1"/>
  <c r="N1422" i="23" s="1"/>
  <c r="H1423" i="23"/>
  <c r="H1424" i="23"/>
  <c r="K1424" i="23" s="1"/>
  <c r="N1424" i="23" s="1"/>
  <c r="H1425" i="23"/>
  <c r="K1425" i="23" s="1"/>
  <c r="N1425" i="23" s="1"/>
  <c r="H1432" i="23"/>
  <c r="K1432" i="23" s="1"/>
  <c r="N1432" i="23" s="1"/>
  <c r="H1443" i="23"/>
  <c r="H1444" i="23"/>
  <c r="K1444" i="23" s="1"/>
  <c r="N1444" i="23" s="1"/>
  <c r="H1454" i="23"/>
  <c r="K1454" i="23" s="1"/>
  <c r="N1454" i="23" s="1"/>
  <c r="H1465" i="23"/>
  <c r="K1465" i="23" s="1"/>
  <c r="N1465" i="23" s="1"/>
  <c r="H1466" i="23"/>
  <c r="K1466" i="23" s="1"/>
  <c r="N1466" i="23" s="1"/>
  <c r="H1467" i="23"/>
  <c r="H1468" i="23"/>
  <c r="K1468" i="23" s="1"/>
  <c r="N1468" i="23" s="1"/>
  <c r="H1469" i="23"/>
  <c r="K1469" i="23" s="1"/>
  <c r="N1469" i="23" s="1"/>
  <c r="H1470" i="23"/>
  <c r="K1470" i="23" s="1"/>
  <c r="N1470" i="23" s="1"/>
  <c r="H1476" i="23"/>
  <c r="K1476" i="23" s="1"/>
  <c r="N1476" i="23" s="1"/>
  <c r="H1477" i="23"/>
  <c r="K1477" i="23" s="1"/>
  <c r="N1477" i="23" s="1"/>
  <c r="H1478" i="23"/>
  <c r="K1478" i="23" s="1"/>
  <c r="N1478" i="23" s="1"/>
  <c r="H1479" i="23"/>
  <c r="H1480" i="23"/>
  <c r="K1480" i="23" s="1"/>
  <c r="N1480" i="23" s="1"/>
  <c r="H1481" i="23"/>
  <c r="K1481" i="23" s="1"/>
  <c r="N1481" i="23" s="1"/>
  <c r="H1487" i="23"/>
  <c r="H1488" i="23"/>
  <c r="K1488" i="23" s="1"/>
  <c r="N1488" i="23" s="1"/>
  <c r="H1489" i="23"/>
  <c r="K1489" i="23" s="1"/>
  <c r="N1489" i="23" s="1"/>
  <c r="H1490" i="23"/>
  <c r="K1490" i="23" s="1"/>
  <c r="N1490" i="23" s="1"/>
  <c r="H1491" i="23"/>
  <c r="H1492" i="23"/>
  <c r="K1492" i="23" s="1"/>
  <c r="N1492" i="23" s="1"/>
  <c r="H1493" i="23"/>
  <c r="K1493" i="23" s="1"/>
  <c r="N1493" i="23" s="1"/>
  <c r="H1494" i="23"/>
  <c r="K1494" i="23" s="1"/>
  <c r="N1494" i="23" s="1"/>
  <c r="H1498" i="23"/>
  <c r="K1498" i="23" s="1"/>
  <c r="N1498" i="23" s="1"/>
  <c r="H1499" i="23"/>
  <c r="H1509" i="23"/>
  <c r="K1509" i="23" s="1"/>
  <c r="N1509" i="23" s="1"/>
  <c r="H1510" i="23"/>
  <c r="K1510" i="23" s="1"/>
  <c r="N1510" i="23" s="1"/>
  <c r="H1511" i="23"/>
  <c r="H1512" i="23"/>
  <c r="K1512" i="23" s="1"/>
  <c r="N1512" i="23" s="1"/>
  <c r="H1513" i="23"/>
  <c r="K1513" i="23" s="1"/>
  <c r="N1513" i="23" s="1"/>
  <c r="H1514" i="23"/>
  <c r="K1514" i="23" s="1"/>
  <c r="N1514" i="23" s="1"/>
  <c r="H1515" i="23"/>
  <c r="H1516" i="23"/>
  <c r="K1516" i="23" s="1"/>
  <c r="N1516" i="23" s="1"/>
  <c r="H1517" i="23"/>
  <c r="K1517" i="23" s="1"/>
  <c r="N1517" i="23" s="1"/>
  <c r="H1518" i="23"/>
  <c r="K1518" i="23" s="1"/>
  <c r="N1518" i="23" s="1"/>
  <c r="H1520" i="23"/>
  <c r="K1520" i="23" s="1"/>
  <c r="N1520" i="23" s="1"/>
  <c r="H1531" i="23"/>
  <c r="H1542" i="23"/>
  <c r="K1542" i="23" s="1"/>
  <c r="N1542" i="23" s="1"/>
  <c r="H1545" i="23"/>
  <c r="K1545" i="23" s="1"/>
  <c r="N1545" i="23" s="1"/>
  <c r="H1553" i="23"/>
  <c r="K1553" i="23" s="1"/>
  <c r="N1553" i="23" s="1"/>
  <c r="H1554" i="23"/>
  <c r="K1554" i="23" s="1"/>
  <c r="N1554" i="23" s="1"/>
  <c r="H1555" i="23"/>
  <c r="H1557" i="23"/>
  <c r="K1557" i="23" s="1"/>
  <c r="N1557" i="23" s="1"/>
  <c r="H1564" i="23"/>
  <c r="K1564" i="23" s="1"/>
  <c r="N1564" i="23" s="1"/>
  <c r="H1565" i="23"/>
  <c r="K1565" i="23" s="1"/>
  <c r="N1565" i="23" s="1"/>
  <c r="H1566" i="23"/>
  <c r="K1566" i="23" s="1"/>
  <c r="N1566" i="23" s="1"/>
  <c r="H1567" i="23"/>
  <c r="H1568" i="23"/>
  <c r="K1568" i="23" s="1"/>
  <c r="N1568" i="23" s="1"/>
  <c r="H1569" i="23"/>
  <c r="K1569" i="23" s="1"/>
  <c r="N1569" i="23" s="1"/>
  <c r="H1570" i="23"/>
  <c r="K1570" i="23" s="1"/>
  <c r="N1570" i="23" s="1"/>
  <c r="H1571" i="23"/>
  <c r="H1572" i="23"/>
  <c r="K1572" i="23" s="1"/>
  <c r="N1572" i="23" s="1"/>
  <c r="H1573" i="23"/>
  <c r="K1573" i="23" s="1"/>
  <c r="N1573" i="23" s="1"/>
  <c r="H1574" i="23"/>
  <c r="K1574" i="23" s="1"/>
  <c r="N1574" i="23" s="1"/>
  <c r="H1575" i="23"/>
  <c r="H1576" i="23"/>
  <c r="K1576" i="23" s="1"/>
  <c r="N1576" i="23" s="1"/>
  <c r="H1577" i="23"/>
  <c r="K1577" i="23" s="1"/>
  <c r="N1577" i="23" s="1"/>
  <c r="H1586" i="23"/>
  <c r="K1586" i="23" s="1"/>
  <c r="H1590" i="23"/>
  <c r="K1590" i="23" s="1"/>
  <c r="N1590" i="23" s="1"/>
  <c r="H1591" i="23"/>
  <c r="H1592" i="23"/>
  <c r="K1592" i="23" s="1"/>
  <c r="N1592" i="23" s="1"/>
  <c r="H1593" i="23"/>
  <c r="K1593" i="23" s="1"/>
  <c r="N1593" i="23" s="1"/>
  <c r="H1594" i="23"/>
  <c r="K1594" i="23" s="1"/>
  <c r="N1594" i="23" s="1"/>
  <c r="H1595" i="23"/>
  <c r="H1596" i="23"/>
  <c r="K1596" i="23" s="1"/>
  <c r="N1596" i="23" s="1"/>
  <c r="H1597" i="23"/>
  <c r="K1597" i="23" s="1"/>
  <c r="N1597" i="23" s="1"/>
  <c r="H1598" i="23"/>
  <c r="K1598" i="23" s="1"/>
  <c r="N1598" i="23" s="1"/>
  <c r="H1599" i="23"/>
  <c r="H1600" i="23"/>
  <c r="K1600" i="23" s="1"/>
  <c r="N1600" i="23" s="1"/>
  <c r="H1601" i="23"/>
  <c r="K1601" i="23" s="1"/>
  <c r="N1601" i="23" s="1"/>
  <c r="H1602" i="23"/>
  <c r="K1602" i="23" s="1"/>
  <c r="N1602" i="23" s="1"/>
  <c r="H1603" i="23"/>
  <c r="H1604" i="23"/>
  <c r="K1604" i="23" s="1"/>
  <c r="N1604" i="23" s="1"/>
  <c r="H1605" i="23"/>
  <c r="K1605" i="23" s="1"/>
  <c r="N1605" i="23" s="1"/>
  <c r="H1606" i="23"/>
  <c r="K1606" i="23" s="1"/>
  <c r="N1606" i="23" s="1"/>
  <c r="H1607" i="23"/>
  <c r="H1608" i="23"/>
  <c r="K1608" i="23" s="1"/>
  <c r="N1608" i="23" s="1"/>
  <c r="H1619" i="23"/>
  <c r="G3" i="23"/>
  <c r="I3" i="23" s="1"/>
  <c r="G35" i="23"/>
  <c r="I35" i="23" s="1"/>
  <c r="G115" i="23"/>
  <c r="I115" i="23" s="1"/>
  <c r="G147" i="23"/>
  <c r="I147" i="23" s="1"/>
  <c r="G211" i="23"/>
  <c r="I211" i="23" s="1"/>
  <c r="G323" i="23"/>
  <c r="I323" i="23" s="1"/>
  <c r="G387" i="23"/>
  <c r="I387" i="23" s="1"/>
  <c r="G563" i="23"/>
  <c r="I563" i="23" s="1"/>
  <c r="G643" i="23"/>
  <c r="I643" i="23" s="1"/>
  <c r="G675" i="23"/>
  <c r="I675" i="23" s="1"/>
  <c r="G707" i="23"/>
  <c r="I707" i="23" s="1"/>
  <c r="G739" i="23"/>
  <c r="I739" i="23" s="1"/>
  <c r="G819" i="23"/>
  <c r="I819" i="23" s="1"/>
  <c r="G883" i="23"/>
  <c r="I883" i="23" s="1"/>
  <c r="G963" i="23"/>
  <c r="I963" i="23" s="1"/>
  <c r="G1091" i="23"/>
  <c r="I1091" i="23" s="1"/>
  <c r="G1171" i="23"/>
  <c r="I1171" i="23" s="1"/>
  <c r="G1235" i="23"/>
  <c r="I1235" i="23" s="1"/>
  <c r="G1267" i="23"/>
  <c r="I1267" i="23" s="1"/>
  <c r="G1347" i="23"/>
  <c r="I1347" i="23" s="1"/>
  <c r="G1443" i="23"/>
  <c r="I1443" i="23" s="1"/>
  <c r="G1491" i="23"/>
  <c r="I1491" i="23" s="1"/>
  <c r="G1555" i="23"/>
  <c r="I1555" i="23" s="1"/>
  <c r="G1571" i="23"/>
  <c r="I1571" i="23" s="1"/>
  <c r="G1603" i="23"/>
  <c r="I1603" i="23" s="1"/>
  <c r="G1619" i="23"/>
  <c r="I1619" i="23" s="1"/>
  <c r="F3" i="23"/>
  <c r="F4" i="23"/>
  <c r="F5" i="23"/>
  <c r="F6" i="23"/>
  <c r="F7" i="23"/>
  <c r="F8" i="23"/>
  <c r="F9" i="23"/>
  <c r="F10" i="23"/>
  <c r="F11" i="23"/>
  <c r="F12" i="23"/>
  <c r="F13" i="23"/>
  <c r="F24" i="23"/>
  <c r="F35" i="23"/>
  <c r="F36" i="23"/>
  <c r="F37" i="23"/>
  <c r="F38" i="23"/>
  <c r="F39" i="23"/>
  <c r="F40" i="23"/>
  <c r="F41" i="23"/>
  <c r="F42" i="23"/>
  <c r="F46" i="23"/>
  <c r="F56" i="23"/>
  <c r="F57" i="23"/>
  <c r="F58" i="23"/>
  <c r="F68" i="23"/>
  <c r="F79" i="23"/>
  <c r="F90" i="23"/>
  <c r="F101" i="23"/>
  <c r="F112" i="23"/>
  <c r="F113" i="23"/>
  <c r="F114" i="23"/>
  <c r="F115" i="23"/>
  <c r="F116" i="23"/>
  <c r="F117" i="23"/>
  <c r="F123" i="23"/>
  <c r="F134" i="23"/>
  <c r="F145" i="23"/>
  <c r="F146" i="23"/>
  <c r="F147" i="23"/>
  <c r="F148" i="23"/>
  <c r="F149" i="23"/>
  <c r="F150" i="23"/>
  <c r="F151" i="23"/>
  <c r="F152" i="23"/>
  <c r="F153" i="23"/>
  <c r="F154" i="23"/>
  <c r="F156" i="23"/>
  <c r="F157" i="23"/>
  <c r="F158" i="23"/>
  <c r="F167" i="23"/>
  <c r="F178" i="23"/>
  <c r="F179" i="23"/>
  <c r="F180" i="23"/>
  <c r="F181" i="23"/>
  <c r="F182" i="23"/>
  <c r="F189" i="23"/>
  <c r="F200" i="23"/>
  <c r="F211" i="23"/>
  <c r="F212" i="23"/>
  <c r="F213" i="23"/>
  <c r="F222" i="23"/>
  <c r="F233" i="23"/>
  <c r="F234" i="23"/>
  <c r="F244" i="23"/>
  <c r="F255" i="23"/>
  <c r="F266" i="23"/>
  <c r="F277" i="23"/>
  <c r="F278" i="23"/>
  <c r="F279" i="23"/>
  <c r="F280" i="23"/>
  <c r="F281" i="23"/>
  <c r="F282" i="23"/>
  <c r="F283" i="23"/>
  <c r="F284" i="23"/>
  <c r="F288" i="23"/>
  <c r="F299" i="23"/>
  <c r="F310" i="23"/>
  <c r="F321" i="23"/>
  <c r="F322" i="23"/>
  <c r="F323" i="23"/>
  <c r="F332" i="23"/>
  <c r="F333" i="23"/>
  <c r="F334" i="23"/>
  <c r="F335" i="23"/>
  <c r="F336" i="23"/>
  <c r="F343" i="23"/>
  <c r="F344" i="23"/>
  <c r="F354" i="23"/>
  <c r="F355" i="23"/>
  <c r="F365" i="23"/>
  <c r="F376" i="23"/>
  <c r="F377" i="23"/>
  <c r="F378" i="23"/>
  <c r="F379" i="23"/>
  <c r="F380" i="23"/>
  <c r="F381" i="23"/>
  <c r="F387" i="23"/>
  <c r="F388" i="23"/>
  <c r="F397" i="23"/>
  <c r="F398" i="23"/>
  <c r="F399" i="23"/>
  <c r="F400" i="23"/>
  <c r="F409" i="23"/>
  <c r="F410" i="23"/>
  <c r="F411" i="23"/>
  <c r="F420" i="23"/>
  <c r="F431" i="23"/>
  <c r="F432" i="23"/>
  <c r="F433" i="23"/>
  <c r="F434" i="23"/>
  <c r="F442" i="23"/>
  <c r="F443" i="23"/>
  <c r="F444" i="23"/>
  <c r="F445" i="23"/>
  <c r="F453" i="23"/>
  <c r="F464" i="23"/>
  <c r="F475" i="23"/>
  <c r="F486" i="23"/>
  <c r="F487" i="23"/>
  <c r="F488" i="23"/>
  <c r="F489" i="23"/>
  <c r="F497" i="23"/>
  <c r="F498" i="23"/>
  <c r="F508" i="23"/>
  <c r="F509" i="23"/>
  <c r="F510" i="23"/>
  <c r="F511" i="23"/>
  <c r="F512" i="23"/>
  <c r="F519" i="23"/>
  <c r="F530" i="23"/>
  <c r="F531" i="23"/>
  <c r="F541" i="23"/>
  <c r="F552" i="23"/>
  <c r="F553" i="23"/>
  <c r="F554" i="23"/>
  <c r="F555" i="23"/>
  <c r="F556" i="23"/>
  <c r="F563" i="23"/>
  <c r="F574" i="23"/>
  <c r="F575" i="23"/>
  <c r="F585" i="23"/>
  <c r="F586" i="23"/>
  <c r="F587" i="23"/>
  <c r="F588" i="23"/>
  <c r="F589" i="23"/>
  <c r="F590" i="23"/>
  <c r="F591" i="23"/>
  <c r="F596" i="23"/>
  <c r="F607" i="23"/>
  <c r="F618" i="23"/>
  <c r="F619" i="23"/>
  <c r="F620" i="23"/>
  <c r="F629" i="23"/>
  <c r="F630" i="23"/>
  <c r="F631" i="23"/>
  <c r="F632" i="23"/>
  <c r="F633" i="23"/>
  <c r="F634" i="23"/>
  <c r="F640" i="23"/>
  <c r="F641" i="23"/>
  <c r="F642" i="23"/>
  <c r="F643" i="23"/>
  <c r="F644" i="23"/>
  <c r="F651" i="23"/>
  <c r="F652" i="23"/>
  <c r="F653" i="23"/>
  <c r="F654" i="23"/>
  <c r="F655" i="23"/>
  <c r="F656" i="23"/>
  <c r="F662" i="23"/>
  <c r="F673" i="23"/>
  <c r="F674" i="23"/>
  <c r="F675" i="23"/>
  <c r="F676" i="23"/>
  <c r="F684" i="23"/>
  <c r="F695" i="23"/>
  <c r="F696" i="23"/>
  <c r="F697" i="23"/>
  <c r="F706" i="23"/>
  <c r="F707" i="23"/>
  <c r="F708" i="23"/>
  <c r="F709" i="23"/>
  <c r="F710" i="23"/>
  <c r="F711" i="23"/>
  <c r="F712" i="23"/>
  <c r="F713" i="23"/>
  <c r="F717" i="23"/>
  <c r="F727" i="23"/>
  <c r="F728" i="23"/>
  <c r="F739" i="23"/>
  <c r="F750" i="23"/>
  <c r="F751" i="23"/>
  <c r="F752" i="23"/>
  <c r="F761" i="23"/>
  <c r="F772" i="23"/>
  <c r="F783" i="23"/>
  <c r="F794" i="23"/>
  <c r="F795" i="23"/>
  <c r="F796" i="23"/>
  <c r="F797" i="23"/>
  <c r="F798" i="23"/>
  <c r="F805" i="23"/>
  <c r="F816" i="23"/>
  <c r="F817" i="23"/>
  <c r="F818" i="23"/>
  <c r="F819" i="23"/>
  <c r="F820" i="23"/>
  <c r="F821" i="23"/>
  <c r="F822" i="23"/>
  <c r="F823" i="23"/>
  <c r="F824" i="23"/>
  <c r="F825" i="23"/>
  <c r="F826" i="23"/>
  <c r="F827" i="23"/>
  <c r="F828" i="23"/>
  <c r="F829" i="23"/>
  <c r="F830" i="23"/>
  <c r="F831" i="23"/>
  <c r="F838" i="23"/>
  <c r="F839" i="23"/>
  <c r="F840" i="23"/>
  <c r="F841" i="23"/>
  <c r="F849" i="23"/>
  <c r="F860" i="23"/>
  <c r="F871" i="23"/>
  <c r="F882" i="23"/>
  <c r="F883" i="23"/>
  <c r="F884" i="23"/>
  <c r="F885" i="23"/>
  <c r="F893" i="23"/>
  <c r="F894" i="23"/>
  <c r="F895" i="23"/>
  <c r="F896" i="23"/>
  <c r="F897" i="23"/>
  <c r="F898" i="23"/>
  <c r="F904" i="23"/>
  <c r="F915" i="23"/>
  <c r="F926" i="23"/>
  <c r="F937" i="23"/>
  <c r="F938" i="23"/>
  <c r="F948" i="23"/>
  <c r="F949" i="23"/>
  <c r="F950" i="23"/>
  <c r="F951" i="23"/>
  <c r="F952" i="23"/>
  <c r="F953" i="23"/>
  <c r="F954" i="23"/>
  <c r="F955" i="23"/>
  <c r="F956" i="23"/>
  <c r="F957" i="23"/>
  <c r="F958" i="23"/>
  <c r="F959" i="23"/>
  <c r="F960" i="23"/>
  <c r="F961" i="23"/>
  <c r="F962" i="23"/>
  <c r="F963" i="23"/>
  <c r="F964" i="23"/>
  <c r="F965" i="23"/>
  <c r="F966" i="23"/>
  <c r="F967" i="23"/>
  <c r="F968" i="23"/>
  <c r="F969" i="23"/>
  <c r="F970" i="23"/>
  <c r="F981" i="23"/>
  <c r="F992" i="23"/>
  <c r="F1003" i="23"/>
  <c r="F1014" i="23"/>
  <c r="F1025" i="23"/>
  <c r="F1036" i="23"/>
  <c r="F1037" i="23"/>
  <c r="F1038" i="23"/>
  <c r="F1039" i="23"/>
  <c r="F1040" i="23"/>
  <c r="F1047" i="23"/>
  <c r="F1058" i="23"/>
  <c r="F1059" i="23"/>
  <c r="F1060" i="23"/>
  <c r="F1069" i="23"/>
  <c r="F1070" i="23"/>
  <c r="F1071" i="23"/>
  <c r="F1080" i="23"/>
  <c r="F1081" i="23"/>
  <c r="F1082" i="23"/>
  <c r="F1083" i="23"/>
  <c r="F1084" i="23"/>
  <c r="F1085" i="23"/>
  <c r="F1086" i="23"/>
  <c r="F1091" i="23"/>
  <c r="F1102" i="23"/>
  <c r="F1113" i="23"/>
  <c r="F1124" i="23"/>
  <c r="F1135" i="23"/>
  <c r="F1146" i="23"/>
  <c r="F1147" i="23"/>
  <c r="F1157" i="23"/>
  <c r="F1168" i="23"/>
  <c r="F1169" i="23"/>
  <c r="F1170" i="23"/>
  <c r="F1171" i="23"/>
  <c r="F1172" i="23"/>
  <c r="F1179" i="23"/>
  <c r="F1190" i="23"/>
  <c r="F1201" i="23"/>
  <c r="F1212" i="23"/>
  <c r="F1223" i="23"/>
  <c r="F1234" i="23"/>
  <c r="F1235" i="23"/>
  <c r="F1236" i="23"/>
  <c r="F1237" i="23"/>
  <c r="F1245" i="23"/>
  <c r="F1256" i="23"/>
  <c r="F1257" i="23"/>
  <c r="F1258" i="23"/>
  <c r="F1259" i="23"/>
  <c r="F1260" i="23"/>
  <c r="F1261" i="23"/>
  <c r="F1262" i="23"/>
  <c r="F1263" i="23"/>
  <c r="F1267" i="23"/>
  <c r="F1278" i="23"/>
  <c r="F1289" i="23"/>
  <c r="F1290" i="23"/>
  <c r="F1291" i="23"/>
  <c r="F1292" i="23"/>
  <c r="F1300" i="23"/>
  <c r="F1310" i="23"/>
  <c r="F1311" i="23"/>
  <c r="F1322" i="23"/>
  <c r="F1333" i="23"/>
  <c r="F1334" i="23"/>
  <c r="F1335" i="23"/>
  <c r="F1336" i="23"/>
  <c r="F1337" i="23"/>
  <c r="F1338" i="23"/>
  <c r="F1339" i="23"/>
  <c r="F1340" i="23"/>
  <c r="F1341" i="23"/>
  <c r="F1342" i="23"/>
  <c r="F1343" i="23"/>
  <c r="F1344" i="23"/>
  <c r="F1345" i="23"/>
  <c r="F1346" i="23"/>
  <c r="F1347" i="23"/>
  <c r="F1348" i="23"/>
  <c r="F1355" i="23"/>
  <c r="F1366" i="23"/>
  <c r="F1367" i="23"/>
  <c r="F1368" i="23"/>
  <c r="F1369" i="23"/>
  <c r="F1370" i="23"/>
  <c r="F1371" i="23"/>
  <c r="F1372" i="23"/>
  <c r="F1373" i="23"/>
  <c r="F1374" i="23"/>
  <c r="F1375" i="23"/>
  <c r="F1376" i="23"/>
  <c r="F1377" i="23"/>
  <c r="F1378" i="23"/>
  <c r="F1388" i="23"/>
  <c r="F1389" i="23"/>
  <c r="F1399" i="23"/>
  <c r="F1400" i="23"/>
  <c r="F1401" i="23"/>
  <c r="F1402" i="23"/>
  <c r="F1410" i="23"/>
  <c r="F1421" i="23"/>
  <c r="F1422" i="23"/>
  <c r="F1423" i="23"/>
  <c r="F1424" i="23"/>
  <c r="F1425" i="23"/>
  <c r="F1432" i="23"/>
  <c r="F1443" i="23"/>
  <c r="F1444" i="23"/>
  <c r="F1454" i="23"/>
  <c r="F1465" i="23"/>
  <c r="F1466" i="23"/>
  <c r="F1467" i="23"/>
  <c r="F1468" i="23"/>
  <c r="F1469" i="23"/>
  <c r="F1470" i="23"/>
  <c r="F1476" i="23"/>
  <c r="F1477" i="23"/>
  <c r="F1478" i="23"/>
  <c r="F1479" i="23"/>
  <c r="F1480" i="23"/>
  <c r="F1481" i="23"/>
  <c r="F1487" i="23"/>
  <c r="F1488" i="23"/>
  <c r="F1489" i="23"/>
  <c r="F1490" i="23"/>
  <c r="F1491" i="23"/>
  <c r="F1492" i="23"/>
  <c r="F1493" i="23"/>
  <c r="F1494" i="23"/>
  <c r="F1498" i="23"/>
  <c r="F1499" i="23"/>
  <c r="F1509" i="23"/>
  <c r="F1510" i="23"/>
  <c r="F1511" i="23"/>
  <c r="F1512" i="23"/>
  <c r="F1513" i="23"/>
  <c r="F1514" i="23"/>
  <c r="F1515" i="23"/>
  <c r="F1516" i="23"/>
  <c r="F1517" i="23"/>
  <c r="F1518" i="23"/>
  <c r="F1520" i="23"/>
  <c r="F1531" i="23"/>
  <c r="F1542" i="23"/>
  <c r="F1545" i="23"/>
  <c r="F1553" i="23"/>
  <c r="F1554" i="23"/>
  <c r="F1555" i="23"/>
  <c r="F1557" i="23"/>
  <c r="F1564" i="23"/>
  <c r="F1565" i="23"/>
  <c r="F1566" i="23"/>
  <c r="F1567" i="23"/>
  <c r="F1568" i="23"/>
  <c r="F1569" i="23"/>
  <c r="F1570" i="23"/>
  <c r="F1571" i="23"/>
  <c r="F1572" i="23"/>
  <c r="F1573" i="23"/>
  <c r="F1574" i="23"/>
  <c r="F1575" i="23"/>
  <c r="F1576" i="23"/>
  <c r="F1577" i="23"/>
  <c r="F1586" i="23"/>
  <c r="F1590" i="23"/>
  <c r="F1591" i="23"/>
  <c r="F1592" i="23"/>
  <c r="F1593" i="23"/>
  <c r="F1594" i="23"/>
  <c r="F1595" i="23"/>
  <c r="F1596" i="23"/>
  <c r="F1597" i="23"/>
  <c r="F1598" i="23"/>
  <c r="F1599" i="23"/>
  <c r="F1600" i="23"/>
  <c r="F1601" i="23"/>
  <c r="F1602" i="23"/>
  <c r="F1603" i="23"/>
  <c r="F1604" i="23"/>
  <c r="F1605" i="23"/>
  <c r="F1606" i="23"/>
  <c r="F1607" i="23"/>
  <c r="F1608" i="23"/>
  <c r="F1619" i="23"/>
  <c r="E3" i="23"/>
  <c r="E4" i="23"/>
  <c r="E5" i="23"/>
  <c r="G5" i="23" s="1"/>
  <c r="E6" i="23"/>
  <c r="G6" i="23" s="1"/>
  <c r="I6" i="23" s="1"/>
  <c r="E7" i="23"/>
  <c r="G7" i="23" s="1"/>
  <c r="I7" i="23" s="1"/>
  <c r="E8" i="23"/>
  <c r="E9" i="23"/>
  <c r="G9" i="23" s="1"/>
  <c r="I9" i="23" s="1"/>
  <c r="E10" i="23"/>
  <c r="G10" i="23" s="1"/>
  <c r="I10" i="23" s="1"/>
  <c r="E11" i="23"/>
  <c r="G11" i="23" s="1"/>
  <c r="I11" i="23" s="1"/>
  <c r="E12" i="23"/>
  <c r="E13" i="23"/>
  <c r="G13" i="23" s="1"/>
  <c r="I13" i="23" s="1"/>
  <c r="E24" i="23"/>
  <c r="E35" i="23"/>
  <c r="E36" i="23"/>
  <c r="G36" i="23" s="1"/>
  <c r="I36" i="23" s="1"/>
  <c r="E37" i="23"/>
  <c r="G37" i="23" s="1"/>
  <c r="E38" i="23"/>
  <c r="G38" i="23" s="1"/>
  <c r="E39" i="23"/>
  <c r="G39" i="23" s="1"/>
  <c r="I39" i="23" s="1"/>
  <c r="E40" i="23"/>
  <c r="G40" i="23" s="1"/>
  <c r="I40" i="23" s="1"/>
  <c r="E41" i="23"/>
  <c r="G41" i="23" s="1"/>
  <c r="I41" i="23" s="1"/>
  <c r="E42" i="23"/>
  <c r="G42" i="23" s="1"/>
  <c r="E46" i="23"/>
  <c r="G46" i="23" s="1"/>
  <c r="I46" i="23" s="1"/>
  <c r="E56" i="23"/>
  <c r="G56" i="23" s="1"/>
  <c r="I56" i="23" s="1"/>
  <c r="E57" i="23"/>
  <c r="G57" i="23" s="1"/>
  <c r="I57" i="23" s="1"/>
  <c r="E58" i="23"/>
  <c r="G58" i="23" s="1"/>
  <c r="I58" i="23" s="1"/>
  <c r="E68" i="23"/>
  <c r="E79" i="23"/>
  <c r="G79" i="23" s="1"/>
  <c r="I79" i="23" s="1"/>
  <c r="E90" i="23"/>
  <c r="G90" i="23" s="1"/>
  <c r="E101" i="23"/>
  <c r="G101" i="23" s="1"/>
  <c r="E112" i="23"/>
  <c r="G112" i="23" s="1"/>
  <c r="I112" i="23" s="1"/>
  <c r="E113" i="23"/>
  <c r="G113" i="23" s="1"/>
  <c r="I113" i="23" s="1"/>
  <c r="E114" i="23"/>
  <c r="G114" i="23" s="1"/>
  <c r="I114" i="23" s="1"/>
  <c r="E115" i="23"/>
  <c r="E116" i="23"/>
  <c r="G116" i="23" s="1"/>
  <c r="I116" i="23" s="1"/>
  <c r="E117" i="23"/>
  <c r="G117" i="23" s="1"/>
  <c r="I117" i="23" s="1"/>
  <c r="E123" i="23"/>
  <c r="G123" i="23" s="1"/>
  <c r="I123" i="23" s="1"/>
  <c r="E134" i="23"/>
  <c r="G134" i="23" s="1"/>
  <c r="I134" i="23" s="1"/>
  <c r="E145" i="23"/>
  <c r="G145" i="23" s="1"/>
  <c r="I145" i="23" s="1"/>
  <c r="E146" i="23"/>
  <c r="G146" i="23" s="1"/>
  <c r="I146" i="23" s="1"/>
  <c r="E147" i="23"/>
  <c r="E148" i="23"/>
  <c r="E149" i="23"/>
  <c r="G149" i="23" s="1"/>
  <c r="E150" i="23"/>
  <c r="G150" i="23" s="1"/>
  <c r="I150" i="23" s="1"/>
  <c r="E151" i="23"/>
  <c r="G151" i="23" s="1"/>
  <c r="I151" i="23" s="1"/>
  <c r="E152" i="23"/>
  <c r="E153" i="23"/>
  <c r="G153" i="23" s="1"/>
  <c r="I153" i="23" s="1"/>
  <c r="E154" i="23"/>
  <c r="G154" i="23" s="1"/>
  <c r="I154" i="23" s="1"/>
  <c r="E156" i="23"/>
  <c r="E157" i="23"/>
  <c r="G157" i="23" s="1"/>
  <c r="I157" i="23" s="1"/>
  <c r="E158" i="23"/>
  <c r="G158" i="23" s="1"/>
  <c r="I158" i="23" s="1"/>
  <c r="E167" i="23"/>
  <c r="G167" i="23" s="1"/>
  <c r="I167" i="23" s="1"/>
  <c r="E178" i="23"/>
  <c r="G178" i="23" s="1"/>
  <c r="I178" i="23" s="1"/>
  <c r="E179" i="23"/>
  <c r="G179" i="23" s="1"/>
  <c r="I179" i="23" s="1"/>
  <c r="E180" i="23"/>
  <c r="G180" i="23" s="1"/>
  <c r="I180" i="23" s="1"/>
  <c r="E181" i="23"/>
  <c r="G181" i="23" s="1"/>
  <c r="E182" i="23"/>
  <c r="G182" i="23" s="1"/>
  <c r="I182" i="23" s="1"/>
  <c r="E189" i="23"/>
  <c r="G189" i="23" s="1"/>
  <c r="I189" i="23" s="1"/>
  <c r="E200" i="23"/>
  <c r="G200" i="23" s="1"/>
  <c r="I200" i="23" s="1"/>
  <c r="E211" i="23"/>
  <c r="E212" i="23"/>
  <c r="G212" i="23" s="1"/>
  <c r="I212" i="23" s="1"/>
  <c r="E213" i="23"/>
  <c r="G213" i="23" s="1"/>
  <c r="E222" i="23"/>
  <c r="G222" i="23" s="1"/>
  <c r="I222" i="23" s="1"/>
  <c r="E233" i="23"/>
  <c r="G233" i="23" s="1"/>
  <c r="I233" i="23" s="1"/>
  <c r="E234" i="23"/>
  <c r="G234" i="23" s="1"/>
  <c r="I234" i="23" s="1"/>
  <c r="E244" i="23"/>
  <c r="G244" i="23" s="1"/>
  <c r="I244" i="23" s="1"/>
  <c r="E255" i="23"/>
  <c r="G255" i="23" s="1"/>
  <c r="I255" i="23" s="1"/>
  <c r="E266" i="23"/>
  <c r="G266" i="23" s="1"/>
  <c r="E277" i="23"/>
  <c r="G277" i="23" s="1"/>
  <c r="E278" i="23"/>
  <c r="G278" i="23" s="1"/>
  <c r="E279" i="23"/>
  <c r="G279" i="23" s="1"/>
  <c r="I279" i="23" s="1"/>
  <c r="E280" i="23"/>
  <c r="G280" i="23" s="1"/>
  <c r="I280" i="23" s="1"/>
  <c r="E281" i="23"/>
  <c r="G281" i="23" s="1"/>
  <c r="I281" i="23" s="1"/>
  <c r="E282" i="23"/>
  <c r="G282" i="23" s="1"/>
  <c r="E283" i="23"/>
  <c r="G283" i="23" s="1"/>
  <c r="I283" i="23" s="1"/>
  <c r="E284" i="23"/>
  <c r="G284" i="23" s="1"/>
  <c r="I284" i="23" s="1"/>
  <c r="E288" i="23"/>
  <c r="G288" i="23" s="1"/>
  <c r="I288" i="23" s="1"/>
  <c r="E299" i="23"/>
  <c r="G299" i="23" s="1"/>
  <c r="I299" i="23" s="1"/>
  <c r="E310" i="23"/>
  <c r="G310" i="23" s="1"/>
  <c r="I310" i="23" s="1"/>
  <c r="E321" i="23"/>
  <c r="G321" i="23" s="1"/>
  <c r="I321" i="23" s="1"/>
  <c r="E322" i="23"/>
  <c r="G322" i="23" s="1"/>
  <c r="I322" i="23" s="1"/>
  <c r="E323" i="23"/>
  <c r="E332" i="23"/>
  <c r="G332" i="23" s="1"/>
  <c r="I332" i="23" s="1"/>
  <c r="E333" i="23"/>
  <c r="G333" i="23" s="1"/>
  <c r="I333" i="23" s="1"/>
  <c r="E334" i="23"/>
  <c r="G334" i="23" s="1"/>
  <c r="I334" i="23" s="1"/>
  <c r="E335" i="23"/>
  <c r="G335" i="23" s="1"/>
  <c r="I335" i="23" s="1"/>
  <c r="E336" i="23"/>
  <c r="G336" i="23" s="1"/>
  <c r="I336" i="23" s="1"/>
  <c r="E343" i="23"/>
  <c r="G343" i="23" s="1"/>
  <c r="I343" i="23" s="1"/>
  <c r="E344" i="23"/>
  <c r="E354" i="23"/>
  <c r="G354" i="23" s="1"/>
  <c r="I354" i="23" s="1"/>
  <c r="E355" i="23"/>
  <c r="G355" i="23" s="1"/>
  <c r="I355" i="23" s="1"/>
  <c r="E365" i="23"/>
  <c r="G365" i="23" s="1"/>
  <c r="I365" i="23" s="1"/>
  <c r="E376" i="23"/>
  <c r="G376" i="23" s="1"/>
  <c r="I376" i="23" s="1"/>
  <c r="E377" i="23"/>
  <c r="G377" i="23" s="1"/>
  <c r="I377" i="23" s="1"/>
  <c r="E378" i="23"/>
  <c r="G378" i="23" s="1"/>
  <c r="E379" i="23"/>
  <c r="G379" i="23" s="1"/>
  <c r="I379" i="23" s="1"/>
  <c r="E380" i="23"/>
  <c r="G380" i="23" s="1"/>
  <c r="I380" i="23" s="1"/>
  <c r="E381" i="23"/>
  <c r="G381" i="23" s="1"/>
  <c r="I381" i="23" s="1"/>
  <c r="E387" i="23"/>
  <c r="E388" i="23"/>
  <c r="G388" i="23" s="1"/>
  <c r="I388" i="23" s="1"/>
  <c r="E397" i="23"/>
  <c r="G397" i="23" s="1"/>
  <c r="I397" i="23" s="1"/>
  <c r="E398" i="23"/>
  <c r="G398" i="23" s="1"/>
  <c r="I398" i="23" s="1"/>
  <c r="E399" i="23"/>
  <c r="G399" i="23" s="1"/>
  <c r="I399" i="23" s="1"/>
  <c r="E400" i="23"/>
  <c r="G400" i="23" s="1"/>
  <c r="I400" i="23" s="1"/>
  <c r="E409" i="23"/>
  <c r="G409" i="23" s="1"/>
  <c r="I409" i="23" s="1"/>
  <c r="E410" i="23"/>
  <c r="G410" i="23" s="1"/>
  <c r="I410" i="23" s="1"/>
  <c r="E411" i="23"/>
  <c r="G411" i="23" s="1"/>
  <c r="I411" i="23" s="1"/>
  <c r="E420" i="23"/>
  <c r="G420" i="23" s="1"/>
  <c r="I420" i="23" s="1"/>
  <c r="E431" i="23"/>
  <c r="G431" i="23" s="1"/>
  <c r="I431" i="23" s="1"/>
  <c r="S431" i="23" s="1"/>
  <c r="E432" i="23"/>
  <c r="G432" i="23" s="1"/>
  <c r="I432" i="23" s="1"/>
  <c r="E433" i="23"/>
  <c r="G433" i="23" s="1"/>
  <c r="I433" i="23" s="1"/>
  <c r="E434" i="23"/>
  <c r="G434" i="23" s="1"/>
  <c r="E442" i="23"/>
  <c r="G442" i="23" s="1"/>
  <c r="I442" i="23" s="1"/>
  <c r="E443" i="23"/>
  <c r="G443" i="23" s="1"/>
  <c r="I443" i="23" s="1"/>
  <c r="E444" i="23"/>
  <c r="E445" i="23"/>
  <c r="G445" i="23" s="1"/>
  <c r="I445" i="23" s="1"/>
  <c r="E453" i="23"/>
  <c r="G453" i="23" s="1"/>
  <c r="E464" i="23"/>
  <c r="G464" i="23" s="1"/>
  <c r="I464" i="23" s="1"/>
  <c r="E475" i="23"/>
  <c r="G475" i="23" s="1"/>
  <c r="I475" i="23" s="1"/>
  <c r="E486" i="23"/>
  <c r="G486" i="23" s="1"/>
  <c r="I486" i="23" s="1"/>
  <c r="E487" i="23"/>
  <c r="G487" i="23" s="1"/>
  <c r="I487" i="23" s="1"/>
  <c r="E488" i="23"/>
  <c r="E489" i="23"/>
  <c r="G489" i="23" s="1"/>
  <c r="I489" i="23" s="1"/>
  <c r="E497" i="23"/>
  <c r="G497" i="23" s="1"/>
  <c r="I497" i="23" s="1"/>
  <c r="E498" i="23"/>
  <c r="G498" i="23" s="1"/>
  <c r="I498" i="23" s="1"/>
  <c r="E508" i="23"/>
  <c r="E509" i="23"/>
  <c r="G509" i="23" s="1"/>
  <c r="I509" i="23" s="1"/>
  <c r="E510" i="23"/>
  <c r="G510" i="23" s="1"/>
  <c r="I510" i="23" s="1"/>
  <c r="E511" i="23"/>
  <c r="G511" i="23" s="1"/>
  <c r="I511" i="23" s="1"/>
  <c r="E512" i="23"/>
  <c r="E519" i="23"/>
  <c r="G519" i="23" s="1"/>
  <c r="I519" i="23" s="1"/>
  <c r="E530" i="23"/>
  <c r="G530" i="23" s="1"/>
  <c r="I530" i="23" s="1"/>
  <c r="E531" i="23"/>
  <c r="G531" i="23" s="1"/>
  <c r="I531" i="23" s="1"/>
  <c r="E541" i="23"/>
  <c r="G541" i="23" s="1"/>
  <c r="I541" i="23" s="1"/>
  <c r="E552" i="23"/>
  <c r="G552" i="23" s="1"/>
  <c r="I552" i="23" s="1"/>
  <c r="E553" i="23"/>
  <c r="G553" i="23" s="1"/>
  <c r="I553" i="23" s="1"/>
  <c r="E554" i="23"/>
  <c r="G554" i="23" s="1"/>
  <c r="I554" i="23" s="1"/>
  <c r="E555" i="23"/>
  <c r="G555" i="23" s="1"/>
  <c r="I555" i="23" s="1"/>
  <c r="E556" i="23"/>
  <c r="G556" i="23" s="1"/>
  <c r="I556" i="23" s="1"/>
  <c r="E563" i="23"/>
  <c r="E574" i="23"/>
  <c r="G574" i="23" s="1"/>
  <c r="I574" i="23" s="1"/>
  <c r="E575" i="23"/>
  <c r="G575" i="23" s="1"/>
  <c r="I575" i="23" s="1"/>
  <c r="E585" i="23"/>
  <c r="G585" i="23" s="1"/>
  <c r="I585" i="23" s="1"/>
  <c r="E586" i="23"/>
  <c r="G586" i="23" s="1"/>
  <c r="I586" i="23" s="1"/>
  <c r="E587" i="23"/>
  <c r="G587" i="23" s="1"/>
  <c r="I587" i="23" s="1"/>
  <c r="E588" i="23"/>
  <c r="E589" i="23"/>
  <c r="G589" i="23" s="1"/>
  <c r="I589" i="23" s="1"/>
  <c r="E590" i="23"/>
  <c r="G590" i="23" s="1"/>
  <c r="I590" i="23" s="1"/>
  <c r="E591" i="23"/>
  <c r="G591" i="23" s="1"/>
  <c r="I591" i="23" s="1"/>
  <c r="E596" i="23"/>
  <c r="G596" i="23" s="1"/>
  <c r="I596" i="23" s="1"/>
  <c r="E607" i="23"/>
  <c r="G607" i="23" s="1"/>
  <c r="I607" i="23" s="1"/>
  <c r="S607" i="23" s="1"/>
  <c r="E618" i="23"/>
  <c r="G618" i="23" s="1"/>
  <c r="I618" i="23" s="1"/>
  <c r="E619" i="23"/>
  <c r="G619" i="23" s="1"/>
  <c r="I619" i="23" s="1"/>
  <c r="E620" i="23"/>
  <c r="G620" i="23" s="1"/>
  <c r="I620" i="23" s="1"/>
  <c r="E629" i="23"/>
  <c r="G629" i="23" s="1"/>
  <c r="E630" i="23"/>
  <c r="G630" i="23" s="1"/>
  <c r="I630" i="23" s="1"/>
  <c r="E631" i="23"/>
  <c r="G631" i="23" s="1"/>
  <c r="I631" i="23" s="1"/>
  <c r="E632" i="23"/>
  <c r="E633" i="23"/>
  <c r="G633" i="23" s="1"/>
  <c r="I633" i="23" s="1"/>
  <c r="E634" i="23"/>
  <c r="G634" i="23" s="1"/>
  <c r="I634" i="23" s="1"/>
  <c r="E640" i="23"/>
  <c r="G640" i="23" s="1"/>
  <c r="I640" i="23" s="1"/>
  <c r="E641" i="23"/>
  <c r="G641" i="23" s="1"/>
  <c r="I641" i="23" s="1"/>
  <c r="E642" i="23"/>
  <c r="G642" i="23" s="1"/>
  <c r="I642" i="23" s="1"/>
  <c r="E643" i="23"/>
  <c r="E644" i="23"/>
  <c r="G644" i="23" s="1"/>
  <c r="I644" i="23" s="1"/>
  <c r="E651" i="23"/>
  <c r="G651" i="23" s="1"/>
  <c r="I651" i="23" s="1"/>
  <c r="S651" i="23" s="1"/>
  <c r="E652" i="23"/>
  <c r="E653" i="23"/>
  <c r="G653" i="23" s="1"/>
  <c r="I653" i="23" s="1"/>
  <c r="E654" i="23"/>
  <c r="G654" i="23" s="1"/>
  <c r="I654" i="23" s="1"/>
  <c r="E655" i="23"/>
  <c r="G655" i="23" s="1"/>
  <c r="I655" i="23" s="1"/>
  <c r="E656" i="23"/>
  <c r="E662" i="23"/>
  <c r="G662" i="23" s="1"/>
  <c r="I662" i="23" s="1"/>
  <c r="E673" i="23"/>
  <c r="G673" i="23" s="1"/>
  <c r="I673" i="23" s="1"/>
  <c r="E674" i="23"/>
  <c r="G674" i="23" s="1"/>
  <c r="I674" i="23" s="1"/>
  <c r="E675" i="23"/>
  <c r="E676" i="23"/>
  <c r="E684" i="23"/>
  <c r="G684" i="23" s="1"/>
  <c r="I684" i="23" s="1"/>
  <c r="E695" i="23"/>
  <c r="G695" i="23" s="1"/>
  <c r="I695" i="23" s="1"/>
  <c r="S695" i="23" s="1"/>
  <c r="E696" i="23"/>
  <c r="G696" i="23" s="1"/>
  <c r="I696" i="23" s="1"/>
  <c r="E697" i="23"/>
  <c r="G697" i="23" s="1"/>
  <c r="I697" i="23" s="1"/>
  <c r="E706" i="23"/>
  <c r="G706" i="23" s="1"/>
  <c r="I706" i="23" s="1"/>
  <c r="E707" i="23"/>
  <c r="E708" i="23"/>
  <c r="E709" i="23"/>
  <c r="G709" i="23" s="1"/>
  <c r="E710" i="23"/>
  <c r="G710" i="23" s="1"/>
  <c r="I710" i="23" s="1"/>
  <c r="E711" i="23"/>
  <c r="G711" i="23" s="1"/>
  <c r="I711" i="23" s="1"/>
  <c r="E712" i="23"/>
  <c r="E713" i="23"/>
  <c r="G713" i="23" s="1"/>
  <c r="I713" i="23" s="1"/>
  <c r="E717" i="23"/>
  <c r="G717" i="23" s="1"/>
  <c r="I717" i="23" s="1"/>
  <c r="E727" i="23"/>
  <c r="G727" i="23" s="1"/>
  <c r="I727" i="23" s="1"/>
  <c r="E728" i="23"/>
  <c r="E739" i="23"/>
  <c r="E750" i="23"/>
  <c r="E751" i="23"/>
  <c r="G751" i="23" s="1"/>
  <c r="I751" i="23" s="1"/>
  <c r="E752" i="23"/>
  <c r="G752" i="23" s="1"/>
  <c r="I752" i="23" s="1"/>
  <c r="E761" i="23"/>
  <c r="G761" i="23" s="1"/>
  <c r="I761" i="23" s="1"/>
  <c r="E772" i="23"/>
  <c r="G772" i="23" s="1"/>
  <c r="I772" i="23" s="1"/>
  <c r="E783" i="23"/>
  <c r="G783" i="23" s="1"/>
  <c r="I783" i="23" s="1"/>
  <c r="S783" i="23" s="1"/>
  <c r="E794" i="23"/>
  <c r="G794" i="23" s="1"/>
  <c r="I794" i="23" s="1"/>
  <c r="E795" i="23"/>
  <c r="G795" i="23" s="1"/>
  <c r="I795" i="23" s="1"/>
  <c r="E796" i="23"/>
  <c r="E797" i="23"/>
  <c r="G797" i="23" s="1"/>
  <c r="I797" i="23" s="1"/>
  <c r="E798" i="23"/>
  <c r="G798" i="23" s="1"/>
  <c r="I798" i="23" s="1"/>
  <c r="E805" i="23"/>
  <c r="G805" i="23" s="1"/>
  <c r="I805" i="23" s="1"/>
  <c r="E816" i="23"/>
  <c r="E817" i="23"/>
  <c r="G817" i="23" s="1"/>
  <c r="I817" i="23" s="1"/>
  <c r="E818" i="23"/>
  <c r="G818" i="23" s="1"/>
  <c r="I818" i="23" s="1"/>
  <c r="E819" i="23"/>
  <c r="E820" i="23"/>
  <c r="E821" i="23"/>
  <c r="G821" i="23" s="1"/>
  <c r="E822" i="23"/>
  <c r="G822" i="23" s="1"/>
  <c r="I822" i="23" s="1"/>
  <c r="E823" i="23"/>
  <c r="G823" i="23" s="1"/>
  <c r="I823" i="23" s="1"/>
  <c r="E824" i="23"/>
  <c r="E825" i="23"/>
  <c r="G825" i="23" s="1"/>
  <c r="I825" i="23" s="1"/>
  <c r="E826" i="23"/>
  <c r="G826" i="23" s="1"/>
  <c r="I826" i="23" s="1"/>
  <c r="E827" i="23"/>
  <c r="G827" i="23" s="1"/>
  <c r="I827" i="23" s="1"/>
  <c r="S827" i="23" s="1"/>
  <c r="E828" i="23"/>
  <c r="E829" i="23"/>
  <c r="G829" i="23" s="1"/>
  <c r="I829" i="23" s="1"/>
  <c r="E830" i="23"/>
  <c r="G830" i="23" s="1"/>
  <c r="I830" i="23" s="1"/>
  <c r="E831" i="23"/>
  <c r="G831" i="23" s="1"/>
  <c r="I831" i="23" s="1"/>
  <c r="E838" i="23"/>
  <c r="G838" i="23" s="1"/>
  <c r="E839" i="23"/>
  <c r="G839" i="23" s="1"/>
  <c r="I839" i="23" s="1"/>
  <c r="E840" i="23"/>
  <c r="E841" i="23"/>
  <c r="G841" i="23" s="1"/>
  <c r="I841" i="23" s="1"/>
  <c r="E849" i="23"/>
  <c r="G849" i="23" s="1"/>
  <c r="I849" i="23" s="1"/>
  <c r="E860" i="23"/>
  <c r="E871" i="23"/>
  <c r="G871" i="23" s="1"/>
  <c r="I871" i="23" s="1"/>
  <c r="S871" i="23" s="1"/>
  <c r="E882" i="23"/>
  <c r="E883" i="23"/>
  <c r="E884" i="23"/>
  <c r="G884" i="23" s="1"/>
  <c r="I884" i="23" s="1"/>
  <c r="E885" i="23"/>
  <c r="G885" i="23" s="1"/>
  <c r="E893" i="23"/>
  <c r="G893" i="23" s="1"/>
  <c r="I893" i="23" s="1"/>
  <c r="E894" i="23"/>
  <c r="G894" i="23" s="1"/>
  <c r="E895" i="23"/>
  <c r="G895" i="23" s="1"/>
  <c r="I895" i="23" s="1"/>
  <c r="E896" i="23"/>
  <c r="G896" i="23" s="1"/>
  <c r="I896" i="23" s="1"/>
  <c r="E897" i="23"/>
  <c r="G897" i="23" s="1"/>
  <c r="I897" i="23" s="1"/>
  <c r="E898" i="23"/>
  <c r="G898" i="23" s="1"/>
  <c r="E904" i="23"/>
  <c r="E915" i="23"/>
  <c r="G915" i="23" s="1"/>
  <c r="I915" i="23" s="1"/>
  <c r="S915" i="23" s="1"/>
  <c r="E926" i="23"/>
  <c r="E937" i="23"/>
  <c r="G937" i="23" s="1"/>
  <c r="I937" i="23" s="1"/>
  <c r="E938" i="23"/>
  <c r="G938" i="23" s="1"/>
  <c r="I938" i="23" s="1"/>
  <c r="E948" i="23"/>
  <c r="E949" i="23"/>
  <c r="G949" i="23" s="1"/>
  <c r="I949" i="23" s="1"/>
  <c r="E950" i="23"/>
  <c r="G950" i="23" s="1"/>
  <c r="I950" i="23" s="1"/>
  <c r="E951" i="23"/>
  <c r="G951" i="23" s="1"/>
  <c r="I951" i="23" s="1"/>
  <c r="E952" i="23"/>
  <c r="E953" i="23"/>
  <c r="G953" i="23" s="1"/>
  <c r="I953" i="23" s="1"/>
  <c r="E954" i="23"/>
  <c r="G954" i="23" s="1"/>
  <c r="I954" i="23" s="1"/>
  <c r="E955" i="23"/>
  <c r="G955" i="23" s="1"/>
  <c r="I955" i="23" s="1"/>
  <c r="E956" i="23"/>
  <c r="E957" i="23"/>
  <c r="G957" i="23" s="1"/>
  <c r="I957" i="23" s="1"/>
  <c r="E958" i="23"/>
  <c r="G958" i="23" s="1"/>
  <c r="I958" i="23" s="1"/>
  <c r="E959" i="23"/>
  <c r="G959" i="23" s="1"/>
  <c r="I959" i="23" s="1"/>
  <c r="E960" i="23"/>
  <c r="E961" i="23"/>
  <c r="G961" i="23" s="1"/>
  <c r="I961" i="23" s="1"/>
  <c r="E962" i="23"/>
  <c r="G962" i="23" s="1"/>
  <c r="I962" i="23" s="1"/>
  <c r="E963" i="23"/>
  <c r="E964" i="23"/>
  <c r="E965" i="23"/>
  <c r="G965" i="23" s="1"/>
  <c r="I965" i="23" s="1"/>
  <c r="E966" i="23"/>
  <c r="G966" i="23" s="1"/>
  <c r="I966" i="23" s="1"/>
  <c r="E967" i="23"/>
  <c r="G967" i="23" s="1"/>
  <c r="I967" i="23" s="1"/>
  <c r="E968" i="23"/>
  <c r="E969" i="23"/>
  <c r="G969" i="23" s="1"/>
  <c r="I969" i="23" s="1"/>
  <c r="E970" i="23"/>
  <c r="G970" i="23" s="1"/>
  <c r="I970" i="23" s="1"/>
  <c r="E981" i="23"/>
  <c r="G981" i="23" s="1"/>
  <c r="E992" i="23"/>
  <c r="G992" i="23" s="1"/>
  <c r="I992" i="23" s="1"/>
  <c r="E1003" i="23"/>
  <c r="G1003" i="23" s="1"/>
  <c r="I1003" i="23" s="1"/>
  <c r="E1014" i="23"/>
  <c r="G1014" i="23" s="1"/>
  <c r="E1025" i="23"/>
  <c r="G1025" i="23" s="1"/>
  <c r="I1025" i="23" s="1"/>
  <c r="E1036" i="23"/>
  <c r="G1036" i="23" s="1"/>
  <c r="I1036" i="23" s="1"/>
  <c r="E1037" i="23"/>
  <c r="G1037" i="23" s="1"/>
  <c r="I1037" i="23" s="1"/>
  <c r="E1038" i="23"/>
  <c r="E1039" i="23"/>
  <c r="G1039" i="23" s="1"/>
  <c r="I1039" i="23" s="1"/>
  <c r="E1040" i="23"/>
  <c r="G1040" i="23" s="1"/>
  <c r="I1040" i="23" s="1"/>
  <c r="E1047" i="23"/>
  <c r="G1047" i="23" s="1"/>
  <c r="I1047" i="23" s="1"/>
  <c r="E1058" i="23"/>
  <c r="E1059" i="23"/>
  <c r="G1059" i="23" s="1"/>
  <c r="I1059" i="23" s="1"/>
  <c r="E1060" i="23"/>
  <c r="G1060" i="23" s="1"/>
  <c r="I1060" i="23" s="1"/>
  <c r="E1069" i="23"/>
  <c r="G1069" i="23" s="1"/>
  <c r="I1069" i="23" s="1"/>
  <c r="E1070" i="23"/>
  <c r="E1071" i="23"/>
  <c r="G1071" i="23" s="1"/>
  <c r="I1071" i="23" s="1"/>
  <c r="E1080" i="23"/>
  <c r="G1080" i="23" s="1"/>
  <c r="I1080" i="23" s="1"/>
  <c r="E1081" i="23"/>
  <c r="G1081" i="23" s="1"/>
  <c r="I1081" i="23" s="1"/>
  <c r="E1082" i="23"/>
  <c r="E1083" i="23"/>
  <c r="G1083" i="23" s="1"/>
  <c r="I1083" i="23" s="1"/>
  <c r="E1084" i="23"/>
  <c r="G1084" i="23" s="1"/>
  <c r="I1084" i="23" s="1"/>
  <c r="E1085" i="23"/>
  <c r="G1085" i="23" s="1"/>
  <c r="I1085" i="23" s="1"/>
  <c r="E1086" i="23"/>
  <c r="E1091" i="23"/>
  <c r="E1102" i="23"/>
  <c r="G1102" i="23" s="1"/>
  <c r="I1102" i="23" s="1"/>
  <c r="E1113" i="23"/>
  <c r="G1113" i="23" s="1"/>
  <c r="I1113" i="23" s="1"/>
  <c r="E1124" i="23"/>
  <c r="G1124" i="23" s="1"/>
  <c r="I1124" i="23" s="1"/>
  <c r="E1135" i="23"/>
  <c r="G1135" i="23" s="1"/>
  <c r="I1135" i="23" s="1"/>
  <c r="E1146" i="23"/>
  <c r="G1146" i="23" s="1"/>
  <c r="I1146" i="23" s="1"/>
  <c r="E1147" i="23"/>
  <c r="G1147" i="23" s="1"/>
  <c r="I1147" i="23" s="1"/>
  <c r="E1157" i="23"/>
  <c r="G1157" i="23" s="1"/>
  <c r="E1168" i="23"/>
  <c r="G1168" i="23" s="1"/>
  <c r="I1168" i="23" s="1"/>
  <c r="E1169" i="23"/>
  <c r="G1169" i="23" s="1"/>
  <c r="I1169" i="23" s="1"/>
  <c r="E1170" i="23"/>
  <c r="G1170" i="23" s="1"/>
  <c r="I1170" i="23" s="1"/>
  <c r="E1171" i="23"/>
  <c r="E1172" i="23"/>
  <c r="G1172" i="23" s="1"/>
  <c r="I1172" i="23" s="1"/>
  <c r="E1179" i="23"/>
  <c r="G1179" i="23" s="1"/>
  <c r="I1179" i="23" s="1"/>
  <c r="E1190" i="23"/>
  <c r="E1201" i="23"/>
  <c r="G1201" i="23" s="1"/>
  <c r="I1201" i="23" s="1"/>
  <c r="E1212" i="23"/>
  <c r="E1223" i="23"/>
  <c r="G1223" i="23" s="1"/>
  <c r="I1223" i="23" s="1"/>
  <c r="E1234" i="23"/>
  <c r="G1234" i="23" s="1"/>
  <c r="I1234" i="23" s="1"/>
  <c r="E1235" i="23"/>
  <c r="E1236" i="23"/>
  <c r="G1236" i="23" s="1"/>
  <c r="I1236" i="23" s="1"/>
  <c r="E1237" i="23"/>
  <c r="G1237" i="23" s="1"/>
  <c r="E1245" i="23"/>
  <c r="G1245" i="23" s="1"/>
  <c r="I1245" i="23" s="1"/>
  <c r="E1256" i="23"/>
  <c r="G1256" i="23" s="1"/>
  <c r="I1256" i="23" s="1"/>
  <c r="E1257" i="23"/>
  <c r="G1257" i="23" s="1"/>
  <c r="I1257" i="23" s="1"/>
  <c r="E1258" i="23"/>
  <c r="G1258" i="23" s="1"/>
  <c r="I1258" i="23" s="1"/>
  <c r="E1259" i="23"/>
  <c r="G1259" i="23" s="1"/>
  <c r="I1259" i="23" s="1"/>
  <c r="E1260" i="23"/>
  <c r="G1260" i="23" s="1"/>
  <c r="I1260" i="23" s="1"/>
  <c r="E1261" i="23"/>
  <c r="G1261" i="23" s="1"/>
  <c r="I1261" i="23" s="1"/>
  <c r="E1262" i="23"/>
  <c r="G1262" i="23" s="1"/>
  <c r="I1262" i="23" s="1"/>
  <c r="E1263" i="23"/>
  <c r="G1263" i="23" s="1"/>
  <c r="I1263" i="23" s="1"/>
  <c r="E1267" i="23"/>
  <c r="E1278" i="23"/>
  <c r="G1278" i="23" s="1"/>
  <c r="I1278" i="23" s="1"/>
  <c r="E1289" i="23"/>
  <c r="G1289" i="23" s="1"/>
  <c r="I1289" i="23" s="1"/>
  <c r="E1290" i="23"/>
  <c r="G1290" i="23" s="1"/>
  <c r="I1290" i="23" s="1"/>
  <c r="E1291" i="23"/>
  <c r="G1291" i="23" s="1"/>
  <c r="I1291" i="23" s="1"/>
  <c r="E1292" i="23"/>
  <c r="G1292" i="23" s="1"/>
  <c r="I1292" i="23" s="1"/>
  <c r="E1300" i="23"/>
  <c r="G1300" i="23" s="1"/>
  <c r="I1300" i="23" s="1"/>
  <c r="E1310" i="23"/>
  <c r="G1310" i="23" s="1"/>
  <c r="I1310" i="23" s="1"/>
  <c r="E1311" i="23"/>
  <c r="G1311" i="23" s="1"/>
  <c r="I1311" i="23" s="1"/>
  <c r="E1322" i="23"/>
  <c r="G1322" i="23" s="1"/>
  <c r="I1322" i="23" s="1"/>
  <c r="E1333" i="23"/>
  <c r="G1333" i="23" s="1"/>
  <c r="E1334" i="23"/>
  <c r="G1334" i="23" s="1"/>
  <c r="I1334" i="23" s="1"/>
  <c r="E1335" i="23"/>
  <c r="G1335" i="23" s="1"/>
  <c r="I1335" i="23" s="1"/>
  <c r="E1336" i="23"/>
  <c r="E1337" i="23"/>
  <c r="G1337" i="23" s="1"/>
  <c r="I1337" i="23" s="1"/>
  <c r="E1338" i="23"/>
  <c r="G1338" i="23" s="1"/>
  <c r="I1338" i="23" s="1"/>
  <c r="E1339" i="23"/>
  <c r="G1339" i="23" s="1"/>
  <c r="I1339" i="23" s="1"/>
  <c r="E1340" i="23"/>
  <c r="E1341" i="23"/>
  <c r="G1341" i="23" s="1"/>
  <c r="I1341" i="23" s="1"/>
  <c r="E1342" i="23"/>
  <c r="G1342" i="23" s="1"/>
  <c r="I1342" i="23" s="1"/>
  <c r="E1343" i="23"/>
  <c r="G1343" i="23" s="1"/>
  <c r="I1343" i="23" s="1"/>
  <c r="E1344" i="23"/>
  <c r="E1345" i="23"/>
  <c r="G1345" i="23" s="1"/>
  <c r="I1345" i="23" s="1"/>
  <c r="E1346" i="23"/>
  <c r="G1346" i="23" s="1"/>
  <c r="I1346" i="23" s="1"/>
  <c r="E1347" i="23"/>
  <c r="E1348" i="23"/>
  <c r="E1355" i="23"/>
  <c r="G1355" i="23" s="1"/>
  <c r="I1355" i="23" s="1"/>
  <c r="E1366" i="23"/>
  <c r="G1366" i="23" s="1"/>
  <c r="I1366" i="23" s="1"/>
  <c r="E1367" i="23"/>
  <c r="G1367" i="23" s="1"/>
  <c r="I1367" i="23" s="1"/>
  <c r="E1368" i="23"/>
  <c r="E1369" i="23"/>
  <c r="G1369" i="23" s="1"/>
  <c r="I1369" i="23" s="1"/>
  <c r="E1370" i="23"/>
  <c r="G1370" i="23" s="1"/>
  <c r="I1370" i="23" s="1"/>
  <c r="E1371" i="23"/>
  <c r="G1371" i="23" s="1"/>
  <c r="I1371" i="23" s="1"/>
  <c r="E1372" i="23"/>
  <c r="E1373" i="23"/>
  <c r="G1373" i="23" s="1"/>
  <c r="I1373" i="23" s="1"/>
  <c r="E1374" i="23"/>
  <c r="G1374" i="23" s="1"/>
  <c r="I1374" i="23" s="1"/>
  <c r="E1375" i="23"/>
  <c r="G1375" i="23" s="1"/>
  <c r="I1375" i="23" s="1"/>
  <c r="E1376" i="23"/>
  <c r="E1377" i="23"/>
  <c r="G1377" i="23" s="1"/>
  <c r="I1377" i="23" s="1"/>
  <c r="E1378" i="23"/>
  <c r="G1378" i="23" s="1"/>
  <c r="I1378" i="23" s="1"/>
  <c r="E1388" i="23"/>
  <c r="G1388" i="23" s="1"/>
  <c r="I1388" i="23" s="1"/>
  <c r="E1389" i="23"/>
  <c r="G1389" i="23" s="1"/>
  <c r="I1389" i="23" s="1"/>
  <c r="E1399" i="23"/>
  <c r="G1399" i="23" s="1"/>
  <c r="I1399" i="23" s="1"/>
  <c r="E1400" i="23"/>
  <c r="G1400" i="23" s="1"/>
  <c r="I1400" i="23" s="1"/>
  <c r="E1401" i="23"/>
  <c r="G1401" i="23" s="1"/>
  <c r="I1401" i="23" s="1"/>
  <c r="E1402" i="23"/>
  <c r="G1402" i="23" s="1"/>
  <c r="I1402" i="23" s="1"/>
  <c r="E1410" i="23"/>
  <c r="G1410" i="23" s="1"/>
  <c r="I1410" i="23" s="1"/>
  <c r="E1421" i="23"/>
  <c r="G1421" i="23" s="1"/>
  <c r="I1421" i="23" s="1"/>
  <c r="E1422" i="23"/>
  <c r="G1422" i="23" s="1"/>
  <c r="I1422" i="23" s="1"/>
  <c r="E1423" i="23"/>
  <c r="G1423" i="23" s="1"/>
  <c r="I1423" i="23" s="1"/>
  <c r="E1424" i="23"/>
  <c r="G1424" i="23" s="1"/>
  <c r="I1424" i="23" s="1"/>
  <c r="E1425" i="23"/>
  <c r="G1425" i="23" s="1"/>
  <c r="I1425" i="23" s="1"/>
  <c r="E1432" i="23"/>
  <c r="G1432" i="23" s="1"/>
  <c r="I1432" i="23" s="1"/>
  <c r="E1443" i="23"/>
  <c r="E1444" i="23"/>
  <c r="G1444" i="23" s="1"/>
  <c r="I1444" i="23" s="1"/>
  <c r="E1454" i="23"/>
  <c r="G1454" i="23" s="1"/>
  <c r="I1454" i="23" s="1"/>
  <c r="E1465" i="23"/>
  <c r="G1465" i="23" s="1"/>
  <c r="I1465" i="23" s="1"/>
  <c r="E1466" i="23"/>
  <c r="G1466" i="23" s="1"/>
  <c r="I1466" i="23" s="1"/>
  <c r="E1467" i="23"/>
  <c r="G1467" i="23" s="1"/>
  <c r="I1467" i="23" s="1"/>
  <c r="E1468" i="23"/>
  <c r="E1469" i="23"/>
  <c r="G1469" i="23" s="1"/>
  <c r="I1469" i="23" s="1"/>
  <c r="E1470" i="23"/>
  <c r="G1470" i="23" s="1"/>
  <c r="I1470" i="23" s="1"/>
  <c r="E1476" i="23"/>
  <c r="G1476" i="23" s="1"/>
  <c r="I1476" i="23" s="1"/>
  <c r="E1477" i="23"/>
  <c r="G1477" i="23" s="1"/>
  <c r="E1478" i="23"/>
  <c r="G1478" i="23" s="1"/>
  <c r="I1478" i="23" s="1"/>
  <c r="E1479" i="23"/>
  <c r="G1479" i="23" s="1"/>
  <c r="I1479" i="23" s="1"/>
  <c r="E1480" i="23"/>
  <c r="G1480" i="23" s="1"/>
  <c r="I1480" i="23" s="1"/>
  <c r="E1481" i="23"/>
  <c r="G1481" i="23" s="1"/>
  <c r="I1481" i="23" s="1"/>
  <c r="E1487" i="23"/>
  <c r="G1487" i="23" s="1"/>
  <c r="I1487" i="23" s="1"/>
  <c r="E1488" i="23"/>
  <c r="G1488" i="23" s="1"/>
  <c r="I1488" i="23" s="1"/>
  <c r="E1489" i="23"/>
  <c r="G1489" i="23" s="1"/>
  <c r="I1489" i="23" s="1"/>
  <c r="E1490" i="23"/>
  <c r="G1490" i="23" s="1"/>
  <c r="I1490" i="23" s="1"/>
  <c r="E1491" i="23"/>
  <c r="E1492" i="23"/>
  <c r="G1492" i="23" s="1"/>
  <c r="I1492" i="23" s="1"/>
  <c r="E1493" i="23"/>
  <c r="G1493" i="23" s="1"/>
  <c r="E1494" i="23"/>
  <c r="G1494" i="23" s="1"/>
  <c r="I1494" i="23" s="1"/>
  <c r="E1498" i="23"/>
  <c r="G1498" i="23" s="1"/>
  <c r="I1498" i="23" s="1"/>
  <c r="E1499" i="23"/>
  <c r="G1499" i="23" s="1"/>
  <c r="I1499" i="23" s="1"/>
  <c r="E1509" i="23"/>
  <c r="G1509" i="23" s="1"/>
  <c r="E1510" i="23"/>
  <c r="G1510" i="23" s="1"/>
  <c r="I1510" i="23" s="1"/>
  <c r="E1511" i="23"/>
  <c r="G1511" i="23" s="1"/>
  <c r="I1511" i="23" s="1"/>
  <c r="E1512" i="23"/>
  <c r="G1512" i="23" s="1"/>
  <c r="I1512" i="23" s="1"/>
  <c r="E1513" i="23"/>
  <c r="G1513" i="23" s="1"/>
  <c r="I1513" i="23" s="1"/>
  <c r="E1514" i="23"/>
  <c r="G1514" i="23" s="1"/>
  <c r="I1514" i="23" s="1"/>
  <c r="E1515" i="23"/>
  <c r="G1515" i="23" s="1"/>
  <c r="I1515" i="23" s="1"/>
  <c r="E1516" i="23"/>
  <c r="G1516" i="23" s="1"/>
  <c r="I1516" i="23" s="1"/>
  <c r="E1517" i="23"/>
  <c r="G1517" i="23" s="1"/>
  <c r="I1517" i="23" s="1"/>
  <c r="E1518" i="23"/>
  <c r="G1518" i="23" s="1"/>
  <c r="I1518" i="23" s="1"/>
  <c r="E1520" i="23"/>
  <c r="E1531" i="23"/>
  <c r="G1531" i="23" s="1"/>
  <c r="I1531" i="23" s="1"/>
  <c r="E1542" i="23"/>
  <c r="E1545" i="23"/>
  <c r="G1545" i="23" s="1"/>
  <c r="I1545" i="23" s="1"/>
  <c r="E1553" i="23"/>
  <c r="G1553" i="23" s="1"/>
  <c r="I1553" i="23" s="1"/>
  <c r="E1554" i="23"/>
  <c r="E1555" i="23"/>
  <c r="E1557" i="23"/>
  <c r="G1557" i="23" s="1"/>
  <c r="E1564" i="23"/>
  <c r="G1564" i="23" s="1"/>
  <c r="I1564" i="23" s="1"/>
  <c r="E1565" i="23"/>
  <c r="G1565" i="23" s="1"/>
  <c r="I1565" i="23" s="1"/>
  <c r="E1566" i="23"/>
  <c r="G1566" i="23" s="1"/>
  <c r="I1566" i="23" s="1"/>
  <c r="E1567" i="23"/>
  <c r="G1567" i="23" s="1"/>
  <c r="I1567" i="23" s="1"/>
  <c r="E1568" i="23"/>
  <c r="G1568" i="23" s="1"/>
  <c r="I1568" i="23" s="1"/>
  <c r="E1569" i="23"/>
  <c r="G1569" i="23" s="1"/>
  <c r="I1569" i="23" s="1"/>
  <c r="E1570" i="23"/>
  <c r="G1570" i="23" s="1"/>
  <c r="I1570" i="23" s="1"/>
  <c r="E1571" i="23"/>
  <c r="E1572" i="23"/>
  <c r="G1572" i="23" s="1"/>
  <c r="I1572" i="23" s="1"/>
  <c r="E1573" i="23"/>
  <c r="G1573" i="23" s="1"/>
  <c r="E1574" i="23"/>
  <c r="G1574" i="23" s="1"/>
  <c r="I1574" i="23" s="1"/>
  <c r="E1575" i="23"/>
  <c r="G1575" i="23" s="1"/>
  <c r="I1575" i="23" s="1"/>
  <c r="E1576" i="23"/>
  <c r="G1576" i="23" s="1"/>
  <c r="I1576" i="23" s="1"/>
  <c r="E1577" i="23"/>
  <c r="G1577" i="23" s="1"/>
  <c r="I1577" i="23" s="1"/>
  <c r="E1586" i="23"/>
  <c r="G1586" i="23" s="1"/>
  <c r="I1586" i="23" s="1"/>
  <c r="E1590" i="23"/>
  <c r="G1590" i="23" s="1"/>
  <c r="I1590" i="23" s="1"/>
  <c r="E1591" i="23"/>
  <c r="G1591" i="23" s="1"/>
  <c r="I1591" i="23" s="1"/>
  <c r="E1592" i="23"/>
  <c r="G1592" i="23" s="1"/>
  <c r="I1592" i="23" s="1"/>
  <c r="E1593" i="23"/>
  <c r="G1593" i="23" s="1"/>
  <c r="I1593" i="23" s="1"/>
  <c r="E1594" i="23"/>
  <c r="G1594" i="23" s="1"/>
  <c r="I1594" i="23" s="1"/>
  <c r="E1595" i="23"/>
  <c r="G1595" i="23" s="1"/>
  <c r="I1595" i="23" s="1"/>
  <c r="E1596" i="23"/>
  <c r="G1596" i="23" s="1"/>
  <c r="I1596" i="23" s="1"/>
  <c r="E1597" i="23"/>
  <c r="G1597" i="23" s="1"/>
  <c r="I1597" i="23" s="1"/>
  <c r="E1598" i="23"/>
  <c r="G1598" i="23" s="1"/>
  <c r="I1598" i="23" s="1"/>
  <c r="E1599" i="23"/>
  <c r="G1599" i="23" s="1"/>
  <c r="I1599" i="23" s="1"/>
  <c r="E1600" i="23"/>
  <c r="G1600" i="23" s="1"/>
  <c r="I1600" i="23" s="1"/>
  <c r="E1601" i="23"/>
  <c r="G1601" i="23" s="1"/>
  <c r="I1601" i="23" s="1"/>
  <c r="E1602" i="23"/>
  <c r="G1602" i="23" s="1"/>
  <c r="I1602" i="23" s="1"/>
  <c r="E1603" i="23"/>
  <c r="E1604" i="23"/>
  <c r="G1604" i="23" s="1"/>
  <c r="I1604" i="23" s="1"/>
  <c r="E1605" i="23"/>
  <c r="G1605" i="23" s="1"/>
  <c r="E1606" i="23"/>
  <c r="G1606" i="23" s="1"/>
  <c r="I1606" i="23" s="1"/>
  <c r="E1607" i="23"/>
  <c r="G1607" i="23" s="1"/>
  <c r="I1607" i="23" s="1"/>
  <c r="E1608" i="23"/>
  <c r="G1608" i="23" s="1"/>
  <c r="I1608" i="23" s="1"/>
  <c r="E1619" i="23"/>
  <c r="U9" i="31"/>
  <c r="U32" i="31"/>
  <c r="U36" i="31"/>
  <c r="U104" i="31"/>
  <c r="U105" i="31"/>
  <c r="U133" i="31"/>
  <c r="U137" i="31"/>
  <c r="U192" i="31"/>
  <c r="U253" i="31"/>
  <c r="U257" i="31"/>
  <c r="U293" i="31"/>
  <c r="U304" i="31"/>
  <c r="U305" i="31"/>
  <c r="U312" i="31"/>
  <c r="U344" i="31"/>
  <c r="U345" i="31"/>
  <c r="U352" i="31"/>
  <c r="U373" i="31"/>
  <c r="U392" i="31"/>
  <c r="U464" i="31"/>
  <c r="U465" i="31"/>
  <c r="U504" i="31"/>
  <c r="U505" i="31"/>
  <c r="U533" i="31"/>
  <c r="U537" i="31"/>
  <c r="U573" i="31"/>
  <c r="U584" i="31"/>
  <c r="U585" i="31"/>
  <c r="U592" i="31"/>
  <c r="U596" i="31"/>
  <c r="U613" i="31"/>
  <c r="U632" i="31"/>
  <c r="U661" i="31"/>
  <c r="U744" i="31"/>
  <c r="U745" i="31"/>
  <c r="U748" i="31"/>
  <c r="U749" i="31"/>
  <c r="U752" i="31"/>
  <c r="U753" i="31"/>
  <c r="U813" i="31"/>
  <c r="U864" i="31"/>
  <c r="U865" i="31"/>
  <c r="U868" i="31"/>
  <c r="U869" i="31"/>
  <c r="U872" i="31"/>
  <c r="U876" i="31"/>
  <c r="U880" i="31"/>
  <c r="U944" i="31"/>
  <c r="U945" i="31"/>
  <c r="U973" i="31"/>
  <c r="U984" i="31"/>
  <c r="U985" i="31"/>
  <c r="U1064" i="31"/>
  <c r="U1065" i="31"/>
  <c r="U1144" i="31"/>
  <c r="U1145" i="31"/>
  <c r="U1148" i="31"/>
  <c r="U1173" i="31"/>
  <c r="U1213" i="31"/>
  <c r="U1217" i="31"/>
  <c r="U1221" i="31"/>
  <c r="U1224" i="31"/>
  <c r="U1225" i="31"/>
  <c r="U1272" i="31"/>
  <c r="U1293" i="31"/>
  <c r="U1312" i="31"/>
  <c r="U1333" i="31"/>
  <c r="U1344" i="31"/>
  <c r="U1345" i="31"/>
  <c r="U1352" i="31"/>
  <c r="U1356" i="31"/>
  <c r="U1373" i="31"/>
  <c r="U1377" i="31"/>
  <c r="U1413" i="31"/>
  <c r="U1424" i="31"/>
  <c r="U1425" i="31"/>
  <c r="U1428" i="31"/>
  <c r="U1429" i="31"/>
  <c r="U1432" i="31"/>
  <c r="U1445" i="31"/>
  <c r="U1453" i="31"/>
  <c r="U1457" i="31"/>
  <c r="U1461" i="31"/>
  <c r="E3" i="20"/>
  <c r="U2" i="31" s="1"/>
  <c r="E4" i="20"/>
  <c r="U3" i="31" s="1"/>
  <c r="E5" i="20"/>
  <c r="U4" i="31" s="1"/>
  <c r="E6" i="20"/>
  <c r="U5" i="31" s="1"/>
  <c r="E7" i="20"/>
  <c r="U6" i="31" s="1"/>
  <c r="E8" i="20"/>
  <c r="U7" i="31" s="1"/>
  <c r="E9" i="20"/>
  <c r="U8" i="31" s="1"/>
  <c r="E10" i="20"/>
  <c r="E11" i="20"/>
  <c r="U10" i="31" s="1"/>
  <c r="E12" i="20"/>
  <c r="U11" i="31" s="1"/>
  <c r="E13" i="20"/>
  <c r="E24" i="20"/>
  <c r="E35" i="20"/>
  <c r="E36" i="20"/>
  <c r="E37" i="20"/>
  <c r="U33" i="31" s="1"/>
  <c r="E38" i="20"/>
  <c r="U34" i="31" s="1"/>
  <c r="E39" i="20"/>
  <c r="U35" i="31" s="1"/>
  <c r="E40" i="20"/>
  <c r="E41" i="20"/>
  <c r="U37" i="31" s="1"/>
  <c r="E42" i="20"/>
  <c r="U38" i="31" s="1"/>
  <c r="E46" i="20"/>
  <c r="E56" i="20"/>
  <c r="U51" i="31" s="1"/>
  <c r="E57" i="20"/>
  <c r="E58" i="20"/>
  <c r="U52" i="31" s="1"/>
  <c r="E68" i="20"/>
  <c r="E79" i="20"/>
  <c r="E90" i="20"/>
  <c r="E101" i="20"/>
  <c r="E112" i="20"/>
  <c r="E113" i="20"/>
  <c r="U102" i="31" s="1"/>
  <c r="E114" i="20"/>
  <c r="U103" i="31" s="1"/>
  <c r="E115" i="20"/>
  <c r="E116" i="20"/>
  <c r="E117" i="20"/>
  <c r="U106" i="31" s="1"/>
  <c r="E123" i="20"/>
  <c r="E134" i="20"/>
  <c r="E145" i="20"/>
  <c r="E146" i="20"/>
  <c r="U132" i="31" s="1"/>
  <c r="E147" i="20"/>
  <c r="E148" i="20"/>
  <c r="U134" i="31" s="1"/>
  <c r="E149" i="20"/>
  <c r="U135" i="31" s="1"/>
  <c r="E150" i="20"/>
  <c r="U136" i="31" s="1"/>
  <c r="E151" i="20"/>
  <c r="E152" i="20"/>
  <c r="U138" i="31" s="1"/>
  <c r="E153" i="20"/>
  <c r="U139" i="31" s="1"/>
  <c r="E154" i="20"/>
  <c r="U140" i="31" s="1"/>
  <c r="E156" i="20"/>
  <c r="E157" i="20"/>
  <c r="U142" i="31" s="1"/>
  <c r="E158" i="20"/>
  <c r="U143" i="31" s="1"/>
  <c r="E167" i="20"/>
  <c r="E178" i="20"/>
  <c r="E179" i="20"/>
  <c r="U162" i="31" s="1"/>
  <c r="E180" i="20"/>
  <c r="U163" i="31" s="1"/>
  <c r="E181" i="20"/>
  <c r="U164" i="31" s="1"/>
  <c r="E182" i="20"/>
  <c r="U165" i="31" s="1"/>
  <c r="E189" i="20"/>
  <c r="E200" i="20"/>
  <c r="E211" i="20"/>
  <c r="E212" i="20"/>
  <c r="E213" i="20"/>
  <c r="U193" i="31" s="1"/>
  <c r="E222" i="20"/>
  <c r="E233" i="20"/>
  <c r="E234" i="20"/>
  <c r="U212" i="31" s="1"/>
  <c r="E244" i="20"/>
  <c r="E255" i="20"/>
  <c r="E266" i="20"/>
  <c r="E277" i="20"/>
  <c r="E278" i="20"/>
  <c r="U252" i="31" s="1"/>
  <c r="E279" i="20"/>
  <c r="E280" i="20"/>
  <c r="U254" i="31" s="1"/>
  <c r="E281" i="20"/>
  <c r="U255" i="31" s="1"/>
  <c r="E282" i="20"/>
  <c r="U256" i="31" s="1"/>
  <c r="E283" i="20"/>
  <c r="E284" i="20"/>
  <c r="U258" i="31" s="1"/>
  <c r="E288" i="20"/>
  <c r="E299" i="20"/>
  <c r="E310" i="20"/>
  <c r="E321" i="20"/>
  <c r="E322" i="20"/>
  <c r="U292" i="31" s="1"/>
  <c r="E323" i="20"/>
  <c r="E332" i="20"/>
  <c r="E333" i="20"/>
  <c r="U302" i="31" s="1"/>
  <c r="E334" i="20"/>
  <c r="U303" i="31" s="1"/>
  <c r="E335" i="20"/>
  <c r="E336" i="20"/>
  <c r="E343" i="20"/>
  <c r="E344" i="20"/>
  <c r="E354" i="20"/>
  <c r="E355" i="20"/>
  <c r="U322" i="31" s="1"/>
  <c r="E365" i="20"/>
  <c r="E376" i="20"/>
  <c r="E377" i="20"/>
  <c r="U342" i="31" s="1"/>
  <c r="E378" i="20"/>
  <c r="U343" i="31" s="1"/>
  <c r="E379" i="20"/>
  <c r="E380" i="20"/>
  <c r="E381" i="20"/>
  <c r="U346" i="31" s="1"/>
  <c r="E387" i="20"/>
  <c r="E388" i="20"/>
  <c r="E397" i="20"/>
  <c r="U361" i="31" s="1"/>
  <c r="E398" i="20"/>
  <c r="E399" i="20"/>
  <c r="U362" i="31" s="1"/>
  <c r="E400" i="20"/>
  <c r="U363" i="31" s="1"/>
  <c r="E409" i="20"/>
  <c r="E410" i="20"/>
  <c r="U372" i="31" s="1"/>
  <c r="E411" i="20"/>
  <c r="E420" i="20"/>
  <c r="E431" i="20"/>
  <c r="E432" i="20"/>
  <c r="E433" i="20"/>
  <c r="U393" i="31" s="1"/>
  <c r="E434" i="20"/>
  <c r="U394" i="31" s="1"/>
  <c r="E442" i="20"/>
  <c r="E443" i="20"/>
  <c r="U402" i="31" s="1"/>
  <c r="E444" i="20"/>
  <c r="U403" i="31" s="1"/>
  <c r="E445" i="20"/>
  <c r="U404" i="31" s="1"/>
  <c r="E453" i="20"/>
  <c r="E464" i="20"/>
  <c r="E475" i="20"/>
  <c r="E486" i="20"/>
  <c r="E487" i="20"/>
  <c r="U442" i="31" s="1"/>
  <c r="E488" i="20"/>
  <c r="U443" i="31" s="1"/>
  <c r="E489" i="20"/>
  <c r="U444" i="31" s="1"/>
  <c r="E497" i="20"/>
  <c r="E498" i="20"/>
  <c r="U452" i="31" s="1"/>
  <c r="E508" i="20"/>
  <c r="E509" i="20"/>
  <c r="U462" i="31" s="1"/>
  <c r="E510" i="20"/>
  <c r="U463" i="31" s="1"/>
  <c r="E511" i="20"/>
  <c r="E512" i="20"/>
  <c r="E519" i="20"/>
  <c r="E530" i="20"/>
  <c r="E531" i="20"/>
  <c r="U482" i="31" s="1"/>
  <c r="E541" i="20"/>
  <c r="E552" i="20"/>
  <c r="E553" i="20"/>
  <c r="U502" i="31" s="1"/>
  <c r="E554" i="20"/>
  <c r="U503" i="31" s="1"/>
  <c r="E555" i="20"/>
  <c r="E556" i="20"/>
  <c r="E563" i="20"/>
  <c r="E574" i="20"/>
  <c r="E575" i="20"/>
  <c r="U522" i="31" s="1"/>
  <c r="E585" i="20"/>
  <c r="E586" i="20"/>
  <c r="U532" i="31" s="1"/>
  <c r="E587" i="20"/>
  <c r="E588" i="20"/>
  <c r="U534" i="31" s="1"/>
  <c r="E589" i="20"/>
  <c r="U535" i="31" s="1"/>
  <c r="E590" i="20"/>
  <c r="U536" i="31" s="1"/>
  <c r="E591" i="20"/>
  <c r="E596" i="20"/>
  <c r="E607" i="20"/>
  <c r="E618" i="20"/>
  <c r="E619" i="20"/>
  <c r="U562" i="31" s="1"/>
  <c r="E620" i="20"/>
  <c r="U563" i="31" s="1"/>
  <c r="E629" i="20"/>
  <c r="E630" i="20"/>
  <c r="U572" i="31" s="1"/>
  <c r="E631" i="20"/>
  <c r="E632" i="20"/>
  <c r="U574" i="31" s="1"/>
  <c r="E633" i="20"/>
  <c r="U575" i="31" s="1"/>
  <c r="E634" i="20"/>
  <c r="U576" i="31" s="1"/>
  <c r="E640" i="20"/>
  <c r="E641" i="20"/>
  <c r="U582" i="31" s="1"/>
  <c r="E642" i="20"/>
  <c r="U583" i="31" s="1"/>
  <c r="E643" i="20"/>
  <c r="E644" i="20"/>
  <c r="E651" i="20"/>
  <c r="E652" i="20"/>
  <c r="E653" i="20"/>
  <c r="U593" i="31" s="1"/>
  <c r="E654" i="20"/>
  <c r="U594" i="31" s="1"/>
  <c r="E655" i="20"/>
  <c r="U595" i="31" s="1"/>
  <c r="E656" i="20"/>
  <c r="E662" i="20"/>
  <c r="E673" i="20"/>
  <c r="E674" i="20"/>
  <c r="U612" i="31" s="1"/>
  <c r="E675" i="20"/>
  <c r="E676" i="20"/>
  <c r="U614" i="31" s="1"/>
  <c r="E684" i="20"/>
  <c r="E695" i="20"/>
  <c r="E696" i="20"/>
  <c r="E697" i="20"/>
  <c r="U633" i="31" s="1"/>
  <c r="E706" i="20"/>
  <c r="E707" i="20"/>
  <c r="U642" i="31" s="1"/>
  <c r="E708" i="20"/>
  <c r="U643" i="31" s="1"/>
  <c r="E709" i="20"/>
  <c r="U644" i="31" s="1"/>
  <c r="E710" i="20"/>
  <c r="U645" i="31" s="1"/>
  <c r="E711" i="20"/>
  <c r="U646" i="31" s="1"/>
  <c r="E712" i="20"/>
  <c r="U647" i="31" s="1"/>
  <c r="E713" i="20"/>
  <c r="U648" i="31" s="1"/>
  <c r="E717" i="20"/>
  <c r="E727" i="20"/>
  <c r="E728" i="20"/>
  <c r="E739" i="20"/>
  <c r="E750" i="20"/>
  <c r="E751" i="20"/>
  <c r="U682" i="31" s="1"/>
  <c r="E752" i="20"/>
  <c r="U683" i="31" s="1"/>
  <c r="E761" i="20"/>
  <c r="E772" i="20"/>
  <c r="E783" i="20"/>
  <c r="E794" i="20"/>
  <c r="E795" i="20"/>
  <c r="U722" i="31" s="1"/>
  <c r="E796" i="20"/>
  <c r="U723" i="31" s="1"/>
  <c r="E797" i="20"/>
  <c r="U724" i="31" s="1"/>
  <c r="E798" i="20"/>
  <c r="U725" i="31" s="1"/>
  <c r="E805" i="20"/>
  <c r="E816" i="20"/>
  <c r="E817" i="20"/>
  <c r="U742" i="31" s="1"/>
  <c r="E818" i="20"/>
  <c r="U743" i="31" s="1"/>
  <c r="E819" i="20"/>
  <c r="E820" i="20"/>
  <c r="E821" i="20"/>
  <c r="U746" i="31" s="1"/>
  <c r="E822" i="20"/>
  <c r="U747" i="31" s="1"/>
  <c r="E823" i="20"/>
  <c r="E824" i="20"/>
  <c r="E825" i="20"/>
  <c r="U750" i="31" s="1"/>
  <c r="E826" i="20"/>
  <c r="U751" i="31" s="1"/>
  <c r="E827" i="20"/>
  <c r="E828" i="20"/>
  <c r="E829" i="20"/>
  <c r="E830" i="20"/>
  <c r="U754" i="31" s="1"/>
  <c r="E831" i="20"/>
  <c r="U755" i="31" s="1"/>
  <c r="E838" i="20"/>
  <c r="E839" i="20"/>
  <c r="U762" i="31" s="1"/>
  <c r="E840" i="20"/>
  <c r="U763" i="31" s="1"/>
  <c r="E841" i="20"/>
  <c r="U764" i="31" s="1"/>
  <c r="E849" i="20"/>
  <c r="E860" i="20"/>
  <c r="E871" i="20"/>
  <c r="E882" i="20"/>
  <c r="E883" i="20"/>
  <c r="U802" i="31" s="1"/>
  <c r="E884" i="20"/>
  <c r="U803" i="31" s="1"/>
  <c r="E885" i="20"/>
  <c r="U804" i="31" s="1"/>
  <c r="E893" i="20"/>
  <c r="E894" i="20"/>
  <c r="U812" i="31" s="1"/>
  <c r="E895" i="20"/>
  <c r="E896" i="20"/>
  <c r="U814" i="31" s="1"/>
  <c r="E897" i="20"/>
  <c r="U815" i="31" s="1"/>
  <c r="E898" i="20"/>
  <c r="U816" i="31" s="1"/>
  <c r="E904" i="20"/>
  <c r="E915" i="20"/>
  <c r="E926" i="20"/>
  <c r="E937" i="20"/>
  <c r="E938" i="20"/>
  <c r="U852" i="31" s="1"/>
  <c r="E948" i="20"/>
  <c r="E949" i="20"/>
  <c r="U862" i="31" s="1"/>
  <c r="E950" i="20"/>
  <c r="U863" i="31" s="1"/>
  <c r="E951" i="20"/>
  <c r="E952" i="20"/>
  <c r="E953" i="20"/>
  <c r="U866" i="31" s="1"/>
  <c r="E954" i="20"/>
  <c r="U867" i="31" s="1"/>
  <c r="E955" i="20"/>
  <c r="E956" i="20"/>
  <c r="E957" i="20"/>
  <c r="U870" i="31" s="1"/>
  <c r="E958" i="20"/>
  <c r="U871" i="31" s="1"/>
  <c r="E959" i="20"/>
  <c r="E960" i="20"/>
  <c r="E961" i="20"/>
  <c r="U873" i="31" s="1"/>
  <c r="E962" i="20"/>
  <c r="U874" i="31" s="1"/>
  <c r="E963" i="20"/>
  <c r="U875" i="31" s="1"/>
  <c r="E964" i="20"/>
  <c r="E965" i="20"/>
  <c r="U877" i="31" s="1"/>
  <c r="E966" i="20"/>
  <c r="U878" i="31" s="1"/>
  <c r="E967" i="20"/>
  <c r="U879" i="31" s="1"/>
  <c r="E968" i="20"/>
  <c r="E969" i="20"/>
  <c r="U881" i="31" s="1"/>
  <c r="E970" i="20"/>
  <c r="E981" i="20"/>
  <c r="E992" i="20"/>
  <c r="E1003" i="20"/>
  <c r="E1014" i="20"/>
  <c r="E1025" i="20"/>
  <c r="E1036" i="20"/>
  <c r="E1037" i="20"/>
  <c r="U942" i="31" s="1"/>
  <c r="E1038" i="20"/>
  <c r="U943" i="31" s="1"/>
  <c r="E1039" i="20"/>
  <c r="E1040" i="20"/>
  <c r="E1047" i="20"/>
  <c r="E1058" i="20"/>
  <c r="E1059" i="20"/>
  <c r="U962" i="31" s="1"/>
  <c r="E1060" i="20"/>
  <c r="U963" i="31" s="1"/>
  <c r="E1069" i="20"/>
  <c r="E1070" i="20"/>
  <c r="U972" i="31" s="1"/>
  <c r="E1071" i="20"/>
  <c r="E1080" i="20"/>
  <c r="E1081" i="20"/>
  <c r="U982" i="31" s="1"/>
  <c r="E1082" i="20"/>
  <c r="U983" i="31" s="1"/>
  <c r="E1083" i="20"/>
  <c r="E1084" i="20"/>
  <c r="E1085" i="20"/>
  <c r="U986" i="31" s="1"/>
  <c r="E1086" i="20"/>
  <c r="U987" i="31" s="1"/>
  <c r="E1091" i="20"/>
  <c r="E1102" i="20"/>
  <c r="E1113" i="20"/>
  <c r="E1124" i="20"/>
  <c r="E1135" i="20"/>
  <c r="E1146" i="20"/>
  <c r="E1147" i="20"/>
  <c r="U1042" i="31" s="1"/>
  <c r="E1157" i="20"/>
  <c r="E1168" i="20"/>
  <c r="E1169" i="20"/>
  <c r="U1062" i="31" s="1"/>
  <c r="E1170" i="20"/>
  <c r="U1063" i="31" s="1"/>
  <c r="E1171" i="20"/>
  <c r="E1172" i="20"/>
  <c r="E1179" i="20"/>
  <c r="E1190" i="20"/>
  <c r="E1201" i="20"/>
  <c r="E1212" i="20"/>
  <c r="E1223" i="20"/>
  <c r="E1234" i="20"/>
  <c r="E1235" i="20"/>
  <c r="U1122" i="31" s="1"/>
  <c r="E1236" i="20"/>
  <c r="U1123" i="31" s="1"/>
  <c r="E1237" i="20"/>
  <c r="U1124" i="31" s="1"/>
  <c r="E1245" i="20"/>
  <c r="E1256" i="20"/>
  <c r="E1257" i="20"/>
  <c r="U1142" i="31" s="1"/>
  <c r="E1258" i="20"/>
  <c r="U1143" i="31" s="1"/>
  <c r="E1259" i="20"/>
  <c r="E1260" i="20"/>
  <c r="E1261" i="20"/>
  <c r="U1146" i="31" s="1"/>
  <c r="E1262" i="20"/>
  <c r="U1147" i="31" s="1"/>
  <c r="E1263" i="20"/>
  <c r="E1267" i="20"/>
  <c r="E1278" i="20"/>
  <c r="E1289" i="20"/>
  <c r="E1290" i="20"/>
  <c r="U1172" i="31" s="1"/>
  <c r="E1291" i="20"/>
  <c r="E1292" i="20"/>
  <c r="U1174" i="31" s="1"/>
  <c r="E1300" i="20"/>
  <c r="E1310" i="20"/>
  <c r="U1191" i="31" s="1"/>
  <c r="E1311" i="20"/>
  <c r="E1322" i="20"/>
  <c r="E1333" i="20"/>
  <c r="E1334" i="20"/>
  <c r="U1212" i="31" s="1"/>
  <c r="E1335" i="20"/>
  <c r="E1336" i="20"/>
  <c r="U1214" i="31" s="1"/>
  <c r="E1337" i="20"/>
  <c r="U1215" i="31" s="1"/>
  <c r="E1338" i="20"/>
  <c r="U1216" i="31" s="1"/>
  <c r="E1339" i="20"/>
  <c r="E1340" i="20"/>
  <c r="U1218" i="31" s="1"/>
  <c r="E1341" i="20"/>
  <c r="U1219" i="31" s="1"/>
  <c r="E1342" i="20"/>
  <c r="U1220" i="31" s="1"/>
  <c r="E1343" i="20"/>
  <c r="E1344" i="20"/>
  <c r="E1345" i="20"/>
  <c r="U1222" i="31" s="1"/>
  <c r="E1346" i="20"/>
  <c r="U1223" i="31" s="1"/>
  <c r="E1347" i="20"/>
  <c r="E1348" i="20"/>
  <c r="E1355" i="20"/>
  <c r="E1366" i="20"/>
  <c r="E1367" i="20"/>
  <c r="U1242" i="31" s="1"/>
  <c r="E1368" i="20"/>
  <c r="U1243" i="31" s="1"/>
  <c r="E1369" i="20"/>
  <c r="U1244" i="31" s="1"/>
  <c r="E1370" i="20"/>
  <c r="U1245" i="31" s="1"/>
  <c r="E1371" i="20"/>
  <c r="U1246" i="31" s="1"/>
  <c r="E1372" i="20"/>
  <c r="U1247" i="31" s="1"/>
  <c r="E1373" i="20"/>
  <c r="U1248" i="31" s="1"/>
  <c r="E1374" i="20"/>
  <c r="U1249" i="31" s="1"/>
  <c r="E1375" i="20"/>
  <c r="U1250" i="31" s="1"/>
  <c r="E1376" i="20"/>
  <c r="U1251" i="31" s="1"/>
  <c r="E1377" i="20"/>
  <c r="E1378" i="20"/>
  <c r="U1252" i="31" s="1"/>
  <c r="E1388" i="20"/>
  <c r="E1389" i="20"/>
  <c r="U1262" i="31" s="1"/>
  <c r="E1399" i="20"/>
  <c r="E1400" i="20"/>
  <c r="E1401" i="20"/>
  <c r="U1273" i="31" s="1"/>
  <c r="E1402" i="20"/>
  <c r="U1274" i="31" s="1"/>
  <c r="E1410" i="20"/>
  <c r="E1421" i="20"/>
  <c r="E1422" i="20"/>
  <c r="U1292" i="31" s="1"/>
  <c r="E1423" i="20"/>
  <c r="E1424" i="20"/>
  <c r="U1294" i="31" s="1"/>
  <c r="E1425" i="20"/>
  <c r="U1295" i="31" s="1"/>
  <c r="E1432" i="20"/>
  <c r="E1443" i="20"/>
  <c r="E1444" i="20"/>
  <c r="E1454" i="20"/>
  <c r="E1465" i="20"/>
  <c r="E1466" i="20"/>
  <c r="U1332" i="31" s="1"/>
  <c r="E1467" i="20"/>
  <c r="E1468" i="20"/>
  <c r="U1334" i="31" s="1"/>
  <c r="E1469" i="20"/>
  <c r="U1335" i="31" s="1"/>
  <c r="E1470" i="20"/>
  <c r="U1336" i="31" s="1"/>
  <c r="E1476" i="20"/>
  <c r="E1477" i="20"/>
  <c r="U1342" i="31" s="1"/>
  <c r="E1478" i="20"/>
  <c r="U1343" i="31" s="1"/>
  <c r="E1479" i="20"/>
  <c r="E1480" i="20"/>
  <c r="E1481" i="20"/>
  <c r="U1346" i="31" s="1"/>
  <c r="E1487" i="20"/>
  <c r="E1488" i="20"/>
  <c r="E1489" i="20"/>
  <c r="U1353" i="31" s="1"/>
  <c r="E1490" i="20"/>
  <c r="U1354" i="31" s="1"/>
  <c r="E1491" i="20"/>
  <c r="U1355" i="31" s="1"/>
  <c r="E1492" i="20"/>
  <c r="E1493" i="20"/>
  <c r="U1357" i="31" s="1"/>
  <c r="E1494" i="20"/>
  <c r="U1358" i="31" s="1"/>
  <c r="E1498" i="20"/>
  <c r="E1499" i="20"/>
  <c r="U1362" i="31" s="1"/>
  <c r="E1509" i="20"/>
  <c r="E1510" i="20"/>
  <c r="U1372" i="31" s="1"/>
  <c r="E1511" i="20"/>
  <c r="E1512" i="20"/>
  <c r="U1374" i="31" s="1"/>
  <c r="E1513" i="20"/>
  <c r="U1375" i="31" s="1"/>
  <c r="E1514" i="20"/>
  <c r="U1376" i="31" s="1"/>
  <c r="E1515" i="20"/>
  <c r="E1516" i="20"/>
  <c r="U1378" i="31" s="1"/>
  <c r="E1517" i="20"/>
  <c r="U1379" i="31" s="1"/>
  <c r="E1518" i="20"/>
  <c r="U1380" i="31" s="1"/>
  <c r="E1520" i="20"/>
  <c r="E1531" i="20"/>
  <c r="E1542" i="20"/>
  <c r="E1545" i="20"/>
  <c r="U1404" i="31" s="1"/>
  <c r="E1553" i="20"/>
  <c r="E1554" i="20"/>
  <c r="U1412" i="31" s="1"/>
  <c r="E1555" i="20"/>
  <c r="E1557" i="20"/>
  <c r="U1415" i="31" s="1"/>
  <c r="E1564" i="20"/>
  <c r="E1565" i="20"/>
  <c r="U1422" i="31" s="1"/>
  <c r="E1566" i="20"/>
  <c r="U1423" i="31" s="1"/>
  <c r="E1567" i="20"/>
  <c r="E1568" i="20"/>
  <c r="E1569" i="20"/>
  <c r="U1426" i="31" s="1"/>
  <c r="E1570" i="20"/>
  <c r="U1427" i="31" s="1"/>
  <c r="E1571" i="20"/>
  <c r="E1572" i="20"/>
  <c r="E1573" i="20"/>
  <c r="U1430" i="31" s="1"/>
  <c r="E1574" i="20"/>
  <c r="U1431" i="31" s="1"/>
  <c r="E1575" i="20"/>
  <c r="E1576" i="20"/>
  <c r="E1577" i="20"/>
  <c r="U1433" i="31" s="1"/>
  <c r="E1586" i="20"/>
  <c r="E1590" i="20"/>
  <c r="E1591" i="20"/>
  <c r="U1446" i="31" s="1"/>
  <c r="E1592" i="20"/>
  <c r="U1447" i="31" s="1"/>
  <c r="E1593" i="20"/>
  <c r="U1448" i="31" s="1"/>
  <c r="E1594" i="20"/>
  <c r="U1449" i="31" s="1"/>
  <c r="E1595" i="20"/>
  <c r="U1450" i="31" s="1"/>
  <c r="E1596" i="20"/>
  <c r="U1451" i="31" s="1"/>
  <c r="E1597" i="20"/>
  <c r="E1598" i="20"/>
  <c r="U1452" i="31" s="1"/>
  <c r="E1599" i="20"/>
  <c r="E1600" i="20"/>
  <c r="U1454" i="31" s="1"/>
  <c r="E1601" i="20"/>
  <c r="U1455" i="31" s="1"/>
  <c r="E1602" i="20"/>
  <c r="U1456" i="31" s="1"/>
  <c r="E1603" i="20"/>
  <c r="E1604" i="20"/>
  <c r="U1458" i="31" s="1"/>
  <c r="E1605" i="20"/>
  <c r="U1459" i="31" s="1"/>
  <c r="E1606" i="20"/>
  <c r="U1460" i="31" s="1"/>
  <c r="E1607" i="20"/>
  <c r="E1608" i="20"/>
  <c r="E1619" i="20"/>
  <c r="E3" i="19"/>
  <c r="E4" i="19"/>
  <c r="E5" i="19"/>
  <c r="E6" i="19"/>
  <c r="E7" i="19"/>
  <c r="E8" i="19"/>
  <c r="E9" i="19"/>
  <c r="E10" i="19"/>
  <c r="E11" i="19"/>
  <c r="E12" i="19"/>
  <c r="E13" i="19"/>
  <c r="E24" i="19"/>
  <c r="E35" i="19"/>
  <c r="E36" i="19"/>
  <c r="E37" i="19"/>
  <c r="E38" i="19"/>
  <c r="E39" i="19"/>
  <c r="E40" i="19"/>
  <c r="E41" i="19"/>
  <c r="E42" i="19"/>
  <c r="E43" i="19"/>
  <c r="E46" i="19"/>
  <c r="E47" i="19"/>
  <c r="E48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22" i="19"/>
  <c r="E12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78" i="19"/>
  <c r="E179" i="19"/>
  <c r="E180" i="19"/>
  <c r="E181" i="19"/>
  <c r="E182" i="19"/>
  <c r="E183" i="19"/>
  <c r="E189" i="19"/>
  <c r="E200" i="19"/>
  <c r="E211" i="19"/>
  <c r="E212" i="19"/>
  <c r="E213" i="19"/>
  <c r="E214" i="19"/>
  <c r="E222" i="19"/>
  <c r="E233" i="19"/>
  <c r="E234" i="19"/>
  <c r="E235" i="19"/>
  <c r="E244" i="19"/>
  <c r="E255" i="19"/>
  <c r="E266" i="19"/>
  <c r="E277" i="19"/>
  <c r="E278" i="19"/>
  <c r="E279" i="19"/>
  <c r="E280" i="19"/>
  <c r="E281" i="19"/>
  <c r="E282" i="19"/>
  <c r="E283" i="19"/>
  <c r="E284" i="19"/>
  <c r="E285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10" i="19"/>
  <c r="E321" i="19"/>
  <c r="E322" i="19"/>
  <c r="E323" i="19"/>
  <c r="E324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54" i="19"/>
  <c r="E355" i="19"/>
  <c r="E356" i="19"/>
  <c r="E365" i="19"/>
  <c r="E373" i="19"/>
  <c r="E376" i="19"/>
  <c r="E377" i="19"/>
  <c r="E378" i="19"/>
  <c r="E379" i="19"/>
  <c r="E380" i="19"/>
  <c r="E381" i="19"/>
  <c r="E382" i="19"/>
  <c r="E387" i="19"/>
  <c r="E388" i="19"/>
  <c r="E389" i="19"/>
  <c r="E397" i="19"/>
  <c r="E398" i="19"/>
  <c r="E399" i="19"/>
  <c r="E400" i="19"/>
  <c r="E401" i="19"/>
  <c r="E404" i="19"/>
  <c r="E409" i="19"/>
  <c r="E410" i="19"/>
  <c r="E411" i="19"/>
  <c r="E412" i="19"/>
  <c r="E420" i="19"/>
  <c r="E431" i="19"/>
  <c r="E432" i="19"/>
  <c r="E433" i="19"/>
  <c r="E434" i="19"/>
  <c r="E435" i="19"/>
  <c r="E442" i="19"/>
  <c r="E443" i="19"/>
  <c r="E444" i="19"/>
  <c r="E445" i="19"/>
  <c r="E446" i="19"/>
  <c r="E453" i="19"/>
  <c r="E46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30" i="19"/>
  <c r="E531" i="19"/>
  <c r="E532" i="19"/>
  <c r="E541" i="19"/>
  <c r="E563" i="19"/>
  <c r="E564" i="19"/>
  <c r="E565" i="19"/>
  <c r="E566" i="19"/>
  <c r="E567" i="19"/>
  <c r="E568" i="19"/>
  <c r="E569" i="19"/>
  <c r="E570" i="19"/>
  <c r="E571" i="19"/>
  <c r="E572" i="19"/>
  <c r="E573" i="19"/>
  <c r="E574" i="19"/>
  <c r="E575" i="19"/>
  <c r="E576" i="19"/>
  <c r="E585" i="19"/>
  <c r="E586" i="19"/>
  <c r="E587" i="19"/>
  <c r="E588" i="19"/>
  <c r="E589" i="19"/>
  <c r="E590" i="19"/>
  <c r="E591" i="19"/>
  <c r="E592" i="19"/>
  <c r="E596" i="19"/>
  <c r="E597" i="19"/>
  <c r="E598" i="19"/>
  <c r="E599" i="19"/>
  <c r="E600" i="19"/>
  <c r="E601" i="19"/>
  <c r="E602" i="19"/>
  <c r="E603" i="19"/>
  <c r="E604" i="19"/>
  <c r="E605" i="19"/>
  <c r="E606" i="19"/>
  <c r="E607" i="19"/>
  <c r="E608" i="19"/>
  <c r="E609" i="19"/>
  <c r="E610" i="19"/>
  <c r="E611" i="19"/>
  <c r="E612" i="19"/>
  <c r="E613" i="19"/>
  <c r="E614" i="19"/>
  <c r="E615" i="19"/>
  <c r="E616" i="19"/>
  <c r="E617" i="19"/>
  <c r="E618" i="19"/>
  <c r="E619" i="19"/>
  <c r="E620" i="19"/>
  <c r="E621" i="19"/>
  <c r="E622" i="19"/>
  <c r="E623" i="19"/>
  <c r="E624" i="19"/>
  <c r="E625" i="19"/>
  <c r="E626" i="19"/>
  <c r="E627" i="19"/>
  <c r="E628" i="19"/>
  <c r="E629" i="19"/>
  <c r="E630" i="19"/>
  <c r="E631" i="19"/>
  <c r="E632" i="19"/>
  <c r="E633" i="19"/>
  <c r="E634" i="19"/>
  <c r="E640" i="19"/>
  <c r="E641" i="19"/>
  <c r="E642" i="19"/>
  <c r="E643" i="19"/>
  <c r="E644" i="19"/>
  <c r="E645" i="19"/>
  <c r="E651" i="19"/>
  <c r="E652" i="19"/>
  <c r="E653" i="19"/>
  <c r="E654" i="19"/>
  <c r="E655" i="19"/>
  <c r="E656" i="19"/>
  <c r="E657" i="19"/>
  <c r="E662" i="19"/>
  <c r="E673" i="19"/>
  <c r="E674" i="19"/>
  <c r="E675" i="19"/>
  <c r="E676" i="19"/>
  <c r="E677" i="19"/>
  <c r="E684" i="19"/>
  <c r="E695" i="19"/>
  <c r="E696" i="19"/>
  <c r="E697" i="19"/>
  <c r="E706" i="19"/>
  <c r="E707" i="19"/>
  <c r="E708" i="19"/>
  <c r="E709" i="19"/>
  <c r="E710" i="19"/>
  <c r="E711" i="19"/>
  <c r="E712" i="19"/>
  <c r="E713" i="19"/>
  <c r="E714" i="19"/>
  <c r="E717" i="19"/>
  <c r="E727" i="19"/>
  <c r="E728" i="19"/>
  <c r="E729" i="19"/>
  <c r="E732" i="19"/>
  <c r="E739" i="19"/>
  <c r="E750" i="19"/>
  <c r="E751" i="19"/>
  <c r="E752" i="19"/>
  <c r="E753" i="19"/>
  <c r="E761" i="19"/>
  <c r="E772" i="19"/>
  <c r="E783" i="19"/>
  <c r="E794" i="19"/>
  <c r="E795" i="19"/>
  <c r="E796" i="19"/>
  <c r="E797" i="19"/>
  <c r="E798" i="19"/>
  <c r="E799" i="19"/>
  <c r="E805" i="19"/>
  <c r="E816" i="19"/>
  <c r="E817" i="19"/>
  <c r="E818" i="19"/>
  <c r="E819" i="19"/>
  <c r="E820" i="19"/>
  <c r="E821" i="19"/>
  <c r="E822" i="19"/>
  <c r="E823" i="19"/>
  <c r="E824" i="19"/>
  <c r="E825" i="19"/>
  <c r="E826" i="19"/>
  <c r="E827" i="19"/>
  <c r="E828" i="19"/>
  <c r="E829" i="19"/>
  <c r="E830" i="19"/>
  <c r="E831" i="19"/>
  <c r="E832" i="19"/>
  <c r="E838" i="19"/>
  <c r="E839" i="19"/>
  <c r="E840" i="19"/>
  <c r="E841" i="19"/>
  <c r="E842" i="19"/>
  <c r="E849" i="19"/>
  <c r="E850" i="19"/>
  <c r="E851" i="19"/>
  <c r="E852" i="19"/>
  <c r="E860" i="19"/>
  <c r="E871" i="19"/>
  <c r="E882" i="19"/>
  <c r="E883" i="19"/>
  <c r="E884" i="19"/>
  <c r="E885" i="19"/>
  <c r="E886" i="19"/>
  <c r="E893" i="19"/>
  <c r="E894" i="19"/>
  <c r="E895" i="19"/>
  <c r="E896" i="19"/>
  <c r="E897" i="19"/>
  <c r="E898" i="19"/>
  <c r="E899" i="19"/>
  <c r="E904" i="19"/>
  <c r="E915" i="19"/>
  <c r="E926" i="19"/>
  <c r="E937" i="19"/>
  <c r="E938" i="19"/>
  <c r="E948" i="19"/>
  <c r="E949" i="19"/>
  <c r="E950" i="19"/>
  <c r="E951" i="19"/>
  <c r="E952" i="19"/>
  <c r="E953" i="19"/>
  <c r="E954" i="19"/>
  <c r="E955" i="19"/>
  <c r="E956" i="19"/>
  <c r="E957" i="19"/>
  <c r="E958" i="19"/>
  <c r="E959" i="19"/>
  <c r="E960" i="19"/>
  <c r="E961" i="19"/>
  <c r="E962" i="19"/>
  <c r="E963" i="19"/>
  <c r="E964" i="19"/>
  <c r="E965" i="19"/>
  <c r="E966" i="19"/>
  <c r="E967" i="19"/>
  <c r="E968" i="19"/>
  <c r="E969" i="19"/>
  <c r="E970" i="19"/>
  <c r="E981" i="19"/>
  <c r="E992" i="19"/>
  <c r="E1003" i="19"/>
  <c r="E1014" i="19"/>
  <c r="E1025" i="19"/>
  <c r="E1036" i="19"/>
  <c r="E1037" i="19"/>
  <c r="E1038" i="19"/>
  <c r="E1039" i="19"/>
  <c r="E1040" i="19"/>
  <c r="E1047" i="19"/>
  <c r="E1048" i="19"/>
  <c r="E1058" i="19"/>
  <c r="E1059" i="19"/>
  <c r="E1060" i="19"/>
  <c r="E1061" i="19"/>
  <c r="E1069" i="19"/>
  <c r="E1070" i="19"/>
  <c r="E1071" i="19"/>
  <c r="E1072" i="19"/>
  <c r="E1080" i="19"/>
  <c r="E1081" i="19"/>
  <c r="E1082" i="19"/>
  <c r="E1083" i="19"/>
  <c r="E1084" i="19"/>
  <c r="E1085" i="19"/>
  <c r="E1086" i="19"/>
  <c r="E1087" i="19"/>
  <c r="E1091" i="19"/>
  <c r="E1102" i="19"/>
  <c r="E1113" i="19"/>
  <c r="E1114" i="19"/>
  <c r="E1124" i="19"/>
  <c r="E1128" i="19"/>
  <c r="E1135" i="19"/>
  <c r="E1146" i="19"/>
  <c r="E1147" i="19"/>
  <c r="E1148" i="19"/>
  <c r="E1157" i="19"/>
  <c r="E1168" i="19"/>
  <c r="E1169" i="19"/>
  <c r="E1170" i="19"/>
  <c r="E1171" i="19"/>
  <c r="E1172" i="19"/>
  <c r="E1179" i="19"/>
  <c r="E1190" i="19"/>
  <c r="E1201" i="19"/>
  <c r="E1202" i="19"/>
  <c r="E1212" i="19"/>
  <c r="E1223" i="19"/>
  <c r="E1224" i="19"/>
  <c r="E1234" i="19"/>
  <c r="E1235" i="19"/>
  <c r="E1236" i="19"/>
  <c r="E1237" i="19"/>
  <c r="E1238" i="19"/>
  <c r="E1245" i="19"/>
  <c r="E1256" i="19"/>
  <c r="E1257" i="19"/>
  <c r="E1258" i="19"/>
  <c r="E1259" i="19"/>
  <c r="E1260" i="19"/>
  <c r="E1261" i="19"/>
  <c r="E1262" i="19"/>
  <c r="E1263" i="19"/>
  <c r="E1267" i="19"/>
  <c r="E1278" i="19"/>
  <c r="E1289" i="19"/>
  <c r="E1290" i="19"/>
  <c r="E1291" i="19"/>
  <c r="E1292" i="19"/>
  <c r="E1293" i="19"/>
  <c r="E1300" i="19"/>
  <c r="E1301" i="19"/>
  <c r="E1310" i="19"/>
  <c r="E1311" i="19"/>
  <c r="E1322" i="19"/>
  <c r="E1333" i="19"/>
  <c r="E1334" i="19"/>
  <c r="E1335" i="19"/>
  <c r="E1336" i="19"/>
  <c r="E1337" i="19"/>
  <c r="E1338" i="19"/>
  <c r="E1339" i="19"/>
  <c r="E1340" i="19"/>
  <c r="E1341" i="19"/>
  <c r="E1342" i="19"/>
  <c r="E1343" i="19"/>
  <c r="E1344" i="19"/>
  <c r="E1345" i="19"/>
  <c r="E1346" i="19"/>
  <c r="E1347" i="19"/>
  <c r="E1348" i="19"/>
  <c r="E1355" i="19"/>
  <c r="E1366" i="19"/>
  <c r="E1367" i="19"/>
  <c r="E1368" i="19"/>
  <c r="E1369" i="19"/>
  <c r="E1370" i="19"/>
  <c r="E1371" i="19"/>
  <c r="E1372" i="19"/>
  <c r="E1373" i="19"/>
  <c r="E1374" i="19"/>
  <c r="E1375" i="19"/>
  <c r="E1376" i="19"/>
  <c r="E1377" i="19"/>
  <c r="E1378" i="19"/>
  <c r="E1388" i="19"/>
  <c r="E1389" i="19"/>
  <c r="E1390" i="19"/>
  <c r="E1399" i="19"/>
  <c r="E1400" i="19"/>
  <c r="E1401" i="19"/>
  <c r="E1402" i="19"/>
  <c r="E1403" i="19"/>
  <c r="E1410" i="19"/>
  <c r="E1411" i="19"/>
  <c r="E1421" i="19"/>
  <c r="E1422" i="19"/>
  <c r="E1423" i="19"/>
  <c r="E1424" i="19"/>
  <c r="E1425" i="19"/>
  <c r="E1426" i="19"/>
  <c r="E1432" i="19"/>
  <c r="E1433" i="19"/>
  <c r="E1443" i="19"/>
  <c r="E1444" i="19"/>
  <c r="E1445" i="19"/>
  <c r="E1454" i="19"/>
  <c r="E1465" i="19"/>
  <c r="E1466" i="19"/>
  <c r="E1467" i="19"/>
  <c r="E1468" i="19"/>
  <c r="E1469" i="19"/>
  <c r="E1470" i="19"/>
  <c r="E1471" i="19"/>
  <c r="E1476" i="19"/>
  <c r="E1477" i="19"/>
  <c r="E1478" i="19"/>
  <c r="E1479" i="19"/>
  <c r="E1480" i="19"/>
  <c r="E1481" i="19"/>
  <c r="E1482" i="19"/>
  <c r="E1487" i="19"/>
  <c r="E1488" i="19"/>
  <c r="E1489" i="19"/>
  <c r="E1490" i="19"/>
  <c r="E1491" i="19"/>
  <c r="E1492" i="19"/>
  <c r="E1493" i="19"/>
  <c r="E1494" i="19"/>
  <c r="E1498" i="19"/>
  <c r="E1499" i="19"/>
  <c r="E1500" i="19"/>
  <c r="E1509" i="19"/>
  <c r="E1510" i="19"/>
  <c r="E1511" i="19"/>
  <c r="E1512" i="19"/>
  <c r="E1513" i="19"/>
  <c r="E1514" i="19"/>
  <c r="E1515" i="19"/>
  <c r="E1516" i="19"/>
  <c r="E1517" i="19"/>
  <c r="E1518" i="19"/>
  <c r="E1520" i="19"/>
  <c r="E1531" i="19"/>
  <c r="E1542" i="19"/>
  <c r="E1545" i="19"/>
  <c r="E1553" i="19"/>
  <c r="E1554" i="19"/>
  <c r="E1555" i="19"/>
  <c r="E1557" i="19"/>
  <c r="E1564" i="19"/>
  <c r="E1565" i="19"/>
  <c r="E1566" i="19"/>
  <c r="E1567" i="19"/>
  <c r="E1568" i="19"/>
  <c r="E1569" i="19"/>
  <c r="E1570" i="19"/>
  <c r="E1571" i="19"/>
  <c r="E1572" i="19"/>
  <c r="E1573" i="19"/>
  <c r="E1574" i="19"/>
  <c r="E1575" i="19"/>
  <c r="E1576" i="19"/>
  <c r="E1577" i="19"/>
  <c r="E1578" i="19"/>
  <c r="E1586" i="19"/>
  <c r="E1590" i="19"/>
  <c r="E1591" i="19"/>
  <c r="E1592" i="19"/>
  <c r="E1593" i="19"/>
  <c r="E1594" i="19"/>
  <c r="E1595" i="19"/>
  <c r="E1596" i="19"/>
  <c r="E1597" i="19"/>
  <c r="E1598" i="19"/>
  <c r="E1599" i="19"/>
  <c r="E1600" i="19"/>
  <c r="E1601" i="19"/>
  <c r="E1602" i="19"/>
  <c r="E1603" i="19"/>
  <c r="E1604" i="19"/>
  <c r="E1605" i="19"/>
  <c r="E1606" i="19"/>
  <c r="E1607" i="19"/>
  <c r="E1608" i="19"/>
  <c r="E1619" i="19"/>
  <c r="E1620" i="19"/>
  <c r="T7" i="31"/>
  <c r="T15" i="31"/>
  <c r="T19" i="31"/>
  <c r="T22" i="31"/>
  <c r="T23" i="31"/>
  <c r="T26" i="31"/>
  <c r="T34" i="31"/>
  <c r="T38" i="31"/>
  <c r="T39" i="31"/>
  <c r="T62" i="31"/>
  <c r="T63" i="31"/>
  <c r="T66" i="31"/>
  <c r="T67" i="31"/>
  <c r="T70" i="31"/>
  <c r="T71" i="31"/>
  <c r="T74" i="31"/>
  <c r="T78" i="31"/>
  <c r="T79" i="31"/>
  <c r="T87" i="31"/>
  <c r="T95" i="31"/>
  <c r="T99" i="31"/>
  <c r="T102" i="31"/>
  <c r="T103" i="31"/>
  <c r="T106" i="31"/>
  <c r="T111" i="31"/>
  <c r="T135" i="31"/>
  <c r="T139" i="31"/>
  <c r="T142" i="31"/>
  <c r="T143" i="31"/>
  <c r="T146" i="31"/>
  <c r="T147" i="31"/>
  <c r="T150" i="31"/>
  <c r="T151" i="31"/>
  <c r="T167" i="31"/>
  <c r="T175" i="31"/>
  <c r="T179" i="31"/>
  <c r="T182" i="31"/>
  <c r="T183" i="31"/>
  <c r="T186" i="31"/>
  <c r="T187" i="31"/>
  <c r="T190" i="31"/>
  <c r="T191" i="31"/>
  <c r="T194" i="31"/>
  <c r="T198" i="31"/>
  <c r="T199" i="31"/>
  <c r="T215" i="31"/>
  <c r="T219" i="31"/>
  <c r="T222" i="31"/>
  <c r="T223" i="31"/>
  <c r="T226" i="31"/>
  <c r="T227" i="31"/>
  <c r="T230" i="31"/>
  <c r="T231" i="31"/>
  <c r="T255" i="31"/>
  <c r="T259" i="31"/>
  <c r="T262" i="31"/>
  <c r="T263" i="31"/>
  <c r="T266" i="31"/>
  <c r="T267" i="31"/>
  <c r="T270" i="31"/>
  <c r="T271" i="31"/>
  <c r="T274" i="31"/>
  <c r="T278" i="31"/>
  <c r="T287" i="31"/>
  <c r="T295" i="31"/>
  <c r="T299" i="31"/>
  <c r="T302" i="31"/>
  <c r="T303" i="31"/>
  <c r="T306" i="31"/>
  <c r="T307" i="31"/>
  <c r="T310" i="31"/>
  <c r="T311" i="31"/>
  <c r="T314" i="31"/>
  <c r="T327" i="31"/>
  <c r="T339" i="31"/>
  <c r="T342" i="31"/>
  <c r="T343" i="31"/>
  <c r="T346" i="31"/>
  <c r="T347" i="31"/>
  <c r="T350" i="31"/>
  <c r="T351" i="31"/>
  <c r="T375" i="31"/>
  <c r="T379" i="31"/>
  <c r="T382" i="31"/>
  <c r="T383" i="31"/>
  <c r="T386" i="31"/>
  <c r="T387" i="31"/>
  <c r="T390" i="31"/>
  <c r="T391" i="31"/>
  <c r="T394" i="31"/>
  <c r="T398" i="31"/>
  <c r="T399" i="31"/>
  <c r="T422" i="31"/>
  <c r="T423" i="31"/>
  <c r="T426" i="31"/>
  <c r="T427" i="31"/>
  <c r="T434" i="31"/>
  <c r="T438" i="31"/>
  <c r="T447" i="31"/>
  <c r="T455" i="31"/>
  <c r="T459" i="31"/>
  <c r="T462" i="31"/>
  <c r="T463" i="31"/>
  <c r="T466" i="31"/>
  <c r="T467" i="31"/>
  <c r="T470" i="31"/>
  <c r="T471" i="31"/>
  <c r="T474" i="31"/>
  <c r="T487" i="31"/>
  <c r="T495" i="31"/>
  <c r="T499" i="31"/>
  <c r="T511" i="31"/>
  <c r="T514" i="31"/>
  <c r="T518" i="31"/>
  <c r="T527" i="31"/>
  <c r="T535" i="31"/>
  <c r="T539" i="31"/>
  <c r="T542" i="31"/>
  <c r="T543" i="31"/>
  <c r="T546" i="31"/>
  <c r="T547" i="31"/>
  <c r="T550" i="31"/>
  <c r="T551" i="31"/>
  <c r="T554" i="31"/>
  <c r="T558" i="31"/>
  <c r="T567" i="31"/>
  <c r="T575" i="31"/>
  <c r="T582" i="31"/>
  <c r="T583" i="31"/>
  <c r="T586" i="31"/>
  <c r="T587" i="31"/>
  <c r="T590" i="31"/>
  <c r="T591" i="31"/>
  <c r="T594" i="31"/>
  <c r="T598" i="31"/>
  <c r="T599" i="31"/>
  <c r="T607" i="31"/>
  <c r="T615" i="31"/>
  <c r="T619" i="31"/>
  <c r="T634" i="31"/>
  <c r="T638" i="31"/>
  <c r="T639" i="31"/>
  <c r="T647" i="31"/>
  <c r="T662" i="31"/>
  <c r="T702" i="31"/>
  <c r="T703" i="31"/>
  <c r="T706" i="31"/>
  <c r="T707" i="31"/>
  <c r="T710" i="31"/>
  <c r="T711" i="31"/>
  <c r="T714" i="31"/>
  <c r="T718" i="31"/>
  <c r="T719" i="31"/>
  <c r="T727" i="31"/>
  <c r="T735" i="31"/>
  <c r="T739" i="31"/>
  <c r="T742" i="31"/>
  <c r="T743" i="31"/>
  <c r="T746" i="31"/>
  <c r="T747" i="31"/>
  <c r="T750" i="31"/>
  <c r="T751" i="31"/>
  <c r="T754" i="31"/>
  <c r="T775" i="31"/>
  <c r="T779" i="31"/>
  <c r="T783" i="31"/>
  <c r="T786" i="31"/>
  <c r="T787" i="31"/>
  <c r="T790" i="31"/>
  <c r="T791" i="31"/>
  <c r="T794" i="31"/>
  <c r="T798" i="31"/>
  <c r="T799" i="31"/>
  <c r="T815" i="31"/>
  <c r="T819" i="31"/>
  <c r="T859" i="31"/>
  <c r="T862" i="31"/>
  <c r="T863" i="31"/>
  <c r="T866" i="31"/>
  <c r="T867" i="31"/>
  <c r="T870" i="31"/>
  <c r="T871" i="31"/>
  <c r="T874" i="31"/>
  <c r="T878" i="31"/>
  <c r="T879" i="31"/>
  <c r="T895" i="31"/>
  <c r="T899" i="31"/>
  <c r="T902" i="31"/>
  <c r="T903" i="31"/>
  <c r="T906" i="31"/>
  <c r="T907" i="31"/>
  <c r="T910" i="31"/>
  <c r="T911" i="31"/>
  <c r="T914" i="31"/>
  <c r="T935" i="31"/>
  <c r="T939" i="31"/>
  <c r="T942" i="31"/>
  <c r="T943" i="31"/>
  <c r="T946" i="31"/>
  <c r="T947" i="31"/>
  <c r="T950" i="31"/>
  <c r="T951" i="31"/>
  <c r="T967" i="31"/>
  <c r="T975" i="31"/>
  <c r="T979" i="31"/>
  <c r="T982" i="31"/>
  <c r="T983" i="31"/>
  <c r="T986" i="31"/>
  <c r="T987" i="31"/>
  <c r="T990" i="31"/>
  <c r="T991" i="31"/>
  <c r="T994" i="31"/>
  <c r="T998" i="31"/>
  <c r="T999" i="31"/>
  <c r="T1007" i="31"/>
  <c r="T1015" i="31"/>
  <c r="T1019" i="31"/>
  <c r="T1022" i="31"/>
  <c r="T1023" i="31"/>
  <c r="T1026" i="31"/>
  <c r="T1027" i="31"/>
  <c r="T1030" i="31"/>
  <c r="T1031" i="31"/>
  <c r="T1034" i="31"/>
  <c r="T1038" i="31"/>
  <c r="T1039" i="31"/>
  <c r="T1047" i="31"/>
  <c r="T1055" i="31"/>
  <c r="T1059" i="31"/>
  <c r="T1062" i="31"/>
  <c r="T1063" i="31"/>
  <c r="T1066" i="31"/>
  <c r="T1067" i="31"/>
  <c r="T1070" i="31"/>
  <c r="T1071" i="31"/>
  <c r="T1074" i="31"/>
  <c r="T1078" i="31"/>
  <c r="T1079" i="31"/>
  <c r="T1114" i="31"/>
  <c r="T1118" i="31"/>
  <c r="T1119" i="31"/>
  <c r="T1127" i="31"/>
  <c r="T1142" i="31"/>
  <c r="T1143" i="31"/>
  <c r="T1146" i="31"/>
  <c r="T1147" i="31"/>
  <c r="T1150" i="31"/>
  <c r="T1151" i="31"/>
  <c r="T1154" i="31"/>
  <c r="T1158" i="31"/>
  <c r="T1159" i="31"/>
  <c r="T1167" i="31"/>
  <c r="T1175" i="31"/>
  <c r="T1182" i="31"/>
  <c r="T1191" i="31"/>
  <c r="T1194" i="31"/>
  <c r="T1198" i="31"/>
  <c r="T1199" i="31"/>
  <c r="T1215" i="31"/>
  <c r="T1219" i="31"/>
  <c r="T1222" i="31"/>
  <c r="T1223" i="31"/>
  <c r="T1226" i="31"/>
  <c r="T1227" i="31"/>
  <c r="T1230" i="31"/>
  <c r="T1231" i="31"/>
  <c r="T1234" i="31"/>
  <c r="T1262" i="31"/>
  <c r="T1263" i="31"/>
  <c r="T1274" i="31"/>
  <c r="T1278" i="31"/>
  <c r="T1279" i="31"/>
  <c r="T1287" i="31"/>
  <c r="T1295" i="31"/>
  <c r="T1299" i="31"/>
  <c r="T1302" i="31"/>
  <c r="T1303" i="31"/>
  <c r="T1306" i="31"/>
  <c r="T1307" i="31"/>
  <c r="T1310" i="31"/>
  <c r="T1311" i="31"/>
  <c r="T1314" i="31"/>
  <c r="T1318" i="31"/>
  <c r="T1319" i="31"/>
  <c r="T1327" i="31"/>
  <c r="T1335" i="31"/>
  <c r="T1339" i="31"/>
  <c r="T1342" i="31"/>
  <c r="T1343" i="31"/>
  <c r="T1346" i="31"/>
  <c r="T1347" i="31"/>
  <c r="T1350" i="31"/>
  <c r="T1351" i="31"/>
  <c r="T1354" i="31"/>
  <c r="T1358" i="31"/>
  <c r="T1359" i="31"/>
  <c r="T1375" i="31"/>
  <c r="T1379" i="31"/>
  <c r="T1415" i="31"/>
  <c r="T1419" i="31"/>
  <c r="T1422" i="31"/>
  <c r="T1423" i="31"/>
  <c r="T1426" i="31"/>
  <c r="T1427" i="31"/>
  <c r="T1430" i="31"/>
  <c r="T1431" i="31"/>
  <c r="T1434" i="31"/>
  <c r="T1438" i="31"/>
  <c r="T1439" i="31"/>
  <c r="T1447" i="31"/>
  <c r="T1455" i="31"/>
  <c r="T1459" i="31"/>
  <c r="T1462" i="31"/>
  <c r="T1463" i="31"/>
  <c r="T1466" i="31"/>
  <c r="T1467" i="31"/>
  <c r="T1470" i="31"/>
  <c r="T1471" i="31"/>
  <c r="T1474" i="31"/>
  <c r="T1478" i="31"/>
  <c r="T1479" i="31"/>
  <c r="E3" i="29"/>
  <c r="T2" i="31" s="1"/>
  <c r="E4" i="29"/>
  <c r="T3" i="31" s="1"/>
  <c r="E5" i="29"/>
  <c r="T4" i="31" s="1"/>
  <c r="E6" i="29"/>
  <c r="T5" i="31" s="1"/>
  <c r="E7" i="29"/>
  <c r="T6" i="31" s="1"/>
  <c r="E8" i="29"/>
  <c r="E9" i="29"/>
  <c r="T8" i="31" s="1"/>
  <c r="E10" i="29"/>
  <c r="T9" i="31" s="1"/>
  <c r="E11" i="29"/>
  <c r="T10" i="31" s="1"/>
  <c r="E12" i="29"/>
  <c r="T11" i="31" s="1"/>
  <c r="E13" i="29"/>
  <c r="E14" i="29"/>
  <c r="T12" i="31" s="1"/>
  <c r="E15" i="29"/>
  <c r="T13" i="31" s="1"/>
  <c r="E16" i="29"/>
  <c r="T14" i="31" s="1"/>
  <c r="E17" i="29"/>
  <c r="E18" i="29"/>
  <c r="T16" i="31" s="1"/>
  <c r="E19" i="29"/>
  <c r="T17" i="31" s="1"/>
  <c r="E20" i="29"/>
  <c r="T18" i="31" s="1"/>
  <c r="E21" i="29"/>
  <c r="E22" i="29"/>
  <c r="T20" i="31" s="1"/>
  <c r="E23" i="29"/>
  <c r="T21" i="31" s="1"/>
  <c r="E24" i="29"/>
  <c r="E25" i="29"/>
  <c r="E26" i="29"/>
  <c r="E27" i="29"/>
  <c r="T24" i="31" s="1"/>
  <c r="E28" i="29"/>
  <c r="T25" i="31" s="1"/>
  <c r="E29" i="29"/>
  <c r="E35" i="29"/>
  <c r="E36" i="29"/>
  <c r="T32" i="31" s="1"/>
  <c r="E37" i="29"/>
  <c r="T33" i="31" s="1"/>
  <c r="E38" i="29"/>
  <c r="E39" i="29"/>
  <c r="T35" i="31" s="1"/>
  <c r="E40" i="29"/>
  <c r="T36" i="31" s="1"/>
  <c r="E41" i="29"/>
  <c r="T37" i="31" s="1"/>
  <c r="E42" i="29"/>
  <c r="E43" i="29"/>
  <c r="E44" i="29"/>
  <c r="T40" i="31" s="1"/>
  <c r="E45" i="29"/>
  <c r="T41" i="31" s="1"/>
  <c r="E46" i="29"/>
  <c r="E47" i="29"/>
  <c r="T42" i="31" s="1"/>
  <c r="E48" i="29"/>
  <c r="T43" i="31" s="1"/>
  <c r="E56" i="29"/>
  <c r="T51" i="31" s="1"/>
  <c r="E57" i="29"/>
  <c r="E58" i="29"/>
  <c r="T52" i="31" s="1"/>
  <c r="E59" i="29"/>
  <c r="T53" i="31" s="1"/>
  <c r="E68" i="29"/>
  <c r="E69" i="29"/>
  <c r="E70" i="29"/>
  <c r="E71" i="29"/>
  <c r="T64" i="31" s="1"/>
  <c r="E72" i="29"/>
  <c r="T65" i="31" s="1"/>
  <c r="E73" i="29"/>
  <c r="E74" i="29"/>
  <c r="E75" i="29"/>
  <c r="T68" i="31" s="1"/>
  <c r="E77" i="29"/>
  <c r="E78" i="29"/>
  <c r="E79" i="29"/>
  <c r="E80" i="29"/>
  <c r="T72" i="31" s="1"/>
  <c r="E81" i="29"/>
  <c r="T73" i="31" s="1"/>
  <c r="E82" i="29"/>
  <c r="E83" i="29"/>
  <c r="T75" i="31" s="1"/>
  <c r="E84" i="29"/>
  <c r="T76" i="31" s="1"/>
  <c r="E85" i="29"/>
  <c r="T77" i="31" s="1"/>
  <c r="E86" i="29"/>
  <c r="E87" i="29"/>
  <c r="E88" i="29"/>
  <c r="T80" i="31" s="1"/>
  <c r="E89" i="29"/>
  <c r="T81" i="31" s="1"/>
  <c r="E90" i="29"/>
  <c r="E91" i="29"/>
  <c r="T82" i="31" s="1"/>
  <c r="E92" i="29"/>
  <c r="T83" i="31" s="1"/>
  <c r="E93" i="29"/>
  <c r="T84" i="31" s="1"/>
  <c r="E94" i="29"/>
  <c r="T85" i="31" s="1"/>
  <c r="E95" i="29"/>
  <c r="T86" i="31" s="1"/>
  <c r="E96" i="29"/>
  <c r="E97" i="29"/>
  <c r="T88" i="31" s="1"/>
  <c r="E98" i="29"/>
  <c r="T89" i="31" s="1"/>
  <c r="E99" i="29"/>
  <c r="T90" i="31" s="1"/>
  <c r="E100" i="29"/>
  <c r="T91" i="31" s="1"/>
  <c r="E101" i="29"/>
  <c r="E102" i="29"/>
  <c r="T92" i="31" s="1"/>
  <c r="E103" i="29"/>
  <c r="T93" i="31" s="1"/>
  <c r="E104" i="29"/>
  <c r="T94" i="31" s="1"/>
  <c r="E105" i="29"/>
  <c r="E106" i="29"/>
  <c r="T96" i="31" s="1"/>
  <c r="E107" i="29"/>
  <c r="T97" i="31" s="1"/>
  <c r="E108" i="29"/>
  <c r="T98" i="31" s="1"/>
  <c r="E109" i="29"/>
  <c r="E110" i="29"/>
  <c r="T100" i="31" s="1"/>
  <c r="E111" i="29"/>
  <c r="T101" i="31" s="1"/>
  <c r="E112" i="29"/>
  <c r="E113" i="29"/>
  <c r="E114" i="29"/>
  <c r="E115" i="29"/>
  <c r="T104" i="31" s="1"/>
  <c r="E116" i="29"/>
  <c r="T105" i="31" s="1"/>
  <c r="E117" i="29"/>
  <c r="E122" i="29"/>
  <c r="E123" i="29"/>
  <c r="E134" i="29"/>
  <c r="E135" i="29"/>
  <c r="T122" i="31" s="1"/>
  <c r="E136" i="29"/>
  <c r="T123" i="31" s="1"/>
  <c r="E137" i="29"/>
  <c r="T124" i="31" s="1"/>
  <c r="E138" i="29"/>
  <c r="T125" i="31" s="1"/>
  <c r="E139" i="29"/>
  <c r="T126" i="31" s="1"/>
  <c r="E140" i="29"/>
  <c r="T127" i="31" s="1"/>
  <c r="E141" i="29"/>
  <c r="T128" i="31" s="1"/>
  <c r="E142" i="29"/>
  <c r="T129" i="31" s="1"/>
  <c r="E143" i="29"/>
  <c r="T130" i="31" s="1"/>
  <c r="E144" i="29"/>
  <c r="T131" i="31" s="1"/>
  <c r="E145" i="29"/>
  <c r="E146" i="29"/>
  <c r="T132" i="31" s="1"/>
  <c r="E147" i="29"/>
  <c r="T133" i="31" s="1"/>
  <c r="E148" i="29"/>
  <c r="T134" i="31" s="1"/>
  <c r="E149" i="29"/>
  <c r="E150" i="29"/>
  <c r="T136" i="31" s="1"/>
  <c r="E151" i="29"/>
  <c r="T137" i="31" s="1"/>
  <c r="E152" i="29"/>
  <c r="T138" i="31" s="1"/>
  <c r="E153" i="29"/>
  <c r="E154" i="29"/>
  <c r="T140" i="31" s="1"/>
  <c r="E155" i="29"/>
  <c r="T141" i="31" s="1"/>
  <c r="E156" i="29"/>
  <c r="E157" i="29"/>
  <c r="E158" i="29"/>
  <c r="E159" i="29"/>
  <c r="T144" i="31" s="1"/>
  <c r="E160" i="29"/>
  <c r="T145" i="31" s="1"/>
  <c r="E161" i="29"/>
  <c r="E162" i="29"/>
  <c r="E163" i="29"/>
  <c r="T148" i="31" s="1"/>
  <c r="E164" i="29"/>
  <c r="T149" i="31" s="1"/>
  <c r="E165" i="29"/>
  <c r="E166" i="29"/>
  <c r="E167" i="29"/>
  <c r="E176" i="29"/>
  <c r="T160" i="31" s="1"/>
  <c r="E177" i="29"/>
  <c r="T161" i="31" s="1"/>
  <c r="E178" i="29"/>
  <c r="E179" i="29"/>
  <c r="T162" i="31" s="1"/>
  <c r="E180" i="29"/>
  <c r="T163" i="31" s="1"/>
  <c r="E181" i="29"/>
  <c r="T164" i="31" s="1"/>
  <c r="E182" i="29"/>
  <c r="T165" i="31" s="1"/>
  <c r="E183" i="29"/>
  <c r="T166" i="31" s="1"/>
  <c r="E184" i="29"/>
  <c r="E185" i="29"/>
  <c r="T168" i="31" s="1"/>
  <c r="E186" i="29"/>
  <c r="T169" i="31" s="1"/>
  <c r="E187" i="29"/>
  <c r="T170" i="31" s="1"/>
  <c r="E188" i="29"/>
  <c r="T171" i="31" s="1"/>
  <c r="E189" i="29"/>
  <c r="E190" i="29"/>
  <c r="T172" i="31" s="1"/>
  <c r="E191" i="29"/>
  <c r="T173" i="31" s="1"/>
  <c r="E192" i="29"/>
  <c r="T174" i="31" s="1"/>
  <c r="E193" i="29"/>
  <c r="E194" i="29"/>
  <c r="T176" i="31" s="1"/>
  <c r="E195" i="29"/>
  <c r="T177" i="31" s="1"/>
  <c r="E196" i="29"/>
  <c r="T178" i="31" s="1"/>
  <c r="E197" i="29"/>
  <c r="E198" i="29"/>
  <c r="T180" i="31" s="1"/>
  <c r="E199" i="29"/>
  <c r="T181" i="31" s="1"/>
  <c r="E200" i="29"/>
  <c r="E201" i="29"/>
  <c r="E202" i="29"/>
  <c r="E203" i="29"/>
  <c r="T184" i="31" s="1"/>
  <c r="E204" i="29"/>
  <c r="T185" i="31" s="1"/>
  <c r="E205" i="29"/>
  <c r="E206" i="29"/>
  <c r="E207" i="29"/>
  <c r="T188" i="31" s="1"/>
  <c r="E208" i="29"/>
  <c r="T189" i="31" s="1"/>
  <c r="E209" i="29"/>
  <c r="E210" i="29"/>
  <c r="E211" i="29"/>
  <c r="E212" i="29"/>
  <c r="T192" i="31" s="1"/>
  <c r="E213" i="29"/>
  <c r="T193" i="31" s="1"/>
  <c r="E214" i="29"/>
  <c r="E215" i="29"/>
  <c r="T195" i="31" s="1"/>
  <c r="E216" i="29"/>
  <c r="T196" i="31" s="1"/>
  <c r="E217" i="29"/>
  <c r="T197" i="31" s="1"/>
  <c r="E218" i="29"/>
  <c r="E219" i="29"/>
  <c r="E220" i="29"/>
  <c r="T200" i="31" s="1"/>
  <c r="E221" i="29"/>
  <c r="T201" i="31" s="1"/>
  <c r="E222" i="29"/>
  <c r="E223" i="29"/>
  <c r="T202" i="31" s="1"/>
  <c r="E224" i="29"/>
  <c r="T203" i="31" s="1"/>
  <c r="E225" i="29"/>
  <c r="T204" i="31" s="1"/>
  <c r="E226" i="29"/>
  <c r="T205" i="31" s="1"/>
  <c r="E227" i="29"/>
  <c r="T206" i="31" s="1"/>
  <c r="E233" i="29"/>
  <c r="E234" i="29"/>
  <c r="T212" i="31" s="1"/>
  <c r="E235" i="29"/>
  <c r="T213" i="31" s="1"/>
  <c r="E236" i="29"/>
  <c r="T214" i="31" s="1"/>
  <c r="E237" i="29"/>
  <c r="E238" i="29"/>
  <c r="T216" i="31" s="1"/>
  <c r="E239" i="29"/>
  <c r="T217" i="31" s="1"/>
  <c r="E240" i="29"/>
  <c r="T218" i="31" s="1"/>
  <c r="E241" i="29"/>
  <c r="E242" i="29"/>
  <c r="T220" i="31" s="1"/>
  <c r="E243" i="29"/>
  <c r="T221" i="31" s="1"/>
  <c r="E244" i="29"/>
  <c r="E245" i="29"/>
  <c r="E246" i="29"/>
  <c r="E247" i="29"/>
  <c r="T224" i="31" s="1"/>
  <c r="E248" i="29"/>
  <c r="T225" i="31" s="1"/>
  <c r="E249" i="29"/>
  <c r="E250" i="29"/>
  <c r="E251" i="29"/>
  <c r="T228" i="31" s="1"/>
  <c r="E252" i="29"/>
  <c r="T229" i="31" s="1"/>
  <c r="E253" i="29"/>
  <c r="E254" i="29"/>
  <c r="E255" i="29"/>
  <c r="E266" i="29"/>
  <c r="E277" i="29"/>
  <c r="E278" i="29"/>
  <c r="T252" i="31" s="1"/>
  <c r="E279" i="29"/>
  <c r="T253" i="31" s="1"/>
  <c r="E280" i="29"/>
  <c r="T254" i="31" s="1"/>
  <c r="E281" i="29"/>
  <c r="E282" i="29"/>
  <c r="T256" i="31" s="1"/>
  <c r="E283" i="29"/>
  <c r="T257" i="31" s="1"/>
  <c r="E284" i="29"/>
  <c r="T258" i="31" s="1"/>
  <c r="E285" i="29"/>
  <c r="E286" i="29"/>
  <c r="T260" i="31" s="1"/>
  <c r="E287" i="29"/>
  <c r="T261" i="31" s="1"/>
  <c r="E288" i="29"/>
  <c r="E289" i="29"/>
  <c r="E290" i="29"/>
  <c r="E291" i="29"/>
  <c r="T264" i="31" s="1"/>
  <c r="E292" i="29"/>
  <c r="T265" i="31" s="1"/>
  <c r="E293" i="29"/>
  <c r="E294" i="29"/>
  <c r="E295" i="29"/>
  <c r="T268" i="31" s="1"/>
  <c r="E296" i="29"/>
  <c r="T269" i="31" s="1"/>
  <c r="E297" i="29"/>
  <c r="E298" i="29"/>
  <c r="E299" i="29"/>
  <c r="E300" i="29"/>
  <c r="T272" i="31" s="1"/>
  <c r="E301" i="29"/>
  <c r="T273" i="31" s="1"/>
  <c r="E302" i="29"/>
  <c r="E303" i="29"/>
  <c r="T275" i="31" s="1"/>
  <c r="E304" i="29"/>
  <c r="T276" i="31" s="1"/>
  <c r="E305" i="29"/>
  <c r="T277" i="31" s="1"/>
  <c r="E306" i="29"/>
  <c r="E307" i="29"/>
  <c r="T279" i="31" s="1"/>
  <c r="E308" i="29"/>
  <c r="T280" i="31" s="1"/>
  <c r="E309" i="29"/>
  <c r="T281" i="31" s="1"/>
  <c r="E310" i="29"/>
  <c r="E311" i="29"/>
  <c r="T282" i="31" s="1"/>
  <c r="E312" i="29"/>
  <c r="T283" i="31" s="1"/>
  <c r="E313" i="29"/>
  <c r="T284" i="31" s="1"/>
  <c r="E314" i="29"/>
  <c r="T285" i="31" s="1"/>
  <c r="E315" i="29"/>
  <c r="T286" i="31" s="1"/>
  <c r="E316" i="29"/>
  <c r="E317" i="29"/>
  <c r="T288" i="31" s="1"/>
  <c r="E318" i="29"/>
  <c r="T289" i="31" s="1"/>
  <c r="E319" i="29"/>
  <c r="T290" i="31" s="1"/>
  <c r="E320" i="29"/>
  <c r="T291" i="31" s="1"/>
  <c r="E321" i="29"/>
  <c r="E322" i="29"/>
  <c r="T292" i="31" s="1"/>
  <c r="E323" i="29"/>
  <c r="T293" i="31" s="1"/>
  <c r="E324" i="29"/>
  <c r="T294" i="31" s="1"/>
  <c r="E325" i="29"/>
  <c r="E326" i="29"/>
  <c r="T296" i="31" s="1"/>
  <c r="E327" i="29"/>
  <c r="T297" i="31" s="1"/>
  <c r="E328" i="29"/>
  <c r="T298" i="31" s="1"/>
  <c r="E329" i="29"/>
  <c r="E330" i="29"/>
  <c r="T300" i="31" s="1"/>
  <c r="E331" i="29"/>
  <c r="T301" i="31" s="1"/>
  <c r="E332" i="29"/>
  <c r="E333" i="29"/>
  <c r="E334" i="29"/>
  <c r="E335" i="29"/>
  <c r="T304" i="31" s="1"/>
  <c r="E336" i="29"/>
  <c r="T305" i="31" s="1"/>
  <c r="E337" i="29"/>
  <c r="E338" i="29"/>
  <c r="E339" i="29"/>
  <c r="T308" i="31" s="1"/>
  <c r="E340" i="29"/>
  <c r="T309" i="31" s="1"/>
  <c r="E341" i="29"/>
  <c r="E342" i="29"/>
  <c r="E343" i="29"/>
  <c r="E344" i="29"/>
  <c r="T312" i="31" s="1"/>
  <c r="E345" i="29"/>
  <c r="T313" i="31" s="1"/>
  <c r="E346" i="29"/>
  <c r="E347" i="29"/>
  <c r="T315" i="31" s="1"/>
  <c r="E348" i="29"/>
  <c r="T316" i="31" s="1"/>
  <c r="E354" i="29"/>
  <c r="E355" i="29"/>
  <c r="T322" i="31" s="1"/>
  <c r="E356" i="29"/>
  <c r="T323" i="31" s="1"/>
  <c r="E357" i="29"/>
  <c r="T324" i="31" s="1"/>
  <c r="E358" i="29"/>
  <c r="T325" i="31" s="1"/>
  <c r="E359" i="29"/>
  <c r="T326" i="31" s="1"/>
  <c r="E360" i="29"/>
  <c r="E361" i="29"/>
  <c r="T328" i="31" s="1"/>
  <c r="E362" i="29"/>
  <c r="T329" i="31" s="1"/>
  <c r="E363" i="29"/>
  <c r="T330" i="31" s="1"/>
  <c r="E364" i="29"/>
  <c r="T331" i="31" s="1"/>
  <c r="E365" i="29"/>
  <c r="E373" i="29"/>
  <c r="E374" i="29"/>
  <c r="T340" i="31" s="1"/>
  <c r="E376" i="29"/>
  <c r="E377" i="29"/>
  <c r="E378" i="29"/>
  <c r="E379" i="29"/>
  <c r="T344" i="31" s="1"/>
  <c r="E380" i="29"/>
  <c r="T345" i="31" s="1"/>
  <c r="E381" i="29"/>
  <c r="E382" i="29"/>
  <c r="E383" i="29"/>
  <c r="T348" i="31" s="1"/>
  <c r="E384" i="29"/>
  <c r="T349" i="31" s="1"/>
  <c r="E385" i="29"/>
  <c r="E386" i="29"/>
  <c r="E387" i="29"/>
  <c r="E388" i="29"/>
  <c r="T352" i="31" s="1"/>
  <c r="E389" i="29"/>
  <c r="T353" i="31" s="1"/>
  <c r="E397" i="29"/>
  <c r="T361" i="31" s="1"/>
  <c r="E398" i="29"/>
  <c r="E399" i="29"/>
  <c r="T362" i="31" s="1"/>
  <c r="E400" i="29"/>
  <c r="T363" i="31" s="1"/>
  <c r="E401" i="29"/>
  <c r="T364" i="31" s="1"/>
  <c r="E402" i="29"/>
  <c r="T365" i="31" s="1"/>
  <c r="E403" i="29"/>
  <c r="T366" i="31" s="1"/>
  <c r="E404" i="29"/>
  <c r="T367" i="31" s="1"/>
  <c r="E405" i="29"/>
  <c r="T368" i="31" s="1"/>
  <c r="E406" i="29"/>
  <c r="T369" i="31" s="1"/>
  <c r="E407" i="29"/>
  <c r="T370" i="31" s="1"/>
  <c r="E408" i="29"/>
  <c r="T371" i="31" s="1"/>
  <c r="E409" i="29"/>
  <c r="E410" i="29"/>
  <c r="T372" i="31" s="1"/>
  <c r="E411" i="29"/>
  <c r="T373" i="31" s="1"/>
  <c r="E412" i="29"/>
  <c r="T374" i="31" s="1"/>
  <c r="E413" i="29"/>
  <c r="E414" i="29"/>
  <c r="T376" i="31" s="1"/>
  <c r="E415" i="29"/>
  <c r="T377" i="31" s="1"/>
  <c r="E416" i="29"/>
  <c r="T378" i="31" s="1"/>
  <c r="E417" i="29"/>
  <c r="E418" i="29"/>
  <c r="T380" i="31" s="1"/>
  <c r="E419" i="29"/>
  <c r="T381" i="31" s="1"/>
  <c r="E420" i="29"/>
  <c r="E421" i="29"/>
  <c r="E422" i="29"/>
  <c r="E423" i="29"/>
  <c r="T384" i="31" s="1"/>
  <c r="E424" i="29"/>
  <c r="T385" i="31" s="1"/>
  <c r="E425" i="29"/>
  <c r="E426" i="29"/>
  <c r="E427" i="29"/>
  <c r="T388" i="31" s="1"/>
  <c r="E428" i="29"/>
  <c r="T389" i="31" s="1"/>
  <c r="E429" i="29"/>
  <c r="E430" i="29"/>
  <c r="E431" i="29"/>
  <c r="E432" i="29"/>
  <c r="T392" i="31" s="1"/>
  <c r="E433" i="29"/>
  <c r="T393" i="31" s="1"/>
  <c r="E434" i="29"/>
  <c r="E435" i="29"/>
  <c r="T395" i="31" s="1"/>
  <c r="E436" i="29"/>
  <c r="T396" i="31" s="1"/>
  <c r="E437" i="29"/>
  <c r="T397" i="31" s="1"/>
  <c r="E438" i="29"/>
  <c r="E439" i="29"/>
  <c r="E440" i="29"/>
  <c r="T400" i="31" s="1"/>
  <c r="E441" i="29"/>
  <c r="T401" i="31" s="1"/>
  <c r="E442" i="29"/>
  <c r="E443" i="29"/>
  <c r="T402" i="31" s="1"/>
  <c r="E444" i="29"/>
  <c r="T403" i="31" s="1"/>
  <c r="E445" i="29"/>
  <c r="T404" i="31" s="1"/>
  <c r="E446" i="29"/>
  <c r="T405" i="31" s="1"/>
  <c r="E447" i="29"/>
  <c r="T406" i="31" s="1"/>
  <c r="E448" i="29"/>
  <c r="T407" i="31" s="1"/>
  <c r="E449" i="29"/>
  <c r="T408" i="31" s="1"/>
  <c r="E450" i="29"/>
  <c r="T409" i="31" s="1"/>
  <c r="E451" i="29"/>
  <c r="T410" i="31" s="1"/>
  <c r="E452" i="29"/>
  <c r="T411" i="31" s="1"/>
  <c r="E453" i="29"/>
  <c r="E464" i="29"/>
  <c r="E465" i="29"/>
  <c r="E466" i="29"/>
  <c r="E467" i="29"/>
  <c r="T424" i="31" s="1"/>
  <c r="E468" i="29"/>
  <c r="T425" i="31" s="1"/>
  <c r="E469" i="29"/>
  <c r="E470" i="29"/>
  <c r="E471" i="29"/>
  <c r="T428" i="31" s="1"/>
  <c r="E472" i="29"/>
  <c r="T429" i="31" s="1"/>
  <c r="E475" i="29"/>
  <c r="E476" i="29"/>
  <c r="T432" i="31" s="1"/>
  <c r="E477" i="29"/>
  <c r="T433" i="31" s="1"/>
  <c r="E478" i="29"/>
  <c r="E479" i="29"/>
  <c r="T435" i="31" s="1"/>
  <c r="E480" i="29"/>
  <c r="T436" i="31" s="1"/>
  <c r="E481" i="29"/>
  <c r="T437" i="31" s="1"/>
  <c r="E482" i="29"/>
  <c r="E483" i="29"/>
  <c r="T439" i="31" s="1"/>
  <c r="E484" i="29"/>
  <c r="T440" i="31" s="1"/>
  <c r="E485" i="29"/>
  <c r="T441" i="31" s="1"/>
  <c r="E486" i="29"/>
  <c r="E487" i="29"/>
  <c r="T442" i="31" s="1"/>
  <c r="E488" i="29"/>
  <c r="T443" i="31" s="1"/>
  <c r="E489" i="29"/>
  <c r="T444" i="31" s="1"/>
  <c r="E490" i="29"/>
  <c r="T445" i="31" s="1"/>
  <c r="E491" i="29"/>
  <c r="T446" i="31" s="1"/>
  <c r="E492" i="29"/>
  <c r="E493" i="29"/>
  <c r="T448" i="31" s="1"/>
  <c r="E494" i="29"/>
  <c r="T449" i="31" s="1"/>
  <c r="E495" i="29"/>
  <c r="T450" i="31" s="1"/>
  <c r="E496" i="29"/>
  <c r="T451" i="31" s="1"/>
  <c r="E497" i="29"/>
  <c r="E498" i="29"/>
  <c r="T452" i="31" s="1"/>
  <c r="E499" i="29"/>
  <c r="T453" i="31" s="1"/>
  <c r="E500" i="29"/>
  <c r="T454" i="31" s="1"/>
  <c r="E501" i="29"/>
  <c r="E502" i="29"/>
  <c r="T456" i="31" s="1"/>
  <c r="E503" i="29"/>
  <c r="T457" i="31" s="1"/>
  <c r="E504" i="29"/>
  <c r="T458" i="31" s="1"/>
  <c r="E505" i="29"/>
  <c r="E506" i="29"/>
  <c r="T460" i="31" s="1"/>
  <c r="E507" i="29"/>
  <c r="T461" i="31" s="1"/>
  <c r="E508" i="29"/>
  <c r="E509" i="29"/>
  <c r="E510" i="29"/>
  <c r="E511" i="29"/>
  <c r="T464" i="31" s="1"/>
  <c r="E512" i="29"/>
  <c r="T465" i="31" s="1"/>
  <c r="E513" i="29"/>
  <c r="E514" i="29"/>
  <c r="E515" i="29"/>
  <c r="T468" i="31" s="1"/>
  <c r="E516" i="29"/>
  <c r="T469" i="31" s="1"/>
  <c r="E517" i="29"/>
  <c r="E518" i="29"/>
  <c r="E519" i="29"/>
  <c r="E520" i="29"/>
  <c r="T472" i="31" s="1"/>
  <c r="E521" i="29"/>
  <c r="T473" i="31" s="1"/>
  <c r="E522" i="29"/>
  <c r="E523" i="29"/>
  <c r="T475" i="31" s="1"/>
  <c r="E530" i="29"/>
  <c r="E531" i="29"/>
  <c r="T482" i="31" s="1"/>
  <c r="E532" i="29"/>
  <c r="T483" i="31" s="1"/>
  <c r="E533" i="29"/>
  <c r="T484" i="31" s="1"/>
  <c r="E534" i="29"/>
  <c r="T485" i="31" s="1"/>
  <c r="E535" i="29"/>
  <c r="T486" i="31" s="1"/>
  <c r="E536" i="29"/>
  <c r="E537" i="29"/>
  <c r="T488" i="31" s="1"/>
  <c r="E538" i="29"/>
  <c r="T489" i="31" s="1"/>
  <c r="E539" i="29"/>
  <c r="T490" i="31" s="1"/>
  <c r="E540" i="29"/>
  <c r="T491" i="31" s="1"/>
  <c r="E541" i="29"/>
  <c r="E542" i="29"/>
  <c r="T492" i="31" s="1"/>
  <c r="E543" i="29"/>
  <c r="T493" i="31" s="1"/>
  <c r="E544" i="29"/>
  <c r="T494" i="31" s="1"/>
  <c r="E545" i="29"/>
  <c r="E546" i="29"/>
  <c r="T496" i="31" s="1"/>
  <c r="E547" i="29"/>
  <c r="T497" i="31" s="1"/>
  <c r="E548" i="29"/>
  <c r="T498" i="31" s="1"/>
  <c r="E549" i="29"/>
  <c r="E550" i="29"/>
  <c r="T500" i="31" s="1"/>
  <c r="E551" i="29"/>
  <c r="T501" i="31" s="1"/>
  <c r="E562" i="29"/>
  <c r="E563" i="29"/>
  <c r="E564" i="29"/>
  <c r="T512" i="31" s="1"/>
  <c r="E565" i="29"/>
  <c r="T513" i="31" s="1"/>
  <c r="E566" i="29"/>
  <c r="E567" i="29"/>
  <c r="T515" i="31" s="1"/>
  <c r="E568" i="29"/>
  <c r="T516" i="31" s="1"/>
  <c r="E569" i="29"/>
  <c r="T517" i="31" s="1"/>
  <c r="E570" i="29"/>
  <c r="E571" i="29"/>
  <c r="T519" i="31" s="1"/>
  <c r="E572" i="29"/>
  <c r="T520" i="31" s="1"/>
  <c r="E573" i="29"/>
  <c r="T521" i="31" s="1"/>
  <c r="E574" i="29"/>
  <c r="E575" i="29"/>
  <c r="T522" i="31" s="1"/>
  <c r="E576" i="29"/>
  <c r="T523" i="31" s="1"/>
  <c r="E577" i="29"/>
  <c r="T524" i="31" s="1"/>
  <c r="E578" i="29"/>
  <c r="T525" i="31" s="1"/>
  <c r="E579" i="29"/>
  <c r="T526" i="31" s="1"/>
  <c r="E580" i="29"/>
  <c r="E581" i="29"/>
  <c r="T528" i="31" s="1"/>
  <c r="E582" i="29"/>
  <c r="T529" i="31" s="1"/>
  <c r="E583" i="29"/>
  <c r="T530" i="31" s="1"/>
  <c r="E584" i="29"/>
  <c r="T531" i="31" s="1"/>
  <c r="E585" i="29"/>
  <c r="E586" i="29"/>
  <c r="T532" i="31" s="1"/>
  <c r="E587" i="29"/>
  <c r="T533" i="31" s="1"/>
  <c r="E588" i="29"/>
  <c r="T534" i="31" s="1"/>
  <c r="E589" i="29"/>
  <c r="E590" i="29"/>
  <c r="T536" i="31" s="1"/>
  <c r="E591" i="29"/>
  <c r="T537" i="31" s="1"/>
  <c r="E592" i="29"/>
  <c r="T538" i="31" s="1"/>
  <c r="E593" i="29"/>
  <c r="E594" i="29"/>
  <c r="T540" i="31" s="1"/>
  <c r="E595" i="29"/>
  <c r="T541" i="31" s="1"/>
  <c r="E596" i="29"/>
  <c r="E597" i="29"/>
  <c r="E598" i="29"/>
  <c r="E599" i="29"/>
  <c r="T544" i="31" s="1"/>
  <c r="E600" i="29"/>
  <c r="T545" i="31" s="1"/>
  <c r="E601" i="29"/>
  <c r="E602" i="29"/>
  <c r="E603" i="29"/>
  <c r="T548" i="31" s="1"/>
  <c r="E604" i="29"/>
  <c r="T549" i="31" s="1"/>
  <c r="E605" i="29"/>
  <c r="E606" i="29"/>
  <c r="E607" i="29"/>
  <c r="E608" i="29"/>
  <c r="T552" i="31" s="1"/>
  <c r="E609" i="29"/>
  <c r="T553" i="31" s="1"/>
  <c r="E610" i="29"/>
  <c r="E611" i="29"/>
  <c r="T555" i="31" s="1"/>
  <c r="E612" i="29"/>
  <c r="T556" i="31" s="1"/>
  <c r="E613" i="29"/>
  <c r="T557" i="31" s="1"/>
  <c r="E614" i="29"/>
  <c r="E615" i="29"/>
  <c r="T559" i="31" s="1"/>
  <c r="E616" i="29"/>
  <c r="T560" i="31" s="1"/>
  <c r="E617" i="29"/>
  <c r="T561" i="31" s="1"/>
  <c r="E618" i="29"/>
  <c r="E619" i="29"/>
  <c r="T562" i="31" s="1"/>
  <c r="E620" i="29"/>
  <c r="T563" i="31" s="1"/>
  <c r="E621" i="29"/>
  <c r="T564" i="31" s="1"/>
  <c r="E622" i="29"/>
  <c r="T565" i="31" s="1"/>
  <c r="E623" i="29"/>
  <c r="T566" i="31" s="1"/>
  <c r="E624" i="29"/>
  <c r="E625" i="29"/>
  <c r="T568" i="31" s="1"/>
  <c r="E626" i="29"/>
  <c r="T569" i="31" s="1"/>
  <c r="E627" i="29"/>
  <c r="T570" i="31" s="1"/>
  <c r="E628" i="29"/>
  <c r="T571" i="31" s="1"/>
  <c r="E629" i="29"/>
  <c r="E630" i="29"/>
  <c r="T572" i="31" s="1"/>
  <c r="E631" i="29"/>
  <c r="T573" i="31" s="1"/>
  <c r="E632" i="29"/>
  <c r="T574" i="31" s="1"/>
  <c r="E633" i="29"/>
  <c r="E634" i="29"/>
  <c r="T576" i="31" s="1"/>
  <c r="E640" i="29"/>
  <c r="E641" i="29"/>
  <c r="E642" i="29"/>
  <c r="E643" i="29"/>
  <c r="T584" i="31" s="1"/>
  <c r="E644" i="29"/>
  <c r="T585" i="31" s="1"/>
  <c r="E645" i="29"/>
  <c r="E646" i="29"/>
  <c r="E647" i="29"/>
  <c r="T588" i="31" s="1"/>
  <c r="E648" i="29"/>
  <c r="T589" i="31" s="1"/>
  <c r="E649" i="29"/>
  <c r="E650" i="29"/>
  <c r="E651" i="29"/>
  <c r="E652" i="29"/>
  <c r="T592" i="31" s="1"/>
  <c r="E653" i="29"/>
  <c r="T593" i="31" s="1"/>
  <c r="E654" i="29"/>
  <c r="E655" i="29"/>
  <c r="T595" i="31" s="1"/>
  <c r="E656" i="29"/>
  <c r="T596" i="31" s="1"/>
  <c r="E657" i="29"/>
  <c r="T597" i="31" s="1"/>
  <c r="E658" i="29"/>
  <c r="E659" i="29"/>
  <c r="E660" i="29"/>
  <c r="T600" i="31" s="1"/>
  <c r="E661" i="29"/>
  <c r="T601" i="31" s="1"/>
  <c r="E662" i="29"/>
  <c r="E663" i="29"/>
  <c r="T602" i="31" s="1"/>
  <c r="E664" i="29"/>
  <c r="T603" i="31" s="1"/>
  <c r="E665" i="29"/>
  <c r="T604" i="31" s="1"/>
  <c r="E666" i="29"/>
  <c r="T605" i="31" s="1"/>
  <c r="E667" i="29"/>
  <c r="T606" i="31" s="1"/>
  <c r="E668" i="29"/>
  <c r="E669" i="29"/>
  <c r="T608" i="31" s="1"/>
  <c r="E670" i="29"/>
  <c r="T609" i="31" s="1"/>
  <c r="E671" i="29"/>
  <c r="T610" i="31" s="1"/>
  <c r="E672" i="29"/>
  <c r="T611" i="31" s="1"/>
  <c r="E673" i="29"/>
  <c r="E674" i="29"/>
  <c r="T612" i="31" s="1"/>
  <c r="E675" i="29"/>
  <c r="T613" i="31" s="1"/>
  <c r="E676" i="29"/>
  <c r="T614" i="31" s="1"/>
  <c r="E677" i="29"/>
  <c r="E678" i="29"/>
  <c r="T616" i="31" s="1"/>
  <c r="E679" i="29"/>
  <c r="T617" i="31" s="1"/>
  <c r="E680" i="29"/>
  <c r="T618" i="31" s="1"/>
  <c r="E681" i="29"/>
  <c r="E682" i="29"/>
  <c r="T620" i="31" s="1"/>
  <c r="E683" i="29"/>
  <c r="T621" i="31" s="1"/>
  <c r="E684" i="29"/>
  <c r="E695" i="29"/>
  <c r="E696" i="29"/>
  <c r="T632" i="31" s="1"/>
  <c r="E697" i="29"/>
  <c r="T633" i="31" s="1"/>
  <c r="E698" i="29"/>
  <c r="E699" i="29"/>
  <c r="T635" i="31" s="1"/>
  <c r="E700" i="29"/>
  <c r="T636" i="31" s="1"/>
  <c r="E701" i="29"/>
  <c r="T637" i="31" s="1"/>
  <c r="E702" i="29"/>
  <c r="E703" i="29"/>
  <c r="E704" i="29"/>
  <c r="T640" i="31" s="1"/>
  <c r="E705" i="29"/>
  <c r="T641" i="31" s="1"/>
  <c r="E706" i="29"/>
  <c r="E707" i="29"/>
  <c r="T642" i="31" s="1"/>
  <c r="E708" i="29"/>
  <c r="T643" i="31" s="1"/>
  <c r="E709" i="29"/>
  <c r="T644" i="31" s="1"/>
  <c r="E710" i="29"/>
  <c r="T645" i="31" s="1"/>
  <c r="E711" i="29"/>
  <c r="T646" i="31" s="1"/>
  <c r="E712" i="29"/>
  <c r="E713" i="29"/>
  <c r="T648" i="31" s="1"/>
  <c r="E714" i="29"/>
  <c r="T649" i="31" s="1"/>
  <c r="E715" i="29"/>
  <c r="T650" i="31" s="1"/>
  <c r="E716" i="29"/>
  <c r="T651" i="31" s="1"/>
  <c r="E717" i="29"/>
  <c r="E726" i="29"/>
  <c r="T660" i="31" s="1"/>
  <c r="E727" i="29"/>
  <c r="T661" i="31" s="1"/>
  <c r="E728" i="29"/>
  <c r="E729" i="29"/>
  <c r="E732" i="29"/>
  <c r="T665" i="31" s="1"/>
  <c r="E739" i="29"/>
  <c r="E750" i="29"/>
  <c r="E751" i="29"/>
  <c r="T682" i="31" s="1"/>
  <c r="E752" i="29"/>
  <c r="T683" i="31" s="1"/>
  <c r="E753" i="29"/>
  <c r="T684" i="31" s="1"/>
  <c r="E761" i="29"/>
  <c r="E772" i="29"/>
  <c r="E773" i="29"/>
  <c r="E774" i="29"/>
  <c r="E775" i="29"/>
  <c r="T704" i="31" s="1"/>
  <c r="E776" i="29"/>
  <c r="T705" i="31" s="1"/>
  <c r="E777" i="29"/>
  <c r="E778" i="29"/>
  <c r="E779" i="29"/>
  <c r="T708" i="31" s="1"/>
  <c r="E780" i="29"/>
  <c r="T709" i="31" s="1"/>
  <c r="E781" i="29"/>
  <c r="E782" i="29"/>
  <c r="E783" i="29"/>
  <c r="E784" i="29"/>
  <c r="T712" i="31" s="1"/>
  <c r="E785" i="29"/>
  <c r="T713" i="31" s="1"/>
  <c r="E786" i="29"/>
  <c r="E787" i="29"/>
  <c r="T715" i="31" s="1"/>
  <c r="E788" i="29"/>
  <c r="T716" i="31" s="1"/>
  <c r="E789" i="29"/>
  <c r="T717" i="31" s="1"/>
  <c r="E790" i="29"/>
  <c r="E791" i="29"/>
  <c r="E792" i="29"/>
  <c r="T720" i="31" s="1"/>
  <c r="E793" i="29"/>
  <c r="T721" i="31" s="1"/>
  <c r="E794" i="29"/>
  <c r="E795" i="29"/>
  <c r="T722" i="31" s="1"/>
  <c r="E796" i="29"/>
  <c r="T723" i="31" s="1"/>
  <c r="E797" i="29"/>
  <c r="T724" i="31" s="1"/>
  <c r="E798" i="29"/>
  <c r="T725" i="31" s="1"/>
  <c r="E799" i="29"/>
  <c r="T726" i="31" s="1"/>
  <c r="E800" i="29"/>
  <c r="E801" i="29"/>
  <c r="T728" i="31" s="1"/>
  <c r="E804" i="29"/>
  <c r="T731" i="31" s="1"/>
  <c r="E805" i="29"/>
  <c r="E806" i="29"/>
  <c r="T732" i="31" s="1"/>
  <c r="E807" i="29"/>
  <c r="T733" i="31" s="1"/>
  <c r="E808" i="29"/>
  <c r="T734" i="31" s="1"/>
  <c r="E809" i="29"/>
  <c r="E810" i="29"/>
  <c r="T736" i="31" s="1"/>
  <c r="E811" i="29"/>
  <c r="T737" i="31" s="1"/>
  <c r="E812" i="29"/>
  <c r="T738" i="31" s="1"/>
  <c r="E813" i="29"/>
  <c r="E814" i="29"/>
  <c r="T740" i="31" s="1"/>
  <c r="E815" i="29"/>
  <c r="T741" i="31" s="1"/>
  <c r="E816" i="29"/>
  <c r="E817" i="29"/>
  <c r="E818" i="29"/>
  <c r="E819" i="29"/>
  <c r="T744" i="31" s="1"/>
  <c r="E820" i="29"/>
  <c r="T745" i="31" s="1"/>
  <c r="E821" i="29"/>
  <c r="E822" i="29"/>
  <c r="E823" i="29"/>
  <c r="T748" i="31" s="1"/>
  <c r="E824" i="29"/>
  <c r="T749" i="31" s="1"/>
  <c r="E825" i="29"/>
  <c r="E826" i="29"/>
  <c r="E827" i="29"/>
  <c r="E828" i="29"/>
  <c r="T752" i="31" s="1"/>
  <c r="E829" i="29"/>
  <c r="T753" i="31" s="1"/>
  <c r="E830" i="29"/>
  <c r="E831" i="29"/>
  <c r="T755" i="31" s="1"/>
  <c r="E832" i="29"/>
  <c r="T756" i="31" s="1"/>
  <c r="E838" i="29"/>
  <c r="E839" i="29"/>
  <c r="T762" i="31" s="1"/>
  <c r="E840" i="29"/>
  <c r="T763" i="31" s="1"/>
  <c r="E841" i="29"/>
  <c r="T764" i="31" s="1"/>
  <c r="E842" i="29"/>
  <c r="T765" i="31" s="1"/>
  <c r="E849" i="29"/>
  <c r="E850" i="29"/>
  <c r="T772" i="31" s="1"/>
  <c r="E851" i="29"/>
  <c r="T773" i="31" s="1"/>
  <c r="E852" i="29"/>
  <c r="T774" i="31" s="1"/>
  <c r="E853" i="29"/>
  <c r="E854" i="29"/>
  <c r="T776" i="31" s="1"/>
  <c r="E855" i="29"/>
  <c r="T777" i="31" s="1"/>
  <c r="E856" i="29"/>
  <c r="T778" i="31" s="1"/>
  <c r="E857" i="29"/>
  <c r="E858" i="29"/>
  <c r="T780" i="31" s="1"/>
  <c r="E859" i="29"/>
  <c r="T781" i="31" s="1"/>
  <c r="E860" i="29"/>
  <c r="E862" i="29"/>
  <c r="E863" i="29"/>
  <c r="T784" i="31" s="1"/>
  <c r="E864" i="29"/>
  <c r="T785" i="31" s="1"/>
  <c r="E865" i="29"/>
  <c r="E866" i="29"/>
  <c r="E867" i="29"/>
  <c r="T788" i="31" s="1"/>
  <c r="E868" i="29"/>
  <c r="T789" i="31" s="1"/>
  <c r="E869" i="29"/>
  <c r="E870" i="29"/>
  <c r="E871" i="29"/>
  <c r="E872" i="29"/>
  <c r="T792" i="31" s="1"/>
  <c r="E873" i="29"/>
  <c r="T793" i="31" s="1"/>
  <c r="E874" i="29"/>
  <c r="E875" i="29"/>
  <c r="T795" i="31" s="1"/>
  <c r="E876" i="29"/>
  <c r="T796" i="31" s="1"/>
  <c r="E877" i="29"/>
  <c r="T797" i="31" s="1"/>
  <c r="E878" i="29"/>
  <c r="E879" i="29"/>
  <c r="E880" i="29"/>
  <c r="T800" i="31" s="1"/>
  <c r="E881" i="29"/>
  <c r="T801" i="31" s="1"/>
  <c r="E882" i="29"/>
  <c r="E883" i="29"/>
  <c r="T802" i="31" s="1"/>
  <c r="E884" i="29"/>
  <c r="T803" i="31" s="1"/>
  <c r="E885" i="29"/>
  <c r="T804" i="31" s="1"/>
  <c r="E886" i="29"/>
  <c r="T805" i="31" s="1"/>
  <c r="E893" i="29"/>
  <c r="E894" i="29"/>
  <c r="T812" i="31" s="1"/>
  <c r="E895" i="29"/>
  <c r="T813" i="31" s="1"/>
  <c r="E896" i="29"/>
  <c r="T814" i="31" s="1"/>
  <c r="E897" i="29"/>
  <c r="E898" i="29"/>
  <c r="T816" i="31" s="1"/>
  <c r="E899" i="29"/>
  <c r="T817" i="31" s="1"/>
  <c r="E900" i="29"/>
  <c r="T818" i="31" s="1"/>
  <c r="E901" i="29"/>
  <c r="E902" i="29"/>
  <c r="T820" i="31" s="1"/>
  <c r="E903" i="29"/>
  <c r="T821" i="31" s="1"/>
  <c r="E904" i="29"/>
  <c r="E915" i="29"/>
  <c r="E926" i="29"/>
  <c r="E936" i="29"/>
  <c r="T851" i="31" s="1"/>
  <c r="E937" i="29"/>
  <c r="E938" i="29"/>
  <c r="T852" i="31" s="1"/>
  <c r="E943" i="29"/>
  <c r="T857" i="31" s="1"/>
  <c r="E944" i="29"/>
  <c r="T858" i="31" s="1"/>
  <c r="E945" i="29"/>
  <c r="E948" i="29"/>
  <c r="E949" i="29"/>
  <c r="E950" i="29"/>
  <c r="E951" i="29"/>
  <c r="T864" i="31" s="1"/>
  <c r="E952" i="29"/>
  <c r="T865" i="31" s="1"/>
  <c r="E953" i="29"/>
  <c r="E954" i="29"/>
  <c r="E955" i="29"/>
  <c r="T868" i="31" s="1"/>
  <c r="E956" i="29"/>
  <c r="T869" i="31" s="1"/>
  <c r="E957" i="29"/>
  <c r="E958" i="29"/>
  <c r="E959" i="29"/>
  <c r="E960" i="29"/>
  <c r="T872" i="31" s="1"/>
  <c r="E961" i="29"/>
  <c r="T873" i="31" s="1"/>
  <c r="E962" i="29"/>
  <c r="E963" i="29"/>
  <c r="T875" i="31" s="1"/>
  <c r="E964" i="29"/>
  <c r="T876" i="31" s="1"/>
  <c r="E965" i="29"/>
  <c r="T877" i="31" s="1"/>
  <c r="E966" i="29"/>
  <c r="E967" i="29"/>
  <c r="E968" i="29"/>
  <c r="T880" i="31" s="1"/>
  <c r="E969" i="29"/>
  <c r="T881" i="31" s="1"/>
  <c r="E970" i="29"/>
  <c r="E981" i="29"/>
  <c r="E982" i="29"/>
  <c r="T892" i="31" s="1"/>
  <c r="E983" i="29"/>
  <c r="T893" i="31" s="1"/>
  <c r="E984" i="29"/>
  <c r="T894" i="31" s="1"/>
  <c r="E985" i="29"/>
  <c r="E986" i="29"/>
  <c r="T896" i="31" s="1"/>
  <c r="E987" i="29"/>
  <c r="T897" i="31" s="1"/>
  <c r="E988" i="29"/>
  <c r="T898" i="31" s="1"/>
  <c r="E989" i="29"/>
  <c r="E990" i="29"/>
  <c r="T900" i="31" s="1"/>
  <c r="E991" i="29"/>
  <c r="T901" i="31" s="1"/>
  <c r="E992" i="29"/>
  <c r="E993" i="29"/>
  <c r="E994" i="29"/>
  <c r="E995" i="29"/>
  <c r="T904" i="31" s="1"/>
  <c r="E996" i="29"/>
  <c r="T905" i="31" s="1"/>
  <c r="E997" i="29"/>
  <c r="E998" i="29"/>
  <c r="E999" i="29"/>
  <c r="T908" i="31" s="1"/>
  <c r="E1000" i="29"/>
  <c r="T909" i="31" s="1"/>
  <c r="E1001" i="29"/>
  <c r="E1002" i="29"/>
  <c r="E1003" i="29"/>
  <c r="E1004" i="29"/>
  <c r="T912" i="31" s="1"/>
  <c r="E1005" i="29"/>
  <c r="T913" i="31" s="1"/>
  <c r="E1006" i="29"/>
  <c r="E1007" i="29"/>
  <c r="T915" i="31" s="1"/>
  <c r="E1014" i="29"/>
  <c r="E1017" i="29"/>
  <c r="T924" i="31" s="1"/>
  <c r="E1019" i="29"/>
  <c r="T926" i="31" s="1"/>
  <c r="E1020" i="29"/>
  <c r="T927" i="31" s="1"/>
  <c r="E1021" i="29"/>
  <c r="T928" i="31" s="1"/>
  <c r="E1022" i="29"/>
  <c r="T929" i="31" s="1"/>
  <c r="E1023" i="29"/>
  <c r="T930" i="31" s="1"/>
  <c r="E1024" i="29"/>
  <c r="T931" i="31" s="1"/>
  <c r="E1025" i="29"/>
  <c r="E1026" i="29"/>
  <c r="T932" i="31" s="1"/>
  <c r="E1027" i="29"/>
  <c r="T933" i="31" s="1"/>
  <c r="E1028" i="29"/>
  <c r="T934" i="31" s="1"/>
  <c r="E1029" i="29"/>
  <c r="E1030" i="29"/>
  <c r="T936" i="31" s="1"/>
  <c r="E1031" i="29"/>
  <c r="T937" i="31" s="1"/>
  <c r="E1032" i="29"/>
  <c r="T938" i="31" s="1"/>
  <c r="E1033" i="29"/>
  <c r="E1036" i="29"/>
  <c r="E1037" i="29"/>
  <c r="E1038" i="29"/>
  <c r="E1039" i="29"/>
  <c r="T944" i="31" s="1"/>
  <c r="E1040" i="29"/>
  <c r="T945" i="31" s="1"/>
  <c r="E1041" i="29"/>
  <c r="E1042" i="29"/>
  <c r="E1043" i="29"/>
  <c r="T948" i="31" s="1"/>
  <c r="E1044" i="29"/>
  <c r="T949" i="31" s="1"/>
  <c r="E1045" i="29"/>
  <c r="E1046" i="29"/>
  <c r="E1047" i="29"/>
  <c r="E1048" i="29"/>
  <c r="T952" i="31" s="1"/>
  <c r="E1058" i="29"/>
  <c r="E1059" i="29"/>
  <c r="T962" i="31" s="1"/>
  <c r="E1060" i="29"/>
  <c r="T963" i="31" s="1"/>
  <c r="E1061" i="29"/>
  <c r="T964" i="31" s="1"/>
  <c r="E1062" i="29"/>
  <c r="T965" i="31" s="1"/>
  <c r="E1063" i="29"/>
  <c r="T966" i="31" s="1"/>
  <c r="E1064" i="29"/>
  <c r="E1065" i="29"/>
  <c r="T968" i="31" s="1"/>
  <c r="E1066" i="29"/>
  <c r="T969" i="31" s="1"/>
  <c r="E1067" i="29"/>
  <c r="T970" i="31" s="1"/>
  <c r="E1068" i="29"/>
  <c r="T971" i="31" s="1"/>
  <c r="E1069" i="29"/>
  <c r="E1070" i="29"/>
  <c r="T972" i="31" s="1"/>
  <c r="E1071" i="29"/>
  <c r="T973" i="31" s="1"/>
  <c r="E1072" i="29"/>
  <c r="T974" i="31" s="1"/>
  <c r="E1073" i="29"/>
  <c r="E1074" i="29"/>
  <c r="T976" i="31" s="1"/>
  <c r="E1075" i="29"/>
  <c r="T977" i="31" s="1"/>
  <c r="E1076" i="29"/>
  <c r="T978" i="31" s="1"/>
  <c r="E1077" i="29"/>
  <c r="E1078" i="29"/>
  <c r="T980" i="31" s="1"/>
  <c r="E1079" i="29"/>
  <c r="T981" i="31" s="1"/>
  <c r="E1080" i="29"/>
  <c r="E1081" i="29"/>
  <c r="E1082" i="29"/>
  <c r="E1083" i="29"/>
  <c r="T984" i="31" s="1"/>
  <c r="E1084" i="29"/>
  <c r="T985" i="31" s="1"/>
  <c r="E1085" i="29"/>
  <c r="E1086" i="29"/>
  <c r="E1087" i="29"/>
  <c r="T988" i="31" s="1"/>
  <c r="E1088" i="29"/>
  <c r="T989" i="31" s="1"/>
  <c r="E1089" i="29"/>
  <c r="E1090" i="29"/>
  <c r="E1091" i="29"/>
  <c r="E1092" i="29"/>
  <c r="T992" i="31" s="1"/>
  <c r="E1093" i="29"/>
  <c r="T993" i="31" s="1"/>
  <c r="E1094" i="29"/>
  <c r="E1095" i="29"/>
  <c r="T995" i="31" s="1"/>
  <c r="E1096" i="29"/>
  <c r="T996" i="31" s="1"/>
  <c r="E1097" i="29"/>
  <c r="T997" i="31" s="1"/>
  <c r="E1098" i="29"/>
  <c r="E1099" i="29"/>
  <c r="E1100" i="29"/>
  <c r="T1000" i="31" s="1"/>
  <c r="E1101" i="29"/>
  <c r="T1001" i="31" s="1"/>
  <c r="E1102" i="29"/>
  <c r="E1103" i="29"/>
  <c r="T1002" i="31" s="1"/>
  <c r="E1104" i="29"/>
  <c r="T1003" i="31" s="1"/>
  <c r="E1105" i="29"/>
  <c r="T1004" i="31" s="1"/>
  <c r="E1106" i="29"/>
  <c r="T1005" i="31" s="1"/>
  <c r="E1107" i="29"/>
  <c r="T1006" i="31" s="1"/>
  <c r="E1108" i="29"/>
  <c r="E1109" i="29"/>
  <c r="T1008" i="31" s="1"/>
  <c r="E1110" i="29"/>
  <c r="T1009" i="31" s="1"/>
  <c r="E1111" i="29"/>
  <c r="T1010" i="31" s="1"/>
  <c r="E1112" i="29"/>
  <c r="T1011" i="31" s="1"/>
  <c r="E1113" i="29"/>
  <c r="E1114" i="29"/>
  <c r="T1012" i="31" s="1"/>
  <c r="E1115" i="29"/>
  <c r="T1013" i="31" s="1"/>
  <c r="E1116" i="29"/>
  <c r="T1014" i="31" s="1"/>
  <c r="E1117" i="29"/>
  <c r="E1118" i="29"/>
  <c r="T1016" i="31" s="1"/>
  <c r="E1119" i="29"/>
  <c r="T1017" i="31" s="1"/>
  <c r="E1120" i="29"/>
  <c r="T1018" i="31" s="1"/>
  <c r="E1121" i="29"/>
  <c r="E1122" i="29"/>
  <c r="T1020" i="31" s="1"/>
  <c r="E1124" i="29"/>
  <c r="E1125" i="29"/>
  <c r="E1126" i="29"/>
  <c r="E1127" i="29"/>
  <c r="T1024" i="31" s="1"/>
  <c r="E1128" i="29"/>
  <c r="T1025" i="31" s="1"/>
  <c r="E1129" i="29"/>
  <c r="E1130" i="29"/>
  <c r="E1131" i="29"/>
  <c r="T1028" i="31" s="1"/>
  <c r="E1132" i="29"/>
  <c r="T1029" i="31" s="1"/>
  <c r="E1133" i="29"/>
  <c r="E1134" i="29"/>
  <c r="E1135" i="29"/>
  <c r="E1136" i="29"/>
  <c r="T1032" i="31" s="1"/>
  <c r="E1137" i="29"/>
  <c r="T1033" i="31" s="1"/>
  <c r="E1138" i="29"/>
  <c r="E1139" i="29"/>
  <c r="T1035" i="31" s="1"/>
  <c r="E1140" i="29"/>
  <c r="T1036" i="31" s="1"/>
  <c r="E1141" i="29"/>
  <c r="T1037" i="31" s="1"/>
  <c r="E1142" i="29"/>
  <c r="E1143" i="29"/>
  <c r="E1144" i="29"/>
  <c r="T1040" i="31" s="1"/>
  <c r="E1145" i="29"/>
  <c r="T1041" i="31" s="1"/>
  <c r="E1146" i="29"/>
  <c r="E1147" i="29"/>
  <c r="T1042" i="31" s="1"/>
  <c r="E1148" i="29"/>
  <c r="T1043" i="31" s="1"/>
  <c r="E1149" i="29"/>
  <c r="T1044" i="31" s="1"/>
  <c r="E1150" i="29"/>
  <c r="T1045" i="31" s="1"/>
  <c r="E1151" i="29"/>
  <c r="T1046" i="31" s="1"/>
  <c r="E1152" i="29"/>
  <c r="E1153" i="29"/>
  <c r="T1048" i="31" s="1"/>
  <c r="E1154" i="29"/>
  <c r="T1049" i="31" s="1"/>
  <c r="E1155" i="29"/>
  <c r="T1050" i="31" s="1"/>
  <c r="E1156" i="29"/>
  <c r="T1051" i="31" s="1"/>
  <c r="E1157" i="29"/>
  <c r="E1158" i="29"/>
  <c r="T1052" i="31" s="1"/>
  <c r="E1159" i="29"/>
  <c r="T1053" i="31" s="1"/>
  <c r="E1160" i="29"/>
  <c r="T1054" i="31" s="1"/>
  <c r="E1161" i="29"/>
  <c r="E1162" i="29"/>
  <c r="T1056" i="31" s="1"/>
  <c r="E1163" i="29"/>
  <c r="T1057" i="31" s="1"/>
  <c r="E1164" i="29"/>
  <c r="T1058" i="31" s="1"/>
  <c r="E1165" i="29"/>
  <c r="E1166" i="29"/>
  <c r="T1060" i="31" s="1"/>
  <c r="E1167" i="29"/>
  <c r="T1061" i="31" s="1"/>
  <c r="E1168" i="29"/>
  <c r="E1169" i="29"/>
  <c r="E1170" i="29"/>
  <c r="E1171" i="29"/>
  <c r="T1064" i="31" s="1"/>
  <c r="E1172" i="29"/>
  <c r="T1065" i="31" s="1"/>
  <c r="E1173" i="29"/>
  <c r="E1174" i="29"/>
  <c r="E1175" i="29"/>
  <c r="T1068" i="31" s="1"/>
  <c r="E1176" i="29"/>
  <c r="T1069" i="31" s="1"/>
  <c r="E1177" i="29"/>
  <c r="E1178" i="29"/>
  <c r="E1179" i="29"/>
  <c r="E1180" i="29"/>
  <c r="T1072" i="31" s="1"/>
  <c r="E1181" i="29"/>
  <c r="T1073" i="31" s="1"/>
  <c r="E1182" i="29"/>
  <c r="E1183" i="29"/>
  <c r="T1075" i="31" s="1"/>
  <c r="E1184" i="29"/>
  <c r="T1076" i="31" s="1"/>
  <c r="E1185" i="29"/>
  <c r="T1077" i="31" s="1"/>
  <c r="E1186" i="29"/>
  <c r="E1187" i="29"/>
  <c r="E1188" i="29"/>
  <c r="T1080" i="31" s="1"/>
  <c r="E1189" i="29"/>
  <c r="T1081" i="31" s="1"/>
  <c r="E1190" i="29"/>
  <c r="E1201" i="29"/>
  <c r="E1202" i="29"/>
  <c r="T1092" i="31" s="1"/>
  <c r="E1212" i="29"/>
  <c r="E1223" i="29"/>
  <c r="E1224" i="29"/>
  <c r="T1112" i="31" s="1"/>
  <c r="E1225" i="29"/>
  <c r="T1113" i="31" s="1"/>
  <c r="E1226" i="29"/>
  <c r="E1227" i="29"/>
  <c r="T1115" i="31" s="1"/>
  <c r="E1228" i="29"/>
  <c r="T1116" i="31" s="1"/>
  <c r="E1229" i="29"/>
  <c r="T1117" i="31" s="1"/>
  <c r="E1230" i="29"/>
  <c r="E1231" i="29"/>
  <c r="E1232" i="29"/>
  <c r="T1120" i="31" s="1"/>
  <c r="E1234" i="29"/>
  <c r="E1235" i="29"/>
  <c r="T1122" i="31" s="1"/>
  <c r="E1236" i="29"/>
  <c r="T1123" i="31" s="1"/>
  <c r="E1237" i="29"/>
  <c r="T1124" i="31" s="1"/>
  <c r="E1238" i="29"/>
  <c r="T1125" i="31" s="1"/>
  <c r="E1239" i="29"/>
  <c r="T1126" i="31" s="1"/>
  <c r="E1240" i="29"/>
  <c r="E1241" i="29"/>
  <c r="T1128" i="31" s="1"/>
  <c r="E1242" i="29"/>
  <c r="T1129" i="31" s="1"/>
  <c r="E1243" i="29"/>
  <c r="T1130" i="31" s="1"/>
  <c r="E1244" i="29"/>
  <c r="T1131" i="31" s="1"/>
  <c r="E1245" i="29"/>
  <c r="E1247" i="29"/>
  <c r="T1133" i="31" s="1"/>
  <c r="E1256" i="29"/>
  <c r="E1257" i="29"/>
  <c r="E1258" i="29"/>
  <c r="E1259" i="29"/>
  <c r="T1144" i="31" s="1"/>
  <c r="E1260" i="29"/>
  <c r="T1145" i="31" s="1"/>
  <c r="E1261" i="29"/>
  <c r="E1262" i="29"/>
  <c r="E1263" i="29"/>
  <c r="T1148" i="31" s="1"/>
  <c r="E1264" i="29"/>
  <c r="T1149" i="31" s="1"/>
  <c r="E1265" i="29"/>
  <c r="E1266" i="29"/>
  <c r="E1267" i="29"/>
  <c r="E1268" i="29"/>
  <c r="T1152" i="31" s="1"/>
  <c r="E1269" i="29"/>
  <c r="T1153" i="31" s="1"/>
  <c r="E1270" i="29"/>
  <c r="E1271" i="29"/>
  <c r="T1155" i="31" s="1"/>
  <c r="E1272" i="29"/>
  <c r="T1156" i="31" s="1"/>
  <c r="E1273" i="29"/>
  <c r="T1157" i="31" s="1"/>
  <c r="E1274" i="29"/>
  <c r="E1275" i="29"/>
  <c r="E1276" i="29"/>
  <c r="T1160" i="31" s="1"/>
  <c r="E1277" i="29"/>
  <c r="T1161" i="31" s="1"/>
  <c r="E1278" i="29"/>
  <c r="E1279" i="29"/>
  <c r="T1162" i="31" s="1"/>
  <c r="E1280" i="29"/>
  <c r="T1163" i="31" s="1"/>
  <c r="E1281" i="29"/>
  <c r="T1164" i="31" s="1"/>
  <c r="E1282" i="29"/>
  <c r="T1165" i="31" s="1"/>
  <c r="E1283" i="29"/>
  <c r="T1166" i="31" s="1"/>
  <c r="E1284" i="29"/>
  <c r="E1285" i="29"/>
  <c r="T1168" i="31" s="1"/>
  <c r="E1286" i="29"/>
  <c r="T1169" i="31" s="1"/>
  <c r="E1287" i="29"/>
  <c r="T1170" i="31" s="1"/>
  <c r="E1288" i="29"/>
  <c r="T1171" i="31" s="1"/>
  <c r="E1289" i="29"/>
  <c r="E1290" i="29"/>
  <c r="T1172" i="31" s="1"/>
  <c r="E1291" i="29"/>
  <c r="T1173" i="31" s="1"/>
  <c r="E1292" i="29"/>
  <c r="T1174" i="31" s="1"/>
  <c r="E1293" i="29"/>
  <c r="E1294" i="29"/>
  <c r="T1176" i="31" s="1"/>
  <c r="E1295" i="29"/>
  <c r="T1177" i="31" s="1"/>
  <c r="E1300" i="29"/>
  <c r="E1301" i="29"/>
  <c r="E1310" i="29"/>
  <c r="E1311" i="29"/>
  <c r="E1312" i="29"/>
  <c r="T1192" i="31" s="1"/>
  <c r="E1313" i="29"/>
  <c r="T1193" i="31" s="1"/>
  <c r="E1314" i="29"/>
  <c r="E1315" i="29"/>
  <c r="T1195" i="31" s="1"/>
  <c r="E1316" i="29"/>
  <c r="T1196" i="31" s="1"/>
  <c r="E1317" i="29"/>
  <c r="T1197" i="31" s="1"/>
  <c r="E1318" i="29"/>
  <c r="E1319" i="29"/>
  <c r="E1320" i="29"/>
  <c r="T1200" i="31" s="1"/>
  <c r="E1321" i="29"/>
  <c r="T1201" i="31" s="1"/>
  <c r="E1322" i="29"/>
  <c r="E1323" i="29"/>
  <c r="T1202" i="31" s="1"/>
  <c r="E1324" i="29"/>
  <c r="T1203" i="31" s="1"/>
  <c r="E1325" i="29"/>
  <c r="T1204" i="31" s="1"/>
  <c r="E1326" i="29"/>
  <c r="T1205" i="31" s="1"/>
  <c r="E1327" i="29"/>
  <c r="T1206" i="31" s="1"/>
  <c r="E1328" i="29"/>
  <c r="T1207" i="31" s="1"/>
  <c r="E1329" i="29"/>
  <c r="T1208" i="31" s="1"/>
  <c r="E1330" i="29"/>
  <c r="T1209" i="31" s="1"/>
  <c r="E1331" i="29"/>
  <c r="T1210" i="31" s="1"/>
  <c r="E1332" i="29"/>
  <c r="T1211" i="31" s="1"/>
  <c r="E1333" i="29"/>
  <c r="E1334" i="29"/>
  <c r="T1212" i="31" s="1"/>
  <c r="E1335" i="29"/>
  <c r="T1213" i="31" s="1"/>
  <c r="E1336" i="29"/>
  <c r="T1214" i="31" s="1"/>
  <c r="E1337" i="29"/>
  <c r="E1338" i="29"/>
  <c r="T1216" i="31" s="1"/>
  <c r="E1339" i="29"/>
  <c r="T1217" i="31" s="1"/>
  <c r="E1340" i="29"/>
  <c r="T1218" i="31" s="1"/>
  <c r="E1341" i="29"/>
  <c r="E1342" i="29"/>
  <c r="T1220" i="31" s="1"/>
  <c r="E1343" i="29"/>
  <c r="T1221" i="31" s="1"/>
  <c r="E1344" i="29"/>
  <c r="E1345" i="29"/>
  <c r="E1346" i="29"/>
  <c r="E1347" i="29"/>
  <c r="T1224" i="31" s="1"/>
  <c r="E1348" i="29"/>
  <c r="T1225" i="31" s="1"/>
  <c r="E1349" i="29"/>
  <c r="E1350" i="29"/>
  <c r="E1351" i="29"/>
  <c r="T1228" i="31" s="1"/>
  <c r="E1352" i="29"/>
  <c r="T1229" i="31" s="1"/>
  <c r="E1353" i="29"/>
  <c r="E1354" i="29"/>
  <c r="E1355" i="29"/>
  <c r="E1356" i="29"/>
  <c r="T1232" i="31" s="1"/>
  <c r="E1358" i="29"/>
  <c r="E1359" i="29"/>
  <c r="T1235" i="31" s="1"/>
  <c r="E1360" i="29"/>
  <c r="T1236" i="31" s="1"/>
  <c r="E1366" i="29"/>
  <c r="E1367" i="29"/>
  <c r="T1242" i="31" s="1"/>
  <c r="E1368" i="29"/>
  <c r="T1243" i="31" s="1"/>
  <c r="E1369" i="29"/>
  <c r="T1244" i="31" s="1"/>
  <c r="E1370" i="29"/>
  <c r="T1245" i="31" s="1"/>
  <c r="E1371" i="29"/>
  <c r="T1246" i="31" s="1"/>
  <c r="E1372" i="29"/>
  <c r="T1247" i="31" s="1"/>
  <c r="E1373" i="29"/>
  <c r="T1248" i="31" s="1"/>
  <c r="E1374" i="29"/>
  <c r="T1249" i="31" s="1"/>
  <c r="E1375" i="29"/>
  <c r="T1250" i="31" s="1"/>
  <c r="E1376" i="29"/>
  <c r="T1251" i="31" s="1"/>
  <c r="E1377" i="29"/>
  <c r="E1378" i="29"/>
  <c r="T1252" i="31" s="1"/>
  <c r="E1388" i="29"/>
  <c r="E1389" i="29"/>
  <c r="E1390" i="29"/>
  <c r="E1399" i="29"/>
  <c r="E1400" i="29"/>
  <c r="T1272" i="31" s="1"/>
  <c r="E1401" i="29"/>
  <c r="T1273" i="31" s="1"/>
  <c r="E1402" i="29"/>
  <c r="E1403" i="29"/>
  <c r="T1275" i="31" s="1"/>
  <c r="E1404" i="29"/>
  <c r="T1276" i="31" s="1"/>
  <c r="E1405" i="29"/>
  <c r="T1277" i="31" s="1"/>
  <c r="E1406" i="29"/>
  <c r="E1407" i="29"/>
  <c r="E1408" i="29"/>
  <c r="T1280" i="31" s="1"/>
  <c r="E1409" i="29"/>
  <c r="T1281" i="31" s="1"/>
  <c r="E1410" i="29"/>
  <c r="E1411" i="29"/>
  <c r="T1282" i="31" s="1"/>
  <c r="E1412" i="29"/>
  <c r="T1283" i="31" s="1"/>
  <c r="E1413" i="29"/>
  <c r="T1284" i="31" s="1"/>
  <c r="E1414" i="29"/>
  <c r="T1285" i="31" s="1"/>
  <c r="E1415" i="29"/>
  <c r="T1286" i="31" s="1"/>
  <c r="E1416" i="29"/>
  <c r="E1417" i="29"/>
  <c r="T1288" i="31" s="1"/>
  <c r="E1418" i="29"/>
  <c r="T1289" i="31" s="1"/>
  <c r="E1419" i="29"/>
  <c r="T1290" i="31" s="1"/>
  <c r="E1420" i="29"/>
  <c r="T1291" i="31" s="1"/>
  <c r="E1421" i="29"/>
  <c r="E1422" i="29"/>
  <c r="T1292" i="31" s="1"/>
  <c r="E1423" i="29"/>
  <c r="T1293" i="31" s="1"/>
  <c r="E1424" i="29"/>
  <c r="T1294" i="31" s="1"/>
  <c r="E1425" i="29"/>
  <c r="E1426" i="29"/>
  <c r="T1296" i="31" s="1"/>
  <c r="E1427" i="29"/>
  <c r="T1297" i="31" s="1"/>
  <c r="E1428" i="29"/>
  <c r="T1298" i="31" s="1"/>
  <c r="E1429" i="29"/>
  <c r="E1430" i="29"/>
  <c r="T1300" i="31" s="1"/>
  <c r="E1431" i="29"/>
  <c r="T1301" i="31" s="1"/>
  <c r="E1432" i="29"/>
  <c r="E1433" i="29"/>
  <c r="E1434" i="29"/>
  <c r="E1435" i="29"/>
  <c r="T1304" i="31" s="1"/>
  <c r="E1436" i="29"/>
  <c r="T1305" i="31" s="1"/>
  <c r="E1437" i="29"/>
  <c r="E1438" i="29"/>
  <c r="E1439" i="29"/>
  <c r="T1308" i="31" s="1"/>
  <c r="E1440" i="29"/>
  <c r="T1309" i="31" s="1"/>
  <c r="E1441" i="29"/>
  <c r="E1442" i="29"/>
  <c r="E1443" i="29"/>
  <c r="E1444" i="29"/>
  <c r="T1312" i="31" s="1"/>
  <c r="E1445" i="29"/>
  <c r="T1313" i="31" s="1"/>
  <c r="E1446" i="29"/>
  <c r="E1447" i="29"/>
  <c r="T1315" i="31" s="1"/>
  <c r="E1448" i="29"/>
  <c r="T1316" i="31" s="1"/>
  <c r="E1449" i="29"/>
  <c r="T1317" i="31" s="1"/>
  <c r="E1450" i="29"/>
  <c r="E1451" i="29"/>
  <c r="E1452" i="29"/>
  <c r="T1320" i="31" s="1"/>
  <c r="E1453" i="29"/>
  <c r="T1321" i="31" s="1"/>
  <c r="E1454" i="29"/>
  <c r="E1460" i="29"/>
  <c r="E1461" i="29"/>
  <c r="T1328" i="31" s="1"/>
  <c r="E1462" i="29"/>
  <c r="T1329" i="31" s="1"/>
  <c r="E1463" i="29"/>
  <c r="T1330" i="31" s="1"/>
  <c r="E1464" i="29"/>
  <c r="T1331" i="31" s="1"/>
  <c r="E1465" i="29"/>
  <c r="E1466" i="29"/>
  <c r="T1332" i="31" s="1"/>
  <c r="E1467" i="29"/>
  <c r="T1333" i="31" s="1"/>
  <c r="E1468" i="29"/>
  <c r="T1334" i="31" s="1"/>
  <c r="E1469" i="29"/>
  <c r="E1470" i="29"/>
  <c r="T1336" i="31" s="1"/>
  <c r="E1471" i="29"/>
  <c r="T1337" i="31" s="1"/>
  <c r="E1472" i="29"/>
  <c r="T1338" i="31" s="1"/>
  <c r="E1473" i="29"/>
  <c r="E1474" i="29"/>
  <c r="T1340" i="31" s="1"/>
  <c r="E1475" i="29"/>
  <c r="T1341" i="31" s="1"/>
  <c r="E1476" i="29"/>
  <c r="E1477" i="29"/>
  <c r="E1478" i="29"/>
  <c r="E1479" i="29"/>
  <c r="T1344" i="31" s="1"/>
  <c r="E1480" i="29"/>
  <c r="T1345" i="31" s="1"/>
  <c r="E1481" i="29"/>
  <c r="E1482" i="29"/>
  <c r="E1483" i="29"/>
  <c r="T1348" i="31" s="1"/>
  <c r="E1484" i="29"/>
  <c r="T1349" i="31" s="1"/>
  <c r="E1485" i="29"/>
  <c r="E1486" i="29"/>
  <c r="E1487" i="29"/>
  <c r="E1488" i="29"/>
  <c r="T1352" i="31" s="1"/>
  <c r="E1489" i="29"/>
  <c r="T1353" i="31" s="1"/>
  <c r="E1490" i="29"/>
  <c r="E1491" i="29"/>
  <c r="T1355" i="31" s="1"/>
  <c r="E1492" i="29"/>
  <c r="T1356" i="31" s="1"/>
  <c r="E1493" i="29"/>
  <c r="T1357" i="31" s="1"/>
  <c r="E1494" i="29"/>
  <c r="E1495" i="29"/>
  <c r="E1498" i="29"/>
  <c r="E1499" i="29"/>
  <c r="T1362" i="31" s="1"/>
  <c r="E1500" i="29"/>
  <c r="T1363" i="31" s="1"/>
  <c r="E1509" i="29"/>
  <c r="E1510" i="29"/>
  <c r="T1372" i="31" s="1"/>
  <c r="E1511" i="29"/>
  <c r="T1373" i="31" s="1"/>
  <c r="E1512" i="29"/>
  <c r="T1374" i="31" s="1"/>
  <c r="E1513" i="29"/>
  <c r="E1514" i="29"/>
  <c r="T1376" i="31" s="1"/>
  <c r="E1515" i="29"/>
  <c r="T1377" i="31" s="1"/>
  <c r="E1516" i="29"/>
  <c r="T1378" i="31" s="1"/>
  <c r="E1517" i="29"/>
  <c r="E1518" i="29"/>
  <c r="T1380" i="31" s="1"/>
  <c r="E1520" i="29"/>
  <c r="E1531" i="29"/>
  <c r="E1542" i="29"/>
  <c r="E1545" i="29"/>
  <c r="T1404" i="31" s="1"/>
  <c r="E1553" i="29"/>
  <c r="E1554" i="29"/>
  <c r="T1412" i="31" s="1"/>
  <c r="E1555" i="29"/>
  <c r="T1413" i="31" s="1"/>
  <c r="E1556" i="29"/>
  <c r="T1414" i="31" s="1"/>
  <c r="E1557" i="29"/>
  <c r="E1558" i="29"/>
  <c r="T1416" i="31" s="1"/>
  <c r="E1559" i="29"/>
  <c r="T1417" i="31" s="1"/>
  <c r="E1560" i="29"/>
  <c r="T1418" i="31" s="1"/>
  <c r="E1561" i="29"/>
  <c r="E1562" i="29"/>
  <c r="T1420" i="31" s="1"/>
  <c r="E1563" i="29"/>
  <c r="T1421" i="31" s="1"/>
  <c r="E1564" i="29"/>
  <c r="E1565" i="29"/>
  <c r="E1566" i="29"/>
  <c r="E1567" i="29"/>
  <c r="T1424" i="31" s="1"/>
  <c r="E1568" i="29"/>
  <c r="T1425" i="31" s="1"/>
  <c r="E1569" i="29"/>
  <c r="E1570" i="29"/>
  <c r="E1571" i="29"/>
  <c r="T1428" i="31" s="1"/>
  <c r="E1572" i="29"/>
  <c r="T1429" i="31" s="1"/>
  <c r="E1573" i="29"/>
  <c r="E1574" i="29"/>
  <c r="E1575" i="29"/>
  <c r="E1576" i="29"/>
  <c r="T1432" i="31" s="1"/>
  <c r="E1577" i="29"/>
  <c r="T1433" i="31" s="1"/>
  <c r="E1578" i="29"/>
  <c r="E1579" i="29"/>
  <c r="T1435" i="31" s="1"/>
  <c r="E1580" i="29"/>
  <c r="T1436" i="31" s="1"/>
  <c r="E1581" i="29"/>
  <c r="T1437" i="31" s="1"/>
  <c r="E1582" i="29"/>
  <c r="E1583" i="29"/>
  <c r="E1584" i="29"/>
  <c r="T1440" i="31" s="1"/>
  <c r="E1585" i="29"/>
  <c r="T1441" i="31" s="1"/>
  <c r="E1586" i="29"/>
  <c r="E1590" i="29"/>
  <c r="T1445" i="31" s="1"/>
  <c r="E1591" i="29"/>
  <c r="T1446" i="31" s="1"/>
  <c r="E1592" i="29"/>
  <c r="E1593" i="29"/>
  <c r="T1448" i="31" s="1"/>
  <c r="E1594" i="29"/>
  <c r="T1449" i="31" s="1"/>
  <c r="E1595" i="29"/>
  <c r="T1450" i="31" s="1"/>
  <c r="E1596" i="29"/>
  <c r="T1451" i="31" s="1"/>
  <c r="E1597" i="29"/>
  <c r="E1598" i="29"/>
  <c r="T1452" i="31" s="1"/>
  <c r="E1599" i="29"/>
  <c r="T1453" i="31" s="1"/>
  <c r="E1600" i="29"/>
  <c r="T1454" i="31" s="1"/>
  <c r="E1601" i="29"/>
  <c r="E1602" i="29"/>
  <c r="T1456" i="31" s="1"/>
  <c r="E1603" i="29"/>
  <c r="T1457" i="31" s="1"/>
  <c r="E1604" i="29"/>
  <c r="T1458" i="31" s="1"/>
  <c r="E1605" i="29"/>
  <c r="E1606" i="29"/>
  <c r="T1460" i="31" s="1"/>
  <c r="E1607" i="29"/>
  <c r="T1461" i="31" s="1"/>
  <c r="E1608" i="29"/>
  <c r="E1609" i="29"/>
  <c r="E1610" i="29"/>
  <c r="E1611" i="29"/>
  <c r="T1464" i="31" s="1"/>
  <c r="E1612" i="29"/>
  <c r="T1465" i="31" s="1"/>
  <c r="E1613" i="29"/>
  <c r="E1614" i="29"/>
  <c r="E1615" i="29"/>
  <c r="T1468" i="31" s="1"/>
  <c r="E1616" i="29"/>
  <c r="T1469" i="31" s="1"/>
  <c r="E1617" i="29"/>
  <c r="E1618" i="29"/>
  <c r="E1619" i="29"/>
  <c r="E1620" i="29"/>
  <c r="T1472" i="31" s="1"/>
  <c r="E1621" i="29"/>
  <c r="T1473" i="31" s="1"/>
  <c r="E1622" i="29"/>
  <c r="E1623" i="29"/>
  <c r="T1475" i="31" s="1"/>
  <c r="E1624" i="29"/>
  <c r="T1476" i="31" s="1"/>
  <c r="E1625" i="29"/>
  <c r="T1477" i="31" s="1"/>
  <c r="E1626" i="29"/>
  <c r="E1627" i="29"/>
  <c r="E1628" i="29"/>
  <c r="T1480" i="31" s="1"/>
  <c r="E1629" i="29"/>
  <c r="T1481" i="31" s="1"/>
  <c r="S3" i="31"/>
  <c r="S11" i="31"/>
  <c r="S35" i="31"/>
  <c r="S43" i="31"/>
  <c r="S51" i="31"/>
  <c r="S67" i="31"/>
  <c r="S75" i="31"/>
  <c r="S83" i="31"/>
  <c r="S91" i="31"/>
  <c r="S123" i="31"/>
  <c r="S131" i="31"/>
  <c r="S147" i="31"/>
  <c r="S155" i="31"/>
  <c r="S163" i="31"/>
  <c r="S171" i="31"/>
  <c r="S179" i="31"/>
  <c r="S187" i="31"/>
  <c r="S195" i="31"/>
  <c r="S203" i="31"/>
  <c r="S219" i="31"/>
  <c r="S227" i="31"/>
  <c r="S267" i="31"/>
  <c r="S275" i="31"/>
  <c r="S283" i="31"/>
  <c r="S291" i="31"/>
  <c r="S307" i="31"/>
  <c r="S315" i="31"/>
  <c r="S323" i="31"/>
  <c r="S347" i="31"/>
  <c r="S363" i="31"/>
  <c r="S372" i="31"/>
  <c r="S376" i="31"/>
  <c r="S380" i="31"/>
  <c r="S384" i="31"/>
  <c r="S388" i="31"/>
  <c r="S392" i="31"/>
  <c r="S396" i="31"/>
  <c r="S400" i="31"/>
  <c r="S424" i="31"/>
  <c r="S428" i="31"/>
  <c r="S432" i="31"/>
  <c r="S436" i="31"/>
  <c r="S440" i="31"/>
  <c r="S448" i="31"/>
  <c r="S452" i="31"/>
  <c r="S456" i="31"/>
  <c r="S460" i="31"/>
  <c r="S464" i="31"/>
  <c r="S468" i="31"/>
  <c r="S472" i="31"/>
  <c r="S484" i="31"/>
  <c r="S492" i="31"/>
  <c r="S496" i="31"/>
  <c r="S500" i="31"/>
  <c r="S512" i="31"/>
  <c r="S516" i="31"/>
  <c r="S520" i="31"/>
  <c r="S532" i="31"/>
  <c r="S536" i="31"/>
  <c r="S540" i="31"/>
  <c r="S544" i="31"/>
  <c r="S548" i="31"/>
  <c r="S552" i="31"/>
  <c r="S556" i="31"/>
  <c r="S560" i="31"/>
  <c r="S564" i="31"/>
  <c r="S572" i="31"/>
  <c r="S576" i="31"/>
  <c r="S584" i="31"/>
  <c r="S588" i="31"/>
  <c r="S592" i="31"/>
  <c r="S596" i="31"/>
  <c r="S600" i="31"/>
  <c r="S612" i="31"/>
  <c r="S616" i="31"/>
  <c r="S620" i="31"/>
  <c r="S632" i="31"/>
  <c r="S636" i="31"/>
  <c r="S640" i="31"/>
  <c r="S704" i="31"/>
  <c r="S708" i="31"/>
  <c r="S712" i="31"/>
  <c r="S716" i="31"/>
  <c r="S720" i="31"/>
  <c r="S724" i="31"/>
  <c r="S732" i="31"/>
  <c r="S736" i="31"/>
  <c r="S740" i="31"/>
  <c r="S744" i="31"/>
  <c r="S748" i="31"/>
  <c r="S752" i="31"/>
  <c r="S756" i="31"/>
  <c r="S772" i="31"/>
  <c r="S776" i="31"/>
  <c r="S780" i="31"/>
  <c r="S784" i="31"/>
  <c r="S788" i="31"/>
  <c r="S792" i="31"/>
  <c r="S796" i="31"/>
  <c r="S800" i="31"/>
  <c r="S804" i="31"/>
  <c r="S812" i="31"/>
  <c r="S816" i="31"/>
  <c r="S852" i="31"/>
  <c r="S864" i="31"/>
  <c r="S868" i="31"/>
  <c r="S872" i="31"/>
  <c r="S876" i="31"/>
  <c r="S880" i="31"/>
  <c r="S892" i="31"/>
  <c r="S896" i="31"/>
  <c r="S900" i="31"/>
  <c r="S904" i="31"/>
  <c r="S908" i="31"/>
  <c r="S912" i="31"/>
  <c r="S928" i="31"/>
  <c r="S932" i="31"/>
  <c r="S936" i="31"/>
  <c r="S944" i="31"/>
  <c r="S948" i="31"/>
  <c r="S952" i="31"/>
  <c r="S964" i="31"/>
  <c r="S972" i="31"/>
  <c r="S976" i="31"/>
  <c r="S980" i="31"/>
  <c r="S984" i="31"/>
  <c r="S988" i="31"/>
  <c r="S992" i="31"/>
  <c r="S996" i="31"/>
  <c r="S1000" i="31"/>
  <c r="S1008" i="31"/>
  <c r="S1012" i="31"/>
  <c r="S1016" i="31"/>
  <c r="S1020" i="31"/>
  <c r="S1024" i="31"/>
  <c r="S1028" i="31"/>
  <c r="S1032" i="31"/>
  <c r="S1036" i="31"/>
  <c r="S1040" i="31"/>
  <c r="S1044" i="31"/>
  <c r="S1052" i="31"/>
  <c r="S1056" i="31"/>
  <c r="S1060" i="31"/>
  <c r="S1064" i="31"/>
  <c r="S1068" i="31"/>
  <c r="S1072" i="31"/>
  <c r="S1076" i="31"/>
  <c r="S1080" i="31"/>
  <c r="S1092" i="31"/>
  <c r="S1112" i="31"/>
  <c r="S1116" i="31"/>
  <c r="S1120" i="31"/>
  <c r="S1124" i="31"/>
  <c r="S1144" i="31"/>
  <c r="S1148" i="31"/>
  <c r="S1152" i="31"/>
  <c r="S1156" i="31"/>
  <c r="S1160" i="31"/>
  <c r="S1172" i="31"/>
  <c r="S1176" i="31"/>
  <c r="S1192" i="31"/>
  <c r="S1196" i="31"/>
  <c r="S1200" i="31"/>
  <c r="S1204" i="31"/>
  <c r="S1212" i="31"/>
  <c r="S1216" i="31"/>
  <c r="S1220" i="31"/>
  <c r="S1224" i="31"/>
  <c r="S1228" i="31"/>
  <c r="S1252" i="31"/>
  <c r="S1272" i="31"/>
  <c r="S1276" i="31"/>
  <c r="S1280" i="31"/>
  <c r="S1284" i="31"/>
  <c r="S1292" i="31"/>
  <c r="S1296" i="31"/>
  <c r="S1300" i="31"/>
  <c r="S1304" i="31"/>
  <c r="S1308" i="31"/>
  <c r="S1312" i="31"/>
  <c r="S1316" i="31"/>
  <c r="S1320" i="31"/>
  <c r="S1332" i="31"/>
  <c r="S1336" i="31"/>
  <c r="S1340" i="31"/>
  <c r="S1344" i="31"/>
  <c r="S1348" i="31"/>
  <c r="S1352" i="31"/>
  <c r="S1356" i="31"/>
  <c r="S1372" i="31"/>
  <c r="S1376" i="31"/>
  <c r="S1380" i="31"/>
  <c r="S1412" i="31"/>
  <c r="S1416" i="31"/>
  <c r="S1420" i="31"/>
  <c r="S1424" i="31"/>
  <c r="S1428" i="31"/>
  <c r="S1432" i="31"/>
  <c r="S1436" i="31"/>
  <c r="S1440" i="31"/>
  <c r="S1452" i="31"/>
  <c r="S1456" i="31"/>
  <c r="S1460" i="31"/>
  <c r="S1464" i="31"/>
  <c r="S1468" i="31"/>
  <c r="S1472" i="31"/>
  <c r="S1476" i="31"/>
  <c r="S1480" i="31"/>
  <c r="E3" i="28"/>
  <c r="S2" i="31" s="1"/>
  <c r="E4" i="28"/>
  <c r="E5" i="28"/>
  <c r="E6" i="28"/>
  <c r="S5" i="31" s="1"/>
  <c r="E7" i="28"/>
  <c r="S6" i="31" s="1"/>
  <c r="E8" i="28"/>
  <c r="S7" i="31" s="1"/>
  <c r="E9" i="28"/>
  <c r="E10" i="28"/>
  <c r="S9" i="31" s="1"/>
  <c r="E11" i="28"/>
  <c r="S10" i="31" s="1"/>
  <c r="E12" i="28"/>
  <c r="E13" i="28"/>
  <c r="E14" i="28"/>
  <c r="S12" i="31" s="1"/>
  <c r="E15" i="28"/>
  <c r="S13" i="31" s="1"/>
  <c r="E16" i="28"/>
  <c r="S14" i="31" s="1"/>
  <c r="E17" i="28"/>
  <c r="E18" i="28"/>
  <c r="S16" i="31" s="1"/>
  <c r="E19" i="28"/>
  <c r="S17" i="31" s="1"/>
  <c r="E20" i="28"/>
  <c r="S18" i="31" s="1"/>
  <c r="E21" i="28"/>
  <c r="E22" i="28"/>
  <c r="S20" i="31" s="1"/>
  <c r="E23" i="28"/>
  <c r="S21" i="31" s="1"/>
  <c r="E24" i="28"/>
  <c r="E25" i="28"/>
  <c r="E26" i="28"/>
  <c r="S23" i="31" s="1"/>
  <c r="E27" i="28"/>
  <c r="S24" i="31" s="1"/>
  <c r="E28" i="28"/>
  <c r="S25" i="31" s="1"/>
  <c r="E29" i="28"/>
  <c r="E35" i="28"/>
  <c r="E36" i="28"/>
  <c r="S32" i="31" s="1"/>
  <c r="E37" i="28"/>
  <c r="E38" i="28"/>
  <c r="S34" i="31" s="1"/>
  <c r="E39" i="28"/>
  <c r="E40" i="28"/>
  <c r="S36" i="31" s="1"/>
  <c r="E41" i="28"/>
  <c r="E42" i="28"/>
  <c r="S38" i="31" s="1"/>
  <c r="E43" i="28"/>
  <c r="S39" i="31" s="1"/>
  <c r="E44" i="28"/>
  <c r="S40" i="31" s="1"/>
  <c r="E45" i="28"/>
  <c r="E46" i="28"/>
  <c r="E47" i="28"/>
  <c r="S42" i="31" s="1"/>
  <c r="E48" i="28"/>
  <c r="E56" i="28"/>
  <c r="E57" i="28"/>
  <c r="E58" i="28"/>
  <c r="S52" i="31" s="1"/>
  <c r="E59" i="28"/>
  <c r="S53" i="31" s="1"/>
  <c r="E68" i="28"/>
  <c r="E69" i="28"/>
  <c r="E70" i="28"/>
  <c r="S63" i="31" s="1"/>
  <c r="E71" i="28"/>
  <c r="S64" i="31" s="1"/>
  <c r="E72" i="28"/>
  <c r="S65" i="31" s="1"/>
  <c r="E73" i="28"/>
  <c r="E74" i="28"/>
  <c r="E75" i="28"/>
  <c r="S68" i="31" s="1"/>
  <c r="E77" i="28"/>
  <c r="E78" i="28"/>
  <c r="S71" i="31" s="1"/>
  <c r="E79" i="28"/>
  <c r="E80" i="28"/>
  <c r="S72" i="31" s="1"/>
  <c r="E81" i="28"/>
  <c r="E82" i="28"/>
  <c r="S74" i="31" s="1"/>
  <c r="E83" i="28"/>
  <c r="E84" i="28"/>
  <c r="S76" i="31" s="1"/>
  <c r="E85" i="28"/>
  <c r="E86" i="28"/>
  <c r="S78" i="31" s="1"/>
  <c r="E87" i="28"/>
  <c r="S79" i="31" s="1"/>
  <c r="E88" i="28"/>
  <c r="S80" i="31" s="1"/>
  <c r="E89" i="28"/>
  <c r="E90" i="28"/>
  <c r="E91" i="28"/>
  <c r="S82" i="31" s="1"/>
  <c r="E92" i="28"/>
  <c r="E93" i="28"/>
  <c r="E94" i="28"/>
  <c r="S85" i="31" s="1"/>
  <c r="E95" i="28"/>
  <c r="S86" i="31" s="1"/>
  <c r="E96" i="28"/>
  <c r="S87" i="31" s="1"/>
  <c r="E97" i="28"/>
  <c r="E98" i="28"/>
  <c r="S89" i="31" s="1"/>
  <c r="E99" i="28"/>
  <c r="S90" i="31" s="1"/>
  <c r="E100" i="28"/>
  <c r="E101" i="28"/>
  <c r="E102" i="28"/>
  <c r="S92" i="31" s="1"/>
  <c r="E103" i="28"/>
  <c r="S93" i="31" s="1"/>
  <c r="E104" i="28"/>
  <c r="S94" i="31" s="1"/>
  <c r="E105" i="28"/>
  <c r="E106" i="28"/>
  <c r="S96" i="31" s="1"/>
  <c r="E107" i="28"/>
  <c r="S97" i="31" s="1"/>
  <c r="E108" i="28"/>
  <c r="S98" i="31" s="1"/>
  <c r="E109" i="28"/>
  <c r="E110" i="28"/>
  <c r="S100" i="31" s="1"/>
  <c r="E111" i="28"/>
  <c r="S101" i="31" s="1"/>
  <c r="E112" i="28"/>
  <c r="E113" i="28"/>
  <c r="E114" i="28"/>
  <c r="S103" i="31" s="1"/>
  <c r="E115" i="28"/>
  <c r="S104" i="31" s="1"/>
  <c r="E116" i="28"/>
  <c r="S105" i="31" s="1"/>
  <c r="E117" i="28"/>
  <c r="E122" i="28"/>
  <c r="S111" i="31" s="1"/>
  <c r="E123" i="28"/>
  <c r="E134" i="28"/>
  <c r="E135" i="28"/>
  <c r="S122" i="31" s="1"/>
  <c r="E136" i="28"/>
  <c r="E137" i="28"/>
  <c r="E138" i="28"/>
  <c r="S125" i="31" s="1"/>
  <c r="E139" i="28"/>
  <c r="S126" i="31" s="1"/>
  <c r="E140" i="28"/>
  <c r="S127" i="31" s="1"/>
  <c r="E141" i="28"/>
  <c r="E142" i="28"/>
  <c r="S129" i="31" s="1"/>
  <c r="E143" i="28"/>
  <c r="S130" i="31" s="1"/>
  <c r="E144" i="28"/>
  <c r="E145" i="28"/>
  <c r="E146" i="28"/>
  <c r="S132" i="31" s="1"/>
  <c r="E147" i="28"/>
  <c r="S133" i="31" s="1"/>
  <c r="E148" i="28"/>
  <c r="S134" i="31" s="1"/>
  <c r="E149" i="28"/>
  <c r="E150" i="28"/>
  <c r="S136" i="31" s="1"/>
  <c r="E151" i="28"/>
  <c r="S137" i="31" s="1"/>
  <c r="E152" i="28"/>
  <c r="S138" i="31" s="1"/>
  <c r="E153" i="28"/>
  <c r="P139" i="31" s="1"/>
  <c r="E154" i="28"/>
  <c r="S140" i="31" s="1"/>
  <c r="E155" i="28"/>
  <c r="S141" i="31" s="1"/>
  <c r="E156" i="28"/>
  <c r="E157" i="28"/>
  <c r="E158" i="28"/>
  <c r="S143" i="31" s="1"/>
  <c r="E159" i="28"/>
  <c r="S144" i="31" s="1"/>
  <c r="E160" i="28"/>
  <c r="S145" i="31" s="1"/>
  <c r="E161" i="28"/>
  <c r="E162" i="28"/>
  <c r="E163" i="28"/>
  <c r="S148" i="31" s="1"/>
  <c r="E164" i="28"/>
  <c r="S149" i="31" s="1"/>
  <c r="E165" i="28"/>
  <c r="E166" i="28"/>
  <c r="S151" i="31" s="1"/>
  <c r="E167" i="28"/>
  <c r="E168" i="28"/>
  <c r="S152" i="31" s="1"/>
  <c r="E169" i="28"/>
  <c r="S153" i="31" s="1"/>
  <c r="E170" i="28"/>
  <c r="S154" i="31" s="1"/>
  <c r="E171" i="28"/>
  <c r="E172" i="28"/>
  <c r="S156" i="31" s="1"/>
  <c r="E173" i="28"/>
  <c r="S157" i="31" s="1"/>
  <c r="E174" i="28"/>
  <c r="S158" i="31" s="1"/>
  <c r="E176" i="28"/>
  <c r="S160" i="31" s="1"/>
  <c r="E177" i="28"/>
  <c r="S161" i="31" s="1"/>
  <c r="E178" i="28"/>
  <c r="E179" i="28"/>
  <c r="S162" i="31" s="1"/>
  <c r="E180" i="28"/>
  <c r="E181" i="28"/>
  <c r="E182" i="28"/>
  <c r="S165" i="31" s="1"/>
  <c r="E183" i="28"/>
  <c r="S166" i="31" s="1"/>
  <c r="E184" i="28"/>
  <c r="S167" i="31" s="1"/>
  <c r="E185" i="28"/>
  <c r="E186" i="28"/>
  <c r="S169" i="31" s="1"/>
  <c r="E187" i="28"/>
  <c r="S170" i="31" s="1"/>
  <c r="E188" i="28"/>
  <c r="E189" i="28"/>
  <c r="E190" i="28"/>
  <c r="S172" i="31" s="1"/>
  <c r="E191" i="28"/>
  <c r="S173" i="31" s="1"/>
  <c r="E192" i="28"/>
  <c r="S174" i="31" s="1"/>
  <c r="E193" i="28"/>
  <c r="E194" i="28"/>
  <c r="S176" i="31" s="1"/>
  <c r="E195" i="28"/>
  <c r="S177" i="31" s="1"/>
  <c r="E196" i="28"/>
  <c r="S178" i="31" s="1"/>
  <c r="E197" i="28"/>
  <c r="P179" i="31" s="1"/>
  <c r="E198" i="28"/>
  <c r="S180" i="31" s="1"/>
  <c r="E199" i="28"/>
  <c r="S181" i="31" s="1"/>
  <c r="E200" i="28"/>
  <c r="E201" i="28"/>
  <c r="E202" i="28"/>
  <c r="S183" i="31" s="1"/>
  <c r="E203" i="28"/>
  <c r="S184" i="31" s="1"/>
  <c r="E204" i="28"/>
  <c r="S185" i="31" s="1"/>
  <c r="E205" i="28"/>
  <c r="E206" i="28"/>
  <c r="E207" i="28"/>
  <c r="S188" i="31" s="1"/>
  <c r="E208" i="28"/>
  <c r="S189" i="31" s="1"/>
  <c r="E209" i="28"/>
  <c r="E210" i="28"/>
  <c r="S191" i="31" s="1"/>
  <c r="E211" i="28"/>
  <c r="E212" i="28"/>
  <c r="S192" i="31" s="1"/>
  <c r="E213" i="28"/>
  <c r="S193" i="31" s="1"/>
  <c r="E214" i="28"/>
  <c r="S194" i="31" s="1"/>
  <c r="E215" i="28"/>
  <c r="E216" i="28"/>
  <c r="S196" i="31" s="1"/>
  <c r="E217" i="28"/>
  <c r="S197" i="31" s="1"/>
  <c r="E218" i="28"/>
  <c r="S198" i="31" s="1"/>
  <c r="E219" i="28"/>
  <c r="S199" i="31" s="1"/>
  <c r="E220" i="28"/>
  <c r="S200" i="31" s="1"/>
  <c r="E221" i="28"/>
  <c r="S201" i="31" s="1"/>
  <c r="E222" i="28"/>
  <c r="E223" i="28"/>
  <c r="S202" i="31" s="1"/>
  <c r="E224" i="28"/>
  <c r="E225" i="28"/>
  <c r="E226" i="28"/>
  <c r="S205" i="31" s="1"/>
  <c r="E227" i="28"/>
  <c r="S206" i="31" s="1"/>
  <c r="E233" i="28"/>
  <c r="E234" i="28"/>
  <c r="S212" i="31" s="1"/>
  <c r="E235" i="28"/>
  <c r="S213" i="31" s="1"/>
  <c r="E236" i="28"/>
  <c r="S214" i="31" s="1"/>
  <c r="E237" i="28"/>
  <c r="E238" i="28"/>
  <c r="S216" i="31" s="1"/>
  <c r="E239" i="28"/>
  <c r="S217" i="31" s="1"/>
  <c r="E240" i="28"/>
  <c r="S218" i="31" s="1"/>
  <c r="E241" i="28"/>
  <c r="P219" i="31" s="1"/>
  <c r="E242" i="28"/>
  <c r="S220" i="31" s="1"/>
  <c r="E243" i="28"/>
  <c r="S221" i="31" s="1"/>
  <c r="E244" i="28"/>
  <c r="E245" i="28"/>
  <c r="E246" i="28"/>
  <c r="S223" i="31" s="1"/>
  <c r="E247" i="28"/>
  <c r="S224" i="31" s="1"/>
  <c r="E248" i="28"/>
  <c r="S225" i="31" s="1"/>
  <c r="E249" i="28"/>
  <c r="E250" i="28"/>
  <c r="E251" i="28"/>
  <c r="S228" i="31" s="1"/>
  <c r="E252" i="28"/>
  <c r="S229" i="31" s="1"/>
  <c r="E253" i="28"/>
  <c r="E254" i="28"/>
  <c r="S231" i="31" s="1"/>
  <c r="E255" i="28"/>
  <c r="E266" i="28"/>
  <c r="E277" i="28"/>
  <c r="E278" i="28"/>
  <c r="S252" i="31" s="1"/>
  <c r="E279" i="28"/>
  <c r="S253" i="31" s="1"/>
  <c r="E280" i="28"/>
  <c r="S254" i="31" s="1"/>
  <c r="E281" i="28"/>
  <c r="E282" i="28"/>
  <c r="S256" i="31" s="1"/>
  <c r="E283" i="28"/>
  <c r="S257" i="31" s="1"/>
  <c r="E284" i="28"/>
  <c r="S258" i="31" s="1"/>
  <c r="E285" i="28"/>
  <c r="P259" i="31" s="1"/>
  <c r="E286" i="28"/>
  <c r="S260" i="31" s="1"/>
  <c r="E287" i="28"/>
  <c r="S261" i="31" s="1"/>
  <c r="E288" i="28"/>
  <c r="E289" i="28"/>
  <c r="E290" i="28"/>
  <c r="S263" i="31" s="1"/>
  <c r="E291" i="28"/>
  <c r="S264" i="31" s="1"/>
  <c r="E292" i="28"/>
  <c r="S265" i="31" s="1"/>
  <c r="E293" i="28"/>
  <c r="E294" i="28"/>
  <c r="E295" i="28"/>
  <c r="S268" i="31" s="1"/>
  <c r="E296" i="28"/>
  <c r="S269" i="31" s="1"/>
  <c r="E297" i="28"/>
  <c r="E298" i="28"/>
  <c r="S271" i="31" s="1"/>
  <c r="E299" i="28"/>
  <c r="E300" i="28"/>
  <c r="S272" i="31" s="1"/>
  <c r="E301" i="28"/>
  <c r="S273" i="31" s="1"/>
  <c r="E302" i="28"/>
  <c r="S274" i="31" s="1"/>
  <c r="E303" i="28"/>
  <c r="E304" i="28"/>
  <c r="S276" i="31" s="1"/>
  <c r="E305" i="28"/>
  <c r="S277" i="31" s="1"/>
  <c r="E306" i="28"/>
  <c r="S278" i="31" s="1"/>
  <c r="E307" i="28"/>
  <c r="S279" i="31" s="1"/>
  <c r="E308" i="28"/>
  <c r="S280" i="31" s="1"/>
  <c r="E309" i="28"/>
  <c r="S281" i="31" s="1"/>
  <c r="E310" i="28"/>
  <c r="E311" i="28"/>
  <c r="S282" i="31" s="1"/>
  <c r="E312" i="28"/>
  <c r="E313" i="28"/>
  <c r="E314" i="28"/>
  <c r="S285" i="31" s="1"/>
  <c r="E315" i="28"/>
  <c r="S286" i="31" s="1"/>
  <c r="E316" i="28"/>
  <c r="S287" i="31" s="1"/>
  <c r="E317" i="28"/>
  <c r="E318" i="28"/>
  <c r="S289" i="31" s="1"/>
  <c r="E319" i="28"/>
  <c r="S290" i="31" s="1"/>
  <c r="E320" i="28"/>
  <c r="E321" i="28"/>
  <c r="E322" i="28"/>
  <c r="S292" i="31" s="1"/>
  <c r="E323" i="28"/>
  <c r="S293" i="31" s="1"/>
  <c r="E324" i="28"/>
  <c r="S294" i="31" s="1"/>
  <c r="E325" i="28"/>
  <c r="E326" i="28"/>
  <c r="S296" i="31" s="1"/>
  <c r="E327" i="28"/>
  <c r="S297" i="31" s="1"/>
  <c r="E328" i="28"/>
  <c r="S298" i="31" s="1"/>
  <c r="E329" i="28"/>
  <c r="P299" i="31" s="1"/>
  <c r="E330" i="28"/>
  <c r="S300" i="31" s="1"/>
  <c r="E331" i="28"/>
  <c r="S301" i="31" s="1"/>
  <c r="E332" i="28"/>
  <c r="E333" i="28"/>
  <c r="E334" i="28"/>
  <c r="S303" i="31" s="1"/>
  <c r="E335" i="28"/>
  <c r="S304" i="31" s="1"/>
  <c r="E336" i="28"/>
  <c r="S305" i="31" s="1"/>
  <c r="E337" i="28"/>
  <c r="E338" i="28"/>
  <c r="E339" i="28"/>
  <c r="S308" i="31" s="1"/>
  <c r="E340" i="28"/>
  <c r="S309" i="31" s="1"/>
  <c r="E341" i="28"/>
  <c r="E342" i="28"/>
  <c r="S311" i="31" s="1"/>
  <c r="E343" i="28"/>
  <c r="E344" i="28"/>
  <c r="S312" i="31" s="1"/>
  <c r="E345" i="28"/>
  <c r="S313" i="31" s="1"/>
  <c r="E346" i="28"/>
  <c r="S314" i="31" s="1"/>
  <c r="E347" i="28"/>
  <c r="E348" i="28"/>
  <c r="S316" i="31" s="1"/>
  <c r="E354" i="28"/>
  <c r="E355" i="28"/>
  <c r="S322" i="31" s="1"/>
  <c r="E356" i="28"/>
  <c r="E365" i="28"/>
  <c r="E373" i="28"/>
  <c r="P339" i="31" s="1"/>
  <c r="E374" i="28"/>
  <c r="S340" i="31" s="1"/>
  <c r="E376" i="28"/>
  <c r="E377" i="28"/>
  <c r="E378" i="28"/>
  <c r="S343" i="31" s="1"/>
  <c r="E379" i="28"/>
  <c r="S344" i="31" s="1"/>
  <c r="E380" i="28"/>
  <c r="S345" i="31" s="1"/>
  <c r="E381" i="28"/>
  <c r="E382" i="28"/>
  <c r="E383" i="28"/>
  <c r="S348" i="31" s="1"/>
  <c r="E384" i="28"/>
  <c r="S349" i="31" s="1"/>
  <c r="E385" i="28"/>
  <c r="E386" i="28"/>
  <c r="S351" i="31" s="1"/>
  <c r="E387" i="28"/>
  <c r="E388" i="28"/>
  <c r="S352" i="31" s="1"/>
  <c r="E389" i="28"/>
  <c r="S353" i="31" s="1"/>
  <c r="E397" i="28"/>
  <c r="E398" i="28"/>
  <c r="E399" i="28"/>
  <c r="S362" i="31" s="1"/>
  <c r="E400" i="28"/>
  <c r="E401" i="28"/>
  <c r="E402" i="28"/>
  <c r="S365" i="31" s="1"/>
  <c r="E403" i="28"/>
  <c r="P366" i="31" s="1"/>
  <c r="E404" i="28"/>
  <c r="S367" i="31" s="1"/>
  <c r="E405" i="28"/>
  <c r="E406" i="28"/>
  <c r="S369" i="31" s="1"/>
  <c r="E407" i="28"/>
  <c r="P370" i="31" s="1"/>
  <c r="E408" i="28"/>
  <c r="S371" i="31" s="1"/>
  <c r="E409" i="28"/>
  <c r="E410" i="28"/>
  <c r="E411" i="28"/>
  <c r="S373" i="31" s="1"/>
  <c r="E412" i="28"/>
  <c r="S374" i="31" s="1"/>
  <c r="E413" i="28"/>
  <c r="E414" i="28"/>
  <c r="E415" i="28"/>
  <c r="S377" i="31" s="1"/>
  <c r="E416" i="28"/>
  <c r="S378" i="31" s="1"/>
  <c r="E417" i="28"/>
  <c r="E418" i="28"/>
  <c r="E419" i="28"/>
  <c r="S381" i="31" s="1"/>
  <c r="E420" i="28"/>
  <c r="E421" i="28"/>
  <c r="E422" i="28"/>
  <c r="S383" i="31" s="1"/>
  <c r="E423" i="28"/>
  <c r="P384" i="31" s="1"/>
  <c r="E424" i="28"/>
  <c r="S385" i="31" s="1"/>
  <c r="E425" i="28"/>
  <c r="E426" i="28"/>
  <c r="S387" i="31" s="1"/>
  <c r="E427" i="28"/>
  <c r="P388" i="31" s="1"/>
  <c r="E428" i="28"/>
  <c r="S389" i="31" s="1"/>
  <c r="E429" i="28"/>
  <c r="E430" i="28"/>
  <c r="S391" i="31" s="1"/>
  <c r="E431" i="28"/>
  <c r="E432" i="28"/>
  <c r="E433" i="28"/>
  <c r="E434" i="28"/>
  <c r="S394" i="31" s="1"/>
  <c r="E435" i="28"/>
  <c r="S395" i="31" s="1"/>
  <c r="E436" i="28"/>
  <c r="E437" i="28"/>
  <c r="E438" i="28"/>
  <c r="S398" i="31" s="1"/>
  <c r="E439" i="28"/>
  <c r="S399" i="31" s="1"/>
  <c r="E440" i="28"/>
  <c r="E441" i="28"/>
  <c r="E442" i="28"/>
  <c r="E443" i="28"/>
  <c r="P402" i="31" s="1"/>
  <c r="E444" i="28"/>
  <c r="S403" i="31" s="1"/>
  <c r="E445" i="28"/>
  <c r="P404" i="31" s="1"/>
  <c r="E446" i="28"/>
  <c r="S405" i="31" s="1"/>
  <c r="E447" i="28"/>
  <c r="P406" i="31" s="1"/>
  <c r="E448" i="28"/>
  <c r="S407" i="31" s="1"/>
  <c r="E449" i="28"/>
  <c r="E450" i="28"/>
  <c r="S409" i="31" s="1"/>
  <c r="E451" i="28"/>
  <c r="P410" i="31" s="1"/>
  <c r="E452" i="28"/>
  <c r="S411" i="31" s="1"/>
  <c r="E453" i="28"/>
  <c r="E464" i="28"/>
  <c r="E465" i="28"/>
  <c r="E466" i="28"/>
  <c r="S423" i="31" s="1"/>
  <c r="E467" i="28"/>
  <c r="P424" i="31" s="1"/>
  <c r="E468" i="28"/>
  <c r="S425" i="31" s="1"/>
  <c r="E469" i="28"/>
  <c r="E470" i="28"/>
  <c r="S427" i="31" s="1"/>
  <c r="E471" i="28"/>
  <c r="P428" i="31" s="1"/>
  <c r="E475" i="28"/>
  <c r="E476" i="28"/>
  <c r="E477" i="28"/>
  <c r="S433" i="31" s="1"/>
  <c r="E478" i="28"/>
  <c r="S434" i="31" s="1"/>
  <c r="E479" i="28"/>
  <c r="S435" i="31" s="1"/>
  <c r="E480" i="28"/>
  <c r="E481" i="28"/>
  <c r="S437" i="31" s="1"/>
  <c r="E482" i="28"/>
  <c r="S438" i="31" s="1"/>
  <c r="E483" i="28"/>
  <c r="S439" i="31" s="1"/>
  <c r="E484" i="28"/>
  <c r="E485" i="28"/>
  <c r="S441" i="31" s="1"/>
  <c r="E486" i="28"/>
  <c r="E487" i="28"/>
  <c r="P442" i="31" s="1"/>
  <c r="E488" i="28"/>
  <c r="S443" i="31" s="1"/>
  <c r="E489" i="28"/>
  <c r="P444" i="31" s="1"/>
  <c r="E490" i="28"/>
  <c r="S445" i="31" s="1"/>
  <c r="E491" i="28"/>
  <c r="P446" i="31" s="1"/>
  <c r="E492" i="28"/>
  <c r="S447" i="31" s="1"/>
  <c r="E493" i="28"/>
  <c r="P448" i="31" s="1"/>
  <c r="E494" i="28"/>
  <c r="S449" i="31" s="1"/>
  <c r="E495" i="28"/>
  <c r="P450" i="31" s="1"/>
  <c r="E496" i="28"/>
  <c r="S451" i="31" s="1"/>
  <c r="E497" i="28"/>
  <c r="E498" i="28"/>
  <c r="E499" i="28"/>
  <c r="S453" i="31" s="1"/>
  <c r="E500" i="28"/>
  <c r="S454" i="31" s="1"/>
  <c r="E501" i="28"/>
  <c r="E502" i="28"/>
  <c r="E503" i="28"/>
  <c r="S457" i="31" s="1"/>
  <c r="E504" i="28"/>
  <c r="S458" i="31" s="1"/>
  <c r="E505" i="28"/>
  <c r="E506" i="28"/>
  <c r="E507" i="28"/>
  <c r="S461" i="31" s="1"/>
  <c r="E508" i="28"/>
  <c r="E509" i="28"/>
  <c r="E510" i="28"/>
  <c r="S463" i="31" s="1"/>
  <c r="E511" i="28"/>
  <c r="P464" i="31" s="1"/>
  <c r="E512" i="28"/>
  <c r="S465" i="31" s="1"/>
  <c r="E513" i="28"/>
  <c r="E514" i="28"/>
  <c r="S467" i="31" s="1"/>
  <c r="E515" i="28"/>
  <c r="P468" i="31" s="1"/>
  <c r="E516" i="28"/>
  <c r="S469" i="31" s="1"/>
  <c r="E517" i="28"/>
  <c r="E518" i="28"/>
  <c r="S471" i="31" s="1"/>
  <c r="E519" i="28"/>
  <c r="E520" i="28"/>
  <c r="E521" i="28"/>
  <c r="S473" i="31" s="1"/>
  <c r="E522" i="28"/>
  <c r="S474" i="31" s="1"/>
  <c r="E523" i="28"/>
  <c r="S475" i="31" s="1"/>
  <c r="E530" i="28"/>
  <c r="E531" i="28"/>
  <c r="P482" i="31" s="1"/>
  <c r="E532" i="28"/>
  <c r="S483" i="31" s="1"/>
  <c r="E533" i="28"/>
  <c r="P484" i="31" s="1"/>
  <c r="E534" i="28"/>
  <c r="S485" i="31" s="1"/>
  <c r="E535" i="28"/>
  <c r="P486" i="31" s="1"/>
  <c r="E536" i="28"/>
  <c r="S487" i="31" s="1"/>
  <c r="E537" i="28"/>
  <c r="P488" i="31" s="1"/>
  <c r="E538" i="28"/>
  <c r="S489" i="31" s="1"/>
  <c r="E539" i="28"/>
  <c r="P490" i="31" s="1"/>
  <c r="E540" i="28"/>
  <c r="S491" i="31" s="1"/>
  <c r="E541" i="28"/>
  <c r="E542" i="28"/>
  <c r="E543" i="28"/>
  <c r="S493" i="31" s="1"/>
  <c r="E544" i="28"/>
  <c r="S494" i="31" s="1"/>
  <c r="E545" i="28"/>
  <c r="E546" i="28"/>
  <c r="E547" i="28"/>
  <c r="S497" i="31" s="1"/>
  <c r="E548" i="28"/>
  <c r="S498" i="31" s="1"/>
  <c r="E549" i="28"/>
  <c r="E550" i="28"/>
  <c r="E551" i="28"/>
  <c r="S501" i="31" s="1"/>
  <c r="E562" i="28"/>
  <c r="S511" i="31" s="1"/>
  <c r="E563" i="28"/>
  <c r="E564" i="28"/>
  <c r="E565" i="28"/>
  <c r="S513" i="31" s="1"/>
  <c r="E566" i="28"/>
  <c r="S514" i="31" s="1"/>
  <c r="E567" i="28"/>
  <c r="S515" i="31" s="1"/>
  <c r="E568" i="28"/>
  <c r="E569" i="28"/>
  <c r="S517" i="31" s="1"/>
  <c r="E570" i="28"/>
  <c r="S518" i="31" s="1"/>
  <c r="E571" i="28"/>
  <c r="S519" i="31" s="1"/>
  <c r="E572" i="28"/>
  <c r="E573" i="28"/>
  <c r="S521" i="31" s="1"/>
  <c r="E574" i="28"/>
  <c r="E575" i="28"/>
  <c r="P522" i="31" s="1"/>
  <c r="E576" i="28"/>
  <c r="S523" i="31" s="1"/>
  <c r="E577" i="28"/>
  <c r="P524" i="31" s="1"/>
  <c r="E578" i="28"/>
  <c r="S525" i="31" s="1"/>
  <c r="E579" i="28"/>
  <c r="P526" i="31" s="1"/>
  <c r="E580" i="28"/>
  <c r="S527" i="31" s="1"/>
  <c r="E581" i="28"/>
  <c r="P528" i="31" s="1"/>
  <c r="E582" i="28"/>
  <c r="S529" i="31" s="1"/>
  <c r="E583" i="28"/>
  <c r="P530" i="31" s="1"/>
  <c r="E584" i="28"/>
  <c r="S531" i="31" s="1"/>
  <c r="E585" i="28"/>
  <c r="E586" i="28"/>
  <c r="E587" i="28"/>
  <c r="S533" i="31" s="1"/>
  <c r="E588" i="28"/>
  <c r="S534" i="31" s="1"/>
  <c r="E589" i="28"/>
  <c r="E590" i="28"/>
  <c r="E591" i="28"/>
  <c r="S537" i="31" s="1"/>
  <c r="E592" i="28"/>
  <c r="S538" i="31" s="1"/>
  <c r="E593" i="28"/>
  <c r="E594" i="28"/>
  <c r="E595" i="28"/>
  <c r="S541" i="31" s="1"/>
  <c r="E596" i="28"/>
  <c r="E597" i="28"/>
  <c r="E598" i="28"/>
  <c r="S543" i="31" s="1"/>
  <c r="E599" i="28"/>
  <c r="P544" i="31" s="1"/>
  <c r="E600" i="28"/>
  <c r="S545" i="31" s="1"/>
  <c r="E601" i="28"/>
  <c r="E602" i="28"/>
  <c r="S547" i="31" s="1"/>
  <c r="E603" i="28"/>
  <c r="P548" i="31" s="1"/>
  <c r="E604" i="28"/>
  <c r="S549" i="31" s="1"/>
  <c r="E605" i="28"/>
  <c r="E606" i="28"/>
  <c r="S551" i="31" s="1"/>
  <c r="E607" i="28"/>
  <c r="E608" i="28"/>
  <c r="E609" i="28"/>
  <c r="S553" i="31" s="1"/>
  <c r="E610" i="28"/>
  <c r="S554" i="31" s="1"/>
  <c r="E611" i="28"/>
  <c r="S555" i="31" s="1"/>
  <c r="E612" i="28"/>
  <c r="E613" i="28"/>
  <c r="S557" i="31" s="1"/>
  <c r="E614" i="28"/>
  <c r="S558" i="31" s="1"/>
  <c r="E615" i="28"/>
  <c r="S559" i="31" s="1"/>
  <c r="E616" i="28"/>
  <c r="E617" i="28"/>
  <c r="S561" i="31" s="1"/>
  <c r="E618" i="28"/>
  <c r="E619" i="28"/>
  <c r="P562" i="31" s="1"/>
  <c r="E620" i="28"/>
  <c r="S563" i="31" s="1"/>
  <c r="E621" i="28"/>
  <c r="P564" i="31" s="1"/>
  <c r="E622" i="28"/>
  <c r="S565" i="31" s="1"/>
  <c r="E623" i="28"/>
  <c r="P566" i="31" s="1"/>
  <c r="E624" i="28"/>
  <c r="S567" i="31" s="1"/>
  <c r="E625" i="28"/>
  <c r="P568" i="31" s="1"/>
  <c r="E626" i="28"/>
  <c r="S569" i="31" s="1"/>
  <c r="E627" i="28"/>
  <c r="P570" i="31" s="1"/>
  <c r="E628" i="28"/>
  <c r="S571" i="31" s="1"/>
  <c r="E629" i="28"/>
  <c r="E630" i="28"/>
  <c r="E631" i="28"/>
  <c r="S573" i="31" s="1"/>
  <c r="E632" i="28"/>
  <c r="S574" i="31" s="1"/>
  <c r="E633" i="28"/>
  <c r="E634" i="28"/>
  <c r="E640" i="28"/>
  <c r="E641" i="28"/>
  <c r="E642" i="28"/>
  <c r="S583" i="31" s="1"/>
  <c r="E643" i="28"/>
  <c r="P584" i="31" s="1"/>
  <c r="E644" i="28"/>
  <c r="S585" i="31" s="1"/>
  <c r="E645" i="28"/>
  <c r="E646" i="28"/>
  <c r="S587" i="31" s="1"/>
  <c r="E647" i="28"/>
  <c r="P588" i="31" s="1"/>
  <c r="E648" i="28"/>
  <c r="S589" i="31" s="1"/>
  <c r="E649" i="28"/>
  <c r="E650" i="28"/>
  <c r="S591" i="31" s="1"/>
  <c r="E651" i="28"/>
  <c r="E652" i="28"/>
  <c r="E653" i="28"/>
  <c r="S593" i="31" s="1"/>
  <c r="E654" i="28"/>
  <c r="S594" i="31" s="1"/>
  <c r="E655" i="28"/>
  <c r="S595" i="31" s="1"/>
  <c r="E656" i="28"/>
  <c r="E657" i="28"/>
  <c r="S597" i="31" s="1"/>
  <c r="E658" i="28"/>
  <c r="S598" i="31" s="1"/>
  <c r="E659" i="28"/>
  <c r="S599" i="31" s="1"/>
  <c r="E660" i="28"/>
  <c r="E661" i="28"/>
  <c r="S601" i="31" s="1"/>
  <c r="E662" i="28"/>
  <c r="E663" i="28"/>
  <c r="P602" i="31" s="1"/>
  <c r="E664" i="28"/>
  <c r="S603" i="31" s="1"/>
  <c r="E665" i="28"/>
  <c r="P604" i="31" s="1"/>
  <c r="E666" i="28"/>
  <c r="S605" i="31" s="1"/>
  <c r="E667" i="28"/>
  <c r="P606" i="31" s="1"/>
  <c r="E668" i="28"/>
  <c r="S607" i="31" s="1"/>
  <c r="E669" i="28"/>
  <c r="P608" i="31" s="1"/>
  <c r="E670" i="28"/>
  <c r="S609" i="31" s="1"/>
  <c r="E671" i="28"/>
  <c r="P610" i="31" s="1"/>
  <c r="E672" i="28"/>
  <c r="S611" i="31" s="1"/>
  <c r="E673" i="28"/>
  <c r="E674" i="28"/>
  <c r="E675" i="28"/>
  <c r="S613" i="31" s="1"/>
  <c r="E676" i="28"/>
  <c r="S614" i="31" s="1"/>
  <c r="E677" i="28"/>
  <c r="E678" i="28"/>
  <c r="E679" i="28"/>
  <c r="S617" i="31" s="1"/>
  <c r="E680" i="28"/>
  <c r="S618" i="31" s="1"/>
  <c r="E681" i="28"/>
  <c r="E682" i="28"/>
  <c r="E683" i="28"/>
  <c r="S621" i="31" s="1"/>
  <c r="E684" i="28"/>
  <c r="E695" i="28"/>
  <c r="E696" i="28"/>
  <c r="E697" i="28"/>
  <c r="E698" i="28"/>
  <c r="S634" i="31" s="1"/>
  <c r="E699" i="28"/>
  <c r="S635" i="31" s="1"/>
  <c r="E700" i="28"/>
  <c r="E701" i="28"/>
  <c r="E702" i="28"/>
  <c r="S638" i="31" s="1"/>
  <c r="E703" i="28"/>
  <c r="S639" i="31" s="1"/>
  <c r="E704" i="28"/>
  <c r="E705" i="28"/>
  <c r="E706" i="28"/>
  <c r="E707" i="28"/>
  <c r="P642" i="31" s="1"/>
  <c r="E708" i="28"/>
  <c r="S643" i="31" s="1"/>
  <c r="E709" i="28"/>
  <c r="P644" i="31" s="1"/>
  <c r="E710" i="28"/>
  <c r="S645" i="31" s="1"/>
  <c r="E711" i="28"/>
  <c r="P646" i="31" s="1"/>
  <c r="E712" i="28"/>
  <c r="S647" i="31" s="1"/>
  <c r="E713" i="28"/>
  <c r="E714" i="28"/>
  <c r="S649" i="31" s="1"/>
  <c r="E715" i="28"/>
  <c r="P650" i="31" s="1"/>
  <c r="E716" i="28"/>
  <c r="S651" i="31" s="1"/>
  <c r="E717" i="28"/>
  <c r="E727" i="28"/>
  <c r="S661" i="31" s="1"/>
  <c r="E728" i="28"/>
  <c r="E729" i="28"/>
  <c r="E732" i="28"/>
  <c r="S665" i="31" s="1"/>
  <c r="E739" i="28"/>
  <c r="E750" i="28"/>
  <c r="E751" i="28"/>
  <c r="P682" i="31" s="1"/>
  <c r="E752" i="28"/>
  <c r="S683" i="31" s="1"/>
  <c r="E753" i="28"/>
  <c r="E761" i="28"/>
  <c r="E772" i="28"/>
  <c r="E773" i="28"/>
  <c r="E774" i="28"/>
  <c r="S703" i="31" s="1"/>
  <c r="E775" i="28"/>
  <c r="P704" i="31" s="1"/>
  <c r="E776" i="28"/>
  <c r="S705" i="31" s="1"/>
  <c r="E777" i="28"/>
  <c r="E778" i="28"/>
  <c r="S707" i="31" s="1"/>
  <c r="E779" i="28"/>
  <c r="P708" i="31" s="1"/>
  <c r="E780" i="28"/>
  <c r="S709" i="31" s="1"/>
  <c r="E781" i="28"/>
  <c r="E782" i="28"/>
  <c r="S711" i="31" s="1"/>
  <c r="E783" i="28"/>
  <c r="E784" i="28"/>
  <c r="E785" i="28"/>
  <c r="S713" i="31" s="1"/>
  <c r="E786" i="28"/>
  <c r="S714" i="31" s="1"/>
  <c r="E787" i="28"/>
  <c r="S715" i="31" s="1"/>
  <c r="E788" i="28"/>
  <c r="E789" i="28"/>
  <c r="S717" i="31" s="1"/>
  <c r="E790" i="28"/>
  <c r="S718" i="31" s="1"/>
  <c r="E791" i="28"/>
  <c r="S719" i="31" s="1"/>
  <c r="E792" i="28"/>
  <c r="E793" i="28"/>
  <c r="S721" i="31" s="1"/>
  <c r="E794" i="28"/>
  <c r="E795" i="28"/>
  <c r="P722" i="31" s="1"/>
  <c r="E796" i="28"/>
  <c r="S723" i="31" s="1"/>
  <c r="E797" i="28"/>
  <c r="P724" i="31" s="1"/>
  <c r="E798" i="28"/>
  <c r="S725" i="31" s="1"/>
  <c r="E799" i="28"/>
  <c r="P726" i="31" s="1"/>
  <c r="E805" i="28"/>
  <c r="E806" i="28"/>
  <c r="E807" i="28"/>
  <c r="S733" i="31" s="1"/>
  <c r="E808" i="28"/>
  <c r="S734" i="31" s="1"/>
  <c r="E809" i="28"/>
  <c r="E810" i="28"/>
  <c r="E811" i="28"/>
  <c r="S737" i="31" s="1"/>
  <c r="E812" i="28"/>
  <c r="S738" i="31" s="1"/>
  <c r="E813" i="28"/>
  <c r="E814" i="28"/>
  <c r="E815" i="28"/>
  <c r="S741" i="31" s="1"/>
  <c r="E816" i="28"/>
  <c r="E817" i="28"/>
  <c r="E818" i="28"/>
  <c r="S743" i="31" s="1"/>
  <c r="E819" i="28"/>
  <c r="P744" i="31" s="1"/>
  <c r="E820" i="28"/>
  <c r="S745" i="31" s="1"/>
  <c r="E821" i="28"/>
  <c r="E822" i="28"/>
  <c r="S747" i="31" s="1"/>
  <c r="E823" i="28"/>
  <c r="P748" i="31" s="1"/>
  <c r="E824" i="28"/>
  <c r="S749" i="31" s="1"/>
  <c r="E825" i="28"/>
  <c r="E826" i="28"/>
  <c r="S751" i="31" s="1"/>
  <c r="E827" i="28"/>
  <c r="E828" i="28"/>
  <c r="E829" i="28"/>
  <c r="S753" i="31" s="1"/>
  <c r="E830" i="28"/>
  <c r="S754" i="31" s="1"/>
  <c r="E831" i="28"/>
  <c r="S755" i="31" s="1"/>
  <c r="E832" i="28"/>
  <c r="E838" i="28"/>
  <c r="E839" i="28"/>
  <c r="P762" i="31" s="1"/>
  <c r="E840" i="28"/>
  <c r="S763" i="31" s="1"/>
  <c r="E841" i="28"/>
  <c r="P764" i="31" s="1"/>
  <c r="E842" i="28"/>
  <c r="S765" i="31" s="1"/>
  <c r="E844" i="28"/>
  <c r="S767" i="31" s="1"/>
  <c r="E846" i="28"/>
  <c r="S769" i="31" s="1"/>
  <c r="E847" i="28"/>
  <c r="P770" i="31" s="1"/>
  <c r="E849" i="28"/>
  <c r="E850" i="28"/>
  <c r="E851" i="28"/>
  <c r="S773" i="31" s="1"/>
  <c r="E852" i="28"/>
  <c r="S774" i="31" s="1"/>
  <c r="E853" i="28"/>
  <c r="E854" i="28"/>
  <c r="E855" i="28"/>
  <c r="S777" i="31" s="1"/>
  <c r="E856" i="28"/>
  <c r="S778" i="31" s="1"/>
  <c r="E857" i="28"/>
  <c r="E858" i="28"/>
  <c r="E859" i="28"/>
  <c r="S781" i="31" s="1"/>
  <c r="E860" i="28"/>
  <c r="E861" i="28"/>
  <c r="E862" i="28"/>
  <c r="S783" i="31" s="1"/>
  <c r="E863" i="28"/>
  <c r="P784" i="31" s="1"/>
  <c r="E864" i="28"/>
  <c r="S785" i="31" s="1"/>
  <c r="E865" i="28"/>
  <c r="E866" i="28"/>
  <c r="S787" i="31" s="1"/>
  <c r="E867" i="28"/>
  <c r="P788" i="31" s="1"/>
  <c r="E868" i="28"/>
  <c r="S789" i="31" s="1"/>
  <c r="E869" i="28"/>
  <c r="E870" i="28"/>
  <c r="S791" i="31" s="1"/>
  <c r="E871" i="28"/>
  <c r="E872" i="28"/>
  <c r="E873" i="28"/>
  <c r="S793" i="31" s="1"/>
  <c r="E874" i="28"/>
  <c r="S794" i="31" s="1"/>
  <c r="E875" i="28"/>
  <c r="S795" i="31" s="1"/>
  <c r="E876" i="28"/>
  <c r="E877" i="28"/>
  <c r="S797" i="31" s="1"/>
  <c r="E878" i="28"/>
  <c r="S798" i="31" s="1"/>
  <c r="E879" i="28"/>
  <c r="S799" i="31" s="1"/>
  <c r="E880" i="28"/>
  <c r="E881" i="28"/>
  <c r="S801" i="31" s="1"/>
  <c r="E882" i="28"/>
  <c r="E883" i="28"/>
  <c r="P802" i="31" s="1"/>
  <c r="E884" i="28"/>
  <c r="S803" i="31" s="1"/>
  <c r="E885" i="28"/>
  <c r="P804" i="31" s="1"/>
  <c r="E886" i="28"/>
  <c r="S805" i="31" s="1"/>
  <c r="E893" i="28"/>
  <c r="E894" i="28"/>
  <c r="E895" i="28"/>
  <c r="S813" i="31" s="1"/>
  <c r="E896" i="28"/>
  <c r="S814" i="31" s="1"/>
  <c r="E897" i="28"/>
  <c r="E898" i="28"/>
  <c r="E899" i="28"/>
  <c r="S817" i="31" s="1"/>
  <c r="E904" i="28"/>
  <c r="E915" i="28"/>
  <c r="E926" i="28"/>
  <c r="E937" i="28"/>
  <c r="E938" i="28"/>
  <c r="E940" i="28"/>
  <c r="S854" i="31" s="1"/>
  <c r="E943" i="28"/>
  <c r="S857" i="31" s="1"/>
  <c r="E944" i="28"/>
  <c r="S858" i="31" s="1"/>
  <c r="E945" i="28"/>
  <c r="E948" i="28"/>
  <c r="E949" i="28"/>
  <c r="E950" i="28"/>
  <c r="S863" i="31" s="1"/>
  <c r="E951" i="28"/>
  <c r="P864" i="31" s="1"/>
  <c r="E952" i="28"/>
  <c r="S865" i="31" s="1"/>
  <c r="E953" i="28"/>
  <c r="E954" i="28"/>
  <c r="S867" i="31" s="1"/>
  <c r="E955" i="28"/>
  <c r="P868" i="31" s="1"/>
  <c r="E956" i="28"/>
  <c r="S869" i="31" s="1"/>
  <c r="E957" i="28"/>
  <c r="E958" i="28"/>
  <c r="S871" i="31" s="1"/>
  <c r="E959" i="28"/>
  <c r="E960" i="28"/>
  <c r="E961" i="28"/>
  <c r="S873" i="31" s="1"/>
  <c r="E962" i="28"/>
  <c r="S874" i="31" s="1"/>
  <c r="E963" i="28"/>
  <c r="S875" i="31" s="1"/>
  <c r="E964" i="28"/>
  <c r="E965" i="28"/>
  <c r="S877" i="31" s="1"/>
  <c r="E966" i="28"/>
  <c r="S878" i="31" s="1"/>
  <c r="E967" i="28"/>
  <c r="S879" i="31" s="1"/>
  <c r="E968" i="28"/>
  <c r="E969" i="28"/>
  <c r="S881" i="31" s="1"/>
  <c r="E970" i="28"/>
  <c r="E981" i="28"/>
  <c r="E982" i="28"/>
  <c r="E983" i="28"/>
  <c r="S893" i="31" s="1"/>
  <c r="E984" i="28"/>
  <c r="S894" i="31" s="1"/>
  <c r="E985" i="28"/>
  <c r="E986" i="28"/>
  <c r="E987" i="28"/>
  <c r="S897" i="31" s="1"/>
  <c r="E988" i="28"/>
  <c r="S898" i="31" s="1"/>
  <c r="E989" i="28"/>
  <c r="E990" i="28"/>
  <c r="E991" i="28"/>
  <c r="S901" i="31" s="1"/>
  <c r="E992" i="28"/>
  <c r="E993" i="28"/>
  <c r="E994" i="28"/>
  <c r="S903" i="31" s="1"/>
  <c r="E995" i="28"/>
  <c r="P904" i="31" s="1"/>
  <c r="E996" i="28"/>
  <c r="S905" i="31" s="1"/>
  <c r="E997" i="28"/>
  <c r="E998" i="28"/>
  <c r="S907" i="31" s="1"/>
  <c r="E999" i="28"/>
  <c r="P908" i="31" s="1"/>
  <c r="E1000" i="28"/>
  <c r="S909" i="31" s="1"/>
  <c r="E1001" i="28"/>
  <c r="E1002" i="28"/>
  <c r="S911" i="31" s="1"/>
  <c r="E1003" i="28"/>
  <c r="E1004" i="28"/>
  <c r="E1005" i="28"/>
  <c r="S913" i="31" s="1"/>
  <c r="E1006" i="28"/>
  <c r="S914" i="31" s="1"/>
  <c r="E1007" i="28"/>
  <c r="S915" i="31" s="1"/>
  <c r="E1014" i="28"/>
  <c r="E1016" i="28"/>
  <c r="S923" i="31" s="1"/>
  <c r="E1017" i="28"/>
  <c r="P924" i="31" s="1"/>
  <c r="E1018" i="28"/>
  <c r="S925" i="31" s="1"/>
  <c r="E1019" i="28"/>
  <c r="P926" i="31" s="1"/>
  <c r="E1020" i="28"/>
  <c r="S927" i="31" s="1"/>
  <c r="E1021" i="28"/>
  <c r="P928" i="31" s="1"/>
  <c r="E1022" i="28"/>
  <c r="S929" i="31" s="1"/>
  <c r="E1023" i="28"/>
  <c r="P930" i="31" s="1"/>
  <c r="E1024" i="28"/>
  <c r="S931" i="31" s="1"/>
  <c r="E1025" i="28"/>
  <c r="E1026" i="28"/>
  <c r="E1027" i="28"/>
  <c r="S933" i="31" s="1"/>
  <c r="E1028" i="28"/>
  <c r="S934" i="31" s="1"/>
  <c r="E1029" i="28"/>
  <c r="E1030" i="28"/>
  <c r="E1031" i="28"/>
  <c r="S937" i="31" s="1"/>
  <c r="E1032" i="28"/>
  <c r="S938" i="31" s="1"/>
  <c r="E1033" i="28"/>
  <c r="E1036" i="28"/>
  <c r="E1037" i="28"/>
  <c r="E1038" i="28"/>
  <c r="S943" i="31" s="1"/>
  <c r="E1039" i="28"/>
  <c r="P944" i="31" s="1"/>
  <c r="E1040" i="28"/>
  <c r="S945" i="31" s="1"/>
  <c r="E1041" i="28"/>
  <c r="E1042" i="28"/>
  <c r="S947" i="31" s="1"/>
  <c r="E1043" i="28"/>
  <c r="P948" i="31" s="1"/>
  <c r="E1044" i="28"/>
  <c r="S949" i="31" s="1"/>
  <c r="E1045" i="28"/>
  <c r="E1046" i="28"/>
  <c r="S951" i="31" s="1"/>
  <c r="E1047" i="28"/>
  <c r="E1048" i="28"/>
  <c r="E1058" i="28"/>
  <c r="E1059" i="28"/>
  <c r="P962" i="31" s="1"/>
  <c r="E1060" i="28"/>
  <c r="S963" i="31" s="1"/>
  <c r="E1061" i="28"/>
  <c r="P964" i="31" s="1"/>
  <c r="E1062" i="28"/>
  <c r="S965" i="31" s="1"/>
  <c r="E1063" i="28"/>
  <c r="P966" i="31" s="1"/>
  <c r="E1064" i="28"/>
  <c r="S967" i="31" s="1"/>
  <c r="E1065" i="28"/>
  <c r="P968" i="31" s="1"/>
  <c r="E1066" i="28"/>
  <c r="S969" i="31" s="1"/>
  <c r="E1067" i="28"/>
  <c r="P970" i="31" s="1"/>
  <c r="E1068" i="28"/>
  <c r="S971" i="31" s="1"/>
  <c r="E1069" i="28"/>
  <c r="E1070" i="28"/>
  <c r="E1071" i="28"/>
  <c r="S973" i="31" s="1"/>
  <c r="E1072" i="28"/>
  <c r="S974" i="31" s="1"/>
  <c r="E1073" i="28"/>
  <c r="E1074" i="28"/>
  <c r="E1075" i="28"/>
  <c r="S977" i="31" s="1"/>
  <c r="E1076" i="28"/>
  <c r="S978" i="31" s="1"/>
  <c r="E1077" i="28"/>
  <c r="E1078" i="28"/>
  <c r="E1079" i="28"/>
  <c r="S981" i="31" s="1"/>
  <c r="E1080" i="28"/>
  <c r="E1081" i="28"/>
  <c r="E1082" i="28"/>
  <c r="S983" i="31" s="1"/>
  <c r="E1083" i="28"/>
  <c r="P984" i="31" s="1"/>
  <c r="E1084" i="28"/>
  <c r="S985" i="31" s="1"/>
  <c r="E1085" i="28"/>
  <c r="E1086" i="28"/>
  <c r="S987" i="31" s="1"/>
  <c r="E1087" i="28"/>
  <c r="P988" i="31" s="1"/>
  <c r="E1088" i="28"/>
  <c r="S989" i="31" s="1"/>
  <c r="E1089" i="28"/>
  <c r="E1090" i="28"/>
  <c r="S991" i="31" s="1"/>
  <c r="E1091" i="28"/>
  <c r="E1092" i="28"/>
  <c r="E1093" i="28"/>
  <c r="S993" i="31" s="1"/>
  <c r="E1094" i="28"/>
  <c r="S994" i="31" s="1"/>
  <c r="E1095" i="28"/>
  <c r="S995" i="31" s="1"/>
  <c r="E1096" i="28"/>
  <c r="E1097" i="28"/>
  <c r="S997" i="31" s="1"/>
  <c r="E1098" i="28"/>
  <c r="S998" i="31" s="1"/>
  <c r="E1099" i="28"/>
  <c r="S999" i="31" s="1"/>
  <c r="E1100" i="28"/>
  <c r="E1101" i="28"/>
  <c r="S1001" i="31" s="1"/>
  <c r="E1102" i="28"/>
  <c r="E1103" i="28"/>
  <c r="P1002" i="31" s="1"/>
  <c r="E1104" i="28"/>
  <c r="S1003" i="31" s="1"/>
  <c r="E1105" i="28"/>
  <c r="P1004" i="31" s="1"/>
  <c r="E1106" i="28"/>
  <c r="S1005" i="31" s="1"/>
  <c r="E1107" i="28"/>
  <c r="P1006" i="31" s="1"/>
  <c r="E1108" i="28"/>
  <c r="S1007" i="31" s="1"/>
  <c r="E1109" i="28"/>
  <c r="P1008" i="31" s="1"/>
  <c r="E1110" i="28"/>
  <c r="S1009" i="31" s="1"/>
  <c r="E1111" i="28"/>
  <c r="P1010" i="31" s="1"/>
  <c r="E1112" i="28"/>
  <c r="S1011" i="31" s="1"/>
  <c r="E1113" i="28"/>
  <c r="E1114" i="28"/>
  <c r="E1115" i="28"/>
  <c r="S1013" i="31" s="1"/>
  <c r="E1116" i="28"/>
  <c r="S1014" i="31" s="1"/>
  <c r="E1117" i="28"/>
  <c r="E1118" i="28"/>
  <c r="E1119" i="28"/>
  <c r="S1017" i="31" s="1"/>
  <c r="E1120" i="28"/>
  <c r="S1018" i="31" s="1"/>
  <c r="E1121" i="28"/>
  <c r="E1122" i="28"/>
  <c r="E1124" i="28"/>
  <c r="E1125" i="28"/>
  <c r="E1126" i="28"/>
  <c r="S1023" i="31" s="1"/>
  <c r="E1127" i="28"/>
  <c r="P1024" i="31" s="1"/>
  <c r="E1128" i="28"/>
  <c r="S1025" i="31" s="1"/>
  <c r="E1129" i="28"/>
  <c r="E1130" i="28"/>
  <c r="S1027" i="31" s="1"/>
  <c r="E1131" i="28"/>
  <c r="P1028" i="31" s="1"/>
  <c r="E1132" i="28"/>
  <c r="S1029" i="31" s="1"/>
  <c r="E1133" i="28"/>
  <c r="E1134" i="28"/>
  <c r="S1031" i="31" s="1"/>
  <c r="E1135" i="28"/>
  <c r="E1136" i="28"/>
  <c r="E1137" i="28"/>
  <c r="S1033" i="31" s="1"/>
  <c r="E1138" i="28"/>
  <c r="S1034" i="31" s="1"/>
  <c r="E1139" i="28"/>
  <c r="S1035" i="31" s="1"/>
  <c r="E1140" i="28"/>
  <c r="E1141" i="28"/>
  <c r="S1037" i="31" s="1"/>
  <c r="E1142" i="28"/>
  <c r="S1038" i="31" s="1"/>
  <c r="E1143" i="28"/>
  <c r="S1039" i="31" s="1"/>
  <c r="E1144" i="28"/>
  <c r="E1145" i="28"/>
  <c r="S1041" i="31" s="1"/>
  <c r="E1146" i="28"/>
  <c r="E1147" i="28"/>
  <c r="P1042" i="31" s="1"/>
  <c r="E1148" i="28"/>
  <c r="S1043" i="31" s="1"/>
  <c r="E1149" i="28"/>
  <c r="P1044" i="31" s="1"/>
  <c r="E1150" i="28"/>
  <c r="S1045" i="31" s="1"/>
  <c r="E1151" i="28"/>
  <c r="P1046" i="31" s="1"/>
  <c r="E1152" i="28"/>
  <c r="S1047" i="31" s="1"/>
  <c r="E1153" i="28"/>
  <c r="P1048" i="31" s="1"/>
  <c r="E1154" i="28"/>
  <c r="S1049" i="31" s="1"/>
  <c r="E1155" i="28"/>
  <c r="P1050" i="31" s="1"/>
  <c r="E1156" i="28"/>
  <c r="S1051" i="31" s="1"/>
  <c r="E1157" i="28"/>
  <c r="E1158" i="28"/>
  <c r="E1159" i="28"/>
  <c r="S1053" i="31" s="1"/>
  <c r="E1160" i="28"/>
  <c r="S1054" i="31" s="1"/>
  <c r="E1161" i="28"/>
  <c r="E1162" i="28"/>
  <c r="E1163" i="28"/>
  <c r="S1057" i="31" s="1"/>
  <c r="E1164" i="28"/>
  <c r="S1058" i="31" s="1"/>
  <c r="E1165" i="28"/>
  <c r="E1166" i="28"/>
  <c r="E1167" i="28"/>
  <c r="S1061" i="31" s="1"/>
  <c r="E1168" i="28"/>
  <c r="E1169" i="28"/>
  <c r="E1170" i="28"/>
  <c r="S1063" i="31" s="1"/>
  <c r="E1171" i="28"/>
  <c r="P1064" i="31" s="1"/>
  <c r="E1172" i="28"/>
  <c r="S1065" i="31" s="1"/>
  <c r="E1173" i="28"/>
  <c r="E1174" i="28"/>
  <c r="S1067" i="31" s="1"/>
  <c r="E1175" i="28"/>
  <c r="P1068" i="31" s="1"/>
  <c r="E1176" i="28"/>
  <c r="S1069" i="31" s="1"/>
  <c r="E1177" i="28"/>
  <c r="E1178" i="28"/>
  <c r="S1071" i="31" s="1"/>
  <c r="E1179" i="28"/>
  <c r="E1180" i="28"/>
  <c r="E1181" i="28"/>
  <c r="S1073" i="31" s="1"/>
  <c r="E1182" i="28"/>
  <c r="S1074" i="31" s="1"/>
  <c r="E1183" i="28"/>
  <c r="S1075" i="31" s="1"/>
  <c r="E1184" i="28"/>
  <c r="E1185" i="28"/>
  <c r="S1077" i="31" s="1"/>
  <c r="E1186" i="28"/>
  <c r="S1078" i="31" s="1"/>
  <c r="E1187" i="28"/>
  <c r="S1079" i="31" s="1"/>
  <c r="E1188" i="28"/>
  <c r="E1189" i="28"/>
  <c r="S1081" i="31" s="1"/>
  <c r="E1190" i="28"/>
  <c r="E1201" i="28"/>
  <c r="E1202" i="28"/>
  <c r="E1212" i="28"/>
  <c r="E1223" i="28"/>
  <c r="E1224" i="28"/>
  <c r="E1225" i="28"/>
  <c r="S1113" i="31" s="1"/>
  <c r="E1226" i="28"/>
  <c r="S1114" i="31" s="1"/>
  <c r="E1227" i="28"/>
  <c r="S1115" i="31" s="1"/>
  <c r="E1228" i="28"/>
  <c r="E1229" i="28"/>
  <c r="S1117" i="31" s="1"/>
  <c r="E1230" i="28"/>
  <c r="S1118" i="31" s="1"/>
  <c r="E1231" i="28"/>
  <c r="S1119" i="31" s="1"/>
  <c r="E1232" i="28"/>
  <c r="E1234" i="28"/>
  <c r="E1235" i="28"/>
  <c r="P1122" i="31" s="1"/>
  <c r="E1236" i="28"/>
  <c r="S1123" i="31" s="1"/>
  <c r="E1237" i="28"/>
  <c r="P1124" i="31" s="1"/>
  <c r="E1238" i="28"/>
  <c r="S1125" i="31" s="1"/>
  <c r="E1239" i="28"/>
  <c r="P1126" i="31" s="1"/>
  <c r="E1240" i="28"/>
  <c r="S1127" i="31" s="1"/>
  <c r="E1241" i="28"/>
  <c r="P1128" i="31" s="1"/>
  <c r="E1242" i="28"/>
  <c r="S1129" i="31" s="1"/>
  <c r="E1243" i="28"/>
  <c r="P1130" i="31" s="1"/>
  <c r="E1244" i="28"/>
  <c r="S1131" i="31" s="1"/>
  <c r="E1245" i="28"/>
  <c r="E1256" i="28"/>
  <c r="E1257" i="28"/>
  <c r="E1258" i="28"/>
  <c r="S1143" i="31" s="1"/>
  <c r="E1259" i="28"/>
  <c r="P1144" i="31" s="1"/>
  <c r="E1260" i="28"/>
  <c r="S1145" i="31" s="1"/>
  <c r="E1261" i="28"/>
  <c r="E1262" i="28"/>
  <c r="S1147" i="31" s="1"/>
  <c r="E1263" i="28"/>
  <c r="P1148" i="31" s="1"/>
  <c r="E1264" i="28"/>
  <c r="S1149" i="31" s="1"/>
  <c r="E1265" i="28"/>
  <c r="E1266" i="28"/>
  <c r="S1151" i="31" s="1"/>
  <c r="E1267" i="28"/>
  <c r="E1268" i="28"/>
  <c r="E1269" i="28"/>
  <c r="S1153" i="31" s="1"/>
  <c r="E1270" i="28"/>
  <c r="S1154" i="31" s="1"/>
  <c r="E1271" i="28"/>
  <c r="S1155" i="31" s="1"/>
  <c r="E1272" i="28"/>
  <c r="E1273" i="28"/>
  <c r="S1157" i="31" s="1"/>
  <c r="E1274" i="28"/>
  <c r="S1158" i="31" s="1"/>
  <c r="E1275" i="28"/>
  <c r="S1159" i="31" s="1"/>
  <c r="E1276" i="28"/>
  <c r="E1277" i="28"/>
  <c r="S1161" i="31" s="1"/>
  <c r="E1278" i="28"/>
  <c r="E1279" i="28"/>
  <c r="P1162" i="31" s="1"/>
  <c r="E1280" i="28"/>
  <c r="S1163" i="31" s="1"/>
  <c r="E1281" i="28"/>
  <c r="P1164" i="31" s="1"/>
  <c r="E1282" i="28"/>
  <c r="S1165" i="31" s="1"/>
  <c r="E1283" i="28"/>
  <c r="P1166" i="31" s="1"/>
  <c r="E1284" i="28"/>
  <c r="S1167" i="31" s="1"/>
  <c r="E1285" i="28"/>
  <c r="P1168" i="31" s="1"/>
  <c r="E1286" i="28"/>
  <c r="S1169" i="31" s="1"/>
  <c r="E1287" i="28"/>
  <c r="P1170" i="31" s="1"/>
  <c r="E1288" i="28"/>
  <c r="S1171" i="31" s="1"/>
  <c r="E1289" i="28"/>
  <c r="E1290" i="28"/>
  <c r="E1291" i="28"/>
  <c r="S1173" i="31" s="1"/>
  <c r="E1292" i="28"/>
  <c r="S1174" i="31" s="1"/>
  <c r="E1293" i="28"/>
  <c r="E1294" i="28"/>
  <c r="E1295" i="28"/>
  <c r="S1177" i="31" s="1"/>
  <c r="E1300" i="28"/>
  <c r="E1301" i="28"/>
  <c r="E1310" i="28"/>
  <c r="S1191" i="31" s="1"/>
  <c r="E1311" i="28"/>
  <c r="E1312" i="28"/>
  <c r="E1313" i="28"/>
  <c r="S1193" i="31" s="1"/>
  <c r="E1314" i="28"/>
  <c r="S1194" i="31" s="1"/>
  <c r="E1315" i="28"/>
  <c r="S1195" i="31" s="1"/>
  <c r="E1316" i="28"/>
  <c r="E1317" i="28"/>
  <c r="S1197" i="31" s="1"/>
  <c r="E1318" i="28"/>
  <c r="S1198" i="31" s="1"/>
  <c r="E1319" i="28"/>
  <c r="S1199" i="31" s="1"/>
  <c r="E1320" i="28"/>
  <c r="E1321" i="28"/>
  <c r="S1201" i="31" s="1"/>
  <c r="E1322" i="28"/>
  <c r="E1323" i="28"/>
  <c r="P1202" i="31" s="1"/>
  <c r="E1324" i="28"/>
  <c r="S1203" i="31" s="1"/>
  <c r="E1325" i="28"/>
  <c r="P1204" i="31" s="1"/>
  <c r="E1326" i="28"/>
  <c r="S1205" i="31" s="1"/>
  <c r="E1327" i="28"/>
  <c r="P1206" i="31" s="1"/>
  <c r="E1328" i="28"/>
  <c r="S1207" i="31" s="1"/>
  <c r="E1329" i="28"/>
  <c r="P1208" i="31" s="1"/>
  <c r="E1330" i="28"/>
  <c r="S1209" i="31" s="1"/>
  <c r="E1331" i="28"/>
  <c r="P1210" i="31" s="1"/>
  <c r="E1332" i="28"/>
  <c r="S1211" i="31" s="1"/>
  <c r="E1333" i="28"/>
  <c r="E1334" i="28"/>
  <c r="E1335" i="28"/>
  <c r="S1213" i="31" s="1"/>
  <c r="E1336" i="28"/>
  <c r="S1214" i="31" s="1"/>
  <c r="E1337" i="28"/>
  <c r="E1338" i="28"/>
  <c r="E1339" i="28"/>
  <c r="S1217" i="31" s="1"/>
  <c r="E1340" i="28"/>
  <c r="S1218" i="31" s="1"/>
  <c r="E1341" i="28"/>
  <c r="E1342" i="28"/>
  <c r="E1343" i="28"/>
  <c r="S1221" i="31" s="1"/>
  <c r="E1344" i="28"/>
  <c r="E1345" i="28"/>
  <c r="E1346" i="28"/>
  <c r="S1223" i="31" s="1"/>
  <c r="E1347" i="28"/>
  <c r="P1224" i="31" s="1"/>
  <c r="E1348" i="28"/>
  <c r="S1225" i="31" s="1"/>
  <c r="E1349" i="28"/>
  <c r="E1350" i="28"/>
  <c r="S1227" i="31" s="1"/>
  <c r="E1351" i="28"/>
  <c r="P1228" i="31" s="1"/>
  <c r="E1352" i="28"/>
  <c r="S1229" i="31" s="1"/>
  <c r="E1353" i="28"/>
  <c r="E1354" i="28"/>
  <c r="S1231" i="31" s="1"/>
  <c r="E1355" i="28"/>
  <c r="E1366" i="28"/>
  <c r="E1367" i="28"/>
  <c r="P1242" i="31" s="1"/>
  <c r="E1368" i="28"/>
  <c r="S1243" i="31" s="1"/>
  <c r="E1369" i="28"/>
  <c r="P1244" i="31" s="1"/>
  <c r="E1370" i="28"/>
  <c r="S1245" i="31" s="1"/>
  <c r="E1371" i="28"/>
  <c r="P1246" i="31" s="1"/>
  <c r="E1372" i="28"/>
  <c r="S1247" i="31" s="1"/>
  <c r="E1373" i="28"/>
  <c r="P1248" i="31" s="1"/>
  <c r="E1374" i="28"/>
  <c r="S1249" i="31" s="1"/>
  <c r="E1375" i="28"/>
  <c r="P1250" i="31" s="1"/>
  <c r="E1376" i="28"/>
  <c r="S1251" i="31" s="1"/>
  <c r="E1377" i="28"/>
  <c r="E1378" i="28"/>
  <c r="E1384" i="28"/>
  <c r="S1258" i="31" s="1"/>
  <c r="E1385" i="28"/>
  <c r="E1388" i="28"/>
  <c r="E1389" i="28"/>
  <c r="E1390" i="28"/>
  <c r="S1263" i="31" s="1"/>
  <c r="E1399" i="28"/>
  <c r="E1400" i="28"/>
  <c r="E1401" i="28"/>
  <c r="S1273" i="31" s="1"/>
  <c r="E1402" i="28"/>
  <c r="S1274" i="31" s="1"/>
  <c r="E1403" i="28"/>
  <c r="S1275" i="31" s="1"/>
  <c r="E1404" i="28"/>
  <c r="E1405" i="28"/>
  <c r="S1277" i="31" s="1"/>
  <c r="E1406" i="28"/>
  <c r="S1278" i="31" s="1"/>
  <c r="E1407" i="28"/>
  <c r="S1279" i="31" s="1"/>
  <c r="E1408" i="28"/>
  <c r="E1409" i="28"/>
  <c r="S1281" i="31" s="1"/>
  <c r="E1410" i="28"/>
  <c r="E1411" i="28"/>
  <c r="P1282" i="31" s="1"/>
  <c r="E1412" i="28"/>
  <c r="S1283" i="31" s="1"/>
  <c r="E1413" i="28"/>
  <c r="P1284" i="31" s="1"/>
  <c r="E1414" i="28"/>
  <c r="S1285" i="31" s="1"/>
  <c r="E1415" i="28"/>
  <c r="P1286" i="31" s="1"/>
  <c r="E1416" i="28"/>
  <c r="S1287" i="31" s="1"/>
  <c r="E1417" i="28"/>
  <c r="P1288" i="31" s="1"/>
  <c r="E1418" i="28"/>
  <c r="S1289" i="31" s="1"/>
  <c r="E1419" i="28"/>
  <c r="P1290" i="31" s="1"/>
  <c r="E1420" i="28"/>
  <c r="S1291" i="31" s="1"/>
  <c r="E1421" i="28"/>
  <c r="E1422" i="28"/>
  <c r="E1423" i="28"/>
  <c r="S1293" i="31" s="1"/>
  <c r="E1424" i="28"/>
  <c r="S1294" i="31" s="1"/>
  <c r="E1425" i="28"/>
  <c r="E1426" i="28"/>
  <c r="E1427" i="28"/>
  <c r="S1297" i="31" s="1"/>
  <c r="E1428" i="28"/>
  <c r="S1298" i="31" s="1"/>
  <c r="E1429" i="28"/>
  <c r="E1430" i="28"/>
  <c r="E1431" i="28"/>
  <c r="S1301" i="31" s="1"/>
  <c r="E1432" i="28"/>
  <c r="E1433" i="28"/>
  <c r="E1434" i="28"/>
  <c r="S1303" i="31" s="1"/>
  <c r="E1435" i="28"/>
  <c r="P1304" i="31" s="1"/>
  <c r="E1436" i="28"/>
  <c r="S1305" i="31" s="1"/>
  <c r="E1437" i="28"/>
  <c r="E1438" i="28"/>
  <c r="S1307" i="31" s="1"/>
  <c r="E1439" i="28"/>
  <c r="P1308" i="31" s="1"/>
  <c r="E1440" i="28"/>
  <c r="S1309" i="31" s="1"/>
  <c r="E1441" i="28"/>
  <c r="E1442" i="28"/>
  <c r="S1311" i="31" s="1"/>
  <c r="E1443" i="28"/>
  <c r="E1444" i="28"/>
  <c r="E1445" i="28"/>
  <c r="S1313" i="31" s="1"/>
  <c r="E1446" i="28"/>
  <c r="S1314" i="31" s="1"/>
  <c r="E1447" i="28"/>
  <c r="S1315" i="31" s="1"/>
  <c r="E1448" i="28"/>
  <c r="E1449" i="28"/>
  <c r="S1317" i="31" s="1"/>
  <c r="E1450" i="28"/>
  <c r="S1318" i="31" s="1"/>
  <c r="E1451" i="28"/>
  <c r="S1319" i="31" s="1"/>
  <c r="E1452" i="28"/>
  <c r="E1453" i="28"/>
  <c r="S1321" i="31" s="1"/>
  <c r="E1454" i="28"/>
  <c r="E1465" i="28"/>
  <c r="E1466" i="28"/>
  <c r="E1467" i="28"/>
  <c r="S1333" i="31" s="1"/>
  <c r="E1468" i="28"/>
  <c r="S1334" i="31" s="1"/>
  <c r="E1469" i="28"/>
  <c r="E1470" i="28"/>
  <c r="E1471" i="28"/>
  <c r="S1337" i="31" s="1"/>
  <c r="E1472" i="28"/>
  <c r="S1338" i="31" s="1"/>
  <c r="E1473" i="28"/>
  <c r="E1474" i="28"/>
  <c r="E1475" i="28"/>
  <c r="S1341" i="31" s="1"/>
  <c r="E1476" i="28"/>
  <c r="E1477" i="28"/>
  <c r="E1478" i="28"/>
  <c r="S1343" i="31" s="1"/>
  <c r="E1479" i="28"/>
  <c r="P1344" i="31" s="1"/>
  <c r="E1480" i="28"/>
  <c r="S1345" i="31" s="1"/>
  <c r="E1481" i="28"/>
  <c r="E1482" i="28"/>
  <c r="S1347" i="31" s="1"/>
  <c r="E1483" i="28"/>
  <c r="P1348" i="31" s="1"/>
  <c r="E1484" i="28"/>
  <c r="S1349" i="31" s="1"/>
  <c r="E1485" i="28"/>
  <c r="E1486" i="28"/>
  <c r="S1351" i="31" s="1"/>
  <c r="E1487" i="28"/>
  <c r="E1488" i="28"/>
  <c r="E1489" i="28"/>
  <c r="S1353" i="31" s="1"/>
  <c r="E1490" i="28"/>
  <c r="S1354" i="31" s="1"/>
  <c r="E1491" i="28"/>
  <c r="S1355" i="31" s="1"/>
  <c r="E1492" i="28"/>
  <c r="E1493" i="28"/>
  <c r="S1357" i="31" s="1"/>
  <c r="E1494" i="28"/>
  <c r="S1358" i="31" s="1"/>
  <c r="E1495" i="28"/>
  <c r="S1359" i="31" s="1"/>
  <c r="E1498" i="28"/>
  <c r="E1499" i="28"/>
  <c r="P1362" i="31" s="1"/>
  <c r="E1500" i="28"/>
  <c r="S1363" i="31" s="1"/>
  <c r="E1509" i="28"/>
  <c r="E1510" i="28"/>
  <c r="E1511" i="28"/>
  <c r="S1373" i="31" s="1"/>
  <c r="E1512" i="28"/>
  <c r="S1374" i="31" s="1"/>
  <c r="E1513" i="28"/>
  <c r="E1514" i="28"/>
  <c r="P1376" i="31" s="1"/>
  <c r="E1515" i="28"/>
  <c r="S1377" i="31" s="1"/>
  <c r="E1516" i="28"/>
  <c r="S1378" i="31" s="1"/>
  <c r="E1517" i="28"/>
  <c r="E1518" i="28"/>
  <c r="E1520" i="28"/>
  <c r="E1531" i="28"/>
  <c r="E1542" i="28"/>
  <c r="E1545" i="28"/>
  <c r="P1404" i="31" s="1"/>
  <c r="E1553" i="28"/>
  <c r="E1554" i="28"/>
  <c r="E1555" i="28"/>
  <c r="S1413" i="31" s="1"/>
  <c r="E1556" i="28"/>
  <c r="S1414" i="31" s="1"/>
  <c r="E1557" i="28"/>
  <c r="E1558" i="28"/>
  <c r="E1559" i="28"/>
  <c r="S1417" i="31" s="1"/>
  <c r="E1560" i="28"/>
  <c r="S1418" i="31" s="1"/>
  <c r="E1561" i="28"/>
  <c r="E1562" i="28"/>
  <c r="E1563" i="28"/>
  <c r="S1421" i="31" s="1"/>
  <c r="E1564" i="28"/>
  <c r="E1565" i="28"/>
  <c r="S1422" i="31" s="1"/>
  <c r="E1566" i="28"/>
  <c r="S1423" i="31" s="1"/>
  <c r="E1567" i="28"/>
  <c r="E1568" i="28"/>
  <c r="S1425" i="31" s="1"/>
  <c r="E1569" i="28"/>
  <c r="S1426" i="31" s="1"/>
  <c r="E1570" i="28"/>
  <c r="S1427" i="31" s="1"/>
  <c r="E1571" i="28"/>
  <c r="E1572" i="28"/>
  <c r="S1429" i="31" s="1"/>
  <c r="E1573" i="28"/>
  <c r="S1430" i="31" s="1"/>
  <c r="E1574" i="28"/>
  <c r="S1431" i="31" s="1"/>
  <c r="E1575" i="28"/>
  <c r="E1576" i="28"/>
  <c r="E1577" i="28"/>
  <c r="E1578" i="28"/>
  <c r="S1434" i="31" s="1"/>
  <c r="E1579" i="28"/>
  <c r="P1435" i="31" s="1"/>
  <c r="E1580" i="28"/>
  <c r="E1581" i="28"/>
  <c r="E1582" i="28"/>
  <c r="S1438" i="31" s="1"/>
  <c r="E1583" i="28"/>
  <c r="P1439" i="31" s="1"/>
  <c r="E1584" i="28"/>
  <c r="E1585" i="28"/>
  <c r="E1586" i="28"/>
  <c r="E1590" i="28"/>
  <c r="S1445" i="31" s="1"/>
  <c r="E1591" i="28"/>
  <c r="S1446" i="31" s="1"/>
  <c r="E1592" i="28"/>
  <c r="S1447" i="31" s="1"/>
  <c r="E1593" i="28"/>
  <c r="P1448" i="31" s="1"/>
  <c r="E1594" i="28"/>
  <c r="S1449" i="31" s="1"/>
  <c r="E1595" i="28"/>
  <c r="S1450" i="31" s="1"/>
  <c r="E1596" i="28"/>
  <c r="S1451" i="31" s="1"/>
  <c r="E1597" i="28"/>
  <c r="E1598" i="28"/>
  <c r="E1599" i="28"/>
  <c r="S1453" i="31" s="1"/>
  <c r="E1600" i="28"/>
  <c r="S1454" i="31" s="1"/>
  <c r="E1601" i="28"/>
  <c r="E1602" i="28"/>
  <c r="E1603" i="28"/>
  <c r="S1457" i="31" s="1"/>
  <c r="E1604" i="28"/>
  <c r="S1458" i="31" s="1"/>
  <c r="E1605" i="28"/>
  <c r="E1606" i="28"/>
  <c r="E1607" i="28"/>
  <c r="S1461" i="31" s="1"/>
  <c r="E1608" i="28"/>
  <c r="E1609" i="28"/>
  <c r="S1462" i="31" s="1"/>
  <c r="E1610" i="28"/>
  <c r="S1463" i="31" s="1"/>
  <c r="E1611" i="28"/>
  <c r="E1612" i="28"/>
  <c r="S1465" i="31" s="1"/>
  <c r="E1613" i="28"/>
  <c r="S1466" i="31" s="1"/>
  <c r="E1614" i="28"/>
  <c r="S1467" i="31" s="1"/>
  <c r="E1615" i="28"/>
  <c r="E1616" i="28"/>
  <c r="S1469" i="31" s="1"/>
  <c r="E1617" i="28"/>
  <c r="S1470" i="31" s="1"/>
  <c r="E1618" i="28"/>
  <c r="S1471" i="31" s="1"/>
  <c r="E1619" i="28"/>
  <c r="E1620" i="28"/>
  <c r="E1621" i="28"/>
  <c r="E1622" i="28"/>
  <c r="S1474" i="31" s="1"/>
  <c r="E1623" i="28"/>
  <c r="P1475" i="31" s="1"/>
  <c r="E1624" i="28"/>
  <c r="E1625" i="28"/>
  <c r="E1626" i="28"/>
  <c r="S1478" i="31" s="1"/>
  <c r="E1627" i="28"/>
  <c r="P1479" i="31" s="1"/>
  <c r="E1628" i="28"/>
  <c r="E1629" i="28"/>
  <c r="P2" i="31"/>
  <c r="P3" i="31"/>
  <c r="P5" i="31"/>
  <c r="P6" i="31"/>
  <c r="P7" i="31"/>
  <c r="P9" i="31"/>
  <c r="P10" i="31"/>
  <c r="P11" i="31"/>
  <c r="P12" i="31"/>
  <c r="P13" i="31"/>
  <c r="P14" i="31"/>
  <c r="P16" i="31"/>
  <c r="P17" i="31"/>
  <c r="P18" i="31"/>
  <c r="P20" i="31"/>
  <c r="P21" i="31"/>
  <c r="P23" i="31"/>
  <c r="P24" i="31"/>
  <c r="P25" i="31"/>
  <c r="P32" i="31"/>
  <c r="P34" i="31"/>
  <c r="P35" i="31"/>
  <c r="P36" i="31"/>
  <c r="P38" i="31"/>
  <c r="P39" i="31"/>
  <c r="P40" i="31"/>
  <c r="P42" i="31"/>
  <c r="P43" i="31"/>
  <c r="P51" i="31"/>
  <c r="P52" i="31"/>
  <c r="P53" i="31"/>
  <c r="P63" i="31"/>
  <c r="P64" i="31"/>
  <c r="P65" i="31"/>
  <c r="P67" i="31"/>
  <c r="P68" i="31"/>
  <c r="P71" i="31"/>
  <c r="P72" i="31"/>
  <c r="P74" i="31"/>
  <c r="P75" i="31"/>
  <c r="P76" i="31"/>
  <c r="P78" i="31"/>
  <c r="P79" i="31"/>
  <c r="P80" i="31"/>
  <c r="P82" i="31"/>
  <c r="P83" i="31"/>
  <c r="P85" i="31"/>
  <c r="P86" i="31"/>
  <c r="P87" i="31"/>
  <c r="P89" i="31"/>
  <c r="P90" i="31"/>
  <c r="P91" i="31"/>
  <c r="P92" i="31"/>
  <c r="P93" i="31"/>
  <c r="P94" i="31"/>
  <c r="P96" i="31"/>
  <c r="P97" i="31"/>
  <c r="P98" i="31"/>
  <c r="P100" i="31"/>
  <c r="P101" i="31"/>
  <c r="P103" i="31"/>
  <c r="P105" i="31"/>
  <c r="P111" i="31"/>
  <c r="P123" i="31"/>
  <c r="P125" i="31"/>
  <c r="P127" i="31"/>
  <c r="P129" i="31"/>
  <c r="P131" i="31"/>
  <c r="P132" i="31"/>
  <c r="P133" i="31"/>
  <c r="P134" i="31"/>
  <c r="P136" i="31"/>
  <c r="P137" i="31"/>
  <c r="P138" i="31"/>
  <c r="P140" i="31"/>
  <c r="P141" i="31"/>
  <c r="P143" i="31"/>
  <c r="P145" i="31"/>
  <c r="P147" i="31"/>
  <c r="P149" i="31"/>
  <c r="P151" i="31"/>
  <c r="P152" i="31"/>
  <c r="P153" i="31"/>
  <c r="P154" i="31"/>
  <c r="P155" i="31"/>
  <c r="P156" i="31"/>
  <c r="P157" i="31"/>
  <c r="P158" i="31"/>
  <c r="P160" i="31"/>
  <c r="P161" i="31"/>
  <c r="P163" i="31"/>
  <c r="P165" i="31"/>
  <c r="P167" i="31"/>
  <c r="P169" i="31"/>
  <c r="P171" i="31"/>
  <c r="P172" i="31"/>
  <c r="P173" i="31"/>
  <c r="P174" i="31"/>
  <c r="P176" i="31"/>
  <c r="P177" i="31"/>
  <c r="P178" i="31"/>
  <c r="P180" i="31"/>
  <c r="P181" i="31"/>
  <c r="P183" i="31"/>
  <c r="P185" i="31"/>
  <c r="P187" i="31"/>
  <c r="P189" i="31"/>
  <c r="P191" i="31"/>
  <c r="P192" i="31"/>
  <c r="P193" i="31"/>
  <c r="P194" i="31"/>
  <c r="P195" i="31"/>
  <c r="P196" i="31"/>
  <c r="P197" i="31"/>
  <c r="P198" i="31"/>
  <c r="P199" i="31"/>
  <c r="P200" i="31"/>
  <c r="P201" i="31"/>
  <c r="P203" i="31"/>
  <c r="P205" i="31"/>
  <c r="P212" i="31"/>
  <c r="P213" i="31"/>
  <c r="P214" i="31"/>
  <c r="P216" i="31"/>
  <c r="P217" i="31"/>
  <c r="P218" i="31"/>
  <c r="P220" i="31"/>
  <c r="P221" i="31"/>
  <c r="P223" i="31"/>
  <c r="P225" i="31"/>
  <c r="P227" i="31"/>
  <c r="P229" i="31"/>
  <c r="P231" i="31"/>
  <c r="P252" i="31"/>
  <c r="P253" i="31"/>
  <c r="P254" i="31"/>
  <c r="P256" i="31"/>
  <c r="P257" i="31"/>
  <c r="P258" i="31"/>
  <c r="P260" i="31"/>
  <c r="P261" i="31"/>
  <c r="P263" i="31"/>
  <c r="P265" i="31"/>
  <c r="P267" i="31"/>
  <c r="P269" i="31"/>
  <c r="P271" i="31"/>
  <c r="P272" i="31"/>
  <c r="P274" i="31"/>
  <c r="P275" i="31"/>
  <c r="P276" i="31"/>
  <c r="P278" i="31"/>
  <c r="P279" i="31"/>
  <c r="P280" i="31"/>
  <c r="P283" i="31"/>
  <c r="P285" i="31"/>
  <c r="P287" i="31"/>
  <c r="P289" i="31"/>
  <c r="P291" i="31"/>
  <c r="P292" i="31"/>
  <c r="P293" i="31"/>
  <c r="P294" i="31"/>
  <c r="P296" i="31"/>
  <c r="P297" i="31"/>
  <c r="P298" i="31"/>
  <c r="P300" i="31"/>
  <c r="P301" i="31"/>
  <c r="P303" i="31"/>
  <c r="P305" i="31"/>
  <c r="P307" i="31"/>
  <c r="P309" i="31"/>
  <c r="P311" i="31"/>
  <c r="P312" i="31"/>
  <c r="P314" i="31"/>
  <c r="P315" i="31"/>
  <c r="P316" i="31"/>
  <c r="P323" i="31"/>
  <c r="P340" i="31"/>
  <c r="P343" i="31"/>
  <c r="P345" i="31"/>
  <c r="P347" i="31"/>
  <c r="P349" i="31"/>
  <c r="P351" i="31"/>
  <c r="P352" i="31"/>
  <c r="P353" i="31"/>
  <c r="P363" i="31"/>
  <c r="P365" i="31"/>
  <c r="P367" i="31"/>
  <c r="P369" i="31"/>
  <c r="P371" i="31"/>
  <c r="P372" i="31"/>
  <c r="P373" i="31"/>
  <c r="P374" i="31"/>
  <c r="P376" i="31"/>
  <c r="P377" i="31"/>
  <c r="P378" i="31"/>
  <c r="P380" i="31"/>
  <c r="P381" i="31"/>
  <c r="P383" i="31"/>
  <c r="P385" i="31"/>
  <c r="P387" i="31"/>
  <c r="P389" i="31"/>
  <c r="P391" i="31"/>
  <c r="P392" i="31"/>
  <c r="P394" i="31"/>
  <c r="P395" i="31"/>
  <c r="P396" i="31"/>
  <c r="P398" i="31"/>
  <c r="P399" i="31"/>
  <c r="P400" i="31"/>
  <c r="P403" i="31"/>
  <c r="P405" i="31"/>
  <c r="P407" i="31"/>
  <c r="P409" i="31"/>
  <c r="P411" i="31"/>
  <c r="P423" i="31"/>
  <c r="P425" i="31"/>
  <c r="P427" i="31"/>
  <c r="P432" i="31"/>
  <c r="P433" i="31"/>
  <c r="P434" i="31"/>
  <c r="P435" i="31"/>
  <c r="P436" i="31"/>
  <c r="P437" i="31"/>
  <c r="P438" i="31"/>
  <c r="P439" i="31"/>
  <c r="P440" i="31"/>
  <c r="P441" i="31"/>
  <c r="P443" i="31"/>
  <c r="P445" i="31"/>
  <c r="P447" i="31"/>
  <c r="P449" i="31"/>
  <c r="P451" i="31"/>
  <c r="P452" i="31"/>
  <c r="P453" i="31"/>
  <c r="P454" i="31"/>
  <c r="P456" i="31"/>
  <c r="P457" i="31"/>
  <c r="P458" i="31"/>
  <c r="P460" i="31"/>
  <c r="P461" i="31"/>
  <c r="P463" i="31"/>
  <c r="P465" i="31"/>
  <c r="P467" i="31"/>
  <c r="P469" i="31"/>
  <c r="P471" i="31"/>
  <c r="P472" i="31"/>
  <c r="P473" i="31"/>
  <c r="P474" i="31"/>
  <c r="P475" i="31"/>
  <c r="P483" i="31"/>
  <c r="P485" i="31"/>
  <c r="P487" i="31"/>
  <c r="P489" i="31"/>
  <c r="P491" i="31"/>
  <c r="P492" i="31"/>
  <c r="P493" i="31"/>
  <c r="P494" i="31"/>
  <c r="P496" i="31"/>
  <c r="P497" i="31"/>
  <c r="P498" i="31"/>
  <c r="P500" i="31"/>
  <c r="P501" i="31"/>
  <c r="P511" i="31"/>
  <c r="P512" i="31"/>
  <c r="P513" i="31"/>
  <c r="P514" i="31"/>
  <c r="P515" i="31"/>
  <c r="P516" i="31"/>
  <c r="P518" i="31"/>
  <c r="P519" i="31"/>
  <c r="P520" i="31"/>
  <c r="P523" i="31"/>
  <c r="P525" i="31"/>
  <c r="P527" i="31"/>
  <c r="P529" i="31"/>
  <c r="P531" i="31"/>
  <c r="P532" i="31"/>
  <c r="P533" i="31"/>
  <c r="P534" i="31"/>
  <c r="P536" i="31"/>
  <c r="P537" i="31"/>
  <c r="P538" i="31"/>
  <c r="P540" i="31"/>
  <c r="P541" i="31"/>
  <c r="P543" i="31"/>
  <c r="P545" i="31"/>
  <c r="P547" i="31"/>
  <c r="P549" i="31"/>
  <c r="P551" i="31"/>
  <c r="P552" i="31"/>
  <c r="P554" i="31"/>
  <c r="P555" i="31"/>
  <c r="P556" i="31"/>
  <c r="P558" i="31"/>
  <c r="P559" i="31"/>
  <c r="P560" i="31"/>
  <c r="P563" i="31"/>
  <c r="P565" i="31"/>
  <c r="P567" i="31"/>
  <c r="P569" i="31"/>
  <c r="P571" i="31"/>
  <c r="P572" i="31"/>
  <c r="P573" i="31"/>
  <c r="P574" i="31"/>
  <c r="P576" i="31"/>
  <c r="P583" i="31"/>
  <c r="P585" i="31"/>
  <c r="P587" i="31"/>
  <c r="P589" i="31"/>
  <c r="P591" i="31"/>
  <c r="P592" i="31"/>
  <c r="P593" i="31"/>
  <c r="P594" i="31"/>
  <c r="P595" i="31"/>
  <c r="P596" i="31"/>
  <c r="P597" i="31"/>
  <c r="P598" i="31"/>
  <c r="P599" i="31"/>
  <c r="P600" i="31"/>
  <c r="P601" i="31"/>
  <c r="P603" i="31"/>
  <c r="P605" i="31"/>
  <c r="P607" i="31"/>
  <c r="P609" i="31"/>
  <c r="P611" i="31"/>
  <c r="P612" i="31"/>
  <c r="P613" i="31"/>
  <c r="P614" i="31"/>
  <c r="P616" i="31"/>
  <c r="P617" i="31"/>
  <c r="P618" i="31"/>
  <c r="P620" i="31"/>
  <c r="P621" i="31"/>
  <c r="P632" i="31"/>
  <c r="P634" i="31"/>
  <c r="P635" i="31"/>
  <c r="P636" i="31"/>
  <c r="P638" i="31"/>
  <c r="P639" i="31"/>
  <c r="P640" i="31"/>
  <c r="P643" i="31"/>
  <c r="P645" i="31"/>
  <c r="P647" i="31"/>
  <c r="P649" i="31"/>
  <c r="P651" i="31"/>
  <c r="P661" i="31"/>
  <c r="P665" i="31"/>
  <c r="P683" i="31"/>
  <c r="P703" i="31"/>
  <c r="P705" i="31"/>
  <c r="P707" i="31"/>
  <c r="P709" i="31"/>
  <c r="P711" i="31"/>
  <c r="P712" i="31"/>
  <c r="P713" i="31"/>
  <c r="P714" i="31"/>
  <c r="P715" i="31"/>
  <c r="P716" i="31"/>
  <c r="P717" i="31"/>
  <c r="P718" i="31"/>
  <c r="P719" i="31"/>
  <c r="P720" i="31"/>
  <c r="P721" i="31"/>
  <c r="P723" i="31"/>
  <c r="P725" i="31"/>
  <c r="P732" i="31"/>
  <c r="P733" i="31"/>
  <c r="P734" i="31"/>
  <c r="P736" i="31"/>
  <c r="P737" i="31"/>
  <c r="P738" i="31"/>
  <c r="P740" i="31"/>
  <c r="P741" i="31"/>
  <c r="P743" i="31"/>
  <c r="P745" i="31"/>
  <c r="P747" i="31"/>
  <c r="P749" i="31"/>
  <c r="P751" i="31"/>
  <c r="P752" i="31"/>
  <c r="P754" i="31"/>
  <c r="P755" i="31"/>
  <c r="P756" i="31"/>
  <c r="P763" i="31"/>
  <c r="P765" i="31"/>
  <c r="P767" i="31"/>
  <c r="P769" i="31"/>
  <c r="P772" i="31"/>
  <c r="P773" i="31"/>
  <c r="P774" i="31"/>
  <c r="P776" i="31"/>
  <c r="P777" i="31"/>
  <c r="P778" i="31"/>
  <c r="P780" i="31"/>
  <c r="P781" i="31"/>
  <c r="P783" i="31"/>
  <c r="P785" i="31"/>
  <c r="P787" i="31"/>
  <c r="P789" i="31"/>
  <c r="P791" i="31"/>
  <c r="P792" i="31"/>
  <c r="P793" i="31"/>
  <c r="P794" i="31"/>
  <c r="P795" i="31"/>
  <c r="P796" i="31"/>
  <c r="P797" i="31"/>
  <c r="P798" i="31"/>
  <c r="P799" i="31"/>
  <c r="P800" i="31"/>
  <c r="P801" i="31"/>
  <c r="P803" i="31"/>
  <c r="P805" i="31"/>
  <c r="P812" i="31"/>
  <c r="P813" i="31"/>
  <c r="P814" i="31"/>
  <c r="P816" i="31"/>
  <c r="P817" i="31"/>
  <c r="P852" i="31"/>
  <c r="P854" i="31"/>
  <c r="P857" i="31"/>
  <c r="P858" i="31"/>
  <c r="P863" i="31"/>
  <c r="P865" i="31"/>
  <c r="P867" i="31"/>
  <c r="P869" i="31"/>
  <c r="P871" i="31"/>
  <c r="P872" i="31"/>
  <c r="P874" i="31"/>
  <c r="P875" i="31"/>
  <c r="P876" i="31"/>
  <c r="P878" i="31"/>
  <c r="P879" i="31"/>
  <c r="P880" i="31"/>
  <c r="P892" i="31"/>
  <c r="P893" i="31"/>
  <c r="P894" i="31"/>
  <c r="P896" i="31"/>
  <c r="P897" i="31"/>
  <c r="P898" i="31"/>
  <c r="P900" i="31"/>
  <c r="P901" i="31"/>
  <c r="P903" i="31"/>
  <c r="P905" i="31"/>
  <c r="P907" i="31"/>
  <c r="P909" i="31"/>
  <c r="P911" i="31"/>
  <c r="P912" i="31"/>
  <c r="P913" i="31"/>
  <c r="P914" i="31"/>
  <c r="P915" i="31"/>
  <c r="P923" i="31"/>
  <c r="P925" i="31"/>
  <c r="P927" i="31"/>
  <c r="P929" i="31"/>
  <c r="P931" i="31"/>
  <c r="P932" i="31"/>
  <c r="P933" i="31"/>
  <c r="P934" i="31"/>
  <c r="P936" i="31"/>
  <c r="P937" i="31"/>
  <c r="P938" i="31"/>
  <c r="P943" i="31"/>
  <c r="P945" i="31"/>
  <c r="P947" i="31"/>
  <c r="P949" i="31"/>
  <c r="P951" i="31"/>
  <c r="P952" i="31"/>
  <c r="P963" i="31"/>
  <c r="P965" i="31"/>
  <c r="P967" i="31"/>
  <c r="P969" i="31"/>
  <c r="P971" i="31"/>
  <c r="P972" i="31"/>
  <c r="P973" i="31"/>
  <c r="P974" i="31"/>
  <c r="P976" i="31"/>
  <c r="P977" i="31"/>
  <c r="P978" i="31"/>
  <c r="P980" i="31"/>
  <c r="P981" i="31"/>
  <c r="P983" i="31"/>
  <c r="P985" i="31"/>
  <c r="P987" i="31"/>
  <c r="P989" i="31"/>
  <c r="P991" i="31"/>
  <c r="P992" i="31"/>
  <c r="P993" i="31"/>
  <c r="P994" i="31"/>
  <c r="P995" i="31"/>
  <c r="P996" i="31"/>
  <c r="P997" i="31"/>
  <c r="P998" i="31"/>
  <c r="P999" i="31"/>
  <c r="P1000" i="31"/>
  <c r="P1001" i="31"/>
  <c r="P1003" i="31"/>
  <c r="P1005" i="31"/>
  <c r="P1007" i="31"/>
  <c r="P1009" i="31"/>
  <c r="P1011" i="31"/>
  <c r="P1012" i="31"/>
  <c r="P1013" i="31"/>
  <c r="P1014" i="31"/>
  <c r="P1016" i="31"/>
  <c r="P1017" i="31"/>
  <c r="P1018" i="31"/>
  <c r="P1020" i="31"/>
  <c r="P1023" i="31"/>
  <c r="P1025" i="31"/>
  <c r="P1027" i="31"/>
  <c r="P1029" i="31"/>
  <c r="P1031" i="31"/>
  <c r="P1032" i="31"/>
  <c r="P1033" i="31"/>
  <c r="P1034" i="31"/>
  <c r="P1035" i="31"/>
  <c r="P1036" i="31"/>
  <c r="P1037" i="31"/>
  <c r="P1038" i="31"/>
  <c r="P1039" i="31"/>
  <c r="P1040" i="31"/>
  <c r="P1041" i="31"/>
  <c r="P1043" i="31"/>
  <c r="P1045" i="31"/>
  <c r="P1047" i="31"/>
  <c r="P1049" i="31"/>
  <c r="P1051" i="31"/>
  <c r="P1052" i="31"/>
  <c r="P1053" i="31"/>
  <c r="P1054" i="31"/>
  <c r="P1056" i="31"/>
  <c r="P1057" i="31"/>
  <c r="P1058" i="31"/>
  <c r="P1060" i="31"/>
  <c r="P1061" i="31"/>
  <c r="P1063" i="31"/>
  <c r="P1065" i="31"/>
  <c r="P1067" i="31"/>
  <c r="P1069" i="31"/>
  <c r="P1071" i="31"/>
  <c r="P1072" i="31"/>
  <c r="P1073" i="31"/>
  <c r="P1074" i="31"/>
  <c r="P1075" i="31"/>
  <c r="P1076" i="31"/>
  <c r="P1077" i="31"/>
  <c r="P1078" i="31"/>
  <c r="P1079" i="31"/>
  <c r="P1080" i="31"/>
  <c r="P1081" i="31"/>
  <c r="P1092" i="31"/>
  <c r="P1112" i="31"/>
  <c r="P1114" i="31"/>
  <c r="P1115" i="31"/>
  <c r="P1116" i="31"/>
  <c r="P1118" i="31"/>
  <c r="P1119" i="31"/>
  <c r="P1120" i="31"/>
  <c r="P1123" i="31"/>
  <c r="P1125" i="31"/>
  <c r="P1127" i="31"/>
  <c r="P1129" i="31"/>
  <c r="P1131" i="31"/>
  <c r="P1143" i="31"/>
  <c r="P1145" i="31"/>
  <c r="P1147" i="31"/>
  <c r="P1149" i="31"/>
  <c r="P1151" i="31"/>
  <c r="P1152" i="31"/>
  <c r="P1154" i="31"/>
  <c r="P1155" i="31"/>
  <c r="P1156" i="31"/>
  <c r="P1158" i="31"/>
  <c r="P1159" i="31"/>
  <c r="P1160" i="31"/>
  <c r="P1163" i="31"/>
  <c r="P1165" i="31"/>
  <c r="P1167" i="31"/>
  <c r="P1169" i="31"/>
  <c r="P1171" i="31"/>
  <c r="P1172" i="31"/>
  <c r="P1173" i="31"/>
  <c r="P1174" i="31"/>
  <c r="P1176" i="31"/>
  <c r="P1177" i="31"/>
  <c r="P1191" i="31"/>
  <c r="P1192" i="31"/>
  <c r="P1194" i="31"/>
  <c r="P1195" i="31"/>
  <c r="P1196" i="31"/>
  <c r="P1198" i="31"/>
  <c r="P1199" i="31"/>
  <c r="P1200" i="31"/>
  <c r="P1203" i="31"/>
  <c r="P1205" i="31"/>
  <c r="P1207" i="31"/>
  <c r="P1209" i="31"/>
  <c r="P1211" i="31"/>
  <c r="P1212" i="31"/>
  <c r="P1213" i="31"/>
  <c r="P1214" i="31"/>
  <c r="P1216" i="31"/>
  <c r="P1217" i="31"/>
  <c r="P1218" i="31"/>
  <c r="P1220" i="31"/>
  <c r="P1221" i="31"/>
  <c r="P1223" i="31"/>
  <c r="P1225" i="31"/>
  <c r="P1227" i="31"/>
  <c r="P1229" i="31"/>
  <c r="P1231" i="31"/>
  <c r="P1243" i="31"/>
  <c r="P1245" i="31"/>
  <c r="P1247" i="31"/>
  <c r="P1249" i="31"/>
  <c r="P1251" i="31"/>
  <c r="P1252" i="31"/>
  <c r="P1258" i="31"/>
  <c r="P1263" i="31"/>
  <c r="P1272" i="31"/>
  <c r="P1274" i="31"/>
  <c r="P1275" i="31"/>
  <c r="P1276" i="31"/>
  <c r="P1278" i="31"/>
  <c r="P1279" i="31"/>
  <c r="P1280" i="31"/>
  <c r="P1283" i="31"/>
  <c r="P1285" i="31"/>
  <c r="P1287" i="31"/>
  <c r="P1289" i="31"/>
  <c r="P1291" i="31"/>
  <c r="P1292" i="31"/>
  <c r="P1293" i="31"/>
  <c r="P1294" i="31"/>
  <c r="P1296" i="31"/>
  <c r="P1297" i="31"/>
  <c r="P1298" i="31"/>
  <c r="P1300" i="31"/>
  <c r="P1301" i="31"/>
  <c r="P1303" i="31"/>
  <c r="P1305" i="31"/>
  <c r="P1307" i="31"/>
  <c r="P1309" i="31"/>
  <c r="P1311" i="31"/>
  <c r="P1312" i="31"/>
  <c r="P1314" i="31"/>
  <c r="P1315" i="31"/>
  <c r="P1316" i="31"/>
  <c r="P1318" i="31"/>
  <c r="P1319" i="31"/>
  <c r="P1320" i="31"/>
  <c r="P1332" i="31"/>
  <c r="P1333" i="31"/>
  <c r="P1334" i="31"/>
  <c r="P1336" i="31"/>
  <c r="P1337" i="31"/>
  <c r="P1338" i="31"/>
  <c r="P1340" i="31"/>
  <c r="P1341" i="31"/>
  <c r="P1343" i="31"/>
  <c r="P1345" i="31"/>
  <c r="P1347" i="31"/>
  <c r="P1349" i="31"/>
  <c r="P1351" i="31"/>
  <c r="P1352" i="31"/>
  <c r="P1354" i="31"/>
  <c r="P1355" i="31"/>
  <c r="P1356" i="31"/>
  <c r="P1358" i="31"/>
  <c r="P1359" i="31"/>
  <c r="P1363" i="31"/>
  <c r="P1372" i="31"/>
  <c r="P1373" i="31"/>
  <c r="P1374" i="31"/>
  <c r="P1378" i="31"/>
  <c r="P1380" i="31"/>
  <c r="P1412" i="31"/>
  <c r="P1414" i="31"/>
  <c r="P1416" i="31"/>
  <c r="P1418" i="31"/>
  <c r="P1420" i="31"/>
  <c r="P1422" i="31"/>
  <c r="P1423" i="31"/>
  <c r="P1424" i="31"/>
  <c r="P1425" i="31"/>
  <c r="P1426" i="31"/>
  <c r="P1427" i="31"/>
  <c r="P1428" i="31"/>
  <c r="P1429" i="31"/>
  <c r="P1430" i="31"/>
  <c r="P1431" i="31"/>
  <c r="P1432" i="31"/>
  <c r="P1434" i="31"/>
  <c r="P1436" i="31"/>
  <c r="P1438" i="31"/>
  <c r="P1440" i="31"/>
  <c r="P1445" i="31"/>
  <c r="P1446" i="31"/>
  <c r="P1447" i="31"/>
  <c r="P1449" i="31"/>
  <c r="P1450" i="31"/>
  <c r="P1451" i="31"/>
  <c r="P1452" i="31"/>
  <c r="P1454" i="31"/>
  <c r="P1456" i="31"/>
  <c r="P1458" i="31"/>
  <c r="P1460" i="31"/>
  <c r="P1463" i="31"/>
  <c r="P1464" i="31"/>
  <c r="P1465" i="31"/>
  <c r="P1467" i="31"/>
  <c r="P1468" i="31"/>
  <c r="P1469" i="31"/>
  <c r="P1471" i="31"/>
  <c r="P1472" i="31"/>
  <c r="P1474" i="31"/>
  <c r="P1476" i="31"/>
  <c r="P1478" i="31"/>
  <c r="P1480" i="31"/>
  <c r="O6" i="31"/>
  <c r="O10" i="31"/>
  <c r="O12" i="31"/>
  <c r="O14" i="31"/>
  <c r="O16" i="31"/>
  <c r="O18" i="31"/>
  <c r="O20" i="31"/>
  <c r="O22" i="31"/>
  <c r="O26" i="31"/>
  <c r="O30" i="31"/>
  <c r="O32" i="31"/>
  <c r="O34" i="31"/>
  <c r="O36" i="31"/>
  <c r="O38" i="31"/>
  <c r="O40" i="31"/>
  <c r="O46" i="31"/>
  <c r="O50" i="31"/>
  <c r="O52" i="31"/>
  <c r="O54" i="31"/>
  <c r="O56" i="31"/>
  <c r="O58" i="31"/>
  <c r="O60" i="31"/>
  <c r="O62" i="31"/>
  <c r="O66" i="31"/>
  <c r="O70" i="31"/>
  <c r="O72" i="31"/>
  <c r="O74" i="31"/>
  <c r="O76" i="31"/>
  <c r="O78" i="31"/>
  <c r="O80" i="31"/>
  <c r="O86" i="31"/>
  <c r="O90" i="31"/>
  <c r="O92" i="31"/>
  <c r="O94" i="31"/>
  <c r="O96" i="31"/>
  <c r="O98" i="31"/>
  <c r="O100" i="31"/>
  <c r="O102" i="31"/>
  <c r="O106" i="31"/>
  <c r="O110" i="31"/>
  <c r="O112" i="31"/>
  <c r="O114" i="31"/>
  <c r="O116" i="31"/>
  <c r="O118" i="31"/>
  <c r="O120" i="31"/>
  <c r="O130" i="31"/>
  <c r="O132" i="31"/>
  <c r="O134" i="31"/>
  <c r="O136" i="31"/>
  <c r="O138" i="31"/>
  <c r="O140" i="31"/>
  <c r="O142" i="31"/>
  <c r="O146" i="31"/>
  <c r="O150" i="31"/>
  <c r="O152" i="31"/>
  <c r="O154" i="31"/>
  <c r="O156" i="31"/>
  <c r="O158" i="31"/>
  <c r="O160" i="31"/>
  <c r="O170" i="31"/>
  <c r="O172" i="31"/>
  <c r="O174" i="31"/>
  <c r="O176" i="31"/>
  <c r="O178" i="31"/>
  <c r="O180" i="31"/>
  <c r="O182" i="31"/>
  <c r="O186" i="31"/>
  <c r="O190" i="31"/>
  <c r="O192" i="31"/>
  <c r="O194" i="31"/>
  <c r="O196" i="31"/>
  <c r="O198" i="31"/>
  <c r="O200" i="31"/>
  <c r="O210" i="31"/>
  <c r="O212" i="31"/>
  <c r="O214" i="31"/>
  <c r="O216" i="31"/>
  <c r="O218" i="31"/>
  <c r="O220" i="31"/>
  <c r="O222" i="31"/>
  <c r="O226" i="31"/>
  <c r="O230" i="31"/>
  <c r="O232" i="31"/>
  <c r="O234" i="31"/>
  <c r="O236" i="31"/>
  <c r="O238" i="31"/>
  <c r="O240" i="31"/>
  <c r="O250" i="31"/>
  <c r="O252" i="31"/>
  <c r="O254" i="31"/>
  <c r="O256" i="31"/>
  <c r="O258" i="31"/>
  <c r="O260" i="31"/>
  <c r="O262" i="31"/>
  <c r="O266" i="31"/>
  <c r="O270" i="31"/>
  <c r="O272" i="31"/>
  <c r="O274" i="31"/>
  <c r="O276" i="31"/>
  <c r="O278" i="31"/>
  <c r="O280" i="31"/>
  <c r="O290" i="31"/>
  <c r="O292" i="31"/>
  <c r="O294" i="31"/>
  <c r="O296" i="31"/>
  <c r="O298" i="31"/>
  <c r="O300" i="31"/>
  <c r="O302" i="31"/>
  <c r="O306" i="31"/>
  <c r="O310" i="31"/>
  <c r="O312" i="31"/>
  <c r="O314" i="31"/>
  <c r="O316" i="31"/>
  <c r="O318" i="31"/>
  <c r="O320" i="31"/>
  <c r="O330" i="31"/>
  <c r="O332" i="31"/>
  <c r="O334" i="31"/>
  <c r="O336" i="31"/>
  <c r="O338" i="31"/>
  <c r="O340" i="31"/>
  <c r="O342" i="31"/>
  <c r="O346" i="31"/>
  <c r="O350" i="31"/>
  <c r="O352" i="31"/>
  <c r="O354" i="31"/>
  <c r="O356" i="31"/>
  <c r="O358" i="31"/>
  <c r="O360" i="31"/>
  <c r="O370" i="31"/>
  <c r="O372" i="31"/>
  <c r="O374" i="31"/>
  <c r="O376" i="31"/>
  <c r="O378" i="31"/>
  <c r="O380" i="31"/>
  <c r="O382" i="31"/>
  <c r="O386" i="31"/>
  <c r="O390" i="31"/>
  <c r="O392" i="31"/>
  <c r="O394" i="31"/>
  <c r="O396" i="31"/>
  <c r="O398" i="31"/>
  <c r="O400" i="31"/>
  <c r="O412" i="31"/>
  <c r="O414" i="31"/>
  <c r="O416" i="31"/>
  <c r="O418" i="31"/>
  <c r="O420" i="31"/>
  <c r="O422" i="31"/>
  <c r="O426" i="31"/>
  <c r="O430" i="31"/>
  <c r="O432" i="31"/>
  <c r="O434" i="31"/>
  <c r="O436" i="31"/>
  <c r="O438" i="31"/>
  <c r="O440" i="31"/>
  <c r="O452" i="31"/>
  <c r="O454" i="31"/>
  <c r="O456" i="31"/>
  <c r="O458" i="31"/>
  <c r="O460" i="31"/>
  <c r="O462" i="31"/>
  <c r="O466" i="31"/>
  <c r="O470" i="31"/>
  <c r="O472" i="31"/>
  <c r="O474" i="31"/>
  <c r="O476" i="31"/>
  <c r="O478" i="31"/>
  <c r="O480" i="31"/>
  <c r="O492" i="31"/>
  <c r="O494" i="31"/>
  <c r="O496" i="31"/>
  <c r="O498" i="31"/>
  <c r="O500" i="31"/>
  <c r="O510" i="31"/>
  <c r="O512" i="31"/>
  <c r="O514" i="31"/>
  <c r="O516" i="31"/>
  <c r="O518" i="31"/>
  <c r="O520" i="31"/>
  <c r="O532" i="31"/>
  <c r="O534" i="31"/>
  <c r="O536" i="31"/>
  <c r="O538" i="31"/>
  <c r="O540" i="31"/>
  <c r="O542" i="31"/>
  <c r="O546" i="31"/>
  <c r="O550" i="31"/>
  <c r="O552" i="31"/>
  <c r="O554" i="31"/>
  <c r="O556" i="31"/>
  <c r="O558" i="31"/>
  <c r="O560" i="31"/>
  <c r="O572" i="31"/>
  <c r="O574" i="31"/>
  <c r="O576" i="31"/>
  <c r="O578" i="31"/>
  <c r="O580" i="31"/>
  <c r="O582" i="31"/>
  <c r="O586" i="31"/>
  <c r="O590" i="31"/>
  <c r="O592" i="31"/>
  <c r="O594" i="31"/>
  <c r="O596" i="31"/>
  <c r="O598" i="31"/>
  <c r="O600" i="31"/>
  <c r="O612" i="31"/>
  <c r="O614" i="31"/>
  <c r="O616" i="31"/>
  <c r="O618" i="31"/>
  <c r="O620" i="31"/>
  <c r="O622" i="31"/>
  <c r="O626" i="31"/>
  <c r="O630" i="31"/>
  <c r="O632" i="31"/>
  <c r="O634" i="31"/>
  <c r="O636" i="31"/>
  <c r="O638" i="31"/>
  <c r="O640" i="31"/>
  <c r="O652" i="31"/>
  <c r="O654" i="31"/>
  <c r="O656" i="31"/>
  <c r="O658" i="31"/>
  <c r="O660" i="31"/>
  <c r="O662" i="31"/>
  <c r="O666" i="31"/>
  <c r="O670" i="31"/>
  <c r="O672" i="31"/>
  <c r="O674" i="31"/>
  <c r="O676" i="31"/>
  <c r="O678" i="31"/>
  <c r="O680" i="31"/>
  <c r="O692" i="31"/>
  <c r="O694" i="31"/>
  <c r="O696" i="31"/>
  <c r="O698" i="31"/>
  <c r="O700" i="31"/>
  <c r="O702" i="31"/>
  <c r="O706" i="31"/>
  <c r="O710" i="31"/>
  <c r="O712" i="31"/>
  <c r="O714" i="31"/>
  <c r="O716" i="31"/>
  <c r="O718" i="31"/>
  <c r="O720" i="31"/>
  <c r="O732" i="31"/>
  <c r="O734" i="31"/>
  <c r="O736" i="31"/>
  <c r="O738" i="31"/>
  <c r="O740" i="31"/>
  <c r="O742" i="31"/>
  <c r="O746" i="31"/>
  <c r="O750" i="31"/>
  <c r="O752" i="31"/>
  <c r="O754" i="31"/>
  <c r="O756" i="31"/>
  <c r="O758" i="31"/>
  <c r="O760" i="31"/>
  <c r="O772" i="31"/>
  <c r="O774" i="31"/>
  <c r="O776" i="31"/>
  <c r="O778" i="31"/>
  <c r="O780" i="31"/>
  <c r="O782" i="31"/>
  <c r="O786" i="31"/>
  <c r="O790" i="31"/>
  <c r="O792" i="31"/>
  <c r="O794" i="31"/>
  <c r="O796" i="31"/>
  <c r="O798" i="31"/>
  <c r="O800" i="31"/>
  <c r="O812" i="31"/>
  <c r="O814" i="31"/>
  <c r="O816" i="31"/>
  <c r="O818" i="31"/>
  <c r="O820" i="31"/>
  <c r="O822" i="31"/>
  <c r="O826" i="31"/>
  <c r="O830" i="31"/>
  <c r="O832" i="31"/>
  <c r="O834" i="31"/>
  <c r="O836" i="31"/>
  <c r="O838" i="31"/>
  <c r="O840" i="31"/>
  <c r="O852" i="31"/>
  <c r="O854" i="31"/>
  <c r="O856" i="31"/>
  <c r="O858" i="31"/>
  <c r="O860" i="31"/>
  <c r="O862" i="31"/>
  <c r="O866" i="31"/>
  <c r="O870" i="31"/>
  <c r="O872" i="31"/>
  <c r="O874" i="31"/>
  <c r="O876" i="31"/>
  <c r="O878" i="31"/>
  <c r="O880" i="31"/>
  <c r="O892" i="31"/>
  <c r="O894" i="31"/>
  <c r="O896" i="31"/>
  <c r="O898" i="31"/>
  <c r="O900" i="31"/>
  <c r="O902" i="31"/>
  <c r="O906" i="31"/>
  <c r="O910" i="31"/>
  <c r="O912" i="31"/>
  <c r="O914" i="31"/>
  <c r="O916" i="31"/>
  <c r="O918" i="31"/>
  <c r="O920" i="31"/>
  <c r="O932" i="31"/>
  <c r="O934" i="31"/>
  <c r="O936" i="31"/>
  <c r="O938" i="31"/>
  <c r="O940" i="31"/>
  <c r="O942" i="31"/>
  <c r="O946" i="31"/>
  <c r="O950" i="31"/>
  <c r="O952" i="31"/>
  <c r="O954" i="31"/>
  <c r="O956" i="31"/>
  <c r="O958" i="31"/>
  <c r="O960" i="31"/>
  <c r="O972" i="31"/>
  <c r="O974" i="31"/>
  <c r="O976" i="31"/>
  <c r="O978" i="31"/>
  <c r="O980" i="31"/>
  <c r="O982" i="31"/>
  <c r="O986" i="31"/>
  <c r="O990" i="31"/>
  <c r="O992" i="31"/>
  <c r="O994" i="31"/>
  <c r="O996" i="31"/>
  <c r="O998" i="31"/>
  <c r="O1000" i="31"/>
  <c r="O1012" i="31"/>
  <c r="O1014" i="31"/>
  <c r="O1016" i="31"/>
  <c r="O1018" i="31"/>
  <c r="O1020" i="31"/>
  <c r="O1022" i="31"/>
  <c r="O1026" i="31"/>
  <c r="O1030" i="31"/>
  <c r="O1032" i="31"/>
  <c r="O1034" i="31"/>
  <c r="O1036" i="31"/>
  <c r="O1038" i="31"/>
  <c r="O1040" i="31"/>
  <c r="O1052" i="31"/>
  <c r="O1054" i="31"/>
  <c r="O1056" i="31"/>
  <c r="O1058" i="31"/>
  <c r="O1060" i="31"/>
  <c r="O1062" i="31"/>
  <c r="O1066" i="31"/>
  <c r="O1070" i="31"/>
  <c r="O1072" i="31"/>
  <c r="O1074" i="31"/>
  <c r="O1076" i="31"/>
  <c r="O1078" i="31"/>
  <c r="O1080" i="31"/>
  <c r="O1092" i="31"/>
  <c r="O1094" i="31"/>
  <c r="O1096" i="31"/>
  <c r="O1098" i="31"/>
  <c r="O1100" i="31"/>
  <c r="O1102" i="31"/>
  <c r="O1106" i="31"/>
  <c r="O1110" i="31"/>
  <c r="O1112" i="31"/>
  <c r="O1114" i="31"/>
  <c r="O1116" i="31"/>
  <c r="O1118" i="31"/>
  <c r="O1120" i="31"/>
  <c r="O1132" i="31"/>
  <c r="O1134" i="31"/>
  <c r="O1136" i="31"/>
  <c r="O1138" i="31"/>
  <c r="O1140" i="31"/>
  <c r="O1142" i="31"/>
  <c r="O1146" i="31"/>
  <c r="O1150" i="31"/>
  <c r="O1152" i="31"/>
  <c r="O1154" i="31"/>
  <c r="O1156" i="31"/>
  <c r="O1158" i="31"/>
  <c r="O1160" i="31"/>
  <c r="O1172" i="31"/>
  <c r="O1174" i="31"/>
  <c r="O1176" i="31"/>
  <c r="O1178" i="31"/>
  <c r="O1180" i="31"/>
  <c r="O1182" i="31"/>
  <c r="O1186" i="31"/>
  <c r="O1190" i="31"/>
  <c r="O1192" i="31"/>
  <c r="O1194" i="31"/>
  <c r="O1196" i="31"/>
  <c r="O1198" i="31"/>
  <c r="O1200" i="31"/>
  <c r="O1212" i="31"/>
  <c r="O1214" i="31"/>
  <c r="O1216" i="31"/>
  <c r="O1218" i="31"/>
  <c r="O1220" i="31"/>
  <c r="O1222" i="31"/>
  <c r="O1226" i="31"/>
  <c r="O1230" i="31"/>
  <c r="O1232" i="31"/>
  <c r="O1234" i="31"/>
  <c r="O1236" i="31"/>
  <c r="O1238" i="31"/>
  <c r="O1240" i="31"/>
  <c r="O1252" i="31"/>
  <c r="O1254" i="31"/>
  <c r="O1256" i="31"/>
  <c r="O1258" i="31"/>
  <c r="O1260" i="31"/>
  <c r="O1262" i="31"/>
  <c r="O1266" i="31"/>
  <c r="O1270" i="31"/>
  <c r="O1272" i="31"/>
  <c r="O1274" i="31"/>
  <c r="O1276" i="31"/>
  <c r="O1278" i="31"/>
  <c r="O1280" i="31"/>
  <c r="O1292" i="31"/>
  <c r="O1294" i="31"/>
  <c r="O1296" i="31"/>
  <c r="O1298" i="31"/>
  <c r="O1300" i="31"/>
  <c r="O1302" i="31"/>
  <c r="O1306" i="31"/>
  <c r="O1310" i="31"/>
  <c r="O1312" i="31"/>
  <c r="O1314" i="31"/>
  <c r="O1316" i="31"/>
  <c r="O1318" i="31"/>
  <c r="O1320" i="31"/>
  <c r="O1332" i="31"/>
  <c r="O1334" i="31"/>
  <c r="O1336" i="31"/>
  <c r="O1338" i="31"/>
  <c r="O1340" i="31"/>
  <c r="O1342" i="31"/>
  <c r="O1346" i="31"/>
  <c r="O1350" i="31"/>
  <c r="O1352" i="31"/>
  <c r="O1354" i="31"/>
  <c r="O1356" i="31"/>
  <c r="O1358" i="31"/>
  <c r="O1360" i="31"/>
  <c r="O1372" i="31"/>
  <c r="O1374" i="31"/>
  <c r="O1376" i="31"/>
  <c r="O1378" i="31"/>
  <c r="O1380" i="31"/>
  <c r="O1382" i="31"/>
  <c r="O1386" i="31"/>
  <c r="O1390" i="31"/>
  <c r="O1392" i="31"/>
  <c r="O1394" i="31"/>
  <c r="O1396" i="31"/>
  <c r="O1398" i="31"/>
  <c r="O1400" i="31"/>
  <c r="O1412" i="31"/>
  <c r="O1414" i="31"/>
  <c r="O1416" i="31"/>
  <c r="O1418" i="31"/>
  <c r="O1420" i="31"/>
  <c r="O1422" i="31"/>
  <c r="O1426" i="31"/>
  <c r="O1430" i="31"/>
  <c r="O1432" i="31"/>
  <c r="O1434" i="31"/>
  <c r="O1436" i="31"/>
  <c r="O1438" i="31"/>
  <c r="O1440" i="31"/>
  <c r="O1452" i="31"/>
  <c r="O1454" i="31"/>
  <c r="O1456" i="31"/>
  <c r="O1458" i="31"/>
  <c r="O1460" i="31"/>
  <c r="O1462" i="31"/>
  <c r="O1466" i="31"/>
  <c r="O1470" i="31"/>
  <c r="O1472" i="31"/>
  <c r="O1474" i="31"/>
  <c r="O1476" i="31"/>
  <c r="O1478" i="31"/>
  <c r="O1480" i="31"/>
  <c r="E3" i="18"/>
  <c r="O2" i="31" s="1"/>
  <c r="E4" i="18"/>
  <c r="O3" i="31" s="1"/>
  <c r="E5" i="18"/>
  <c r="O4" i="31" s="1"/>
  <c r="E6" i="18"/>
  <c r="O5" i="31" s="1"/>
  <c r="E7" i="18"/>
  <c r="E8" i="18"/>
  <c r="O7" i="31" s="1"/>
  <c r="E9" i="18"/>
  <c r="O8" i="31" s="1"/>
  <c r="E10" i="18"/>
  <c r="O9" i="31" s="1"/>
  <c r="E11" i="18"/>
  <c r="E12" i="18"/>
  <c r="O11" i="31" s="1"/>
  <c r="E13" i="18"/>
  <c r="E14" i="18"/>
  <c r="E15" i="18"/>
  <c r="O13" i="31" s="1"/>
  <c r="E16" i="18"/>
  <c r="E17" i="18"/>
  <c r="O15" i="31" s="1"/>
  <c r="E18" i="18"/>
  <c r="E19" i="18"/>
  <c r="O17" i="31" s="1"/>
  <c r="E20" i="18"/>
  <c r="E21" i="18"/>
  <c r="O19" i="31" s="1"/>
  <c r="E22" i="18"/>
  <c r="E23" i="18"/>
  <c r="O21" i="31" s="1"/>
  <c r="E24" i="18"/>
  <c r="E25" i="18"/>
  <c r="E26" i="18"/>
  <c r="O23" i="31" s="1"/>
  <c r="E27" i="18"/>
  <c r="O24" i="31" s="1"/>
  <c r="E28" i="18"/>
  <c r="O25" i="31" s="1"/>
  <c r="E29" i="18"/>
  <c r="E30" i="18"/>
  <c r="O27" i="31" s="1"/>
  <c r="E31" i="18"/>
  <c r="O28" i="31" s="1"/>
  <c r="E32" i="18"/>
  <c r="O29" i="31" s="1"/>
  <c r="E33" i="18"/>
  <c r="E34" i="18"/>
  <c r="O31" i="31" s="1"/>
  <c r="E35" i="18"/>
  <c r="E36" i="18"/>
  <c r="E37" i="18"/>
  <c r="O33" i="31" s="1"/>
  <c r="E38" i="18"/>
  <c r="E39" i="18"/>
  <c r="O35" i="31" s="1"/>
  <c r="E40" i="18"/>
  <c r="E41" i="18"/>
  <c r="O37" i="31" s="1"/>
  <c r="E42" i="18"/>
  <c r="E43" i="18"/>
  <c r="O39" i="31" s="1"/>
  <c r="E44" i="18"/>
  <c r="E45" i="18"/>
  <c r="O41" i="31" s="1"/>
  <c r="E46" i="18"/>
  <c r="E47" i="18"/>
  <c r="O42" i="31" s="1"/>
  <c r="E48" i="18"/>
  <c r="O43" i="31" s="1"/>
  <c r="E49" i="18"/>
  <c r="O44" i="31" s="1"/>
  <c r="E50" i="18"/>
  <c r="O45" i="31" s="1"/>
  <c r="E51" i="18"/>
  <c r="E52" i="18"/>
  <c r="O47" i="31" s="1"/>
  <c r="E53" i="18"/>
  <c r="O48" i="31" s="1"/>
  <c r="E54" i="18"/>
  <c r="O49" i="31" s="1"/>
  <c r="E55" i="18"/>
  <c r="E56" i="18"/>
  <c r="O51" i="31" s="1"/>
  <c r="E57" i="18"/>
  <c r="E58" i="18"/>
  <c r="E59" i="18"/>
  <c r="O53" i="31" s="1"/>
  <c r="E60" i="18"/>
  <c r="E61" i="18"/>
  <c r="O55" i="31" s="1"/>
  <c r="E62" i="18"/>
  <c r="E63" i="18"/>
  <c r="O57" i="31" s="1"/>
  <c r="E64" i="18"/>
  <c r="E65" i="18"/>
  <c r="O59" i="31" s="1"/>
  <c r="E66" i="18"/>
  <c r="E67" i="18"/>
  <c r="O61" i="31" s="1"/>
  <c r="E68" i="18"/>
  <c r="E69" i="18"/>
  <c r="E70" i="18"/>
  <c r="O63" i="31" s="1"/>
  <c r="E71" i="18"/>
  <c r="O64" i="31" s="1"/>
  <c r="E72" i="18"/>
  <c r="O65" i="31" s="1"/>
  <c r="E73" i="18"/>
  <c r="E74" i="18"/>
  <c r="O67" i="31" s="1"/>
  <c r="E75" i="18"/>
  <c r="O68" i="31" s="1"/>
  <c r="E76" i="18"/>
  <c r="O69" i="31" s="1"/>
  <c r="E77" i="18"/>
  <c r="E78" i="18"/>
  <c r="O71" i="31" s="1"/>
  <c r="E79" i="18"/>
  <c r="E80" i="18"/>
  <c r="E81" i="18"/>
  <c r="O73" i="31" s="1"/>
  <c r="E82" i="18"/>
  <c r="E83" i="18"/>
  <c r="O75" i="31" s="1"/>
  <c r="E84" i="18"/>
  <c r="E85" i="18"/>
  <c r="O77" i="31" s="1"/>
  <c r="E86" i="18"/>
  <c r="E87" i="18"/>
  <c r="O79" i="31" s="1"/>
  <c r="E88" i="18"/>
  <c r="E89" i="18"/>
  <c r="O81" i="31" s="1"/>
  <c r="E90" i="18"/>
  <c r="E91" i="18"/>
  <c r="O82" i="31" s="1"/>
  <c r="E92" i="18"/>
  <c r="O83" i="31" s="1"/>
  <c r="E93" i="18"/>
  <c r="O84" i="31" s="1"/>
  <c r="E94" i="18"/>
  <c r="O85" i="31" s="1"/>
  <c r="E95" i="18"/>
  <c r="E96" i="18"/>
  <c r="O87" i="31" s="1"/>
  <c r="E97" i="18"/>
  <c r="O88" i="31" s="1"/>
  <c r="E98" i="18"/>
  <c r="O89" i="31" s="1"/>
  <c r="E99" i="18"/>
  <c r="E100" i="18"/>
  <c r="O91" i="31" s="1"/>
  <c r="E101" i="18"/>
  <c r="E102" i="18"/>
  <c r="E103" i="18"/>
  <c r="O93" i="31" s="1"/>
  <c r="E104" i="18"/>
  <c r="E105" i="18"/>
  <c r="O95" i="31" s="1"/>
  <c r="E106" i="18"/>
  <c r="E107" i="18"/>
  <c r="O97" i="31" s="1"/>
  <c r="E108" i="18"/>
  <c r="E109" i="18"/>
  <c r="O99" i="31" s="1"/>
  <c r="E110" i="18"/>
  <c r="E111" i="18"/>
  <c r="O101" i="31" s="1"/>
  <c r="E112" i="18"/>
  <c r="E113" i="18"/>
  <c r="E114" i="18"/>
  <c r="O103" i="31" s="1"/>
  <c r="E115" i="18"/>
  <c r="O104" i="31" s="1"/>
  <c r="E116" i="18"/>
  <c r="O105" i="31" s="1"/>
  <c r="E117" i="18"/>
  <c r="E118" i="18"/>
  <c r="O107" i="31" s="1"/>
  <c r="E119" i="18"/>
  <c r="O108" i="31" s="1"/>
  <c r="E120" i="18"/>
  <c r="O109" i="31" s="1"/>
  <c r="E121" i="18"/>
  <c r="E122" i="18"/>
  <c r="O111" i="31" s="1"/>
  <c r="E123" i="18"/>
  <c r="E124" i="18"/>
  <c r="E125" i="18"/>
  <c r="O113" i="31" s="1"/>
  <c r="E126" i="18"/>
  <c r="E127" i="18"/>
  <c r="O115" i="31" s="1"/>
  <c r="E128" i="18"/>
  <c r="E129" i="18"/>
  <c r="O117" i="31" s="1"/>
  <c r="E130" i="18"/>
  <c r="E131" i="18"/>
  <c r="O119" i="31" s="1"/>
  <c r="E132" i="18"/>
  <c r="E133" i="18"/>
  <c r="O121" i="31" s="1"/>
  <c r="E134" i="18"/>
  <c r="E135" i="18"/>
  <c r="O122" i="31" s="1"/>
  <c r="E136" i="18"/>
  <c r="O123" i="31" s="1"/>
  <c r="E137" i="18"/>
  <c r="O124" i="31" s="1"/>
  <c r="E138" i="18"/>
  <c r="O125" i="31" s="1"/>
  <c r="E139" i="18"/>
  <c r="O126" i="31" s="1"/>
  <c r="E140" i="18"/>
  <c r="O127" i="31" s="1"/>
  <c r="E141" i="18"/>
  <c r="O128" i="31" s="1"/>
  <c r="E142" i="18"/>
  <c r="O129" i="31" s="1"/>
  <c r="E143" i="18"/>
  <c r="E144" i="18"/>
  <c r="O131" i="31" s="1"/>
  <c r="E145" i="18"/>
  <c r="E146" i="18"/>
  <c r="E147" i="18"/>
  <c r="O133" i="31" s="1"/>
  <c r="E148" i="18"/>
  <c r="E149" i="18"/>
  <c r="O135" i="31" s="1"/>
  <c r="E150" i="18"/>
  <c r="E151" i="18"/>
  <c r="O137" i="31" s="1"/>
  <c r="E152" i="18"/>
  <c r="E153" i="18"/>
  <c r="O139" i="31" s="1"/>
  <c r="E154" i="18"/>
  <c r="E155" i="18"/>
  <c r="O141" i="31" s="1"/>
  <c r="E156" i="18"/>
  <c r="E157" i="18"/>
  <c r="E158" i="18"/>
  <c r="O143" i="31" s="1"/>
  <c r="E159" i="18"/>
  <c r="O144" i="31" s="1"/>
  <c r="E160" i="18"/>
  <c r="O145" i="31" s="1"/>
  <c r="E161" i="18"/>
  <c r="E162" i="18"/>
  <c r="O147" i="31" s="1"/>
  <c r="E163" i="18"/>
  <c r="O148" i="31" s="1"/>
  <c r="E164" i="18"/>
  <c r="O149" i="31" s="1"/>
  <c r="E165" i="18"/>
  <c r="E166" i="18"/>
  <c r="O151" i="31" s="1"/>
  <c r="E167" i="18"/>
  <c r="E168" i="18"/>
  <c r="E169" i="18"/>
  <c r="O153" i="31" s="1"/>
  <c r="E170" i="18"/>
  <c r="E171" i="18"/>
  <c r="O155" i="31" s="1"/>
  <c r="E172" i="18"/>
  <c r="E173" i="18"/>
  <c r="O157" i="31" s="1"/>
  <c r="E174" i="18"/>
  <c r="E175" i="18"/>
  <c r="O159" i="31" s="1"/>
  <c r="E176" i="18"/>
  <c r="E177" i="18"/>
  <c r="O161" i="31" s="1"/>
  <c r="E178" i="18"/>
  <c r="E179" i="18"/>
  <c r="O162" i="31" s="1"/>
  <c r="E180" i="18"/>
  <c r="O163" i="31" s="1"/>
  <c r="E181" i="18"/>
  <c r="O164" i="31" s="1"/>
  <c r="E182" i="18"/>
  <c r="O165" i="31" s="1"/>
  <c r="E183" i="18"/>
  <c r="O166" i="31" s="1"/>
  <c r="E184" i="18"/>
  <c r="O167" i="31" s="1"/>
  <c r="E185" i="18"/>
  <c r="O168" i="31" s="1"/>
  <c r="E186" i="18"/>
  <c r="O169" i="31" s="1"/>
  <c r="E187" i="18"/>
  <c r="E188" i="18"/>
  <c r="O171" i="31" s="1"/>
  <c r="E189" i="18"/>
  <c r="E190" i="18"/>
  <c r="E191" i="18"/>
  <c r="O173" i="31" s="1"/>
  <c r="E192" i="18"/>
  <c r="E193" i="18"/>
  <c r="O175" i="31" s="1"/>
  <c r="E194" i="18"/>
  <c r="E195" i="18"/>
  <c r="O177" i="31" s="1"/>
  <c r="E196" i="18"/>
  <c r="E197" i="18"/>
  <c r="O179" i="31" s="1"/>
  <c r="E198" i="18"/>
  <c r="E199" i="18"/>
  <c r="O181" i="31" s="1"/>
  <c r="E200" i="18"/>
  <c r="E201" i="18"/>
  <c r="E202" i="18"/>
  <c r="O183" i="31" s="1"/>
  <c r="E203" i="18"/>
  <c r="O184" i="31" s="1"/>
  <c r="E204" i="18"/>
  <c r="O185" i="31" s="1"/>
  <c r="E205" i="18"/>
  <c r="E206" i="18"/>
  <c r="O187" i="31" s="1"/>
  <c r="E207" i="18"/>
  <c r="O188" i="31" s="1"/>
  <c r="E208" i="18"/>
  <c r="O189" i="31" s="1"/>
  <c r="E209" i="18"/>
  <c r="E210" i="18"/>
  <c r="O191" i="31" s="1"/>
  <c r="E211" i="18"/>
  <c r="E212" i="18"/>
  <c r="E213" i="18"/>
  <c r="O193" i="31" s="1"/>
  <c r="E214" i="18"/>
  <c r="E215" i="18"/>
  <c r="O195" i="31" s="1"/>
  <c r="E216" i="18"/>
  <c r="E217" i="18"/>
  <c r="O197" i="31" s="1"/>
  <c r="E218" i="18"/>
  <c r="E219" i="18"/>
  <c r="O199" i="31" s="1"/>
  <c r="E220" i="18"/>
  <c r="E221" i="18"/>
  <c r="O201" i="31" s="1"/>
  <c r="E222" i="18"/>
  <c r="E223" i="18"/>
  <c r="O202" i="31" s="1"/>
  <c r="E224" i="18"/>
  <c r="O203" i="31" s="1"/>
  <c r="E225" i="18"/>
  <c r="O204" i="31" s="1"/>
  <c r="E226" i="18"/>
  <c r="O205" i="31" s="1"/>
  <c r="E227" i="18"/>
  <c r="O206" i="31" s="1"/>
  <c r="E228" i="18"/>
  <c r="O207" i="31" s="1"/>
  <c r="E229" i="18"/>
  <c r="O208" i="31" s="1"/>
  <c r="E230" i="18"/>
  <c r="O209" i="31" s="1"/>
  <c r="E231" i="18"/>
  <c r="E232" i="18"/>
  <c r="O211" i="31" s="1"/>
  <c r="E233" i="18"/>
  <c r="E234" i="18"/>
  <c r="E235" i="18"/>
  <c r="O213" i="31" s="1"/>
  <c r="E236" i="18"/>
  <c r="E237" i="18"/>
  <c r="O215" i="31" s="1"/>
  <c r="E238" i="18"/>
  <c r="E239" i="18"/>
  <c r="O217" i="31" s="1"/>
  <c r="E240" i="18"/>
  <c r="E241" i="18"/>
  <c r="O219" i="31" s="1"/>
  <c r="E242" i="18"/>
  <c r="E243" i="18"/>
  <c r="O221" i="31" s="1"/>
  <c r="E244" i="18"/>
  <c r="E245" i="18"/>
  <c r="E246" i="18"/>
  <c r="O223" i="31" s="1"/>
  <c r="E247" i="18"/>
  <c r="O224" i="31" s="1"/>
  <c r="E248" i="18"/>
  <c r="O225" i="31" s="1"/>
  <c r="E249" i="18"/>
  <c r="E250" i="18"/>
  <c r="O227" i="31" s="1"/>
  <c r="E251" i="18"/>
  <c r="O228" i="31" s="1"/>
  <c r="E252" i="18"/>
  <c r="O229" i="31" s="1"/>
  <c r="E253" i="18"/>
  <c r="E254" i="18"/>
  <c r="O231" i="31" s="1"/>
  <c r="E255" i="18"/>
  <c r="E256" i="18"/>
  <c r="E257" i="18"/>
  <c r="O233" i="31" s="1"/>
  <c r="E258" i="18"/>
  <c r="E259" i="18"/>
  <c r="O235" i="31" s="1"/>
  <c r="E260" i="18"/>
  <c r="E261" i="18"/>
  <c r="O237" i="31" s="1"/>
  <c r="E262" i="18"/>
  <c r="E263" i="18"/>
  <c r="O239" i="31" s="1"/>
  <c r="E264" i="18"/>
  <c r="E265" i="18"/>
  <c r="O241" i="31" s="1"/>
  <c r="E266" i="18"/>
  <c r="E267" i="18"/>
  <c r="O242" i="31" s="1"/>
  <c r="E268" i="18"/>
  <c r="O243" i="31" s="1"/>
  <c r="E269" i="18"/>
  <c r="O244" i="31" s="1"/>
  <c r="E270" i="18"/>
  <c r="O245" i="31" s="1"/>
  <c r="E271" i="18"/>
  <c r="O246" i="31" s="1"/>
  <c r="E272" i="18"/>
  <c r="O247" i="31" s="1"/>
  <c r="E273" i="18"/>
  <c r="O248" i="31" s="1"/>
  <c r="E274" i="18"/>
  <c r="O249" i="31" s="1"/>
  <c r="E275" i="18"/>
  <c r="E276" i="18"/>
  <c r="O251" i="31" s="1"/>
  <c r="E277" i="18"/>
  <c r="E278" i="18"/>
  <c r="E279" i="18"/>
  <c r="O253" i="31" s="1"/>
  <c r="E280" i="18"/>
  <c r="E281" i="18"/>
  <c r="O255" i="31" s="1"/>
  <c r="E282" i="18"/>
  <c r="E283" i="18"/>
  <c r="O257" i="31" s="1"/>
  <c r="E284" i="18"/>
  <c r="E285" i="18"/>
  <c r="O259" i="31" s="1"/>
  <c r="E286" i="18"/>
  <c r="E287" i="18"/>
  <c r="O261" i="31" s="1"/>
  <c r="E288" i="18"/>
  <c r="E289" i="18"/>
  <c r="E290" i="18"/>
  <c r="O263" i="31" s="1"/>
  <c r="E291" i="18"/>
  <c r="O264" i="31" s="1"/>
  <c r="E292" i="18"/>
  <c r="O265" i="31" s="1"/>
  <c r="E293" i="18"/>
  <c r="E294" i="18"/>
  <c r="O267" i="31" s="1"/>
  <c r="E295" i="18"/>
  <c r="O268" i="31" s="1"/>
  <c r="E296" i="18"/>
  <c r="O269" i="31" s="1"/>
  <c r="E297" i="18"/>
  <c r="E298" i="18"/>
  <c r="O271" i="31" s="1"/>
  <c r="E299" i="18"/>
  <c r="E300" i="18"/>
  <c r="E301" i="18"/>
  <c r="O273" i="31" s="1"/>
  <c r="E302" i="18"/>
  <c r="E303" i="18"/>
  <c r="O275" i="31" s="1"/>
  <c r="E304" i="18"/>
  <c r="E305" i="18"/>
  <c r="O277" i="31" s="1"/>
  <c r="E306" i="18"/>
  <c r="E307" i="18"/>
  <c r="O279" i="31" s="1"/>
  <c r="E308" i="18"/>
  <c r="E309" i="18"/>
  <c r="O281" i="31" s="1"/>
  <c r="E310" i="18"/>
  <c r="E311" i="18"/>
  <c r="O282" i="31" s="1"/>
  <c r="E312" i="18"/>
  <c r="O283" i="31" s="1"/>
  <c r="E313" i="18"/>
  <c r="O284" i="31" s="1"/>
  <c r="E314" i="18"/>
  <c r="O285" i="31" s="1"/>
  <c r="E315" i="18"/>
  <c r="O286" i="31" s="1"/>
  <c r="E316" i="18"/>
  <c r="O287" i="31" s="1"/>
  <c r="E317" i="18"/>
  <c r="O288" i="31" s="1"/>
  <c r="E318" i="18"/>
  <c r="O289" i="31" s="1"/>
  <c r="E319" i="18"/>
  <c r="E320" i="18"/>
  <c r="O291" i="31" s="1"/>
  <c r="E321" i="18"/>
  <c r="E322" i="18"/>
  <c r="E323" i="18"/>
  <c r="O293" i="31" s="1"/>
  <c r="E324" i="18"/>
  <c r="E325" i="18"/>
  <c r="O295" i="31" s="1"/>
  <c r="E326" i="18"/>
  <c r="E327" i="18"/>
  <c r="O297" i="31" s="1"/>
  <c r="E328" i="18"/>
  <c r="E329" i="18"/>
  <c r="O299" i="31" s="1"/>
  <c r="E330" i="18"/>
  <c r="E331" i="18"/>
  <c r="O301" i="31" s="1"/>
  <c r="E332" i="18"/>
  <c r="E333" i="18"/>
  <c r="E334" i="18"/>
  <c r="O303" i="31" s="1"/>
  <c r="E335" i="18"/>
  <c r="O304" i="31" s="1"/>
  <c r="E336" i="18"/>
  <c r="O305" i="31" s="1"/>
  <c r="E337" i="18"/>
  <c r="E338" i="18"/>
  <c r="O307" i="31" s="1"/>
  <c r="E339" i="18"/>
  <c r="O308" i="31" s="1"/>
  <c r="E340" i="18"/>
  <c r="O309" i="31" s="1"/>
  <c r="E341" i="18"/>
  <c r="E342" i="18"/>
  <c r="O311" i="31" s="1"/>
  <c r="E343" i="18"/>
  <c r="E344" i="18"/>
  <c r="E345" i="18"/>
  <c r="O313" i="31" s="1"/>
  <c r="E346" i="18"/>
  <c r="E347" i="18"/>
  <c r="O315" i="31" s="1"/>
  <c r="E348" i="18"/>
  <c r="E349" i="18"/>
  <c r="O317" i="31" s="1"/>
  <c r="E350" i="18"/>
  <c r="E351" i="18"/>
  <c r="O319" i="31" s="1"/>
  <c r="E352" i="18"/>
  <c r="E353" i="18"/>
  <c r="O321" i="31" s="1"/>
  <c r="E354" i="18"/>
  <c r="E355" i="18"/>
  <c r="O322" i="31" s="1"/>
  <c r="E356" i="18"/>
  <c r="O323" i="31" s="1"/>
  <c r="E357" i="18"/>
  <c r="O324" i="31" s="1"/>
  <c r="E358" i="18"/>
  <c r="O325" i="31" s="1"/>
  <c r="E359" i="18"/>
  <c r="O326" i="31" s="1"/>
  <c r="E360" i="18"/>
  <c r="O327" i="31" s="1"/>
  <c r="E361" i="18"/>
  <c r="O328" i="31" s="1"/>
  <c r="E362" i="18"/>
  <c r="O329" i="31" s="1"/>
  <c r="E363" i="18"/>
  <c r="E364" i="18"/>
  <c r="O331" i="31" s="1"/>
  <c r="E365" i="18"/>
  <c r="E366" i="18"/>
  <c r="E367" i="18"/>
  <c r="O333" i="31" s="1"/>
  <c r="E368" i="18"/>
  <c r="E369" i="18"/>
  <c r="O335" i="31" s="1"/>
  <c r="E370" i="18"/>
  <c r="E371" i="18"/>
  <c r="O337" i="31" s="1"/>
  <c r="E372" i="18"/>
  <c r="E373" i="18"/>
  <c r="O339" i="31" s="1"/>
  <c r="E374" i="18"/>
  <c r="E375" i="18"/>
  <c r="O341" i="31" s="1"/>
  <c r="E376" i="18"/>
  <c r="E377" i="18"/>
  <c r="E378" i="18"/>
  <c r="O343" i="31" s="1"/>
  <c r="E379" i="18"/>
  <c r="O344" i="31" s="1"/>
  <c r="E380" i="18"/>
  <c r="O345" i="31" s="1"/>
  <c r="E381" i="18"/>
  <c r="E382" i="18"/>
  <c r="O347" i="31" s="1"/>
  <c r="E383" i="18"/>
  <c r="O348" i="31" s="1"/>
  <c r="E384" i="18"/>
  <c r="O349" i="31" s="1"/>
  <c r="E385" i="18"/>
  <c r="E386" i="18"/>
  <c r="O351" i="31" s="1"/>
  <c r="E387" i="18"/>
  <c r="E388" i="18"/>
  <c r="E389" i="18"/>
  <c r="O353" i="31" s="1"/>
  <c r="E390" i="18"/>
  <c r="E391" i="18"/>
  <c r="O355" i="31" s="1"/>
  <c r="E392" i="18"/>
  <c r="E393" i="18"/>
  <c r="O357" i="31" s="1"/>
  <c r="E394" i="18"/>
  <c r="E395" i="18"/>
  <c r="O359" i="31" s="1"/>
  <c r="E396" i="18"/>
  <c r="E397" i="18"/>
  <c r="O361" i="31" s="1"/>
  <c r="E398" i="18"/>
  <c r="E399" i="18"/>
  <c r="O362" i="31" s="1"/>
  <c r="E400" i="18"/>
  <c r="O363" i="31" s="1"/>
  <c r="E401" i="18"/>
  <c r="O364" i="31" s="1"/>
  <c r="E402" i="18"/>
  <c r="O365" i="31" s="1"/>
  <c r="E403" i="18"/>
  <c r="O366" i="31" s="1"/>
  <c r="E404" i="18"/>
  <c r="O367" i="31" s="1"/>
  <c r="E405" i="18"/>
  <c r="O368" i="31" s="1"/>
  <c r="E406" i="18"/>
  <c r="O369" i="31" s="1"/>
  <c r="E407" i="18"/>
  <c r="E408" i="18"/>
  <c r="O371" i="31" s="1"/>
  <c r="E409" i="18"/>
  <c r="E410" i="18"/>
  <c r="E411" i="18"/>
  <c r="O373" i="31" s="1"/>
  <c r="E412" i="18"/>
  <c r="E413" i="18"/>
  <c r="O375" i="31" s="1"/>
  <c r="E414" i="18"/>
  <c r="E415" i="18"/>
  <c r="O377" i="31" s="1"/>
  <c r="E416" i="18"/>
  <c r="E417" i="18"/>
  <c r="O379" i="31" s="1"/>
  <c r="E418" i="18"/>
  <c r="E419" i="18"/>
  <c r="O381" i="31" s="1"/>
  <c r="E420" i="18"/>
  <c r="E421" i="18"/>
  <c r="E422" i="18"/>
  <c r="O383" i="31" s="1"/>
  <c r="E423" i="18"/>
  <c r="O384" i="31" s="1"/>
  <c r="E424" i="18"/>
  <c r="O385" i="31" s="1"/>
  <c r="E425" i="18"/>
  <c r="E426" i="18"/>
  <c r="O387" i="31" s="1"/>
  <c r="E427" i="18"/>
  <c r="O388" i="31" s="1"/>
  <c r="E428" i="18"/>
  <c r="O389" i="31" s="1"/>
  <c r="E429" i="18"/>
  <c r="E430" i="18"/>
  <c r="O391" i="31" s="1"/>
  <c r="E431" i="18"/>
  <c r="E432" i="18"/>
  <c r="E433" i="18"/>
  <c r="O393" i="31" s="1"/>
  <c r="E434" i="18"/>
  <c r="E435" i="18"/>
  <c r="O395" i="31" s="1"/>
  <c r="E436" i="18"/>
  <c r="E437" i="18"/>
  <c r="O397" i="31" s="1"/>
  <c r="E438" i="18"/>
  <c r="E439" i="18"/>
  <c r="O399" i="31" s="1"/>
  <c r="E440" i="18"/>
  <c r="E441" i="18"/>
  <c r="O401" i="31" s="1"/>
  <c r="E442" i="18"/>
  <c r="E443" i="18"/>
  <c r="O402" i="31" s="1"/>
  <c r="E444" i="18"/>
  <c r="O403" i="31" s="1"/>
  <c r="E445" i="18"/>
  <c r="O404" i="31" s="1"/>
  <c r="E446" i="18"/>
  <c r="O405" i="31" s="1"/>
  <c r="E447" i="18"/>
  <c r="O406" i="31" s="1"/>
  <c r="E448" i="18"/>
  <c r="O407" i="31" s="1"/>
  <c r="E449" i="18"/>
  <c r="O408" i="31" s="1"/>
  <c r="E450" i="18"/>
  <c r="O409" i="31" s="1"/>
  <c r="E451" i="18"/>
  <c r="O410" i="31" s="1"/>
  <c r="E452" i="18"/>
  <c r="O411" i="31" s="1"/>
  <c r="E453" i="18"/>
  <c r="E454" i="18"/>
  <c r="E455" i="18"/>
  <c r="O413" i="31" s="1"/>
  <c r="E456" i="18"/>
  <c r="E457" i="18"/>
  <c r="O415" i="31" s="1"/>
  <c r="E458" i="18"/>
  <c r="E459" i="18"/>
  <c r="O417" i="31" s="1"/>
  <c r="E460" i="18"/>
  <c r="E461" i="18"/>
  <c r="O419" i="31" s="1"/>
  <c r="E462" i="18"/>
  <c r="E463" i="18"/>
  <c r="O421" i="31" s="1"/>
  <c r="E464" i="18"/>
  <c r="E465" i="18"/>
  <c r="E466" i="18"/>
  <c r="O423" i="31" s="1"/>
  <c r="E467" i="18"/>
  <c r="O424" i="31" s="1"/>
  <c r="E468" i="18"/>
  <c r="O425" i="31" s="1"/>
  <c r="E469" i="18"/>
  <c r="E470" i="18"/>
  <c r="O427" i="31" s="1"/>
  <c r="E471" i="18"/>
  <c r="O428" i="31" s="1"/>
  <c r="E472" i="18"/>
  <c r="O429" i="31" s="1"/>
  <c r="E473" i="18"/>
  <c r="E474" i="18"/>
  <c r="O431" i="31" s="1"/>
  <c r="E475" i="18"/>
  <c r="E476" i="18"/>
  <c r="E477" i="18"/>
  <c r="O433" i="31" s="1"/>
  <c r="E478" i="18"/>
  <c r="E479" i="18"/>
  <c r="O435" i="31" s="1"/>
  <c r="E480" i="18"/>
  <c r="E481" i="18"/>
  <c r="O437" i="31" s="1"/>
  <c r="E482" i="18"/>
  <c r="E483" i="18"/>
  <c r="O439" i="31" s="1"/>
  <c r="E484" i="18"/>
  <c r="E485" i="18"/>
  <c r="O441" i="31" s="1"/>
  <c r="E486" i="18"/>
  <c r="E487" i="18"/>
  <c r="O442" i="31" s="1"/>
  <c r="E488" i="18"/>
  <c r="O443" i="31" s="1"/>
  <c r="E489" i="18"/>
  <c r="O444" i="31" s="1"/>
  <c r="E490" i="18"/>
  <c r="O445" i="31" s="1"/>
  <c r="E491" i="18"/>
  <c r="O446" i="31" s="1"/>
  <c r="E492" i="18"/>
  <c r="O447" i="31" s="1"/>
  <c r="E493" i="18"/>
  <c r="O448" i="31" s="1"/>
  <c r="E494" i="18"/>
  <c r="O449" i="31" s="1"/>
  <c r="E495" i="18"/>
  <c r="O450" i="31" s="1"/>
  <c r="E496" i="18"/>
  <c r="O451" i="31" s="1"/>
  <c r="E497" i="18"/>
  <c r="E498" i="18"/>
  <c r="E499" i="18"/>
  <c r="O453" i="31" s="1"/>
  <c r="E500" i="18"/>
  <c r="E501" i="18"/>
  <c r="O455" i="31" s="1"/>
  <c r="E502" i="18"/>
  <c r="E503" i="18"/>
  <c r="O457" i="31" s="1"/>
  <c r="E504" i="18"/>
  <c r="E505" i="18"/>
  <c r="O459" i="31" s="1"/>
  <c r="E506" i="18"/>
  <c r="E507" i="18"/>
  <c r="O461" i="31" s="1"/>
  <c r="E508" i="18"/>
  <c r="E509" i="18"/>
  <c r="E510" i="18"/>
  <c r="O463" i="31" s="1"/>
  <c r="E511" i="18"/>
  <c r="O464" i="31" s="1"/>
  <c r="E512" i="18"/>
  <c r="O465" i="31" s="1"/>
  <c r="E513" i="18"/>
  <c r="E514" i="18"/>
  <c r="O467" i="31" s="1"/>
  <c r="E515" i="18"/>
  <c r="O468" i="31" s="1"/>
  <c r="E516" i="18"/>
  <c r="O469" i="31" s="1"/>
  <c r="E517" i="18"/>
  <c r="E518" i="18"/>
  <c r="O471" i="31" s="1"/>
  <c r="E519" i="18"/>
  <c r="E520" i="18"/>
  <c r="E521" i="18"/>
  <c r="O473" i="31" s="1"/>
  <c r="E522" i="18"/>
  <c r="E523" i="18"/>
  <c r="O475" i="31" s="1"/>
  <c r="E524" i="18"/>
  <c r="E525" i="18"/>
  <c r="O477" i="31" s="1"/>
  <c r="E526" i="18"/>
  <c r="E527" i="18"/>
  <c r="O479" i="31" s="1"/>
  <c r="E528" i="18"/>
  <c r="E529" i="18"/>
  <c r="O481" i="31" s="1"/>
  <c r="E530" i="18"/>
  <c r="E531" i="18"/>
  <c r="O482" i="31" s="1"/>
  <c r="E532" i="18"/>
  <c r="O483" i="31" s="1"/>
  <c r="E533" i="18"/>
  <c r="O484" i="31" s="1"/>
  <c r="E534" i="18"/>
  <c r="O485" i="31" s="1"/>
  <c r="E535" i="18"/>
  <c r="O486" i="31" s="1"/>
  <c r="E536" i="18"/>
  <c r="O487" i="31" s="1"/>
  <c r="E537" i="18"/>
  <c r="O488" i="31" s="1"/>
  <c r="E538" i="18"/>
  <c r="O489" i="31" s="1"/>
  <c r="E539" i="18"/>
  <c r="O490" i="31" s="1"/>
  <c r="E540" i="18"/>
  <c r="O491" i="31" s="1"/>
  <c r="E541" i="18"/>
  <c r="E542" i="18"/>
  <c r="E543" i="18"/>
  <c r="O493" i="31" s="1"/>
  <c r="E544" i="18"/>
  <c r="E545" i="18"/>
  <c r="O495" i="31" s="1"/>
  <c r="E546" i="18"/>
  <c r="E547" i="18"/>
  <c r="O497" i="31" s="1"/>
  <c r="E548" i="18"/>
  <c r="E549" i="18"/>
  <c r="O499" i="31" s="1"/>
  <c r="E550" i="18"/>
  <c r="E551" i="18"/>
  <c r="O501" i="31" s="1"/>
  <c r="E558" i="18"/>
  <c r="O507" i="31" s="1"/>
  <c r="E559" i="18"/>
  <c r="O508" i="31" s="1"/>
  <c r="E560" i="18"/>
  <c r="O509" i="31" s="1"/>
  <c r="E561" i="18"/>
  <c r="E562" i="18"/>
  <c r="O511" i="31" s="1"/>
  <c r="E563" i="18"/>
  <c r="E564" i="18"/>
  <c r="E565" i="18"/>
  <c r="O513" i="31" s="1"/>
  <c r="E566" i="18"/>
  <c r="E567" i="18"/>
  <c r="O515" i="31" s="1"/>
  <c r="E568" i="18"/>
  <c r="E569" i="18"/>
  <c r="O517" i="31" s="1"/>
  <c r="E570" i="18"/>
  <c r="E571" i="18"/>
  <c r="O519" i="31" s="1"/>
  <c r="E572" i="18"/>
  <c r="E573" i="18"/>
  <c r="O521" i="31" s="1"/>
  <c r="E574" i="18"/>
  <c r="E575" i="18"/>
  <c r="O522" i="31" s="1"/>
  <c r="E576" i="18"/>
  <c r="O523" i="31" s="1"/>
  <c r="E577" i="18"/>
  <c r="O524" i="31" s="1"/>
  <c r="E578" i="18"/>
  <c r="O525" i="31" s="1"/>
  <c r="E579" i="18"/>
  <c r="O526" i="31" s="1"/>
  <c r="E580" i="18"/>
  <c r="O527" i="31" s="1"/>
  <c r="E581" i="18"/>
  <c r="O528" i="31" s="1"/>
  <c r="E582" i="18"/>
  <c r="O529" i="31" s="1"/>
  <c r="E583" i="18"/>
  <c r="O530" i="31" s="1"/>
  <c r="E584" i="18"/>
  <c r="O531" i="31" s="1"/>
  <c r="E585" i="18"/>
  <c r="E586" i="18"/>
  <c r="E587" i="18"/>
  <c r="O533" i="31" s="1"/>
  <c r="E588" i="18"/>
  <c r="E589" i="18"/>
  <c r="O535" i="31" s="1"/>
  <c r="E590" i="18"/>
  <c r="E591" i="18"/>
  <c r="O537" i="31" s="1"/>
  <c r="E592" i="18"/>
  <c r="E593" i="18"/>
  <c r="O539" i="31" s="1"/>
  <c r="E594" i="18"/>
  <c r="E595" i="18"/>
  <c r="O541" i="31" s="1"/>
  <c r="E596" i="18"/>
  <c r="E597" i="18"/>
  <c r="E598" i="18"/>
  <c r="O543" i="31" s="1"/>
  <c r="E599" i="18"/>
  <c r="O544" i="31" s="1"/>
  <c r="E600" i="18"/>
  <c r="O545" i="31" s="1"/>
  <c r="E601" i="18"/>
  <c r="E602" i="18"/>
  <c r="O547" i="31" s="1"/>
  <c r="E603" i="18"/>
  <c r="O548" i="31" s="1"/>
  <c r="E604" i="18"/>
  <c r="O549" i="31" s="1"/>
  <c r="E605" i="18"/>
  <c r="E606" i="18"/>
  <c r="O551" i="31" s="1"/>
  <c r="E607" i="18"/>
  <c r="E608" i="18"/>
  <c r="E609" i="18"/>
  <c r="O553" i="31" s="1"/>
  <c r="E610" i="18"/>
  <c r="E611" i="18"/>
  <c r="O555" i="31" s="1"/>
  <c r="E612" i="18"/>
  <c r="E613" i="18"/>
  <c r="O557" i="31" s="1"/>
  <c r="E614" i="18"/>
  <c r="E615" i="18"/>
  <c r="O559" i="31" s="1"/>
  <c r="E616" i="18"/>
  <c r="E617" i="18"/>
  <c r="O561" i="31" s="1"/>
  <c r="E618" i="18"/>
  <c r="E619" i="18"/>
  <c r="O562" i="31" s="1"/>
  <c r="E620" i="18"/>
  <c r="O563" i="31" s="1"/>
  <c r="E621" i="18"/>
  <c r="O564" i="31" s="1"/>
  <c r="E622" i="18"/>
  <c r="O565" i="31" s="1"/>
  <c r="E623" i="18"/>
  <c r="O566" i="31" s="1"/>
  <c r="E624" i="18"/>
  <c r="O567" i="31" s="1"/>
  <c r="E625" i="18"/>
  <c r="O568" i="31" s="1"/>
  <c r="E626" i="18"/>
  <c r="O569" i="31" s="1"/>
  <c r="E627" i="18"/>
  <c r="O570" i="31" s="1"/>
  <c r="E628" i="18"/>
  <c r="O571" i="31" s="1"/>
  <c r="E629" i="18"/>
  <c r="E630" i="18"/>
  <c r="E631" i="18"/>
  <c r="O573" i="31" s="1"/>
  <c r="E632" i="18"/>
  <c r="E633" i="18"/>
  <c r="O575" i="31" s="1"/>
  <c r="E634" i="18"/>
  <c r="E635" i="18"/>
  <c r="O577" i="31" s="1"/>
  <c r="E636" i="18"/>
  <c r="E637" i="18"/>
  <c r="O579" i="31" s="1"/>
  <c r="E638" i="18"/>
  <c r="E639" i="18"/>
  <c r="O581" i="31" s="1"/>
  <c r="E640" i="18"/>
  <c r="E641" i="18"/>
  <c r="E642" i="18"/>
  <c r="O583" i="31" s="1"/>
  <c r="E643" i="18"/>
  <c r="O584" i="31" s="1"/>
  <c r="E644" i="18"/>
  <c r="O585" i="31" s="1"/>
  <c r="E645" i="18"/>
  <c r="E646" i="18"/>
  <c r="O587" i="31" s="1"/>
  <c r="E647" i="18"/>
  <c r="O588" i="31" s="1"/>
  <c r="E648" i="18"/>
  <c r="O589" i="31" s="1"/>
  <c r="E649" i="18"/>
  <c r="E650" i="18"/>
  <c r="O591" i="31" s="1"/>
  <c r="E651" i="18"/>
  <c r="E652" i="18"/>
  <c r="E653" i="18"/>
  <c r="O593" i="31" s="1"/>
  <c r="E654" i="18"/>
  <c r="E655" i="18"/>
  <c r="O595" i="31" s="1"/>
  <c r="E656" i="18"/>
  <c r="E657" i="18"/>
  <c r="O597" i="31" s="1"/>
  <c r="E658" i="18"/>
  <c r="E659" i="18"/>
  <c r="O599" i="31" s="1"/>
  <c r="E660" i="18"/>
  <c r="E661" i="18"/>
  <c r="O601" i="31" s="1"/>
  <c r="E662" i="18"/>
  <c r="E663" i="18"/>
  <c r="O602" i="31" s="1"/>
  <c r="E664" i="18"/>
  <c r="O603" i="31" s="1"/>
  <c r="E665" i="18"/>
  <c r="O604" i="31" s="1"/>
  <c r="E666" i="18"/>
  <c r="O605" i="31" s="1"/>
  <c r="E667" i="18"/>
  <c r="O606" i="31" s="1"/>
  <c r="E668" i="18"/>
  <c r="O607" i="31" s="1"/>
  <c r="E669" i="18"/>
  <c r="O608" i="31" s="1"/>
  <c r="E670" i="18"/>
  <c r="O609" i="31" s="1"/>
  <c r="E671" i="18"/>
  <c r="O610" i="31" s="1"/>
  <c r="E672" i="18"/>
  <c r="O611" i="31" s="1"/>
  <c r="E673" i="18"/>
  <c r="E674" i="18"/>
  <c r="E675" i="18"/>
  <c r="O613" i="31" s="1"/>
  <c r="E676" i="18"/>
  <c r="E677" i="18"/>
  <c r="O615" i="31" s="1"/>
  <c r="E678" i="18"/>
  <c r="E679" i="18"/>
  <c r="O617" i="31" s="1"/>
  <c r="E680" i="18"/>
  <c r="E681" i="18"/>
  <c r="O619" i="31" s="1"/>
  <c r="E682" i="18"/>
  <c r="E683" i="18"/>
  <c r="O621" i="31" s="1"/>
  <c r="E684" i="18"/>
  <c r="E685" i="18"/>
  <c r="E686" i="18"/>
  <c r="O623" i="31" s="1"/>
  <c r="E687" i="18"/>
  <c r="O624" i="31" s="1"/>
  <c r="E688" i="18"/>
  <c r="O625" i="31" s="1"/>
  <c r="E689" i="18"/>
  <c r="E690" i="18"/>
  <c r="O627" i="31" s="1"/>
  <c r="E691" i="18"/>
  <c r="O628" i="31" s="1"/>
  <c r="E692" i="18"/>
  <c r="O629" i="31" s="1"/>
  <c r="E693" i="18"/>
  <c r="E694" i="18"/>
  <c r="O631" i="31" s="1"/>
  <c r="E695" i="18"/>
  <c r="E696" i="18"/>
  <c r="E697" i="18"/>
  <c r="O633" i="31" s="1"/>
  <c r="E698" i="18"/>
  <c r="E699" i="18"/>
  <c r="O635" i="31" s="1"/>
  <c r="E700" i="18"/>
  <c r="E701" i="18"/>
  <c r="O637" i="31" s="1"/>
  <c r="E702" i="18"/>
  <c r="E703" i="18"/>
  <c r="O639" i="31" s="1"/>
  <c r="E704" i="18"/>
  <c r="E705" i="18"/>
  <c r="O641" i="31" s="1"/>
  <c r="E706" i="18"/>
  <c r="E707" i="18"/>
  <c r="O642" i="31" s="1"/>
  <c r="E708" i="18"/>
  <c r="O643" i="31" s="1"/>
  <c r="E709" i="18"/>
  <c r="O644" i="31" s="1"/>
  <c r="E710" i="18"/>
  <c r="O645" i="31" s="1"/>
  <c r="E711" i="18"/>
  <c r="O646" i="31" s="1"/>
  <c r="E712" i="18"/>
  <c r="O647" i="31" s="1"/>
  <c r="E713" i="18"/>
  <c r="O648" i="31" s="1"/>
  <c r="E714" i="18"/>
  <c r="O649" i="31" s="1"/>
  <c r="E715" i="18"/>
  <c r="O650" i="31" s="1"/>
  <c r="E716" i="18"/>
  <c r="O651" i="31" s="1"/>
  <c r="E717" i="18"/>
  <c r="E718" i="18"/>
  <c r="E719" i="18"/>
  <c r="O653" i="31" s="1"/>
  <c r="E720" i="18"/>
  <c r="E721" i="18"/>
  <c r="O655" i="31" s="1"/>
  <c r="E722" i="18"/>
  <c r="E723" i="18"/>
  <c r="O657" i="31" s="1"/>
  <c r="E724" i="18"/>
  <c r="E725" i="18"/>
  <c r="O659" i="31" s="1"/>
  <c r="E726" i="18"/>
  <c r="E727" i="18"/>
  <c r="O661" i="31" s="1"/>
  <c r="E728" i="18"/>
  <c r="E729" i="18"/>
  <c r="E730" i="18"/>
  <c r="O663" i="31" s="1"/>
  <c r="E731" i="18"/>
  <c r="O664" i="31" s="1"/>
  <c r="E732" i="18"/>
  <c r="O665" i="31" s="1"/>
  <c r="E733" i="18"/>
  <c r="E734" i="18"/>
  <c r="O667" i="31" s="1"/>
  <c r="E735" i="18"/>
  <c r="O668" i="31" s="1"/>
  <c r="E736" i="18"/>
  <c r="O669" i="31" s="1"/>
  <c r="E737" i="18"/>
  <c r="E738" i="18"/>
  <c r="O671" i="31" s="1"/>
  <c r="E739" i="18"/>
  <c r="E740" i="18"/>
  <c r="E741" i="18"/>
  <c r="O673" i="31" s="1"/>
  <c r="E742" i="18"/>
  <c r="E743" i="18"/>
  <c r="O675" i="31" s="1"/>
  <c r="E744" i="18"/>
  <c r="E745" i="18"/>
  <c r="O677" i="31" s="1"/>
  <c r="E746" i="18"/>
  <c r="E747" i="18"/>
  <c r="O679" i="31" s="1"/>
  <c r="E748" i="18"/>
  <c r="E749" i="18"/>
  <c r="O681" i="31" s="1"/>
  <c r="E750" i="18"/>
  <c r="E751" i="18"/>
  <c r="O682" i="31" s="1"/>
  <c r="E752" i="18"/>
  <c r="O683" i="31" s="1"/>
  <c r="E753" i="18"/>
  <c r="O684" i="31" s="1"/>
  <c r="E754" i="18"/>
  <c r="O685" i="31" s="1"/>
  <c r="E755" i="18"/>
  <c r="O686" i="31" s="1"/>
  <c r="E756" i="18"/>
  <c r="O687" i="31" s="1"/>
  <c r="E757" i="18"/>
  <c r="O688" i="31" s="1"/>
  <c r="E758" i="18"/>
  <c r="O689" i="31" s="1"/>
  <c r="E759" i="18"/>
  <c r="O690" i="31" s="1"/>
  <c r="E760" i="18"/>
  <c r="O691" i="31" s="1"/>
  <c r="E761" i="18"/>
  <c r="E762" i="18"/>
  <c r="E763" i="18"/>
  <c r="O693" i="31" s="1"/>
  <c r="E764" i="18"/>
  <c r="E765" i="18"/>
  <c r="O695" i="31" s="1"/>
  <c r="E766" i="18"/>
  <c r="E767" i="18"/>
  <c r="O697" i="31" s="1"/>
  <c r="E768" i="18"/>
  <c r="E769" i="18"/>
  <c r="O699" i="31" s="1"/>
  <c r="E770" i="18"/>
  <c r="E771" i="18"/>
  <c r="O701" i="31" s="1"/>
  <c r="E772" i="18"/>
  <c r="E773" i="18"/>
  <c r="E774" i="18"/>
  <c r="O703" i="31" s="1"/>
  <c r="E775" i="18"/>
  <c r="O704" i="31" s="1"/>
  <c r="E776" i="18"/>
  <c r="O705" i="31" s="1"/>
  <c r="E777" i="18"/>
  <c r="E778" i="18"/>
  <c r="O707" i="31" s="1"/>
  <c r="E779" i="18"/>
  <c r="O708" i="31" s="1"/>
  <c r="E780" i="18"/>
  <c r="O709" i="31" s="1"/>
  <c r="E781" i="18"/>
  <c r="E782" i="18"/>
  <c r="O711" i="31" s="1"/>
  <c r="E783" i="18"/>
  <c r="E784" i="18"/>
  <c r="E785" i="18"/>
  <c r="O713" i="31" s="1"/>
  <c r="E786" i="18"/>
  <c r="E787" i="18"/>
  <c r="O715" i="31" s="1"/>
  <c r="E788" i="18"/>
  <c r="E789" i="18"/>
  <c r="O717" i="31" s="1"/>
  <c r="E790" i="18"/>
  <c r="E791" i="18"/>
  <c r="O719" i="31" s="1"/>
  <c r="E792" i="18"/>
  <c r="E793" i="18"/>
  <c r="O721" i="31" s="1"/>
  <c r="E794" i="18"/>
  <c r="E795" i="18"/>
  <c r="O722" i="31" s="1"/>
  <c r="E796" i="18"/>
  <c r="O723" i="31" s="1"/>
  <c r="E797" i="18"/>
  <c r="O724" i="31" s="1"/>
  <c r="E798" i="18"/>
  <c r="O725" i="31" s="1"/>
  <c r="E799" i="18"/>
  <c r="O726" i="31" s="1"/>
  <c r="E800" i="18"/>
  <c r="O727" i="31" s="1"/>
  <c r="E801" i="18"/>
  <c r="O728" i="31" s="1"/>
  <c r="E802" i="18"/>
  <c r="O729" i="31" s="1"/>
  <c r="E803" i="18"/>
  <c r="O730" i="31" s="1"/>
  <c r="E804" i="18"/>
  <c r="O731" i="31" s="1"/>
  <c r="E805" i="18"/>
  <c r="E806" i="18"/>
  <c r="E807" i="18"/>
  <c r="O733" i="31" s="1"/>
  <c r="E808" i="18"/>
  <c r="E809" i="18"/>
  <c r="O735" i="31" s="1"/>
  <c r="E810" i="18"/>
  <c r="E811" i="18"/>
  <c r="O737" i="31" s="1"/>
  <c r="E812" i="18"/>
  <c r="E813" i="18"/>
  <c r="O739" i="31" s="1"/>
  <c r="E814" i="18"/>
  <c r="E815" i="18"/>
  <c r="O741" i="31" s="1"/>
  <c r="E816" i="18"/>
  <c r="E817" i="18"/>
  <c r="E818" i="18"/>
  <c r="O743" i="31" s="1"/>
  <c r="E819" i="18"/>
  <c r="O744" i="31" s="1"/>
  <c r="E820" i="18"/>
  <c r="O745" i="31" s="1"/>
  <c r="E821" i="18"/>
  <c r="E822" i="18"/>
  <c r="O747" i="31" s="1"/>
  <c r="E823" i="18"/>
  <c r="O748" i="31" s="1"/>
  <c r="E824" i="18"/>
  <c r="O749" i="31" s="1"/>
  <c r="E825" i="18"/>
  <c r="E826" i="18"/>
  <c r="O751" i="31" s="1"/>
  <c r="E827" i="18"/>
  <c r="E828" i="18"/>
  <c r="E829" i="18"/>
  <c r="O753" i="31" s="1"/>
  <c r="E830" i="18"/>
  <c r="E831" i="18"/>
  <c r="O755" i="31" s="1"/>
  <c r="E832" i="18"/>
  <c r="E833" i="18"/>
  <c r="O757" i="31" s="1"/>
  <c r="E834" i="18"/>
  <c r="E835" i="18"/>
  <c r="O759" i="31" s="1"/>
  <c r="E836" i="18"/>
  <c r="E837" i="18"/>
  <c r="O761" i="31" s="1"/>
  <c r="E838" i="18"/>
  <c r="E839" i="18"/>
  <c r="O762" i="31" s="1"/>
  <c r="E840" i="18"/>
  <c r="O763" i="31" s="1"/>
  <c r="E841" i="18"/>
  <c r="O764" i="31" s="1"/>
  <c r="E842" i="18"/>
  <c r="O765" i="31" s="1"/>
  <c r="E843" i="18"/>
  <c r="O766" i="31" s="1"/>
  <c r="E844" i="18"/>
  <c r="O767" i="31" s="1"/>
  <c r="E845" i="18"/>
  <c r="O768" i="31" s="1"/>
  <c r="E846" i="18"/>
  <c r="O769" i="31" s="1"/>
  <c r="E847" i="18"/>
  <c r="O770" i="31" s="1"/>
  <c r="E848" i="18"/>
  <c r="O771" i="31" s="1"/>
  <c r="E849" i="18"/>
  <c r="E850" i="18"/>
  <c r="E851" i="18"/>
  <c r="O773" i="31" s="1"/>
  <c r="E852" i="18"/>
  <c r="E853" i="18"/>
  <c r="O775" i="31" s="1"/>
  <c r="E854" i="18"/>
  <c r="E855" i="18"/>
  <c r="O777" i="31" s="1"/>
  <c r="E856" i="18"/>
  <c r="E857" i="18"/>
  <c r="O779" i="31" s="1"/>
  <c r="E858" i="18"/>
  <c r="E859" i="18"/>
  <c r="O781" i="31" s="1"/>
  <c r="E860" i="18"/>
  <c r="E861" i="18"/>
  <c r="E862" i="18"/>
  <c r="O783" i="31" s="1"/>
  <c r="E863" i="18"/>
  <c r="O784" i="31" s="1"/>
  <c r="E864" i="18"/>
  <c r="O785" i="31" s="1"/>
  <c r="E865" i="18"/>
  <c r="E866" i="18"/>
  <c r="O787" i="31" s="1"/>
  <c r="E867" i="18"/>
  <c r="O788" i="31" s="1"/>
  <c r="E868" i="18"/>
  <c r="O789" i="31" s="1"/>
  <c r="E869" i="18"/>
  <c r="E870" i="18"/>
  <c r="O791" i="31" s="1"/>
  <c r="E871" i="18"/>
  <c r="E872" i="18"/>
  <c r="E873" i="18"/>
  <c r="O793" i="31" s="1"/>
  <c r="E874" i="18"/>
  <c r="E875" i="18"/>
  <c r="O795" i="31" s="1"/>
  <c r="E876" i="18"/>
  <c r="E877" i="18"/>
  <c r="O797" i="31" s="1"/>
  <c r="E878" i="18"/>
  <c r="E879" i="18"/>
  <c r="O799" i="31" s="1"/>
  <c r="E880" i="18"/>
  <c r="E881" i="18"/>
  <c r="O801" i="31" s="1"/>
  <c r="E882" i="18"/>
  <c r="E883" i="18"/>
  <c r="O802" i="31" s="1"/>
  <c r="E884" i="18"/>
  <c r="O803" i="31" s="1"/>
  <c r="E885" i="18"/>
  <c r="O804" i="31" s="1"/>
  <c r="E886" i="18"/>
  <c r="O805" i="31" s="1"/>
  <c r="E887" i="18"/>
  <c r="O806" i="31" s="1"/>
  <c r="E888" i="18"/>
  <c r="O807" i="31" s="1"/>
  <c r="E889" i="18"/>
  <c r="O808" i="31" s="1"/>
  <c r="E890" i="18"/>
  <c r="O809" i="31" s="1"/>
  <c r="E891" i="18"/>
  <c r="O810" i="31" s="1"/>
  <c r="E892" i="18"/>
  <c r="O811" i="31" s="1"/>
  <c r="E893" i="18"/>
  <c r="E894" i="18"/>
  <c r="E895" i="18"/>
  <c r="O813" i="31" s="1"/>
  <c r="E896" i="18"/>
  <c r="E897" i="18"/>
  <c r="O815" i="31" s="1"/>
  <c r="E898" i="18"/>
  <c r="E899" i="18"/>
  <c r="O817" i="31" s="1"/>
  <c r="E900" i="18"/>
  <c r="E901" i="18"/>
  <c r="O819" i="31" s="1"/>
  <c r="E902" i="18"/>
  <c r="E903" i="18"/>
  <c r="O821" i="31" s="1"/>
  <c r="E904" i="18"/>
  <c r="E905" i="18"/>
  <c r="E906" i="18"/>
  <c r="O823" i="31" s="1"/>
  <c r="E907" i="18"/>
  <c r="O824" i="31" s="1"/>
  <c r="E908" i="18"/>
  <c r="O825" i="31" s="1"/>
  <c r="E909" i="18"/>
  <c r="E910" i="18"/>
  <c r="O827" i="31" s="1"/>
  <c r="E911" i="18"/>
  <c r="O828" i="31" s="1"/>
  <c r="E912" i="18"/>
  <c r="O829" i="31" s="1"/>
  <c r="E913" i="18"/>
  <c r="E914" i="18"/>
  <c r="O831" i="31" s="1"/>
  <c r="E915" i="18"/>
  <c r="E916" i="18"/>
  <c r="E917" i="18"/>
  <c r="O833" i="31" s="1"/>
  <c r="E918" i="18"/>
  <c r="E919" i="18"/>
  <c r="O835" i="31" s="1"/>
  <c r="E920" i="18"/>
  <c r="E921" i="18"/>
  <c r="O837" i="31" s="1"/>
  <c r="E922" i="18"/>
  <c r="E923" i="18"/>
  <c r="O839" i="31" s="1"/>
  <c r="E924" i="18"/>
  <c r="E925" i="18"/>
  <c r="O841" i="31" s="1"/>
  <c r="E926" i="18"/>
  <c r="E927" i="18"/>
  <c r="O842" i="31" s="1"/>
  <c r="E928" i="18"/>
  <c r="O843" i="31" s="1"/>
  <c r="E929" i="18"/>
  <c r="O844" i="31" s="1"/>
  <c r="E930" i="18"/>
  <c r="O845" i="31" s="1"/>
  <c r="E931" i="18"/>
  <c r="O846" i="31" s="1"/>
  <c r="E932" i="18"/>
  <c r="O847" i="31" s="1"/>
  <c r="E933" i="18"/>
  <c r="O848" i="31" s="1"/>
  <c r="E934" i="18"/>
  <c r="O849" i="31" s="1"/>
  <c r="E935" i="18"/>
  <c r="O850" i="31" s="1"/>
  <c r="E936" i="18"/>
  <c r="O851" i="31" s="1"/>
  <c r="E937" i="18"/>
  <c r="E938" i="18"/>
  <c r="E939" i="18"/>
  <c r="O853" i="31" s="1"/>
  <c r="E940" i="18"/>
  <c r="E941" i="18"/>
  <c r="O855" i="31" s="1"/>
  <c r="E942" i="18"/>
  <c r="E943" i="18"/>
  <c r="O857" i="31" s="1"/>
  <c r="E944" i="18"/>
  <c r="E945" i="18"/>
  <c r="O859" i="31" s="1"/>
  <c r="E946" i="18"/>
  <c r="E947" i="18"/>
  <c r="O861" i="31" s="1"/>
  <c r="E948" i="18"/>
  <c r="E949" i="18"/>
  <c r="E950" i="18"/>
  <c r="O863" i="31" s="1"/>
  <c r="E951" i="18"/>
  <c r="O864" i="31" s="1"/>
  <c r="E952" i="18"/>
  <c r="O865" i="31" s="1"/>
  <c r="E953" i="18"/>
  <c r="E954" i="18"/>
  <c r="O867" i="31" s="1"/>
  <c r="E955" i="18"/>
  <c r="O868" i="31" s="1"/>
  <c r="E956" i="18"/>
  <c r="O869" i="31" s="1"/>
  <c r="E957" i="18"/>
  <c r="E958" i="18"/>
  <c r="O871" i="31" s="1"/>
  <c r="E959" i="18"/>
  <c r="E960" i="18"/>
  <c r="E961" i="18"/>
  <c r="O873" i="31" s="1"/>
  <c r="E962" i="18"/>
  <c r="E963" i="18"/>
  <c r="O875" i="31" s="1"/>
  <c r="E964" i="18"/>
  <c r="E965" i="18"/>
  <c r="O877" i="31" s="1"/>
  <c r="E966" i="18"/>
  <c r="E967" i="18"/>
  <c r="O879" i="31" s="1"/>
  <c r="E968" i="18"/>
  <c r="E969" i="18"/>
  <c r="O881" i="31" s="1"/>
  <c r="E970" i="18"/>
  <c r="E971" i="18"/>
  <c r="O882" i="31" s="1"/>
  <c r="E972" i="18"/>
  <c r="O883" i="31" s="1"/>
  <c r="E973" i="18"/>
  <c r="O884" i="31" s="1"/>
  <c r="E974" i="18"/>
  <c r="O885" i="31" s="1"/>
  <c r="E975" i="18"/>
  <c r="O886" i="31" s="1"/>
  <c r="E976" i="18"/>
  <c r="O887" i="31" s="1"/>
  <c r="E977" i="18"/>
  <c r="O888" i="31" s="1"/>
  <c r="E978" i="18"/>
  <c r="O889" i="31" s="1"/>
  <c r="E979" i="18"/>
  <c r="O890" i="31" s="1"/>
  <c r="E980" i="18"/>
  <c r="O891" i="31" s="1"/>
  <c r="E981" i="18"/>
  <c r="E982" i="18"/>
  <c r="E983" i="18"/>
  <c r="O893" i="31" s="1"/>
  <c r="E984" i="18"/>
  <c r="E985" i="18"/>
  <c r="O895" i="31" s="1"/>
  <c r="E986" i="18"/>
  <c r="E987" i="18"/>
  <c r="O897" i="31" s="1"/>
  <c r="E988" i="18"/>
  <c r="E989" i="18"/>
  <c r="O899" i="31" s="1"/>
  <c r="E990" i="18"/>
  <c r="E991" i="18"/>
  <c r="O901" i="31" s="1"/>
  <c r="E992" i="18"/>
  <c r="E993" i="18"/>
  <c r="E994" i="18"/>
  <c r="O903" i="31" s="1"/>
  <c r="E995" i="18"/>
  <c r="O904" i="31" s="1"/>
  <c r="E996" i="18"/>
  <c r="O905" i="31" s="1"/>
  <c r="E997" i="18"/>
  <c r="E998" i="18"/>
  <c r="O907" i="31" s="1"/>
  <c r="E999" i="18"/>
  <c r="O908" i="31" s="1"/>
  <c r="E1000" i="18"/>
  <c r="O909" i="31" s="1"/>
  <c r="E1001" i="18"/>
  <c r="E1002" i="18"/>
  <c r="O911" i="31" s="1"/>
  <c r="E1003" i="18"/>
  <c r="E1004" i="18"/>
  <c r="E1005" i="18"/>
  <c r="O913" i="31" s="1"/>
  <c r="E1006" i="18"/>
  <c r="E1007" i="18"/>
  <c r="O915" i="31" s="1"/>
  <c r="E1008" i="18"/>
  <c r="E1009" i="18"/>
  <c r="O917" i="31" s="1"/>
  <c r="E1010" i="18"/>
  <c r="E1011" i="18"/>
  <c r="O919" i="31" s="1"/>
  <c r="E1012" i="18"/>
  <c r="E1013" i="18"/>
  <c r="O921" i="31" s="1"/>
  <c r="E1014" i="18"/>
  <c r="E1015" i="18"/>
  <c r="O922" i="31" s="1"/>
  <c r="E1016" i="18"/>
  <c r="O923" i="31" s="1"/>
  <c r="E1017" i="18"/>
  <c r="O924" i="31" s="1"/>
  <c r="E1018" i="18"/>
  <c r="O925" i="31" s="1"/>
  <c r="E1019" i="18"/>
  <c r="O926" i="31" s="1"/>
  <c r="E1020" i="18"/>
  <c r="O927" i="31" s="1"/>
  <c r="E1021" i="18"/>
  <c r="O928" i="31" s="1"/>
  <c r="E1022" i="18"/>
  <c r="O929" i="31" s="1"/>
  <c r="E1023" i="18"/>
  <c r="O930" i="31" s="1"/>
  <c r="E1024" i="18"/>
  <c r="O931" i="31" s="1"/>
  <c r="E1025" i="18"/>
  <c r="E1026" i="18"/>
  <c r="E1027" i="18"/>
  <c r="O933" i="31" s="1"/>
  <c r="E1028" i="18"/>
  <c r="E1029" i="18"/>
  <c r="O935" i="31" s="1"/>
  <c r="E1030" i="18"/>
  <c r="E1031" i="18"/>
  <c r="O937" i="31" s="1"/>
  <c r="E1032" i="18"/>
  <c r="E1033" i="18"/>
  <c r="O939" i="31" s="1"/>
  <c r="E1034" i="18"/>
  <c r="E1035" i="18"/>
  <c r="O941" i="31" s="1"/>
  <c r="E1036" i="18"/>
  <c r="E1037" i="18"/>
  <c r="E1038" i="18"/>
  <c r="O943" i="31" s="1"/>
  <c r="E1039" i="18"/>
  <c r="O944" i="31" s="1"/>
  <c r="E1040" i="18"/>
  <c r="O945" i="31" s="1"/>
  <c r="E1041" i="18"/>
  <c r="E1042" i="18"/>
  <c r="O947" i="31" s="1"/>
  <c r="E1043" i="18"/>
  <c r="O948" i="31" s="1"/>
  <c r="E1044" i="18"/>
  <c r="O949" i="31" s="1"/>
  <c r="E1045" i="18"/>
  <c r="E1046" i="18"/>
  <c r="O951" i="31" s="1"/>
  <c r="E1047" i="18"/>
  <c r="E1048" i="18"/>
  <c r="E1049" i="18"/>
  <c r="O953" i="31" s="1"/>
  <c r="E1050" i="18"/>
  <c r="E1051" i="18"/>
  <c r="O955" i="31" s="1"/>
  <c r="E1052" i="18"/>
  <c r="E1053" i="18"/>
  <c r="O957" i="31" s="1"/>
  <c r="E1054" i="18"/>
  <c r="E1055" i="18"/>
  <c r="O959" i="31" s="1"/>
  <c r="E1056" i="18"/>
  <c r="E1057" i="18"/>
  <c r="O961" i="31" s="1"/>
  <c r="E1058" i="18"/>
  <c r="E1059" i="18"/>
  <c r="O962" i="31" s="1"/>
  <c r="E1060" i="18"/>
  <c r="O963" i="31" s="1"/>
  <c r="E1061" i="18"/>
  <c r="O964" i="31" s="1"/>
  <c r="E1062" i="18"/>
  <c r="O965" i="31" s="1"/>
  <c r="E1063" i="18"/>
  <c r="O966" i="31" s="1"/>
  <c r="E1064" i="18"/>
  <c r="O967" i="31" s="1"/>
  <c r="E1065" i="18"/>
  <c r="O968" i="31" s="1"/>
  <c r="E1066" i="18"/>
  <c r="O969" i="31" s="1"/>
  <c r="E1067" i="18"/>
  <c r="O970" i="31" s="1"/>
  <c r="E1068" i="18"/>
  <c r="O971" i="31" s="1"/>
  <c r="E1069" i="18"/>
  <c r="E1070" i="18"/>
  <c r="E1071" i="18"/>
  <c r="O973" i="31" s="1"/>
  <c r="E1072" i="18"/>
  <c r="E1073" i="18"/>
  <c r="O975" i="31" s="1"/>
  <c r="E1074" i="18"/>
  <c r="E1075" i="18"/>
  <c r="O977" i="31" s="1"/>
  <c r="E1076" i="18"/>
  <c r="E1077" i="18"/>
  <c r="O979" i="31" s="1"/>
  <c r="E1078" i="18"/>
  <c r="E1079" i="18"/>
  <c r="O981" i="31" s="1"/>
  <c r="E1080" i="18"/>
  <c r="E1081" i="18"/>
  <c r="E1082" i="18"/>
  <c r="O983" i="31" s="1"/>
  <c r="E1083" i="18"/>
  <c r="O984" i="31" s="1"/>
  <c r="E1084" i="18"/>
  <c r="O985" i="31" s="1"/>
  <c r="E1085" i="18"/>
  <c r="E1086" i="18"/>
  <c r="O987" i="31" s="1"/>
  <c r="E1087" i="18"/>
  <c r="O988" i="31" s="1"/>
  <c r="E1088" i="18"/>
  <c r="O989" i="31" s="1"/>
  <c r="E1089" i="18"/>
  <c r="E1090" i="18"/>
  <c r="O991" i="31" s="1"/>
  <c r="E1091" i="18"/>
  <c r="E1092" i="18"/>
  <c r="E1093" i="18"/>
  <c r="O993" i="31" s="1"/>
  <c r="E1094" i="18"/>
  <c r="E1095" i="18"/>
  <c r="O995" i="31" s="1"/>
  <c r="E1096" i="18"/>
  <c r="E1097" i="18"/>
  <c r="O997" i="31" s="1"/>
  <c r="E1098" i="18"/>
  <c r="E1099" i="18"/>
  <c r="O999" i="31" s="1"/>
  <c r="E1100" i="18"/>
  <c r="E1101" i="18"/>
  <c r="O1001" i="31" s="1"/>
  <c r="E1102" i="18"/>
  <c r="E1103" i="18"/>
  <c r="O1002" i="31" s="1"/>
  <c r="E1104" i="18"/>
  <c r="O1003" i="31" s="1"/>
  <c r="E1105" i="18"/>
  <c r="O1004" i="31" s="1"/>
  <c r="E1106" i="18"/>
  <c r="O1005" i="31" s="1"/>
  <c r="E1107" i="18"/>
  <c r="O1006" i="31" s="1"/>
  <c r="E1108" i="18"/>
  <c r="O1007" i="31" s="1"/>
  <c r="E1109" i="18"/>
  <c r="O1008" i="31" s="1"/>
  <c r="E1110" i="18"/>
  <c r="O1009" i="31" s="1"/>
  <c r="E1111" i="18"/>
  <c r="O1010" i="31" s="1"/>
  <c r="E1112" i="18"/>
  <c r="O1011" i="31" s="1"/>
  <c r="E1113" i="18"/>
  <c r="E1114" i="18"/>
  <c r="E1115" i="18"/>
  <c r="O1013" i="31" s="1"/>
  <c r="E1116" i="18"/>
  <c r="E1117" i="18"/>
  <c r="O1015" i="31" s="1"/>
  <c r="E1118" i="18"/>
  <c r="E1119" i="18"/>
  <c r="O1017" i="31" s="1"/>
  <c r="E1120" i="18"/>
  <c r="E1121" i="18"/>
  <c r="O1019" i="31" s="1"/>
  <c r="E1122" i="18"/>
  <c r="E1123" i="18"/>
  <c r="O1021" i="31" s="1"/>
  <c r="E1124" i="18"/>
  <c r="E1125" i="18"/>
  <c r="E1126" i="18"/>
  <c r="O1023" i="31" s="1"/>
  <c r="E1127" i="18"/>
  <c r="O1024" i="31" s="1"/>
  <c r="E1128" i="18"/>
  <c r="O1025" i="31" s="1"/>
  <c r="E1129" i="18"/>
  <c r="E1130" i="18"/>
  <c r="O1027" i="31" s="1"/>
  <c r="E1131" i="18"/>
  <c r="O1028" i="31" s="1"/>
  <c r="E1132" i="18"/>
  <c r="O1029" i="31" s="1"/>
  <c r="E1133" i="18"/>
  <c r="E1134" i="18"/>
  <c r="O1031" i="31" s="1"/>
  <c r="E1135" i="18"/>
  <c r="E1136" i="18"/>
  <c r="E1137" i="18"/>
  <c r="O1033" i="31" s="1"/>
  <c r="E1138" i="18"/>
  <c r="E1139" i="18"/>
  <c r="O1035" i="31" s="1"/>
  <c r="E1140" i="18"/>
  <c r="E1141" i="18"/>
  <c r="O1037" i="31" s="1"/>
  <c r="E1142" i="18"/>
  <c r="E1143" i="18"/>
  <c r="O1039" i="31" s="1"/>
  <c r="E1144" i="18"/>
  <c r="E1145" i="18"/>
  <c r="O1041" i="31" s="1"/>
  <c r="E1146" i="18"/>
  <c r="E1147" i="18"/>
  <c r="O1042" i="31" s="1"/>
  <c r="E1148" i="18"/>
  <c r="O1043" i="31" s="1"/>
  <c r="E1149" i="18"/>
  <c r="O1044" i="31" s="1"/>
  <c r="E1150" i="18"/>
  <c r="O1045" i="31" s="1"/>
  <c r="E1151" i="18"/>
  <c r="O1046" i="31" s="1"/>
  <c r="E1152" i="18"/>
  <c r="O1047" i="31" s="1"/>
  <c r="E1153" i="18"/>
  <c r="O1048" i="31" s="1"/>
  <c r="E1154" i="18"/>
  <c r="O1049" i="31" s="1"/>
  <c r="E1155" i="18"/>
  <c r="O1050" i="31" s="1"/>
  <c r="E1156" i="18"/>
  <c r="O1051" i="31" s="1"/>
  <c r="E1157" i="18"/>
  <c r="E1158" i="18"/>
  <c r="E1159" i="18"/>
  <c r="O1053" i="31" s="1"/>
  <c r="E1160" i="18"/>
  <c r="E1161" i="18"/>
  <c r="O1055" i="31" s="1"/>
  <c r="E1162" i="18"/>
  <c r="E1163" i="18"/>
  <c r="O1057" i="31" s="1"/>
  <c r="E1164" i="18"/>
  <c r="E1165" i="18"/>
  <c r="O1059" i="31" s="1"/>
  <c r="E1166" i="18"/>
  <c r="E1167" i="18"/>
  <c r="O1061" i="31" s="1"/>
  <c r="E1168" i="18"/>
  <c r="E1169" i="18"/>
  <c r="E1170" i="18"/>
  <c r="O1063" i="31" s="1"/>
  <c r="E1171" i="18"/>
  <c r="O1064" i="31" s="1"/>
  <c r="E1172" i="18"/>
  <c r="O1065" i="31" s="1"/>
  <c r="E1173" i="18"/>
  <c r="E1174" i="18"/>
  <c r="O1067" i="31" s="1"/>
  <c r="E1175" i="18"/>
  <c r="O1068" i="31" s="1"/>
  <c r="E1176" i="18"/>
  <c r="O1069" i="31" s="1"/>
  <c r="E1177" i="18"/>
  <c r="E1178" i="18"/>
  <c r="O1071" i="31" s="1"/>
  <c r="E1179" i="18"/>
  <c r="E1180" i="18"/>
  <c r="E1181" i="18"/>
  <c r="O1073" i="31" s="1"/>
  <c r="E1182" i="18"/>
  <c r="E1183" i="18"/>
  <c r="O1075" i="31" s="1"/>
  <c r="E1184" i="18"/>
  <c r="E1185" i="18"/>
  <c r="O1077" i="31" s="1"/>
  <c r="E1186" i="18"/>
  <c r="E1187" i="18"/>
  <c r="O1079" i="31" s="1"/>
  <c r="E1188" i="18"/>
  <c r="E1189" i="18"/>
  <c r="O1081" i="31" s="1"/>
  <c r="E1190" i="18"/>
  <c r="E1191" i="18"/>
  <c r="O1082" i="31" s="1"/>
  <c r="E1192" i="18"/>
  <c r="O1083" i="31" s="1"/>
  <c r="E1193" i="18"/>
  <c r="O1084" i="31" s="1"/>
  <c r="E1194" i="18"/>
  <c r="O1085" i="31" s="1"/>
  <c r="E1195" i="18"/>
  <c r="O1086" i="31" s="1"/>
  <c r="E1196" i="18"/>
  <c r="O1087" i="31" s="1"/>
  <c r="E1197" i="18"/>
  <c r="O1088" i="31" s="1"/>
  <c r="E1198" i="18"/>
  <c r="O1089" i="31" s="1"/>
  <c r="E1199" i="18"/>
  <c r="O1090" i="31" s="1"/>
  <c r="E1200" i="18"/>
  <c r="O1091" i="31" s="1"/>
  <c r="E1201" i="18"/>
  <c r="E1202" i="18"/>
  <c r="E1203" i="18"/>
  <c r="O1093" i="31" s="1"/>
  <c r="E1204" i="18"/>
  <c r="E1205" i="18"/>
  <c r="O1095" i="31" s="1"/>
  <c r="E1206" i="18"/>
  <c r="E1207" i="18"/>
  <c r="O1097" i="31" s="1"/>
  <c r="E1208" i="18"/>
  <c r="E1209" i="18"/>
  <c r="O1099" i="31" s="1"/>
  <c r="E1210" i="18"/>
  <c r="E1211" i="18"/>
  <c r="O1101" i="31" s="1"/>
  <c r="E1212" i="18"/>
  <c r="E1213" i="18"/>
  <c r="E1214" i="18"/>
  <c r="O1103" i="31" s="1"/>
  <c r="E1215" i="18"/>
  <c r="O1104" i="31" s="1"/>
  <c r="E1216" i="18"/>
  <c r="O1105" i="31" s="1"/>
  <c r="E1217" i="18"/>
  <c r="E1218" i="18"/>
  <c r="O1107" i="31" s="1"/>
  <c r="E1219" i="18"/>
  <c r="O1108" i="31" s="1"/>
  <c r="E1220" i="18"/>
  <c r="O1109" i="31" s="1"/>
  <c r="E1221" i="18"/>
  <c r="E1222" i="18"/>
  <c r="O1111" i="31" s="1"/>
  <c r="E1223" i="18"/>
  <c r="E1224" i="18"/>
  <c r="E1225" i="18"/>
  <c r="O1113" i="31" s="1"/>
  <c r="E1226" i="18"/>
  <c r="E1227" i="18"/>
  <c r="O1115" i="31" s="1"/>
  <c r="E1228" i="18"/>
  <c r="E1229" i="18"/>
  <c r="O1117" i="31" s="1"/>
  <c r="E1230" i="18"/>
  <c r="E1231" i="18"/>
  <c r="O1119" i="31" s="1"/>
  <c r="E1232" i="18"/>
  <c r="E1233" i="18"/>
  <c r="O1121" i="31" s="1"/>
  <c r="E1234" i="18"/>
  <c r="E1235" i="18"/>
  <c r="O1122" i="31" s="1"/>
  <c r="E1236" i="18"/>
  <c r="O1123" i="31" s="1"/>
  <c r="E1237" i="18"/>
  <c r="O1124" i="31" s="1"/>
  <c r="E1238" i="18"/>
  <c r="O1125" i="31" s="1"/>
  <c r="E1239" i="18"/>
  <c r="O1126" i="31" s="1"/>
  <c r="E1240" i="18"/>
  <c r="O1127" i="31" s="1"/>
  <c r="E1241" i="18"/>
  <c r="O1128" i="31" s="1"/>
  <c r="E1242" i="18"/>
  <c r="O1129" i="31" s="1"/>
  <c r="E1243" i="18"/>
  <c r="O1130" i="31" s="1"/>
  <c r="E1244" i="18"/>
  <c r="O1131" i="31" s="1"/>
  <c r="E1245" i="18"/>
  <c r="E1246" i="18"/>
  <c r="E1247" i="18"/>
  <c r="O1133" i="31" s="1"/>
  <c r="E1248" i="18"/>
  <c r="E1249" i="18"/>
  <c r="O1135" i="31" s="1"/>
  <c r="E1250" i="18"/>
  <c r="E1251" i="18"/>
  <c r="O1137" i="31" s="1"/>
  <c r="E1252" i="18"/>
  <c r="E1253" i="18"/>
  <c r="O1139" i="31" s="1"/>
  <c r="E1254" i="18"/>
  <c r="E1255" i="18"/>
  <c r="O1141" i="31" s="1"/>
  <c r="E1256" i="18"/>
  <c r="E1257" i="18"/>
  <c r="E1258" i="18"/>
  <c r="O1143" i="31" s="1"/>
  <c r="E1259" i="18"/>
  <c r="O1144" i="31" s="1"/>
  <c r="E1260" i="18"/>
  <c r="O1145" i="31" s="1"/>
  <c r="E1261" i="18"/>
  <c r="E1262" i="18"/>
  <c r="O1147" i="31" s="1"/>
  <c r="E1263" i="18"/>
  <c r="O1148" i="31" s="1"/>
  <c r="E1264" i="18"/>
  <c r="O1149" i="31" s="1"/>
  <c r="E1265" i="18"/>
  <c r="E1266" i="18"/>
  <c r="O1151" i="31" s="1"/>
  <c r="E1267" i="18"/>
  <c r="E1268" i="18"/>
  <c r="E1269" i="18"/>
  <c r="O1153" i="31" s="1"/>
  <c r="E1270" i="18"/>
  <c r="E1271" i="18"/>
  <c r="O1155" i="31" s="1"/>
  <c r="E1272" i="18"/>
  <c r="E1273" i="18"/>
  <c r="O1157" i="31" s="1"/>
  <c r="E1274" i="18"/>
  <c r="E1275" i="18"/>
  <c r="O1159" i="31" s="1"/>
  <c r="E1276" i="18"/>
  <c r="E1277" i="18"/>
  <c r="O1161" i="31" s="1"/>
  <c r="E1278" i="18"/>
  <c r="E1279" i="18"/>
  <c r="O1162" i="31" s="1"/>
  <c r="E1280" i="18"/>
  <c r="O1163" i="31" s="1"/>
  <c r="E1281" i="18"/>
  <c r="O1164" i="31" s="1"/>
  <c r="E1282" i="18"/>
  <c r="O1165" i="31" s="1"/>
  <c r="E1283" i="18"/>
  <c r="O1166" i="31" s="1"/>
  <c r="E1284" i="18"/>
  <c r="O1167" i="31" s="1"/>
  <c r="E1285" i="18"/>
  <c r="O1168" i="31" s="1"/>
  <c r="E1286" i="18"/>
  <c r="O1169" i="31" s="1"/>
  <c r="E1287" i="18"/>
  <c r="O1170" i="31" s="1"/>
  <c r="E1288" i="18"/>
  <c r="O1171" i="31" s="1"/>
  <c r="E1289" i="18"/>
  <c r="E1290" i="18"/>
  <c r="E1291" i="18"/>
  <c r="O1173" i="31" s="1"/>
  <c r="E1292" i="18"/>
  <c r="E1293" i="18"/>
  <c r="O1175" i="31" s="1"/>
  <c r="E1294" i="18"/>
  <c r="E1295" i="18"/>
  <c r="O1177" i="31" s="1"/>
  <c r="E1296" i="18"/>
  <c r="E1297" i="18"/>
  <c r="O1179" i="31" s="1"/>
  <c r="E1298" i="18"/>
  <c r="E1299" i="18"/>
  <c r="O1181" i="31" s="1"/>
  <c r="E1300" i="18"/>
  <c r="E1301" i="18"/>
  <c r="E1302" i="18"/>
  <c r="O1183" i="31" s="1"/>
  <c r="E1303" i="18"/>
  <c r="O1184" i="31" s="1"/>
  <c r="E1304" i="18"/>
  <c r="O1185" i="31" s="1"/>
  <c r="E1305" i="18"/>
  <c r="E1306" i="18"/>
  <c r="O1187" i="31" s="1"/>
  <c r="E1307" i="18"/>
  <c r="O1188" i="31" s="1"/>
  <c r="E1308" i="18"/>
  <c r="O1189" i="31" s="1"/>
  <c r="E1309" i="18"/>
  <c r="E1310" i="18"/>
  <c r="O1191" i="31" s="1"/>
  <c r="E1311" i="18"/>
  <c r="E1312" i="18"/>
  <c r="E1313" i="18"/>
  <c r="O1193" i="31" s="1"/>
  <c r="E1314" i="18"/>
  <c r="E1315" i="18"/>
  <c r="O1195" i="31" s="1"/>
  <c r="E1316" i="18"/>
  <c r="E1317" i="18"/>
  <c r="O1197" i="31" s="1"/>
  <c r="E1318" i="18"/>
  <c r="E1319" i="18"/>
  <c r="O1199" i="31" s="1"/>
  <c r="E1320" i="18"/>
  <c r="E1321" i="18"/>
  <c r="O1201" i="31" s="1"/>
  <c r="E1322" i="18"/>
  <c r="E1323" i="18"/>
  <c r="O1202" i="31" s="1"/>
  <c r="E1324" i="18"/>
  <c r="O1203" i="31" s="1"/>
  <c r="E1325" i="18"/>
  <c r="O1204" i="31" s="1"/>
  <c r="E1326" i="18"/>
  <c r="O1205" i="31" s="1"/>
  <c r="E1327" i="18"/>
  <c r="O1206" i="31" s="1"/>
  <c r="E1328" i="18"/>
  <c r="O1207" i="31" s="1"/>
  <c r="E1329" i="18"/>
  <c r="O1208" i="31" s="1"/>
  <c r="E1330" i="18"/>
  <c r="O1209" i="31" s="1"/>
  <c r="E1331" i="18"/>
  <c r="O1210" i="31" s="1"/>
  <c r="E1332" i="18"/>
  <c r="O1211" i="31" s="1"/>
  <c r="E1333" i="18"/>
  <c r="E1334" i="18"/>
  <c r="E1335" i="18"/>
  <c r="O1213" i="31" s="1"/>
  <c r="E1336" i="18"/>
  <c r="E1337" i="18"/>
  <c r="O1215" i="31" s="1"/>
  <c r="E1338" i="18"/>
  <c r="E1339" i="18"/>
  <c r="O1217" i="31" s="1"/>
  <c r="E1340" i="18"/>
  <c r="E1341" i="18"/>
  <c r="O1219" i="31" s="1"/>
  <c r="E1342" i="18"/>
  <c r="E1343" i="18"/>
  <c r="O1221" i="31" s="1"/>
  <c r="E1344" i="18"/>
  <c r="E1345" i="18"/>
  <c r="E1346" i="18"/>
  <c r="O1223" i="31" s="1"/>
  <c r="E1347" i="18"/>
  <c r="O1224" i="31" s="1"/>
  <c r="E1348" i="18"/>
  <c r="O1225" i="31" s="1"/>
  <c r="E1349" i="18"/>
  <c r="E1350" i="18"/>
  <c r="O1227" i="31" s="1"/>
  <c r="E1351" i="18"/>
  <c r="O1228" i="31" s="1"/>
  <c r="E1352" i="18"/>
  <c r="O1229" i="31" s="1"/>
  <c r="E1353" i="18"/>
  <c r="E1354" i="18"/>
  <c r="O1231" i="31" s="1"/>
  <c r="E1355" i="18"/>
  <c r="E1356" i="18"/>
  <c r="E1357" i="18"/>
  <c r="O1233" i="31" s="1"/>
  <c r="E1358" i="18"/>
  <c r="E1359" i="18"/>
  <c r="O1235" i="31" s="1"/>
  <c r="E1360" i="18"/>
  <c r="E1361" i="18"/>
  <c r="O1237" i="31" s="1"/>
  <c r="E1362" i="18"/>
  <c r="E1363" i="18"/>
  <c r="O1239" i="31" s="1"/>
  <c r="E1364" i="18"/>
  <c r="E1365" i="18"/>
  <c r="O1241" i="31" s="1"/>
  <c r="E1366" i="18"/>
  <c r="E1367" i="18"/>
  <c r="O1242" i="31" s="1"/>
  <c r="E1368" i="18"/>
  <c r="O1243" i="31" s="1"/>
  <c r="E1369" i="18"/>
  <c r="O1244" i="31" s="1"/>
  <c r="E1370" i="18"/>
  <c r="O1245" i="31" s="1"/>
  <c r="E1371" i="18"/>
  <c r="O1246" i="31" s="1"/>
  <c r="E1372" i="18"/>
  <c r="O1247" i="31" s="1"/>
  <c r="E1373" i="18"/>
  <c r="O1248" i="31" s="1"/>
  <c r="E1374" i="18"/>
  <c r="O1249" i="31" s="1"/>
  <c r="E1375" i="18"/>
  <c r="O1250" i="31" s="1"/>
  <c r="E1376" i="18"/>
  <c r="O1251" i="31" s="1"/>
  <c r="E1377" i="18"/>
  <c r="E1378" i="18"/>
  <c r="E1379" i="18"/>
  <c r="O1253" i="31" s="1"/>
  <c r="E1380" i="18"/>
  <c r="E1381" i="18"/>
  <c r="O1255" i="31" s="1"/>
  <c r="E1382" i="18"/>
  <c r="E1383" i="18"/>
  <c r="O1257" i="31" s="1"/>
  <c r="E1384" i="18"/>
  <c r="E1385" i="18"/>
  <c r="O1259" i="31" s="1"/>
  <c r="E1386" i="18"/>
  <c r="E1387" i="18"/>
  <c r="O1261" i="31" s="1"/>
  <c r="E1388" i="18"/>
  <c r="E1389" i="18"/>
  <c r="E1390" i="18"/>
  <c r="O1263" i="31" s="1"/>
  <c r="E1391" i="18"/>
  <c r="O1264" i="31" s="1"/>
  <c r="E1392" i="18"/>
  <c r="O1265" i="31" s="1"/>
  <c r="E1393" i="18"/>
  <c r="E1394" i="18"/>
  <c r="O1267" i="31" s="1"/>
  <c r="E1395" i="18"/>
  <c r="O1268" i="31" s="1"/>
  <c r="E1396" i="18"/>
  <c r="O1269" i="31" s="1"/>
  <c r="E1397" i="18"/>
  <c r="E1398" i="18"/>
  <c r="O1271" i="31" s="1"/>
  <c r="E1399" i="18"/>
  <c r="E1400" i="18"/>
  <c r="E1401" i="18"/>
  <c r="O1273" i="31" s="1"/>
  <c r="E1402" i="18"/>
  <c r="E1403" i="18"/>
  <c r="O1275" i="31" s="1"/>
  <c r="E1404" i="18"/>
  <c r="E1405" i="18"/>
  <c r="O1277" i="31" s="1"/>
  <c r="E1406" i="18"/>
  <c r="E1407" i="18"/>
  <c r="O1279" i="31" s="1"/>
  <c r="E1408" i="18"/>
  <c r="E1409" i="18"/>
  <c r="O1281" i="31" s="1"/>
  <c r="E1410" i="18"/>
  <c r="E1411" i="18"/>
  <c r="O1282" i="31" s="1"/>
  <c r="E1412" i="18"/>
  <c r="O1283" i="31" s="1"/>
  <c r="E1413" i="18"/>
  <c r="O1284" i="31" s="1"/>
  <c r="E1414" i="18"/>
  <c r="O1285" i="31" s="1"/>
  <c r="E1415" i="18"/>
  <c r="O1286" i="31" s="1"/>
  <c r="E1416" i="18"/>
  <c r="O1287" i="31" s="1"/>
  <c r="E1417" i="18"/>
  <c r="O1288" i="31" s="1"/>
  <c r="E1418" i="18"/>
  <c r="O1289" i="31" s="1"/>
  <c r="E1419" i="18"/>
  <c r="O1290" i="31" s="1"/>
  <c r="E1420" i="18"/>
  <c r="O1291" i="31" s="1"/>
  <c r="E1421" i="18"/>
  <c r="E1422" i="18"/>
  <c r="E1423" i="18"/>
  <c r="O1293" i="31" s="1"/>
  <c r="E1424" i="18"/>
  <c r="E1425" i="18"/>
  <c r="O1295" i="31" s="1"/>
  <c r="E1426" i="18"/>
  <c r="E1427" i="18"/>
  <c r="O1297" i="31" s="1"/>
  <c r="E1428" i="18"/>
  <c r="E1429" i="18"/>
  <c r="O1299" i="31" s="1"/>
  <c r="E1430" i="18"/>
  <c r="E1431" i="18"/>
  <c r="O1301" i="31" s="1"/>
  <c r="E1432" i="18"/>
  <c r="E1433" i="18"/>
  <c r="E1434" i="18"/>
  <c r="O1303" i="31" s="1"/>
  <c r="E1435" i="18"/>
  <c r="O1304" i="31" s="1"/>
  <c r="E1436" i="18"/>
  <c r="O1305" i="31" s="1"/>
  <c r="E1437" i="18"/>
  <c r="E1438" i="18"/>
  <c r="O1307" i="31" s="1"/>
  <c r="E1439" i="18"/>
  <c r="O1308" i="31" s="1"/>
  <c r="E1440" i="18"/>
  <c r="O1309" i="31" s="1"/>
  <c r="E1441" i="18"/>
  <c r="E1442" i="18"/>
  <c r="O1311" i="31" s="1"/>
  <c r="E1443" i="18"/>
  <c r="E1444" i="18"/>
  <c r="E1445" i="18"/>
  <c r="O1313" i="31" s="1"/>
  <c r="E1446" i="18"/>
  <c r="E1447" i="18"/>
  <c r="O1315" i="31" s="1"/>
  <c r="E1448" i="18"/>
  <c r="E1449" i="18"/>
  <c r="O1317" i="31" s="1"/>
  <c r="E1450" i="18"/>
  <c r="E1451" i="18"/>
  <c r="O1319" i="31" s="1"/>
  <c r="E1452" i="18"/>
  <c r="E1453" i="18"/>
  <c r="O1321" i="31" s="1"/>
  <c r="E1454" i="18"/>
  <c r="E1455" i="18"/>
  <c r="O1322" i="31" s="1"/>
  <c r="E1456" i="18"/>
  <c r="O1323" i="31" s="1"/>
  <c r="E1457" i="18"/>
  <c r="O1324" i="31" s="1"/>
  <c r="E1458" i="18"/>
  <c r="O1325" i="31" s="1"/>
  <c r="E1459" i="18"/>
  <c r="O1326" i="31" s="1"/>
  <c r="E1460" i="18"/>
  <c r="O1327" i="31" s="1"/>
  <c r="E1461" i="18"/>
  <c r="O1328" i="31" s="1"/>
  <c r="E1462" i="18"/>
  <c r="O1329" i="31" s="1"/>
  <c r="E1463" i="18"/>
  <c r="O1330" i="31" s="1"/>
  <c r="E1464" i="18"/>
  <c r="O1331" i="31" s="1"/>
  <c r="E1465" i="18"/>
  <c r="E1466" i="18"/>
  <c r="E1467" i="18"/>
  <c r="O1333" i="31" s="1"/>
  <c r="E1468" i="18"/>
  <c r="E1469" i="18"/>
  <c r="O1335" i="31" s="1"/>
  <c r="E1470" i="18"/>
  <c r="E1471" i="18"/>
  <c r="O1337" i="31" s="1"/>
  <c r="E1472" i="18"/>
  <c r="E1473" i="18"/>
  <c r="O1339" i="31" s="1"/>
  <c r="E1474" i="18"/>
  <c r="E1475" i="18"/>
  <c r="O1341" i="31" s="1"/>
  <c r="E1476" i="18"/>
  <c r="E1477" i="18"/>
  <c r="E1478" i="18"/>
  <c r="O1343" i="31" s="1"/>
  <c r="E1479" i="18"/>
  <c r="O1344" i="31" s="1"/>
  <c r="E1480" i="18"/>
  <c r="O1345" i="31" s="1"/>
  <c r="E1481" i="18"/>
  <c r="E1482" i="18"/>
  <c r="O1347" i="31" s="1"/>
  <c r="E1483" i="18"/>
  <c r="O1348" i="31" s="1"/>
  <c r="E1484" i="18"/>
  <c r="O1349" i="31" s="1"/>
  <c r="E1485" i="18"/>
  <c r="E1486" i="18"/>
  <c r="O1351" i="31" s="1"/>
  <c r="E1487" i="18"/>
  <c r="E1488" i="18"/>
  <c r="E1489" i="18"/>
  <c r="O1353" i="31" s="1"/>
  <c r="E1490" i="18"/>
  <c r="E1491" i="18"/>
  <c r="O1355" i="31" s="1"/>
  <c r="E1492" i="18"/>
  <c r="E1493" i="18"/>
  <c r="O1357" i="31" s="1"/>
  <c r="E1494" i="18"/>
  <c r="E1495" i="18"/>
  <c r="O1359" i="31" s="1"/>
  <c r="E1496" i="18"/>
  <c r="E1497" i="18"/>
  <c r="O1361" i="31" s="1"/>
  <c r="E1498" i="18"/>
  <c r="E1499" i="18"/>
  <c r="O1362" i="31" s="1"/>
  <c r="E1500" i="18"/>
  <c r="O1363" i="31" s="1"/>
  <c r="E1501" i="18"/>
  <c r="O1364" i="31" s="1"/>
  <c r="E1502" i="18"/>
  <c r="O1365" i="31" s="1"/>
  <c r="E1503" i="18"/>
  <c r="O1366" i="31" s="1"/>
  <c r="E1504" i="18"/>
  <c r="O1367" i="31" s="1"/>
  <c r="E1505" i="18"/>
  <c r="O1368" i="31" s="1"/>
  <c r="E1506" i="18"/>
  <c r="O1369" i="31" s="1"/>
  <c r="E1507" i="18"/>
  <c r="O1370" i="31" s="1"/>
  <c r="E1508" i="18"/>
  <c r="O1371" i="31" s="1"/>
  <c r="E1509" i="18"/>
  <c r="E1510" i="18"/>
  <c r="E1511" i="18"/>
  <c r="O1373" i="31" s="1"/>
  <c r="E1512" i="18"/>
  <c r="E1513" i="18"/>
  <c r="O1375" i="31" s="1"/>
  <c r="E1514" i="18"/>
  <c r="E1515" i="18"/>
  <c r="O1377" i="31" s="1"/>
  <c r="E1516" i="18"/>
  <c r="E1517" i="18"/>
  <c r="O1379" i="31" s="1"/>
  <c r="E1518" i="18"/>
  <c r="E1519" i="18"/>
  <c r="O1381" i="31" s="1"/>
  <c r="E1520" i="18"/>
  <c r="E1521" i="18"/>
  <c r="E1522" i="18"/>
  <c r="O1383" i="31" s="1"/>
  <c r="E1523" i="18"/>
  <c r="O1384" i="31" s="1"/>
  <c r="E1524" i="18"/>
  <c r="O1385" i="31" s="1"/>
  <c r="E1525" i="18"/>
  <c r="E1526" i="18"/>
  <c r="O1387" i="31" s="1"/>
  <c r="E1527" i="18"/>
  <c r="O1388" i="31" s="1"/>
  <c r="E1528" i="18"/>
  <c r="O1389" i="31" s="1"/>
  <c r="E1529" i="18"/>
  <c r="E1530" i="18"/>
  <c r="O1391" i="31" s="1"/>
  <c r="E1531" i="18"/>
  <c r="E1532" i="18"/>
  <c r="E1533" i="18"/>
  <c r="O1393" i="31" s="1"/>
  <c r="E1534" i="18"/>
  <c r="E1535" i="18"/>
  <c r="O1395" i="31" s="1"/>
  <c r="E1536" i="18"/>
  <c r="E1537" i="18"/>
  <c r="O1397" i="31" s="1"/>
  <c r="E1538" i="18"/>
  <c r="E1539" i="18"/>
  <c r="O1399" i="31" s="1"/>
  <c r="E1540" i="18"/>
  <c r="E1541" i="18"/>
  <c r="O1401" i="31" s="1"/>
  <c r="E1542" i="18"/>
  <c r="E1543" i="18"/>
  <c r="O1402" i="31" s="1"/>
  <c r="E1544" i="18"/>
  <c r="O1403" i="31" s="1"/>
  <c r="E1545" i="18"/>
  <c r="O1404" i="31" s="1"/>
  <c r="E1546" i="18"/>
  <c r="O1405" i="31" s="1"/>
  <c r="E1547" i="18"/>
  <c r="O1406" i="31" s="1"/>
  <c r="E1548" i="18"/>
  <c r="O1407" i="31" s="1"/>
  <c r="E1549" i="18"/>
  <c r="O1408" i="31" s="1"/>
  <c r="E1550" i="18"/>
  <c r="O1409" i="31" s="1"/>
  <c r="E1551" i="18"/>
  <c r="O1410" i="31" s="1"/>
  <c r="E1552" i="18"/>
  <c r="O1411" i="31" s="1"/>
  <c r="E1553" i="18"/>
  <c r="E1554" i="18"/>
  <c r="E1555" i="18"/>
  <c r="O1413" i="31" s="1"/>
  <c r="E1556" i="18"/>
  <c r="E1557" i="18"/>
  <c r="O1415" i="31" s="1"/>
  <c r="E1558" i="18"/>
  <c r="E1559" i="18"/>
  <c r="O1417" i="31" s="1"/>
  <c r="E1560" i="18"/>
  <c r="E1561" i="18"/>
  <c r="O1419" i="31" s="1"/>
  <c r="E1562" i="18"/>
  <c r="E1563" i="18"/>
  <c r="O1421" i="31" s="1"/>
  <c r="E1564" i="18"/>
  <c r="E1565" i="18"/>
  <c r="E1566" i="18"/>
  <c r="O1423" i="31" s="1"/>
  <c r="E1567" i="18"/>
  <c r="O1424" i="31" s="1"/>
  <c r="E1568" i="18"/>
  <c r="O1425" i="31" s="1"/>
  <c r="E1569" i="18"/>
  <c r="E1570" i="18"/>
  <c r="O1427" i="31" s="1"/>
  <c r="E1571" i="18"/>
  <c r="O1428" i="31" s="1"/>
  <c r="E1572" i="18"/>
  <c r="O1429" i="31" s="1"/>
  <c r="E1573" i="18"/>
  <c r="E1574" i="18"/>
  <c r="O1431" i="31" s="1"/>
  <c r="E1575" i="18"/>
  <c r="E1576" i="18"/>
  <c r="E1577" i="18"/>
  <c r="O1433" i="31" s="1"/>
  <c r="E1578" i="18"/>
  <c r="E1579" i="18"/>
  <c r="O1435" i="31" s="1"/>
  <c r="E1580" i="18"/>
  <c r="E1581" i="18"/>
  <c r="O1437" i="31" s="1"/>
  <c r="E1582" i="18"/>
  <c r="E1583" i="18"/>
  <c r="O1439" i="31" s="1"/>
  <c r="E1584" i="18"/>
  <c r="E1585" i="18"/>
  <c r="O1441" i="31" s="1"/>
  <c r="E1586" i="18"/>
  <c r="E1587" i="18"/>
  <c r="O1442" i="31" s="1"/>
  <c r="E1588" i="18"/>
  <c r="O1443" i="31" s="1"/>
  <c r="E1589" i="18"/>
  <c r="O1444" i="31" s="1"/>
  <c r="E1590" i="18"/>
  <c r="O1445" i="31" s="1"/>
  <c r="E1591" i="18"/>
  <c r="O1446" i="31" s="1"/>
  <c r="E1592" i="18"/>
  <c r="O1447" i="31" s="1"/>
  <c r="E1593" i="18"/>
  <c r="O1448" i="31" s="1"/>
  <c r="E1594" i="18"/>
  <c r="O1449" i="31" s="1"/>
  <c r="E1595" i="18"/>
  <c r="O1450" i="31" s="1"/>
  <c r="E1596" i="18"/>
  <c r="O1451" i="31" s="1"/>
  <c r="E1597" i="18"/>
  <c r="E1598" i="18"/>
  <c r="E1599" i="18"/>
  <c r="O1453" i="31" s="1"/>
  <c r="E1600" i="18"/>
  <c r="E1601" i="18"/>
  <c r="O1455" i="31" s="1"/>
  <c r="E1602" i="18"/>
  <c r="E1603" i="18"/>
  <c r="O1457" i="31" s="1"/>
  <c r="E1604" i="18"/>
  <c r="E1605" i="18"/>
  <c r="O1459" i="31" s="1"/>
  <c r="E1606" i="18"/>
  <c r="E1607" i="18"/>
  <c r="O1461" i="31" s="1"/>
  <c r="E1608" i="18"/>
  <c r="E1609" i="18"/>
  <c r="E1610" i="18"/>
  <c r="O1463" i="31" s="1"/>
  <c r="E1611" i="18"/>
  <c r="O1464" i="31" s="1"/>
  <c r="E1612" i="18"/>
  <c r="O1465" i="31" s="1"/>
  <c r="E1613" i="18"/>
  <c r="E1614" i="18"/>
  <c r="O1467" i="31" s="1"/>
  <c r="E1615" i="18"/>
  <c r="O1468" i="31" s="1"/>
  <c r="E1616" i="18"/>
  <c r="O1469" i="31" s="1"/>
  <c r="E1617" i="18"/>
  <c r="E1618" i="18"/>
  <c r="O1471" i="31" s="1"/>
  <c r="E1619" i="18"/>
  <c r="E1620" i="18"/>
  <c r="E1621" i="18"/>
  <c r="O1473" i="31" s="1"/>
  <c r="E1622" i="18"/>
  <c r="E1623" i="18"/>
  <c r="O1475" i="31" s="1"/>
  <c r="E1624" i="18"/>
  <c r="E1625" i="18"/>
  <c r="O1477" i="31" s="1"/>
  <c r="E1626" i="18"/>
  <c r="E1627" i="18"/>
  <c r="O1479" i="31" s="1"/>
  <c r="E1628" i="18"/>
  <c r="E1629" i="18"/>
  <c r="O1481" i="31" s="1"/>
  <c r="N13" i="31"/>
  <c r="N15" i="31"/>
  <c r="N17" i="31"/>
  <c r="N19" i="31"/>
  <c r="N21" i="31"/>
  <c r="N23" i="31"/>
  <c r="N27" i="31"/>
  <c r="N31" i="31"/>
  <c r="N33" i="31"/>
  <c r="N35" i="31"/>
  <c r="N37" i="31"/>
  <c r="N39" i="31"/>
  <c r="N41" i="31"/>
  <c r="N53" i="31"/>
  <c r="N55" i="31"/>
  <c r="N57" i="31"/>
  <c r="N59" i="31"/>
  <c r="N61" i="31"/>
  <c r="N63" i="31"/>
  <c r="N67" i="31"/>
  <c r="N71" i="31"/>
  <c r="N73" i="31"/>
  <c r="N75" i="31"/>
  <c r="N77" i="31"/>
  <c r="N79" i="31"/>
  <c r="N81" i="31"/>
  <c r="N93" i="31"/>
  <c r="N95" i="31"/>
  <c r="N97" i="31"/>
  <c r="N99" i="31"/>
  <c r="N101" i="31"/>
  <c r="N103" i="31"/>
  <c r="N107" i="31"/>
  <c r="N111" i="31"/>
  <c r="N113" i="31"/>
  <c r="N115" i="31"/>
  <c r="N117" i="31"/>
  <c r="N119" i="31"/>
  <c r="N121" i="31"/>
  <c r="N127" i="31"/>
  <c r="N133" i="31"/>
  <c r="N135" i="31"/>
  <c r="N137" i="31"/>
  <c r="N139" i="31"/>
  <c r="N141" i="31"/>
  <c r="N143" i="31"/>
  <c r="N147" i="31"/>
  <c r="N151" i="31"/>
  <c r="N153" i="31"/>
  <c r="N155" i="31"/>
  <c r="N157" i="31"/>
  <c r="N159" i="31"/>
  <c r="N161" i="31"/>
  <c r="N167" i="31"/>
  <c r="N173" i="31"/>
  <c r="N175" i="31"/>
  <c r="N177" i="31"/>
  <c r="N179" i="31"/>
  <c r="N181" i="31"/>
  <c r="N183" i="31"/>
  <c r="N187" i="31"/>
  <c r="N191" i="31"/>
  <c r="N193" i="31"/>
  <c r="N195" i="31"/>
  <c r="N197" i="31"/>
  <c r="N199" i="31"/>
  <c r="N201" i="31"/>
  <c r="N207" i="31"/>
  <c r="N213" i="31"/>
  <c r="N215" i="31"/>
  <c r="N217" i="31"/>
  <c r="N219" i="31"/>
  <c r="N221" i="31"/>
  <c r="N223" i="31"/>
  <c r="N227" i="31"/>
  <c r="N231" i="31"/>
  <c r="N233" i="31"/>
  <c r="N235" i="31"/>
  <c r="N237" i="31"/>
  <c r="N239" i="31"/>
  <c r="N241" i="31"/>
  <c r="N247" i="31"/>
  <c r="N253" i="31"/>
  <c r="N255" i="31"/>
  <c r="N257" i="31"/>
  <c r="N259" i="31"/>
  <c r="N261" i="31"/>
  <c r="N263" i="31"/>
  <c r="N267" i="31"/>
  <c r="N271" i="31"/>
  <c r="N273" i="31"/>
  <c r="N275" i="31"/>
  <c r="N277" i="31"/>
  <c r="N279" i="31"/>
  <c r="N281" i="31"/>
  <c r="N287" i="31"/>
  <c r="N293" i="31"/>
  <c r="N295" i="31"/>
  <c r="N297" i="31"/>
  <c r="N299" i="31"/>
  <c r="N301" i="31"/>
  <c r="N303" i="31"/>
  <c r="N307" i="31"/>
  <c r="N311" i="31"/>
  <c r="N313" i="31"/>
  <c r="N315" i="31"/>
  <c r="N317" i="31"/>
  <c r="N319" i="31"/>
  <c r="N321" i="31"/>
  <c r="N327" i="31"/>
  <c r="N333" i="31"/>
  <c r="N335" i="31"/>
  <c r="N337" i="31"/>
  <c r="N339" i="31"/>
  <c r="N341" i="31"/>
  <c r="N343" i="31"/>
  <c r="N347" i="31"/>
  <c r="N351" i="31"/>
  <c r="N353" i="31"/>
  <c r="N355" i="31"/>
  <c r="N357" i="31"/>
  <c r="N359" i="31"/>
  <c r="N361" i="31"/>
  <c r="N367" i="31"/>
  <c r="N373" i="31"/>
  <c r="N375" i="31"/>
  <c r="N377" i="31"/>
  <c r="N379" i="31"/>
  <c r="N381" i="31"/>
  <c r="N383" i="31"/>
  <c r="N387" i="31"/>
  <c r="N391" i="31"/>
  <c r="N393" i="31"/>
  <c r="N395" i="31"/>
  <c r="N397" i="31"/>
  <c r="N399" i="31"/>
  <c r="N401" i="31"/>
  <c r="N407" i="31"/>
  <c r="N413" i="31"/>
  <c r="N415" i="31"/>
  <c r="N417" i="31"/>
  <c r="N419" i="31"/>
  <c r="N421" i="31"/>
  <c r="N423" i="31"/>
  <c r="N427" i="31"/>
  <c r="N431" i="31"/>
  <c r="N433" i="31"/>
  <c r="N435" i="31"/>
  <c r="N437" i="31"/>
  <c r="N439" i="31"/>
  <c r="N441" i="31"/>
  <c r="N447" i="31"/>
  <c r="N453" i="31"/>
  <c r="N455" i="31"/>
  <c r="N457" i="31"/>
  <c r="N459" i="31"/>
  <c r="N461" i="31"/>
  <c r="N463" i="31"/>
  <c r="N467" i="31"/>
  <c r="N471" i="31"/>
  <c r="N473" i="31"/>
  <c r="N475" i="31"/>
  <c r="N477" i="31"/>
  <c r="N479" i="31"/>
  <c r="N481" i="31"/>
  <c r="N487" i="31"/>
  <c r="N493" i="31"/>
  <c r="N495" i="31"/>
  <c r="N497" i="31"/>
  <c r="N499" i="31"/>
  <c r="N501" i="31"/>
  <c r="N507" i="31"/>
  <c r="N511" i="31"/>
  <c r="N513" i="31"/>
  <c r="N515" i="31"/>
  <c r="N517" i="31"/>
  <c r="N519" i="31"/>
  <c r="N521" i="31"/>
  <c r="N527" i="31"/>
  <c r="N533" i="31"/>
  <c r="N535" i="31"/>
  <c r="N537" i="31"/>
  <c r="N539" i="31"/>
  <c r="N541" i="31"/>
  <c r="N543" i="31"/>
  <c r="N547" i="31"/>
  <c r="N551" i="31"/>
  <c r="N553" i="31"/>
  <c r="N555" i="31"/>
  <c r="N557" i="31"/>
  <c r="N559" i="31"/>
  <c r="N561" i="31"/>
  <c r="N567" i="31"/>
  <c r="N573" i="31"/>
  <c r="N575" i="31"/>
  <c r="N577" i="31"/>
  <c r="N579" i="31"/>
  <c r="N581" i="31"/>
  <c r="N583" i="31"/>
  <c r="N587" i="31"/>
  <c r="N591" i="31"/>
  <c r="N593" i="31"/>
  <c r="N595" i="31"/>
  <c r="N597" i="31"/>
  <c r="N599" i="31"/>
  <c r="N601" i="31"/>
  <c r="N607" i="31"/>
  <c r="N613" i="31"/>
  <c r="N615" i="31"/>
  <c r="N617" i="31"/>
  <c r="N619" i="31"/>
  <c r="N621" i="31"/>
  <c r="N623" i="31"/>
  <c r="N627" i="31"/>
  <c r="N631" i="31"/>
  <c r="N633" i="31"/>
  <c r="N635" i="31"/>
  <c r="N637" i="31"/>
  <c r="N639" i="31"/>
  <c r="N641" i="31"/>
  <c r="N647" i="31"/>
  <c r="N653" i="31"/>
  <c r="N655" i="31"/>
  <c r="N657" i="31"/>
  <c r="N659" i="31"/>
  <c r="N661" i="31"/>
  <c r="N663" i="31"/>
  <c r="N667" i="31"/>
  <c r="N671" i="31"/>
  <c r="N673" i="31"/>
  <c r="N675" i="31"/>
  <c r="N677" i="31"/>
  <c r="N679" i="31"/>
  <c r="N681" i="31"/>
  <c r="N687" i="31"/>
  <c r="N693" i="31"/>
  <c r="N695" i="31"/>
  <c r="N697" i="31"/>
  <c r="N699" i="31"/>
  <c r="N701" i="31"/>
  <c r="N703" i="31"/>
  <c r="N707" i="31"/>
  <c r="N711" i="31"/>
  <c r="N713" i="31"/>
  <c r="N715" i="31"/>
  <c r="N717" i="31"/>
  <c r="N719" i="31"/>
  <c r="N721" i="31"/>
  <c r="N727" i="31"/>
  <c r="N733" i="31"/>
  <c r="N735" i="31"/>
  <c r="N737" i="31"/>
  <c r="N739" i="31"/>
  <c r="N741" i="31"/>
  <c r="N743" i="31"/>
  <c r="N747" i="31"/>
  <c r="N751" i="31"/>
  <c r="N753" i="31"/>
  <c r="N755" i="31"/>
  <c r="N757" i="31"/>
  <c r="N759" i="31"/>
  <c r="N761" i="31"/>
  <c r="N767" i="31"/>
  <c r="N773" i="31"/>
  <c r="N775" i="31"/>
  <c r="N777" i="31"/>
  <c r="N779" i="31"/>
  <c r="N781" i="31"/>
  <c r="N783" i="31"/>
  <c r="N787" i="31"/>
  <c r="N791" i="31"/>
  <c r="N793" i="31"/>
  <c r="N795" i="31"/>
  <c r="N797" i="31"/>
  <c r="N799" i="31"/>
  <c r="N801" i="31"/>
  <c r="N807" i="31"/>
  <c r="N813" i="31"/>
  <c r="N815" i="31"/>
  <c r="N817" i="31"/>
  <c r="N819" i="31"/>
  <c r="N821" i="31"/>
  <c r="N823" i="31"/>
  <c r="N827" i="31"/>
  <c r="N831" i="31"/>
  <c r="N833" i="31"/>
  <c r="N835" i="31"/>
  <c r="N837" i="31"/>
  <c r="N839" i="31"/>
  <c r="N841" i="31"/>
  <c r="N847" i="31"/>
  <c r="N853" i="31"/>
  <c r="N855" i="31"/>
  <c r="N857" i="31"/>
  <c r="N859" i="31"/>
  <c r="N861" i="31"/>
  <c r="N863" i="31"/>
  <c r="N867" i="31"/>
  <c r="N871" i="31"/>
  <c r="N873" i="31"/>
  <c r="N875" i="31"/>
  <c r="N877" i="31"/>
  <c r="N879" i="31"/>
  <c r="N881" i="31"/>
  <c r="N887" i="31"/>
  <c r="N893" i="31"/>
  <c r="N895" i="31"/>
  <c r="N897" i="31"/>
  <c r="N899" i="31"/>
  <c r="N901" i="31"/>
  <c r="N903" i="31"/>
  <c r="N907" i="31"/>
  <c r="N911" i="31"/>
  <c r="N913" i="31"/>
  <c r="N915" i="31"/>
  <c r="N917" i="31"/>
  <c r="N919" i="31"/>
  <c r="N921" i="31"/>
  <c r="N927" i="31"/>
  <c r="N933" i="31"/>
  <c r="N935" i="31"/>
  <c r="N937" i="31"/>
  <c r="N939" i="31"/>
  <c r="N941" i="31"/>
  <c r="N943" i="31"/>
  <c r="N947" i="31"/>
  <c r="N951" i="31"/>
  <c r="N953" i="31"/>
  <c r="N955" i="31"/>
  <c r="N957" i="31"/>
  <c r="N959" i="31"/>
  <c r="N961" i="31"/>
  <c r="N967" i="31"/>
  <c r="N973" i="31"/>
  <c r="N975" i="31"/>
  <c r="N977" i="31"/>
  <c r="N979" i="31"/>
  <c r="N981" i="31"/>
  <c r="N983" i="31"/>
  <c r="N987" i="31"/>
  <c r="N991" i="31"/>
  <c r="N993" i="31"/>
  <c r="N995" i="31"/>
  <c r="N997" i="31"/>
  <c r="N999" i="31"/>
  <c r="N1001" i="31"/>
  <c r="N1007" i="31"/>
  <c r="N1013" i="31"/>
  <c r="N1015" i="31"/>
  <c r="N1017" i="31"/>
  <c r="N1019" i="31"/>
  <c r="N1021" i="31"/>
  <c r="N1023" i="31"/>
  <c r="N1027" i="31"/>
  <c r="N1031" i="31"/>
  <c r="N1033" i="31"/>
  <c r="N1035" i="31"/>
  <c r="N1037" i="31"/>
  <c r="N1039" i="31"/>
  <c r="N1041" i="31"/>
  <c r="N1047" i="31"/>
  <c r="N1053" i="31"/>
  <c r="N1055" i="31"/>
  <c r="N1057" i="31"/>
  <c r="N1059" i="31"/>
  <c r="N1061" i="31"/>
  <c r="N1063" i="31"/>
  <c r="N1067" i="31"/>
  <c r="N1071" i="31"/>
  <c r="N1073" i="31"/>
  <c r="N1075" i="31"/>
  <c r="N1077" i="31"/>
  <c r="N1079" i="31"/>
  <c r="N1081" i="31"/>
  <c r="N1087" i="31"/>
  <c r="N1093" i="31"/>
  <c r="N1095" i="31"/>
  <c r="N1097" i="31"/>
  <c r="N1099" i="31"/>
  <c r="N1101" i="31"/>
  <c r="N1103" i="31"/>
  <c r="N1107" i="31"/>
  <c r="N1111" i="31"/>
  <c r="N1113" i="31"/>
  <c r="N1115" i="31"/>
  <c r="N1117" i="31"/>
  <c r="N1119" i="31"/>
  <c r="N1121" i="31"/>
  <c r="N1127" i="31"/>
  <c r="N1133" i="31"/>
  <c r="N1135" i="31"/>
  <c r="N1137" i="31"/>
  <c r="N1139" i="31"/>
  <c r="N1141" i="31"/>
  <c r="N1143" i="31"/>
  <c r="N1147" i="31"/>
  <c r="N1151" i="31"/>
  <c r="N1153" i="31"/>
  <c r="N1155" i="31"/>
  <c r="N1157" i="31"/>
  <c r="N1159" i="31"/>
  <c r="N1161" i="31"/>
  <c r="N1167" i="31"/>
  <c r="N1173" i="31"/>
  <c r="N1175" i="31"/>
  <c r="N1177" i="31"/>
  <c r="N1179" i="31"/>
  <c r="N1181" i="31"/>
  <c r="N1183" i="31"/>
  <c r="N1187" i="31"/>
  <c r="N1191" i="31"/>
  <c r="N1193" i="31"/>
  <c r="N1195" i="31"/>
  <c r="N1197" i="31"/>
  <c r="N1199" i="31"/>
  <c r="N1201" i="31"/>
  <c r="N1207" i="31"/>
  <c r="N1213" i="31"/>
  <c r="N1215" i="31"/>
  <c r="N1217" i="31"/>
  <c r="N1219" i="31"/>
  <c r="N1221" i="31"/>
  <c r="N1223" i="31"/>
  <c r="N1227" i="31"/>
  <c r="N1231" i="31"/>
  <c r="N1233" i="31"/>
  <c r="N1235" i="31"/>
  <c r="N1237" i="31"/>
  <c r="N1239" i="31"/>
  <c r="N1241" i="31"/>
  <c r="N1247" i="31"/>
  <c r="N1253" i="31"/>
  <c r="N1255" i="31"/>
  <c r="N1257" i="31"/>
  <c r="N1259" i="31"/>
  <c r="N1261" i="31"/>
  <c r="N1263" i="31"/>
  <c r="N1267" i="31"/>
  <c r="N1271" i="31"/>
  <c r="N1273" i="31"/>
  <c r="N1275" i="31"/>
  <c r="N1277" i="31"/>
  <c r="N1279" i="31"/>
  <c r="N1281" i="31"/>
  <c r="N1287" i="31"/>
  <c r="N1293" i="31"/>
  <c r="N1295" i="31"/>
  <c r="N1297" i="31"/>
  <c r="N1299" i="31"/>
  <c r="N1301" i="31"/>
  <c r="N1303" i="31"/>
  <c r="N1307" i="31"/>
  <c r="N1311" i="31"/>
  <c r="N1313" i="31"/>
  <c r="N1315" i="31"/>
  <c r="N1317" i="31"/>
  <c r="N1319" i="31"/>
  <c r="N1321" i="31"/>
  <c r="N1327" i="31"/>
  <c r="N1333" i="31"/>
  <c r="N1335" i="31"/>
  <c r="N1337" i="31"/>
  <c r="N1339" i="31"/>
  <c r="N1341" i="31"/>
  <c r="N1343" i="31"/>
  <c r="N1347" i="31"/>
  <c r="N1351" i="31"/>
  <c r="N1353" i="31"/>
  <c r="N1355" i="31"/>
  <c r="N1357" i="31"/>
  <c r="N1359" i="31"/>
  <c r="N1361" i="31"/>
  <c r="N1367" i="31"/>
  <c r="N1373" i="31"/>
  <c r="N1375" i="31"/>
  <c r="N1377" i="31"/>
  <c r="N1379" i="31"/>
  <c r="N1381" i="31"/>
  <c r="N1383" i="31"/>
  <c r="N1387" i="31"/>
  <c r="N1391" i="31"/>
  <c r="N1393" i="31"/>
  <c r="N1395" i="31"/>
  <c r="N1397" i="31"/>
  <c r="N1399" i="31"/>
  <c r="N1401" i="31"/>
  <c r="N1407" i="31"/>
  <c r="N1413" i="31"/>
  <c r="N1415" i="31"/>
  <c r="N1417" i="31"/>
  <c r="N1419" i="31"/>
  <c r="N1421" i="31"/>
  <c r="N1423" i="31"/>
  <c r="N1427" i="31"/>
  <c r="N1431" i="31"/>
  <c r="N1433" i="31"/>
  <c r="N1435" i="31"/>
  <c r="N1437" i="31"/>
  <c r="N1439" i="31"/>
  <c r="N1441" i="31"/>
  <c r="N1447" i="31"/>
  <c r="N1453" i="31"/>
  <c r="N1455" i="31"/>
  <c r="N1457" i="31"/>
  <c r="N1459" i="31"/>
  <c r="N1461" i="31"/>
  <c r="N1463" i="31"/>
  <c r="N1467" i="31"/>
  <c r="N1471" i="31"/>
  <c r="N1473" i="31"/>
  <c r="N1475" i="31"/>
  <c r="N1477" i="31"/>
  <c r="N1479" i="31"/>
  <c r="N1481" i="31"/>
  <c r="E3" i="26"/>
  <c r="N2" i="31" s="1"/>
  <c r="E4" i="26"/>
  <c r="N3" i="31" s="1"/>
  <c r="E5" i="26"/>
  <c r="N4" i="31" s="1"/>
  <c r="E6" i="26"/>
  <c r="N5" i="31" s="1"/>
  <c r="E7" i="26"/>
  <c r="N6" i="31" s="1"/>
  <c r="E8" i="26"/>
  <c r="N7" i="31" s="1"/>
  <c r="E9" i="26"/>
  <c r="N8" i="31" s="1"/>
  <c r="E10" i="26"/>
  <c r="N9" i="31" s="1"/>
  <c r="E11" i="26"/>
  <c r="N10" i="31" s="1"/>
  <c r="E12" i="26"/>
  <c r="N11" i="31" s="1"/>
  <c r="E13" i="26"/>
  <c r="E14" i="26"/>
  <c r="N12" i="31" s="1"/>
  <c r="E15" i="26"/>
  <c r="E16" i="26"/>
  <c r="N14" i="31" s="1"/>
  <c r="E17" i="26"/>
  <c r="E18" i="26"/>
  <c r="N16" i="31" s="1"/>
  <c r="E19" i="26"/>
  <c r="E20" i="26"/>
  <c r="N18" i="31" s="1"/>
  <c r="E21" i="26"/>
  <c r="E22" i="26"/>
  <c r="N20" i="31" s="1"/>
  <c r="E23" i="26"/>
  <c r="E24" i="26"/>
  <c r="E25" i="26"/>
  <c r="N22" i="31" s="1"/>
  <c r="E26" i="26"/>
  <c r="E27" i="26"/>
  <c r="N24" i="31" s="1"/>
  <c r="E28" i="26"/>
  <c r="N25" i="31" s="1"/>
  <c r="E29" i="26"/>
  <c r="N26" i="31" s="1"/>
  <c r="E30" i="26"/>
  <c r="E31" i="26"/>
  <c r="N28" i="31" s="1"/>
  <c r="E32" i="26"/>
  <c r="N29" i="31" s="1"/>
  <c r="E33" i="26"/>
  <c r="N30" i="31" s="1"/>
  <c r="E34" i="26"/>
  <c r="E35" i="26"/>
  <c r="E36" i="26"/>
  <c r="N32" i="31" s="1"/>
  <c r="E37" i="26"/>
  <c r="E38" i="26"/>
  <c r="N34" i="31" s="1"/>
  <c r="E39" i="26"/>
  <c r="E40" i="26"/>
  <c r="N36" i="31" s="1"/>
  <c r="E41" i="26"/>
  <c r="E42" i="26"/>
  <c r="N38" i="31" s="1"/>
  <c r="E43" i="26"/>
  <c r="E44" i="26"/>
  <c r="N40" i="31" s="1"/>
  <c r="E45" i="26"/>
  <c r="E46" i="26"/>
  <c r="E47" i="26"/>
  <c r="N42" i="31" s="1"/>
  <c r="E48" i="26"/>
  <c r="N43" i="31" s="1"/>
  <c r="E49" i="26"/>
  <c r="N44" i="31" s="1"/>
  <c r="E50" i="26"/>
  <c r="N45" i="31" s="1"/>
  <c r="E51" i="26"/>
  <c r="N46" i="31" s="1"/>
  <c r="E52" i="26"/>
  <c r="N47" i="31" s="1"/>
  <c r="E53" i="26"/>
  <c r="N48" i="31" s="1"/>
  <c r="E54" i="26"/>
  <c r="N49" i="31" s="1"/>
  <c r="E55" i="26"/>
  <c r="N50" i="31" s="1"/>
  <c r="E56" i="26"/>
  <c r="N51" i="31" s="1"/>
  <c r="E57" i="26"/>
  <c r="E58" i="26"/>
  <c r="N52" i="31" s="1"/>
  <c r="E59" i="26"/>
  <c r="E60" i="26"/>
  <c r="N54" i="31" s="1"/>
  <c r="E61" i="26"/>
  <c r="E62" i="26"/>
  <c r="N56" i="31" s="1"/>
  <c r="E63" i="26"/>
  <c r="E64" i="26"/>
  <c r="N58" i="31" s="1"/>
  <c r="E65" i="26"/>
  <c r="E66" i="26"/>
  <c r="N60" i="31" s="1"/>
  <c r="E67" i="26"/>
  <c r="E68" i="26"/>
  <c r="E69" i="26"/>
  <c r="N62" i="31" s="1"/>
  <c r="E70" i="26"/>
  <c r="E71" i="26"/>
  <c r="N64" i="31" s="1"/>
  <c r="E72" i="26"/>
  <c r="N65" i="31" s="1"/>
  <c r="E73" i="26"/>
  <c r="N66" i="31" s="1"/>
  <c r="E74" i="26"/>
  <c r="E75" i="26"/>
  <c r="N68" i="31" s="1"/>
  <c r="E76" i="26"/>
  <c r="N69" i="31" s="1"/>
  <c r="E77" i="26"/>
  <c r="N70" i="31" s="1"/>
  <c r="E78" i="26"/>
  <c r="E79" i="26"/>
  <c r="E80" i="26"/>
  <c r="N72" i="31" s="1"/>
  <c r="E81" i="26"/>
  <c r="E82" i="26"/>
  <c r="N74" i="31" s="1"/>
  <c r="E83" i="26"/>
  <c r="E84" i="26"/>
  <c r="N76" i="31" s="1"/>
  <c r="E85" i="26"/>
  <c r="E86" i="26"/>
  <c r="N78" i="31" s="1"/>
  <c r="E87" i="26"/>
  <c r="E88" i="26"/>
  <c r="N80" i="31" s="1"/>
  <c r="E89" i="26"/>
  <c r="E90" i="26"/>
  <c r="E101" i="26"/>
  <c r="E102" i="26"/>
  <c r="N92" i="31" s="1"/>
  <c r="E103" i="26"/>
  <c r="E104" i="26"/>
  <c r="N94" i="31" s="1"/>
  <c r="E105" i="26"/>
  <c r="E106" i="26"/>
  <c r="N96" i="31" s="1"/>
  <c r="E107" i="26"/>
  <c r="E108" i="26"/>
  <c r="N98" i="31" s="1"/>
  <c r="E109" i="26"/>
  <c r="E110" i="26"/>
  <c r="N100" i="31" s="1"/>
  <c r="E111" i="26"/>
  <c r="E112" i="26"/>
  <c r="E113" i="26"/>
  <c r="N102" i="31" s="1"/>
  <c r="E114" i="26"/>
  <c r="E115" i="26"/>
  <c r="N104" i="31" s="1"/>
  <c r="E116" i="26"/>
  <c r="N105" i="31" s="1"/>
  <c r="E117" i="26"/>
  <c r="N106" i="31" s="1"/>
  <c r="E118" i="26"/>
  <c r="E119" i="26"/>
  <c r="N108" i="31" s="1"/>
  <c r="E120" i="26"/>
  <c r="N109" i="31" s="1"/>
  <c r="E121" i="26"/>
  <c r="N110" i="31" s="1"/>
  <c r="E122" i="26"/>
  <c r="E123" i="26"/>
  <c r="E124" i="26"/>
  <c r="N112" i="31" s="1"/>
  <c r="E125" i="26"/>
  <c r="E126" i="26"/>
  <c r="N114" i="31" s="1"/>
  <c r="E127" i="26"/>
  <c r="E128" i="26"/>
  <c r="N116" i="31" s="1"/>
  <c r="E129" i="26"/>
  <c r="E130" i="26"/>
  <c r="N118" i="31" s="1"/>
  <c r="E131" i="26"/>
  <c r="E132" i="26"/>
  <c r="N120" i="31" s="1"/>
  <c r="E133" i="26"/>
  <c r="E134" i="26"/>
  <c r="E135" i="26"/>
  <c r="N122" i="31" s="1"/>
  <c r="E136" i="26"/>
  <c r="N123" i="31" s="1"/>
  <c r="E137" i="26"/>
  <c r="N124" i="31" s="1"/>
  <c r="E138" i="26"/>
  <c r="N125" i="31" s="1"/>
  <c r="E139" i="26"/>
  <c r="N126" i="31" s="1"/>
  <c r="E140" i="26"/>
  <c r="E141" i="26"/>
  <c r="N128" i="31" s="1"/>
  <c r="E142" i="26"/>
  <c r="N129" i="31" s="1"/>
  <c r="E143" i="26"/>
  <c r="N130" i="31" s="1"/>
  <c r="E144" i="26"/>
  <c r="N131" i="31" s="1"/>
  <c r="E145" i="26"/>
  <c r="E146" i="26"/>
  <c r="N132" i="31" s="1"/>
  <c r="E147" i="26"/>
  <c r="E148" i="26"/>
  <c r="N134" i="31" s="1"/>
  <c r="E149" i="26"/>
  <c r="E150" i="26"/>
  <c r="N136" i="31" s="1"/>
  <c r="E151" i="26"/>
  <c r="E152" i="26"/>
  <c r="N138" i="31" s="1"/>
  <c r="E153" i="26"/>
  <c r="E154" i="26"/>
  <c r="N140" i="31" s="1"/>
  <c r="E155" i="26"/>
  <c r="E156" i="26"/>
  <c r="E157" i="26"/>
  <c r="N142" i="31" s="1"/>
  <c r="E158" i="26"/>
  <c r="E159" i="26"/>
  <c r="N144" i="31" s="1"/>
  <c r="E160" i="26"/>
  <c r="N145" i="31" s="1"/>
  <c r="E161" i="26"/>
  <c r="N146" i="31" s="1"/>
  <c r="E162" i="26"/>
  <c r="E163" i="26"/>
  <c r="N148" i="31" s="1"/>
  <c r="E164" i="26"/>
  <c r="N149" i="31" s="1"/>
  <c r="E165" i="26"/>
  <c r="N150" i="31" s="1"/>
  <c r="E166" i="26"/>
  <c r="E167" i="26"/>
  <c r="E168" i="26"/>
  <c r="N152" i="31" s="1"/>
  <c r="E169" i="26"/>
  <c r="E170" i="26"/>
  <c r="N154" i="31" s="1"/>
  <c r="E171" i="26"/>
  <c r="E172" i="26"/>
  <c r="N156" i="31" s="1"/>
  <c r="E173" i="26"/>
  <c r="E174" i="26"/>
  <c r="N158" i="31" s="1"/>
  <c r="E175" i="26"/>
  <c r="E176" i="26"/>
  <c r="N160" i="31" s="1"/>
  <c r="E177" i="26"/>
  <c r="E178" i="26"/>
  <c r="E179" i="26"/>
  <c r="N162" i="31" s="1"/>
  <c r="E180" i="26"/>
  <c r="N163" i="31" s="1"/>
  <c r="E181" i="26"/>
  <c r="N164" i="31" s="1"/>
  <c r="E182" i="26"/>
  <c r="N165" i="31" s="1"/>
  <c r="E183" i="26"/>
  <c r="N166" i="31" s="1"/>
  <c r="E184" i="26"/>
  <c r="E185" i="26"/>
  <c r="N168" i="31" s="1"/>
  <c r="E186" i="26"/>
  <c r="N169" i="31" s="1"/>
  <c r="E187" i="26"/>
  <c r="N170" i="31" s="1"/>
  <c r="E188" i="26"/>
  <c r="N171" i="31" s="1"/>
  <c r="E189" i="26"/>
  <c r="E190" i="26"/>
  <c r="N172" i="31" s="1"/>
  <c r="E191" i="26"/>
  <c r="E192" i="26"/>
  <c r="N174" i="31" s="1"/>
  <c r="E193" i="26"/>
  <c r="E194" i="26"/>
  <c r="N176" i="31" s="1"/>
  <c r="E195" i="26"/>
  <c r="E196" i="26"/>
  <c r="N178" i="31" s="1"/>
  <c r="E197" i="26"/>
  <c r="E198" i="26"/>
  <c r="N180" i="31" s="1"/>
  <c r="E199" i="26"/>
  <c r="E200" i="26"/>
  <c r="E201" i="26"/>
  <c r="N182" i="31" s="1"/>
  <c r="E202" i="26"/>
  <c r="E203" i="26"/>
  <c r="N184" i="31" s="1"/>
  <c r="E204" i="26"/>
  <c r="N185" i="31" s="1"/>
  <c r="E205" i="26"/>
  <c r="N186" i="31" s="1"/>
  <c r="E206" i="26"/>
  <c r="E207" i="26"/>
  <c r="N188" i="31" s="1"/>
  <c r="E208" i="26"/>
  <c r="N189" i="31" s="1"/>
  <c r="E209" i="26"/>
  <c r="N190" i="31" s="1"/>
  <c r="E210" i="26"/>
  <c r="E211" i="26"/>
  <c r="E212" i="26"/>
  <c r="N192" i="31" s="1"/>
  <c r="E213" i="26"/>
  <c r="E214" i="26"/>
  <c r="N194" i="31" s="1"/>
  <c r="E215" i="26"/>
  <c r="E216" i="26"/>
  <c r="N196" i="31" s="1"/>
  <c r="E217" i="26"/>
  <c r="E218" i="26"/>
  <c r="N198" i="31" s="1"/>
  <c r="E219" i="26"/>
  <c r="E220" i="26"/>
  <c r="N200" i="31" s="1"/>
  <c r="E221" i="26"/>
  <c r="E222" i="26"/>
  <c r="E223" i="26"/>
  <c r="N202" i="31" s="1"/>
  <c r="E224" i="26"/>
  <c r="N203" i="31" s="1"/>
  <c r="E225" i="26"/>
  <c r="N204" i="31" s="1"/>
  <c r="E226" i="26"/>
  <c r="N205" i="31" s="1"/>
  <c r="E227" i="26"/>
  <c r="N206" i="31" s="1"/>
  <c r="E228" i="26"/>
  <c r="E229" i="26"/>
  <c r="N208" i="31" s="1"/>
  <c r="E230" i="26"/>
  <c r="N209" i="31" s="1"/>
  <c r="E231" i="26"/>
  <c r="N210" i="31" s="1"/>
  <c r="E232" i="26"/>
  <c r="N211" i="31" s="1"/>
  <c r="E233" i="26"/>
  <c r="E234" i="26"/>
  <c r="N212" i="31" s="1"/>
  <c r="E235" i="26"/>
  <c r="E236" i="26"/>
  <c r="N214" i="31" s="1"/>
  <c r="E237" i="26"/>
  <c r="E238" i="26"/>
  <c r="N216" i="31" s="1"/>
  <c r="E239" i="26"/>
  <c r="E240" i="26"/>
  <c r="N218" i="31" s="1"/>
  <c r="E241" i="26"/>
  <c r="E242" i="26"/>
  <c r="N220" i="31" s="1"/>
  <c r="E243" i="26"/>
  <c r="E244" i="26"/>
  <c r="E245" i="26"/>
  <c r="N222" i="31" s="1"/>
  <c r="E246" i="26"/>
  <c r="E247" i="26"/>
  <c r="N224" i="31" s="1"/>
  <c r="E248" i="26"/>
  <c r="N225" i="31" s="1"/>
  <c r="E249" i="26"/>
  <c r="N226" i="31" s="1"/>
  <c r="E250" i="26"/>
  <c r="E251" i="26"/>
  <c r="N228" i="31" s="1"/>
  <c r="E252" i="26"/>
  <c r="N229" i="31" s="1"/>
  <c r="E253" i="26"/>
  <c r="N230" i="31" s="1"/>
  <c r="E254" i="26"/>
  <c r="E255" i="26"/>
  <c r="E256" i="26"/>
  <c r="N232" i="31" s="1"/>
  <c r="E257" i="26"/>
  <c r="E258" i="26"/>
  <c r="N234" i="31" s="1"/>
  <c r="E259" i="26"/>
  <c r="E260" i="26"/>
  <c r="N236" i="31" s="1"/>
  <c r="E261" i="26"/>
  <c r="E262" i="26"/>
  <c r="N238" i="31" s="1"/>
  <c r="E263" i="26"/>
  <c r="E264" i="26"/>
  <c r="N240" i="31" s="1"/>
  <c r="E265" i="26"/>
  <c r="E266" i="26"/>
  <c r="E267" i="26"/>
  <c r="N242" i="31" s="1"/>
  <c r="E268" i="26"/>
  <c r="N243" i="31" s="1"/>
  <c r="E269" i="26"/>
  <c r="N244" i="31" s="1"/>
  <c r="E270" i="26"/>
  <c r="N245" i="31" s="1"/>
  <c r="E271" i="26"/>
  <c r="N246" i="31" s="1"/>
  <c r="E272" i="26"/>
  <c r="E273" i="26"/>
  <c r="N248" i="31" s="1"/>
  <c r="E274" i="26"/>
  <c r="N249" i="31" s="1"/>
  <c r="E275" i="26"/>
  <c r="N250" i="31" s="1"/>
  <c r="E276" i="26"/>
  <c r="N251" i="31" s="1"/>
  <c r="E277" i="26"/>
  <c r="E278" i="26"/>
  <c r="N252" i="31" s="1"/>
  <c r="E279" i="26"/>
  <c r="E280" i="26"/>
  <c r="N254" i="31" s="1"/>
  <c r="E281" i="26"/>
  <c r="E282" i="26"/>
  <c r="N256" i="31" s="1"/>
  <c r="E283" i="26"/>
  <c r="E284" i="26"/>
  <c r="N258" i="31" s="1"/>
  <c r="E285" i="26"/>
  <c r="E286" i="26"/>
  <c r="N260" i="31" s="1"/>
  <c r="E287" i="26"/>
  <c r="E288" i="26"/>
  <c r="E289" i="26"/>
  <c r="N262" i="31" s="1"/>
  <c r="E290" i="26"/>
  <c r="E291" i="26"/>
  <c r="N264" i="31" s="1"/>
  <c r="E292" i="26"/>
  <c r="N265" i="31" s="1"/>
  <c r="E293" i="26"/>
  <c r="N266" i="31" s="1"/>
  <c r="E294" i="26"/>
  <c r="E295" i="26"/>
  <c r="N268" i="31" s="1"/>
  <c r="E296" i="26"/>
  <c r="N269" i="31" s="1"/>
  <c r="E297" i="26"/>
  <c r="N270" i="31" s="1"/>
  <c r="E298" i="26"/>
  <c r="E299" i="26"/>
  <c r="E300" i="26"/>
  <c r="N272" i="31" s="1"/>
  <c r="E301" i="26"/>
  <c r="E302" i="26"/>
  <c r="N274" i="31" s="1"/>
  <c r="E303" i="26"/>
  <c r="E304" i="26"/>
  <c r="N276" i="31" s="1"/>
  <c r="E305" i="26"/>
  <c r="E306" i="26"/>
  <c r="N278" i="31" s="1"/>
  <c r="E307" i="26"/>
  <c r="E308" i="26"/>
  <c r="N280" i="31" s="1"/>
  <c r="E309" i="26"/>
  <c r="E310" i="26"/>
  <c r="E311" i="26"/>
  <c r="N282" i="31" s="1"/>
  <c r="E312" i="26"/>
  <c r="N283" i="31" s="1"/>
  <c r="E313" i="26"/>
  <c r="N284" i="31" s="1"/>
  <c r="E314" i="26"/>
  <c r="N285" i="31" s="1"/>
  <c r="E315" i="26"/>
  <c r="N286" i="31" s="1"/>
  <c r="E316" i="26"/>
  <c r="E317" i="26"/>
  <c r="N288" i="31" s="1"/>
  <c r="E318" i="26"/>
  <c r="N289" i="31" s="1"/>
  <c r="E319" i="26"/>
  <c r="N290" i="31" s="1"/>
  <c r="E320" i="26"/>
  <c r="N291" i="31" s="1"/>
  <c r="E321" i="26"/>
  <c r="E322" i="26"/>
  <c r="N292" i="31" s="1"/>
  <c r="E323" i="26"/>
  <c r="E324" i="26"/>
  <c r="N294" i="31" s="1"/>
  <c r="E325" i="26"/>
  <c r="E326" i="26"/>
  <c r="N296" i="31" s="1"/>
  <c r="E327" i="26"/>
  <c r="E328" i="26"/>
  <c r="N298" i="31" s="1"/>
  <c r="E329" i="26"/>
  <c r="E330" i="26"/>
  <c r="N300" i="31" s="1"/>
  <c r="E331" i="26"/>
  <c r="E332" i="26"/>
  <c r="E333" i="26"/>
  <c r="N302" i="31" s="1"/>
  <c r="E334" i="26"/>
  <c r="E335" i="26"/>
  <c r="N304" i="31" s="1"/>
  <c r="E336" i="26"/>
  <c r="N305" i="31" s="1"/>
  <c r="E337" i="26"/>
  <c r="N306" i="31" s="1"/>
  <c r="E338" i="26"/>
  <c r="E339" i="26"/>
  <c r="N308" i="31" s="1"/>
  <c r="E340" i="26"/>
  <c r="N309" i="31" s="1"/>
  <c r="E341" i="26"/>
  <c r="N310" i="31" s="1"/>
  <c r="E342" i="26"/>
  <c r="E343" i="26"/>
  <c r="E344" i="26"/>
  <c r="N312" i="31" s="1"/>
  <c r="E345" i="26"/>
  <c r="E346" i="26"/>
  <c r="N314" i="31" s="1"/>
  <c r="E347" i="26"/>
  <c r="E348" i="26"/>
  <c r="N316" i="31" s="1"/>
  <c r="E349" i="26"/>
  <c r="E350" i="26"/>
  <c r="N318" i="31" s="1"/>
  <c r="E351" i="26"/>
  <c r="E352" i="26"/>
  <c r="N320" i="31" s="1"/>
  <c r="E353" i="26"/>
  <c r="E354" i="26"/>
  <c r="E355" i="26"/>
  <c r="N322" i="31" s="1"/>
  <c r="E356" i="26"/>
  <c r="N323" i="31" s="1"/>
  <c r="E357" i="26"/>
  <c r="N324" i="31" s="1"/>
  <c r="E358" i="26"/>
  <c r="N325" i="31" s="1"/>
  <c r="E359" i="26"/>
  <c r="N326" i="31" s="1"/>
  <c r="E360" i="26"/>
  <c r="E361" i="26"/>
  <c r="N328" i="31" s="1"/>
  <c r="E362" i="26"/>
  <c r="N329" i="31" s="1"/>
  <c r="E363" i="26"/>
  <c r="N330" i="31" s="1"/>
  <c r="E364" i="26"/>
  <c r="N331" i="31" s="1"/>
  <c r="E365" i="26"/>
  <c r="E366" i="26"/>
  <c r="N332" i="31" s="1"/>
  <c r="E367" i="26"/>
  <c r="E368" i="26"/>
  <c r="N334" i="31" s="1"/>
  <c r="E369" i="26"/>
  <c r="E370" i="26"/>
  <c r="N336" i="31" s="1"/>
  <c r="E371" i="26"/>
  <c r="E372" i="26"/>
  <c r="N338" i="31" s="1"/>
  <c r="E373" i="26"/>
  <c r="E374" i="26"/>
  <c r="N340" i="31" s="1"/>
  <c r="E375" i="26"/>
  <c r="E376" i="26"/>
  <c r="E377" i="26"/>
  <c r="N342" i="31" s="1"/>
  <c r="E378" i="26"/>
  <c r="E379" i="26"/>
  <c r="N344" i="31" s="1"/>
  <c r="E380" i="26"/>
  <c r="N345" i="31" s="1"/>
  <c r="E381" i="26"/>
  <c r="N346" i="31" s="1"/>
  <c r="E382" i="26"/>
  <c r="E383" i="26"/>
  <c r="N348" i="31" s="1"/>
  <c r="E384" i="26"/>
  <c r="N349" i="31" s="1"/>
  <c r="E385" i="26"/>
  <c r="N350" i="31" s="1"/>
  <c r="E386" i="26"/>
  <c r="E387" i="26"/>
  <c r="E388" i="26"/>
  <c r="N352" i="31" s="1"/>
  <c r="E389" i="26"/>
  <c r="E390" i="26"/>
  <c r="N354" i="31" s="1"/>
  <c r="E391" i="26"/>
  <c r="E392" i="26"/>
  <c r="N356" i="31" s="1"/>
  <c r="E393" i="26"/>
  <c r="E394" i="26"/>
  <c r="N358" i="31" s="1"/>
  <c r="E395" i="26"/>
  <c r="E396" i="26"/>
  <c r="N360" i="31" s="1"/>
  <c r="E397" i="26"/>
  <c r="E398" i="26"/>
  <c r="E399" i="26"/>
  <c r="N362" i="31" s="1"/>
  <c r="E400" i="26"/>
  <c r="N363" i="31" s="1"/>
  <c r="E401" i="26"/>
  <c r="N364" i="31" s="1"/>
  <c r="E402" i="26"/>
  <c r="N365" i="31" s="1"/>
  <c r="E403" i="26"/>
  <c r="N366" i="31" s="1"/>
  <c r="E404" i="26"/>
  <c r="E405" i="26"/>
  <c r="N368" i="31" s="1"/>
  <c r="E406" i="26"/>
  <c r="N369" i="31" s="1"/>
  <c r="E407" i="26"/>
  <c r="N370" i="31" s="1"/>
  <c r="E408" i="26"/>
  <c r="N371" i="31" s="1"/>
  <c r="E409" i="26"/>
  <c r="E410" i="26"/>
  <c r="N372" i="31" s="1"/>
  <c r="E411" i="26"/>
  <c r="E412" i="26"/>
  <c r="N374" i="31" s="1"/>
  <c r="E413" i="26"/>
  <c r="E414" i="26"/>
  <c r="N376" i="31" s="1"/>
  <c r="E415" i="26"/>
  <c r="E416" i="26"/>
  <c r="N378" i="31" s="1"/>
  <c r="E417" i="26"/>
  <c r="E418" i="26"/>
  <c r="N380" i="31" s="1"/>
  <c r="E419" i="26"/>
  <c r="E420" i="26"/>
  <c r="E421" i="26"/>
  <c r="N382" i="31" s="1"/>
  <c r="E422" i="26"/>
  <c r="E423" i="26"/>
  <c r="N384" i="31" s="1"/>
  <c r="E424" i="26"/>
  <c r="N385" i="31" s="1"/>
  <c r="E425" i="26"/>
  <c r="N386" i="31" s="1"/>
  <c r="E426" i="26"/>
  <c r="E427" i="26"/>
  <c r="N388" i="31" s="1"/>
  <c r="E428" i="26"/>
  <c r="N389" i="31" s="1"/>
  <c r="E429" i="26"/>
  <c r="N390" i="31" s="1"/>
  <c r="E430" i="26"/>
  <c r="E431" i="26"/>
  <c r="E432" i="26"/>
  <c r="N392" i="31" s="1"/>
  <c r="E433" i="26"/>
  <c r="E434" i="26"/>
  <c r="N394" i="31" s="1"/>
  <c r="E435" i="26"/>
  <c r="E436" i="26"/>
  <c r="N396" i="31" s="1"/>
  <c r="E437" i="26"/>
  <c r="E438" i="26"/>
  <c r="N398" i="31" s="1"/>
  <c r="E439" i="26"/>
  <c r="E440" i="26"/>
  <c r="N400" i="31" s="1"/>
  <c r="E441" i="26"/>
  <c r="E442" i="26"/>
  <c r="E443" i="26"/>
  <c r="N402" i="31" s="1"/>
  <c r="E444" i="26"/>
  <c r="N403" i="31" s="1"/>
  <c r="E445" i="26"/>
  <c r="N404" i="31" s="1"/>
  <c r="E446" i="26"/>
  <c r="N405" i="31" s="1"/>
  <c r="E447" i="26"/>
  <c r="N406" i="31" s="1"/>
  <c r="E448" i="26"/>
  <c r="E449" i="26"/>
  <c r="N408" i="31" s="1"/>
  <c r="E450" i="26"/>
  <c r="N409" i="31" s="1"/>
  <c r="E451" i="26"/>
  <c r="N410" i="31" s="1"/>
  <c r="E452" i="26"/>
  <c r="N411" i="31" s="1"/>
  <c r="E453" i="26"/>
  <c r="E454" i="26"/>
  <c r="N412" i="31" s="1"/>
  <c r="E455" i="26"/>
  <c r="E456" i="26"/>
  <c r="N414" i="31" s="1"/>
  <c r="E457" i="26"/>
  <c r="E458" i="26"/>
  <c r="N416" i="31" s="1"/>
  <c r="E459" i="26"/>
  <c r="E460" i="26"/>
  <c r="N418" i="31" s="1"/>
  <c r="E461" i="26"/>
  <c r="E462" i="26"/>
  <c r="N420" i="31" s="1"/>
  <c r="E463" i="26"/>
  <c r="E464" i="26"/>
  <c r="E465" i="26"/>
  <c r="N422" i="31" s="1"/>
  <c r="E466" i="26"/>
  <c r="E467" i="26"/>
  <c r="N424" i="31" s="1"/>
  <c r="E468" i="26"/>
  <c r="N425" i="31" s="1"/>
  <c r="E469" i="26"/>
  <c r="N426" i="31" s="1"/>
  <c r="E470" i="26"/>
  <c r="E471" i="26"/>
  <c r="N428" i="31" s="1"/>
  <c r="E472" i="26"/>
  <c r="N429" i="31" s="1"/>
  <c r="E473" i="26"/>
  <c r="N430" i="31" s="1"/>
  <c r="E474" i="26"/>
  <c r="E475" i="26"/>
  <c r="E476" i="26"/>
  <c r="N432" i="31" s="1"/>
  <c r="E477" i="26"/>
  <c r="E478" i="26"/>
  <c r="N434" i="31" s="1"/>
  <c r="E479" i="26"/>
  <c r="E480" i="26"/>
  <c r="N436" i="31" s="1"/>
  <c r="E481" i="26"/>
  <c r="E482" i="26"/>
  <c r="N438" i="31" s="1"/>
  <c r="E483" i="26"/>
  <c r="E484" i="26"/>
  <c r="N440" i="31" s="1"/>
  <c r="E485" i="26"/>
  <c r="E486" i="26"/>
  <c r="E487" i="26"/>
  <c r="N442" i="31" s="1"/>
  <c r="E488" i="26"/>
  <c r="N443" i="31" s="1"/>
  <c r="E489" i="26"/>
  <c r="N444" i="31" s="1"/>
  <c r="E490" i="26"/>
  <c r="N445" i="31" s="1"/>
  <c r="E491" i="26"/>
  <c r="N446" i="31" s="1"/>
  <c r="E492" i="26"/>
  <c r="E493" i="26"/>
  <c r="N448" i="31" s="1"/>
  <c r="E494" i="26"/>
  <c r="N449" i="31" s="1"/>
  <c r="E495" i="26"/>
  <c r="N450" i="31" s="1"/>
  <c r="E496" i="26"/>
  <c r="N451" i="31" s="1"/>
  <c r="E497" i="26"/>
  <c r="E498" i="26"/>
  <c r="N452" i="31" s="1"/>
  <c r="E499" i="26"/>
  <c r="E500" i="26"/>
  <c r="N454" i="31" s="1"/>
  <c r="E501" i="26"/>
  <c r="E502" i="26"/>
  <c r="N456" i="31" s="1"/>
  <c r="E503" i="26"/>
  <c r="E504" i="26"/>
  <c r="N458" i="31" s="1"/>
  <c r="E505" i="26"/>
  <c r="E506" i="26"/>
  <c r="N460" i="31" s="1"/>
  <c r="E507" i="26"/>
  <c r="E508" i="26"/>
  <c r="E509" i="26"/>
  <c r="N462" i="31" s="1"/>
  <c r="E510" i="26"/>
  <c r="E511" i="26"/>
  <c r="N464" i="31" s="1"/>
  <c r="E512" i="26"/>
  <c r="N465" i="31" s="1"/>
  <c r="E513" i="26"/>
  <c r="N466" i="31" s="1"/>
  <c r="E514" i="26"/>
  <c r="E515" i="26"/>
  <c r="N468" i="31" s="1"/>
  <c r="E516" i="26"/>
  <c r="N469" i="31" s="1"/>
  <c r="E517" i="26"/>
  <c r="N470" i="31" s="1"/>
  <c r="E518" i="26"/>
  <c r="E519" i="26"/>
  <c r="E520" i="26"/>
  <c r="N472" i="31" s="1"/>
  <c r="E521" i="26"/>
  <c r="E522" i="26"/>
  <c r="N474" i="31" s="1"/>
  <c r="E523" i="26"/>
  <c r="E524" i="26"/>
  <c r="N476" i="31" s="1"/>
  <c r="E525" i="26"/>
  <c r="E526" i="26"/>
  <c r="N478" i="31" s="1"/>
  <c r="E527" i="26"/>
  <c r="E528" i="26"/>
  <c r="N480" i="31" s="1"/>
  <c r="E529" i="26"/>
  <c r="E530" i="26"/>
  <c r="E531" i="26"/>
  <c r="N482" i="31" s="1"/>
  <c r="E532" i="26"/>
  <c r="N483" i="31" s="1"/>
  <c r="E533" i="26"/>
  <c r="N484" i="31" s="1"/>
  <c r="E534" i="26"/>
  <c r="N485" i="31" s="1"/>
  <c r="E535" i="26"/>
  <c r="N486" i="31" s="1"/>
  <c r="E536" i="26"/>
  <c r="E537" i="26"/>
  <c r="N488" i="31" s="1"/>
  <c r="E538" i="26"/>
  <c r="N489" i="31" s="1"/>
  <c r="E539" i="26"/>
  <c r="N490" i="31" s="1"/>
  <c r="E540" i="26"/>
  <c r="N491" i="31" s="1"/>
  <c r="E541" i="26"/>
  <c r="E542" i="26"/>
  <c r="N492" i="31" s="1"/>
  <c r="E543" i="26"/>
  <c r="E544" i="26"/>
  <c r="N494" i="31" s="1"/>
  <c r="E545" i="26"/>
  <c r="E546" i="26"/>
  <c r="N496" i="31" s="1"/>
  <c r="E547" i="26"/>
  <c r="E548" i="26"/>
  <c r="N498" i="31" s="1"/>
  <c r="E549" i="26"/>
  <c r="E550" i="26"/>
  <c r="N500" i="31" s="1"/>
  <c r="E551" i="26"/>
  <c r="E558" i="26"/>
  <c r="E559" i="26"/>
  <c r="N508" i="31" s="1"/>
  <c r="E560" i="26"/>
  <c r="N509" i="31" s="1"/>
  <c r="E561" i="26"/>
  <c r="N510" i="31" s="1"/>
  <c r="E562" i="26"/>
  <c r="E563" i="26"/>
  <c r="E564" i="26"/>
  <c r="N512" i="31" s="1"/>
  <c r="E565" i="26"/>
  <c r="E566" i="26"/>
  <c r="N514" i="31" s="1"/>
  <c r="E567" i="26"/>
  <c r="E568" i="26"/>
  <c r="N516" i="31" s="1"/>
  <c r="E569" i="26"/>
  <c r="E570" i="26"/>
  <c r="N518" i="31" s="1"/>
  <c r="E571" i="26"/>
  <c r="E572" i="26"/>
  <c r="N520" i="31" s="1"/>
  <c r="E573" i="26"/>
  <c r="E574" i="26"/>
  <c r="E575" i="26"/>
  <c r="N522" i="31" s="1"/>
  <c r="E576" i="26"/>
  <c r="N523" i="31" s="1"/>
  <c r="E577" i="26"/>
  <c r="N524" i="31" s="1"/>
  <c r="E578" i="26"/>
  <c r="N525" i="31" s="1"/>
  <c r="E579" i="26"/>
  <c r="N526" i="31" s="1"/>
  <c r="E580" i="26"/>
  <c r="E581" i="26"/>
  <c r="N528" i="31" s="1"/>
  <c r="E582" i="26"/>
  <c r="N529" i="31" s="1"/>
  <c r="E583" i="26"/>
  <c r="N530" i="31" s="1"/>
  <c r="E584" i="26"/>
  <c r="N531" i="31" s="1"/>
  <c r="E585" i="26"/>
  <c r="E586" i="26"/>
  <c r="N532" i="31" s="1"/>
  <c r="E587" i="26"/>
  <c r="E588" i="26"/>
  <c r="N534" i="31" s="1"/>
  <c r="E589" i="26"/>
  <c r="E590" i="26"/>
  <c r="N536" i="31" s="1"/>
  <c r="E591" i="26"/>
  <c r="E592" i="26"/>
  <c r="N538" i="31" s="1"/>
  <c r="E593" i="26"/>
  <c r="E594" i="26"/>
  <c r="N540" i="31" s="1"/>
  <c r="E595" i="26"/>
  <c r="E596" i="26"/>
  <c r="E597" i="26"/>
  <c r="N542" i="31" s="1"/>
  <c r="E598" i="26"/>
  <c r="E599" i="26"/>
  <c r="N544" i="31" s="1"/>
  <c r="E600" i="26"/>
  <c r="N545" i="31" s="1"/>
  <c r="E601" i="26"/>
  <c r="N546" i="31" s="1"/>
  <c r="E602" i="26"/>
  <c r="E603" i="26"/>
  <c r="N548" i="31" s="1"/>
  <c r="E604" i="26"/>
  <c r="N549" i="31" s="1"/>
  <c r="E605" i="26"/>
  <c r="N550" i="31" s="1"/>
  <c r="E606" i="26"/>
  <c r="E607" i="26"/>
  <c r="E608" i="26"/>
  <c r="N552" i="31" s="1"/>
  <c r="E609" i="26"/>
  <c r="E610" i="26"/>
  <c r="N554" i="31" s="1"/>
  <c r="E611" i="26"/>
  <c r="E612" i="26"/>
  <c r="N556" i="31" s="1"/>
  <c r="E613" i="26"/>
  <c r="E614" i="26"/>
  <c r="N558" i="31" s="1"/>
  <c r="E615" i="26"/>
  <c r="E616" i="26"/>
  <c r="N560" i="31" s="1"/>
  <c r="E617" i="26"/>
  <c r="E618" i="26"/>
  <c r="E619" i="26"/>
  <c r="N562" i="31" s="1"/>
  <c r="E620" i="26"/>
  <c r="N563" i="31" s="1"/>
  <c r="E621" i="26"/>
  <c r="N564" i="31" s="1"/>
  <c r="E622" i="26"/>
  <c r="N565" i="31" s="1"/>
  <c r="E623" i="26"/>
  <c r="N566" i="31" s="1"/>
  <c r="E624" i="26"/>
  <c r="E625" i="26"/>
  <c r="N568" i="31" s="1"/>
  <c r="E626" i="26"/>
  <c r="N569" i="31" s="1"/>
  <c r="E627" i="26"/>
  <c r="N570" i="31" s="1"/>
  <c r="E628" i="26"/>
  <c r="N571" i="31" s="1"/>
  <c r="E629" i="26"/>
  <c r="E630" i="26"/>
  <c r="N572" i="31" s="1"/>
  <c r="E631" i="26"/>
  <c r="E632" i="26"/>
  <c r="N574" i="31" s="1"/>
  <c r="E633" i="26"/>
  <c r="E634" i="26"/>
  <c r="N576" i="31" s="1"/>
  <c r="E635" i="26"/>
  <c r="E636" i="26"/>
  <c r="N578" i="31" s="1"/>
  <c r="E637" i="26"/>
  <c r="E638" i="26"/>
  <c r="N580" i="31" s="1"/>
  <c r="E639" i="26"/>
  <c r="E640" i="26"/>
  <c r="E641" i="26"/>
  <c r="N582" i="31" s="1"/>
  <c r="E642" i="26"/>
  <c r="E643" i="26"/>
  <c r="N584" i="31" s="1"/>
  <c r="E644" i="26"/>
  <c r="N585" i="31" s="1"/>
  <c r="E645" i="26"/>
  <c r="N586" i="31" s="1"/>
  <c r="E646" i="26"/>
  <c r="E647" i="26"/>
  <c r="N588" i="31" s="1"/>
  <c r="E648" i="26"/>
  <c r="N589" i="31" s="1"/>
  <c r="E649" i="26"/>
  <c r="N590" i="31" s="1"/>
  <c r="E650" i="26"/>
  <c r="E651" i="26"/>
  <c r="E652" i="26"/>
  <c r="N592" i="31" s="1"/>
  <c r="E653" i="26"/>
  <c r="E654" i="26"/>
  <c r="N594" i="31" s="1"/>
  <c r="E655" i="26"/>
  <c r="E656" i="26"/>
  <c r="N596" i="31" s="1"/>
  <c r="E657" i="26"/>
  <c r="E658" i="26"/>
  <c r="N598" i="31" s="1"/>
  <c r="E659" i="26"/>
  <c r="E660" i="26"/>
  <c r="N600" i="31" s="1"/>
  <c r="E661" i="26"/>
  <c r="E662" i="26"/>
  <c r="E663" i="26"/>
  <c r="N602" i="31" s="1"/>
  <c r="E664" i="26"/>
  <c r="N603" i="31" s="1"/>
  <c r="E665" i="26"/>
  <c r="N604" i="31" s="1"/>
  <c r="E666" i="26"/>
  <c r="N605" i="31" s="1"/>
  <c r="E667" i="26"/>
  <c r="N606" i="31" s="1"/>
  <c r="E668" i="26"/>
  <c r="E669" i="26"/>
  <c r="N608" i="31" s="1"/>
  <c r="E670" i="26"/>
  <c r="N609" i="31" s="1"/>
  <c r="E671" i="26"/>
  <c r="N610" i="31" s="1"/>
  <c r="E672" i="26"/>
  <c r="N611" i="31" s="1"/>
  <c r="E673" i="26"/>
  <c r="E674" i="26"/>
  <c r="N612" i="31" s="1"/>
  <c r="E675" i="26"/>
  <c r="E676" i="26"/>
  <c r="N614" i="31" s="1"/>
  <c r="E677" i="26"/>
  <c r="E678" i="26"/>
  <c r="N616" i="31" s="1"/>
  <c r="E679" i="26"/>
  <c r="E680" i="26"/>
  <c r="N618" i="31" s="1"/>
  <c r="E681" i="26"/>
  <c r="E682" i="26"/>
  <c r="N620" i="31" s="1"/>
  <c r="E683" i="26"/>
  <c r="E684" i="26"/>
  <c r="E685" i="26"/>
  <c r="N622" i="31" s="1"/>
  <c r="E686" i="26"/>
  <c r="E687" i="26"/>
  <c r="N624" i="31" s="1"/>
  <c r="E688" i="26"/>
  <c r="N625" i="31" s="1"/>
  <c r="E689" i="26"/>
  <c r="N626" i="31" s="1"/>
  <c r="E690" i="26"/>
  <c r="E691" i="26"/>
  <c r="N628" i="31" s="1"/>
  <c r="E692" i="26"/>
  <c r="N629" i="31" s="1"/>
  <c r="E693" i="26"/>
  <c r="N630" i="31" s="1"/>
  <c r="E694" i="26"/>
  <c r="E695" i="26"/>
  <c r="E696" i="26"/>
  <c r="N632" i="31" s="1"/>
  <c r="E697" i="26"/>
  <c r="E698" i="26"/>
  <c r="N634" i="31" s="1"/>
  <c r="E699" i="26"/>
  <c r="E700" i="26"/>
  <c r="N636" i="31" s="1"/>
  <c r="E701" i="26"/>
  <c r="E702" i="26"/>
  <c r="N638" i="31" s="1"/>
  <c r="E703" i="26"/>
  <c r="E704" i="26"/>
  <c r="N640" i="31" s="1"/>
  <c r="E705" i="26"/>
  <c r="E706" i="26"/>
  <c r="E707" i="26"/>
  <c r="N642" i="31" s="1"/>
  <c r="E708" i="26"/>
  <c r="N643" i="31" s="1"/>
  <c r="E709" i="26"/>
  <c r="N644" i="31" s="1"/>
  <c r="E710" i="26"/>
  <c r="N645" i="31" s="1"/>
  <c r="E711" i="26"/>
  <c r="N646" i="31" s="1"/>
  <c r="E712" i="26"/>
  <c r="E713" i="26"/>
  <c r="N648" i="31" s="1"/>
  <c r="E714" i="26"/>
  <c r="N649" i="31" s="1"/>
  <c r="E715" i="26"/>
  <c r="N650" i="31" s="1"/>
  <c r="E716" i="26"/>
  <c r="N651" i="31" s="1"/>
  <c r="E717" i="26"/>
  <c r="E718" i="26"/>
  <c r="N652" i="31" s="1"/>
  <c r="E719" i="26"/>
  <c r="E720" i="26"/>
  <c r="N654" i="31" s="1"/>
  <c r="E721" i="26"/>
  <c r="E722" i="26"/>
  <c r="N656" i="31" s="1"/>
  <c r="E723" i="26"/>
  <c r="E724" i="26"/>
  <c r="N658" i="31" s="1"/>
  <c r="E725" i="26"/>
  <c r="E726" i="26"/>
  <c r="N660" i="31" s="1"/>
  <c r="E727" i="26"/>
  <c r="E728" i="26"/>
  <c r="E729" i="26"/>
  <c r="N662" i="31" s="1"/>
  <c r="E730" i="26"/>
  <c r="E731" i="26"/>
  <c r="N664" i="31" s="1"/>
  <c r="E732" i="26"/>
  <c r="N665" i="31" s="1"/>
  <c r="E733" i="26"/>
  <c r="N666" i="31" s="1"/>
  <c r="E734" i="26"/>
  <c r="E735" i="26"/>
  <c r="N668" i="31" s="1"/>
  <c r="E736" i="26"/>
  <c r="N669" i="31" s="1"/>
  <c r="E737" i="26"/>
  <c r="N670" i="31" s="1"/>
  <c r="E738" i="26"/>
  <c r="E739" i="26"/>
  <c r="E740" i="26"/>
  <c r="N672" i="31" s="1"/>
  <c r="E741" i="26"/>
  <c r="E742" i="26"/>
  <c r="N674" i="31" s="1"/>
  <c r="E743" i="26"/>
  <c r="E744" i="26"/>
  <c r="N676" i="31" s="1"/>
  <c r="E745" i="26"/>
  <c r="E746" i="26"/>
  <c r="N678" i="31" s="1"/>
  <c r="E747" i="26"/>
  <c r="E748" i="26"/>
  <c r="N680" i="31" s="1"/>
  <c r="E749" i="26"/>
  <c r="E750" i="26"/>
  <c r="E751" i="26"/>
  <c r="N682" i="31" s="1"/>
  <c r="E752" i="26"/>
  <c r="N683" i="31" s="1"/>
  <c r="E753" i="26"/>
  <c r="N684" i="31" s="1"/>
  <c r="E754" i="26"/>
  <c r="N685" i="31" s="1"/>
  <c r="E755" i="26"/>
  <c r="N686" i="31" s="1"/>
  <c r="E756" i="26"/>
  <c r="E757" i="26"/>
  <c r="N688" i="31" s="1"/>
  <c r="E758" i="26"/>
  <c r="N689" i="31" s="1"/>
  <c r="E759" i="26"/>
  <c r="N690" i="31" s="1"/>
  <c r="E760" i="26"/>
  <c r="N691" i="31" s="1"/>
  <c r="E761" i="26"/>
  <c r="E762" i="26"/>
  <c r="N692" i="31" s="1"/>
  <c r="E763" i="26"/>
  <c r="E764" i="26"/>
  <c r="N694" i="31" s="1"/>
  <c r="E765" i="26"/>
  <c r="E766" i="26"/>
  <c r="N696" i="31" s="1"/>
  <c r="E767" i="26"/>
  <c r="E768" i="26"/>
  <c r="N698" i="31" s="1"/>
  <c r="E769" i="26"/>
  <c r="E770" i="26"/>
  <c r="N700" i="31" s="1"/>
  <c r="E771" i="26"/>
  <c r="E772" i="26"/>
  <c r="E773" i="26"/>
  <c r="N702" i="31" s="1"/>
  <c r="E774" i="26"/>
  <c r="E775" i="26"/>
  <c r="N704" i="31" s="1"/>
  <c r="E776" i="26"/>
  <c r="N705" i="31" s="1"/>
  <c r="E777" i="26"/>
  <c r="N706" i="31" s="1"/>
  <c r="E778" i="26"/>
  <c r="E779" i="26"/>
  <c r="N708" i="31" s="1"/>
  <c r="E780" i="26"/>
  <c r="N709" i="31" s="1"/>
  <c r="E781" i="26"/>
  <c r="N710" i="31" s="1"/>
  <c r="E782" i="26"/>
  <c r="E783" i="26"/>
  <c r="E784" i="26"/>
  <c r="N712" i="31" s="1"/>
  <c r="E785" i="26"/>
  <c r="E786" i="26"/>
  <c r="N714" i="31" s="1"/>
  <c r="E787" i="26"/>
  <c r="E788" i="26"/>
  <c r="N716" i="31" s="1"/>
  <c r="E789" i="26"/>
  <c r="E790" i="26"/>
  <c r="N718" i="31" s="1"/>
  <c r="E791" i="26"/>
  <c r="E792" i="26"/>
  <c r="N720" i="31" s="1"/>
  <c r="E793" i="26"/>
  <c r="E794" i="26"/>
  <c r="E795" i="26"/>
  <c r="N722" i="31" s="1"/>
  <c r="E796" i="26"/>
  <c r="N723" i="31" s="1"/>
  <c r="E797" i="26"/>
  <c r="N724" i="31" s="1"/>
  <c r="E798" i="26"/>
  <c r="N725" i="31" s="1"/>
  <c r="E799" i="26"/>
  <c r="N726" i="31" s="1"/>
  <c r="E800" i="26"/>
  <c r="E801" i="26"/>
  <c r="N728" i="31" s="1"/>
  <c r="E802" i="26"/>
  <c r="N729" i="31" s="1"/>
  <c r="E803" i="26"/>
  <c r="N730" i="31" s="1"/>
  <c r="E804" i="26"/>
  <c r="N731" i="31" s="1"/>
  <c r="E805" i="26"/>
  <c r="E806" i="26"/>
  <c r="N732" i="31" s="1"/>
  <c r="E807" i="26"/>
  <c r="E808" i="26"/>
  <c r="N734" i="31" s="1"/>
  <c r="E809" i="26"/>
  <c r="E810" i="26"/>
  <c r="N736" i="31" s="1"/>
  <c r="E811" i="26"/>
  <c r="E812" i="26"/>
  <c r="N738" i="31" s="1"/>
  <c r="E813" i="26"/>
  <c r="E814" i="26"/>
  <c r="N740" i="31" s="1"/>
  <c r="E815" i="26"/>
  <c r="E816" i="26"/>
  <c r="E817" i="26"/>
  <c r="N742" i="31" s="1"/>
  <c r="E818" i="26"/>
  <c r="E819" i="26"/>
  <c r="N744" i="31" s="1"/>
  <c r="E820" i="26"/>
  <c r="N745" i="31" s="1"/>
  <c r="E821" i="26"/>
  <c r="N746" i="31" s="1"/>
  <c r="E822" i="26"/>
  <c r="E823" i="26"/>
  <c r="N748" i="31" s="1"/>
  <c r="E824" i="26"/>
  <c r="N749" i="31" s="1"/>
  <c r="E825" i="26"/>
  <c r="N750" i="31" s="1"/>
  <c r="E826" i="26"/>
  <c r="E827" i="26"/>
  <c r="E828" i="26"/>
  <c r="N752" i="31" s="1"/>
  <c r="E829" i="26"/>
  <c r="E830" i="26"/>
  <c r="N754" i="31" s="1"/>
  <c r="E831" i="26"/>
  <c r="E832" i="26"/>
  <c r="N756" i="31" s="1"/>
  <c r="E833" i="26"/>
  <c r="E834" i="26"/>
  <c r="N758" i="31" s="1"/>
  <c r="E835" i="26"/>
  <c r="E836" i="26"/>
  <c r="N760" i="31" s="1"/>
  <c r="E837" i="26"/>
  <c r="E838" i="26"/>
  <c r="E839" i="26"/>
  <c r="N762" i="31" s="1"/>
  <c r="E840" i="26"/>
  <c r="N763" i="31" s="1"/>
  <c r="E841" i="26"/>
  <c r="N764" i="31" s="1"/>
  <c r="E842" i="26"/>
  <c r="N765" i="31" s="1"/>
  <c r="E843" i="26"/>
  <c r="N766" i="31" s="1"/>
  <c r="E844" i="26"/>
  <c r="E845" i="26"/>
  <c r="N768" i="31" s="1"/>
  <c r="E846" i="26"/>
  <c r="N769" i="31" s="1"/>
  <c r="E847" i="26"/>
  <c r="N770" i="31" s="1"/>
  <c r="E848" i="26"/>
  <c r="N771" i="31" s="1"/>
  <c r="E849" i="26"/>
  <c r="E850" i="26"/>
  <c r="N772" i="31" s="1"/>
  <c r="E851" i="26"/>
  <c r="E852" i="26"/>
  <c r="N774" i="31" s="1"/>
  <c r="E853" i="26"/>
  <c r="E854" i="26"/>
  <c r="N776" i="31" s="1"/>
  <c r="E855" i="26"/>
  <c r="E856" i="26"/>
  <c r="N778" i="31" s="1"/>
  <c r="E857" i="26"/>
  <c r="E858" i="26"/>
  <c r="N780" i="31" s="1"/>
  <c r="E859" i="26"/>
  <c r="E860" i="26"/>
  <c r="E861" i="26"/>
  <c r="N782" i="31" s="1"/>
  <c r="E862" i="26"/>
  <c r="E863" i="26"/>
  <c r="N784" i="31" s="1"/>
  <c r="E864" i="26"/>
  <c r="N785" i="31" s="1"/>
  <c r="E865" i="26"/>
  <c r="N786" i="31" s="1"/>
  <c r="E866" i="26"/>
  <c r="E867" i="26"/>
  <c r="N788" i="31" s="1"/>
  <c r="E868" i="26"/>
  <c r="N789" i="31" s="1"/>
  <c r="E869" i="26"/>
  <c r="N790" i="31" s="1"/>
  <c r="E870" i="26"/>
  <c r="E871" i="26"/>
  <c r="E872" i="26"/>
  <c r="N792" i="31" s="1"/>
  <c r="E873" i="26"/>
  <c r="E874" i="26"/>
  <c r="N794" i="31" s="1"/>
  <c r="E875" i="26"/>
  <c r="E876" i="26"/>
  <c r="N796" i="31" s="1"/>
  <c r="E877" i="26"/>
  <c r="E878" i="26"/>
  <c r="N798" i="31" s="1"/>
  <c r="E879" i="26"/>
  <c r="E880" i="26"/>
  <c r="N800" i="31" s="1"/>
  <c r="E881" i="26"/>
  <c r="E882" i="26"/>
  <c r="E883" i="26"/>
  <c r="N802" i="31" s="1"/>
  <c r="E884" i="26"/>
  <c r="N803" i="31" s="1"/>
  <c r="E885" i="26"/>
  <c r="N804" i="31" s="1"/>
  <c r="E886" i="26"/>
  <c r="N805" i="31" s="1"/>
  <c r="E887" i="26"/>
  <c r="N806" i="31" s="1"/>
  <c r="E888" i="26"/>
  <c r="E889" i="26"/>
  <c r="N808" i="31" s="1"/>
  <c r="E890" i="26"/>
  <c r="N809" i="31" s="1"/>
  <c r="E891" i="26"/>
  <c r="N810" i="31" s="1"/>
  <c r="E892" i="26"/>
  <c r="N811" i="31" s="1"/>
  <c r="E893" i="26"/>
  <c r="E894" i="26"/>
  <c r="N812" i="31" s="1"/>
  <c r="E895" i="26"/>
  <c r="E896" i="26"/>
  <c r="N814" i="31" s="1"/>
  <c r="E897" i="26"/>
  <c r="E898" i="26"/>
  <c r="N816" i="31" s="1"/>
  <c r="E899" i="26"/>
  <c r="E900" i="26"/>
  <c r="N818" i="31" s="1"/>
  <c r="E901" i="26"/>
  <c r="E902" i="26"/>
  <c r="N820" i="31" s="1"/>
  <c r="E903" i="26"/>
  <c r="E904" i="26"/>
  <c r="E905" i="26"/>
  <c r="N822" i="31" s="1"/>
  <c r="E906" i="26"/>
  <c r="E907" i="26"/>
  <c r="N824" i="31" s="1"/>
  <c r="E908" i="26"/>
  <c r="N825" i="31" s="1"/>
  <c r="E909" i="26"/>
  <c r="N826" i="31" s="1"/>
  <c r="E910" i="26"/>
  <c r="E911" i="26"/>
  <c r="N828" i="31" s="1"/>
  <c r="E912" i="26"/>
  <c r="N829" i="31" s="1"/>
  <c r="E913" i="26"/>
  <c r="N830" i="31" s="1"/>
  <c r="E914" i="26"/>
  <c r="E915" i="26"/>
  <c r="E916" i="26"/>
  <c r="N832" i="31" s="1"/>
  <c r="E917" i="26"/>
  <c r="E918" i="26"/>
  <c r="N834" i="31" s="1"/>
  <c r="E919" i="26"/>
  <c r="E920" i="26"/>
  <c r="N836" i="31" s="1"/>
  <c r="E921" i="26"/>
  <c r="E922" i="26"/>
  <c r="N838" i="31" s="1"/>
  <c r="E923" i="26"/>
  <c r="E924" i="26"/>
  <c r="N840" i="31" s="1"/>
  <c r="E925" i="26"/>
  <c r="E926" i="26"/>
  <c r="E927" i="26"/>
  <c r="N842" i="31" s="1"/>
  <c r="E928" i="26"/>
  <c r="N843" i="31" s="1"/>
  <c r="E929" i="26"/>
  <c r="N844" i="31" s="1"/>
  <c r="E930" i="26"/>
  <c r="N845" i="31" s="1"/>
  <c r="E931" i="26"/>
  <c r="N846" i="31" s="1"/>
  <c r="E932" i="26"/>
  <c r="E933" i="26"/>
  <c r="N848" i="31" s="1"/>
  <c r="E934" i="26"/>
  <c r="N849" i="31" s="1"/>
  <c r="E935" i="26"/>
  <c r="N850" i="31" s="1"/>
  <c r="E936" i="26"/>
  <c r="N851" i="31" s="1"/>
  <c r="E937" i="26"/>
  <c r="E938" i="26"/>
  <c r="N852" i="31" s="1"/>
  <c r="E939" i="26"/>
  <c r="E940" i="26"/>
  <c r="N854" i="31" s="1"/>
  <c r="E941" i="26"/>
  <c r="E942" i="26"/>
  <c r="N856" i="31" s="1"/>
  <c r="E943" i="26"/>
  <c r="E944" i="26"/>
  <c r="N858" i="31" s="1"/>
  <c r="E945" i="26"/>
  <c r="E946" i="26"/>
  <c r="N860" i="31" s="1"/>
  <c r="E947" i="26"/>
  <c r="E948" i="26"/>
  <c r="E949" i="26"/>
  <c r="N862" i="31" s="1"/>
  <c r="E950" i="26"/>
  <c r="E951" i="26"/>
  <c r="N864" i="31" s="1"/>
  <c r="E952" i="26"/>
  <c r="N865" i="31" s="1"/>
  <c r="E953" i="26"/>
  <c r="N866" i="31" s="1"/>
  <c r="E954" i="26"/>
  <c r="E955" i="26"/>
  <c r="N868" i="31" s="1"/>
  <c r="E956" i="26"/>
  <c r="N869" i="31" s="1"/>
  <c r="E957" i="26"/>
  <c r="N870" i="31" s="1"/>
  <c r="E958" i="26"/>
  <c r="E959" i="26"/>
  <c r="E960" i="26"/>
  <c r="N872" i="31" s="1"/>
  <c r="E961" i="26"/>
  <c r="E962" i="26"/>
  <c r="N874" i="31" s="1"/>
  <c r="E963" i="26"/>
  <c r="E964" i="26"/>
  <c r="N876" i="31" s="1"/>
  <c r="E965" i="26"/>
  <c r="E966" i="26"/>
  <c r="N878" i="31" s="1"/>
  <c r="E967" i="26"/>
  <c r="E968" i="26"/>
  <c r="N880" i="31" s="1"/>
  <c r="E969" i="26"/>
  <c r="E970" i="26"/>
  <c r="E971" i="26"/>
  <c r="N882" i="31" s="1"/>
  <c r="E972" i="26"/>
  <c r="N883" i="31" s="1"/>
  <c r="E973" i="26"/>
  <c r="N884" i="31" s="1"/>
  <c r="E974" i="26"/>
  <c r="N885" i="31" s="1"/>
  <c r="E975" i="26"/>
  <c r="N886" i="31" s="1"/>
  <c r="E976" i="26"/>
  <c r="E977" i="26"/>
  <c r="N888" i="31" s="1"/>
  <c r="E978" i="26"/>
  <c r="N889" i="31" s="1"/>
  <c r="E979" i="26"/>
  <c r="N890" i="31" s="1"/>
  <c r="E980" i="26"/>
  <c r="N891" i="31" s="1"/>
  <c r="E981" i="26"/>
  <c r="E982" i="26"/>
  <c r="N892" i="31" s="1"/>
  <c r="E983" i="26"/>
  <c r="E984" i="26"/>
  <c r="N894" i="31" s="1"/>
  <c r="E985" i="26"/>
  <c r="E986" i="26"/>
  <c r="N896" i="31" s="1"/>
  <c r="E987" i="26"/>
  <c r="E988" i="26"/>
  <c r="N898" i="31" s="1"/>
  <c r="E989" i="26"/>
  <c r="E990" i="26"/>
  <c r="N900" i="31" s="1"/>
  <c r="E991" i="26"/>
  <c r="E992" i="26"/>
  <c r="E993" i="26"/>
  <c r="N902" i="31" s="1"/>
  <c r="E994" i="26"/>
  <c r="E995" i="26"/>
  <c r="N904" i="31" s="1"/>
  <c r="E996" i="26"/>
  <c r="N905" i="31" s="1"/>
  <c r="E997" i="26"/>
  <c r="N906" i="31" s="1"/>
  <c r="E998" i="26"/>
  <c r="E999" i="26"/>
  <c r="N908" i="31" s="1"/>
  <c r="E1000" i="26"/>
  <c r="N909" i="31" s="1"/>
  <c r="E1001" i="26"/>
  <c r="N910" i="31" s="1"/>
  <c r="E1002" i="26"/>
  <c r="E1003" i="26"/>
  <c r="E1004" i="26"/>
  <c r="N912" i="31" s="1"/>
  <c r="E1005" i="26"/>
  <c r="E1006" i="26"/>
  <c r="N914" i="31" s="1"/>
  <c r="E1007" i="26"/>
  <c r="E1008" i="26"/>
  <c r="N916" i="31" s="1"/>
  <c r="E1009" i="26"/>
  <c r="E1010" i="26"/>
  <c r="N918" i="31" s="1"/>
  <c r="E1011" i="26"/>
  <c r="E1012" i="26"/>
  <c r="N920" i="31" s="1"/>
  <c r="E1013" i="26"/>
  <c r="E1014" i="26"/>
  <c r="E1015" i="26"/>
  <c r="N922" i="31" s="1"/>
  <c r="E1016" i="26"/>
  <c r="N923" i="31" s="1"/>
  <c r="E1017" i="26"/>
  <c r="N924" i="31" s="1"/>
  <c r="E1018" i="26"/>
  <c r="N925" i="31" s="1"/>
  <c r="E1019" i="26"/>
  <c r="N926" i="31" s="1"/>
  <c r="E1020" i="26"/>
  <c r="E1021" i="26"/>
  <c r="N928" i="31" s="1"/>
  <c r="E1022" i="26"/>
  <c r="N929" i="31" s="1"/>
  <c r="E1023" i="26"/>
  <c r="N930" i="31" s="1"/>
  <c r="E1024" i="26"/>
  <c r="N931" i="31" s="1"/>
  <c r="E1025" i="26"/>
  <c r="E1026" i="26"/>
  <c r="N932" i="31" s="1"/>
  <c r="E1027" i="26"/>
  <c r="E1028" i="26"/>
  <c r="N934" i="31" s="1"/>
  <c r="E1029" i="26"/>
  <c r="E1030" i="26"/>
  <c r="N936" i="31" s="1"/>
  <c r="E1031" i="26"/>
  <c r="E1032" i="26"/>
  <c r="N938" i="31" s="1"/>
  <c r="E1033" i="26"/>
  <c r="E1034" i="26"/>
  <c r="N940" i="31" s="1"/>
  <c r="E1035" i="26"/>
  <c r="E1036" i="26"/>
  <c r="E1037" i="26"/>
  <c r="N942" i="31" s="1"/>
  <c r="E1038" i="26"/>
  <c r="E1039" i="26"/>
  <c r="N944" i="31" s="1"/>
  <c r="E1040" i="26"/>
  <c r="N945" i="31" s="1"/>
  <c r="E1041" i="26"/>
  <c r="N946" i="31" s="1"/>
  <c r="E1042" i="26"/>
  <c r="E1043" i="26"/>
  <c r="N948" i="31" s="1"/>
  <c r="E1044" i="26"/>
  <c r="N949" i="31" s="1"/>
  <c r="E1045" i="26"/>
  <c r="N950" i="31" s="1"/>
  <c r="E1046" i="26"/>
  <c r="E1047" i="26"/>
  <c r="E1048" i="26"/>
  <c r="N952" i="31" s="1"/>
  <c r="E1049" i="26"/>
  <c r="E1050" i="26"/>
  <c r="N954" i="31" s="1"/>
  <c r="E1051" i="26"/>
  <c r="E1052" i="26"/>
  <c r="N956" i="31" s="1"/>
  <c r="E1053" i="26"/>
  <c r="E1054" i="26"/>
  <c r="N958" i="31" s="1"/>
  <c r="E1055" i="26"/>
  <c r="E1056" i="26"/>
  <c r="N960" i="31" s="1"/>
  <c r="E1057" i="26"/>
  <c r="E1058" i="26"/>
  <c r="E1059" i="26"/>
  <c r="N962" i="31" s="1"/>
  <c r="E1060" i="26"/>
  <c r="N963" i="31" s="1"/>
  <c r="E1061" i="26"/>
  <c r="N964" i="31" s="1"/>
  <c r="E1062" i="26"/>
  <c r="N965" i="31" s="1"/>
  <c r="E1063" i="26"/>
  <c r="N966" i="31" s="1"/>
  <c r="E1064" i="26"/>
  <c r="E1065" i="26"/>
  <c r="N968" i="31" s="1"/>
  <c r="E1066" i="26"/>
  <c r="N969" i="31" s="1"/>
  <c r="E1067" i="26"/>
  <c r="N970" i="31" s="1"/>
  <c r="E1068" i="26"/>
  <c r="N971" i="31" s="1"/>
  <c r="E1069" i="26"/>
  <c r="E1070" i="26"/>
  <c r="N972" i="31" s="1"/>
  <c r="E1071" i="26"/>
  <c r="E1072" i="26"/>
  <c r="N974" i="31" s="1"/>
  <c r="E1073" i="26"/>
  <c r="E1074" i="26"/>
  <c r="N976" i="31" s="1"/>
  <c r="E1075" i="26"/>
  <c r="E1076" i="26"/>
  <c r="N978" i="31" s="1"/>
  <c r="E1077" i="26"/>
  <c r="E1078" i="26"/>
  <c r="N980" i="31" s="1"/>
  <c r="E1079" i="26"/>
  <c r="E1080" i="26"/>
  <c r="E1081" i="26"/>
  <c r="N982" i="31" s="1"/>
  <c r="E1082" i="26"/>
  <c r="E1083" i="26"/>
  <c r="N984" i="31" s="1"/>
  <c r="E1084" i="26"/>
  <c r="N985" i="31" s="1"/>
  <c r="E1085" i="26"/>
  <c r="N986" i="31" s="1"/>
  <c r="E1086" i="26"/>
  <c r="E1087" i="26"/>
  <c r="N988" i="31" s="1"/>
  <c r="E1088" i="26"/>
  <c r="N989" i="31" s="1"/>
  <c r="E1089" i="26"/>
  <c r="N990" i="31" s="1"/>
  <c r="E1090" i="26"/>
  <c r="E1091" i="26"/>
  <c r="E1092" i="26"/>
  <c r="N992" i="31" s="1"/>
  <c r="E1093" i="26"/>
  <c r="E1094" i="26"/>
  <c r="N994" i="31" s="1"/>
  <c r="E1095" i="26"/>
  <c r="E1096" i="26"/>
  <c r="N996" i="31" s="1"/>
  <c r="E1097" i="26"/>
  <c r="E1098" i="26"/>
  <c r="N998" i="31" s="1"/>
  <c r="E1099" i="26"/>
  <c r="E1100" i="26"/>
  <c r="N1000" i="31" s="1"/>
  <c r="E1101" i="26"/>
  <c r="E1102" i="26"/>
  <c r="E1103" i="26"/>
  <c r="N1002" i="31" s="1"/>
  <c r="E1104" i="26"/>
  <c r="N1003" i="31" s="1"/>
  <c r="E1105" i="26"/>
  <c r="N1004" i="31" s="1"/>
  <c r="E1106" i="26"/>
  <c r="N1005" i="31" s="1"/>
  <c r="E1107" i="26"/>
  <c r="N1006" i="31" s="1"/>
  <c r="E1108" i="26"/>
  <c r="E1109" i="26"/>
  <c r="N1008" i="31" s="1"/>
  <c r="E1110" i="26"/>
  <c r="N1009" i="31" s="1"/>
  <c r="E1111" i="26"/>
  <c r="N1010" i="31" s="1"/>
  <c r="E1112" i="26"/>
  <c r="N1011" i="31" s="1"/>
  <c r="E1113" i="26"/>
  <c r="E1114" i="26"/>
  <c r="N1012" i="31" s="1"/>
  <c r="E1115" i="26"/>
  <c r="E1116" i="26"/>
  <c r="N1014" i="31" s="1"/>
  <c r="E1117" i="26"/>
  <c r="E1118" i="26"/>
  <c r="N1016" i="31" s="1"/>
  <c r="E1119" i="26"/>
  <c r="E1120" i="26"/>
  <c r="N1018" i="31" s="1"/>
  <c r="E1121" i="26"/>
  <c r="E1122" i="26"/>
  <c r="N1020" i="31" s="1"/>
  <c r="E1123" i="26"/>
  <c r="E1124" i="26"/>
  <c r="E1125" i="26"/>
  <c r="N1022" i="31" s="1"/>
  <c r="E1126" i="26"/>
  <c r="E1127" i="26"/>
  <c r="N1024" i="31" s="1"/>
  <c r="E1128" i="26"/>
  <c r="N1025" i="31" s="1"/>
  <c r="E1129" i="26"/>
  <c r="N1026" i="31" s="1"/>
  <c r="E1130" i="26"/>
  <c r="E1131" i="26"/>
  <c r="N1028" i="31" s="1"/>
  <c r="E1132" i="26"/>
  <c r="N1029" i="31" s="1"/>
  <c r="E1133" i="26"/>
  <c r="N1030" i="31" s="1"/>
  <c r="E1134" i="26"/>
  <c r="E1135" i="26"/>
  <c r="E1136" i="26"/>
  <c r="N1032" i="31" s="1"/>
  <c r="E1137" i="26"/>
  <c r="E1138" i="26"/>
  <c r="N1034" i="31" s="1"/>
  <c r="E1139" i="26"/>
  <c r="E1140" i="26"/>
  <c r="N1036" i="31" s="1"/>
  <c r="E1141" i="26"/>
  <c r="E1142" i="26"/>
  <c r="N1038" i="31" s="1"/>
  <c r="E1143" i="26"/>
  <c r="E1144" i="26"/>
  <c r="N1040" i="31" s="1"/>
  <c r="E1145" i="26"/>
  <c r="E1146" i="26"/>
  <c r="E1147" i="26"/>
  <c r="N1042" i="31" s="1"/>
  <c r="E1148" i="26"/>
  <c r="N1043" i="31" s="1"/>
  <c r="E1149" i="26"/>
  <c r="N1044" i="31" s="1"/>
  <c r="E1150" i="26"/>
  <c r="N1045" i="31" s="1"/>
  <c r="E1151" i="26"/>
  <c r="N1046" i="31" s="1"/>
  <c r="E1152" i="26"/>
  <c r="E1153" i="26"/>
  <c r="N1048" i="31" s="1"/>
  <c r="E1154" i="26"/>
  <c r="N1049" i="31" s="1"/>
  <c r="E1155" i="26"/>
  <c r="N1050" i="31" s="1"/>
  <c r="E1156" i="26"/>
  <c r="N1051" i="31" s="1"/>
  <c r="E1157" i="26"/>
  <c r="E1158" i="26"/>
  <c r="N1052" i="31" s="1"/>
  <c r="E1159" i="26"/>
  <c r="E1160" i="26"/>
  <c r="N1054" i="31" s="1"/>
  <c r="E1161" i="26"/>
  <c r="E1162" i="26"/>
  <c r="N1056" i="31" s="1"/>
  <c r="E1163" i="26"/>
  <c r="E1164" i="26"/>
  <c r="N1058" i="31" s="1"/>
  <c r="E1165" i="26"/>
  <c r="E1166" i="26"/>
  <c r="N1060" i="31" s="1"/>
  <c r="E1167" i="26"/>
  <c r="E1168" i="26"/>
  <c r="E1169" i="26"/>
  <c r="N1062" i="31" s="1"/>
  <c r="E1170" i="26"/>
  <c r="E1171" i="26"/>
  <c r="N1064" i="31" s="1"/>
  <c r="E1172" i="26"/>
  <c r="N1065" i="31" s="1"/>
  <c r="E1173" i="26"/>
  <c r="N1066" i="31" s="1"/>
  <c r="E1174" i="26"/>
  <c r="E1175" i="26"/>
  <c r="N1068" i="31" s="1"/>
  <c r="E1176" i="26"/>
  <c r="N1069" i="31" s="1"/>
  <c r="E1177" i="26"/>
  <c r="N1070" i="31" s="1"/>
  <c r="E1178" i="26"/>
  <c r="E1179" i="26"/>
  <c r="E1180" i="26"/>
  <c r="N1072" i="31" s="1"/>
  <c r="E1181" i="26"/>
  <c r="E1182" i="26"/>
  <c r="N1074" i="31" s="1"/>
  <c r="E1183" i="26"/>
  <c r="E1184" i="26"/>
  <c r="N1076" i="31" s="1"/>
  <c r="E1185" i="26"/>
  <c r="E1186" i="26"/>
  <c r="N1078" i="31" s="1"/>
  <c r="E1187" i="26"/>
  <c r="E1188" i="26"/>
  <c r="N1080" i="31" s="1"/>
  <c r="E1189" i="26"/>
  <c r="E1190" i="26"/>
  <c r="E1191" i="26"/>
  <c r="N1082" i="31" s="1"/>
  <c r="E1192" i="26"/>
  <c r="N1083" i="31" s="1"/>
  <c r="E1193" i="26"/>
  <c r="N1084" i="31" s="1"/>
  <c r="E1194" i="26"/>
  <c r="N1085" i="31" s="1"/>
  <c r="E1195" i="26"/>
  <c r="N1086" i="31" s="1"/>
  <c r="E1196" i="26"/>
  <c r="E1197" i="26"/>
  <c r="N1088" i="31" s="1"/>
  <c r="E1198" i="26"/>
  <c r="N1089" i="31" s="1"/>
  <c r="E1199" i="26"/>
  <c r="N1090" i="31" s="1"/>
  <c r="E1200" i="26"/>
  <c r="N1091" i="31" s="1"/>
  <c r="E1201" i="26"/>
  <c r="E1202" i="26"/>
  <c r="N1092" i="31" s="1"/>
  <c r="E1203" i="26"/>
  <c r="E1204" i="26"/>
  <c r="N1094" i="31" s="1"/>
  <c r="E1205" i="26"/>
  <c r="E1206" i="26"/>
  <c r="N1096" i="31" s="1"/>
  <c r="E1207" i="26"/>
  <c r="E1208" i="26"/>
  <c r="N1098" i="31" s="1"/>
  <c r="E1209" i="26"/>
  <c r="E1210" i="26"/>
  <c r="N1100" i="31" s="1"/>
  <c r="E1211" i="26"/>
  <c r="E1212" i="26"/>
  <c r="E1213" i="26"/>
  <c r="N1102" i="31" s="1"/>
  <c r="E1214" i="26"/>
  <c r="E1215" i="26"/>
  <c r="N1104" i="31" s="1"/>
  <c r="E1216" i="26"/>
  <c r="N1105" i="31" s="1"/>
  <c r="E1217" i="26"/>
  <c r="N1106" i="31" s="1"/>
  <c r="E1218" i="26"/>
  <c r="E1219" i="26"/>
  <c r="N1108" i="31" s="1"/>
  <c r="E1220" i="26"/>
  <c r="N1109" i="31" s="1"/>
  <c r="E1221" i="26"/>
  <c r="N1110" i="31" s="1"/>
  <c r="E1222" i="26"/>
  <c r="E1223" i="26"/>
  <c r="E1224" i="26"/>
  <c r="N1112" i="31" s="1"/>
  <c r="E1225" i="26"/>
  <c r="E1226" i="26"/>
  <c r="N1114" i="31" s="1"/>
  <c r="E1227" i="26"/>
  <c r="E1228" i="26"/>
  <c r="N1116" i="31" s="1"/>
  <c r="E1229" i="26"/>
  <c r="E1230" i="26"/>
  <c r="N1118" i="31" s="1"/>
  <c r="E1231" i="26"/>
  <c r="E1232" i="26"/>
  <c r="N1120" i="31" s="1"/>
  <c r="E1233" i="26"/>
  <c r="E1234" i="26"/>
  <c r="E1235" i="26"/>
  <c r="N1122" i="31" s="1"/>
  <c r="E1236" i="26"/>
  <c r="N1123" i="31" s="1"/>
  <c r="E1237" i="26"/>
  <c r="N1124" i="31" s="1"/>
  <c r="E1238" i="26"/>
  <c r="N1125" i="31" s="1"/>
  <c r="E1239" i="26"/>
  <c r="N1126" i="31" s="1"/>
  <c r="E1240" i="26"/>
  <c r="E1241" i="26"/>
  <c r="N1128" i="31" s="1"/>
  <c r="E1242" i="26"/>
  <c r="N1129" i="31" s="1"/>
  <c r="E1243" i="26"/>
  <c r="N1130" i="31" s="1"/>
  <c r="E1244" i="26"/>
  <c r="N1131" i="31" s="1"/>
  <c r="E1245" i="26"/>
  <c r="E1246" i="26"/>
  <c r="N1132" i="31" s="1"/>
  <c r="E1247" i="26"/>
  <c r="E1248" i="26"/>
  <c r="N1134" i="31" s="1"/>
  <c r="E1249" i="26"/>
  <c r="E1250" i="26"/>
  <c r="N1136" i="31" s="1"/>
  <c r="E1251" i="26"/>
  <c r="E1252" i="26"/>
  <c r="N1138" i="31" s="1"/>
  <c r="E1253" i="26"/>
  <c r="E1254" i="26"/>
  <c r="N1140" i="31" s="1"/>
  <c r="E1255" i="26"/>
  <c r="E1256" i="26"/>
  <c r="E1257" i="26"/>
  <c r="N1142" i="31" s="1"/>
  <c r="E1258" i="26"/>
  <c r="E1259" i="26"/>
  <c r="N1144" i="31" s="1"/>
  <c r="E1260" i="26"/>
  <c r="N1145" i="31" s="1"/>
  <c r="E1261" i="26"/>
  <c r="N1146" i="31" s="1"/>
  <c r="E1262" i="26"/>
  <c r="E1263" i="26"/>
  <c r="N1148" i="31" s="1"/>
  <c r="E1264" i="26"/>
  <c r="N1149" i="31" s="1"/>
  <c r="E1265" i="26"/>
  <c r="N1150" i="31" s="1"/>
  <c r="E1266" i="26"/>
  <c r="E1267" i="26"/>
  <c r="E1268" i="26"/>
  <c r="N1152" i="31" s="1"/>
  <c r="E1269" i="26"/>
  <c r="E1270" i="26"/>
  <c r="N1154" i="31" s="1"/>
  <c r="E1271" i="26"/>
  <c r="E1272" i="26"/>
  <c r="N1156" i="31" s="1"/>
  <c r="E1273" i="26"/>
  <c r="E1274" i="26"/>
  <c r="N1158" i="31" s="1"/>
  <c r="E1275" i="26"/>
  <c r="E1276" i="26"/>
  <c r="N1160" i="31" s="1"/>
  <c r="E1277" i="26"/>
  <c r="E1278" i="26"/>
  <c r="E1279" i="26"/>
  <c r="N1162" i="31" s="1"/>
  <c r="E1280" i="26"/>
  <c r="N1163" i="31" s="1"/>
  <c r="E1281" i="26"/>
  <c r="N1164" i="31" s="1"/>
  <c r="E1282" i="26"/>
  <c r="N1165" i="31" s="1"/>
  <c r="E1283" i="26"/>
  <c r="N1166" i="31" s="1"/>
  <c r="E1284" i="26"/>
  <c r="E1285" i="26"/>
  <c r="N1168" i="31" s="1"/>
  <c r="E1286" i="26"/>
  <c r="N1169" i="31" s="1"/>
  <c r="E1287" i="26"/>
  <c r="N1170" i="31" s="1"/>
  <c r="E1288" i="26"/>
  <c r="N1171" i="31" s="1"/>
  <c r="E1289" i="26"/>
  <c r="E1290" i="26"/>
  <c r="N1172" i="31" s="1"/>
  <c r="E1291" i="26"/>
  <c r="E1292" i="26"/>
  <c r="N1174" i="31" s="1"/>
  <c r="E1293" i="26"/>
  <c r="E1294" i="26"/>
  <c r="N1176" i="31" s="1"/>
  <c r="E1295" i="26"/>
  <c r="E1296" i="26"/>
  <c r="N1178" i="31" s="1"/>
  <c r="E1297" i="26"/>
  <c r="E1298" i="26"/>
  <c r="N1180" i="31" s="1"/>
  <c r="E1299" i="26"/>
  <c r="E1300" i="26"/>
  <c r="E1301" i="26"/>
  <c r="N1182" i="31" s="1"/>
  <c r="E1302" i="26"/>
  <c r="E1303" i="26"/>
  <c r="N1184" i="31" s="1"/>
  <c r="E1304" i="26"/>
  <c r="N1185" i="31" s="1"/>
  <c r="E1305" i="26"/>
  <c r="N1186" i="31" s="1"/>
  <c r="E1306" i="26"/>
  <c r="E1307" i="26"/>
  <c r="N1188" i="31" s="1"/>
  <c r="E1308" i="26"/>
  <c r="N1189" i="31" s="1"/>
  <c r="E1309" i="26"/>
  <c r="N1190" i="31" s="1"/>
  <c r="E1310" i="26"/>
  <c r="E1311" i="26"/>
  <c r="E1312" i="26"/>
  <c r="N1192" i="31" s="1"/>
  <c r="E1313" i="26"/>
  <c r="E1314" i="26"/>
  <c r="N1194" i="31" s="1"/>
  <c r="E1315" i="26"/>
  <c r="E1316" i="26"/>
  <c r="N1196" i="31" s="1"/>
  <c r="E1317" i="26"/>
  <c r="E1318" i="26"/>
  <c r="N1198" i="31" s="1"/>
  <c r="E1319" i="26"/>
  <c r="E1320" i="26"/>
  <c r="N1200" i="31" s="1"/>
  <c r="E1321" i="26"/>
  <c r="E1322" i="26"/>
  <c r="E1323" i="26"/>
  <c r="N1202" i="31" s="1"/>
  <c r="E1324" i="26"/>
  <c r="N1203" i="31" s="1"/>
  <c r="E1325" i="26"/>
  <c r="N1204" i="31" s="1"/>
  <c r="E1326" i="26"/>
  <c r="N1205" i="31" s="1"/>
  <c r="E1327" i="26"/>
  <c r="N1206" i="31" s="1"/>
  <c r="E1328" i="26"/>
  <c r="E1329" i="26"/>
  <c r="N1208" i="31" s="1"/>
  <c r="E1330" i="26"/>
  <c r="N1209" i="31" s="1"/>
  <c r="E1331" i="26"/>
  <c r="N1210" i="31" s="1"/>
  <c r="E1332" i="26"/>
  <c r="N1211" i="31" s="1"/>
  <c r="E1333" i="26"/>
  <c r="E1334" i="26"/>
  <c r="N1212" i="31" s="1"/>
  <c r="E1335" i="26"/>
  <c r="E1336" i="26"/>
  <c r="N1214" i="31" s="1"/>
  <c r="E1337" i="26"/>
  <c r="E1338" i="26"/>
  <c r="N1216" i="31" s="1"/>
  <c r="E1339" i="26"/>
  <c r="E1340" i="26"/>
  <c r="N1218" i="31" s="1"/>
  <c r="E1341" i="26"/>
  <c r="E1342" i="26"/>
  <c r="N1220" i="31" s="1"/>
  <c r="E1343" i="26"/>
  <c r="E1344" i="26"/>
  <c r="E1345" i="26"/>
  <c r="N1222" i="31" s="1"/>
  <c r="E1346" i="26"/>
  <c r="E1347" i="26"/>
  <c r="N1224" i="31" s="1"/>
  <c r="E1348" i="26"/>
  <c r="N1225" i="31" s="1"/>
  <c r="E1349" i="26"/>
  <c r="N1226" i="31" s="1"/>
  <c r="E1350" i="26"/>
  <c r="E1351" i="26"/>
  <c r="N1228" i="31" s="1"/>
  <c r="E1352" i="26"/>
  <c r="N1229" i="31" s="1"/>
  <c r="E1353" i="26"/>
  <c r="N1230" i="31" s="1"/>
  <c r="E1354" i="26"/>
  <c r="E1355" i="26"/>
  <c r="E1356" i="26"/>
  <c r="N1232" i="31" s="1"/>
  <c r="E1357" i="26"/>
  <c r="E1358" i="26"/>
  <c r="N1234" i="31" s="1"/>
  <c r="E1359" i="26"/>
  <c r="E1360" i="26"/>
  <c r="N1236" i="31" s="1"/>
  <c r="E1361" i="26"/>
  <c r="E1362" i="26"/>
  <c r="N1238" i="31" s="1"/>
  <c r="E1363" i="26"/>
  <c r="E1364" i="26"/>
  <c r="N1240" i="31" s="1"/>
  <c r="E1365" i="26"/>
  <c r="E1366" i="26"/>
  <c r="E1367" i="26"/>
  <c r="N1242" i="31" s="1"/>
  <c r="E1368" i="26"/>
  <c r="N1243" i="31" s="1"/>
  <c r="E1369" i="26"/>
  <c r="N1244" i="31" s="1"/>
  <c r="E1370" i="26"/>
  <c r="N1245" i="31" s="1"/>
  <c r="E1371" i="26"/>
  <c r="N1246" i="31" s="1"/>
  <c r="E1372" i="26"/>
  <c r="E1373" i="26"/>
  <c r="N1248" i="31" s="1"/>
  <c r="E1374" i="26"/>
  <c r="N1249" i="31" s="1"/>
  <c r="E1375" i="26"/>
  <c r="N1250" i="31" s="1"/>
  <c r="E1376" i="26"/>
  <c r="N1251" i="31" s="1"/>
  <c r="E1377" i="26"/>
  <c r="E1378" i="26"/>
  <c r="N1252" i="31" s="1"/>
  <c r="E1379" i="26"/>
  <c r="E1380" i="26"/>
  <c r="N1254" i="31" s="1"/>
  <c r="E1381" i="26"/>
  <c r="E1382" i="26"/>
  <c r="N1256" i="31" s="1"/>
  <c r="E1383" i="26"/>
  <c r="E1384" i="26"/>
  <c r="N1258" i="31" s="1"/>
  <c r="E1385" i="26"/>
  <c r="E1386" i="26"/>
  <c r="N1260" i="31" s="1"/>
  <c r="E1387" i="26"/>
  <c r="E1388" i="26"/>
  <c r="E1389" i="26"/>
  <c r="N1262" i="31" s="1"/>
  <c r="E1390" i="26"/>
  <c r="E1391" i="26"/>
  <c r="N1264" i="31" s="1"/>
  <c r="E1392" i="26"/>
  <c r="N1265" i="31" s="1"/>
  <c r="E1393" i="26"/>
  <c r="N1266" i="31" s="1"/>
  <c r="E1394" i="26"/>
  <c r="E1395" i="26"/>
  <c r="N1268" i="31" s="1"/>
  <c r="E1396" i="26"/>
  <c r="N1269" i="31" s="1"/>
  <c r="E1397" i="26"/>
  <c r="N1270" i="31" s="1"/>
  <c r="E1398" i="26"/>
  <c r="E1399" i="26"/>
  <c r="E1400" i="26"/>
  <c r="N1272" i="31" s="1"/>
  <c r="E1401" i="26"/>
  <c r="E1402" i="26"/>
  <c r="N1274" i="31" s="1"/>
  <c r="E1403" i="26"/>
  <c r="E1404" i="26"/>
  <c r="N1276" i="31" s="1"/>
  <c r="E1405" i="26"/>
  <c r="E1406" i="26"/>
  <c r="N1278" i="31" s="1"/>
  <c r="E1407" i="26"/>
  <c r="E1408" i="26"/>
  <c r="N1280" i="31" s="1"/>
  <c r="E1409" i="26"/>
  <c r="E1410" i="26"/>
  <c r="E1411" i="26"/>
  <c r="N1282" i="31" s="1"/>
  <c r="E1412" i="26"/>
  <c r="N1283" i="31" s="1"/>
  <c r="E1413" i="26"/>
  <c r="N1284" i="31" s="1"/>
  <c r="E1414" i="26"/>
  <c r="N1285" i="31" s="1"/>
  <c r="E1415" i="26"/>
  <c r="N1286" i="31" s="1"/>
  <c r="E1416" i="26"/>
  <c r="E1417" i="26"/>
  <c r="N1288" i="31" s="1"/>
  <c r="E1418" i="26"/>
  <c r="N1289" i="31" s="1"/>
  <c r="E1419" i="26"/>
  <c r="N1290" i="31" s="1"/>
  <c r="E1420" i="26"/>
  <c r="N1291" i="31" s="1"/>
  <c r="E1421" i="26"/>
  <c r="E1422" i="26"/>
  <c r="N1292" i="31" s="1"/>
  <c r="E1423" i="26"/>
  <c r="E1424" i="26"/>
  <c r="N1294" i="31" s="1"/>
  <c r="E1425" i="26"/>
  <c r="E1426" i="26"/>
  <c r="N1296" i="31" s="1"/>
  <c r="E1427" i="26"/>
  <c r="E1428" i="26"/>
  <c r="N1298" i="31" s="1"/>
  <c r="E1429" i="26"/>
  <c r="E1430" i="26"/>
  <c r="N1300" i="31" s="1"/>
  <c r="E1431" i="26"/>
  <c r="E1432" i="26"/>
  <c r="E1433" i="26"/>
  <c r="N1302" i="31" s="1"/>
  <c r="E1434" i="26"/>
  <c r="E1435" i="26"/>
  <c r="N1304" i="31" s="1"/>
  <c r="E1436" i="26"/>
  <c r="N1305" i="31" s="1"/>
  <c r="E1437" i="26"/>
  <c r="N1306" i="31" s="1"/>
  <c r="E1438" i="26"/>
  <c r="E1439" i="26"/>
  <c r="N1308" i="31" s="1"/>
  <c r="E1440" i="26"/>
  <c r="N1309" i="31" s="1"/>
  <c r="E1441" i="26"/>
  <c r="N1310" i="31" s="1"/>
  <c r="E1442" i="26"/>
  <c r="E1443" i="26"/>
  <c r="E1444" i="26"/>
  <c r="N1312" i="31" s="1"/>
  <c r="E1445" i="26"/>
  <c r="E1446" i="26"/>
  <c r="N1314" i="31" s="1"/>
  <c r="E1447" i="26"/>
  <c r="E1448" i="26"/>
  <c r="N1316" i="31" s="1"/>
  <c r="E1449" i="26"/>
  <c r="E1450" i="26"/>
  <c r="N1318" i="31" s="1"/>
  <c r="E1451" i="26"/>
  <c r="E1452" i="26"/>
  <c r="N1320" i="31" s="1"/>
  <c r="E1453" i="26"/>
  <c r="E1454" i="26"/>
  <c r="E1455" i="26"/>
  <c r="N1322" i="31" s="1"/>
  <c r="E1456" i="26"/>
  <c r="N1323" i="31" s="1"/>
  <c r="E1457" i="26"/>
  <c r="N1324" i="31" s="1"/>
  <c r="E1458" i="26"/>
  <c r="N1325" i="31" s="1"/>
  <c r="E1459" i="26"/>
  <c r="N1326" i="31" s="1"/>
  <c r="E1460" i="26"/>
  <c r="E1461" i="26"/>
  <c r="N1328" i="31" s="1"/>
  <c r="E1462" i="26"/>
  <c r="N1329" i="31" s="1"/>
  <c r="E1463" i="26"/>
  <c r="N1330" i="31" s="1"/>
  <c r="E1464" i="26"/>
  <c r="N1331" i="31" s="1"/>
  <c r="E1465" i="26"/>
  <c r="E1466" i="26"/>
  <c r="N1332" i="31" s="1"/>
  <c r="E1467" i="26"/>
  <c r="E1468" i="26"/>
  <c r="N1334" i="31" s="1"/>
  <c r="E1469" i="26"/>
  <c r="E1470" i="26"/>
  <c r="N1336" i="31" s="1"/>
  <c r="E1471" i="26"/>
  <c r="E1472" i="26"/>
  <c r="N1338" i="31" s="1"/>
  <c r="E1473" i="26"/>
  <c r="E1474" i="26"/>
  <c r="N1340" i="31" s="1"/>
  <c r="E1475" i="26"/>
  <c r="E1476" i="26"/>
  <c r="E1477" i="26"/>
  <c r="N1342" i="31" s="1"/>
  <c r="E1478" i="26"/>
  <c r="E1479" i="26"/>
  <c r="N1344" i="31" s="1"/>
  <c r="E1480" i="26"/>
  <c r="N1345" i="31" s="1"/>
  <c r="E1481" i="26"/>
  <c r="N1346" i="31" s="1"/>
  <c r="E1482" i="26"/>
  <c r="E1483" i="26"/>
  <c r="N1348" i="31" s="1"/>
  <c r="E1484" i="26"/>
  <c r="N1349" i="31" s="1"/>
  <c r="E1485" i="26"/>
  <c r="N1350" i="31" s="1"/>
  <c r="E1486" i="26"/>
  <c r="E1487" i="26"/>
  <c r="E1488" i="26"/>
  <c r="N1352" i="31" s="1"/>
  <c r="E1489" i="26"/>
  <c r="E1490" i="26"/>
  <c r="N1354" i="31" s="1"/>
  <c r="E1491" i="26"/>
  <c r="E1492" i="26"/>
  <c r="N1356" i="31" s="1"/>
  <c r="E1493" i="26"/>
  <c r="E1494" i="26"/>
  <c r="N1358" i="31" s="1"/>
  <c r="E1495" i="26"/>
  <c r="E1496" i="26"/>
  <c r="N1360" i="31" s="1"/>
  <c r="E1497" i="26"/>
  <c r="E1498" i="26"/>
  <c r="E1499" i="26"/>
  <c r="N1362" i="31" s="1"/>
  <c r="E1500" i="26"/>
  <c r="N1363" i="31" s="1"/>
  <c r="E1501" i="26"/>
  <c r="N1364" i="31" s="1"/>
  <c r="E1502" i="26"/>
  <c r="N1365" i="31" s="1"/>
  <c r="E1503" i="26"/>
  <c r="N1366" i="31" s="1"/>
  <c r="E1504" i="26"/>
  <c r="E1505" i="26"/>
  <c r="N1368" i="31" s="1"/>
  <c r="E1506" i="26"/>
  <c r="N1369" i="31" s="1"/>
  <c r="E1507" i="26"/>
  <c r="N1370" i="31" s="1"/>
  <c r="E1508" i="26"/>
  <c r="N1371" i="31" s="1"/>
  <c r="E1509" i="26"/>
  <c r="E1510" i="26"/>
  <c r="N1372" i="31" s="1"/>
  <c r="E1511" i="26"/>
  <c r="E1512" i="26"/>
  <c r="N1374" i="31" s="1"/>
  <c r="E1513" i="26"/>
  <c r="E1514" i="26"/>
  <c r="N1376" i="31" s="1"/>
  <c r="E1515" i="26"/>
  <c r="E1516" i="26"/>
  <c r="N1378" i="31" s="1"/>
  <c r="E1517" i="26"/>
  <c r="E1518" i="26"/>
  <c r="N1380" i="31" s="1"/>
  <c r="E1519" i="26"/>
  <c r="E1520" i="26"/>
  <c r="E1521" i="26"/>
  <c r="N1382" i="31" s="1"/>
  <c r="E1522" i="26"/>
  <c r="E1523" i="26"/>
  <c r="N1384" i="31" s="1"/>
  <c r="E1524" i="26"/>
  <c r="N1385" i="31" s="1"/>
  <c r="E1525" i="26"/>
  <c r="N1386" i="31" s="1"/>
  <c r="E1526" i="26"/>
  <c r="E1527" i="26"/>
  <c r="N1388" i="31" s="1"/>
  <c r="E1528" i="26"/>
  <c r="N1389" i="31" s="1"/>
  <c r="E1529" i="26"/>
  <c r="N1390" i="31" s="1"/>
  <c r="E1530" i="26"/>
  <c r="E1531" i="26"/>
  <c r="E1532" i="26"/>
  <c r="N1392" i="31" s="1"/>
  <c r="E1533" i="26"/>
  <c r="E1534" i="26"/>
  <c r="N1394" i="31" s="1"/>
  <c r="E1535" i="26"/>
  <c r="E1536" i="26"/>
  <c r="N1396" i="31" s="1"/>
  <c r="E1537" i="26"/>
  <c r="E1538" i="26"/>
  <c r="N1398" i="31" s="1"/>
  <c r="E1539" i="26"/>
  <c r="E1540" i="26"/>
  <c r="N1400" i="31" s="1"/>
  <c r="E1541" i="26"/>
  <c r="E1542" i="26"/>
  <c r="E1543" i="26"/>
  <c r="N1402" i="31" s="1"/>
  <c r="E1544" i="26"/>
  <c r="N1403" i="31" s="1"/>
  <c r="E1545" i="26"/>
  <c r="N1404" i="31" s="1"/>
  <c r="E1546" i="26"/>
  <c r="N1405" i="31" s="1"/>
  <c r="E1547" i="26"/>
  <c r="N1406" i="31" s="1"/>
  <c r="E1548" i="26"/>
  <c r="E1549" i="26"/>
  <c r="N1408" i="31" s="1"/>
  <c r="E1550" i="26"/>
  <c r="N1409" i="31" s="1"/>
  <c r="E1551" i="26"/>
  <c r="N1410" i="31" s="1"/>
  <c r="E1552" i="26"/>
  <c r="N1411" i="31" s="1"/>
  <c r="E1553" i="26"/>
  <c r="E1554" i="26"/>
  <c r="N1412" i="31" s="1"/>
  <c r="E1555" i="26"/>
  <c r="E1556" i="26"/>
  <c r="N1414" i="31" s="1"/>
  <c r="E1557" i="26"/>
  <c r="E1558" i="26"/>
  <c r="N1416" i="31" s="1"/>
  <c r="E1559" i="26"/>
  <c r="E1560" i="26"/>
  <c r="N1418" i="31" s="1"/>
  <c r="E1561" i="26"/>
  <c r="E1562" i="26"/>
  <c r="N1420" i="31" s="1"/>
  <c r="E1563" i="26"/>
  <c r="E1564" i="26"/>
  <c r="E1565" i="26"/>
  <c r="N1422" i="31" s="1"/>
  <c r="E1566" i="26"/>
  <c r="E1567" i="26"/>
  <c r="N1424" i="31" s="1"/>
  <c r="E1568" i="26"/>
  <c r="N1425" i="31" s="1"/>
  <c r="E1569" i="26"/>
  <c r="N1426" i="31" s="1"/>
  <c r="E1570" i="26"/>
  <c r="E1571" i="26"/>
  <c r="N1428" i="31" s="1"/>
  <c r="E1572" i="26"/>
  <c r="N1429" i="31" s="1"/>
  <c r="E1573" i="26"/>
  <c r="N1430" i="31" s="1"/>
  <c r="E1574" i="26"/>
  <c r="E1575" i="26"/>
  <c r="E1576" i="26"/>
  <c r="N1432" i="31" s="1"/>
  <c r="E1577" i="26"/>
  <c r="E1578" i="26"/>
  <c r="N1434" i="31" s="1"/>
  <c r="E1579" i="26"/>
  <c r="E1580" i="26"/>
  <c r="N1436" i="31" s="1"/>
  <c r="E1581" i="26"/>
  <c r="E1582" i="26"/>
  <c r="N1438" i="31" s="1"/>
  <c r="E1583" i="26"/>
  <c r="E1584" i="26"/>
  <c r="N1440" i="31" s="1"/>
  <c r="E1585" i="26"/>
  <c r="E1586" i="26"/>
  <c r="E1587" i="26"/>
  <c r="N1442" i="31" s="1"/>
  <c r="E1588" i="26"/>
  <c r="N1443" i="31" s="1"/>
  <c r="E1589" i="26"/>
  <c r="N1444" i="31" s="1"/>
  <c r="E1590" i="26"/>
  <c r="N1445" i="31" s="1"/>
  <c r="E1591" i="26"/>
  <c r="N1446" i="31" s="1"/>
  <c r="E1592" i="26"/>
  <c r="E1593" i="26"/>
  <c r="N1448" i="31" s="1"/>
  <c r="E1594" i="26"/>
  <c r="N1449" i="31" s="1"/>
  <c r="E1595" i="26"/>
  <c r="N1450" i="31" s="1"/>
  <c r="E1596" i="26"/>
  <c r="N1451" i="31" s="1"/>
  <c r="E1597" i="26"/>
  <c r="E1598" i="26"/>
  <c r="N1452" i="31" s="1"/>
  <c r="E1599" i="26"/>
  <c r="E1600" i="26"/>
  <c r="N1454" i="31" s="1"/>
  <c r="E1601" i="26"/>
  <c r="E1602" i="26"/>
  <c r="N1456" i="31" s="1"/>
  <c r="E1603" i="26"/>
  <c r="E1604" i="26"/>
  <c r="N1458" i="31" s="1"/>
  <c r="E1605" i="26"/>
  <c r="E1606" i="26"/>
  <c r="N1460" i="31" s="1"/>
  <c r="E1607" i="26"/>
  <c r="E1608" i="26"/>
  <c r="E1609" i="26"/>
  <c r="N1462" i="31" s="1"/>
  <c r="E1610" i="26"/>
  <c r="E1611" i="26"/>
  <c r="N1464" i="31" s="1"/>
  <c r="E1612" i="26"/>
  <c r="N1465" i="31" s="1"/>
  <c r="E1613" i="26"/>
  <c r="N1466" i="31" s="1"/>
  <c r="E1614" i="26"/>
  <c r="E1615" i="26"/>
  <c r="N1468" i="31" s="1"/>
  <c r="E1616" i="26"/>
  <c r="N1469" i="31" s="1"/>
  <c r="E1617" i="26"/>
  <c r="N1470" i="31" s="1"/>
  <c r="E1618" i="26"/>
  <c r="E1619" i="26"/>
  <c r="E1620" i="26"/>
  <c r="N1472" i="31" s="1"/>
  <c r="E1621" i="26"/>
  <c r="E1622" i="26"/>
  <c r="N1474" i="31" s="1"/>
  <c r="E1623" i="26"/>
  <c r="E1624" i="26"/>
  <c r="N1476" i="31" s="1"/>
  <c r="E1625" i="26"/>
  <c r="E1626" i="26"/>
  <c r="N1478" i="31" s="1"/>
  <c r="E1627" i="26"/>
  <c r="E1628" i="26"/>
  <c r="N1480" i="31" s="1"/>
  <c r="E1629" i="26"/>
  <c r="E2" i="26"/>
  <c r="M3" i="31"/>
  <c r="M13" i="31"/>
  <c r="M15" i="31"/>
  <c r="M17" i="31"/>
  <c r="M19" i="31"/>
  <c r="M21" i="31"/>
  <c r="M23" i="31"/>
  <c r="M27" i="31"/>
  <c r="M31" i="31"/>
  <c r="M33" i="31"/>
  <c r="M35" i="31"/>
  <c r="M37" i="31"/>
  <c r="M39" i="31"/>
  <c r="M41" i="31"/>
  <c r="M43" i="31"/>
  <c r="M53" i="31"/>
  <c r="M55" i="31"/>
  <c r="M57" i="31"/>
  <c r="M59" i="31"/>
  <c r="M61" i="31"/>
  <c r="M63" i="31"/>
  <c r="M67" i="31"/>
  <c r="M73" i="31"/>
  <c r="M75" i="31"/>
  <c r="M77" i="31"/>
  <c r="M79" i="31"/>
  <c r="M81" i="31"/>
  <c r="M83" i="31"/>
  <c r="M93" i="31"/>
  <c r="M95" i="31"/>
  <c r="M97" i="31"/>
  <c r="M99" i="31"/>
  <c r="M101" i="31"/>
  <c r="M103" i="31"/>
  <c r="M107" i="31"/>
  <c r="M113" i="31"/>
  <c r="M115" i="31"/>
  <c r="M117" i="31"/>
  <c r="M119" i="31"/>
  <c r="M121" i="31"/>
  <c r="M123" i="31"/>
  <c r="M133" i="31"/>
  <c r="M135" i="31"/>
  <c r="M137" i="31"/>
  <c r="M139" i="31"/>
  <c r="M141" i="31"/>
  <c r="M143" i="31"/>
  <c r="M147" i="31"/>
  <c r="M153" i="31"/>
  <c r="M155" i="31"/>
  <c r="M157" i="31"/>
  <c r="M159" i="31"/>
  <c r="M161" i="31"/>
  <c r="M163" i="31"/>
  <c r="M173" i="31"/>
  <c r="M175" i="31"/>
  <c r="M177" i="31"/>
  <c r="M179" i="31"/>
  <c r="M181" i="31"/>
  <c r="M183" i="31"/>
  <c r="M187" i="31"/>
  <c r="M193" i="31"/>
  <c r="M195" i="31"/>
  <c r="M197" i="31"/>
  <c r="M199" i="31"/>
  <c r="M201" i="31"/>
  <c r="M203" i="31"/>
  <c r="M213" i="31"/>
  <c r="M215" i="31"/>
  <c r="M217" i="31"/>
  <c r="M219" i="31"/>
  <c r="M221" i="31"/>
  <c r="M223" i="31"/>
  <c r="M227" i="31"/>
  <c r="M233" i="31"/>
  <c r="M235" i="31"/>
  <c r="M237" i="31"/>
  <c r="M239" i="31"/>
  <c r="M241" i="31"/>
  <c r="M243" i="31"/>
  <c r="M253" i="31"/>
  <c r="M255" i="31"/>
  <c r="M257" i="31"/>
  <c r="M259" i="31"/>
  <c r="M261" i="31"/>
  <c r="M263" i="31"/>
  <c r="M273" i="31"/>
  <c r="M275" i="31"/>
  <c r="M277" i="31"/>
  <c r="M279" i="31"/>
  <c r="M281" i="31"/>
  <c r="M283" i="31"/>
  <c r="M293" i="31"/>
  <c r="M295" i="31"/>
  <c r="M297" i="31"/>
  <c r="M299" i="31"/>
  <c r="M301" i="31"/>
  <c r="M303" i="31"/>
  <c r="M307" i="31"/>
  <c r="M313" i="31"/>
  <c r="M315" i="31"/>
  <c r="M317" i="31"/>
  <c r="M319" i="31"/>
  <c r="M321" i="31"/>
  <c r="M323" i="31"/>
  <c r="M333" i="31"/>
  <c r="M335" i="31"/>
  <c r="M337" i="31"/>
  <c r="M339" i="31"/>
  <c r="M341" i="31"/>
  <c r="M343" i="31"/>
  <c r="M347" i="31"/>
  <c r="M353" i="31"/>
  <c r="M355" i="31"/>
  <c r="M357" i="31"/>
  <c r="M359" i="31"/>
  <c r="M361" i="31"/>
  <c r="M363" i="31"/>
  <c r="M373" i="31"/>
  <c r="M375" i="31"/>
  <c r="M377" i="31"/>
  <c r="M379" i="31"/>
  <c r="M381" i="31"/>
  <c r="M383" i="31"/>
  <c r="M387" i="31"/>
  <c r="M393" i="31"/>
  <c r="M395" i="31"/>
  <c r="M397" i="31"/>
  <c r="M399" i="31"/>
  <c r="M401" i="31"/>
  <c r="M403" i="31"/>
  <c r="M413" i="31"/>
  <c r="M415" i="31"/>
  <c r="M417" i="31"/>
  <c r="M419" i="31"/>
  <c r="M421" i="31"/>
  <c r="M423" i="31"/>
  <c r="M427" i="31"/>
  <c r="M433" i="31"/>
  <c r="M435" i="31"/>
  <c r="M437" i="31"/>
  <c r="M439" i="31"/>
  <c r="M441" i="31"/>
  <c r="M443" i="31"/>
  <c r="M453" i="31"/>
  <c r="M455" i="31"/>
  <c r="M457" i="31"/>
  <c r="M459" i="31"/>
  <c r="M461" i="31"/>
  <c r="M463" i="31"/>
  <c r="M467" i="31"/>
  <c r="M473" i="31"/>
  <c r="M475" i="31"/>
  <c r="M477" i="31"/>
  <c r="M479" i="31"/>
  <c r="M481" i="31"/>
  <c r="M483" i="31"/>
  <c r="M493" i="31"/>
  <c r="M495" i="31"/>
  <c r="M497" i="31"/>
  <c r="M499" i="31"/>
  <c r="M501" i="31"/>
  <c r="M513" i="31"/>
  <c r="M515" i="31"/>
  <c r="M517" i="31"/>
  <c r="M519" i="31"/>
  <c r="M521" i="31"/>
  <c r="M523" i="31"/>
  <c r="M527" i="31"/>
  <c r="M533" i="31"/>
  <c r="M535" i="31"/>
  <c r="M537" i="31"/>
  <c r="M539" i="31"/>
  <c r="M541" i="31"/>
  <c r="M543" i="31"/>
  <c r="M553" i="31"/>
  <c r="M555" i="31"/>
  <c r="M557" i="31"/>
  <c r="M559" i="31"/>
  <c r="M561" i="31"/>
  <c r="M563" i="31"/>
  <c r="M567" i="31"/>
  <c r="M573" i="31"/>
  <c r="M575" i="31"/>
  <c r="M577" i="31"/>
  <c r="M579" i="31"/>
  <c r="M581" i="31"/>
  <c r="M593" i="31"/>
  <c r="M595" i="31"/>
  <c r="M597" i="31"/>
  <c r="M599" i="31"/>
  <c r="M601" i="31"/>
  <c r="M603" i="31"/>
  <c r="M607" i="31"/>
  <c r="M613" i="31"/>
  <c r="M615" i="31"/>
  <c r="M617" i="31"/>
  <c r="M619" i="31"/>
  <c r="M621" i="31"/>
  <c r="M633" i="31"/>
  <c r="M635" i="31"/>
  <c r="M637" i="31"/>
  <c r="M639" i="31"/>
  <c r="M641" i="31"/>
  <c r="M643" i="31"/>
  <c r="M647" i="31"/>
  <c r="M653" i="31"/>
  <c r="M655" i="31"/>
  <c r="M657" i="31"/>
  <c r="M659" i="31"/>
  <c r="M661" i="31"/>
  <c r="M673" i="31"/>
  <c r="M675" i="31"/>
  <c r="M677" i="31"/>
  <c r="M679" i="31"/>
  <c r="M681" i="31"/>
  <c r="M683" i="31"/>
  <c r="M687" i="31"/>
  <c r="M693" i="31"/>
  <c r="M695" i="31"/>
  <c r="M697" i="31"/>
  <c r="M699" i="31"/>
  <c r="M701" i="31"/>
  <c r="M703" i="31"/>
  <c r="M713" i="31"/>
  <c r="M715" i="31"/>
  <c r="M717" i="31"/>
  <c r="M719" i="31"/>
  <c r="M721" i="31"/>
  <c r="M723" i="31"/>
  <c r="M727" i="31"/>
  <c r="M733" i="31"/>
  <c r="M735" i="31"/>
  <c r="M737" i="31"/>
  <c r="M739" i="31"/>
  <c r="M741" i="31"/>
  <c r="M753" i="31"/>
  <c r="M755" i="31"/>
  <c r="M757" i="31"/>
  <c r="M759" i="31"/>
  <c r="M761" i="31"/>
  <c r="M763" i="31"/>
  <c r="M767" i="31"/>
  <c r="M773" i="31"/>
  <c r="M775" i="31"/>
  <c r="M777" i="31"/>
  <c r="M779" i="31"/>
  <c r="M781" i="31"/>
  <c r="M793" i="31"/>
  <c r="M795" i="31"/>
  <c r="M797" i="31"/>
  <c r="M799" i="31"/>
  <c r="M801" i="31"/>
  <c r="M803" i="31"/>
  <c r="M807" i="31"/>
  <c r="M813" i="31"/>
  <c r="M815" i="31"/>
  <c r="M817" i="31"/>
  <c r="M819" i="31"/>
  <c r="M821" i="31"/>
  <c r="M833" i="31"/>
  <c r="M835" i="31"/>
  <c r="M837" i="31"/>
  <c r="M839" i="31"/>
  <c r="M841" i="31"/>
  <c r="M843" i="31"/>
  <c r="M847" i="31"/>
  <c r="M853" i="31"/>
  <c r="M855" i="31"/>
  <c r="M857" i="31"/>
  <c r="M859" i="31"/>
  <c r="M861" i="31"/>
  <c r="M873" i="31"/>
  <c r="M875" i="31"/>
  <c r="M877" i="31"/>
  <c r="M879" i="31"/>
  <c r="M881" i="31"/>
  <c r="M883" i="31"/>
  <c r="M887" i="31"/>
  <c r="M893" i="31"/>
  <c r="M895" i="31"/>
  <c r="M897" i="31"/>
  <c r="M899" i="31"/>
  <c r="M901" i="31"/>
  <c r="M913" i="31"/>
  <c r="M915" i="31"/>
  <c r="M917" i="31"/>
  <c r="M919" i="31"/>
  <c r="M921" i="31"/>
  <c r="M923" i="31"/>
  <c r="M927" i="31"/>
  <c r="M933" i="31"/>
  <c r="M935" i="31"/>
  <c r="M937" i="31"/>
  <c r="M939" i="31"/>
  <c r="M941" i="31"/>
  <c r="M953" i="31"/>
  <c r="M955" i="31"/>
  <c r="M957" i="31"/>
  <c r="M959" i="31"/>
  <c r="M961" i="31"/>
  <c r="M963" i="31"/>
  <c r="M967" i="31"/>
  <c r="M973" i="31"/>
  <c r="M975" i="31"/>
  <c r="M977" i="31"/>
  <c r="M979" i="31"/>
  <c r="M981" i="31"/>
  <c r="M993" i="31"/>
  <c r="M995" i="31"/>
  <c r="M997" i="31"/>
  <c r="M999" i="31"/>
  <c r="M1001" i="31"/>
  <c r="M1003" i="31"/>
  <c r="M1007" i="31"/>
  <c r="M1013" i="31"/>
  <c r="M1015" i="31"/>
  <c r="M1017" i="31"/>
  <c r="M1019" i="31"/>
  <c r="M1021" i="31"/>
  <c r="M1033" i="31"/>
  <c r="M1035" i="31"/>
  <c r="M1037" i="31"/>
  <c r="M1039" i="31"/>
  <c r="M1041" i="31"/>
  <c r="M1043" i="31"/>
  <c r="M1047" i="31"/>
  <c r="M1053" i="31"/>
  <c r="M1055" i="31"/>
  <c r="M1057" i="31"/>
  <c r="M1059" i="31"/>
  <c r="M1061" i="31"/>
  <c r="M1073" i="31"/>
  <c r="M1075" i="31"/>
  <c r="M1077" i="31"/>
  <c r="M1079" i="31"/>
  <c r="M1081" i="31"/>
  <c r="M1083" i="31"/>
  <c r="M1087" i="31"/>
  <c r="M1093" i="31"/>
  <c r="M1095" i="31"/>
  <c r="M1097" i="31"/>
  <c r="M1099" i="31"/>
  <c r="M1101" i="31"/>
  <c r="M1113" i="31"/>
  <c r="M1115" i="31"/>
  <c r="M1117" i="31"/>
  <c r="M1119" i="31"/>
  <c r="M1121" i="31"/>
  <c r="M1123" i="31"/>
  <c r="M1127" i="31"/>
  <c r="M1133" i="31"/>
  <c r="M1135" i="31"/>
  <c r="M1137" i="31"/>
  <c r="M1139" i="31"/>
  <c r="M1141" i="31"/>
  <c r="M1153" i="31"/>
  <c r="M1155" i="31"/>
  <c r="M1157" i="31"/>
  <c r="M1159" i="31"/>
  <c r="M1161" i="31"/>
  <c r="M1163" i="31"/>
  <c r="M1167" i="31"/>
  <c r="M1173" i="31"/>
  <c r="M1175" i="31"/>
  <c r="M1177" i="31"/>
  <c r="M1179" i="31"/>
  <c r="M1181" i="31"/>
  <c r="M1193" i="31"/>
  <c r="M1195" i="31"/>
  <c r="M1197" i="31"/>
  <c r="M1199" i="31"/>
  <c r="M1201" i="31"/>
  <c r="M1203" i="31"/>
  <c r="M1207" i="31"/>
  <c r="M1213" i="31"/>
  <c r="M1215" i="31"/>
  <c r="M1217" i="31"/>
  <c r="M1219" i="31"/>
  <c r="M1221" i="31"/>
  <c r="M1233" i="31"/>
  <c r="M1235" i="31"/>
  <c r="M1237" i="31"/>
  <c r="M1239" i="31"/>
  <c r="M1241" i="31"/>
  <c r="M1243" i="31"/>
  <c r="M1247" i="31"/>
  <c r="M1253" i="31"/>
  <c r="M1255" i="31"/>
  <c r="M1257" i="31"/>
  <c r="M1259" i="31"/>
  <c r="M1261" i="31"/>
  <c r="M1273" i="31"/>
  <c r="M1275" i="31"/>
  <c r="M1277" i="31"/>
  <c r="M1279" i="31"/>
  <c r="M1281" i="31"/>
  <c r="M1283" i="31"/>
  <c r="M1287" i="31"/>
  <c r="M1293" i="31"/>
  <c r="M1295" i="31"/>
  <c r="M1297" i="31"/>
  <c r="M1299" i="31"/>
  <c r="M1301" i="31"/>
  <c r="M1313" i="31"/>
  <c r="M1315" i="31"/>
  <c r="M1317" i="31"/>
  <c r="M1319" i="31"/>
  <c r="M1321" i="31"/>
  <c r="M1323" i="31"/>
  <c r="M1327" i="31"/>
  <c r="M1333" i="31"/>
  <c r="M1335" i="31"/>
  <c r="M1337" i="31"/>
  <c r="M1339" i="31"/>
  <c r="M1341" i="31"/>
  <c r="M1353" i="31"/>
  <c r="M1355" i="31"/>
  <c r="M1357" i="31"/>
  <c r="M1359" i="31"/>
  <c r="M1361" i="31"/>
  <c r="M1363" i="31"/>
  <c r="M1367" i="31"/>
  <c r="M1373" i="31"/>
  <c r="M1375" i="31"/>
  <c r="M1377" i="31"/>
  <c r="M1379" i="31"/>
  <c r="M1381" i="31"/>
  <c r="M1393" i="31"/>
  <c r="M1395" i="31"/>
  <c r="M1397" i="31"/>
  <c r="M1399" i="31"/>
  <c r="M1401" i="31"/>
  <c r="M1403" i="31"/>
  <c r="M1407" i="31"/>
  <c r="M1413" i="31"/>
  <c r="M1415" i="31"/>
  <c r="M1417" i="31"/>
  <c r="M1419" i="31"/>
  <c r="M1421" i="31"/>
  <c r="M1433" i="31"/>
  <c r="M1435" i="31"/>
  <c r="M1437" i="31"/>
  <c r="M1439" i="31"/>
  <c r="M1441" i="31"/>
  <c r="M1443" i="31"/>
  <c r="M1447" i="31"/>
  <c r="M1453" i="31"/>
  <c r="M1455" i="31"/>
  <c r="M1457" i="31"/>
  <c r="M1459" i="31"/>
  <c r="M1461" i="31"/>
  <c r="M1473" i="31"/>
  <c r="M1475" i="31"/>
  <c r="M1477" i="31"/>
  <c r="M1479" i="31"/>
  <c r="M1481" i="31"/>
  <c r="E3" i="17"/>
  <c r="M2" i="31" s="1"/>
  <c r="E4" i="17"/>
  <c r="E5" i="17"/>
  <c r="M4" i="31" s="1"/>
  <c r="E6" i="17"/>
  <c r="M5" i="31" s="1"/>
  <c r="E7" i="17"/>
  <c r="M6" i="31" s="1"/>
  <c r="E8" i="17"/>
  <c r="M7" i="31" s="1"/>
  <c r="E9" i="17"/>
  <c r="M8" i="31" s="1"/>
  <c r="E10" i="17"/>
  <c r="M9" i="31" s="1"/>
  <c r="E11" i="17"/>
  <c r="M10" i="31" s="1"/>
  <c r="E12" i="17"/>
  <c r="M11" i="31" s="1"/>
  <c r="E13" i="17"/>
  <c r="E14" i="17"/>
  <c r="M12" i="31" s="1"/>
  <c r="E15" i="17"/>
  <c r="E16" i="17"/>
  <c r="M14" i="31" s="1"/>
  <c r="E17" i="17"/>
  <c r="E18" i="17"/>
  <c r="M16" i="31" s="1"/>
  <c r="E19" i="17"/>
  <c r="E20" i="17"/>
  <c r="M18" i="31" s="1"/>
  <c r="E21" i="17"/>
  <c r="E22" i="17"/>
  <c r="M20" i="31" s="1"/>
  <c r="E23" i="17"/>
  <c r="E24" i="17"/>
  <c r="E25" i="17"/>
  <c r="M22" i="31" s="1"/>
  <c r="E26" i="17"/>
  <c r="E27" i="17"/>
  <c r="M24" i="31" s="1"/>
  <c r="E28" i="17"/>
  <c r="M25" i="31" s="1"/>
  <c r="E29" i="17"/>
  <c r="M26" i="31" s="1"/>
  <c r="E30" i="17"/>
  <c r="E31" i="17"/>
  <c r="M28" i="31" s="1"/>
  <c r="E32" i="17"/>
  <c r="M29" i="31" s="1"/>
  <c r="E33" i="17"/>
  <c r="M30" i="31" s="1"/>
  <c r="E34" i="17"/>
  <c r="E35" i="17"/>
  <c r="E36" i="17"/>
  <c r="M32" i="31" s="1"/>
  <c r="E37" i="17"/>
  <c r="E38" i="17"/>
  <c r="M34" i="31" s="1"/>
  <c r="E39" i="17"/>
  <c r="E40" i="17"/>
  <c r="M36" i="31" s="1"/>
  <c r="E41" i="17"/>
  <c r="E42" i="17"/>
  <c r="M38" i="31" s="1"/>
  <c r="E43" i="17"/>
  <c r="E44" i="17"/>
  <c r="M40" i="31" s="1"/>
  <c r="E45" i="17"/>
  <c r="E46" i="17"/>
  <c r="E47" i="17"/>
  <c r="M42" i="31" s="1"/>
  <c r="E48" i="17"/>
  <c r="E49" i="17"/>
  <c r="M44" i="31" s="1"/>
  <c r="E50" i="17"/>
  <c r="M45" i="31" s="1"/>
  <c r="E51" i="17"/>
  <c r="M46" i="31" s="1"/>
  <c r="E52" i="17"/>
  <c r="M47" i="31" s="1"/>
  <c r="E53" i="17"/>
  <c r="M48" i="31" s="1"/>
  <c r="E54" i="17"/>
  <c r="M49" i="31" s="1"/>
  <c r="E55" i="17"/>
  <c r="M50" i="31" s="1"/>
  <c r="E56" i="17"/>
  <c r="M51" i="31" s="1"/>
  <c r="E57" i="17"/>
  <c r="E58" i="17"/>
  <c r="M52" i="31" s="1"/>
  <c r="E59" i="17"/>
  <c r="E60" i="17"/>
  <c r="M54" i="31" s="1"/>
  <c r="E61" i="17"/>
  <c r="E62" i="17"/>
  <c r="M56" i="31" s="1"/>
  <c r="E63" i="17"/>
  <c r="E64" i="17"/>
  <c r="M58" i="31" s="1"/>
  <c r="E65" i="17"/>
  <c r="E66" i="17"/>
  <c r="M60" i="31" s="1"/>
  <c r="E67" i="17"/>
  <c r="E68" i="17"/>
  <c r="E69" i="17"/>
  <c r="M62" i="31" s="1"/>
  <c r="E70" i="17"/>
  <c r="E71" i="17"/>
  <c r="M64" i="31" s="1"/>
  <c r="E72" i="17"/>
  <c r="M65" i="31" s="1"/>
  <c r="E73" i="17"/>
  <c r="M66" i="31" s="1"/>
  <c r="E74" i="17"/>
  <c r="E75" i="17"/>
  <c r="M68" i="31" s="1"/>
  <c r="E76" i="17"/>
  <c r="M69" i="31" s="1"/>
  <c r="E77" i="17"/>
  <c r="M70" i="31" s="1"/>
  <c r="E78" i="17"/>
  <c r="M71" i="31" s="1"/>
  <c r="E79" i="17"/>
  <c r="E80" i="17"/>
  <c r="M72" i="31" s="1"/>
  <c r="E81" i="17"/>
  <c r="E82" i="17"/>
  <c r="M74" i="31" s="1"/>
  <c r="E83" i="17"/>
  <c r="E84" i="17"/>
  <c r="M76" i="31" s="1"/>
  <c r="E85" i="17"/>
  <c r="E86" i="17"/>
  <c r="M78" i="31" s="1"/>
  <c r="E87" i="17"/>
  <c r="E88" i="17"/>
  <c r="M80" i="31" s="1"/>
  <c r="E89" i="17"/>
  <c r="E90" i="17"/>
  <c r="E91" i="17"/>
  <c r="M82" i="31" s="1"/>
  <c r="E92" i="17"/>
  <c r="E93" i="17"/>
  <c r="M84" i="31" s="1"/>
  <c r="E94" i="17"/>
  <c r="M85" i="31" s="1"/>
  <c r="E95" i="17"/>
  <c r="M86" i="31" s="1"/>
  <c r="E96" i="17"/>
  <c r="M87" i="31" s="1"/>
  <c r="E97" i="17"/>
  <c r="M88" i="31" s="1"/>
  <c r="E98" i="17"/>
  <c r="M89" i="31" s="1"/>
  <c r="E99" i="17"/>
  <c r="M90" i="31" s="1"/>
  <c r="E100" i="17"/>
  <c r="M91" i="31" s="1"/>
  <c r="E101" i="17"/>
  <c r="E102" i="17"/>
  <c r="M92" i="31" s="1"/>
  <c r="E103" i="17"/>
  <c r="E104" i="17"/>
  <c r="M94" i="31" s="1"/>
  <c r="E105" i="17"/>
  <c r="E106" i="17"/>
  <c r="M96" i="31" s="1"/>
  <c r="E107" i="17"/>
  <c r="E108" i="17"/>
  <c r="M98" i="31" s="1"/>
  <c r="E109" i="17"/>
  <c r="E110" i="17"/>
  <c r="M100" i="31" s="1"/>
  <c r="E111" i="17"/>
  <c r="E112" i="17"/>
  <c r="E113" i="17"/>
  <c r="M102" i="31" s="1"/>
  <c r="E114" i="17"/>
  <c r="E115" i="17"/>
  <c r="M104" i="31" s="1"/>
  <c r="E116" i="17"/>
  <c r="M105" i="31" s="1"/>
  <c r="E117" i="17"/>
  <c r="M106" i="31" s="1"/>
  <c r="E118" i="17"/>
  <c r="E119" i="17"/>
  <c r="M108" i="31" s="1"/>
  <c r="E120" i="17"/>
  <c r="M109" i="31" s="1"/>
  <c r="E121" i="17"/>
  <c r="M110" i="31" s="1"/>
  <c r="E122" i="17"/>
  <c r="M111" i="31" s="1"/>
  <c r="E123" i="17"/>
  <c r="E124" i="17"/>
  <c r="M112" i="31" s="1"/>
  <c r="E125" i="17"/>
  <c r="E126" i="17"/>
  <c r="M114" i="31" s="1"/>
  <c r="E127" i="17"/>
  <c r="E128" i="17"/>
  <c r="M116" i="31" s="1"/>
  <c r="E129" i="17"/>
  <c r="E130" i="17"/>
  <c r="M118" i="31" s="1"/>
  <c r="E131" i="17"/>
  <c r="E132" i="17"/>
  <c r="M120" i="31" s="1"/>
  <c r="E133" i="17"/>
  <c r="E134" i="17"/>
  <c r="E135" i="17"/>
  <c r="M122" i="31" s="1"/>
  <c r="E136" i="17"/>
  <c r="E137" i="17"/>
  <c r="M124" i="31" s="1"/>
  <c r="E138" i="17"/>
  <c r="M125" i="31" s="1"/>
  <c r="E139" i="17"/>
  <c r="M126" i="31" s="1"/>
  <c r="E140" i="17"/>
  <c r="M127" i="31" s="1"/>
  <c r="E141" i="17"/>
  <c r="M128" i="31" s="1"/>
  <c r="E142" i="17"/>
  <c r="M129" i="31" s="1"/>
  <c r="E143" i="17"/>
  <c r="M130" i="31" s="1"/>
  <c r="E144" i="17"/>
  <c r="M131" i="31" s="1"/>
  <c r="E145" i="17"/>
  <c r="E146" i="17"/>
  <c r="M132" i="31" s="1"/>
  <c r="E147" i="17"/>
  <c r="E148" i="17"/>
  <c r="M134" i="31" s="1"/>
  <c r="E149" i="17"/>
  <c r="E150" i="17"/>
  <c r="M136" i="31" s="1"/>
  <c r="E151" i="17"/>
  <c r="E152" i="17"/>
  <c r="M138" i="31" s="1"/>
  <c r="E153" i="17"/>
  <c r="E154" i="17"/>
  <c r="M140" i="31" s="1"/>
  <c r="E155" i="17"/>
  <c r="E156" i="17"/>
  <c r="E157" i="17"/>
  <c r="M142" i="31" s="1"/>
  <c r="E158" i="17"/>
  <c r="E159" i="17"/>
  <c r="M144" i="31" s="1"/>
  <c r="E160" i="17"/>
  <c r="M145" i="31" s="1"/>
  <c r="E161" i="17"/>
  <c r="M146" i="31" s="1"/>
  <c r="E162" i="17"/>
  <c r="E163" i="17"/>
  <c r="M148" i="31" s="1"/>
  <c r="E164" i="17"/>
  <c r="M149" i="31" s="1"/>
  <c r="E165" i="17"/>
  <c r="M150" i="31" s="1"/>
  <c r="E166" i="17"/>
  <c r="M151" i="31" s="1"/>
  <c r="E167" i="17"/>
  <c r="E168" i="17"/>
  <c r="M152" i="31" s="1"/>
  <c r="E169" i="17"/>
  <c r="E170" i="17"/>
  <c r="M154" i="31" s="1"/>
  <c r="E171" i="17"/>
  <c r="E172" i="17"/>
  <c r="M156" i="31" s="1"/>
  <c r="E173" i="17"/>
  <c r="E174" i="17"/>
  <c r="M158" i="31" s="1"/>
  <c r="E175" i="17"/>
  <c r="E176" i="17"/>
  <c r="M160" i="31" s="1"/>
  <c r="E177" i="17"/>
  <c r="E178" i="17"/>
  <c r="E179" i="17"/>
  <c r="M162" i="31" s="1"/>
  <c r="E180" i="17"/>
  <c r="E181" i="17"/>
  <c r="M164" i="31" s="1"/>
  <c r="E182" i="17"/>
  <c r="M165" i="31" s="1"/>
  <c r="E183" i="17"/>
  <c r="M166" i="31" s="1"/>
  <c r="E184" i="17"/>
  <c r="M167" i="31" s="1"/>
  <c r="E185" i="17"/>
  <c r="M168" i="31" s="1"/>
  <c r="E186" i="17"/>
  <c r="M169" i="31" s="1"/>
  <c r="E187" i="17"/>
  <c r="M170" i="31" s="1"/>
  <c r="E188" i="17"/>
  <c r="M171" i="31" s="1"/>
  <c r="E189" i="17"/>
  <c r="E190" i="17"/>
  <c r="M172" i="31" s="1"/>
  <c r="E191" i="17"/>
  <c r="E192" i="17"/>
  <c r="M174" i="31" s="1"/>
  <c r="E193" i="17"/>
  <c r="E194" i="17"/>
  <c r="M176" i="31" s="1"/>
  <c r="E195" i="17"/>
  <c r="E196" i="17"/>
  <c r="M178" i="31" s="1"/>
  <c r="E197" i="17"/>
  <c r="E198" i="17"/>
  <c r="M180" i="31" s="1"/>
  <c r="E199" i="17"/>
  <c r="E200" i="17"/>
  <c r="E201" i="17"/>
  <c r="M182" i="31" s="1"/>
  <c r="E202" i="17"/>
  <c r="E203" i="17"/>
  <c r="M184" i="31" s="1"/>
  <c r="E204" i="17"/>
  <c r="M185" i="31" s="1"/>
  <c r="E205" i="17"/>
  <c r="M186" i="31" s="1"/>
  <c r="E206" i="17"/>
  <c r="E207" i="17"/>
  <c r="M188" i="31" s="1"/>
  <c r="E208" i="17"/>
  <c r="M189" i="31" s="1"/>
  <c r="E209" i="17"/>
  <c r="M190" i="31" s="1"/>
  <c r="E210" i="17"/>
  <c r="M191" i="31" s="1"/>
  <c r="E211" i="17"/>
  <c r="E212" i="17"/>
  <c r="M192" i="31" s="1"/>
  <c r="E213" i="17"/>
  <c r="E214" i="17"/>
  <c r="M194" i="31" s="1"/>
  <c r="E215" i="17"/>
  <c r="E216" i="17"/>
  <c r="M196" i="31" s="1"/>
  <c r="E217" i="17"/>
  <c r="E218" i="17"/>
  <c r="M198" i="31" s="1"/>
  <c r="E219" i="17"/>
  <c r="E220" i="17"/>
  <c r="M200" i="31" s="1"/>
  <c r="E221" i="17"/>
  <c r="E222" i="17"/>
  <c r="E223" i="17"/>
  <c r="M202" i="31" s="1"/>
  <c r="E224" i="17"/>
  <c r="E225" i="17"/>
  <c r="M204" i="31" s="1"/>
  <c r="E226" i="17"/>
  <c r="M205" i="31" s="1"/>
  <c r="E227" i="17"/>
  <c r="M206" i="31" s="1"/>
  <c r="E228" i="17"/>
  <c r="M207" i="31" s="1"/>
  <c r="E229" i="17"/>
  <c r="M208" i="31" s="1"/>
  <c r="E230" i="17"/>
  <c r="M209" i="31" s="1"/>
  <c r="E231" i="17"/>
  <c r="M210" i="31" s="1"/>
  <c r="E232" i="17"/>
  <c r="M211" i="31" s="1"/>
  <c r="E233" i="17"/>
  <c r="E234" i="17"/>
  <c r="M212" i="31" s="1"/>
  <c r="E235" i="17"/>
  <c r="E236" i="17"/>
  <c r="M214" i="31" s="1"/>
  <c r="E237" i="17"/>
  <c r="E238" i="17"/>
  <c r="M216" i="31" s="1"/>
  <c r="E239" i="17"/>
  <c r="E240" i="17"/>
  <c r="M218" i="31" s="1"/>
  <c r="E241" i="17"/>
  <c r="E242" i="17"/>
  <c r="M220" i="31" s="1"/>
  <c r="E243" i="17"/>
  <c r="E244" i="17"/>
  <c r="E245" i="17"/>
  <c r="M222" i="31" s="1"/>
  <c r="E246" i="17"/>
  <c r="E247" i="17"/>
  <c r="M224" i="31" s="1"/>
  <c r="E248" i="17"/>
  <c r="M225" i="31" s="1"/>
  <c r="E249" i="17"/>
  <c r="M226" i="31" s="1"/>
  <c r="E250" i="17"/>
  <c r="E251" i="17"/>
  <c r="M228" i="31" s="1"/>
  <c r="E252" i="17"/>
  <c r="M229" i="31" s="1"/>
  <c r="E253" i="17"/>
  <c r="M230" i="31" s="1"/>
  <c r="E254" i="17"/>
  <c r="M231" i="31" s="1"/>
  <c r="E255" i="17"/>
  <c r="E256" i="17"/>
  <c r="M232" i="31" s="1"/>
  <c r="E257" i="17"/>
  <c r="E258" i="17"/>
  <c r="M234" i="31" s="1"/>
  <c r="E259" i="17"/>
  <c r="E260" i="17"/>
  <c r="M236" i="31" s="1"/>
  <c r="E261" i="17"/>
  <c r="E262" i="17"/>
  <c r="M238" i="31" s="1"/>
  <c r="E263" i="17"/>
  <c r="E264" i="17"/>
  <c r="M240" i="31" s="1"/>
  <c r="E265" i="17"/>
  <c r="E266" i="17"/>
  <c r="E267" i="17"/>
  <c r="M242" i="31" s="1"/>
  <c r="E268" i="17"/>
  <c r="E269" i="17"/>
  <c r="M244" i="31" s="1"/>
  <c r="E270" i="17"/>
  <c r="M245" i="31" s="1"/>
  <c r="E271" i="17"/>
  <c r="M246" i="31" s="1"/>
  <c r="E272" i="17"/>
  <c r="M247" i="31" s="1"/>
  <c r="E273" i="17"/>
  <c r="M248" i="31" s="1"/>
  <c r="E274" i="17"/>
  <c r="M249" i="31" s="1"/>
  <c r="E275" i="17"/>
  <c r="M250" i="31" s="1"/>
  <c r="E276" i="17"/>
  <c r="M251" i="31" s="1"/>
  <c r="E277" i="17"/>
  <c r="E278" i="17"/>
  <c r="M252" i="31" s="1"/>
  <c r="E279" i="17"/>
  <c r="E280" i="17"/>
  <c r="M254" i="31" s="1"/>
  <c r="E281" i="17"/>
  <c r="E282" i="17"/>
  <c r="M256" i="31" s="1"/>
  <c r="E283" i="17"/>
  <c r="E284" i="17"/>
  <c r="M258" i="31" s="1"/>
  <c r="E285" i="17"/>
  <c r="E286" i="17"/>
  <c r="M260" i="31" s="1"/>
  <c r="E287" i="17"/>
  <c r="E288" i="17"/>
  <c r="E289" i="17"/>
  <c r="M262" i="31" s="1"/>
  <c r="E290" i="17"/>
  <c r="E291" i="17"/>
  <c r="M264" i="31" s="1"/>
  <c r="E292" i="17"/>
  <c r="M265" i="31" s="1"/>
  <c r="E293" i="17"/>
  <c r="M266" i="31" s="1"/>
  <c r="E295" i="17"/>
  <c r="M268" i="31" s="1"/>
  <c r="E296" i="17"/>
  <c r="M269" i="31" s="1"/>
  <c r="E297" i="17"/>
  <c r="M270" i="31" s="1"/>
  <c r="E298" i="17"/>
  <c r="M271" i="31" s="1"/>
  <c r="E299" i="17"/>
  <c r="E300" i="17"/>
  <c r="M272" i="31" s="1"/>
  <c r="E301" i="17"/>
  <c r="E302" i="17"/>
  <c r="M274" i="31" s="1"/>
  <c r="E303" i="17"/>
  <c r="E304" i="17"/>
  <c r="M276" i="31" s="1"/>
  <c r="E305" i="17"/>
  <c r="E306" i="17"/>
  <c r="M278" i="31" s="1"/>
  <c r="E307" i="17"/>
  <c r="E308" i="17"/>
  <c r="M280" i="31" s="1"/>
  <c r="E309" i="17"/>
  <c r="E310" i="17"/>
  <c r="E311" i="17"/>
  <c r="M282" i="31" s="1"/>
  <c r="E312" i="17"/>
  <c r="E313" i="17"/>
  <c r="M284" i="31" s="1"/>
  <c r="E314" i="17"/>
  <c r="M285" i="31" s="1"/>
  <c r="E315" i="17"/>
  <c r="M286" i="31" s="1"/>
  <c r="E316" i="17"/>
  <c r="M287" i="31" s="1"/>
  <c r="E317" i="17"/>
  <c r="M288" i="31" s="1"/>
  <c r="E318" i="17"/>
  <c r="M289" i="31" s="1"/>
  <c r="E319" i="17"/>
  <c r="M290" i="31" s="1"/>
  <c r="E320" i="17"/>
  <c r="M291" i="31" s="1"/>
  <c r="E321" i="17"/>
  <c r="E322" i="17"/>
  <c r="M292" i="31" s="1"/>
  <c r="E323" i="17"/>
  <c r="E324" i="17"/>
  <c r="M294" i="31" s="1"/>
  <c r="E325" i="17"/>
  <c r="E326" i="17"/>
  <c r="M296" i="31" s="1"/>
  <c r="E327" i="17"/>
  <c r="E328" i="17"/>
  <c r="M298" i="31" s="1"/>
  <c r="E329" i="17"/>
  <c r="E330" i="17"/>
  <c r="M300" i="31" s="1"/>
  <c r="E331" i="17"/>
  <c r="E332" i="17"/>
  <c r="E333" i="17"/>
  <c r="M302" i="31" s="1"/>
  <c r="E334" i="17"/>
  <c r="E335" i="17"/>
  <c r="M304" i="31" s="1"/>
  <c r="E336" i="17"/>
  <c r="M305" i="31" s="1"/>
  <c r="E337" i="17"/>
  <c r="M306" i="31" s="1"/>
  <c r="E338" i="17"/>
  <c r="E339" i="17"/>
  <c r="M308" i="31" s="1"/>
  <c r="E340" i="17"/>
  <c r="M309" i="31" s="1"/>
  <c r="E341" i="17"/>
  <c r="M310" i="31" s="1"/>
  <c r="E342" i="17"/>
  <c r="M311" i="31" s="1"/>
  <c r="E343" i="17"/>
  <c r="E344" i="17"/>
  <c r="M312" i="31" s="1"/>
  <c r="E345" i="17"/>
  <c r="E346" i="17"/>
  <c r="M314" i="31" s="1"/>
  <c r="E347" i="17"/>
  <c r="E348" i="17"/>
  <c r="M316" i="31" s="1"/>
  <c r="E349" i="17"/>
  <c r="E350" i="17"/>
  <c r="M318" i="31" s="1"/>
  <c r="E351" i="17"/>
  <c r="E352" i="17"/>
  <c r="M320" i="31" s="1"/>
  <c r="E353" i="17"/>
  <c r="E354" i="17"/>
  <c r="E355" i="17"/>
  <c r="M322" i="31" s="1"/>
  <c r="E356" i="17"/>
  <c r="E357" i="17"/>
  <c r="M324" i="31" s="1"/>
  <c r="E358" i="17"/>
  <c r="M325" i="31" s="1"/>
  <c r="E359" i="17"/>
  <c r="M326" i="31" s="1"/>
  <c r="E360" i="17"/>
  <c r="M327" i="31" s="1"/>
  <c r="E361" i="17"/>
  <c r="M328" i="31" s="1"/>
  <c r="E362" i="17"/>
  <c r="M329" i="31" s="1"/>
  <c r="E363" i="17"/>
  <c r="M330" i="31" s="1"/>
  <c r="E364" i="17"/>
  <c r="M331" i="31" s="1"/>
  <c r="E365" i="17"/>
  <c r="E366" i="17"/>
  <c r="M332" i="31" s="1"/>
  <c r="E367" i="17"/>
  <c r="E368" i="17"/>
  <c r="M334" i="31" s="1"/>
  <c r="E369" i="17"/>
  <c r="E370" i="17"/>
  <c r="M336" i="31" s="1"/>
  <c r="E371" i="17"/>
  <c r="E372" i="17"/>
  <c r="M338" i="31" s="1"/>
  <c r="E373" i="17"/>
  <c r="E374" i="17"/>
  <c r="M340" i="31" s="1"/>
  <c r="E375" i="17"/>
  <c r="E376" i="17"/>
  <c r="E377" i="17"/>
  <c r="M342" i="31" s="1"/>
  <c r="E378" i="17"/>
  <c r="E379" i="17"/>
  <c r="M344" i="31" s="1"/>
  <c r="E380" i="17"/>
  <c r="M345" i="31" s="1"/>
  <c r="E381" i="17"/>
  <c r="M346" i="31" s="1"/>
  <c r="E382" i="17"/>
  <c r="E383" i="17"/>
  <c r="M348" i="31" s="1"/>
  <c r="E384" i="17"/>
  <c r="M349" i="31" s="1"/>
  <c r="E385" i="17"/>
  <c r="M350" i="31" s="1"/>
  <c r="E386" i="17"/>
  <c r="M351" i="31" s="1"/>
  <c r="E387" i="17"/>
  <c r="E388" i="17"/>
  <c r="M352" i="31" s="1"/>
  <c r="E389" i="17"/>
  <c r="E390" i="17"/>
  <c r="M354" i="31" s="1"/>
  <c r="E391" i="17"/>
  <c r="E392" i="17"/>
  <c r="M356" i="31" s="1"/>
  <c r="E393" i="17"/>
  <c r="E394" i="17"/>
  <c r="M358" i="31" s="1"/>
  <c r="E395" i="17"/>
  <c r="E396" i="17"/>
  <c r="M360" i="31" s="1"/>
  <c r="E397" i="17"/>
  <c r="E398" i="17"/>
  <c r="E399" i="17"/>
  <c r="M362" i="31" s="1"/>
  <c r="E400" i="17"/>
  <c r="E401" i="17"/>
  <c r="M364" i="31" s="1"/>
  <c r="E402" i="17"/>
  <c r="M365" i="31" s="1"/>
  <c r="E403" i="17"/>
  <c r="M366" i="31" s="1"/>
  <c r="E404" i="17"/>
  <c r="M367" i="31" s="1"/>
  <c r="E405" i="17"/>
  <c r="M368" i="31" s="1"/>
  <c r="E406" i="17"/>
  <c r="M369" i="31" s="1"/>
  <c r="E407" i="17"/>
  <c r="M370" i="31" s="1"/>
  <c r="E408" i="17"/>
  <c r="M371" i="31" s="1"/>
  <c r="E409" i="17"/>
  <c r="E410" i="17"/>
  <c r="M372" i="31" s="1"/>
  <c r="E411" i="17"/>
  <c r="E412" i="17"/>
  <c r="M374" i="31" s="1"/>
  <c r="E413" i="17"/>
  <c r="E414" i="17"/>
  <c r="M376" i="31" s="1"/>
  <c r="E415" i="17"/>
  <c r="E416" i="17"/>
  <c r="M378" i="31" s="1"/>
  <c r="E417" i="17"/>
  <c r="E418" i="17"/>
  <c r="M380" i="31" s="1"/>
  <c r="E419" i="17"/>
  <c r="E420" i="17"/>
  <c r="E421" i="17"/>
  <c r="M382" i="31" s="1"/>
  <c r="E422" i="17"/>
  <c r="E423" i="17"/>
  <c r="M384" i="31" s="1"/>
  <c r="E424" i="17"/>
  <c r="M385" i="31" s="1"/>
  <c r="E425" i="17"/>
  <c r="M386" i="31" s="1"/>
  <c r="E426" i="17"/>
  <c r="E427" i="17"/>
  <c r="M388" i="31" s="1"/>
  <c r="E428" i="17"/>
  <c r="M389" i="31" s="1"/>
  <c r="E429" i="17"/>
  <c r="M390" i="31" s="1"/>
  <c r="E430" i="17"/>
  <c r="M391" i="31" s="1"/>
  <c r="E431" i="17"/>
  <c r="E432" i="17"/>
  <c r="M392" i="31" s="1"/>
  <c r="E433" i="17"/>
  <c r="E434" i="17"/>
  <c r="M394" i="31" s="1"/>
  <c r="E435" i="17"/>
  <c r="E436" i="17"/>
  <c r="M396" i="31" s="1"/>
  <c r="E437" i="17"/>
  <c r="E438" i="17"/>
  <c r="M398" i="31" s="1"/>
  <c r="E439" i="17"/>
  <c r="E440" i="17"/>
  <c r="M400" i="31" s="1"/>
  <c r="E441" i="17"/>
  <c r="E442" i="17"/>
  <c r="E443" i="17"/>
  <c r="M402" i="31" s="1"/>
  <c r="E444" i="17"/>
  <c r="E445" i="17"/>
  <c r="M404" i="31" s="1"/>
  <c r="E446" i="17"/>
  <c r="M405" i="31" s="1"/>
  <c r="E447" i="17"/>
  <c r="M406" i="31" s="1"/>
  <c r="E448" i="17"/>
  <c r="M407" i="31" s="1"/>
  <c r="E449" i="17"/>
  <c r="M408" i="31" s="1"/>
  <c r="E450" i="17"/>
  <c r="M409" i="31" s="1"/>
  <c r="E451" i="17"/>
  <c r="M410" i="31" s="1"/>
  <c r="E452" i="17"/>
  <c r="M411" i="31" s="1"/>
  <c r="E453" i="17"/>
  <c r="E454" i="17"/>
  <c r="M412" i="31" s="1"/>
  <c r="E455" i="17"/>
  <c r="E456" i="17"/>
  <c r="M414" i="31" s="1"/>
  <c r="E457" i="17"/>
  <c r="E458" i="17"/>
  <c r="M416" i="31" s="1"/>
  <c r="E459" i="17"/>
  <c r="E460" i="17"/>
  <c r="M418" i="31" s="1"/>
  <c r="E461" i="17"/>
  <c r="E462" i="17"/>
  <c r="M420" i="31" s="1"/>
  <c r="E463" i="17"/>
  <c r="E464" i="17"/>
  <c r="E465" i="17"/>
  <c r="M422" i="31" s="1"/>
  <c r="E466" i="17"/>
  <c r="E467" i="17"/>
  <c r="M424" i="31" s="1"/>
  <c r="E468" i="17"/>
  <c r="M425" i="31" s="1"/>
  <c r="E469" i="17"/>
  <c r="M426" i="31" s="1"/>
  <c r="E470" i="17"/>
  <c r="E471" i="17"/>
  <c r="M428" i="31" s="1"/>
  <c r="E472" i="17"/>
  <c r="M429" i="31" s="1"/>
  <c r="E473" i="17"/>
  <c r="M430" i="31" s="1"/>
  <c r="E474" i="17"/>
  <c r="M431" i="31" s="1"/>
  <c r="E475" i="17"/>
  <c r="E476" i="17"/>
  <c r="M432" i="31" s="1"/>
  <c r="E477" i="17"/>
  <c r="E478" i="17"/>
  <c r="M434" i="31" s="1"/>
  <c r="E479" i="17"/>
  <c r="E480" i="17"/>
  <c r="M436" i="31" s="1"/>
  <c r="E481" i="17"/>
  <c r="E482" i="17"/>
  <c r="M438" i="31" s="1"/>
  <c r="E483" i="17"/>
  <c r="E484" i="17"/>
  <c r="M440" i="31" s="1"/>
  <c r="E485" i="17"/>
  <c r="E486" i="17"/>
  <c r="E487" i="17"/>
  <c r="M442" i="31" s="1"/>
  <c r="E488" i="17"/>
  <c r="E489" i="17"/>
  <c r="M444" i="31" s="1"/>
  <c r="E490" i="17"/>
  <c r="M445" i="31" s="1"/>
  <c r="E491" i="17"/>
  <c r="M446" i="31" s="1"/>
  <c r="E492" i="17"/>
  <c r="M447" i="31" s="1"/>
  <c r="E493" i="17"/>
  <c r="M448" i="31" s="1"/>
  <c r="E494" i="17"/>
  <c r="M449" i="31" s="1"/>
  <c r="E495" i="17"/>
  <c r="M450" i="31" s="1"/>
  <c r="E496" i="17"/>
  <c r="M451" i="31" s="1"/>
  <c r="E497" i="17"/>
  <c r="E498" i="17"/>
  <c r="M452" i="31" s="1"/>
  <c r="E499" i="17"/>
  <c r="E500" i="17"/>
  <c r="M454" i="31" s="1"/>
  <c r="E501" i="17"/>
  <c r="E502" i="17"/>
  <c r="M456" i="31" s="1"/>
  <c r="E503" i="17"/>
  <c r="E504" i="17"/>
  <c r="M458" i="31" s="1"/>
  <c r="E505" i="17"/>
  <c r="E506" i="17"/>
  <c r="M460" i="31" s="1"/>
  <c r="E507" i="17"/>
  <c r="E508" i="17"/>
  <c r="E509" i="17"/>
  <c r="M462" i="31" s="1"/>
  <c r="E510" i="17"/>
  <c r="E511" i="17"/>
  <c r="M464" i="31" s="1"/>
  <c r="E512" i="17"/>
  <c r="M465" i="31" s="1"/>
  <c r="E513" i="17"/>
  <c r="M466" i="31" s="1"/>
  <c r="E514" i="17"/>
  <c r="E515" i="17"/>
  <c r="M468" i="31" s="1"/>
  <c r="E516" i="17"/>
  <c r="M469" i="31" s="1"/>
  <c r="E517" i="17"/>
  <c r="M470" i="31" s="1"/>
  <c r="E518" i="17"/>
  <c r="M471" i="31" s="1"/>
  <c r="E519" i="17"/>
  <c r="E520" i="17"/>
  <c r="M472" i="31" s="1"/>
  <c r="E521" i="17"/>
  <c r="E522" i="17"/>
  <c r="M474" i="31" s="1"/>
  <c r="E523" i="17"/>
  <c r="E524" i="17"/>
  <c r="M476" i="31" s="1"/>
  <c r="E525" i="17"/>
  <c r="E526" i="17"/>
  <c r="M478" i="31" s="1"/>
  <c r="E527" i="17"/>
  <c r="E528" i="17"/>
  <c r="M480" i="31" s="1"/>
  <c r="E529" i="17"/>
  <c r="E530" i="17"/>
  <c r="E531" i="17"/>
  <c r="M482" i="31" s="1"/>
  <c r="E532" i="17"/>
  <c r="E533" i="17"/>
  <c r="M484" i="31" s="1"/>
  <c r="E534" i="17"/>
  <c r="M485" i="31" s="1"/>
  <c r="E535" i="17"/>
  <c r="M486" i="31" s="1"/>
  <c r="E536" i="17"/>
  <c r="M487" i="31" s="1"/>
  <c r="E537" i="17"/>
  <c r="M488" i="31" s="1"/>
  <c r="E538" i="17"/>
  <c r="M489" i="31" s="1"/>
  <c r="E539" i="17"/>
  <c r="M490" i="31" s="1"/>
  <c r="E540" i="17"/>
  <c r="M491" i="31" s="1"/>
  <c r="E541" i="17"/>
  <c r="E542" i="17"/>
  <c r="M492" i="31" s="1"/>
  <c r="E543" i="17"/>
  <c r="E544" i="17"/>
  <c r="M494" i="31" s="1"/>
  <c r="E545" i="17"/>
  <c r="E546" i="17"/>
  <c r="M496" i="31" s="1"/>
  <c r="E547" i="17"/>
  <c r="E548" i="17"/>
  <c r="M498" i="31" s="1"/>
  <c r="E549" i="17"/>
  <c r="E550" i="17"/>
  <c r="M500" i="31" s="1"/>
  <c r="E551" i="17"/>
  <c r="E558" i="17"/>
  <c r="M507" i="31" s="1"/>
  <c r="E559" i="17"/>
  <c r="M508" i="31" s="1"/>
  <c r="E560" i="17"/>
  <c r="M509" i="31" s="1"/>
  <c r="E561" i="17"/>
  <c r="M510" i="31" s="1"/>
  <c r="E562" i="17"/>
  <c r="M511" i="31" s="1"/>
  <c r="E563" i="17"/>
  <c r="E564" i="17"/>
  <c r="M512" i="31" s="1"/>
  <c r="E565" i="17"/>
  <c r="E566" i="17"/>
  <c r="M514" i="31" s="1"/>
  <c r="E567" i="17"/>
  <c r="E568" i="17"/>
  <c r="M516" i="31" s="1"/>
  <c r="E569" i="17"/>
  <c r="E570" i="17"/>
  <c r="M518" i="31" s="1"/>
  <c r="E571" i="17"/>
  <c r="E572" i="17"/>
  <c r="M520" i="31" s="1"/>
  <c r="E573" i="17"/>
  <c r="E574" i="17"/>
  <c r="E575" i="17"/>
  <c r="M522" i="31" s="1"/>
  <c r="E576" i="17"/>
  <c r="E577" i="17"/>
  <c r="M524" i="31" s="1"/>
  <c r="E578" i="17"/>
  <c r="M525" i="31" s="1"/>
  <c r="E579" i="17"/>
  <c r="M526" i="31" s="1"/>
  <c r="E580" i="17"/>
  <c r="E581" i="17"/>
  <c r="M528" i="31" s="1"/>
  <c r="E582" i="17"/>
  <c r="M529" i="31" s="1"/>
  <c r="E583" i="17"/>
  <c r="M530" i="31" s="1"/>
  <c r="E584" i="17"/>
  <c r="M531" i="31" s="1"/>
  <c r="E585" i="17"/>
  <c r="E586" i="17"/>
  <c r="M532" i="31" s="1"/>
  <c r="E587" i="17"/>
  <c r="E588" i="17"/>
  <c r="M534" i="31" s="1"/>
  <c r="E589" i="17"/>
  <c r="E590" i="17"/>
  <c r="M536" i="31" s="1"/>
  <c r="E591" i="17"/>
  <c r="E592" i="17"/>
  <c r="M538" i="31" s="1"/>
  <c r="E593" i="17"/>
  <c r="E594" i="17"/>
  <c r="M540" i="31" s="1"/>
  <c r="E595" i="17"/>
  <c r="E596" i="17"/>
  <c r="E597" i="17"/>
  <c r="M542" i="31" s="1"/>
  <c r="E598" i="17"/>
  <c r="E599" i="17"/>
  <c r="M544" i="31" s="1"/>
  <c r="E600" i="17"/>
  <c r="M545" i="31" s="1"/>
  <c r="E601" i="17"/>
  <c r="M546" i="31" s="1"/>
  <c r="E602" i="17"/>
  <c r="M547" i="31" s="1"/>
  <c r="E603" i="17"/>
  <c r="M548" i="31" s="1"/>
  <c r="E604" i="17"/>
  <c r="M549" i="31" s="1"/>
  <c r="E605" i="17"/>
  <c r="M550" i="31" s="1"/>
  <c r="E606" i="17"/>
  <c r="M551" i="31" s="1"/>
  <c r="E607" i="17"/>
  <c r="E608" i="17"/>
  <c r="M552" i="31" s="1"/>
  <c r="E609" i="17"/>
  <c r="E610" i="17"/>
  <c r="M554" i="31" s="1"/>
  <c r="E611" i="17"/>
  <c r="E612" i="17"/>
  <c r="M556" i="31" s="1"/>
  <c r="E613" i="17"/>
  <c r="E614" i="17"/>
  <c r="M558" i="31" s="1"/>
  <c r="E615" i="17"/>
  <c r="E616" i="17"/>
  <c r="M560" i="31" s="1"/>
  <c r="E617" i="17"/>
  <c r="E618" i="17"/>
  <c r="E619" i="17"/>
  <c r="M562" i="31" s="1"/>
  <c r="E620" i="17"/>
  <c r="E621" i="17"/>
  <c r="M564" i="31" s="1"/>
  <c r="E622" i="17"/>
  <c r="M565" i="31" s="1"/>
  <c r="E623" i="17"/>
  <c r="M566" i="31" s="1"/>
  <c r="E624" i="17"/>
  <c r="E625" i="17"/>
  <c r="M568" i="31" s="1"/>
  <c r="E626" i="17"/>
  <c r="M569" i="31" s="1"/>
  <c r="E627" i="17"/>
  <c r="M570" i="31" s="1"/>
  <c r="E628" i="17"/>
  <c r="M571" i="31" s="1"/>
  <c r="E629" i="17"/>
  <c r="E630" i="17"/>
  <c r="M572" i="31" s="1"/>
  <c r="E631" i="17"/>
  <c r="E632" i="17"/>
  <c r="M574" i="31" s="1"/>
  <c r="E633" i="17"/>
  <c r="E634" i="17"/>
  <c r="M576" i="31" s="1"/>
  <c r="E635" i="17"/>
  <c r="E636" i="17"/>
  <c r="M578" i="31" s="1"/>
  <c r="E637" i="17"/>
  <c r="E638" i="17"/>
  <c r="M580" i="31" s="1"/>
  <c r="E639" i="17"/>
  <c r="E640" i="17"/>
  <c r="E641" i="17"/>
  <c r="M582" i="31" s="1"/>
  <c r="E642" i="17"/>
  <c r="M583" i="31" s="1"/>
  <c r="E643" i="17"/>
  <c r="M584" i="31" s="1"/>
  <c r="E644" i="17"/>
  <c r="M585" i="31" s="1"/>
  <c r="E645" i="17"/>
  <c r="M586" i="31" s="1"/>
  <c r="E646" i="17"/>
  <c r="M587" i="31" s="1"/>
  <c r="E647" i="17"/>
  <c r="M588" i="31" s="1"/>
  <c r="E648" i="17"/>
  <c r="M589" i="31" s="1"/>
  <c r="E649" i="17"/>
  <c r="M590" i="31" s="1"/>
  <c r="E650" i="17"/>
  <c r="M591" i="31" s="1"/>
  <c r="E651" i="17"/>
  <c r="E652" i="17"/>
  <c r="M592" i="31" s="1"/>
  <c r="E653" i="17"/>
  <c r="E654" i="17"/>
  <c r="M594" i="31" s="1"/>
  <c r="E655" i="17"/>
  <c r="E656" i="17"/>
  <c r="M596" i="31" s="1"/>
  <c r="E657" i="17"/>
  <c r="E658" i="17"/>
  <c r="M598" i="31" s="1"/>
  <c r="E659" i="17"/>
  <c r="E660" i="17"/>
  <c r="M600" i="31" s="1"/>
  <c r="E661" i="17"/>
  <c r="E662" i="17"/>
  <c r="E663" i="17"/>
  <c r="M602" i="31" s="1"/>
  <c r="E664" i="17"/>
  <c r="E665" i="17"/>
  <c r="M604" i="31" s="1"/>
  <c r="E666" i="17"/>
  <c r="M605" i="31" s="1"/>
  <c r="E667" i="17"/>
  <c r="M606" i="31" s="1"/>
  <c r="E668" i="17"/>
  <c r="E669" i="17"/>
  <c r="M608" i="31" s="1"/>
  <c r="E670" i="17"/>
  <c r="M609" i="31" s="1"/>
  <c r="E671" i="17"/>
  <c r="M610" i="31" s="1"/>
  <c r="E672" i="17"/>
  <c r="M611" i="31" s="1"/>
  <c r="E673" i="17"/>
  <c r="E674" i="17"/>
  <c r="M612" i="31" s="1"/>
  <c r="E675" i="17"/>
  <c r="E676" i="17"/>
  <c r="M614" i="31" s="1"/>
  <c r="E677" i="17"/>
  <c r="E678" i="17"/>
  <c r="M616" i="31" s="1"/>
  <c r="E679" i="17"/>
  <c r="E680" i="17"/>
  <c r="M618" i="31" s="1"/>
  <c r="E681" i="17"/>
  <c r="E682" i="17"/>
  <c r="M620" i="31" s="1"/>
  <c r="E683" i="17"/>
  <c r="E684" i="17"/>
  <c r="E685" i="17"/>
  <c r="M622" i="31" s="1"/>
  <c r="E686" i="17"/>
  <c r="M623" i="31" s="1"/>
  <c r="E687" i="17"/>
  <c r="M624" i="31" s="1"/>
  <c r="E688" i="17"/>
  <c r="M625" i="31" s="1"/>
  <c r="E689" i="17"/>
  <c r="M626" i="31" s="1"/>
  <c r="E690" i="17"/>
  <c r="M627" i="31" s="1"/>
  <c r="E691" i="17"/>
  <c r="M628" i="31" s="1"/>
  <c r="E692" i="17"/>
  <c r="M629" i="31" s="1"/>
  <c r="E693" i="17"/>
  <c r="M630" i="31" s="1"/>
  <c r="E694" i="17"/>
  <c r="M631" i="31" s="1"/>
  <c r="E695" i="17"/>
  <c r="E696" i="17"/>
  <c r="M632" i="31" s="1"/>
  <c r="E697" i="17"/>
  <c r="E698" i="17"/>
  <c r="M634" i="31" s="1"/>
  <c r="E699" i="17"/>
  <c r="E700" i="17"/>
  <c r="M636" i="31" s="1"/>
  <c r="E701" i="17"/>
  <c r="E702" i="17"/>
  <c r="M638" i="31" s="1"/>
  <c r="E703" i="17"/>
  <c r="E704" i="17"/>
  <c r="M640" i="31" s="1"/>
  <c r="E705" i="17"/>
  <c r="E706" i="17"/>
  <c r="E707" i="17"/>
  <c r="M642" i="31" s="1"/>
  <c r="E708" i="17"/>
  <c r="E709" i="17"/>
  <c r="M644" i="31" s="1"/>
  <c r="E710" i="17"/>
  <c r="M645" i="31" s="1"/>
  <c r="E711" i="17"/>
  <c r="M646" i="31" s="1"/>
  <c r="E712" i="17"/>
  <c r="E713" i="17"/>
  <c r="M648" i="31" s="1"/>
  <c r="E714" i="17"/>
  <c r="M649" i="31" s="1"/>
  <c r="E715" i="17"/>
  <c r="M650" i="31" s="1"/>
  <c r="E716" i="17"/>
  <c r="M651" i="31" s="1"/>
  <c r="E717" i="17"/>
  <c r="E718" i="17"/>
  <c r="M652" i="31" s="1"/>
  <c r="E719" i="17"/>
  <c r="E720" i="17"/>
  <c r="M654" i="31" s="1"/>
  <c r="E721" i="17"/>
  <c r="E722" i="17"/>
  <c r="M656" i="31" s="1"/>
  <c r="E723" i="17"/>
  <c r="E724" i="17"/>
  <c r="M658" i="31" s="1"/>
  <c r="E725" i="17"/>
  <c r="E726" i="17"/>
  <c r="M660" i="31" s="1"/>
  <c r="E727" i="17"/>
  <c r="E728" i="17"/>
  <c r="E729" i="17"/>
  <c r="M662" i="31" s="1"/>
  <c r="E730" i="17"/>
  <c r="M663" i="31" s="1"/>
  <c r="E731" i="17"/>
  <c r="M664" i="31" s="1"/>
  <c r="E732" i="17"/>
  <c r="M665" i="31" s="1"/>
  <c r="E733" i="17"/>
  <c r="M666" i="31" s="1"/>
  <c r="E734" i="17"/>
  <c r="M667" i="31" s="1"/>
  <c r="E735" i="17"/>
  <c r="M668" i="31" s="1"/>
  <c r="E736" i="17"/>
  <c r="M669" i="31" s="1"/>
  <c r="E737" i="17"/>
  <c r="M670" i="31" s="1"/>
  <c r="E738" i="17"/>
  <c r="M671" i="31" s="1"/>
  <c r="E739" i="17"/>
  <c r="E740" i="17"/>
  <c r="M672" i="31" s="1"/>
  <c r="E741" i="17"/>
  <c r="E742" i="17"/>
  <c r="M674" i="31" s="1"/>
  <c r="E743" i="17"/>
  <c r="E744" i="17"/>
  <c r="M676" i="31" s="1"/>
  <c r="E745" i="17"/>
  <c r="E746" i="17"/>
  <c r="M678" i="31" s="1"/>
  <c r="E747" i="17"/>
  <c r="E748" i="17"/>
  <c r="M680" i="31" s="1"/>
  <c r="E749" i="17"/>
  <c r="E750" i="17"/>
  <c r="E751" i="17"/>
  <c r="M682" i="31" s="1"/>
  <c r="E752" i="17"/>
  <c r="E753" i="17"/>
  <c r="M684" i="31" s="1"/>
  <c r="E754" i="17"/>
  <c r="M685" i="31" s="1"/>
  <c r="E755" i="17"/>
  <c r="M686" i="31" s="1"/>
  <c r="E756" i="17"/>
  <c r="E757" i="17"/>
  <c r="M688" i="31" s="1"/>
  <c r="E758" i="17"/>
  <c r="M689" i="31" s="1"/>
  <c r="E759" i="17"/>
  <c r="M690" i="31" s="1"/>
  <c r="E760" i="17"/>
  <c r="M691" i="31" s="1"/>
  <c r="E761" i="17"/>
  <c r="E762" i="17"/>
  <c r="M692" i="31" s="1"/>
  <c r="E763" i="17"/>
  <c r="E764" i="17"/>
  <c r="M694" i="31" s="1"/>
  <c r="E765" i="17"/>
  <c r="E766" i="17"/>
  <c r="M696" i="31" s="1"/>
  <c r="E767" i="17"/>
  <c r="E768" i="17"/>
  <c r="M698" i="31" s="1"/>
  <c r="E769" i="17"/>
  <c r="E770" i="17"/>
  <c r="M700" i="31" s="1"/>
  <c r="E771" i="17"/>
  <c r="E772" i="17"/>
  <c r="E773" i="17"/>
  <c r="M702" i="31" s="1"/>
  <c r="E774" i="17"/>
  <c r="E775" i="17"/>
  <c r="M704" i="31" s="1"/>
  <c r="E776" i="17"/>
  <c r="M705" i="31" s="1"/>
  <c r="E777" i="17"/>
  <c r="M706" i="31" s="1"/>
  <c r="E778" i="17"/>
  <c r="M707" i="31" s="1"/>
  <c r="E779" i="17"/>
  <c r="M708" i="31" s="1"/>
  <c r="E780" i="17"/>
  <c r="M709" i="31" s="1"/>
  <c r="E781" i="17"/>
  <c r="M710" i="31" s="1"/>
  <c r="E782" i="17"/>
  <c r="M711" i="31" s="1"/>
  <c r="E783" i="17"/>
  <c r="E784" i="17"/>
  <c r="M712" i="31" s="1"/>
  <c r="E785" i="17"/>
  <c r="E786" i="17"/>
  <c r="M714" i="31" s="1"/>
  <c r="E787" i="17"/>
  <c r="E788" i="17"/>
  <c r="M716" i="31" s="1"/>
  <c r="E789" i="17"/>
  <c r="E790" i="17"/>
  <c r="M718" i="31" s="1"/>
  <c r="E791" i="17"/>
  <c r="E792" i="17"/>
  <c r="M720" i="31" s="1"/>
  <c r="E793" i="17"/>
  <c r="E794" i="17"/>
  <c r="E795" i="17"/>
  <c r="M722" i="31" s="1"/>
  <c r="E796" i="17"/>
  <c r="E797" i="17"/>
  <c r="M724" i="31" s="1"/>
  <c r="E798" i="17"/>
  <c r="M725" i="31" s="1"/>
  <c r="E799" i="17"/>
  <c r="M726" i="31" s="1"/>
  <c r="E800" i="17"/>
  <c r="E801" i="17"/>
  <c r="M728" i="31" s="1"/>
  <c r="E802" i="17"/>
  <c r="M729" i="31" s="1"/>
  <c r="E803" i="17"/>
  <c r="M730" i="31" s="1"/>
  <c r="E804" i="17"/>
  <c r="M731" i="31" s="1"/>
  <c r="E805" i="17"/>
  <c r="E806" i="17"/>
  <c r="M732" i="31" s="1"/>
  <c r="E807" i="17"/>
  <c r="E808" i="17"/>
  <c r="M734" i="31" s="1"/>
  <c r="E809" i="17"/>
  <c r="E810" i="17"/>
  <c r="M736" i="31" s="1"/>
  <c r="E811" i="17"/>
  <c r="E812" i="17"/>
  <c r="M738" i="31" s="1"/>
  <c r="E813" i="17"/>
  <c r="E814" i="17"/>
  <c r="M740" i="31" s="1"/>
  <c r="E815" i="17"/>
  <c r="E816" i="17"/>
  <c r="E817" i="17"/>
  <c r="M742" i="31" s="1"/>
  <c r="E818" i="17"/>
  <c r="M743" i="31" s="1"/>
  <c r="E819" i="17"/>
  <c r="M744" i="31" s="1"/>
  <c r="E820" i="17"/>
  <c r="M745" i="31" s="1"/>
  <c r="E821" i="17"/>
  <c r="M746" i="31" s="1"/>
  <c r="E822" i="17"/>
  <c r="M747" i="31" s="1"/>
  <c r="E823" i="17"/>
  <c r="M748" i="31" s="1"/>
  <c r="E824" i="17"/>
  <c r="M749" i="31" s="1"/>
  <c r="E825" i="17"/>
  <c r="M750" i="31" s="1"/>
  <c r="E826" i="17"/>
  <c r="M751" i="31" s="1"/>
  <c r="E827" i="17"/>
  <c r="E828" i="17"/>
  <c r="M752" i="31" s="1"/>
  <c r="E829" i="17"/>
  <c r="E830" i="17"/>
  <c r="M754" i="31" s="1"/>
  <c r="E831" i="17"/>
  <c r="E832" i="17"/>
  <c r="M756" i="31" s="1"/>
  <c r="E833" i="17"/>
  <c r="E834" i="17"/>
  <c r="M758" i="31" s="1"/>
  <c r="E835" i="17"/>
  <c r="E836" i="17"/>
  <c r="M760" i="31" s="1"/>
  <c r="E837" i="17"/>
  <c r="E838" i="17"/>
  <c r="E839" i="17"/>
  <c r="M762" i="31" s="1"/>
  <c r="E840" i="17"/>
  <c r="E841" i="17"/>
  <c r="M764" i="31" s="1"/>
  <c r="E842" i="17"/>
  <c r="M765" i="31" s="1"/>
  <c r="E843" i="17"/>
  <c r="M766" i="31" s="1"/>
  <c r="E844" i="17"/>
  <c r="E845" i="17"/>
  <c r="M768" i="31" s="1"/>
  <c r="E846" i="17"/>
  <c r="M769" i="31" s="1"/>
  <c r="E847" i="17"/>
  <c r="M770" i="31" s="1"/>
  <c r="E848" i="17"/>
  <c r="M771" i="31" s="1"/>
  <c r="E849" i="17"/>
  <c r="E850" i="17"/>
  <c r="M772" i="31" s="1"/>
  <c r="E851" i="17"/>
  <c r="E852" i="17"/>
  <c r="M774" i="31" s="1"/>
  <c r="E853" i="17"/>
  <c r="E854" i="17"/>
  <c r="M776" i="31" s="1"/>
  <c r="E855" i="17"/>
  <c r="E856" i="17"/>
  <c r="M778" i="31" s="1"/>
  <c r="E857" i="17"/>
  <c r="E858" i="17"/>
  <c r="M780" i="31" s="1"/>
  <c r="E859" i="17"/>
  <c r="E860" i="17"/>
  <c r="E861" i="17"/>
  <c r="M782" i="31" s="1"/>
  <c r="E862" i="17"/>
  <c r="M783" i="31" s="1"/>
  <c r="E863" i="17"/>
  <c r="M784" i="31" s="1"/>
  <c r="E864" i="17"/>
  <c r="M785" i="31" s="1"/>
  <c r="E865" i="17"/>
  <c r="M786" i="31" s="1"/>
  <c r="E866" i="17"/>
  <c r="M787" i="31" s="1"/>
  <c r="E867" i="17"/>
  <c r="M788" i="31" s="1"/>
  <c r="E868" i="17"/>
  <c r="M789" i="31" s="1"/>
  <c r="E869" i="17"/>
  <c r="M790" i="31" s="1"/>
  <c r="E870" i="17"/>
  <c r="M791" i="31" s="1"/>
  <c r="E871" i="17"/>
  <c r="E872" i="17"/>
  <c r="M792" i="31" s="1"/>
  <c r="E873" i="17"/>
  <c r="E874" i="17"/>
  <c r="M794" i="31" s="1"/>
  <c r="E875" i="17"/>
  <c r="E876" i="17"/>
  <c r="M796" i="31" s="1"/>
  <c r="E877" i="17"/>
  <c r="E878" i="17"/>
  <c r="M798" i="31" s="1"/>
  <c r="E879" i="17"/>
  <c r="E880" i="17"/>
  <c r="M800" i="31" s="1"/>
  <c r="E881" i="17"/>
  <c r="E882" i="17"/>
  <c r="E883" i="17"/>
  <c r="M802" i="31" s="1"/>
  <c r="E884" i="17"/>
  <c r="E885" i="17"/>
  <c r="M804" i="31" s="1"/>
  <c r="E886" i="17"/>
  <c r="M805" i="31" s="1"/>
  <c r="E887" i="17"/>
  <c r="M806" i="31" s="1"/>
  <c r="E888" i="17"/>
  <c r="E889" i="17"/>
  <c r="M808" i="31" s="1"/>
  <c r="E890" i="17"/>
  <c r="M809" i="31" s="1"/>
  <c r="E891" i="17"/>
  <c r="M810" i="31" s="1"/>
  <c r="E892" i="17"/>
  <c r="M811" i="31" s="1"/>
  <c r="E893" i="17"/>
  <c r="E894" i="17"/>
  <c r="M812" i="31" s="1"/>
  <c r="E895" i="17"/>
  <c r="E896" i="17"/>
  <c r="M814" i="31" s="1"/>
  <c r="E897" i="17"/>
  <c r="E898" i="17"/>
  <c r="M816" i="31" s="1"/>
  <c r="E899" i="17"/>
  <c r="E900" i="17"/>
  <c r="M818" i="31" s="1"/>
  <c r="E901" i="17"/>
  <c r="E902" i="17"/>
  <c r="M820" i="31" s="1"/>
  <c r="E903" i="17"/>
  <c r="E904" i="17"/>
  <c r="E905" i="17"/>
  <c r="M822" i="31" s="1"/>
  <c r="E906" i="17"/>
  <c r="M823" i="31" s="1"/>
  <c r="E907" i="17"/>
  <c r="M824" i="31" s="1"/>
  <c r="E908" i="17"/>
  <c r="M825" i="31" s="1"/>
  <c r="E909" i="17"/>
  <c r="M826" i="31" s="1"/>
  <c r="E910" i="17"/>
  <c r="M827" i="31" s="1"/>
  <c r="E911" i="17"/>
  <c r="M828" i="31" s="1"/>
  <c r="E912" i="17"/>
  <c r="M829" i="31" s="1"/>
  <c r="E913" i="17"/>
  <c r="M830" i="31" s="1"/>
  <c r="E914" i="17"/>
  <c r="M831" i="31" s="1"/>
  <c r="E915" i="17"/>
  <c r="E916" i="17"/>
  <c r="M832" i="31" s="1"/>
  <c r="E917" i="17"/>
  <c r="E918" i="17"/>
  <c r="M834" i="31" s="1"/>
  <c r="E919" i="17"/>
  <c r="E920" i="17"/>
  <c r="M836" i="31" s="1"/>
  <c r="E921" i="17"/>
  <c r="E922" i="17"/>
  <c r="M838" i="31" s="1"/>
  <c r="E923" i="17"/>
  <c r="E924" i="17"/>
  <c r="M840" i="31" s="1"/>
  <c r="E925" i="17"/>
  <c r="E926" i="17"/>
  <c r="E927" i="17"/>
  <c r="M842" i="31" s="1"/>
  <c r="E928" i="17"/>
  <c r="E929" i="17"/>
  <c r="M844" i="31" s="1"/>
  <c r="E930" i="17"/>
  <c r="M845" i="31" s="1"/>
  <c r="E931" i="17"/>
  <c r="M846" i="31" s="1"/>
  <c r="E932" i="17"/>
  <c r="E933" i="17"/>
  <c r="M848" i="31" s="1"/>
  <c r="E934" i="17"/>
  <c r="M849" i="31" s="1"/>
  <c r="E935" i="17"/>
  <c r="M850" i="31" s="1"/>
  <c r="E936" i="17"/>
  <c r="M851" i="31" s="1"/>
  <c r="E937" i="17"/>
  <c r="E938" i="17"/>
  <c r="M852" i="31" s="1"/>
  <c r="E939" i="17"/>
  <c r="E940" i="17"/>
  <c r="M854" i="31" s="1"/>
  <c r="E941" i="17"/>
  <c r="E942" i="17"/>
  <c r="M856" i="31" s="1"/>
  <c r="E943" i="17"/>
  <c r="E944" i="17"/>
  <c r="M858" i="31" s="1"/>
  <c r="E945" i="17"/>
  <c r="E946" i="17"/>
  <c r="M860" i="31" s="1"/>
  <c r="E947" i="17"/>
  <c r="E948" i="17"/>
  <c r="E949" i="17"/>
  <c r="M862" i="31" s="1"/>
  <c r="E950" i="17"/>
  <c r="M863" i="31" s="1"/>
  <c r="E951" i="17"/>
  <c r="M864" i="31" s="1"/>
  <c r="E952" i="17"/>
  <c r="M865" i="31" s="1"/>
  <c r="E953" i="17"/>
  <c r="M866" i="31" s="1"/>
  <c r="E954" i="17"/>
  <c r="M867" i="31" s="1"/>
  <c r="E955" i="17"/>
  <c r="M868" i="31" s="1"/>
  <c r="E956" i="17"/>
  <c r="M869" i="31" s="1"/>
  <c r="E957" i="17"/>
  <c r="M870" i="31" s="1"/>
  <c r="E958" i="17"/>
  <c r="M871" i="31" s="1"/>
  <c r="E959" i="17"/>
  <c r="E960" i="17"/>
  <c r="M872" i="31" s="1"/>
  <c r="E961" i="17"/>
  <c r="E962" i="17"/>
  <c r="M874" i="31" s="1"/>
  <c r="E963" i="17"/>
  <c r="E964" i="17"/>
  <c r="M876" i="31" s="1"/>
  <c r="E965" i="17"/>
  <c r="E966" i="17"/>
  <c r="M878" i="31" s="1"/>
  <c r="E967" i="17"/>
  <c r="E968" i="17"/>
  <c r="M880" i="31" s="1"/>
  <c r="E969" i="17"/>
  <c r="E970" i="17"/>
  <c r="E971" i="17"/>
  <c r="M882" i="31" s="1"/>
  <c r="E972" i="17"/>
  <c r="E973" i="17"/>
  <c r="M884" i="31" s="1"/>
  <c r="E974" i="17"/>
  <c r="M885" i="31" s="1"/>
  <c r="E975" i="17"/>
  <c r="M886" i="31" s="1"/>
  <c r="E976" i="17"/>
  <c r="E977" i="17"/>
  <c r="M888" i="31" s="1"/>
  <c r="E978" i="17"/>
  <c r="M889" i="31" s="1"/>
  <c r="E979" i="17"/>
  <c r="M890" i="31" s="1"/>
  <c r="E980" i="17"/>
  <c r="M891" i="31" s="1"/>
  <c r="E981" i="17"/>
  <c r="E982" i="17"/>
  <c r="M892" i="31" s="1"/>
  <c r="E983" i="17"/>
  <c r="E984" i="17"/>
  <c r="M894" i="31" s="1"/>
  <c r="E985" i="17"/>
  <c r="E986" i="17"/>
  <c r="M896" i="31" s="1"/>
  <c r="E987" i="17"/>
  <c r="E988" i="17"/>
  <c r="M898" i="31" s="1"/>
  <c r="E989" i="17"/>
  <c r="E990" i="17"/>
  <c r="M900" i="31" s="1"/>
  <c r="E991" i="17"/>
  <c r="E992" i="17"/>
  <c r="E993" i="17"/>
  <c r="M902" i="31" s="1"/>
  <c r="E994" i="17"/>
  <c r="M903" i="31" s="1"/>
  <c r="E995" i="17"/>
  <c r="M904" i="31" s="1"/>
  <c r="E996" i="17"/>
  <c r="M905" i="31" s="1"/>
  <c r="E997" i="17"/>
  <c r="M906" i="31" s="1"/>
  <c r="E998" i="17"/>
  <c r="M907" i="31" s="1"/>
  <c r="E999" i="17"/>
  <c r="M908" i="31" s="1"/>
  <c r="E1000" i="17"/>
  <c r="M909" i="31" s="1"/>
  <c r="E1001" i="17"/>
  <c r="M910" i="31" s="1"/>
  <c r="E1002" i="17"/>
  <c r="M911" i="31" s="1"/>
  <c r="E1003" i="17"/>
  <c r="E1004" i="17"/>
  <c r="M912" i="31" s="1"/>
  <c r="E1005" i="17"/>
  <c r="E1006" i="17"/>
  <c r="M914" i="31" s="1"/>
  <c r="E1007" i="17"/>
  <c r="E1008" i="17"/>
  <c r="M916" i="31" s="1"/>
  <c r="E1009" i="17"/>
  <c r="E1010" i="17"/>
  <c r="M918" i="31" s="1"/>
  <c r="E1011" i="17"/>
  <c r="E1012" i="17"/>
  <c r="M920" i="31" s="1"/>
  <c r="E1013" i="17"/>
  <c r="E1014" i="17"/>
  <c r="E1015" i="17"/>
  <c r="M922" i="31" s="1"/>
  <c r="E1016" i="17"/>
  <c r="E1017" i="17"/>
  <c r="M924" i="31" s="1"/>
  <c r="E1018" i="17"/>
  <c r="M925" i="31" s="1"/>
  <c r="E1019" i="17"/>
  <c r="M926" i="31" s="1"/>
  <c r="E1020" i="17"/>
  <c r="E1021" i="17"/>
  <c r="M928" i="31" s="1"/>
  <c r="E1022" i="17"/>
  <c r="M929" i="31" s="1"/>
  <c r="E1023" i="17"/>
  <c r="M930" i="31" s="1"/>
  <c r="E1024" i="17"/>
  <c r="M931" i="31" s="1"/>
  <c r="E1025" i="17"/>
  <c r="E1026" i="17"/>
  <c r="M932" i="31" s="1"/>
  <c r="E1027" i="17"/>
  <c r="E1028" i="17"/>
  <c r="M934" i="31" s="1"/>
  <c r="E1029" i="17"/>
  <c r="E1030" i="17"/>
  <c r="M936" i="31" s="1"/>
  <c r="E1031" i="17"/>
  <c r="E1032" i="17"/>
  <c r="M938" i="31" s="1"/>
  <c r="E1033" i="17"/>
  <c r="E1034" i="17"/>
  <c r="M940" i="31" s="1"/>
  <c r="E1035" i="17"/>
  <c r="E1036" i="17"/>
  <c r="E1037" i="17"/>
  <c r="M942" i="31" s="1"/>
  <c r="E1038" i="17"/>
  <c r="M943" i="31" s="1"/>
  <c r="E1039" i="17"/>
  <c r="M944" i="31" s="1"/>
  <c r="E1040" i="17"/>
  <c r="M945" i="31" s="1"/>
  <c r="E1041" i="17"/>
  <c r="M946" i="31" s="1"/>
  <c r="E1042" i="17"/>
  <c r="M947" i="31" s="1"/>
  <c r="E1043" i="17"/>
  <c r="M948" i="31" s="1"/>
  <c r="E1044" i="17"/>
  <c r="M949" i="31" s="1"/>
  <c r="E1045" i="17"/>
  <c r="M950" i="31" s="1"/>
  <c r="E1046" i="17"/>
  <c r="M951" i="31" s="1"/>
  <c r="E1047" i="17"/>
  <c r="E1048" i="17"/>
  <c r="M952" i="31" s="1"/>
  <c r="E1049" i="17"/>
  <c r="E1050" i="17"/>
  <c r="M954" i="31" s="1"/>
  <c r="E1051" i="17"/>
  <c r="E1052" i="17"/>
  <c r="M956" i="31" s="1"/>
  <c r="E1053" i="17"/>
  <c r="E1054" i="17"/>
  <c r="M958" i="31" s="1"/>
  <c r="E1055" i="17"/>
  <c r="E1056" i="17"/>
  <c r="M960" i="31" s="1"/>
  <c r="E1057" i="17"/>
  <c r="E1058" i="17"/>
  <c r="E1059" i="17"/>
  <c r="M962" i="31" s="1"/>
  <c r="E1060" i="17"/>
  <c r="E1061" i="17"/>
  <c r="M964" i="31" s="1"/>
  <c r="E1062" i="17"/>
  <c r="M965" i="31" s="1"/>
  <c r="E1063" i="17"/>
  <c r="M966" i="31" s="1"/>
  <c r="E1064" i="17"/>
  <c r="E1065" i="17"/>
  <c r="M968" i="31" s="1"/>
  <c r="E1066" i="17"/>
  <c r="M969" i="31" s="1"/>
  <c r="E1067" i="17"/>
  <c r="M970" i="31" s="1"/>
  <c r="E1068" i="17"/>
  <c r="M971" i="31" s="1"/>
  <c r="E1069" i="17"/>
  <c r="E1070" i="17"/>
  <c r="M972" i="31" s="1"/>
  <c r="E1071" i="17"/>
  <c r="E1072" i="17"/>
  <c r="M974" i="31" s="1"/>
  <c r="E1073" i="17"/>
  <c r="E1074" i="17"/>
  <c r="M976" i="31" s="1"/>
  <c r="E1075" i="17"/>
  <c r="E1076" i="17"/>
  <c r="M978" i="31" s="1"/>
  <c r="E1077" i="17"/>
  <c r="E1078" i="17"/>
  <c r="M980" i="31" s="1"/>
  <c r="E1079" i="17"/>
  <c r="E1080" i="17"/>
  <c r="E1081" i="17"/>
  <c r="M982" i="31" s="1"/>
  <c r="E1082" i="17"/>
  <c r="M983" i="31" s="1"/>
  <c r="E1083" i="17"/>
  <c r="M984" i="31" s="1"/>
  <c r="E1084" i="17"/>
  <c r="M985" i="31" s="1"/>
  <c r="E1085" i="17"/>
  <c r="M986" i="31" s="1"/>
  <c r="E1086" i="17"/>
  <c r="M987" i="31" s="1"/>
  <c r="E1087" i="17"/>
  <c r="M988" i="31" s="1"/>
  <c r="E1088" i="17"/>
  <c r="M989" i="31" s="1"/>
  <c r="E1089" i="17"/>
  <c r="M990" i="31" s="1"/>
  <c r="E1090" i="17"/>
  <c r="M991" i="31" s="1"/>
  <c r="E1091" i="17"/>
  <c r="E1092" i="17"/>
  <c r="M992" i="31" s="1"/>
  <c r="E1093" i="17"/>
  <c r="E1094" i="17"/>
  <c r="M994" i="31" s="1"/>
  <c r="E1095" i="17"/>
  <c r="E1096" i="17"/>
  <c r="M996" i="31" s="1"/>
  <c r="E1097" i="17"/>
  <c r="E1098" i="17"/>
  <c r="M998" i="31" s="1"/>
  <c r="E1099" i="17"/>
  <c r="E1100" i="17"/>
  <c r="M1000" i="31" s="1"/>
  <c r="E1101" i="17"/>
  <c r="E1102" i="17"/>
  <c r="E1103" i="17"/>
  <c r="M1002" i="31" s="1"/>
  <c r="E1104" i="17"/>
  <c r="E1105" i="17"/>
  <c r="M1004" i="31" s="1"/>
  <c r="E1106" i="17"/>
  <c r="M1005" i="31" s="1"/>
  <c r="E1107" i="17"/>
  <c r="M1006" i="31" s="1"/>
  <c r="E1108" i="17"/>
  <c r="E1109" i="17"/>
  <c r="M1008" i="31" s="1"/>
  <c r="E1110" i="17"/>
  <c r="M1009" i="31" s="1"/>
  <c r="E1111" i="17"/>
  <c r="M1010" i="31" s="1"/>
  <c r="E1112" i="17"/>
  <c r="M1011" i="31" s="1"/>
  <c r="E1113" i="17"/>
  <c r="E1114" i="17"/>
  <c r="M1012" i="31" s="1"/>
  <c r="E1115" i="17"/>
  <c r="E1116" i="17"/>
  <c r="M1014" i="31" s="1"/>
  <c r="E1117" i="17"/>
  <c r="E1118" i="17"/>
  <c r="M1016" i="31" s="1"/>
  <c r="E1119" i="17"/>
  <c r="E1120" i="17"/>
  <c r="M1018" i="31" s="1"/>
  <c r="E1121" i="17"/>
  <c r="E1122" i="17"/>
  <c r="M1020" i="31" s="1"/>
  <c r="E1123" i="17"/>
  <c r="E1124" i="17"/>
  <c r="E1125" i="17"/>
  <c r="M1022" i="31" s="1"/>
  <c r="E1126" i="17"/>
  <c r="M1023" i="31" s="1"/>
  <c r="E1127" i="17"/>
  <c r="M1024" i="31" s="1"/>
  <c r="E1128" i="17"/>
  <c r="M1025" i="31" s="1"/>
  <c r="E1129" i="17"/>
  <c r="M1026" i="31" s="1"/>
  <c r="E1130" i="17"/>
  <c r="M1027" i="31" s="1"/>
  <c r="E1131" i="17"/>
  <c r="M1028" i="31" s="1"/>
  <c r="E1132" i="17"/>
  <c r="M1029" i="31" s="1"/>
  <c r="E1133" i="17"/>
  <c r="M1030" i="31" s="1"/>
  <c r="E1134" i="17"/>
  <c r="M1031" i="31" s="1"/>
  <c r="E1135" i="17"/>
  <c r="E1136" i="17"/>
  <c r="M1032" i="31" s="1"/>
  <c r="E1137" i="17"/>
  <c r="E1138" i="17"/>
  <c r="M1034" i="31" s="1"/>
  <c r="E1139" i="17"/>
  <c r="E1140" i="17"/>
  <c r="M1036" i="31" s="1"/>
  <c r="E1141" i="17"/>
  <c r="E1142" i="17"/>
  <c r="M1038" i="31" s="1"/>
  <c r="E1143" i="17"/>
  <c r="E1144" i="17"/>
  <c r="M1040" i="31" s="1"/>
  <c r="E1145" i="17"/>
  <c r="E1146" i="17"/>
  <c r="E1147" i="17"/>
  <c r="M1042" i="31" s="1"/>
  <c r="E1148" i="17"/>
  <c r="E1149" i="17"/>
  <c r="M1044" i="31" s="1"/>
  <c r="E1150" i="17"/>
  <c r="M1045" i="31" s="1"/>
  <c r="E1151" i="17"/>
  <c r="M1046" i="31" s="1"/>
  <c r="E1152" i="17"/>
  <c r="E1153" i="17"/>
  <c r="M1048" i="31" s="1"/>
  <c r="E1154" i="17"/>
  <c r="M1049" i="31" s="1"/>
  <c r="E1155" i="17"/>
  <c r="M1050" i="31" s="1"/>
  <c r="E1156" i="17"/>
  <c r="M1051" i="31" s="1"/>
  <c r="E1157" i="17"/>
  <c r="E1158" i="17"/>
  <c r="M1052" i="31" s="1"/>
  <c r="E1159" i="17"/>
  <c r="E1160" i="17"/>
  <c r="M1054" i="31" s="1"/>
  <c r="E1161" i="17"/>
  <c r="E1162" i="17"/>
  <c r="M1056" i="31" s="1"/>
  <c r="E1163" i="17"/>
  <c r="E1164" i="17"/>
  <c r="M1058" i="31" s="1"/>
  <c r="E1165" i="17"/>
  <c r="E1166" i="17"/>
  <c r="M1060" i="31" s="1"/>
  <c r="E1167" i="17"/>
  <c r="E1168" i="17"/>
  <c r="E1169" i="17"/>
  <c r="M1062" i="31" s="1"/>
  <c r="E1170" i="17"/>
  <c r="M1063" i="31" s="1"/>
  <c r="E1171" i="17"/>
  <c r="M1064" i="31" s="1"/>
  <c r="E1172" i="17"/>
  <c r="M1065" i="31" s="1"/>
  <c r="E1173" i="17"/>
  <c r="M1066" i="31" s="1"/>
  <c r="E1174" i="17"/>
  <c r="M1067" i="31" s="1"/>
  <c r="E1175" i="17"/>
  <c r="M1068" i="31" s="1"/>
  <c r="E1176" i="17"/>
  <c r="M1069" i="31" s="1"/>
  <c r="E1177" i="17"/>
  <c r="M1070" i="31" s="1"/>
  <c r="E1178" i="17"/>
  <c r="M1071" i="31" s="1"/>
  <c r="E1179" i="17"/>
  <c r="E1180" i="17"/>
  <c r="M1072" i="31" s="1"/>
  <c r="E1181" i="17"/>
  <c r="E1182" i="17"/>
  <c r="M1074" i="31" s="1"/>
  <c r="E1183" i="17"/>
  <c r="E1184" i="17"/>
  <c r="M1076" i="31" s="1"/>
  <c r="E1185" i="17"/>
  <c r="E1186" i="17"/>
  <c r="M1078" i="31" s="1"/>
  <c r="E1187" i="17"/>
  <c r="E1188" i="17"/>
  <c r="M1080" i="31" s="1"/>
  <c r="E1189" i="17"/>
  <c r="E1190" i="17"/>
  <c r="E1191" i="17"/>
  <c r="M1082" i="31" s="1"/>
  <c r="E1192" i="17"/>
  <c r="E1193" i="17"/>
  <c r="M1084" i="31" s="1"/>
  <c r="E1194" i="17"/>
  <c r="M1085" i="31" s="1"/>
  <c r="E1195" i="17"/>
  <c r="M1086" i="31" s="1"/>
  <c r="E1196" i="17"/>
  <c r="E1197" i="17"/>
  <c r="M1088" i="31" s="1"/>
  <c r="E1198" i="17"/>
  <c r="M1089" i="31" s="1"/>
  <c r="E1199" i="17"/>
  <c r="M1090" i="31" s="1"/>
  <c r="E1200" i="17"/>
  <c r="M1091" i="31" s="1"/>
  <c r="E1201" i="17"/>
  <c r="E1202" i="17"/>
  <c r="M1092" i="31" s="1"/>
  <c r="E1203" i="17"/>
  <c r="E1204" i="17"/>
  <c r="M1094" i="31" s="1"/>
  <c r="E1205" i="17"/>
  <c r="E1206" i="17"/>
  <c r="M1096" i="31" s="1"/>
  <c r="E1207" i="17"/>
  <c r="E1208" i="17"/>
  <c r="M1098" i="31" s="1"/>
  <c r="E1209" i="17"/>
  <c r="E1210" i="17"/>
  <c r="M1100" i="31" s="1"/>
  <c r="E1211" i="17"/>
  <c r="E1212" i="17"/>
  <c r="E1213" i="17"/>
  <c r="M1102" i="31" s="1"/>
  <c r="E1214" i="17"/>
  <c r="M1103" i="31" s="1"/>
  <c r="E1215" i="17"/>
  <c r="M1104" i="31" s="1"/>
  <c r="E1216" i="17"/>
  <c r="M1105" i="31" s="1"/>
  <c r="E1217" i="17"/>
  <c r="M1106" i="31" s="1"/>
  <c r="E1218" i="17"/>
  <c r="M1107" i="31" s="1"/>
  <c r="E1219" i="17"/>
  <c r="M1108" i="31" s="1"/>
  <c r="E1220" i="17"/>
  <c r="M1109" i="31" s="1"/>
  <c r="E1221" i="17"/>
  <c r="M1110" i="31" s="1"/>
  <c r="E1222" i="17"/>
  <c r="M1111" i="31" s="1"/>
  <c r="E1223" i="17"/>
  <c r="E1224" i="17"/>
  <c r="M1112" i="31" s="1"/>
  <c r="E1225" i="17"/>
  <c r="E1226" i="17"/>
  <c r="M1114" i="31" s="1"/>
  <c r="E1227" i="17"/>
  <c r="E1228" i="17"/>
  <c r="M1116" i="31" s="1"/>
  <c r="E1229" i="17"/>
  <c r="E1230" i="17"/>
  <c r="M1118" i="31" s="1"/>
  <c r="E1231" i="17"/>
  <c r="E1232" i="17"/>
  <c r="M1120" i="31" s="1"/>
  <c r="E1233" i="17"/>
  <c r="E1234" i="17"/>
  <c r="E1235" i="17"/>
  <c r="M1122" i="31" s="1"/>
  <c r="E1236" i="17"/>
  <c r="E1237" i="17"/>
  <c r="M1124" i="31" s="1"/>
  <c r="E1238" i="17"/>
  <c r="M1125" i="31" s="1"/>
  <c r="E1239" i="17"/>
  <c r="M1126" i="31" s="1"/>
  <c r="E1240" i="17"/>
  <c r="E1241" i="17"/>
  <c r="M1128" i="31" s="1"/>
  <c r="E1242" i="17"/>
  <c r="M1129" i="31" s="1"/>
  <c r="E1243" i="17"/>
  <c r="M1130" i="31" s="1"/>
  <c r="E1244" i="17"/>
  <c r="M1131" i="31" s="1"/>
  <c r="E1245" i="17"/>
  <c r="E1246" i="17"/>
  <c r="M1132" i="31" s="1"/>
  <c r="E1247" i="17"/>
  <c r="E1248" i="17"/>
  <c r="M1134" i="31" s="1"/>
  <c r="E1249" i="17"/>
  <c r="E1250" i="17"/>
  <c r="M1136" i="31" s="1"/>
  <c r="E1251" i="17"/>
  <c r="E1252" i="17"/>
  <c r="M1138" i="31" s="1"/>
  <c r="E1253" i="17"/>
  <c r="E1254" i="17"/>
  <c r="M1140" i="31" s="1"/>
  <c r="E1255" i="17"/>
  <c r="E1256" i="17"/>
  <c r="E1257" i="17"/>
  <c r="M1142" i="31" s="1"/>
  <c r="E1258" i="17"/>
  <c r="M1143" i="31" s="1"/>
  <c r="E1259" i="17"/>
  <c r="M1144" i="31" s="1"/>
  <c r="E1260" i="17"/>
  <c r="M1145" i="31" s="1"/>
  <c r="E1261" i="17"/>
  <c r="M1146" i="31" s="1"/>
  <c r="E1262" i="17"/>
  <c r="M1147" i="31" s="1"/>
  <c r="E1263" i="17"/>
  <c r="M1148" i="31" s="1"/>
  <c r="E1264" i="17"/>
  <c r="M1149" i="31" s="1"/>
  <c r="E1265" i="17"/>
  <c r="M1150" i="31" s="1"/>
  <c r="E1266" i="17"/>
  <c r="M1151" i="31" s="1"/>
  <c r="E1267" i="17"/>
  <c r="E1268" i="17"/>
  <c r="M1152" i="31" s="1"/>
  <c r="E1269" i="17"/>
  <c r="E1270" i="17"/>
  <c r="M1154" i="31" s="1"/>
  <c r="E1271" i="17"/>
  <c r="E1272" i="17"/>
  <c r="M1156" i="31" s="1"/>
  <c r="E1273" i="17"/>
  <c r="E1274" i="17"/>
  <c r="M1158" i="31" s="1"/>
  <c r="E1275" i="17"/>
  <c r="E1276" i="17"/>
  <c r="M1160" i="31" s="1"/>
  <c r="E1277" i="17"/>
  <c r="E1278" i="17"/>
  <c r="E1279" i="17"/>
  <c r="M1162" i="31" s="1"/>
  <c r="E1280" i="17"/>
  <c r="E1281" i="17"/>
  <c r="M1164" i="31" s="1"/>
  <c r="E1282" i="17"/>
  <c r="M1165" i="31" s="1"/>
  <c r="E1283" i="17"/>
  <c r="M1166" i="31" s="1"/>
  <c r="E1284" i="17"/>
  <c r="E1285" i="17"/>
  <c r="M1168" i="31" s="1"/>
  <c r="E1286" i="17"/>
  <c r="M1169" i="31" s="1"/>
  <c r="E1287" i="17"/>
  <c r="M1170" i="31" s="1"/>
  <c r="E1288" i="17"/>
  <c r="M1171" i="31" s="1"/>
  <c r="E1289" i="17"/>
  <c r="E1290" i="17"/>
  <c r="M1172" i="31" s="1"/>
  <c r="E1291" i="17"/>
  <c r="E1292" i="17"/>
  <c r="M1174" i="31" s="1"/>
  <c r="E1293" i="17"/>
  <c r="E1294" i="17"/>
  <c r="M1176" i="31" s="1"/>
  <c r="E1295" i="17"/>
  <c r="E1296" i="17"/>
  <c r="M1178" i="31" s="1"/>
  <c r="E1297" i="17"/>
  <c r="E1298" i="17"/>
  <c r="M1180" i="31" s="1"/>
  <c r="E1299" i="17"/>
  <c r="E1300" i="17"/>
  <c r="E1301" i="17"/>
  <c r="M1182" i="31" s="1"/>
  <c r="E1302" i="17"/>
  <c r="M1183" i="31" s="1"/>
  <c r="E1303" i="17"/>
  <c r="M1184" i="31" s="1"/>
  <c r="E1304" i="17"/>
  <c r="M1185" i="31" s="1"/>
  <c r="E1305" i="17"/>
  <c r="M1186" i="31" s="1"/>
  <c r="E1306" i="17"/>
  <c r="M1187" i="31" s="1"/>
  <c r="E1307" i="17"/>
  <c r="M1188" i="31" s="1"/>
  <c r="E1308" i="17"/>
  <c r="M1189" i="31" s="1"/>
  <c r="E1309" i="17"/>
  <c r="M1190" i="31" s="1"/>
  <c r="E1310" i="17"/>
  <c r="M1191" i="31" s="1"/>
  <c r="E1311" i="17"/>
  <c r="E1312" i="17"/>
  <c r="M1192" i="31" s="1"/>
  <c r="E1313" i="17"/>
  <c r="E1314" i="17"/>
  <c r="M1194" i="31" s="1"/>
  <c r="E1315" i="17"/>
  <c r="E1316" i="17"/>
  <c r="M1196" i="31" s="1"/>
  <c r="E1317" i="17"/>
  <c r="E1318" i="17"/>
  <c r="M1198" i="31" s="1"/>
  <c r="E1319" i="17"/>
  <c r="E1320" i="17"/>
  <c r="M1200" i="31" s="1"/>
  <c r="E1321" i="17"/>
  <c r="E1322" i="17"/>
  <c r="E1323" i="17"/>
  <c r="M1202" i="31" s="1"/>
  <c r="E1324" i="17"/>
  <c r="E1325" i="17"/>
  <c r="M1204" i="31" s="1"/>
  <c r="E1326" i="17"/>
  <c r="M1205" i="31" s="1"/>
  <c r="E1327" i="17"/>
  <c r="M1206" i="31" s="1"/>
  <c r="E1328" i="17"/>
  <c r="E1329" i="17"/>
  <c r="M1208" i="31" s="1"/>
  <c r="E1330" i="17"/>
  <c r="M1209" i="31" s="1"/>
  <c r="E1331" i="17"/>
  <c r="M1210" i="31" s="1"/>
  <c r="E1332" i="17"/>
  <c r="M1211" i="31" s="1"/>
  <c r="E1333" i="17"/>
  <c r="E1334" i="17"/>
  <c r="M1212" i="31" s="1"/>
  <c r="E1335" i="17"/>
  <c r="E1336" i="17"/>
  <c r="M1214" i="31" s="1"/>
  <c r="E1337" i="17"/>
  <c r="E1338" i="17"/>
  <c r="M1216" i="31" s="1"/>
  <c r="E1339" i="17"/>
  <c r="E1340" i="17"/>
  <c r="M1218" i="31" s="1"/>
  <c r="E1341" i="17"/>
  <c r="E1342" i="17"/>
  <c r="M1220" i="31" s="1"/>
  <c r="E1343" i="17"/>
  <c r="E1344" i="17"/>
  <c r="E1345" i="17"/>
  <c r="M1222" i="31" s="1"/>
  <c r="E1346" i="17"/>
  <c r="M1223" i="31" s="1"/>
  <c r="E1347" i="17"/>
  <c r="M1224" i="31" s="1"/>
  <c r="E1348" i="17"/>
  <c r="M1225" i="31" s="1"/>
  <c r="E1349" i="17"/>
  <c r="M1226" i="31" s="1"/>
  <c r="E1350" i="17"/>
  <c r="M1227" i="31" s="1"/>
  <c r="E1351" i="17"/>
  <c r="M1228" i="31" s="1"/>
  <c r="E1352" i="17"/>
  <c r="M1229" i="31" s="1"/>
  <c r="E1353" i="17"/>
  <c r="M1230" i="31" s="1"/>
  <c r="E1354" i="17"/>
  <c r="M1231" i="31" s="1"/>
  <c r="E1355" i="17"/>
  <c r="E1356" i="17"/>
  <c r="M1232" i="31" s="1"/>
  <c r="E1357" i="17"/>
  <c r="E1358" i="17"/>
  <c r="M1234" i="31" s="1"/>
  <c r="E1359" i="17"/>
  <c r="E1360" i="17"/>
  <c r="M1236" i="31" s="1"/>
  <c r="E1361" i="17"/>
  <c r="E1362" i="17"/>
  <c r="M1238" i="31" s="1"/>
  <c r="E1363" i="17"/>
  <c r="E1364" i="17"/>
  <c r="M1240" i="31" s="1"/>
  <c r="E1365" i="17"/>
  <c r="E1366" i="17"/>
  <c r="E1367" i="17"/>
  <c r="M1242" i="31" s="1"/>
  <c r="E1368" i="17"/>
  <c r="E1369" i="17"/>
  <c r="M1244" i="31" s="1"/>
  <c r="E1370" i="17"/>
  <c r="M1245" i="31" s="1"/>
  <c r="E1371" i="17"/>
  <c r="M1246" i="31" s="1"/>
  <c r="E1372" i="17"/>
  <c r="E1373" i="17"/>
  <c r="M1248" i="31" s="1"/>
  <c r="E1374" i="17"/>
  <c r="M1249" i="31" s="1"/>
  <c r="E1375" i="17"/>
  <c r="M1250" i="31" s="1"/>
  <c r="E1376" i="17"/>
  <c r="M1251" i="31" s="1"/>
  <c r="E1377" i="17"/>
  <c r="E1378" i="17"/>
  <c r="M1252" i="31" s="1"/>
  <c r="E1379" i="17"/>
  <c r="E1380" i="17"/>
  <c r="M1254" i="31" s="1"/>
  <c r="E1381" i="17"/>
  <c r="E1382" i="17"/>
  <c r="M1256" i="31" s="1"/>
  <c r="E1383" i="17"/>
  <c r="E1384" i="17"/>
  <c r="M1258" i="31" s="1"/>
  <c r="E1385" i="17"/>
  <c r="E1386" i="17"/>
  <c r="M1260" i="31" s="1"/>
  <c r="E1387" i="17"/>
  <c r="E1388" i="17"/>
  <c r="E1389" i="17"/>
  <c r="M1262" i="31" s="1"/>
  <c r="E1390" i="17"/>
  <c r="M1263" i="31" s="1"/>
  <c r="E1391" i="17"/>
  <c r="M1264" i="31" s="1"/>
  <c r="E1392" i="17"/>
  <c r="M1265" i="31" s="1"/>
  <c r="E1393" i="17"/>
  <c r="M1266" i="31" s="1"/>
  <c r="E1394" i="17"/>
  <c r="M1267" i="31" s="1"/>
  <c r="E1395" i="17"/>
  <c r="M1268" i="31" s="1"/>
  <c r="E1396" i="17"/>
  <c r="M1269" i="31" s="1"/>
  <c r="E1397" i="17"/>
  <c r="M1270" i="31" s="1"/>
  <c r="E1398" i="17"/>
  <c r="M1271" i="31" s="1"/>
  <c r="E1399" i="17"/>
  <c r="E1400" i="17"/>
  <c r="M1272" i="31" s="1"/>
  <c r="E1401" i="17"/>
  <c r="E1402" i="17"/>
  <c r="M1274" i="31" s="1"/>
  <c r="E1403" i="17"/>
  <c r="E1404" i="17"/>
  <c r="M1276" i="31" s="1"/>
  <c r="E1405" i="17"/>
  <c r="E1406" i="17"/>
  <c r="M1278" i="31" s="1"/>
  <c r="E1407" i="17"/>
  <c r="E1408" i="17"/>
  <c r="M1280" i="31" s="1"/>
  <c r="E1409" i="17"/>
  <c r="E1410" i="17"/>
  <c r="E1411" i="17"/>
  <c r="M1282" i="31" s="1"/>
  <c r="E1412" i="17"/>
  <c r="E1413" i="17"/>
  <c r="M1284" i="31" s="1"/>
  <c r="E1414" i="17"/>
  <c r="M1285" i="31" s="1"/>
  <c r="E1415" i="17"/>
  <c r="M1286" i="31" s="1"/>
  <c r="E1416" i="17"/>
  <c r="E1417" i="17"/>
  <c r="M1288" i="31" s="1"/>
  <c r="E1418" i="17"/>
  <c r="M1289" i="31" s="1"/>
  <c r="E1419" i="17"/>
  <c r="M1290" i="31" s="1"/>
  <c r="E1420" i="17"/>
  <c r="M1291" i="31" s="1"/>
  <c r="E1421" i="17"/>
  <c r="E1422" i="17"/>
  <c r="M1292" i="31" s="1"/>
  <c r="E1423" i="17"/>
  <c r="E1424" i="17"/>
  <c r="M1294" i="31" s="1"/>
  <c r="E1425" i="17"/>
  <c r="E1426" i="17"/>
  <c r="M1296" i="31" s="1"/>
  <c r="E1427" i="17"/>
  <c r="E1428" i="17"/>
  <c r="M1298" i="31" s="1"/>
  <c r="E1429" i="17"/>
  <c r="E1430" i="17"/>
  <c r="M1300" i="31" s="1"/>
  <c r="E1431" i="17"/>
  <c r="E1432" i="17"/>
  <c r="E1433" i="17"/>
  <c r="M1302" i="31" s="1"/>
  <c r="E1434" i="17"/>
  <c r="M1303" i="31" s="1"/>
  <c r="E1435" i="17"/>
  <c r="M1304" i="31" s="1"/>
  <c r="E1436" i="17"/>
  <c r="M1305" i="31" s="1"/>
  <c r="E1437" i="17"/>
  <c r="M1306" i="31" s="1"/>
  <c r="E1438" i="17"/>
  <c r="M1307" i="31" s="1"/>
  <c r="E1439" i="17"/>
  <c r="M1308" i="31" s="1"/>
  <c r="E1440" i="17"/>
  <c r="M1309" i="31" s="1"/>
  <c r="E1441" i="17"/>
  <c r="M1310" i="31" s="1"/>
  <c r="E1442" i="17"/>
  <c r="M1311" i="31" s="1"/>
  <c r="E1443" i="17"/>
  <c r="E1444" i="17"/>
  <c r="M1312" i="31" s="1"/>
  <c r="E1445" i="17"/>
  <c r="E1446" i="17"/>
  <c r="M1314" i="31" s="1"/>
  <c r="E1447" i="17"/>
  <c r="E1448" i="17"/>
  <c r="M1316" i="31" s="1"/>
  <c r="E1449" i="17"/>
  <c r="E1450" i="17"/>
  <c r="M1318" i="31" s="1"/>
  <c r="E1451" i="17"/>
  <c r="E1452" i="17"/>
  <c r="M1320" i="31" s="1"/>
  <c r="E1453" i="17"/>
  <c r="E1454" i="17"/>
  <c r="E1455" i="17"/>
  <c r="M1322" i="31" s="1"/>
  <c r="E1456" i="17"/>
  <c r="E1457" i="17"/>
  <c r="M1324" i="31" s="1"/>
  <c r="E1458" i="17"/>
  <c r="M1325" i="31" s="1"/>
  <c r="E1459" i="17"/>
  <c r="M1326" i="31" s="1"/>
  <c r="E1460" i="17"/>
  <c r="E1461" i="17"/>
  <c r="M1328" i="31" s="1"/>
  <c r="E1462" i="17"/>
  <c r="M1329" i="31" s="1"/>
  <c r="E1463" i="17"/>
  <c r="M1330" i="31" s="1"/>
  <c r="E1464" i="17"/>
  <c r="M1331" i="31" s="1"/>
  <c r="E1465" i="17"/>
  <c r="E1466" i="17"/>
  <c r="M1332" i="31" s="1"/>
  <c r="E1467" i="17"/>
  <c r="E1468" i="17"/>
  <c r="M1334" i="31" s="1"/>
  <c r="E1469" i="17"/>
  <c r="E1470" i="17"/>
  <c r="M1336" i="31" s="1"/>
  <c r="E1471" i="17"/>
  <c r="E1472" i="17"/>
  <c r="M1338" i="31" s="1"/>
  <c r="E1473" i="17"/>
  <c r="E1474" i="17"/>
  <c r="M1340" i="31" s="1"/>
  <c r="E1475" i="17"/>
  <c r="E1476" i="17"/>
  <c r="E1477" i="17"/>
  <c r="M1342" i="31" s="1"/>
  <c r="E1478" i="17"/>
  <c r="M1343" i="31" s="1"/>
  <c r="E1479" i="17"/>
  <c r="M1344" i="31" s="1"/>
  <c r="E1480" i="17"/>
  <c r="M1345" i="31" s="1"/>
  <c r="E1481" i="17"/>
  <c r="M1346" i="31" s="1"/>
  <c r="E1482" i="17"/>
  <c r="M1347" i="31" s="1"/>
  <c r="E1483" i="17"/>
  <c r="M1348" i="31" s="1"/>
  <c r="E1484" i="17"/>
  <c r="M1349" i="31" s="1"/>
  <c r="E1485" i="17"/>
  <c r="M1350" i="31" s="1"/>
  <c r="E1486" i="17"/>
  <c r="M1351" i="31" s="1"/>
  <c r="E1487" i="17"/>
  <c r="E1488" i="17"/>
  <c r="M1352" i="31" s="1"/>
  <c r="E1489" i="17"/>
  <c r="E1490" i="17"/>
  <c r="M1354" i="31" s="1"/>
  <c r="E1491" i="17"/>
  <c r="E1492" i="17"/>
  <c r="M1356" i="31" s="1"/>
  <c r="E1493" i="17"/>
  <c r="E1494" i="17"/>
  <c r="M1358" i="31" s="1"/>
  <c r="E1495" i="17"/>
  <c r="E1496" i="17"/>
  <c r="M1360" i="31" s="1"/>
  <c r="E1497" i="17"/>
  <c r="E1498" i="17"/>
  <c r="E1499" i="17"/>
  <c r="M1362" i="31" s="1"/>
  <c r="E1500" i="17"/>
  <c r="E1501" i="17"/>
  <c r="M1364" i="31" s="1"/>
  <c r="E1502" i="17"/>
  <c r="M1365" i="31" s="1"/>
  <c r="E1503" i="17"/>
  <c r="M1366" i="31" s="1"/>
  <c r="E1504" i="17"/>
  <c r="E1505" i="17"/>
  <c r="M1368" i="31" s="1"/>
  <c r="E1506" i="17"/>
  <c r="M1369" i="31" s="1"/>
  <c r="E1507" i="17"/>
  <c r="M1370" i="31" s="1"/>
  <c r="E1508" i="17"/>
  <c r="M1371" i="31" s="1"/>
  <c r="E1509" i="17"/>
  <c r="E1510" i="17"/>
  <c r="M1372" i="31" s="1"/>
  <c r="E1511" i="17"/>
  <c r="E1512" i="17"/>
  <c r="M1374" i="31" s="1"/>
  <c r="E1513" i="17"/>
  <c r="E1514" i="17"/>
  <c r="M1376" i="31" s="1"/>
  <c r="E1515" i="17"/>
  <c r="E1516" i="17"/>
  <c r="M1378" i="31" s="1"/>
  <c r="E1517" i="17"/>
  <c r="E1518" i="17"/>
  <c r="M1380" i="31" s="1"/>
  <c r="E1519" i="17"/>
  <c r="E1520" i="17"/>
  <c r="E1521" i="17"/>
  <c r="M1382" i="31" s="1"/>
  <c r="E1522" i="17"/>
  <c r="M1383" i="31" s="1"/>
  <c r="E1523" i="17"/>
  <c r="M1384" i="31" s="1"/>
  <c r="E1524" i="17"/>
  <c r="M1385" i="31" s="1"/>
  <c r="E1525" i="17"/>
  <c r="M1386" i="31" s="1"/>
  <c r="E1526" i="17"/>
  <c r="M1387" i="31" s="1"/>
  <c r="E1527" i="17"/>
  <c r="M1388" i="31" s="1"/>
  <c r="E1528" i="17"/>
  <c r="M1389" i="31" s="1"/>
  <c r="E1529" i="17"/>
  <c r="M1390" i="31" s="1"/>
  <c r="E1530" i="17"/>
  <c r="M1391" i="31" s="1"/>
  <c r="E1531" i="17"/>
  <c r="E1532" i="17"/>
  <c r="M1392" i="31" s="1"/>
  <c r="E1533" i="17"/>
  <c r="E1534" i="17"/>
  <c r="M1394" i="31" s="1"/>
  <c r="E1535" i="17"/>
  <c r="E1536" i="17"/>
  <c r="M1396" i="31" s="1"/>
  <c r="E1537" i="17"/>
  <c r="E1538" i="17"/>
  <c r="M1398" i="31" s="1"/>
  <c r="E1539" i="17"/>
  <c r="E1540" i="17"/>
  <c r="M1400" i="31" s="1"/>
  <c r="E1541" i="17"/>
  <c r="E1542" i="17"/>
  <c r="E1543" i="17"/>
  <c r="M1402" i="31" s="1"/>
  <c r="E1544" i="17"/>
  <c r="E1545" i="17"/>
  <c r="M1404" i="31" s="1"/>
  <c r="E1546" i="17"/>
  <c r="M1405" i="31" s="1"/>
  <c r="E1547" i="17"/>
  <c r="M1406" i="31" s="1"/>
  <c r="E1548" i="17"/>
  <c r="E1549" i="17"/>
  <c r="M1408" i="31" s="1"/>
  <c r="E1550" i="17"/>
  <c r="M1409" i="31" s="1"/>
  <c r="E1551" i="17"/>
  <c r="M1410" i="31" s="1"/>
  <c r="E1552" i="17"/>
  <c r="M1411" i="31" s="1"/>
  <c r="E1553" i="17"/>
  <c r="E1554" i="17"/>
  <c r="M1412" i="31" s="1"/>
  <c r="E1555" i="17"/>
  <c r="E1556" i="17"/>
  <c r="M1414" i="31" s="1"/>
  <c r="E1557" i="17"/>
  <c r="E1558" i="17"/>
  <c r="M1416" i="31" s="1"/>
  <c r="E1559" i="17"/>
  <c r="E1560" i="17"/>
  <c r="M1418" i="31" s="1"/>
  <c r="E1561" i="17"/>
  <c r="E1562" i="17"/>
  <c r="M1420" i="31" s="1"/>
  <c r="E1563" i="17"/>
  <c r="E1564" i="17"/>
  <c r="E1565" i="17"/>
  <c r="M1422" i="31" s="1"/>
  <c r="E1566" i="17"/>
  <c r="M1423" i="31" s="1"/>
  <c r="E1567" i="17"/>
  <c r="M1424" i="31" s="1"/>
  <c r="E1568" i="17"/>
  <c r="M1425" i="31" s="1"/>
  <c r="E1569" i="17"/>
  <c r="M1426" i="31" s="1"/>
  <c r="E1570" i="17"/>
  <c r="M1427" i="31" s="1"/>
  <c r="E1571" i="17"/>
  <c r="M1428" i="31" s="1"/>
  <c r="E1572" i="17"/>
  <c r="M1429" i="31" s="1"/>
  <c r="E1573" i="17"/>
  <c r="M1430" i="31" s="1"/>
  <c r="E1574" i="17"/>
  <c r="M1431" i="31" s="1"/>
  <c r="E1575" i="17"/>
  <c r="E1576" i="17"/>
  <c r="M1432" i="31" s="1"/>
  <c r="E1577" i="17"/>
  <c r="E1578" i="17"/>
  <c r="M1434" i="31" s="1"/>
  <c r="E1579" i="17"/>
  <c r="E1580" i="17"/>
  <c r="M1436" i="31" s="1"/>
  <c r="E1581" i="17"/>
  <c r="E1582" i="17"/>
  <c r="M1438" i="31" s="1"/>
  <c r="E1583" i="17"/>
  <c r="E1584" i="17"/>
  <c r="M1440" i="31" s="1"/>
  <c r="E1585" i="17"/>
  <c r="E1586" i="17"/>
  <c r="E1587" i="17"/>
  <c r="M1442" i="31" s="1"/>
  <c r="E1588" i="17"/>
  <c r="E1589" i="17"/>
  <c r="M1444" i="31" s="1"/>
  <c r="E1590" i="17"/>
  <c r="M1445" i="31" s="1"/>
  <c r="E1591" i="17"/>
  <c r="M1446" i="31" s="1"/>
  <c r="E1592" i="17"/>
  <c r="E1593" i="17"/>
  <c r="M1448" i="31" s="1"/>
  <c r="E1594" i="17"/>
  <c r="M1449" i="31" s="1"/>
  <c r="E1595" i="17"/>
  <c r="M1450" i="31" s="1"/>
  <c r="E1596" i="17"/>
  <c r="M1451" i="31" s="1"/>
  <c r="E1597" i="17"/>
  <c r="E1598" i="17"/>
  <c r="M1452" i="31" s="1"/>
  <c r="E1599" i="17"/>
  <c r="E1600" i="17"/>
  <c r="M1454" i="31" s="1"/>
  <c r="E1601" i="17"/>
  <c r="E1602" i="17"/>
  <c r="M1456" i="31" s="1"/>
  <c r="E1603" i="17"/>
  <c r="E1604" i="17"/>
  <c r="M1458" i="31" s="1"/>
  <c r="E1605" i="17"/>
  <c r="E1606" i="17"/>
  <c r="M1460" i="31" s="1"/>
  <c r="E1607" i="17"/>
  <c r="E1608" i="17"/>
  <c r="E1609" i="17"/>
  <c r="M1462" i="31" s="1"/>
  <c r="E1610" i="17"/>
  <c r="M1463" i="31" s="1"/>
  <c r="E1611" i="17"/>
  <c r="M1464" i="31" s="1"/>
  <c r="E1612" i="17"/>
  <c r="M1465" i="31" s="1"/>
  <c r="E1613" i="17"/>
  <c r="M1466" i="31" s="1"/>
  <c r="E1614" i="17"/>
  <c r="M1467" i="31" s="1"/>
  <c r="E1615" i="17"/>
  <c r="M1468" i="31" s="1"/>
  <c r="E1616" i="17"/>
  <c r="M1469" i="31" s="1"/>
  <c r="E1617" i="17"/>
  <c r="M1470" i="31" s="1"/>
  <c r="E1618" i="17"/>
  <c r="M1471" i="31" s="1"/>
  <c r="E1619" i="17"/>
  <c r="E1620" i="17"/>
  <c r="M1472" i="31" s="1"/>
  <c r="E1621" i="17"/>
  <c r="E1622" i="17"/>
  <c r="M1474" i="31" s="1"/>
  <c r="E1623" i="17"/>
  <c r="E1624" i="17"/>
  <c r="M1476" i="31" s="1"/>
  <c r="E1625" i="17"/>
  <c r="E1626" i="17"/>
  <c r="M1478" i="31" s="1"/>
  <c r="E1627" i="17"/>
  <c r="E1628" i="17"/>
  <c r="M1480" i="31" s="1"/>
  <c r="E1629" i="17"/>
  <c r="E2" i="15"/>
  <c r="L9" i="31"/>
  <c r="L17" i="31"/>
  <c r="L33" i="31"/>
  <c r="L41" i="31"/>
  <c r="L49" i="31"/>
  <c r="L57" i="31"/>
  <c r="L65" i="31"/>
  <c r="L73" i="31"/>
  <c r="L81" i="31"/>
  <c r="L89" i="31"/>
  <c r="L97" i="31"/>
  <c r="L113" i="31"/>
  <c r="L121" i="31"/>
  <c r="L129" i="31"/>
  <c r="L137" i="31"/>
  <c r="L153" i="31"/>
  <c r="L161" i="31"/>
  <c r="L169" i="31"/>
  <c r="L177" i="31"/>
  <c r="L193" i="31"/>
  <c r="L201" i="31"/>
  <c r="L209" i="31"/>
  <c r="L217" i="31"/>
  <c r="L233" i="31"/>
  <c r="L241" i="31"/>
  <c r="L249" i="31"/>
  <c r="L257" i="31"/>
  <c r="L273" i="31"/>
  <c r="L281" i="31"/>
  <c r="L289" i="31"/>
  <c r="L297" i="31"/>
  <c r="L313" i="31"/>
  <c r="L321" i="31"/>
  <c r="L329" i="31"/>
  <c r="L337" i="31"/>
  <c r="L353" i="31"/>
  <c r="L361" i="31"/>
  <c r="L370" i="31"/>
  <c r="L386" i="31"/>
  <c r="L394" i="31"/>
  <c r="L402" i="31"/>
  <c r="L410" i="31"/>
  <c r="L418" i="31"/>
  <c r="L426" i="31"/>
  <c r="L434" i="31"/>
  <c r="L442" i="31"/>
  <c r="L450" i="31"/>
  <c r="L466" i="31"/>
  <c r="L474" i="31"/>
  <c r="L482" i="31"/>
  <c r="L490" i="31"/>
  <c r="L506" i="31"/>
  <c r="L514" i="31"/>
  <c r="L522" i="31"/>
  <c r="L530" i="31"/>
  <c r="L546" i="31"/>
  <c r="L554" i="31"/>
  <c r="L562" i="31"/>
  <c r="L570" i="31"/>
  <c r="L586" i="31"/>
  <c r="L594" i="31"/>
  <c r="L602" i="31"/>
  <c r="L610" i="31"/>
  <c r="L626" i="31"/>
  <c r="L634" i="31"/>
  <c r="L639" i="31"/>
  <c r="L655" i="31"/>
  <c r="L659" i="31"/>
  <c r="L663" i="31"/>
  <c r="L667" i="31"/>
  <c r="L671" i="31"/>
  <c r="L675" i="31"/>
  <c r="L679" i="31"/>
  <c r="L695" i="31"/>
  <c r="L699" i="31"/>
  <c r="L703" i="31"/>
  <c r="L707" i="31"/>
  <c r="L711" i="31"/>
  <c r="L715" i="31"/>
  <c r="L719" i="31"/>
  <c r="L735" i="31"/>
  <c r="L739" i="31"/>
  <c r="L743" i="31"/>
  <c r="L747" i="31"/>
  <c r="L751" i="31"/>
  <c r="L755" i="31"/>
  <c r="L759" i="31"/>
  <c r="L775" i="31"/>
  <c r="L779" i="31"/>
  <c r="L783" i="31"/>
  <c r="L787" i="31"/>
  <c r="L791" i="31"/>
  <c r="L795" i="31"/>
  <c r="L799" i="31"/>
  <c r="L815" i="31"/>
  <c r="L819" i="31"/>
  <c r="L823" i="31"/>
  <c r="L827" i="31"/>
  <c r="L831" i="31"/>
  <c r="L835" i="31"/>
  <c r="L839" i="31"/>
  <c r="L855" i="31"/>
  <c r="L859" i="31"/>
  <c r="L863" i="31"/>
  <c r="L867" i="31"/>
  <c r="L871" i="31"/>
  <c r="L875" i="31"/>
  <c r="L879" i="31"/>
  <c r="L895" i="31"/>
  <c r="L899" i="31"/>
  <c r="L903" i="31"/>
  <c r="L907" i="31"/>
  <c r="L911" i="31"/>
  <c r="L915" i="31"/>
  <c r="L919" i="31"/>
  <c r="L935" i="31"/>
  <c r="L939" i="31"/>
  <c r="L943" i="31"/>
  <c r="L947" i="31"/>
  <c r="L951" i="31"/>
  <c r="L955" i="31"/>
  <c r="L959" i="31"/>
  <c r="L975" i="31"/>
  <c r="L979" i="31"/>
  <c r="L983" i="31"/>
  <c r="L987" i="31"/>
  <c r="L991" i="31"/>
  <c r="L995" i="31"/>
  <c r="L999" i="31"/>
  <c r="L1015" i="31"/>
  <c r="L1019" i="31"/>
  <c r="L1023" i="31"/>
  <c r="L1027" i="31"/>
  <c r="L1031" i="31"/>
  <c r="L1035" i="31"/>
  <c r="L1039" i="31"/>
  <c r="L1055" i="31"/>
  <c r="L1059" i="31"/>
  <c r="L1063" i="31"/>
  <c r="L1067" i="31"/>
  <c r="L1071" i="31"/>
  <c r="L1075" i="31"/>
  <c r="L1079" i="31"/>
  <c r="L1095" i="31"/>
  <c r="L1099" i="31"/>
  <c r="L1103" i="31"/>
  <c r="L1107" i="31"/>
  <c r="L1111" i="31"/>
  <c r="L1115" i="31"/>
  <c r="L1119" i="31"/>
  <c r="L1135" i="31"/>
  <c r="L1139" i="31"/>
  <c r="L1143" i="31"/>
  <c r="L1147" i="31"/>
  <c r="L1151" i="31"/>
  <c r="L1155" i="31"/>
  <c r="L1159" i="31"/>
  <c r="L1175" i="31"/>
  <c r="L1179" i="31"/>
  <c r="L1183" i="31"/>
  <c r="L1187" i="31"/>
  <c r="L1191" i="31"/>
  <c r="L1195" i="31"/>
  <c r="L1199" i="31"/>
  <c r="L1215" i="31"/>
  <c r="L1219" i="31"/>
  <c r="L1223" i="31"/>
  <c r="L1227" i="31"/>
  <c r="L1231" i="31"/>
  <c r="L1235" i="31"/>
  <c r="L1239" i="31"/>
  <c r="L1255" i="31"/>
  <c r="L1259" i="31"/>
  <c r="L1263" i="31"/>
  <c r="L1267" i="31"/>
  <c r="L1271" i="31"/>
  <c r="L1275" i="31"/>
  <c r="L1279" i="31"/>
  <c r="L1295" i="31"/>
  <c r="L1299" i="31"/>
  <c r="L1303" i="31"/>
  <c r="L1307" i="31"/>
  <c r="L1311" i="31"/>
  <c r="L1315" i="31"/>
  <c r="L1319" i="31"/>
  <c r="L1335" i="31"/>
  <c r="L1339" i="31"/>
  <c r="L1343" i="31"/>
  <c r="L1347" i="31"/>
  <c r="L1351" i="31"/>
  <c r="L1355" i="31"/>
  <c r="L1359" i="31"/>
  <c r="L1375" i="31"/>
  <c r="L1379" i="31"/>
  <c r="L1383" i="31"/>
  <c r="L1387" i="31"/>
  <c r="L1391" i="31"/>
  <c r="L1395" i="31"/>
  <c r="L1399" i="31"/>
  <c r="L1415" i="31"/>
  <c r="L1419" i="31"/>
  <c r="L1423" i="31"/>
  <c r="L1427" i="31"/>
  <c r="L1431" i="31"/>
  <c r="L1435" i="31"/>
  <c r="L1439" i="31"/>
  <c r="L1455" i="31"/>
  <c r="L1459" i="31"/>
  <c r="L1463" i="31"/>
  <c r="L1467" i="31"/>
  <c r="L1471" i="31"/>
  <c r="L1475" i="31"/>
  <c r="L1479" i="31"/>
  <c r="E3" i="15"/>
  <c r="L2" i="31" s="1"/>
  <c r="E4" i="15"/>
  <c r="L3" i="31" s="1"/>
  <c r="E5" i="15"/>
  <c r="L4" i="31" s="1"/>
  <c r="E6" i="15"/>
  <c r="L5" i="31" s="1"/>
  <c r="E7" i="15"/>
  <c r="L6" i="31" s="1"/>
  <c r="E8" i="15"/>
  <c r="L7" i="31" s="1"/>
  <c r="E9" i="15"/>
  <c r="L8" i="31" s="1"/>
  <c r="E10" i="15"/>
  <c r="E11" i="15"/>
  <c r="L10" i="31" s="1"/>
  <c r="E12" i="15"/>
  <c r="L11" i="31" s="1"/>
  <c r="E13" i="15"/>
  <c r="E14" i="15"/>
  <c r="L12" i="31" s="1"/>
  <c r="E15" i="15"/>
  <c r="L13" i="31" s="1"/>
  <c r="E16" i="15"/>
  <c r="L14" i="31" s="1"/>
  <c r="E17" i="15"/>
  <c r="L15" i="31" s="1"/>
  <c r="E18" i="15"/>
  <c r="L16" i="31" s="1"/>
  <c r="E19" i="15"/>
  <c r="E20" i="15"/>
  <c r="L18" i="31" s="1"/>
  <c r="E21" i="15"/>
  <c r="L19" i="31" s="1"/>
  <c r="E22" i="15"/>
  <c r="L20" i="31" s="1"/>
  <c r="E23" i="15"/>
  <c r="L21" i="31" s="1"/>
  <c r="E24" i="15"/>
  <c r="E25" i="15"/>
  <c r="L22" i="31" s="1"/>
  <c r="E26" i="15"/>
  <c r="L23" i="31" s="1"/>
  <c r="E27" i="15"/>
  <c r="L24" i="31" s="1"/>
  <c r="E28" i="15"/>
  <c r="L25" i="31" s="1"/>
  <c r="E29" i="15"/>
  <c r="L26" i="31" s="1"/>
  <c r="E30" i="15"/>
  <c r="L27" i="31" s="1"/>
  <c r="E31" i="15"/>
  <c r="L28" i="31" s="1"/>
  <c r="E32" i="15"/>
  <c r="L29" i="31" s="1"/>
  <c r="E33" i="15"/>
  <c r="L30" i="31" s="1"/>
  <c r="E34" i="15"/>
  <c r="L31" i="31" s="1"/>
  <c r="E35" i="15"/>
  <c r="E36" i="15"/>
  <c r="L32" i="31" s="1"/>
  <c r="E37" i="15"/>
  <c r="E38" i="15"/>
  <c r="L34" i="31" s="1"/>
  <c r="E39" i="15"/>
  <c r="L35" i="31" s="1"/>
  <c r="E40" i="15"/>
  <c r="L36" i="31" s="1"/>
  <c r="E41" i="15"/>
  <c r="L37" i="31" s="1"/>
  <c r="E42" i="15"/>
  <c r="L38" i="31" s="1"/>
  <c r="E43" i="15"/>
  <c r="L39" i="31" s="1"/>
  <c r="E44" i="15"/>
  <c r="L40" i="31" s="1"/>
  <c r="E45" i="15"/>
  <c r="E46" i="15"/>
  <c r="E47" i="15"/>
  <c r="L42" i="31" s="1"/>
  <c r="E48" i="15"/>
  <c r="L43" i="31" s="1"/>
  <c r="E49" i="15"/>
  <c r="L44" i="31" s="1"/>
  <c r="E50" i="15"/>
  <c r="L45" i="31" s="1"/>
  <c r="E51" i="15"/>
  <c r="L46" i="31" s="1"/>
  <c r="E52" i="15"/>
  <c r="L47" i="31" s="1"/>
  <c r="E53" i="15"/>
  <c r="L48" i="31" s="1"/>
  <c r="E54" i="15"/>
  <c r="E55" i="15"/>
  <c r="L50" i="31" s="1"/>
  <c r="E56" i="15"/>
  <c r="L51" i="31" s="1"/>
  <c r="E57" i="15"/>
  <c r="E58" i="15"/>
  <c r="L52" i="31" s="1"/>
  <c r="E59" i="15"/>
  <c r="L53" i="31" s="1"/>
  <c r="E60" i="15"/>
  <c r="L54" i="31" s="1"/>
  <c r="E61" i="15"/>
  <c r="L55" i="31" s="1"/>
  <c r="E62" i="15"/>
  <c r="L56" i="31" s="1"/>
  <c r="E63" i="15"/>
  <c r="E64" i="15"/>
  <c r="L58" i="31" s="1"/>
  <c r="E65" i="15"/>
  <c r="L59" i="31" s="1"/>
  <c r="E66" i="15"/>
  <c r="L60" i="31" s="1"/>
  <c r="E67" i="15"/>
  <c r="L61" i="31" s="1"/>
  <c r="E68" i="15"/>
  <c r="E69" i="15"/>
  <c r="L62" i="31" s="1"/>
  <c r="E70" i="15"/>
  <c r="L63" i="31" s="1"/>
  <c r="E71" i="15"/>
  <c r="L64" i="31" s="1"/>
  <c r="E72" i="15"/>
  <c r="E73" i="15"/>
  <c r="L66" i="31" s="1"/>
  <c r="E74" i="15"/>
  <c r="L67" i="31" s="1"/>
  <c r="E75" i="15"/>
  <c r="L68" i="31" s="1"/>
  <c r="E76" i="15"/>
  <c r="L69" i="31" s="1"/>
  <c r="E77" i="15"/>
  <c r="L70" i="31" s="1"/>
  <c r="E78" i="15"/>
  <c r="L71" i="31" s="1"/>
  <c r="E79" i="15"/>
  <c r="E80" i="15"/>
  <c r="L72" i="31" s="1"/>
  <c r="E81" i="15"/>
  <c r="E82" i="15"/>
  <c r="L74" i="31" s="1"/>
  <c r="E83" i="15"/>
  <c r="L75" i="31" s="1"/>
  <c r="E84" i="15"/>
  <c r="L76" i="31" s="1"/>
  <c r="E85" i="15"/>
  <c r="L77" i="31" s="1"/>
  <c r="E86" i="15"/>
  <c r="L78" i="31" s="1"/>
  <c r="E87" i="15"/>
  <c r="L79" i="31" s="1"/>
  <c r="E88" i="15"/>
  <c r="L80" i="31" s="1"/>
  <c r="E89" i="15"/>
  <c r="E90" i="15"/>
  <c r="E91" i="15"/>
  <c r="L82" i="31" s="1"/>
  <c r="E92" i="15"/>
  <c r="L83" i="31" s="1"/>
  <c r="E93" i="15"/>
  <c r="L84" i="31" s="1"/>
  <c r="E94" i="15"/>
  <c r="L85" i="31" s="1"/>
  <c r="E95" i="15"/>
  <c r="L86" i="31" s="1"/>
  <c r="E96" i="15"/>
  <c r="L87" i="31" s="1"/>
  <c r="E97" i="15"/>
  <c r="L88" i="31" s="1"/>
  <c r="E98" i="15"/>
  <c r="E99" i="15"/>
  <c r="L90" i="31" s="1"/>
  <c r="E100" i="15"/>
  <c r="L91" i="31" s="1"/>
  <c r="E101" i="15"/>
  <c r="E102" i="15"/>
  <c r="L92" i="31" s="1"/>
  <c r="E103" i="15"/>
  <c r="L93" i="31" s="1"/>
  <c r="E104" i="15"/>
  <c r="L94" i="31" s="1"/>
  <c r="E105" i="15"/>
  <c r="L95" i="31" s="1"/>
  <c r="E106" i="15"/>
  <c r="L96" i="31" s="1"/>
  <c r="E107" i="15"/>
  <c r="E108" i="15"/>
  <c r="L98" i="31" s="1"/>
  <c r="E109" i="15"/>
  <c r="L99" i="31" s="1"/>
  <c r="E110" i="15"/>
  <c r="L100" i="31" s="1"/>
  <c r="E111" i="15"/>
  <c r="L101" i="31" s="1"/>
  <c r="E112" i="15"/>
  <c r="E113" i="15"/>
  <c r="L102" i="31" s="1"/>
  <c r="E114" i="15"/>
  <c r="L103" i="31" s="1"/>
  <c r="E115" i="15"/>
  <c r="L104" i="31" s="1"/>
  <c r="E116" i="15"/>
  <c r="L105" i="31" s="1"/>
  <c r="E117" i="15"/>
  <c r="L106" i="31" s="1"/>
  <c r="E118" i="15"/>
  <c r="L107" i="31" s="1"/>
  <c r="E119" i="15"/>
  <c r="L108" i="31" s="1"/>
  <c r="E120" i="15"/>
  <c r="L109" i="31" s="1"/>
  <c r="E121" i="15"/>
  <c r="L110" i="31" s="1"/>
  <c r="E122" i="15"/>
  <c r="L111" i="31" s="1"/>
  <c r="E123" i="15"/>
  <c r="E124" i="15"/>
  <c r="L112" i="31" s="1"/>
  <c r="E125" i="15"/>
  <c r="E126" i="15"/>
  <c r="L114" i="31" s="1"/>
  <c r="E127" i="15"/>
  <c r="L115" i="31" s="1"/>
  <c r="E128" i="15"/>
  <c r="L116" i="31" s="1"/>
  <c r="E129" i="15"/>
  <c r="L117" i="31" s="1"/>
  <c r="E130" i="15"/>
  <c r="L118" i="31" s="1"/>
  <c r="E131" i="15"/>
  <c r="L119" i="31" s="1"/>
  <c r="E132" i="15"/>
  <c r="L120" i="31" s="1"/>
  <c r="E133" i="15"/>
  <c r="E134" i="15"/>
  <c r="E135" i="15"/>
  <c r="L122" i="31" s="1"/>
  <c r="E136" i="15"/>
  <c r="L123" i="31" s="1"/>
  <c r="E137" i="15"/>
  <c r="L124" i="31" s="1"/>
  <c r="E138" i="15"/>
  <c r="L125" i="31" s="1"/>
  <c r="E139" i="15"/>
  <c r="L126" i="31" s="1"/>
  <c r="E140" i="15"/>
  <c r="L127" i="31" s="1"/>
  <c r="E141" i="15"/>
  <c r="L128" i="31" s="1"/>
  <c r="E142" i="15"/>
  <c r="E143" i="15"/>
  <c r="L130" i="31" s="1"/>
  <c r="E144" i="15"/>
  <c r="L131" i="31" s="1"/>
  <c r="E145" i="15"/>
  <c r="E146" i="15"/>
  <c r="L132" i="31" s="1"/>
  <c r="E147" i="15"/>
  <c r="L133" i="31" s="1"/>
  <c r="E148" i="15"/>
  <c r="L134" i="31" s="1"/>
  <c r="E149" i="15"/>
  <c r="L135" i="31" s="1"/>
  <c r="E150" i="15"/>
  <c r="L136" i="31" s="1"/>
  <c r="E151" i="15"/>
  <c r="E152" i="15"/>
  <c r="L138" i="31" s="1"/>
  <c r="E153" i="15"/>
  <c r="L139" i="31" s="1"/>
  <c r="E154" i="15"/>
  <c r="L140" i="31" s="1"/>
  <c r="E155" i="15"/>
  <c r="L141" i="31" s="1"/>
  <c r="E156" i="15"/>
  <c r="E157" i="15"/>
  <c r="L142" i="31" s="1"/>
  <c r="E158" i="15"/>
  <c r="L143" i="31" s="1"/>
  <c r="E159" i="15"/>
  <c r="L144" i="31" s="1"/>
  <c r="E160" i="15"/>
  <c r="L145" i="31" s="1"/>
  <c r="E161" i="15"/>
  <c r="L146" i="31" s="1"/>
  <c r="E162" i="15"/>
  <c r="L147" i="31" s="1"/>
  <c r="E163" i="15"/>
  <c r="L148" i="31" s="1"/>
  <c r="E164" i="15"/>
  <c r="L149" i="31" s="1"/>
  <c r="E165" i="15"/>
  <c r="L150" i="31" s="1"/>
  <c r="E166" i="15"/>
  <c r="L151" i="31" s="1"/>
  <c r="E167" i="15"/>
  <c r="E168" i="15"/>
  <c r="L152" i="31" s="1"/>
  <c r="E169" i="15"/>
  <c r="E170" i="15"/>
  <c r="L154" i="31" s="1"/>
  <c r="E171" i="15"/>
  <c r="L155" i="31" s="1"/>
  <c r="E172" i="15"/>
  <c r="L156" i="31" s="1"/>
  <c r="E173" i="15"/>
  <c r="L157" i="31" s="1"/>
  <c r="E174" i="15"/>
  <c r="L158" i="31" s="1"/>
  <c r="E175" i="15"/>
  <c r="L159" i="31" s="1"/>
  <c r="E176" i="15"/>
  <c r="L160" i="31" s="1"/>
  <c r="E177" i="15"/>
  <c r="E178" i="15"/>
  <c r="E179" i="15"/>
  <c r="L162" i="31" s="1"/>
  <c r="E180" i="15"/>
  <c r="L163" i="31" s="1"/>
  <c r="E181" i="15"/>
  <c r="L164" i="31" s="1"/>
  <c r="E182" i="15"/>
  <c r="L165" i="31" s="1"/>
  <c r="E183" i="15"/>
  <c r="L166" i="31" s="1"/>
  <c r="E184" i="15"/>
  <c r="L167" i="31" s="1"/>
  <c r="E185" i="15"/>
  <c r="L168" i="31" s="1"/>
  <c r="E186" i="15"/>
  <c r="E187" i="15"/>
  <c r="L170" i="31" s="1"/>
  <c r="E188" i="15"/>
  <c r="L171" i="31" s="1"/>
  <c r="E189" i="15"/>
  <c r="E190" i="15"/>
  <c r="L172" i="31" s="1"/>
  <c r="E191" i="15"/>
  <c r="L173" i="31" s="1"/>
  <c r="E192" i="15"/>
  <c r="L174" i="31" s="1"/>
  <c r="E193" i="15"/>
  <c r="L175" i="31" s="1"/>
  <c r="E194" i="15"/>
  <c r="L176" i="31" s="1"/>
  <c r="E195" i="15"/>
  <c r="E196" i="15"/>
  <c r="L178" i="31" s="1"/>
  <c r="E197" i="15"/>
  <c r="L179" i="31" s="1"/>
  <c r="E198" i="15"/>
  <c r="L180" i="31" s="1"/>
  <c r="E199" i="15"/>
  <c r="L181" i="31" s="1"/>
  <c r="E200" i="15"/>
  <c r="E201" i="15"/>
  <c r="L182" i="31" s="1"/>
  <c r="E202" i="15"/>
  <c r="L183" i="31" s="1"/>
  <c r="E203" i="15"/>
  <c r="L184" i="31" s="1"/>
  <c r="E204" i="15"/>
  <c r="L185" i="31" s="1"/>
  <c r="E205" i="15"/>
  <c r="L186" i="31" s="1"/>
  <c r="E206" i="15"/>
  <c r="L187" i="31" s="1"/>
  <c r="E207" i="15"/>
  <c r="L188" i="31" s="1"/>
  <c r="E208" i="15"/>
  <c r="L189" i="31" s="1"/>
  <c r="E209" i="15"/>
  <c r="L190" i="31" s="1"/>
  <c r="E210" i="15"/>
  <c r="L191" i="31" s="1"/>
  <c r="E211" i="15"/>
  <c r="E212" i="15"/>
  <c r="L192" i="31" s="1"/>
  <c r="E213" i="15"/>
  <c r="E214" i="15"/>
  <c r="L194" i="31" s="1"/>
  <c r="E215" i="15"/>
  <c r="L195" i="31" s="1"/>
  <c r="E216" i="15"/>
  <c r="L196" i="31" s="1"/>
  <c r="E217" i="15"/>
  <c r="L197" i="31" s="1"/>
  <c r="E218" i="15"/>
  <c r="L198" i="31" s="1"/>
  <c r="E219" i="15"/>
  <c r="L199" i="31" s="1"/>
  <c r="E220" i="15"/>
  <c r="L200" i="31" s="1"/>
  <c r="E221" i="15"/>
  <c r="E222" i="15"/>
  <c r="E223" i="15"/>
  <c r="L202" i="31" s="1"/>
  <c r="E224" i="15"/>
  <c r="L203" i="31" s="1"/>
  <c r="E225" i="15"/>
  <c r="L204" i="31" s="1"/>
  <c r="E226" i="15"/>
  <c r="L205" i="31" s="1"/>
  <c r="E227" i="15"/>
  <c r="L206" i="31" s="1"/>
  <c r="E228" i="15"/>
  <c r="L207" i="31" s="1"/>
  <c r="E229" i="15"/>
  <c r="L208" i="31" s="1"/>
  <c r="E230" i="15"/>
  <c r="E231" i="15"/>
  <c r="L210" i="31" s="1"/>
  <c r="E232" i="15"/>
  <c r="L211" i="31" s="1"/>
  <c r="E233" i="15"/>
  <c r="E234" i="15"/>
  <c r="L212" i="31" s="1"/>
  <c r="E235" i="15"/>
  <c r="L213" i="31" s="1"/>
  <c r="E236" i="15"/>
  <c r="L214" i="31" s="1"/>
  <c r="E237" i="15"/>
  <c r="L215" i="31" s="1"/>
  <c r="E238" i="15"/>
  <c r="L216" i="31" s="1"/>
  <c r="E239" i="15"/>
  <c r="E240" i="15"/>
  <c r="L218" i="31" s="1"/>
  <c r="E241" i="15"/>
  <c r="L219" i="31" s="1"/>
  <c r="E242" i="15"/>
  <c r="L220" i="31" s="1"/>
  <c r="E243" i="15"/>
  <c r="L221" i="31" s="1"/>
  <c r="E244" i="15"/>
  <c r="E245" i="15"/>
  <c r="L222" i="31" s="1"/>
  <c r="E246" i="15"/>
  <c r="L223" i="31" s="1"/>
  <c r="E247" i="15"/>
  <c r="L224" i="31" s="1"/>
  <c r="E248" i="15"/>
  <c r="L225" i="31" s="1"/>
  <c r="E249" i="15"/>
  <c r="L226" i="31" s="1"/>
  <c r="E250" i="15"/>
  <c r="L227" i="31" s="1"/>
  <c r="E251" i="15"/>
  <c r="L228" i="31" s="1"/>
  <c r="E252" i="15"/>
  <c r="L229" i="31" s="1"/>
  <c r="E253" i="15"/>
  <c r="L230" i="31" s="1"/>
  <c r="E254" i="15"/>
  <c r="L231" i="31" s="1"/>
  <c r="E255" i="15"/>
  <c r="E256" i="15"/>
  <c r="L232" i="31" s="1"/>
  <c r="E257" i="15"/>
  <c r="E258" i="15"/>
  <c r="L234" i="31" s="1"/>
  <c r="E259" i="15"/>
  <c r="L235" i="31" s="1"/>
  <c r="E260" i="15"/>
  <c r="L236" i="31" s="1"/>
  <c r="E261" i="15"/>
  <c r="L237" i="31" s="1"/>
  <c r="E262" i="15"/>
  <c r="L238" i="31" s="1"/>
  <c r="E263" i="15"/>
  <c r="L239" i="31" s="1"/>
  <c r="E264" i="15"/>
  <c r="L240" i="31" s="1"/>
  <c r="E265" i="15"/>
  <c r="E266" i="15"/>
  <c r="E267" i="15"/>
  <c r="L242" i="31" s="1"/>
  <c r="E268" i="15"/>
  <c r="L243" i="31" s="1"/>
  <c r="E269" i="15"/>
  <c r="L244" i="31" s="1"/>
  <c r="E270" i="15"/>
  <c r="L245" i="31" s="1"/>
  <c r="E271" i="15"/>
  <c r="L246" i="31" s="1"/>
  <c r="E272" i="15"/>
  <c r="L247" i="31" s="1"/>
  <c r="E273" i="15"/>
  <c r="L248" i="31" s="1"/>
  <c r="E274" i="15"/>
  <c r="E275" i="15"/>
  <c r="L250" i="31" s="1"/>
  <c r="E276" i="15"/>
  <c r="L251" i="31" s="1"/>
  <c r="E277" i="15"/>
  <c r="E278" i="15"/>
  <c r="L252" i="31" s="1"/>
  <c r="E279" i="15"/>
  <c r="L253" i="31" s="1"/>
  <c r="E280" i="15"/>
  <c r="L254" i="31" s="1"/>
  <c r="E281" i="15"/>
  <c r="L255" i="31" s="1"/>
  <c r="E282" i="15"/>
  <c r="L256" i="31" s="1"/>
  <c r="E283" i="15"/>
  <c r="E284" i="15"/>
  <c r="L258" i="31" s="1"/>
  <c r="E285" i="15"/>
  <c r="L259" i="31" s="1"/>
  <c r="E286" i="15"/>
  <c r="L260" i="31" s="1"/>
  <c r="E287" i="15"/>
  <c r="L261" i="31" s="1"/>
  <c r="E288" i="15"/>
  <c r="E289" i="15"/>
  <c r="L262" i="31" s="1"/>
  <c r="E290" i="15"/>
  <c r="L263" i="31" s="1"/>
  <c r="E291" i="15"/>
  <c r="L264" i="31" s="1"/>
  <c r="E292" i="15"/>
  <c r="L265" i="31" s="1"/>
  <c r="E293" i="15"/>
  <c r="L266" i="31" s="1"/>
  <c r="E294" i="15"/>
  <c r="L267" i="31" s="1"/>
  <c r="E295" i="15"/>
  <c r="L268" i="31" s="1"/>
  <c r="E296" i="15"/>
  <c r="L269" i="31" s="1"/>
  <c r="E297" i="15"/>
  <c r="L270" i="31" s="1"/>
  <c r="E298" i="15"/>
  <c r="L271" i="31" s="1"/>
  <c r="E299" i="15"/>
  <c r="E300" i="15"/>
  <c r="L272" i="31" s="1"/>
  <c r="E301" i="15"/>
  <c r="E302" i="15"/>
  <c r="L274" i="31" s="1"/>
  <c r="E303" i="15"/>
  <c r="L275" i="31" s="1"/>
  <c r="E304" i="15"/>
  <c r="L276" i="31" s="1"/>
  <c r="E305" i="15"/>
  <c r="L277" i="31" s="1"/>
  <c r="E306" i="15"/>
  <c r="L278" i="31" s="1"/>
  <c r="E307" i="15"/>
  <c r="L279" i="31" s="1"/>
  <c r="E308" i="15"/>
  <c r="L280" i="31" s="1"/>
  <c r="E309" i="15"/>
  <c r="E310" i="15"/>
  <c r="E311" i="15"/>
  <c r="L282" i="31" s="1"/>
  <c r="E312" i="15"/>
  <c r="L283" i="31" s="1"/>
  <c r="E313" i="15"/>
  <c r="L284" i="31" s="1"/>
  <c r="E314" i="15"/>
  <c r="L285" i="31" s="1"/>
  <c r="E315" i="15"/>
  <c r="L286" i="31" s="1"/>
  <c r="E316" i="15"/>
  <c r="L287" i="31" s="1"/>
  <c r="E317" i="15"/>
  <c r="L288" i="31" s="1"/>
  <c r="E318" i="15"/>
  <c r="E319" i="15"/>
  <c r="L290" i="31" s="1"/>
  <c r="E320" i="15"/>
  <c r="L291" i="31" s="1"/>
  <c r="E321" i="15"/>
  <c r="E322" i="15"/>
  <c r="L292" i="31" s="1"/>
  <c r="E323" i="15"/>
  <c r="L293" i="31" s="1"/>
  <c r="E324" i="15"/>
  <c r="L294" i="31" s="1"/>
  <c r="E325" i="15"/>
  <c r="L295" i="31" s="1"/>
  <c r="E326" i="15"/>
  <c r="L296" i="31" s="1"/>
  <c r="E327" i="15"/>
  <c r="E328" i="15"/>
  <c r="L298" i="31" s="1"/>
  <c r="E329" i="15"/>
  <c r="L299" i="31" s="1"/>
  <c r="E330" i="15"/>
  <c r="L300" i="31" s="1"/>
  <c r="E331" i="15"/>
  <c r="L301" i="31" s="1"/>
  <c r="E332" i="15"/>
  <c r="E333" i="15"/>
  <c r="L302" i="31" s="1"/>
  <c r="E334" i="15"/>
  <c r="L303" i="31" s="1"/>
  <c r="E335" i="15"/>
  <c r="L304" i="31" s="1"/>
  <c r="E336" i="15"/>
  <c r="L305" i="31" s="1"/>
  <c r="E337" i="15"/>
  <c r="L306" i="31" s="1"/>
  <c r="E338" i="15"/>
  <c r="L307" i="31" s="1"/>
  <c r="E339" i="15"/>
  <c r="L308" i="31" s="1"/>
  <c r="E340" i="15"/>
  <c r="L309" i="31" s="1"/>
  <c r="E341" i="15"/>
  <c r="L310" i="31" s="1"/>
  <c r="E342" i="15"/>
  <c r="L311" i="31" s="1"/>
  <c r="E343" i="15"/>
  <c r="E344" i="15"/>
  <c r="L312" i="31" s="1"/>
  <c r="E345" i="15"/>
  <c r="E346" i="15"/>
  <c r="L314" i="31" s="1"/>
  <c r="E347" i="15"/>
  <c r="L315" i="31" s="1"/>
  <c r="E348" i="15"/>
  <c r="L316" i="31" s="1"/>
  <c r="E349" i="15"/>
  <c r="L317" i="31" s="1"/>
  <c r="E350" i="15"/>
  <c r="L318" i="31" s="1"/>
  <c r="E351" i="15"/>
  <c r="L319" i="31" s="1"/>
  <c r="E352" i="15"/>
  <c r="L320" i="31" s="1"/>
  <c r="E353" i="15"/>
  <c r="E354" i="15"/>
  <c r="E355" i="15"/>
  <c r="L322" i="31" s="1"/>
  <c r="E356" i="15"/>
  <c r="L323" i="31" s="1"/>
  <c r="E357" i="15"/>
  <c r="L324" i="31" s="1"/>
  <c r="E358" i="15"/>
  <c r="L325" i="31" s="1"/>
  <c r="E359" i="15"/>
  <c r="L326" i="31" s="1"/>
  <c r="E360" i="15"/>
  <c r="L327" i="31" s="1"/>
  <c r="E361" i="15"/>
  <c r="L328" i="31" s="1"/>
  <c r="E362" i="15"/>
  <c r="E363" i="15"/>
  <c r="L330" i="31" s="1"/>
  <c r="E364" i="15"/>
  <c r="L331" i="31" s="1"/>
  <c r="E365" i="15"/>
  <c r="E366" i="15"/>
  <c r="L332" i="31" s="1"/>
  <c r="E367" i="15"/>
  <c r="L333" i="31" s="1"/>
  <c r="E368" i="15"/>
  <c r="L334" i="31" s="1"/>
  <c r="E369" i="15"/>
  <c r="L335" i="31" s="1"/>
  <c r="E370" i="15"/>
  <c r="L336" i="31" s="1"/>
  <c r="E371" i="15"/>
  <c r="E372" i="15"/>
  <c r="L338" i="31" s="1"/>
  <c r="E373" i="15"/>
  <c r="L339" i="31" s="1"/>
  <c r="E374" i="15"/>
  <c r="L340" i="31" s="1"/>
  <c r="E375" i="15"/>
  <c r="L341" i="31" s="1"/>
  <c r="E376" i="15"/>
  <c r="E377" i="15"/>
  <c r="L342" i="31" s="1"/>
  <c r="E378" i="15"/>
  <c r="L343" i="31" s="1"/>
  <c r="E379" i="15"/>
  <c r="L344" i="31" s="1"/>
  <c r="E380" i="15"/>
  <c r="L345" i="31" s="1"/>
  <c r="E381" i="15"/>
  <c r="L346" i="31" s="1"/>
  <c r="E382" i="15"/>
  <c r="L347" i="31" s="1"/>
  <c r="E383" i="15"/>
  <c r="L348" i="31" s="1"/>
  <c r="E384" i="15"/>
  <c r="L349" i="31" s="1"/>
  <c r="E385" i="15"/>
  <c r="L350" i="31" s="1"/>
  <c r="E386" i="15"/>
  <c r="L351" i="31" s="1"/>
  <c r="E387" i="15"/>
  <c r="E388" i="15"/>
  <c r="L352" i="31" s="1"/>
  <c r="E389" i="15"/>
  <c r="E390" i="15"/>
  <c r="L354" i="31" s="1"/>
  <c r="E391" i="15"/>
  <c r="L355" i="31" s="1"/>
  <c r="E392" i="15"/>
  <c r="L356" i="31" s="1"/>
  <c r="E393" i="15"/>
  <c r="L357" i="31" s="1"/>
  <c r="E394" i="15"/>
  <c r="L358" i="31" s="1"/>
  <c r="E395" i="15"/>
  <c r="L359" i="31" s="1"/>
  <c r="E396" i="15"/>
  <c r="L360" i="31" s="1"/>
  <c r="E397" i="15"/>
  <c r="E398" i="15"/>
  <c r="E399" i="15"/>
  <c r="L362" i="31" s="1"/>
  <c r="E400" i="15"/>
  <c r="L363" i="31" s="1"/>
  <c r="E401" i="15"/>
  <c r="L364" i="31" s="1"/>
  <c r="E402" i="15"/>
  <c r="L365" i="31" s="1"/>
  <c r="E403" i="15"/>
  <c r="L366" i="31" s="1"/>
  <c r="E404" i="15"/>
  <c r="L367" i="31" s="1"/>
  <c r="E405" i="15"/>
  <c r="L368" i="31" s="1"/>
  <c r="E406" i="15"/>
  <c r="L369" i="31" s="1"/>
  <c r="E407" i="15"/>
  <c r="E408" i="15"/>
  <c r="L371" i="31" s="1"/>
  <c r="E409" i="15"/>
  <c r="E410" i="15"/>
  <c r="L372" i="31" s="1"/>
  <c r="E411" i="15"/>
  <c r="L373" i="31" s="1"/>
  <c r="E412" i="15"/>
  <c r="L374" i="31" s="1"/>
  <c r="E413" i="15"/>
  <c r="L375" i="31" s="1"/>
  <c r="E414" i="15"/>
  <c r="L376" i="31" s="1"/>
  <c r="E415" i="15"/>
  <c r="L377" i="31" s="1"/>
  <c r="E416" i="15"/>
  <c r="L378" i="31" s="1"/>
  <c r="E417" i="15"/>
  <c r="L379" i="31" s="1"/>
  <c r="E418" i="15"/>
  <c r="L380" i="31" s="1"/>
  <c r="E419" i="15"/>
  <c r="L381" i="31" s="1"/>
  <c r="E420" i="15"/>
  <c r="E421" i="15"/>
  <c r="L382" i="31" s="1"/>
  <c r="E422" i="15"/>
  <c r="L383" i="31" s="1"/>
  <c r="E423" i="15"/>
  <c r="L384" i="31" s="1"/>
  <c r="E424" i="15"/>
  <c r="L385" i="31" s="1"/>
  <c r="E425" i="15"/>
  <c r="E426" i="15"/>
  <c r="L387" i="31" s="1"/>
  <c r="E427" i="15"/>
  <c r="L388" i="31" s="1"/>
  <c r="E428" i="15"/>
  <c r="L389" i="31" s="1"/>
  <c r="E429" i="15"/>
  <c r="L390" i="31" s="1"/>
  <c r="E430" i="15"/>
  <c r="L391" i="31" s="1"/>
  <c r="E431" i="15"/>
  <c r="E432" i="15"/>
  <c r="L392" i="31" s="1"/>
  <c r="E433" i="15"/>
  <c r="L393" i="31" s="1"/>
  <c r="E434" i="15"/>
  <c r="E435" i="15"/>
  <c r="L395" i="31" s="1"/>
  <c r="E436" i="15"/>
  <c r="L396" i="31" s="1"/>
  <c r="E437" i="15"/>
  <c r="L397" i="31" s="1"/>
  <c r="E438" i="15"/>
  <c r="L398" i="31" s="1"/>
  <c r="E439" i="15"/>
  <c r="L399" i="31" s="1"/>
  <c r="E440" i="15"/>
  <c r="L400" i="31" s="1"/>
  <c r="E441" i="15"/>
  <c r="L401" i="31" s="1"/>
  <c r="E442" i="15"/>
  <c r="E443" i="15"/>
  <c r="E444" i="15"/>
  <c r="L403" i="31" s="1"/>
  <c r="E445" i="15"/>
  <c r="L404" i="31" s="1"/>
  <c r="E446" i="15"/>
  <c r="L405" i="31" s="1"/>
  <c r="E447" i="15"/>
  <c r="L406" i="31" s="1"/>
  <c r="E448" i="15"/>
  <c r="L407" i="31" s="1"/>
  <c r="E449" i="15"/>
  <c r="L408" i="31" s="1"/>
  <c r="E450" i="15"/>
  <c r="L409" i="31" s="1"/>
  <c r="E451" i="15"/>
  <c r="E452" i="15"/>
  <c r="L411" i="31" s="1"/>
  <c r="E453" i="15"/>
  <c r="E454" i="15"/>
  <c r="L412" i="31" s="1"/>
  <c r="E455" i="15"/>
  <c r="L413" i="31" s="1"/>
  <c r="E456" i="15"/>
  <c r="L414" i="31" s="1"/>
  <c r="E457" i="15"/>
  <c r="L415" i="31" s="1"/>
  <c r="E458" i="15"/>
  <c r="L416" i="31" s="1"/>
  <c r="E459" i="15"/>
  <c r="L417" i="31" s="1"/>
  <c r="E460" i="15"/>
  <c r="E461" i="15"/>
  <c r="L419" i="31" s="1"/>
  <c r="E462" i="15"/>
  <c r="L420" i="31" s="1"/>
  <c r="E463" i="15"/>
  <c r="L421" i="31" s="1"/>
  <c r="E464" i="15"/>
  <c r="E465" i="15"/>
  <c r="L422" i="31" s="1"/>
  <c r="E466" i="15"/>
  <c r="L423" i="31" s="1"/>
  <c r="E467" i="15"/>
  <c r="L424" i="31" s="1"/>
  <c r="E468" i="15"/>
  <c r="L425" i="31" s="1"/>
  <c r="E469" i="15"/>
  <c r="E470" i="15"/>
  <c r="L427" i="31" s="1"/>
  <c r="E471" i="15"/>
  <c r="L428" i="31" s="1"/>
  <c r="E472" i="15"/>
  <c r="L429" i="31" s="1"/>
  <c r="E473" i="15"/>
  <c r="L430" i="31" s="1"/>
  <c r="E474" i="15"/>
  <c r="L431" i="31" s="1"/>
  <c r="E475" i="15"/>
  <c r="E476" i="15"/>
  <c r="L432" i="31" s="1"/>
  <c r="E477" i="15"/>
  <c r="L433" i="31" s="1"/>
  <c r="E478" i="15"/>
  <c r="E479" i="15"/>
  <c r="L435" i="31" s="1"/>
  <c r="E480" i="15"/>
  <c r="L436" i="31" s="1"/>
  <c r="E481" i="15"/>
  <c r="L437" i="31" s="1"/>
  <c r="E482" i="15"/>
  <c r="L438" i="31" s="1"/>
  <c r="E483" i="15"/>
  <c r="L439" i="31" s="1"/>
  <c r="E484" i="15"/>
  <c r="L440" i="31" s="1"/>
  <c r="E485" i="15"/>
  <c r="L441" i="31" s="1"/>
  <c r="E486" i="15"/>
  <c r="E487" i="15"/>
  <c r="E488" i="15"/>
  <c r="L443" i="31" s="1"/>
  <c r="E489" i="15"/>
  <c r="L444" i="31" s="1"/>
  <c r="E490" i="15"/>
  <c r="L445" i="31" s="1"/>
  <c r="E491" i="15"/>
  <c r="L446" i="31" s="1"/>
  <c r="E492" i="15"/>
  <c r="L447" i="31" s="1"/>
  <c r="E493" i="15"/>
  <c r="L448" i="31" s="1"/>
  <c r="E494" i="15"/>
  <c r="L449" i="31" s="1"/>
  <c r="E495" i="15"/>
  <c r="E496" i="15"/>
  <c r="L451" i="31" s="1"/>
  <c r="E497" i="15"/>
  <c r="E498" i="15"/>
  <c r="L452" i="31" s="1"/>
  <c r="E499" i="15"/>
  <c r="L453" i="31" s="1"/>
  <c r="E500" i="15"/>
  <c r="L454" i="31" s="1"/>
  <c r="E501" i="15"/>
  <c r="L455" i="31" s="1"/>
  <c r="E502" i="15"/>
  <c r="L456" i="31" s="1"/>
  <c r="E503" i="15"/>
  <c r="L457" i="31" s="1"/>
  <c r="E504" i="15"/>
  <c r="L458" i="31" s="1"/>
  <c r="E505" i="15"/>
  <c r="L459" i="31" s="1"/>
  <c r="E506" i="15"/>
  <c r="L460" i="31" s="1"/>
  <c r="E507" i="15"/>
  <c r="L461" i="31" s="1"/>
  <c r="E508" i="15"/>
  <c r="E509" i="15"/>
  <c r="L462" i="31" s="1"/>
  <c r="E510" i="15"/>
  <c r="L463" i="31" s="1"/>
  <c r="E511" i="15"/>
  <c r="L464" i="31" s="1"/>
  <c r="E512" i="15"/>
  <c r="L465" i="31" s="1"/>
  <c r="E513" i="15"/>
  <c r="E514" i="15"/>
  <c r="L467" i="31" s="1"/>
  <c r="E515" i="15"/>
  <c r="L468" i="31" s="1"/>
  <c r="E516" i="15"/>
  <c r="L469" i="31" s="1"/>
  <c r="E517" i="15"/>
  <c r="L470" i="31" s="1"/>
  <c r="E518" i="15"/>
  <c r="L471" i="31" s="1"/>
  <c r="E519" i="15"/>
  <c r="E520" i="15"/>
  <c r="L472" i="31" s="1"/>
  <c r="E521" i="15"/>
  <c r="L473" i="31" s="1"/>
  <c r="E522" i="15"/>
  <c r="E523" i="15"/>
  <c r="L475" i="31" s="1"/>
  <c r="E524" i="15"/>
  <c r="L476" i="31" s="1"/>
  <c r="E525" i="15"/>
  <c r="L477" i="31" s="1"/>
  <c r="E526" i="15"/>
  <c r="L478" i="31" s="1"/>
  <c r="E527" i="15"/>
  <c r="L479" i="31" s="1"/>
  <c r="E528" i="15"/>
  <c r="L480" i="31" s="1"/>
  <c r="E529" i="15"/>
  <c r="L481" i="31" s="1"/>
  <c r="E530" i="15"/>
  <c r="E531" i="15"/>
  <c r="E532" i="15"/>
  <c r="L483" i="31" s="1"/>
  <c r="E533" i="15"/>
  <c r="L484" i="31" s="1"/>
  <c r="E534" i="15"/>
  <c r="L485" i="31" s="1"/>
  <c r="E535" i="15"/>
  <c r="L486" i="31" s="1"/>
  <c r="E536" i="15"/>
  <c r="L487" i="31" s="1"/>
  <c r="E537" i="15"/>
  <c r="L488" i="31" s="1"/>
  <c r="E538" i="15"/>
  <c r="L489" i="31" s="1"/>
  <c r="E539" i="15"/>
  <c r="E540" i="15"/>
  <c r="L491" i="31" s="1"/>
  <c r="E541" i="15"/>
  <c r="E542" i="15"/>
  <c r="L492" i="31" s="1"/>
  <c r="E543" i="15"/>
  <c r="L493" i="31" s="1"/>
  <c r="E544" i="15"/>
  <c r="L494" i="31" s="1"/>
  <c r="E545" i="15"/>
  <c r="L495" i="31" s="1"/>
  <c r="E546" i="15"/>
  <c r="L496" i="31" s="1"/>
  <c r="E547" i="15"/>
  <c r="L497" i="31" s="1"/>
  <c r="E548" i="15"/>
  <c r="L498" i="31" s="1"/>
  <c r="E549" i="15"/>
  <c r="L499" i="31" s="1"/>
  <c r="E550" i="15"/>
  <c r="L500" i="31" s="1"/>
  <c r="E551" i="15"/>
  <c r="L501" i="31" s="1"/>
  <c r="E552" i="15"/>
  <c r="E553" i="15"/>
  <c r="L502" i="31" s="1"/>
  <c r="E554" i="15"/>
  <c r="L503" i="31" s="1"/>
  <c r="E555" i="15"/>
  <c r="L504" i="31" s="1"/>
  <c r="E556" i="15"/>
  <c r="L505" i="31" s="1"/>
  <c r="E557" i="15"/>
  <c r="E558" i="15"/>
  <c r="L507" i="31" s="1"/>
  <c r="E559" i="15"/>
  <c r="L508" i="31" s="1"/>
  <c r="E560" i="15"/>
  <c r="L509" i="31" s="1"/>
  <c r="E561" i="15"/>
  <c r="L510" i="31" s="1"/>
  <c r="E562" i="15"/>
  <c r="L511" i="31" s="1"/>
  <c r="E563" i="15"/>
  <c r="E564" i="15"/>
  <c r="L512" i="31" s="1"/>
  <c r="E565" i="15"/>
  <c r="L513" i="31" s="1"/>
  <c r="E566" i="15"/>
  <c r="E567" i="15"/>
  <c r="L515" i="31" s="1"/>
  <c r="E568" i="15"/>
  <c r="L516" i="31" s="1"/>
  <c r="E569" i="15"/>
  <c r="L517" i="31" s="1"/>
  <c r="E570" i="15"/>
  <c r="L518" i="31" s="1"/>
  <c r="E571" i="15"/>
  <c r="L519" i="31" s="1"/>
  <c r="E572" i="15"/>
  <c r="L520" i="31" s="1"/>
  <c r="E573" i="15"/>
  <c r="L521" i="31" s="1"/>
  <c r="E574" i="15"/>
  <c r="E575" i="15"/>
  <c r="E576" i="15"/>
  <c r="L523" i="31" s="1"/>
  <c r="E577" i="15"/>
  <c r="L524" i="31" s="1"/>
  <c r="E578" i="15"/>
  <c r="L525" i="31" s="1"/>
  <c r="E579" i="15"/>
  <c r="L526" i="31" s="1"/>
  <c r="E580" i="15"/>
  <c r="L527" i="31" s="1"/>
  <c r="E581" i="15"/>
  <c r="L528" i="31" s="1"/>
  <c r="E582" i="15"/>
  <c r="L529" i="31" s="1"/>
  <c r="E583" i="15"/>
  <c r="E584" i="15"/>
  <c r="L531" i="31" s="1"/>
  <c r="E585" i="15"/>
  <c r="E586" i="15"/>
  <c r="L532" i="31" s="1"/>
  <c r="E587" i="15"/>
  <c r="L533" i="31" s="1"/>
  <c r="E588" i="15"/>
  <c r="L534" i="31" s="1"/>
  <c r="E589" i="15"/>
  <c r="L535" i="31" s="1"/>
  <c r="E590" i="15"/>
  <c r="L536" i="31" s="1"/>
  <c r="E591" i="15"/>
  <c r="L537" i="31" s="1"/>
  <c r="E592" i="15"/>
  <c r="L538" i="31" s="1"/>
  <c r="E593" i="15"/>
  <c r="L539" i="31" s="1"/>
  <c r="E594" i="15"/>
  <c r="L540" i="31" s="1"/>
  <c r="E595" i="15"/>
  <c r="L541" i="31" s="1"/>
  <c r="E596" i="15"/>
  <c r="E597" i="15"/>
  <c r="L542" i="31" s="1"/>
  <c r="E598" i="15"/>
  <c r="L543" i="31" s="1"/>
  <c r="E599" i="15"/>
  <c r="L544" i="31" s="1"/>
  <c r="E600" i="15"/>
  <c r="L545" i="31" s="1"/>
  <c r="E601" i="15"/>
  <c r="E602" i="15"/>
  <c r="L547" i="31" s="1"/>
  <c r="E603" i="15"/>
  <c r="L548" i="31" s="1"/>
  <c r="E604" i="15"/>
  <c r="L549" i="31" s="1"/>
  <c r="E605" i="15"/>
  <c r="L550" i="31" s="1"/>
  <c r="E606" i="15"/>
  <c r="L551" i="31" s="1"/>
  <c r="E607" i="15"/>
  <c r="E608" i="15"/>
  <c r="L552" i="31" s="1"/>
  <c r="E609" i="15"/>
  <c r="L553" i="31" s="1"/>
  <c r="E610" i="15"/>
  <c r="E611" i="15"/>
  <c r="L555" i="31" s="1"/>
  <c r="E612" i="15"/>
  <c r="L556" i="31" s="1"/>
  <c r="E613" i="15"/>
  <c r="L557" i="31" s="1"/>
  <c r="E614" i="15"/>
  <c r="L558" i="31" s="1"/>
  <c r="E615" i="15"/>
  <c r="L559" i="31" s="1"/>
  <c r="E616" i="15"/>
  <c r="L560" i="31" s="1"/>
  <c r="E617" i="15"/>
  <c r="L561" i="31" s="1"/>
  <c r="E618" i="15"/>
  <c r="E619" i="15"/>
  <c r="E620" i="15"/>
  <c r="L563" i="31" s="1"/>
  <c r="E621" i="15"/>
  <c r="L564" i="31" s="1"/>
  <c r="E622" i="15"/>
  <c r="L565" i="31" s="1"/>
  <c r="E623" i="15"/>
  <c r="L566" i="31" s="1"/>
  <c r="E624" i="15"/>
  <c r="L567" i="31" s="1"/>
  <c r="E625" i="15"/>
  <c r="L568" i="31" s="1"/>
  <c r="E626" i="15"/>
  <c r="L569" i="31" s="1"/>
  <c r="E627" i="15"/>
  <c r="E628" i="15"/>
  <c r="L571" i="31" s="1"/>
  <c r="E629" i="15"/>
  <c r="E630" i="15"/>
  <c r="L572" i="31" s="1"/>
  <c r="E631" i="15"/>
  <c r="L573" i="31" s="1"/>
  <c r="E632" i="15"/>
  <c r="L574" i="31" s="1"/>
  <c r="E633" i="15"/>
  <c r="L575" i="31" s="1"/>
  <c r="E634" i="15"/>
  <c r="L576" i="31" s="1"/>
  <c r="E635" i="15"/>
  <c r="L577" i="31" s="1"/>
  <c r="E636" i="15"/>
  <c r="L578" i="31" s="1"/>
  <c r="E637" i="15"/>
  <c r="L579" i="31" s="1"/>
  <c r="E638" i="15"/>
  <c r="L580" i="31" s="1"/>
  <c r="E639" i="15"/>
  <c r="L581" i="31" s="1"/>
  <c r="E640" i="15"/>
  <c r="E641" i="15"/>
  <c r="L582" i="31" s="1"/>
  <c r="E642" i="15"/>
  <c r="L583" i="31" s="1"/>
  <c r="E643" i="15"/>
  <c r="L584" i="31" s="1"/>
  <c r="E644" i="15"/>
  <c r="L585" i="31" s="1"/>
  <c r="E645" i="15"/>
  <c r="E646" i="15"/>
  <c r="L587" i="31" s="1"/>
  <c r="E647" i="15"/>
  <c r="L588" i="31" s="1"/>
  <c r="E648" i="15"/>
  <c r="L589" i="31" s="1"/>
  <c r="E649" i="15"/>
  <c r="L590" i="31" s="1"/>
  <c r="E650" i="15"/>
  <c r="L591" i="31" s="1"/>
  <c r="E651" i="15"/>
  <c r="E652" i="15"/>
  <c r="L592" i="31" s="1"/>
  <c r="E653" i="15"/>
  <c r="L593" i="31" s="1"/>
  <c r="E654" i="15"/>
  <c r="E655" i="15"/>
  <c r="L595" i="31" s="1"/>
  <c r="E656" i="15"/>
  <c r="L596" i="31" s="1"/>
  <c r="E657" i="15"/>
  <c r="L597" i="31" s="1"/>
  <c r="E658" i="15"/>
  <c r="L598" i="31" s="1"/>
  <c r="E659" i="15"/>
  <c r="L599" i="31" s="1"/>
  <c r="E660" i="15"/>
  <c r="L600" i="31" s="1"/>
  <c r="E661" i="15"/>
  <c r="L601" i="31" s="1"/>
  <c r="E662" i="15"/>
  <c r="E663" i="15"/>
  <c r="E664" i="15"/>
  <c r="L603" i="31" s="1"/>
  <c r="E665" i="15"/>
  <c r="L604" i="31" s="1"/>
  <c r="E666" i="15"/>
  <c r="L605" i="31" s="1"/>
  <c r="E667" i="15"/>
  <c r="L606" i="31" s="1"/>
  <c r="E668" i="15"/>
  <c r="L607" i="31" s="1"/>
  <c r="E669" i="15"/>
  <c r="L608" i="31" s="1"/>
  <c r="E670" i="15"/>
  <c r="L609" i="31" s="1"/>
  <c r="E671" i="15"/>
  <c r="E672" i="15"/>
  <c r="L611" i="31" s="1"/>
  <c r="E673" i="15"/>
  <c r="E674" i="15"/>
  <c r="L612" i="31" s="1"/>
  <c r="E675" i="15"/>
  <c r="L613" i="31" s="1"/>
  <c r="E676" i="15"/>
  <c r="L614" i="31" s="1"/>
  <c r="E677" i="15"/>
  <c r="L615" i="31" s="1"/>
  <c r="E678" i="15"/>
  <c r="L616" i="31" s="1"/>
  <c r="E679" i="15"/>
  <c r="L617" i="31" s="1"/>
  <c r="E680" i="15"/>
  <c r="L618" i="31" s="1"/>
  <c r="E681" i="15"/>
  <c r="L619" i="31" s="1"/>
  <c r="E682" i="15"/>
  <c r="L620" i="31" s="1"/>
  <c r="E683" i="15"/>
  <c r="L621" i="31" s="1"/>
  <c r="E684" i="15"/>
  <c r="E685" i="15"/>
  <c r="L622" i="31" s="1"/>
  <c r="E686" i="15"/>
  <c r="L623" i="31" s="1"/>
  <c r="E687" i="15"/>
  <c r="L624" i="31" s="1"/>
  <c r="E688" i="15"/>
  <c r="L625" i="31" s="1"/>
  <c r="E689" i="15"/>
  <c r="E690" i="15"/>
  <c r="L627" i="31" s="1"/>
  <c r="E691" i="15"/>
  <c r="L628" i="31" s="1"/>
  <c r="E692" i="15"/>
  <c r="L629" i="31" s="1"/>
  <c r="E693" i="15"/>
  <c r="L630" i="31" s="1"/>
  <c r="E694" i="15"/>
  <c r="L631" i="31" s="1"/>
  <c r="E695" i="15"/>
  <c r="E696" i="15"/>
  <c r="L632" i="31" s="1"/>
  <c r="E697" i="15"/>
  <c r="L633" i="31" s="1"/>
  <c r="E698" i="15"/>
  <c r="E699" i="15"/>
  <c r="L635" i="31" s="1"/>
  <c r="E700" i="15"/>
  <c r="L636" i="31" s="1"/>
  <c r="E701" i="15"/>
  <c r="L637" i="31" s="1"/>
  <c r="E702" i="15"/>
  <c r="L638" i="31" s="1"/>
  <c r="E703" i="15"/>
  <c r="E704" i="15"/>
  <c r="L640" i="31" s="1"/>
  <c r="E705" i="15"/>
  <c r="L641" i="31" s="1"/>
  <c r="E706" i="15"/>
  <c r="E707" i="15"/>
  <c r="L642" i="31" s="1"/>
  <c r="E708" i="15"/>
  <c r="L643" i="31" s="1"/>
  <c r="E709" i="15"/>
  <c r="L644" i="31" s="1"/>
  <c r="E710" i="15"/>
  <c r="L645" i="31" s="1"/>
  <c r="E711" i="15"/>
  <c r="L646" i="31" s="1"/>
  <c r="E712" i="15"/>
  <c r="L647" i="31" s="1"/>
  <c r="E713" i="15"/>
  <c r="L648" i="31" s="1"/>
  <c r="E714" i="15"/>
  <c r="L649" i="31" s="1"/>
  <c r="E715" i="15"/>
  <c r="L650" i="31" s="1"/>
  <c r="E716" i="15"/>
  <c r="L651" i="31" s="1"/>
  <c r="E717" i="15"/>
  <c r="E718" i="15"/>
  <c r="L652" i="31" s="1"/>
  <c r="E719" i="15"/>
  <c r="L653" i="31" s="1"/>
  <c r="E720" i="15"/>
  <c r="L654" i="31" s="1"/>
  <c r="E721" i="15"/>
  <c r="E722" i="15"/>
  <c r="L656" i="31" s="1"/>
  <c r="E723" i="15"/>
  <c r="L657" i="31" s="1"/>
  <c r="E724" i="15"/>
  <c r="L658" i="31" s="1"/>
  <c r="E725" i="15"/>
  <c r="E726" i="15"/>
  <c r="L660" i="31" s="1"/>
  <c r="E727" i="15"/>
  <c r="L661" i="31" s="1"/>
  <c r="E728" i="15"/>
  <c r="E729" i="15"/>
  <c r="L662" i="31" s="1"/>
  <c r="E730" i="15"/>
  <c r="E731" i="15"/>
  <c r="L664" i="31" s="1"/>
  <c r="E732" i="15"/>
  <c r="L665" i="31" s="1"/>
  <c r="E733" i="15"/>
  <c r="L666" i="31" s="1"/>
  <c r="E734" i="15"/>
  <c r="E735" i="15"/>
  <c r="L668" i="31" s="1"/>
  <c r="E736" i="15"/>
  <c r="L669" i="31" s="1"/>
  <c r="E737" i="15"/>
  <c r="L670" i="31" s="1"/>
  <c r="E738" i="15"/>
  <c r="E739" i="15"/>
  <c r="E740" i="15"/>
  <c r="L672" i="31" s="1"/>
  <c r="E741" i="15"/>
  <c r="L673" i="31" s="1"/>
  <c r="E742" i="15"/>
  <c r="L674" i="31" s="1"/>
  <c r="E743" i="15"/>
  <c r="E744" i="15"/>
  <c r="L676" i="31" s="1"/>
  <c r="E745" i="15"/>
  <c r="L677" i="31" s="1"/>
  <c r="E746" i="15"/>
  <c r="L678" i="31" s="1"/>
  <c r="E747" i="15"/>
  <c r="E748" i="15"/>
  <c r="L680" i="31" s="1"/>
  <c r="E749" i="15"/>
  <c r="L681" i="31" s="1"/>
  <c r="E750" i="15"/>
  <c r="E751" i="15"/>
  <c r="L682" i="31" s="1"/>
  <c r="E752" i="15"/>
  <c r="L683" i="31" s="1"/>
  <c r="E753" i="15"/>
  <c r="L684" i="31" s="1"/>
  <c r="E754" i="15"/>
  <c r="L685" i="31" s="1"/>
  <c r="E755" i="15"/>
  <c r="L686" i="31" s="1"/>
  <c r="E756" i="15"/>
  <c r="L687" i="31" s="1"/>
  <c r="E757" i="15"/>
  <c r="L688" i="31" s="1"/>
  <c r="E758" i="15"/>
  <c r="L689" i="31" s="1"/>
  <c r="E759" i="15"/>
  <c r="L690" i="31" s="1"/>
  <c r="E760" i="15"/>
  <c r="L691" i="31" s="1"/>
  <c r="E761" i="15"/>
  <c r="E762" i="15"/>
  <c r="L692" i="31" s="1"/>
  <c r="E763" i="15"/>
  <c r="L693" i="31" s="1"/>
  <c r="E764" i="15"/>
  <c r="L694" i="31" s="1"/>
  <c r="E765" i="15"/>
  <c r="E766" i="15"/>
  <c r="L696" i="31" s="1"/>
  <c r="E767" i="15"/>
  <c r="L697" i="31" s="1"/>
  <c r="E768" i="15"/>
  <c r="L698" i="31" s="1"/>
  <c r="E769" i="15"/>
  <c r="E770" i="15"/>
  <c r="L700" i="31" s="1"/>
  <c r="E771" i="15"/>
  <c r="L701" i="31" s="1"/>
  <c r="E772" i="15"/>
  <c r="E773" i="15"/>
  <c r="L702" i="31" s="1"/>
  <c r="E774" i="15"/>
  <c r="E775" i="15"/>
  <c r="L704" i="31" s="1"/>
  <c r="E776" i="15"/>
  <c r="L705" i="31" s="1"/>
  <c r="E777" i="15"/>
  <c r="L706" i="31" s="1"/>
  <c r="E778" i="15"/>
  <c r="E779" i="15"/>
  <c r="L708" i="31" s="1"/>
  <c r="E780" i="15"/>
  <c r="L709" i="31" s="1"/>
  <c r="E781" i="15"/>
  <c r="L710" i="31" s="1"/>
  <c r="E782" i="15"/>
  <c r="E783" i="15"/>
  <c r="E784" i="15"/>
  <c r="L712" i="31" s="1"/>
  <c r="E785" i="15"/>
  <c r="L713" i="31" s="1"/>
  <c r="E786" i="15"/>
  <c r="L714" i="31" s="1"/>
  <c r="E787" i="15"/>
  <c r="E788" i="15"/>
  <c r="L716" i="31" s="1"/>
  <c r="E789" i="15"/>
  <c r="L717" i="31" s="1"/>
  <c r="E790" i="15"/>
  <c r="L718" i="31" s="1"/>
  <c r="E791" i="15"/>
  <c r="E792" i="15"/>
  <c r="L720" i="31" s="1"/>
  <c r="E793" i="15"/>
  <c r="L721" i="31" s="1"/>
  <c r="E794" i="15"/>
  <c r="E795" i="15"/>
  <c r="L722" i="31" s="1"/>
  <c r="E796" i="15"/>
  <c r="L723" i="31" s="1"/>
  <c r="E797" i="15"/>
  <c r="L724" i="31" s="1"/>
  <c r="E798" i="15"/>
  <c r="L725" i="31" s="1"/>
  <c r="E799" i="15"/>
  <c r="L726" i="31" s="1"/>
  <c r="E800" i="15"/>
  <c r="L727" i="31" s="1"/>
  <c r="E801" i="15"/>
  <c r="L728" i="31" s="1"/>
  <c r="E802" i="15"/>
  <c r="L729" i="31" s="1"/>
  <c r="E803" i="15"/>
  <c r="L730" i="31" s="1"/>
  <c r="E804" i="15"/>
  <c r="L731" i="31" s="1"/>
  <c r="E805" i="15"/>
  <c r="E806" i="15"/>
  <c r="L732" i="31" s="1"/>
  <c r="E807" i="15"/>
  <c r="L733" i="31" s="1"/>
  <c r="E808" i="15"/>
  <c r="L734" i="31" s="1"/>
  <c r="E809" i="15"/>
  <c r="E810" i="15"/>
  <c r="L736" i="31" s="1"/>
  <c r="E811" i="15"/>
  <c r="L737" i="31" s="1"/>
  <c r="E812" i="15"/>
  <c r="L738" i="31" s="1"/>
  <c r="E813" i="15"/>
  <c r="E814" i="15"/>
  <c r="L740" i="31" s="1"/>
  <c r="E815" i="15"/>
  <c r="L741" i="31" s="1"/>
  <c r="E816" i="15"/>
  <c r="E817" i="15"/>
  <c r="L742" i="31" s="1"/>
  <c r="E818" i="15"/>
  <c r="E819" i="15"/>
  <c r="L744" i="31" s="1"/>
  <c r="E820" i="15"/>
  <c r="L745" i="31" s="1"/>
  <c r="E821" i="15"/>
  <c r="L746" i="31" s="1"/>
  <c r="E822" i="15"/>
  <c r="E823" i="15"/>
  <c r="L748" i="31" s="1"/>
  <c r="E824" i="15"/>
  <c r="L749" i="31" s="1"/>
  <c r="E825" i="15"/>
  <c r="L750" i="31" s="1"/>
  <c r="E826" i="15"/>
  <c r="E827" i="15"/>
  <c r="E828" i="15"/>
  <c r="L752" i="31" s="1"/>
  <c r="E829" i="15"/>
  <c r="L753" i="31" s="1"/>
  <c r="E830" i="15"/>
  <c r="L754" i="31" s="1"/>
  <c r="E831" i="15"/>
  <c r="E832" i="15"/>
  <c r="L756" i="31" s="1"/>
  <c r="E833" i="15"/>
  <c r="L757" i="31" s="1"/>
  <c r="E834" i="15"/>
  <c r="L758" i="31" s="1"/>
  <c r="E835" i="15"/>
  <c r="E836" i="15"/>
  <c r="L760" i="31" s="1"/>
  <c r="E837" i="15"/>
  <c r="L761" i="31" s="1"/>
  <c r="E838" i="15"/>
  <c r="E839" i="15"/>
  <c r="L762" i="31" s="1"/>
  <c r="E840" i="15"/>
  <c r="L763" i="31" s="1"/>
  <c r="E841" i="15"/>
  <c r="L764" i="31" s="1"/>
  <c r="E842" i="15"/>
  <c r="L765" i="31" s="1"/>
  <c r="E843" i="15"/>
  <c r="L766" i="31" s="1"/>
  <c r="E844" i="15"/>
  <c r="L767" i="31" s="1"/>
  <c r="E845" i="15"/>
  <c r="L768" i="31" s="1"/>
  <c r="E846" i="15"/>
  <c r="L769" i="31" s="1"/>
  <c r="E847" i="15"/>
  <c r="L770" i="31" s="1"/>
  <c r="E848" i="15"/>
  <c r="L771" i="31" s="1"/>
  <c r="E849" i="15"/>
  <c r="E850" i="15"/>
  <c r="L772" i="31" s="1"/>
  <c r="E851" i="15"/>
  <c r="L773" i="31" s="1"/>
  <c r="E852" i="15"/>
  <c r="L774" i="31" s="1"/>
  <c r="E853" i="15"/>
  <c r="E854" i="15"/>
  <c r="L776" i="31" s="1"/>
  <c r="E855" i="15"/>
  <c r="L777" i="31" s="1"/>
  <c r="E856" i="15"/>
  <c r="L778" i="31" s="1"/>
  <c r="E857" i="15"/>
  <c r="E858" i="15"/>
  <c r="L780" i="31" s="1"/>
  <c r="E859" i="15"/>
  <c r="L781" i="31" s="1"/>
  <c r="E860" i="15"/>
  <c r="E861" i="15"/>
  <c r="L782" i="31" s="1"/>
  <c r="E862" i="15"/>
  <c r="E863" i="15"/>
  <c r="L784" i="31" s="1"/>
  <c r="E864" i="15"/>
  <c r="L785" i="31" s="1"/>
  <c r="E865" i="15"/>
  <c r="L786" i="31" s="1"/>
  <c r="E866" i="15"/>
  <c r="E867" i="15"/>
  <c r="L788" i="31" s="1"/>
  <c r="E868" i="15"/>
  <c r="L789" i="31" s="1"/>
  <c r="E869" i="15"/>
  <c r="L790" i="31" s="1"/>
  <c r="E870" i="15"/>
  <c r="E871" i="15"/>
  <c r="E872" i="15"/>
  <c r="L792" i="31" s="1"/>
  <c r="E873" i="15"/>
  <c r="L793" i="31" s="1"/>
  <c r="E874" i="15"/>
  <c r="L794" i="31" s="1"/>
  <c r="E875" i="15"/>
  <c r="E876" i="15"/>
  <c r="L796" i="31" s="1"/>
  <c r="E877" i="15"/>
  <c r="L797" i="31" s="1"/>
  <c r="E878" i="15"/>
  <c r="L798" i="31" s="1"/>
  <c r="E879" i="15"/>
  <c r="E880" i="15"/>
  <c r="L800" i="31" s="1"/>
  <c r="E881" i="15"/>
  <c r="L801" i="31" s="1"/>
  <c r="E882" i="15"/>
  <c r="E883" i="15"/>
  <c r="L802" i="31" s="1"/>
  <c r="E884" i="15"/>
  <c r="L803" i="31" s="1"/>
  <c r="E885" i="15"/>
  <c r="L804" i="31" s="1"/>
  <c r="E886" i="15"/>
  <c r="L805" i="31" s="1"/>
  <c r="E887" i="15"/>
  <c r="L806" i="31" s="1"/>
  <c r="E888" i="15"/>
  <c r="L807" i="31" s="1"/>
  <c r="E889" i="15"/>
  <c r="L808" i="31" s="1"/>
  <c r="E890" i="15"/>
  <c r="L809" i="31" s="1"/>
  <c r="E891" i="15"/>
  <c r="L810" i="31" s="1"/>
  <c r="E892" i="15"/>
  <c r="L811" i="31" s="1"/>
  <c r="E893" i="15"/>
  <c r="E894" i="15"/>
  <c r="L812" i="31" s="1"/>
  <c r="E895" i="15"/>
  <c r="L813" i="31" s="1"/>
  <c r="E896" i="15"/>
  <c r="L814" i="31" s="1"/>
  <c r="E897" i="15"/>
  <c r="E898" i="15"/>
  <c r="L816" i="31" s="1"/>
  <c r="E899" i="15"/>
  <c r="L817" i="31" s="1"/>
  <c r="E900" i="15"/>
  <c r="L818" i="31" s="1"/>
  <c r="E901" i="15"/>
  <c r="E902" i="15"/>
  <c r="L820" i="31" s="1"/>
  <c r="E903" i="15"/>
  <c r="L821" i="31" s="1"/>
  <c r="E904" i="15"/>
  <c r="E905" i="15"/>
  <c r="L822" i="31" s="1"/>
  <c r="E906" i="15"/>
  <c r="E907" i="15"/>
  <c r="L824" i="31" s="1"/>
  <c r="E908" i="15"/>
  <c r="L825" i="31" s="1"/>
  <c r="E909" i="15"/>
  <c r="L826" i="31" s="1"/>
  <c r="E910" i="15"/>
  <c r="E911" i="15"/>
  <c r="L828" i="31" s="1"/>
  <c r="E912" i="15"/>
  <c r="L829" i="31" s="1"/>
  <c r="E913" i="15"/>
  <c r="L830" i="31" s="1"/>
  <c r="E914" i="15"/>
  <c r="E915" i="15"/>
  <c r="E916" i="15"/>
  <c r="L832" i="31" s="1"/>
  <c r="E917" i="15"/>
  <c r="L833" i="31" s="1"/>
  <c r="E918" i="15"/>
  <c r="L834" i="31" s="1"/>
  <c r="E919" i="15"/>
  <c r="E920" i="15"/>
  <c r="L836" i="31" s="1"/>
  <c r="E921" i="15"/>
  <c r="L837" i="31" s="1"/>
  <c r="E922" i="15"/>
  <c r="L838" i="31" s="1"/>
  <c r="E923" i="15"/>
  <c r="E924" i="15"/>
  <c r="L840" i="31" s="1"/>
  <c r="E925" i="15"/>
  <c r="L841" i="31" s="1"/>
  <c r="E926" i="15"/>
  <c r="E927" i="15"/>
  <c r="L842" i="31" s="1"/>
  <c r="E928" i="15"/>
  <c r="L843" i="31" s="1"/>
  <c r="E929" i="15"/>
  <c r="L844" i="31" s="1"/>
  <c r="E930" i="15"/>
  <c r="L845" i="31" s="1"/>
  <c r="E931" i="15"/>
  <c r="L846" i="31" s="1"/>
  <c r="E932" i="15"/>
  <c r="L847" i="31" s="1"/>
  <c r="E933" i="15"/>
  <c r="L848" i="31" s="1"/>
  <c r="E934" i="15"/>
  <c r="L849" i="31" s="1"/>
  <c r="E935" i="15"/>
  <c r="L850" i="31" s="1"/>
  <c r="E936" i="15"/>
  <c r="L851" i="31" s="1"/>
  <c r="E937" i="15"/>
  <c r="E938" i="15"/>
  <c r="L852" i="31" s="1"/>
  <c r="E939" i="15"/>
  <c r="L853" i="31" s="1"/>
  <c r="E940" i="15"/>
  <c r="L854" i="31" s="1"/>
  <c r="E941" i="15"/>
  <c r="E942" i="15"/>
  <c r="L856" i="31" s="1"/>
  <c r="E943" i="15"/>
  <c r="L857" i="31" s="1"/>
  <c r="E944" i="15"/>
  <c r="L858" i="31" s="1"/>
  <c r="E945" i="15"/>
  <c r="E946" i="15"/>
  <c r="L860" i="31" s="1"/>
  <c r="E947" i="15"/>
  <c r="L861" i="31" s="1"/>
  <c r="E948" i="15"/>
  <c r="E949" i="15"/>
  <c r="L862" i="31" s="1"/>
  <c r="E950" i="15"/>
  <c r="E951" i="15"/>
  <c r="L864" i="31" s="1"/>
  <c r="E952" i="15"/>
  <c r="L865" i="31" s="1"/>
  <c r="E953" i="15"/>
  <c r="L866" i="31" s="1"/>
  <c r="E954" i="15"/>
  <c r="E955" i="15"/>
  <c r="L868" i="31" s="1"/>
  <c r="E956" i="15"/>
  <c r="L869" i="31" s="1"/>
  <c r="E957" i="15"/>
  <c r="L870" i="31" s="1"/>
  <c r="E958" i="15"/>
  <c r="E959" i="15"/>
  <c r="E960" i="15"/>
  <c r="L872" i="31" s="1"/>
  <c r="E961" i="15"/>
  <c r="L873" i="31" s="1"/>
  <c r="E962" i="15"/>
  <c r="L874" i="31" s="1"/>
  <c r="E963" i="15"/>
  <c r="E964" i="15"/>
  <c r="L876" i="31" s="1"/>
  <c r="E965" i="15"/>
  <c r="L877" i="31" s="1"/>
  <c r="E966" i="15"/>
  <c r="L878" i="31" s="1"/>
  <c r="E967" i="15"/>
  <c r="E968" i="15"/>
  <c r="L880" i="31" s="1"/>
  <c r="E969" i="15"/>
  <c r="L881" i="31" s="1"/>
  <c r="E970" i="15"/>
  <c r="E971" i="15"/>
  <c r="L882" i="31" s="1"/>
  <c r="E972" i="15"/>
  <c r="L883" i="31" s="1"/>
  <c r="E973" i="15"/>
  <c r="L884" i="31" s="1"/>
  <c r="E974" i="15"/>
  <c r="L885" i="31" s="1"/>
  <c r="E975" i="15"/>
  <c r="L886" i="31" s="1"/>
  <c r="E976" i="15"/>
  <c r="L887" i="31" s="1"/>
  <c r="E977" i="15"/>
  <c r="L888" i="31" s="1"/>
  <c r="E978" i="15"/>
  <c r="L889" i="31" s="1"/>
  <c r="E979" i="15"/>
  <c r="L890" i="31" s="1"/>
  <c r="E980" i="15"/>
  <c r="L891" i="31" s="1"/>
  <c r="E981" i="15"/>
  <c r="E982" i="15"/>
  <c r="L892" i="31" s="1"/>
  <c r="E983" i="15"/>
  <c r="L893" i="31" s="1"/>
  <c r="E984" i="15"/>
  <c r="L894" i="31" s="1"/>
  <c r="E985" i="15"/>
  <c r="E986" i="15"/>
  <c r="L896" i="31" s="1"/>
  <c r="E987" i="15"/>
  <c r="L897" i="31" s="1"/>
  <c r="E988" i="15"/>
  <c r="L898" i="31" s="1"/>
  <c r="E989" i="15"/>
  <c r="E990" i="15"/>
  <c r="L900" i="31" s="1"/>
  <c r="E991" i="15"/>
  <c r="L901" i="31" s="1"/>
  <c r="E992" i="15"/>
  <c r="E993" i="15"/>
  <c r="L902" i="31" s="1"/>
  <c r="E994" i="15"/>
  <c r="E995" i="15"/>
  <c r="L904" i="31" s="1"/>
  <c r="E996" i="15"/>
  <c r="L905" i="31" s="1"/>
  <c r="E997" i="15"/>
  <c r="L906" i="31" s="1"/>
  <c r="E998" i="15"/>
  <c r="E999" i="15"/>
  <c r="L908" i="31" s="1"/>
  <c r="E1000" i="15"/>
  <c r="L909" i="31" s="1"/>
  <c r="E1001" i="15"/>
  <c r="L910" i="31" s="1"/>
  <c r="E1002" i="15"/>
  <c r="E1003" i="15"/>
  <c r="E1004" i="15"/>
  <c r="L912" i="31" s="1"/>
  <c r="E1005" i="15"/>
  <c r="L913" i="31" s="1"/>
  <c r="E1006" i="15"/>
  <c r="L914" i="31" s="1"/>
  <c r="E1007" i="15"/>
  <c r="E1008" i="15"/>
  <c r="L916" i="31" s="1"/>
  <c r="E1009" i="15"/>
  <c r="L917" i="31" s="1"/>
  <c r="E1010" i="15"/>
  <c r="L918" i="31" s="1"/>
  <c r="E1011" i="15"/>
  <c r="E1012" i="15"/>
  <c r="L920" i="31" s="1"/>
  <c r="E1013" i="15"/>
  <c r="L921" i="31" s="1"/>
  <c r="E1014" i="15"/>
  <c r="E1015" i="15"/>
  <c r="L922" i="31" s="1"/>
  <c r="E1016" i="15"/>
  <c r="L923" i="31" s="1"/>
  <c r="E1017" i="15"/>
  <c r="L924" i="31" s="1"/>
  <c r="E1018" i="15"/>
  <c r="L925" i="31" s="1"/>
  <c r="E1019" i="15"/>
  <c r="L926" i="31" s="1"/>
  <c r="E1020" i="15"/>
  <c r="L927" i="31" s="1"/>
  <c r="E1021" i="15"/>
  <c r="L928" i="31" s="1"/>
  <c r="E1022" i="15"/>
  <c r="L929" i="31" s="1"/>
  <c r="E1023" i="15"/>
  <c r="L930" i="31" s="1"/>
  <c r="E1024" i="15"/>
  <c r="L931" i="31" s="1"/>
  <c r="E1025" i="15"/>
  <c r="E1026" i="15"/>
  <c r="L932" i="31" s="1"/>
  <c r="E1027" i="15"/>
  <c r="L933" i="31" s="1"/>
  <c r="E1028" i="15"/>
  <c r="L934" i="31" s="1"/>
  <c r="E1029" i="15"/>
  <c r="E1030" i="15"/>
  <c r="L936" i="31" s="1"/>
  <c r="E1031" i="15"/>
  <c r="L937" i="31" s="1"/>
  <c r="E1032" i="15"/>
  <c r="L938" i="31" s="1"/>
  <c r="E1033" i="15"/>
  <c r="E1034" i="15"/>
  <c r="L940" i="31" s="1"/>
  <c r="E1035" i="15"/>
  <c r="L941" i="31" s="1"/>
  <c r="E1036" i="15"/>
  <c r="E1037" i="15"/>
  <c r="L942" i="31" s="1"/>
  <c r="E1038" i="15"/>
  <c r="E1039" i="15"/>
  <c r="L944" i="31" s="1"/>
  <c r="E1040" i="15"/>
  <c r="L945" i="31" s="1"/>
  <c r="E1041" i="15"/>
  <c r="L946" i="31" s="1"/>
  <c r="E1042" i="15"/>
  <c r="E1043" i="15"/>
  <c r="L948" i="31" s="1"/>
  <c r="E1044" i="15"/>
  <c r="L949" i="31" s="1"/>
  <c r="E1045" i="15"/>
  <c r="L950" i="31" s="1"/>
  <c r="E1046" i="15"/>
  <c r="E1047" i="15"/>
  <c r="E1048" i="15"/>
  <c r="L952" i="31" s="1"/>
  <c r="E1049" i="15"/>
  <c r="L953" i="31" s="1"/>
  <c r="E1050" i="15"/>
  <c r="L954" i="31" s="1"/>
  <c r="E1051" i="15"/>
  <c r="E1052" i="15"/>
  <c r="L956" i="31" s="1"/>
  <c r="E1053" i="15"/>
  <c r="L957" i="31" s="1"/>
  <c r="E1054" i="15"/>
  <c r="L958" i="31" s="1"/>
  <c r="E1055" i="15"/>
  <c r="E1056" i="15"/>
  <c r="L960" i="31" s="1"/>
  <c r="E1057" i="15"/>
  <c r="L961" i="31" s="1"/>
  <c r="E1058" i="15"/>
  <c r="E1059" i="15"/>
  <c r="L962" i="31" s="1"/>
  <c r="E1060" i="15"/>
  <c r="L963" i="31" s="1"/>
  <c r="E1061" i="15"/>
  <c r="L964" i="31" s="1"/>
  <c r="E1062" i="15"/>
  <c r="L965" i="31" s="1"/>
  <c r="E1063" i="15"/>
  <c r="L966" i="31" s="1"/>
  <c r="E1064" i="15"/>
  <c r="L967" i="31" s="1"/>
  <c r="E1065" i="15"/>
  <c r="L968" i="31" s="1"/>
  <c r="E1066" i="15"/>
  <c r="L969" i="31" s="1"/>
  <c r="E1067" i="15"/>
  <c r="L970" i="31" s="1"/>
  <c r="E1068" i="15"/>
  <c r="L971" i="31" s="1"/>
  <c r="E1069" i="15"/>
  <c r="E1070" i="15"/>
  <c r="L972" i="31" s="1"/>
  <c r="E1071" i="15"/>
  <c r="L973" i="31" s="1"/>
  <c r="E1072" i="15"/>
  <c r="L974" i="31" s="1"/>
  <c r="E1073" i="15"/>
  <c r="E1074" i="15"/>
  <c r="L976" i="31" s="1"/>
  <c r="E1075" i="15"/>
  <c r="L977" i="31" s="1"/>
  <c r="E1076" i="15"/>
  <c r="L978" i="31" s="1"/>
  <c r="E1077" i="15"/>
  <c r="E1078" i="15"/>
  <c r="L980" i="31" s="1"/>
  <c r="E1079" i="15"/>
  <c r="L981" i="31" s="1"/>
  <c r="E1080" i="15"/>
  <c r="E1081" i="15"/>
  <c r="L982" i="31" s="1"/>
  <c r="E1082" i="15"/>
  <c r="E1083" i="15"/>
  <c r="L984" i="31" s="1"/>
  <c r="E1084" i="15"/>
  <c r="L985" i="31" s="1"/>
  <c r="E1085" i="15"/>
  <c r="L986" i="31" s="1"/>
  <c r="E1086" i="15"/>
  <c r="E1087" i="15"/>
  <c r="L988" i="31" s="1"/>
  <c r="E1088" i="15"/>
  <c r="L989" i="31" s="1"/>
  <c r="E1089" i="15"/>
  <c r="L990" i="31" s="1"/>
  <c r="E1090" i="15"/>
  <c r="E1091" i="15"/>
  <c r="E1092" i="15"/>
  <c r="L992" i="31" s="1"/>
  <c r="E1093" i="15"/>
  <c r="L993" i="31" s="1"/>
  <c r="E1094" i="15"/>
  <c r="L994" i="31" s="1"/>
  <c r="E1095" i="15"/>
  <c r="E1096" i="15"/>
  <c r="L996" i="31" s="1"/>
  <c r="E1097" i="15"/>
  <c r="L997" i="31" s="1"/>
  <c r="E1098" i="15"/>
  <c r="L998" i="31" s="1"/>
  <c r="E1099" i="15"/>
  <c r="E1100" i="15"/>
  <c r="L1000" i="31" s="1"/>
  <c r="E1101" i="15"/>
  <c r="L1001" i="31" s="1"/>
  <c r="E1102" i="15"/>
  <c r="E1103" i="15"/>
  <c r="L1002" i="31" s="1"/>
  <c r="E1104" i="15"/>
  <c r="L1003" i="31" s="1"/>
  <c r="E1105" i="15"/>
  <c r="L1004" i="31" s="1"/>
  <c r="E1106" i="15"/>
  <c r="L1005" i="31" s="1"/>
  <c r="E1107" i="15"/>
  <c r="L1006" i="31" s="1"/>
  <c r="E1108" i="15"/>
  <c r="L1007" i="31" s="1"/>
  <c r="E1109" i="15"/>
  <c r="L1008" i="31" s="1"/>
  <c r="E1110" i="15"/>
  <c r="L1009" i="31" s="1"/>
  <c r="E1111" i="15"/>
  <c r="L1010" i="31" s="1"/>
  <c r="E1112" i="15"/>
  <c r="L1011" i="31" s="1"/>
  <c r="E1113" i="15"/>
  <c r="E1114" i="15"/>
  <c r="L1012" i="31" s="1"/>
  <c r="E1115" i="15"/>
  <c r="L1013" i="31" s="1"/>
  <c r="E1116" i="15"/>
  <c r="L1014" i="31" s="1"/>
  <c r="E1117" i="15"/>
  <c r="E1118" i="15"/>
  <c r="L1016" i="31" s="1"/>
  <c r="E1119" i="15"/>
  <c r="L1017" i="31" s="1"/>
  <c r="E1120" i="15"/>
  <c r="L1018" i="31" s="1"/>
  <c r="E1121" i="15"/>
  <c r="E1122" i="15"/>
  <c r="L1020" i="31" s="1"/>
  <c r="E1123" i="15"/>
  <c r="L1021" i="31" s="1"/>
  <c r="E1124" i="15"/>
  <c r="E1125" i="15"/>
  <c r="L1022" i="31" s="1"/>
  <c r="E1126" i="15"/>
  <c r="E1127" i="15"/>
  <c r="L1024" i="31" s="1"/>
  <c r="E1128" i="15"/>
  <c r="L1025" i="31" s="1"/>
  <c r="E1129" i="15"/>
  <c r="L1026" i="31" s="1"/>
  <c r="E1130" i="15"/>
  <c r="E1131" i="15"/>
  <c r="L1028" i="31" s="1"/>
  <c r="E1132" i="15"/>
  <c r="L1029" i="31" s="1"/>
  <c r="E1133" i="15"/>
  <c r="L1030" i="31" s="1"/>
  <c r="E1134" i="15"/>
  <c r="E1135" i="15"/>
  <c r="E1136" i="15"/>
  <c r="L1032" i="31" s="1"/>
  <c r="E1137" i="15"/>
  <c r="L1033" i="31" s="1"/>
  <c r="E1138" i="15"/>
  <c r="L1034" i="31" s="1"/>
  <c r="E1139" i="15"/>
  <c r="E1140" i="15"/>
  <c r="L1036" i="31" s="1"/>
  <c r="E1141" i="15"/>
  <c r="L1037" i="31" s="1"/>
  <c r="E1142" i="15"/>
  <c r="L1038" i="31" s="1"/>
  <c r="E1143" i="15"/>
  <c r="E1144" i="15"/>
  <c r="L1040" i="31" s="1"/>
  <c r="E1145" i="15"/>
  <c r="L1041" i="31" s="1"/>
  <c r="E1146" i="15"/>
  <c r="E1147" i="15"/>
  <c r="L1042" i="31" s="1"/>
  <c r="E1148" i="15"/>
  <c r="L1043" i="31" s="1"/>
  <c r="E1149" i="15"/>
  <c r="L1044" i="31" s="1"/>
  <c r="E1150" i="15"/>
  <c r="L1045" i="31" s="1"/>
  <c r="E1151" i="15"/>
  <c r="L1046" i="31" s="1"/>
  <c r="E1152" i="15"/>
  <c r="L1047" i="31" s="1"/>
  <c r="E1153" i="15"/>
  <c r="L1048" i="31" s="1"/>
  <c r="E1154" i="15"/>
  <c r="L1049" i="31" s="1"/>
  <c r="E1155" i="15"/>
  <c r="L1050" i="31" s="1"/>
  <c r="E1156" i="15"/>
  <c r="L1051" i="31" s="1"/>
  <c r="E1157" i="15"/>
  <c r="E1158" i="15"/>
  <c r="L1052" i="31" s="1"/>
  <c r="E1159" i="15"/>
  <c r="L1053" i="31" s="1"/>
  <c r="E1160" i="15"/>
  <c r="L1054" i="31" s="1"/>
  <c r="E1161" i="15"/>
  <c r="E1162" i="15"/>
  <c r="L1056" i="31" s="1"/>
  <c r="E1163" i="15"/>
  <c r="L1057" i="31" s="1"/>
  <c r="E1164" i="15"/>
  <c r="L1058" i="31" s="1"/>
  <c r="E1165" i="15"/>
  <c r="E1166" i="15"/>
  <c r="L1060" i="31" s="1"/>
  <c r="E1167" i="15"/>
  <c r="L1061" i="31" s="1"/>
  <c r="E1168" i="15"/>
  <c r="E1169" i="15"/>
  <c r="L1062" i="31" s="1"/>
  <c r="E1170" i="15"/>
  <c r="E1171" i="15"/>
  <c r="L1064" i="31" s="1"/>
  <c r="E1172" i="15"/>
  <c r="L1065" i="31" s="1"/>
  <c r="E1173" i="15"/>
  <c r="L1066" i="31" s="1"/>
  <c r="E1174" i="15"/>
  <c r="E1175" i="15"/>
  <c r="L1068" i="31" s="1"/>
  <c r="E1176" i="15"/>
  <c r="L1069" i="31" s="1"/>
  <c r="E1177" i="15"/>
  <c r="L1070" i="31" s="1"/>
  <c r="E1178" i="15"/>
  <c r="E1179" i="15"/>
  <c r="E1180" i="15"/>
  <c r="L1072" i="31" s="1"/>
  <c r="E1181" i="15"/>
  <c r="L1073" i="31" s="1"/>
  <c r="E1182" i="15"/>
  <c r="L1074" i="31" s="1"/>
  <c r="E1183" i="15"/>
  <c r="E1184" i="15"/>
  <c r="L1076" i="31" s="1"/>
  <c r="E1185" i="15"/>
  <c r="L1077" i="31" s="1"/>
  <c r="E1186" i="15"/>
  <c r="L1078" i="31" s="1"/>
  <c r="E1187" i="15"/>
  <c r="E1188" i="15"/>
  <c r="L1080" i="31" s="1"/>
  <c r="E1189" i="15"/>
  <c r="L1081" i="31" s="1"/>
  <c r="E1190" i="15"/>
  <c r="E1191" i="15"/>
  <c r="L1082" i="31" s="1"/>
  <c r="E1192" i="15"/>
  <c r="L1083" i="31" s="1"/>
  <c r="E1193" i="15"/>
  <c r="L1084" i="31" s="1"/>
  <c r="E1194" i="15"/>
  <c r="L1085" i="31" s="1"/>
  <c r="E1195" i="15"/>
  <c r="L1086" i="31" s="1"/>
  <c r="E1196" i="15"/>
  <c r="L1087" i="31" s="1"/>
  <c r="E1197" i="15"/>
  <c r="L1088" i="31" s="1"/>
  <c r="E1198" i="15"/>
  <c r="L1089" i="31" s="1"/>
  <c r="E1199" i="15"/>
  <c r="L1090" i="31" s="1"/>
  <c r="E1200" i="15"/>
  <c r="L1091" i="31" s="1"/>
  <c r="E1201" i="15"/>
  <c r="E1202" i="15"/>
  <c r="L1092" i="31" s="1"/>
  <c r="E1203" i="15"/>
  <c r="L1093" i="31" s="1"/>
  <c r="E1204" i="15"/>
  <c r="L1094" i="31" s="1"/>
  <c r="E1205" i="15"/>
  <c r="E1206" i="15"/>
  <c r="L1096" i="31" s="1"/>
  <c r="E1207" i="15"/>
  <c r="L1097" i="31" s="1"/>
  <c r="E1208" i="15"/>
  <c r="L1098" i="31" s="1"/>
  <c r="E1209" i="15"/>
  <c r="E1210" i="15"/>
  <c r="L1100" i="31" s="1"/>
  <c r="E1211" i="15"/>
  <c r="L1101" i="31" s="1"/>
  <c r="E1212" i="15"/>
  <c r="E1213" i="15"/>
  <c r="L1102" i="31" s="1"/>
  <c r="E1214" i="15"/>
  <c r="E1215" i="15"/>
  <c r="L1104" i="31" s="1"/>
  <c r="E1216" i="15"/>
  <c r="L1105" i="31" s="1"/>
  <c r="E1217" i="15"/>
  <c r="L1106" i="31" s="1"/>
  <c r="E1218" i="15"/>
  <c r="E1219" i="15"/>
  <c r="L1108" i="31" s="1"/>
  <c r="E1220" i="15"/>
  <c r="L1109" i="31" s="1"/>
  <c r="E1221" i="15"/>
  <c r="L1110" i="31" s="1"/>
  <c r="E1222" i="15"/>
  <c r="E1223" i="15"/>
  <c r="E1224" i="15"/>
  <c r="L1112" i="31" s="1"/>
  <c r="E1225" i="15"/>
  <c r="L1113" i="31" s="1"/>
  <c r="E1226" i="15"/>
  <c r="L1114" i="31" s="1"/>
  <c r="E1227" i="15"/>
  <c r="E1228" i="15"/>
  <c r="L1116" i="31" s="1"/>
  <c r="E1229" i="15"/>
  <c r="L1117" i="31" s="1"/>
  <c r="E1230" i="15"/>
  <c r="L1118" i="31" s="1"/>
  <c r="E1231" i="15"/>
  <c r="E1232" i="15"/>
  <c r="L1120" i="31" s="1"/>
  <c r="E1233" i="15"/>
  <c r="L1121" i="31" s="1"/>
  <c r="E1234" i="15"/>
  <c r="E1235" i="15"/>
  <c r="L1122" i="31" s="1"/>
  <c r="E1236" i="15"/>
  <c r="L1123" i="31" s="1"/>
  <c r="E1237" i="15"/>
  <c r="L1124" i="31" s="1"/>
  <c r="E1238" i="15"/>
  <c r="L1125" i="31" s="1"/>
  <c r="E1239" i="15"/>
  <c r="L1126" i="31" s="1"/>
  <c r="E1240" i="15"/>
  <c r="L1127" i="31" s="1"/>
  <c r="E1241" i="15"/>
  <c r="L1128" i="31" s="1"/>
  <c r="E1242" i="15"/>
  <c r="L1129" i="31" s="1"/>
  <c r="E1243" i="15"/>
  <c r="L1130" i="31" s="1"/>
  <c r="E1244" i="15"/>
  <c r="L1131" i="31" s="1"/>
  <c r="E1245" i="15"/>
  <c r="E1246" i="15"/>
  <c r="L1132" i="31" s="1"/>
  <c r="E1247" i="15"/>
  <c r="L1133" i="31" s="1"/>
  <c r="E1248" i="15"/>
  <c r="L1134" i="31" s="1"/>
  <c r="E1249" i="15"/>
  <c r="E1250" i="15"/>
  <c r="L1136" i="31" s="1"/>
  <c r="E1251" i="15"/>
  <c r="L1137" i="31" s="1"/>
  <c r="E1252" i="15"/>
  <c r="L1138" i="31" s="1"/>
  <c r="E1253" i="15"/>
  <c r="E1254" i="15"/>
  <c r="L1140" i="31" s="1"/>
  <c r="E1255" i="15"/>
  <c r="L1141" i="31" s="1"/>
  <c r="E1256" i="15"/>
  <c r="E1257" i="15"/>
  <c r="L1142" i="31" s="1"/>
  <c r="E1258" i="15"/>
  <c r="E1259" i="15"/>
  <c r="L1144" i="31" s="1"/>
  <c r="E1260" i="15"/>
  <c r="L1145" i="31" s="1"/>
  <c r="E1261" i="15"/>
  <c r="L1146" i="31" s="1"/>
  <c r="E1262" i="15"/>
  <c r="E1263" i="15"/>
  <c r="L1148" i="31" s="1"/>
  <c r="E1264" i="15"/>
  <c r="L1149" i="31" s="1"/>
  <c r="E1265" i="15"/>
  <c r="L1150" i="31" s="1"/>
  <c r="E1266" i="15"/>
  <c r="E1267" i="15"/>
  <c r="E1268" i="15"/>
  <c r="L1152" i="31" s="1"/>
  <c r="E1269" i="15"/>
  <c r="L1153" i="31" s="1"/>
  <c r="E1270" i="15"/>
  <c r="L1154" i="31" s="1"/>
  <c r="E1271" i="15"/>
  <c r="E1272" i="15"/>
  <c r="L1156" i="31" s="1"/>
  <c r="E1273" i="15"/>
  <c r="L1157" i="31" s="1"/>
  <c r="E1274" i="15"/>
  <c r="L1158" i="31" s="1"/>
  <c r="E1275" i="15"/>
  <c r="E1276" i="15"/>
  <c r="L1160" i="31" s="1"/>
  <c r="E1277" i="15"/>
  <c r="L1161" i="31" s="1"/>
  <c r="E1278" i="15"/>
  <c r="E1279" i="15"/>
  <c r="L1162" i="31" s="1"/>
  <c r="E1280" i="15"/>
  <c r="L1163" i="31" s="1"/>
  <c r="E1281" i="15"/>
  <c r="L1164" i="31" s="1"/>
  <c r="E1282" i="15"/>
  <c r="L1165" i="31" s="1"/>
  <c r="E1283" i="15"/>
  <c r="L1166" i="31" s="1"/>
  <c r="E1284" i="15"/>
  <c r="L1167" i="31" s="1"/>
  <c r="E1285" i="15"/>
  <c r="L1168" i="31" s="1"/>
  <c r="E1286" i="15"/>
  <c r="L1169" i="31" s="1"/>
  <c r="E1287" i="15"/>
  <c r="L1170" i="31" s="1"/>
  <c r="E1288" i="15"/>
  <c r="L1171" i="31" s="1"/>
  <c r="E1289" i="15"/>
  <c r="E1290" i="15"/>
  <c r="L1172" i="31" s="1"/>
  <c r="E1291" i="15"/>
  <c r="L1173" i="31" s="1"/>
  <c r="E1292" i="15"/>
  <c r="L1174" i="31" s="1"/>
  <c r="E1293" i="15"/>
  <c r="E1294" i="15"/>
  <c r="L1176" i="31" s="1"/>
  <c r="E1295" i="15"/>
  <c r="L1177" i="31" s="1"/>
  <c r="E1296" i="15"/>
  <c r="L1178" i="31" s="1"/>
  <c r="E1297" i="15"/>
  <c r="E1298" i="15"/>
  <c r="L1180" i="31" s="1"/>
  <c r="E1299" i="15"/>
  <c r="L1181" i="31" s="1"/>
  <c r="E1300" i="15"/>
  <c r="E1301" i="15"/>
  <c r="L1182" i="31" s="1"/>
  <c r="E1302" i="15"/>
  <c r="E1303" i="15"/>
  <c r="L1184" i="31" s="1"/>
  <c r="E1304" i="15"/>
  <c r="L1185" i="31" s="1"/>
  <c r="E1305" i="15"/>
  <c r="L1186" i="31" s="1"/>
  <c r="E1306" i="15"/>
  <c r="E1307" i="15"/>
  <c r="L1188" i="31" s="1"/>
  <c r="E1308" i="15"/>
  <c r="L1189" i="31" s="1"/>
  <c r="E1309" i="15"/>
  <c r="L1190" i="31" s="1"/>
  <c r="E1310" i="15"/>
  <c r="E1311" i="15"/>
  <c r="E1312" i="15"/>
  <c r="L1192" i="31" s="1"/>
  <c r="E1313" i="15"/>
  <c r="L1193" i="31" s="1"/>
  <c r="E1314" i="15"/>
  <c r="L1194" i="31" s="1"/>
  <c r="E1315" i="15"/>
  <c r="E1316" i="15"/>
  <c r="L1196" i="31" s="1"/>
  <c r="E1317" i="15"/>
  <c r="L1197" i="31" s="1"/>
  <c r="E1318" i="15"/>
  <c r="L1198" i="31" s="1"/>
  <c r="E1319" i="15"/>
  <c r="E1320" i="15"/>
  <c r="L1200" i="31" s="1"/>
  <c r="E1321" i="15"/>
  <c r="L1201" i="31" s="1"/>
  <c r="E1322" i="15"/>
  <c r="E1323" i="15"/>
  <c r="L1202" i="31" s="1"/>
  <c r="E1324" i="15"/>
  <c r="L1203" i="31" s="1"/>
  <c r="E1325" i="15"/>
  <c r="L1204" i="31" s="1"/>
  <c r="E1326" i="15"/>
  <c r="L1205" i="31" s="1"/>
  <c r="E1327" i="15"/>
  <c r="L1206" i="31" s="1"/>
  <c r="E1328" i="15"/>
  <c r="L1207" i="31" s="1"/>
  <c r="E1329" i="15"/>
  <c r="L1208" i="31" s="1"/>
  <c r="E1330" i="15"/>
  <c r="L1209" i="31" s="1"/>
  <c r="E1331" i="15"/>
  <c r="L1210" i="31" s="1"/>
  <c r="E1332" i="15"/>
  <c r="L1211" i="31" s="1"/>
  <c r="E1333" i="15"/>
  <c r="E1334" i="15"/>
  <c r="L1212" i="31" s="1"/>
  <c r="E1335" i="15"/>
  <c r="L1213" i="31" s="1"/>
  <c r="E1336" i="15"/>
  <c r="L1214" i="31" s="1"/>
  <c r="E1337" i="15"/>
  <c r="E1338" i="15"/>
  <c r="L1216" i="31" s="1"/>
  <c r="E1339" i="15"/>
  <c r="L1217" i="31" s="1"/>
  <c r="E1340" i="15"/>
  <c r="L1218" i="31" s="1"/>
  <c r="E1341" i="15"/>
  <c r="E1342" i="15"/>
  <c r="L1220" i="31" s="1"/>
  <c r="E1343" i="15"/>
  <c r="L1221" i="31" s="1"/>
  <c r="E1344" i="15"/>
  <c r="E1345" i="15"/>
  <c r="L1222" i="31" s="1"/>
  <c r="E1346" i="15"/>
  <c r="E1347" i="15"/>
  <c r="L1224" i="31" s="1"/>
  <c r="E1348" i="15"/>
  <c r="L1225" i="31" s="1"/>
  <c r="E1349" i="15"/>
  <c r="L1226" i="31" s="1"/>
  <c r="E1350" i="15"/>
  <c r="E1351" i="15"/>
  <c r="L1228" i="31" s="1"/>
  <c r="E1352" i="15"/>
  <c r="L1229" i="31" s="1"/>
  <c r="E1353" i="15"/>
  <c r="L1230" i="31" s="1"/>
  <c r="E1354" i="15"/>
  <c r="E1355" i="15"/>
  <c r="E1356" i="15"/>
  <c r="L1232" i="31" s="1"/>
  <c r="E1357" i="15"/>
  <c r="L1233" i="31" s="1"/>
  <c r="E1358" i="15"/>
  <c r="L1234" i="31" s="1"/>
  <c r="E1359" i="15"/>
  <c r="E1360" i="15"/>
  <c r="L1236" i="31" s="1"/>
  <c r="E1361" i="15"/>
  <c r="L1237" i="31" s="1"/>
  <c r="E1362" i="15"/>
  <c r="L1238" i="31" s="1"/>
  <c r="E1363" i="15"/>
  <c r="E1364" i="15"/>
  <c r="L1240" i="31" s="1"/>
  <c r="E1365" i="15"/>
  <c r="L1241" i="31" s="1"/>
  <c r="E1366" i="15"/>
  <c r="E1367" i="15"/>
  <c r="L1242" i="31" s="1"/>
  <c r="E1368" i="15"/>
  <c r="L1243" i="31" s="1"/>
  <c r="E1369" i="15"/>
  <c r="L1244" i="31" s="1"/>
  <c r="E1370" i="15"/>
  <c r="L1245" i="31" s="1"/>
  <c r="E1371" i="15"/>
  <c r="L1246" i="31" s="1"/>
  <c r="E1372" i="15"/>
  <c r="L1247" i="31" s="1"/>
  <c r="E1373" i="15"/>
  <c r="L1248" i="31" s="1"/>
  <c r="E1374" i="15"/>
  <c r="L1249" i="31" s="1"/>
  <c r="E1375" i="15"/>
  <c r="L1250" i="31" s="1"/>
  <c r="E1376" i="15"/>
  <c r="L1251" i="31" s="1"/>
  <c r="E1377" i="15"/>
  <c r="E1378" i="15"/>
  <c r="L1252" i="31" s="1"/>
  <c r="E1379" i="15"/>
  <c r="L1253" i="31" s="1"/>
  <c r="E1380" i="15"/>
  <c r="L1254" i="31" s="1"/>
  <c r="E1381" i="15"/>
  <c r="E1382" i="15"/>
  <c r="L1256" i="31" s="1"/>
  <c r="E1383" i="15"/>
  <c r="L1257" i="31" s="1"/>
  <c r="E1384" i="15"/>
  <c r="L1258" i="31" s="1"/>
  <c r="E1385" i="15"/>
  <c r="E1386" i="15"/>
  <c r="L1260" i="31" s="1"/>
  <c r="E1387" i="15"/>
  <c r="L1261" i="31" s="1"/>
  <c r="E1388" i="15"/>
  <c r="E1389" i="15"/>
  <c r="L1262" i="31" s="1"/>
  <c r="E1390" i="15"/>
  <c r="E1391" i="15"/>
  <c r="L1264" i="31" s="1"/>
  <c r="E1392" i="15"/>
  <c r="L1265" i="31" s="1"/>
  <c r="E1393" i="15"/>
  <c r="L1266" i="31" s="1"/>
  <c r="E1394" i="15"/>
  <c r="E1395" i="15"/>
  <c r="L1268" i="31" s="1"/>
  <c r="E1396" i="15"/>
  <c r="L1269" i="31" s="1"/>
  <c r="E1397" i="15"/>
  <c r="L1270" i="31" s="1"/>
  <c r="E1398" i="15"/>
  <c r="E1399" i="15"/>
  <c r="E1400" i="15"/>
  <c r="L1272" i="31" s="1"/>
  <c r="E1401" i="15"/>
  <c r="L1273" i="31" s="1"/>
  <c r="E1402" i="15"/>
  <c r="L1274" i="31" s="1"/>
  <c r="E1403" i="15"/>
  <c r="E1404" i="15"/>
  <c r="L1276" i="31" s="1"/>
  <c r="E1405" i="15"/>
  <c r="L1277" i="31" s="1"/>
  <c r="E1406" i="15"/>
  <c r="L1278" i="31" s="1"/>
  <c r="E1407" i="15"/>
  <c r="E1408" i="15"/>
  <c r="L1280" i="31" s="1"/>
  <c r="E1409" i="15"/>
  <c r="L1281" i="31" s="1"/>
  <c r="E1410" i="15"/>
  <c r="E1411" i="15"/>
  <c r="L1282" i="31" s="1"/>
  <c r="E1412" i="15"/>
  <c r="L1283" i="31" s="1"/>
  <c r="E1413" i="15"/>
  <c r="L1284" i="31" s="1"/>
  <c r="E1414" i="15"/>
  <c r="L1285" i="31" s="1"/>
  <c r="E1415" i="15"/>
  <c r="L1286" i="31" s="1"/>
  <c r="E1416" i="15"/>
  <c r="L1287" i="31" s="1"/>
  <c r="E1417" i="15"/>
  <c r="L1288" i="31" s="1"/>
  <c r="E1418" i="15"/>
  <c r="L1289" i="31" s="1"/>
  <c r="E1419" i="15"/>
  <c r="L1290" i="31" s="1"/>
  <c r="E1420" i="15"/>
  <c r="L1291" i="31" s="1"/>
  <c r="E1421" i="15"/>
  <c r="E1422" i="15"/>
  <c r="L1292" i="31" s="1"/>
  <c r="E1423" i="15"/>
  <c r="L1293" i="31" s="1"/>
  <c r="E1424" i="15"/>
  <c r="L1294" i="31" s="1"/>
  <c r="E1425" i="15"/>
  <c r="E1426" i="15"/>
  <c r="L1296" i="31" s="1"/>
  <c r="E1427" i="15"/>
  <c r="L1297" i="31" s="1"/>
  <c r="E1428" i="15"/>
  <c r="L1298" i="31" s="1"/>
  <c r="E1429" i="15"/>
  <c r="E1430" i="15"/>
  <c r="L1300" i="31" s="1"/>
  <c r="E1431" i="15"/>
  <c r="L1301" i="31" s="1"/>
  <c r="E1432" i="15"/>
  <c r="E1433" i="15"/>
  <c r="L1302" i="31" s="1"/>
  <c r="E1434" i="15"/>
  <c r="E1435" i="15"/>
  <c r="L1304" i="31" s="1"/>
  <c r="E1436" i="15"/>
  <c r="L1305" i="31" s="1"/>
  <c r="E1437" i="15"/>
  <c r="L1306" i="31" s="1"/>
  <c r="E1438" i="15"/>
  <c r="E1439" i="15"/>
  <c r="L1308" i="31" s="1"/>
  <c r="E1440" i="15"/>
  <c r="L1309" i="31" s="1"/>
  <c r="E1441" i="15"/>
  <c r="L1310" i="31" s="1"/>
  <c r="E1442" i="15"/>
  <c r="E1443" i="15"/>
  <c r="E1444" i="15"/>
  <c r="L1312" i="31" s="1"/>
  <c r="E1445" i="15"/>
  <c r="L1313" i="31" s="1"/>
  <c r="E1446" i="15"/>
  <c r="L1314" i="31" s="1"/>
  <c r="E1447" i="15"/>
  <c r="E1448" i="15"/>
  <c r="L1316" i="31" s="1"/>
  <c r="E1449" i="15"/>
  <c r="L1317" i="31" s="1"/>
  <c r="E1450" i="15"/>
  <c r="L1318" i="31" s="1"/>
  <c r="E1451" i="15"/>
  <c r="E1452" i="15"/>
  <c r="L1320" i="31" s="1"/>
  <c r="E1453" i="15"/>
  <c r="L1321" i="31" s="1"/>
  <c r="E1454" i="15"/>
  <c r="E1455" i="15"/>
  <c r="L1322" i="31" s="1"/>
  <c r="E1456" i="15"/>
  <c r="L1323" i="31" s="1"/>
  <c r="E1457" i="15"/>
  <c r="L1324" i="31" s="1"/>
  <c r="E1458" i="15"/>
  <c r="L1325" i="31" s="1"/>
  <c r="E1459" i="15"/>
  <c r="L1326" i="31" s="1"/>
  <c r="E1460" i="15"/>
  <c r="L1327" i="31" s="1"/>
  <c r="E1461" i="15"/>
  <c r="L1328" i="31" s="1"/>
  <c r="E1462" i="15"/>
  <c r="L1329" i="31" s="1"/>
  <c r="E1463" i="15"/>
  <c r="L1330" i="31" s="1"/>
  <c r="E1464" i="15"/>
  <c r="L1331" i="31" s="1"/>
  <c r="E1465" i="15"/>
  <c r="E1466" i="15"/>
  <c r="L1332" i="31" s="1"/>
  <c r="E1467" i="15"/>
  <c r="L1333" i="31" s="1"/>
  <c r="E1468" i="15"/>
  <c r="L1334" i="31" s="1"/>
  <c r="E1469" i="15"/>
  <c r="E1470" i="15"/>
  <c r="L1336" i="31" s="1"/>
  <c r="E1471" i="15"/>
  <c r="L1337" i="31" s="1"/>
  <c r="E1472" i="15"/>
  <c r="L1338" i="31" s="1"/>
  <c r="E1473" i="15"/>
  <c r="E1474" i="15"/>
  <c r="L1340" i="31" s="1"/>
  <c r="E1475" i="15"/>
  <c r="L1341" i="31" s="1"/>
  <c r="E1476" i="15"/>
  <c r="E1477" i="15"/>
  <c r="L1342" i="31" s="1"/>
  <c r="E1478" i="15"/>
  <c r="E1479" i="15"/>
  <c r="L1344" i="31" s="1"/>
  <c r="E1480" i="15"/>
  <c r="L1345" i="31" s="1"/>
  <c r="E1481" i="15"/>
  <c r="L1346" i="31" s="1"/>
  <c r="E1482" i="15"/>
  <c r="E1483" i="15"/>
  <c r="L1348" i="31" s="1"/>
  <c r="E1484" i="15"/>
  <c r="L1349" i="31" s="1"/>
  <c r="E1485" i="15"/>
  <c r="L1350" i="31" s="1"/>
  <c r="E1486" i="15"/>
  <c r="E1487" i="15"/>
  <c r="E1488" i="15"/>
  <c r="L1352" i="31" s="1"/>
  <c r="E1489" i="15"/>
  <c r="L1353" i="31" s="1"/>
  <c r="E1490" i="15"/>
  <c r="L1354" i="31" s="1"/>
  <c r="E1491" i="15"/>
  <c r="E1492" i="15"/>
  <c r="L1356" i="31" s="1"/>
  <c r="E1493" i="15"/>
  <c r="L1357" i="31" s="1"/>
  <c r="E1494" i="15"/>
  <c r="L1358" i="31" s="1"/>
  <c r="E1495" i="15"/>
  <c r="E1496" i="15"/>
  <c r="L1360" i="31" s="1"/>
  <c r="E1497" i="15"/>
  <c r="L1361" i="31" s="1"/>
  <c r="E1498" i="15"/>
  <c r="E1499" i="15"/>
  <c r="L1362" i="31" s="1"/>
  <c r="E1500" i="15"/>
  <c r="L1363" i="31" s="1"/>
  <c r="E1501" i="15"/>
  <c r="L1364" i="31" s="1"/>
  <c r="E1502" i="15"/>
  <c r="L1365" i="31" s="1"/>
  <c r="E1503" i="15"/>
  <c r="L1366" i="31" s="1"/>
  <c r="E1504" i="15"/>
  <c r="L1367" i="31" s="1"/>
  <c r="E1505" i="15"/>
  <c r="L1368" i="31" s="1"/>
  <c r="E1506" i="15"/>
  <c r="L1369" i="31" s="1"/>
  <c r="E1507" i="15"/>
  <c r="L1370" i="31" s="1"/>
  <c r="E1508" i="15"/>
  <c r="L1371" i="31" s="1"/>
  <c r="E1509" i="15"/>
  <c r="E1510" i="15"/>
  <c r="L1372" i="31" s="1"/>
  <c r="E1511" i="15"/>
  <c r="L1373" i="31" s="1"/>
  <c r="E1512" i="15"/>
  <c r="L1374" i="31" s="1"/>
  <c r="E1513" i="15"/>
  <c r="E1514" i="15"/>
  <c r="L1376" i="31" s="1"/>
  <c r="E1515" i="15"/>
  <c r="L1377" i="31" s="1"/>
  <c r="E1516" i="15"/>
  <c r="L1378" i="31" s="1"/>
  <c r="E1517" i="15"/>
  <c r="E1518" i="15"/>
  <c r="L1380" i="31" s="1"/>
  <c r="E1519" i="15"/>
  <c r="L1381" i="31" s="1"/>
  <c r="E1520" i="15"/>
  <c r="E1521" i="15"/>
  <c r="L1382" i="31" s="1"/>
  <c r="E1522" i="15"/>
  <c r="E1523" i="15"/>
  <c r="L1384" i="31" s="1"/>
  <c r="E1524" i="15"/>
  <c r="L1385" i="31" s="1"/>
  <c r="E1525" i="15"/>
  <c r="L1386" i="31" s="1"/>
  <c r="E1526" i="15"/>
  <c r="E1527" i="15"/>
  <c r="L1388" i="31" s="1"/>
  <c r="E1528" i="15"/>
  <c r="L1389" i="31" s="1"/>
  <c r="E1529" i="15"/>
  <c r="L1390" i="31" s="1"/>
  <c r="E1530" i="15"/>
  <c r="E1531" i="15"/>
  <c r="E1532" i="15"/>
  <c r="L1392" i="31" s="1"/>
  <c r="E1533" i="15"/>
  <c r="L1393" i="31" s="1"/>
  <c r="E1534" i="15"/>
  <c r="L1394" i="31" s="1"/>
  <c r="E1535" i="15"/>
  <c r="E1536" i="15"/>
  <c r="L1396" i="31" s="1"/>
  <c r="E1537" i="15"/>
  <c r="L1397" i="31" s="1"/>
  <c r="E1538" i="15"/>
  <c r="L1398" i="31" s="1"/>
  <c r="E1539" i="15"/>
  <c r="E1540" i="15"/>
  <c r="L1400" i="31" s="1"/>
  <c r="E1541" i="15"/>
  <c r="L1401" i="31" s="1"/>
  <c r="E1542" i="15"/>
  <c r="E1543" i="15"/>
  <c r="L1402" i="31" s="1"/>
  <c r="E1544" i="15"/>
  <c r="L1403" i="31" s="1"/>
  <c r="E1545" i="15"/>
  <c r="L1404" i="31" s="1"/>
  <c r="E1546" i="15"/>
  <c r="L1405" i="31" s="1"/>
  <c r="E1547" i="15"/>
  <c r="L1406" i="31" s="1"/>
  <c r="E1548" i="15"/>
  <c r="L1407" i="31" s="1"/>
  <c r="E1549" i="15"/>
  <c r="L1408" i="31" s="1"/>
  <c r="E1550" i="15"/>
  <c r="L1409" i="31" s="1"/>
  <c r="E1551" i="15"/>
  <c r="L1410" i="31" s="1"/>
  <c r="E1552" i="15"/>
  <c r="L1411" i="31" s="1"/>
  <c r="E1553" i="15"/>
  <c r="E1554" i="15"/>
  <c r="L1412" i="31" s="1"/>
  <c r="E1555" i="15"/>
  <c r="L1413" i="31" s="1"/>
  <c r="E1556" i="15"/>
  <c r="L1414" i="31" s="1"/>
  <c r="E1557" i="15"/>
  <c r="E1558" i="15"/>
  <c r="L1416" i="31" s="1"/>
  <c r="E1559" i="15"/>
  <c r="L1417" i="31" s="1"/>
  <c r="E1560" i="15"/>
  <c r="L1418" i="31" s="1"/>
  <c r="E1561" i="15"/>
  <c r="E1562" i="15"/>
  <c r="L1420" i="31" s="1"/>
  <c r="E1563" i="15"/>
  <c r="L1421" i="31" s="1"/>
  <c r="E1564" i="15"/>
  <c r="E1565" i="15"/>
  <c r="L1422" i="31" s="1"/>
  <c r="E1566" i="15"/>
  <c r="E1567" i="15"/>
  <c r="L1424" i="31" s="1"/>
  <c r="E1568" i="15"/>
  <c r="L1425" i="31" s="1"/>
  <c r="E1569" i="15"/>
  <c r="L1426" i="31" s="1"/>
  <c r="E1570" i="15"/>
  <c r="E1571" i="15"/>
  <c r="L1428" i="31" s="1"/>
  <c r="E1572" i="15"/>
  <c r="L1429" i="31" s="1"/>
  <c r="E1573" i="15"/>
  <c r="L1430" i="31" s="1"/>
  <c r="E1574" i="15"/>
  <c r="E1575" i="15"/>
  <c r="E1576" i="15"/>
  <c r="L1432" i="31" s="1"/>
  <c r="E1577" i="15"/>
  <c r="L1433" i="31" s="1"/>
  <c r="E1578" i="15"/>
  <c r="L1434" i="31" s="1"/>
  <c r="E1579" i="15"/>
  <c r="E1580" i="15"/>
  <c r="L1436" i="31" s="1"/>
  <c r="E1581" i="15"/>
  <c r="L1437" i="31" s="1"/>
  <c r="E1582" i="15"/>
  <c r="L1438" i="31" s="1"/>
  <c r="E1583" i="15"/>
  <c r="E1584" i="15"/>
  <c r="L1440" i="31" s="1"/>
  <c r="E1585" i="15"/>
  <c r="L1441" i="31" s="1"/>
  <c r="E1586" i="15"/>
  <c r="E1587" i="15"/>
  <c r="L1442" i="31" s="1"/>
  <c r="E1588" i="15"/>
  <c r="L1443" i="31" s="1"/>
  <c r="E1589" i="15"/>
  <c r="L1444" i="31" s="1"/>
  <c r="E1590" i="15"/>
  <c r="L1445" i="31" s="1"/>
  <c r="E1591" i="15"/>
  <c r="L1446" i="31" s="1"/>
  <c r="E1592" i="15"/>
  <c r="L1447" i="31" s="1"/>
  <c r="E1593" i="15"/>
  <c r="L1448" i="31" s="1"/>
  <c r="E1594" i="15"/>
  <c r="L1449" i="31" s="1"/>
  <c r="E1595" i="15"/>
  <c r="L1450" i="31" s="1"/>
  <c r="E1596" i="15"/>
  <c r="L1451" i="31" s="1"/>
  <c r="E1597" i="15"/>
  <c r="E1598" i="15"/>
  <c r="L1452" i="31" s="1"/>
  <c r="E1599" i="15"/>
  <c r="L1453" i="31" s="1"/>
  <c r="E1600" i="15"/>
  <c r="L1454" i="31" s="1"/>
  <c r="E1601" i="15"/>
  <c r="E1602" i="15"/>
  <c r="L1456" i="31" s="1"/>
  <c r="E1603" i="15"/>
  <c r="L1457" i="31" s="1"/>
  <c r="E1604" i="15"/>
  <c r="L1458" i="31" s="1"/>
  <c r="E1605" i="15"/>
  <c r="E1606" i="15"/>
  <c r="L1460" i="31" s="1"/>
  <c r="E1607" i="15"/>
  <c r="L1461" i="31" s="1"/>
  <c r="E1608" i="15"/>
  <c r="E1609" i="15"/>
  <c r="L1462" i="31" s="1"/>
  <c r="E1610" i="15"/>
  <c r="E1611" i="15"/>
  <c r="L1464" i="31" s="1"/>
  <c r="E1612" i="15"/>
  <c r="L1465" i="31" s="1"/>
  <c r="E1613" i="15"/>
  <c r="L1466" i="31" s="1"/>
  <c r="E1614" i="15"/>
  <c r="E1615" i="15"/>
  <c r="L1468" i="31" s="1"/>
  <c r="E1616" i="15"/>
  <c r="L1469" i="31" s="1"/>
  <c r="E1617" i="15"/>
  <c r="L1470" i="31" s="1"/>
  <c r="E1618" i="15"/>
  <c r="E1619" i="15"/>
  <c r="E1620" i="15"/>
  <c r="L1472" i="31" s="1"/>
  <c r="E1621" i="15"/>
  <c r="L1473" i="31" s="1"/>
  <c r="E1622" i="15"/>
  <c r="L1474" i="31" s="1"/>
  <c r="E1623" i="15"/>
  <c r="E1624" i="15"/>
  <c r="L1476" i="31" s="1"/>
  <c r="E1625" i="15"/>
  <c r="L1477" i="31" s="1"/>
  <c r="E1626" i="15"/>
  <c r="L1478" i="31" s="1"/>
  <c r="E1627" i="15"/>
  <c r="E1628" i="15"/>
  <c r="L1480" i="31" s="1"/>
  <c r="E1629" i="15"/>
  <c r="L1481" i="31" s="1"/>
  <c r="X1589" i="6"/>
  <c r="E1589" i="29" s="1"/>
  <c r="T1444" i="31" s="1"/>
  <c r="V1589" i="6"/>
  <c r="E1589" i="28" s="1"/>
  <c r="N1589" i="6"/>
  <c r="M1589" i="6"/>
  <c r="M1589" i="23" s="1"/>
  <c r="L1589" i="6"/>
  <c r="K1589" i="6"/>
  <c r="P1589" i="23" s="1"/>
  <c r="R1589" i="23" s="1"/>
  <c r="Z1444" i="31" s="1"/>
  <c r="J1589" i="6"/>
  <c r="J1589" i="23" s="1"/>
  <c r="I1589" i="6"/>
  <c r="Q1589" i="23" s="1"/>
  <c r="H1589" i="6"/>
  <c r="F1589" i="23" s="1"/>
  <c r="G1589" i="6"/>
  <c r="F1589" i="6"/>
  <c r="E1589" i="23" s="1"/>
  <c r="G1589" i="23" s="1"/>
  <c r="E1589" i="6"/>
  <c r="X1588" i="6"/>
  <c r="E1588" i="29" s="1"/>
  <c r="T1443" i="31" s="1"/>
  <c r="T1588" i="6"/>
  <c r="E1588" i="19" s="1"/>
  <c r="T1589" i="6"/>
  <c r="E1589" i="19" s="1"/>
  <c r="V1588" i="6"/>
  <c r="E1588" i="28" s="1"/>
  <c r="X1587" i="6"/>
  <c r="E1587" i="29" s="1"/>
  <c r="T1442" i="31" s="1"/>
  <c r="T1587" i="6"/>
  <c r="E1587" i="19" s="1"/>
  <c r="V1587" i="6"/>
  <c r="E1587" i="28" s="1"/>
  <c r="N1588" i="6"/>
  <c r="M1588" i="6"/>
  <c r="M1588" i="23" s="1"/>
  <c r="L1588" i="6"/>
  <c r="K1588" i="6"/>
  <c r="P1588" i="23" s="1"/>
  <c r="R1588" i="23" s="1"/>
  <c r="Z1443" i="31" s="1"/>
  <c r="J1588" i="6"/>
  <c r="J1588" i="23" s="1"/>
  <c r="I1588" i="6"/>
  <c r="Q1588" i="23" s="1"/>
  <c r="H1588" i="6"/>
  <c r="F1588" i="23" s="1"/>
  <c r="G1588" i="6"/>
  <c r="F1588" i="6"/>
  <c r="E1588" i="23" s="1"/>
  <c r="E1588" i="6"/>
  <c r="N1587" i="6"/>
  <c r="M1587" i="6"/>
  <c r="M1587" i="23" s="1"/>
  <c r="L1587" i="6"/>
  <c r="L1586" i="6"/>
  <c r="K1587" i="6"/>
  <c r="P1587" i="23" s="1"/>
  <c r="R1587" i="23" s="1"/>
  <c r="Z1442" i="31" s="1"/>
  <c r="J1587" i="6"/>
  <c r="J1587" i="23" s="1"/>
  <c r="I1587" i="6"/>
  <c r="Q1587" i="23" s="1"/>
  <c r="H1587" i="6"/>
  <c r="F1587" i="23" s="1"/>
  <c r="G1587" i="6"/>
  <c r="F1587" i="6"/>
  <c r="E1587" i="23" s="1"/>
  <c r="G1587" i="23" s="1"/>
  <c r="E1587" i="6"/>
  <c r="N1629" i="6"/>
  <c r="M1629" i="6"/>
  <c r="M1629" i="23" s="1"/>
  <c r="L1629" i="6"/>
  <c r="K1629" i="6"/>
  <c r="P1629" i="23" s="1"/>
  <c r="J1629" i="6"/>
  <c r="J1629" i="23" s="1"/>
  <c r="I1629" i="6"/>
  <c r="Q1629" i="23" s="1"/>
  <c r="H1629" i="6"/>
  <c r="F1629" i="23" s="1"/>
  <c r="G1629" i="6"/>
  <c r="F1629" i="6"/>
  <c r="E1629" i="23" s="1"/>
  <c r="E1629" i="6"/>
  <c r="N1628" i="6"/>
  <c r="M1628" i="6"/>
  <c r="M1628" i="23" s="1"/>
  <c r="L1628" i="6"/>
  <c r="K1628" i="6"/>
  <c r="P1628" i="23" s="1"/>
  <c r="R1628" i="23" s="1"/>
  <c r="Z1480" i="31" s="1"/>
  <c r="J1628" i="6"/>
  <c r="J1628" i="23" s="1"/>
  <c r="I1628" i="6"/>
  <c r="Q1628" i="23" s="1"/>
  <c r="H1628" i="6"/>
  <c r="F1628" i="23" s="1"/>
  <c r="G1628" i="6"/>
  <c r="F1628" i="6"/>
  <c r="E1628" i="23" s="1"/>
  <c r="G1628" i="23" s="1"/>
  <c r="E1628" i="6"/>
  <c r="N1627" i="6"/>
  <c r="M1627" i="6"/>
  <c r="M1627" i="23" s="1"/>
  <c r="L1627" i="6"/>
  <c r="K1627" i="6"/>
  <c r="P1627" i="23" s="1"/>
  <c r="J1627" i="6"/>
  <c r="J1627" i="23" s="1"/>
  <c r="I1627" i="6"/>
  <c r="Q1627" i="23" s="1"/>
  <c r="H1627" i="6"/>
  <c r="F1627" i="23" s="1"/>
  <c r="G1627" i="6"/>
  <c r="F1627" i="6"/>
  <c r="E1627" i="23" s="1"/>
  <c r="E1627" i="6"/>
  <c r="N1626" i="6"/>
  <c r="M1626" i="6"/>
  <c r="M1626" i="23" s="1"/>
  <c r="L1626" i="6"/>
  <c r="K1626" i="6"/>
  <c r="P1626" i="23" s="1"/>
  <c r="R1626" i="23" s="1"/>
  <c r="Z1478" i="31" s="1"/>
  <c r="J1626" i="6"/>
  <c r="J1626" i="23" s="1"/>
  <c r="I1626" i="6"/>
  <c r="Q1626" i="23" s="1"/>
  <c r="H1626" i="6"/>
  <c r="F1626" i="23" s="1"/>
  <c r="G1626" i="6"/>
  <c r="F1626" i="6"/>
  <c r="E1626" i="23" s="1"/>
  <c r="G1626" i="23" s="1"/>
  <c r="E1626" i="6"/>
  <c r="N1625" i="6"/>
  <c r="M1625" i="6"/>
  <c r="M1625" i="23" s="1"/>
  <c r="L1625" i="6"/>
  <c r="K1625" i="6"/>
  <c r="P1625" i="23" s="1"/>
  <c r="J1625" i="6"/>
  <c r="J1625" i="23" s="1"/>
  <c r="I1625" i="6"/>
  <c r="Q1625" i="23" s="1"/>
  <c r="H1625" i="6"/>
  <c r="F1625" i="23" s="1"/>
  <c r="G1625" i="6"/>
  <c r="F1625" i="6"/>
  <c r="E1625" i="23" s="1"/>
  <c r="E1625" i="6"/>
  <c r="N1624" i="6"/>
  <c r="M1624" i="6"/>
  <c r="M1624" i="23" s="1"/>
  <c r="L1624" i="6"/>
  <c r="K1624" i="6"/>
  <c r="P1624" i="23" s="1"/>
  <c r="R1624" i="23" s="1"/>
  <c r="Z1476" i="31" s="1"/>
  <c r="J1624" i="6"/>
  <c r="J1624" i="23" s="1"/>
  <c r="I1624" i="6"/>
  <c r="Q1624" i="23" s="1"/>
  <c r="H1624" i="6"/>
  <c r="F1624" i="23" s="1"/>
  <c r="G1624" i="6"/>
  <c r="F1624" i="6"/>
  <c r="E1624" i="23" s="1"/>
  <c r="G1624" i="23" s="1"/>
  <c r="E1624" i="6"/>
  <c r="N1623" i="6"/>
  <c r="M1623" i="6"/>
  <c r="M1623" i="23" s="1"/>
  <c r="L1623" i="6"/>
  <c r="K1623" i="6"/>
  <c r="P1623" i="23" s="1"/>
  <c r="J1623" i="6"/>
  <c r="J1623" i="23" s="1"/>
  <c r="I1623" i="6"/>
  <c r="Q1623" i="23" s="1"/>
  <c r="H1623" i="6"/>
  <c r="F1623" i="23" s="1"/>
  <c r="G1623" i="6"/>
  <c r="F1623" i="6"/>
  <c r="E1623" i="23" s="1"/>
  <c r="E1623" i="6"/>
  <c r="N1622" i="6"/>
  <c r="M1622" i="6"/>
  <c r="M1622" i="23" s="1"/>
  <c r="L1622" i="6"/>
  <c r="K1622" i="6"/>
  <c r="P1622" i="23" s="1"/>
  <c r="R1622" i="23" s="1"/>
  <c r="Z1474" i="31" s="1"/>
  <c r="J1622" i="6"/>
  <c r="J1622" i="23" s="1"/>
  <c r="I1622" i="6"/>
  <c r="Q1622" i="23" s="1"/>
  <c r="H1622" i="6"/>
  <c r="F1622" i="23" s="1"/>
  <c r="G1622" i="6"/>
  <c r="F1622" i="6"/>
  <c r="E1622" i="23" s="1"/>
  <c r="G1622" i="23" s="1"/>
  <c r="E1622" i="6"/>
  <c r="N1621" i="6"/>
  <c r="M1621" i="6"/>
  <c r="M1621" i="23" s="1"/>
  <c r="L1621" i="6"/>
  <c r="K1621" i="6"/>
  <c r="P1621" i="23" s="1"/>
  <c r="J1621" i="6"/>
  <c r="J1621" i="23" s="1"/>
  <c r="I1621" i="6"/>
  <c r="Q1621" i="23" s="1"/>
  <c r="H1621" i="6"/>
  <c r="F1621" i="23" s="1"/>
  <c r="G1621" i="6"/>
  <c r="F1621" i="6"/>
  <c r="E1621" i="23" s="1"/>
  <c r="E1621" i="6"/>
  <c r="N1620" i="6"/>
  <c r="M1620" i="6"/>
  <c r="M1620" i="23" s="1"/>
  <c r="L1620" i="6"/>
  <c r="L1619" i="6"/>
  <c r="K1620" i="6"/>
  <c r="P1620" i="23" s="1"/>
  <c r="R1620" i="23" s="1"/>
  <c r="Z1472" i="31" s="1"/>
  <c r="J1620" i="6"/>
  <c r="J1620" i="23" s="1"/>
  <c r="I1620" i="6"/>
  <c r="Q1620" i="23" s="1"/>
  <c r="H1620" i="6"/>
  <c r="F1620" i="23" s="1"/>
  <c r="G1620" i="6"/>
  <c r="F1620" i="6"/>
  <c r="E1620" i="23" s="1"/>
  <c r="E1620" i="6"/>
  <c r="K1618" i="6"/>
  <c r="P1618" i="23" s="1"/>
  <c r="R1618" i="23" s="1"/>
  <c r="Z1471" i="31" s="1"/>
  <c r="J1618" i="6"/>
  <c r="J1618" i="23" s="1"/>
  <c r="I1618" i="6"/>
  <c r="Q1618" i="23" s="1"/>
  <c r="H1618" i="6"/>
  <c r="F1618" i="23" s="1"/>
  <c r="G1618" i="6"/>
  <c r="F1618" i="6"/>
  <c r="E1618" i="23" s="1"/>
  <c r="G1618" i="23" s="1"/>
  <c r="E1618" i="6"/>
  <c r="K1617" i="6"/>
  <c r="P1617" i="23" s="1"/>
  <c r="J1617" i="6"/>
  <c r="J1617" i="23" s="1"/>
  <c r="I1617" i="6"/>
  <c r="Q1617" i="23" s="1"/>
  <c r="H1617" i="6"/>
  <c r="F1617" i="23" s="1"/>
  <c r="G1617" i="6"/>
  <c r="F1617" i="6"/>
  <c r="E1617" i="23" s="1"/>
  <c r="G1617" i="23" s="1"/>
  <c r="E1617" i="6"/>
  <c r="K1616" i="6"/>
  <c r="P1616" i="23" s="1"/>
  <c r="J1616" i="6"/>
  <c r="J1616" i="23" s="1"/>
  <c r="I1616" i="6"/>
  <c r="Q1616" i="23" s="1"/>
  <c r="H1616" i="6"/>
  <c r="F1616" i="23" s="1"/>
  <c r="G1616" i="6"/>
  <c r="F1616" i="6"/>
  <c r="E1616" i="23" s="1"/>
  <c r="E1616" i="6"/>
  <c r="K1615" i="6"/>
  <c r="P1615" i="23" s="1"/>
  <c r="R1615" i="23" s="1"/>
  <c r="Z1468" i="31" s="1"/>
  <c r="J1615" i="6"/>
  <c r="J1615" i="23" s="1"/>
  <c r="I1615" i="6"/>
  <c r="Q1615" i="23" s="1"/>
  <c r="H1615" i="6"/>
  <c r="F1615" i="23" s="1"/>
  <c r="G1615" i="6"/>
  <c r="F1615" i="6"/>
  <c r="E1615" i="23" s="1"/>
  <c r="E1615" i="6"/>
  <c r="K1614" i="6"/>
  <c r="P1614" i="23" s="1"/>
  <c r="R1614" i="23" s="1"/>
  <c r="Z1467" i="31" s="1"/>
  <c r="J1614" i="6"/>
  <c r="J1614" i="23" s="1"/>
  <c r="I1614" i="6"/>
  <c r="Q1614" i="23" s="1"/>
  <c r="H1614" i="6"/>
  <c r="F1614" i="23" s="1"/>
  <c r="G1614" i="6"/>
  <c r="F1614" i="6"/>
  <c r="E1614" i="23" s="1"/>
  <c r="G1614" i="23" s="1"/>
  <c r="E1614" i="6"/>
  <c r="K1613" i="6"/>
  <c r="P1613" i="23" s="1"/>
  <c r="J1613" i="6"/>
  <c r="J1613" i="23" s="1"/>
  <c r="I1613" i="6"/>
  <c r="Q1613" i="23" s="1"/>
  <c r="H1613" i="6"/>
  <c r="F1613" i="23" s="1"/>
  <c r="G1613" i="6"/>
  <c r="F1613" i="6"/>
  <c r="E1613" i="23" s="1"/>
  <c r="G1613" i="23" s="1"/>
  <c r="E1613" i="6"/>
  <c r="K1612" i="6"/>
  <c r="P1612" i="23" s="1"/>
  <c r="J1612" i="6"/>
  <c r="J1612" i="23" s="1"/>
  <c r="I1612" i="6"/>
  <c r="Q1612" i="23" s="1"/>
  <c r="H1612" i="6"/>
  <c r="F1612" i="23" s="1"/>
  <c r="G1612" i="6"/>
  <c r="F1612" i="6"/>
  <c r="E1612" i="23" s="1"/>
  <c r="E1612" i="6"/>
  <c r="K1611" i="6"/>
  <c r="P1611" i="23" s="1"/>
  <c r="J1611" i="6"/>
  <c r="J1611" i="23" s="1"/>
  <c r="H1611" i="6"/>
  <c r="F1611" i="23" s="1"/>
  <c r="G1611" i="6"/>
  <c r="F1611" i="6"/>
  <c r="E1611" i="23" s="1"/>
  <c r="E1611" i="6"/>
  <c r="T1610" i="6"/>
  <c r="E1610" i="19" s="1"/>
  <c r="T1611" i="6"/>
  <c r="E1611" i="19" s="1"/>
  <c r="T1612" i="6"/>
  <c r="E1612" i="19" s="1"/>
  <c r="T1613" i="6"/>
  <c r="E1613" i="19" s="1"/>
  <c r="T1614" i="6"/>
  <c r="E1614" i="19" s="1"/>
  <c r="T1615" i="6"/>
  <c r="E1615" i="19" s="1"/>
  <c r="T1616" i="6"/>
  <c r="E1616" i="19" s="1"/>
  <c r="T1617" i="6"/>
  <c r="E1617" i="19" s="1"/>
  <c r="T1618" i="6"/>
  <c r="E1618" i="19" s="1"/>
  <c r="T1609" i="6"/>
  <c r="E1609" i="19" s="1"/>
  <c r="K1610" i="6"/>
  <c r="P1610" i="23" s="1"/>
  <c r="J1610" i="6"/>
  <c r="J1610" i="23" s="1"/>
  <c r="I1610" i="6"/>
  <c r="Q1610" i="23" s="1"/>
  <c r="H1610" i="6"/>
  <c r="F1610" i="23" s="1"/>
  <c r="G1610" i="6"/>
  <c r="F1610" i="6"/>
  <c r="E1610" i="23" s="1"/>
  <c r="E1610" i="6"/>
  <c r="K1609" i="6"/>
  <c r="P1609" i="23" s="1"/>
  <c r="R1609" i="23" s="1"/>
  <c r="Z1462" i="31" s="1"/>
  <c r="J1609" i="6"/>
  <c r="J1609" i="23" s="1"/>
  <c r="I1609" i="6"/>
  <c r="Q1609" i="23" s="1"/>
  <c r="H1609" i="6"/>
  <c r="F1609" i="23" s="1"/>
  <c r="G1609" i="6"/>
  <c r="F1609" i="6"/>
  <c r="E1609" i="23" s="1"/>
  <c r="E1609" i="6"/>
  <c r="X1552" i="6"/>
  <c r="E1552" i="29" s="1"/>
  <c r="T1411" i="31" s="1"/>
  <c r="V1552" i="6"/>
  <c r="E1552" i="28" s="1"/>
  <c r="N1552" i="6"/>
  <c r="M1552" i="6"/>
  <c r="M1552" i="23" s="1"/>
  <c r="L1552" i="6"/>
  <c r="K1552" i="6"/>
  <c r="P1552" i="23" s="1"/>
  <c r="R1552" i="23" s="1"/>
  <c r="Z1411" i="31" s="1"/>
  <c r="J1552" i="6"/>
  <c r="J1552" i="23" s="1"/>
  <c r="I1552" i="6"/>
  <c r="Q1552" i="23" s="1"/>
  <c r="H1552" i="6"/>
  <c r="F1552" i="23" s="1"/>
  <c r="G1552" i="6"/>
  <c r="F1552" i="6"/>
  <c r="E1552" i="23" s="1"/>
  <c r="E1552" i="6"/>
  <c r="X1551" i="6"/>
  <c r="E1551" i="29" s="1"/>
  <c r="T1410" i="31" s="1"/>
  <c r="V1551" i="6"/>
  <c r="E1551" i="28" s="1"/>
  <c r="N1551" i="6"/>
  <c r="M1551" i="6"/>
  <c r="M1551" i="23" s="1"/>
  <c r="L1551" i="6"/>
  <c r="K1551" i="6"/>
  <c r="P1551" i="23" s="1"/>
  <c r="R1551" i="23" s="1"/>
  <c r="Z1410" i="31" s="1"/>
  <c r="J1551" i="6"/>
  <c r="J1551" i="23" s="1"/>
  <c r="I1551" i="6"/>
  <c r="Q1551" i="23" s="1"/>
  <c r="H1551" i="6"/>
  <c r="F1551" i="23" s="1"/>
  <c r="F1551" i="6"/>
  <c r="E1551" i="23" s="1"/>
  <c r="G1551" i="23" s="1"/>
  <c r="G1551" i="6"/>
  <c r="E1551" i="6"/>
  <c r="X1550" i="6"/>
  <c r="E1550" i="29" s="1"/>
  <c r="T1409" i="31" s="1"/>
  <c r="V1550" i="6"/>
  <c r="E1550" i="28" s="1"/>
  <c r="X1549" i="6"/>
  <c r="E1549" i="29" s="1"/>
  <c r="T1408" i="31" s="1"/>
  <c r="V1549" i="6"/>
  <c r="E1549" i="28" s="1"/>
  <c r="N1550" i="6"/>
  <c r="N1549" i="6"/>
  <c r="M1550" i="6"/>
  <c r="M1550" i="23" s="1"/>
  <c r="M1549" i="6"/>
  <c r="M1549" i="23" s="1"/>
  <c r="L1550" i="6"/>
  <c r="L1549" i="6"/>
  <c r="K1550" i="6"/>
  <c r="P1550" i="23" s="1"/>
  <c r="K1549" i="6"/>
  <c r="P1549" i="23" s="1"/>
  <c r="J1550" i="6"/>
  <c r="J1550" i="23" s="1"/>
  <c r="J1549" i="6"/>
  <c r="J1549" i="23" s="1"/>
  <c r="I1550" i="6"/>
  <c r="Q1550" i="23" s="1"/>
  <c r="I1549" i="6"/>
  <c r="Q1549" i="23" s="1"/>
  <c r="H1550" i="6"/>
  <c r="F1550" i="23" s="1"/>
  <c r="H1549" i="6"/>
  <c r="F1549" i="23" s="1"/>
  <c r="G1550" i="6"/>
  <c r="G1549" i="6"/>
  <c r="F1550" i="6"/>
  <c r="E1550" i="23" s="1"/>
  <c r="G1550" i="23" s="1"/>
  <c r="F1549" i="6"/>
  <c r="E1549" i="23" s="1"/>
  <c r="G1549" i="23" s="1"/>
  <c r="E1550" i="6"/>
  <c r="E1549" i="6"/>
  <c r="X1548" i="6"/>
  <c r="E1548" i="29" s="1"/>
  <c r="T1407" i="31" s="1"/>
  <c r="V1548" i="6"/>
  <c r="E1548" i="28" s="1"/>
  <c r="N1548" i="6"/>
  <c r="M1548" i="6"/>
  <c r="M1548" i="23" s="1"/>
  <c r="L1548" i="6"/>
  <c r="K1548" i="6"/>
  <c r="P1548" i="23" s="1"/>
  <c r="R1548" i="23" s="1"/>
  <c r="Z1407" i="31" s="1"/>
  <c r="J1548" i="6"/>
  <c r="J1548" i="23" s="1"/>
  <c r="I1548" i="6"/>
  <c r="Q1548" i="23" s="1"/>
  <c r="H1548" i="6"/>
  <c r="F1548" i="23" s="1"/>
  <c r="G1548" i="6"/>
  <c r="F1548" i="6"/>
  <c r="E1548" i="23" s="1"/>
  <c r="E1548" i="6"/>
  <c r="X1547" i="6"/>
  <c r="E1547" i="29" s="1"/>
  <c r="T1406" i="31" s="1"/>
  <c r="V1547" i="6"/>
  <c r="X1546" i="6"/>
  <c r="E1546" i="29" s="1"/>
  <c r="T1405" i="31" s="1"/>
  <c r="V1546" i="6"/>
  <c r="E1546" i="28" s="1"/>
  <c r="N1547" i="6"/>
  <c r="N1546" i="6"/>
  <c r="M1547" i="6"/>
  <c r="M1547" i="23" s="1"/>
  <c r="M1546" i="6"/>
  <c r="M1546" i="23" s="1"/>
  <c r="L1547" i="6"/>
  <c r="L1546" i="6"/>
  <c r="K1547" i="6"/>
  <c r="P1547" i="23" s="1"/>
  <c r="K1546" i="6"/>
  <c r="P1546" i="23" s="1"/>
  <c r="J1547" i="6"/>
  <c r="J1547" i="23" s="1"/>
  <c r="J1546" i="6"/>
  <c r="J1546" i="23" s="1"/>
  <c r="I1547" i="6"/>
  <c r="Q1547" i="23" s="1"/>
  <c r="I1546" i="6"/>
  <c r="Q1546" i="23" s="1"/>
  <c r="H1547" i="6"/>
  <c r="F1547" i="23" s="1"/>
  <c r="H1546" i="6"/>
  <c r="F1546" i="23" s="1"/>
  <c r="G1547" i="6"/>
  <c r="G1546" i="6"/>
  <c r="F1547" i="6"/>
  <c r="E1547" i="23" s="1"/>
  <c r="G1547" i="23" s="1"/>
  <c r="F1546" i="6"/>
  <c r="E1546" i="23" s="1"/>
  <c r="G1546" i="23" s="1"/>
  <c r="E1546" i="6"/>
  <c r="E1547" i="6"/>
  <c r="X1544" i="6"/>
  <c r="E1544" i="29" s="1"/>
  <c r="T1403" i="31" s="1"/>
  <c r="V1544" i="6"/>
  <c r="E1544" i="28" s="1"/>
  <c r="N1544" i="6"/>
  <c r="M1544" i="6"/>
  <c r="M1544" i="23" s="1"/>
  <c r="L1544" i="6"/>
  <c r="K1544" i="6"/>
  <c r="P1544" i="23" s="1"/>
  <c r="J1544" i="6"/>
  <c r="J1544" i="23" s="1"/>
  <c r="I1544" i="6"/>
  <c r="Q1544" i="23" s="1"/>
  <c r="H1544" i="6"/>
  <c r="F1544" i="23" s="1"/>
  <c r="G1544" i="6"/>
  <c r="F1544" i="6"/>
  <c r="E1544" i="23" s="1"/>
  <c r="E1544" i="6"/>
  <c r="W1546" i="6"/>
  <c r="W1549" i="6"/>
  <c r="W1550" i="6"/>
  <c r="X1543" i="6"/>
  <c r="E1543" i="29" s="1"/>
  <c r="T1402" i="31" s="1"/>
  <c r="V1543" i="6"/>
  <c r="E1543" i="28" s="1"/>
  <c r="T1544" i="6"/>
  <c r="E1544" i="19" s="1"/>
  <c r="T1546" i="6"/>
  <c r="E1546" i="19" s="1"/>
  <c r="T1547" i="6"/>
  <c r="E1547" i="19" s="1"/>
  <c r="T1548" i="6"/>
  <c r="E1548" i="19" s="1"/>
  <c r="T1549" i="6"/>
  <c r="E1549" i="19" s="1"/>
  <c r="T1550" i="6"/>
  <c r="E1550" i="19" s="1"/>
  <c r="T1551" i="6"/>
  <c r="E1551" i="19" s="1"/>
  <c r="T1552" i="6"/>
  <c r="E1552" i="19" s="1"/>
  <c r="T1543" i="6"/>
  <c r="E1543" i="19" s="1"/>
  <c r="N1543" i="6"/>
  <c r="M1543" i="6"/>
  <c r="M1543" i="23" s="1"/>
  <c r="L1543" i="6"/>
  <c r="L1542" i="6"/>
  <c r="K1543" i="6"/>
  <c r="P1543" i="23" s="1"/>
  <c r="R1543" i="23" s="1"/>
  <c r="Z1402" i="31" s="1"/>
  <c r="J1543" i="6"/>
  <c r="J1543" i="23" s="1"/>
  <c r="I1543" i="6"/>
  <c r="Q1543" i="23" s="1"/>
  <c r="H1543" i="6"/>
  <c r="F1543" i="23" s="1"/>
  <c r="G1543" i="6"/>
  <c r="F1543" i="6"/>
  <c r="E1543" i="23" s="1"/>
  <c r="E1543" i="6"/>
  <c r="H1543" i="23" l="1"/>
  <c r="K1543" i="23" s="1"/>
  <c r="N1543" i="23" s="1"/>
  <c r="E1543" i="20"/>
  <c r="U1402" i="31" s="1"/>
  <c r="P1403" i="31"/>
  <c r="S1403" i="31"/>
  <c r="W1547" i="6"/>
  <c r="E1547" i="28"/>
  <c r="H1548" i="23"/>
  <c r="K1548" i="23" s="1"/>
  <c r="N1548" i="23" s="1"/>
  <c r="E1548" i="20"/>
  <c r="U1407" i="31" s="1"/>
  <c r="H1614" i="23"/>
  <c r="K1614" i="23" s="1"/>
  <c r="N1614" i="23" s="1"/>
  <c r="E1614" i="20"/>
  <c r="U1467" i="31" s="1"/>
  <c r="H1618" i="23"/>
  <c r="K1618" i="23" s="1"/>
  <c r="N1618" i="23" s="1"/>
  <c r="E1618" i="20"/>
  <c r="U1471" i="31" s="1"/>
  <c r="H1622" i="23"/>
  <c r="K1622" i="23" s="1"/>
  <c r="N1622" i="23" s="1"/>
  <c r="E1622" i="20"/>
  <c r="U1474" i="31" s="1"/>
  <c r="H1624" i="23"/>
  <c r="K1624" i="23" s="1"/>
  <c r="N1624" i="23" s="1"/>
  <c r="E1624" i="20"/>
  <c r="U1476" i="31" s="1"/>
  <c r="H1626" i="23"/>
  <c r="K1626" i="23" s="1"/>
  <c r="N1626" i="23" s="1"/>
  <c r="E1626" i="20"/>
  <c r="U1478" i="31" s="1"/>
  <c r="H1628" i="23"/>
  <c r="K1628" i="23" s="1"/>
  <c r="N1628" i="23" s="1"/>
  <c r="E1628" i="20"/>
  <c r="U1480" i="31" s="1"/>
  <c r="H1587" i="23"/>
  <c r="K1587" i="23" s="1"/>
  <c r="N1587" i="23" s="1"/>
  <c r="E1587" i="20"/>
  <c r="U1442" i="31" s="1"/>
  <c r="H1589" i="23"/>
  <c r="K1589" i="23" s="1"/>
  <c r="N1589" i="23" s="1"/>
  <c r="E1589" i="20"/>
  <c r="U1444" i="31" s="1"/>
  <c r="P1444" i="31"/>
  <c r="S1444" i="31"/>
  <c r="H1546" i="23"/>
  <c r="K1546" i="23" s="1"/>
  <c r="N1546" i="23" s="1"/>
  <c r="O1546" i="23" s="1"/>
  <c r="Y1405" i="31" s="1"/>
  <c r="E1546" i="20"/>
  <c r="U1405" i="31" s="1"/>
  <c r="R1546" i="23"/>
  <c r="Z1405" i="31" s="1"/>
  <c r="S1405" i="31"/>
  <c r="P1405" i="31"/>
  <c r="O1548" i="23"/>
  <c r="Y1407" i="31" s="1"/>
  <c r="H1549" i="23"/>
  <c r="K1549" i="23" s="1"/>
  <c r="N1549" i="23" s="1"/>
  <c r="E1549" i="20"/>
  <c r="U1408" i="31" s="1"/>
  <c r="R1549" i="23"/>
  <c r="Z1408" i="31" s="1"/>
  <c r="O1549" i="23"/>
  <c r="Y1408" i="31" s="1"/>
  <c r="P1408" i="31"/>
  <c r="S1408" i="31"/>
  <c r="G1610" i="23"/>
  <c r="I1611" i="6"/>
  <c r="Q1611" i="23" s="1"/>
  <c r="G1612" i="23"/>
  <c r="H1613" i="23"/>
  <c r="K1613" i="23" s="1"/>
  <c r="N1613" i="23" s="1"/>
  <c r="E1613" i="20"/>
  <c r="U1466" i="31" s="1"/>
  <c r="R1613" i="23"/>
  <c r="Z1466" i="31" s="1"/>
  <c r="G1616" i="23"/>
  <c r="H1617" i="23"/>
  <c r="K1617" i="23" s="1"/>
  <c r="N1617" i="23" s="1"/>
  <c r="E1617" i="20"/>
  <c r="U1470" i="31" s="1"/>
  <c r="R1617" i="23"/>
  <c r="Z1470" i="31" s="1"/>
  <c r="G1621" i="23"/>
  <c r="G1623" i="23"/>
  <c r="G1625" i="23"/>
  <c r="G1627" i="23"/>
  <c r="G1629" i="23"/>
  <c r="R1544" i="23"/>
  <c r="Z1403" i="31" s="1"/>
  <c r="I1546" i="23"/>
  <c r="P1407" i="31"/>
  <c r="S1407" i="31"/>
  <c r="W1544" i="6"/>
  <c r="S1402" i="31"/>
  <c r="P1402" i="31"/>
  <c r="G1543" i="23"/>
  <c r="I1543" i="23" s="1"/>
  <c r="L1543" i="23"/>
  <c r="X1402" i="31" s="1"/>
  <c r="O1543" i="23"/>
  <c r="Y1402" i="31" s="1"/>
  <c r="W1543" i="6"/>
  <c r="W1548" i="6"/>
  <c r="G1544" i="23"/>
  <c r="H1547" i="23"/>
  <c r="K1547" i="23" s="1"/>
  <c r="N1547" i="23" s="1"/>
  <c r="E1547" i="20"/>
  <c r="U1406" i="31" s="1"/>
  <c r="R1547" i="23"/>
  <c r="Z1406" i="31" s="1"/>
  <c r="O1547" i="23"/>
  <c r="Y1406" i="31" s="1"/>
  <c r="G1548" i="23"/>
  <c r="I1548" i="23" s="1"/>
  <c r="L1548" i="23"/>
  <c r="X1407" i="31" s="1"/>
  <c r="H1550" i="23"/>
  <c r="K1550" i="23" s="1"/>
  <c r="N1550" i="23" s="1"/>
  <c r="E1550" i="20"/>
  <c r="U1409" i="31" s="1"/>
  <c r="R1550" i="23"/>
  <c r="Z1409" i="31" s="1"/>
  <c r="O1550" i="23"/>
  <c r="Y1409" i="31" s="1"/>
  <c r="H1551" i="23"/>
  <c r="K1551" i="23" s="1"/>
  <c r="N1551" i="23" s="1"/>
  <c r="O1551" i="23" s="1"/>
  <c r="Y1410" i="31" s="1"/>
  <c r="E1551" i="20"/>
  <c r="U1410" i="31" s="1"/>
  <c r="L1551" i="23"/>
  <c r="X1410" i="31" s="1"/>
  <c r="G1552" i="23"/>
  <c r="G1609" i="23"/>
  <c r="H1610" i="23"/>
  <c r="K1610" i="23" s="1"/>
  <c r="N1610" i="23" s="1"/>
  <c r="E1610" i="20"/>
  <c r="U1463" i="31" s="1"/>
  <c r="R1610" i="23"/>
  <c r="Z1463" i="31" s="1"/>
  <c r="G1611" i="23"/>
  <c r="H1612" i="23"/>
  <c r="K1612" i="23" s="1"/>
  <c r="N1612" i="23" s="1"/>
  <c r="E1612" i="20"/>
  <c r="U1465" i="31" s="1"/>
  <c r="R1612" i="23"/>
  <c r="Z1465" i="31" s="1"/>
  <c r="G1615" i="23"/>
  <c r="H1616" i="23"/>
  <c r="K1616" i="23" s="1"/>
  <c r="N1616" i="23" s="1"/>
  <c r="E1616" i="20"/>
  <c r="U1469" i="31" s="1"/>
  <c r="R1616" i="23"/>
  <c r="Z1469" i="31" s="1"/>
  <c r="G1620" i="23"/>
  <c r="H1621" i="23"/>
  <c r="K1621" i="23" s="1"/>
  <c r="N1621" i="23" s="1"/>
  <c r="O1621" i="23" s="1"/>
  <c r="Y1473" i="31" s="1"/>
  <c r="E1621" i="20"/>
  <c r="U1473" i="31" s="1"/>
  <c r="R1621" i="23"/>
  <c r="Z1473" i="31" s="1"/>
  <c r="O1622" i="23"/>
  <c r="Y1474" i="31" s="1"/>
  <c r="H1623" i="23"/>
  <c r="K1623" i="23" s="1"/>
  <c r="N1623" i="23" s="1"/>
  <c r="O1623" i="23" s="1"/>
  <c r="Y1475" i="31" s="1"/>
  <c r="E1623" i="20"/>
  <c r="U1475" i="31" s="1"/>
  <c r="R1623" i="23"/>
  <c r="Z1475" i="31" s="1"/>
  <c r="O1624" i="23"/>
  <c r="Y1476" i="31" s="1"/>
  <c r="H1625" i="23"/>
  <c r="K1625" i="23" s="1"/>
  <c r="N1625" i="23" s="1"/>
  <c r="O1625" i="23" s="1"/>
  <c r="Y1477" i="31" s="1"/>
  <c r="E1625" i="20"/>
  <c r="U1477" i="31" s="1"/>
  <c r="R1625" i="23"/>
  <c r="Z1477" i="31" s="1"/>
  <c r="O1626" i="23"/>
  <c r="Y1478" i="31" s="1"/>
  <c r="H1627" i="23"/>
  <c r="K1627" i="23" s="1"/>
  <c r="N1627" i="23" s="1"/>
  <c r="O1627" i="23" s="1"/>
  <c r="Y1479" i="31" s="1"/>
  <c r="E1627" i="20"/>
  <c r="U1479" i="31" s="1"/>
  <c r="R1627" i="23"/>
  <c r="Z1479" i="31" s="1"/>
  <c r="O1628" i="23"/>
  <c r="Y1480" i="31" s="1"/>
  <c r="H1629" i="23"/>
  <c r="K1629" i="23" s="1"/>
  <c r="N1629" i="23" s="1"/>
  <c r="O1629" i="23" s="1"/>
  <c r="Y1481" i="31" s="1"/>
  <c r="E1629" i="20"/>
  <c r="U1481" i="31" s="1"/>
  <c r="R1629" i="23"/>
  <c r="Z1481" i="31" s="1"/>
  <c r="G1588" i="23"/>
  <c r="P1443" i="31"/>
  <c r="S1443" i="31"/>
  <c r="O1589" i="23"/>
  <c r="Y1444" i="31" s="1"/>
  <c r="H1544" i="23"/>
  <c r="K1544" i="23" s="1"/>
  <c r="N1544" i="23" s="1"/>
  <c r="O1544" i="23" s="1"/>
  <c r="Y1403" i="31" s="1"/>
  <c r="E1544" i="20"/>
  <c r="U1403" i="31" s="1"/>
  <c r="L1546" i="23"/>
  <c r="X1405" i="31" s="1"/>
  <c r="I1549" i="23"/>
  <c r="L1549" i="23"/>
  <c r="X1408" i="31" s="1"/>
  <c r="S1409" i="31"/>
  <c r="P1409" i="31"/>
  <c r="I1551" i="23"/>
  <c r="S1410" i="31"/>
  <c r="P1410" i="31"/>
  <c r="H1552" i="23"/>
  <c r="K1552" i="23" s="1"/>
  <c r="N1552" i="23" s="1"/>
  <c r="O1552" i="23" s="1"/>
  <c r="Y1411" i="31" s="1"/>
  <c r="E1552" i="20"/>
  <c r="U1411" i="31" s="1"/>
  <c r="P1411" i="31"/>
  <c r="S1411" i="31"/>
  <c r="H1609" i="23"/>
  <c r="K1609" i="23" s="1"/>
  <c r="N1609" i="23" s="1"/>
  <c r="E1609" i="20"/>
  <c r="U1462" i="31" s="1"/>
  <c r="H1611" i="23"/>
  <c r="K1611" i="23" s="1"/>
  <c r="N1611" i="23" s="1"/>
  <c r="E1611" i="20"/>
  <c r="U1464" i="31" s="1"/>
  <c r="R1611" i="23"/>
  <c r="Z1464" i="31" s="1"/>
  <c r="I1614" i="23"/>
  <c r="L1614" i="23"/>
  <c r="X1467" i="31" s="1"/>
  <c r="H1615" i="23"/>
  <c r="K1615" i="23" s="1"/>
  <c r="N1615" i="23" s="1"/>
  <c r="E1615" i="20"/>
  <c r="U1468" i="31" s="1"/>
  <c r="I1618" i="23"/>
  <c r="L1618" i="23"/>
  <c r="X1471" i="31" s="1"/>
  <c r="H1620" i="23"/>
  <c r="K1620" i="23" s="1"/>
  <c r="N1620" i="23" s="1"/>
  <c r="O1620" i="23" s="1"/>
  <c r="Y1472" i="31" s="1"/>
  <c r="E1620" i="20"/>
  <c r="U1472" i="31" s="1"/>
  <c r="I1622" i="23"/>
  <c r="L1622" i="23"/>
  <c r="X1474" i="31" s="1"/>
  <c r="I1624" i="23"/>
  <c r="L1624" i="23"/>
  <c r="X1476" i="31" s="1"/>
  <c r="I1626" i="23"/>
  <c r="L1626" i="23"/>
  <c r="X1478" i="31" s="1"/>
  <c r="I1628" i="23"/>
  <c r="L1628" i="23"/>
  <c r="X1480" i="31" s="1"/>
  <c r="I1587" i="23"/>
  <c r="L1587" i="23"/>
  <c r="X1442" i="31" s="1"/>
  <c r="O1587" i="23"/>
  <c r="Y1442" i="31" s="1"/>
  <c r="H1588" i="23"/>
  <c r="K1588" i="23" s="1"/>
  <c r="N1588" i="23" s="1"/>
  <c r="O1588" i="23" s="1"/>
  <c r="Y1443" i="31" s="1"/>
  <c r="E1588" i="20"/>
  <c r="U1443" i="31" s="1"/>
  <c r="S1442" i="31"/>
  <c r="P1442" i="31"/>
  <c r="I1589" i="23"/>
  <c r="L1589" i="23"/>
  <c r="X1444" i="31" s="1"/>
  <c r="P950" i="31"/>
  <c r="S950" i="31"/>
  <c r="P946" i="31"/>
  <c r="S946" i="31"/>
  <c r="P942" i="31"/>
  <c r="S942" i="31"/>
  <c r="S106" i="31"/>
  <c r="P106" i="31"/>
  <c r="S102" i="31"/>
  <c r="P102" i="31"/>
  <c r="P99" i="31"/>
  <c r="S99" i="31"/>
  <c r="S95" i="31"/>
  <c r="P95" i="31"/>
  <c r="S88" i="31"/>
  <c r="P88" i="31"/>
  <c r="S84" i="31"/>
  <c r="P84" i="31"/>
  <c r="S81" i="31"/>
  <c r="P81" i="31"/>
  <c r="S77" i="31"/>
  <c r="P77" i="31"/>
  <c r="S73" i="31"/>
  <c r="P73" i="31"/>
  <c r="S70" i="31"/>
  <c r="P70" i="31"/>
  <c r="S26" i="31"/>
  <c r="P26" i="31"/>
  <c r="S22" i="31"/>
  <c r="P22" i="31"/>
  <c r="P19" i="31"/>
  <c r="S19" i="31"/>
  <c r="S15" i="31"/>
  <c r="P15" i="31"/>
  <c r="S8" i="31"/>
  <c r="P8" i="31"/>
  <c r="S4" i="31"/>
  <c r="P4" i="31"/>
  <c r="S404" i="31"/>
  <c r="W584" i="31"/>
  <c r="P1379" i="31"/>
  <c r="S1379" i="31"/>
  <c r="P1375" i="31"/>
  <c r="S1375" i="31"/>
  <c r="P1182" i="31"/>
  <c r="S1182" i="31"/>
  <c r="P426" i="31"/>
  <c r="S426" i="31"/>
  <c r="P422" i="31"/>
  <c r="S422" i="31"/>
  <c r="S41" i="31"/>
  <c r="P41" i="31"/>
  <c r="S37" i="31"/>
  <c r="P37" i="31"/>
  <c r="S33" i="31"/>
  <c r="P33" i="31"/>
  <c r="W1293" i="31"/>
  <c r="W881" i="31"/>
  <c r="W877" i="31"/>
  <c r="W873" i="31"/>
  <c r="W870" i="31"/>
  <c r="W866" i="31"/>
  <c r="W862" i="31"/>
  <c r="W648" i="31"/>
  <c r="W257" i="31"/>
  <c r="W253" i="31"/>
  <c r="W1415" i="31"/>
  <c r="P815" i="31"/>
  <c r="S815" i="31"/>
  <c r="P648" i="31"/>
  <c r="S648" i="31"/>
  <c r="S641" i="31"/>
  <c r="P641" i="31"/>
  <c r="S637" i="31"/>
  <c r="P637" i="31"/>
  <c r="S633" i="31"/>
  <c r="P633" i="31"/>
  <c r="W1147" i="31"/>
  <c r="W1143" i="31"/>
  <c r="W537" i="31"/>
  <c r="S591" i="23"/>
  <c r="AA537" i="31" s="1"/>
  <c r="W533" i="31"/>
  <c r="W482" i="31"/>
  <c r="W135" i="31"/>
  <c r="P684" i="31"/>
  <c r="S684" i="31"/>
  <c r="P408" i="31"/>
  <c r="S408" i="31"/>
  <c r="S401" i="31"/>
  <c r="P401" i="31"/>
  <c r="S397" i="31"/>
  <c r="P397" i="31"/>
  <c r="S393" i="31"/>
  <c r="P393" i="31"/>
  <c r="P390" i="31"/>
  <c r="S390" i="31"/>
  <c r="P386" i="31"/>
  <c r="S386" i="31"/>
  <c r="P382" i="31"/>
  <c r="S382" i="31"/>
  <c r="P379" i="31"/>
  <c r="S379" i="31"/>
  <c r="P375" i="31"/>
  <c r="S375" i="31"/>
  <c r="P368" i="31"/>
  <c r="S368" i="31"/>
  <c r="S364" i="31"/>
  <c r="P364" i="31"/>
  <c r="S361" i="31"/>
  <c r="P361" i="31"/>
  <c r="S644" i="31"/>
  <c r="W962" i="31"/>
  <c r="W1124" i="31"/>
  <c r="S1481" i="31"/>
  <c r="P1481" i="31"/>
  <c r="S1477" i="31"/>
  <c r="P1477" i="31"/>
  <c r="S1473" i="31"/>
  <c r="P1473" i="31"/>
  <c r="P1459" i="31"/>
  <c r="S1459" i="31"/>
  <c r="P1455" i="31"/>
  <c r="S1455" i="31"/>
  <c r="P1350" i="31"/>
  <c r="S1350" i="31"/>
  <c r="P1346" i="31"/>
  <c r="S1346" i="31"/>
  <c r="P1342" i="31"/>
  <c r="S1342" i="31"/>
  <c r="P1339" i="31"/>
  <c r="S1339" i="31"/>
  <c r="P1335" i="31"/>
  <c r="S1335" i="31"/>
  <c r="P1310" i="31"/>
  <c r="S1310" i="31"/>
  <c r="P1306" i="31"/>
  <c r="S1306" i="31"/>
  <c r="P1302" i="31"/>
  <c r="S1302" i="31"/>
  <c r="P1299" i="31"/>
  <c r="S1299" i="31"/>
  <c r="P1295" i="31"/>
  <c r="S1295" i="31"/>
  <c r="P1259" i="31"/>
  <c r="S1259" i="31"/>
  <c r="P1175" i="31"/>
  <c r="S1175" i="31"/>
  <c r="P1150" i="31"/>
  <c r="S1150" i="31"/>
  <c r="P1146" i="31"/>
  <c r="S1146" i="31"/>
  <c r="P1142" i="31"/>
  <c r="S1142" i="31"/>
  <c r="P910" i="31"/>
  <c r="S910" i="31"/>
  <c r="P906" i="31"/>
  <c r="S906" i="31"/>
  <c r="P902" i="31"/>
  <c r="S902" i="31"/>
  <c r="P899" i="31"/>
  <c r="S899" i="31"/>
  <c r="P895" i="31"/>
  <c r="S895" i="31"/>
  <c r="P870" i="31"/>
  <c r="S870" i="31"/>
  <c r="P866" i="31"/>
  <c r="S866" i="31"/>
  <c r="P862" i="31"/>
  <c r="S862" i="31"/>
  <c r="P619" i="31"/>
  <c r="S619" i="31"/>
  <c r="P615" i="31"/>
  <c r="S615" i="31"/>
  <c r="P590" i="31"/>
  <c r="S590" i="31"/>
  <c r="P586" i="31"/>
  <c r="S586" i="31"/>
  <c r="P582" i="31"/>
  <c r="S582" i="31"/>
  <c r="P575" i="31"/>
  <c r="S575" i="31"/>
  <c r="P550" i="31"/>
  <c r="S550" i="31"/>
  <c r="P546" i="31"/>
  <c r="S546" i="31"/>
  <c r="P542" i="31"/>
  <c r="S542" i="31"/>
  <c r="P539" i="31"/>
  <c r="S539" i="31"/>
  <c r="P535" i="31"/>
  <c r="S535" i="31"/>
  <c r="S1248" i="31"/>
  <c r="S1168" i="31"/>
  <c r="S608" i="31"/>
  <c r="S528" i="31"/>
  <c r="S339" i="31"/>
  <c r="W1362" i="31"/>
  <c r="W725" i="31"/>
  <c r="W595" i="31"/>
  <c r="S655" i="23"/>
  <c r="AA595" i="31" s="1"/>
  <c r="W582" i="31"/>
  <c r="W464" i="31"/>
  <c r="S511" i="23"/>
  <c r="AA464" i="31" s="1"/>
  <c r="W162" i="31"/>
  <c r="W37" i="31"/>
  <c r="P1470" i="31"/>
  <c r="P1466" i="31"/>
  <c r="P1462" i="31"/>
  <c r="P1357" i="31"/>
  <c r="P1353" i="31"/>
  <c r="P1117" i="31"/>
  <c r="P1113" i="31"/>
  <c r="P881" i="31"/>
  <c r="P877" i="31"/>
  <c r="P873" i="31"/>
  <c r="P561" i="31"/>
  <c r="P557" i="31"/>
  <c r="P553" i="31"/>
  <c r="P521" i="31"/>
  <c r="P517" i="31"/>
  <c r="P1230" i="31"/>
  <c r="S1230" i="31"/>
  <c r="P1226" i="31"/>
  <c r="S1226" i="31"/>
  <c r="P1222" i="31"/>
  <c r="S1222" i="31"/>
  <c r="P1219" i="31"/>
  <c r="S1219" i="31"/>
  <c r="P1215" i="31"/>
  <c r="S1215" i="31"/>
  <c r="P1019" i="31"/>
  <c r="S1019" i="31"/>
  <c r="P1015" i="31"/>
  <c r="S1015" i="31"/>
  <c r="P990" i="31"/>
  <c r="S990" i="31"/>
  <c r="P986" i="31"/>
  <c r="S986" i="31"/>
  <c r="P982" i="31"/>
  <c r="S982" i="31"/>
  <c r="P979" i="31"/>
  <c r="S979" i="31"/>
  <c r="P975" i="31"/>
  <c r="S975" i="31"/>
  <c r="P939" i="31"/>
  <c r="S939" i="31"/>
  <c r="P935" i="31"/>
  <c r="S935" i="31"/>
  <c r="P750" i="31"/>
  <c r="S750" i="31"/>
  <c r="P746" i="31"/>
  <c r="S746" i="31"/>
  <c r="P742" i="31"/>
  <c r="S742" i="31"/>
  <c r="P739" i="31"/>
  <c r="S739" i="31"/>
  <c r="P735" i="31"/>
  <c r="S735" i="31"/>
  <c r="P710" i="31"/>
  <c r="S710" i="31"/>
  <c r="P706" i="31"/>
  <c r="S706" i="31"/>
  <c r="P702" i="31"/>
  <c r="S702" i="31"/>
  <c r="P499" i="31"/>
  <c r="S499" i="31"/>
  <c r="P495" i="31"/>
  <c r="S495" i="31"/>
  <c r="P470" i="31"/>
  <c r="S470" i="31"/>
  <c r="P466" i="31"/>
  <c r="S466" i="31"/>
  <c r="P462" i="31"/>
  <c r="S462" i="31"/>
  <c r="P459" i="31"/>
  <c r="S459" i="31"/>
  <c r="P455" i="31"/>
  <c r="S455" i="31"/>
  <c r="S350" i="31"/>
  <c r="P350" i="31"/>
  <c r="S346" i="31"/>
  <c r="P346" i="31"/>
  <c r="S342" i="31"/>
  <c r="P342" i="31"/>
  <c r="S310" i="31"/>
  <c r="P310" i="31"/>
  <c r="S306" i="31"/>
  <c r="P306" i="31"/>
  <c r="S302" i="31"/>
  <c r="P302" i="31"/>
  <c r="S295" i="31"/>
  <c r="P295" i="31"/>
  <c r="S288" i="31"/>
  <c r="P288" i="31"/>
  <c r="S284" i="31"/>
  <c r="P284" i="31"/>
  <c r="S270" i="31"/>
  <c r="P270" i="31"/>
  <c r="S266" i="31"/>
  <c r="P266" i="31"/>
  <c r="S262" i="31"/>
  <c r="P262" i="31"/>
  <c r="S255" i="31"/>
  <c r="P255" i="31"/>
  <c r="S150" i="31"/>
  <c r="P150" i="31"/>
  <c r="S146" i="31"/>
  <c r="P146" i="31"/>
  <c r="S142" i="31"/>
  <c r="P142" i="31"/>
  <c r="S135" i="31"/>
  <c r="P135" i="31"/>
  <c r="S128" i="31"/>
  <c r="P128" i="31"/>
  <c r="S124" i="31"/>
  <c r="P124" i="31"/>
  <c r="S1404" i="31"/>
  <c r="S1244" i="31"/>
  <c r="S1164" i="31"/>
  <c r="S1004" i="31"/>
  <c r="S924" i="31"/>
  <c r="S764" i="31"/>
  <c r="S604" i="31"/>
  <c r="S524" i="31"/>
  <c r="S444" i="31"/>
  <c r="S299" i="31"/>
  <c r="S139" i="31"/>
  <c r="W1431" i="31"/>
  <c r="W1427" i="31"/>
  <c r="W1423" i="31"/>
  <c r="W1335" i="31"/>
  <c r="W1273" i="31"/>
  <c r="W803" i="31"/>
  <c r="W753" i="31"/>
  <c r="W750" i="31"/>
  <c r="W742" i="31"/>
  <c r="W661" i="31"/>
  <c r="W346" i="31"/>
  <c r="W342" i="31"/>
  <c r="W322" i="31"/>
  <c r="W137" i="31"/>
  <c r="W1457" i="31"/>
  <c r="W1224" i="31"/>
  <c r="W642" i="31"/>
  <c r="W293" i="31"/>
  <c r="W1357" i="31"/>
  <c r="W193" i="31"/>
  <c r="L56" i="23"/>
  <c r="X51" i="31" s="1"/>
  <c r="P1321" i="31"/>
  <c r="P1317" i="31"/>
  <c r="P1313" i="31"/>
  <c r="P1281" i="31"/>
  <c r="P1277" i="31"/>
  <c r="P1273" i="31"/>
  <c r="P1201" i="31"/>
  <c r="P1197" i="31"/>
  <c r="P1193" i="31"/>
  <c r="P1161" i="31"/>
  <c r="P1157" i="31"/>
  <c r="P1153" i="31"/>
  <c r="P753" i="31"/>
  <c r="P313" i="31"/>
  <c r="P281" i="31"/>
  <c r="P277" i="31"/>
  <c r="P273" i="31"/>
  <c r="S1441" i="31"/>
  <c r="P1441" i="31"/>
  <c r="S1437" i="31"/>
  <c r="P1437" i="31"/>
  <c r="S1433" i="31"/>
  <c r="P1433" i="31"/>
  <c r="P1419" i="31"/>
  <c r="S1419" i="31"/>
  <c r="P1415" i="31"/>
  <c r="S1415" i="31"/>
  <c r="P1262" i="31"/>
  <c r="S1262" i="31"/>
  <c r="P1070" i="31"/>
  <c r="S1070" i="31"/>
  <c r="P1066" i="31"/>
  <c r="S1066" i="31"/>
  <c r="P1062" i="31"/>
  <c r="S1062" i="31"/>
  <c r="P1059" i="31"/>
  <c r="S1059" i="31"/>
  <c r="P1055" i="31"/>
  <c r="S1055" i="31"/>
  <c r="P1030" i="31"/>
  <c r="S1030" i="31"/>
  <c r="P1026" i="31"/>
  <c r="S1026" i="31"/>
  <c r="P1022" i="31"/>
  <c r="S1022" i="31"/>
  <c r="P859" i="31"/>
  <c r="S859" i="31"/>
  <c r="P790" i="31"/>
  <c r="S790" i="31"/>
  <c r="P786" i="31"/>
  <c r="S786" i="31"/>
  <c r="P782" i="31"/>
  <c r="S782" i="31"/>
  <c r="P779" i="31"/>
  <c r="S779" i="31"/>
  <c r="P775" i="31"/>
  <c r="S775" i="31"/>
  <c r="P662" i="31"/>
  <c r="S662" i="31"/>
  <c r="S230" i="31"/>
  <c r="P230" i="31"/>
  <c r="S226" i="31"/>
  <c r="P226" i="31"/>
  <c r="S222" i="31"/>
  <c r="P222" i="31"/>
  <c r="S215" i="31"/>
  <c r="P215" i="31"/>
  <c r="S204" i="31"/>
  <c r="P204" i="31"/>
  <c r="S190" i="31"/>
  <c r="P190" i="31"/>
  <c r="S186" i="31"/>
  <c r="P186" i="31"/>
  <c r="S182" i="31"/>
  <c r="P182" i="31"/>
  <c r="S175" i="31"/>
  <c r="P175" i="31"/>
  <c r="S168" i="31"/>
  <c r="P168" i="31"/>
  <c r="S164" i="31"/>
  <c r="P164" i="31"/>
  <c r="S66" i="31"/>
  <c r="P66" i="31"/>
  <c r="S62" i="31"/>
  <c r="P62" i="31"/>
  <c r="S1448" i="31"/>
  <c r="S1288" i="31"/>
  <c r="S1208" i="31"/>
  <c r="S1128" i="31"/>
  <c r="S1048" i="31"/>
  <c r="S968" i="31"/>
  <c r="S568" i="31"/>
  <c r="S488" i="31"/>
  <c r="S259" i="31"/>
  <c r="W1461" i="31"/>
  <c r="W1453" i="31"/>
  <c r="W1450" i="31"/>
  <c r="W1446" i="31"/>
  <c r="G1542" i="23"/>
  <c r="I1542" i="23" s="1"/>
  <c r="W1380" i="31"/>
  <c r="W1376" i="31"/>
  <c r="W1372" i="31"/>
  <c r="W1346" i="31"/>
  <c r="W522" i="31"/>
  <c r="S575" i="23"/>
  <c r="AA522" i="31" s="1"/>
  <c r="W361" i="31"/>
  <c r="W106" i="31"/>
  <c r="W102" i="31"/>
  <c r="W875" i="31"/>
  <c r="W2" i="31"/>
  <c r="P1461" i="31"/>
  <c r="P1457" i="31"/>
  <c r="P1453" i="31"/>
  <c r="P1421" i="31"/>
  <c r="P1417" i="31"/>
  <c r="P1413" i="31"/>
  <c r="P1377" i="31"/>
  <c r="P348" i="31"/>
  <c r="P344" i="31"/>
  <c r="P308" i="31"/>
  <c r="P304" i="31"/>
  <c r="P268" i="31"/>
  <c r="P264" i="31"/>
  <c r="P228" i="31"/>
  <c r="P224" i="31"/>
  <c r="P188" i="31"/>
  <c r="P184" i="31"/>
  <c r="P148" i="31"/>
  <c r="P144" i="31"/>
  <c r="P104" i="31"/>
  <c r="S1479" i="31"/>
  <c r="S1475" i="31"/>
  <c r="S1439" i="31"/>
  <c r="S1435" i="31"/>
  <c r="W1460" i="31"/>
  <c r="W1456" i="31"/>
  <c r="W1452" i="31"/>
  <c r="W1449" i="31"/>
  <c r="W1445" i="31"/>
  <c r="W1433" i="31"/>
  <c r="W1426" i="31"/>
  <c r="W1422" i="31"/>
  <c r="W1379" i="31"/>
  <c r="W1375" i="31"/>
  <c r="W1292" i="31"/>
  <c r="W1250" i="31"/>
  <c r="W1246" i="31"/>
  <c r="W1242" i="31"/>
  <c r="W1221" i="31"/>
  <c r="W1217" i="31"/>
  <c r="W1213" i="31"/>
  <c r="W1173" i="31"/>
  <c r="W1146" i="31"/>
  <c r="W1142" i="31"/>
  <c r="W1042" i="31"/>
  <c r="W984" i="31"/>
  <c r="W944" i="31"/>
  <c r="W815" i="31"/>
  <c r="W764" i="31"/>
  <c r="W724" i="31"/>
  <c r="W682" i="31"/>
  <c r="S751" i="23"/>
  <c r="AA682" i="31" s="1"/>
  <c r="W633" i="31"/>
  <c r="W585" i="31"/>
  <c r="W573" i="31"/>
  <c r="S631" i="23"/>
  <c r="AA573" i="31" s="1"/>
  <c r="W536" i="31"/>
  <c r="W532" i="31"/>
  <c r="W502" i="31"/>
  <c r="W444" i="31"/>
  <c r="W404" i="31"/>
  <c r="W373" i="31"/>
  <c r="W363" i="31"/>
  <c r="W302" i="31"/>
  <c r="W140" i="31"/>
  <c r="W136" i="31"/>
  <c r="W132" i="31"/>
  <c r="W36" i="31"/>
  <c r="W32" i="31"/>
  <c r="W10" i="31"/>
  <c r="W6" i="31"/>
  <c r="W802" i="31"/>
  <c r="W744" i="31"/>
  <c r="S819" i="23"/>
  <c r="AA744" i="31" s="1"/>
  <c r="W104" i="31"/>
  <c r="W1459" i="31"/>
  <c r="W1342" i="31"/>
  <c r="W644" i="31"/>
  <c r="W4" i="31"/>
  <c r="L1376" i="23"/>
  <c r="X1251" i="31" s="1"/>
  <c r="L1368" i="23"/>
  <c r="X1243" i="31" s="1"/>
  <c r="L1292" i="23"/>
  <c r="X1174" i="31" s="1"/>
  <c r="L1168" i="23"/>
  <c r="L696" i="23"/>
  <c r="X632" i="31" s="1"/>
  <c r="L640" i="23"/>
  <c r="S640" i="23" s="1"/>
  <c r="L632" i="23"/>
  <c r="X574" i="31" s="1"/>
  <c r="L288" i="23"/>
  <c r="S1362" i="31"/>
  <c r="S1290" i="31"/>
  <c r="S1286" i="31"/>
  <c r="S1282" i="31"/>
  <c r="S1250" i="31"/>
  <c r="S1246" i="31"/>
  <c r="S1242" i="31"/>
  <c r="S1210" i="31"/>
  <c r="S1206" i="31"/>
  <c r="S1202" i="31"/>
  <c r="S1170" i="31"/>
  <c r="S1166" i="31"/>
  <c r="S1162" i="31"/>
  <c r="S1130" i="31"/>
  <c r="S1126" i="31"/>
  <c r="S1122" i="31"/>
  <c r="S1050" i="31"/>
  <c r="S1046" i="31"/>
  <c r="S1042" i="31"/>
  <c r="S1010" i="31"/>
  <c r="S1006" i="31"/>
  <c r="S1002" i="31"/>
  <c r="S970" i="31"/>
  <c r="S966" i="31"/>
  <c r="S962" i="31"/>
  <c r="S930" i="31"/>
  <c r="S926" i="31"/>
  <c r="S802" i="31"/>
  <c r="S770" i="31"/>
  <c r="S762" i="31"/>
  <c r="S726" i="31"/>
  <c r="S722" i="31"/>
  <c r="S682" i="31"/>
  <c r="S650" i="31"/>
  <c r="S646" i="31"/>
  <c r="S642" i="31"/>
  <c r="S610" i="31"/>
  <c r="S606" i="31"/>
  <c r="S602" i="31"/>
  <c r="S570" i="31"/>
  <c r="S566" i="31"/>
  <c r="S562" i="31"/>
  <c r="S530" i="31"/>
  <c r="S526" i="31"/>
  <c r="S522" i="31"/>
  <c r="S490" i="31"/>
  <c r="S486" i="31"/>
  <c r="S482" i="31"/>
  <c r="S450" i="31"/>
  <c r="S446" i="31"/>
  <c r="S442" i="31"/>
  <c r="S410" i="31"/>
  <c r="S406" i="31"/>
  <c r="S402" i="31"/>
  <c r="S370" i="31"/>
  <c r="S366" i="31"/>
  <c r="W1455" i="31"/>
  <c r="W1448" i="31"/>
  <c r="W1358" i="31"/>
  <c r="W1354" i="31"/>
  <c r="W1344" i="31"/>
  <c r="W1333" i="31"/>
  <c r="W1295" i="31"/>
  <c r="W1262" i="31"/>
  <c r="W1252" i="31"/>
  <c r="W1249" i="31"/>
  <c r="W1245" i="31"/>
  <c r="W1223" i="31"/>
  <c r="W1220" i="31"/>
  <c r="W1216" i="31"/>
  <c r="W1212" i="31"/>
  <c r="W1191" i="31"/>
  <c r="W1172" i="31"/>
  <c r="G1190" i="23"/>
  <c r="I1190" i="23" s="1"/>
  <c r="W1063" i="31"/>
  <c r="W973" i="31"/>
  <c r="W879" i="31"/>
  <c r="W868" i="31"/>
  <c r="W864" i="31"/>
  <c r="W814" i="31"/>
  <c r="W755" i="31"/>
  <c r="S831" i="23"/>
  <c r="AA755" i="31" s="1"/>
  <c r="W748" i="31"/>
  <c r="S823" i="23"/>
  <c r="AA748" i="31" s="1"/>
  <c r="W646" i="31"/>
  <c r="W612" i="31"/>
  <c r="W593" i="31"/>
  <c r="W576" i="31"/>
  <c r="W572" i="31"/>
  <c r="W562" i="31"/>
  <c r="W535" i="31"/>
  <c r="W462" i="31"/>
  <c r="G444" i="23"/>
  <c r="I444" i="23" s="1"/>
  <c r="W362" i="31"/>
  <c r="S399" i="23"/>
  <c r="AA362" i="31" s="1"/>
  <c r="W352" i="31"/>
  <c r="W344" i="31"/>
  <c r="S379" i="23"/>
  <c r="AA344" i="31" s="1"/>
  <c r="W305" i="31"/>
  <c r="W255" i="31"/>
  <c r="W192" i="31"/>
  <c r="W143" i="31"/>
  <c r="W139" i="31"/>
  <c r="W35" i="31"/>
  <c r="W9" i="31"/>
  <c r="W5" i="31"/>
  <c r="W1428" i="31"/>
  <c r="W613" i="31"/>
  <c r="W804" i="31"/>
  <c r="W746" i="31"/>
  <c r="W164" i="31"/>
  <c r="L1375" i="23"/>
  <c r="X1250" i="31" s="1"/>
  <c r="L1344" i="23"/>
  <c r="L1336" i="23"/>
  <c r="X1214" i="31" s="1"/>
  <c r="L960" i="23"/>
  <c r="X872" i="31" s="1"/>
  <c r="L952" i="23"/>
  <c r="X865" i="31" s="1"/>
  <c r="L8" i="23"/>
  <c r="X7" i="31" s="1"/>
  <c r="O1423" i="23"/>
  <c r="Y1293" i="31" s="1"/>
  <c r="P362" i="31"/>
  <c r="P322" i="31"/>
  <c r="P290" i="31"/>
  <c r="P286" i="31"/>
  <c r="P282" i="31"/>
  <c r="P206" i="31"/>
  <c r="P202" i="31"/>
  <c r="P170" i="31"/>
  <c r="P166" i="31"/>
  <c r="P162" i="31"/>
  <c r="P130" i="31"/>
  <c r="P126" i="31"/>
  <c r="P122" i="31"/>
  <c r="W1424" i="31"/>
  <c r="G1554" i="23"/>
  <c r="I1554" i="23" s="1"/>
  <c r="W1404" i="31"/>
  <c r="W1377" i="31"/>
  <c r="W1373" i="31"/>
  <c r="W1353" i="31"/>
  <c r="W1343" i="31"/>
  <c r="W1336" i="31"/>
  <c r="W1332" i="31"/>
  <c r="W1274" i="31"/>
  <c r="W1248" i="31"/>
  <c r="W1244" i="31"/>
  <c r="W1222" i="31"/>
  <c r="W1219" i="31"/>
  <c r="W1215" i="31"/>
  <c r="W1148" i="31"/>
  <c r="W1144" i="31"/>
  <c r="W1062" i="31"/>
  <c r="W986" i="31"/>
  <c r="W982" i="31"/>
  <c r="W942" i="31"/>
  <c r="W813" i="31"/>
  <c r="W762" i="31"/>
  <c r="S839" i="23"/>
  <c r="AA762" i="31" s="1"/>
  <c r="W754" i="31"/>
  <c r="W751" i="31"/>
  <c r="W747" i="31"/>
  <c r="W743" i="31"/>
  <c r="W722" i="31"/>
  <c r="S795" i="23"/>
  <c r="AA722" i="31" s="1"/>
  <c r="W645" i="31"/>
  <c r="W575" i="31"/>
  <c r="W504" i="31"/>
  <c r="W442" i="31"/>
  <c r="W402" i="31"/>
  <c r="W393" i="31"/>
  <c r="W304" i="31"/>
  <c r="S335" i="23"/>
  <c r="AA304" i="31" s="1"/>
  <c r="W258" i="31"/>
  <c r="W254" i="31"/>
  <c r="W142" i="31"/>
  <c r="W8" i="31"/>
  <c r="W1413" i="31"/>
  <c r="W1355" i="31"/>
  <c r="W1122" i="31"/>
  <c r="W1064" i="31"/>
  <c r="W133" i="31"/>
  <c r="W1430" i="31"/>
  <c r="W33" i="31"/>
  <c r="L656" i="23"/>
  <c r="X596" i="31" s="1"/>
  <c r="L652" i="23"/>
  <c r="X592" i="31" s="1"/>
  <c r="L464" i="23"/>
  <c r="L152" i="23"/>
  <c r="X138" i="31" s="1"/>
  <c r="O1234" i="23"/>
  <c r="G1086" i="23"/>
  <c r="I1086" i="23" s="1"/>
  <c r="G1082" i="23"/>
  <c r="I1082" i="23" s="1"/>
  <c r="G1070" i="23"/>
  <c r="I1070" i="23" s="1"/>
  <c r="G1058" i="23"/>
  <c r="I1058" i="23" s="1"/>
  <c r="G1038" i="23"/>
  <c r="I1038" i="23" s="1"/>
  <c r="G968" i="23"/>
  <c r="I968" i="23" s="1"/>
  <c r="G964" i="23"/>
  <c r="I964" i="23" s="1"/>
  <c r="G960" i="23"/>
  <c r="I960" i="23" s="1"/>
  <c r="G956" i="23"/>
  <c r="I956" i="23" s="1"/>
  <c r="G952" i="23"/>
  <c r="I952" i="23" s="1"/>
  <c r="G948" i="23"/>
  <c r="I948" i="23" s="1"/>
  <c r="G840" i="23"/>
  <c r="I840" i="23" s="1"/>
  <c r="G750" i="23"/>
  <c r="I750" i="23" s="1"/>
  <c r="G728" i="23"/>
  <c r="I728" i="23" s="1"/>
  <c r="W594" i="31"/>
  <c r="W505" i="31"/>
  <c r="W463" i="31"/>
  <c r="W452" i="31"/>
  <c r="W392" i="31"/>
  <c r="W345" i="31"/>
  <c r="I266" i="23"/>
  <c r="W165" i="31"/>
  <c r="W105" i="31"/>
  <c r="S112" i="23"/>
  <c r="I90" i="23"/>
  <c r="G68" i="23"/>
  <c r="I68" i="23" s="1"/>
  <c r="W51" i="31"/>
  <c r="L1487" i="23"/>
  <c r="S1487" i="23" s="1"/>
  <c r="L1263" i="23"/>
  <c r="X1148" i="31" s="1"/>
  <c r="L1172" i="23"/>
  <c r="X1065" i="31" s="1"/>
  <c r="L1135" i="23"/>
  <c r="S1135" i="23" s="1"/>
  <c r="L860" i="23"/>
  <c r="L772" i="23"/>
  <c r="S772" i="23" s="1"/>
  <c r="L684" i="23"/>
  <c r="S684" i="23" s="1"/>
  <c r="L620" i="23"/>
  <c r="X563" i="31" s="1"/>
  <c r="L556" i="23"/>
  <c r="X505" i="31" s="1"/>
  <c r="L244" i="23"/>
  <c r="S244" i="23" s="1"/>
  <c r="L212" i="23"/>
  <c r="X192" i="31" s="1"/>
  <c r="L180" i="23"/>
  <c r="X163" i="31" s="1"/>
  <c r="L116" i="23"/>
  <c r="X105" i="31" s="1"/>
  <c r="O1498" i="23"/>
  <c r="O1487" i="23"/>
  <c r="O1402" i="23"/>
  <c r="Y1274" i="31" s="1"/>
  <c r="O1267" i="23"/>
  <c r="S1267" i="23" s="1"/>
  <c r="O1190" i="23"/>
  <c r="O589" i="23"/>
  <c r="Y535" i="31" s="1"/>
  <c r="O585" i="23"/>
  <c r="O354" i="23"/>
  <c r="W1458" i="31"/>
  <c r="W1454" i="31"/>
  <c r="W1451" i="31"/>
  <c r="W1447" i="31"/>
  <c r="W1432" i="31"/>
  <c r="W1429" i="31"/>
  <c r="W1425" i="31"/>
  <c r="G1520" i="23"/>
  <c r="I1520" i="23" s="1"/>
  <c r="W1378" i="31"/>
  <c r="W1374" i="31"/>
  <c r="W1356" i="31"/>
  <c r="W1352" i="31"/>
  <c r="W1345" i="31"/>
  <c r="G1468" i="23"/>
  <c r="I1468" i="23" s="1"/>
  <c r="W1312" i="31"/>
  <c r="W1294" i="31"/>
  <c r="W1272" i="31"/>
  <c r="G1376" i="23"/>
  <c r="I1376" i="23" s="1"/>
  <c r="G1372" i="23"/>
  <c r="I1372" i="23" s="1"/>
  <c r="G1368" i="23"/>
  <c r="I1368" i="23" s="1"/>
  <c r="G1348" i="23"/>
  <c r="I1348" i="23" s="1"/>
  <c r="G1344" i="23"/>
  <c r="I1344" i="23" s="1"/>
  <c r="G1340" i="23"/>
  <c r="I1340" i="23" s="1"/>
  <c r="G1336" i="23"/>
  <c r="I1336" i="23" s="1"/>
  <c r="W1174" i="31"/>
  <c r="W1145" i="31"/>
  <c r="W1123" i="31"/>
  <c r="G1212" i="23"/>
  <c r="I1212" i="23" s="1"/>
  <c r="W1065" i="31"/>
  <c r="G926" i="23"/>
  <c r="I926" i="23" s="1"/>
  <c r="G904" i="23"/>
  <c r="I904" i="23" s="1"/>
  <c r="I898" i="23"/>
  <c r="I894" i="23"/>
  <c r="G882" i="23"/>
  <c r="I882" i="23" s="1"/>
  <c r="G860" i="23"/>
  <c r="I860" i="23" s="1"/>
  <c r="G828" i="23"/>
  <c r="I828" i="23" s="1"/>
  <c r="G824" i="23"/>
  <c r="I824" i="23" s="1"/>
  <c r="G820" i="23"/>
  <c r="I820" i="23" s="1"/>
  <c r="G816" i="23"/>
  <c r="I816" i="23" s="1"/>
  <c r="G796" i="23"/>
  <c r="I796" i="23" s="1"/>
  <c r="G712" i="23"/>
  <c r="I712" i="23" s="1"/>
  <c r="G708" i="23"/>
  <c r="I708" i="23" s="1"/>
  <c r="W632" i="31"/>
  <c r="G676" i="23"/>
  <c r="I676" i="23" s="1"/>
  <c r="W583" i="31"/>
  <c r="G632" i="23"/>
  <c r="I632" i="23" s="1"/>
  <c r="W563" i="31"/>
  <c r="G588" i="23"/>
  <c r="I588" i="23" s="1"/>
  <c r="W372" i="31"/>
  <c r="W303" i="31"/>
  <c r="W292" i="31"/>
  <c r="I282" i="23"/>
  <c r="I278" i="23"/>
  <c r="G156" i="23"/>
  <c r="I156" i="23" s="1"/>
  <c r="G152" i="23"/>
  <c r="I152" i="23" s="1"/>
  <c r="G148" i="23"/>
  <c r="I148" i="23" s="1"/>
  <c r="I42" i="23"/>
  <c r="I38" i="23"/>
  <c r="G12" i="23"/>
  <c r="I12" i="23" s="1"/>
  <c r="G8" i="23"/>
  <c r="I8" i="23" s="1"/>
  <c r="G4" i="23"/>
  <c r="I4" i="23" s="1"/>
  <c r="L1444" i="23"/>
  <c r="X1312" i="31" s="1"/>
  <c r="L1423" i="23"/>
  <c r="X1293" i="31" s="1"/>
  <c r="L1388" i="23"/>
  <c r="S1388" i="23" s="1"/>
  <c r="L1311" i="23"/>
  <c r="S1311" i="23" s="1"/>
  <c r="L1300" i="23"/>
  <c r="S1300" i="23" s="1"/>
  <c r="L1071" i="23"/>
  <c r="X973" i="31" s="1"/>
  <c r="L964" i="23"/>
  <c r="X876" i="31" s="1"/>
  <c r="L956" i="23"/>
  <c r="X869" i="31" s="1"/>
  <c r="L948" i="23"/>
  <c r="L596" i="23"/>
  <c r="S596" i="23" s="1"/>
  <c r="L420" i="23"/>
  <c r="S420" i="23" s="1"/>
  <c r="L332" i="23"/>
  <c r="S332" i="23" s="1"/>
  <c r="O1619" i="23"/>
  <c r="S1619" i="23" s="1"/>
  <c r="O1615" i="23"/>
  <c r="Y1468" i="31" s="1"/>
  <c r="O1611" i="23"/>
  <c r="Y1464" i="31" s="1"/>
  <c r="O1607" i="23"/>
  <c r="Y1461" i="31" s="1"/>
  <c r="O1603" i="23"/>
  <c r="Y1457" i="31" s="1"/>
  <c r="O1599" i="23"/>
  <c r="Y1453" i="31" s="1"/>
  <c r="O1595" i="23"/>
  <c r="Y1450" i="31" s="1"/>
  <c r="O1591" i="23"/>
  <c r="Y1446" i="31" s="1"/>
  <c r="O1478" i="23"/>
  <c r="Y1343" i="31" s="1"/>
  <c r="O1378" i="23"/>
  <c r="Y1252" i="31" s="1"/>
  <c r="O1374" i="23"/>
  <c r="Y1249" i="31" s="1"/>
  <c r="O1370" i="23"/>
  <c r="Y1245" i="31" s="1"/>
  <c r="O1366" i="23"/>
  <c r="O1310" i="23"/>
  <c r="Y1191" i="31" s="1"/>
  <c r="O1014" i="23"/>
  <c r="O153" i="23"/>
  <c r="Y139" i="31" s="1"/>
  <c r="O149" i="23"/>
  <c r="Y135" i="31" s="1"/>
  <c r="O145" i="23"/>
  <c r="O90" i="23"/>
  <c r="W985" i="31"/>
  <c r="W963" i="31"/>
  <c r="W945" i="31"/>
  <c r="I1014" i="23"/>
  <c r="W878" i="31"/>
  <c r="W874" i="31"/>
  <c r="W871" i="31"/>
  <c r="W867" i="31"/>
  <c r="W863" i="31"/>
  <c r="W852" i="31"/>
  <c r="I838" i="23"/>
  <c r="W683" i="31"/>
  <c r="G656" i="23"/>
  <c r="I656" i="23" s="1"/>
  <c r="G652" i="23"/>
  <c r="I652" i="23" s="1"/>
  <c r="W503" i="31"/>
  <c r="G512" i="23"/>
  <c r="I512" i="23" s="1"/>
  <c r="G508" i="23"/>
  <c r="I508" i="23" s="1"/>
  <c r="G488" i="23"/>
  <c r="I488" i="23" s="1"/>
  <c r="I434" i="23"/>
  <c r="I378" i="23"/>
  <c r="G344" i="23"/>
  <c r="I344" i="23" s="1"/>
  <c r="W212" i="31"/>
  <c r="W163" i="31"/>
  <c r="W103" i="31"/>
  <c r="W52" i="31"/>
  <c r="G24" i="23"/>
  <c r="I24" i="23" s="1"/>
  <c r="L1604" i="23"/>
  <c r="X1458" i="31" s="1"/>
  <c r="L1596" i="23"/>
  <c r="X1451" i="31" s="1"/>
  <c r="L1572" i="23"/>
  <c r="X1429" i="31" s="1"/>
  <c r="L1564" i="23"/>
  <c r="S1564" i="23" s="1"/>
  <c r="L1372" i="23"/>
  <c r="X1247" i="31" s="1"/>
  <c r="L1348" i="23"/>
  <c r="X1225" i="31" s="1"/>
  <c r="L1340" i="23"/>
  <c r="X1218" i="31" s="1"/>
  <c r="L1236" i="23"/>
  <c r="X1123" i="31" s="1"/>
  <c r="L1084" i="23"/>
  <c r="X985" i="31" s="1"/>
  <c r="L1060" i="23"/>
  <c r="X963" i="31" s="1"/>
  <c r="L1036" i="23"/>
  <c r="S1036" i="23" s="1"/>
  <c r="L708" i="23"/>
  <c r="X643" i="31" s="1"/>
  <c r="L676" i="23"/>
  <c r="X614" i="31" s="1"/>
  <c r="L644" i="23"/>
  <c r="X585" i="31" s="1"/>
  <c r="L588" i="23"/>
  <c r="X534" i="31" s="1"/>
  <c r="L508" i="23"/>
  <c r="L444" i="23"/>
  <c r="X403" i="31" s="1"/>
  <c r="L284" i="23"/>
  <c r="X258" i="31" s="1"/>
  <c r="L148" i="23"/>
  <c r="X134" i="31" s="1"/>
  <c r="L68" i="23"/>
  <c r="L36" i="23"/>
  <c r="X32" i="31" s="1"/>
  <c r="L12" i="23"/>
  <c r="X11" i="31" s="1"/>
  <c r="L4" i="23"/>
  <c r="X3" i="31" s="1"/>
  <c r="O1554" i="23"/>
  <c r="Y1412" i="31" s="1"/>
  <c r="O1542" i="23"/>
  <c r="O1343" i="23"/>
  <c r="Y1221" i="31" s="1"/>
  <c r="O970" i="23"/>
  <c r="O966" i="23"/>
  <c r="Y878" i="31" s="1"/>
  <c r="O962" i="23"/>
  <c r="Y874" i="31" s="1"/>
  <c r="O958" i="23"/>
  <c r="Y871" i="31" s="1"/>
  <c r="O954" i="23"/>
  <c r="Y867" i="31" s="1"/>
  <c r="O950" i="23"/>
  <c r="Y863" i="31" s="1"/>
  <c r="O938" i="23"/>
  <c r="Y852" i="31" s="1"/>
  <c r="O56" i="23"/>
  <c r="Y51" i="31" s="1"/>
  <c r="O1618" i="23"/>
  <c r="Y1471" i="31" s="1"/>
  <c r="O1614" i="23"/>
  <c r="Y1467" i="31" s="1"/>
  <c r="O1610" i="23"/>
  <c r="Y1463" i="31" s="1"/>
  <c r="O1606" i="23"/>
  <c r="Y1460" i="31" s="1"/>
  <c r="O1602" i="23"/>
  <c r="Y1456" i="31" s="1"/>
  <c r="O1598" i="23"/>
  <c r="Y1452" i="31" s="1"/>
  <c r="O1594" i="23"/>
  <c r="Y1449" i="31" s="1"/>
  <c r="O1590" i="23"/>
  <c r="Y1445" i="31" s="1"/>
  <c r="O1531" i="23"/>
  <c r="S1531" i="23" s="1"/>
  <c r="O1518" i="23"/>
  <c r="Y1380" i="31" s="1"/>
  <c r="O1514" i="23"/>
  <c r="Y1376" i="31" s="1"/>
  <c r="O1510" i="23"/>
  <c r="Y1372" i="31" s="1"/>
  <c r="O1491" i="23"/>
  <c r="Y1355" i="31" s="1"/>
  <c r="O1467" i="23"/>
  <c r="Y1333" i="31" s="1"/>
  <c r="O1454" i="23"/>
  <c r="O1422" i="23"/>
  <c r="Y1292" i="31" s="1"/>
  <c r="O1355" i="23"/>
  <c r="S1355" i="23" s="1"/>
  <c r="O1223" i="23"/>
  <c r="S1223" i="23" s="1"/>
  <c r="O1179" i="23"/>
  <c r="S1179" i="23" s="1"/>
  <c r="O1147" i="23"/>
  <c r="Y1042" i="31" s="1"/>
  <c r="O1083" i="23"/>
  <c r="Y984" i="31" s="1"/>
  <c r="O1059" i="23"/>
  <c r="Y962" i="31" s="1"/>
  <c r="O1038" i="23"/>
  <c r="Y943" i="31" s="1"/>
  <c r="O1003" i="23"/>
  <c r="S1003" i="23" s="1"/>
  <c r="O838" i="23"/>
  <c r="O830" i="23"/>
  <c r="Y754" i="31" s="1"/>
  <c r="O826" i="23"/>
  <c r="Y751" i="31" s="1"/>
  <c r="O822" i="23"/>
  <c r="Y747" i="31" s="1"/>
  <c r="O818" i="23"/>
  <c r="Y743" i="31" s="1"/>
  <c r="O563" i="23"/>
  <c r="S563" i="23" s="1"/>
  <c r="O519" i="23"/>
  <c r="S519" i="23" s="1"/>
  <c r="O510" i="23"/>
  <c r="Y463" i="31" s="1"/>
  <c r="O498" i="23"/>
  <c r="Y452" i="31" s="1"/>
  <c r="O475" i="23"/>
  <c r="S475" i="23" s="1"/>
  <c r="O443" i="23"/>
  <c r="Y402" i="31" s="1"/>
  <c r="O387" i="23"/>
  <c r="S387" i="23" s="1"/>
  <c r="O299" i="23"/>
  <c r="S299" i="23" s="1"/>
  <c r="O283" i="23"/>
  <c r="Y257" i="31" s="1"/>
  <c r="O279" i="23"/>
  <c r="Y253" i="31" s="1"/>
  <c r="O266" i="23"/>
  <c r="O244" i="23"/>
  <c r="O157" i="23"/>
  <c r="Y142" i="31" s="1"/>
  <c r="O115" i="23"/>
  <c r="Y104" i="31" s="1"/>
  <c r="L1606" i="23"/>
  <c r="X1460" i="31" s="1"/>
  <c r="L1602" i="23"/>
  <c r="X1456" i="31" s="1"/>
  <c r="L1598" i="23"/>
  <c r="X1452" i="31" s="1"/>
  <c r="L1594" i="23"/>
  <c r="X1449" i="31" s="1"/>
  <c r="L1590" i="23"/>
  <c r="X1445" i="31" s="1"/>
  <c r="L1586" i="23"/>
  <c r="S1586" i="23" s="1"/>
  <c r="L1574" i="23"/>
  <c r="X1431" i="31" s="1"/>
  <c r="L1570" i="23"/>
  <c r="X1427" i="31" s="1"/>
  <c r="L1566" i="23"/>
  <c r="X1423" i="31" s="1"/>
  <c r="L1554" i="23"/>
  <c r="X1412" i="31" s="1"/>
  <c r="L1542" i="23"/>
  <c r="L1518" i="23"/>
  <c r="X1380" i="31" s="1"/>
  <c r="L1514" i="23"/>
  <c r="X1376" i="31" s="1"/>
  <c r="L1510" i="23"/>
  <c r="X1372" i="31" s="1"/>
  <c r="L1498" i="23"/>
  <c r="S1498" i="23" s="1"/>
  <c r="L1494" i="23"/>
  <c r="X1358" i="31" s="1"/>
  <c r="L1490" i="23"/>
  <c r="X1354" i="31" s="1"/>
  <c r="L1478" i="23"/>
  <c r="X1343" i="31" s="1"/>
  <c r="L1470" i="23"/>
  <c r="X1336" i="31" s="1"/>
  <c r="L1466" i="23"/>
  <c r="X1332" i="31" s="1"/>
  <c r="L1454" i="23"/>
  <c r="S1454" i="23" s="1"/>
  <c r="L1422" i="23"/>
  <c r="X1292" i="31" s="1"/>
  <c r="L1410" i="23"/>
  <c r="S1410" i="23" s="1"/>
  <c r="L1402" i="23"/>
  <c r="X1274" i="31" s="1"/>
  <c r="L1378" i="23"/>
  <c r="X1252" i="31" s="1"/>
  <c r="L1374" i="23"/>
  <c r="X1249" i="31" s="1"/>
  <c r="L1370" i="23"/>
  <c r="X1245" i="31" s="1"/>
  <c r="L1366" i="23"/>
  <c r="S1366" i="23" s="1"/>
  <c r="L1346" i="23"/>
  <c r="X1223" i="31" s="1"/>
  <c r="L1342" i="23"/>
  <c r="X1220" i="31" s="1"/>
  <c r="L1338" i="23"/>
  <c r="X1216" i="31" s="1"/>
  <c r="L1334" i="23"/>
  <c r="X1212" i="31" s="1"/>
  <c r="L1322" i="23"/>
  <c r="S1322" i="23" s="1"/>
  <c r="L1310" i="23"/>
  <c r="X1191" i="31" s="1"/>
  <c r="L1290" i="23"/>
  <c r="X1172" i="31" s="1"/>
  <c r="L1278" i="23"/>
  <c r="S1278" i="23" s="1"/>
  <c r="L1262" i="23"/>
  <c r="X1147" i="31" s="1"/>
  <c r="L1258" i="23"/>
  <c r="X1143" i="31" s="1"/>
  <c r="L1234" i="23"/>
  <c r="S1234" i="23" s="1"/>
  <c r="L1190" i="23"/>
  <c r="L1170" i="23"/>
  <c r="X1063" i="31" s="1"/>
  <c r="L1146" i="23"/>
  <c r="S1146" i="23" s="1"/>
  <c r="L1102" i="23"/>
  <c r="S1102" i="23" s="1"/>
  <c r="L1086" i="23"/>
  <c r="X987" i="31" s="1"/>
  <c r="L1082" i="23"/>
  <c r="X983" i="31" s="1"/>
  <c r="L1070" i="23"/>
  <c r="X972" i="31" s="1"/>
  <c r="L1058" i="23"/>
  <c r="L1038" i="23"/>
  <c r="X943" i="31" s="1"/>
  <c r="L1014" i="23"/>
  <c r="L970" i="23"/>
  <c r="S970" i="23" s="1"/>
  <c r="L966" i="23"/>
  <c r="X878" i="31" s="1"/>
  <c r="L962" i="23"/>
  <c r="X874" i="31" s="1"/>
  <c r="L958" i="23"/>
  <c r="X871" i="31" s="1"/>
  <c r="L954" i="23"/>
  <c r="X867" i="31" s="1"/>
  <c r="L950" i="23"/>
  <c r="X863" i="31" s="1"/>
  <c r="L938" i="23"/>
  <c r="X852" i="31" s="1"/>
  <c r="L926" i="23"/>
  <c r="L898" i="23"/>
  <c r="X816" i="31" s="1"/>
  <c r="L894" i="23"/>
  <c r="X812" i="31" s="1"/>
  <c r="L882" i="23"/>
  <c r="L838" i="23"/>
  <c r="L830" i="23"/>
  <c r="X754" i="31" s="1"/>
  <c r="L826" i="23"/>
  <c r="X751" i="31" s="1"/>
  <c r="L822" i="23"/>
  <c r="X747" i="31" s="1"/>
  <c r="L818" i="23"/>
  <c r="X743" i="31" s="1"/>
  <c r="L798" i="23"/>
  <c r="X725" i="31" s="1"/>
  <c r="L794" i="23"/>
  <c r="S794" i="23" s="1"/>
  <c r="L750" i="23"/>
  <c r="L710" i="23"/>
  <c r="X645" i="31" s="1"/>
  <c r="L706" i="23"/>
  <c r="S706" i="23" s="1"/>
  <c r="L674" i="23"/>
  <c r="X612" i="31" s="1"/>
  <c r="L662" i="23"/>
  <c r="S662" i="23" s="1"/>
  <c r="L654" i="23"/>
  <c r="X594" i="31" s="1"/>
  <c r="L642" i="23"/>
  <c r="X583" i="31" s="1"/>
  <c r="L634" i="23"/>
  <c r="X576" i="31" s="1"/>
  <c r="L630" i="23"/>
  <c r="X572" i="31" s="1"/>
  <c r="L618" i="23"/>
  <c r="S618" i="23" s="1"/>
  <c r="L590" i="23"/>
  <c r="X536" i="31" s="1"/>
  <c r="L586" i="23"/>
  <c r="X532" i="31" s="1"/>
  <c r="L574" i="23"/>
  <c r="S574" i="23" s="1"/>
  <c r="L554" i="23"/>
  <c r="X503" i="31" s="1"/>
  <c r="L530" i="23"/>
  <c r="S530" i="23" s="1"/>
  <c r="L510" i="23"/>
  <c r="X463" i="31" s="1"/>
  <c r="L498" i="23"/>
  <c r="X452" i="31" s="1"/>
  <c r="L486" i="23"/>
  <c r="S486" i="23" s="1"/>
  <c r="L442" i="23"/>
  <c r="S442" i="23" s="1"/>
  <c r="L434" i="23"/>
  <c r="X394" i="31" s="1"/>
  <c r="L410" i="23"/>
  <c r="X372" i="31" s="1"/>
  <c r="L398" i="23"/>
  <c r="S398" i="23" s="1"/>
  <c r="L378" i="23"/>
  <c r="X343" i="31" s="1"/>
  <c r="L354" i="23"/>
  <c r="S354" i="23" s="1"/>
  <c r="L334" i="23"/>
  <c r="X303" i="31" s="1"/>
  <c r="L322" i="23"/>
  <c r="X292" i="31" s="1"/>
  <c r="L310" i="23"/>
  <c r="S310" i="23" s="1"/>
  <c r="L282" i="23"/>
  <c r="X256" i="31" s="1"/>
  <c r="L278" i="23"/>
  <c r="X252" i="31" s="1"/>
  <c r="L266" i="23"/>
  <c r="L234" i="23"/>
  <c r="X212" i="31" s="1"/>
  <c r="L222" i="23"/>
  <c r="S222" i="23" s="1"/>
  <c r="L182" i="23"/>
  <c r="X165" i="31" s="1"/>
  <c r="L178" i="23"/>
  <c r="S178" i="23" s="1"/>
  <c r="L158" i="23"/>
  <c r="X143" i="31" s="1"/>
  <c r="L154" i="23"/>
  <c r="X140" i="31" s="1"/>
  <c r="L150" i="23"/>
  <c r="X136" i="31" s="1"/>
  <c r="L146" i="23"/>
  <c r="X132" i="31" s="1"/>
  <c r="L134" i="23"/>
  <c r="S134" i="23" s="1"/>
  <c r="L114" i="23"/>
  <c r="X103" i="31" s="1"/>
  <c r="L90" i="23"/>
  <c r="L58" i="23"/>
  <c r="X52" i="31" s="1"/>
  <c r="L46" i="23"/>
  <c r="S46" i="23" s="1"/>
  <c r="L42" i="23"/>
  <c r="X38" i="31" s="1"/>
  <c r="L38" i="23"/>
  <c r="X34" i="31" s="1"/>
  <c r="L10" i="23"/>
  <c r="X9" i="31" s="1"/>
  <c r="L6" i="23"/>
  <c r="X5" i="31" s="1"/>
  <c r="O1575" i="23"/>
  <c r="S1575" i="23" s="1"/>
  <c r="O1571" i="23"/>
  <c r="Y1428" i="31" s="1"/>
  <c r="O1494" i="23"/>
  <c r="Y1358" i="31" s="1"/>
  <c r="O1490" i="23"/>
  <c r="Y1354" i="31" s="1"/>
  <c r="O1470" i="23"/>
  <c r="Y1336" i="31" s="1"/>
  <c r="O1466" i="23"/>
  <c r="Y1332" i="31" s="1"/>
  <c r="O1347" i="23"/>
  <c r="Y1224" i="31" s="1"/>
  <c r="O1339" i="23"/>
  <c r="Y1217" i="31" s="1"/>
  <c r="O1335" i="23"/>
  <c r="Y1213" i="31" s="1"/>
  <c r="O1322" i="23"/>
  <c r="O1259" i="23"/>
  <c r="Y1144" i="31" s="1"/>
  <c r="O1171" i="23"/>
  <c r="Y1064" i="31" s="1"/>
  <c r="O1146" i="23"/>
  <c r="O1102" i="23"/>
  <c r="O1086" i="23"/>
  <c r="Y987" i="31" s="1"/>
  <c r="O1082" i="23"/>
  <c r="Y983" i="31" s="1"/>
  <c r="O1070" i="23"/>
  <c r="Y972" i="31" s="1"/>
  <c r="O1058" i="23"/>
  <c r="O898" i="23"/>
  <c r="Y816" i="31" s="1"/>
  <c r="O894" i="23"/>
  <c r="Y812" i="31" s="1"/>
  <c r="O883" i="23"/>
  <c r="Y802" i="31" s="1"/>
  <c r="O711" i="23"/>
  <c r="Y646" i="31" s="1"/>
  <c r="O707" i="23"/>
  <c r="Y642" i="31" s="1"/>
  <c r="O619" i="23"/>
  <c r="Y562" i="31" s="1"/>
  <c r="O587" i="23"/>
  <c r="Y533" i="31" s="1"/>
  <c r="O556" i="23"/>
  <c r="Y505" i="31" s="1"/>
  <c r="O552" i="23"/>
  <c r="S552" i="23" s="1"/>
  <c r="O531" i="23"/>
  <c r="Y482" i="31" s="1"/>
  <c r="O487" i="23"/>
  <c r="Y442" i="31" s="1"/>
  <c r="O432" i="23"/>
  <c r="Y392" i="31" s="1"/>
  <c r="O167" i="23"/>
  <c r="S167" i="23" s="1"/>
  <c r="O151" i="23"/>
  <c r="Y137" i="31" s="1"/>
  <c r="O147" i="23"/>
  <c r="Y133" i="31" s="1"/>
  <c r="O123" i="23"/>
  <c r="S123" i="23" s="1"/>
  <c r="O11" i="23"/>
  <c r="Y10" i="31" s="1"/>
  <c r="O7" i="23"/>
  <c r="Y6" i="31" s="1"/>
  <c r="O3" i="23"/>
  <c r="Y2" i="31" s="1"/>
  <c r="L1605" i="23"/>
  <c r="X1459" i="31" s="1"/>
  <c r="L1601" i="23"/>
  <c r="X1455" i="31" s="1"/>
  <c r="L1597" i="23"/>
  <c r="S1597" i="23" s="1"/>
  <c r="L1593" i="23"/>
  <c r="X1448" i="31" s="1"/>
  <c r="L1577" i="23"/>
  <c r="X1433" i="31" s="1"/>
  <c r="L1573" i="23"/>
  <c r="X1430" i="31" s="1"/>
  <c r="L1569" i="23"/>
  <c r="X1426" i="31" s="1"/>
  <c r="L1565" i="23"/>
  <c r="X1422" i="31" s="1"/>
  <c r="L1557" i="23"/>
  <c r="X1415" i="31" s="1"/>
  <c r="L1553" i="23"/>
  <c r="S1553" i="23" s="1"/>
  <c r="L1545" i="23"/>
  <c r="X1404" i="31" s="1"/>
  <c r="L1517" i="23"/>
  <c r="X1379" i="31" s="1"/>
  <c r="L1513" i="23"/>
  <c r="X1375" i="31" s="1"/>
  <c r="L1509" i="23"/>
  <c r="S1509" i="23" s="1"/>
  <c r="L1493" i="23"/>
  <c r="X1357" i="31" s="1"/>
  <c r="L1489" i="23"/>
  <c r="X1353" i="31" s="1"/>
  <c r="L1481" i="23"/>
  <c r="X1346" i="31" s="1"/>
  <c r="L1477" i="23"/>
  <c r="X1342" i="31" s="1"/>
  <c r="L1469" i="23"/>
  <c r="X1335" i="31" s="1"/>
  <c r="L1465" i="23"/>
  <c r="S1465" i="23" s="1"/>
  <c r="L1425" i="23"/>
  <c r="X1295" i="31" s="1"/>
  <c r="L1421" i="23"/>
  <c r="S1421" i="23" s="1"/>
  <c r="L1401" i="23"/>
  <c r="X1273" i="31" s="1"/>
  <c r="L1389" i="23"/>
  <c r="X1262" i="31" s="1"/>
  <c r="L1377" i="23"/>
  <c r="S1377" i="23" s="1"/>
  <c r="L1373" i="23"/>
  <c r="X1248" i="31" s="1"/>
  <c r="L1369" i="23"/>
  <c r="X1244" i="31" s="1"/>
  <c r="L1345" i="23"/>
  <c r="X1222" i="31" s="1"/>
  <c r="L1341" i="23"/>
  <c r="X1219" i="31" s="1"/>
  <c r="L1337" i="23"/>
  <c r="X1215" i="31" s="1"/>
  <c r="L1333" i="23"/>
  <c r="S1333" i="23" s="1"/>
  <c r="L1289" i="23"/>
  <c r="S1289" i="23" s="1"/>
  <c r="L1261" i="23"/>
  <c r="X1146" i="31" s="1"/>
  <c r="L1257" i="23"/>
  <c r="X1142" i="31" s="1"/>
  <c r="L1245" i="23"/>
  <c r="S1245" i="23" s="1"/>
  <c r="L1237" i="23"/>
  <c r="X1124" i="31" s="1"/>
  <c r="L1201" i="23"/>
  <c r="S1201" i="23" s="1"/>
  <c r="L1169" i="23"/>
  <c r="X1062" i="31" s="1"/>
  <c r="L1157" i="23"/>
  <c r="S1157" i="23" s="1"/>
  <c r="L1113" i="23"/>
  <c r="S1113" i="23" s="1"/>
  <c r="L1085" i="23"/>
  <c r="X986" i="31" s="1"/>
  <c r="L1081" i="23"/>
  <c r="X982" i="31" s="1"/>
  <c r="L1069" i="23"/>
  <c r="S1069" i="23" s="1"/>
  <c r="L1037" i="23"/>
  <c r="X942" i="31" s="1"/>
  <c r="L1025" i="23"/>
  <c r="S1025" i="23" s="1"/>
  <c r="L981" i="23"/>
  <c r="S981" i="23" s="1"/>
  <c r="L969" i="23"/>
  <c r="X881" i="31" s="1"/>
  <c r="L965" i="23"/>
  <c r="X877" i="31" s="1"/>
  <c r="L961" i="23"/>
  <c r="X873" i="31" s="1"/>
  <c r="L957" i="23"/>
  <c r="X870" i="31" s="1"/>
  <c r="L953" i="23"/>
  <c r="X866" i="31" s="1"/>
  <c r="L949" i="23"/>
  <c r="X862" i="31" s="1"/>
  <c r="L937" i="23"/>
  <c r="S937" i="23" s="1"/>
  <c r="L897" i="23"/>
  <c r="X815" i="31" s="1"/>
  <c r="L893" i="23"/>
  <c r="S893" i="23" s="1"/>
  <c r="L885" i="23"/>
  <c r="X804" i="31" s="1"/>
  <c r="L849" i="23"/>
  <c r="S849" i="23" s="1"/>
  <c r="L841" i="23"/>
  <c r="X764" i="31" s="1"/>
  <c r="L829" i="23"/>
  <c r="X753" i="31" s="1"/>
  <c r="L825" i="23"/>
  <c r="X750" i="31" s="1"/>
  <c r="L821" i="23"/>
  <c r="X746" i="31" s="1"/>
  <c r="L817" i="23"/>
  <c r="X742" i="31" s="1"/>
  <c r="L805" i="23"/>
  <c r="S805" i="23" s="1"/>
  <c r="L797" i="23"/>
  <c r="X724" i="31" s="1"/>
  <c r="L761" i="23"/>
  <c r="S761" i="23" s="1"/>
  <c r="L717" i="23"/>
  <c r="S717" i="23" s="1"/>
  <c r="L713" i="23"/>
  <c r="X648" i="31" s="1"/>
  <c r="L709" i="23"/>
  <c r="X644" i="31" s="1"/>
  <c r="L697" i="23"/>
  <c r="X633" i="31" s="1"/>
  <c r="L673" i="23"/>
  <c r="S673" i="23" s="1"/>
  <c r="L653" i="23"/>
  <c r="X593" i="31" s="1"/>
  <c r="L641" i="23"/>
  <c r="X582" i="31" s="1"/>
  <c r="L633" i="23"/>
  <c r="X575" i="31" s="1"/>
  <c r="L629" i="23"/>
  <c r="S629" i="23" s="1"/>
  <c r="L589" i="23"/>
  <c r="X535" i="31" s="1"/>
  <c r="L585" i="23"/>
  <c r="S585" i="23" s="1"/>
  <c r="L553" i="23"/>
  <c r="X502" i="31" s="1"/>
  <c r="L541" i="23"/>
  <c r="S541" i="23" s="1"/>
  <c r="L509" i="23"/>
  <c r="X462" i="31" s="1"/>
  <c r="L497" i="23"/>
  <c r="S497" i="23" s="1"/>
  <c r="L489" i="23"/>
  <c r="X444" i="31" s="1"/>
  <c r="L453" i="23"/>
  <c r="S453" i="23" s="1"/>
  <c r="L445" i="23"/>
  <c r="X404" i="31" s="1"/>
  <c r="L433" i="23"/>
  <c r="X393" i="31" s="1"/>
  <c r="L409" i="23"/>
  <c r="S409" i="23" s="1"/>
  <c r="L397" i="23"/>
  <c r="X361" i="31" s="1"/>
  <c r="L381" i="23"/>
  <c r="X346" i="31" s="1"/>
  <c r="L377" i="23"/>
  <c r="X342" i="31" s="1"/>
  <c r="L365" i="23"/>
  <c r="S365" i="23" s="1"/>
  <c r="L333" i="23"/>
  <c r="X302" i="31" s="1"/>
  <c r="L321" i="23"/>
  <c r="S321" i="23" s="1"/>
  <c r="L281" i="23"/>
  <c r="X255" i="31" s="1"/>
  <c r="L277" i="23"/>
  <c r="S277" i="23" s="1"/>
  <c r="L233" i="23"/>
  <c r="S233" i="23" s="1"/>
  <c r="L213" i="23"/>
  <c r="X193" i="31" s="1"/>
  <c r="L189" i="23"/>
  <c r="S189" i="23" s="1"/>
  <c r="L181" i="23"/>
  <c r="X164" i="31" s="1"/>
  <c r="L157" i="23"/>
  <c r="X142" i="31" s="1"/>
  <c r="L153" i="23"/>
  <c r="X139" i="31" s="1"/>
  <c r="L149" i="23"/>
  <c r="X135" i="31" s="1"/>
  <c r="L145" i="23"/>
  <c r="S145" i="23" s="1"/>
  <c r="L117" i="23"/>
  <c r="X106" i="31" s="1"/>
  <c r="L113" i="23"/>
  <c r="X102" i="31" s="1"/>
  <c r="L101" i="23"/>
  <c r="S101" i="23" s="1"/>
  <c r="L57" i="23"/>
  <c r="S57" i="23" s="1"/>
  <c r="L41" i="23"/>
  <c r="X37" i="31" s="1"/>
  <c r="L37" i="23"/>
  <c r="X33" i="31" s="1"/>
  <c r="L13" i="23"/>
  <c r="S13" i="23" s="1"/>
  <c r="L9" i="23"/>
  <c r="X8" i="31" s="1"/>
  <c r="L5" i="23"/>
  <c r="X4" i="31" s="1"/>
  <c r="O1586" i="23"/>
  <c r="O1574" i="23"/>
  <c r="Y1431" i="31" s="1"/>
  <c r="O1570" i="23"/>
  <c r="Y1427" i="31" s="1"/>
  <c r="O1566" i="23"/>
  <c r="Y1423" i="31" s="1"/>
  <c r="O1555" i="23"/>
  <c r="Y1413" i="31" s="1"/>
  <c r="O1499" i="23"/>
  <c r="Y1362" i="31" s="1"/>
  <c r="O1479" i="23"/>
  <c r="Y1344" i="31" s="1"/>
  <c r="O1443" i="23"/>
  <c r="S1443" i="23" s="1"/>
  <c r="O1399" i="23"/>
  <c r="S1399" i="23" s="1"/>
  <c r="O1371" i="23"/>
  <c r="Y1246" i="31" s="1"/>
  <c r="O1367" i="23"/>
  <c r="Y1242" i="31" s="1"/>
  <c r="O1346" i="23"/>
  <c r="Y1223" i="31" s="1"/>
  <c r="O1342" i="23"/>
  <c r="Y1220" i="31" s="1"/>
  <c r="O1338" i="23"/>
  <c r="Y1216" i="31" s="1"/>
  <c r="O1334" i="23"/>
  <c r="Y1212" i="31" s="1"/>
  <c r="O1291" i="23"/>
  <c r="Y1173" i="31" s="1"/>
  <c r="O1278" i="23"/>
  <c r="O1262" i="23"/>
  <c r="Y1147" i="31" s="1"/>
  <c r="O1258" i="23"/>
  <c r="Y1143" i="31" s="1"/>
  <c r="O1235" i="23"/>
  <c r="Y1122" i="31" s="1"/>
  <c r="O1170" i="23"/>
  <c r="Y1063" i="31" s="1"/>
  <c r="O1091" i="23"/>
  <c r="S1091" i="23" s="1"/>
  <c r="O1047" i="23"/>
  <c r="S1047" i="23" s="1"/>
  <c r="O967" i="23"/>
  <c r="Y879" i="31" s="1"/>
  <c r="O963" i="23"/>
  <c r="Y875" i="31" s="1"/>
  <c r="O955" i="23"/>
  <c r="Y868" i="31" s="1"/>
  <c r="O951" i="23"/>
  <c r="Y864" i="31" s="1"/>
  <c r="O926" i="23"/>
  <c r="O882" i="23"/>
  <c r="O739" i="23"/>
  <c r="S739" i="23" s="1"/>
  <c r="O727" i="23"/>
  <c r="Y661" i="31" s="1"/>
  <c r="O675" i="23"/>
  <c r="Y613" i="31" s="1"/>
  <c r="O643" i="23"/>
  <c r="Y584" i="31" s="1"/>
  <c r="O555" i="23"/>
  <c r="Y504" i="31" s="1"/>
  <c r="O530" i="23"/>
  <c r="O486" i="23"/>
  <c r="O464" i="23"/>
  <c r="S464" i="23" s="1"/>
  <c r="O411" i="23"/>
  <c r="Y373" i="31" s="1"/>
  <c r="O380" i="23"/>
  <c r="Y345" i="31" s="1"/>
  <c r="O376" i="23"/>
  <c r="S376" i="23" s="1"/>
  <c r="O355" i="23"/>
  <c r="Y322" i="31" s="1"/>
  <c r="O343" i="23"/>
  <c r="S343" i="23" s="1"/>
  <c r="O323" i="23"/>
  <c r="Y293" i="31" s="1"/>
  <c r="O310" i="23"/>
  <c r="O288" i="23"/>
  <c r="S288" i="23" s="1"/>
  <c r="O211" i="23"/>
  <c r="S211" i="23" s="1"/>
  <c r="O189" i="23"/>
  <c r="O179" i="23"/>
  <c r="Y162" i="31" s="1"/>
  <c r="O798" i="23"/>
  <c r="Y725" i="31" s="1"/>
  <c r="O794" i="23"/>
  <c r="O750" i="23"/>
  <c r="O710" i="23"/>
  <c r="Y645" i="31" s="1"/>
  <c r="O706" i="23"/>
  <c r="O674" i="23"/>
  <c r="Y612" i="31" s="1"/>
  <c r="O662" i="23"/>
  <c r="O654" i="23"/>
  <c r="Y594" i="31" s="1"/>
  <c r="O642" i="23"/>
  <c r="Y583" i="31" s="1"/>
  <c r="O634" i="23"/>
  <c r="Y576" i="31" s="1"/>
  <c r="O630" i="23"/>
  <c r="Y572" i="31" s="1"/>
  <c r="O618" i="23"/>
  <c r="O588" i="23"/>
  <c r="Y534" i="31" s="1"/>
  <c r="O509" i="23"/>
  <c r="Y462" i="31" s="1"/>
  <c r="O497" i="23"/>
  <c r="O489" i="23"/>
  <c r="Y444" i="31" s="1"/>
  <c r="O442" i="23"/>
  <c r="O410" i="23"/>
  <c r="Y372" i="31" s="1"/>
  <c r="O398" i="23"/>
  <c r="O334" i="23"/>
  <c r="Y303" i="31" s="1"/>
  <c r="O322" i="23"/>
  <c r="Y292" i="31" s="1"/>
  <c r="O282" i="23"/>
  <c r="Y256" i="31" s="1"/>
  <c r="O278" i="23"/>
  <c r="Y252" i="31" s="1"/>
  <c r="O222" i="23"/>
  <c r="O181" i="23"/>
  <c r="Y164" i="31" s="1"/>
  <c r="O156" i="23"/>
  <c r="O152" i="23"/>
  <c r="Y138" i="31" s="1"/>
  <c r="O148" i="23"/>
  <c r="Y134" i="31" s="1"/>
  <c r="O42" i="23"/>
  <c r="Y38" i="31" s="1"/>
  <c r="O38" i="23"/>
  <c r="Y34" i="31" s="1"/>
  <c r="O12" i="23"/>
  <c r="Y11" i="31" s="1"/>
  <c r="O8" i="23"/>
  <c r="Y7" i="31" s="1"/>
  <c r="O4" i="23"/>
  <c r="Y3" i="31" s="1"/>
  <c r="O1617" i="23"/>
  <c r="Y1470" i="31" s="1"/>
  <c r="O1613" i="23"/>
  <c r="Y1466" i="31" s="1"/>
  <c r="O1609" i="23"/>
  <c r="Y1462" i="31" s="1"/>
  <c r="O1605" i="23"/>
  <c r="Y1459" i="31" s="1"/>
  <c r="O1601" i="23"/>
  <c r="Y1455" i="31" s="1"/>
  <c r="O1597" i="23"/>
  <c r="O1593" i="23"/>
  <c r="Y1448" i="31" s="1"/>
  <c r="O1577" i="23"/>
  <c r="Y1433" i="31" s="1"/>
  <c r="O1573" i="23"/>
  <c r="Y1430" i="31" s="1"/>
  <c r="O1569" i="23"/>
  <c r="Y1426" i="31" s="1"/>
  <c r="O1565" i="23"/>
  <c r="Y1422" i="31" s="1"/>
  <c r="O1557" i="23"/>
  <c r="Y1415" i="31" s="1"/>
  <c r="O1553" i="23"/>
  <c r="O1545" i="23"/>
  <c r="Y1404" i="31" s="1"/>
  <c r="O1517" i="23"/>
  <c r="Y1379" i="31" s="1"/>
  <c r="O1513" i="23"/>
  <c r="Y1375" i="31" s="1"/>
  <c r="O1509" i="23"/>
  <c r="O1493" i="23"/>
  <c r="Y1357" i="31" s="1"/>
  <c r="O1489" i="23"/>
  <c r="Y1353" i="31" s="1"/>
  <c r="O1481" i="23"/>
  <c r="Y1346" i="31" s="1"/>
  <c r="O1477" i="23"/>
  <c r="Y1342" i="31" s="1"/>
  <c r="O1469" i="23"/>
  <c r="Y1335" i="31" s="1"/>
  <c r="O1465" i="23"/>
  <c r="O1425" i="23"/>
  <c r="Y1295" i="31" s="1"/>
  <c r="O1421" i="23"/>
  <c r="O1401" i="23"/>
  <c r="Y1273" i="31" s="1"/>
  <c r="O1389" i="23"/>
  <c r="Y1262" i="31" s="1"/>
  <c r="O1377" i="23"/>
  <c r="O1373" i="23"/>
  <c r="Y1248" i="31" s="1"/>
  <c r="O1369" i="23"/>
  <c r="Y1244" i="31" s="1"/>
  <c r="O1345" i="23"/>
  <c r="Y1222" i="31" s="1"/>
  <c r="O1341" i="23"/>
  <c r="Y1219" i="31" s="1"/>
  <c r="O1337" i="23"/>
  <c r="Y1215" i="31" s="1"/>
  <c r="O1333" i="23"/>
  <c r="O1289" i="23"/>
  <c r="O1261" i="23"/>
  <c r="Y1146" i="31" s="1"/>
  <c r="O1257" i="23"/>
  <c r="Y1142" i="31" s="1"/>
  <c r="O1245" i="23"/>
  <c r="O1237" i="23"/>
  <c r="Y1124" i="31" s="1"/>
  <c r="O1201" i="23"/>
  <c r="O1169" i="23"/>
  <c r="Y1062" i="31" s="1"/>
  <c r="O1157" i="23"/>
  <c r="O1113" i="23"/>
  <c r="O1085" i="23"/>
  <c r="Y986" i="31" s="1"/>
  <c r="O1081" i="23"/>
  <c r="Y982" i="31" s="1"/>
  <c r="O1069" i="23"/>
  <c r="O1037" i="23"/>
  <c r="Y942" i="31" s="1"/>
  <c r="O1025" i="23"/>
  <c r="O981" i="23"/>
  <c r="O969" i="23"/>
  <c r="Y881" i="31" s="1"/>
  <c r="O965" i="23"/>
  <c r="Y877" i="31" s="1"/>
  <c r="O961" i="23"/>
  <c r="Y873" i="31" s="1"/>
  <c r="O957" i="23"/>
  <c r="Y870" i="31" s="1"/>
  <c r="O953" i="23"/>
  <c r="Y866" i="31" s="1"/>
  <c r="O949" i="23"/>
  <c r="Y862" i="31" s="1"/>
  <c r="O937" i="23"/>
  <c r="O897" i="23"/>
  <c r="Y815" i="31" s="1"/>
  <c r="O893" i="23"/>
  <c r="O885" i="23"/>
  <c r="Y804" i="31" s="1"/>
  <c r="O849" i="23"/>
  <c r="O841" i="23"/>
  <c r="Y764" i="31" s="1"/>
  <c r="O829" i="23"/>
  <c r="Y753" i="31" s="1"/>
  <c r="O825" i="23"/>
  <c r="Y750" i="31" s="1"/>
  <c r="O821" i="23"/>
  <c r="Y746" i="31" s="1"/>
  <c r="O817" i="23"/>
  <c r="Y742" i="31" s="1"/>
  <c r="O805" i="23"/>
  <c r="O797" i="23"/>
  <c r="Y724" i="31" s="1"/>
  <c r="O761" i="23"/>
  <c r="O717" i="23"/>
  <c r="O713" i="23"/>
  <c r="Y648" i="31" s="1"/>
  <c r="O709" i="23"/>
  <c r="Y644" i="31" s="1"/>
  <c r="O697" i="23"/>
  <c r="Y633" i="31" s="1"/>
  <c r="O673" i="23"/>
  <c r="O653" i="23"/>
  <c r="Y593" i="31" s="1"/>
  <c r="O641" i="23"/>
  <c r="Y582" i="31" s="1"/>
  <c r="O633" i="23"/>
  <c r="Y575" i="31" s="1"/>
  <c r="O629" i="23"/>
  <c r="O574" i="23"/>
  <c r="O554" i="23"/>
  <c r="Y503" i="31" s="1"/>
  <c r="O541" i="23"/>
  <c r="O512" i="23"/>
  <c r="Y465" i="31" s="1"/>
  <c r="O508" i="23"/>
  <c r="O488" i="23"/>
  <c r="Y443" i="31" s="1"/>
  <c r="O453" i="23"/>
  <c r="O445" i="23"/>
  <c r="Y404" i="31" s="1"/>
  <c r="O434" i="23"/>
  <c r="Y394" i="31" s="1"/>
  <c r="O409" i="23"/>
  <c r="O397" i="23"/>
  <c r="Y361" i="31" s="1"/>
  <c r="O378" i="23"/>
  <c r="Y343" i="31" s="1"/>
  <c r="O365" i="23"/>
  <c r="O344" i="23"/>
  <c r="Y312" i="31" s="1"/>
  <c r="O333" i="23"/>
  <c r="Y302" i="31" s="1"/>
  <c r="O321" i="23"/>
  <c r="O281" i="23"/>
  <c r="Y255" i="31" s="1"/>
  <c r="O277" i="23"/>
  <c r="O234" i="23"/>
  <c r="Y212" i="31" s="1"/>
  <c r="O213" i="23"/>
  <c r="Y193" i="31" s="1"/>
  <c r="O200" i="23"/>
  <c r="S200" i="23" s="1"/>
  <c r="O180" i="23"/>
  <c r="Y163" i="31" s="1"/>
  <c r="O134" i="23"/>
  <c r="O114" i="23"/>
  <c r="Y103" i="31" s="1"/>
  <c r="O101" i="23"/>
  <c r="O58" i="23"/>
  <c r="Y52" i="31" s="1"/>
  <c r="O46" i="23"/>
  <c r="O41" i="23"/>
  <c r="Y37" i="31" s="1"/>
  <c r="O37" i="23"/>
  <c r="Y33" i="31" s="1"/>
  <c r="O24" i="23"/>
  <c r="O1616" i="23"/>
  <c r="Y1469" i="31" s="1"/>
  <c r="O1612" i="23"/>
  <c r="Y1465" i="31" s="1"/>
  <c r="O1608" i="23"/>
  <c r="S1608" i="23" s="1"/>
  <c r="O1604" i="23"/>
  <c r="Y1458" i="31" s="1"/>
  <c r="O1600" i="23"/>
  <c r="Y1454" i="31" s="1"/>
  <c r="O1596" i="23"/>
  <c r="Y1451" i="31" s="1"/>
  <c r="O1592" i="23"/>
  <c r="Y1447" i="31" s="1"/>
  <c r="O1576" i="23"/>
  <c r="Y1432" i="31" s="1"/>
  <c r="O1572" i="23"/>
  <c r="Y1429" i="31" s="1"/>
  <c r="O1568" i="23"/>
  <c r="Y1425" i="31" s="1"/>
  <c r="O1564" i="23"/>
  <c r="O1520" i="23"/>
  <c r="O1516" i="23"/>
  <c r="Y1378" i="31" s="1"/>
  <c r="O1512" i="23"/>
  <c r="Y1374" i="31" s="1"/>
  <c r="O1492" i="23"/>
  <c r="Y1356" i="31" s="1"/>
  <c r="O1488" i="23"/>
  <c r="Y1352" i="31" s="1"/>
  <c r="O1480" i="23"/>
  <c r="Y1345" i="31" s="1"/>
  <c r="O1476" i="23"/>
  <c r="S1476" i="23" s="1"/>
  <c r="O1468" i="23"/>
  <c r="Y1334" i="31" s="1"/>
  <c r="O1444" i="23"/>
  <c r="Y1312" i="31" s="1"/>
  <c r="O1432" i="23"/>
  <c r="S1432" i="23" s="1"/>
  <c r="O1424" i="23"/>
  <c r="Y1294" i="31" s="1"/>
  <c r="O1400" i="23"/>
  <c r="Y1272" i="31" s="1"/>
  <c r="O1388" i="23"/>
  <c r="O1376" i="23"/>
  <c r="Y1251" i="31" s="1"/>
  <c r="O1372" i="23"/>
  <c r="Y1247" i="31" s="1"/>
  <c r="O1368" i="23"/>
  <c r="Y1243" i="31" s="1"/>
  <c r="O1348" i="23"/>
  <c r="Y1225" i="31" s="1"/>
  <c r="O1344" i="23"/>
  <c r="O1340" i="23"/>
  <c r="Y1218" i="31" s="1"/>
  <c r="O1336" i="23"/>
  <c r="Y1214" i="31" s="1"/>
  <c r="O1300" i="23"/>
  <c r="O1292" i="23"/>
  <c r="Y1174" i="31" s="1"/>
  <c r="O1260" i="23"/>
  <c r="Y1145" i="31" s="1"/>
  <c r="O1256" i="23"/>
  <c r="S1256" i="23" s="1"/>
  <c r="O1236" i="23"/>
  <c r="Y1123" i="31" s="1"/>
  <c r="O1212" i="23"/>
  <c r="O1172" i="23"/>
  <c r="Y1065" i="31" s="1"/>
  <c r="O1168" i="23"/>
  <c r="S1168" i="23" s="1"/>
  <c r="O1124" i="23"/>
  <c r="S1124" i="23" s="1"/>
  <c r="O1084" i="23"/>
  <c r="Y985" i="31" s="1"/>
  <c r="O1080" i="23"/>
  <c r="S1080" i="23" s="1"/>
  <c r="O1060" i="23"/>
  <c r="Y963" i="31" s="1"/>
  <c r="O1040" i="23"/>
  <c r="Y945" i="31" s="1"/>
  <c r="O1036" i="23"/>
  <c r="O992" i="23"/>
  <c r="S992" i="23" s="1"/>
  <c r="O968" i="23"/>
  <c r="Y880" i="31" s="1"/>
  <c r="O964" i="23"/>
  <c r="Y876" i="31" s="1"/>
  <c r="O960" i="23"/>
  <c r="Y872" i="31" s="1"/>
  <c r="O956" i="23"/>
  <c r="Y869" i="31" s="1"/>
  <c r="O952" i="23"/>
  <c r="Y865" i="31" s="1"/>
  <c r="O948" i="23"/>
  <c r="O904" i="23"/>
  <c r="O896" i="23"/>
  <c r="Y814" i="31" s="1"/>
  <c r="O884" i="23"/>
  <c r="Y803" i="31" s="1"/>
  <c r="O860" i="23"/>
  <c r="O840" i="23"/>
  <c r="Y763" i="31" s="1"/>
  <c r="O828" i="23"/>
  <c r="Y752" i="31" s="1"/>
  <c r="O824" i="23"/>
  <c r="Y749" i="31" s="1"/>
  <c r="O820" i="23"/>
  <c r="Y745" i="31" s="1"/>
  <c r="O816" i="23"/>
  <c r="O796" i="23"/>
  <c r="Y723" i="31" s="1"/>
  <c r="O772" i="23"/>
  <c r="O752" i="23"/>
  <c r="Y683" i="31" s="1"/>
  <c r="O728" i="23"/>
  <c r="O712" i="23"/>
  <c r="Y647" i="31" s="1"/>
  <c r="O708" i="23"/>
  <c r="Y643" i="31" s="1"/>
  <c r="O696" i="23"/>
  <c r="Y632" i="31" s="1"/>
  <c r="O684" i="23"/>
  <c r="O676" i="23"/>
  <c r="Y614" i="31" s="1"/>
  <c r="O656" i="23"/>
  <c r="Y596" i="31" s="1"/>
  <c r="O652" i="23"/>
  <c r="Y592" i="31" s="1"/>
  <c r="O644" i="23"/>
  <c r="Y585" i="31" s="1"/>
  <c r="O640" i="23"/>
  <c r="O632" i="23"/>
  <c r="Y574" i="31" s="1"/>
  <c r="O620" i="23"/>
  <c r="Y563" i="31" s="1"/>
  <c r="O596" i="23"/>
  <c r="O590" i="23"/>
  <c r="Y536" i="31" s="1"/>
  <c r="O586" i="23"/>
  <c r="Y532" i="31" s="1"/>
  <c r="O553" i="23"/>
  <c r="Y502" i="31" s="1"/>
  <c r="O444" i="23"/>
  <c r="Y403" i="31" s="1"/>
  <c r="O433" i="23"/>
  <c r="Y393" i="31" s="1"/>
  <c r="O420" i="23"/>
  <c r="O400" i="23"/>
  <c r="Y363" i="31" s="1"/>
  <c r="O388" i="23"/>
  <c r="Y352" i="31" s="1"/>
  <c r="O381" i="23"/>
  <c r="Y346" i="31" s="1"/>
  <c r="O377" i="23"/>
  <c r="Y342" i="31" s="1"/>
  <c r="O336" i="23"/>
  <c r="Y305" i="31" s="1"/>
  <c r="O332" i="23"/>
  <c r="O284" i="23"/>
  <c r="Y258" i="31" s="1"/>
  <c r="O280" i="23"/>
  <c r="Y254" i="31" s="1"/>
  <c r="O233" i="23"/>
  <c r="O212" i="23"/>
  <c r="Y192" i="31" s="1"/>
  <c r="O158" i="23"/>
  <c r="Y143" i="31" s="1"/>
  <c r="O154" i="23"/>
  <c r="Y140" i="31" s="1"/>
  <c r="O150" i="23"/>
  <c r="Y136" i="31" s="1"/>
  <c r="O146" i="23"/>
  <c r="Y132" i="31" s="1"/>
  <c r="O117" i="23"/>
  <c r="Y106" i="31" s="1"/>
  <c r="O113" i="23"/>
  <c r="Y102" i="31" s="1"/>
  <c r="O57" i="23"/>
  <c r="O40" i="23"/>
  <c r="Y36" i="31" s="1"/>
  <c r="O36" i="23"/>
  <c r="Y32" i="31" s="1"/>
  <c r="O10" i="23"/>
  <c r="Y9" i="31" s="1"/>
  <c r="O6" i="23"/>
  <c r="Y5" i="31" s="1"/>
  <c r="R1608" i="23"/>
  <c r="R1604" i="23"/>
  <c r="Z1458" i="31" s="1"/>
  <c r="R1600" i="23"/>
  <c r="Z1454" i="31" s="1"/>
  <c r="R1596" i="23"/>
  <c r="Z1451" i="31" s="1"/>
  <c r="R1592" i="23"/>
  <c r="Z1447" i="31" s="1"/>
  <c r="R1575" i="23"/>
  <c r="R1571" i="23"/>
  <c r="Z1428" i="31" s="1"/>
  <c r="R1567" i="23"/>
  <c r="Z1424" i="31" s="1"/>
  <c r="R1531" i="23"/>
  <c r="R1515" i="23"/>
  <c r="Z1377" i="31" s="1"/>
  <c r="R1511" i="23"/>
  <c r="Z1373" i="31" s="1"/>
  <c r="R1467" i="23"/>
  <c r="Z1333" i="31" s="1"/>
  <c r="R1347" i="23"/>
  <c r="Z1224" i="31" s="1"/>
  <c r="R1343" i="23"/>
  <c r="Z1221" i="31" s="1"/>
  <c r="R1339" i="23"/>
  <c r="Z1217" i="31" s="1"/>
  <c r="R1335" i="23"/>
  <c r="Z1213" i="31" s="1"/>
  <c r="R1171" i="23"/>
  <c r="Z1064" i="31" s="1"/>
  <c r="R1091" i="23"/>
  <c r="R1039" i="23"/>
  <c r="Z944" i="31" s="1"/>
  <c r="R967" i="23"/>
  <c r="Z879" i="31" s="1"/>
  <c r="R963" i="23"/>
  <c r="Z875" i="31" s="1"/>
  <c r="R959" i="23"/>
  <c r="S959" i="23" s="1"/>
  <c r="R955" i="23"/>
  <c r="Z868" i="31" s="1"/>
  <c r="R951" i="23"/>
  <c r="Z864" i="31" s="1"/>
  <c r="R895" i="23"/>
  <c r="Z813" i="31" s="1"/>
  <c r="R531" i="23"/>
  <c r="Z482" i="31" s="1"/>
  <c r="R519" i="23"/>
  <c r="R487" i="23"/>
  <c r="Z442" i="31" s="1"/>
  <c r="R475" i="23"/>
  <c r="R443" i="23"/>
  <c r="Z402" i="31" s="1"/>
  <c r="R343" i="23"/>
  <c r="R283" i="23"/>
  <c r="Z257" i="31" s="1"/>
  <c r="R279" i="23"/>
  <c r="Z253" i="31" s="1"/>
  <c r="R255" i="23"/>
  <c r="S255" i="23" s="1"/>
  <c r="R211" i="23"/>
  <c r="R179" i="23"/>
  <c r="Z162" i="31" s="1"/>
  <c r="R167" i="23"/>
  <c r="R151" i="23"/>
  <c r="Z137" i="31" s="1"/>
  <c r="R147" i="23"/>
  <c r="Z133" i="31" s="1"/>
  <c r="R123" i="23"/>
  <c r="R115" i="23"/>
  <c r="Z104" i="31" s="1"/>
  <c r="R79" i="23"/>
  <c r="S79" i="23" s="1"/>
  <c r="R39" i="23"/>
  <c r="Z35" i="31" s="1"/>
  <c r="R35" i="23"/>
  <c r="S35" i="23" s="1"/>
  <c r="R11" i="23"/>
  <c r="Z10" i="31" s="1"/>
  <c r="R7" i="23"/>
  <c r="Z6" i="31" s="1"/>
  <c r="R3" i="23"/>
  <c r="Z2" i="31" s="1"/>
  <c r="X353" i="6"/>
  <c r="E353" i="29" s="1"/>
  <c r="T321" i="31" s="1"/>
  <c r="V353" i="6"/>
  <c r="E353" i="28" s="1"/>
  <c r="N353" i="6"/>
  <c r="M353" i="6"/>
  <c r="M353" i="23" s="1"/>
  <c r="L353" i="6"/>
  <c r="K353" i="6"/>
  <c r="P353" i="23" s="1"/>
  <c r="R353" i="23" s="1"/>
  <c r="Z321" i="31" s="1"/>
  <c r="J353" i="6"/>
  <c r="J353" i="23" s="1"/>
  <c r="I353" i="6"/>
  <c r="Q353" i="23" s="1"/>
  <c r="H353" i="6"/>
  <c r="F353" i="23" s="1"/>
  <c r="G353" i="6"/>
  <c r="F353" i="6"/>
  <c r="E353" i="23" s="1"/>
  <c r="E353" i="6"/>
  <c r="X352" i="6"/>
  <c r="E352" i="29" s="1"/>
  <c r="T320" i="31" s="1"/>
  <c r="V352" i="6"/>
  <c r="E352" i="28" s="1"/>
  <c r="N352" i="6"/>
  <c r="M352" i="6"/>
  <c r="M352" i="23" s="1"/>
  <c r="L352" i="6"/>
  <c r="K352" i="6"/>
  <c r="P352" i="23" s="1"/>
  <c r="R352" i="23" s="1"/>
  <c r="Z320" i="31" s="1"/>
  <c r="J352" i="6"/>
  <c r="J352" i="23" s="1"/>
  <c r="I352" i="6"/>
  <c r="Q352" i="23" s="1"/>
  <c r="H352" i="6"/>
  <c r="F352" i="23" s="1"/>
  <c r="G352" i="6"/>
  <c r="F352" i="6"/>
  <c r="E352" i="23" s="1"/>
  <c r="E352" i="6"/>
  <c r="X351" i="6"/>
  <c r="E351" i="29" s="1"/>
  <c r="T319" i="31" s="1"/>
  <c r="V351" i="6"/>
  <c r="E351" i="28" s="1"/>
  <c r="N351" i="6"/>
  <c r="M351" i="6"/>
  <c r="M351" i="23" s="1"/>
  <c r="L350" i="6"/>
  <c r="L351" i="6"/>
  <c r="K351" i="6"/>
  <c r="P351" i="23" s="1"/>
  <c r="J351" i="6"/>
  <c r="J351" i="23" s="1"/>
  <c r="I351" i="6"/>
  <c r="Q351" i="23" s="1"/>
  <c r="H351" i="6"/>
  <c r="F351" i="23" s="1"/>
  <c r="G351" i="6"/>
  <c r="F351" i="6"/>
  <c r="E351" i="23" s="1"/>
  <c r="E351" i="6"/>
  <c r="X350" i="6"/>
  <c r="E350" i="29" s="1"/>
  <c r="T318" i="31" s="1"/>
  <c r="V350" i="6"/>
  <c r="E350" i="28" s="1"/>
  <c r="N350" i="6"/>
  <c r="M350" i="6"/>
  <c r="M350" i="23" s="1"/>
  <c r="K350" i="6"/>
  <c r="P350" i="23" s="1"/>
  <c r="R350" i="23" s="1"/>
  <c r="Z318" i="31" s="1"/>
  <c r="J350" i="6"/>
  <c r="J350" i="23" s="1"/>
  <c r="I350" i="6"/>
  <c r="Q350" i="23" s="1"/>
  <c r="H350" i="6"/>
  <c r="F350" i="23" s="1"/>
  <c r="G350" i="6"/>
  <c r="F349" i="6"/>
  <c r="E349" i="23" s="1"/>
  <c r="F350" i="6"/>
  <c r="E350" i="23" s="1"/>
  <c r="E350" i="6"/>
  <c r="X349" i="6"/>
  <c r="E349" i="29" s="1"/>
  <c r="T317" i="31" s="1"/>
  <c r="V349" i="6"/>
  <c r="E349" i="28" s="1"/>
  <c r="N349" i="6"/>
  <c r="M349" i="6"/>
  <c r="M349" i="23" s="1"/>
  <c r="L349" i="6"/>
  <c r="K349" i="6"/>
  <c r="P349" i="23" s="1"/>
  <c r="J349" i="6"/>
  <c r="J349" i="23" s="1"/>
  <c r="I349" i="6"/>
  <c r="Q349" i="23" s="1"/>
  <c r="H349" i="6"/>
  <c r="F349" i="23" s="1"/>
  <c r="G349" i="6"/>
  <c r="E349" i="6"/>
  <c r="N348" i="6"/>
  <c r="M348" i="6"/>
  <c r="M348" i="23" s="1"/>
  <c r="L348" i="6"/>
  <c r="K348" i="6"/>
  <c r="P348" i="23" s="1"/>
  <c r="J348" i="6"/>
  <c r="J348" i="23" s="1"/>
  <c r="I348" i="6"/>
  <c r="Q348" i="23" s="1"/>
  <c r="H348" i="6"/>
  <c r="F348" i="23" s="1"/>
  <c r="G347" i="6"/>
  <c r="G348" i="6"/>
  <c r="F348" i="6"/>
  <c r="E348" i="23" s="1"/>
  <c r="G348" i="23" s="1"/>
  <c r="E348" i="6"/>
  <c r="N347" i="6"/>
  <c r="M347" i="6"/>
  <c r="M347" i="23" s="1"/>
  <c r="L347" i="6"/>
  <c r="L346" i="6"/>
  <c r="K347" i="6"/>
  <c r="P347" i="23" s="1"/>
  <c r="J347" i="6"/>
  <c r="J347" i="23" s="1"/>
  <c r="I347" i="6"/>
  <c r="Q347" i="23" s="1"/>
  <c r="H345" i="6"/>
  <c r="F345" i="23" s="1"/>
  <c r="H346" i="6"/>
  <c r="F346" i="23" s="1"/>
  <c r="H347" i="6"/>
  <c r="F347" i="23" s="1"/>
  <c r="F347" i="6"/>
  <c r="E347" i="23" s="1"/>
  <c r="E347" i="6"/>
  <c r="T347" i="6"/>
  <c r="E347" i="19" s="1"/>
  <c r="T348" i="6"/>
  <c r="E348" i="19" s="1"/>
  <c r="T349" i="6"/>
  <c r="E349" i="19" s="1"/>
  <c r="T350" i="6"/>
  <c r="E350" i="19" s="1"/>
  <c r="T351" i="6"/>
  <c r="E351" i="19" s="1"/>
  <c r="T352" i="6"/>
  <c r="E352" i="19" s="1"/>
  <c r="T353" i="6"/>
  <c r="E353" i="19" s="1"/>
  <c r="T346" i="6"/>
  <c r="E346" i="19" s="1"/>
  <c r="N346" i="6"/>
  <c r="N345" i="6"/>
  <c r="M346" i="6"/>
  <c r="M346" i="23" s="1"/>
  <c r="M345" i="6"/>
  <c r="M345" i="23" s="1"/>
  <c r="L345" i="6"/>
  <c r="J346" i="6"/>
  <c r="J346" i="23" s="1"/>
  <c r="K346" i="6"/>
  <c r="P346" i="23" s="1"/>
  <c r="K345" i="6"/>
  <c r="P345" i="23" s="1"/>
  <c r="J345" i="6"/>
  <c r="J345" i="23" s="1"/>
  <c r="I346" i="6"/>
  <c r="Q346" i="23" s="1"/>
  <c r="I345" i="6"/>
  <c r="Q345" i="23" s="1"/>
  <c r="G346" i="6"/>
  <c r="G345" i="6"/>
  <c r="F346" i="6"/>
  <c r="E346" i="23" s="1"/>
  <c r="G346" i="23" s="1"/>
  <c r="F345" i="6"/>
  <c r="E345" i="23" s="1"/>
  <c r="G345" i="23" s="1"/>
  <c r="E346" i="6"/>
  <c r="E345" i="6"/>
  <c r="X914" i="6"/>
  <c r="E914" i="29" s="1"/>
  <c r="T831" i="31" s="1"/>
  <c r="V914" i="6"/>
  <c r="E914" i="28" s="1"/>
  <c r="N914" i="6"/>
  <c r="M914" i="6"/>
  <c r="M914" i="23" s="1"/>
  <c r="L914" i="6"/>
  <c r="K914" i="6"/>
  <c r="P914" i="23" s="1"/>
  <c r="R914" i="23" s="1"/>
  <c r="Z831" i="31" s="1"/>
  <c r="J914" i="6"/>
  <c r="J914" i="23" s="1"/>
  <c r="I914" i="6"/>
  <c r="Q914" i="23" s="1"/>
  <c r="H914" i="6"/>
  <c r="F914" i="23" s="1"/>
  <c r="G914" i="6"/>
  <c r="G913" i="6"/>
  <c r="F914" i="6"/>
  <c r="E914" i="23" s="1"/>
  <c r="E914" i="6"/>
  <c r="X913" i="6"/>
  <c r="E913" i="29" s="1"/>
  <c r="T830" i="31" s="1"/>
  <c r="V913" i="6"/>
  <c r="E913" i="28" s="1"/>
  <c r="N913" i="6"/>
  <c r="M913" i="6"/>
  <c r="M913" i="23" s="1"/>
  <c r="L913" i="6"/>
  <c r="K913" i="6"/>
  <c r="P913" i="23" s="1"/>
  <c r="J913" i="6"/>
  <c r="J913" i="23" s="1"/>
  <c r="I913" i="6"/>
  <c r="Q913" i="23" s="1"/>
  <c r="H913" i="6"/>
  <c r="F913" i="23" s="1"/>
  <c r="F913" i="6"/>
  <c r="E913" i="23" s="1"/>
  <c r="E913" i="6"/>
  <c r="X912" i="6"/>
  <c r="E912" i="29" s="1"/>
  <c r="T829" i="31" s="1"/>
  <c r="V912" i="6"/>
  <c r="E912" i="28" s="1"/>
  <c r="N912" i="6"/>
  <c r="M912" i="6"/>
  <c r="M912" i="23" s="1"/>
  <c r="L912" i="6"/>
  <c r="K912" i="6"/>
  <c r="P912" i="23" s="1"/>
  <c r="R912" i="23" s="1"/>
  <c r="Z829" i="31" s="1"/>
  <c r="J912" i="6"/>
  <c r="J912" i="23" s="1"/>
  <c r="I912" i="6"/>
  <c r="Q912" i="23" s="1"/>
  <c r="H912" i="6"/>
  <c r="F912" i="23" s="1"/>
  <c r="G912" i="6"/>
  <c r="F912" i="6"/>
  <c r="E912" i="23" s="1"/>
  <c r="E912" i="6"/>
  <c r="X911" i="6"/>
  <c r="E911" i="29" s="1"/>
  <c r="T828" i="31" s="1"/>
  <c r="V911" i="6"/>
  <c r="E911" i="28" s="1"/>
  <c r="N911" i="6"/>
  <c r="N910" i="6"/>
  <c r="M911" i="6"/>
  <c r="M911" i="23" s="1"/>
  <c r="M910" i="6"/>
  <c r="M910" i="23" s="1"/>
  <c r="L911" i="6"/>
  <c r="L910" i="6"/>
  <c r="K911" i="6"/>
  <c r="P911" i="23" s="1"/>
  <c r="K910" i="6"/>
  <c r="P910" i="23" s="1"/>
  <c r="J911" i="6"/>
  <c r="J911" i="23" s="1"/>
  <c r="J910" i="6"/>
  <c r="J910" i="23" s="1"/>
  <c r="I911" i="6"/>
  <c r="Q911" i="23" s="1"/>
  <c r="I910" i="6"/>
  <c r="Q910" i="23" s="1"/>
  <c r="H911" i="6"/>
  <c r="F911" i="23" s="1"/>
  <c r="H910" i="6"/>
  <c r="F910" i="23" s="1"/>
  <c r="G911" i="6"/>
  <c r="G910" i="6"/>
  <c r="F911" i="6"/>
  <c r="E911" i="23" s="1"/>
  <c r="G911" i="23" s="1"/>
  <c r="F910" i="6"/>
  <c r="E910" i="23" s="1"/>
  <c r="G910" i="23" s="1"/>
  <c r="E911" i="6"/>
  <c r="E910" i="6"/>
  <c r="X910" i="6"/>
  <c r="E910" i="29" s="1"/>
  <c r="T827" i="31" s="1"/>
  <c r="V910" i="6"/>
  <c r="E910" i="28" s="1"/>
  <c r="X909" i="6"/>
  <c r="E909" i="29" s="1"/>
  <c r="T826" i="31" s="1"/>
  <c r="V909" i="6"/>
  <c r="N909" i="6"/>
  <c r="M909" i="6"/>
  <c r="M909" i="23" s="1"/>
  <c r="L909" i="6"/>
  <c r="K909" i="6"/>
  <c r="P909" i="23" s="1"/>
  <c r="R909" i="23" s="1"/>
  <c r="Z826" i="31" s="1"/>
  <c r="J909" i="6"/>
  <c r="J909" i="23" s="1"/>
  <c r="I909" i="6"/>
  <c r="Q909" i="23" s="1"/>
  <c r="H909" i="6"/>
  <c r="F909" i="23" s="1"/>
  <c r="G909" i="6"/>
  <c r="F909" i="6"/>
  <c r="E909" i="23" s="1"/>
  <c r="E909" i="6"/>
  <c r="X908" i="6"/>
  <c r="E908" i="29" s="1"/>
  <c r="T825" i="31" s="1"/>
  <c r="V908" i="6"/>
  <c r="X907" i="6"/>
  <c r="E907" i="29" s="1"/>
  <c r="T824" i="31" s="1"/>
  <c r="V907" i="6"/>
  <c r="E907" i="28" s="1"/>
  <c r="N908" i="6"/>
  <c r="N907" i="6"/>
  <c r="M908" i="6"/>
  <c r="M908" i="23" s="1"/>
  <c r="M907" i="6"/>
  <c r="M907" i="23" s="1"/>
  <c r="L908" i="6"/>
  <c r="L907" i="6"/>
  <c r="K908" i="6"/>
  <c r="P908" i="23" s="1"/>
  <c r="K907" i="6"/>
  <c r="P907" i="23" s="1"/>
  <c r="J908" i="6"/>
  <c r="J908" i="23" s="1"/>
  <c r="J907" i="6"/>
  <c r="J907" i="23" s="1"/>
  <c r="I908" i="6"/>
  <c r="Q908" i="23" s="1"/>
  <c r="I907" i="6"/>
  <c r="Q907" i="23" s="1"/>
  <c r="H908" i="6"/>
  <c r="F908" i="23" s="1"/>
  <c r="H907" i="6"/>
  <c r="F907" i="23" s="1"/>
  <c r="G908" i="6"/>
  <c r="G907" i="6"/>
  <c r="F908" i="6"/>
  <c r="E908" i="23" s="1"/>
  <c r="G908" i="23" s="1"/>
  <c r="F907" i="6"/>
  <c r="E907" i="23" s="1"/>
  <c r="G907" i="23" s="1"/>
  <c r="E908" i="6"/>
  <c r="E907" i="6"/>
  <c r="X906" i="6"/>
  <c r="E906" i="29" s="1"/>
  <c r="T823" i="31" s="1"/>
  <c r="V906" i="6"/>
  <c r="E906" i="28" s="1"/>
  <c r="T906" i="6"/>
  <c r="E906" i="19" s="1"/>
  <c r="T907" i="6"/>
  <c r="E907" i="19" s="1"/>
  <c r="T908" i="6"/>
  <c r="E908" i="19" s="1"/>
  <c r="T909" i="6"/>
  <c r="E909" i="19" s="1"/>
  <c r="T910" i="6"/>
  <c r="E910" i="19" s="1"/>
  <c r="T911" i="6"/>
  <c r="E911" i="19" s="1"/>
  <c r="T912" i="6"/>
  <c r="E912" i="19" s="1"/>
  <c r="T913" i="6"/>
  <c r="E913" i="19" s="1"/>
  <c r="N906" i="6"/>
  <c r="M906" i="6"/>
  <c r="M906" i="23" s="1"/>
  <c r="L906" i="6"/>
  <c r="K906" i="6"/>
  <c r="P906" i="23" s="1"/>
  <c r="R906" i="23" s="1"/>
  <c r="Z823" i="31" s="1"/>
  <c r="J906" i="6"/>
  <c r="J906" i="23" s="1"/>
  <c r="I906" i="6"/>
  <c r="Q906" i="23" s="1"/>
  <c r="H906" i="6"/>
  <c r="F906" i="23" s="1"/>
  <c r="G906" i="6"/>
  <c r="F906" i="6"/>
  <c r="E906" i="23" s="1"/>
  <c r="E906" i="6"/>
  <c r="X905" i="6"/>
  <c r="E905" i="29" s="1"/>
  <c r="T822" i="31" s="1"/>
  <c r="W907" i="6"/>
  <c r="W910" i="6"/>
  <c r="V905" i="6"/>
  <c r="E905" i="28" s="1"/>
  <c r="T905" i="6"/>
  <c r="E905" i="19" s="1"/>
  <c r="N905" i="6"/>
  <c r="M905" i="6"/>
  <c r="M905" i="23" s="1"/>
  <c r="L905" i="6"/>
  <c r="L904" i="6"/>
  <c r="K905" i="6"/>
  <c r="P905" i="23" s="1"/>
  <c r="J905" i="6"/>
  <c r="J905" i="23" s="1"/>
  <c r="I905" i="6"/>
  <c r="Q905" i="23" s="1"/>
  <c r="H905" i="6"/>
  <c r="F905" i="23" s="1"/>
  <c r="G905" i="6"/>
  <c r="F905" i="6"/>
  <c r="E905" i="23" s="1"/>
  <c r="G905" i="23" s="1"/>
  <c r="E905" i="6"/>
  <c r="V1123" i="6"/>
  <c r="E1123" i="28" s="1"/>
  <c r="X1123" i="6"/>
  <c r="E1123" i="29" s="1"/>
  <c r="T1021" i="31" s="1"/>
  <c r="N1123" i="6"/>
  <c r="M1123" i="6"/>
  <c r="M1123" i="23" s="1"/>
  <c r="L1123" i="6"/>
  <c r="K1123" i="6"/>
  <c r="P1123" i="23" s="1"/>
  <c r="J1123" i="6"/>
  <c r="J1123" i="23" s="1"/>
  <c r="I1123" i="6"/>
  <c r="Q1123" i="23" s="1"/>
  <c r="H1123" i="6"/>
  <c r="F1123" i="23" s="1"/>
  <c r="G1123" i="6"/>
  <c r="F1123" i="6"/>
  <c r="E1123" i="23" s="1"/>
  <c r="G1123" i="23" s="1"/>
  <c r="E1123" i="6"/>
  <c r="N1122" i="6"/>
  <c r="M1122" i="6"/>
  <c r="M1122" i="23" s="1"/>
  <c r="L1122" i="6"/>
  <c r="K1122" i="6"/>
  <c r="P1122" i="23" s="1"/>
  <c r="R1122" i="23" s="1"/>
  <c r="Z1020" i="31" s="1"/>
  <c r="J1122" i="6"/>
  <c r="J1122" i="23" s="1"/>
  <c r="I1122" i="6"/>
  <c r="Q1122" i="23" s="1"/>
  <c r="H1122" i="6"/>
  <c r="F1122" i="23" s="1"/>
  <c r="G1122" i="6"/>
  <c r="F1122" i="6"/>
  <c r="E1122" i="23" s="1"/>
  <c r="E1122" i="6"/>
  <c r="N1121" i="6"/>
  <c r="M1121" i="6"/>
  <c r="M1121" i="23" s="1"/>
  <c r="L1121" i="6"/>
  <c r="K1121" i="6"/>
  <c r="P1121" i="23" s="1"/>
  <c r="J1121" i="6"/>
  <c r="J1121" i="23" s="1"/>
  <c r="I1121" i="6"/>
  <c r="Q1121" i="23" s="1"/>
  <c r="H1121" i="6"/>
  <c r="F1121" i="23" s="1"/>
  <c r="G1121" i="6"/>
  <c r="F1121" i="6"/>
  <c r="E1121" i="23" s="1"/>
  <c r="G1121" i="23" s="1"/>
  <c r="E1121" i="6"/>
  <c r="N1120" i="6"/>
  <c r="M1120" i="6"/>
  <c r="M1120" i="23" s="1"/>
  <c r="L1120" i="6"/>
  <c r="K1120" i="6"/>
  <c r="P1120" i="23" s="1"/>
  <c r="R1120" i="23" s="1"/>
  <c r="Z1018" i="31" s="1"/>
  <c r="J1120" i="6"/>
  <c r="J1120" i="23" s="1"/>
  <c r="I1120" i="6"/>
  <c r="Q1120" i="23" s="1"/>
  <c r="H1120" i="6"/>
  <c r="F1120" i="23" s="1"/>
  <c r="G1120" i="6"/>
  <c r="F1120" i="6"/>
  <c r="E1120" i="23" s="1"/>
  <c r="E1120" i="6"/>
  <c r="N1119" i="6"/>
  <c r="M1119" i="6"/>
  <c r="M1119" i="23" s="1"/>
  <c r="L1119" i="6"/>
  <c r="K1119" i="6"/>
  <c r="P1119" i="23" s="1"/>
  <c r="J1119" i="6"/>
  <c r="J1119" i="23" s="1"/>
  <c r="I1119" i="6"/>
  <c r="Q1119" i="23" s="1"/>
  <c r="H1119" i="6"/>
  <c r="F1119" i="23" s="1"/>
  <c r="G1119" i="6"/>
  <c r="F1119" i="6"/>
  <c r="E1119" i="23" s="1"/>
  <c r="G1119" i="23" s="1"/>
  <c r="E1119" i="6"/>
  <c r="N1118" i="6"/>
  <c r="M1118" i="6"/>
  <c r="M1118" i="23" s="1"/>
  <c r="L1118" i="6"/>
  <c r="K1118" i="6"/>
  <c r="P1118" i="23" s="1"/>
  <c r="R1118" i="23" s="1"/>
  <c r="Z1016" i="31" s="1"/>
  <c r="J1118" i="6"/>
  <c r="J1118" i="23" s="1"/>
  <c r="I1118" i="6"/>
  <c r="Q1118" i="23" s="1"/>
  <c r="H1118" i="6"/>
  <c r="F1118" i="23" s="1"/>
  <c r="G1118" i="6"/>
  <c r="F1118" i="6"/>
  <c r="E1118" i="23" s="1"/>
  <c r="E1118" i="6"/>
  <c r="N1117" i="6"/>
  <c r="M1117" i="6"/>
  <c r="M1117" i="23" s="1"/>
  <c r="L1117" i="6"/>
  <c r="K1117" i="6"/>
  <c r="P1117" i="23" s="1"/>
  <c r="J1117" i="6"/>
  <c r="J1117" i="23" s="1"/>
  <c r="I1117" i="6"/>
  <c r="Q1117" i="23" s="1"/>
  <c r="H1117" i="6"/>
  <c r="F1117" i="23" s="1"/>
  <c r="G1117" i="6"/>
  <c r="F1117" i="6"/>
  <c r="E1117" i="23" s="1"/>
  <c r="G1117" i="23" s="1"/>
  <c r="E1117" i="6"/>
  <c r="N1116" i="6"/>
  <c r="M1116" i="6"/>
  <c r="M1116" i="23" s="1"/>
  <c r="L1116" i="6"/>
  <c r="K1116" i="6"/>
  <c r="P1116" i="23" s="1"/>
  <c r="J1116" i="6"/>
  <c r="J1116" i="23" s="1"/>
  <c r="I1116" i="6"/>
  <c r="Q1116" i="23" s="1"/>
  <c r="H1116" i="6"/>
  <c r="F1116" i="23" s="1"/>
  <c r="G1116" i="6"/>
  <c r="F1115" i="6"/>
  <c r="E1115" i="23" s="1"/>
  <c r="F1116" i="6"/>
  <c r="E1116" i="23" s="1"/>
  <c r="E1116" i="6"/>
  <c r="T1116" i="6"/>
  <c r="E1116" i="19" s="1"/>
  <c r="T1117" i="6"/>
  <c r="E1117" i="19" s="1"/>
  <c r="T1118" i="6"/>
  <c r="E1118" i="19" s="1"/>
  <c r="T1119" i="6"/>
  <c r="E1119" i="19" s="1"/>
  <c r="T1120" i="6"/>
  <c r="E1120" i="19" s="1"/>
  <c r="T1121" i="6"/>
  <c r="E1121" i="19" s="1"/>
  <c r="T1122" i="6"/>
  <c r="E1122" i="19" s="1"/>
  <c r="T1123" i="6"/>
  <c r="E1123" i="19" s="1"/>
  <c r="T1115" i="6"/>
  <c r="E1115" i="19" s="1"/>
  <c r="M1115" i="6"/>
  <c r="M1115" i="23" s="1"/>
  <c r="M1114" i="6"/>
  <c r="M1114" i="23" s="1"/>
  <c r="N1115" i="6"/>
  <c r="N1114" i="6"/>
  <c r="L1115" i="6"/>
  <c r="K1114" i="6"/>
  <c r="P1114" i="23" s="1"/>
  <c r="R1114" i="23" s="1"/>
  <c r="Z1012" i="31" s="1"/>
  <c r="L1114" i="6"/>
  <c r="K1115" i="6"/>
  <c r="P1115" i="23" s="1"/>
  <c r="J1115" i="6"/>
  <c r="J1115" i="23" s="1"/>
  <c r="J1114" i="6"/>
  <c r="J1114" i="23" s="1"/>
  <c r="I1115" i="6"/>
  <c r="Q1115" i="23" s="1"/>
  <c r="I1114" i="6"/>
  <c r="Q1114" i="23" s="1"/>
  <c r="H1115" i="6"/>
  <c r="F1115" i="23" s="1"/>
  <c r="H1114" i="6"/>
  <c r="F1114" i="23" s="1"/>
  <c r="G1115" i="6"/>
  <c r="G1114" i="6"/>
  <c r="F1114" i="6"/>
  <c r="E1114" i="23" s="1"/>
  <c r="E1115" i="6"/>
  <c r="E1114" i="6"/>
  <c r="N1156" i="6"/>
  <c r="M1156" i="6"/>
  <c r="M1156" i="23" s="1"/>
  <c r="L1156" i="6"/>
  <c r="K1156" i="6"/>
  <c r="P1156" i="23" s="1"/>
  <c r="R1156" i="23" s="1"/>
  <c r="Z1051" i="31" s="1"/>
  <c r="J1156" i="6"/>
  <c r="J1156" i="23" s="1"/>
  <c r="I1156" i="6"/>
  <c r="Q1156" i="23" s="1"/>
  <c r="H1156" i="6"/>
  <c r="F1156" i="23" s="1"/>
  <c r="G1156" i="6"/>
  <c r="F1156" i="6"/>
  <c r="E1156" i="23" s="1"/>
  <c r="E1156" i="6"/>
  <c r="N1155" i="6"/>
  <c r="M1155" i="6"/>
  <c r="M1155" i="23" s="1"/>
  <c r="L1155" i="6"/>
  <c r="K1155" i="6"/>
  <c r="P1155" i="23" s="1"/>
  <c r="J1155" i="6"/>
  <c r="J1155" i="23" s="1"/>
  <c r="I1155" i="6"/>
  <c r="Q1155" i="23" s="1"/>
  <c r="H1155" i="6"/>
  <c r="F1155" i="23" s="1"/>
  <c r="G1155" i="6"/>
  <c r="F1155" i="6"/>
  <c r="E1155" i="23" s="1"/>
  <c r="G1155" i="23" s="1"/>
  <c r="E1155" i="6"/>
  <c r="N1154" i="6"/>
  <c r="M1154" i="6"/>
  <c r="M1154" i="23" s="1"/>
  <c r="L1154" i="6"/>
  <c r="K1154" i="6"/>
  <c r="P1154" i="23" s="1"/>
  <c r="R1154" i="23" s="1"/>
  <c r="Z1049" i="31" s="1"/>
  <c r="J1154" i="6"/>
  <c r="J1154" i="23" s="1"/>
  <c r="I1154" i="6"/>
  <c r="Q1154" i="23" s="1"/>
  <c r="H1154" i="6"/>
  <c r="F1154" i="23" s="1"/>
  <c r="G1154" i="6"/>
  <c r="F1154" i="6"/>
  <c r="E1154" i="23" s="1"/>
  <c r="E1154" i="6"/>
  <c r="N1153" i="6"/>
  <c r="M1153" i="6"/>
  <c r="M1153" i="23" s="1"/>
  <c r="L1153" i="6"/>
  <c r="K1153" i="6"/>
  <c r="P1153" i="23" s="1"/>
  <c r="J1153" i="6"/>
  <c r="J1153" i="23" s="1"/>
  <c r="I1153" i="6"/>
  <c r="Q1153" i="23" s="1"/>
  <c r="H1153" i="6"/>
  <c r="F1153" i="23" s="1"/>
  <c r="G1153" i="6"/>
  <c r="F1153" i="6"/>
  <c r="E1153" i="23" s="1"/>
  <c r="G1153" i="23" s="1"/>
  <c r="E1153" i="6"/>
  <c r="N1152" i="6"/>
  <c r="M1152" i="6"/>
  <c r="M1152" i="23" s="1"/>
  <c r="L1152" i="6"/>
  <c r="K1152" i="6"/>
  <c r="P1152" i="23" s="1"/>
  <c r="R1152" i="23" s="1"/>
  <c r="Z1047" i="31" s="1"/>
  <c r="J1152" i="6"/>
  <c r="J1152" i="23" s="1"/>
  <c r="I1152" i="6"/>
  <c r="Q1152" i="23" s="1"/>
  <c r="H1152" i="6"/>
  <c r="F1152" i="23" s="1"/>
  <c r="G1152" i="6"/>
  <c r="F1152" i="6"/>
  <c r="E1152" i="23" s="1"/>
  <c r="E1152" i="6"/>
  <c r="N1151" i="6"/>
  <c r="M1151" i="6"/>
  <c r="M1151" i="23" s="1"/>
  <c r="L1151" i="6"/>
  <c r="K1151" i="6"/>
  <c r="P1151" i="23" s="1"/>
  <c r="J1151" i="6"/>
  <c r="J1151" i="23" s="1"/>
  <c r="I1151" i="6"/>
  <c r="Q1151" i="23" s="1"/>
  <c r="H1151" i="6"/>
  <c r="F1151" i="23" s="1"/>
  <c r="G1151" i="6"/>
  <c r="F1151" i="6"/>
  <c r="E1151" i="23" s="1"/>
  <c r="G1151" i="23" s="1"/>
  <c r="E1151" i="6"/>
  <c r="N1150" i="6"/>
  <c r="M1150" i="6"/>
  <c r="M1150" i="23" s="1"/>
  <c r="L1150" i="6"/>
  <c r="K1150" i="6"/>
  <c r="P1150" i="23" s="1"/>
  <c r="R1150" i="23" s="1"/>
  <c r="Z1045" i="31" s="1"/>
  <c r="J1150" i="6"/>
  <c r="J1150" i="23" s="1"/>
  <c r="I1150" i="6"/>
  <c r="Q1150" i="23" s="1"/>
  <c r="H1150" i="6"/>
  <c r="F1150" i="23" s="1"/>
  <c r="G1150" i="6"/>
  <c r="F1150" i="6"/>
  <c r="E1150" i="23" s="1"/>
  <c r="E1150" i="6"/>
  <c r="T1149" i="6"/>
  <c r="E1149" i="19" s="1"/>
  <c r="T1150" i="6"/>
  <c r="E1150" i="19" s="1"/>
  <c r="T1151" i="6"/>
  <c r="E1151" i="19" s="1"/>
  <c r="T1152" i="6"/>
  <c r="E1152" i="19" s="1"/>
  <c r="T1153" i="6"/>
  <c r="E1153" i="19" s="1"/>
  <c r="T1154" i="6"/>
  <c r="E1154" i="19" s="1"/>
  <c r="T1155" i="6"/>
  <c r="E1155" i="19" s="1"/>
  <c r="T1156" i="6"/>
  <c r="E1156" i="19" s="1"/>
  <c r="N1149" i="6"/>
  <c r="N1148" i="6"/>
  <c r="M1149" i="6"/>
  <c r="M1149" i="23" s="1"/>
  <c r="M1148" i="6"/>
  <c r="M1148" i="23" s="1"/>
  <c r="L1149" i="6"/>
  <c r="L1148" i="6"/>
  <c r="K1149" i="6"/>
  <c r="P1149" i="23" s="1"/>
  <c r="K1148" i="6"/>
  <c r="P1148" i="23" s="1"/>
  <c r="J1149" i="6"/>
  <c r="J1149" i="23" s="1"/>
  <c r="J1148" i="6"/>
  <c r="J1148" i="23" s="1"/>
  <c r="I1149" i="6"/>
  <c r="Q1149" i="23" s="1"/>
  <c r="I1148" i="6"/>
  <c r="Q1148" i="23" s="1"/>
  <c r="H1149" i="6"/>
  <c r="F1149" i="23" s="1"/>
  <c r="H1148" i="6"/>
  <c r="F1148" i="23" s="1"/>
  <c r="G1149" i="6"/>
  <c r="G1148" i="6"/>
  <c r="F1149" i="6"/>
  <c r="E1149" i="23" s="1"/>
  <c r="G1149" i="23" s="1"/>
  <c r="F1148" i="6"/>
  <c r="E1148" i="23" s="1"/>
  <c r="G1148" i="23" s="1"/>
  <c r="E1149" i="6"/>
  <c r="E1148" i="6"/>
  <c r="X232" i="6"/>
  <c r="E232" i="29" s="1"/>
  <c r="T211" i="31" s="1"/>
  <c r="V232" i="6"/>
  <c r="E232" i="28" s="1"/>
  <c r="N232" i="6"/>
  <c r="M232" i="6"/>
  <c r="M232" i="23" s="1"/>
  <c r="L232" i="6"/>
  <c r="K232" i="6"/>
  <c r="P232" i="23" s="1"/>
  <c r="R232" i="23" s="1"/>
  <c r="Z211" i="31" s="1"/>
  <c r="J232" i="6"/>
  <c r="J232" i="23" s="1"/>
  <c r="I232" i="6"/>
  <c r="Q232" i="23" s="1"/>
  <c r="H232" i="6"/>
  <c r="F232" i="23" s="1"/>
  <c r="G232" i="6"/>
  <c r="F232" i="6"/>
  <c r="E232" i="23" s="1"/>
  <c r="E232" i="6"/>
  <c r="X231" i="6"/>
  <c r="E231" i="29" s="1"/>
  <c r="T210" i="31" s="1"/>
  <c r="V231" i="6"/>
  <c r="E231" i="28" s="1"/>
  <c r="N231" i="6"/>
  <c r="M231" i="6"/>
  <c r="M231" i="23" s="1"/>
  <c r="L231" i="6"/>
  <c r="K231" i="6"/>
  <c r="P231" i="23" s="1"/>
  <c r="R231" i="23" s="1"/>
  <c r="Z210" i="31" s="1"/>
  <c r="J231" i="6"/>
  <c r="J231" i="23" s="1"/>
  <c r="I231" i="6"/>
  <c r="Q231" i="23" s="1"/>
  <c r="H231" i="6"/>
  <c r="F231" i="23" s="1"/>
  <c r="G231" i="6"/>
  <c r="F231" i="6"/>
  <c r="E231" i="23" s="1"/>
  <c r="E231" i="6"/>
  <c r="X230" i="6"/>
  <c r="E230" i="29" s="1"/>
  <c r="T209" i="31" s="1"/>
  <c r="V230" i="6"/>
  <c r="E230" i="28" s="1"/>
  <c r="N230" i="6"/>
  <c r="M230" i="6"/>
  <c r="M230" i="23" s="1"/>
  <c r="L230" i="6"/>
  <c r="K230" i="6"/>
  <c r="P230" i="23" s="1"/>
  <c r="R230" i="23" s="1"/>
  <c r="Z209" i="31" s="1"/>
  <c r="J230" i="6"/>
  <c r="J230" i="23" s="1"/>
  <c r="H230" i="6"/>
  <c r="F230" i="23" s="1"/>
  <c r="I230" i="6"/>
  <c r="Q230" i="23" s="1"/>
  <c r="G230" i="6"/>
  <c r="F230" i="6"/>
  <c r="E230" i="23" s="1"/>
  <c r="G230" i="23" s="1"/>
  <c r="E230" i="6"/>
  <c r="X229" i="6"/>
  <c r="E229" i="29" s="1"/>
  <c r="T208" i="31" s="1"/>
  <c r="V229" i="6"/>
  <c r="E229" i="28" s="1"/>
  <c r="N229" i="6"/>
  <c r="M229" i="6"/>
  <c r="M229" i="23" s="1"/>
  <c r="L229" i="6"/>
  <c r="K229" i="6"/>
  <c r="P229" i="23" s="1"/>
  <c r="R229" i="23" s="1"/>
  <c r="Z208" i="31" s="1"/>
  <c r="J229" i="6"/>
  <c r="J229" i="23" s="1"/>
  <c r="H229" i="6"/>
  <c r="F229" i="23" s="1"/>
  <c r="I229" i="6"/>
  <c r="Q229" i="23" s="1"/>
  <c r="G229" i="6"/>
  <c r="F229" i="6"/>
  <c r="E229" i="23" s="1"/>
  <c r="G229" i="23" s="1"/>
  <c r="E229" i="6"/>
  <c r="X228" i="6"/>
  <c r="E228" i="29" s="1"/>
  <c r="T207" i="31" s="1"/>
  <c r="V228" i="6"/>
  <c r="E228" i="28" s="1"/>
  <c r="N228" i="6"/>
  <c r="M228" i="6"/>
  <c r="M228" i="23" s="1"/>
  <c r="L228" i="6"/>
  <c r="K228" i="6"/>
  <c r="P228" i="23" s="1"/>
  <c r="R228" i="23" s="1"/>
  <c r="Z207" i="31" s="1"/>
  <c r="J228" i="6"/>
  <c r="J228" i="23" s="1"/>
  <c r="I228" i="6"/>
  <c r="Q228" i="23" s="1"/>
  <c r="H228" i="6"/>
  <c r="F228" i="23" s="1"/>
  <c r="G228" i="6"/>
  <c r="F228" i="6"/>
  <c r="E228" i="23" s="1"/>
  <c r="E228" i="6"/>
  <c r="N227" i="6"/>
  <c r="M227" i="6"/>
  <c r="M227" i="23" s="1"/>
  <c r="L227" i="6"/>
  <c r="K227" i="6"/>
  <c r="P227" i="23" s="1"/>
  <c r="J227" i="6"/>
  <c r="J227" i="23" s="1"/>
  <c r="I227" i="6"/>
  <c r="Q227" i="23" s="1"/>
  <c r="H227" i="6"/>
  <c r="F227" i="23" s="1"/>
  <c r="G227" i="6"/>
  <c r="F227" i="6"/>
  <c r="E227" i="23" s="1"/>
  <c r="G227" i="23" s="1"/>
  <c r="E227" i="6"/>
  <c r="N226" i="6"/>
  <c r="M226" i="6"/>
  <c r="M226" i="23" s="1"/>
  <c r="L226" i="6"/>
  <c r="K226" i="6"/>
  <c r="P226" i="23" s="1"/>
  <c r="R226" i="23" s="1"/>
  <c r="Z205" i="31" s="1"/>
  <c r="J226" i="6"/>
  <c r="J226" i="23" s="1"/>
  <c r="I226" i="6"/>
  <c r="Q226" i="23" s="1"/>
  <c r="H226" i="6"/>
  <c r="F226" i="23" s="1"/>
  <c r="G226" i="6"/>
  <c r="F226" i="6"/>
  <c r="E226" i="23" s="1"/>
  <c r="E226" i="6"/>
  <c r="N224" i="6"/>
  <c r="N225" i="6"/>
  <c r="M225" i="6"/>
  <c r="M225" i="23" s="1"/>
  <c r="L225" i="6"/>
  <c r="K225" i="6"/>
  <c r="P225" i="23" s="1"/>
  <c r="R225" i="23" s="1"/>
  <c r="Z204" i="31" s="1"/>
  <c r="J225" i="6"/>
  <c r="J225" i="23" s="1"/>
  <c r="I225" i="6"/>
  <c r="Q225" i="23" s="1"/>
  <c r="H225" i="6"/>
  <c r="F225" i="23" s="1"/>
  <c r="G225" i="6"/>
  <c r="F225" i="6"/>
  <c r="E225" i="23" s="1"/>
  <c r="G225" i="23" s="1"/>
  <c r="E225" i="6"/>
  <c r="M224" i="6"/>
  <c r="M224" i="23" s="1"/>
  <c r="L224" i="6"/>
  <c r="K224" i="6"/>
  <c r="P224" i="23" s="1"/>
  <c r="R224" i="23" s="1"/>
  <c r="Z203" i="31" s="1"/>
  <c r="J224" i="6"/>
  <c r="J224" i="23" s="1"/>
  <c r="I224" i="6"/>
  <c r="Q224" i="23" s="1"/>
  <c r="H224" i="6"/>
  <c r="F224" i="23" s="1"/>
  <c r="G224" i="6"/>
  <c r="F224" i="6"/>
  <c r="E224" i="23" s="1"/>
  <c r="E224" i="6"/>
  <c r="T224" i="6"/>
  <c r="E224" i="19" s="1"/>
  <c r="T225" i="6"/>
  <c r="E225" i="19" s="1"/>
  <c r="T226" i="6"/>
  <c r="E226" i="19" s="1"/>
  <c r="T227" i="6"/>
  <c r="E227" i="19" s="1"/>
  <c r="T228" i="6"/>
  <c r="E228" i="19" s="1"/>
  <c r="T229" i="6"/>
  <c r="E229" i="19" s="1"/>
  <c r="T230" i="6"/>
  <c r="E230" i="19" s="1"/>
  <c r="T231" i="6"/>
  <c r="E231" i="19" s="1"/>
  <c r="T232" i="6"/>
  <c r="E232" i="19" s="1"/>
  <c r="T223" i="6"/>
  <c r="E223" i="19" s="1"/>
  <c r="N223" i="6"/>
  <c r="M223" i="6"/>
  <c r="M223" i="23" s="1"/>
  <c r="L223" i="6"/>
  <c r="L222" i="6"/>
  <c r="K223" i="6"/>
  <c r="P223" i="23" s="1"/>
  <c r="J223" i="6"/>
  <c r="J223" i="23" s="1"/>
  <c r="I223" i="6"/>
  <c r="Q223" i="23" s="1"/>
  <c r="H223" i="6"/>
  <c r="F223" i="23" s="1"/>
  <c r="G223" i="6"/>
  <c r="F223" i="6"/>
  <c r="E223" i="23" s="1"/>
  <c r="E223" i="6"/>
  <c r="N243" i="6"/>
  <c r="M243" i="6"/>
  <c r="M243" i="23" s="1"/>
  <c r="L243" i="6"/>
  <c r="K243" i="6"/>
  <c r="P243" i="23" s="1"/>
  <c r="R243" i="23" s="1"/>
  <c r="Z221" i="31" s="1"/>
  <c r="J243" i="6"/>
  <c r="J243" i="23" s="1"/>
  <c r="I243" i="6"/>
  <c r="Q243" i="23" s="1"/>
  <c r="H243" i="6"/>
  <c r="F243" i="23" s="1"/>
  <c r="G243" i="6"/>
  <c r="F243" i="6"/>
  <c r="E243" i="23" s="1"/>
  <c r="G243" i="23" s="1"/>
  <c r="E243" i="6"/>
  <c r="M242" i="6"/>
  <c r="M242" i="23" s="1"/>
  <c r="L242" i="6"/>
  <c r="K242" i="6"/>
  <c r="P242" i="23" s="1"/>
  <c r="J242" i="6"/>
  <c r="J242" i="23" s="1"/>
  <c r="I242" i="6"/>
  <c r="Q242" i="23" s="1"/>
  <c r="H242" i="6"/>
  <c r="F242" i="23" s="1"/>
  <c r="G242" i="6"/>
  <c r="F242" i="6"/>
  <c r="E242" i="23" s="1"/>
  <c r="E242" i="6"/>
  <c r="N241" i="6"/>
  <c r="M241" i="6"/>
  <c r="M241" i="23" s="1"/>
  <c r="L241" i="6"/>
  <c r="K241" i="6"/>
  <c r="P241" i="23" s="1"/>
  <c r="R241" i="23" s="1"/>
  <c r="Z219" i="31" s="1"/>
  <c r="J241" i="6"/>
  <c r="J241" i="23" s="1"/>
  <c r="H241" i="6"/>
  <c r="F241" i="23" s="1"/>
  <c r="I241" i="6"/>
  <c r="Q241" i="23" s="1"/>
  <c r="G241" i="6"/>
  <c r="F241" i="6"/>
  <c r="E241" i="23" s="1"/>
  <c r="G241" i="23" s="1"/>
  <c r="E241" i="6"/>
  <c r="M240" i="6"/>
  <c r="M240" i="23" s="1"/>
  <c r="L240" i="6"/>
  <c r="K240" i="6"/>
  <c r="P240" i="23" s="1"/>
  <c r="J240" i="6"/>
  <c r="J240" i="23" s="1"/>
  <c r="I240" i="6"/>
  <c r="Q240" i="23" s="1"/>
  <c r="H240" i="6"/>
  <c r="F240" i="23" s="1"/>
  <c r="G240" i="6"/>
  <c r="F240" i="6"/>
  <c r="E240" i="23" s="1"/>
  <c r="E240" i="6"/>
  <c r="N239" i="6"/>
  <c r="M239" i="6"/>
  <c r="M239" i="23" s="1"/>
  <c r="L239" i="6"/>
  <c r="K239" i="6"/>
  <c r="P239" i="23" s="1"/>
  <c r="R239" i="23" s="1"/>
  <c r="Z217" i="31" s="1"/>
  <c r="J239" i="6"/>
  <c r="J239" i="23" s="1"/>
  <c r="I239" i="6"/>
  <c r="Q239" i="23" s="1"/>
  <c r="H239" i="6"/>
  <c r="F239" i="23" s="1"/>
  <c r="G239" i="6"/>
  <c r="F239" i="6"/>
  <c r="E239" i="23" s="1"/>
  <c r="G239" i="23" s="1"/>
  <c r="E239" i="6"/>
  <c r="M238" i="6"/>
  <c r="M238" i="23" s="1"/>
  <c r="L238" i="6"/>
  <c r="K238" i="6"/>
  <c r="P238" i="23" s="1"/>
  <c r="J238" i="6"/>
  <c r="J238" i="23" s="1"/>
  <c r="I238" i="6"/>
  <c r="Q238" i="23" s="1"/>
  <c r="H238" i="6"/>
  <c r="F238" i="23" s="1"/>
  <c r="G238" i="6"/>
  <c r="F238" i="6"/>
  <c r="E238" i="23" s="1"/>
  <c r="E238" i="6"/>
  <c r="N237" i="6"/>
  <c r="M237" i="6"/>
  <c r="M237" i="23" s="1"/>
  <c r="L237" i="6"/>
  <c r="K237" i="6"/>
  <c r="P237" i="23" s="1"/>
  <c r="R237" i="23" s="1"/>
  <c r="Z215" i="31" s="1"/>
  <c r="J237" i="6"/>
  <c r="J237" i="23" s="1"/>
  <c r="I236" i="6"/>
  <c r="Q236" i="23" s="1"/>
  <c r="I237" i="6"/>
  <c r="Q237" i="23" s="1"/>
  <c r="H237" i="6"/>
  <c r="F237" i="23" s="1"/>
  <c r="G237" i="6"/>
  <c r="F237" i="6"/>
  <c r="E237" i="23" s="1"/>
  <c r="E237" i="6"/>
  <c r="T237" i="6"/>
  <c r="E237" i="19" s="1"/>
  <c r="T238" i="6"/>
  <c r="E238" i="19" s="1"/>
  <c r="T239" i="6"/>
  <c r="E239" i="19" s="1"/>
  <c r="T240" i="6"/>
  <c r="E240" i="19" s="1"/>
  <c r="T241" i="6"/>
  <c r="E241" i="19" s="1"/>
  <c r="T242" i="6"/>
  <c r="E242" i="19" s="1"/>
  <c r="T243" i="6"/>
  <c r="E243" i="19" s="1"/>
  <c r="T236" i="6"/>
  <c r="E236" i="19" s="1"/>
  <c r="N236" i="6"/>
  <c r="N235" i="6"/>
  <c r="M236" i="6"/>
  <c r="M236" i="23" s="1"/>
  <c r="M235" i="6"/>
  <c r="M235" i="23" s="1"/>
  <c r="L236" i="6"/>
  <c r="L235" i="6"/>
  <c r="K236" i="6"/>
  <c r="P236" i="23" s="1"/>
  <c r="R236" i="23" s="1"/>
  <c r="Z214" i="31" s="1"/>
  <c r="K235" i="6"/>
  <c r="P235" i="23" s="1"/>
  <c r="J236" i="6"/>
  <c r="J236" i="23" s="1"/>
  <c r="J235" i="6"/>
  <c r="J235" i="23" s="1"/>
  <c r="I235" i="6"/>
  <c r="Q235" i="23" s="1"/>
  <c r="H236" i="6"/>
  <c r="F236" i="23" s="1"/>
  <c r="H235" i="6"/>
  <c r="F235" i="23" s="1"/>
  <c r="G236" i="6"/>
  <c r="G235" i="6"/>
  <c r="F236" i="6"/>
  <c r="E236" i="23" s="1"/>
  <c r="G236" i="23" s="1"/>
  <c r="F235" i="6"/>
  <c r="E235" i="23" s="1"/>
  <c r="G235" i="23" s="1"/>
  <c r="E236" i="6"/>
  <c r="E235" i="6"/>
  <c r="N254" i="6"/>
  <c r="M254" i="6"/>
  <c r="M254" i="23" s="1"/>
  <c r="L254" i="6"/>
  <c r="K254" i="6"/>
  <c r="P254" i="23" s="1"/>
  <c r="J254" i="6"/>
  <c r="J254" i="23" s="1"/>
  <c r="I254" i="6"/>
  <c r="Q254" i="23" s="1"/>
  <c r="H254" i="6"/>
  <c r="F254" i="23" s="1"/>
  <c r="G254" i="6"/>
  <c r="F254" i="6"/>
  <c r="E254" i="23" s="1"/>
  <c r="E254" i="6"/>
  <c r="N253" i="6"/>
  <c r="M253" i="6"/>
  <c r="M253" i="23" s="1"/>
  <c r="L253" i="6"/>
  <c r="K253" i="6"/>
  <c r="P253" i="23" s="1"/>
  <c r="R253" i="23" s="1"/>
  <c r="Z230" i="31" s="1"/>
  <c r="J253" i="6"/>
  <c r="J253" i="23" s="1"/>
  <c r="I253" i="6"/>
  <c r="Q253" i="23" s="1"/>
  <c r="H253" i="6"/>
  <c r="F253" i="23" s="1"/>
  <c r="G253" i="6"/>
  <c r="F253" i="6"/>
  <c r="E253" i="23" s="1"/>
  <c r="G253" i="23" s="1"/>
  <c r="E253" i="6"/>
  <c r="N252" i="6"/>
  <c r="M252" i="6"/>
  <c r="M252" i="23" s="1"/>
  <c r="L252" i="6"/>
  <c r="K252" i="6"/>
  <c r="P252" i="23" s="1"/>
  <c r="J252" i="6"/>
  <c r="J252" i="23" s="1"/>
  <c r="I252" i="6"/>
  <c r="Q252" i="23" s="1"/>
  <c r="H252" i="6"/>
  <c r="F252" i="23" s="1"/>
  <c r="G252" i="6"/>
  <c r="F252" i="6"/>
  <c r="E252" i="23" s="1"/>
  <c r="E252" i="6"/>
  <c r="N251" i="6"/>
  <c r="M251" i="6"/>
  <c r="M251" i="23" s="1"/>
  <c r="L251" i="6"/>
  <c r="K251" i="6"/>
  <c r="P251" i="23" s="1"/>
  <c r="R251" i="23" s="1"/>
  <c r="Z228" i="31" s="1"/>
  <c r="J251" i="6"/>
  <c r="J251" i="23" s="1"/>
  <c r="I251" i="6"/>
  <c r="Q251" i="23" s="1"/>
  <c r="H251" i="6"/>
  <c r="F251" i="23" s="1"/>
  <c r="G251" i="6"/>
  <c r="F251" i="6"/>
  <c r="E251" i="23" s="1"/>
  <c r="G251" i="23" s="1"/>
  <c r="E251" i="6"/>
  <c r="N250" i="6"/>
  <c r="M250" i="6"/>
  <c r="M250" i="23" s="1"/>
  <c r="L250" i="6"/>
  <c r="K250" i="6"/>
  <c r="P250" i="23" s="1"/>
  <c r="J250" i="6"/>
  <c r="J250" i="23" s="1"/>
  <c r="I250" i="6"/>
  <c r="Q250" i="23" s="1"/>
  <c r="H250" i="6"/>
  <c r="F250" i="23" s="1"/>
  <c r="G250" i="6"/>
  <c r="F250" i="6"/>
  <c r="E250" i="23" s="1"/>
  <c r="E250" i="6"/>
  <c r="N249" i="6"/>
  <c r="M249" i="6"/>
  <c r="M249" i="23" s="1"/>
  <c r="L249" i="6"/>
  <c r="K249" i="6"/>
  <c r="P249" i="23" s="1"/>
  <c r="R249" i="23" s="1"/>
  <c r="Z226" i="31" s="1"/>
  <c r="J249" i="6"/>
  <c r="J249" i="23" s="1"/>
  <c r="I249" i="6"/>
  <c r="Q249" i="23" s="1"/>
  <c r="H249" i="6"/>
  <c r="F249" i="23" s="1"/>
  <c r="G249" i="6"/>
  <c r="F249" i="6"/>
  <c r="E249" i="23" s="1"/>
  <c r="G249" i="23" s="1"/>
  <c r="E249" i="6"/>
  <c r="N248" i="6"/>
  <c r="M248" i="6"/>
  <c r="M248" i="23" s="1"/>
  <c r="L248" i="6"/>
  <c r="K248" i="6"/>
  <c r="P248" i="23" s="1"/>
  <c r="J248" i="6"/>
  <c r="J248" i="23" s="1"/>
  <c r="I248" i="6"/>
  <c r="Q248" i="23" s="1"/>
  <c r="H248" i="6"/>
  <c r="F248" i="23" s="1"/>
  <c r="G248" i="6"/>
  <c r="F248" i="6"/>
  <c r="E248" i="23" s="1"/>
  <c r="E248" i="6"/>
  <c r="N247" i="6"/>
  <c r="M247" i="6"/>
  <c r="M247" i="23" s="1"/>
  <c r="L247" i="6"/>
  <c r="K247" i="6"/>
  <c r="P247" i="23" s="1"/>
  <c r="R247" i="23" s="1"/>
  <c r="Z224" i="31" s="1"/>
  <c r="J247" i="6"/>
  <c r="J247" i="23" s="1"/>
  <c r="I247" i="6"/>
  <c r="Q247" i="23" s="1"/>
  <c r="H247" i="6"/>
  <c r="F247" i="23" s="1"/>
  <c r="G247" i="6"/>
  <c r="F247" i="6"/>
  <c r="E247" i="23" s="1"/>
  <c r="G247" i="23" s="1"/>
  <c r="E247" i="6"/>
  <c r="N246" i="6"/>
  <c r="M246" i="6"/>
  <c r="M246" i="23" s="1"/>
  <c r="L246" i="6"/>
  <c r="K246" i="6"/>
  <c r="P246" i="23" s="1"/>
  <c r="J246" i="6"/>
  <c r="J246" i="23" s="1"/>
  <c r="I246" i="6"/>
  <c r="Q246" i="23" s="1"/>
  <c r="H246" i="6"/>
  <c r="F246" i="23" s="1"/>
  <c r="G246" i="6"/>
  <c r="F246" i="6"/>
  <c r="E246" i="23" s="1"/>
  <c r="E246" i="6"/>
  <c r="T246" i="6"/>
  <c r="E246" i="19" s="1"/>
  <c r="T247" i="6"/>
  <c r="E247" i="19" s="1"/>
  <c r="T248" i="6"/>
  <c r="E248" i="19" s="1"/>
  <c r="T249" i="6"/>
  <c r="E249" i="19" s="1"/>
  <c r="T250" i="6"/>
  <c r="E250" i="19" s="1"/>
  <c r="T251" i="6"/>
  <c r="E251" i="19" s="1"/>
  <c r="T252" i="6"/>
  <c r="E252" i="19" s="1"/>
  <c r="T253" i="6"/>
  <c r="E253" i="19" s="1"/>
  <c r="T254" i="6"/>
  <c r="E254" i="19" s="1"/>
  <c r="T245" i="6"/>
  <c r="E245" i="19" s="1"/>
  <c r="N245" i="6"/>
  <c r="M245" i="6"/>
  <c r="M245" i="23" s="1"/>
  <c r="L245" i="6"/>
  <c r="L244" i="6"/>
  <c r="K245" i="6"/>
  <c r="P245" i="23" s="1"/>
  <c r="J245" i="6"/>
  <c r="J245" i="23" s="1"/>
  <c r="I245" i="6"/>
  <c r="Q245" i="23" s="1"/>
  <c r="H245" i="6"/>
  <c r="F245" i="23" s="1"/>
  <c r="G245" i="6"/>
  <c r="F245" i="6"/>
  <c r="E245" i="23" s="1"/>
  <c r="G245" i="23" s="1"/>
  <c r="E245" i="6"/>
  <c r="X265" i="6"/>
  <c r="E265" i="29" s="1"/>
  <c r="T241" i="31" s="1"/>
  <c r="V265" i="6"/>
  <c r="E265" i="28" s="1"/>
  <c r="N265" i="6"/>
  <c r="M265" i="6"/>
  <c r="M265" i="23" s="1"/>
  <c r="L265" i="6"/>
  <c r="K265" i="6"/>
  <c r="P265" i="23" s="1"/>
  <c r="J265" i="6"/>
  <c r="J265" i="23" s="1"/>
  <c r="I265" i="6"/>
  <c r="Q265" i="23" s="1"/>
  <c r="H265" i="6"/>
  <c r="F265" i="23" s="1"/>
  <c r="G265" i="6"/>
  <c r="F265" i="6"/>
  <c r="E265" i="23" s="1"/>
  <c r="G265" i="23" s="1"/>
  <c r="E265" i="6"/>
  <c r="X264" i="6"/>
  <c r="E264" i="29" s="1"/>
  <c r="T240" i="31" s="1"/>
  <c r="V264" i="6"/>
  <c r="E264" i="28" s="1"/>
  <c r="N264" i="6"/>
  <c r="M264" i="6"/>
  <c r="M264" i="23" s="1"/>
  <c r="L264" i="6"/>
  <c r="K264" i="6"/>
  <c r="P264" i="23" s="1"/>
  <c r="J264" i="6"/>
  <c r="J264" i="23" s="1"/>
  <c r="I264" i="6"/>
  <c r="Q264" i="23" s="1"/>
  <c r="H264" i="6"/>
  <c r="F264" i="23" s="1"/>
  <c r="G264" i="6"/>
  <c r="F264" i="6"/>
  <c r="E264" i="23" s="1"/>
  <c r="G264" i="23" s="1"/>
  <c r="E264" i="6"/>
  <c r="X263" i="6"/>
  <c r="E263" i="29" s="1"/>
  <c r="T239" i="31" s="1"/>
  <c r="V263" i="6"/>
  <c r="E263" i="28" s="1"/>
  <c r="N263" i="6"/>
  <c r="M263" i="6"/>
  <c r="M263" i="23" s="1"/>
  <c r="L263" i="6"/>
  <c r="K263" i="6"/>
  <c r="P263" i="23" s="1"/>
  <c r="J263" i="6"/>
  <c r="J263" i="23" s="1"/>
  <c r="I263" i="6"/>
  <c r="Q263" i="23" s="1"/>
  <c r="H263" i="6"/>
  <c r="F263" i="23" s="1"/>
  <c r="G263" i="6"/>
  <c r="F263" i="6"/>
  <c r="E263" i="23" s="1"/>
  <c r="G263" i="23" s="1"/>
  <c r="E263" i="6"/>
  <c r="X262" i="6"/>
  <c r="E262" i="29" s="1"/>
  <c r="T238" i="31" s="1"/>
  <c r="V262" i="6"/>
  <c r="E262" i="28" s="1"/>
  <c r="N262" i="6"/>
  <c r="M262" i="6"/>
  <c r="M262" i="23" s="1"/>
  <c r="L262" i="6"/>
  <c r="K262" i="6"/>
  <c r="P262" i="23" s="1"/>
  <c r="J262" i="6"/>
  <c r="J262" i="23" s="1"/>
  <c r="I262" i="6"/>
  <c r="Q262" i="23" s="1"/>
  <c r="H262" i="6"/>
  <c r="F262" i="23" s="1"/>
  <c r="G262" i="6"/>
  <c r="F262" i="6"/>
  <c r="E262" i="23" s="1"/>
  <c r="G262" i="23" s="1"/>
  <c r="E262" i="6"/>
  <c r="X261" i="6"/>
  <c r="E261" i="29" s="1"/>
  <c r="T237" i="31" s="1"/>
  <c r="V261" i="6"/>
  <c r="E261" i="28" s="1"/>
  <c r="N261" i="6"/>
  <c r="M261" i="6"/>
  <c r="M261" i="23" s="1"/>
  <c r="L261" i="6"/>
  <c r="K261" i="6"/>
  <c r="P261" i="23" s="1"/>
  <c r="J261" i="6"/>
  <c r="J261" i="23" s="1"/>
  <c r="I261" i="6"/>
  <c r="Q261" i="23" s="1"/>
  <c r="H261" i="6"/>
  <c r="F261" i="23" s="1"/>
  <c r="G261" i="6"/>
  <c r="F261" i="6"/>
  <c r="E261" i="23" s="1"/>
  <c r="G261" i="23" s="1"/>
  <c r="E261" i="6"/>
  <c r="X260" i="6"/>
  <c r="E260" i="29" s="1"/>
  <c r="T236" i="31" s="1"/>
  <c r="V260" i="6"/>
  <c r="E260" i="28" s="1"/>
  <c r="N260" i="6"/>
  <c r="M260" i="6"/>
  <c r="M260" i="23" s="1"/>
  <c r="L260" i="6"/>
  <c r="K260" i="6"/>
  <c r="P260" i="23" s="1"/>
  <c r="J260" i="6"/>
  <c r="J260" i="23" s="1"/>
  <c r="I260" i="6"/>
  <c r="Q260" i="23" s="1"/>
  <c r="H260" i="6"/>
  <c r="F260" i="23" s="1"/>
  <c r="G260" i="6"/>
  <c r="F260" i="6"/>
  <c r="E260" i="23" s="1"/>
  <c r="G260" i="23" s="1"/>
  <c r="E260" i="6"/>
  <c r="X259" i="6"/>
  <c r="E259" i="29" s="1"/>
  <c r="T235" i="31" s="1"/>
  <c r="V259" i="6"/>
  <c r="E259" i="28" s="1"/>
  <c r="N259" i="6"/>
  <c r="M259" i="6"/>
  <c r="M259" i="23" s="1"/>
  <c r="L259" i="6"/>
  <c r="K259" i="6"/>
  <c r="P259" i="23" s="1"/>
  <c r="J259" i="6"/>
  <c r="J259" i="23" s="1"/>
  <c r="I259" i="6"/>
  <c r="Q259" i="23" s="1"/>
  <c r="H259" i="6"/>
  <c r="F259" i="23" s="1"/>
  <c r="G259" i="6"/>
  <c r="F259" i="6"/>
  <c r="E259" i="23" s="1"/>
  <c r="G259" i="23" s="1"/>
  <c r="E259" i="6"/>
  <c r="X258" i="6"/>
  <c r="E258" i="29" s="1"/>
  <c r="T234" i="31" s="1"/>
  <c r="V258" i="6"/>
  <c r="E258" i="28" s="1"/>
  <c r="N258" i="6"/>
  <c r="M258" i="6"/>
  <c r="M258" i="23" s="1"/>
  <c r="L258" i="6"/>
  <c r="K258" i="6"/>
  <c r="P258" i="23" s="1"/>
  <c r="J258" i="6"/>
  <c r="J258" i="23" s="1"/>
  <c r="I258" i="6"/>
  <c r="Q258" i="23" s="1"/>
  <c r="H258" i="6"/>
  <c r="F258" i="23" s="1"/>
  <c r="G258" i="6"/>
  <c r="F258" i="6"/>
  <c r="E258" i="23" s="1"/>
  <c r="G258" i="23" s="1"/>
  <c r="E258" i="6"/>
  <c r="X257" i="6"/>
  <c r="E257" i="29" s="1"/>
  <c r="T233" i="31" s="1"/>
  <c r="V257" i="6"/>
  <c r="E257" i="28" s="1"/>
  <c r="M257" i="6"/>
  <c r="M257" i="23" s="1"/>
  <c r="L257" i="6"/>
  <c r="K257" i="6"/>
  <c r="P257" i="23" s="1"/>
  <c r="J257" i="6"/>
  <c r="J257" i="23" s="1"/>
  <c r="I257" i="6"/>
  <c r="Q257" i="23" s="1"/>
  <c r="H256" i="6"/>
  <c r="F256" i="23" s="1"/>
  <c r="H257" i="6"/>
  <c r="F257" i="23" s="1"/>
  <c r="G257" i="6"/>
  <c r="F257" i="6"/>
  <c r="E257" i="23" s="1"/>
  <c r="G257" i="23" s="1"/>
  <c r="E257" i="6"/>
  <c r="X256" i="6"/>
  <c r="E256" i="29" s="1"/>
  <c r="T232" i="31" s="1"/>
  <c r="V256" i="6"/>
  <c r="E256" i="28" s="1"/>
  <c r="T257" i="6"/>
  <c r="E257" i="19" s="1"/>
  <c r="T258" i="6"/>
  <c r="E258" i="19" s="1"/>
  <c r="T259" i="6"/>
  <c r="E259" i="19" s="1"/>
  <c r="T260" i="6"/>
  <c r="E260" i="19" s="1"/>
  <c r="T261" i="6"/>
  <c r="E261" i="19" s="1"/>
  <c r="T262" i="6"/>
  <c r="E262" i="19" s="1"/>
  <c r="T263" i="6"/>
  <c r="E263" i="19" s="1"/>
  <c r="T264" i="6"/>
  <c r="E264" i="19" s="1"/>
  <c r="T265" i="6"/>
  <c r="E265" i="19" s="1"/>
  <c r="T256" i="6"/>
  <c r="E256" i="19" s="1"/>
  <c r="N256" i="6"/>
  <c r="M256" i="6"/>
  <c r="M256" i="23" s="1"/>
  <c r="L256" i="6"/>
  <c r="L255" i="6"/>
  <c r="K256" i="6"/>
  <c r="P256" i="23" s="1"/>
  <c r="J256" i="6"/>
  <c r="J256" i="23" s="1"/>
  <c r="I256" i="6"/>
  <c r="Q256" i="23" s="1"/>
  <c r="G256" i="6"/>
  <c r="F256" i="6"/>
  <c r="E256" i="23" s="1"/>
  <c r="E256" i="6"/>
  <c r="N300" i="6"/>
  <c r="M300" i="6"/>
  <c r="M300" i="23" s="1"/>
  <c r="L300" i="6"/>
  <c r="K300" i="6"/>
  <c r="P300" i="23" s="1"/>
  <c r="R300" i="23" s="1"/>
  <c r="Z272" i="31" s="1"/>
  <c r="J300" i="6"/>
  <c r="J300" i="23" s="1"/>
  <c r="I300" i="6"/>
  <c r="Q300" i="23" s="1"/>
  <c r="H300" i="6"/>
  <c r="F300" i="23" s="1"/>
  <c r="G300" i="6"/>
  <c r="F300" i="6"/>
  <c r="E300" i="23" s="1"/>
  <c r="G300" i="23" s="1"/>
  <c r="E300" i="6"/>
  <c r="N301" i="6"/>
  <c r="M301" i="6"/>
  <c r="M301" i="23" s="1"/>
  <c r="L301" i="6"/>
  <c r="K301" i="6"/>
  <c r="P301" i="23" s="1"/>
  <c r="J301" i="6"/>
  <c r="J301" i="23" s="1"/>
  <c r="I301" i="6"/>
  <c r="Q301" i="23" s="1"/>
  <c r="H301" i="6"/>
  <c r="F301" i="23" s="1"/>
  <c r="G301" i="6"/>
  <c r="F301" i="6"/>
  <c r="E301" i="23" s="1"/>
  <c r="E301" i="6"/>
  <c r="N302" i="6"/>
  <c r="M302" i="6"/>
  <c r="M302" i="23" s="1"/>
  <c r="L302" i="6"/>
  <c r="K302" i="6"/>
  <c r="P302" i="23" s="1"/>
  <c r="R302" i="23" s="1"/>
  <c r="Z274" i="31" s="1"/>
  <c r="J302" i="6"/>
  <c r="J302" i="23" s="1"/>
  <c r="I302" i="6"/>
  <c r="Q302" i="23" s="1"/>
  <c r="H302" i="6"/>
  <c r="F302" i="23" s="1"/>
  <c r="G302" i="6"/>
  <c r="F302" i="6"/>
  <c r="E302" i="23" s="1"/>
  <c r="G302" i="23" s="1"/>
  <c r="E302" i="6"/>
  <c r="N309" i="6"/>
  <c r="M309" i="6"/>
  <c r="M309" i="23" s="1"/>
  <c r="L309" i="6"/>
  <c r="K309" i="6"/>
  <c r="P309" i="23" s="1"/>
  <c r="J309" i="6"/>
  <c r="J309" i="23" s="1"/>
  <c r="I309" i="6"/>
  <c r="Q309" i="23" s="1"/>
  <c r="H309" i="6"/>
  <c r="F309" i="23" s="1"/>
  <c r="G309" i="6"/>
  <c r="F309" i="6"/>
  <c r="E309" i="23" s="1"/>
  <c r="E309" i="6"/>
  <c r="N308" i="6"/>
  <c r="M308" i="6"/>
  <c r="M308" i="23" s="1"/>
  <c r="L308" i="6"/>
  <c r="K308" i="6"/>
  <c r="P308" i="23" s="1"/>
  <c r="R308" i="23" s="1"/>
  <c r="Z280" i="31" s="1"/>
  <c r="J308" i="6"/>
  <c r="J308" i="23" s="1"/>
  <c r="I308" i="6"/>
  <c r="Q308" i="23" s="1"/>
  <c r="H308" i="6"/>
  <c r="F308" i="23" s="1"/>
  <c r="G308" i="6"/>
  <c r="F308" i="6"/>
  <c r="E308" i="23" s="1"/>
  <c r="G308" i="23" s="1"/>
  <c r="E308" i="6"/>
  <c r="N307" i="6"/>
  <c r="M307" i="6"/>
  <c r="M307" i="23" s="1"/>
  <c r="L307" i="6"/>
  <c r="K307" i="6"/>
  <c r="P307" i="23" s="1"/>
  <c r="J307" i="6"/>
  <c r="J307" i="23" s="1"/>
  <c r="I307" i="6"/>
  <c r="Q307" i="23" s="1"/>
  <c r="H307" i="6"/>
  <c r="F307" i="23" s="1"/>
  <c r="G307" i="6"/>
  <c r="F307" i="6"/>
  <c r="E307" i="23" s="1"/>
  <c r="E307" i="6"/>
  <c r="N306" i="6"/>
  <c r="M306" i="6"/>
  <c r="M306" i="23" s="1"/>
  <c r="L306" i="6"/>
  <c r="K306" i="6"/>
  <c r="P306" i="23" s="1"/>
  <c r="R306" i="23" s="1"/>
  <c r="Z278" i="31" s="1"/>
  <c r="J306" i="6"/>
  <c r="J306" i="23" s="1"/>
  <c r="I306" i="6"/>
  <c r="Q306" i="23" s="1"/>
  <c r="H306" i="6"/>
  <c r="F306" i="23" s="1"/>
  <c r="G306" i="6"/>
  <c r="F306" i="6"/>
  <c r="E306" i="23" s="1"/>
  <c r="G306" i="23" s="1"/>
  <c r="E306" i="6"/>
  <c r="N305" i="6"/>
  <c r="M305" i="6"/>
  <c r="M305" i="23" s="1"/>
  <c r="L305" i="6"/>
  <c r="K305" i="6"/>
  <c r="P305" i="23" s="1"/>
  <c r="J305" i="6"/>
  <c r="J305" i="23" s="1"/>
  <c r="I305" i="6"/>
  <c r="Q305" i="23" s="1"/>
  <c r="H305" i="6"/>
  <c r="F305" i="23" s="1"/>
  <c r="G305" i="6"/>
  <c r="F305" i="6"/>
  <c r="E305" i="23" s="1"/>
  <c r="E305" i="6"/>
  <c r="T305" i="6"/>
  <c r="E305" i="19" s="1"/>
  <c r="T306" i="6"/>
  <c r="E306" i="19" s="1"/>
  <c r="T307" i="6"/>
  <c r="E307" i="19" s="1"/>
  <c r="T308" i="6"/>
  <c r="E308" i="19" s="1"/>
  <c r="T309" i="6"/>
  <c r="E309" i="19" s="1"/>
  <c r="T304" i="6"/>
  <c r="E304" i="19" s="1"/>
  <c r="N304" i="6"/>
  <c r="N303" i="6"/>
  <c r="M304" i="6"/>
  <c r="M304" i="23" s="1"/>
  <c r="M303" i="6"/>
  <c r="M303" i="23" s="1"/>
  <c r="L304" i="6"/>
  <c r="L303" i="6"/>
  <c r="K304" i="6"/>
  <c r="P304" i="23" s="1"/>
  <c r="K303" i="6"/>
  <c r="P303" i="23" s="1"/>
  <c r="J304" i="6"/>
  <c r="J304" i="23" s="1"/>
  <c r="J303" i="6"/>
  <c r="J303" i="23" s="1"/>
  <c r="I304" i="6"/>
  <c r="Q304" i="23" s="1"/>
  <c r="I303" i="6"/>
  <c r="Q303" i="23" s="1"/>
  <c r="H304" i="6"/>
  <c r="F304" i="23" s="1"/>
  <c r="H303" i="6"/>
  <c r="F303" i="23" s="1"/>
  <c r="G304" i="6"/>
  <c r="G303" i="6"/>
  <c r="F304" i="6"/>
  <c r="E304" i="23" s="1"/>
  <c r="G304" i="23" s="1"/>
  <c r="F303" i="6"/>
  <c r="E303" i="23" s="1"/>
  <c r="G303" i="23" s="1"/>
  <c r="E304" i="6"/>
  <c r="E303" i="6"/>
  <c r="N320" i="6"/>
  <c r="M320" i="6"/>
  <c r="M320" i="23" s="1"/>
  <c r="L320" i="6"/>
  <c r="K320" i="6"/>
  <c r="P320" i="23" s="1"/>
  <c r="J320" i="6"/>
  <c r="J320" i="23" s="1"/>
  <c r="I320" i="6"/>
  <c r="Q320" i="23" s="1"/>
  <c r="H320" i="6"/>
  <c r="F320" i="23" s="1"/>
  <c r="G320" i="6"/>
  <c r="F320" i="6"/>
  <c r="E320" i="23" s="1"/>
  <c r="E320" i="6"/>
  <c r="N319" i="6"/>
  <c r="M319" i="6"/>
  <c r="M319" i="23" s="1"/>
  <c r="L319" i="6"/>
  <c r="K319" i="6"/>
  <c r="P319" i="23" s="1"/>
  <c r="R319" i="23" s="1"/>
  <c r="Z290" i="31" s="1"/>
  <c r="J319" i="6"/>
  <c r="J319" i="23" s="1"/>
  <c r="I319" i="6"/>
  <c r="Q319" i="23" s="1"/>
  <c r="H319" i="6"/>
  <c r="F319" i="23" s="1"/>
  <c r="G319" i="6"/>
  <c r="F319" i="6"/>
  <c r="E319" i="23" s="1"/>
  <c r="G319" i="23" s="1"/>
  <c r="E319" i="6"/>
  <c r="N318" i="6"/>
  <c r="M318" i="6"/>
  <c r="M318" i="23" s="1"/>
  <c r="L318" i="6"/>
  <c r="K318" i="6"/>
  <c r="P318" i="23" s="1"/>
  <c r="J318" i="6"/>
  <c r="J318" i="23" s="1"/>
  <c r="I318" i="6"/>
  <c r="Q318" i="23" s="1"/>
  <c r="H318" i="6"/>
  <c r="F318" i="23" s="1"/>
  <c r="G318" i="6"/>
  <c r="F318" i="6"/>
  <c r="E318" i="23" s="1"/>
  <c r="E318" i="6"/>
  <c r="N317" i="6"/>
  <c r="M317" i="6"/>
  <c r="M317" i="23" s="1"/>
  <c r="L317" i="6"/>
  <c r="K317" i="6"/>
  <c r="P317" i="23" s="1"/>
  <c r="R317" i="23" s="1"/>
  <c r="Z288" i="31" s="1"/>
  <c r="J317" i="6"/>
  <c r="J317" i="23" s="1"/>
  <c r="I317" i="6"/>
  <c r="Q317" i="23" s="1"/>
  <c r="H317" i="6"/>
  <c r="F317" i="23" s="1"/>
  <c r="G317" i="6"/>
  <c r="F317" i="6"/>
  <c r="E317" i="23" s="1"/>
  <c r="G317" i="23" s="1"/>
  <c r="E317" i="6"/>
  <c r="N316" i="6"/>
  <c r="M316" i="6"/>
  <c r="M316" i="23" s="1"/>
  <c r="L316" i="6"/>
  <c r="K316" i="6"/>
  <c r="P316" i="23" s="1"/>
  <c r="J316" i="6"/>
  <c r="J316" i="23" s="1"/>
  <c r="I316" i="6"/>
  <c r="Q316" i="23" s="1"/>
  <c r="H316" i="6"/>
  <c r="F316" i="23" s="1"/>
  <c r="G316" i="6"/>
  <c r="F316" i="6"/>
  <c r="E316" i="23" s="1"/>
  <c r="E316" i="6"/>
  <c r="N315" i="6"/>
  <c r="M315" i="6"/>
  <c r="M315" i="23" s="1"/>
  <c r="L315" i="6"/>
  <c r="K315" i="6"/>
  <c r="P315" i="23" s="1"/>
  <c r="R315" i="23" s="1"/>
  <c r="Z286" i="31" s="1"/>
  <c r="J315" i="6"/>
  <c r="J315" i="23" s="1"/>
  <c r="I315" i="6"/>
  <c r="Q315" i="23" s="1"/>
  <c r="H315" i="6"/>
  <c r="F315" i="23" s="1"/>
  <c r="G315" i="6"/>
  <c r="F315" i="6"/>
  <c r="E315" i="23" s="1"/>
  <c r="G315" i="23" s="1"/>
  <c r="E315" i="6"/>
  <c r="N314" i="6"/>
  <c r="M314" i="6"/>
  <c r="M314" i="23" s="1"/>
  <c r="L314" i="6"/>
  <c r="K314" i="6"/>
  <c r="P314" i="23" s="1"/>
  <c r="J314" i="6"/>
  <c r="J314" i="23" s="1"/>
  <c r="I314" i="6"/>
  <c r="Q314" i="23" s="1"/>
  <c r="H314" i="6"/>
  <c r="F314" i="23" s="1"/>
  <c r="G314" i="6"/>
  <c r="F314" i="6"/>
  <c r="E314" i="23" s="1"/>
  <c r="E314" i="6"/>
  <c r="N313" i="6"/>
  <c r="M313" i="6"/>
  <c r="M313" i="23" s="1"/>
  <c r="L313" i="6"/>
  <c r="K313" i="6"/>
  <c r="P313" i="23" s="1"/>
  <c r="R313" i="23" s="1"/>
  <c r="Z284" i="31" s="1"/>
  <c r="J313" i="6"/>
  <c r="J313" i="23" s="1"/>
  <c r="I313" i="6"/>
  <c r="Q313" i="23" s="1"/>
  <c r="H313" i="6"/>
  <c r="F313" i="23" s="1"/>
  <c r="G313" i="6"/>
  <c r="F313" i="6"/>
  <c r="E313" i="23" s="1"/>
  <c r="G313" i="23" s="1"/>
  <c r="E313" i="6"/>
  <c r="T312" i="6"/>
  <c r="E312" i="19" s="1"/>
  <c r="T313" i="6"/>
  <c r="E313" i="19" s="1"/>
  <c r="T314" i="6"/>
  <c r="E314" i="19" s="1"/>
  <c r="T315" i="6"/>
  <c r="E315" i="19" s="1"/>
  <c r="T316" i="6"/>
  <c r="E316" i="19" s="1"/>
  <c r="T317" i="6"/>
  <c r="E317" i="19" s="1"/>
  <c r="T318" i="6"/>
  <c r="E318" i="19" s="1"/>
  <c r="T319" i="6"/>
  <c r="E319" i="19" s="1"/>
  <c r="T320" i="6"/>
  <c r="E320" i="19" s="1"/>
  <c r="T325" i="6"/>
  <c r="E325" i="19" s="1"/>
  <c r="T326" i="6"/>
  <c r="E326" i="19" s="1"/>
  <c r="T327" i="6"/>
  <c r="E327" i="19" s="1"/>
  <c r="T328" i="6"/>
  <c r="E328" i="19" s="1"/>
  <c r="T329" i="6"/>
  <c r="E329" i="19" s="1"/>
  <c r="T330" i="6"/>
  <c r="E330" i="19" s="1"/>
  <c r="T331" i="6"/>
  <c r="E331" i="19" s="1"/>
  <c r="N312" i="6"/>
  <c r="M312" i="6"/>
  <c r="M312" i="23" s="1"/>
  <c r="L312" i="6"/>
  <c r="K312" i="6"/>
  <c r="P312" i="23" s="1"/>
  <c r="J312" i="6"/>
  <c r="J312" i="23" s="1"/>
  <c r="I312" i="6"/>
  <c r="Q312" i="23" s="1"/>
  <c r="H312" i="6"/>
  <c r="F312" i="23" s="1"/>
  <c r="G312" i="6"/>
  <c r="F312" i="6"/>
  <c r="E312" i="23" s="1"/>
  <c r="E312" i="6"/>
  <c r="T311" i="6"/>
  <c r="E311" i="19" s="1"/>
  <c r="N311" i="6"/>
  <c r="M311" i="6"/>
  <c r="M311" i="23" s="1"/>
  <c r="L311" i="6"/>
  <c r="L310" i="6"/>
  <c r="K311" i="6"/>
  <c r="P311" i="23" s="1"/>
  <c r="J311" i="6"/>
  <c r="J311" i="23" s="1"/>
  <c r="I311" i="6"/>
  <c r="Q311" i="23" s="1"/>
  <c r="H311" i="6"/>
  <c r="F311" i="23" s="1"/>
  <c r="G311" i="6"/>
  <c r="F311" i="6"/>
  <c r="E311" i="23" s="1"/>
  <c r="E311" i="6"/>
  <c r="N705" i="6"/>
  <c r="M705" i="6"/>
  <c r="M705" i="23" s="1"/>
  <c r="L705" i="6"/>
  <c r="K705" i="6"/>
  <c r="P705" i="23" s="1"/>
  <c r="R705" i="23" s="1"/>
  <c r="Z641" i="31" s="1"/>
  <c r="J705" i="6"/>
  <c r="J705" i="23" s="1"/>
  <c r="I705" i="6"/>
  <c r="Q705" i="23" s="1"/>
  <c r="H705" i="6"/>
  <c r="F705" i="23" s="1"/>
  <c r="G705" i="6"/>
  <c r="F705" i="6"/>
  <c r="E705" i="23" s="1"/>
  <c r="G705" i="23" s="1"/>
  <c r="E705" i="6"/>
  <c r="N704" i="6"/>
  <c r="M704" i="6"/>
  <c r="M704" i="23" s="1"/>
  <c r="L704" i="6"/>
  <c r="K704" i="6"/>
  <c r="P704" i="23" s="1"/>
  <c r="J704" i="6"/>
  <c r="J704" i="23" s="1"/>
  <c r="I704" i="6"/>
  <c r="Q704" i="23" s="1"/>
  <c r="H704" i="6"/>
  <c r="F704" i="23" s="1"/>
  <c r="G704" i="6"/>
  <c r="F704" i="6"/>
  <c r="E704" i="23" s="1"/>
  <c r="E704" i="6"/>
  <c r="N703" i="6"/>
  <c r="M703" i="6"/>
  <c r="M703" i="23" s="1"/>
  <c r="L703" i="6"/>
  <c r="K703" i="6"/>
  <c r="P703" i="23" s="1"/>
  <c r="R703" i="23" s="1"/>
  <c r="Z639" i="31" s="1"/>
  <c r="J703" i="6"/>
  <c r="J703" i="23" s="1"/>
  <c r="I703" i="6"/>
  <c r="Q703" i="23" s="1"/>
  <c r="H703" i="6"/>
  <c r="F703" i="23" s="1"/>
  <c r="G703" i="6"/>
  <c r="F703" i="6"/>
  <c r="E703" i="23" s="1"/>
  <c r="G703" i="23" s="1"/>
  <c r="E703" i="6"/>
  <c r="N702" i="6"/>
  <c r="M702" i="6"/>
  <c r="M702" i="23" s="1"/>
  <c r="L702" i="6"/>
  <c r="K702" i="6"/>
  <c r="P702" i="23" s="1"/>
  <c r="J702" i="6"/>
  <c r="J702" i="23" s="1"/>
  <c r="I702" i="6"/>
  <c r="Q702" i="23" s="1"/>
  <c r="H702" i="6"/>
  <c r="F702" i="23" s="1"/>
  <c r="G702" i="6"/>
  <c r="F702" i="6"/>
  <c r="E702" i="23" s="1"/>
  <c r="E702" i="6"/>
  <c r="N701" i="6"/>
  <c r="M701" i="6"/>
  <c r="M701" i="23" s="1"/>
  <c r="L701" i="6"/>
  <c r="K701" i="6"/>
  <c r="P701" i="23" s="1"/>
  <c r="R701" i="23" s="1"/>
  <c r="Z637" i="31" s="1"/>
  <c r="J701" i="6"/>
  <c r="J701" i="23" s="1"/>
  <c r="I701" i="6"/>
  <c r="Q701" i="23" s="1"/>
  <c r="H701" i="6"/>
  <c r="F701" i="23" s="1"/>
  <c r="G701" i="6"/>
  <c r="F701" i="6"/>
  <c r="E701" i="23" s="1"/>
  <c r="G701" i="23" s="1"/>
  <c r="E701" i="6"/>
  <c r="N700" i="6"/>
  <c r="M700" i="6"/>
  <c r="M700" i="23" s="1"/>
  <c r="L700" i="6"/>
  <c r="K700" i="6"/>
  <c r="P700" i="23" s="1"/>
  <c r="J700" i="6"/>
  <c r="J700" i="23" s="1"/>
  <c r="I700" i="6"/>
  <c r="Q700" i="23" s="1"/>
  <c r="H699" i="6"/>
  <c r="F699" i="23" s="1"/>
  <c r="H700" i="6"/>
  <c r="F700" i="23" s="1"/>
  <c r="G700" i="6"/>
  <c r="F700" i="6"/>
  <c r="E700" i="23" s="1"/>
  <c r="G700" i="23" s="1"/>
  <c r="E700" i="6"/>
  <c r="N699" i="6"/>
  <c r="M699" i="6"/>
  <c r="M699" i="23" s="1"/>
  <c r="L699" i="6"/>
  <c r="K699" i="6"/>
  <c r="P699" i="23" s="1"/>
  <c r="R699" i="23" s="1"/>
  <c r="Z635" i="31" s="1"/>
  <c r="J699" i="6"/>
  <c r="J699" i="23" s="1"/>
  <c r="I699" i="6"/>
  <c r="Q699" i="23" s="1"/>
  <c r="G699" i="6"/>
  <c r="F699" i="6"/>
  <c r="E699" i="23" s="1"/>
  <c r="G699" i="23" s="1"/>
  <c r="E699" i="6"/>
  <c r="T699" i="6"/>
  <c r="E699" i="19" s="1"/>
  <c r="T700" i="6"/>
  <c r="E700" i="19" s="1"/>
  <c r="T701" i="6"/>
  <c r="E701" i="19" s="1"/>
  <c r="T702" i="6"/>
  <c r="E702" i="19" s="1"/>
  <c r="T703" i="6"/>
  <c r="E703" i="19" s="1"/>
  <c r="T704" i="6"/>
  <c r="E704" i="19" s="1"/>
  <c r="T705" i="6"/>
  <c r="E705" i="19" s="1"/>
  <c r="T698" i="6"/>
  <c r="E698" i="19" s="1"/>
  <c r="N698" i="6"/>
  <c r="M698" i="6"/>
  <c r="M698" i="23" s="1"/>
  <c r="L698" i="6"/>
  <c r="K698" i="6"/>
  <c r="P698" i="23" s="1"/>
  <c r="J698" i="6"/>
  <c r="J698" i="23" s="1"/>
  <c r="I698" i="6"/>
  <c r="Q698" i="23" s="1"/>
  <c r="H698" i="6"/>
  <c r="F698" i="23" s="1"/>
  <c r="G698" i="6"/>
  <c r="F698" i="6"/>
  <c r="E698" i="23" s="1"/>
  <c r="E698" i="6"/>
  <c r="X946" i="6"/>
  <c r="E946" i="29" s="1"/>
  <c r="T860" i="31" s="1"/>
  <c r="V946" i="6"/>
  <c r="E946" i="28" s="1"/>
  <c r="X947" i="6"/>
  <c r="E947" i="29" s="1"/>
  <c r="T861" i="31" s="1"/>
  <c r="V947" i="6"/>
  <c r="E947" i="28" s="1"/>
  <c r="N947" i="6"/>
  <c r="M947" i="6"/>
  <c r="M947" i="23" s="1"/>
  <c r="L947" i="6"/>
  <c r="K947" i="6"/>
  <c r="P947" i="23" s="1"/>
  <c r="R947" i="23" s="1"/>
  <c r="Z861" i="31" s="1"/>
  <c r="J947" i="6"/>
  <c r="J947" i="23" s="1"/>
  <c r="I947" i="6"/>
  <c r="Q947" i="23" s="1"/>
  <c r="H947" i="6"/>
  <c r="F947" i="23" s="1"/>
  <c r="G947" i="6"/>
  <c r="F947" i="6"/>
  <c r="E947" i="23" s="1"/>
  <c r="G947" i="23" s="1"/>
  <c r="E947" i="6"/>
  <c r="N946" i="6"/>
  <c r="M946" i="6"/>
  <c r="M946" i="23" s="1"/>
  <c r="L946" i="6"/>
  <c r="K946" i="6"/>
  <c r="P946" i="23" s="1"/>
  <c r="J946" i="6"/>
  <c r="J946" i="23" s="1"/>
  <c r="I946" i="6"/>
  <c r="Q946" i="23" s="1"/>
  <c r="H946" i="6"/>
  <c r="F946" i="23" s="1"/>
  <c r="G946" i="6"/>
  <c r="F946" i="6"/>
  <c r="E946" i="23" s="1"/>
  <c r="E946" i="6"/>
  <c r="N945" i="6"/>
  <c r="M945" i="6"/>
  <c r="M945" i="23" s="1"/>
  <c r="L945" i="6"/>
  <c r="K945" i="6"/>
  <c r="P945" i="23" s="1"/>
  <c r="R945" i="23" s="1"/>
  <c r="Z859" i="31" s="1"/>
  <c r="J945" i="6"/>
  <c r="J945" i="23" s="1"/>
  <c r="I945" i="6"/>
  <c r="Q945" i="23" s="1"/>
  <c r="H945" i="6"/>
  <c r="F945" i="23" s="1"/>
  <c r="G945" i="6"/>
  <c r="F945" i="6"/>
  <c r="E945" i="23" s="1"/>
  <c r="G945" i="23" s="1"/>
  <c r="E945" i="6"/>
  <c r="N944" i="6"/>
  <c r="M944" i="6"/>
  <c r="M944" i="23" s="1"/>
  <c r="L944" i="6"/>
  <c r="K944" i="6"/>
  <c r="P944" i="23" s="1"/>
  <c r="J944" i="6"/>
  <c r="J944" i="23" s="1"/>
  <c r="I944" i="6"/>
  <c r="Q944" i="23" s="1"/>
  <c r="H944" i="6"/>
  <c r="F944" i="23" s="1"/>
  <c r="G944" i="6"/>
  <c r="F944" i="6"/>
  <c r="E944" i="23" s="1"/>
  <c r="E944" i="6"/>
  <c r="N943" i="6"/>
  <c r="M943" i="6"/>
  <c r="M943" i="23" s="1"/>
  <c r="L943" i="6"/>
  <c r="K943" i="6"/>
  <c r="P943" i="23" s="1"/>
  <c r="R943" i="23" s="1"/>
  <c r="Z857" i="31" s="1"/>
  <c r="J943" i="6"/>
  <c r="J943" i="23" s="1"/>
  <c r="I943" i="6"/>
  <c r="Q943" i="23" s="1"/>
  <c r="H943" i="6"/>
  <c r="F943" i="23" s="1"/>
  <c r="G943" i="6"/>
  <c r="F943" i="6"/>
  <c r="E943" i="23" s="1"/>
  <c r="G943" i="23" s="1"/>
  <c r="E943" i="6"/>
  <c r="X942" i="6"/>
  <c r="E942" i="29" s="1"/>
  <c r="T856" i="31" s="1"/>
  <c r="V942" i="6"/>
  <c r="E942" i="28" s="1"/>
  <c r="N942" i="6"/>
  <c r="M942" i="6"/>
  <c r="M942" i="23" s="1"/>
  <c r="L942" i="6"/>
  <c r="K942" i="6"/>
  <c r="P942" i="23" s="1"/>
  <c r="R942" i="23" s="1"/>
  <c r="Z856" i="31" s="1"/>
  <c r="J942" i="6"/>
  <c r="J942" i="23" s="1"/>
  <c r="I942" i="6"/>
  <c r="Q942" i="23" s="1"/>
  <c r="H942" i="6"/>
  <c r="F942" i="23" s="1"/>
  <c r="G942" i="6"/>
  <c r="F942" i="6"/>
  <c r="E942" i="23" s="1"/>
  <c r="G942" i="23" s="1"/>
  <c r="E942" i="6"/>
  <c r="X941" i="6"/>
  <c r="E941" i="29" s="1"/>
  <c r="T855" i="31" s="1"/>
  <c r="V941" i="6"/>
  <c r="E941" i="28" s="1"/>
  <c r="N941" i="6"/>
  <c r="M941" i="6"/>
  <c r="M941" i="23" s="1"/>
  <c r="L941" i="6"/>
  <c r="K941" i="6"/>
  <c r="P941" i="23" s="1"/>
  <c r="R941" i="23" s="1"/>
  <c r="Z855" i="31" s="1"/>
  <c r="J941" i="6"/>
  <c r="J941" i="23" s="1"/>
  <c r="I941" i="6"/>
  <c r="Q941" i="23" s="1"/>
  <c r="H941" i="6"/>
  <c r="F941" i="23" s="1"/>
  <c r="G941" i="6"/>
  <c r="F941" i="6"/>
  <c r="E941" i="23" s="1"/>
  <c r="G941" i="23" s="1"/>
  <c r="E941" i="6"/>
  <c r="X940" i="6"/>
  <c r="E940" i="29" s="1"/>
  <c r="T854" i="31" s="1"/>
  <c r="T940" i="6"/>
  <c r="E940" i="19" s="1"/>
  <c r="T941" i="6"/>
  <c r="E941" i="19" s="1"/>
  <c r="T942" i="6"/>
  <c r="E942" i="19" s="1"/>
  <c r="T943" i="6"/>
  <c r="E943" i="19" s="1"/>
  <c r="T944" i="6"/>
  <c r="E944" i="19" s="1"/>
  <c r="T945" i="6"/>
  <c r="E945" i="19" s="1"/>
  <c r="T946" i="6"/>
  <c r="E946" i="19" s="1"/>
  <c r="T947" i="6"/>
  <c r="E947" i="19" s="1"/>
  <c r="N940" i="6"/>
  <c r="M940" i="6"/>
  <c r="M940" i="23" s="1"/>
  <c r="L940" i="6"/>
  <c r="K940" i="6"/>
  <c r="P940" i="23" s="1"/>
  <c r="J940" i="6"/>
  <c r="J940" i="23" s="1"/>
  <c r="I940" i="6"/>
  <c r="Q940" i="23" s="1"/>
  <c r="H940" i="6"/>
  <c r="F940" i="23" s="1"/>
  <c r="G940" i="6"/>
  <c r="F939" i="6"/>
  <c r="E939" i="23" s="1"/>
  <c r="F940" i="6"/>
  <c r="E940" i="23" s="1"/>
  <c r="G940" i="23" s="1"/>
  <c r="E940" i="6"/>
  <c r="X939" i="6"/>
  <c r="E939" i="29" s="1"/>
  <c r="T853" i="31" s="1"/>
  <c r="V939" i="6"/>
  <c r="E939" i="28" s="1"/>
  <c r="T939" i="6"/>
  <c r="E939" i="19" s="1"/>
  <c r="N939" i="6"/>
  <c r="M939" i="6"/>
  <c r="M939" i="23" s="1"/>
  <c r="L939" i="6"/>
  <c r="K939" i="6"/>
  <c r="P939" i="23" s="1"/>
  <c r="R939" i="23" s="1"/>
  <c r="Z853" i="31" s="1"/>
  <c r="J939" i="6"/>
  <c r="J939" i="23" s="1"/>
  <c r="I939" i="6"/>
  <c r="Q939" i="23" s="1"/>
  <c r="H939" i="6"/>
  <c r="F939" i="23" s="1"/>
  <c r="G939" i="6"/>
  <c r="E939" i="6"/>
  <c r="N1486" i="6"/>
  <c r="M1486" i="6"/>
  <c r="M1486" i="23" s="1"/>
  <c r="L1486" i="6"/>
  <c r="K1486" i="6"/>
  <c r="P1486" i="23" s="1"/>
  <c r="J1486" i="6"/>
  <c r="J1486" i="23" s="1"/>
  <c r="I1486" i="6"/>
  <c r="Q1486" i="23" s="1"/>
  <c r="H1486" i="6"/>
  <c r="F1486" i="23" s="1"/>
  <c r="G1486" i="6"/>
  <c r="F1486" i="6"/>
  <c r="E1486" i="23" s="1"/>
  <c r="E1486" i="6"/>
  <c r="N1485" i="6"/>
  <c r="M1484" i="6"/>
  <c r="M1484" i="23" s="1"/>
  <c r="M1485" i="6"/>
  <c r="M1485" i="23" s="1"/>
  <c r="L1485" i="6"/>
  <c r="K1484" i="6"/>
  <c r="P1484" i="23" s="1"/>
  <c r="R1484" i="23" s="1"/>
  <c r="Z1349" i="31" s="1"/>
  <c r="K1485" i="6"/>
  <c r="P1485" i="23" s="1"/>
  <c r="J1485" i="6"/>
  <c r="J1485" i="23" s="1"/>
  <c r="I1485" i="6"/>
  <c r="Q1485" i="23" s="1"/>
  <c r="H1485" i="6"/>
  <c r="F1485" i="23" s="1"/>
  <c r="G1485" i="6"/>
  <c r="F1485" i="6"/>
  <c r="E1485" i="23" s="1"/>
  <c r="E1485" i="6"/>
  <c r="N1484" i="6"/>
  <c r="L1484" i="6"/>
  <c r="J1484" i="6"/>
  <c r="J1484" i="23" s="1"/>
  <c r="I1484" i="6"/>
  <c r="Q1484" i="23" s="1"/>
  <c r="H1484" i="6"/>
  <c r="F1484" i="23" s="1"/>
  <c r="G1484" i="6"/>
  <c r="F1484" i="6"/>
  <c r="E1484" i="23" s="1"/>
  <c r="E1484" i="6"/>
  <c r="T1484" i="6"/>
  <c r="E1484" i="19" s="1"/>
  <c r="T1485" i="6"/>
  <c r="E1485" i="19" s="1"/>
  <c r="T1486" i="6"/>
  <c r="E1486" i="19" s="1"/>
  <c r="T1483" i="6"/>
  <c r="E1483" i="19" s="1"/>
  <c r="N1483" i="6"/>
  <c r="N1482" i="6"/>
  <c r="M1483" i="6"/>
  <c r="M1483" i="23" s="1"/>
  <c r="M1482" i="6"/>
  <c r="M1482" i="23" s="1"/>
  <c r="L1483" i="6"/>
  <c r="L1482" i="6"/>
  <c r="K1483" i="6"/>
  <c r="P1483" i="23" s="1"/>
  <c r="K1482" i="6"/>
  <c r="P1482" i="23" s="1"/>
  <c r="J1483" i="6"/>
  <c r="J1483" i="23" s="1"/>
  <c r="J1482" i="6"/>
  <c r="J1482" i="23" s="1"/>
  <c r="I1483" i="6"/>
  <c r="Q1483" i="23" s="1"/>
  <c r="I1482" i="6"/>
  <c r="Q1482" i="23" s="1"/>
  <c r="H1483" i="6"/>
  <c r="F1483" i="23" s="1"/>
  <c r="H1482" i="6"/>
  <c r="F1482" i="23" s="1"/>
  <c r="G1483" i="6"/>
  <c r="G1482" i="6"/>
  <c r="F1483" i="6"/>
  <c r="E1483" i="23" s="1"/>
  <c r="F1482" i="6"/>
  <c r="E1482" i="23" s="1"/>
  <c r="G1482" i="23" s="1"/>
  <c r="E1482" i="6"/>
  <c r="E1483" i="6"/>
  <c r="T1621" i="6"/>
  <c r="E1621" i="19" s="1"/>
  <c r="T1622" i="6"/>
  <c r="E1622" i="19" s="1"/>
  <c r="T1623" i="6"/>
  <c r="E1623" i="19" s="1"/>
  <c r="T1624" i="6"/>
  <c r="E1624" i="19" s="1"/>
  <c r="T1625" i="6"/>
  <c r="E1625" i="19" s="1"/>
  <c r="T1626" i="6"/>
  <c r="E1626" i="19" s="1"/>
  <c r="T1627" i="6"/>
  <c r="E1627" i="19" s="1"/>
  <c r="T1628" i="6"/>
  <c r="E1628" i="19" s="1"/>
  <c r="T1629" i="6"/>
  <c r="E1629" i="19" s="1"/>
  <c r="H1482" i="23" l="1"/>
  <c r="K1482" i="23" s="1"/>
  <c r="N1482" i="23" s="1"/>
  <c r="E1482" i="20"/>
  <c r="U1347" i="31" s="1"/>
  <c r="S853" i="31"/>
  <c r="P853" i="31"/>
  <c r="H942" i="23"/>
  <c r="K942" i="23" s="1"/>
  <c r="N942" i="23" s="1"/>
  <c r="E942" i="20"/>
  <c r="U856" i="31" s="1"/>
  <c r="P856" i="31"/>
  <c r="S856" i="31"/>
  <c r="H943" i="23"/>
  <c r="K943" i="23" s="1"/>
  <c r="N943" i="23" s="1"/>
  <c r="E943" i="20"/>
  <c r="U857" i="31" s="1"/>
  <c r="H945" i="23"/>
  <c r="K945" i="23" s="1"/>
  <c r="N945" i="23" s="1"/>
  <c r="E945" i="20"/>
  <c r="U859" i="31" s="1"/>
  <c r="H947" i="23"/>
  <c r="K947" i="23" s="1"/>
  <c r="N947" i="23" s="1"/>
  <c r="E947" i="20"/>
  <c r="U861" i="31" s="1"/>
  <c r="S861" i="31"/>
  <c r="P861" i="31"/>
  <c r="H699" i="23"/>
  <c r="K699" i="23" s="1"/>
  <c r="N699" i="23" s="1"/>
  <c r="E699" i="20"/>
  <c r="U635" i="31" s="1"/>
  <c r="R1483" i="23"/>
  <c r="Z1348" i="31" s="1"/>
  <c r="G1484" i="23"/>
  <c r="G1485" i="23"/>
  <c r="G1486" i="23"/>
  <c r="H940" i="23"/>
  <c r="K940" i="23" s="1"/>
  <c r="N940" i="23" s="1"/>
  <c r="E940" i="20"/>
  <c r="U854" i="31" s="1"/>
  <c r="R940" i="23"/>
  <c r="Z854" i="31" s="1"/>
  <c r="G944" i="23"/>
  <c r="G946" i="23"/>
  <c r="G698" i="23"/>
  <c r="O699" i="23"/>
  <c r="Y635" i="31" s="1"/>
  <c r="H700" i="23"/>
  <c r="K700" i="23" s="1"/>
  <c r="N700" i="23" s="1"/>
  <c r="E700" i="20"/>
  <c r="U636" i="31" s="1"/>
  <c r="G702" i="23"/>
  <c r="G704" i="23"/>
  <c r="G311" i="23"/>
  <c r="G312" i="23"/>
  <c r="G314" i="23"/>
  <c r="G316" i="23"/>
  <c r="G318" i="23"/>
  <c r="G320" i="23"/>
  <c r="G305" i="23"/>
  <c r="G307" i="23"/>
  <c r="G309" i="23"/>
  <c r="G301" i="23"/>
  <c r="G256" i="23"/>
  <c r="R256" i="23"/>
  <c r="Z232" i="31" s="1"/>
  <c r="R257" i="23"/>
  <c r="Z233" i="31" s="1"/>
  <c r="S233" i="31"/>
  <c r="P233" i="31"/>
  <c r="H258" i="23"/>
  <c r="K258" i="23" s="1"/>
  <c r="N258" i="23" s="1"/>
  <c r="E258" i="20"/>
  <c r="U234" i="31" s="1"/>
  <c r="R258" i="23"/>
  <c r="Z234" i="31" s="1"/>
  <c r="S234" i="31"/>
  <c r="P234" i="31"/>
  <c r="H259" i="23"/>
  <c r="K259" i="23" s="1"/>
  <c r="N259" i="23" s="1"/>
  <c r="E259" i="20"/>
  <c r="U235" i="31" s="1"/>
  <c r="R259" i="23"/>
  <c r="Z235" i="31" s="1"/>
  <c r="P235" i="31"/>
  <c r="S235" i="31"/>
  <c r="H260" i="23"/>
  <c r="K260" i="23" s="1"/>
  <c r="N260" i="23" s="1"/>
  <c r="E260" i="20"/>
  <c r="U236" i="31" s="1"/>
  <c r="R260" i="23"/>
  <c r="Z236" i="31" s="1"/>
  <c r="S236" i="31"/>
  <c r="P236" i="31"/>
  <c r="H261" i="23"/>
  <c r="K261" i="23" s="1"/>
  <c r="N261" i="23" s="1"/>
  <c r="E261" i="20"/>
  <c r="U237" i="31" s="1"/>
  <c r="R261" i="23"/>
  <c r="Z237" i="31" s="1"/>
  <c r="S237" i="31"/>
  <c r="P237" i="31"/>
  <c r="H262" i="23"/>
  <c r="K262" i="23" s="1"/>
  <c r="N262" i="23" s="1"/>
  <c r="E262" i="20"/>
  <c r="U238" i="31" s="1"/>
  <c r="R262" i="23"/>
  <c r="Z238" i="31" s="1"/>
  <c r="S238" i="31"/>
  <c r="P238" i="31"/>
  <c r="H263" i="23"/>
  <c r="K263" i="23" s="1"/>
  <c r="N263" i="23" s="1"/>
  <c r="E263" i="20"/>
  <c r="U239" i="31" s="1"/>
  <c r="R263" i="23"/>
  <c r="Z239" i="31" s="1"/>
  <c r="S239" i="31"/>
  <c r="P239" i="31"/>
  <c r="H264" i="23"/>
  <c r="K264" i="23" s="1"/>
  <c r="N264" i="23" s="1"/>
  <c r="E264" i="20"/>
  <c r="U240" i="31" s="1"/>
  <c r="R264" i="23"/>
  <c r="Z240" i="31" s="1"/>
  <c r="S240" i="31"/>
  <c r="P240" i="31"/>
  <c r="H265" i="23"/>
  <c r="K265" i="23" s="1"/>
  <c r="N265" i="23" s="1"/>
  <c r="E265" i="20"/>
  <c r="U241" i="31" s="1"/>
  <c r="R265" i="23"/>
  <c r="Z241" i="31" s="1"/>
  <c r="S241" i="31"/>
  <c r="P241" i="31"/>
  <c r="H245" i="23"/>
  <c r="K245" i="23" s="1"/>
  <c r="N245" i="23" s="1"/>
  <c r="E245" i="20"/>
  <c r="U222" i="31" s="1"/>
  <c r="R245" i="23"/>
  <c r="Z222" i="31" s="1"/>
  <c r="G246" i="23"/>
  <c r="G248" i="23"/>
  <c r="G250" i="23"/>
  <c r="G252" i="23"/>
  <c r="G254" i="23"/>
  <c r="R235" i="23"/>
  <c r="Z213" i="31" s="1"/>
  <c r="G238" i="23"/>
  <c r="N238" i="6"/>
  <c r="G240" i="23"/>
  <c r="N240" i="6"/>
  <c r="G242" i="23"/>
  <c r="N242" i="6"/>
  <c r="G223" i="23"/>
  <c r="H227" i="23"/>
  <c r="K227" i="23" s="1"/>
  <c r="N227" i="23" s="1"/>
  <c r="E227" i="20"/>
  <c r="U206" i="31" s="1"/>
  <c r="R227" i="23"/>
  <c r="Z206" i="31" s="1"/>
  <c r="H1148" i="23"/>
  <c r="K1148" i="23" s="1"/>
  <c r="N1148" i="23" s="1"/>
  <c r="O1148" i="23" s="1"/>
  <c r="Y1043" i="31" s="1"/>
  <c r="E1148" i="20"/>
  <c r="U1043" i="31" s="1"/>
  <c r="R1148" i="23"/>
  <c r="Z1043" i="31" s="1"/>
  <c r="H1151" i="23"/>
  <c r="K1151" i="23" s="1"/>
  <c r="N1151" i="23" s="1"/>
  <c r="E1151" i="20"/>
  <c r="U1046" i="31" s="1"/>
  <c r="R1151" i="23"/>
  <c r="Z1046" i="31" s="1"/>
  <c r="H1153" i="23"/>
  <c r="K1153" i="23" s="1"/>
  <c r="N1153" i="23" s="1"/>
  <c r="E1153" i="20"/>
  <c r="U1048" i="31" s="1"/>
  <c r="R1153" i="23"/>
  <c r="Z1048" i="31" s="1"/>
  <c r="H1155" i="23"/>
  <c r="K1155" i="23" s="1"/>
  <c r="N1155" i="23" s="1"/>
  <c r="E1155" i="20"/>
  <c r="U1050" i="31" s="1"/>
  <c r="R1155" i="23"/>
  <c r="Z1050" i="31" s="1"/>
  <c r="G1114" i="23"/>
  <c r="G1115" i="23"/>
  <c r="G1118" i="23"/>
  <c r="G1120" i="23"/>
  <c r="G1122" i="23"/>
  <c r="S1021" i="31"/>
  <c r="P1021" i="31"/>
  <c r="W906" i="6"/>
  <c r="G906" i="23"/>
  <c r="H908" i="23"/>
  <c r="K908" i="23" s="1"/>
  <c r="N908" i="23" s="1"/>
  <c r="E908" i="20"/>
  <c r="U825" i="31" s="1"/>
  <c r="R908" i="23"/>
  <c r="Z825" i="31" s="1"/>
  <c r="O908" i="23"/>
  <c r="Y825" i="31" s="1"/>
  <c r="G909" i="23"/>
  <c r="G912" i="23"/>
  <c r="G913" i="23"/>
  <c r="R913" i="23"/>
  <c r="Z830" i="31" s="1"/>
  <c r="P830" i="31"/>
  <c r="S830" i="31"/>
  <c r="H913" i="23"/>
  <c r="K913" i="23" s="1"/>
  <c r="N913" i="23" s="1"/>
  <c r="E913" i="20"/>
  <c r="U830" i="31" s="1"/>
  <c r="E346" i="20"/>
  <c r="U314" i="31" s="1"/>
  <c r="H346" i="23"/>
  <c r="K346" i="23" s="1"/>
  <c r="N346" i="23" s="1"/>
  <c r="R345" i="23"/>
  <c r="Z313" i="31" s="1"/>
  <c r="H349" i="23"/>
  <c r="K349" i="23" s="1"/>
  <c r="N349" i="23" s="1"/>
  <c r="E349" i="20"/>
  <c r="U317" i="31" s="1"/>
  <c r="R349" i="23"/>
  <c r="Z317" i="31" s="1"/>
  <c r="S317" i="31"/>
  <c r="P317" i="31"/>
  <c r="G349" i="23"/>
  <c r="S318" i="31"/>
  <c r="P318" i="31"/>
  <c r="H351" i="23"/>
  <c r="K351" i="23" s="1"/>
  <c r="N351" i="23" s="1"/>
  <c r="E351" i="20"/>
  <c r="U319" i="31" s="1"/>
  <c r="R351" i="23"/>
  <c r="Z319" i="31" s="1"/>
  <c r="G352" i="23"/>
  <c r="G353" i="23"/>
  <c r="S58" i="23"/>
  <c r="AA52" i="31" s="1"/>
  <c r="S234" i="23"/>
  <c r="AA212" i="31" s="1"/>
  <c r="W394" i="31"/>
  <c r="S434" i="23"/>
  <c r="AA394" i="31" s="1"/>
  <c r="W596" i="31"/>
  <c r="S656" i="23"/>
  <c r="AA596" i="31" s="1"/>
  <c r="S838" i="23"/>
  <c r="S950" i="23"/>
  <c r="AA863" i="31" s="1"/>
  <c r="S958" i="23"/>
  <c r="AA871" i="31" s="1"/>
  <c r="S966" i="23"/>
  <c r="AA878" i="31" s="1"/>
  <c r="W3" i="31"/>
  <c r="S4" i="23"/>
  <c r="AA3" i="31" s="1"/>
  <c r="S42" i="23"/>
  <c r="AA38" i="31" s="1"/>
  <c r="W38" i="31"/>
  <c r="S410" i="23"/>
  <c r="AA372" i="31" s="1"/>
  <c r="S620" i="23"/>
  <c r="AA563" i="31" s="1"/>
  <c r="S642" i="23"/>
  <c r="AA583" i="31" s="1"/>
  <c r="W643" i="31"/>
  <c r="S708" i="23"/>
  <c r="AA643" i="31" s="1"/>
  <c r="W745" i="31"/>
  <c r="S820" i="23"/>
  <c r="AA745" i="31" s="1"/>
  <c r="S882" i="23"/>
  <c r="S926" i="23"/>
  <c r="S1212" i="23"/>
  <c r="S1260" i="23"/>
  <c r="AA1145" i="31" s="1"/>
  <c r="W1225" i="31"/>
  <c r="S1348" i="23"/>
  <c r="AA1225" i="31" s="1"/>
  <c r="W1334" i="31"/>
  <c r="S1468" i="23"/>
  <c r="AA1334" i="31" s="1"/>
  <c r="S1488" i="23"/>
  <c r="AA1352" i="31" s="1"/>
  <c r="S1512" i="23"/>
  <c r="AA1374" i="31" s="1"/>
  <c r="S1520" i="23"/>
  <c r="S1572" i="23"/>
  <c r="AA1429" i="31" s="1"/>
  <c r="S1592" i="23"/>
  <c r="AA1447" i="31" s="1"/>
  <c r="S1600" i="23"/>
  <c r="AA1454" i="31" s="1"/>
  <c r="S116" i="23"/>
  <c r="AA105" i="31" s="1"/>
  <c r="S510" i="23"/>
  <c r="AA463" i="31" s="1"/>
  <c r="S728" i="23"/>
  <c r="W865" i="31"/>
  <c r="S952" i="23"/>
  <c r="AA865" i="31" s="1"/>
  <c r="W880" i="31"/>
  <c r="S968" i="23"/>
  <c r="AA880" i="31" s="1"/>
  <c r="S1082" i="23"/>
  <c r="AA983" i="31" s="1"/>
  <c r="W983" i="31"/>
  <c r="S1171" i="23"/>
  <c r="AA1064" i="31" s="1"/>
  <c r="S1491" i="23"/>
  <c r="AA1355" i="31" s="1"/>
  <c r="S280" i="23"/>
  <c r="AA254" i="31" s="1"/>
  <c r="S443" i="23"/>
  <c r="AA402" i="31" s="1"/>
  <c r="S822" i="23"/>
  <c r="AA747" i="31" s="1"/>
  <c r="S1081" i="23"/>
  <c r="AA982" i="31" s="1"/>
  <c r="S1169" i="23"/>
  <c r="AA1062" i="31" s="1"/>
  <c r="S1259" i="23"/>
  <c r="AA1144" i="31" s="1"/>
  <c r="S1402" i="23"/>
  <c r="AA1274" i="31" s="1"/>
  <c r="S1478" i="23"/>
  <c r="AA1343" i="31" s="1"/>
  <c r="S1545" i="23"/>
  <c r="AA1404" i="31" s="1"/>
  <c r="S158" i="23"/>
  <c r="AA143" i="31" s="1"/>
  <c r="S589" i="23"/>
  <c r="AA535" i="31" s="1"/>
  <c r="S630" i="23"/>
  <c r="AA572" i="31" s="1"/>
  <c r="S653" i="23"/>
  <c r="AA593" i="31" s="1"/>
  <c r="S955" i="23"/>
  <c r="AA868" i="31" s="1"/>
  <c r="S967" i="23"/>
  <c r="AA879" i="31" s="1"/>
  <c r="S1170" i="23"/>
  <c r="AA1063" i="31" s="1"/>
  <c r="S1290" i="23"/>
  <c r="AA1172" i="31" s="1"/>
  <c r="S1346" i="23"/>
  <c r="AA1223" i="31" s="1"/>
  <c r="S1374" i="23"/>
  <c r="AA1249" i="31" s="1"/>
  <c r="S1425" i="23"/>
  <c r="AA1295" i="31" s="1"/>
  <c r="S1479" i="23"/>
  <c r="AA1344" i="31" s="1"/>
  <c r="S5" i="23"/>
  <c r="AA4" i="31" s="1"/>
  <c r="S1605" i="23"/>
  <c r="AA1459" i="31" s="1"/>
  <c r="S11" i="23"/>
  <c r="AA10" i="31" s="1"/>
  <c r="S40" i="23"/>
  <c r="AA36" i="31" s="1"/>
  <c r="S150" i="23"/>
  <c r="AA136" i="31" s="1"/>
  <c r="S400" i="23"/>
  <c r="AA363" i="31" s="1"/>
  <c r="S445" i="23"/>
  <c r="AA404" i="31" s="1"/>
  <c r="S697" i="23"/>
  <c r="AA633" i="31" s="1"/>
  <c r="S797" i="23"/>
  <c r="AA724" i="31" s="1"/>
  <c r="S1261" i="23"/>
  <c r="AA1146" i="31" s="1"/>
  <c r="S1367" i="23"/>
  <c r="AA1242" i="31" s="1"/>
  <c r="S1375" i="23"/>
  <c r="AA1250" i="31" s="1"/>
  <c r="S1565" i="23"/>
  <c r="AA1422" i="31" s="1"/>
  <c r="S397" i="23"/>
  <c r="AA361" i="31" s="1"/>
  <c r="S1595" i="23"/>
  <c r="AA1450" i="31" s="1"/>
  <c r="S1607" i="23"/>
  <c r="AA1461" i="31" s="1"/>
  <c r="S1469" i="23"/>
  <c r="AA1335" i="31" s="1"/>
  <c r="S179" i="23"/>
  <c r="AA162" i="31" s="1"/>
  <c r="S1258" i="23"/>
  <c r="AA1143" i="31" s="1"/>
  <c r="S953" i="23"/>
  <c r="AA866" i="31" s="1"/>
  <c r="S961" i="23"/>
  <c r="AA873" i="31" s="1"/>
  <c r="S969" i="23"/>
  <c r="AA881" i="31" s="1"/>
  <c r="S643" i="23"/>
  <c r="AA584" i="31" s="1"/>
  <c r="W1480" i="31"/>
  <c r="S1628" i="23"/>
  <c r="AA1480" i="31" s="1"/>
  <c r="W1476" i="31"/>
  <c r="S1624" i="23"/>
  <c r="AA1476" i="31" s="1"/>
  <c r="I1620" i="23"/>
  <c r="L1615" i="23"/>
  <c r="X1468" i="31" s="1"/>
  <c r="L1552" i="23"/>
  <c r="X1411" i="31" s="1"/>
  <c r="I1544" i="23"/>
  <c r="I1550" i="23"/>
  <c r="L1629" i="23"/>
  <c r="X1481" i="31" s="1"/>
  <c r="L1625" i="23"/>
  <c r="X1477" i="31" s="1"/>
  <c r="L1621" i="23"/>
  <c r="X1473" i="31" s="1"/>
  <c r="L1617" i="23"/>
  <c r="X1470" i="31" s="1"/>
  <c r="L1613" i="23"/>
  <c r="X1466" i="31" s="1"/>
  <c r="R1482" i="23"/>
  <c r="Z1347" i="31" s="1"/>
  <c r="L940" i="23"/>
  <c r="X854" i="31" s="1"/>
  <c r="H941" i="23"/>
  <c r="K941" i="23" s="1"/>
  <c r="N941" i="23" s="1"/>
  <c r="E941" i="20"/>
  <c r="U855" i="31" s="1"/>
  <c r="O698" i="23"/>
  <c r="Y634" i="31" s="1"/>
  <c r="H1483" i="23"/>
  <c r="K1483" i="23" s="1"/>
  <c r="N1483" i="23" s="1"/>
  <c r="E1483" i="20"/>
  <c r="U1348" i="31" s="1"/>
  <c r="O1483" i="23"/>
  <c r="Y1348" i="31" s="1"/>
  <c r="I1482" i="23"/>
  <c r="L1482" i="23"/>
  <c r="X1347" i="31" s="1"/>
  <c r="H1484" i="23"/>
  <c r="K1484" i="23" s="1"/>
  <c r="N1484" i="23" s="1"/>
  <c r="E1484" i="20"/>
  <c r="U1349" i="31" s="1"/>
  <c r="H1485" i="23"/>
  <c r="K1485" i="23" s="1"/>
  <c r="N1485" i="23" s="1"/>
  <c r="O1485" i="23" s="1"/>
  <c r="Y1350" i="31" s="1"/>
  <c r="E1485" i="20"/>
  <c r="U1350" i="31" s="1"/>
  <c r="R1485" i="23"/>
  <c r="Z1350" i="31" s="1"/>
  <c r="O1484" i="23"/>
  <c r="Y1349" i="31" s="1"/>
  <c r="H1486" i="23"/>
  <c r="K1486" i="23" s="1"/>
  <c r="N1486" i="23" s="1"/>
  <c r="O1486" i="23" s="1"/>
  <c r="Y1351" i="31" s="1"/>
  <c r="E1486" i="20"/>
  <c r="U1351" i="31" s="1"/>
  <c r="R1486" i="23"/>
  <c r="Z1351" i="31" s="1"/>
  <c r="L939" i="23"/>
  <c r="X853" i="31" s="1"/>
  <c r="O941" i="23"/>
  <c r="Y855" i="31" s="1"/>
  <c r="O942" i="23"/>
  <c r="Y856" i="31" s="1"/>
  <c r="O943" i="23"/>
  <c r="Y857" i="31" s="1"/>
  <c r="H944" i="23"/>
  <c r="K944" i="23" s="1"/>
  <c r="N944" i="23" s="1"/>
  <c r="O944" i="23" s="1"/>
  <c r="Y858" i="31" s="1"/>
  <c r="E944" i="20"/>
  <c r="U858" i="31" s="1"/>
  <c r="R944" i="23"/>
  <c r="Z858" i="31" s="1"/>
  <c r="O945" i="23"/>
  <c r="Y859" i="31" s="1"/>
  <c r="H946" i="23"/>
  <c r="K946" i="23" s="1"/>
  <c r="N946" i="23" s="1"/>
  <c r="O946" i="23" s="1"/>
  <c r="Y860" i="31" s="1"/>
  <c r="E946" i="20"/>
  <c r="U860" i="31" s="1"/>
  <c r="R946" i="23"/>
  <c r="Z860" i="31" s="1"/>
  <c r="O947" i="23"/>
  <c r="Y861" i="31" s="1"/>
  <c r="P860" i="31"/>
  <c r="S860" i="31"/>
  <c r="H698" i="23"/>
  <c r="K698" i="23" s="1"/>
  <c r="N698" i="23" s="1"/>
  <c r="E698" i="20"/>
  <c r="U634" i="31" s="1"/>
  <c r="R698" i="23"/>
  <c r="Z634" i="31" s="1"/>
  <c r="L699" i="23"/>
  <c r="X635" i="31" s="1"/>
  <c r="R700" i="23"/>
  <c r="Z636" i="31" s="1"/>
  <c r="H702" i="23"/>
  <c r="K702" i="23" s="1"/>
  <c r="N702" i="23" s="1"/>
  <c r="O702" i="23" s="1"/>
  <c r="Y638" i="31" s="1"/>
  <c r="E702" i="20"/>
  <c r="U638" i="31" s="1"/>
  <c r="R702" i="23"/>
  <c r="Z638" i="31" s="1"/>
  <c r="H704" i="23"/>
  <c r="K704" i="23" s="1"/>
  <c r="N704" i="23" s="1"/>
  <c r="E704" i="20"/>
  <c r="U640" i="31" s="1"/>
  <c r="R704" i="23"/>
  <c r="Z640" i="31" s="1"/>
  <c r="H311" i="23"/>
  <c r="K311" i="23" s="1"/>
  <c r="N311" i="23" s="1"/>
  <c r="O311" i="23" s="1"/>
  <c r="Y282" i="31" s="1"/>
  <c r="E311" i="20"/>
  <c r="U282" i="31" s="1"/>
  <c r="R311" i="23"/>
  <c r="Z282" i="31" s="1"/>
  <c r="H312" i="23"/>
  <c r="K312" i="23" s="1"/>
  <c r="N312" i="23" s="1"/>
  <c r="E312" i="20"/>
  <c r="U283" i="31" s="1"/>
  <c r="R312" i="23"/>
  <c r="Z283" i="31" s="1"/>
  <c r="E314" i="20"/>
  <c r="U285" i="31" s="1"/>
  <c r="H314" i="23"/>
  <c r="K314" i="23" s="1"/>
  <c r="N314" i="23" s="1"/>
  <c r="O314" i="23" s="1"/>
  <c r="Y285" i="31" s="1"/>
  <c r="R314" i="23"/>
  <c r="Z285" i="31" s="1"/>
  <c r="H316" i="23"/>
  <c r="K316" i="23" s="1"/>
  <c r="N316" i="23" s="1"/>
  <c r="E316" i="20"/>
  <c r="U287" i="31" s="1"/>
  <c r="R316" i="23"/>
  <c r="Z287" i="31" s="1"/>
  <c r="H318" i="23"/>
  <c r="K318" i="23" s="1"/>
  <c r="N318" i="23" s="1"/>
  <c r="E318" i="20"/>
  <c r="U289" i="31" s="1"/>
  <c r="R318" i="23"/>
  <c r="Z289" i="31" s="1"/>
  <c r="H320" i="23"/>
  <c r="K320" i="23" s="1"/>
  <c r="N320" i="23" s="1"/>
  <c r="E320" i="20"/>
  <c r="U291" i="31" s="1"/>
  <c r="R320" i="23"/>
  <c r="Z291" i="31" s="1"/>
  <c r="H303" i="23"/>
  <c r="K303" i="23" s="1"/>
  <c r="N303" i="23" s="1"/>
  <c r="E303" i="20"/>
  <c r="U275" i="31" s="1"/>
  <c r="R303" i="23"/>
  <c r="Z275" i="31" s="1"/>
  <c r="O303" i="23"/>
  <c r="Y275" i="31" s="1"/>
  <c r="H305" i="23"/>
  <c r="K305" i="23" s="1"/>
  <c r="N305" i="23" s="1"/>
  <c r="E305" i="20"/>
  <c r="U277" i="31" s="1"/>
  <c r="R305" i="23"/>
  <c r="Z277" i="31" s="1"/>
  <c r="H307" i="23"/>
  <c r="K307" i="23" s="1"/>
  <c r="N307" i="23" s="1"/>
  <c r="E307" i="20"/>
  <c r="U279" i="31" s="1"/>
  <c r="R307" i="23"/>
  <c r="Z279" i="31" s="1"/>
  <c r="H309" i="23"/>
  <c r="K309" i="23" s="1"/>
  <c r="N309" i="23" s="1"/>
  <c r="E309" i="20"/>
  <c r="U281" i="31" s="1"/>
  <c r="R309" i="23"/>
  <c r="Z281" i="31" s="1"/>
  <c r="H301" i="23"/>
  <c r="K301" i="23" s="1"/>
  <c r="N301" i="23" s="1"/>
  <c r="E301" i="20"/>
  <c r="U273" i="31" s="1"/>
  <c r="R301" i="23"/>
  <c r="Z273" i="31" s="1"/>
  <c r="H256" i="23"/>
  <c r="K256" i="23" s="1"/>
  <c r="N256" i="23" s="1"/>
  <c r="E256" i="20"/>
  <c r="U232" i="31" s="1"/>
  <c r="H246" i="23"/>
  <c r="K246" i="23" s="1"/>
  <c r="N246" i="23" s="1"/>
  <c r="O246" i="23" s="1"/>
  <c r="Y223" i="31" s="1"/>
  <c r="E246" i="20"/>
  <c r="U223" i="31" s="1"/>
  <c r="R246" i="23"/>
  <c r="Z223" i="31" s="1"/>
  <c r="H248" i="23"/>
  <c r="K248" i="23" s="1"/>
  <c r="N248" i="23" s="1"/>
  <c r="E248" i="20"/>
  <c r="U225" i="31" s="1"/>
  <c r="R248" i="23"/>
  <c r="Z225" i="31" s="1"/>
  <c r="H250" i="23"/>
  <c r="K250" i="23" s="1"/>
  <c r="N250" i="23" s="1"/>
  <c r="O250" i="23" s="1"/>
  <c r="Y227" i="31" s="1"/>
  <c r="E250" i="20"/>
  <c r="U227" i="31" s="1"/>
  <c r="R250" i="23"/>
  <c r="Z227" i="31" s="1"/>
  <c r="H252" i="23"/>
  <c r="K252" i="23" s="1"/>
  <c r="N252" i="23" s="1"/>
  <c r="O252" i="23" s="1"/>
  <c r="Y229" i="31" s="1"/>
  <c r="E252" i="20"/>
  <c r="U229" i="31" s="1"/>
  <c r="R252" i="23"/>
  <c r="Z229" i="31" s="1"/>
  <c r="H254" i="23"/>
  <c r="K254" i="23" s="1"/>
  <c r="N254" i="23" s="1"/>
  <c r="O254" i="23" s="1"/>
  <c r="Y231" i="31" s="1"/>
  <c r="E254" i="20"/>
  <c r="U231" i="31" s="1"/>
  <c r="R254" i="23"/>
  <c r="Z231" i="31" s="1"/>
  <c r="H235" i="23"/>
  <c r="K235" i="23" s="1"/>
  <c r="N235" i="23" s="1"/>
  <c r="O235" i="23" s="1"/>
  <c r="Y213" i="31" s="1"/>
  <c r="E235" i="20"/>
  <c r="U213" i="31" s="1"/>
  <c r="O236" i="23"/>
  <c r="Y214" i="31" s="1"/>
  <c r="G237" i="23"/>
  <c r="H238" i="23"/>
  <c r="K238" i="23" s="1"/>
  <c r="N238" i="23" s="1"/>
  <c r="E238" i="20"/>
  <c r="U216" i="31" s="1"/>
  <c r="R238" i="23"/>
  <c r="Z216" i="31" s="1"/>
  <c r="H240" i="23"/>
  <c r="K240" i="23" s="1"/>
  <c r="N240" i="23" s="1"/>
  <c r="O240" i="23" s="1"/>
  <c r="Y218" i="31" s="1"/>
  <c r="E240" i="20"/>
  <c r="U218" i="31" s="1"/>
  <c r="R240" i="23"/>
  <c r="Z218" i="31" s="1"/>
  <c r="E242" i="20"/>
  <c r="U220" i="31" s="1"/>
  <c r="H242" i="23"/>
  <c r="K242" i="23" s="1"/>
  <c r="N242" i="23" s="1"/>
  <c r="R242" i="23"/>
  <c r="Z220" i="31" s="1"/>
  <c r="H223" i="23"/>
  <c r="K223" i="23" s="1"/>
  <c r="N223" i="23" s="1"/>
  <c r="O223" i="23" s="1"/>
  <c r="Y202" i="31" s="1"/>
  <c r="E223" i="20"/>
  <c r="U202" i="31" s="1"/>
  <c r="R223" i="23"/>
  <c r="Z202" i="31" s="1"/>
  <c r="G224" i="23"/>
  <c r="L224" i="23"/>
  <c r="X203" i="31" s="1"/>
  <c r="G226" i="23"/>
  <c r="G228" i="23"/>
  <c r="I228" i="23" s="1"/>
  <c r="I230" i="23"/>
  <c r="G231" i="23"/>
  <c r="G232" i="23"/>
  <c r="I232" i="23" s="1"/>
  <c r="H1149" i="23"/>
  <c r="K1149" i="23" s="1"/>
  <c r="N1149" i="23" s="1"/>
  <c r="E1149" i="20"/>
  <c r="U1044" i="31" s="1"/>
  <c r="R1149" i="23"/>
  <c r="Z1044" i="31" s="1"/>
  <c r="O1149" i="23"/>
  <c r="Y1044" i="31" s="1"/>
  <c r="G1150" i="23"/>
  <c r="G1152" i="23"/>
  <c r="I1152" i="23" s="1"/>
  <c r="L1152" i="23"/>
  <c r="X1047" i="31" s="1"/>
  <c r="G1154" i="23"/>
  <c r="G1156" i="23"/>
  <c r="H1114" i="23"/>
  <c r="K1114" i="23" s="1"/>
  <c r="N1114" i="23" s="1"/>
  <c r="E1114" i="20"/>
  <c r="U1012" i="31" s="1"/>
  <c r="R1115" i="23"/>
  <c r="Z1013" i="31" s="1"/>
  <c r="H1116" i="23"/>
  <c r="K1116" i="23" s="1"/>
  <c r="N1116" i="23" s="1"/>
  <c r="E1116" i="20"/>
  <c r="U1014" i="31" s="1"/>
  <c r="R1116" i="23"/>
  <c r="Z1014" i="31" s="1"/>
  <c r="O1117" i="23"/>
  <c r="Y1015" i="31" s="1"/>
  <c r="H1118" i="23"/>
  <c r="K1118" i="23" s="1"/>
  <c r="N1118" i="23" s="1"/>
  <c r="E1118" i="20"/>
  <c r="U1016" i="31" s="1"/>
  <c r="H1120" i="23"/>
  <c r="K1120" i="23" s="1"/>
  <c r="N1120" i="23" s="1"/>
  <c r="E1120" i="20"/>
  <c r="U1018" i="31" s="1"/>
  <c r="H1122" i="23"/>
  <c r="K1122" i="23" s="1"/>
  <c r="N1122" i="23" s="1"/>
  <c r="E1122" i="20"/>
  <c r="U1020" i="31" s="1"/>
  <c r="P822" i="31"/>
  <c r="S822" i="31"/>
  <c r="W905" i="6"/>
  <c r="H906" i="23"/>
  <c r="K906" i="23" s="1"/>
  <c r="N906" i="23" s="1"/>
  <c r="E906" i="20"/>
  <c r="U823" i="31" s="1"/>
  <c r="P823" i="31"/>
  <c r="S823" i="31"/>
  <c r="W908" i="6"/>
  <c r="E908" i="28"/>
  <c r="H909" i="23"/>
  <c r="K909" i="23" s="1"/>
  <c r="N909" i="23" s="1"/>
  <c r="E909" i="20"/>
  <c r="U826" i="31" s="1"/>
  <c r="W909" i="6"/>
  <c r="E909" i="28"/>
  <c r="E910" i="20"/>
  <c r="U827" i="31" s="1"/>
  <c r="H910" i="23"/>
  <c r="K910" i="23" s="1"/>
  <c r="N910" i="23" s="1"/>
  <c r="R910" i="23"/>
  <c r="Z827" i="31" s="1"/>
  <c r="O910" i="23"/>
  <c r="Y827" i="31" s="1"/>
  <c r="P828" i="31"/>
  <c r="S828" i="31"/>
  <c r="H912" i="23"/>
  <c r="K912" i="23" s="1"/>
  <c r="N912" i="23" s="1"/>
  <c r="E912" i="20"/>
  <c r="U829" i="31" s="1"/>
  <c r="S829" i="31"/>
  <c r="P829" i="31"/>
  <c r="H914" i="23"/>
  <c r="K914" i="23" s="1"/>
  <c r="N914" i="23" s="1"/>
  <c r="E914" i="20"/>
  <c r="U831" i="31" s="1"/>
  <c r="P831" i="31"/>
  <c r="S831" i="31"/>
  <c r="R346" i="23"/>
  <c r="Z314" i="31" s="1"/>
  <c r="O346" i="23"/>
  <c r="Y314" i="31" s="1"/>
  <c r="G347" i="23"/>
  <c r="O348" i="23"/>
  <c r="Y316" i="31" s="1"/>
  <c r="H350" i="23"/>
  <c r="K350" i="23" s="1"/>
  <c r="N350" i="23" s="1"/>
  <c r="O350" i="23" s="1"/>
  <c r="Y318" i="31" s="1"/>
  <c r="E350" i="20"/>
  <c r="U318" i="31" s="1"/>
  <c r="S319" i="31"/>
  <c r="P319" i="31"/>
  <c r="H352" i="23"/>
  <c r="K352" i="23" s="1"/>
  <c r="N352" i="23" s="1"/>
  <c r="E352" i="20"/>
  <c r="U320" i="31" s="1"/>
  <c r="S320" i="31"/>
  <c r="P320" i="31"/>
  <c r="H353" i="23"/>
  <c r="K353" i="23" s="1"/>
  <c r="N353" i="23" s="1"/>
  <c r="E353" i="20"/>
  <c r="U321" i="31" s="1"/>
  <c r="S321" i="31"/>
  <c r="P321" i="31"/>
  <c r="S180" i="23"/>
  <c r="AA163" i="31" s="1"/>
  <c r="W443" i="31"/>
  <c r="S488" i="23"/>
  <c r="AA443" i="31" s="1"/>
  <c r="S554" i="23"/>
  <c r="AA503" i="31" s="1"/>
  <c r="S938" i="23"/>
  <c r="AA852" i="31" s="1"/>
  <c r="S962" i="23"/>
  <c r="AA874" i="31" s="1"/>
  <c r="S1040" i="23"/>
  <c r="AA945" i="31" s="1"/>
  <c r="W7" i="31"/>
  <c r="S8" i="23"/>
  <c r="AA7" i="31" s="1"/>
  <c r="W134" i="31"/>
  <c r="S148" i="23"/>
  <c r="AA134" i="31" s="1"/>
  <c r="W252" i="31"/>
  <c r="S278" i="23"/>
  <c r="AA252" i="31" s="1"/>
  <c r="W614" i="31"/>
  <c r="S676" i="23"/>
  <c r="AA614" i="31" s="1"/>
  <c r="W647" i="31"/>
  <c r="S712" i="23"/>
  <c r="AA647" i="31" s="1"/>
  <c r="W749" i="31"/>
  <c r="S824" i="23"/>
  <c r="AA749" i="31" s="1"/>
  <c r="W812" i="31"/>
  <c r="S894" i="23"/>
  <c r="AA812" i="31" s="1"/>
  <c r="S1236" i="23"/>
  <c r="AA1123" i="31" s="1"/>
  <c r="W1214" i="31"/>
  <c r="S1336" i="23"/>
  <c r="AA1214" i="31" s="1"/>
  <c r="W1243" i="31"/>
  <c r="S1368" i="23"/>
  <c r="AA1243" i="31" s="1"/>
  <c r="S1400" i="23"/>
  <c r="AA1272" i="31" s="1"/>
  <c r="S68" i="23"/>
  <c r="S432" i="23"/>
  <c r="AA392" i="31" s="1"/>
  <c r="S498" i="23"/>
  <c r="AA452" i="31" s="1"/>
  <c r="S654" i="23"/>
  <c r="AA594" i="31" s="1"/>
  <c r="S750" i="23"/>
  <c r="W869" i="31"/>
  <c r="S956" i="23"/>
  <c r="AA869" i="31" s="1"/>
  <c r="S1038" i="23"/>
  <c r="AA943" i="31" s="1"/>
  <c r="W943" i="31"/>
  <c r="S1086" i="23"/>
  <c r="AA987" i="31" s="1"/>
  <c r="W987" i="31"/>
  <c r="S147" i="23"/>
  <c r="AA133" i="31" s="1"/>
  <c r="S9" i="23"/>
  <c r="AA8" i="31" s="1"/>
  <c r="S157" i="23"/>
  <c r="AA142" i="31" s="1"/>
  <c r="S555" i="23"/>
  <c r="AA504" i="31" s="1"/>
  <c r="S633" i="23"/>
  <c r="AA575" i="31" s="1"/>
  <c r="S710" i="23"/>
  <c r="AA645" i="31" s="1"/>
  <c r="S1337" i="23"/>
  <c r="AA1215" i="31" s="1"/>
  <c r="S1345" i="23"/>
  <c r="AA1222" i="31" s="1"/>
  <c r="S1373" i="23"/>
  <c r="AA1248" i="31" s="1"/>
  <c r="S1470" i="23"/>
  <c r="AA1336" i="31" s="1"/>
  <c r="S1489" i="23"/>
  <c r="AA1353" i="31" s="1"/>
  <c r="S1515" i="23"/>
  <c r="AA1377" i="31" s="1"/>
  <c r="S821" i="23"/>
  <c r="AA746" i="31" s="1"/>
  <c r="S6" i="23"/>
  <c r="AA5" i="31" s="1"/>
  <c r="S39" i="23"/>
  <c r="AA35" i="31" s="1"/>
  <c r="S153" i="23"/>
  <c r="AA139" i="31" s="1"/>
  <c r="S212" i="23"/>
  <c r="AA192" i="31" s="1"/>
  <c r="S509" i="23"/>
  <c r="AA462" i="31" s="1"/>
  <c r="S711" i="23"/>
  <c r="AA646" i="31" s="1"/>
  <c r="S896" i="23"/>
  <c r="AA814" i="31" s="1"/>
  <c r="S1190" i="23"/>
  <c r="S1334" i="23"/>
  <c r="AA1212" i="31" s="1"/>
  <c r="S1342" i="23"/>
  <c r="AA1220" i="31" s="1"/>
  <c r="S1389" i="23"/>
  <c r="AA1262" i="31" s="1"/>
  <c r="S1494" i="23"/>
  <c r="AA1358" i="31" s="1"/>
  <c r="S333" i="23"/>
  <c r="AA302" i="31" s="1"/>
  <c r="S553" i="23"/>
  <c r="AA502" i="31" s="1"/>
  <c r="S590" i="23"/>
  <c r="AA536" i="31" s="1"/>
  <c r="S897" i="23"/>
  <c r="AA815" i="31" s="1"/>
  <c r="S1083" i="23"/>
  <c r="AA984" i="31" s="1"/>
  <c r="S1335" i="23"/>
  <c r="AA1213" i="31" s="1"/>
  <c r="S1343" i="23"/>
  <c r="AA1221" i="31" s="1"/>
  <c r="S1517" i="23"/>
  <c r="AA1379" i="31" s="1"/>
  <c r="S1569" i="23"/>
  <c r="AA1426" i="31" s="1"/>
  <c r="S1590" i="23"/>
  <c r="AA1445" i="31" s="1"/>
  <c r="S1598" i="23"/>
  <c r="AA1452" i="31" s="1"/>
  <c r="S1606" i="23"/>
  <c r="AA1460" i="31" s="1"/>
  <c r="S963" i="23"/>
  <c r="AA875" i="31" s="1"/>
  <c r="S117" i="23"/>
  <c r="AA106" i="31" s="1"/>
  <c r="S1481" i="23"/>
  <c r="AA1346" i="31" s="1"/>
  <c r="S1514" i="23"/>
  <c r="AA1376" i="31" s="1"/>
  <c r="S1542" i="23"/>
  <c r="S213" i="23"/>
  <c r="AA193" i="31" s="1"/>
  <c r="S323" i="23"/>
  <c r="AA293" i="31" s="1"/>
  <c r="S1347" i="23"/>
  <c r="AA1224" i="31" s="1"/>
  <c r="S151" i="23"/>
  <c r="AA137" i="31" s="1"/>
  <c r="S377" i="23"/>
  <c r="AA342" i="31" s="1"/>
  <c r="S727" i="23"/>
  <c r="AA661" i="31" s="1"/>
  <c r="S884" i="23"/>
  <c r="AA803" i="31" s="1"/>
  <c r="S1401" i="23"/>
  <c r="AA1273" i="31" s="1"/>
  <c r="S1570" i="23"/>
  <c r="AA1427" i="31" s="1"/>
  <c r="S1499" i="23"/>
  <c r="AA1362" i="31" s="1"/>
  <c r="S1059" i="23"/>
  <c r="AA962" i="31" s="1"/>
  <c r="S531" i="23"/>
  <c r="AA482" i="31" s="1"/>
  <c r="S1557" i="23"/>
  <c r="AA1415" i="31" s="1"/>
  <c r="S283" i="23"/>
  <c r="AA257" i="31" s="1"/>
  <c r="L1588" i="23"/>
  <c r="X1443" i="31" s="1"/>
  <c r="I1615" i="23"/>
  <c r="L1611" i="23"/>
  <c r="X1464" i="31" s="1"/>
  <c r="I1552" i="23"/>
  <c r="W1402" i="31"/>
  <c r="S1543" i="23"/>
  <c r="AA1402" i="31" s="1"/>
  <c r="I1547" i="23"/>
  <c r="W1405" i="31"/>
  <c r="S1546" i="23"/>
  <c r="AA1405" i="31" s="1"/>
  <c r="I1629" i="23"/>
  <c r="I1625" i="23"/>
  <c r="I1621" i="23"/>
  <c r="L1616" i="23"/>
  <c r="X1469" i="31" s="1"/>
  <c r="L1610" i="23"/>
  <c r="X1463" i="31" s="1"/>
  <c r="I1617" i="23"/>
  <c r="I1613" i="23"/>
  <c r="H939" i="23"/>
  <c r="K939" i="23" s="1"/>
  <c r="N939" i="23" s="1"/>
  <c r="O939" i="23" s="1"/>
  <c r="Y853" i="31" s="1"/>
  <c r="E939" i="20"/>
  <c r="U853" i="31" s="1"/>
  <c r="I940" i="23"/>
  <c r="O940" i="23"/>
  <c r="Y854" i="31" s="1"/>
  <c r="L941" i="23"/>
  <c r="X855" i="31" s="1"/>
  <c r="I942" i="23"/>
  <c r="L942" i="23"/>
  <c r="X856" i="31" s="1"/>
  <c r="I943" i="23"/>
  <c r="L943" i="23"/>
  <c r="X857" i="31" s="1"/>
  <c r="I945" i="23"/>
  <c r="L945" i="23"/>
  <c r="X859" i="31" s="1"/>
  <c r="I947" i="23"/>
  <c r="L947" i="23"/>
  <c r="X861" i="31" s="1"/>
  <c r="I699" i="23"/>
  <c r="I703" i="23"/>
  <c r="L703" i="23"/>
  <c r="X639" i="31" s="1"/>
  <c r="I317" i="23"/>
  <c r="L317" i="23"/>
  <c r="X288" i="31" s="1"/>
  <c r="H304" i="23"/>
  <c r="K304" i="23" s="1"/>
  <c r="N304" i="23" s="1"/>
  <c r="O304" i="23" s="1"/>
  <c r="Y276" i="31" s="1"/>
  <c r="E304" i="20"/>
  <c r="U276" i="31" s="1"/>
  <c r="R304" i="23"/>
  <c r="Z276" i="31" s="1"/>
  <c r="I306" i="23"/>
  <c r="L306" i="23"/>
  <c r="X278" i="31" s="1"/>
  <c r="I302" i="23"/>
  <c r="I257" i="23"/>
  <c r="O257" i="23"/>
  <c r="Y233" i="31" s="1"/>
  <c r="O258" i="23"/>
  <c r="Y234" i="31" s="1"/>
  <c r="O259" i="23"/>
  <c r="Y235" i="31" s="1"/>
  <c r="O260" i="23"/>
  <c r="Y236" i="31" s="1"/>
  <c r="O261" i="23"/>
  <c r="Y237" i="31" s="1"/>
  <c r="O262" i="23"/>
  <c r="Y238" i="31" s="1"/>
  <c r="O263" i="23"/>
  <c r="Y239" i="31" s="1"/>
  <c r="O264" i="23"/>
  <c r="Y240" i="31" s="1"/>
  <c r="O265" i="23"/>
  <c r="Y241" i="31" s="1"/>
  <c r="I249" i="23"/>
  <c r="I253" i="23"/>
  <c r="L253" i="23"/>
  <c r="X230" i="31" s="1"/>
  <c r="H236" i="23"/>
  <c r="K236" i="23" s="1"/>
  <c r="N236" i="23" s="1"/>
  <c r="E236" i="20"/>
  <c r="U214" i="31" s="1"/>
  <c r="L235" i="23"/>
  <c r="X213" i="31" s="1"/>
  <c r="H237" i="23"/>
  <c r="K237" i="23" s="1"/>
  <c r="N237" i="23" s="1"/>
  <c r="O237" i="23" s="1"/>
  <c r="Y215" i="31" s="1"/>
  <c r="E237" i="20"/>
  <c r="U215" i="31" s="1"/>
  <c r="I239" i="23"/>
  <c r="I243" i="23"/>
  <c r="L243" i="23"/>
  <c r="X221" i="31" s="1"/>
  <c r="H224" i="23"/>
  <c r="K224" i="23" s="1"/>
  <c r="N224" i="23" s="1"/>
  <c r="O224" i="23" s="1"/>
  <c r="Y203" i="31" s="1"/>
  <c r="E224" i="20"/>
  <c r="U203" i="31" s="1"/>
  <c r="I225" i="23"/>
  <c r="H226" i="23"/>
  <c r="K226" i="23" s="1"/>
  <c r="N226" i="23" s="1"/>
  <c r="O226" i="23" s="1"/>
  <c r="Y205" i="31" s="1"/>
  <c r="E226" i="20"/>
  <c r="U205" i="31" s="1"/>
  <c r="O227" i="23"/>
  <c r="Y206" i="31" s="1"/>
  <c r="H228" i="23"/>
  <c r="K228" i="23" s="1"/>
  <c r="N228" i="23" s="1"/>
  <c r="O228" i="23" s="1"/>
  <c r="Y207" i="31" s="1"/>
  <c r="E228" i="20"/>
  <c r="U207" i="31" s="1"/>
  <c r="S207" i="31"/>
  <c r="P207" i="31"/>
  <c r="H229" i="23"/>
  <c r="K229" i="23" s="1"/>
  <c r="N229" i="23" s="1"/>
  <c r="O229" i="23" s="1"/>
  <c r="Y208" i="31" s="1"/>
  <c r="E229" i="20"/>
  <c r="U208" i="31" s="1"/>
  <c r="S208" i="31"/>
  <c r="P208" i="31"/>
  <c r="H230" i="23"/>
  <c r="K230" i="23" s="1"/>
  <c r="N230" i="23" s="1"/>
  <c r="O230" i="23" s="1"/>
  <c r="Y209" i="31" s="1"/>
  <c r="E230" i="20"/>
  <c r="U209" i="31" s="1"/>
  <c r="S209" i="31"/>
  <c r="P209" i="31"/>
  <c r="H231" i="23"/>
  <c r="K231" i="23" s="1"/>
  <c r="N231" i="23" s="1"/>
  <c r="O231" i="23" s="1"/>
  <c r="Y210" i="31" s="1"/>
  <c r="E231" i="20"/>
  <c r="U210" i="31" s="1"/>
  <c r="S210" i="31"/>
  <c r="P210" i="31"/>
  <c r="H232" i="23"/>
  <c r="K232" i="23" s="1"/>
  <c r="N232" i="23" s="1"/>
  <c r="O232" i="23" s="1"/>
  <c r="Y211" i="31" s="1"/>
  <c r="E232" i="20"/>
  <c r="U211" i="31" s="1"/>
  <c r="P211" i="31"/>
  <c r="S211" i="31"/>
  <c r="I1148" i="23"/>
  <c r="L1148" i="23"/>
  <c r="X1043" i="31" s="1"/>
  <c r="H1150" i="23"/>
  <c r="K1150" i="23" s="1"/>
  <c r="N1150" i="23" s="1"/>
  <c r="O1150" i="23" s="1"/>
  <c r="Y1045" i="31" s="1"/>
  <c r="E1150" i="20"/>
  <c r="U1045" i="31" s="1"/>
  <c r="O1151" i="23"/>
  <c r="Y1046" i="31" s="1"/>
  <c r="H1152" i="23"/>
  <c r="K1152" i="23" s="1"/>
  <c r="N1152" i="23" s="1"/>
  <c r="O1152" i="23" s="1"/>
  <c r="Y1047" i="31" s="1"/>
  <c r="E1152" i="20"/>
  <c r="U1047" i="31" s="1"/>
  <c r="O1153" i="23"/>
  <c r="Y1048" i="31" s="1"/>
  <c r="H1154" i="23"/>
  <c r="K1154" i="23" s="1"/>
  <c r="N1154" i="23" s="1"/>
  <c r="O1154" i="23" s="1"/>
  <c r="Y1049" i="31" s="1"/>
  <c r="E1154" i="20"/>
  <c r="U1049" i="31" s="1"/>
  <c r="O1155" i="23"/>
  <c r="Y1050" i="31" s="1"/>
  <c r="H1156" i="23"/>
  <c r="K1156" i="23" s="1"/>
  <c r="N1156" i="23" s="1"/>
  <c r="O1156" i="23" s="1"/>
  <c r="Y1051" i="31" s="1"/>
  <c r="E1156" i="20"/>
  <c r="U1051" i="31" s="1"/>
  <c r="H1115" i="23"/>
  <c r="K1115" i="23" s="1"/>
  <c r="N1115" i="23" s="1"/>
  <c r="O1115" i="23" s="1"/>
  <c r="Y1013" i="31" s="1"/>
  <c r="E1115" i="20"/>
  <c r="U1013" i="31" s="1"/>
  <c r="I1117" i="23"/>
  <c r="I1121" i="23"/>
  <c r="I908" i="23"/>
  <c r="L908" i="23"/>
  <c r="X825" i="31" s="1"/>
  <c r="H911" i="23"/>
  <c r="K911" i="23" s="1"/>
  <c r="N911" i="23" s="1"/>
  <c r="E911" i="20"/>
  <c r="U828" i="31" s="1"/>
  <c r="R911" i="23"/>
  <c r="Z828" i="31" s="1"/>
  <c r="O911" i="23"/>
  <c r="Y828" i="31" s="1"/>
  <c r="O913" i="23"/>
  <c r="Y830" i="31" s="1"/>
  <c r="I346" i="23"/>
  <c r="L346" i="23"/>
  <c r="X314" i="31" s="1"/>
  <c r="L347" i="23"/>
  <c r="X315" i="31" s="1"/>
  <c r="O347" i="23"/>
  <c r="Y315" i="31" s="1"/>
  <c r="H348" i="23"/>
  <c r="K348" i="23" s="1"/>
  <c r="N348" i="23" s="1"/>
  <c r="E348" i="20"/>
  <c r="U316" i="31" s="1"/>
  <c r="L348" i="23"/>
  <c r="X316" i="31" s="1"/>
  <c r="O349" i="23"/>
  <c r="Y317" i="31" s="1"/>
  <c r="S24" i="23"/>
  <c r="W312" i="31"/>
  <c r="S344" i="23"/>
  <c r="AA312" i="31" s="1"/>
  <c r="S508" i="23"/>
  <c r="S752" i="23"/>
  <c r="AA683" i="31" s="1"/>
  <c r="S954" i="23"/>
  <c r="AA867" i="31" s="1"/>
  <c r="S1084" i="23"/>
  <c r="AA985" i="31" s="1"/>
  <c r="W11" i="31"/>
  <c r="S12" i="23"/>
  <c r="AA11" i="31" s="1"/>
  <c r="W138" i="31"/>
  <c r="S152" i="23"/>
  <c r="AA138" i="31" s="1"/>
  <c r="W256" i="31"/>
  <c r="S282" i="23"/>
  <c r="AA256" i="31" s="1"/>
  <c r="S334" i="23"/>
  <c r="AA303" i="31" s="1"/>
  <c r="W574" i="31"/>
  <c r="S632" i="23"/>
  <c r="AA574" i="31" s="1"/>
  <c r="S696" i="23"/>
  <c r="AA632" i="31" s="1"/>
  <c r="W723" i="31"/>
  <c r="S796" i="23"/>
  <c r="AA723" i="31" s="1"/>
  <c r="W752" i="31"/>
  <c r="S828" i="23"/>
  <c r="AA752" i="31" s="1"/>
  <c r="W816" i="31"/>
  <c r="S898" i="23"/>
  <c r="AA816" i="31" s="1"/>
  <c r="S1172" i="23"/>
  <c r="AA1065" i="31" s="1"/>
  <c r="S1292" i="23"/>
  <c r="AA1174" i="31" s="1"/>
  <c r="W1218" i="31"/>
  <c r="S1340" i="23"/>
  <c r="AA1218" i="31" s="1"/>
  <c r="W1247" i="31"/>
  <c r="S1372" i="23"/>
  <c r="AA1247" i="31" s="1"/>
  <c r="S1444" i="23"/>
  <c r="AA1312" i="31" s="1"/>
  <c r="S1480" i="23"/>
  <c r="AA1345" i="31" s="1"/>
  <c r="S1492" i="23"/>
  <c r="AA1356" i="31" s="1"/>
  <c r="S1516" i="23"/>
  <c r="AA1378" i="31" s="1"/>
  <c r="S1568" i="23"/>
  <c r="AA1425" i="31" s="1"/>
  <c r="S1576" i="23"/>
  <c r="AA1432" i="31" s="1"/>
  <c r="S1596" i="23"/>
  <c r="AA1451" i="31" s="1"/>
  <c r="S1604" i="23"/>
  <c r="AA1458" i="31" s="1"/>
  <c r="S90" i="23"/>
  <c r="S266" i="23"/>
  <c r="W763" i="31"/>
  <c r="S840" i="23"/>
  <c r="AA763" i="31" s="1"/>
  <c r="W872" i="31"/>
  <c r="S960" i="23"/>
  <c r="AA872" i="31" s="1"/>
  <c r="S1058" i="23"/>
  <c r="S1235" i="23"/>
  <c r="AA1122" i="31" s="1"/>
  <c r="S1555" i="23"/>
  <c r="AA1413" i="31" s="1"/>
  <c r="S284" i="23"/>
  <c r="AA258" i="31" s="1"/>
  <c r="S433" i="23"/>
  <c r="AA393" i="31" s="1"/>
  <c r="S487" i="23"/>
  <c r="AA442" i="31" s="1"/>
  <c r="S818" i="23"/>
  <c r="AA743" i="31" s="1"/>
  <c r="S826" i="23"/>
  <c r="AA751" i="31" s="1"/>
  <c r="S1085" i="23"/>
  <c r="AA986" i="31" s="1"/>
  <c r="S1263" i="23"/>
  <c r="AA1148" i="31" s="1"/>
  <c r="W1412" i="31"/>
  <c r="S1554" i="23"/>
  <c r="AA1412" i="31" s="1"/>
  <c r="S181" i="23"/>
  <c r="AA164" i="31" s="1"/>
  <c r="S619" i="23"/>
  <c r="AA562" i="31" s="1"/>
  <c r="S634" i="23"/>
  <c r="AA576" i="31" s="1"/>
  <c r="S674" i="23"/>
  <c r="AA612" i="31" s="1"/>
  <c r="S951" i="23"/>
  <c r="AA864" i="31" s="1"/>
  <c r="S1071" i="23"/>
  <c r="AA973" i="31" s="1"/>
  <c r="S1370" i="23"/>
  <c r="AA1245" i="31" s="1"/>
  <c r="S1378" i="23"/>
  <c r="AA1252" i="31" s="1"/>
  <c r="S1467" i="23"/>
  <c r="AA1333" i="31" s="1"/>
  <c r="S1490" i="23"/>
  <c r="AA1354" i="31" s="1"/>
  <c r="S1601" i="23"/>
  <c r="AA1455" i="31" s="1"/>
  <c r="S1477" i="23"/>
  <c r="AA1342" i="31" s="1"/>
  <c r="S115" i="23"/>
  <c r="AA104" i="31" s="1"/>
  <c r="S36" i="23"/>
  <c r="AA32" i="31" s="1"/>
  <c r="S146" i="23"/>
  <c r="AA132" i="31" s="1"/>
  <c r="S154" i="23"/>
  <c r="AA140" i="31" s="1"/>
  <c r="S411" i="23"/>
  <c r="AA373" i="31" s="1"/>
  <c r="S489" i="23"/>
  <c r="AA444" i="31" s="1"/>
  <c r="S644" i="23"/>
  <c r="AA585" i="31" s="1"/>
  <c r="S841" i="23"/>
  <c r="AA764" i="31" s="1"/>
  <c r="S1257" i="23"/>
  <c r="AA1142" i="31" s="1"/>
  <c r="S1291" i="23"/>
  <c r="AA1173" i="31" s="1"/>
  <c r="S1599" i="23"/>
  <c r="AA1453" i="31" s="1"/>
  <c r="S825" i="23"/>
  <c r="AA750" i="31" s="1"/>
  <c r="S41" i="23"/>
  <c r="AA37" i="31" s="1"/>
  <c r="S641" i="23"/>
  <c r="AA582" i="31" s="1"/>
  <c r="S798" i="23"/>
  <c r="AA725" i="31" s="1"/>
  <c r="S1262" i="23"/>
  <c r="AA1147" i="31" s="1"/>
  <c r="S957" i="23"/>
  <c r="AA870" i="31" s="1"/>
  <c r="S965" i="23"/>
  <c r="AA877" i="31" s="1"/>
  <c r="S1423" i="23"/>
  <c r="AA1293" i="31" s="1"/>
  <c r="W1442" i="31"/>
  <c r="S1587" i="23"/>
  <c r="AA1442" i="31" s="1"/>
  <c r="S1626" i="23"/>
  <c r="AA1478" i="31" s="1"/>
  <c r="W1478" i="31"/>
  <c r="W1474" i="31"/>
  <c r="S1622" i="23"/>
  <c r="AA1474" i="31" s="1"/>
  <c r="S1618" i="23"/>
  <c r="AA1471" i="31" s="1"/>
  <c r="W1471" i="31"/>
  <c r="S1614" i="23"/>
  <c r="AA1467" i="31" s="1"/>
  <c r="W1467" i="31"/>
  <c r="W1410" i="31"/>
  <c r="S1551" i="23"/>
  <c r="AA1410" i="31" s="1"/>
  <c r="W1408" i="31"/>
  <c r="S1549" i="23"/>
  <c r="AA1408" i="31" s="1"/>
  <c r="I1588" i="23"/>
  <c r="I1611" i="23"/>
  <c r="L1609" i="23"/>
  <c r="X1462" i="31" s="1"/>
  <c r="W1407" i="31"/>
  <c r="S1548" i="23"/>
  <c r="AA1407" i="31" s="1"/>
  <c r="L1627" i="23"/>
  <c r="X1479" i="31" s="1"/>
  <c r="L1623" i="23"/>
  <c r="X1475" i="31" s="1"/>
  <c r="I1616" i="23"/>
  <c r="L1612" i="23"/>
  <c r="X1465" i="31" s="1"/>
  <c r="I1610" i="23"/>
  <c r="L1550" i="23"/>
  <c r="X1409" i="31" s="1"/>
  <c r="S1406" i="31"/>
  <c r="P1406" i="31"/>
  <c r="G1483" i="23"/>
  <c r="I1483" i="23" s="1"/>
  <c r="O1482" i="23"/>
  <c r="Y1347" i="31" s="1"/>
  <c r="G939" i="23"/>
  <c r="I939" i="23" s="1"/>
  <c r="P855" i="31"/>
  <c r="S855" i="31"/>
  <c r="I700" i="23"/>
  <c r="O700" i="23"/>
  <c r="Y636" i="31" s="1"/>
  <c r="H701" i="23"/>
  <c r="K701" i="23" s="1"/>
  <c r="N701" i="23" s="1"/>
  <c r="O701" i="23" s="1"/>
  <c r="Y637" i="31" s="1"/>
  <c r="E701" i="20"/>
  <c r="U637" i="31" s="1"/>
  <c r="H703" i="23"/>
  <c r="K703" i="23" s="1"/>
  <c r="N703" i="23" s="1"/>
  <c r="O703" i="23" s="1"/>
  <c r="Y639" i="31" s="1"/>
  <c r="E703" i="20"/>
  <c r="U639" i="31" s="1"/>
  <c r="O704" i="23"/>
  <c r="Y640" i="31" s="1"/>
  <c r="H705" i="23"/>
  <c r="K705" i="23" s="1"/>
  <c r="N705" i="23" s="1"/>
  <c r="O705" i="23" s="1"/>
  <c r="Y641" i="31" s="1"/>
  <c r="E705" i="20"/>
  <c r="U641" i="31" s="1"/>
  <c r="O312" i="23"/>
  <c r="Y283" i="31" s="1"/>
  <c r="H313" i="23"/>
  <c r="K313" i="23" s="1"/>
  <c r="N313" i="23" s="1"/>
  <c r="O313" i="23" s="1"/>
  <c r="Y284" i="31" s="1"/>
  <c r="E313" i="20"/>
  <c r="U284" i="31" s="1"/>
  <c r="H315" i="23"/>
  <c r="K315" i="23" s="1"/>
  <c r="N315" i="23" s="1"/>
  <c r="O315" i="23" s="1"/>
  <c r="Y286" i="31" s="1"/>
  <c r="E315" i="20"/>
  <c r="U286" i="31" s="1"/>
  <c r="O316" i="23"/>
  <c r="Y287" i="31" s="1"/>
  <c r="H317" i="23"/>
  <c r="K317" i="23" s="1"/>
  <c r="N317" i="23" s="1"/>
  <c r="O317" i="23" s="1"/>
  <c r="Y288" i="31" s="1"/>
  <c r="E317" i="20"/>
  <c r="U288" i="31" s="1"/>
  <c r="O318" i="23"/>
  <c r="Y289" i="31" s="1"/>
  <c r="H319" i="23"/>
  <c r="K319" i="23" s="1"/>
  <c r="N319" i="23" s="1"/>
  <c r="O319" i="23" s="1"/>
  <c r="Y290" i="31" s="1"/>
  <c r="E319" i="20"/>
  <c r="U290" i="31" s="1"/>
  <c r="O320" i="23"/>
  <c r="Y291" i="31" s="1"/>
  <c r="I303" i="23"/>
  <c r="L303" i="23"/>
  <c r="X275" i="31" s="1"/>
  <c r="O305" i="23"/>
  <c r="Y277" i="31" s="1"/>
  <c r="H306" i="23"/>
  <c r="K306" i="23" s="1"/>
  <c r="N306" i="23" s="1"/>
  <c r="O306" i="23" s="1"/>
  <c r="Y278" i="31" s="1"/>
  <c r="E306" i="20"/>
  <c r="U278" i="31" s="1"/>
  <c r="O307" i="23"/>
  <c r="Y279" i="31" s="1"/>
  <c r="H308" i="23"/>
  <c r="K308" i="23" s="1"/>
  <c r="N308" i="23" s="1"/>
  <c r="O308" i="23" s="1"/>
  <c r="Y280" i="31" s="1"/>
  <c r="E308" i="20"/>
  <c r="U280" i="31" s="1"/>
  <c r="O309" i="23"/>
  <c r="Y281" i="31" s="1"/>
  <c r="H302" i="23"/>
  <c r="K302" i="23" s="1"/>
  <c r="N302" i="23" s="1"/>
  <c r="O302" i="23" s="1"/>
  <c r="Y274" i="31" s="1"/>
  <c r="E302" i="20"/>
  <c r="U274" i="31" s="1"/>
  <c r="O301" i="23"/>
  <c r="Y273" i="31" s="1"/>
  <c r="H300" i="23"/>
  <c r="K300" i="23" s="1"/>
  <c r="N300" i="23" s="1"/>
  <c r="O300" i="23" s="1"/>
  <c r="Y272" i="31" s="1"/>
  <c r="E300" i="20"/>
  <c r="U272" i="31" s="1"/>
  <c r="L256" i="23"/>
  <c r="X232" i="31" s="1"/>
  <c r="O256" i="23"/>
  <c r="Y232" i="31" s="1"/>
  <c r="S232" i="31"/>
  <c r="P232" i="31"/>
  <c r="H257" i="23"/>
  <c r="K257" i="23" s="1"/>
  <c r="N257" i="23" s="1"/>
  <c r="E257" i="20"/>
  <c r="U233" i="31" s="1"/>
  <c r="L257" i="23"/>
  <c r="X233" i="31" s="1"/>
  <c r="N257" i="6"/>
  <c r="I258" i="23"/>
  <c r="L258" i="23"/>
  <c r="X234" i="31" s="1"/>
  <c r="I259" i="23"/>
  <c r="L259" i="23"/>
  <c r="X235" i="31" s="1"/>
  <c r="I260" i="23"/>
  <c r="L260" i="23"/>
  <c r="X236" i="31" s="1"/>
  <c r="I261" i="23"/>
  <c r="L261" i="23"/>
  <c r="X237" i="31" s="1"/>
  <c r="I262" i="23"/>
  <c r="L262" i="23"/>
  <c r="X238" i="31" s="1"/>
  <c r="I263" i="23"/>
  <c r="L263" i="23"/>
  <c r="X239" i="31" s="1"/>
  <c r="I264" i="23"/>
  <c r="L264" i="23"/>
  <c r="X240" i="31" s="1"/>
  <c r="I265" i="23"/>
  <c r="L265" i="23"/>
  <c r="X241" i="31" s="1"/>
  <c r="I245" i="23"/>
  <c r="L245" i="23"/>
  <c r="X222" i="31" s="1"/>
  <c r="O245" i="23"/>
  <c r="Y222" i="31" s="1"/>
  <c r="H247" i="23"/>
  <c r="K247" i="23" s="1"/>
  <c r="N247" i="23" s="1"/>
  <c r="O247" i="23" s="1"/>
  <c r="Y224" i="31" s="1"/>
  <c r="E247" i="20"/>
  <c r="U224" i="31" s="1"/>
  <c r="O248" i="23"/>
  <c r="Y225" i="31" s="1"/>
  <c r="H249" i="23"/>
  <c r="K249" i="23" s="1"/>
  <c r="N249" i="23" s="1"/>
  <c r="O249" i="23" s="1"/>
  <c r="Y226" i="31" s="1"/>
  <c r="E249" i="20"/>
  <c r="U226" i="31" s="1"/>
  <c r="H251" i="23"/>
  <c r="K251" i="23" s="1"/>
  <c r="N251" i="23" s="1"/>
  <c r="O251" i="23" s="1"/>
  <c r="Y228" i="31" s="1"/>
  <c r="E251" i="20"/>
  <c r="U228" i="31" s="1"/>
  <c r="H253" i="23"/>
  <c r="K253" i="23" s="1"/>
  <c r="N253" i="23" s="1"/>
  <c r="O253" i="23" s="1"/>
  <c r="Y230" i="31" s="1"/>
  <c r="E253" i="20"/>
  <c r="U230" i="31" s="1"/>
  <c r="I235" i="23"/>
  <c r="L236" i="23"/>
  <c r="X214" i="31" s="1"/>
  <c r="O238" i="23"/>
  <c r="Y216" i="31" s="1"/>
  <c r="H239" i="23"/>
  <c r="K239" i="23" s="1"/>
  <c r="N239" i="23" s="1"/>
  <c r="O239" i="23" s="1"/>
  <c r="Y217" i="31" s="1"/>
  <c r="E239" i="20"/>
  <c r="U217" i="31" s="1"/>
  <c r="H241" i="23"/>
  <c r="K241" i="23" s="1"/>
  <c r="N241" i="23" s="1"/>
  <c r="O241" i="23" s="1"/>
  <c r="Y219" i="31" s="1"/>
  <c r="E241" i="20"/>
  <c r="U219" i="31" s="1"/>
  <c r="O242" i="23"/>
  <c r="Y220" i="31" s="1"/>
  <c r="H243" i="23"/>
  <c r="K243" i="23" s="1"/>
  <c r="N243" i="23" s="1"/>
  <c r="O243" i="23" s="1"/>
  <c r="Y221" i="31" s="1"/>
  <c r="E243" i="20"/>
  <c r="U221" i="31" s="1"/>
  <c r="H225" i="23"/>
  <c r="K225" i="23" s="1"/>
  <c r="N225" i="23" s="1"/>
  <c r="O225" i="23" s="1"/>
  <c r="Y204" i="31" s="1"/>
  <c r="E225" i="20"/>
  <c r="U204" i="31" s="1"/>
  <c r="I227" i="23"/>
  <c r="L227" i="23"/>
  <c r="X206" i="31" s="1"/>
  <c r="I1149" i="23"/>
  <c r="L1149" i="23"/>
  <c r="X1044" i="31" s="1"/>
  <c r="I1151" i="23"/>
  <c r="L1151" i="23"/>
  <c r="X1046" i="31" s="1"/>
  <c r="I1153" i="23"/>
  <c r="L1153" i="23"/>
  <c r="X1048" i="31" s="1"/>
  <c r="I1155" i="23"/>
  <c r="L1155" i="23"/>
  <c r="X1050" i="31" s="1"/>
  <c r="L1114" i="23"/>
  <c r="X1012" i="31" s="1"/>
  <c r="O1114" i="23"/>
  <c r="Y1012" i="31" s="1"/>
  <c r="G1116" i="23"/>
  <c r="I1116" i="23" s="1"/>
  <c r="O1116" i="23"/>
  <c r="Y1014" i="31" s="1"/>
  <c r="H1117" i="23"/>
  <c r="K1117" i="23" s="1"/>
  <c r="N1117" i="23" s="1"/>
  <c r="E1117" i="20"/>
  <c r="U1015" i="31" s="1"/>
  <c r="R1117" i="23"/>
  <c r="Z1015" i="31" s="1"/>
  <c r="O1118" i="23"/>
  <c r="Y1016" i="31" s="1"/>
  <c r="H1119" i="23"/>
  <c r="K1119" i="23" s="1"/>
  <c r="N1119" i="23" s="1"/>
  <c r="O1119" i="23" s="1"/>
  <c r="Y1017" i="31" s="1"/>
  <c r="E1119" i="20"/>
  <c r="U1017" i="31" s="1"/>
  <c r="R1119" i="23"/>
  <c r="Z1017" i="31" s="1"/>
  <c r="O1120" i="23"/>
  <c r="Y1018" i="31" s="1"/>
  <c r="H1121" i="23"/>
  <c r="K1121" i="23" s="1"/>
  <c r="N1121" i="23" s="1"/>
  <c r="O1121" i="23" s="1"/>
  <c r="Y1019" i="31" s="1"/>
  <c r="E1121" i="20"/>
  <c r="U1019" i="31" s="1"/>
  <c r="R1121" i="23"/>
  <c r="Z1019" i="31" s="1"/>
  <c r="O1122" i="23"/>
  <c r="Y1020" i="31" s="1"/>
  <c r="H1123" i="23"/>
  <c r="K1123" i="23" s="1"/>
  <c r="N1123" i="23" s="1"/>
  <c r="O1123" i="23" s="1"/>
  <c r="Y1021" i="31" s="1"/>
  <c r="E1123" i="20"/>
  <c r="U1021" i="31" s="1"/>
  <c r="R1123" i="23"/>
  <c r="Z1021" i="31" s="1"/>
  <c r="H905" i="23"/>
  <c r="K905" i="23" s="1"/>
  <c r="N905" i="23" s="1"/>
  <c r="O905" i="23" s="1"/>
  <c r="Y822" i="31" s="1"/>
  <c r="E905" i="20"/>
  <c r="U822" i="31" s="1"/>
  <c r="R905" i="23"/>
  <c r="Z822" i="31" s="1"/>
  <c r="O906" i="23"/>
  <c r="Y823" i="31" s="1"/>
  <c r="H907" i="23"/>
  <c r="K907" i="23" s="1"/>
  <c r="N907" i="23" s="1"/>
  <c r="O907" i="23" s="1"/>
  <c r="Y824" i="31" s="1"/>
  <c r="E907" i="20"/>
  <c r="U824" i="31" s="1"/>
  <c r="R907" i="23"/>
  <c r="Z824" i="31" s="1"/>
  <c r="P824" i="31"/>
  <c r="S824" i="31"/>
  <c r="O909" i="23"/>
  <c r="Y826" i="31" s="1"/>
  <c r="P827" i="31"/>
  <c r="S827" i="31"/>
  <c r="I910" i="23"/>
  <c r="L910" i="23"/>
  <c r="X827" i="31" s="1"/>
  <c r="O912" i="23"/>
  <c r="Y829" i="31" s="1"/>
  <c r="L913" i="23"/>
  <c r="X830" i="31" s="1"/>
  <c r="G914" i="23"/>
  <c r="I914" i="23" s="1"/>
  <c r="O914" i="23"/>
  <c r="Y831" i="31" s="1"/>
  <c r="H345" i="23"/>
  <c r="K345" i="23" s="1"/>
  <c r="N345" i="23" s="1"/>
  <c r="O345" i="23" s="1"/>
  <c r="Y313" i="31" s="1"/>
  <c r="E345" i="20"/>
  <c r="U313" i="31" s="1"/>
  <c r="L345" i="23"/>
  <c r="X313" i="31" s="1"/>
  <c r="R347" i="23"/>
  <c r="Z315" i="31" s="1"/>
  <c r="H347" i="23"/>
  <c r="K347" i="23" s="1"/>
  <c r="N347" i="23" s="1"/>
  <c r="E347" i="20"/>
  <c r="U315" i="31" s="1"/>
  <c r="R348" i="23"/>
  <c r="Z316" i="31" s="1"/>
  <c r="L349" i="23"/>
  <c r="X317" i="31" s="1"/>
  <c r="G350" i="23"/>
  <c r="I350" i="23" s="1"/>
  <c r="G351" i="23"/>
  <c r="I351" i="23" s="1"/>
  <c r="L351" i="23"/>
  <c r="X319" i="31" s="1"/>
  <c r="O351" i="23"/>
  <c r="Y319" i="31" s="1"/>
  <c r="O352" i="23"/>
  <c r="Y320" i="31" s="1"/>
  <c r="O353" i="23"/>
  <c r="Y321" i="31" s="1"/>
  <c r="S114" i="23"/>
  <c r="AA103" i="31" s="1"/>
  <c r="S378" i="23"/>
  <c r="AA343" i="31" s="1"/>
  <c r="W343" i="31"/>
  <c r="W465" i="31"/>
  <c r="S512" i="23"/>
  <c r="AA465" i="31" s="1"/>
  <c r="W592" i="31"/>
  <c r="S652" i="23"/>
  <c r="AA592" i="31" s="1"/>
  <c r="S1014" i="23"/>
  <c r="S1060" i="23"/>
  <c r="AA963" i="31" s="1"/>
  <c r="W34" i="31"/>
  <c r="S38" i="23"/>
  <c r="AA34" i="31" s="1"/>
  <c r="S156" i="23"/>
  <c r="S322" i="23"/>
  <c r="AA292" i="31" s="1"/>
  <c r="W534" i="31"/>
  <c r="S588" i="23"/>
  <c r="AA534" i="31" s="1"/>
  <c r="S816" i="23"/>
  <c r="S860" i="23"/>
  <c r="S904" i="23"/>
  <c r="S1344" i="23"/>
  <c r="W1251" i="31"/>
  <c r="S1376" i="23"/>
  <c r="AA1251" i="31" s="1"/>
  <c r="S1424" i="23"/>
  <c r="AA1294" i="31" s="1"/>
  <c r="S56" i="23"/>
  <c r="AA51" i="31" s="1"/>
  <c r="S182" i="23"/>
  <c r="AA165" i="31" s="1"/>
  <c r="S380" i="23"/>
  <c r="AA345" i="31" s="1"/>
  <c r="S556" i="23"/>
  <c r="AA505" i="31" s="1"/>
  <c r="S948" i="23"/>
  <c r="W876" i="31"/>
  <c r="S964" i="23"/>
  <c r="AA876" i="31" s="1"/>
  <c r="W972" i="31"/>
  <c r="S1070" i="23"/>
  <c r="AA972" i="31" s="1"/>
  <c r="S37" i="23"/>
  <c r="AA33" i="31" s="1"/>
  <c r="S1573" i="23"/>
  <c r="AA1430" i="31" s="1"/>
  <c r="S830" i="23"/>
  <c r="AA754" i="31" s="1"/>
  <c r="S895" i="23"/>
  <c r="AA813" i="31" s="1"/>
  <c r="S1037" i="23"/>
  <c r="AA942" i="31" s="1"/>
  <c r="S1341" i="23"/>
  <c r="AA1219" i="31" s="1"/>
  <c r="S1369" i="23"/>
  <c r="AA1244" i="31" s="1"/>
  <c r="S1466" i="23"/>
  <c r="AA1332" i="31" s="1"/>
  <c r="S1511" i="23"/>
  <c r="AA1373" i="31" s="1"/>
  <c r="S1567" i="23"/>
  <c r="AA1424" i="31" s="1"/>
  <c r="S885" i="23"/>
  <c r="AA804" i="31" s="1"/>
  <c r="S675" i="23"/>
  <c r="AA613" i="31" s="1"/>
  <c r="S1571" i="23"/>
  <c r="AA1428" i="31" s="1"/>
  <c r="S10" i="23"/>
  <c r="AA9" i="31" s="1"/>
  <c r="S281" i="23"/>
  <c r="AA255" i="31" s="1"/>
  <c r="S336" i="23"/>
  <c r="AA305" i="31" s="1"/>
  <c r="S388" i="23"/>
  <c r="AA352" i="31" s="1"/>
  <c r="W403" i="31"/>
  <c r="S444" i="23"/>
  <c r="AA403" i="31" s="1"/>
  <c r="S1310" i="23"/>
  <c r="AA1191" i="31" s="1"/>
  <c r="S1338" i="23"/>
  <c r="AA1216" i="31" s="1"/>
  <c r="S1593" i="23"/>
  <c r="AA1448" i="31" s="1"/>
  <c r="S709" i="23"/>
  <c r="AA644" i="31" s="1"/>
  <c r="S883" i="23"/>
  <c r="AA802" i="31" s="1"/>
  <c r="S7" i="23"/>
  <c r="AA6" i="31" s="1"/>
  <c r="S586" i="23"/>
  <c r="AA532" i="31" s="1"/>
  <c r="S1039" i="23"/>
  <c r="AA944" i="31" s="1"/>
  <c r="S1147" i="23"/>
  <c r="AA1042" i="31" s="1"/>
  <c r="S1339" i="23"/>
  <c r="AA1217" i="31" s="1"/>
  <c r="S1371" i="23"/>
  <c r="AA1246" i="31" s="1"/>
  <c r="S1422" i="23"/>
  <c r="AA1292" i="31" s="1"/>
  <c r="S1513" i="23"/>
  <c r="AA1375" i="31" s="1"/>
  <c r="S1577" i="23"/>
  <c r="AA1433" i="31" s="1"/>
  <c r="S1594" i="23"/>
  <c r="AA1449" i="31" s="1"/>
  <c r="S1602" i="23"/>
  <c r="AA1456" i="31" s="1"/>
  <c r="S3" i="23"/>
  <c r="AA2" i="31" s="1"/>
  <c r="S113" i="23"/>
  <c r="AA102" i="31" s="1"/>
  <c r="S1510" i="23"/>
  <c r="AA1372" i="31" s="1"/>
  <c r="S1518" i="23"/>
  <c r="AA1380" i="31" s="1"/>
  <c r="S1591" i="23"/>
  <c r="AA1446" i="31" s="1"/>
  <c r="S1493" i="23"/>
  <c r="AA1357" i="31" s="1"/>
  <c r="S707" i="23"/>
  <c r="AA642" i="31" s="1"/>
  <c r="S1603" i="23"/>
  <c r="AA1457" i="31" s="1"/>
  <c r="S355" i="23"/>
  <c r="AA322" i="31" s="1"/>
  <c r="S381" i="23"/>
  <c r="AA346" i="31" s="1"/>
  <c r="S817" i="23"/>
  <c r="AA742" i="31" s="1"/>
  <c r="S829" i="23"/>
  <c r="AA753" i="31" s="1"/>
  <c r="S1566" i="23"/>
  <c r="AA1423" i="31" s="1"/>
  <c r="S1574" i="23"/>
  <c r="AA1431" i="31" s="1"/>
  <c r="S1237" i="23"/>
  <c r="AA1124" i="31" s="1"/>
  <c r="S149" i="23"/>
  <c r="AA135" i="31" s="1"/>
  <c r="S587" i="23"/>
  <c r="AA533" i="31" s="1"/>
  <c r="S279" i="23"/>
  <c r="AA253" i="31" s="1"/>
  <c r="S713" i="23"/>
  <c r="AA648" i="31" s="1"/>
  <c r="S949" i="23"/>
  <c r="AA862" i="31" s="1"/>
  <c r="W1444" i="31"/>
  <c r="S1589" i="23"/>
  <c r="AA1444" i="31" s="1"/>
  <c r="L1620" i="23"/>
  <c r="X1472" i="31" s="1"/>
  <c r="I1609" i="23"/>
  <c r="L1544" i="23"/>
  <c r="X1403" i="31" s="1"/>
  <c r="I1627" i="23"/>
  <c r="I1623" i="23"/>
  <c r="I1612" i="23"/>
  <c r="L1547" i="23"/>
  <c r="X1406" i="31" s="1"/>
  <c r="F3" i="8"/>
  <c r="F4" i="8"/>
  <c r="F5" i="8"/>
  <c r="F6" i="8"/>
  <c r="F7" i="8"/>
  <c r="F8" i="8"/>
  <c r="F9" i="8"/>
  <c r="F10" i="8"/>
  <c r="F11" i="8"/>
  <c r="F12" i="8"/>
  <c r="F13" i="8"/>
  <c r="F24" i="8"/>
  <c r="F35" i="8"/>
  <c r="F36" i="8"/>
  <c r="F37" i="8"/>
  <c r="F38" i="8"/>
  <c r="F39" i="8"/>
  <c r="F40" i="8"/>
  <c r="F41" i="8"/>
  <c r="F42" i="8"/>
  <c r="F46" i="8"/>
  <c r="F56" i="8"/>
  <c r="F57" i="8"/>
  <c r="F58" i="8"/>
  <c r="F68" i="8"/>
  <c r="F79" i="8"/>
  <c r="F90" i="8"/>
  <c r="F101" i="8"/>
  <c r="F112" i="8"/>
  <c r="F113" i="8"/>
  <c r="F114" i="8"/>
  <c r="F115" i="8"/>
  <c r="F116" i="8"/>
  <c r="F117" i="8"/>
  <c r="F123" i="8"/>
  <c r="F134" i="8"/>
  <c r="F145" i="8"/>
  <c r="F146" i="8"/>
  <c r="F147" i="8"/>
  <c r="F148" i="8"/>
  <c r="F149" i="8"/>
  <c r="F150" i="8"/>
  <c r="F151" i="8"/>
  <c r="F152" i="8"/>
  <c r="F153" i="8"/>
  <c r="F154" i="8"/>
  <c r="F156" i="8"/>
  <c r="F157" i="8"/>
  <c r="F158" i="8"/>
  <c r="F167" i="8"/>
  <c r="F178" i="8"/>
  <c r="F179" i="8"/>
  <c r="F180" i="8"/>
  <c r="F181" i="8"/>
  <c r="F182" i="8"/>
  <c r="F189" i="8"/>
  <c r="F200" i="8"/>
  <c r="F211" i="8"/>
  <c r="F212" i="8"/>
  <c r="F213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77" i="8"/>
  <c r="F278" i="8"/>
  <c r="F279" i="8"/>
  <c r="F280" i="8"/>
  <c r="F281" i="8"/>
  <c r="F282" i="8"/>
  <c r="F283" i="8"/>
  <c r="F284" i="8"/>
  <c r="F28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32" i="8"/>
  <c r="F333" i="8"/>
  <c r="F334" i="8"/>
  <c r="F335" i="8"/>
  <c r="F336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65" i="8"/>
  <c r="F376" i="8"/>
  <c r="F377" i="8"/>
  <c r="F378" i="8"/>
  <c r="F379" i="8"/>
  <c r="F380" i="8"/>
  <c r="F381" i="8"/>
  <c r="F387" i="8"/>
  <c r="F388" i="8"/>
  <c r="F397" i="8"/>
  <c r="F398" i="8"/>
  <c r="F399" i="8"/>
  <c r="F400" i="8"/>
  <c r="F409" i="8"/>
  <c r="F410" i="8"/>
  <c r="F411" i="8"/>
  <c r="F420" i="8"/>
  <c r="F431" i="8"/>
  <c r="F432" i="8"/>
  <c r="F433" i="8"/>
  <c r="F434" i="8"/>
  <c r="F442" i="8"/>
  <c r="F443" i="8"/>
  <c r="F444" i="8"/>
  <c r="F445" i="8"/>
  <c r="F453" i="8"/>
  <c r="F464" i="8"/>
  <c r="F475" i="8"/>
  <c r="F486" i="8"/>
  <c r="F487" i="8"/>
  <c r="F488" i="8"/>
  <c r="F489" i="8"/>
  <c r="F497" i="8"/>
  <c r="F498" i="8"/>
  <c r="F508" i="8"/>
  <c r="F509" i="8"/>
  <c r="F510" i="8"/>
  <c r="F511" i="8"/>
  <c r="F512" i="8"/>
  <c r="F519" i="8"/>
  <c r="F530" i="8"/>
  <c r="F531" i="8"/>
  <c r="F541" i="8"/>
  <c r="F552" i="8"/>
  <c r="F553" i="8"/>
  <c r="F554" i="8"/>
  <c r="F555" i="8"/>
  <c r="F556" i="8"/>
  <c r="F563" i="8"/>
  <c r="F574" i="8"/>
  <c r="F575" i="8"/>
  <c r="F585" i="8"/>
  <c r="F586" i="8"/>
  <c r="F587" i="8"/>
  <c r="F588" i="8"/>
  <c r="F589" i="8"/>
  <c r="F590" i="8"/>
  <c r="F591" i="8"/>
  <c r="F596" i="8"/>
  <c r="F607" i="8"/>
  <c r="F618" i="8"/>
  <c r="F619" i="8"/>
  <c r="F620" i="8"/>
  <c r="F629" i="8"/>
  <c r="F630" i="8"/>
  <c r="F631" i="8"/>
  <c r="F632" i="8"/>
  <c r="F633" i="8"/>
  <c r="F634" i="8"/>
  <c r="F640" i="8"/>
  <c r="F641" i="8"/>
  <c r="F642" i="8"/>
  <c r="F643" i="8"/>
  <c r="F644" i="8"/>
  <c r="F651" i="8"/>
  <c r="F652" i="8"/>
  <c r="F653" i="8"/>
  <c r="F654" i="8"/>
  <c r="F655" i="8"/>
  <c r="F656" i="8"/>
  <c r="F662" i="8"/>
  <c r="F673" i="8"/>
  <c r="F674" i="8"/>
  <c r="F675" i="8"/>
  <c r="F676" i="8"/>
  <c r="F68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7" i="8"/>
  <c r="F727" i="8"/>
  <c r="F728" i="8"/>
  <c r="F739" i="8"/>
  <c r="F747" i="8"/>
  <c r="F750" i="8"/>
  <c r="F751" i="8"/>
  <c r="F752" i="8"/>
  <c r="F761" i="8"/>
  <c r="F772" i="8"/>
  <c r="F783" i="8"/>
  <c r="F794" i="8"/>
  <c r="F795" i="8"/>
  <c r="F796" i="8"/>
  <c r="F797" i="8"/>
  <c r="F798" i="8"/>
  <c r="F80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8" i="8"/>
  <c r="F839" i="8"/>
  <c r="F840" i="8"/>
  <c r="F841" i="8"/>
  <c r="F849" i="8"/>
  <c r="F851" i="8"/>
  <c r="F855" i="8"/>
  <c r="F859" i="8"/>
  <c r="F860" i="8"/>
  <c r="F871" i="8"/>
  <c r="F882" i="8"/>
  <c r="F883" i="8"/>
  <c r="F884" i="8"/>
  <c r="F885" i="8"/>
  <c r="F893" i="8"/>
  <c r="F894" i="8"/>
  <c r="F895" i="8"/>
  <c r="F896" i="8"/>
  <c r="F897" i="8"/>
  <c r="F898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2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81" i="8"/>
  <c r="F992" i="8"/>
  <c r="F1003" i="8"/>
  <c r="F1014" i="8"/>
  <c r="F1025" i="8"/>
  <c r="F1036" i="8"/>
  <c r="F1037" i="8"/>
  <c r="F1038" i="8"/>
  <c r="F1039" i="8"/>
  <c r="F1040" i="8"/>
  <c r="F1047" i="8"/>
  <c r="F1058" i="8"/>
  <c r="F1059" i="8"/>
  <c r="F1060" i="8"/>
  <c r="F1063" i="8"/>
  <c r="F1067" i="8"/>
  <c r="F1069" i="8"/>
  <c r="F1070" i="8"/>
  <c r="F1071" i="8"/>
  <c r="F1080" i="8"/>
  <c r="F1081" i="8"/>
  <c r="F1082" i="8"/>
  <c r="F1083" i="8"/>
  <c r="F1084" i="8"/>
  <c r="F1085" i="8"/>
  <c r="F1086" i="8"/>
  <c r="F1091" i="8"/>
  <c r="F1102" i="8"/>
  <c r="F1103" i="8"/>
  <c r="F1107" i="8"/>
  <c r="F1111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3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68" i="8"/>
  <c r="F1169" i="8"/>
  <c r="F1170" i="8"/>
  <c r="F1171" i="8"/>
  <c r="F1172" i="8"/>
  <c r="F1179" i="8"/>
  <c r="F1190" i="8"/>
  <c r="F1201" i="8"/>
  <c r="F1212" i="8"/>
  <c r="F1223" i="8"/>
  <c r="F1234" i="8"/>
  <c r="F1235" i="8"/>
  <c r="F1236" i="8"/>
  <c r="F1237" i="8"/>
  <c r="F1245" i="8"/>
  <c r="F1256" i="8"/>
  <c r="F1257" i="8"/>
  <c r="F1258" i="8"/>
  <c r="F1259" i="8"/>
  <c r="F1260" i="8"/>
  <c r="F1261" i="8"/>
  <c r="F1262" i="8"/>
  <c r="F1263" i="8"/>
  <c r="F1267" i="8"/>
  <c r="F1278" i="8"/>
  <c r="F1289" i="8"/>
  <c r="F1290" i="8"/>
  <c r="F1291" i="8"/>
  <c r="F1292" i="8"/>
  <c r="F1300" i="8"/>
  <c r="F1310" i="8"/>
  <c r="F1311" i="8"/>
  <c r="F132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5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88" i="8"/>
  <c r="F1389" i="8"/>
  <c r="F1399" i="8"/>
  <c r="F1400" i="8"/>
  <c r="F1401" i="8"/>
  <c r="F1402" i="8"/>
  <c r="F1410" i="8"/>
  <c r="F1421" i="8"/>
  <c r="F1422" i="8"/>
  <c r="F1423" i="8"/>
  <c r="F1424" i="8"/>
  <c r="F1425" i="8"/>
  <c r="F1432" i="8"/>
  <c r="F1443" i="8"/>
  <c r="F1444" i="8"/>
  <c r="F1454" i="8"/>
  <c r="F1465" i="8"/>
  <c r="F1466" i="8"/>
  <c r="F1467" i="8"/>
  <c r="F1468" i="8"/>
  <c r="F1469" i="8"/>
  <c r="F1470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8" i="8"/>
  <c r="F1499" i="8"/>
  <c r="F1509" i="8"/>
  <c r="F1510" i="8"/>
  <c r="F1511" i="8"/>
  <c r="F1512" i="8"/>
  <c r="F1513" i="8"/>
  <c r="F1514" i="8"/>
  <c r="F1515" i="8"/>
  <c r="F1516" i="8"/>
  <c r="F1517" i="8"/>
  <c r="F1518" i="8"/>
  <c r="F1520" i="8"/>
  <c r="F153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7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E3" i="8"/>
  <c r="E4" i="8"/>
  <c r="G4" i="8" s="1"/>
  <c r="E3" i="31" s="1"/>
  <c r="E5" i="8"/>
  <c r="G5" i="8" s="1"/>
  <c r="E4" i="31" s="1"/>
  <c r="E6" i="8"/>
  <c r="G6" i="8" s="1"/>
  <c r="E5" i="31" s="1"/>
  <c r="E7" i="8"/>
  <c r="E8" i="8"/>
  <c r="G8" i="8" s="1"/>
  <c r="E7" i="31" s="1"/>
  <c r="E9" i="8"/>
  <c r="G9" i="8" s="1"/>
  <c r="E8" i="31" s="1"/>
  <c r="E10" i="8"/>
  <c r="G10" i="8" s="1"/>
  <c r="E9" i="31" s="1"/>
  <c r="E11" i="8"/>
  <c r="E12" i="8"/>
  <c r="G12" i="8" s="1"/>
  <c r="E11" i="31" s="1"/>
  <c r="E13" i="8"/>
  <c r="G13" i="8" s="1"/>
  <c r="E24" i="8"/>
  <c r="G24" i="8" s="1"/>
  <c r="E35" i="8"/>
  <c r="E36" i="8"/>
  <c r="G36" i="8" s="1"/>
  <c r="E32" i="31" s="1"/>
  <c r="E37" i="8"/>
  <c r="G37" i="8" s="1"/>
  <c r="E33" i="31" s="1"/>
  <c r="E38" i="8"/>
  <c r="G38" i="8" s="1"/>
  <c r="E34" i="31" s="1"/>
  <c r="E39" i="8"/>
  <c r="E40" i="8"/>
  <c r="G40" i="8" s="1"/>
  <c r="E36" i="31" s="1"/>
  <c r="E41" i="8"/>
  <c r="G41" i="8" s="1"/>
  <c r="E37" i="31" s="1"/>
  <c r="E42" i="8"/>
  <c r="G42" i="8" s="1"/>
  <c r="E38" i="31" s="1"/>
  <c r="E46" i="8"/>
  <c r="G46" i="8" s="1"/>
  <c r="E56" i="8"/>
  <c r="G56" i="8" s="1"/>
  <c r="E51" i="31" s="1"/>
  <c r="E57" i="8"/>
  <c r="G57" i="8" s="1"/>
  <c r="E58" i="8"/>
  <c r="G58" i="8" s="1"/>
  <c r="E52" i="31" s="1"/>
  <c r="E68" i="8"/>
  <c r="G68" i="8" s="1"/>
  <c r="E79" i="8"/>
  <c r="E90" i="8"/>
  <c r="G90" i="8" s="1"/>
  <c r="E101" i="8"/>
  <c r="G101" i="8" s="1"/>
  <c r="E112" i="8"/>
  <c r="G112" i="8" s="1"/>
  <c r="E113" i="8"/>
  <c r="G113" i="8" s="1"/>
  <c r="E102" i="31" s="1"/>
  <c r="E114" i="8"/>
  <c r="G114" i="8" s="1"/>
  <c r="E103" i="31" s="1"/>
  <c r="E115" i="8"/>
  <c r="E116" i="8"/>
  <c r="G116" i="8" s="1"/>
  <c r="E105" i="31" s="1"/>
  <c r="E117" i="8"/>
  <c r="G117" i="8" s="1"/>
  <c r="E106" i="31" s="1"/>
  <c r="E123" i="8"/>
  <c r="E134" i="8"/>
  <c r="G134" i="8" s="1"/>
  <c r="E145" i="8"/>
  <c r="G145" i="8" s="1"/>
  <c r="E146" i="8"/>
  <c r="G146" i="8" s="1"/>
  <c r="E132" i="31" s="1"/>
  <c r="E147" i="8"/>
  <c r="E148" i="8"/>
  <c r="G148" i="8" s="1"/>
  <c r="E134" i="31" s="1"/>
  <c r="E149" i="8"/>
  <c r="G149" i="8" s="1"/>
  <c r="E135" i="31" s="1"/>
  <c r="E150" i="8"/>
  <c r="G150" i="8" s="1"/>
  <c r="E136" i="31" s="1"/>
  <c r="E151" i="8"/>
  <c r="E152" i="8"/>
  <c r="G152" i="8" s="1"/>
  <c r="E138" i="31" s="1"/>
  <c r="E153" i="8"/>
  <c r="G153" i="8" s="1"/>
  <c r="E139" i="31" s="1"/>
  <c r="E154" i="8"/>
  <c r="G154" i="8" s="1"/>
  <c r="E140" i="31" s="1"/>
  <c r="E156" i="8"/>
  <c r="G156" i="8" s="1"/>
  <c r="E157" i="8"/>
  <c r="G157" i="8" s="1"/>
  <c r="E142" i="31" s="1"/>
  <c r="E158" i="8"/>
  <c r="G158" i="8" s="1"/>
  <c r="E143" i="31" s="1"/>
  <c r="E167" i="8"/>
  <c r="E178" i="8"/>
  <c r="G178" i="8" s="1"/>
  <c r="E179" i="8"/>
  <c r="E180" i="8"/>
  <c r="G180" i="8" s="1"/>
  <c r="E163" i="31" s="1"/>
  <c r="E181" i="8"/>
  <c r="G181" i="8" s="1"/>
  <c r="E164" i="31" s="1"/>
  <c r="E182" i="8"/>
  <c r="G182" i="8" s="1"/>
  <c r="E165" i="31" s="1"/>
  <c r="E189" i="8"/>
  <c r="G189" i="8" s="1"/>
  <c r="E200" i="8"/>
  <c r="G200" i="8" s="1"/>
  <c r="E211" i="8"/>
  <c r="E212" i="8"/>
  <c r="G212" i="8" s="1"/>
  <c r="E192" i="31" s="1"/>
  <c r="E213" i="8"/>
  <c r="G213" i="8" s="1"/>
  <c r="E193" i="31" s="1"/>
  <c r="E222" i="8"/>
  <c r="G222" i="8" s="1"/>
  <c r="E223" i="8"/>
  <c r="E224" i="8"/>
  <c r="G224" i="8" s="1"/>
  <c r="E203" i="31" s="1"/>
  <c r="E225" i="8"/>
  <c r="G225" i="8" s="1"/>
  <c r="E204" i="31" s="1"/>
  <c r="E226" i="8"/>
  <c r="G226" i="8" s="1"/>
  <c r="E205" i="31" s="1"/>
  <c r="E227" i="8"/>
  <c r="E228" i="8"/>
  <c r="G228" i="8" s="1"/>
  <c r="E207" i="31" s="1"/>
  <c r="E229" i="8"/>
  <c r="G229" i="8" s="1"/>
  <c r="E208" i="31" s="1"/>
  <c r="E230" i="8"/>
  <c r="G230" i="8" s="1"/>
  <c r="E209" i="31" s="1"/>
  <c r="E231" i="8"/>
  <c r="E232" i="8"/>
  <c r="G232" i="8" s="1"/>
  <c r="E211" i="31" s="1"/>
  <c r="E233" i="8"/>
  <c r="G233" i="8" s="1"/>
  <c r="E234" i="8"/>
  <c r="G234" i="8" s="1"/>
  <c r="E212" i="31" s="1"/>
  <c r="E235" i="8"/>
  <c r="E236" i="8"/>
  <c r="G236" i="8" s="1"/>
  <c r="E214" i="31" s="1"/>
  <c r="E237" i="8"/>
  <c r="G237" i="8" s="1"/>
  <c r="E215" i="31" s="1"/>
  <c r="E238" i="8"/>
  <c r="G238" i="8" s="1"/>
  <c r="E216" i="31" s="1"/>
  <c r="E239" i="8"/>
  <c r="E240" i="8"/>
  <c r="G240" i="8" s="1"/>
  <c r="E218" i="31" s="1"/>
  <c r="E241" i="8"/>
  <c r="G241" i="8" s="1"/>
  <c r="E219" i="31" s="1"/>
  <c r="E242" i="8"/>
  <c r="G242" i="8" s="1"/>
  <c r="E220" i="31" s="1"/>
  <c r="E243" i="8"/>
  <c r="E244" i="8"/>
  <c r="G244" i="8" s="1"/>
  <c r="E245" i="8"/>
  <c r="G245" i="8" s="1"/>
  <c r="E222" i="31" s="1"/>
  <c r="E246" i="8"/>
  <c r="G246" i="8" s="1"/>
  <c r="E223" i="31" s="1"/>
  <c r="E247" i="8"/>
  <c r="E248" i="8"/>
  <c r="G248" i="8" s="1"/>
  <c r="E225" i="31" s="1"/>
  <c r="E249" i="8"/>
  <c r="G249" i="8" s="1"/>
  <c r="E226" i="31" s="1"/>
  <c r="E250" i="8"/>
  <c r="G250" i="8" s="1"/>
  <c r="E227" i="31" s="1"/>
  <c r="E251" i="8"/>
  <c r="E252" i="8"/>
  <c r="G252" i="8" s="1"/>
  <c r="E229" i="31" s="1"/>
  <c r="E253" i="8"/>
  <c r="G253" i="8" s="1"/>
  <c r="E230" i="31" s="1"/>
  <c r="E254" i="8"/>
  <c r="G254" i="8" s="1"/>
  <c r="E231" i="31" s="1"/>
  <c r="E255" i="8"/>
  <c r="E256" i="8"/>
  <c r="G256" i="8" s="1"/>
  <c r="E232" i="31" s="1"/>
  <c r="E257" i="8"/>
  <c r="G257" i="8" s="1"/>
  <c r="E233" i="31" s="1"/>
  <c r="E258" i="8"/>
  <c r="G258" i="8" s="1"/>
  <c r="E234" i="31" s="1"/>
  <c r="E259" i="8"/>
  <c r="E260" i="8"/>
  <c r="G260" i="8" s="1"/>
  <c r="E236" i="31" s="1"/>
  <c r="E261" i="8"/>
  <c r="G261" i="8" s="1"/>
  <c r="E237" i="31" s="1"/>
  <c r="E262" i="8"/>
  <c r="G262" i="8" s="1"/>
  <c r="E238" i="31" s="1"/>
  <c r="E263" i="8"/>
  <c r="E264" i="8"/>
  <c r="G264" i="8" s="1"/>
  <c r="E240" i="31" s="1"/>
  <c r="E265" i="8"/>
  <c r="G265" i="8" s="1"/>
  <c r="E241" i="31" s="1"/>
  <c r="E266" i="8"/>
  <c r="G266" i="8" s="1"/>
  <c r="E277" i="8"/>
  <c r="G277" i="8" s="1"/>
  <c r="E278" i="8"/>
  <c r="G278" i="8" s="1"/>
  <c r="E252" i="31" s="1"/>
  <c r="E279" i="8"/>
  <c r="E280" i="8"/>
  <c r="G280" i="8" s="1"/>
  <c r="E254" i="31" s="1"/>
  <c r="E281" i="8"/>
  <c r="G281" i="8" s="1"/>
  <c r="E255" i="31" s="1"/>
  <c r="E282" i="8"/>
  <c r="G282" i="8" s="1"/>
  <c r="E256" i="31" s="1"/>
  <c r="E283" i="8"/>
  <c r="E284" i="8"/>
  <c r="G284" i="8" s="1"/>
  <c r="E258" i="31" s="1"/>
  <c r="E288" i="8"/>
  <c r="G288" i="8" s="1"/>
  <c r="E299" i="8"/>
  <c r="E300" i="8"/>
  <c r="G300" i="8" s="1"/>
  <c r="E272" i="31" s="1"/>
  <c r="E301" i="8"/>
  <c r="G301" i="8" s="1"/>
  <c r="E273" i="31" s="1"/>
  <c r="E302" i="8"/>
  <c r="G302" i="8" s="1"/>
  <c r="E274" i="31" s="1"/>
  <c r="E303" i="8"/>
  <c r="E304" i="8"/>
  <c r="G304" i="8" s="1"/>
  <c r="E276" i="31" s="1"/>
  <c r="E305" i="8"/>
  <c r="G305" i="8" s="1"/>
  <c r="E277" i="31" s="1"/>
  <c r="E306" i="8"/>
  <c r="G306" i="8" s="1"/>
  <c r="E278" i="31" s="1"/>
  <c r="E307" i="8"/>
  <c r="E308" i="8"/>
  <c r="G308" i="8" s="1"/>
  <c r="E280" i="31" s="1"/>
  <c r="E309" i="8"/>
  <c r="G309" i="8" s="1"/>
  <c r="E281" i="31" s="1"/>
  <c r="E310" i="8"/>
  <c r="G310" i="8" s="1"/>
  <c r="E311" i="8"/>
  <c r="E312" i="8"/>
  <c r="G312" i="8" s="1"/>
  <c r="E283" i="31" s="1"/>
  <c r="E313" i="8"/>
  <c r="G313" i="8" s="1"/>
  <c r="E284" i="31" s="1"/>
  <c r="E314" i="8"/>
  <c r="G314" i="8" s="1"/>
  <c r="E285" i="31" s="1"/>
  <c r="E315" i="8"/>
  <c r="E316" i="8"/>
  <c r="G316" i="8" s="1"/>
  <c r="E287" i="31" s="1"/>
  <c r="E317" i="8"/>
  <c r="G317" i="8" s="1"/>
  <c r="E288" i="31" s="1"/>
  <c r="E318" i="8"/>
  <c r="G318" i="8" s="1"/>
  <c r="E289" i="31" s="1"/>
  <c r="E319" i="8"/>
  <c r="E320" i="8"/>
  <c r="G320" i="8" s="1"/>
  <c r="E291" i="31" s="1"/>
  <c r="E321" i="8"/>
  <c r="G321" i="8" s="1"/>
  <c r="E322" i="8"/>
  <c r="G322" i="8" s="1"/>
  <c r="E292" i="31" s="1"/>
  <c r="E323" i="8"/>
  <c r="E332" i="8"/>
  <c r="G332" i="8" s="1"/>
  <c r="E333" i="8"/>
  <c r="G333" i="8" s="1"/>
  <c r="E302" i="31" s="1"/>
  <c r="E334" i="8"/>
  <c r="G334" i="8" s="1"/>
  <c r="E303" i="31" s="1"/>
  <c r="E335" i="8"/>
  <c r="E336" i="8"/>
  <c r="G336" i="8" s="1"/>
  <c r="E305" i="31" s="1"/>
  <c r="E343" i="8"/>
  <c r="E344" i="8"/>
  <c r="G344" i="8" s="1"/>
  <c r="E312" i="31" s="1"/>
  <c r="E345" i="8"/>
  <c r="G345" i="8" s="1"/>
  <c r="E313" i="31" s="1"/>
  <c r="E346" i="8"/>
  <c r="G346" i="8" s="1"/>
  <c r="E314" i="31" s="1"/>
  <c r="E347" i="8"/>
  <c r="E348" i="8"/>
  <c r="G348" i="8" s="1"/>
  <c r="E316" i="31" s="1"/>
  <c r="E349" i="8"/>
  <c r="G349" i="8" s="1"/>
  <c r="E317" i="31" s="1"/>
  <c r="E350" i="8"/>
  <c r="G350" i="8" s="1"/>
  <c r="E318" i="31" s="1"/>
  <c r="E351" i="8"/>
  <c r="E352" i="8"/>
  <c r="G352" i="8" s="1"/>
  <c r="E320" i="31" s="1"/>
  <c r="E353" i="8"/>
  <c r="G353" i="8" s="1"/>
  <c r="E321" i="31" s="1"/>
  <c r="E354" i="8"/>
  <c r="G354" i="8" s="1"/>
  <c r="E355" i="8"/>
  <c r="E365" i="8"/>
  <c r="G365" i="8" s="1"/>
  <c r="E376" i="8"/>
  <c r="G376" i="8" s="1"/>
  <c r="E377" i="8"/>
  <c r="G377" i="8" s="1"/>
  <c r="E342" i="31" s="1"/>
  <c r="E378" i="8"/>
  <c r="G378" i="8" s="1"/>
  <c r="E343" i="31" s="1"/>
  <c r="E379" i="8"/>
  <c r="E380" i="8"/>
  <c r="G380" i="8" s="1"/>
  <c r="E345" i="31" s="1"/>
  <c r="E381" i="8"/>
  <c r="G381" i="8" s="1"/>
  <c r="E346" i="31" s="1"/>
  <c r="E387" i="8"/>
  <c r="E388" i="8"/>
  <c r="G388" i="8" s="1"/>
  <c r="E352" i="31" s="1"/>
  <c r="E397" i="8"/>
  <c r="G397" i="8" s="1"/>
  <c r="E361" i="31" s="1"/>
  <c r="E398" i="8"/>
  <c r="G398" i="8" s="1"/>
  <c r="E399" i="8"/>
  <c r="E400" i="8"/>
  <c r="G400" i="8" s="1"/>
  <c r="E363" i="31" s="1"/>
  <c r="E409" i="8"/>
  <c r="G409" i="8" s="1"/>
  <c r="E410" i="8"/>
  <c r="G410" i="8" s="1"/>
  <c r="E372" i="31" s="1"/>
  <c r="E411" i="8"/>
  <c r="E420" i="8"/>
  <c r="G420" i="8" s="1"/>
  <c r="E431" i="8"/>
  <c r="E432" i="8"/>
  <c r="G432" i="8" s="1"/>
  <c r="E392" i="31" s="1"/>
  <c r="E433" i="8"/>
  <c r="G433" i="8" s="1"/>
  <c r="E393" i="31" s="1"/>
  <c r="E434" i="8"/>
  <c r="G434" i="8" s="1"/>
  <c r="E394" i="31" s="1"/>
  <c r="E442" i="8"/>
  <c r="G442" i="8" s="1"/>
  <c r="E443" i="8"/>
  <c r="E444" i="8"/>
  <c r="G444" i="8" s="1"/>
  <c r="E403" i="31" s="1"/>
  <c r="E445" i="8"/>
  <c r="G445" i="8" s="1"/>
  <c r="E404" i="31" s="1"/>
  <c r="E453" i="8"/>
  <c r="G453" i="8" s="1"/>
  <c r="E464" i="8"/>
  <c r="G464" i="8" s="1"/>
  <c r="E475" i="8"/>
  <c r="E486" i="8"/>
  <c r="G486" i="8" s="1"/>
  <c r="E487" i="8"/>
  <c r="E488" i="8"/>
  <c r="G488" i="8" s="1"/>
  <c r="E443" i="31" s="1"/>
  <c r="E489" i="8"/>
  <c r="G489" i="8" s="1"/>
  <c r="E444" i="31" s="1"/>
  <c r="E497" i="8"/>
  <c r="G497" i="8" s="1"/>
  <c r="E498" i="8"/>
  <c r="G498" i="8" s="1"/>
  <c r="E452" i="31" s="1"/>
  <c r="E508" i="8"/>
  <c r="G508" i="8" s="1"/>
  <c r="E509" i="8"/>
  <c r="G509" i="8" s="1"/>
  <c r="E462" i="31" s="1"/>
  <c r="E510" i="8"/>
  <c r="G510" i="8" s="1"/>
  <c r="E463" i="31" s="1"/>
  <c r="E511" i="8"/>
  <c r="E512" i="8"/>
  <c r="G512" i="8" s="1"/>
  <c r="E465" i="31" s="1"/>
  <c r="E519" i="8"/>
  <c r="E530" i="8"/>
  <c r="G530" i="8" s="1"/>
  <c r="E531" i="8"/>
  <c r="E541" i="8"/>
  <c r="G541" i="8" s="1"/>
  <c r="E552" i="8"/>
  <c r="G552" i="8" s="1"/>
  <c r="E553" i="8"/>
  <c r="G553" i="8" s="1"/>
  <c r="E502" i="31" s="1"/>
  <c r="E554" i="8"/>
  <c r="G554" i="8" s="1"/>
  <c r="E503" i="31" s="1"/>
  <c r="E555" i="8"/>
  <c r="E556" i="8"/>
  <c r="G556" i="8" s="1"/>
  <c r="E505" i="31" s="1"/>
  <c r="E563" i="8"/>
  <c r="E574" i="8"/>
  <c r="G574" i="8" s="1"/>
  <c r="E575" i="8"/>
  <c r="E585" i="8"/>
  <c r="G585" i="8" s="1"/>
  <c r="E586" i="8"/>
  <c r="G586" i="8" s="1"/>
  <c r="E532" i="31" s="1"/>
  <c r="E587" i="8"/>
  <c r="E588" i="8"/>
  <c r="G588" i="8" s="1"/>
  <c r="E534" i="31" s="1"/>
  <c r="E589" i="8"/>
  <c r="G589" i="8" s="1"/>
  <c r="E535" i="31" s="1"/>
  <c r="E590" i="8"/>
  <c r="G590" i="8" s="1"/>
  <c r="E536" i="31" s="1"/>
  <c r="E591" i="8"/>
  <c r="E596" i="8"/>
  <c r="G596" i="8" s="1"/>
  <c r="E607" i="8"/>
  <c r="E618" i="8"/>
  <c r="G618" i="8" s="1"/>
  <c r="E619" i="8"/>
  <c r="E620" i="8"/>
  <c r="G620" i="8" s="1"/>
  <c r="E563" i="31" s="1"/>
  <c r="E629" i="8"/>
  <c r="G629" i="8" s="1"/>
  <c r="E630" i="8"/>
  <c r="G630" i="8" s="1"/>
  <c r="E572" i="31" s="1"/>
  <c r="E631" i="8"/>
  <c r="E632" i="8"/>
  <c r="G632" i="8" s="1"/>
  <c r="E574" i="31" s="1"/>
  <c r="E633" i="8"/>
  <c r="G633" i="8" s="1"/>
  <c r="E575" i="31" s="1"/>
  <c r="E634" i="8"/>
  <c r="G634" i="8" s="1"/>
  <c r="E576" i="31" s="1"/>
  <c r="E640" i="8"/>
  <c r="G640" i="8" s="1"/>
  <c r="E641" i="8"/>
  <c r="G641" i="8" s="1"/>
  <c r="E582" i="31" s="1"/>
  <c r="E642" i="8"/>
  <c r="G642" i="8" s="1"/>
  <c r="E583" i="31" s="1"/>
  <c r="E643" i="8"/>
  <c r="E644" i="8"/>
  <c r="G644" i="8" s="1"/>
  <c r="E585" i="31" s="1"/>
  <c r="E651" i="8"/>
  <c r="E652" i="8"/>
  <c r="G652" i="8" s="1"/>
  <c r="E592" i="31" s="1"/>
  <c r="E653" i="8"/>
  <c r="G653" i="8" s="1"/>
  <c r="E593" i="31" s="1"/>
  <c r="E654" i="8"/>
  <c r="G654" i="8" s="1"/>
  <c r="E594" i="31" s="1"/>
  <c r="E655" i="8"/>
  <c r="E656" i="8"/>
  <c r="G656" i="8" s="1"/>
  <c r="E596" i="31" s="1"/>
  <c r="E662" i="8"/>
  <c r="G662" i="8" s="1"/>
  <c r="E673" i="8"/>
  <c r="G673" i="8" s="1"/>
  <c r="E674" i="8"/>
  <c r="G674" i="8" s="1"/>
  <c r="E612" i="31" s="1"/>
  <c r="E675" i="8"/>
  <c r="E676" i="8"/>
  <c r="G676" i="8" s="1"/>
  <c r="E614" i="31" s="1"/>
  <c r="E684" i="8"/>
  <c r="G684" i="8" s="1"/>
  <c r="E695" i="8"/>
  <c r="E696" i="8"/>
  <c r="G696" i="8" s="1"/>
  <c r="E632" i="31" s="1"/>
  <c r="E697" i="8"/>
  <c r="G697" i="8" s="1"/>
  <c r="E633" i="31" s="1"/>
  <c r="E698" i="8"/>
  <c r="G698" i="8" s="1"/>
  <c r="E634" i="31" s="1"/>
  <c r="E699" i="8"/>
  <c r="E700" i="8"/>
  <c r="G700" i="8" s="1"/>
  <c r="E636" i="31" s="1"/>
  <c r="E701" i="8"/>
  <c r="G701" i="8" s="1"/>
  <c r="E637" i="31" s="1"/>
  <c r="E702" i="8"/>
  <c r="G702" i="8" s="1"/>
  <c r="E638" i="31" s="1"/>
  <c r="E703" i="8"/>
  <c r="E704" i="8"/>
  <c r="G704" i="8" s="1"/>
  <c r="E640" i="31" s="1"/>
  <c r="E705" i="8"/>
  <c r="G705" i="8" s="1"/>
  <c r="E641" i="31" s="1"/>
  <c r="E706" i="8"/>
  <c r="G706" i="8" s="1"/>
  <c r="E707" i="8"/>
  <c r="E708" i="8"/>
  <c r="G708" i="8" s="1"/>
  <c r="E643" i="31" s="1"/>
  <c r="E709" i="8"/>
  <c r="G709" i="8" s="1"/>
  <c r="E644" i="31" s="1"/>
  <c r="E710" i="8"/>
  <c r="G710" i="8" s="1"/>
  <c r="E645" i="31" s="1"/>
  <c r="E711" i="8"/>
  <c r="E712" i="8"/>
  <c r="G712" i="8" s="1"/>
  <c r="E647" i="31" s="1"/>
  <c r="E713" i="8"/>
  <c r="G713" i="8" s="1"/>
  <c r="E648" i="31" s="1"/>
  <c r="E717" i="8"/>
  <c r="G717" i="8" s="1"/>
  <c r="E727" i="8"/>
  <c r="E728" i="8"/>
  <c r="G728" i="8" s="1"/>
  <c r="E739" i="8"/>
  <c r="E741" i="8"/>
  <c r="E744" i="8"/>
  <c r="E750" i="8"/>
  <c r="G750" i="8" s="1"/>
  <c r="E751" i="8"/>
  <c r="E752" i="8"/>
  <c r="G752" i="8" s="1"/>
  <c r="E683" i="31" s="1"/>
  <c r="E761" i="8"/>
  <c r="G761" i="8" s="1"/>
  <c r="E772" i="8"/>
  <c r="G772" i="8" s="1"/>
  <c r="E783" i="8"/>
  <c r="E794" i="8"/>
  <c r="G794" i="8" s="1"/>
  <c r="E795" i="8"/>
  <c r="E796" i="8"/>
  <c r="G796" i="8" s="1"/>
  <c r="E723" i="31" s="1"/>
  <c r="E797" i="8"/>
  <c r="G797" i="8" s="1"/>
  <c r="E724" i="31" s="1"/>
  <c r="E798" i="8"/>
  <c r="G798" i="8" s="1"/>
  <c r="E725" i="31" s="1"/>
  <c r="E805" i="8"/>
  <c r="G805" i="8" s="1"/>
  <c r="E816" i="8"/>
  <c r="G816" i="8" s="1"/>
  <c r="E817" i="8"/>
  <c r="G817" i="8" s="1"/>
  <c r="E742" i="31" s="1"/>
  <c r="E818" i="8"/>
  <c r="G818" i="8" s="1"/>
  <c r="E743" i="31" s="1"/>
  <c r="E819" i="8"/>
  <c r="E820" i="8"/>
  <c r="G820" i="8" s="1"/>
  <c r="E745" i="31" s="1"/>
  <c r="E821" i="8"/>
  <c r="G821" i="8" s="1"/>
  <c r="E746" i="31" s="1"/>
  <c r="E822" i="8"/>
  <c r="G822" i="8" s="1"/>
  <c r="E747" i="31" s="1"/>
  <c r="E823" i="8"/>
  <c r="E824" i="8"/>
  <c r="G824" i="8" s="1"/>
  <c r="E749" i="31" s="1"/>
  <c r="E825" i="8"/>
  <c r="G825" i="8" s="1"/>
  <c r="E750" i="31" s="1"/>
  <c r="E826" i="8"/>
  <c r="G826" i="8" s="1"/>
  <c r="E751" i="31" s="1"/>
  <c r="E827" i="8"/>
  <c r="E828" i="8"/>
  <c r="G828" i="8" s="1"/>
  <c r="E752" i="31" s="1"/>
  <c r="E829" i="8"/>
  <c r="G829" i="8" s="1"/>
  <c r="E753" i="31" s="1"/>
  <c r="E830" i="8"/>
  <c r="G830" i="8" s="1"/>
  <c r="E754" i="31" s="1"/>
  <c r="E831" i="8"/>
  <c r="E838" i="8"/>
  <c r="G838" i="8" s="1"/>
  <c r="E839" i="8"/>
  <c r="E840" i="8"/>
  <c r="G840" i="8" s="1"/>
  <c r="E763" i="31" s="1"/>
  <c r="E841" i="8"/>
  <c r="G841" i="8" s="1"/>
  <c r="E764" i="31" s="1"/>
  <c r="E849" i="8"/>
  <c r="G849" i="8" s="1"/>
  <c r="E852" i="8"/>
  <c r="E856" i="8"/>
  <c r="E860" i="8"/>
  <c r="G860" i="8" s="1"/>
  <c r="E871" i="8"/>
  <c r="E882" i="8"/>
  <c r="G882" i="8" s="1"/>
  <c r="E883" i="8"/>
  <c r="E884" i="8"/>
  <c r="G884" i="8" s="1"/>
  <c r="E803" i="31" s="1"/>
  <c r="E885" i="8"/>
  <c r="G885" i="8" s="1"/>
  <c r="E804" i="31" s="1"/>
  <c r="E893" i="8"/>
  <c r="G893" i="8" s="1"/>
  <c r="E894" i="8"/>
  <c r="G894" i="8" s="1"/>
  <c r="E812" i="31" s="1"/>
  <c r="E895" i="8"/>
  <c r="E896" i="8"/>
  <c r="G896" i="8" s="1"/>
  <c r="E814" i="31" s="1"/>
  <c r="E897" i="8"/>
  <c r="G897" i="8" s="1"/>
  <c r="E815" i="31" s="1"/>
  <c r="E898" i="8"/>
  <c r="G898" i="8" s="1"/>
  <c r="E816" i="31" s="1"/>
  <c r="E904" i="8"/>
  <c r="G904" i="8" s="1"/>
  <c r="E905" i="8"/>
  <c r="G905" i="8" s="1"/>
  <c r="E822" i="31" s="1"/>
  <c r="E906" i="8"/>
  <c r="G906" i="8" s="1"/>
  <c r="E823" i="31" s="1"/>
  <c r="E907" i="8"/>
  <c r="E908" i="8"/>
  <c r="G908" i="8" s="1"/>
  <c r="E825" i="31" s="1"/>
  <c r="E909" i="8"/>
  <c r="G909" i="8" s="1"/>
  <c r="E826" i="31" s="1"/>
  <c r="E910" i="8"/>
  <c r="G910" i="8" s="1"/>
  <c r="E827" i="31" s="1"/>
  <c r="E911" i="8"/>
  <c r="E912" i="8"/>
  <c r="G912" i="8" s="1"/>
  <c r="E829" i="31" s="1"/>
  <c r="E913" i="8"/>
  <c r="G913" i="8" s="1"/>
  <c r="E830" i="31" s="1"/>
  <c r="E914" i="8"/>
  <c r="G914" i="8" s="1"/>
  <c r="E831" i="31" s="1"/>
  <c r="E915" i="8"/>
  <c r="E926" i="8"/>
  <c r="G926" i="8" s="1"/>
  <c r="E937" i="8"/>
  <c r="G937" i="8" s="1"/>
  <c r="E938" i="8"/>
  <c r="G938" i="8" s="1"/>
  <c r="E852" i="31" s="1"/>
  <c r="E939" i="8"/>
  <c r="E940" i="8"/>
  <c r="G940" i="8" s="1"/>
  <c r="E854" i="31" s="1"/>
  <c r="E941" i="8"/>
  <c r="G941" i="8" s="1"/>
  <c r="E855" i="31" s="1"/>
  <c r="E942" i="8"/>
  <c r="G942" i="8" s="1"/>
  <c r="E856" i="31" s="1"/>
  <c r="E943" i="8"/>
  <c r="E944" i="8"/>
  <c r="G944" i="8" s="1"/>
  <c r="E858" i="31" s="1"/>
  <c r="E945" i="8"/>
  <c r="G945" i="8" s="1"/>
  <c r="E859" i="31" s="1"/>
  <c r="E946" i="8"/>
  <c r="G946" i="8" s="1"/>
  <c r="E860" i="31" s="1"/>
  <c r="E947" i="8"/>
  <c r="E948" i="8"/>
  <c r="G948" i="8" s="1"/>
  <c r="E949" i="8"/>
  <c r="G949" i="8" s="1"/>
  <c r="E862" i="31" s="1"/>
  <c r="E950" i="8"/>
  <c r="G950" i="8" s="1"/>
  <c r="E863" i="31" s="1"/>
  <c r="E951" i="8"/>
  <c r="E952" i="8"/>
  <c r="G952" i="8" s="1"/>
  <c r="E865" i="31" s="1"/>
  <c r="E953" i="8"/>
  <c r="G953" i="8" s="1"/>
  <c r="E866" i="31" s="1"/>
  <c r="E954" i="8"/>
  <c r="G954" i="8" s="1"/>
  <c r="E867" i="31" s="1"/>
  <c r="E955" i="8"/>
  <c r="E956" i="8"/>
  <c r="G956" i="8" s="1"/>
  <c r="E869" i="31" s="1"/>
  <c r="E957" i="8"/>
  <c r="G957" i="8" s="1"/>
  <c r="E870" i="31" s="1"/>
  <c r="E958" i="8"/>
  <c r="G958" i="8" s="1"/>
  <c r="E871" i="31" s="1"/>
  <c r="E959" i="8"/>
  <c r="E960" i="8"/>
  <c r="G960" i="8" s="1"/>
  <c r="E872" i="31" s="1"/>
  <c r="E961" i="8"/>
  <c r="G961" i="8" s="1"/>
  <c r="E873" i="31" s="1"/>
  <c r="E962" i="8"/>
  <c r="G962" i="8" s="1"/>
  <c r="E874" i="31" s="1"/>
  <c r="E963" i="8"/>
  <c r="E964" i="8"/>
  <c r="G964" i="8" s="1"/>
  <c r="E876" i="31" s="1"/>
  <c r="E965" i="8"/>
  <c r="G965" i="8" s="1"/>
  <c r="E877" i="31" s="1"/>
  <c r="E966" i="8"/>
  <c r="G966" i="8" s="1"/>
  <c r="E878" i="31" s="1"/>
  <c r="E967" i="8"/>
  <c r="E968" i="8"/>
  <c r="G968" i="8" s="1"/>
  <c r="E880" i="31" s="1"/>
  <c r="E969" i="8"/>
  <c r="G969" i="8" s="1"/>
  <c r="E881" i="31" s="1"/>
  <c r="E970" i="8"/>
  <c r="G970" i="8" s="1"/>
  <c r="E981" i="8"/>
  <c r="G981" i="8" s="1"/>
  <c r="E992" i="8"/>
  <c r="G992" i="8" s="1"/>
  <c r="E1003" i="8"/>
  <c r="E1014" i="8"/>
  <c r="G1014" i="8" s="1"/>
  <c r="E1025" i="8"/>
  <c r="G1025" i="8" s="1"/>
  <c r="E1036" i="8"/>
  <c r="G1036" i="8" s="1"/>
  <c r="E1037" i="8"/>
  <c r="G1037" i="8" s="1"/>
  <c r="E942" i="31" s="1"/>
  <c r="E1038" i="8"/>
  <c r="G1038" i="8" s="1"/>
  <c r="E943" i="31" s="1"/>
  <c r="E1039" i="8"/>
  <c r="E1040" i="8"/>
  <c r="G1040" i="8" s="1"/>
  <c r="E945" i="31" s="1"/>
  <c r="E1047" i="8"/>
  <c r="E1058" i="8"/>
  <c r="G1058" i="8" s="1"/>
  <c r="E1059" i="8"/>
  <c r="E1060" i="8"/>
  <c r="G1060" i="8" s="1"/>
  <c r="E963" i="31" s="1"/>
  <c r="E1064" i="8"/>
  <c r="E1065" i="8"/>
  <c r="E1068" i="8"/>
  <c r="E1069" i="8"/>
  <c r="G1069" i="8" s="1"/>
  <c r="E1070" i="8"/>
  <c r="G1070" i="8" s="1"/>
  <c r="E972" i="31" s="1"/>
  <c r="E1071" i="8"/>
  <c r="E1080" i="8"/>
  <c r="G1080" i="8" s="1"/>
  <c r="E1081" i="8"/>
  <c r="G1081" i="8" s="1"/>
  <c r="E982" i="31" s="1"/>
  <c r="E1082" i="8"/>
  <c r="G1082" i="8" s="1"/>
  <c r="E983" i="31" s="1"/>
  <c r="E1083" i="8"/>
  <c r="E1084" i="8"/>
  <c r="G1084" i="8" s="1"/>
  <c r="E985" i="31" s="1"/>
  <c r="E1085" i="8"/>
  <c r="G1085" i="8" s="1"/>
  <c r="E986" i="31" s="1"/>
  <c r="E1086" i="8"/>
  <c r="G1086" i="8" s="1"/>
  <c r="E987" i="31" s="1"/>
  <c r="E1091" i="8"/>
  <c r="E1102" i="8"/>
  <c r="G1102" i="8" s="1"/>
  <c r="E1104" i="8"/>
  <c r="E1105" i="8"/>
  <c r="E1108" i="8"/>
  <c r="E1112" i="8"/>
  <c r="E1113" i="8"/>
  <c r="G1113" i="8" s="1"/>
  <c r="E1114" i="8"/>
  <c r="G1114" i="8" s="1"/>
  <c r="E1012" i="31" s="1"/>
  <c r="E1115" i="8"/>
  <c r="E1116" i="8"/>
  <c r="G1116" i="8" s="1"/>
  <c r="E1014" i="31" s="1"/>
  <c r="E1117" i="8"/>
  <c r="G1117" i="8" s="1"/>
  <c r="E1015" i="31" s="1"/>
  <c r="E1118" i="8"/>
  <c r="G1118" i="8" s="1"/>
  <c r="E1016" i="31" s="1"/>
  <c r="E1119" i="8"/>
  <c r="E1120" i="8"/>
  <c r="G1120" i="8" s="1"/>
  <c r="E1018" i="31" s="1"/>
  <c r="E1121" i="8"/>
  <c r="G1121" i="8" s="1"/>
  <c r="E1019" i="31" s="1"/>
  <c r="E1122" i="8"/>
  <c r="G1122" i="8" s="1"/>
  <c r="E1020" i="31" s="1"/>
  <c r="E1123" i="8"/>
  <c r="E1124" i="8"/>
  <c r="G1124" i="8" s="1"/>
  <c r="E1135" i="8"/>
  <c r="E1146" i="8"/>
  <c r="G1146" i="8" s="1"/>
  <c r="E1147" i="8"/>
  <c r="E1148" i="8"/>
  <c r="G1148" i="8" s="1"/>
  <c r="E1043" i="31" s="1"/>
  <c r="E1149" i="8"/>
  <c r="G1149" i="8" s="1"/>
  <c r="E1044" i="31" s="1"/>
  <c r="E1150" i="8"/>
  <c r="G1150" i="8" s="1"/>
  <c r="E1045" i="31" s="1"/>
  <c r="E1151" i="8"/>
  <c r="E1152" i="8"/>
  <c r="G1152" i="8" s="1"/>
  <c r="E1047" i="31" s="1"/>
  <c r="E1153" i="8"/>
  <c r="G1153" i="8" s="1"/>
  <c r="E1048" i="31" s="1"/>
  <c r="E1154" i="8"/>
  <c r="G1154" i="8" s="1"/>
  <c r="E1049" i="31" s="1"/>
  <c r="E1155" i="8"/>
  <c r="E1156" i="8"/>
  <c r="G1156" i="8" s="1"/>
  <c r="E1051" i="31" s="1"/>
  <c r="E1157" i="8"/>
  <c r="G1157" i="8" s="1"/>
  <c r="E1168" i="8"/>
  <c r="G1168" i="8" s="1"/>
  <c r="E1169" i="8"/>
  <c r="G1169" i="8" s="1"/>
  <c r="E1062" i="31" s="1"/>
  <c r="E1170" i="8"/>
  <c r="G1170" i="8" s="1"/>
  <c r="E1063" i="31" s="1"/>
  <c r="E1171" i="8"/>
  <c r="E1172" i="8"/>
  <c r="G1172" i="8" s="1"/>
  <c r="E1065" i="31" s="1"/>
  <c r="E1179" i="8"/>
  <c r="E1190" i="8"/>
  <c r="G1190" i="8" s="1"/>
  <c r="E1201" i="8"/>
  <c r="G1201" i="8" s="1"/>
  <c r="E1212" i="8"/>
  <c r="G1212" i="8" s="1"/>
  <c r="E1223" i="8"/>
  <c r="E1234" i="8"/>
  <c r="G1234" i="8" s="1"/>
  <c r="E1235" i="8"/>
  <c r="E1236" i="8"/>
  <c r="G1236" i="8" s="1"/>
  <c r="E1123" i="31" s="1"/>
  <c r="E1237" i="8"/>
  <c r="G1237" i="8" s="1"/>
  <c r="E1124" i="31" s="1"/>
  <c r="E1245" i="8"/>
  <c r="G1245" i="8" s="1"/>
  <c r="E1256" i="8"/>
  <c r="G1256" i="8" s="1"/>
  <c r="E1257" i="8"/>
  <c r="G1257" i="8" s="1"/>
  <c r="E1142" i="31" s="1"/>
  <c r="E1258" i="8"/>
  <c r="G1258" i="8" s="1"/>
  <c r="E1143" i="31" s="1"/>
  <c r="E1259" i="8"/>
  <c r="E1260" i="8"/>
  <c r="G1260" i="8" s="1"/>
  <c r="E1145" i="31" s="1"/>
  <c r="E1261" i="8"/>
  <c r="G1261" i="8" s="1"/>
  <c r="E1146" i="31" s="1"/>
  <c r="E1262" i="8"/>
  <c r="G1262" i="8" s="1"/>
  <c r="E1147" i="31" s="1"/>
  <c r="E1263" i="8"/>
  <c r="E1267" i="8"/>
  <c r="E1278" i="8"/>
  <c r="G1278" i="8" s="1"/>
  <c r="E1289" i="8"/>
  <c r="G1289" i="8" s="1"/>
  <c r="E1290" i="8"/>
  <c r="G1290" i="8" s="1"/>
  <c r="E1172" i="31" s="1"/>
  <c r="E1291" i="8"/>
  <c r="E1292" i="8"/>
  <c r="G1292" i="8" s="1"/>
  <c r="E1174" i="31" s="1"/>
  <c r="E1300" i="8"/>
  <c r="G1300" i="8" s="1"/>
  <c r="E1310" i="8"/>
  <c r="G1310" i="8" s="1"/>
  <c r="E1191" i="31" s="1"/>
  <c r="E1311" i="8"/>
  <c r="E1322" i="8"/>
  <c r="G1322" i="8" s="1"/>
  <c r="E1333" i="8"/>
  <c r="G1333" i="8" s="1"/>
  <c r="E1334" i="8"/>
  <c r="G1334" i="8" s="1"/>
  <c r="E1212" i="31" s="1"/>
  <c r="E1335" i="8"/>
  <c r="E1336" i="8"/>
  <c r="G1336" i="8" s="1"/>
  <c r="E1214" i="31" s="1"/>
  <c r="E1337" i="8"/>
  <c r="G1337" i="8" s="1"/>
  <c r="E1215" i="31" s="1"/>
  <c r="E1338" i="8"/>
  <c r="G1338" i="8" s="1"/>
  <c r="E1216" i="31" s="1"/>
  <c r="E1339" i="8"/>
  <c r="E1340" i="8"/>
  <c r="G1340" i="8" s="1"/>
  <c r="E1218" i="31" s="1"/>
  <c r="E1341" i="8"/>
  <c r="G1341" i="8" s="1"/>
  <c r="E1219" i="31" s="1"/>
  <c r="E1342" i="8"/>
  <c r="G1342" i="8" s="1"/>
  <c r="E1220" i="31" s="1"/>
  <c r="E1343" i="8"/>
  <c r="E1344" i="8"/>
  <c r="G1344" i="8" s="1"/>
  <c r="E1345" i="8"/>
  <c r="G1345" i="8" s="1"/>
  <c r="E1222" i="31" s="1"/>
  <c r="E1346" i="8"/>
  <c r="G1346" i="8" s="1"/>
  <c r="E1223" i="31" s="1"/>
  <c r="E1347" i="8"/>
  <c r="E1348" i="8"/>
  <c r="G1348" i="8" s="1"/>
  <c r="E1225" i="31" s="1"/>
  <c r="E1355" i="8"/>
  <c r="E1366" i="8"/>
  <c r="G1366" i="8" s="1"/>
  <c r="E1367" i="8"/>
  <c r="E1368" i="8"/>
  <c r="G1368" i="8" s="1"/>
  <c r="E1243" i="31" s="1"/>
  <c r="E1369" i="8"/>
  <c r="G1369" i="8" s="1"/>
  <c r="E1244" i="31" s="1"/>
  <c r="E1370" i="8"/>
  <c r="G1370" i="8" s="1"/>
  <c r="E1245" i="31" s="1"/>
  <c r="E1371" i="8"/>
  <c r="E1372" i="8"/>
  <c r="G1372" i="8" s="1"/>
  <c r="E1247" i="31" s="1"/>
  <c r="E1373" i="8"/>
  <c r="G1373" i="8" s="1"/>
  <c r="E1248" i="31" s="1"/>
  <c r="E1374" i="8"/>
  <c r="G1374" i="8" s="1"/>
  <c r="E1249" i="31" s="1"/>
  <c r="E1375" i="8"/>
  <c r="E1376" i="8"/>
  <c r="G1376" i="8" s="1"/>
  <c r="E1251" i="31" s="1"/>
  <c r="E1377" i="8"/>
  <c r="G1377" i="8" s="1"/>
  <c r="E1378" i="8"/>
  <c r="G1378" i="8" s="1"/>
  <c r="E1252" i="31" s="1"/>
  <c r="E1388" i="8"/>
  <c r="G1388" i="8" s="1"/>
  <c r="E1389" i="8"/>
  <c r="G1389" i="8" s="1"/>
  <c r="E1262" i="31" s="1"/>
  <c r="E1399" i="8"/>
  <c r="E1400" i="8"/>
  <c r="G1400" i="8" s="1"/>
  <c r="E1272" i="31" s="1"/>
  <c r="E1401" i="8"/>
  <c r="G1401" i="8" s="1"/>
  <c r="E1273" i="31" s="1"/>
  <c r="E1402" i="8"/>
  <c r="G1402" i="8" s="1"/>
  <c r="E1274" i="31" s="1"/>
  <c r="E1410" i="8"/>
  <c r="G1410" i="8" s="1"/>
  <c r="E1421" i="8"/>
  <c r="G1421" i="8" s="1"/>
  <c r="E1422" i="8"/>
  <c r="G1422" i="8" s="1"/>
  <c r="E1292" i="31" s="1"/>
  <c r="E1423" i="8"/>
  <c r="E1424" i="8"/>
  <c r="G1424" i="8" s="1"/>
  <c r="E1294" i="31" s="1"/>
  <c r="E1425" i="8"/>
  <c r="G1425" i="8" s="1"/>
  <c r="E1295" i="31" s="1"/>
  <c r="E1432" i="8"/>
  <c r="G1432" i="8" s="1"/>
  <c r="E1443" i="8"/>
  <c r="E1444" i="8"/>
  <c r="G1444" i="8" s="1"/>
  <c r="E1312" i="31" s="1"/>
  <c r="E1454" i="8"/>
  <c r="G1454" i="8" s="1"/>
  <c r="E1465" i="8"/>
  <c r="G1465" i="8" s="1"/>
  <c r="E1466" i="8"/>
  <c r="G1466" i="8" s="1"/>
  <c r="E1332" i="31" s="1"/>
  <c r="E1467" i="8"/>
  <c r="E1468" i="8"/>
  <c r="G1468" i="8" s="1"/>
  <c r="E1334" i="31" s="1"/>
  <c r="E1469" i="8"/>
  <c r="G1469" i="8" s="1"/>
  <c r="E1335" i="31" s="1"/>
  <c r="E1470" i="8"/>
  <c r="G1470" i="8" s="1"/>
  <c r="E1336" i="31" s="1"/>
  <c r="E1476" i="8"/>
  <c r="G1476" i="8" s="1"/>
  <c r="E1477" i="8"/>
  <c r="G1477" i="8" s="1"/>
  <c r="E1342" i="31" s="1"/>
  <c r="E1478" i="8"/>
  <c r="G1478" i="8" s="1"/>
  <c r="E1343" i="31" s="1"/>
  <c r="E1479" i="8"/>
  <c r="E1480" i="8"/>
  <c r="G1480" i="8" s="1"/>
  <c r="E1345" i="31" s="1"/>
  <c r="E1481" i="8"/>
  <c r="G1481" i="8" s="1"/>
  <c r="E1346" i="31" s="1"/>
  <c r="E1482" i="8"/>
  <c r="G1482" i="8" s="1"/>
  <c r="E1347" i="31" s="1"/>
  <c r="E1483" i="8"/>
  <c r="E1484" i="8"/>
  <c r="G1484" i="8" s="1"/>
  <c r="E1349" i="31" s="1"/>
  <c r="E1485" i="8"/>
  <c r="G1485" i="8" s="1"/>
  <c r="E1350" i="31" s="1"/>
  <c r="E1486" i="8"/>
  <c r="G1486" i="8" s="1"/>
  <c r="E1351" i="31" s="1"/>
  <c r="E1487" i="8"/>
  <c r="E1488" i="8"/>
  <c r="G1488" i="8" s="1"/>
  <c r="E1352" i="31" s="1"/>
  <c r="E1489" i="8"/>
  <c r="G1489" i="8" s="1"/>
  <c r="E1353" i="31" s="1"/>
  <c r="E1490" i="8"/>
  <c r="G1490" i="8" s="1"/>
  <c r="E1354" i="31" s="1"/>
  <c r="E1491" i="8"/>
  <c r="E1492" i="8"/>
  <c r="G1492" i="8" s="1"/>
  <c r="E1356" i="31" s="1"/>
  <c r="E1493" i="8"/>
  <c r="G1493" i="8" s="1"/>
  <c r="E1357" i="31" s="1"/>
  <c r="E1494" i="8"/>
  <c r="G1494" i="8" s="1"/>
  <c r="E1358" i="31" s="1"/>
  <c r="E1498" i="8"/>
  <c r="G1498" i="8" s="1"/>
  <c r="E1499" i="8"/>
  <c r="E1509" i="8"/>
  <c r="G1509" i="8" s="1"/>
  <c r="E1510" i="8"/>
  <c r="G1510" i="8" s="1"/>
  <c r="E1372" i="31" s="1"/>
  <c r="E1511" i="8"/>
  <c r="E1512" i="8"/>
  <c r="G1512" i="8" s="1"/>
  <c r="E1374" i="31" s="1"/>
  <c r="E1513" i="8"/>
  <c r="G1513" i="8" s="1"/>
  <c r="E1375" i="31" s="1"/>
  <c r="E1514" i="8"/>
  <c r="G1514" i="8" s="1"/>
  <c r="E1376" i="31" s="1"/>
  <c r="E1515" i="8"/>
  <c r="E1516" i="8"/>
  <c r="G1516" i="8" s="1"/>
  <c r="E1378" i="31" s="1"/>
  <c r="E1517" i="8"/>
  <c r="G1517" i="8" s="1"/>
  <c r="E1379" i="31" s="1"/>
  <c r="E1518" i="8"/>
  <c r="G1518" i="8" s="1"/>
  <c r="E1380" i="31" s="1"/>
  <c r="E1520" i="8"/>
  <c r="G1520" i="8" s="1"/>
  <c r="E1531" i="8"/>
  <c r="E1542" i="8"/>
  <c r="G1542" i="8" s="1"/>
  <c r="E1543" i="8"/>
  <c r="E1544" i="8"/>
  <c r="G1544" i="8" s="1"/>
  <c r="E1403" i="31" s="1"/>
  <c r="E1545" i="8"/>
  <c r="G1545" i="8" s="1"/>
  <c r="E1404" i="31" s="1"/>
  <c r="E1546" i="8"/>
  <c r="G1546" i="8" s="1"/>
  <c r="E1405" i="31" s="1"/>
  <c r="E1547" i="8"/>
  <c r="E1548" i="8"/>
  <c r="G1548" i="8" s="1"/>
  <c r="E1407" i="31" s="1"/>
  <c r="E1549" i="8"/>
  <c r="G1549" i="8" s="1"/>
  <c r="E1408" i="31" s="1"/>
  <c r="E1550" i="8"/>
  <c r="G1550" i="8" s="1"/>
  <c r="E1409" i="31" s="1"/>
  <c r="E1551" i="8"/>
  <c r="E1552" i="8"/>
  <c r="G1552" i="8" s="1"/>
  <c r="E1411" i="31" s="1"/>
  <c r="E1553" i="8"/>
  <c r="G1553" i="8" s="1"/>
  <c r="E1554" i="8"/>
  <c r="G1554" i="8" s="1"/>
  <c r="E1412" i="31" s="1"/>
  <c r="E1555" i="8"/>
  <c r="E1557" i="8"/>
  <c r="G1557" i="8" s="1"/>
  <c r="E1415" i="31" s="1"/>
  <c r="E1564" i="8"/>
  <c r="G1564" i="8" s="1"/>
  <c r="E1565" i="8"/>
  <c r="G1565" i="8" s="1"/>
  <c r="E1422" i="31" s="1"/>
  <c r="E1566" i="8"/>
  <c r="G1566" i="8" s="1"/>
  <c r="E1423" i="31" s="1"/>
  <c r="E1567" i="8"/>
  <c r="E1568" i="8"/>
  <c r="G1568" i="8" s="1"/>
  <c r="E1425" i="31" s="1"/>
  <c r="E1569" i="8"/>
  <c r="G1569" i="8" s="1"/>
  <c r="E1426" i="31" s="1"/>
  <c r="E1570" i="8"/>
  <c r="G1570" i="8" s="1"/>
  <c r="E1427" i="31" s="1"/>
  <c r="E1571" i="8"/>
  <c r="E1572" i="8"/>
  <c r="G1572" i="8" s="1"/>
  <c r="E1429" i="31" s="1"/>
  <c r="E1573" i="8"/>
  <c r="G1573" i="8" s="1"/>
  <c r="E1430" i="31" s="1"/>
  <c r="E1574" i="8"/>
  <c r="G1574" i="8" s="1"/>
  <c r="E1431" i="31" s="1"/>
  <c r="E1575" i="8"/>
  <c r="E1576" i="8"/>
  <c r="G1576" i="8" s="1"/>
  <c r="E1432" i="31" s="1"/>
  <c r="E1577" i="8"/>
  <c r="G1577" i="8" s="1"/>
  <c r="E1433" i="31" s="1"/>
  <c r="E1586" i="8"/>
  <c r="G1586" i="8" s="1"/>
  <c r="E1587" i="8"/>
  <c r="E1588" i="8"/>
  <c r="G1588" i="8" s="1"/>
  <c r="E1443" i="31" s="1"/>
  <c r="E1589" i="8"/>
  <c r="G1589" i="8" s="1"/>
  <c r="E1444" i="31" s="1"/>
  <c r="E1590" i="8"/>
  <c r="G1590" i="8" s="1"/>
  <c r="E1445" i="31" s="1"/>
  <c r="E1591" i="8"/>
  <c r="E1592" i="8"/>
  <c r="G1592" i="8" s="1"/>
  <c r="E1447" i="31" s="1"/>
  <c r="E1593" i="8"/>
  <c r="G1593" i="8" s="1"/>
  <c r="E1448" i="31" s="1"/>
  <c r="E1594" i="8"/>
  <c r="G1594" i="8" s="1"/>
  <c r="E1449" i="31" s="1"/>
  <c r="E1595" i="8"/>
  <c r="E1596" i="8"/>
  <c r="G1596" i="8" s="1"/>
  <c r="E1451" i="31" s="1"/>
  <c r="E1597" i="8"/>
  <c r="G1597" i="8" s="1"/>
  <c r="E1598" i="8"/>
  <c r="G1598" i="8" s="1"/>
  <c r="E1452" i="31" s="1"/>
  <c r="E1599" i="8"/>
  <c r="E1600" i="8"/>
  <c r="G1600" i="8" s="1"/>
  <c r="E1454" i="31" s="1"/>
  <c r="E1601" i="8"/>
  <c r="G1601" i="8" s="1"/>
  <c r="E1455" i="31" s="1"/>
  <c r="E1602" i="8"/>
  <c r="G1602" i="8" s="1"/>
  <c r="E1456" i="31" s="1"/>
  <c r="E1603" i="8"/>
  <c r="E1604" i="8"/>
  <c r="G1604" i="8" s="1"/>
  <c r="E1458" i="31" s="1"/>
  <c r="E1605" i="8"/>
  <c r="G1605" i="8" s="1"/>
  <c r="E1459" i="31" s="1"/>
  <c r="E1606" i="8"/>
  <c r="G1606" i="8" s="1"/>
  <c r="E1460" i="31" s="1"/>
  <c r="E1607" i="8"/>
  <c r="E1608" i="8"/>
  <c r="G1608" i="8" s="1"/>
  <c r="E1609" i="8"/>
  <c r="G1609" i="8" s="1"/>
  <c r="E1462" i="31" s="1"/>
  <c r="E1610" i="8"/>
  <c r="G1610" i="8" s="1"/>
  <c r="E1463" i="31" s="1"/>
  <c r="E1611" i="8"/>
  <c r="E1612" i="8"/>
  <c r="G1612" i="8" s="1"/>
  <c r="E1465" i="31" s="1"/>
  <c r="E1613" i="8"/>
  <c r="G1613" i="8" s="1"/>
  <c r="E1466" i="31" s="1"/>
  <c r="E1614" i="8"/>
  <c r="G1614" i="8" s="1"/>
  <c r="E1467" i="31" s="1"/>
  <c r="E1615" i="8"/>
  <c r="E1616" i="8"/>
  <c r="G1616" i="8" s="1"/>
  <c r="E1469" i="31" s="1"/>
  <c r="E1617" i="8"/>
  <c r="G1617" i="8" s="1"/>
  <c r="E1470" i="31" s="1"/>
  <c r="E1618" i="8"/>
  <c r="G1618" i="8" s="1"/>
  <c r="E1471" i="31" s="1"/>
  <c r="E1619" i="8"/>
  <c r="E1620" i="8"/>
  <c r="G1620" i="8" s="1"/>
  <c r="E1472" i="31" s="1"/>
  <c r="E1621" i="8"/>
  <c r="G1621" i="8" s="1"/>
  <c r="E1473" i="31" s="1"/>
  <c r="E1622" i="8"/>
  <c r="G1622" i="8" s="1"/>
  <c r="E1474" i="31" s="1"/>
  <c r="E1623" i="8"/>
  <c r="E1624" i="8"/>
  <c r="G1624" i="8" s="1"/>
  <c r="E1476" i="31" s="1"/>
  <c r="E1625" i="8"/>
  <c r="G1625" i="8" s="1"/>
  <c r="E1477" i="31" s="1"/>
  <c r="E1626" i="8"/>
  <c r="G1626" i="8" s="1"/>
  <c r="E1478" i="31" s="1"/>
  <c r="E1627" i="8"/>
  <c r="E1628" i="8"/>
  <c r="G1628" i="8" s="1"/>
  <c r="E1480" i="31" s="1"/>
  <c r="E1629" i="8"/>
  <c r="G1629" i="8" s="1"/>
  <c r="E1481" i="31" s="1"/>
  <c r="N1112" i="6"/>
  <c r="M1112" i="6"/>
  <c r="M1112" i="23" s="1"/>
  <c r="L1112" i="6"/>
  <c r="K1112" i="6"/>
  <c r="P1112" i="23" s="1"/>
  <c r="R1112" i="23" s="1"/>
  <c r="Z1011" i="31" s="1"/>
  <c r="J1112" i="6"/>
  <c r="J1112" i="23" s="1"/>
  <c r="I1112" i="6"/>
  <c r="Q1112" i="23" s="1"/>
  <c r="H1112" i="6"/>
  <c r="F1112" i="23" s="1"/>
  <c r="G1112" i="6"/>
  <c r="F1112" i="6"/>
  <c r="E1112" i="23" s="1"/>
  <c r="E1112" i="6"/>
  <c r="N1111" i="6"/>
  <c r="M1111" i="6"/>
  <c r="M1111" i="23" s="1"/>
  <c r="L1111" i="6"/>
  <c r="K1111" i="6"/>
  <c r="P1111" i="23" s="1"/>
  <c r="J1111" i="6"/>
  <c r="J1111" i="23" s="1"/>
  <c r="I1111" i="6"/>
  <c r="Q1111" i="23" s="1"/>
  <c r="H1111" i="6"/>
  <c r="F1111" i="23" s="1"/>
  <c r="G1111" i="6"/>
  <c r="F1111" i="6"/>
  <c r="E1111" i="23" s="1"/>
  <c r="G1111" i="23" s="1"/>
  <c r="E1111" i="6"/>
  <c r="N1110" i="6"/>
  <c r="M1110" i="6"/>
  <c r="M1110" i="23" s="1"/>
  <c r="L1110" i="6"/>
  <c r="K1110" i="6"/>
  <c r="P1110" i="23" s="1"/>
  <c r="R1110" i="23" s="1"/>
  <c r="Z1009" i="31" s="1"/>
  <c r="J1110" i="6"/>
  <c r="J1110" i="23" s="1"/>
  <c r="I1110" i="6"/>
  <c r="Q1110" i="23" s="1"/>
  <c r="H1110" i="6"/>
  <c r="F1110" i="23" s="1"/>
  <c r="G1110" i="6"/>
  <c r="F1110" i="6"/>
  <c r="E1110" i="23" s="1"/>
  <c r="E1110" i="6"/>
  <c r="N1109" i="6"/>
  <c r="M1109" i="6"/>
  <c r="M1109" i="23" s="1"/>
  <c r="L1109" i="6"/>
  <c r="K1109" i="6"/>
  <c r="P1109" i="23" s="1"/>
  <c r="J1109" i="6"/>
  <c r="J1109" i="23" s="1"/>
  <c r="I1109" i="6"/>
  <c r="Q1109" i="23" s="1"/>
  <c r="H1109" i="6"/>
  <c r="F1109" i="23" s="1"/>
  <c r="G1109" i="6"/>
  <c r="F1109" i="6"/>
  <c r="E1109" i="23" s="1"/>
  <c r="G1109" i="23" s="1"/>
  <c r="E1109" i="6"/>
  <c r="N1108" i="6"/>
  <c r="M1108" i="6"/>
  <c r="M1108" i="23" s="1"/>
  <c r="L1108" i="6"/>
  <c r="K1108" i="6"/>
  <c r="P1108" i="23" s="1"/>
  <c r="R1108" i="23" s="1"/>
  <c r="Z1007" i="31" s="1"/>
  <c r="J1108" i="6"/>
  <c r="J1108" i="23" s="1"/>
  <c r="I1108" i="6"/>
  <c r="Q1108" i="23" s="1"/>
  <c r="H1108" i="6"/>
  <c r="F1108" i="23" s="1"/>
  <c r="G1108" i="6"/>
  <c r="F1108" i="6"/>
  <c r="E1108" i="23" s="1"/>
  <c r="E1108" i="6"/>
  <c r="N1107" i="6"/>
  <c r="M1107" i="6"/>
  <c r="M1107" i="23" s="1"/>
  <c r="L1107" i="6"/>
  <c r="K1107" i="6"/>
  <c r="P1107" i="23" s="1"/>
  <c r="J1107" i="6"/>
  <c r="J1107" i="23" s="1"/>
  <c r="I1107" i="6"/>
  <c r="Q1107" i="23" s="1"/>
  <c r="H1107" i="6"/>
  <c r="F1107" i="23" s="1"/>
  <c r="G1107" i="6"/>
  <c r="F1107" i="6"/>
  <c r="E1107" i="23" s="1"/>
  <c r="G1107" i="23" s="1"/>
  <c r="E1107" i="6"/>
  <c r="N1106" i="6"/>
  <c r="M1106" i="6"/>
  <c r="M1106" i="23" s="1"/>
  <c r="L1106" i="6"/>
  <c r="K1106" i="6"/>
  <c r="P1106" i="23" s="1"/>
  <c r="R1106" i="23" s="1"/>
  <c r="Z1005" i="31" s="1"/>
  <c r="J1106" i="6"/>
  <c r="J1106" i="23" s="1"/>
  <c r="I1106" i="6"/>
  <c r="Q1106" i="23" s="1"/>
  <c r="H1106" i="6"/>
  <c r="F1106" i="23" s="1"/>
  <c r="G1106" i="6"/>
  <c r="F1106" i="6"/>
  <c r="E1106" i="23" s="1"/>
  <c r="E1106" i="6"/>
  <c r="E1105" i="6"/>
  <c r="N1105" i="6"/>
  <c r="M1105" i="6"/>
  <c r="M1105" i="23" s="1"/>
  <c r="L1105" i="6"/>
  <c r="K1105" i="6"/>
  <c r="P1105" i="23" s="1"/>
  <c r="R1105" i="23" s="1"/>
  <c r="Z1004" i="31" s="1"/>
  <c r="J1105" i="6"/>
  <c r="J1105" i="23" s="1"/>
  <c r="I1105" i="6"/>
  <c r="Q1105" i="23" s="1"/>
  <c r="H1105" i="6"/>
  <c r="F1105" i="23" s="1"/>
  <c r="G1104" i="6"/>
  <c r="G1105" i="6"/>
  <c r="F1105" i="6"/>
  <c r="E1105" i="23" s="1"/>
  <c r="G1105" i="23" s="1"/>
  <c r="N1104" i="6"/>
  <c r="M1104" i="6"/>
  <c r="M1104" i="23" s="1"/>
  <c r="L1104" i="6"/>
  <c r="K1104" i="6"/>
  <c r="P1104" i="23" s="1"/>
  <c r="J1104" i="6"/>
  <c r="J1104" i="23" s="1"/>
  <c r="I1104" i="6"/>
  <c r="Q1104" i="23" s="1"/>
  <c r="H1104" i="6"/>
  <c r="F1104" i="23" s="1"/>
  <c r="F1104" i="6"/>
  <c r="E1104" i="23" s="1"/>
  <c r="E1104" i="6"/>
  <c r="T1104" i="6"/>
  <c r="E1104" i="19" s="1"/>
  <c r="T1105" i="6"/>
  <c r="E1105" i="19" s="1"/>
  <c r="T1106" i="6"/>
  <c r="E1106" i="19" s="1"/>
  <c r="T1107" i="6"/>
  <c r="E1107" i="19" s="1"/>
  <c r="T1108" i="6"/>
  <c r="E1108" i="19" s="1"/>
  <c r="T1109" i="6"/>
  <c r="E1109" i="19" s="1"/>
  <c r="T1110" i="6"/>
  <c r="E1110" i="19" s="1"/>
  <c r="T1111" i="6"/>
  <c r="E1111" i="19" s="1"/>
  <c r="T1112" i="6"/>
  <c r="E1112" i="19" s="1"/>
  <c r="T1103" i="6"/>
  <c r="E1103" i="19" s="1"/>
  <c r="N1103" i="6"/>
  <c r="M1103" i="6"/>
  <c r="M1103" i="23" s="1"/>
  <c r="L1103" i="6"/>
  <c r="L1102" i="6"/>
  <c r="K1103" i="6"/>
  <c r="P1103" i="23" s="1"/>
  <c r="J1103" i="6"/>
  <c r="J1103" i="23" s="1"/>
  <c r="I1103" i="6"/>
  <c r="Q1103" i="23" s="1"/>
  <c r="H1103" i="6"/>
  <c r="F1103" i="23" s="1"/>
  <c r="G1103" i="6"/>
  <c r="F1103" i="6"/>
  <c r="E1103" i="23" s="1"/>
  <c r="E1103" i="6"/>
  <c r="N1068" i="6"/>
  <c r="M1068" i="6"/>
  <c r="M1068" i="23" s="1"/>
  <c r="L1068" i="6"/>
  <c r="K1068" i="6"/>
  <c r="P1068" i="23" s="1"/>
  <c r="R1068" i="23" s="1"/>
  <c r="Z971" i="31" s="1"/>
  <c r="J1068" i="6"/>
  <c r="J1068" i="23" s="1"/>
  <c r="I1068" i="6"/>
  <c r="Q1068" i="23" s="1"/>
  <c r="H1068" i="6"/>
  <c r="F1068" i="23" s="1"/>
  <c r="G1068" i="6"/>
  <c r="F1068" i="6"/>
  <c r="E1068" i="23" s="1"/>
  <c r="G1068" i="23" s="1"/>
  <c r="E1068" i="6"/>
  <c r="N1067" i="6"/>
  <c r="M1067" i="6"/>
  <c r="M1067" i="23" s="1"/>
  <c r="L1067" i="6"/>
  <c r="K1067" i="6"/>
  <c r="P1067" i="23" s="1"/>
  <c r="J1067" i="6"/>
  <c r="J1067" i="23" s="1"/>
  <c r="I1067" i="6"/>
  <c r="Q1067" i="23" s="1"/>
  <c r="H1067" i="6"/>
  <c r="F1067" i="23" s="1"/>
  <c r="G1067" i="6"/>
  <c r="F1067" i="6"/>
  <c r="E1067" i="23" s="1"/>
  <c r="E1067" i="6"/>
  <c r="N1066" i="6"/>
  <c r="M1066" i="6"/>
  <c r="M1066" i="23" s="1"/>
  <c r="L1066" i="6"/>
  <c r="K1066" i="6"/>
  <c r="P1066" i="23" s="1"/>
  <c r="R1066" i="23" s="1"/>
  <c r="Z969" i="31" s="1"/>
  <c r="J1066" i="6"/>
  <c r="J1066" i="23" s="1"/>
  <c r="I1066" i="6"/>
  <c r="Q1066" i="23" s="1"/>
  <c r="H1066" i="6"/>
  <c r="F1066" i="23" s="1"/>
  <c r="G1066" i="6"/>
  <c r="F1066" i="6"/>
  <c r="E1066" i="23" s="1"/>
  <c r="G1066" i="23" s="1"/>
  <c r="E1066" i="6"/>
  <c r="N1065" i="6"/>
  <c r="M1065" i="6"/>
  <c r="M1065" i="23" s="1"/>
  <c r="L1065" i="6"/>
  <c r="K1065" i="6"/>
  <c r="P1065" i="23" s="1"/>
  <c r="J1065" i="6"/>
  <c r="J1065" i="23" s="1"/>
  <c r="I1065" i="6"/>
  <c r="Q1065" i="23" s="1"/>
  <c r="H1065" i="6"/>
  <c r="F1065" i="23" s="1"/>
  <c r="G1065" i="6"/>
  <c r="F1065" i="6"/>
  <c r="E1065" i="23" s="1"/>
  <c r="E1065" i="6"/>
  <c r="N1064" i="6"/>
  <c r="M1064" i="6"/>
  <c r="M1064" i="23" s="1"/>
  <c r="L1064" i="6"/>
  <c r="K1064" i="6"/>
  <c r="P1064" i="23" s="1"/>
  <c r="R1064" i="23" s="1"/>
  <c r="Z967" i="31" s="1"/>
  <c r="J1063" i="6"/>
  <c r="J1063" i="23" s="1"/>
  <c r="J1064" i="6"/>
  <c r="J1064" i="23" s="1"/>
  <c r="I1064" i="6"/>
  <c r="Q1064" i="23" s="1"/>
  <c r="H1064" i="6"/>
  <c r="F1064" i="23" s="1"/>
  <c r="G1064" i="6"/>
  <c r="F1064" i="6"/>
  <c r="E1064" i="23" s="1"/>
  <c r="E1064" i="6"/>
  <c r="N1063" i="6"/>
  <c r="M1063" i="6"/>
  <c r="M1063" i="23" s="1"/>
  <c r="L1063" i="6"/>
  <c r="K1063" i="6"/>
  <c r="P1063" i="23" s="1"/>
  <c r="I1063" i="6"/>
  <c r="Q1063" i="23" s="1"/>
  <c r="H1063" i="6"/>
  <c r="F1063" i="23" s="1"/>
  <c r="G1063" i="6"/>
  <c r="F1063" i="6"/>
  <c r="E1063" i="23" s="1"/>
  <c r="E1063" i="6"/>
  <c r="N1062" i="6"/>
  <c r="N1061" i="6"/>
  <c r="M1062" i="6"/>
  <c r="M1062" i="23" s="1"/>
  <c r="M1061" i="6"/>
  <c r="M1061" i="23" s="1"/>
  <c r="L1062" i="6"/>
  <c r="L1061" i="6"/>
  <c r="K1062" i="6"/>
  <c r="P1062" i="23" s="1"/>
  <c r="K1061" i="6"/>
  <c r="P1061" i="23" s="1"/>
  <c r="R1061" i="23" s="1"/>
  <c r="Z964" i="31" s="1"/>
  <c r="J1062" i="6"/>
  <c r="J1062" i="23" s="1"/>
  <c r="J1061" i="6"/>
  <c r="J1061" i="23" s="1"/>
  <c r="I1062" i="6"/>
  <c r="Q1062" i="23" s="1"/>
  <c r="I1061" i="6"/>
  <c r="Q1061" i="23" s="1"/>
  <c r="H1062" i="6"/>
  <c r="F1062" i="23" s="1"/>
  <c r="H1061" i="6"/>
  <c r="F1061" i="23" s="1"/>
  <c r="G1062" i="6"/>
  <c r="G1061" i="6"/>
  <c r="F1062" i="6"/>
  <c r="E1062" i="23" s="1"/>
  <c r="G1062" i="23" s="1"/>
  <c r="F1061" i="6"/>
  <c r="E1061" i="23" s="1"/>
  <c r="G1061" i="23" s="1"/>
  <c r="E1062" i="6"/>
  <c r="E1061" i="6"/>
  <c r="T1062" i="6"/>
  <c r="E1062" i="19" s="1"/>
  <c r="T1063" i="6"/>
  <c r="E1063" i="19" s="1"/>
  <c r="T1064" i="6"/>
  <c r="E1064" i="19" s="1"/>
  <c r="T1065" i="6"/>
  <c r="E1065" i="19" s="1"/>
  <c r="T1066" i="6"/>
  <c r="E1066" i="19" s="1"/>
  <c r="T1067" i="6"/>
  <c r="E1067" i="19" s="1"/>
  <c r="T1068" i="6"/>
  <c r="E1068" i="19" s="1"/>
  <c r="L849" i="6"/>
  <c r="N859" i="6"/>
  <c r="M859" i="6"/>
  <c r="M859" i="23" s="1"/>
  <c r="L859" i="6"/>
  <c r="K859" i="6"/>
  <c r="P859" i="23" s="1"/>
  <c r="R859" i="23" s="1"/>
  <c r="Z781" i="31" s="1"/>
  <c r="J859" i="6"/>
  <c r="J859" i="23" s="1"/>
  <c r="I859" i="6"/>
  <c r="Q859" i="23" s="1"/>
  <c r="H859" i="6"/>
  <c r="F859" i="23" s="1"/>
  <c r="G859" i="6"/>
  <c r="F859" i="6"/>
  <c r="E859" i="23" s="1"/>
  <c r="G859" i="23" s="1"/>
  <c r="E859" i="6"/>
  <c r="N858" i="6"/>
  <c r="M858" i="6"/>
  <c r="M858" i="23" s="1"/>
  <c r="L858" i="6"/>
  <c r="K858" i="6"/>
  <c r="P858" i="23" s="1"/>
  <c r="J858" i="6"/>
  <c r="J858" i="23" s="1"/>
  <c r="I858" i="6"/>
  <c r="Q858" i="23" s="1"/>
  <c r="H858" i="6"/>
  <c r="F858" i="23" s="1"/>
  <c r="G858" i="6"/>
  <c r="F858" i="6"/>
  <c r="E858" i="23" s="1"/>
  <c r="E858" i="6"/>
  <c r="N857" i="6"/>
  <c r="M857" i="6"/>
  <c r="M857" i="23" s="1"/>
  <c r="L857" i="6"/>
  <c r="K857" i="6"/>
  <c r="P857" i="23" s="1"/>
  <c r="R857" i="23" s="1"/>
  <c r="Z779" i="31" s="1"/>
  <c r="J857" i="6"/>
  <c r="J857" i="23" s="1"/>
  <c r="I857" i="6"/>
  <c r="Q857" i="23" s="1"/>
  <c r="H857" i="6"/>
  <c r="F857" i="23" s="1"/>
  <c r="G856" i="6"/>
  <c r="G857" i="6"/>
  <c r="F857" i="6"/>
  <c r="E857" i="23" s="1"/>
  <c r="G857" i="23" s="1"/>
  <c r="E857" i="6"/>
  <c r="T855" i="6"/>
  <c r="E855" i="19" s="1"/>
  <c r="T854" i="6"/>
  <c r="E854" i="19" s="1"/>
  <c r="N856" i="6"/>
  <c r="M856" i="6"/>
  <c r="M856" i="23" s="1"/>
  <c r="L856" i="6"/>
  <c r="K856" i="6"/>
  <c r="P856" i="23" s="1"/>
  <c r="R856" i="23" s="1"/>
  <c r="Z778" i="31" s="1"/>
  <c r="J856" i="6"/>
  <c r="J856" i="23" s="1"/>
  <c r="I856" i="6"/>
  <c r="Q856" i="23" s="1"/>
  <c r="H856" i="6"/>
  <c r="F856" i="23" s="1"/>
  <c r="F856" i="6"/>
  <c r="E856" i="23" s="1"/>
  <c r="E856" i="6"/>
  <c r="N855" i="6"/>
  <c r="N854" i="6"/>
  <c r="M855" i="6"/>
  <c r="M855" i="23" s="1"/>
  <c r="M854" i="6"/>
  <c r="M854" i="23" s="1"/>
  <c r="L855" i="6"/>
  <c r="L854" i="6"/>
  <c r="K855" i="6"/>
  <c r="P855" i="23" s="1"/>
  <c r="K854" i="6"/>
  <c r="P854" i="23" s="1"/>
  <c r="J855" i="6"/>
  <c r="J855" i="23" s="1"/>
  <c r="J854" i="6"/>
  <c r="J854" i="23" s="1"/>
  <c r="I855" i="6"/>
  <c r="Q855" i="23" s="1"/>
  <c r="I854" i="6"/>
  <c r="Q854" i="23" s="1"/>
  <c r="H855" i="6"/>
  <c r="F855" i="23" s="1"/>
  <c r="H854" i="6"/>
  <c r="F854" i="23" s="1"/>
  <c r="G855" i="6"/>
  <c r="G854" i="6"/>
  <c r="F855" i="6"/>
  <c r="E855" i="23" s="1"/>
  <c r="G855" i="23" s="1"/>
  <c r="F854" i="6"/>
  <c r="E854" i="23" s="1"/>
  <c r="E855" i="6"/>
  <c r="E854" i="6"/>
  <c r="T856" i="6"/>
  <c r="E856" i="19" s="1"/>
  <c r="T857" i="6"/>
  <c r="E857" i="19" s="1"/>
  <c r="T858" i="6"/>
  <c r="E858" i="19" s="1"/>
  <c r="T859" i="6"/>
  <c r="E859" i="19" s="1"/>
  <c r="T853" i="6"/>
  <c r="E853" i="19" s="1"/>
  <c r="N853" i="6"/>
  <c r="M853" i="6"/>
  <c r="M853" i="23" s="1"/>
  <c r="L853" i="6"/>
  <c r="K853" i="6"/>
  <c r="P853" i="23" s="1"/>
  <c r="J853" i="6"/>
  <c r="J853" i="23" s="1"/>
  <c r="I853" i="6"/>
  <c r="Q853" i="23" s="1"/>
  <c r="H853" i="6"/>
  <c r="F853" i="23" s="1"/>
  <c r="G853" i="6"/>
  <c r="F853" i="6"/>
  <c r="E853" i="23" s="1"/>
  <c r="G853" i="23" s="1"/>
  <c r="E853" i="6"/>
  <c r="N852" i="6"/>
  <c r="M852" i="6"/>
  <c r="M852" i="23" s="1"/>
  <c r="L852" i="6"/>
  <c r="K852" i="6"/>
  <c r="P852" i="23" s="1"/>
  <c r="R852" i="23" s="1"/>
  <c r="Z774" i="31" s="1"/>
  <c r="J852" i="6"/>
  <c r="J852" i="23" s="1"/>
  <c r="I852" i="6"/>
  <c r="Q852" i="23" s="1"/>
  <c r="H852" i="6"/>
  <c r="F852" i="23" s="1"/>
  <c r="G852" i="6"/>
  <c r="F852" i="6"/>
  <c r="E852" i="23" s="1"/>
  <c r="E852" i="6"/>
  <c r="N851" i="6"/>
  <c r="M851" i="6"/>
  <c r="M851" i="23" s="1"/>
  <c r="L851" i="6"/>
  <c r="K851" i="6"/>
  <c r="P851" i="23" s="1"/>
  <c r="J851" i="6"/>
  <c r="J851" i="23" s="1"/>
  <c r="I851" i="6"/>
  <c r="Q851" i="23" s="1"/>
  <c r="H851" i="6"/>
  <c r="F851" i="23" s="1"/>
  <c r="G851" i="6"/>
  <c r="F851" i="6"/>
  <c r="E851" i="23" s="1"/>
  <c r="G851" i="23" s="1"/>
  <c r="E851" i="6"/>
  <c r="N850" i="6"/>
  <c r="M850" i="6"/>
  <c r="M850" i="23" s="1"/>
  <c r="L850" i="6"/>
  <c r="K850" i="6"/>
  <c r="P850" i="23" s="1"/>
  <c r="R850" i="23" s="1"/>
  <c r="Z772" i="31" s="1"/>
  <c r="J850" i="6"/>
  <c r="J850" i="23" s="1"/>
  <c r="I850" i="6"/>
  <c r="Q850" i="23" s="1"/>
  <c r="H850" i="6"/>
  <c r="F850" i="23" s="1"/>
  <c r="G850" i="6"/>
  <c r="F850" i="6"/>
  <c r="E850" i="23" s="1"/>
  <c r="E850" i="6"/>
  <c r="X749" i="6"/>
  <c r="E749" i="29" s="1"/>
  <c r="T681" i="31" s="1"/>
  <c r="V749" i="6"/>
  <c r="E749" i="28" s="1"/>
  <c r="N749" i="6"/>
  <c r="M749" i="6"/>
  <c r="M749" i="23" s="1"/>
  <c r="L749" i="6"/>
  <c r="K749" i="6"/>
  <c r="P749" i="23" s="1"/>
  <c r="R749" i="23" s="1"/>
  <c r="Z681" i="31" s="1"/>
  <c r="J749" i="6"/>
  <c r="J749" i="23" s="1"/>
  <c r="I749" i="6"/>
  <c r="Q749" i="23" s="1"/>
  <c r="H749" i="6"/>
  <c r="F749" i="23" s="1"/>
  <c r="G749" i="6"/>
  <c r="F749" i="6"/>
  <c r="E749" i="23" s="1"/>
  <c r="E749" i="6"/>
  <c r="X748" i="6"/>
  <c r="E748" i="29" s="1"/>
  <c r="T680" i="31" s="1"/>
  <c r="V748" i="6"/>
  <c r="E748" i="28" s="1"/>
  <c r="X747" i="6"/>
  <c r="E747" i="29" s="1"/>
  <c r="T679" i="31" s="1"/>
  <c r="V747" i="6"/>
  <c r="E747" i="28" s="1"/>
  <c r="N748" i="6"/>
  <c r="N747" i="6"/>
  <c r="M748" i="6"/>
  <c r="M748" i="23" s="1"/>
  <c r="M747" i="6"/>
  <c r="M747" i="23" s="1"/>
  <c r="L748" i="6"/>
  <c r="L747" i="6"/>
  <c r="K748" i="6"/>
  <c r="P748" i="23" s="1"/>
  <c r="K747" i="6"/>
  <c r="P747" i="23" s="1"/>
  <c r="J748" i="6"/>
  <c r="J748" i="23" s="1"/>
  <c r="J747" i="6"/>
  <c r="J747" i="23" s="1"/>
  <c r="I748" i="6"/>
  <c r="Q748" i="23" s="1"/>
  <c r="I747" i="6"/>
  <c r="Q747" i="23" s="1"/>
  <c r="H748" i="6"/>
  <c r="F748" i="23" s="1"/>
  <c r="H747" i="6"/>
  <c r="F747" i="23" s="1"/>
  <c r="G748" i="6"/>
  <c r="G747" i="6"/>
  <c r="F748" i="6"/>
  <c r="E748" i="23" s="1"/>
  <c r="G748" i="23" s="1"/>
  <c r="F747" i="6"/>
  <c r="E747" i="23" s="1"/>
  <c r="G747" i="23" s="1"/>
  <c r="E748" i="6"/>
  <c r="E747" i="6"/>
  <c r="X746" i="6"/>
  <c r="E746" i="29" s="1"/>
  <c r="T678" i="31" s="1"/>
  <c r="V746" i="6"/>
  <c r="E746" i="28" s="1"/>
  <c r="N746" i="6"/>
  <c r="M746" i="6"/>
  <c r="M746" i="23" s="1"/>
  <c r="L746" i="6"/>
  <c r="K746" i="6"/>
  <c r="P746" i="23" s="1"/>
  <c r="R746" i="23" s="1"/>
  <c r="Z678" i="31" s="1"/>
  <c r="J746" i="6"/>
  <c r="J746" i="23" s="1"/>
  <c r="I746" i="6"/>
  <c r="Q746" i="23" s="1"/>
  <c r="H746" i="6"/>
  <c r="F746" i="23" s="1"/>
  <c r="G746" i="6"/>
  <c r="F746" i="6"/>
  <c r="E746" i="23" s="1"/>
  <c r="E746" i="6"/>
  <c r="X745" i="6"/>
  <c r="E745" i="29" s="1"/>
  <c r="T677" i="31" s="1"/>
  <c r="V745" i="6"/>
  <c r="E745" i="28" s="1"/>
  <c r="N745" i="6"/>
  <c r="M745" i="6"/>
  <c r="M745" i="23" s="1"/>
  <c r="L745" i="6"/>
  <c r="K745" i="6"/>
  <c r="P745" i="23" s="1"/>
  <c r="R745" i="23" s="1"/>
  <c r="Z677" i="31" s="1"/>
  <c r="J745" i="6"/>
  <c r="J745" i="23" s="1"/>
  <c r="I745" i="6"/>
  <c r="Q745" i="23" s="1"/>
  <c r="H745" i="6"/>
  <c r="F745" i="23" s="1"/>
  <c r="G745" i="6"/>
  <c r="F745" i="6"/>
  <c r="E745" i="23" s="1"/>
  <c r="E745" i="6"/>
  <c r="X744" i="6"/>
  <c r="E744" i="29" s="1"/>
  <c r="T676" i="31" s="1"/>
  <c r="V744" i="6"/>
  <c r="E744" i="28" s="1"/>
  <c r="N744" i="6"/>
  <c r="M744" i="6"/>
  <c r="M744" i="23" s="1"/>
  <c r="L744" i="6"/>
  <c r="K744" i="6"/>
  <c r="P744" i="23" s="1"/>
  <c r="R744" i="23" s="1"/>
  <c r="Z676" i="31" s="1"/>
  <c r="J744" i="6"/>
  <c r="J744" i="23" s="1"/>
  <c r="I744" i="6"/>
  <c r="Q744" i="23" s="1"/>
  <c r="H744" i="6"/>
  <c r="F744" i="23" s="1"/>
  <c r="G744" i="6"/>
  <c r="F744" i="6"/>
  <c r="E744" i="23" s="1"/>
  <c r="E744" i="6"/>
  <c r="X743" i="6"/>
  <c r="E743" i="29" s="1"/>
  <c r="T675" i="31" s="1"/>
  <c r="V743" i="6"/>
  <c r="E743" i="28" s="1"/>
  <c r="N743" i="6"/>
  <c r="M743" i="6"/>
  <c r="M743" i="23" s="1"/>
  <c r="L743" i="6"/>
  <c r="K743" i="6"/>
  <c r="P743" i="23" s="1"/>
  <c r="R743" i="23" s="1"/>
  <c r="Z675" i="31" s="1"/>
  <c r="J743" i="6"/>
  <c r="J743" i="23" s="1"/>
  <c r="I743" i="6"/>
  <c r="Q743" i="23" s="1"/>
  <c r="H743" i="6"/>
  <c r="F743" i="23" s="1"/>
  <c r="G743" i="6"/>
  <c r="F743" i="6"/>
  <c r="E743" i="23" s="1"/>
  <c r="E743" i="6"/>
  <c r="V742" i="6"/>
  <c r="E742" i="28" s="1"/>
  <c r="X742" i="6"/>
  <c r="E742" i="29" s="1"/>
  <c r="T674" i="31" s="1"/>
  <c r="N742" i="6"/>
  <c r="M742" i="6"/>
  <c r="M742" i="23" s="1"/>
  <c r="L742" i="6"/>
  <c r="K742" i="6"/>
  <c r="P742" i="23" s="1"/>
  <c r="R742" i="23" s="1"/>
  <c r="Z674" i="31" s="1"/>
  <c r="J742" i="6"/>
  <c r="J742" i="23" s="1"/>
  <c r="I742" i="6"/>
  <c r="Q742" i="23" s="1"/>
  <c r="H742" i="6"/>
  <c r="F742" i="23" s="1"/>
  <c r="G742" i="6"/>
  <c r="F742" i="6"/>
  <c r="E742" i="23" s="1"/>
  <c r="E742" i="6"/>
  <c r="V741" i="6"/>
  <c r="E741" i="28" s="1"/>
  <c r="X741" i="6"/>
  <c r="E741" i="29" s="1"/>
  <c r="T673" i="31" s="1"/>
  <c r="X740" i="6"/>
  <c r="E740" i="29" s="1"/>
  <c r="T672" i="31" s="1"/>
  <c r="V740" i="6"/>
  <c r="E740" i="28" s="1"/>
  <c r="L739" i="6"/>
  <c r="T741" i="6"/>
  <c r="E741" i="19" s="1"/>
  <c r="T742" i="6"/>
  <c r="E742" i="19" s="1"/>
  <c r="T743" i="6"/>
  <c r="E743" i="19" s="1"/>
  <c r="T744" i="6"/>
  <c r="E744" i="19" s="1"/>
  <c r="T745" i="6"/>
  <c r="E745" i="19" s="1"/>
  <c r="T746" i="6"/>
  <c r="E746" i="19" s="1"/>
  <c r="T747" i="6"/>
  <c r="E747" i="19" s="1"/>
  <c r="T748" i="6"/>
  <c r="E748" i="19" s="1"/>
  <c r="T749" i="6"/>
  <c r="E749" i="19" s="1"/>
  <c r="T740" i="6"/>
  <c r="E740" i="19" s="1"/>
  <c r="N741" i="6"/>
  <c r="N740" i="6"/>
  <c r="M741" i="6"/>
  <c r="M741" i="23" s="1"/>
  <c r="M740" i="6"/>
  <c r="M740" i="23" s="1"/>
  <c r="L741" i="6"/>
  <c r="L740" i="6"/>
  <c r="K741" i="6"/>
  <c r="P741" i="23" s="1"/>
  <c r="K740" i="6"/>
  <c r="P740" i="23" s="1"/>
  <c r="J741" i="6"/>
  <c r="J741" i="23" s="1"/>
  <c r="J740" i="6"/>
  <c r="J740" i="23" s="1"/>
  <c r="I741" i="6"/>
  <c r="Q741" i="23" s="1"/>
  <c r="I740" i="6"/>
  <c r="Q740" i="23" s="1"/>
  <c r="H741" i="6"/>
  <c r="F741" i="23" s="1"/>
  <c r="H740" i="6"/>
  <c r="F740" i="23" s="1"/>
  <c r="G741" i="6"/>
  <c r="G740" i="6"/>
  <c r="F741" i="6"/>
  <c r="E741" i="23" s="1"/>
  <c r="G741" i="23" s="1"/>
  <c r="F740" i="6"/>
  <c r="E740" i="23" s="1"/>
  <c r="G740" i="23" s="1"/>
  <c r="E741" i="6"/>
  <c r="E740" i="6"/>
  <c r="W1409" i="31" l="1"/>
  <c r="S1550" i="23"/>
  <c r="AA1409" i="31" s="1"/>
  <c r="W1472" i="31"/>
  <c r="S1620" i="23"/>
  <c r="AA1472" i="31" s="1"/>
  <c r="I353" i="23"/>
  <c r="L350" i="23"/>
  <c r="X318" i="31" s="1"/>
  <c r="L911" i="23"/>
  <c r="X828" i="31" s="1"/>
  <c r="L906" i="23"/>
  <c r="X823" i="31" s="1"/>
  <c r="I1120" i="23"/>
  <c r="I1115" i="23"/>
  <c r="L223" i="23"/>
  <c r="X202" i="31" s="1"/>
  <c r="I242" i="23"/>
  <c r="L252" i="23"/>
  <c r="X229" i="31" s="1"/>
  <c r="L248" i="23"/>
  <c r="X225" i="31" s="1"/>
  <c r="L301" i="23"/>
  <c r="X273" i="31" s="1"/>
  <c r="L307" i="23"/>
  <c r="X279" i="31" s="1"/>
  <c r="L304" i="23"/>
  <c r="X276" i="31" s="1"/>
  <c r="L318" i="23"/>
  <c r="X289" i="31" s="1"/>
  <c r="L314" i="23"/>
  <c r="X285" i="31" s="1"/>
  <c r="I704" i="23"/>
  <c r="I698" i="23"/>
  <c r="I944" i="23"/>
  <c r="L1485" i="23"/>
  <c r="X1350" i="31" s="1"/>
  <c r="P674" i="31"/>
  <c r="S674" i="31"/>
  <c r="G854" i="23"/>
  <c r="I854" i="23" s="1"/>
  <c r="H856" i="23"/>
  <c r="K856" i="23" s="1"/>
  <c r="N856" i="23" s="1"/>
  <c r="E856" i="20"/>
  <c r="U778" i="31" s="1"/>
  <c r="H1061" i="23"/>
  <c r="K1061" i="23" s="1"/>
  <c r="N1061" i="23" s="1"/>
  <c r="E1061" i="20"/>
  <c r="U964" i="31" s="1"/>
  <c r="O1061" i="23"/>
  <c r="Y964" i="31" s="1"/>
  <c r="L1107" i="23"/>
  <c r="X1006" i="31" s="1"/>
  <c r="G856" i="8"/>
  <c r="E778" i="31" s="1"/>
  <c r="E748" i="8"/>
  <c r="E740" i="8"/>
  <c r="F743" i="8"/>
  <c r="W319" i="31"/>
  <c r="S351" i="23"/>
  <c r="AA319" i="31" s="1"/>
  <c r="W237" i="31"/>
  <c r="S261" i="23"/>
  <c r="AA237" i="31" s="1"/>
  <c r="W1348" i="31"/>
  <c r="S1610" i="23"/>
  <c r="AA1463" i="31" s="1"/>
  <c r="W1463" i="31"/>
  <c r="W1464" i="31"/>
  <c r="S1611" i="23"/>
  <c r="AA1464" i="31" s="1"/>
  <c r="I905" i="23"/>
  <c r="W1019" i="31"/>
  <c r="S1121" i="23"/>
  <c r="AA1019" i="31" s="1"/>
  <c r="W1015" i="31"/>
  <c r="W204" i="31"/>
  <c r="S225" i="23"/>
  <c r="AA204" i="31" s="1"/>
  <c r="W217" i="31"/>
  <c r="W230" i="31"/>
  <c r="S253" i="23"/>
  <c r="AA230" i="31" s="1"/>
  <c r="W226" i="31"/>
  <c r="W233" i="31"/>
  <c r="S257" i="23"/>
  <c r="AA233" i="31" s="1"/>
  <c r="W274" i="31"/>
  <c r="S306" i="23"/>
  <c r="AA278" i="31" s="1"/>
  <c r="W278" i="31"/>
  <c r="W288" i="31"/>
  <c r="S317" i="23"/>
  <c r="AA288" i="31" s="1"/>
  <c r="I313" i="23"/>
  <c r="W639" i="31"/>
  <c r="S703" i="23"/>
  <c r="AA639" i="31" s="1"/>
  <c r="W1481" i="31"/>
  <c r="S1629" i="23"/>
  <c r="AA1481" i="31" s="1"/>
  <c r="W1468" i="31"/>
  <c r="S1615" i="23"/>
  <c r="AA1468" i="31" s="1"/>
  <c r="P826" i="31"/>
  <c r="S826" i="31"/>
  <c r="S825" i="31"/>
  <c r="P825" i="31"/>
  <c r="I1156" i="23"/>
  <c r="W1047" i="31"/>
  <c r="S1152" i="23"/>
  <c r="AA1047" i="31" s="1"/>
  <c r="W211" i="31"/>
  <c r="W209" i="31"/>
  <c r="S230" i="23"/>
  <c r="AA209" i="31" s="1"/>
  <c r="W207" i="31"/>
  <c r="L741" i="23"/>
  <c r="X673" i="31" s="1"/>
  <c r="P672" i="31"/>
  <c r="S672" i="31"/>
  <c r="O743" i="23"/>
  <c r="Y675" i="31" s="1"/>
  <c r="H747" i="23"/>
  <c r="K747" i="23" s="1"/>
  <c r="N747" i="23" s="1"/>
  <c r="O747" i="23" s="1"/>
  <c r="Y679" i="31" s="1"/>
  <c r="E747" i="20"/>
  <c r="U679" i="31" s="1"/>
  <c r="R747" i="23"/>
  <c r="Z679" i="31" s="1"/>
  <c r="P679" i="31"/>
  <c r="S679" i="31"/>
  <c r="H851" i="23"/>
  <c r="K851" i="23" s="1"/>
  <c r="N851" i="23" s="1"/>
  <c r="O851" i="23" s="1"/>
  <c r="Y773" i="31" s="1"/>
  <c r="E851" i="20"/>
  <c r="U773" i="31" s="1"/>
  <c r="R851" i="23"/>
  <c r="Z773" i="31" s="1"/>
  <c r="H853" i="23"/>
  <c r="K853" i="23" s="1"/>
  <c r="N853" i="23" s="1"/>
  <c r="O853" i="23" s="1"/>
  <c r="Y775" i="31" s="1"/>
  <c r="E853" i="20"/>
  <c r="U775" i="31" s="1"/>
  <c r="R853" i="23"/>
  <c r="Z775" i="31" s="1"/>
  <c r="L855" i="23"/>
  <c r="X777" i="31" s="1"/>
  <c r="O856" i="23"/>
  <c r="Y778" i="31" s="1"/>
  <c r="G858" i="23"/>
  <c r="H1062" i="23"/>
  <c r="K1062" i="23" s="1"/>
  <c r="N1062" i="23" s="1"/>
  <c r="O1062" i="23" s="1"/>
  <c r="Y965" i="31" s="1"/>
  <c r="E1062" i="20"/>
  <c r="U965" i="31" s="1"/>
  <c r="R1062" i="23"/>
  <c r="Z965" i="31" s="1"/>
  <c r="G1063" i="23"/>
  <c r="I1063" i="23" s="1"/>
  <c r="R1063" i="23"/>
  <c r="Z966" i="31" s="1"/>
  <c r="G1065" i="23"/>
  <c r="G1067" i="23"/>
  <c r="G1103" i="23"/>
  <c r="H1107" i="23"/>
  <c r="K1107" i="23" s="1"/>
  <c r="N1107" i="23" s="1"/>
  <c r="E1107" i="20"/>
  <c r="U1006" i="31" s="1"/>
  <c r="R1107" i="23"/>
  <c r="Z1006" i="31" s="1"/>
  <c r="H1109" i="23"/>
  <c r="K1109" i="23" s="1"/>
  <c r="N1109" i="23" s="1"/>
  <c r="E1109" i="20"/>
  <c r="U1008" i="31" s="1"/>
  <c r="R1109" i="23"/>
  <c r="Z1008" i="31" s="1"/>
  <c r="H1111" i="23"/>
  <c r="K1111" i="23" s="1"/>
  <c r="N1111" i="23" s="1"/>
  <c r="E1111" i="20"/>
  <c r="U1010" i="31" s="1"/>
  <c r="R1111" i="23"/>
  <c r="Z1010" i="31" s="1"/>
  <c r="G1627" i="8"/>
  <c r="E1479" i="31" s="1"/>
  <c r="G1623" i="8"/>
  <c r="E1475" i="31" s="1"/>
  <c r="G1619" i="8"/>
  <c r="G1615" i="8"/>
  <c r="E1468" i="31" s="1"/>
  <c r="G1611" i="8"/>
  <c r="E1464" i="31" s="1"/>
  <c r="G1607" i="8"/>
  <c r="E1461" i="31" s="1"/>
  <c r="G1603" i="8"/>
  <c r="E1457" i="31" s="1"/>
  <c r="G1599" i="8"/>
  <c r="E1453" i="31" s="1"/>
  <c r="G1595" i="8"/>
  <c r="E1450" i="31" s="1"/>
  <c r="G1591" i="8"/>
  <c r="E1446" i="31" s="1"/>
  <c r="G1587" i="8"/>
  <c r="E1442" i="31" s="1"/>
  <c r="G1575" i="8"/>
  <c r="G1571" i="8"/>
  <c r="E1428" i="31" s="1"/>
  <c r="G1567" i="8"/>
  <c r="E1424" i="31" s="1"/>
  <c r="G1555" i="8"/>
  <c r="E1413" i="31" s="1"/>
  <c r="G1551" i="8"/>
  <c r="E1410" i="31" s="1"/>
  <c r="G1547" i="8"/>
  <c r="E1406" i="31" s="1"/>
  <c r="G1543" i="8"/>
  <c r="E1402" i="31" s="1"/>
  <c r="G1531" i="8"/>
  <c r="G1515" i="8"/>
  <c r="E1377" i="31" s="1"/>
  <c r="G1511" i="8"/>
  <c r="E1373" i="31" s="1"/>
  <c r="G1499" i="8"/>
  <c r="E1362" i="31" s="1"/>
  <c r="G1491" i="8"/>
  <c r="E1355" i="31" s="1"/>
  <c r="G1487" i="8"/>
  <c r="G1483" i="8"/>
  <c r="E1348" i="31" s="1"/>
  <c r="G1479" i="8"/>
  <c r="E1344" i="31" s="1"/>
  <c r="G1467" i="8"/>
  <c r="E1333" i="31" s="1"/>
  <c r="G1443" i="8"/>
  <c r="G1423" i="8"/>
  <c r="E1293" i="31" s="1"/>
  <c r="G1399" i="8"/>
  <c r="G1375" i="8"/>
  <c r="E1250" i="31" s="1"/>
  <c r="G1371" i="8"/>
  <c r="E1246" i="31" s="1"/>
  <c r="G1367" i="8"/>
  <c r="E1242" i="31" s="1"/>
  <c r="G1355" i="8"/>
  <c r="G1347" i="8"/>
  <c r="E1224" i="31" s="1"/>
  <c r="G1343" i="8"/>
  <c r="E1221" i="31" s="1"/>
  <c r="G1339" i="8"/>
  <c r="E1217" i="31" s="1"/>
  <c r="G1335" i="8"/>
  <c r="E1213" i="31" s="1"/>
  <c r="G1311" i="8"/>
  <c r="G1291" i="8"/>
  <c r="E1173" i="31" s="1"/>
  <c r="G1267" i="8"/>
  <c r="G1263" i="8"/>
  <c r="E1148" i="31" s="1"/>
  <c r="G1259" i="8"/>
  <c r="E1144" i="31" s="1"/>
  <c r="G1235" i="8"/>
  <c r="E1122" i="31" s="1"/>
  <c r="G1223" i="8"/>
  <c r="G1179" i="8"/>
  <c r="G1171" i="8"/>
  <c r="E1064" i="31" s="1"/>
  <c r="G1155" i="8"/>
  <c r="E1050" i="31" s="1"/>
  <c r="G1151" i="8"/>
  <c r="E1046" i="31" s="1"/>
  <c r="G1147" i="8"/>
  <c r="E1042" i="31" s="1"/>
  <c r="G1135" i="8"/>
  <c r="G1123" i="8"/>
  <c r="E1021" i="31" s="1"/>
  <c r="G1119" i="8"/>
  <c r="E1017" i="31" s="1"/>
  <c r="G1115" i="8"/>
  <c r="E1013" i="31" s="1"/>
  <c r="E1111" i="8"/>
  <c r="G1111" i="8" s="1"/>
  <c r="E1010" i="31" s="1"/>
  <c r="E1107" i="8"/>
  <c r="G1107" i="8" s="1"/>
  <c r="E1006" i="31" s="1"/>
  <c r="E1103" i="8"/>
  <c r="G1103" i="8" s="1"/>
  <c r="E1002" i="31" s="1"/>
  <c r="G1091" i="8"/>
  <c r="G1083" i="8"/>
  <c r="E984" i="31" s="1"/>
  <c r="G1071" i="8"/>
  <c r="E973" i="31" s="1"/>
  <c r="E1067" i="8"/>
  <c r="G1067" i="8" s="1"/>
  <c r="E970" i="31" s="1"/>
  <c r="E1063" i="8"/>
  <c r="G1063" i="8" s="1"/>
  <c r="E966" i="31" s="1"/>
  <c r="G1059" i="8"/>
  <c r="E962" i="31" s="1"/>
  <c r="G1047" i="8"/>
  <c r="G1039" i="8"/>
  <c r="E944" i="31" s="1"/>
  <c r="G1003" i="8"/>
  <c r="G967" i="8"/>
  <c r="E879" i="31" s="1"/>
  <c r="G963" i="8"/>
  <c r="E875" i="31" s="1"/>
  <c r="G959" i="8"/>
  <c r="G955" i="8"/>
  <c r="E868" i="31" s="1"/>
  <c r="G951" i="8"/>
  <c r="E864" i="31" s="1"/>
  <c r="G947" i="8"/>
  <c r="E861" i="31" s="1"/>
  <c r="G943" i="8"/>
  <c r="E857" i="31" s="1"/>
  <c r="G939" i="8"/>
  <c r="E853" i="31" s="1"/>
  <c r="G915" i="8"/>
  <c r="G911" i="8"/>
  <c r="E828" i="31" s="1"/>
  <c r="G907" i="8"/>
  <c r="E824" i="31" s="1"/>
  <c r="G895" i="8"/>
  <c r="E813" i="31" s="1"/>
  <c r="G883" i="8"/>
  <c r="E802" i="31" s="1"/>
  <c r="G871" i="8"/>
  <c r="E859" i="8"/>
  <c r="G859" i="8" s="1"/>
  <c r="E781" i="31" s="1"/>
  <c r="E855" i="8"/>
  <c r="G855" i="8" s="1"/>
  <c r="E777" i="31" s="1"/>
  <c r="E851" i="8"/>
  <c r="G851" i="8" s="1"/>
  <c r="E773" i="31" s="1"/>
  <c r="G839" i="8"/>
  <c r="E762" i="31" s="1"/>
  <c r="G831" i="8"/>
  <c r="E755" i="31" s="1"/>
  <c r="G827" i="8"/>
  <c r="G823" i="8"/>
  <c r="E748" i="31" s="1"/>
  <c r="G819" i="8"/>
  <c r="E744" i="31" s="1"/>
  <c r="G795" i="8"/>
  <c r="E722" i="31" s="1"/>
  <c r="G783" i="8"/>
  <c r="G751" i="8"/>
  <c r="E682" i="31" s="1"/>
  <c r="E747" i="8"/>
  <c r="G747" i="8" s="1"/>
  <c r="E679" i="31" s="1"/>
  <c r="E743" i="8"/>
  <c r="G743" i="8" s="1"/>
  <c r="E675" i="31" s="1"/>
  <c r="G739" i="8"/>
  <c r="G727" i="8"/>
  <c r="E661" i="31" s="1"/>
  <c r="G711" i="8"/>
  <c r="E646" i="31" s="1"/>
  <c r="G707" i="8"/>
  <c r="E642" i="31" s="1"/>
  <c r="G703" i="8"/>
  <c r="E639" i="31" s="1"/>
  <c r="G699" i="8"/>
  <c r="E635" i="31" s="1"/>
  <c r="G695" i="8"/>
  <c r="G675" i="8"/>
  <c r="E613" i="31" s="1"/>
  <c r="G655" i="8"/>
  <c r="E595" i="31" s="1"/>
  <c r="G651" i="8"/>
  <c r="G643" i="8"/>
  <c r="E584" i="31" s="1"/>
  <c r="G631" i="8"/>
  <c r="E573" i="31" s="1"/>
  <c r="G619" i="8"/>
  <c r="E562" i="31" s="1"/>
  <c r="G607" i="8"/>
  <c r="G591" i="8"/>
  <c r="E537" i="31" s="1"/>
  <c r="G587" i="8"/>
  <c r="E533" i="31" s="1"/>
  <c r="G575" i="8"/>
  <c r="E522" i="31" s="1"/>
  <c r="G563" i="8"/>
  <c r="G555" i="8"/>
  <c r="E504" i="31" s="1"/>
  <c r="G531" i="8"/>
  <c r="E482" i="31" s="1"/>
  <c r="G519" i="8"/>
  <c r="G511" i="8"/>
  <c r="E464" i="31" s="1"/>
  <c r="G487" i="8"/>
  <c r="E442" i="31" s="1"/>
  <c r="G475" i="8"/>
  <c r="G443" i="8"/>
  <c r="E402" i="31" s="1"/>
  <c r="G431" i="8"/>
  <c r="G411" i="8"/>
  <c r="E373" i="31" s="1"/>
  <c r="G399" i="8"/>
  <c r="E362" i="31" s="1"/>
  <c r="G387" i="8"/>
  <c r="G379" i="8"/>
  <c r="E344" i="31" s="1"/>
  <c r="G355" i="8"/>
  <c r="E322" i="31" s="1"/>
  <c r="G351" i="8"/>
  <c r="E319" i="31" s="1"/>
  <c r="G347" i="8"/>
  <c r="E315" i="31" s="1"/>
  <c r="G343" i="8"/>
  <c r="G335" i="8"/>
  <c r="E304" i="31" s="1"/>
  <c r="G323" i="8"/>
  <c r="E293" i="31" s="1"/>
  <c r="G319" i="8"/>
  <c r="E290" i="31" s="1"/>
  <c r="G315" i="8"/>
  <c r="E286" i="31" s="1"/>
  <c r="G311" i="8"/>
  <c r="E282" i="31" s="1"/>
  <c r="G307" i="8"/>
  <c r="E279" i="31" s="1"/>
  <c r="G303" i="8"/>
  <c r="E275" i="31" s="1"/>
  <c r="G299" i="8"/>
  <c r="G283" i="8"/>
  <c r="E257" i="31" s="1"/>
  <c r="G279" i="8"/>
  <c r="E253" i="31" s="1"/>
  <c r="G263" i="8"/>
  <c r="E239" i="31" s="1"/>
  <c r="G259" i="8"/>
  <c r="E235" i="31" s="1"/>
  <c r="G255" i="8"/>
  <c r="G251" i="8"/>
  <c r="E228" i="31" s="1"/>
  <c r="G247" i="8"/>
  <c r="E224" i="31" s="1"/>
  <c r="G243" i="8"/>
  <c r="E221" i="31" s="1"/>
  <c r="G239" i="8"/>
  <c r="E217" i="31" s="1"/>
  <c r="G235" i="8"/>
  <c r="E213" i="31" s="1"/>
  <c r="G231" i="8"/>
  <c r="E210" i="31" s="1"/>
  <c r="G227" i="8"/>
  <c r="E206" i="31" s="1"/>
  <c r="G223" i="8"/>
  <c r="E202" i="31" s="1"/>
  <c r="G211" i="8"/>
  <c r="G179" i="8"/>
  <c r="E162" i="31" s="1"/>
  <c r="G167" i="8"/>
  <c r="G151" i="8"/>
  <c r="E137" i="31" s="1"/>
  <c r="G147" i="8"/>
  <c r="E133" i="31" s="1"/>
  <c r="G123" i="8"/>
  <c r="G115" i="8"/>
  <c r="E104" i="31" s="1"/>
  <c r="G79" i="8"/>
  <c r="G39" i="8"/>
  <c r="E35" i="31" s="1"/>
  <c r="G35" i="8"/>
  <c r="G11" i="8"/>
  <c r="E10" i="31" s="1"/>
  <c r="G7" i="8"/>
  <c r="E6" i="31" s="1"/>
  <c r="G3" i="8"/>
  <c r="E2" i="31" s="1"/>
  <c r="F1110" i="8"/>
  <c r="F1106" i="8"/>
  <c r="F1066" i="8"/>
  <c r="F1062" i="8"/>
  <c r="F858" i="8"/>
  <c r="F854" i="8"/>
  <c r="F850" i="8"/>
  <c r="F746" i="8"/>
  <c r="F742" i="8"/>
  <c r="W318" i="31"/>
  <c r="S350" i="23"/>
  <c r="AA318" i="31" s="1"/>
  <c r="W1014" i="31"/>
  <c r="W1050" i="31"/>
  <c r="S1155" i="23"/>
  <c r="AA1050" i="31" s="1"/>
  <c r="S1151" i="23"/>
  <c r="AA1046" i="31" s="1"/>
  <c r="W1046" i="31"/>
  <c r="W206" i="31"/>
  <c r="S227" i="23"/>
  <c r="AA206" i="31" s="1"/>
  <c r="W1443" i="31"/>
  <c r="S1588" i="23"/>
  <c r="AA1443" i="31" s="1"/>
  <c r="W825" i="31"/>
  <c r="S908" i="23"/>
  <c r="AA825" i="31" s="1"/>
  <c r="L1123" i="23"/>
  <c r="X1021" i="31" s="1"/>
  <c r="L1119" i="23"/>
  <c r="X1017" i="31" s="1"/>
  <c r="L241" i="23"/>
  <c r="X219" i="31" s="1"/>
  <c r="L237" i="23"/>
  <c r="X215" i="31" s="1"/>
  <c r="L251" i="23"/>
  <c r="X228" i="31" s="1"/>
  <c r="L247" i="23"/>
  <c r="X224" i="31" s="1"/>
  <c r="L300" i="23"/>
  <c r="X272" i="31" s="1"/>
  <c r="L308" i="23"/>
  <c r="X280" i="31" s="1"/>
  <c r="L319" i="23"/>
  <c r="X290" i="31" s="1"/>
  <c r="L315" i="23"/>
  <c r="X286" i="31" s="1"/>
  <c r="L705" i="23"/>
  <c r="X641" i="31" s="1"/>
  <c r="L701" i="23"/>
  <c r="X637" i="31" s="1"/>
  <c r="W861" i="31"/>
  <c r="S947" i="23"/>
  <c r="AA861" i="31" s="1"/>
  <c r="W857" i="31"/>
  <c r="S943" i="23"/>
  <c r="AA857" i="31" s="1"/>
  <c r="I941" i="23"/>
  <c r="I348" i="23"/>
  <c r="I345" i="23"/>
  <c r="L1154" i="23"/>
  <c r="X1049" i="31" s="1"/>
  <c r="L1150" i="23"/>
  <c r="X1045" i="31" s="1"/>
  <c r="L231" i="23"/>
  <c r="X210" i="31" s="1"/>
  <c r="L229" i="23"/>
  <c r="X208" i="31" s="1"/>
  <c r="L226" i="23"/>
  <c r="X205" i="31" s="1"/>
  <c r="I224" i="23"/>
  <c r="W1403" i="31"/>
  <c r="S1544" i="23"/>
  <c r="AA1403" i="31" s="1"/>
  <c r="L352" i="23"/>
  <c r="X320" i="31" s="1"/>
  <c r="I349" i="23"/>
  <c r="I913" i="23"/>
  <c r="I911" i="23"/>
  <c r="I906" i="23"/>
  <c r="L1122" i="23"/>
  <c r="X1020" i="31" s="1"/>
  <c r="L1118" i="23"/>
  <c r="X1016" i="31" s="1"/>
  <c r="I223" i="23"/>
  <c r="L238" i="23"/>
  <c r="X216" i="31" s="1"/>
  <c r="I236" i="23"/>
  <c r="I252" i="23"/>
  <c r="I248" i="23"/>
  <c r="I301" i="23"/>
  <c r="I307" i="23"/>
  <c r="I304" i="23"/>
  <c r="I318" i="23"/>
  <c r="I314" i="23"/>
  <c r="L311" i="23"/>
  <c r="X282" i="31" s="1"/>
  <c r="L702" i="23"/>
  <c r="X638" i="31" s="1"/>
  <c r="L946" i="23"/>
  <c r="X860" i="31" s="1"/>
  <c r="L1486" i="23"/>
  <c r="X1351" i="31" s="1"/>
  <c r="I1485" i="23"/>
  <c r="S673" i="31"/>
  <c r="P673" i="31"/>
  <c r="L1109" i="23"/>
  <c r="X1008" i="31" s="1"/>
  <c r="L1111" i="23"/>
  <c r="X1010" i="31" s="1"/>
  <c r="S1627" i="23"/>
  <c r="AA1479" i="31" s="1"/>
  <c r="W1479" i="31"/>
  <c r="W241" i="31"/>
  <c r="S265" i="23"/>
  <c r="AA241" i="31" s="1"/>
  <c r="W239" i="31"/>
  <c r="S263" i="23"/>
  <c r="AA239" i="31" s="1"/>
  <c r="W235" i="31"/>
  <c r="S259" i="23"/>
  <c r="AA235" i="31" s="1"/>
  <c r="W275" i="31"/>
  <c r="S303" i="23"/>
  <c r="AA275" i="31" s="1"/>
  <c r="W221" i="31"/>
  <c r="S243" i="23"/>
  <c r="AA221" i="31" s="1"/>
  <c r="H740" i="23"/>
  <c r="K740" i="23" s="1"/>
  <c r="N740" i="23" s="1"/>
  <c r="E740" i="20"/>
  <c r="U672" i="31" s="1"/>
  <c r="R740" i="23"/>
  <c r="Z672" i="31" s="1"/>
  <c r="O740" i="23"/>
  <c r="Y672" i="31" s="1"/>
  <c r="G742" i="23"/>
  <c r="G743" i="23"/>
  <c r="I743" i="23" s="1"/>
  <c r="G744" i="23"/>
  <c r="G745" i="23"/>
  <c r="I745" i="23" s="1"/>
  <c r="G746" i="23"/>
  <c r="H748" i="23"/>
  <c r="K748" i="23" s="1"/>
  <c r="N748" i="23" s="1"/>
  <c r="O748" i="23" s="1"/>
  <c r="Y680" i="31" s="1"/>
  <c r="E748" i="20"/>
  <c r="U680" i="31" s="1"/>
  <c r="R748" i="23"/>
  <c r="Z680" i="31" s="1"/>
  <c r="G749" i="23"/>
  <c r="I749" i="23" s="1"/>
  <c r="G850" i="23"/>
  <c r="G852" i="23"/>
  <c r="E854" i="20"/>
  <c r="U776" i="31" s="1"/>
  <c r="H854" i="23"/>
  <c r="K854" i="23" s="1"/>
  <c r="N854" i="23" s="1"/>
  <c r="R854" i="23"/>
  <c r="Z776" i="31" s="1"/>
  <c r="O854" i="23"/>
  <c r="Y776" i="31" s="1"/>
  <c r="L856" i="23"/>
  <c r="X778" i="31" s="1"/>
  <c r="H858" i="23"/>
  <c r="K858" i="23" s="1"/>
  <c r="N858" i="23" s="1"/>
  <c r="O858" i="23" s="1"/>
  <c r="Y780" i="31" s="1"/>
  <c r="E858" i="20"/>
  <c r="U780" i="31" s="1"/>
  <c r="R858" i="23"/>
  <c r="Z780" i="31" s="1"/>
  <c r="O859" i="23"/>
  <c r="Y781" i="31" s="1"/>
  <c r="I1061" i="23"/>
  <c r="L1061" i="23"/>
  <c r="X964" i="31" s="1"/>
  <c r="H1063" i="23"/>
  <c r="K1063" i="23" s="1"/>
  <c r="N1063" i="23" s="1"/>
  <c r="E1063" i="20"/>
  <c r="U966" i="31" s="1"/>
  <c r="G1064" i="23"/>
  <c r="H1065" i="23"/>
  <c r="K1065" i="23" s="1"/>
  <c r="N1065" i="23" s="1"/>
  <c r="O1065" i="23" s="1"/>
  <c r="Y968" i="31" s="1"/>
  <c r="E1065" i="20"/>
  <c r="U968" i="31" s="1"/>
  <c r="R1065" i="23"/>
  <c r="Z968" i="31" s="1"/>
  <c r="H1067" i="23"/>
  <c r="K1067" i="23" s="1"/>
  <c r="N1067" i="23" s="1"/>
  <c r="O1067" i="23" s="1"/>
  <c r="Y970" i="31" s="1"/>
  <c r="E1067" i="20"/>
  <c r="U970" i="31" s="1"/>
  <c r="R1067" i="23"/>
  <c r="Z970" i="31" s="1"/>
  <c r="H1103" i="23"/>
  <c r="K1103" i="23" s="1"/>
  <c r="N1103" i="23" s="1"/>
  <c r="O1103" i="23" s="1"/>
  <c r="Y1002" i="31" s="1"/>
  <c r="E1103" i="20"/>
  <c r="U1002" i="31" s="1"/>
  <c r="R1103" i="23"/>
  <c r="Z1002" i="31" s="1"/>
  <c r="G1104" i="23"/>
  <c r="R1104" i="23"/>
  <c r="Z1003" i="31" s="1"/>
  <c r="I1105" i="23"/>
  <c r="G1106" i="23"/>
  <c r="L1106" i="23"/>
  <c r="X1005" i="31" s="1"/>
  <c r="G1108" i="23"/>
  <c r="G1110" i="23"/>
  <c r="G1112" i="23"/>
  <c r="I1112" i="23" s="1"/>
  <c r="E1110" i="8"/>
  <c r="E1106" i="8"/>
  <c r="G1106" i="8" s="1"/>
  <c r="E1005" i="31" s="1"/>
  <c r="E1066" i="8"/>
  <c r="G1066" i="8" s="1"/>
  <c r="E969" i="31" s="1"/>
  <c r="E1062" i="8"/>
  <c r="G1062" i="8" s="1"/>
  <c r="E965" i="31" s="1"/>
  <c r="E858" i="8"/>
  <c r="E854" i="8"/>
  <c r="G854" i="8" s="1"/>
  <c r="E776" i="31" s="1"/>
  <c r="E850" i="8"/>
  <c r="G850" i="8" s="1"/>
  <c r="E772" i="31" s="1"/>
  <c r="E746" i="8"/>
  <c r="G746" i="8" s="1"/>
  <c r="E678" i="31" s="1"/>
  <c r="E742" i="8"/>
  <c r="F1109" i="8"/>
  <c r="F1105" i="8"/>
  <c r="G1105" i="8" s="1"/>
  <c r="E1004" i="31" s="1"/>
  <c r="F1065" i="8"/>
  <c r="F1061" i="8"/>
  <c r="F857" i="8"/>
  <c r="F853" i="8"/>
  <c r="F749" i="8"/>
  <c r="F745" i="8"/>
  <c r="F741" i="8"/>
  <c r="G741" i="8" s="1"/>
  <c r="E673" i="31" s="1"/>
  <c r="W1465" i="31"/>
  <c r="S1612" i="23"/>
  <c r="AA1465" i="31" s="1"/>
  <c r="W1462" i="31"/>
  <c r="S1609" i="23"/>
  <c r="AA1462" i="31" s="1"/>
  <c r="W213" i="31"/>
  <c r="S235" i="23"/>
  <c r="AA213" i="31" s="1"/>
  <c r="W222" i="31"/>
  <c r="S245" i="23"/>
  <c r="AA222" i="31" s="1"/>
  <c r="W240" i="31"/>
  <c r="S264" i="23"/>
  <c r="AA240" i="31" s="1"/>
  <c r="W238" i="31"/>
  <c r="S262" i="23"/>
  <c r="AA238" i="31" s="1"/>
  <c r="W236" i="31"/>
  <c r="S260" i="23"/>
  <c r="AA236" i="31" s="1"/>
  <c r="W234" i="31"/>
  <c r="S258" i="23"/>
  <c r="AA234" i="31" s="1"/>
  <c r="W853" i="31"/>
  <c r="S939" i="23"/>
  <c r="AA853" i="31" s="1"/>
  <c r="W1469" i="31"/>
  <c r="S1616" i="23"/>
  <c r="AA1469" i="31" s="1"/>
  <c r="W314" i="31"/>
  <c r="S346" i="23"/>
  <c r="AA314" i="31" s="1"/>
  <c r="I1123" i="23"/>
  <c r="I1119" i="23"/>
  <c r="I241" i="23"/>
  <c r="I251" i="23"/>
  <c r="I247" i="23"/>
  <c r="I300" i="23"/>
  <c r="I308" i="23"/>
  <c r="I319" i="23"/>
  <c r="I315" i="23"/>
  <c r="I705" i="23"/>
  <c r="I701" i="23"/>
  <c r="W1466" i="31"/>
  <c r="S1613" i="23"/>
  <c r="AA1466" i="31" s="1"/>
  <c r="W1473" i="31"/>
  <c r="S1621" i="23"/>
  <c r="AA1473" i="31" s="1"/>
  <c r="W1411" i="31"/>
  <c r="S1552" i="23"/>
  <c r="AA1411" i="31" s="1"/>
  <c r="I347" i="23"/>
  <c r="L907" i="23"/>
  <c r="X824" i="31" s="1"/>
  <c r="I1154" i="23"/>
  <c r="I1150" i="23"/>
  <c r="I231" i="23"/>
  <c r="I229" i="23"/>
  <c r="I226" i="23"/>
  <c r="I237" i="23"/>
  <c r="L1483" i="23"/>
  <c r="X1348" i="31" s="1"/>
  <c r="I352" i="23"/>
  <c r="L912" i="23"/>
  <c r="X829" i="31" s="1"/>
  <c r="L909" i="23"/>
  <c r="X826" i="31" s="1"/>
  <c r="I1122" i="23"/>
  <c r="I1118" i="23"/>
  <c r="L1115" i="23"/>
  <c r="X1013" i="31" s="1"/>
  <c r="L240" i="23"/>
  <c r="X218" i="31" s="1"/>
  <c r="I238" i="23"/>
  <c r="L254" i="23"/>
  <c r="X231" i="31" s="1"/>
  <c r="L250" i="23"/>
  <c r="X227" i="31" s="1"/>
  <c r="L246" i="23"/>
  <c r="X223" i="31" s="1"/>
  <c r="L309" i="23"/>
  <c r="X281" i="31" s="1"/>
  <c r="L305" i="23"/>
  <c r="X277" i="31" s="1"/>
  <c r="L320" i="23"/>
  <c r="X291" i="31" s="1"/>
  <c r="L316" i="23"/>
  <c r="X287" i="31" s="1"/>
  <c r="L312" i="23"/>
  <c r="X283" i="31" s="1"/>
  <c r="I311" i="23"/>
  <c r="I702" i="23"/>
  <c r="I946" i="23"/>
  <c r="I1486" i="23"/>
  <c r="L1484" i="23"/>
  <c r="X1349" i="31" s="1"/>
  <c r="I740" i="23"/>
  <c r="L748" i="23"/>
  <c r="X680" i="31" s="1"/>
  <c r="H859" i="23"/>
  <c r="K859" i="23" s="1"/>
  <c r="N859" i="23" s="1"/>
  <c r="E859" i="20"/>
  <c r="U781" i="31" s="1"/>
  <c r="H1066" i="23"/>
  <c r="K1066" i="23" s="1"/>
  <c r="N1066" i="23" s="1"/>
  <c r="O1066" i="23" s="1"/>
  <c r="Y969" i="31" s="1"/>
  <c r="E1066" i="20"/>
  <c r="U969" i="31" s="1"/>
  <c r="H1068" i="23"/>
  <c r="K1068" i="23" s="1"/>
  <c r="N1068" i="23" s="1"/>
  <c r="O1068" i="23" s="1"/>
  <c r="Y971" i="31" s="1"/>
  <c r="E1068" i="20"/>
  <c r="U971" i="31" s="1"/>
  <c r="O1104" i="23"/>
  <c r="Y1003" i="31" s="1"/>
  <c r="H1104" i="23"/>
  <c r="K1104" i="23" s="1"/>
  <c r="N1104" i="23" s="1"/>
  <c r="E1104" i="20"/>
  <c r="U1003" i="31" s="1"/>
  <c r="I1109" i="23"/>
  <c r="I1111" i="23"/>
  <c r="G1064" i="8"/>
  <c r="E967" i="31" s="1"/>
  <c r="H741" i="23"/>
  <c r="K741" i="23" s="1"/>
  <c r="N741" i="23" s="1"/>
  <c r="E741" i="20"/>
  <c r="U673" i="31" s="1"/>
  <c r="R741" i="23"/>
  <c r="Z673" i="31" s="1"/>
  <c r="O741" i="23"/>
  <c r="Y673" i="31" s="1"/>
  <c r="H742" i="23"/>
  <c r="K742" i="23" s="1"/>
  <c r="N742" i="23" s="1"/>
  <c r="O742" i="23" s="1"/>
  <c r="Y674" i="31" s="1"/>
  <c r="E742" i="20"/>
  <c r="U674" i="31" s="1"/>
  <c r="H743" i="23"/>
  <c r="K743" i="23" s="1"/>
  <c r="N743" i="23" s="1"/>
  <c r="E743" i="20"/>
  <c r="U675" i="31" s="1"/>
  <c r="P675" i="31"/>
  <c r="S675" i="31"/>
  <c r="H744" i="23"/>
  <c r="K744" i="23" s="1"/>
  <c r="N744" i="23" s="1"/>
  <c r="O744" i="23" s="1"/>
  <c r="Y676" i="31" s="1"/>
  <c r="E744" i="20"/>
  <c r="U676" i="31" s="1"/>
  <c r="P676" i="31"/>
  <c r="S676" i="31"/>
  <c r="H745" i="23"/>
  <c r="K745" i="23" s="1"/>
  <c r="N745" i="23" s="1"/>
  <c r="O745" i="23" s="1"/>
  <c r="Y677" i="31" s="1"/>
  <c r="E745" i="20"/>
  <c r="U677" i="31" s="1"/>
  <c r="S677" i="31"/>
  <c r="P677" i="31"/>
  <c r="E746" i="20"/>
  <c r="U678" i="31" s="1"/>
  <c r="H746" i="23"/>
  <c r="K746" i="23" s="1"/>
  <c r="N746" i="23" s="1"/>
  <c r="O746" i="23" s="1"/>
  <c r="Y678" i="31" s="1"/>
  <c r="P678" i="31"/>
  <c r="S678" i="31"/>
  <c r="P680" i="31"/>
  <c r="S680" i="31"/>
  <c r="H749" i="23"/>
  <c r="K749" i="23" s="1"/>
  <c r="N749" i="23" s="1"/>
  <c r="O749" i="23" s="1"/>
  <c r="Y681" i="31" s="1"/>
  <c r="E749" i="20"/>
  <c r="U681" i="31" s="1"/>
  <c r="S681" i="31"/>
  <c r="P681" i="31"/>
  <c r="H850" i="23"/>
  <c r="K850" i="23" s="1"/>
  <c r="N850" i="23" s="1"/>
  <c r="O850" i="23" s="1"/>
  <c r="Y772" i="31" s="1"/>
  <c r="E850" i="20"/>
  <c r="U772" i="31" s="1"/>
  <c r="H852" i="23"/>
  <c r="K852" i="23" s="1"/>
  <c r="N852" i="23" s="1"/>
  <c r="O852" i="23" s="1"/>
  <c r="Y774" i="31" s="1"/>
  <c r="E852" i="20"/>
  <c r="U774" i="31" s="1"/>
  <c r="H855" i="23"/>
  <c r="K855" i="23" s="1"/>
  <c r="N855" i="23" s="1"/>
  <c r="E855" i="20"/>
  <c r="U777" i="31" s="1"/>
  <c r="R855" i="23"/>
  <c r="Z777" i="31" s="1"/>
  <c r="O855" i="23"/>
  <c r="Y777" i="31" s="1"/>
  <c r="G856" i="23"/>
  <c r="I856" i="23" s="1"/>
  <c r="H857" i="23"/>
  <c r="K857" i="23" s="1"/>
  <c r="N857" i="23" s="1"/>
  <c r="O857" i="23" s="1"/>
  <c r="Y779" i="31" s="1"/>
  <c r="E857" i="20"/>
  <c r="U779" i="31" s="1"/>
  <c r="I859" i="23"/>
  <c r="L859" i="23"/>
  <c r="X781" i="31" s="1"/>
  <c r="O1063" i="23"/>
  <c r="Y966" i="31" s="1"/>
  <c r="H1064" i="23"/>
  <c r="K1064" i="23" s="1"/>
  <c r="N1064" i="23" s="1"/>
  <c r="O1064" i="23" s="1"/>
  <c r="Y967" i="31" s="1"/>
  <c r="E1064" i="20"/>
  <c r="U967" i="31" s="1"/>
  <c r="L1063" i="23"/>
  <c r="X966" i="31" s="1"/>
  <c r="L1066" i="23"/>
  <c r="X969" i="31" s="1"/>
  <c r="H1105" i="23"/>
  <c r="K1105" i="23" s="1"/>
  <c r="N1105" i="23" s="1"/>
  <c r="O1105" i="23" s="1"/>
  <c r="Y1004" i="31" s="1"/>
  <c r="E1105" i="20"/>
  <c r="U1004" i="31" s="1"/>
  <c r="L1105" i="23"/>
  <c r="X1004" i="31" s="1"/>
  <c r="H1106" i="23"/>
  <c r="K1106" i="23" s="1"/>
  <c r="N1106" i="23" s="1"/>
  <c r="O1106" i="23" s="1"/>
  <c r="Y1005" i="31" s="1"/>
  <c r="E1106" i="20"/>
  <c r="U1005" i="31" s="1"/>
  <c r="O1107" i="23"/>
  <c r="Y1006" i="31" s="1"/>
  <c r="H1108" i="23"/>
  <c r="K1108" i="23" s="1"/>
  <c r="N1108" i="23" s="1"/>
  <c r="O1108" i="23" s="1"/>
  <c r="Y1007" i="31" s="1"/>
  <c r="E1108" i="20"/>
  <c r="U1007" i="31" s="1"/>
  <c r="O1109" i="23"/>
  <c r="Y1008" i="31" s="1"/>
  <c r="H1110" i="23"/>
  <c r="K1110" i="23" s="1"/>
  <c r="N1110" i="23" s="1"/>
  <c r="O1110" i="23" s="1"/>
  <c r="Y1009" i="31" s="1"/>
  <c r="E1110" i="20"/>
  <c r="U1009" i="31" s="1"/>
  <c r="O1111" i="23"/>
  <c r="Y1010" i="31" s="1"/>
  <c r="H1112" i="23"/>
  <c r="K1112" i="23" s="1"/>
  <c r="N1112" i="23" s="1"/>
  <c r="O1112" i="23" s="1"/>
  <c r="Y1011" i="31" s="1"/>
  <c r="E1112" i="20"/>
  <c r="U1011" i="31" s="1"/>
  <c r="E1109" i="8"/>
  <c r="G1065" i="8"/>
  <c r="E968" i="31" s="1"/>
  <c r="E1061" i="8"/>
  <c r="G1061" i="8" s="1"/>
  <c r="E964" i="31" s="1"/>
  <c r="E857" i="8"/>
  <c r="E853" i="8"/>
  <c r="E749" i="8"/>
  <c r="G749" i="8" s="1"/>
  <c r="E681" i="31" s="1"/>
  <c r="E745" i="8"/>
  <c r="G745" i="8" s="1"/>
  <c r="E677" i="31" s="1"/>
  <c r="F1112" i="8"/>
  <c r="G1112" i="8" s="1"/>
  <c r="E1011" i="31" s="1"/>
  <c r="F1108" i="8"/>
  <c r="G1108" i="8" s="1"/>
  <c r="E1007" i="31" s="1"/>
  <c r="F1104" i="8"/>
  <c r="G1104" i="8" s="1"/>
  <c r="E1003" i="31" s="1"/>
  <c r="F1068" i="8"/>
  <c r="G1068" i="8" s="1"/>
  <c r="E971" i="31" s="1"/>
  <c r="F1064" i="8"/>
  <c r="F856" i="8"/>
  <c r="F852" i="8"/>
  <c r="G852" i="8" s="1"/>
  <c r="E774" i="31" s="1"/>
  <c r="F748" i="8"/>
  <c r="F744" i="8"/>
  <c r="G744" i="8" s="1"/>
  <c r="E676" i="31" s="1"/>
  <c r="F740" i="8"/>
  <c r="W1475" i="31"/>
  <c r="S1623" i="23"/>
  <c r="AA1475" i="31" s="1"/>
  <c r="W831" i="31"/>
  <c r="S910" i="23"/>
  <c r="AA827" i="31" s="1"/>
  <c r="W827" i="31"/>
  <c r="W1048" i="31"/>
  <c r="S1153" i="23"/>
  <c r="AA1048" i="31" s="1"/>
  <c r="W1044" i="31"/>
  <c r="S1149" i="23"/>
  <c r="AA1044" i="31" s="1"/>
  <c r="W636" i="31"/>
  <c r="L905" i="23"/>
  <c r="X822" i="31" s="1"/>
  <c r="L1121" i="23"/>
  <c r="X1019" i="31" s="1"/>
  <c r="L1117" i="23"/>
  <c r="X1015" i="31" s="1"/>
  <c r="W1043" i="31"/>
  <c r="S1148" i="23"/>
  <c r="AA1043" i="31" s="1"/>
  <c r="L225" i="23"/>
  <c r="X204" i="31" s="1"/>
  <c r="L239" i="23"/>
  <c r="X217" i="31" s="1"/>
  <c r="L249" i="23"/>
  <c r="X226" i="31" s="1"/>
  <c r="L302" i="23"/>
  <c r="X274" i="31" s="1"/>
  <c r="L313" i="23"/>
  <c r="X284" i="31" s="1"/>
  <c r="W635" i="31"/>
  <c r="S699" i="23"/>
  <c r="AA635" i="31" s="1"/>
  <c r="W859" i="31"/>
  <c r="S945" i="23"/>
  <c r="AA859" i="31" s="1"/>
  <c r="W856" i="31"/>
  <c r="S942" i="23"/>
  <c r="AA856" i="31" s="1"/>
  <c r="W854" i="31"/>
  <c r="S940" i="23"/>
  <c r="AA854" i="31" s="1"/>
  <c r="W1470" i="31"/>
  <c r="S1617" i="23"/>
  <c r="AA1470" i="31" s="1"/>
  <c r="W1477" i="31"/>
  <c r="S1625" i="23"/>
  <c r="AA1477" i="31" s="1"/>
  <c r="S1547" i="23"/>
  <c r="AA1406" i="31" s="1"/>
  <c r="W1406" i="31"/>
  <c r="I907" i="23"/>
  <c r="L1156" i="23"/>
  <c r="X1051" i="31" s="1"/>
  <c r="L232" i="23"/>
  <c r="X211" i="31" s="1"/>
  <c r="L230" i="23"/>
  <c r="X209" i="31" s="1"/>
  <c r="L228" i="23"/>
  <c r="X207" i="31" s="1"/>
  <c r="S1482" i="23"/>
  <c r="AA1347" i="31" s="1"/>
  <c r="W1347" i="31"/>
  <c r="L353" i="23"/>
  <c r="X321" i="31" s="1"/>
  <c r="L914" i="23"/>
  <c r="X831" i="31" s="1"/>
  <c r="I912" i="23"/>
  <c r="I909" i="23"/>
  <c r="L1120" i="23"/>
  <c r="X1018" i="31" s="1"/>
  <c r="L1116" i="23"/>
  <c r="X1014" i="31" s="1"/>
  <c r="I1114" i="23"/>
  <c r="L242" i="23"/>
  <c r="X220" i="31" s="1"/>
  <c r="I240" i="23"/>
  <c r="I254" i="23"/>
  <c r="I250" i="23"/>
  <c r="I246" i="23"/>
  <c r="I256" i="23"/>
  <c r="I309" i="23"/>
  <c r="I305" i="23"/>
  <c r="I320" i="23"/>
  <c r="I316" i="23"/>
  <c r="I312" i="23"/>
  <c r="L704" i="23"/>
  <c r="X640" i="31" s="1"/>
  <c r="L700" i="23"/>
  <c r="X636" i="31" s="1"/>
  <c r="L698" i="23"/>
  <c r="X634" i="31" s="1"/>
  <c r="L944" i="23"/>
  <c r="X858" i="31" s="1"/>
  <c r="I1484" i="23"/>
  <c r="N1431" i="6"/>
  <c r="M1431" i="6"/>
  <c r="M1431" i="23" s="1"/>
  <c r="L1431" i="6"/>
  <c r="K1431" i="6"/>
  <c r="P1431" i="23" s="1"/>
  <c r="R1431" i="23" s="1"/>
  <c r="Z1301" i="31" s="1"/>
  <c r="J1431" i="6"/>
  <c r="J1431" i="23" s="1"/>
  <c r="I1431" i="6"/>
  <c r="Q1431" i="23" s="1"/>
  <c r="H1431" i="6"/>
  <c r="G1431" i="6"/>
  <c r="F1431" i="6"/>
  <c r="E1431" i="6"/>
  <c r="N1430" i="6"/>
  <c r="N1429" i="6"/>
  <c r="M1430" i="6"/>
  <c r="M1430" i="23" s="1"/>
  <c r="M1429" i="6"/>
  <c r="M1429" i="23" s="1"/>
  <c r="L1430" i="6"/>
  <c r="L1429" i="6"/>
  <c r="K1430" i="6"/>
  <c r="P1430" i="23" s="1"/>
  <c r="K1429" i="6"/>
  <c r="P1429" i="23" s="1"/>
  <c r="J1430" i="6"/>
  <c r="J1430" i="23" s="1"/>
  <c r="J1429" i="6"/>
  <c r="J1429" i="23" s="1"/>
  <c r="I1430" i="6"/>
  <c r="Q1430" i="23" s="1"/>
  <c r="I1429" i="6"/>
  <c r="Q1429" i="23" s="1"/>
  <c r="H1430" i="6"/>
  <c r="H1429" i="6"/>
  <c r="G1430" i="6"/>
  <c r="G1429" i="6"/>
  <c r="F1430" i="6"/>
  <c r="F1429" i="6"/>
  <c r="E1430" i="6"/>
  <c r="E1429" i="6"/>
  <c r="N1428" i="6"/>
  <c r="M1428" i="6"/>
  <c r="M1428" i="23" s="1"/>
  <c r="L1428" i="6"/>
  <c r="K1428" i="6"/>
  <c r="P1428" i="23" s="1"/>
  <c r="J1428" i="6"/>
  <c r="J1428" i="23" s="1"/>
  <c r="I1428" i="6"/>
  <c r="Q1428" i="23" s="1"/>
  <c r="H1428" i="6"/>
  <c r="G1428" i="6"/>
  <c r="F1428" i="6"/>
  <c r="E1428" i="6"/>
  <c r="N1427" i="6"/>
  <c r="N1426" i="6"/>
  <c r="M1427" i="6"/>
  <c r="M1427" i="23" s="1"/>
  <c r="M1426" i="6"/>
  <c r="M1426" i="23" s="1"/>
  <c r="L1427" i="6"/>
  <c r="L1426" i="6"/>
  <c r="K1427" i="6"/>
  <c r="P1427" i="23" s="1"/>
  <c r="K1426" i="6"/>
  <c r="P1426" i="23" s="1"/>
  <c r="J1427" i="6"/>
  <c r="J1427" i="23" s="1"/>
  <c r="J1426" i="6"/>
  <c r="J1426" i="23" s="1"/>
  <c r="I1427" i="6"/>
  <c r="Q1427" i="23" s="1"/>
  <c r="I1426" i="6"/>
  <c r="Q1426" i="23" s="1"/>
  <c r="H1427" i="6"/>
  <c r="H1426" i="6"/>
  <c r="G1427" i="6"/>
  <c r="G1426" i="6"/>
  <c r="F1427" i="6"/>
  <c r="F1426" i="6"/>
  <c r="E1427" i="6"/>
  <c r="E1426" i="6"/>
  <c r="T1427" i="6"/>
  <c r="E1427" i="19" s="1"/>
  <c r="T1428" i="6"/>
  <c r="E1428" i="19" s="1"/>
  <c r="T1429" i="6"/>
  <c r="E1429" i="19" s="1"/>
  <c r="T1430" i="6"/>
  <c r="E1430" i="19" s="1"/>
  <c r="T1431" i="6"/>
  <c r="E1431" i="19" s="1"/>
  <c r="X1387" i="6"/>
  <c r="E1387" i="29" s="1"/>
  <c r="T1261" i="31" s="1"/>
  <c r="V1387" i="6"/>
  <c r="E1387" i="28" s="1"/>
  <c r="N1387" i="6"/>
  <c r="M1387" i="6"/>
  <c r="M1387" i="23" s="1"/>
  <c r="L1387" i="6"/>
  <c r="K1387" i="6"/>
  <c r="P1387" i="23" s="1"/>
  <c r="R1387" i="23" s="1"/>
  <c r="Z1261" i="31" s="1"/>
  <c r="J1387" i="6"/>
  <c r="J1387" i="23" s="1"/>
  <c r="I1387" i="6"/>
  <c r="Q1387" i="23" s="1"/>
  <c r="H1387" i="6"/>
  <c r="G1387" i="6"/>
  <c r="F1387" i="6"/>
  <c r="E1387" i="6"/>
  <c r="X1386" i="6"/>
  <c r="E1386" i="29" s="1"/>
  <c r="T1260" i="31" s="1"/>
  <c r="V1386" i="6"/>
  <c r="E1386" i="28" s="1"/>
  <c r="N1386" i="6"/>
  <c r="M1386" i="6"/>
  <c r="M1386" i="23" s="1"/>
  <c r="L1386" i="6"/>
  <c r="K1386" i="6"/>
  <c r="P1386" i="23" s="1"/>
  <c r="R1386" i="23" s="1"/>
  <c r="Z1260" i="31" s="1"/>
  <c r="J1386" i="6"/>
  <c r="J1386" i="23" s="1"/>
  <c r="I1386" i="6"/>
  <c r="Q1386" i="23" s="1"/>
  <c r="H1386" i="6"/>
  <c r="G1386" i="6"/>
  <c r="F1386" i="6"/>
  <c r="E1386" i="6"/>
  <c r="X1385" i="6"/>
  <c r="E1385" i="29" s="1"/>
  <c r="T1259" i="31" s="1"/>
  <c r="N1385" i="6"/>
  <c r="M1385" i="6"/>
  <c r="M1385" i="23" s="1"/>
  <c r="L1385" i="6"/>
  <c r="K1385" i="6"/>
  <c r="P1385" i="23" s="1"/>
  <c r="J1385" i="6"/>
  <c r="J1385" i="23" s="1"/>
  <c r="I1385" i="6"/>
  <c r="Q1385" i="23" s="1"/>
  <c r="H1385" i="6"/>
  <c r="G1385" i="6"/>
  <c r="F1385" i="6"/>
  <c r="E1385" i="6"/>
  <c r="X1384" i="6"/>
  <c r="E1384" i="29" s="1"/>
  <c r="T1258" i="31" s="1"/>
  <c r="N1384" i="6"/>
  <c r="M1384" i="6"/>
  <c r="M1384" i="23" s="1"/>
  <c r="L1384" i="6"/>
  <c r="K1384" i="6"/>
  <c r="P1384" i="23" s="1"/>
  <c r="J1384" i="6"/>
  <c r="J1384" i="23" s="1"/>
  <c r="I1384" i="6"/>
  <c r="Q1384" i="23" s="1"/>
  <c r="H1384" i="6"/>
  <c r="G1384" i="6"/>
  <c r="E1384" i="6"/>
  <c r="F1384" i="6" s="1"/>
  <c r="V1383" i="6"/>
  <c r="E1383" i="28" s="1"/>
  <c r="X1383" i="6"/>
  <c r="E1383" i="29" s="1"/>
  <c r="T1257" i="31" s="1"/>
  <c r="N1383" i="6"/>
  <c r="M1383" i="6"/>
  <c r="M1383" i="23" s="1"/>
  <c r="L1383" i="6"/>
  <c r="K1383" i="6"/>
  <c r="P1383" i="23" s="1"/>
  <c r="J1383" i="6"/>
  <c r="J1383" i="23" s="1"/>
  <c r="I1383" i="6"/>
  <c r="Q1383" i="23" s="1"/>
  <c r="H1383" i="6"/>
  <c r="G1383" i="6"/>
  <c r="E1383" i="6"/>
  <c r="F1383" i="6" s="1"/>
  <c r="V1382" i="6"/>
  <c r="E1382" i="28" s="1"/>
  <c r="X1382" i="6"/>
  <c r="E1382" i="29" s="1"/>
  <c r="T1256" i="31" s="1"/>
  <c r="N1382" i="6"/>
  <c r="M1382" i="6"/>
  <c r="M1382" i="23" s="1"/>
  <c r="L1382" i="6"/>
  <c r="K1382" i="6"/>
  <c r="P1382" i="23" s="1"/>
  <c r="J1382" i="6"/>
  <c r="J1382" i="23" s="1"/>
  <c r="I1382" i="6"/>
  <c r="Q1382" i="23" s="1"/>
  <c r="H1382" i="6"/>
  <c r="G1382" i="6"/>
  <c r="E1382" i="6"/>
  <c r="F1382" i="6" s="1"/>
  <c r="X1381" i="6"/>
  <c r="E1381" i="29" s="1"/>
  <c r="T1255" i="31" s="1"/>
  <c r="V1381" i="6"/>
  <c r="E1381" i="28" s="1"/>
  <c r="N1381" i="6"/>
  <c r="M1381" i="6"/>
  <c r="M1381" i="23" s="1"/>
  <c r="L1381" i="6"/>
  <c r="K1381" i="6"/>
  <c r="P1381" i="23" s="1"/>
  <c r="J1381" i="6"/>
  <c r="J1381" i="23" s="1"/>
  <c r="I1381" i="6"/>
  <c r="Q1381" i="23" s="1"/>
  <c r="H1381" i="6"/>
  <c r="G1381" i="6"/>
  <c r="E1381" i="6"/>
  <c r="F1381" i="6" s="1"/>
  <c r="X1380" i="6"/>
  <c r="E1380" i="29" s="1"/>
  <c r="T1254" i="31" s="1"/>
  <c r="V1380" i="6"/>
  <c r="E1380" i="28" s="1"/>
  <c r="X1379" i="6"/>
  <c r="E1379" i="29" s="1"/>
  <c r="T1253" i="31" s="1"/>
  <c r="V1379" i="6"/>
  <c r="E1379" i="28" s="1"/>
  <c r="T1380" i="6"/>
  <c r="E1380" i="19" s="1"/>
  <c r="T1381" i="6"/>
  <c r="E1381" i="19" s="1"/>
  <c r="T1382" i="6"/>
  <c r="E1382" i="19" s="1"/>
  <c r="T1383" i="6"/>
  <c r="E1383" i="19" s="1"/>
  <c r="T1384" i="6"/>
  <c r="E1384" i="19" s="1"/>
  <c r="T1385" i="6"/>
  <c r="E1385" i="19" s="1"/>
  <c r="T1386" i="6"/>
  <c r="E1386" i="19" s="1"/>
  <c r="T1387" i="6"/>
  <c r="E1387" i="19" s="1"/>
  <c r="T1379" i="6"/>
  <c r="E1379" i="19" s="1"/>
  <c r="N1380" i="6"/>
  <c r="N1379" i="6"/>
  <c r="M1380" i="6"/>
  <c r="M1380" i="23" s="1"/>
  <c r="M1379" i="6"/>
  <c r="M1379" i="23" s="1"/>
  <c r="L1380" i="6"/>
  <c r="L1379" i="6"/>
  <c r="K1380" i="6"/>
  <c r="P1380" i="23" s="1"/>
  <c r="K1379" i="6"/>
  <c r="P1379" i="23" s="1"/>
  <c r="J1380" i="6"/>
  <c r="J1380" i="23" s="1"/>
  <c r="J1379" i="6"/>
  <c r="J1379" i="23" s="1"/>
  <c r="I1380" i="6"/>
  <c r="Q1380" i="23" s="1"/>
  <c r="I1379" i="6"/>
  <c r="Q1379" i="23" s="1"/>
  <c r="H1379" i="6"/>
  <c r="H1380" i="6"/>
  <c r="G1380" i="6"/>
  <c r="G1379" i="6"/>
  <c r="E1380" i="6"/>
  <c r="F1380" i="6" s="1"/>
  <c r="E1379" i="6"/>
  <c r="F1379" i="6" s="1"/>
  <c r="X1365" i="6"/>
  <c r="E1365" i="29" s="1"/>
  <c r="T1241" i="31" s="1"/>
  <c r="X1364" i="6"/>
  <c r="E1364" i="29" s="1"/>
  <c r="T1240" i="31" s="1"/>
  <c r="X1363" i="6"/>
  <c r="E1363" i="29" s="1"/>
  <c r="T1239" i="31" s="1"/>
  <c r="X1362" i="6"/>
  <c r="E1362" i="29" s="1"/>
  <c r="T1238" i="31" s="1"/>
  <c r="X1361" i="6"/>
  <c r="E1361" i="29" s="1"/>
  <c r="T1237" i="31" s="1"/>
  <c r="V1365" i="6"/>
  <c r="E1365" i="28" s="1"/>
  <c r="N1365" i="6"/>
  <c r="M1365" i="6"/>
  <c r="M1365" i="23" s="1"/>
  <c r="L1365" i="6"/>
  <c r="K1365" i="6"/>
  <c r="P1365" i="23" s="1"/>
  <c r="J1365" i="6"/>
  <c r="J1365" i="23" s="1"/>
  <c r="I1365" i="6"/>
  <c r="Q1365" i="23" s="1"/>
  <c r="H1365" i="6"/>
  <c r="G1365" i="6"/>
  <c r="F1365" i="6"/>
  <c r="E1365" i="6"/>
  <c r="V1364" i="6"/>
  <c r="E1364" i="28" s="1"/>
  <c r="T1364" i="6"/>
  <c r="E1364" i="19" s="1"/>
  <c r="T1365" i="6"/>
  <c r="E1365" i="19" s="1"/>
  <c r="N1364" i="6"/>
  <c r="M1364" i="6"/>
  <c r="M1364" i="23" s="1"/>
  <c r="L1364" i="6"/>
  <c r="K1364" i="6"/>
  <c r="P1364" i="23" s="1"/>
  <c r="R1364" i="23" s="1"/>
  <c r="Z1240" i="31" s="1"/>
  <c r="J1364" i="6"/>
  <c r="J1364" i="23" s="1"/>
  <c r="I1364" i="6"/>
  <c r="Q1364" i="23" s="1"/>
  <c r="H1364" i="6"/>
  <c r="G1364" i="6"/>
  <c r="F1364" i="6"/>
  <c r="E1364" i="6"/>
  <c r="V1363" i="6"/>
  <c r="E1363" i="28" s="1"/>
  <c r="N1363" i="6"/>
  <c r="M1363" i="6"/>
  <c r="M1363" i="23" s="1"/>
  <c r="L1363" i="6"/>
  <c r="K1363" i="6"/>
  <c r="P1363" i="23" s="1"/>
  <c r="J1363" i="6"/>
  <c r="J1363" i="23" s="1"/>
  <c r="I1363" i="6"/>
  <c r="Q1363" i="23" s="1"/>
  <c r="H1363" i="6"/>
  <c r="G1363" i="6"/>
  <c r="F1363" i="6"/>
  <c r="E1363" i="6"/>
  <c r="V1362" i="6"/>
  <c r="E1362" i="28" s="1"/>
  <c r="N1362" i="6"/>
  <c r="M1362" i="6"/>
  <c r="M1362" i="23" s="1"/>
  <c r="L1362" i="6"/>
  <c r="K1362" i="6"/>
  <c r="P1362" i="23" s="1"/>
  <c r="J1362" i="6"/>
  <c r="J1362" i="23" s="1"/>
  <c r="I1362" i="6"/>
  <c r="Q1362" i="23" s="1"/>
  <c r="H1362" i="6"/>
  <c r="G1362" i="6"/>
  <c r="F1362" i="6"/>
  <c r="E1362" i="6"/>
  <c r="V1361" i="6"/>
  <c r="E1361" i="28" s="1"/>
  <c r="N1361" i="6"/>
  <c r="M1361" i="6"/>
  <c r="M1361" i="23" s="1"/>
  <c r="L1361" i="6"/>
  <c r="K1361" i="6"/>
  <c r="P1361" i="23" s="1"/>
  <c r="R1361" i="23" s="1"/>
  <c r="Z1237" i="31" s="1"/>
  <c r="J1361" i="6"/>
  <c r="J1361" i="23" s="1"/>
  <c r="I1361" i="6"/>
  <c r="Q1361" i="23" s="1"/>
  <c r="H1361" i="6"/>
  <c r="F1361" i="6"/>
  <c r="F1359" i="6"/>
  <c r="F1360" i="6"/>
  <c r="G1361" i="6"/>
  <c r="E1361" i="6"/>
  <c r="V1360" i="6"/>
  <c r="E1360" i="28" s="1"/>
  <c r="N1360" i="6"/>
  <c r="M1360" i="6"/>
  <c r="M1360" i="23" s="1"/>
  <c r="L1360" i="6"/>
  <c r="K1360" i="6"/>
  <c r="P1360" i="23" s="1"/>
  <c r="J1360" i="6"/>
  <c r="J1360" i="23" s="1"/>
  <c r="I1360" i="6"/>
  <c r="Q1360" i="23" s="1"/>
  <c r="H1360" i="6"/>
  <c r="G1360" i="6"/>
  <c r="E1360" i="6"/>
  <c r="V1359" i="6"/>
  <c r="E1359" i="28" s="1"/>
  <c r="N1359" i="6"/>
  <c r="M1359" i="6"/>
  <c r="M1359" i="23" s="1"/>
  <c r="L1359" i="6"/>
  <c r="K1359" i="6"/>
  <c r="P1359" i="23" s="1"/>
  <c r="R1359" i="23" s="1"/>
  <c r="Z1235" i="31" s="1"/>
  <c r="J1359" i="6"/>
  <c r="J1359" i="23" s="1"/>
  <c r="I1359" i="6"/>
  <c r="Q1359" i="23" s="1"/>
  <c r="H1359" i="6"/>
  <c r="G1359" i="6"/>
  <c r="E1359" i="6"/>
  <c r="V1358" i="6"/>
  <c r="E1358" i="28" s="1"/>
  <c r="N1358" i="6"/>
  <c r="M1358" i="6"/>
  <c r="M1358" i="23" s="1"/>
  <c r="L1358" i="6"/>
  <c r="K1358" i="6"/>
  <c r="P1358" i="23" s="1"/>
  <c r="J1358" i="6"/>
  <c r="J1358" i="23" s="1"/>
  <c r="H1358" i="6"/>
  <c r="I1358" i="6"/>
  <c r="Q1358" i="23" s="1"/>
  <c r="G1358" i="6"/>
  <c r="E1358" i="6"/>
  <c r="F1358" i="6" s="1"/>
  <c r="X1357" i="6"/>
  <c r="E1357" i="29" s="1"/>
  <c r="T1233" i="31" s="1"/>
  <c r="V1357" i="6"/>
  <c r="E1357" i="28" s="1"/>
  <c r="N1357" i="6"/>
  <c r="M1357" i="6"/>
  <c r="M1357" i="23" s="1"/>
  <c r="L1357" i="6"/>
  <c r="K1357" i="6"/>
  <c r="P1357" i="23" s="1"/>
  <c r="J1357" i="6"/>
  <c r="J1357" i="23" s="1"/>
  <c r="I1357" i="6"/>
  <c r="Q1357" i="23" s="1"/>
  <c r="H1357" i="6"/>
  <c r="G1357" i="6"/>
  <c r="F1357" i="6"/>
  <c r="E1357" i="6"/>
  <c r="V1356" i="6"/>
  <c r="E1356" i="28" s="1"/>
  <c r="T1357" i="6"/>
  <c r="E1357" i="19" s="1"/>
  <c r="T1358" i="6"/>
  <c r="E1358" i="19" s="1"/>
  <c r="T1359" i="6"/>
  <c r="E1359" i="19" s="1"/>
  <c r="T1360" i="6"/>
  <c r="E1360" i="19" s="1"/>
  <c r="T1361" i="6"/>
  <c r="E1361" i="19" s="1"/>
  <c r="T1362" i="6"/>
  <c r="E1362" i="19" s="1"/>
  <c r="T1363" i="6"/>
  <c r="E1363" i="19" s="1"/>
  <c r="T1356" i="6"/>
  <c r="E1356" i="19" s="1"/>
  <c r="N1356" i="6"/>
  <c r="M1356" i="6"/>
  <c r="M1356" i="23" s="1"/>
  <c r="L1355" i="6"/>
  <c r="L1356" i="6"/>
  <c r="K1356" i="6"/>
  <c r="P1356" i="23" s="1"/>
  <c r="J1356" i="6"/>
  <c r="J1356" i="23" s="1"/>
  <c r="H1356" i="6"/>
  <c r="I1356" i="6"/>
  <c r="Q1356" i="23" s="1"/>
  <c r="G1356" i="6"/>
  <c r="E1356" i="6"/>
  <c r="F1356" i="6" s="1"/>
  <c r="N1321" i="6"/>
  <c r="M1321" i="6"/>
  <c r="M1321" i="23" s="1"/>
  <c r="L1321" i="6"/>
  <c r="K1321" i="6"/>
  <c r="P1321" i="23" s="1"/>
  <c r="R1321" i="23" s="1"/>
  <c r="Z1201" i="31" s="1"/>
  <c r="J1321" i="6"/>
  <c r="J1321" i="23" s="1"/>
  <c r="I1321" i="6"/>
  <c r="Q1321" i="23" s="1"/>
  <c r="H1321" i="6"/>
  <c r="G1321" i="6"/>
  <c r="F1321" i="6"/>
  <c r="E1321" i="6"/>
  <c r="N1320" i="6"/>
  <c r="M1320" i="6"/>
  <c r="M1320" i="23" s="1"/>
  <c r="L1320" i="6"/>
  <c r="K1320" i="6"/>
  <c r="P1320" i="23" s="1"/>
  <c r="J1320" i="6"/>
  <c r="J1320" i="23" s="1"/>
  <c r="I1320" i="6"/>
  <c r="Q1320" i="23" s="1"/>
  <c r="H1320" i="6"/>
  <c r="G1320" i="6"/>
  <c r="F1320" i="6"/>
  <c r="E1320" i="6"/>
  <c r="N1319" i="6"/>
  <c r="M1319" i="6"/>
  <c r="M1319" i="23" s="1"/>
  <c r="L1319" i="6"/>
  <c r="K1319" i="6"/>
  <c r="P1319" i="23" s="1"/>
  <c r="R1319" i="23" s="1"/>
  <c r="Z1199" i="31" s="1"/>
  <c r="J1319" i="6"/>
  <c r="J1319" i="23" s="1"/>
  <c r="I1319" i="6"/>
  <c r="Q1319" i="23" s="1"/>
  <c r="H1319" i="6"/>
  <c r="G1319" i="6"/>
  <c r="F1319" i="6"/>
  <c r="E1319" i="6"/>
  <c r="N1318" i="6"/>
  <c r="M1318" i="6"/>
  <c r="M1318" i="23" s="1"/>
  <c r="L1318" i="6"/>
  <c r="K1318" i="6"/>
  <c r="P1318" i="23" s="1"/>
  <c r="J1318" i="6"/>
  <c r="J1318" i="23" s="1"/>
  <c r="I1318" i="6"/>
  <c r="Q1318" i="23" s="1"/>
  <c r="H1318" i="6"/>
  <c r="G1318" i="6"/>
  <c r="F1318" i="6"/>
  <c r="E1318" i="6"/>
  <c r="N1317" i="6"/>
  <c r="M1317" i="6"/>
  <c r="M1317" i="23" s="1"/>
  <c r="L1317" i="6"/>
  <c r="K1317" i="6"/>
  <c r="P1317" i="23" s="1"/>
  <c r="R1317" i="23" s="1"/>
  <c r="Z1197" i="31" s="1"/>
  <c r="J1317" i="6"/>
  <c r="J1317" i="23" s="1"/>
  <c r="I1317" i="6"/>
  <c r="Q1317" i="23" s="1"/>
  <c r="H1317" i="6"/>
  <c r="G1317" i="6"/>
  <c r="F1317" i="6"/>
  <c r="E1317" i="6"/>
  <c r="N1316" i="6"/>
  <c r="M1316" i="6"/>
  <c r="M1316" i="23" s="1"/>
  <c r="L1316" i="6"/>
  <c r="K1316" i="6"/>
  <c r="P1316" i="23" s="1"/>
  <c r="J1316" i="6"/>
  <c r="J1316" i="23" s="1"/>
  <c r="I1316" i="6"/>
  <c r="Q1316" i="23" s="1"/>
  <c r="H1316" i="6"/>
  <c r="G1316" i="6"/>
  <c r="F1316" i="6"/>
  <c r="E1316" i="6"/>
  <c r="N1315" i="6"/>
  <c r="M1315" i="6"/>
  <c r="M1315" i="23" s="1"/>
  <c r="L1315" i="6"/>
  <c r="K1315" i="6"/>
  <c r="P1315" i="23" s="1"/>
  <c r="R1315" i="23" s="1"/>
  <c r="Z1195" i="31" s="1"/>
  <c r="J1315" i="6"/>
  <c r="J1315" i="23" s="1"/>
  <c r="I1315" i="6"/>
  <c r="Q1315" i="23" s="1"/>
  <c r="H1315" i="6"/>
  <c r="G1315" i="6"/>
  <c r="F1315" i="6"/>
  <c r="E1315" i="6"/>
  <c r="N1314" i="6"/>
  <c r="M1314" i="6"/>
  <c r="M1314" i="23" s="1"/>
  <c r="L1314" i="6"/>
  <c r="K1314" i="6"/>
  <c r="P1314" i="23" s="1"/>
  <c r="J1314" i="6"/>
  <c r="J1314" i="23" s="1"/>
  <c r="I1314" i="6"/>
  <c r="Q1314" i="23" s="1"/>
  <c r="H1314" i="6"/>
  <c r="G1314" i="6"/>
  <c r="F1314" i="6"/>
  <c r="E1314" i="6"/>
  <c r="N1313" i="6"/>
  <c r="M1313" i="6"/>
  <c r="M1313" i="23" s="1"/>
  <c r="L1313" i="6"/>
  <c r="K1313" i="6"/>
  <c r="P1313" i="23" s="1"/>
  <c r="R1313" i="23" s="1"/>
  <c r="Z1193" i="31" s="1"/>
  <c r="J1313" i="6"/>
  <c r="J1313" i="23" s="1"/>
  <c r="I1313" i="6"/>
  <c r="Q1313" i="23" s="1"/>
  <c r="H1313" i="6"/>
  <c r="G1313" i="6"/>
  <c r="F1313" i="6"/>
  <c r="E1313" i="6"/>
  <c r="T1313" i="6"/>
  <c r="E1313" i="19" s="1"/>
  <c r="T1314" i="6"/>
  <c r="E1314" i="19" s="1"/>
  <c r="T1315" i="6"/>
  <c r="E1315" i="19" s="1"/>
  <c r="T1316" i="6"/>
  <c r="E1316" i="19" s="1"/>
  <c r="T1317" i="6"/>
  <c r="E1317" i="19" s="1"/>
  <c r="T1318" i="6"/>
  <c r="E1318" i="19" s="1"/>
  <c r="T1319" i="6"/>
  <c r="E1319" i="19" s="1"/>
  <c r="T1320" i="6"/>
  <c r="E1320" i="19" s="1"/>
  <c r="T1321" i="6"/>
  <c r="E1321" i="19" s="1"/>
  <c r="T1312" i="6"/>
  <c r="E1312" i="19" s="1"/>
  <c r="N1312" i="6"/>
  <c r="M1312" i="6"/>
  <c r="M1312" i="23" s="1"/>
  <c r="L1312" i="6"/>
  <c r="L1311" i="6"/>
  <c r="K1312" i="6"/>
  <c r="P1312" i="23" s="1"/>
  <c r="R1312" i="23" s="1"/>
  <c r="Z1192" i="31" s="1"/>
  <c r="J1312" i="6"/>
  <c r="J1312" i="23" s="1"/>
  <c r="I1312" i="6"/>
  <c r="Q1312" i="23" s="1"/>
  <c r="H1312" i="6"/>
  <c r="G1312" i="6"/>
  <c r="F1312" i="6"/>
  <c r="E1312" i="6"/>
  <c r="X1299" i="6"/>
  <c r="E1299" i="29" s="1"/>
  <c r="T1181" i="31" s="1"/>
  <c r="V1299" i="6"/>
  <c r="E1299" i="28" s="1"/>
  <c r="N1299" i="6"/>
  <c r="M1299" i="6"/>
  <c r="M1299" i="23" s="1"/>
  <c r="L1299" i="6"/>
  <c r="K1299" i="6"/>
  <c r="P1299" i="23" s="1"/>
  <c r="R1299" i="23" s="1"/>
  <c r="Z1181" i="31" s="1"/>
  <c r="J1299" i="6"/>
  <c r="J1299" i="23" s="1"/>
  <c r="I1299" i="6"/>
  <c r="Q1299" i="23" s="1"/>
  <c r="H1299" i="6"/>
  <c r="G1298" i="6"/>
  <c r="G1299" i="6"/>
  <c r="F1299" i="6"/>
  <c r="E1299" i="6"/>
  <c r="E1379" i="23" l="1"/>
  <c r="E1379" i="8"/>
  <c r="E1384" i="23"/>
  <c r="E1384" i="8"/>
  <c r="E1380" i="23"/>
  <c r="E1380" i="8"/>
  <c r="E1383" i="23"/>
  <c r="E1383" i="8"/>
  <c r="E1382" i="23"/>
  <c r="E1382" i="8"/>
  <c r="E1358" i="23"/>
  <c r="E1358" i="8"/>
  <c r="E1356" i="23"/>
  <c r="E1356" i="8"/>
  <c r="E1381" i="23"/>
  <c r="E1381" i="8"/>
  <c r="F1299" i="23"/>
  <c r="F1299" i="8"/>
  <c r="F1312" i="23"/>
  <c r="F1312" i="8"/>
  <c r="H1317" i="23"/>
  <c r="K1317" i="23" s="1"/>
  <c r="N1317" i="23" s="1"/>
  <c r="E1317" i="20"/>
  <c r="U1197" i="31" s="1"/>
  <c r="H1319" i="23"/>
  <c r="K1319" i="23" s="1"/>
  <c r="N1319" i="23" s="1"/>
  <c r="E1319" i="20"/>
  <c r="U1199" i="31" s="1"/>
  <c r="H1361" i="23"/>
  <c r="K1361" i="23" s="1"/>
  <c r="N1361" i="23" s="1"/>
  <c r="E1361" i="20"/>
  <c r="U1237" i="31" s="1"/>
  <c r="F1361" i="23"/>
  <c r="F1361" i="8"/>
  <c r="E1363" i="23"/>
  <c r="E1363" i="8"/>
  <c r="H1364" i="23"/>
  <c r="K1364" i="23" s="1"/>
  <c r="N1364" i="23" s="1"/>
  <c r="E1364" i="20"/>
  <c r="U1240" i="31" s="1"/>
  <c r="E1365" i="23"/>
  <c r="E1365" i="8"/>
  <c r="S1253" i="31"/>
  <c r="P1253" i="31"/>
  <c r="H1386" i="23"/>
  <c r="K1386" i="23" s="1"/>
  <c r="N1386" i="23" s="1"/>
  <c r="E1386" i="20"/>
  <c r="U1260" i="31" s="1"/>
  <c r="P1260" i="31"/>
  <c r="S1260" i="31"/>
  <c r="H1387" i="23"/>
  <c r="K1387" i="23" s="1"/>
  <c r="N1387" i="23" s="1"/>
  <c r="E1387" i="20"/>
  <c r="U1261" i="31" s="1"/>
  <c r="S1261" i="31"/>
  <c r="P1261" i="31"/>
  <c r="H1427" i="23"/>
  <c r="K1427" i="23" s="1"/>
  <c r="N1427" i="23" s="1"/>
  <c r="E1427" i="20"/>
  <c r="U1297" i="31" s="1"/>
  <c r="W315" i="31"/>
  <c r="S347" i="23"/>
  <c r="AA315" i="31" s="1"/>
  <c r="W641" i="31"/>
  <c r="S705" i="23"/>
  <c r="AA641" i="31" s="1"/>
  <c r="L1110" i="23"/>
  <c r="X1009" i="31" s="1"/>
  <c r="I852" i="23"/>
  <c r="W677" i="31"/>
  <c r="W276" i="31"/>
  <c r="S304" i="23"/>
  <c r="AA276" i="31" s="1"/>
  <c r="W229" i="31"/>
  <c r="S252" i="23"/>
  <c r="AA229" i="31" s="1"/>
  <c r="W830" i="31"/>
  <c r="S913" i="23"/>
  <c r="AA830" i="31" s="1"/>
  <c r="W316" i="31"/>
  <c r="S348" i="23"/>
  <c r="AA316" i="31" s="1"/>
  <c r="I1067" i="23"/>
  <c r="W776" i="31"/>
  <c r="W1018" i="31"/>
  <c r="S1120" i="23"/>
  <c r="AA1018" i="31" s="1"/>
  <c r="E1299" i="23"/>
  <c r="G1299" i="23" s="1"/>
  <c r="E1299" i="8"/>
  <c r="G1299" i="8" s="1"/>
  <c r="E1181" i="31" s="1"/>
  <c r="F1313" i="23"/>
  <c r="F1313" i="8"/>
  <c r="E1314" i="23"/>
  <c r="E1314" i="8"/>
  <c r="F1315" i="23"/>
  <c r="F1315" i="8"/>
  <c r="E1316" i="23"/>
  <c r="E1316" i="8"/>
  <c r="F1317" i="23"/>
  <c r="F1317" i="8"/>
  <c r="E1318" i="23"/>
  <c r="E1318" i="8"/>
  <c r="F1319" i="23"/>
  <c r="F1319" i="8"/>
  <c r="E1320" i="23"/>
  <c r="E1320" i="8"/>
  <c r="F1321" i="23"/>
  <c r="F1321" i="8"/>
  <c r="E1357" i="23"/>
  <c r="E1357" i="8"/>
  <c r="F1359" i="23"/>
  <c r="F1359" i="8"/>
  <c r="E1360" i="23"/>
  <c r="E1360" i="8"/>
  <c r="O1361" i="23"/>
  <c r="Y1237" i="31" s="1"/>
  <c r="E1362" i="23"/>
  <c r="E1362" i="8"/>
  <c r="H1363" i="23"/>
  <c r="K1363" i="23" s="1"/>
  <c r="N1363" i="23" s="1"/>
  <c r="E1363" i="20"/>
  <c r="U1239" i="31" s="1"/>
  <c r="R1363" i="23"/>
  <c r="Z1239" i="31" s="1"/>
  <c r="P1239" i="31"/>
  <c r="S1239" i="31"/>
  <c r="F1364" i="23"/>
  <c r="F1364" i="8"/>
  <c r="H1365" i="23"/>
  <c r="K1365" i="23" s="1"/>
  <c r="N1365" i="23" s="1"/>
  <c r="E1365" i="20"/>
  <c r="U1241" i="31" s="1"/>
  <c r="R1365" i="23"/>
  <c r="Z1241" i="31" s="1"/>
  <c r="S1241" i="31"/>
  <c r="P1241" i="31"/>
  <c r="F1380" i="23"/>
  <c r="F1380" i="8"/>
  <c r="H1385" i="23"/>
  <c r="K1385" i="23" s="1"/>
  <c r="N1385" i="23" s="1"/>
  <c r="E1385" i="20"/>
  <c r="U1259" i="31" s="1"/>
  <c r="R1385" i="23"/>
  <c r="Z1259" i="31" s="1"/>
  <c r="F1386" i="23"/>
  <c r="F1386" i="8"/>
  <c r="F1387" i="23"/>
  <c r="F1387" i="8"/>
  <c r="E1426" i="23"/>
  <c r="E1426" i="8"/>
  <c r="F1426" i="23"/>
  <c r="F1426" i="8"/>
  <c r="H1428" i="23"/>
  <c r="K1428" i="23" s="1"/>
  <c r="N1428" i="23" s="1"/>
  <c r="E1428" i="20"/>
  <c r="U1298" i="31" s="1"/>
  <c r="R1428" i="23"/>
  <c r="Z1298" i="31" s="1"/>
  <c r="H1429" i="23"/>
  <c r="K1429" i="23" s="1"/>
  <c r="N1429" i="23" s="1"/>
  <c r="E1429" i="20"/>
  <c r="U1299" i="31" s="1"/>
  <c r="R1429" i="23"/>
  <c r="Z1299" i="31" s="1"/>
  <c r="O1429" i="23"/>
  <c r="Y1299" i="31" s="1"/>
  <c r="W287" i="31"/>
  <c r="S316" i="23"/>
  <c r="AA287" i="31" s="1"/>
  <c r="W232" i="31"/>
  <c r="S256" i="23"/>
  <c r="AA232" i="31" s="1"/>
  <c r="W218" i="31"/>
  <c r="S240" i="23"/>
  <c r="AA218" i="31" s="1"/>
  <c r="S700" i="23"/>
  <c r="AA636" i="31" s="1"/>
  <c r="I1066" i="23"/>
  <c r="W781" i="31"/>
  <c r="S859" i="23"/>
  <c r="AA781" i="31" s="1"/>
  <c r="W778" i="31"/>
  <c r="S856" i="23"/>
  <c r="AA778" i="31" s="1"/>
  <c r="I748" i="23"/>
  <c r="W860" i="31"/>
  <c r="S946" i="23"/>
  <c r="AA860" i="31" s="1"/>
  <c r="W215" i="31"/>
  <c r="S237" i="23"/>
  <c r="AA215" i="31" s="1"/>
  <c r="W1045" i="31"/>
  <c r="S1150" i="23"/>
  <c r="AA1045" i="31" s="1"/>
  <c r="W286" i="31"/>
  <c r="S315" i="23"/>
  <c r="AA286" i="31" s="1"/>
  <c r="W224" i="31"/>
  <c r="S247" i="23"/>
  <c r="AA224" i="31" s="1"/>
  <c r="W1021" i="31"/>
  <c r="S1123" i="23"/>
  <c r="AA1021" i="31" s="1"/>
  <c r="G742" i="8"/>
  <c r="E674" i="31" s="1"/>
  <c r="G858" i="8"/>
  <c r="E780" i="31" s="1"/>
  <c r="G1110" i="8"/>
  <c r="E1009" i="31" s="1"/>
  <c r="I1110" i="23"/>
  <c r="I1106" i="23"/>
  <c r="I1104" i="23"/>
  <c r="I857" i="23"/>
  <c r="L850" i="23"/>
  <c r="X772" i="31" s="1"/>
  <c r="L746" i="23"/>
  <c r="X678" i="31" s="1"/>
  <c r="L744" i="23"/>
  <c r="X676" i="31" s="1"/>
  <c r="L742" i="23"/>
  <c r="X674" i="31" s="1"/>
  <c r="L854" i="23"/>
  <c r="X776" i="31" s="1"/>
  <c r="W1350" i="31"/>
  <c r="S1485" i="23"/>
  <c r="AA1350" i="31" s="1"/>
  <c r="S307" i="23"/>
  <c r="AA279" i="31" s="1"/>
  <c r="W279" i="31"/>
  <c r="W214" i="31"/>
  <c r="S236" i="23"/>
  <c r="AA214" i="31" s="1"/>
  <c r="W317" i="31"/>
  <c r="S349" i="23"/>
  <c r="AA317" i="31" s="1"/>
  <c r="W203" i="31"/>
  <c r="S224" i="23"/>
  <c r="AA203" i="31" s="1"/>
  <c r="W855" i="31"/>
  <c r="S941" i="23"/>
  <c r="AA855" i="31" s="1"/>
  <c r="L1103" i="23"/>
  <c r="X1002" i="31" s="1"/>
  <c r="L1065" i="23"/>
  <c r="X968" i="31" s="1"/>
  <c r="L858" i="23"/>
  <c r="X780" i="31" s="1"/>
  <c r="I855" i="23"/>
  <c r="I741" i="23"/>
  <c r="W284" i="31"/>
  <c r="S313" i="23"/>
  <c r="AA284" i="31" s="1"/>
  <c r="I1107" i="23"/>
  <c r="I853" i="23"/>
  <c r="L740" i="23"/>
  <c r="X672" i="31" s="1"/>
  <c r="W640" i="31"/>
  <c r="S704" i="23"/>
  <c r="AA640" i="31" s="1"/>
  <c r="W220" i="31"/>
  <c r="S242" i="23"/>
  <c r="AA220" i="31" s="1"/>
  <c r="H1313" i="23"/>
  <c r="K1313" i="23" s="1"/>
  <c r="N1313" i="23" s="1"/>
  <c r="E1313" i="20"/>
  <c r="U1193" i="31" s="1"/>
  <c r="H1315" i="23"/>
  <c r="K1315" i="23" s="1"/>
  <c r="N1315" i="23" s="1"/>
  <c r="E1315" i="20"/>
  <c r="U1195" i="31" s="1"/>
  <c r="H1321" i="23"/>
  <c r="K1321" i="23" s="1"/>
  <c r="N1321" i="23" s="1"/>
  <c r="E1321" i="20"/>
  <c r="U1201" i="31" s="1"/>
  <c r="F1356" i="23"/>
  <c r="F1356" i="8"/>
  <c r="H1359" i="23"/>
  <c r="K1359" i="23" s="1"/>
  <c r="N1359" i="23" s="1"/>
  <c r="E1359" i="20"/>
  <c r="U1235" i="31" s="1"/>
  <c r="H1380" i="23"/>
  <c r="K1380" i="23" s="1"/>
  <c r="N1380" i="23" s="1"/>
  <c r="E1380" i="20"/>
  <c r="U1254" i="31" s="1"/>
  <c r="R1380" i="23"/>
  <c r="Z1254" i="31" s="1"/>
  <c r="O1427" i="23"/>
  <c r="Y1297" i="31" s="1"/>
  <c r="W281" i="31"/>
  <c r="S309" i="23"/>
  <c r="AA281" i="31" s="1"/>
  <c r="S254" i="23"/>
  <c r="AA231" i="31" s="1"/>
  <c r="W231" i="31"/>
  <c r="S1486" i="23"/>
  <c r="AA1351" i="31" s="1"/>
  <c r="W1351" i="31"/>
  <c r="W216" i="31"/>
  <c r="S238" i="23"/>
  <c r="AA216" i="31" s="1"/>
  <c r="W1020" i="31"/>
  <c r="S1122" i="23"/>
  <c r="AA1020" i="31" s="1"/>
  <c r="W210" i="31"/>
  <c r="S231" i="23"/>
  <c r="AA210" i="31" s="1"/>
  <c r="W272" i="31"/>
  <c r="S300" i="23"/>
  <c r="AA272" i="31" s="1"/>
  <c r="W1017" i="31"/>
  <c r="S1119" i="23"/>
  <c r="AA1017" i="31" s="1"/>
  <c r="W681" i="31"/>
  <c r="W675" i="31"/>
  <c r="S1116" i="23"/>
  <c r="AA1014" i="31" s="1"/>
  <c r="S1063" i="23"/>
  <c r="AA966" i="31" s="1"/>
  <c r="W966" i="31"/>
  <c r="W634" i="31"/>
  <c r="S698" i="23"/>
  <c r="AA634" i="31" s="1"/>
  <c r="W321" i="31"/>
  <c r="S353" i="23"/>
  <c r="AA321" i="31" s="1"/>
  <c r="H1299" i="23"/>
  <c r="K1299" i="23" s="1"/>
  <c r="N1299" i="23" s="1"/>
  <c r="O1299" i="23" s="1"/>
  <c r="Y1181" i="31" s="1"/>
  <c r="E1299" i="20"/>
  <c r="U1181" i="31" s="1"/>
  <c r="L1299" i="23"/>
  <c r="X1181" i="31" s="1"/>
  <c r="E1312" i="23"/>
  <c r="G1312" i="23" s="1"/>
  <c r="E1312" i="8"/>
  <c r="G1312" i="8" s="1"/>
  <c r="E1192" i="31" s="1"/>
  <c r="O1313" i="23"/>
  <c r="Y1193" i="31" s="1"/>
  <c r="H1314" i="23"/>
  <c r="K1314" i="23" s="1"/>
  <c r="N1314" i="23" s="1"/>
  <c r="O1314" i="23" s="1"/>
  <c r="Y1194" i="31" s="1"/>
  <c r="E1314" i="20"/>
  <c r="U1194" i="31" s="1"/>
  <c r="R1314" i="23"/>
  <c r="Z1194" i="31" s="1"/>
  <c r="O1315" i="23"/>
  <c r="Y1195" i="31" s="1"/>
  <c r="H1316" i="23"/>
  <c r="K1316" i="23" s="1"/>
  <c r="N1316" i="23" s="1"/>
  <c r="O1316" i="23" s="1"/>
  <c r="Y1196" i="31" s="1"/>
  <c r="E1316" i="20"/>
  <c r="U1196" i="31" s="1"/>
  <c r="R1316" i="23"/>
  <c r="Z1196" i="31" s="1"/>
  <c r="O1317" i="23"/>
  <c r="Y1197" i="31" s="1"/>
  <c r="H1318" i="23"/>
  <c r="K1318" i="23" s="1"/>
  <c r="N1318" i="23" s="1"/>
  <c r="O1318" i="23" s="1"/>
  <c r="Y1198" i="31" s="1"/>
  <c r="E1318" i="20"/>
  <c r="U1198" i="31" s="1"/>
  <c r="R1318" i="23"/>
  <c r="Z1198" i="31" s="1"/>
  <c r="O1319" i="23"/>
  <c r="Y1199" i="31" s="1"/>
  <c r="H1320" i="23"/>
  <c r="K1320" i="23" s="1"/>
  <c r="N1320" i="23" s="1"/>
  <c r="O1320" i="23" s="1"/>
  <c r="Y1200" i="31" s="1"/>
  <c r="E1320" i="20"/>
  <c r="U1200" i="31" s="1"/>
  <c r="R1320" i="23"/>
  <c r="Z1200" i="31" s="1"/>
  <c r="O1321" i="23"/>
  <c r="Y1201" i="31" s="1"/>
  <c r="H1356" i="23"/>
  <c r="K1356" i="23" s="1"/>
  <c r="N1356" i="23" s="1"/>
  <c r="O1356" i="23" s="1"/>
  <c r="Y1232" i="31" s="1"/>
  <c r="E1356" i="20"/>
  <c r="U1232" i="31" s="1"/>
  <c r="R1356" i="23"/>
  <c r="Z1232" i="31" s="1"/>
  <c r="H1357" i="23"/>
  <c r="K1357" i="23" s="1"/>
  <c r="N1357" i="23" s="1"/>
  <c r="O1357" i="23" s="1"/>
  <c r="Y1233" i="31" s="1"/>
  <c r="E1357" i="20"/>
  <c r="U1233" i="31" s="1"/>
  <c r="R1357" i="23"/>
  <c r="Z1233" i="31" s="1"/>
  <c r="S1233" i="31"/>
  <c r="P1233" i="31"/>
  <c r="H1358" i="23"/>
  <c r="K1358" i="23" s="1"/>
  <c r="N1358" i="23" s="1"/>
  <c r="O1358" i="23" s="1"/>
  <c r="Y1234" i="31" s="1"/>
  <c r="E1358" i="20"/>
  <c r="U1234" i="31" s="1"/>
  <c r="R1358" i="23"/>
  <c r="Z1234" i="31" s="1"/>
  <c r="P1234" i="31"/>
  <c r="S1234" i="31"/>
  <c r="O1359" i="23"/>
  <c r="Y1235" i="31" s="1"/>
  <c r="H1360" i="23"/>
  <c r="K1360" i="23" s="1"/>
  <c r="N1360" i="23" s="1"/>
  <c r="O1360" i="23" s="1"/>
  <c r="Y1236" i="31" s="1"/>
  <c r="E1360" i="20"/>
  <c r="U1236" i="31" s="1"/>
  <c r="R1360" i="23"/>
  <c r="Z1236" i="31" s="1"/>
  <c r="P1236" i="31"/>
  <c r="S1236" i="31"/>
  <c r="E1359" i="23"/>
  <c r="G1359" i="23" s="1"/>
  <c r="I1359" i="23" s="1"/>
  <c r="E1359" i="8"/>
  <c r="G1359" i="8" s="1"/>
  <c r="E1235" i="31" s="1"/>
  <c r="L1361" i="23"/>
  <c r="X1237" i="31" s="1"/>
  <c r="H1362" i="23"/>
  <c r="K1362" i="23" s="1"/>
  <c r="N1362" i="23" s="1"/>
  <c r="O1362" i="23" s="1"/>
  <c r="Y1238" i="31" s="1"/>
  <c r="E1362" i="20"/>
  <c r="U1238" i="31" s="1"/>
  <c r="R1362" i="23"/>
  <c r="Z1238" i="31" s="1"/>
  <c r="P1238" i="31"/>
  <c r="S1238" i="31"/>
  <c r="F1363" i="23"/>
  <c r="F1363" i="8"/>
  <c r="O1364" i="23"/>
  <c r="Y1240" i="31" s="1"/>
  <c r="P1240" i="31"/>
  <c r="S1240" i="31"/>
  <c r="F1365" i="23"/>
  <c r="F1365" i="8"/>
  <c r="F1379" i="23"/>
  <c r="F1379" i="8"/>
  <c r="L1380" i="23"/>
  <c r="X1254" i="31" s="1"/>
  <c r="P1254" i="31"/>
  <c r="S1254" i="31"/>
  <c r="H1381" i="23"/>
  <c r="K1381" i="23" s="1"/>
  <c r="N1381" i="23" s="1"/>
  <c r="E1381" i="20"/>
  <c r="U1255" i="31" s="1"/>
  <c r="R1381" i="23"/>
  <c r="Z1255" i="31" s="1"/>
  <c r="P1255" i="31"/>
  <c r="S1255" i="31"/>
  <c r="H1382" i="23"/>
  <c r="K1382" i="23" s="1"/>
  <c r="N1382" i="23" s="1"/>
  <c r="O1382" i="23" s="1"/>
  <c r="Y1256" i="31" s="1"/>
  <c r="E1382" i="20"/>
  <c r="U1256" i="31" s="1"/>
  <c r="R1382" i="23"/>
  <c r="Z1256" i="31" s="1"/>
  <c r="H1383" i="23"/>
  <c r="K1383" i="23" s="1"/>
  <c r="N1383" i="23" s="1"/>
  <c r="E1383" i="20"/>
  <c r="U1257" i="31" s="1"/>
  <c r="R1383" i="23"/>
  <c r="Z1257" i="31" s="1"/>
  <c r="H1384" i="23"/>
  <c r="K1384" i="23" s="1"/>
  <c r="N1384" i="23" s="1"/>
  <c r="O1384" i="23" s="1"/>
  <c r="Y1258" i="31" s="1"/>
  <c r="E1384" i="20"/>
  <c r="U1258" i="31" s="1"/>
  <c r="R1384" i="23"/>
  <c r="Z1258" i="31" s="1"/>
  <c r="F1385" i="23"/>
  <c r="F1385" i="8"/>
  <c r="O1386" i="23"/>
  <c r="Y1260" i="31" s="1"/>
  <c r="O1387" i="23"/>
  <c r="Y1261" i="31" s="1"/>
  <c r="E1427" i="23"/>
  <c r="E1427" i="8"/>
  <c r="F1427" i="23"/>
  <c r="F1427" i="8"/>
  <c r="L1427" i="23"/>
  <c r="X1297" i="31" s="1"/>
  <c r="F1428" i="23"/>
  <c r="F1428" i="8"/>
  <c r="H1430" i="23"/>
  <c r="K1430" i="23" s="1"/>
  <c r="N1430" i="23" s="1"/>
  <c r="O1430" i="23" s="1"/>
  <c r="Y1300" i="31" s="1"/>
  <c r="E1430" i="20"/>
  <c r="U1300" i="31" s="1"/>
  <c r="R1430" i="23"/>
  <c r="Z1300" i="31" s="1"/>
  <c r="E1431" i="23"/>
  <c r="E1431" i="8"/>
  <c r="W291" i="31"/>
  <c r="S320" i="23"/>
  <c r="AA291" i="31" s="1"/>
  <c r="S246" i="23"/>
  <c r="AA223" i="31" s="1"/>
  <c r="W223" i="31"/>
  <c r="W826" i="31"/>
  <c r="S909" i="23"/>
  <c r="AA826" i="31" s="1"/>
  <c r="S914" i="23"/>
  <c r="AA831" i="31" s="1"/>
  <c r="G853" i="8"/>
  <c r="E775" i="31" s="1"/>
  <c r="L1068" i="23"/>
  <c r="X971" i="31" s="1"/>
  <c r="L1062" i="23"/>
  <c r="X965" i="31" s="1"/>
  <c r="L857" i="23"/>
  <c r="X779" i="31" s="1"/>
  <c r="L747" i="23"/>
  <c r="X679" i="31" s="1"/>
  <c r="W1010" i="31"/>
  <c r="S1111" i="23"/>
  <c r="AA1010" i="31" s="1"/>
  <c r="W672" i="31"/>
  <c r="S740" i="23"/>
  <c r="AA672" i="31" s="1"/>
  <c r="W638" i="31"/>
  <c r="S702" i="23"/>
  <c r="AA638" i="31" s="1"/>
  <c r="W205" i="31"/>
  <c r="S226" i="23"/>
  <c r="AA205" i="31" s="1"/>
  <c r="W1049" i="31"/>
  <c r="S1154" i="23"/>
  <c r="AA1049" i="31" s="1"/>
  <c r="W290" i="31"/>
  <c r="S319" i="23"/>
  <c r="AA290" i="31" s="1"/>
  <c r="W228" i="31"/>
  <c r="S251" i="23"/>
  <c r="AA228" i="31" s="1"/>
  <c r="L1112" i="23"/>
  <c r="X1011" i="31" s="1"/>
  <c r="L1108" i="23"/>
  <c r="X1007" i="31" s="1"/>
  <c r="L1064" i="23"/>
  <c r="X967" i="31" s="1"/>
  <c r="I850" i="23"/>
  <c r="I746" i="23"/>
  <c r="I744" i="23"/>
  <c r="I742" i="23"/>
  <c r="L851" i="23"/>
  <c r="X773" i="31" s="1"/>
  <c r="W285" i="31"/>
  <c r="S314" i="23"/>
  <c r="AA285" i="31" s="1"/>
  <c r="W273" i="31"/>
  <c r="S301" i="23"/>
  <c r="AA273" i="31" s="1"/>
  <c r="S906" i="23"/>
  <c r="AA823" i="31" s="1"/>
  <c r="W823" i="31"/>
  <c r="I1103" i="23"/>
  <c r="I1065" i="23"/>
  <c r="I858" i="23"/>
  <c r="S228" i="23"/>
  <c r="AA207" i="31" s="1"/>
  <c r="S232" i="23"/>
  <c r="AA211" i="31" s="1"/>
  <c r="W1051" i="31"/>
  <c r="S1156" i="23"/>
  <c r="AA1051" i="31" s="1"/>
  <c r="S302" i="23"/>
  <c r="AA274" i="31" s="1"/>
  <c r="S249" i="23"/>
  <c r="AA226" i="31" s="1"/>
  <c r="S239" i="23"/>
  <c r="AA217" i="31" s="1"/>
  <c r="S1117" i="23"/>
  <c r="AA1015" i="31" s="1"/>
  <c r="W822" i="31"/>
  <c r="S905" i="23"/>
  <c r="AA822" i="31" s="1"/>
  <c r="G740" i="8"/>
  <c r="E672" i="31" s="1"/>
  <c r="I851" i="23"/>
  <c r="F1358" i="23"/>
  <c r="F1358" i="8"/>
  <c r="P1235" i="31"/>
  <c r="S1235" i="31"/>
  <c r="L1363" i="23"/>
  <c r="X1239" i="31" s="1"/>
  <c r="L1365" i="23"/>
  <c r="X1241" i="31" s="1"/>
  <c r="O1380" i="23"/>
  <c r="Y1254" i="31" s="1"/>
  <c r="O1381" i="23"/>
  <c r="Y1255" i="31" s="1"/>
  <c r="O1383" i="23"/>
  <c r="Y1257" i="31" s="1"/>
  <c r="E1385" i="23"/>
  <c r="G1385" i="23" s="1"/>
  <c r="I1385" i="23" s="1"/>
  <c r="E1385" i="8"/>
  <c r="G1385" i="8" s="1"/>
  <c r="E1259" i="31" s="1"/>
  <c r="R1427" i="23"/>
  <c r="Z1297" i="31" s="1"/>
  <c r="E1428" i="23"/>
  <c r="G1428" i="23" s="1"/>
  <c r="I1428" i="23" s="1"/>
  <c r="E1428" i="8"/>
  <c r="G1428" i="8" s="1"/>
  <c r="E1298" i="31" s="1"/>
  <c r="E1430" i="23"/>
  <c r="G1430" i="23" s="1"/>
  <c r="I1430" i="23" s="1"/>
  <c r="E1430" i="8"/>
  <c r="G1430" i="8" s="1"/>
  <c r="E1300" i="31" s="1"/>
  <c r="F1430" i="23"/>
  <c r="F1430" i="8"/>
  <c r="F1431" i="23"/>
  <c r="F1431" i="8"/>
  <c r="W283" i="31"/>
  <c r="S312" i="23"/>
  <c r="AA283" i="31" s="1"/>
  <c r="W824" i="31"/>
  <c r="S907" i="23"/>
  <c r="AA824" i="31" s="1"/>
  <c r="H1298" i="23"/>
  <c r="K1298" i="23" s="1"/>
  <c r="N1298" i="23" s="1"/>
  <c r="E1298" i="20"/>
  <c r="U1180" i="31" s="1"/>
  <c r="S1181" i="31"/>
  <c r="P1181" i="31"/>
  <c r="H1312" i="23"/>
  <c r="K1312" i="23" s="1"/>
  <c r="N1312" i="23" s="1"/>
  <c r="O1312" i="23" s="1"/>
  <c r="Y1192" i="31" s="1"/>
  <c r="E1312" i="20"/>
  <c r="U1192" i="31" s="1"/>
  <c r="E1313" i="23"/>
  <c r="G1313" i="23" s="1"/>
  <c r="I1313" i="23" s="1"/>
  <c r="E1313" i="8"/>
  <c r="G1313" i="8" s="1"/>
  <c r="E1193" i="31" s="1"/>
  <c r="L1313" i="23"/>
  <c r="X1193" i="31" s="1"/>
  <c r="F1314" i="23"/>
  <c r="F1314" i="8"/>
  <c r="E1315" i="23"/>
  <c r="G1315" i="23" s="1"/>
  <c r="I1315" i="23" s="1"/>
  <c r="E1315" i="8"/>
  <c r="G1315" i="8" s="1"/>
  <c r="E1195" i="31" s="1"/>
  <c r="L1315" i="23"/>
  <c r="X1195" i="31" s="1"/>
  <c r="F1316" i="23"/>
  <c r="F1316" i="8"/>
  <c r="E1317" i="23"/>
  <c r="G1317" i="23" s="1"/>
  <c r="I1317" i="23" s="1"/>
  <c r="E1317" i="8"/>
  <c r="G1317" i="8" s="1"/>
  <c r="E1197" i="31" s="1"/>
  <c r="L1317" i="23"/>
  <c r="X1197" i="31" s="1"/>
  <c r="F1318" i="23"/>
  <c r="F1318" i="8"/>
  <c r="E1319" i="23"/>
  <c r="G1319" i="23" s="1"/>
  <c r="I1319" i="23" s="1"/>
  <c r="E1319" i="8"/>
  <c r="G1319" i="8" s="1"/>
  <c r="E1199" i="31" s="1"/>
  <c r="L1319" i="23"/>
  <c r="X1199" i="31" s="1"/>
  <c r="F1320" i="23"/>
  <c r="F1320" i="8"/>
  <c r="E1321" i="23"/>
  <c r="G1321" i="23" s="1"/>
  <c r="I1321" i="23" s="1"/>
  <c r="E1321" i="8"/>
  <c r="G1321" i="8" s="1"/>
  <c r="E1201" i="31" s="1"/>
  <c r="L1321" i="23"/>
  <c r="X1201" i="31" s="1"/>
  <c r="P1232" i="31"/>
  <c r="S1232" i="31"/>
  <c r="F1357" i="23"/>
  <c r="F1357" i="8"/>
  <c r="L1359" i="23"/>
  <c r="X1235" i="31" s="1"/>
  <c r="F1360" i="23"/>
  <c r="F1360" i="8"/>
  <c r="E1361" i="23"/>
  <c r="G1361" i="23" s="1"/>
  <c r="I1361" i="23" s="1"/>
  <c r="E1361" i="8"/>
  <c r="G1361" i="8" s="1"/>
  <c r="E1237" i="31" s="1"/>
  <c r="S1237" i="31"/>
  <c r="P1237" i="31"/>
  <c r="F1362" i="23"/>
  <c r="F1362" i="8"/>
  <c r="O1363" i="23"/>
  <c r="Y1239" i="31" s="1"/>
  <c r="E1364" i="23"/>
  <c r="G1364" i="23" s="1"/>
  <c r="I1364" i="23" s="1"/>
  <c r="E1364" i="8"/>
  <c r="G1364" i="8" s="1"/>
  <c r="E1240" i="31" s="1"/>
  <c r="L1364" i="23"/>
  <c r="X1240" i="31" s="1"/>
  <c r="O1365" i="23"/>
  <c r="Y1241" i="31" s="1"/>
  <c r="H1379" i="23"/>
  <c r="K1379" i="23" s="1"/>
  <c r="N1379" i="23" s="1"/>
  <c r="E1379" i="20"/>
  <c r="U1253" i="31" s="1"/>
  <c r="R1379" i="23"/>
  <c r="Z1253" i="31" s="1"/>
  <c r="O1379" i="23"/>
  <c r="Y1253" i="31" s="1"/>
  <c r="F1381" i="23"/>
  <c r="F1381" i="8"/>
  <c r="F1382" i="23"/>
  <c r="F1382" i="8"/>
  <c r="P1256" i="31"/>
  <c r="S1256" i="31"/>
  <c r="F1383" i="23"/>
  <c r="F1383" i="8"/>
  <c r="S1257" i="31"/>
  <c r="P1257" i="31"/>
  <c r="F1384" i="23"/>
  <c r="F1384" i="8"/>
  <c r="O1385" i="23"/>
  <c r="Y1259" i="31" s="1"/>
  <c r="E1386" i="23"/>
  <c r="G1386" i="23" s="1"/>
  <c r="I1386" i="23" s="1"/>
  <c r="E1386" i="8"/>
  <c r="G1386" i="8" s="1"/>
  <c r="E1260" i="31" s="1"/>
  <c r="L1386" i="23"/>
  <c r="X1260" i="31" s="1"/>
  <c r="E1387" i="23"/>
  <c r="G1387" i="23" s="1"/>
  <c r="I1387" i="23" s="1"/>
  <c r="E1387" i="8"/>
  <c r="G1387" i="8" s="1"/>
  <c r="E1261" i="31" s="1"/>
  <c r="L1387" i="23"/>
  <c r="X1261" i="31" s="1"/>
  <c r="H1426" i="23"/>
  <c r="K1426" i="23" s="1"/>
  <c r="N1426" i="23" s="1"/>
  <c r="O1426" i="23" s="1"/>
  <c r="Y1296" i="31" s="1"/>
  <c r="E1426" i="20"/>
  <c r="U1296" i="31" s="1"/>
  <c r="R1426" i="23"/>
  <c r="Z1296" i="31" s="1"/>
  <c r="O1428" i="23"/>
  <c r="Y1298" i="31" s="1"/>
  <c r="E1429" i="23"/>
  <c r="G1429" i="23" s="1"/>
  <c r="I1429" i="23" s="1"/>
  <c r="E1429" i="8"/>
  <c r="G1429" i="8" s="1"/>
  <c r="E1299" i="31" s="1"/>
  <c r="F1429" i="23"/>
  <c r="F1429" i="8"/>
  <c r="L1429" i="23"/>
  <c r="X1299" i="31" s="1"/>
  <c r="H1431" i="23"/>
  <c r="K1431" i="23" s="1"/>
  <c r="N1431" i="23" s="1"/>
  <c r="O1431" i="23" s="1"/>
  <c r="Y1301" i="31" s="1"/>
  <c r="E1431" i="20"/>
  <c r="U1301" i="31" s="1"/>
  <c r="W1349" i="31"/>
  <c r="S1484" i="23"/>
  <c r="AA1349" i="31" s="1"/>
  <c r="W277" i="31"/>
  <c r="S305" i="23"/>
  <c r="AA277" i="31" s="1"/>
  <c r="W227" i="31"/>
  <c r="S250" i="23"/>
  <c r="AA227" i="31" s="1"/>
  <c r="W1012" i="31"/>
  <c r="S1114" i="23"/>
  <c r="AA1012" i="31" s="1"/>
  <c r="W829" i="31"/>
  <c r="S912" i="23"/>
  <c r="AA829" i="31" s="1"/>
  <c r="G857" i="8"/>
  <c r="E779" i="31" s="1"/>
  <c r="G1109" i="8"/>
  <c r="E1008" i="31" s="1"/>
  <c r="I1068" i="23"/>
  <c r="I1062" i="23"/>
  <c r="I747" i="23"/>
  <c r="W1008" i="31"/>
  <c r="S1109" i="23"/>
  <c r="AA1008" i="31" s="1"/>
  <c r="L853" i="23"/>
  <c r="X775" i="31" s="1"/>
  <c r="W282" i="31"/>
  <c r="S311" i="23"/>
  <c r="AA282" i="31" s="1"/>
  <c r="W1016" i="31"/>
  <c r="S1118" i="23"/>
  <c r="AA1016" i="31" s="1"/>
  <c r="W320" i="31"/>
  <c r="S352" i="23"/>
  <c r="AA320" i="31" s="1"/>
  <c r="W208" i="31"/>
  <c r="S229" i="23"/>
  <c r="AA208" i="31" s="1"/>
  <c r="W637" i="31"/>
  <c r="S701" i="23"/>
  <c r="AA637" i="31" s="1"/>
  <c r="W280" i="31"/>
  <c r="S308" i="23"/>
  <c r="AA280" i="31" s="1"/>
  <c r="W219" i="31"/>
  <c r="S241" i="23"/>
  <c r="AA219" i="31" s="1"/>
  <c r="W1011" i="31"/>
  <c r="S1112" i="23"/>
  <c r="AA1011" i="31" s="1"/>
  <c r="I1108" i="23"/>
  <c r="W1004" i="31"/>
  <c r="S1105" i="23"/>
  <c r="AA1004" i="31" s="1"/>
  <c r="I1064" i="23"/>
  <c r="W964" i="31"/>
  <c r="S1061" i="23"/>
  <c r="AA964" i="31" s="1"/>
  <c r="L852" i="23"/>
  <c r="X774" i="31" s="1"/>
  <c r="L749" i="23"/>
  <c r="X681" i="31" s="1"/>
  <c r="L745" i="23"/>
  <c r="X677" i="31" s="1"/>
  <c r="L743" i="23"/>
  <c r="X675" i="31" s="1"/>
  <c r="W289" i="31"/>
  <c r="S318" i="23"/>
  <c r="AA289" i="31" s="1"/>
  <c r="W225" i="31"/>
  <c r="S248" i="23"/>
  <c r="AA225" i="31" s="1"/>
  <c r="W202" i="31"/>
  <c r="S223" i="23"/>
  <c r="AA202" i="31" s="1"/>
  <c r="W828" i="31"/>
  <c r="S911" i="23"/>
  <c r="AA828" i="31" s="1"/>
  <c r="W313" i="31"/>
  <c r="S345" i="23"/>
  <c r="AA313" i="31" s="1"/>
  <c r="L1104" i="23"/>
  <c r="X1003" i="31" s="1"/>
  <c r="L1067" i="23"/>
  <c r="X970" i="31" s="1"/>
  <c r="S1483" i="23"/>
  <c r="AA1348" i="31" s="1"/>
  <c r="G748" i="8"/>
  <c r="E680" i="31" s="1"/>
  <c r="W858" i="31"/>
  <c r="S944" i="23"/>
  <c r="AA858" i="31" s="1"/>
  <c r="W1013" i="31"/>
  <c r="S1115" i="23"/>
  <c r="AA1013" i="31" s="1"/>
  <c r="X1298" i="6"/>
  <c r="E1298" i="29" s="1"/>
  <c r="T1180" i="31" s="1"/>
  <c r="V1298" i="6"/>
  <c r="E1298" i="28" s="1"/>
  <c r="N1298" i="6"/>
  <c r="M1298" i="6"/>
  <c r="M1298" i="23" s="1"/>
  <c r="O1298" i="23" s="1"/>
  <c r="Y1180" i="31" s="1"/>
  <c r="L1298" i="6"/>
  <c r="K1298" i="6"/>
  <c r="P1298" i="23" s="1"/>
  <c r="J1298" i="6"/>
  <c r="J1298" i="23" s="1"/>
  <c r="L1298" i="23" s="1"/>
  <c r="X1180" i="31" s="1"/>
  <c r="I1298" i="6"/>
  <c r="Q1298" i="23" s="1"/>
  <c r="H1298" i="6"/>
  <c r="F1298" i="6"/>
  <c r="E1298" i="6"/>
  <c r="X1297" i="6"/>
  <c r="E1297" i="29" s="1"/>
  <c r="T1179" i="31" s="1"/>
  <c r="V1297" i="6"/>
  <c r="E1297" i="28" s="1"/>
  <c r="N1297" i="6"/>
  <c r="M1297" i="6"/>
  <c r="M1297" i="23" s="1"/>
  <c r="L1297" i="6"/>
  <c r="K1297" i="6"/>
  <c r="P1297" i="23" s="1"/>
  <c r="R1297" i="23" s="1"/>
  <c r="Z1179" i="31" s="1"/>
  <c r="J1297" i="6"/>
  <c r="J1297" i="23" s="1"/>
  <c r="I1297" i="6"/>
  <c r="Q1297" i="23" s="1"/>
  <c r="H1297" i="6"/>
  <c r="G1297" i="6"/>
  <c r="F1297" i="6"/>
  <c r="E1297" i="6"/>
  <c r="X1296" i="6"/>
  <c r="E1296" i="29" s="1"/>
  <c r="T1178" i="31" s="1"/>
  <c r="V1296" i="6"/>
  <c r="E1296" i="28" s="1"/>
  <c r="N1296" i="6"/>
  <c r="M1296" i="6"/>
  <c r="M1296" i="23" s="1"/>
  <c r="L1296" i="6"/>
  <c r="K1296" i="6"/>
  <c r="P1296" i="23" s="1"/>
  <c r="R1296" i="23" s="1"/>
  <c r="Z1178" i="31" s="1"/>
  <c r="J1296" i="6"/>
  <c r="J1296" i="23" s="1"/>
  <c r="I1296" i="6"/>
  <c r="Q1296" i="23" s="1"/>
  <c r="H1296" i="6"/>
  <c r="G1296" i="6"/>
  <c r="F1296" i="6"/>
  <c r="E1296" i="6"/>
  <c r="N1295" i="6"/>
  <c r="M1295" i="6"/>
  <c r="M1295" i="23" s="1"/>
  <c r="L1295" i="6"/>
  <c r="K1295" i="6"/>
  <c r="P1295" i="23" s="1"/>
  <c r="J1295" i="6"/>
  <c r="J1295" i="23" s="1"/>
  <c r="I1295" i="6"/>
  <c r="Q1295" i="23" s="1"/>
  <c r="H1295" i="6"/>
  <c r="G1295" i="6"/>
  <c r="F1295" i="6"/>
  <c r="E1295" i="6"/>
  <c r="T1295" i="6"/>
  <c r="E1295" i="19" s="1"/>
  <c r="T1296" i="6"/>
  <c r="E1296" i="19" s="1"/>
  <c r="T1297" i="6"/>
  <c r="E1297" i="19" s="1"/>
  <c r="T1298" i="6"/>
  <c r="E1298" i="19" s="1"/>
  <c r="T1299" i="6"/>
  <c r="E1299" i="19" s="1"/>
  <c r="T1294" i="6"/>
  <c r="E1294" i="19" s="1"/>
  <c r="N1294" i="6"/>
  <c r="N1293" i="6"/>
  <c r="M1294" i="6"/>
  <c r="M1294" i="23" s="1"/>
  <c r="M1293" i="6"/>
  <c r="M1293" i="23" s="1"/>
  <c r="L1294" i="6"/>
  <c r="L1293" i="6"/>
  <c r="K1294" i="6"/>
  <c r="P1294" i="23" s="1"/>
  <c r="K1293" i="6"/>
  <c r="P1293" i="23" s="1"/>
  <c r="J1294" i="6"/>
  <c r="J1294" i="23" s="1"/>
  <c r="J1293" i="6"/>
  <c r="J1293" i="23" s="1"/>
  <c r="I1294" i="6"/>
  <c r="Q1294" i="23" s="1"/>
  <c r="I1293" i="6"/>
  <c r="Q1293" i="23" s="1"/>
  <c r="H1294" i="6"/>
  <c r="H1293" i="6"/>
  <c r="G1294" i="6"/>
  <c r="G1293" i="6"/>
  <c r="F1294" i="6"/>
  <c r="F1293" i="6"/>
  <c r="E1294" i="6"/>
  <c r="E1293" i="6"/>
  <c r="L1278" i="6"/>
  <c r="N1288" i="6"/>
  <c r="M1288" i="6"/>
  <c r="M1288" i="23" s="1"/>
  <c r="L1288" i="6"/>
  <c r="K1288" i="6"/>
  <c r="P1288" i="23" s="1"/>
  <c r="J1288" i="6"/>
  <c r="J1288" i="23" s="1"/>
  <c r="I1288" i="6"/>
  <c r="Q1288" i="23" s="1"/>
  <c r="H1288" i="6"/>
  <c r="G1288" i="6"/>
  <c r="F1288" i="6"/>
  <c r="E1288" i="6"/>
  <c r="N1287" i="6"/>
  <c r="M1287" i="6"/>
  <c r="M1287" i="23" s="1"/>
  <c r="L1287" i="6"/>
  <c r="K1287" i="6"/>
  <c r="P1287" i="23" s="1"/>
  <c r="R1287" i="23" s="1"/>
  <c r="Z1170" i="31" s="1"/>
  <c r="J1287" i="6"/>
  <c r="J1287" i="23" s="1"/>
  <c r="I1287" i="6"/>
  <c r="Q1287" i="23" s="1"/>
  <c r="H1287" i="6"/>
  <c r="G1287" i="6"/>
  <c r="F1287" i="6"/>
  <c r="E1287" i="6"/>
  <c r="N1286" i="6"/>
  <c r="M1286" i="6"/>
  <c r="M1286" i="23" s="1"/>
  <c r="L1286" i="6"/>
  <c r="K1286" i="6"/>
  <c r="P1286" i="23" s="1"/>
  <c r="J1286" i="6"/>
  <c r="J1286" i="23" s="1"/>
  <c r="I1286" i="6"/>
  <c r="Q1286" i="23" s="1"/>
  <c r="H1286" i="6"/>
  <c r="G1286" i="6"/>
  <c r="F1286" i="6"/>
  <c r="E1286" i="6"/>
  <c r="N1285" i="6"/>
  <c r="M1285" i="6"/>
  <c r="M1285" i="23" s="1"/>
  <c r="L1285" i="6"/>
  <c r="K1285" i="6"/>
  <c r="P1285" i="23" s="1"/>
  <c r="R1285" i="23" s="1"/>
  <c r="Z1168" i="31" s="1"/>
  <c r="J1285" i="6"/>
  <c r="J1285" i="23" s="1"/>
  <c r="I1285" i="6"/>
  <c r="Q1285" i="23" s="1"/>
  <c r="H1285" i="6"/>
  <c r="G1285" i="6"/>
  <c r="F1285" i="6"/>
  <c r="E1285" i="6"/>
  <c r="N1284" i="6"/>
  <c r="M1284" i="6"/>
  <c r="M1284" i="23" s="1"/>
  <c r="L1284" i="6"/>
  <c r="K1284" i="6"/>
  <c r="P1284" i="23" s="1"/>
  <c r="J1284" i="6"/>
  <c r="J1284" i="23" s="1"/>
  <c r="I1284" i="6"/>
  <c r="Q1284" i="23" s="1"/>
  <c r="H1284" i="6"/>
  <c r="G1284" i="6"/>
  <c r="F1284" i="6"/>
  <c r="E1284" i="6"/>
  <c r="N1283" i="6"/>
  <c r="M1283" i="6"/>
  <c r="M1283" i="23" s="1"/>
  <c r="L1283" i="6"/>
  <c r="K1283" i="6"/>
  <c r="P1283" i="23" s="1"/>
  <c r="R1283" i="23" s="1"/>
  <c r="Z1166" i="31" s="1"/>
  <c r="J1283" i="6"/>
  <c r="J1283" i="23" s="1"/>
  <c r="I1283" i="6"/>
  <c r="Q1283" i="23" s="1"/>
  <c r="H1283" i="6"/>
  <c r="G1283" i="6"/>
  <c r="F1283" i="6"/>
  <c r="E1283" i="6"/>
  <c r="N1282" i="6"/>
  <c r="M1282" i="6"/>
  <c r="M1282" i="23" s="1"/>
  <c r="L1282" i="6"/>
  <c r="K1282" i="6"/>
  <c r="P1282" i="23" s="1"/>
  <c r="J1282" i="6"/>
  <c r="J1282" i="23" s="1"/>
  <c r="I1282" i="6"/>
  <c r="Q1282" i="23" s="1"/>
  <c r="H1282" i="6"/>
  <c r="G1282" i="6"/>
  <c r="F1282" i="6"/>
  <c r="E1282" i="6"/>
  <c r="N1281" i="6"/>
  <c r="M1281" i="6"/>
  <c r="M1281" i="23" s="1"/>
  <c r="L1281" i="6"/>
  <c r="K1281" i="6"/>
  <c r="P1281" i="23" s="1"/>
  <c r="R1281" i="23" s="1"/>
  <c r="Z1164" i="31" s="1"/>
  <c r="J1281" i="6"/>
  <c r="J1281" i="23" s="1"/>
  <c r="I1281" i="6"/>
  <c r="Q1281" i="23" s="1"/>
  <c r="H1281" i="6"/>
  <c r="G1281" i="6"/>
  <c r="F1281" i="6"/>
  <c r="E1281" i="6"/>
  <c r="N1280" i="6"/>
  <c r="M1280" i="6"/>
  <c r="M1280" i="23" s="1"/>
  <c r="L1280" i="6"/>
  <c r="L1279" i="6"/>
  <c r="K1280" i="6"/>
  <c r="P1280" i="23" s="1"/>
  <c r="J1280" i="6"/>
  <c r="J1280" i="23" s="1"/>
  <c r="I1280" i="6"/>
  <c r="Q1280" i="23" s="1"/>
  <c r="H1280" i="6"/>
  <c r="G1280" i="6"/>
  <c r="F1280" i="6"/>
  <c r="E1280" i="6"/>
  <c r="T1280" i="6"/>
  <c r="E1280" i="19" s="1"/>
  <c r="T1281" i="6"/>
  <c r="E1281" i="19" s="1"/>
  <c r="T1282" i="6"/>
  <c r="E1282" i="19" s="1"/>
  <c r="T1283" i="6"/>
  <c r="E1283" i="19" s="1"/>
  <c r="T1284" i="6"/>
  <c r="E1284" i="19" s="1"/>
  <c r="T1285" i="6"/>
  <c r="E1285" i="19" s="1"/>
  <c r="T1286" i="6"/>
  <c r="E1286" i="19" s="1"/>
  <c r="T1287" i="6"/>
  <c r="E1287" i="19" s="1"/>
  <c r="T1288" i="6"/>
  <c r="E1288" i="19" s="1"/>
  <c r="T1279" i="6"/>
  <c r="E1279" i="19" s="1"/>
  <c r="N1279" i="6"/>
  <c r="M1279" i="6"/>
  <c r="M1279" i="23" s="1"/>
  <c r="K1279" i="6"/>
  <c r="P1279" i="23" s="1"/>
  <c r="J1279" i="6"/>
  <c r="J1279" i="23" s="1"/>
  <c r="I1279" i="6"/>
  <c r="Q1279" i="23" s="1"/>
  <c r="H1279" i="6"/>
  <c r="G1279" i="6"/>
  <c r="F1279" i="6"/>
  <c r="E1279" i="6"/>
  <c r="N1024" i="6"/>
  <c r="M1024" i="6"/>
  <c r="M1024" i="23" s="1"/>
  <c r="L1024" i="6"/>
  <c r="K1024" i="6"/>
  <c r="P1024" i="23" s="1"/>
  <c r="R1024" i="23" s="1"/>
  <c r="Z931" i="31" s="1"/>
  <c r="J1024" i="6"/>
  <c r="J1024" i="23" s="1"/>
  <c r="I1024" i="6"/>
  <c r="Q1024" i="23" s="1"/>
  <c r="H1024" i="6"/>
  <c r="G1024" i="6"/>
  <c r="F1024" i="6"/>
  <c r="E1024" i="6"/>
  <c r="N1023" i="6"/>
  <c r="M1023" i="6"/>
  <c r="M1023" i="23" s="1"/>
  <c r="L1023" i="6"/>
  <c r="K1023" i="6"/>
  <c r="P1023" i="23" s="1"/>
  <c r="J1023" i="6"/>
  <c r="J1023" i="23" s="1"/>
  <c r="I1023" i="6"/>
  <c r="Q1023" i="23" s="1"/>
  <c r="H1023" i="6"/>
  <c r="G1023" i="6"/>
  <c r="F1023" i="6"/>
  <c r="E1023" i="6"/>
  <c r="N1022" i="6"/>
  <c r="M1022" i="6"/>
  <c r="M1022" i="23" s="1"/>
  <c r="L1022" i="6"/>
  <c r="K1022" i="6"/>
  <c r="P1022" i="23" s="1"/>
  <c r="R1022" i="23" s="1"/>
  <c r="Z929" i="31" s="1"/>
  <c r="J1022" i="6"/>
  <c r="J1022" i="23" s="1"/>
  <c r="I1022" i="6"/>
  <c r="Q1022" i="23" s="1"/>
  <c r="H1022" i="6"/>
  <c r="G1022" i="6"/>
  <c r="F1022" i="6"/>
  <c r="E1022" i="6"/>
  <c r="N1021" i="6"/>
  <c r="M1021" i="6"/>
  <c r="M1021" i="23" s="1"/>
  <c r="L1021" i="6"/>
  <c r="K1021" i="6"/>
  <c r="P1021" i="23" s="1"/>
  <c r="J1021" i="6"/>
  <c r="J1021" i="23" s="1"/>
  <c r="I1021" i="6"/>
  <c r="Q1021" i="23" s="1"/>
  <c r="H1021" i="6"/>
  <c r="G1021" i="6"/>
  <c r="F1021" i="6"/>
  <c r="E1021" i="6"/>
  <c r="N1020" i="6"/>
  <c r="M1020" i="6"/>
  <c r="M1020" i="23" s="1"/>
  <c r="L1020" i="6"/>
  <c r="K1020" i="6"/>
  <c r="P1020" i="23" s="1"/>
  <c r="R1020" i="23" s="1"/>
  <c r="Z927" i="31" s="1"/>
  <c r="J1020" i="6"/>
  <c r="J1020" i="23" s="1"/>
  <c r="I1020" i="6"/>
  <c r="Q1020" i="23" s="1"/>
  <c r="H1020" i="6"/>
  <c r="G1020" i="6"/>
  <c r="F1020" i="6"/>
  <c r="E1020" i="6"/>
  <c r="N1019" i="6"/>
  <c r="M1019" i="6"/>
  <c r="M1019" i="23" s="1"/>
  <c r="L1019" i="6"/>
  <c r="K1019" i="6"/>
  <c r="P1019" i="23" s="1"/>
  <c r="J1019" i="6"/>
  <c r="J1019" i="23" s="1"/>
  <c r="I1019" i="6"/>
  <c r="Q1019" i="23" s="1"/>
  <c r="H1019" i="6"/>
  <c r="G1019" i="6"/>
  <c r="F1019" i="6"/>
  <c r="E1019" i="6"/>
  <c r="X1018" i="6"/>
  <c r="E1018" i="29" s="1"/>
  <c r="T925" i="31" s="1"/>
  <c r="N1018" i="6"/>
  <c r="M1018" i="6"/>
  <c r="M1018" i="23" s="1"/>
  <c r="L1018" i="6"/>
  <c r="K1018" i="6"/>
  <c r="P1018" i="23" s="1"/>
  <c r="R1018" i="23" s="1"/>
  <c r="Z925" i="31" s="1"/>
  <c r="J1018" i="6"/>
  <c r="J1018" i="23" s="1"/>
  <c r="I1018" i="6"/>
  <c r="Q1018" i="23" s="1"/>
  <c r="H1018" i="6"/>
  <c r="G1018" i="6"/>
  <c r="F1018" i="6"/>
  <c r="E1018" i="6"/>
  <c r="N1017" i="6"/>
  <c r="M1017" i="6"/>
  <c r="M1017" i="23" s="1"/>
  <c r="L1017" i="6"/>
  <c r="K1017" i="6"/>
  <c r="P1017" i="23" s="1"/>
  <c r="J1017" i="6"/>
  <c r="J1017" i="23" s="1"/>
  <c r="I1017" i="6"/>
  <c r="Q1017" i="23" s="1"/>
  <c r="H1017" i="6"/>
  <c r="G1017" i="6"/>
  <c r="F1017" i="6"/>
  <c r="E1017" i="6"/>
  <c r="X1016" i="6"/>
  <c r="E1016" i="29" s="1"/>
  <c r="T923" i="31" s="1"/>
  <c r="N1016" i="6"/>
  <c r="M1016" i="6"/>
  <c r="M1016" i="23" s="1"/>
  <c r="L1016" i="6"/>
  <c r="K1016" i="6"/>
  <c r="P1016" i="23" s="1"/>
  <c r="J1016" i="6"/>
  <c r="J1016" i="23" s="1"/>
  <c r="I1016" i="6"/>
  <c r="Q1016" i="23" s="1"/>
  <c r="H1016" i="6"/>
  <c r="G1016" i="6"/>
  <c r="F1016" i="6"/>
  <c r="E1016" i="6"/>
  <c r="X1015" i="6"/>
  <c r="E1015" i="29" s="1"/>
  <c r="T922" i="31" s="1"/>
  <c r="V1015" i="6"/>
  <c r="E1015" i="28" s="1"/>
  <c r="T1016" i="6"/>
  <c r="E1016" i="19" s="1"/>
  <c r="T1017" i="6"/>
  <c r="E1017" i="19" s="1"/>
  <c r="T1018" i="6"/>
  <c r="E1018" i="19" s="1"/>
  <c r="T1019" i="6"/>
  <c r="E1019" i="19" s="1"/>
  <c r="T1020" i="6"/>
  <c r="E1020" i="19" s="1"/>
  <c r="T1021" i="6"/>
  <c r="E1021" i="19" s="1"/>
  <c r="T1022" i="6"/>
  <c r="E1022" i="19" s="1"/>
  <c r="T1023" i="6"/>
  <c r="E1023" i="19" s="1"/>
  <c r="T1024" i="6"/>
  <c r="E1024" i="19" s="1"/>
  <c r="T1015" i="6"/>
  <c r="E1015" i="19" s="1"/>
  <c r="N1015" i="6"/>
  <c r="M1015" i="6"/>
  <c r="M1015" i="23" s="1"/>
  <c r="L1015" i="6"/>
  <c r="L1014" i="6"/>
  <c r="K1015" i="6"/>
  <c r="P1015" i="23" s="1"/>
  <c r="R1015" i="23" s="1"/>
  <c r="Z922" i="31" s="1"/>
  <c r="J1015" i="6"/>
  <c r="J1015" i="23" s="1"/>
  <c r="I1015" i="6"/>
  <c r="Q1015" i="23" s="1"/>
  <c r="G1015" i="6"/>
  <c r="H1015" i="6"/>
  <c r="F1015" i="6"/>
  <c r="E1015" i="6"/>
  <c r="X1009" i="6"/>
  <c r="E1009" i="29" s="1"/>
  <c r="T917" i="31" s="1"/>
  <c r="X1008" i="6"/>
  <c r="E1008" i="29" s="1"/>
  <c r="T916" i="31" s="1"/>
  <c r="V1009" i="6"/>
  <c r="E1009" i="28" s="1"/>
  <c r="V1008" i="6"/>
  <c r="E1008" i="28" s="1"/>
  <c r="X1013" i="6"/>
  <c r="E1013" i="29" s="1"/>
  <c r="T921" i="31" s="1"/>
  <c r="V1013" i="6"/>
  <c r="E1013" i="28" s="1"/>
  <c r="N1013" i="6"/>
  <c r="M1013" i="6"/>
  <c r="M1013" i="23" s="1"/>
  <c r="L1013" i="6"/>
  <c r="K1013" i="6"/>
  <c r="P1013" i="23" s="1"/>
  <c r="R1013" i="23" s="1"/>
  <c r="Z921" i="31" s="1"/>
  <c r="J1013" i="6"/>
  <c r="J1013" i="23" s="1"/>
  <c r="I1013" i="6"/>
  <c r="Q1013" i="23" s="1"/>
  <c r="H1013" i="6"/>
  <c r="G1013" i="6"/>
  <c r="F1013" i="6"/>
  <c r="E1013" i="6"/>
  <c r="X1012" i="6"/>
  <c r="E1012" i="29" s="1"/>
  <c r="T920" i="31" s="1"/>
  <c r="V1012" i="6"/>
  <c r="E1012" i="28" s="1"/>
  <c r="N1012" i="6"/>
  <c r="M1012" i="6"/>
  <c r="M1012" i="23" s="1"/>
  <c r="L1012" i="6"/>
  <c r="K1012" i="6"/>
  <c r="P1012" i="23" s="1"/>
  <c r="R1012" i="23" s="1"/>
  <c r="Z920" i="31" s="1"/>
  <c r="J1012" i="6"/>
  <c r="J1012" i="23" s="1"/>
  <c r="I1012" i="6"/>
  <c r="Q1012" i="23" s="1"/>
  <c r="H1012" i="6"/>
  <c r="G1012" i="6"/>
  <c r="F1012" i="6"/>
  <c r="E1012" i="6"/>
  <c r="X1011" i="6"/>
  <c r="E1011" i="29" s="1"/>
  <c r="T919" i="31" s="1"/>
  <c r="V1011" i="6"/>
  <c r="E1011" i="28" s="1"/>
  <c r="N1011" i="6"/>
  <c r="M1011" i="6"/>
  <c r="M1011" i="23" s="1"/>
  <c r="L1011" i="6"/>
  <c r="K1011" i="6"/>
  <c r="P1011" i="23" s="1"/>
  <c r="R1011" i="23" s="1"/>
  <c r="Z919" i="31" s="1"/>
  <c r="J1011" i="6"/>
  <c r="J1011" i="23" s="1"/>
  <c r="I1011" i="6"/>
  <c r="Q1011" i="23" s="1"/>
  <c r="H1011" i="6"/>
  <c r="G1011" i="6"/>
  <c r="F1011" i="6"/>
  <c r="E1011" i="6"/>
  <c r="X1010" i="6"/>
  <c r="E1010" i="29" s="1"/>
  <c r="T918" i="31" s="1"/>
  <c r="V1010" i="6"/>
  <c r="E1010" i="28" s="1"/>
  <c r="N1010" i="6"/>
  <c r="M1010" i="6"/>
  <c r="M1010" i="23" s="1"/>
  <c r="L1010" i="6"/>
  <c r="K1010" i="6"/>
  <c r="P1010" i="23" s="1"/>
  <c r="J1010" i="6"/>
  <c r="J1010" i="23" s="1"/>
  <c r="I1010" i="6"/>
  <c r="Q1010" i="23" s="1"/>
  <c r="H1010" i="6"/>
  <c r="G1010" i="6"/>
  <c r="F1010" i="6"/>
  <c r="E1010" i="6"/>
  <c r="N1009" i="6"/>
  <c r="M1009" i="6"/>
  <c r="M1009" i="23" s="1"/>
  <c r="L1009" i="6"/>
  <c r="K1009" i="6"/>
  <c r="P1009" i="23" s="1"/>
  <c r="R1009" i="23" s="1"/>
  <c r="Z917" i="31" s="1"/>
  <c r="J1009" i="6"/>
  <c r="J1009" i="23" s="1"/>
  <c r="I1009" i="6"/>
  <c r="Q1009" i="23" s="1"/>
  <c r="H1009" i="6"/>
  <c r="G1009" i="6"/>
  <c r="F1009" i="6"/>
  <c r="E1009" i="6"/>
  <c r="N1008" i="6"/>
  <c r="M1008" i="6"/>
  <c r="M1008" i="23" s="1"/>
  <c r="L1008" i="6"/>
  <c r="K1008" i="6"/>
  <c r="P1008" i="23" s="1"/>
  <c r="J1008" i="6"/>
  <c r="J1008" i="23" s="1"/>
  <c r="I1008" i="6"/>
  <c r="Q1008" i="23" s="1"/>
  <c r="H1008" i="6"/>
  <c r="G1008" i="6"/>
  <c r="F1008" i="6"/>
  <c r="E1008" i="6"/>
  <c r="N1007" i="6"/>
  <c r="M1007" i="6"/>
  <c r="M1007" i="23" s="1"/>
  <c r="L1007" i="6"/>
  <c r="K1007" i="6"/>
  <c r="P1007" i="23" s="1"/>
  <c r="R1007" i="23" s="1"/>
  <c r="Z915" i="31" s="1"/>
  <c r="J1007" i="6"/>
  <c r="J1007" i="23" s="1"/>
  <c r="I1007" i="6"/>
  <c r="Q1007" i="23" s="1"/>
  <c r="H1007" i="6"/>
  <c r="G1007" i="6"/>
  <c r="F1007" i="6"/>
  <c r="E1007" i="6"/>
  <c r="N1006" i="6"/>
  <c r="M1006" i="6"/>
  <c r="M1006" i="23" s="1"/>
  <c r="L1006" i="6"/>
  <c r="K1006" i="6"/>
  <c r="P1006" i="23" s="1"/>
  <c r="J1006" i="6"/>
  <c r="J1006" i="23" s="1"/>
  <c r="I1006" i="6"/>
  <c r="Q1006" i="23" s="1"/>
  <c r="H1006" i="6"/>
  <c r="G1006" i="6"/>
  <c r="F1006" i="6"/>
  <c r="E1006" i="6"/>
  <c r="N1005" i="6"/>
  <c r="M1005" i="6"/>
  <c r="M1005" i="23" s="1"/>
  <c r="L1005" i="6"/>
  <c r="K1005" i="6"/>
  <c r="P1005" i="23" s="1"/>
  <c r="R1005" i="23" s="1"/>
  <c r="Z913" i="31" s="1"/>
  <c r="J1005" i="6"/>
  <c r="J1005" i="23" s="1"/>
  <c r="I1005" i="6"/>
  <c r="Q1005" i="23" s="1"/>
  <c r="H1005" i="6"/>
  <c r="G1005" i="6"/>
  <c r="F1005" i="6"/>
  <c r="E1005" i="6"/>
  <c r="T1005" i="6"/>
  <c r="E1005" i="19" s="1"/>
  <c r="T1006" i="6"/>
  <c r="E1006" i="19" s="1"/>
  <c r="T1007" i="6"/>
  <c r="E1007" i="19" s="1"/>
  <c r="T1008" i="6"/>
  <c r="E1008" i="19" s="1"/>
  <c r="T1009" i="6"/>
  <c r="E1009" i="19" s="1"/>
  <c r="T1010" i="6"/>
  <c r="E1010" i="19" s="1"/>
  <c r="T1011" i="6"/>
  <c r="E1011" i="19" s="1"/>
  <c r="T1012" i="6"/>
  <c r="E1012" i="19" s="1"/>
  <c r="T1013" i="6"/>
  <c r="E1013" i="19" s="1"/>
  <c r="T1004" i="6"/>
  <c r="E1004" i="19" s="1"/>
  <c r="N1004" i="6"/>
  <c r="M1004" i="6"/>
  <c r="M1004" i="23" s="1"/>
  <c r="L1004" i="6"/>
  <c r="L1003" i="6"/>
  <c r="K1004" i="6"/>
  <c r="P1004" i="23" s="1"/>
  <c r="R1004" i="23" s="1"/>
  <c r="Z912" i="31" s="1"/>
  <c r="J1004" i="6"/>
  <c r="J1004" i="23" s="1"/>
  <c r="I1004" i="6"/>
  <c r="Q1004" i="23" s="1"/>
  <c r="H1004" i="6"/>
  <c r="G1004" i="6"/>
  <c r="F1004" i="6"/>
  <c r="E1004" i="6"/>
  <c r="X980" i="6"/>
  <c r="E980" i="29" s="1"/>
  <c r="T891" i="31" s="1"/>
  <c r="V980" i="6"/>
  <c r="E980" i="28" s="1"/>
  <c r="N980" i="6"/>
  <c r="M980" i="6"/>
  <c r="M980" i="23" s="1"/>
  <c r="L980" i="6"/>
  <c r="K980" i="6"/>
  <c r="P980" i="23" s="1"/>
  <c r="J980" i="6"/>
  <c r="J980" i="23" s="1"/>
  <c r="I980" i="6"/>
  <c r="Q980" i="23" s="1"/>
  <c r="G980" i="6"/>
  <c r="F980" i="6"/>
  <c r="E980" i="6"/>
  <c r="X979" i="6"/>
  <c r="E979" i="29" s="1"/>
  <c r="T890" i="31" s="1"/>
  <c r="V979" i="6"/>
  <c r="E979" i="28" s="1"/>
  <c r="N979" i="6"/>
  <c r="M979" i="6"/>
  <c r="M979" i="23" s="1"/>
  <c r="L979" i="6"/>
  <c r="K979" i="6"/>
  <c r="P979" i="23" s="1"/>
  <c r="J979" i="6"/>
  <c r="J979" i="23" s="1"/>
  <c r="I979" i="6"/>
  <c r="Q979" i="23" s="1"/>
  <c r="G979" i="6"/>
  <c r="F979" i="6"/>
  <c r="E979" i="6"/>
  <c r="V978" i="6"/>
  <c r="E978" i="28" s="1"/>
  <c r="X978" i="6"/>
  <c r="E978" i="29" s="1"/>
  <c r="T889" i="31" s="1"/>
  <c r="N978" i="6"/>
  <c r="M978" i="6"/>
  <c r="M978" i="23" s="1"/>
  <c r="L978" i="6"/>
  <c r="K978" i="6"/>
  <c r="P978" i="23" s="1"/>
  <c r="J978" i="6"/>
  <c r="J978" i="23" s="1"/>
  <c r="I978" i="6"/>
  <c r="Q978" i="23" s="1"/>
  <c r="G978" i="6"/>
  <c r="F978" i="6"/>
  <c r="E978" i="6"/>
  <c r="X977" i="6"/>
  <c r="E977" i="29" s="1"/>
  <c r="T888" i="31" s="1"/>
  <c r="X976" i="6"/>
  <c r="E976" i="29" s="1"/>
  <c r="T887" i="31" s="1"/>
  <c r="V977" i="6"/>
  <c r="E977" i="28" s="1"/>
  <c r="N977" i="6"/>
  <c r="M977" i="6"/>
  <c r="M977" i="23" s="1"/>
  <c r="L977" i="6"/>
  <c r="K977" i="6"/>
  <c r="P977" i="23" s="1"/>
  <c r="R977" i="23" s="1"/>
  <c r="Z888" i="31" s="1"/>
  <c r="J977" i="6"/>
  <c r="J977" i="23" s="1"/>
  <c r="H977" i="6"/>
  <c r="I977" i="6"/>
  <c r="Q977" i="23" s="1"/>
  <c r="G977" i="6"/>
  <c r="E977" i="6"/>
  <c r="F977" i="6" s="1"/>
  <c r="V976" i="6"/>
  <c r="E976" i="28" s="1"/>
  <c r="N976" i="6"/>
  <c r="M976" i="6"/>
  <c r="M976" i="23" s="1"/>
  <c r="L976" i="6"/>
  <c r="K976" i="6"/>
  <c r="P976" i="23" s="1"/>
  <c r="J976" i="6"/>
  <c r="J976" i="23" s="1"/>
  <c r="I976" i="6"/>
  <c r="Q976" i="23" s="1"/>
  <c r="G976" i="6"/>
  <c r="F976" i="6"/>
  <c r="E976" i="6"/>
  <c r="X975" i="6"/>
  <c r="E975" i="29" s="1"/>
  <c r="T886" i="31" s="1"/>
  <c r="V975" i="6"/>
  <c r="E975" i="28" s="1"/>
  <c r="N975" i="6"/>
  <c r="M975" i="6"/>
  <c r="M975" i="23" s="1"/>
  <c r="L975" i="6"/>
  <c r="K975" i="6"/>
  <c r="P975" i="23" s="1"/>
  <c r="J975" i="6"/>
  <c r="J975" i="23" s="1"/>
  <c r="I975" i="6"/>
  <c r="Q975" i="23" s="1"/>
  <c r="G975" i="6"/>
  <c r="F975" i="6"/>
  <c r="E975" i="6"/>
  <c r="X974" i="6"/>
  <c r="E974" i="29" s="1"/>
  <c r="T885" i="31" s="1"/>
  <c r="V974" i="6"/>
  <c r="E974" i="28" s="1"/>
  <c r="N974" i="6"/>
  <c r="M974" i="6"/>
  <c r="M974" i="23" s="1"/>
  <c r="L974" i="6"/>
  <c r="K974" i="6"/>
  <c r="P974" i="23" s="1"/>
  <c r="J974" i="6"/>
  <c r="J974" i="23" s="1"/>
  <c r="I974" i="6"/>
  <c r="Q974" i="23" s="1"/>
  <c r="G974" i="6"/>
  <c r="F974" i="6"/>
  <c r="E974" i="6"/>
  <c r="X973" i="6"/>
  <c r="E973" i="29" s="1"/>
  <c r="T884" i="31" s="1"/>
  <c r="V973" i="6"/>
  <c r="E973" i="28" s="1"/>
  <c r="N973" i="6"/>
  <c r="M973" i="6"/>
  <c r="M973" i="23" s="1"/>
  <c r="L973" i="6"/>
  <c r="K973" i="6"/>
  <c r="P973" i="23" s="1"/>
  <c r="J973" i="6"/>
  <c r="J973" i="23" s="1"/>
  <c r="I973" i="6"/>
  <c r="Q973" i="23" s="1"/>
  <c r="G973" i="6"/>
  <c r="F973" i="6"/>
  <c r="E973" i="6"/>
  <c r="X972" i="6"/>
  <c r="E972" i="29" s="1"/>
  <c r="T883" i="31" s="1"/>
  <c r="V972" i="6"/>
  <c r="E972" i="28" s="1"/>
  <c r="V971" i="6"/>
  <c r="E971" i="28" s="1"/>
  <c r="N972" i="6"/>
  <c r="M972" i="6"/>
  <c r="M972" i="23" s="1"/>
  <c r="L972" i="6"/>
  <c r="K972" i="6"/>
  <c r="P972" i="23" s="1"/>
  <c r="R972" i="23" s="1"/>
  <c r="Z883" i="31" s="1"/>
  <c r="J972" i="6"/>
  <c r="J972" i="23" s="1"/>
  <c r="H972" i="6"/>
  <c r="I972" i="6"/>
  <c r="Q972" i="23" s="1"/>
  <c r="G972" i="6"/>
  <c r="E972" i="6"/>
  <c r="F972" i="6" s="1"/>
  <c r="X971" i="6"/>
  <c r="E971" i="29" s="1"/>
  <c r="T882" i="31" s="1"/>
  <c r="W971" i="6"/>
  <c r="T972" i="6"/>
  <c r="E972" i="19" s="1"/>
  <c r="T973" i="6"/>
  <c r="E973" i="19" s="1"/>
  <c r="T974" i="6"/>
  <c r="E974" i="19" s="1"/>
  <c r="T975" i="6"/>
  <c r="E975" i="19" s="1"/>
  <c r="T976" i="6"/>
  <c r="E976" i="19" s="1"/>
  <c r="T977" i="6"/>
  <c r="E977" i="19" s="1"/>
  <c r="T978" i="6"/>
  <c r="E978" i="19" s="1"/>
  <c r="T979" i="6"/>
  <c r="E979" i="19" s="1"/>
  <c r="T980" i="6"/>
  <c r="E980" i="19" s="1"/>
  <c r="T971" i="6"/>
  <c r="E971" i="19" s="1"/>
  <c r="N971" i="6"/>
  <c r="M971" i="6"/>
  <c r="M971" i="23" s="1"/>
  <c r="L970" i="6"/>
  <c r="L971" i="6"/>
  <c r="K971" i="6"/>
  <c r="P971" i="23" s="1"/>
  <c r="J971" i="6"/>
  <c r="J971" i="23" s="1"/>
  <c r="I971" i="6"/>
  <c r="Q971" i="23" s="1"/>
  <c r="G971" i="6"/>
  <c r="F971" i="6"/>
  <c r="E971" i="6"/>
  <c r="V771" i="6"/>
  <c r="E771" i="28" s="1"/>
  <c r="X771" i="6"/>
  <c r="E771" i="29" s="1"/>
  <c r="T701" i="31" s="1"/>
  <c r="N771" i="6"/>
  <c r="M771" i="6"/>
  <c r="M771" i="23" s="1"/>
  <c r="L771" i="6"/>
  <c r="K771" i="6"/>
  <c r="P771" i="23" s="1"/>
  <c r="R771" i="23" s="1"/>
  <c r="Z701" i="31" s="1"/>
  <c r="J771" i="6"/>
  <c r="J771" i="23" s="1"/>
  <c r="I771" i="6"/>
  <c r="Q771" i="23" s="1"/>
  <c r="H771" i="6"/>
  <c r="G771" i="6"/>
  <c r="F771" i="6"/>
  <c r="E771" i="6"/>
  <c r="X770" i="6"/>
  <c r="E770" i="29" s="1"/>
  <c r="T700" i="31" s="1"/>
  <c r="V770" i="6"/>
  <c r="E770" i="28" s="1"/>
  <c r="N770" i="6"/>
  <c r="M770" i="6"/>
  <c r="M770" i="23" s="1"/>
  <c r="L770" i="6"/>
  <c r="K770" i="6"/>
  <c r="P770" i="23" s="1"/>
  <c r="R770" i="23" s="1"/>
  <c r="Z700" i="31" s="1"/>
  <c r="J770" i="6"/>
  <c r="J770" i="23" s="1"/>
  <c r="I770" i="6"/>
  <c r="Q770" i="23" s="1"/>
  <c r="H770" i="6"/>
  <c r="G770" i="6"/>
  <c r="F770" i="6"/>
  <c r="E770" i="6"/>
  <c r="X769" i="6"/>
  <c r="E769" i="29" s="1"/>
  <c r="T699" i="31" s="1"/>
  <c r="V769" i="6"/>
  <c r="E769" i="28" s="1"/>
  <c r="N769" i="6"/>
  <c r="M769" i="6"/>
  <c r="M769" i="23" s="1"/>
  <c r="L769" i="6"/>
  <c r="K769" i="6"/>
  <c r="P769" i="23" s="1"/>
  <c r="R769" i="23" s="1"/>
  <c r="Z699" i="31" s="1"/>
  <c r="J769" i="6"/>
  <c r="J769" i="23" s="1"/>
  <c r="I769" i="6"/>
  <c r="Q769" i="23" s="1"/>
  <c r="H769" i="6"/>
  <c r="G769" i="6"/>
  <c r="F769" i="6"/>
  <c r="E769" i="6"/>
  <c r="V768" i="6"/>
  <c r="E768" i="28" s="1"/>
  <c r="X768" i="6"/>
  <c r="E768" i="29" s="1"/>
  <c r="T698" i="31" s="1"/>
  <c r="N768" i="6"/>
  <c r="M768" i="6"/>
  <c r="M768" i="23" s="1"/>
  <c r="L768" i="6"/>
  <c r="K768" i="6"/>
  <c r="P768" i="23" s="1"/>
  <c r="R768" i="23" s="1"/>
  <c r="Z698" i="31" s="1"/>
  <c r="J768" i="6"/>
  <c r="J768" i="23" s="1"/>
  <c r="I768" i="6"/>
  <c r="Q768" i="23" s="1"/>
  <c r="H768" i="6"/>
  <c r="G768" i="6"/>
  <c r="F768" i="6"/>
  <c r="E768" i="6"/>
  <c r="X767" i="6"/>
  <c r="E767" i="29" s="1"/>
  <c r="T697" i="31" s="1"/>
  <c r="V767" i="6"/>
  <c r="E767" i="28" s="1"/>
  <c r="N767" i="6"/>
  <c r="M767" i="6"/>
  <c r="M767" i="23" s="1"/>
  <c r="L767" i="6"/>
  <c r="K767" i="6"/>
  <c r="P767" i="23" s="1"/>
  <c r="R767" i="23" s="1"/>
  <c r="Z697" i="31" s="1"/>
  <c r="J767" i="6"/>
  <c r="J767" i="23" s="1"/>
  <c r="I767" i="6"/>
  <c r="Q767" i="23" s="1"/>
  <c r="H767" i="6"/>
  <c r="G767" i="6"/>
  <c r="F767" i="6"/>
  <c r="E767" i="6"/>
  <c r="X766" i="6"/>
  <c r="E766" i="29" s="1"/>
  <c r="T696" i="31" s="1"/>
  <c r="V766" i="6"/>
  <c r="E766" i="28" s="1"/>
  <c r="N766" i="6"/>
  <c r="M766" i="6"/>
  <c r="M766" i="23" s="1"/>
  <c r="L766" i="6"/>
  <c r="K766" i="6"/>
  <c r="P766" i="23" s="1"/>
  <c r="R766" i="23" s="1"/>
  <c r="Z696" i="31" s="1"/>
  <c r="J766" i="6"/>
  <c r="J766" i="23" s="1"/>
  <c r="I766" i="6"/>
  <c r="Q766" i="23" s="1"/>
  <c r="H766" i="6"/>
  <c r="G766" i="6"/>
  <c r="F766" i="6"/>
  <c r="E766" i="6"/>
  <c r="X765" i="6"/>
  <c r="E765" i="29" s="1"/>
  <c r="T695" i="31" s="1"/>
  <c r="V765" i="6"/>
  <c r="E765" i="28" s="1"/>
  <c r="N765" i="6"/>
  <c r="M765" i="6"/>
  <c r="M765" i="23" s="1"/>
  <c r="L765" i="6"/>
  <c r="K765" i="6"/>
  <c r="P765" i="23" s="1"/>
  <c r="R765" i="23" s="1"/>
  <c r="Z695" i="31" s="1"/>
  <c r="J765" i="6"/>
  <c r="J765" i="23" s="1"/>
  <c r="I765" i="6"/>
  <c r="Q765" i="23" s="1"/>
  <c r="H765" i="6"/>
  <c r="G765" i="6"/>
  <c r="F765" i="6"/>
  <c r="E765" i="6"/>
  <c r="X764" i="6"/>
  <c r="E764" i="29" s="1"/>
  <c r="T694" i="31" s="1"/>
  <c r="V764" i="6"/>
  <c r="E764" i="28" s="1"/>
  <c r="N764" i="6"/>
  <c r="M764" i="6"/>
  <c r="M764" i="23" s="1"/>
  <c r="L764" i="6"/>
  <c r="K764" i="6"/>
  <c r="P764" i="23" s="1"/>
  <c r="R764" i="23" s="1"/>
  <c r="Z694" i="31" s="1"/>
  <c r="J764" i="6"/>
  <c r="J764" i="23" s="1"/>
  <c r="I764" i="6"/>
  <c r="Q764" i="23" s="1"/>
  <c r="H764" i="6"/>
  <c r="G764" i="6"/>
  <c r="F764" i="6"/>
  <c r="E764" i="6"/>
  <c r="X763" i="6"/>
  <c r="E763" i="29" s="1"/>
  <c r="T693" i="31" s="1"/>
  <c r="V763" i="6"/>
  <c r="E763" i="28" s="1"/>
  <c r="N763" i="6"/>
  <c r="M763" i="6"/>
  <c r="M763" i="23" s="1"/>
  <c r="L763" i="6"/>
  <c r="L762" i="6"/>
  <c r="L761" i="6"/>
  <c r="K763" i="6"/>
  <c r="P763" i="23" s="1"/>
  <c r="J763" i="6"/>
  <c r="J763" i="23" s="1"/>
  <c r="I763" i="6"/>
  <c r="Q763" i="23" s="1"/>
  <c r="H763" i="6"/>
  <c r="G763" i="6"/>
  <c r="F763" i="6"/>
  <c r="E763" i="6"/>
  <c r="X762" i="6"/>
  <c r="E762" i="29" s="1"/>
  <c r="T692" i="31" s="1"/>
  <c r="V762" i="6"/>
  <c r="E762" i="28" s="1"/>
  <c r="T763" i="6"/>
  <c r="E763" i="19" s="1"/>
  <c r="T764" i="6"/>
  <c r="E764" i="19" s="1"/>
  <c r="T765" i="6"/>
  <c r="E765" i="19" s="1"/>
  <c r="T766" i="6"/>
  <c r="E766" i="19" s="1"/>
  <c r="T767" i="6"/>
  <c r="E767" i="19" s="1"/>
  <c r="T768" i="6"/>
  <c r="E768" i="19" s="1"/>
  <c r="T769" i="6"/>
  <c r="E769" i="19" s="1"/>
  <c r="T770" i="6"/>
  <c r="E770" i="19" s="1"/>
  <c r="T771" i="6"/>
  <c r="E771" i="19" s="1"/>
  <c r="T762" i="6"/>
  <c r="E762" i="19" s="1"/>
  <c r="N762" i="6"/>
  <c r="M762" i="6"/>
  <c r="M762" i="23" s="1"/>
  <c r="K762" i="6"/>
  <c r="P762" i="23" s="1"/>
  <c r="R762" i="23" s="1"/>
  <c r="Z692" i="31" s="1"/>
  <c r="J762" i="6"/>
  <c r="J762" i="23" s="1"/>
  <c r="I762" i="6"/>
  <c r="Q762" i="23" s="1"/>
  <c r="H762" i="6"/>
  <c r="G762" i="6"/>
  <c r="F762" i="6"/>
  <c r="E762" i="6"/>
  <c r="N1167" i="6"/>
  <c r="M1167" i="6"/>
  <c r="M1167" i="23" s="1"/>
  <c r="L1167" i="6"/>
  <c r="K1167" i="6"/>
  <c r="P1167" i="23" s="1"/>
  <c r="J1167" i="6"/>
  <c r="J1167" i="23" s="1"/>
  <c r="I1167" i="6"/>
  <c r="Q1167" i="23" s="1"/>
  <c r="H1167" i="6"/>
  <c r="G1167" i="6"/>
  <c r="F1167" i="6"/>
  <c r="E1167" i="6"/>
  <c r="N1166" i="6"/>
  <c r="M1166" i="6"/>
  <c r="M1166" i="23" s="1"/>
  <c r="L1166" i="6"/>
  <c r="K1166" i="6"/>
  <c r="P1166" i="23" s="1"/>
  <c r="R1166" i="23" s="1"/>
  <c r="Z1060" i="31" s="1"/>
  <c r="J1166" i="6"/>
  <c r="J1166" i="23" s="1"/>
  <c r="I1166" i="6"/>
  <c r="Q1166" i="23" s="1"/>
  <c r="H1166" i="6"/>
  <c r="G1166" i="6"/>
  <c r="F1166" i="6"/>
  <c r="E1166" i="6"/>
  <c r="N1165" i="6"/>
  <c r="M1165" i="6"/>
  <c r="M1165" i="23" s="1"/>
  <c r="L1165" i="6"/>
  <c r="K1165" i="6"/>
  <c r="P1165" i="23" s="1"/>
  <c r="J1165" i="6"/>
  <c r="J1165" i="23" s="1"/>
  <c r="I1165" i="6"/>
  <c r="Q1165" i="23" s="1"/>
  <c r="H1165" i="6"/>
  <c r="G1165" i="6"/>
  <c r="F1165" i="6"/>
  <c r="E1165" i="6"/>
  <c r="N1164" i="6"/>
  <c r="M1164" i="6"/>
  <c r="M1164" i="23" s="1"/>
  <c r="L1164" i="6"/>
  <c r="K1164" i="6"/>
  <c r="P1164" i="23" s="1"/>
  <c r="R1164" i="23" s="1"/>
  <c r="Z1058" i="31" s="1"/>
  <c r="J1164" i="6"/>
  <c r="J1164" i="23" s="1"/>
  <c r="I1164" i="6"/>
  <c r="Q1164" i="23" s="1"/>
  <c r="H1164" i="6"/>
  <c r="G1164" i="6"/>
  <c r="F1164" i="6"/>
  <c r="E1164" i="6"/>
  <c r="N1163" i="6"/>
  <c r="M1163" i="6"/>
  <c r="M1163" i="23" s="1"/>
  <c r="L1163" i="6"/>
  <c r="L1162" i="6"/>
  <c r="K1163" i="6"/>
  <c r="P1163" i="23" s="1"/>
  <c r="J1163" i="6"/>
  <c r="J1163" i="23" s="1"/>
  <c r="I1163" i="6"/>
  <c r="Q1163" i="23" s="1"/>
  <c r="H1163" i="6"/>
  <c r="G1163" i="6"/>
  <c r="F1163" i="6"/>
  <c r="E1163" i="6"/>
  <c r="N1162" i="6"/>
  <c r="M1162" i="6"/>
  <c r="M1162" i="23" s="1"/>
  <c r="K1162" i="6"/>
  <c r="P1162" i="23" s="1"/>
  <c r="R1162" i="23" s="1"/>
  <c r="Z1056" i="31" s="1"/>
  <c r="J1162" i="6"/>
  <c r="J1162" i="23" s="1"/>
  <c r="I1162" i="6"/>
  <c r="Q1162" i="23" s="1"/>
  <c r="H1162" i="6"/>
  <c r="G1162" i="6"/>
  <c r="F1162" i="6"/>
  <c r="E1162" i="6"/>
  <c r="N1161" i="6"/>
  <c r="M1161" i="6"/>
  <c r="M1161" i="23" s="1"/>
  <c r="L1161" i="6"/>
  <c r="K1161" i="6"/>
  <c r="P1161" i="23" s="1"/>
  <c r="J1161" i="6"/>
  <c r="J1161" i="23" s="1"/>
  <c r="I1161" i="6"/>
  <c r="Q1161" i="23" s="1"/>
  <c r="H1161" i="6"/>
  <c r="G1161" i="6"/>
  <c r="F1161" i="6"/>
  <c r="E1161" i="6"/>
  <c r="N1160" i="6"/>
  <c r="N1159" i="6"/>
  <c r="M1160" i="6"/>
  <c r="M1160" i="23" s="1"/>
  <c r="M1159" i="6"/>
  <c r="M1159" i="23" s="1"/>
  <c r="L1160" i="6"/>
  <c r="L1159" i="6"/>
  <c r="K1160" i="6"/>
  <c r="P1160" i="23" s="1"/>
  <c r="K1159" i="6"/>
  <c r="P1159" i="23" s="1"/>
  <c r="R1159" i="23" s="1"/>
  <c r="Z1053" i="31" s="1"/>
  <c r="J1160" i="6"/>
  <c r="J1160" i="23" s="1"/>
  <c r="J1159" i="6"/>
  <c r="J1159" i="23" s="1"/>
  <c r="I1160" i="6"/>
  <c r="Q1160" i="23" s="1"/>
  <c r="H1160" i="6"/>
  <c r="G1160" i="6"/>
  <c r="F1160" i="6"/>
  <c r="E1160" i="6"/>
  <c r="H1159" i="6"/>
  <c r="I1159" i="6"/>
  <c r="Q1159" i="23" s="1"/>
  <c r="G1159" i="6"/>
  <c r="F1159" i="6"/>
  <c r="E1159" i="6"/>
  <c r="T1159" i="6"/>
  <c r="E1159" i="19" s="1"/>
  <c r="T1160" i="6"/>
  <c r="E1160" i="19" s="1"/>
  <c r="T1161" i="6"/>
  <c r="E1161" i="19" s="1"/>
  <c r="T1162" i="6"/>
  <c r="E1162" i="19" s="1"/>
  <c r="T1163" i="6"/>
  <c r="E1163" i="19" s="1"/>
  <c r="T1164" i="6"/>
  <c r="E1164" i="19" s="1"/>
  <c r="T1165" i="6"/>
  <c r="E1165" i="19" s="1"/>
  <c r="T1166" i="6"/>
  <c r="E1166" i="19" s="1"/>
  <c r="T1167" i="6"/>
  <c r="E1167" i="19" s="1"/>
  <c r="T1158" i="6"/>
  <c r="E1158" i="19" s="1"/>
  <c r="N1158" i="6"/>
  <c r="M1158" i="6"/>
  <c r="M1158" i="23" s="1"/>
  <c r="L1158" i="6"/>
  <c r="L1157" i="6"/>
  <c r="K1158" i="6"/>
  <c r="P1158" i="23" s="1"/>
  <c r="J1158" i="6"/>
  <c r="J1158" i="23" s="1"/>
  <c r="I1158" i="6"/>
  <c r="Q1158" i="23" s="1"/>
  <c r="H1158" i="6"/>
  <c r="G1158" i="6"/>
  <c r="F1158" i="6"/>
  <c r="E1158" i="6"/>
  <c r="X1200" i="6"/>
  <c r="E1200" i="29" s="1"/>
  <c r="T1091" i="31" s="1"/>
  <c r="V1200" i="6"/>
  <c r="E1200" i="28" s="1"/>
  <c r="N1200" i="6"/>
  <c r="M1200" i="6"/>
  <c r="M1200" i="23" s="1"/>
  <c r="L1200" i="6"/>
  <c r="K1200" i="6"/>
  <c r="P1200" i="23" s="1"/>
  <c r="J1200" i="6"/>
  <c r="J1200" i="23" s="1"/>
  <c r="I1200" i="6"/>
  <c r="Q1200" i="23" s="1"/>
  <c r="H1200" i="6"/>
  <c r="G1200" i="6"/>
  <c r="F1200" i="6"/>
  <c r="E1200" i="6"/>
  <c r="X1199" i="6"/>
  <c r="E1199" i="29" s="1"/>
  <c r="T1090" i="31" s="1"/>
  <c r="V1199" i="6"/>
  <c r="E1199" i="28" s="1"/>
  <c r="N1199" i="6"/>
  <c r="M1199" i="6"/>
  <c r="M1199" i="23" s="1"/>
  <c r="L1199" i="6"/>
  <c r="K1199" i="6"/>
  <c r="P1199" i="23" s="1"/>
  <c r="J1199" i="6"/>
  <c r="J1199" i="23" s="1"/>
  <c r="I1199" i="6"/>
  <c r="Q1199" i="23" s="1"/>
  <c r="H1199" i="6"/>
  <c r="G1199" i="6"/>
  <c r="F1199" i="6"/>
  <c r="E1199" i="6"/>
  <c r="X1198" i="6"/>
  <c r="E1198" i="29" s="1"/>
  <c r="T1089" i="31" s="1"/>
  <c r="V1198" i="6"/>
  <c r="E1198" i="28" s="1"/>
  <c r="N1198" i="6"/>
  <c r="M1198" i="6"/>
  <c r="M1198" i="23" s="1"/>
  <c r="L1198" i="6"/>
  <c r="K1198" i="6"/>
  <c r="P1198" i="23" s="1"/>
  <c r="J1198" i="6"/>
  <c r="J1198" i="23" s="1"/>
  <c r="I1198" i="6"/>
  <c r="Q1198" i="23" s="1"/>
  <c r="H1198" i="6"/>
  <c r="G1198" i="6"/>
  <c r="F1198" i="6"/>
  <c r="E1198" i="6"/>
  <c r="X1197" i="6"/>
  <c r="E1197" i="29" s="1"/>
  <c r="T1088" i="31" s="1"/>
  <c r="V1197" i="6"/>
  <c r="E1197" i="28" s="1"/>
  <c r="N1197" i="6"/>
  <c r="M1197" i="6"/>
  <c r="M1197" i="23" s="1"/>
  <c r="L1197" i="6"/>
  <c r="K1197" i="6"/>
  <c r="P1197" i="23" s="1"/>
  <c r="J1197" i="6"/>
  <c r="J1197" i="23" s="1"/>
  <c r="I1197" i="6"/>
  <c r="Q1197" i="23" s="1"/>
  <c r="H1197" i="6"/>
  <c r="G1197" i="6"/>
  <c r="F1197" i="6"/>
  <c r="E1197" i="6"/>
  <c r="X1196" i="6"/>
  <c r="E1196" i="29" s="1"/>
  <c r="T1087" i="31" s="1"/>
  <c r="V1196" i="6"/>
  <c r="E1196" i="28" s="1"/>
  <c r="N1196" i="6"/>
  <c r="M1196" i="6"/>
  <c r="M1196" i="23" s="1"/>
  <c r="L1196" i="6"/>
  <c r="K1196" i="6"/>
  <c r="P1196" i="23" s="1"/>
  <c r="J1196" i="6"/>
  <c r="J1196" i="23" s="1"/>
  <c r="I1196" i="6"/>
  <c r="Q1196" i="23" s="1"/>
  <c r="H1196" i="6"/>
  <c r="G1196" i="6"/>
  <c r="F1196" i="6"/>
  <c r="E1196" i="6"/>
  <c r="X1195" i="6"/>
  <c r="E1195" i="29" s="1"/>
  <c r="T1086" i="31" s="1"/>
  <c r="V1195" i="6"/>
  <c r="E1195" i="28" s="1"/>
  <c r="N1195" i="6"/>
  <c r="M1195" i="6"/>
  <c r="M1195" i="23" s="1"/>
  <c r="L1195" i="6"/>
  <c r="K1195" i="6"/>
  <c r="P1195" i="23" s="1"/>
  <c r="J1195" i="6"/>
  <c r="J1195" i="23" s="1"/>
  <c r="I1195" i="6"/>
  <c r="Q1195" i="23" s="1"/>
  <c r="H1195" i="6"/>
  <c r="G1195" i="6"/>
  <c r="F1195" i="6"/>
  <c r="E1195" i="6"/>
  <c r="X1194" i="6"/>
  <c r="E1194" i="29" s="1"/>
  <c r="T1085" i="31" s="1"/>
  <c r="V1194" i="6"/>
  <c r="E1194" i="28" s="1"/>
  <c r="N1194" i="6"/>
  <c r="M1194" i="6"/>
  <c r="M1194" i="23" s="1"/>
  <c r="L1194" i="6"/>
  <c r="K1194" i="6"/>
  <c r="P1194" i="23" s="1"/>
  <c r="J1194" i="6"/>
  <c r="J1194" i="23" s="1"/>
  <c r="I1194" i="6"/>
  <c r="Q1194" i="23" s="1"/>
  <c r="H1194" i="6"/>
  <c r="G1194" i="6"/>
  <c r="F1194" i="6"/>
  <c r="E1194" i="6"/>
  <c r="X1193" i="6"/>
  <c r="E1193" i="29" s="1"/>
  <c r="T1084" i="31" s="1"/>
  <c r="V1193" i="6"/>
  <c r="E1193" i="28" s="1"/>
  <c r="N1193" i="6"/>
  <c r="M1193" i="6"/>
  <c r="M1193" i="23" s="1"/>
  <c r="L1193" i="6"/>
  <c r="K1193" i="6"/>
  <c r="P1193" i="23" s="1"/>
  <c r="J1193" i="6"/>
  <c r="J1193" i="23" s="1"/>
  <c r="I1193" i="6"/>
  <c r="Q1193" i="23" s="1"/>
  <c r="H1193" i="6"/>
  <c r="G1193" i="6"/>
  <c r="F1193" i="6"/>
  <c r="E1193" i="6"/>
  <c r="X1192" i="6"/>
  <c r="E1192" i="29" s="1"/>
  <c r="T1083" i="31" s="1"/>
  <c r="V1192" i="6"/>
  <c r="N1192" i="6"/>
  <c r="M1192" i="6"/>
  <c r="M1192" i="23" s="1"/>
  <c r="L1192" i="6"/>
  <c r="K1192" i="6"/>
  <c r="P1192" i="23" s="1"/>
  <c r="J1192" i="6"/>
  <c r="J1192" i="23" s="1"/>
  <c r="I1192" i="6"/>
  <c r="Q1192" i="23" s="1"/>
  <c r="H1192" i="6"/>
  <c r="G1192" i="6"/>
  <c r="F1192" i="6"/>
  <c r="E1192" i="6"/>
  <c r="X1191" i="6"/>
  <c r="E1191" i="29" s="1"/>
  <c r="T1082" i="31" s="1"/>
  <c r="W1193" i="6"/>
  <c r="W1191" i="6"/>
  <c r="V1191" i="6"/>
  <c r="E1191" i="28" s="1"/>
  <c r="T1192" i="6"/>
  <c r="E1192" i="19" s="1"/>
  <c r="T1193" i="6"/>
  <c r="E1193" i="19" s="1"/>
  <c r="T1194" i="6"/>
  <c r="E1194" i="19" s="1"/>
  <c r="T1195" i="6"/>
  <c r="E1195" i="19" s="1"/>
  <c r="T1196" i="6"/>
  <c r="E1196" i="19" s="1"/>
  <c r="T1197" i="6"/>
  <c r="E1197" i="19" s="1"/>
  <c r="T1198" i="6"/>
  <c r="E1198" i="19" s="1"/>
  <c r="T1199" i="6"/>
  <c r="E1199" i="19" s="1"/>
  <c r="T1200" i="6"/>
  <c r="E1200" i="19" s="1"/>
  <c r="T1191" i="6"/>
  <c r="E1191" i="19" s="1"/>
  <c r="N1191" i="6"/>
  <c r="M1191" i="6"/>
  <c r="M1191" i="23" s="1"/>
  <c r="L1190" i="6"/>
  <c r="L1191" i="6"/>
  <c r="K1191" i="6"/>
  <c r="P1191" i="23" s="1"/>
  <c r="R1191" i="23" s="1"/>
  <c r="Z1082" i="31" s="1"/>
  <c r="J1191" i="6"/>
  <c r="J1191" i="23" s="1"/>
  <c r="I1191" i="6"/>
  <c r="Q1191" i="23" s="1"/>
  <c r="H1191" i="6"/>
  <c r="G1191" i="6"/>
  <c r="F1191" i="6"/>
  <c r="E1191" i="6"/>
  <c r="N1244" i="6"/>
  <c r="M1244" i="6"/>
  <c r="M1244" i="23" s="1"/>
  <c r="L1244" i="6"/>
  <c r="K1244" i="6"/>
  <c r="P1244" i="23" s="1"/>
  <c r="J1244" i="6"/>
  <c r="J1244" i="23" s="1"/>
  <c r="I1244" i="6"/>
  <c r="Q1244" i="23" s="1"/>
  <c r="H1244" i="6"/>
  <c r="G1244" i="6"/>
  <c r="F1244" i="6"/>
  <c r="E1244" i="6"/>
  <c r="N1243" i="6"/>
  <c r="M1243" i="6"/>
  <c r="M1243" i="23" s="1"/>
  <c r="L1243" i="6"/>
  <c r="K1243" i="6"/>
  <c r="P1243" i="23" s="1"/>
  <c r="R1243" i="23" s="1"/>
  <c r="Z1130" i="31" s="1"/>
  <c r="J1243" i="6"/>
  <c r="J1243" i="23" s="1"/>
  <c r="I1243" i="6"/>
  <c r="Q1243" i="23" s="1"/>
  <c r="H1243" i="6"/>
  <c r="G1243" i="6"/>
  <c r="F1243" i="6"/>
  <c r="E1243" i="6"/>
  <c r="N1242" i="6"/>
  <c r="M1242" i="6"/>
  <c r="M1242" i="23" s="1"/>
  <c r="L1242" i="6"/>
  <c r="K1242" i="6"/>
  <c r="P1242" i="23" s="1"/>
  <c r="J1242" i="6"/>
  <c r="J1242" i="23" s="1"/>
  <c r="I1242" i="6"/>
  <c r="Q1242" i="23" s="1"/>
  <c r="H1242" i="6"/>
  <c r="G1242" i="6"/>
  <c r="F1242" i="6"/>
  <c r="E1242" i="6"/>
  <c r="N1241" i="6"/>
  <c r="M1241" i="6"/>
  <c r="M1241" i="23" s="1"/>
  <c r="L1241" i="6"/>
  <c r="K1241" i="6"/>
  <c r="P1241" i="23" s="1"/>
  <c r="R1241" i="23" s="1"/>
  <c r="Z1128" i="31" s="1"/>
  <c r="J1241" i="6"/>
  <c r="J1241" i="23" s="1"/>
  <c r="I1241" i="6"/>
  <c r="Q1241" i="23" s="1"/>
  <c r="H1241" i="6"/>
  <c r="G1241" i="6"/>
  <c r="F1241" i="6"/>
  <c r="E1241" i="6"/>
  <c r="N1240" i="6"/>
  <c r="M1240" i="6"/>
  <c r="M1240" i="23" s="1"/>
  <c r="L1240" i="6"/>
  <c r="K1240" i="6"/>
  <c r="P1240" i="23" s="1"/>
  <c r="J1240" i="6"/>
  <c r="J1240" i="23" s="1"/>
  <c r="I1240" i="6"/>
  <c r="Q1240" i="23" s="1"/>
  <c r="H1240" i="6"/>
  <c r="G1240" i="6"/>
  <c r="F1240" i="6"/>
  <c r="E1240" i="6"/>
  <c r="T1240" i="6"/>
  <c r="E1240" i="19" s="1"/>
  <c r="T1241" i="6"/>
  <c r="E1241" i="19" s="1"/>
  <c r="T1242" i="6"/>
  <c r="E1242" i="19" s="1"/>
  <c r="T1243" i="6"/>
  <c r="E1243" i="19" s="1"/>
  <c r="T1244" i="6"/>
  <c r="E1244" i="19" s="1"/>
  <c r="T1239" i="6"/>
  <c r="E1239" i="19" s="1"/>
  <c r="N1239" i="6"/>
  <c r="N1238" i="6"/>
  <c r="M1239" i="6"/>
  <c r="M1239" i="23" s="1"/>
  <c r="M1238" i="6"/>
  <c r="M1238" i="23" s="1"/>
  <c r="L1239" i="6"/>
  <c r="L1238" i="6"/>
  <c r="K1239" i="6"/>
  <c r="P1239" i="23" s="1"/>
  <c r="K1238" i="6"/>
  <c r="P1238" i="23" s="1"/>
  <c r="J1239" i="6"/>
  <c r="J1239" i="23" s="1"/>
  <c r="J1238" i="6"/>
  <c r="J1238" i="23" s="1"/>
  <c r="I1239" i="6"/>
  <c r="Q1239" i="23" s="1"/>
  <c r="I1238" i="6"/>
  <c r="Q1238" i="23" s="1"/>
  <c r="H1239" i="6"/>
  <c r="H1238" i="6"/>
  <c r="G1239" i="6"/>
  <c r="G1238" i="6"/>
  <c r="F1239" i="6"/>
  <c r="F1238" i="6"/>
  <c r="E1239" i="6"/>
  <c r="E1238" i="6"/>
  <c r="X1398" i="6"/>
  <c r="E1398" i="29" s="1"/>
  <c r="T1271" i="31" s="1"/>
  <c r="V1398" i="6"/>
  <c r="E1398" i="28" s="1"/>
  <c r="N1398" i="6"/>
  <c r="M1398" i="6"/>
  <c r="M1398" i="23" s="1"/>
  <c r="L1398" i="6"/>
  <c r="K1398" i="6"/>
  <c r="P1398" i="23" s="1"/>
  <c r="R1398" i="23" s="1"/>
  <c r="Z1271" i="31" s="1"/>
  <c r="J1398" i="6"/>
  <c r="J1398" i="23" s="1"/>
  <c r="H1398" i="6"/>
  <c r="I1398" i="6"/>
  <c r="Q1398" i="23" s="1"/>
  <c r="G1398" i="6"/>
  <c r="F1398" i="6"/>
  <c r="E1398" i="6"/>
  <c r="X1397" i="6"/>
  <c r="E1397" i="29" s="1"/>
  <c r="T1270" i="31" s="1"/>
  <c r="V1397" i="6"/>
  <c r="E1397" i="28" s="1"/>
  <c r="N1397" i="6"/>
  <c r="M1397" i="6"/>
  <c r="M1397" i="23" s="1"/>
  <c r="L1397" i="6"/>
  <c r="K1397" i="6"/>
  <c r="P1397" i="23" s="1"/>
  <c r="R1397" i="23" s="1"/>
  <c r="Z1270" i="31" s="1"/>
  <c r="J1397" i="6"/>
  <c r="J1397" i="23" s="1"/>
  <c r="H1397" i="6"/>
  <c r="I1397" i="6"/>
  <c r="Q1397" i="23" s="1"/>
  <c r="G1397" i="6"/>
  <c r="F1397" i="6"/>
  <c r="E1397" i="6"/>
  <c r="X1396" i="6"/>
  <c r="E1396" i="29" s="1"/>
  <c r="T1269" i="31" s="1"/>
  <c r="X1395" i="6"/>
  <c r="E1395" i="29" s="1"/>
  <c r="T1268" i="31" s="1"/>
  <c r="V1396" i="6"/>
  <c r="E1396" i="28" s="1"/>
  <c r="N1396" i="6"/>
  <c r="M1396" i="6"/>
  <c r="M1396" i="23" s="1"/>
  <c r="L1396" i="6"/>
  <c r="K1396" i="6"/>
  <c r="P1396" i="23" s="1"/>
  <c r="J1396" i="6"/>
  <c r="J1396" i="23" s="1"/>
  <c r="I1396" i="6"/>
  <c r="Q1396" i="23" s="1"/>
  <c r="G1396" i="6"/>
  <c r="F1396" i="6"/>
  <c r="E1396" i="6"/>
  <c r="V1395" i="6"/>
  <c r="E1395" i="28" s="1"/>
  <c r="N1395" i="6"/>
  <c r="M1395" i="6"/>
  <c r="M1395" i="23" s="1"/>
  <c r="L1395" i="6"/>
  <c r="K1395" i="6"/>
  <c r="P1395" i="23" s="1"/>
  <c r="R1395" i="23" s="1"/>
  <c r="Z1268" i="31" s="1"/>
  <c r="J1395" i="6"/>
  <c r="J1395" i="23" s="1"/>
  <c r="H1395" i="6"/>
  <c r="I1395" i="6"/>
  <c r="Q1395" i="23" s="1"/>
  <c r="G1395" i="6"/>
  <c r="F1395" i="6"/>
  <c r="E1395" i="6"/>
  <c r="X1394" i="6"/>
  <c r="E1394" i="29" s="1"/>
  <c r="T1267" i="31" s="1"/>
  <c r="V1394" i="6"/>
  <c r="E1394" i="28" s="1"/>
  <c r="N1394" i="6"/>
  <c r="M1394" i="6"/>
  <c r="M1394" i="23" s="1"/>
  <c r="L1394" i="6"/>
  <c r="K1392" i="6"/>
  <c r="P1392" i="23" s="1"/>
  <c r="K1394" i="6"/>
  <c r="P1394" i="23" s="1"/>
  <c r="J1394" i="6"/>
  <c r="J1394" i="23" s="1"/>
  <c r="I1394" i="6"/>
  <c r="Q1394" i="23" s="1"/>
  <c r="G1394" i="6"/>
  <c r="F1394" i="6"/>
  <c r="E1394" i="6"/>
  <c r="X1393" i="6"/>
  <c r="E1393" i="29" s="1"/>
  <c r="T1266" i="31" s="1"/>
  <c r="V1393" i="6"/>
  <c r="E1393" i="28" s="1"/>
  <c r="N1393" i="6"/>
  <c r="M1393" i="6"/>
  <c r="M1393" i="23" s="1"/>
  <c r="L1393" i="6"/>
  <c r="K1393" i="6"/>
  <c r="P1393" i="23" s="1"/>
  <c r="J1393" i="6"/>
  <c r="J1393" i="23" s="1"/>
  <c r="I1393" i="6"/>
  <c r="Q1393" i="23" s="1"/>
  <c r="G1393" i="6"/>
  <c r="F1393" i="6"/>
  <c r="E1393" i="6"/>
  <c r="X1391" i="6"/>
  <c r="E1391" i="29" s="1"/>
  <c r="T1264" i="31" s="1"/>
  <c r="X1392" i="6"/>
  <c r="E1392" i="29" s="1"/>
  <c r="T1265" i="31" s="1"/>
  <c r="V1392" i="6"/>
  <c r="E1392" i="28" s="1"/>
  <c r="N1392" i="6"/>
  <c r="M1392" i="6"/>
  <c r="M1392" i="23" s="1"/>
  <c r="L1392" i="6"/>
  <c r="J1392" i="6"/>
  <c r="J1392" i="23" s="1"/>
  <c r="I1392" i="6"/>
  <c r="Q1392" i="23" s="1"/>
  <c r="G1392" i="6"/>
  <c r="F1392" i="6"/>
  <c r="E1392" i="6"/>
  <c r="V1391" i="6"/>
  <c r="E1391" i="28" s="1"/>
  <c r="T1392" i="6"/>
  <c r="E1392" i="19" s="1"/>
  <c r="T1393" i="6"/>
  <c r="E1393" i="19" s="1"/>
  <c r="T1394" i="6"/>
  <c r="E1394" i="19" s="1"/>
  <c r="T1395" i="6"/>
  <c r="E1395" i="19" s="1"/>
  <c r="T1396" i="6"/>
  <c r="E1396" i="19" s="1"/>
  <c r="T1397" i="6"/>
  <c r="E1397" i="19" s="1"/>
  <c r="T1398" i="6"/>
  <c r="E1398" i="19" s="1"/>
  <c r="T1391" i="6"/>
  <c r="E1391" i="19" s="1"/>
  <c r="N1390" i="6"/>
  <c r="M1391" i="6"/>
  <c r="M1391" i="23" s="1"/>
  <c r="M1390" i="6"/>
  <c r="M1390" i="23" s="1"/>
  <c r="L1391" i="6"/>
  <c r="L1390" i="6"/>
  <c r="K1391" i="6"/>
  <c r="P1391" i="23" s="1"/>
  <c r="R1391" i="23" s="1"/>
  <c r="Z1264" i="31" s="1"/>
  <c r="K1390" i="6"/>
  <c r="P1390" i="23" s="1"/>
  <c r="J1391" i="6"/>
  <c r="J1391" i="23" s="1"/>
  <c r="J1390" i="6"/>
  <c r="J1390" i="23" s="1"/>
  <c r="H1391" i="6"/>
  <c r="I1391" i="6"/>
  <c r="Q1391" i="23" s="1"/>
  <c r="H1390" i="6"/>
  <c r="I1390" i="6"/>
  <c r="Q1390" i="23" s="1"/>
  <c r="G1391" i="6"/>
  <c r="G1390" i="6"/>
  <c r="F1391" i="6"/>
  <c r="F1390" i="6"/>
  <c r="E1391" i="6"/>
  <c r="E1390" i="6"/>
  <c r="N1420" i="6"/>
  <c r="M1420" i="6"/>
  <c r="M1420" i="23" s="1"/>
  <c r="L1420" i="6"/>
  <c r="K1420" i="6"/>
  <c r="P1420" i="23" s="1"/>
  <c r="J1420" i="6"/>
  <c r="J1420" i="23" s="1"/>
  <c r="I1420" i="6"/>
  <c r="Q1420" i="23" s="1"/>
  <c r="H1420" i="6"/>
  <c r="G1420" i="6"/>
  <c r="F1420" i="6"/>
  <c r="E1420" i="6"/>
  <c r="N1419" i="6"/>
  <c r="M1419" i="6"/>
  <c r="M1419" i="23" s="1"/>
  <c r="L1419" i="6"/>
  <c r="K1419" i="6"/>
  <c r="P1419" i="23" s="1"/>
  <c r="R1419" i="23" s="1"/>
  <c r="Z1290" i="31" s="1"/>
  <c r="J1419" i="6"/>
  <c r="J1419" i="23" s="1"/>
  <c r="I1419" i="6"/>
  <c r="Q1419" i="23" s="1"/>
  <c r="H1419" i="6"/>
  <c r="G1419" i="6"/>
  <c r="F1419" i="6"/>
  <c r="E1419" i="6"/>
  <c r="N1418" i="6"/>
  <c r="M1418" i="6"/>
  <c r="M1418" i="23" s="1"/>
  <c r="L1418" i="6"/>
  <c r="K1418" i="6"/>
  <c r="P1418" i="23" s="1"/>
  <c r="J1418" i="6"/>
  <c r="J1418" i="23" s="1"/>
  <c r="I1418" i="6"/>
  <c r="Q1418" i="23" s="1"/>
  <c r="H1418" i="6"/>
  <c r="G1418" i="6"/>
  <c r="F1418" i="6"/>
  <c r="E1418" i="6"/>
  <c r="N1417" i="6"/>
  <c r="M1417" i="6"/>
  <c r="M1417" i="23" s="1"/>
  <c r="L1417" i="6"/>
  <c r="K1417" i="6"/>
  <c r="P1417" i="23" s="1"/>
  <c r="R1417" i="23" s="1"/>
  <c r="Z1288" i="31" s="1"/>
  <c r="J1417" i="6"/>
  <c r="J1417" i="23" s="1"/>
  <c r="I1417" i="6"/>
  <c r="Q1417" i="23" s="1"/>
  <c r="H1417" i="6"/>
  <c r="G1417" i="6"/>
  <c r="F1417" i="6"/>
  <c r="E1417" i="6"/>
  <c r="N1416" i="6"/>
  <c r="M1416" i="6"/>
  <c r="M1416" i="23" s="1"/>
  <c r="L1416" i="6"/>
  <c r="K1416" i="6"/>
  <c r="P1416" i="23" s="1"/>
  <c r="J1416" i="6"/>
  <c r="J1416" i="23" s="1"/>
  <c r="I1416" i="6"/>
  <c r="Q1416" i="23" s="1"/>
  <c r="H1416" i="6"/>
  <c r="G1416" i="6"/>
  <c r="F1416" i="6"/>
  <c r="E1416" i="6"/>
  <c r="E1415" i="6"/>
  <c r="N1415" i="6"/>
  <c r="M1415" i="6"/>
  <c r="M1415" i="23" s="1"/>
  <c r="L1415" i="6"/>
  <c r="K1415" i="6"/>
  <c r="P1415" i="23" s="1"/>
  <c r="J1415" i="6"/>
  <c r="J1415" i="23" s="1"/>
  <c r="I1415" i="6"/>
  <c r="Q1415" i="23" s="1"/>
  <c r="H1415" i="6"/>
  <c r="G1415" i="6"/>
  <c r="F1415" i="6"/>
  <c r="N1414" i="6"/>
  <c r="M1414" i="6"/>
  <c r="M1414" i="23" s="1"/>
  <c r="L1414" i="6"/>
  <c r="K1414" i="6"/>
  <c r="P1414" i="23" s="1"/>
  <c r="J1414" i="6"/>
  <c r="J1414" i="23" s="1"/>
  <c r="I1414" i="6"/>
  <c r="Q1414" i="23" s="1"/>
  <c r="H1414" i="6"/>
  <c r="G1414" i="6"/>
  <c r="F1413" i="6"/>
  <c r="F1414" i="6"/>
  <c r="E1414" i="6"/>
  <c r="N1413" i="6"/>
  <c r="M1413" i="6"/>
  <c r="M1413" i="23" s="1"/>
  <c r="L1413" i="6"/>
  <c r="K1413" i="6"/>
  <c r="P1413" i="23" s="1"/>
  <c r="J1413" i="6"/>
  <c r="J1413" i="23" s="1"/>
  <c r="I1413" i="6"/>
  <c r="Q1413" i="23" s="1"/>
  <c r="H1413" i="6"/>
  <c r="G1413" i="6"/>
  <c r="E1413" i="6"/>
  <c r="T1413" i="6"/>
  <c r="E1413" i="19" s="1"/>
  <c r="T1414" i="6"/>
  <c r="E1414" i="19" s="1"/>
  <c r="T1415" i="6"/>
  <c r="E1415" i="19" s="1"/>
  <c r="T1416" i="6"/>
  <c r="E1416" i="19" s="1"/>
  <c r="T1417" i="6"/>
  <c r="E1417" i="19" s="1"/>
  <c r="T1418" i="6"/>
  <c r="E1418" i="19" s="1"/>
  <c r="T1419" i="6"/>
  <c r="E1419" i="19" s="1"/>
  <c r="T1420" i="6"/>
  <c r="E1420" i="19" s="1"/>
  <c r="T1412" i="6"/>
  <c r="E1412" i="19" s="1"/>
  <c r="N1412" i="6"/>
  <c r="N1411" i="6"/>
  <c r="M1412" i="6"/>
  <c r="M1412" i="23" s="1"/>
  <c r="M1411" i="6"/>
  <c r="M1411" i="23" s="1"/>
  <c r="L1412" i="6"/>
  <c r="L1411" i="6"/>
  <c r="K1412" i="6"/>
  <c r="P1412" i="23" s="1"/>
  <c r="K1411" i="6"/>
  <c r="P1411" i="23" s="1"/>
  <c r="J1412" i="6"/>
  <c r="J1412" i="23" s="1"/>
  <c r="J1411" i="6"/>
  <c r="J1411" i="23" s="1"/>
  <c r="I1412" i="6"/>
  <c r="Q1412" i="23" s="1"/>
  <c r="I1411" i="6"/>
  <c r="Q1411" i="23" s="1"/>
  <c r="H1412" i="6"/>
  <c r="H1411" i="6"/>
  <c r="G1412" i="6"/>
  <c r="G1411" i="6"/>
  <c r="F1412" i="6"/>
  <c r="F1411" i="6"/>
  <c r="E1412" i="6"/>
  <c r="E1411" i="6"/>
  <c r="T1442" i="6"/>
  <c r="E1442" i="19" s="1"/>
  <c r="N1442" i="6"/>
  <c r="M1442" i="6"/>
  <c r="M1442" i="23" s="1"/>
  <c r="L1442" i="6"/>
  <c r="K1442" i="6"/>
  <c r="P1442" i="23" s="1"/>
  <c r="R1442" i="23" s="1"/>
  <c r="Z1311" i="31" s="1"/>
  <c r="J1442" i="6"/>
  <c r="J1442" i="23" s="1"/>
  <c r="I1442" i="6"/>
  <c r="Q1442" i="23" s="1"/>
  <c r="H1442" i="6"/>
  <c r="G1442" i="6"/>
  <c r="F1442" i="6"/>
  <c r="E1442" i="6"/>
  <c r="N1441" i="6"/>
  <c r="N1440" i="6"/>
  <c r="M1441" i="6"/>
  <c r="M1441" i="23" s="1"/>
  <c r="L1441" i="6"/>
  <c r="K1441" i="6"/>
  <c r="P1441" i="23" s="1"/>
  <c r="R1441" i="23" s="1"/>
  <c r="Z1310" i="31" s="1"/>
  <c r="J1441" i="6"/>
  <c r="J1441" i="23" s="1"/>
  <c r="I1441" i="6"/>
  <c r="Q1441" i="23" s="1"/>
  <c r="H1441" i="6"/>
  <c r="G1441" i="6"/>
  <c r="F1441" i="6"/>
  <c r="E1441" i="6"/>
  <c r="M1440" i="6"/>
  <c r="M1440" i="23" s="1"/>
  <c r="L1440" i="6"/>
  <c r="K1440" i="6"/>
  <c r="P1440" i="23" s="1"/>
  <c r="R1440" i="23" s="1"/>
  <c r="Z1309" i="31" s="1"/>
  <c r="J1440" i="6"/>
  <c r="J1440" i="23" s="1"/>
  <c r="I1440" i="6"/>
  <c r="Q1440" i="23" s="1"/>
  <c r="H1440" i="6"/>
  <c r="G1440" i="6"/>
  <c r="F1440" i="6"/>
  <c r="E1440" i="6"/>
  <c r="N1439" i="6"/>
  <c r="M1439" i="6"/>
  <c r="M1439" i="23" s="1"/>
  <c r="L1439" i="6"/>
  <c r="K1439" i="6"/>
  <c r="P1439" i="23" s="1"/>
  <c r="J1439" i="6"/>
  <c r="J1439" i="23" s="1"/>
  <c r="I1439" i="6"/>
  <c r="Q1439" i="23" s="1"/>
  <c r="H1439" i="6"/>
  <c r="G1439" i="6"/>
  <c r="F1439" i="6"/>
  <c r="E1439" i="6"/>
  <c r="N1438" i="6"/>
  <c r="M1438" i="6"/>
  <c r="M1438" i="23" s="1"/>
  <c r="L1438" i="6"/>
  <c r="K1438" i="6"/>
  <c r="P1438" i="23" s="1"/>
  <c r="R1438" i="23" s="1"/>
  <c r="Z1307" i="31" s="1"/>
  <c r="J1438" i="6"/>
  <c r="J1438" i="23" s="1"/>
  <c r="I1438" i="6"/>
  <c r="Q1438" i="23" s="1"/>
  <c r="H1438" i="6"/>
  <c r="G1438" i="6"/>
  <c r="F1438" i="6"/>
  <c r="E1438" i="6"/>
  <c r="N1437" i="6"/>
  <c r="M1437" i="6"/>
  <c r="M1437" i="23" s="1"/>
  <c r="L1437" i="6"/>
  <c r="K1437" i="6"/>
  <c r="P1437" i="23" s="1"/>
  <c r="J1437" i="6"/>
  <c r="J1437" i="23" s="1"/>
  <c r="I1437" i="6"/>
  <c r="Q1437" i="23" s="1"/>
  <c r="H1437" i="6"/>
  <c r="G1437" i="6"/>
  <c r="F1437" i="6"/>
  <c r="E1437" i="6"/>
  <c r="N1436" i="6"/>
  <c r="M1436" i="6"/>
  <c r="M1436" i="23" s="1"/>
  <c r="L1436" i="6"/>
  <c r="K1436" i="6"/>
  <c r="P1436" i="23" s="1"/>
  <c r="R1436" i="23" s="1"/>
  <c r="Z1305" i="31" s="1"/>
  <c r="J1436" i="6"/>
  <c r="J1436" i="23" s="1"/>
  <c r="I1436" i="6"/>
  <c r="Q1436" i="23" s="1"/>
  <c r="H1436" i="6"/>
  <c r="G1436" i="6"/>
  <c r="F1436" i="6"/>
  <c r="E1436" i="6"/>
  <c r="N1435" i="6"/>
  <c r="M1435" i="6"/>
  <c r="M1435" i="23" s="1"/>
  <c r="L1435" i="6"/>
  <c r="K1435" i="6"/>
  <c r="P1435" i="23" s="1"/>
  <c r="J1435" i="6"/>
  <c r="J1435" i="23" s="1"/>
  <c r="I1435" i="6"/>
  <c r="Q1435" i="23" s="1"/>
  <c r="H1435" i="6"/>
  <c r="G1435" i="6"/>
  <c r="F1435" i="6"/>
  <c r="E1435" i="6"/>
  <c r="T1435" i="6"/>
  <c r="E1435" i="19" s="1"/>
  <c r="T1436" i="6"/>
  <c r="E1436" i="19" s="1"/>
  <c r="T1437" i="6"/>
  <c r="E1437" i="19" s="1"/>
  <c r="T1438" i="6"/>
  <c r="E1438" i="19" s="1"/>
  <c r="T1439" i="6"/>
  <c r="E1439" i="19" s="1"/>
  <c r="T1440" i="6"/>
  <c r="E1440" i="19" s="1"/>
  <c r="T1441" i="6"/>
  <c r="E1441" i="19" s="1"/>
  <c r="T1434" i="6"/>
  <c r="E1434" i="19" s="1"/>
  <c r="N1434" i="6"/>
  <c r="N1433" i="6"/>
  <c r="M1434" i="6"/>
  <c r="M1434" i="23" s="1"/>
  <c r="M1433" i="6"/>
  <c r="M1433" i="23" s="1"/>
  <c r="L1434" i="6"/>
  <c r="L1433" i="6"/>
  <c r="K1434" i="6"/>
  <c r="P1434" i="23" s="1"/>
  <c r="K1433" i="6"/>
  <c r="P1433" i="23" s="1"/>
  <c r="J1434" i="6"/>
  <c r="J1434" i="23" s="1"/>
  <c r="J1433" i="6"/>
  <c r="J1433" i="23" s="1"/>
  <c r="I1434" i="6"/>
  <c r="Q1434" i="23" s="1"/>
  <c r="I1433" i="6"/>
  <c r="Q1433" i="23" s="1"/>
  <c r="H1434" i="6"/>
  <c r="H1433" i="6"/>
  <c r="G1434" i="6"/>
  <c r="G1433" i="6"/>
  <c r="F1434" i="6"/>
  <c r="F1433" i="6"/>
  <c r="E1434" i="6"/>
  <c r="E1433" i="6"/>
  <c r="N1453" i="6"/>
  <c r="M1453" i="6"/>
  <c r="M1453" i="23" s="1"/>
  <c r="L1453" i="6"/>
  <c r="K1453" i="6"/>
  <c r="P1453" i="23" s="1"/>
  <c r="R1453" i="23" s="1"/>
  <c r="Z1321" i="31" s="1"/>
  <c r="J1453" i="6"/>
  <c r="J1453" i="23" s="1"/>
  <c r="I1453" i="6"/>
  <c r="Q1453" i="23" s="1"/>
  <c r="H1453" i="6"/>
  <c r="G1453" i="6"/>
  <c r="F1453" i="6"/>
  <c r="E1453" i="6"/>
  <c r="N1452" i="6"/>
  <c r="M1452" i="6"/>
  <c r="M1452" i="23" s="1"/>
  <c r="L1452" i="6"/>
  <c r="K1452" i="6"/>
  <c r="P1452" i="23" s="1"/>
  <c r="J1452" i="6"/>
  <c r="J1452" i="23" s="1"/>
  <c r="I1452" i="6"/>
  <c r="Q1452" i="23" s="1"/>
  <c r="H1452" i="6"/>
  <c r="G1452" i="6"/>
  <c r="F1452" i="6"/>
  <c r="E1452" i="6"/>
  <c r="N1451" i="6"/>
  <c r="M1451" i="6"/>
  <c r="M1451" i="23" s="1"/>
  <c r="L1451" i="6"/>
  <c r="K1451" i="6"/>
  <c r="P1451" i="23" s="1"/>
  <c r="R1451" i="23" s="1"/>
  <c r="Z1319" i="31" s="1"/>
  <c r="J1451" i="6"/>
  <c r="J1451" i="23" s="1"/>
  <c r="I1451" i="6"/>
  <c r="Q1451" i="23" s="1"/>
  <c r="H1451" i="6"/>
  <c r="G1451" i="6"/>
  <c r="F1451" i="6"/>
  <c r="E1451" i="6"/>
  <c r="N1450" i="6"/>
  <c r="M1450" i="6"/>
  <c r="M1450" i="23" s="1"/>
  <c r="L1450" i="6"/>
  <c r="K1450" i="6"/>
  <c r="P1450" i="23" s="1"/>
  <c r="J1450" i="6"/>
  <c r="J1450" i="23" s="1"/>
  <c r="I1450" i="6"/>
  <c r="Q1450" i="23" s="1"/>
  <c r="H1450" i="6"/>
  <c r="G1450" i="6"/>
  <c r="F1450" i="6"/>
  <c r="E1450" i="6"/>
  <c r="N1449" i="6"/>
  <c r="M1449" i="6"/>
  <c r="M1449" i="23" s="1"/>
  <c r="L1449" i="6"/>
  <c r="K1449" i="6"/>
  <c r="P1449" i="23" s="1"/>
  <c r="R1449" i="23" s="1"/>
  <c r="Z1317" i="31" s="1"/>
  <c r="J1449" i="6"/>
  <c r="J1449" i="23" s="1"/>
  <c r="I1449" i="6"/>
  <c r="Q1449" i="23" s="1"/>
  <c r="H1449" i="6"/>
  <c r="G1449" i="6"/>
  <c r="F1449" i="6"/>
  <c r="E1449" i="6"/>
  <c r="N1448" i="6"/>
  <c r="M1448" i="6"/>
  <c r="M1448" i="23" s="1"/>
  <c r="L1448" i="6"/>
  <c r="K1448" i="6"/>
  <c r="P1448" i="23" s="1"/>
  <c r="J1448" i="6"/>
  <c r="J1448" i="23" s="1"/>
  <c r="I1448" i="6"/>
  <c r="Q1448" i="23" s="1"/>
  <c r="H1448" i="6"/>
  <c r="G1448" i="6"/>
  <c r="F1448" i="6"/>
  <c r="E1448" i="6"/>
  <c r="N1447" i="6"/>
  <c r="M1447" i="6"/>
  <c r="M1447" i="23" s="1"/>
  <c r="L1447" i="6"/>
  <c r="K1447" i="6"/>
  <c r="P1447" i="23" s="1"/>
  <c r="R1447" i="23" s="1"/>
  <c r="Z1315" i="31" s="1"/>
  <c r="J1447" i="6"/>
  <c r="J1447" i="23" s="1"/>
  <c r="I1447" i="6"/>
  <c r="Q1447" i="23" s="1"/>
  <c r="H1447" i="6"/>
  <c r="G1447" i="6"/>
  <c r="F1447" i="6"/>
  <c r="E1447" i="6"/>
  <c r="T1447" i="6"/>
  <c r="E1447" i="19" s="1"/>
  <c r="T1448" i="6"/>
  <c r="E1448" i="19" s="1"/>
  <c r="T1449" i="6"/>
  <c r="E1449" i="19" s="1"/>
  <c r="T1450" i="6"/>
  <c r="E1450" i="19" s="1"/>
  <c r="T1451" i="6"/>
  <c r="E1451" i="19" s="1"/>
  <c r="T1452" i="6"/>
  <c r="E1452" i="19" s="1"/>
  <c r="T1453" i="6"/>
  <c r="E1453" i="19" s="1"/>
  <c r="T1446" i="6"/>
  <c r="E1446" i="19" s="1"/>
  <c r="N1446" i="6"/>
  <c r="N1445" i="6"/>
  <c r="M1446" i="6"/>
  <c r="M1446" i="23" s="1"/>
  <c r="M1445" i="6"/>
  <c r="M1445" i="23" s="1"/>
  <c r="L1446" i="6"/>
  <c r="L1445" i="6"/>
  <c r="K1446" i="6"/>
  <c r="P1446" i="23" s="1"/>
  <c r="K1445" i="6"/>
  <c r="P1445" i="23" s="1"/>
  <c r="J1446" i="6"/>
  <c r="J1446" i="23" s="1"/>
  <c r="J1445" i="6"/>
  <c r="J1445" i="23" s="1"/>
  <c r="I1446" i="6"/>
  <c r="Q1446" i="23" s="1"/>
  <c r="I1445" i="6"/>
  <c r="Q1445" i="23" s="1"/>
  <c r="H1446" i="6"/>
  <c r="H1445" i="6"/>
  <c r="G1446" i="6"/>
  <c r="G1445" i="6"/>
  <c r="F1446" i="6"/>
  <c r="F1445" i="6"/>
  <c r="E1446" i="6"/>
  <c r="E1445" i="6"/>
  <c r="V1464" i="6"/>
  <c r="E1464" i="28" s="1"/>
  <c r="N1464" i="6"/>
  <c r="M1464" i="6"/>
  <c r="M1464" i="23" s="1"/>
  <c r="L1464" i="6"/>
  <c r="K1464" i="6"/>
  <c r="P1464" i="23" s="1"/>
  <c r="R1464" i="23" s="1"/>
  <c r="Z1331" i="31" s="1"/>
  <c r="J1464" i="6"/>
  <c r="J1464" i="23" s="1"/>
  <c r="I1464" i="6"/>
  <c r="Q1464" i="23" s="1"/>
  <c r="G1464" i="6"/>
  <c r="F1464" i="6"/>
  <c r="E1464" i="6"/>
  <c r="V1463" i="6"/>
  <c r="E1463" i="28" s="1"/>
  <c r="N1463" i="6"/>
  <c r="M1463" i="6"/>
  <c r="M1463" i="23" s="1"/>
  <c r="L1463" i="6"/>
  <c r="K1463" i="6"/>
  <c r="P1463" i="23" s="1"/>
  <c r="R1463" i="23" s="1"/>
  <c r="Z1330" i="31" s="1"/>
  <c r="J1463" i="6"/>
  <c r="J1463" i="23" s="1"/>
  <c r="H1463" i="6"/>
  <c r="I1463" i="6"/>
  <c r="Q1463" i="23" s="1"/>
  <c r="G1463" i="6"/>
  <c r="F1463" i="6"/>
  <c r="E1463" i="6"/>
  <c r="V1462" i="6"/>
  <c r="E1462" i="28" s="1"/>
  <c r="N1462" i="6"/>
  <c r="M1462" i="6"/>
  <c r="M1462" i="23" s="1"/>
  <c r="L1462" i="6"/>
  <c r="K1462" i="6"/>
  <c r="P1462" i="23" s="1"/>
  <c r="J1462" i="6"/>
  <c r="J1462" i="23" s="1"/>
  <c r="H1462" i="6"/>
  <c r="I1462" i="6"/>
  <c r="Q1462" i="23" s="1"/>
  <c r="G1462" i="6"/>
  <c r="E1462" i="6"/>
  <c r="F1462" i="6" s="1"/>
  <c r="V1461" i="6"/>
  <c r="E1461" i="28" s="1"/>
  <c r="N1461" i="6"/>
  <c r="M1461" i="6"/>
  <c r="M1461" i="23" s="1"/>
  <c r="L1461" i="6"/>
  <c r="K1461" i="6"/>
  <c r="P1461" i="23" s="1"/>
  <c r="J1461" i="6"/>
  <c r="J1461" i="23" s="1"/>
  <c r="I1461" i="6"/>
  <c r="Q1461" i="23" s="1"/>
  <c r="G1461" i="6"/>
  <c r="E1461" i="6"/>
  <c r="F1461" i="6" s="1"/>
  <c r="V1460" i="6"/>
  <c r="E1460" i="28" s="1"/>
  <c r="N1460" i="6"/>
  <c r="M1460" i="6"/>
  <c r="M1460" i="23" s="1"/>
  <c r="L1460" i="6"/>
  <c r="K1460" i="6"/>
  <c r="P1460" i="23" s="1"/>
  <c r="R1460" i="23" s="1"/>
  <c r="Z1327" i="31" s="1"/>
  <c r="J1460" i="6"/>
  <c r="J1460" i="23" s="1"/>
  <c r="I1460" i="6"/>
  <c r="Q1460" i="23" s="1"/>
  <c r="G1460" i="6"/>
  <c r="F1460" i="6"/>
  <c r="E1460" i="6"/>
  <c r="X1459" i="6"/>
  <c r="E1459" i="29" s="1"/>
  <c r="T1326" i="31" s="1"/>
  <c r="V1459" i="6"/>
  <c r="E1459" i="28" s="1"/>
  <c r="N1459" i="6"/>
  <c r="M1459" i="6"/>
  <c r="M1459" i="23" s="1"/>
  <c r="L1459" i="6"/>
  <c r="K1459" i="6"/>
  <c r="P1459" i="23" s="1"/>
  <c r="R1459" i="23" s="1"/>
  <c r="Z1326" i="31" s="1"/>
  <c r="J1459" i="6"/>
  <c r="J1459" i="23" s="1"/>
  <c r="I1459" i="6"/>
  <c r="Q1459" i="23" s="1"/>
  <c r="G1459" i="6"/>
  <c r="F1459" i="6"/>
  <c r="E1459" i="6"/>
  <c r="X1458" i="6"/>
  <c r="E1458" i="29" s="1"/>
  <c r="T1325" i="31" s="1"/>
  <c r="V1458" i="6"/>
  <c r="E1458" i="28" s="1"/>
  <c r="N1458" i="6"/>
  <c r="M1458" i="6"/>
  <c r="M1458" i="23" s="1"/>
  <c r="L1458" i="6"/>
  <c r="K1458" i="6"/>
  <c r="P1458" i="23" s="1"/>
  <c r="R1458" i="23" s="1"/>
  <c r="Z1325" i="31" s="1"/>
  <c r="J1458" i="6"/>
  <c r="J1458" i="23" s="1"/>
  <c r="I1458" i="6"/>
  <c r="Q1458" i="23" s="1"/>
  <c r="G1458" i="6"/>
  <c r="F1458" i="6"/>
  <c r="E1458" i="6"/>
  <c r="X1457" i="6"/>
  <c r="E1457" i="29" s="1"/>
  <c r="T1324" i="31" s="1"/>
  <c r="V1457" i="6"/>
  <c r="E1457" i="28" s="1"/>
  <c r="N1457" i="6"/>
  <c r="M1457" i="6"/>
  <c r="M1457" i="23" s="1"/>
  <c r="L1457" i="6"/>
  <c r="K1457" i="6"/>
  <c r="P1457" i="23" s="1"/>
  <c r="R1457" i="23" s="1"/>
  <c r="Z1324" i="31" s="1"/>
  <c r="J1457" i="6"/>
  <c r="J1457" i="23" s="1"/>
  <c r="I1457" i="6"/>
  <c r="Q1457" i="23" s="1"/>
  <c r="G1457" i="6"/>
  <c r="F1457" i="6"/>
  <c r="E1457" i="6"/>
  <c r="X1456" i="6"/>
  <c r="E1456" i="29" s="1"/>
  <c r="T1323" i="31" s="1"/>
  <c r="V1456" i="6"/>
  <c r="E1456" i="28" s="1"/>
  <c r="N1456" i="6"/>
  <c r="M1456" i="6"/>
  <c r="M1456" i="23" s="1"/>
  <c r="L1456" i="6"/>
  <c r="K1456" i="6"/>
  <c r="P1456" i="23" s="1"/>
  <c r="R1456" i="23" s="1"/>
  <c r="Z1323" i="31" s="1"/>
  <c r="J1456" i="6"/>
  <c r="J1456" i="23" s="1"/>
  <c r="I1456" i="6"/>
  <c r="Q1456" i="23" s="1"/>
  <c r="H1456" i="6"/>
  <c r="G1456" i="6"/>
  <c r="F1456" i="6"/>
  <c r="E1456" i="6"/>
  <c r="X1455" i="6"/>
  <c r="E1455" i="29" s="1"/>
  <c r="T1322" i="31" s="1"/>
  <c r="V1455" i="6"/>
  <c r="E1455" i="28" s="1"/>
  <c r="T1456" i="6"/>
  <c r="E1456" i="19" s="1"/>
  <c r="T1457" i="6"/>
  <c r="E1457" i="19" s="1"/>
  <c r="T1458" i="6"/>
  <c r="E1458" i="19" s="1"/>
  <c r="T1459" i="6"/>
  <c r="E1459" i="19" s="1"/>
  <c r="T1460" i="6"/>
  <c r="E1460" i="19" s="1"/>
  <c r="T1461" i="6"/>
  <c r="E1461" i="19" s="1"/>
  <c r="T1462" i="6"/>
  <c r="E1462" i="19" s="1"/>
  <c r="T1463" i="6"/>
  <c r="E1463" i="19" s="1"/>
  <c r="T1464" i="6"/>
  <c r="E1464" i="19" s="1"/>
  <c r="T1455" i="6"/>
  <c r="E1455" i="19" s="1"/>
  <c r="N1455" i="6"/>
  <c r="L1454" i="6"/>
  <c r="M1455" i="6"/>
  <c r="M1455" i="23" s="1"/>
  <c r="L1455" i="6"/>
  <c r="K1455" i="6"/>
  <c r="P1455" i="23" s="1"/>
  <c r="J1455" i="6"/>
  <c r="J1455" i="23" s="1"/>
  <c r="I1455" i="6"/>
  <c r="Q1455" i="23" s="1"/>
  <c r="H1455" i="6"/>
  <c r="G1455" i="6"/>
  <c r="F1455" i="6"/>
  <c r="E1455" i="6"/>
  <c r="N1475" i="6"/>
  <c r="M1475" i="6"/>
  <c r="M1475" i="23" s="1"/>
  <c r="L1475" i="6"/>
  <c r="K1475" i="6"/>
  <c r="P1475" i="23" s="1"/>
  <c r="R1475" i="23" s="1"/>
  <c r="Z1341" i="31" s="1"/>
  <c r="J1475" i="6"/>
  <c r="J1475" i="23" s="1"/>
  <c r="I1475" i="6"/>
  <c r="Q1475" i="23" s="1"/>
  <c r="H1475" i="6"/>
  <c r="G1475" i="6"/>
  <c r="F1475" i="6"/>
  <c r="E1475" i="6"/>
  <c r="N1474" i="6"/>
  <c r="M1474" i="6"/>
  <c r="M1474" i="23" s="1"/>
  <c r="L1474" i="6"/>
  <c r="K1474" i="6"/>
  <c r="P1474" i="23" s="1"/>
  <c r="J1474" i="6"/>
  <c r="J1474" i="23" s="1"/>
  <c r="I1474" i="6"/>
  <c r="Q1474" i="23" s="1"/>
  <c r="F1474" i="6"/>
  <c r="H1474" i="6"/>
  <c r="G1474" i="6"/>
  <c r="E1474" i="6"/>
  <c r="N1473" i="6"/>
  <c r="M1473" i="6"/>
  <c r="M1473" i="23" s="1"/>
  <c r="L1473" i="6"/>
  <c r="K1473" i="6"/>
  <c r="P1473" i="23" s="1"/>
  <c r="R1473" i="23" s="1"/>
  <c r="Z1339" i="31" s="1"/>
  <c r="J1473" i="6"/>
  <c r="J1473" i="23" s="1"/>
  <c r="I1473" i="6"/>
  <c r="Q1473" i="23" s="1"/>
  <c r="H1473" i="6"/>
  <c r="G1473" i="6"/>
  <c r="F1471" i="6"/>
  <c r="F1472" i="6"/>
  <c r="F1473" i="6"/>
  <c r="E1473" i="6"/>
  <c r="T1473" i="6"/>
  <c r="E1473" i="19" s="1"/>
  <c r="T1474" i="6"/>
  <c r="E1474" i="19" s="1"/>
  <c r="T1475" i="6"/>
  <c r="E1475" i="19" s="1"/>
  <c r="T1472" i="6"/>
  <c r="E1472" i="19" s="1"/>
  <c r="N1472" i="6"/>
  <c r="N1471" i="6"/>
  <c r="M1472" i="6"/>
  <c r="M1472" i="23" s="1"/>
  <c r="M1471" i="6"/>
  <c r="M1471" i="23" s="1"/>
  <c r="L1472" i="6"/>
  <c r="L1471" i="6"/>
  <c r="K1472" i="6"/>
  <c r="P1472" i="23" s="1"/>
  <c r="K1471" i="6"/>
  <c r="P1471" i="23" s="1"/>
  <c r="J1472" i="6"/>
  <c r="J1472" i="23" s="1"/>
  <c r="J1471" i="6"/>
  <c r="J1471" i="23" s="1"/>
  <c r="I1472" i="6"/>
  <c r="Q1472" i="23" s="1"/>
  <c r="I1471" i="6"/>
  <c r="Q1471" i="23" s="1"/>
  <c r="H1472" i="6"/>
  <c r="H1471" i="6"/>
  <c r="G1472" i="6"/>
  <c r="G1471" i="6"/>
  <c r="E1471" i="6"/>
  <c r="E1472" i="6"/>
  <c r="N1585" i="6"/>
  <c r="M1585" i="6"/>
  <c r="M1585" i="23" s="1"/>
  <c r="L1585" i="6"/>
  <c r="K1585" i="6"/>
  <c r="P1585" i="23" s="1"/>
  <c r="J1585" i="6"/>
  <c r="J1585" i="23" s="1"/>
  <c r="I1585" i="6"/>
  <c r="Q1585" i="23" s="1"/>
  <c r="H1585" i="6"/>
  <c r="G1585" i="6"/>
  <c r="F1585" i="6"/>
  <c r="E1585" i="6"/>
  <c r="N1584" i="6"/>
  <c r="M1584" i="6"/>
  <c r="M1584" i="23" s="1"/>
  <c r="L1584" i="6"/>
  <c r="K1584" i="6"/>
  <c r="P1584" i="23" s="1"/>
  <c r="R1584" i="23" s="1"/>
  <c r="Z1440" i="31" s="1"/>
  <c r="J1584" i="6"/>
  <c r="J1584" i="23" s="1"/>
  <c r="I1584" i="6"/>
  <c r="Q1584" i="23" s="1"/>
  <c r="H1584" i="6"/>
  <c r="G1584" i="6"/>
  <c r="F1584" i="6"/>
  <c r="E1584" i="6"/>
  <c r="N1583" i="6"/>
  <c r="M1583" i="6"/>
  <c r="M1583" i="23" s="1"/>
  <c r="L1583" i="6"/>
  <c r="K1583" i="6"/>
  <c r="P1583" i="23" s="1"/>
  <c r="J1583" i="6"/>
  <c r="J1583" i="23" s="1"/>
  <c r="I1583" i="6"/>
  <c r="Q1583" i="23" s="1"/>
  <c r="H1583" i="6"/>
  <c r="G1583" i="6"/>
  <c r="F1583" i="6"/>
  <c r="E1583" i="6"/>
  <c r="N1582" i="6"/>
  <c r="M1582" i="6"/>
  <c r="M1582" i="23" s="1"/>
  <c r="L1582" i="6"/>
  <c r="K1582" i="6"/>
  <c r="P1582" i="23" s="1"/>
  <c r="R1582" i="23" s="1"/>
  <c r="Z1438" i="31" s="1"/>
  <c r="J1582" i="6"/>
  <c r="J1582" i="23" s="1"/>
  <c r="I1582" i="6"/>
  <c r="Q1582" i="23" s="1"/>
  <c r="H1582" i="6"/>
  <c r="G1582" i="6"/>
  <c r="F1582" i="6"/>
  <c r="E1582" i="6"/>
  <c r="N1581" i="6"/>
  <c r="M1581" i="6"/>
  <c r="M1581" i="23" s="1"/>
  <c r="L1581" i="6"/>
  <c r="K1581" i="6"/>
  <c r="P1581" i="23" s="1"/>
  <c r="J1581" i="6"/>
  <c r="J1581" i="23" s="1"/>
  <c r="I1581" i="6"/>
  <c r="Q1581" i="23" s="1"/>
  <c r="H1581" i="6"/>
  <c r="G1581" i="6"/>
  <c r="F1581" i="6"/>
  <c r="E1581" i="6"/>
  <c r="N1580" i="6"/>
  <c r="M1580" i="6"/>
  <c r="M1580" i="23" s="1"/>
  <c r="L1580" i="6"/>
  <c r="K1580" i="6"/>
  <c r="P1580" i="23" s="1"/>
  <c r="R1580" i="23" s="1"/>
  <c r="Z1436" i="31" s="1"/>
  <c r="J1580" i="6"/>
  <c r="J1580" i="23" s="1"/>
  <c r="I1580" i="6"/>
  <c r="Q1580" i="23" s="1"/>
  <c r="H1580" i="6"/>
  <c r="G1580" i="6"/>
  <c r="F1580" i="6"/>
  <c r="E1580" i="6"/>
  <c r="T1580" i="6"/>
  <c r="E1580" i="19" s="1"/>
  <c r="T1581" i="6"/>
  <c r="E1581" i="19" s="1"/>
  <c r="T1582" i="6"/>
  <c r="E1582" i="19" s="1"/>
  <c r="T1583" i="6"/>
  <c r="E1583" i="19" s="1"/>
  <c r="T1584" i="6"/>
  <c r="E1584" i="19" s="1"/>
  <c r="T1585" i="6"/>
  <c r="E1585" i="19" s="1"/>
  <c r="T1579" i="6"/>
  <c r="E1579" i="19" s="1"/>
  <c r="N1579" i="6"/>
  <c r="N1578" i="6"/>
  <c r="M1579" i="6"/>
  <c r="M1579" i="23" s="1"/>
  <c r="M1578" i="6"/>
  <c r="M1578" i="23" s="1"/>
  <c r="L1579" i="6"/>
  <c r="L1578" i="6"/>
  <c r="K1579" i="6"/>
  <c r="P1579" i="23" s="1"/>
  <c r="K1578" i="6"/>
  <c r="P1578" i="23" s="1"/>
  <c r="J1579" i="6"/>
  <c r="J1579" i="23" s="1"/>
  <c r="J1578" i="6"/>
  <c r="J1578" i="23" s="1"/>
  <c r="I1579" i="6"/>
  <c r="Q1579" i="23" s="1"/>
  <c r="I1578" i="6"/>
  <c r="Q1578" i="23" s="1"/>
  <c r="H1579" i="6"/>
  <c r="H1578" i="6"/>
  <c r="G1579" i="6"/>
  <c r="G1578" i="6"/>
  <c r="F1579" i="6"/>
  <c r="F1578" i="6"/>
  <c r="E1579" i="6"/>
  <c r="E1578" i="6"/>
  <c r="N1563" i="6"/>
  <c r="M1563" i="6"/>
  <c r="M1563" i="23" s="1"/>
  <c r="L1563" i="6"/>
  <c r="K1563" i="6"/>
  <c r="P1563" i="23" s="1"/>
  <c r="J1563" i="6"/>
  <c r="J1563" i="23" s="1"/>
  <c r="I1563" i="6"/>
  <c r="Q1563" i="23" s="1"/>
  <c r="H1563" i="6"/>
  <c r="G1563" i="6"/>
  <c r="F1563" i="6"/>
  <c r="E1563" i="6"/>
  <c r="N1562" i="6"/>
  <c r="N1561" i="6"/>
  <c r="M1562" i="6"/>
  <c r="M1562" i="23" s="1"/>
  <c r="M1561" i="6"/>
  <c r="M1561" i="23" s="1"/>
  <c r="L1562" i="6"/>
  <c r="L1561" i="6"/>
  <c r="K1562" i="6"/>
  <c r="P1562" i="23" s="1"/>
  <c r="K1561" i="6"/>
  <c r="P1561" i="23" s="1"/>
  <c r="R1561" i="23" s="1"/>
  <c r="Z1419" i="31" s="1"/>
  <c r="J1562" i="6"/>
  <c r="J1562" i="23" s="1"/>
  <c r="J1561" i="6"/>
  <c r="J1561" i="23" s="1"/>
  <c r="I1562" i="6"/>
  <c r="Q1562" i="23" s="1"/>
  <c r="I1561" i="6"/>
  <c r="Q1561" i="23" s="1"/>
  <c r="H1562" i="6"/>
  <c r="H1561" i="6"/>
  <c r="G1562" i="6"/>
  <c r="G1561" i="6"/>
  <c r="F1562" i="6"/>
  <c r="F1561" i="6"/>
  <c r="E1562" i="6"/>
  <c r="E1561" i="6"/>
  <c r="N1560" i="6"/>
  <c r="M1560" i="6"/>
  <c r="M1560" i="23" s="1"/>
  <c r="L1560" i="6"/>
  <c r="K1560" i="6"/>
  <c r="P1560" i="23" s="1"/>
  <c r="R1560" i="23" s="1"/>
  <c r="Z1418" i="31" s="1"/>
  <c r="J1560" i="6"/>
  <c r="J1560" i="23" s="1"/>
  <c r="I1560" i="6"/>
  <c r="Q1560" i="23" s="1"/>
  <c r="H1560" i="6"/>
  <c r="G1560" i="6"/>
  <c r="F1560" i="6"/>
  <c r="E1560" i="6"/>
  <c r="T1558" i="6"/>
  <c r="E1558" i="19" s="1"/>
  <c r="T1559" i="6"/>
  <c r="E1559" i="19" s="1"/>
  <c r="T1560" i="6"/>
  <c r="E1560" i="19" s="1"/>
  <c r="T1561" i="6"/>
  <c r="E1561" i="19" s="1"/>
  <c r="T1562" i="6"/>
  <c r="E1562" i="19" s="1"/>
  <c r="T1563" i="6"/>
  <c r="E1563" i="19" s="1"/>
  <c r="N1559" i="6"/>
  <c r="N1558" i="6"/>
  <c r="M1559" i="6"/>
  <c r="M1559" i="23" s="1"/>
  <c r="M1558" i="6"/>
  <c r="M1558" i="23" s="1"/>
  <c r="L1559" i="6"/>
  <c r="L1558" i="6"/>
  <c r="K1559" i="6"/>
  <c r="P1559" i="23" s="1"/>
  <c r="K1558" i="6"/>
  <c r="P1558" i="23" s="1"/>
  <c r="J1559" i="6"/>
  <c r="J1559" i="23" s="1"/>
  <c r="J1558" i="6"/>
  <c r="J1558" i="23" s="1"/>
  <c r="I1559" i="6"/>
  <c r="Q1559" i="23" s="1"/>
  <c r="I1558" i="6"/>
  <c r="Q1558" i="23" s="1"/>
  <c r="H1559" i="6"/>
  <c r="H1558" i="6"/>
  <c r="G1559" i="6"/>
  <c r="G1558" i="6"/>
  <c r="F1559" i="6"/>
  <c r="F1558" i="6"/>
  <c r="E1559" i="6"/>
  <c r="E1558" i="6"/>
  <c r="T1556" i="6"/>
  <c r="E1556" i="19" s="1"/>
  <c r="N1556" i="6"/>
  <c r="M1556" i="6"/>
  <c r="M1556" i="23" s="1"/>
  <c r="L1556" i="6"/>
  <c r="K1556" i="6"/>
  <c r="P1556" i="23" s="1"/>
  <c r="R1556" i="23" s="1"/>
  <c r="Z1414" i="31" s="1"/>
  <c r="J1556" i="6"/>
  <c r="J1556" i="23" s="1"/>
  <c r="I1556" i="6"/>
  <c r="Q1556" i="23" s="1"/>
  <c r="H1556" i="6"/>
  <c r="G1556" i="6"/>
  <c r="F1556" i="6"/>
  <c r="E1556" i="6"/>
  <c r="V1541" i="6"/>
  <c r="E1541" i="28" s="1"/>
  <c r="X1541" i="6"/>
  <c r="E1541" i="29" s="1"/>
  <c r="T1401" i="31" s="1"/>
  <c r="N1541" i="6"/>
  <c r="M1541" i="6"/>
  <c r="M1541" i="23" s="1"/>
  <c r="L1541" i="6"/>
  <c r="K1541" i="6"/>
  <c r="P1541" i="23" s="1"/>
  <c r="J1541" i="6"/>
  <c r="J1541" i="23" s="1"/>
  <c r="I1541" i="6"/>
  <c r="Q1541" i="23" s="1"/>
  <c r="H1541" i="6"/>
  <c r="G1541" i="6"/>
  <c r="F1541" i="6"/>
  <c r="E1541" i="6"/>
  <c r="X1540" i="6"/>
  <c r="E1540" i="29" s="1"/>
  <c r="T1400" i="31" s="1"/>
  <c r="V1540" i="6"/>
  <c r="E1540" i="28" s="1"/>
  <c r="E1462" i="23" l="1"/>
  <c r="E1462" i="8"/>
  <c r="E977" i="23"/>
  <c r="E977" i="8"/>
  <c r="E1461" i="23"/>
  <c r="E1461" i="8"/>
  <c r="E972" i="23"/>
  <c r="E972" i="8"/>
  <c r="F1541" i="23"/>
  <c r="F1541" i="8"/>
  <c r="H1556" i="23"/>
  <c r="K1556" i="23" s="1"/>
  <c r="N1556" i="23" s="1"/>
  <c r="E1556" i="20"/>
  <c r="U1414" i="31" s="1"/>
  <c r="E1559" i="23"/>
  <c r="E1559" i="8"/>
  <c r="F1559" i="23"/>
  <c r="F1559" i="8"/>
  <c r="E1560" i="23"/>
  <c r="E1560" i="8"/>
  <c r="E1562" i="23"/>
  <c r="E1562" i="8"/>
  <c r="F1562" i="23"/>
  <c r="F1562" i="8"/>
  <c r="F1563" i="23"/>
  <c r="F1563" i="8"/>
  <c r="H1579" i="23"/>
  <c r="K1579" i="23" s="1"/>
  <c r="N1579" i="23" s="1"/>
  <c r="O1579" i="23" s="1"/>
  <c r="Y1435" i="31" s="1"/>
  <c r="E1579" i="20"/>
  <c r="U1435" i="31" s="1"/>
  <c r="R1579" i="23"/>
  <c r="Z1435" i="31" s="1"/>
  <c r="H1580" i="23"/>
  <c r="K1580" i="23" s="1"/>
  <c r="N1580" i="23" s="1"/>
  <c r="E1580" i="20"/>
  <c r="U1436" i="31" s="1"/>
  <c r="H1582" i="23"/>
  <c r="K1582" i="23" s="1"/>
  <c r="N1582" i="23" s="1"/>
  <c r="E1582" i="20"/>
  <c r="U1438" i="31" s="1"/>
  <c r="H1584" i="23"/>
  <c r="K1584" i="23" s="1"/>
  <c r="N1584" i="23" s="1"/>
  <c r="E1584" i="20"/>
  <c r="U1440" i="31" s="1"/>
  <c r="H1471" i="23"/>
  <c r="K1471" i="23" s="1"/>
  <c r="N1471" i="23" s="1"/>
  <c r="E1471" i="20"/>
  <c r="U1337" i="31" s="1"/>
  <c r="R1471" i="23"/>
  <c r="Z1337" i="31" s="1"/>
  <c r="O1471" i="23"/>
  <c r="Y1337" i="31" s="1"/>
  <c r="H1473" i="23"/>
  <c r="K1473" i="23" s="1"/>
  <c r="N1473" i="23" s="1"/>
  <c r="E1473" i="20"/>
  <c r="U1339" i="31" s="1"/>
  <c r="H1475" i="23"/>
  <c r="K1475" i="23" s="1"/>
  <c r="N1475" i="23" s="1"/>
  <c r="E1475" i="20"/>
  <c r="U1341" i="31" s="1"/>
  <c r="E1456" i="23"/>
  <c r="E1456" i="8"/>
  <c r="E1457" i="23"/>
  <c r="E1457" i="8"/>
  <c r="E1458" i="23"/>
  <c r="E1458" i="8"/>
  <c r="E1459" i="23"/>
  <c r="E1459" i="8"/>
  <c r="E1460" i="23"/>
  <c r="E1460" i="8"/>
  <c r="H1461" i="23"/>
  <c r="K1461" i="23" s="1"/>
  <c r="N1461" i="23" s="1"/>
  <c r="E1461" i="20"/>
  <c r="U1328" i="31" s="1"/>
  <c r="R1461" i="23"/>
  <c r="Z1328" i="31" s="1"/>
  <c r="P1328" i="31"/>
  <c r="S1328" i="31"/>
  <c r="F1463" i="23"/>
  <c r="F1463" i="8"/>
  <c r="E1464" i="23"/>
  <c r="E1464" i="8"/>
  <c r="E1445" i="23"/>
  <c r="E1445" i="8"/>
  <c r="F1445" i="23"/>
  <c r="F1445" i="8"/>
  <c r="H1447" i="23"/>
  <c r="K1447" i="23" s="1"/>
  <c r="N1447" i="23" s="1"/>
  <c r="E1447" i="20"/>
  <c r="U1315" i="31" s="1"/>
  <c r="H1449" i="23"/>
  <c r="K1449" i="23" s="1"/>
  <c r="N1449" i="23" s="1"/>
  <c r="E1449" i="20"/>
  <c r="U1317" i="31" s="1"/>
  <c r="H1451" i="23"/>
  <c r="K1451" i="23" s="1"/>
  <c r="N1451" i="23" s="1"/>
  <c r="E1451" i="20"/>
  <c r="U1319" i="31" s="1"/>
  <c r="H1453" i="23"/>
  <c r="K1453" i="23" s="1"/>
  <c r="N1453" i="23" s="1"/>
  <c r="E1453" i="20"/>
  <c r="U1321" i="31" s="1"/>
  <c r="H1433" i="23"/>
  <c r="K1433" i="23" s="1"/>
  <c r="N1433" i="23" s="1"/>
  <c r="E1433" i="20"/>
  <c r="U1302" i="31" s="1"/>
  <c r="R1433" i="23"/>
  <c r="Z1302" i="31" s="1"/>
  <c r="O1433" i="23"/>
  <c r="Y1302" i="31" s="1"/>
  <c r="H1436" i="23"/>
  <c r="K1436" i="23" s="1"/>
  <c r="N1436" i="23" s="1"/>
  <c r="E1436" i="20"/>
  <c r="U1305" i="31" s="1"/>
  <c r="H1438" i="23"/>
  <c r="K1438" i="23" s="1"/>
  <c r="N1438" i="23" s="1"/>
  <c r="E1438" i="20"/>
  <c r="U1307" i="31" s="1"/>
  <c r="H1440" i="23"/>
  <c r="K1440" i="23" s="1"/>
  <c r="N1440" i="23" s="1"/>
  <c r="E1440" i="20"/>
  <c r="U1309" i="31" s="1"/>
  <c r="E1441" i="23"/>
  <c r="E1441" i="8"/>
  <c r="E1442" i="20"/>
  <c r="U1311" i="31" s="1"/>
  <c r="H1442" i="23"/>
  <c r="K1442" i="23" s="1"/>
  <c r="N1442" i="23" s="1"/>
  <c r="E1412" i="23"/>
  <c r="G1412" i="23" s="1"/>
  <c r="E1412" i="8"/>
  <c r="F1412" i="23"/>
  <c r="F1412" i="8"/>
  <c r="F1413" i="23"/>
  <c r="F1413" i="8"/>
  <c r="E1414" i="23"/>
  <c r="E1414" i="8"/>
  <c r="F1415" i="23"/>
  <c r="F1415" i="8"/>
  <c r="H1417" i="23"/>
  <c r="K1417" i="23" s="1"/>
  <c r="N1417" i="23" s="1"/>
  <c r="E1417" i="20"/>
  <c r="U1288" i="31" s="1"/>
  <c r="H1419" i="23"/>
  <c r="K1419" i="23" s="1"/>
  <c r="N1419" i="23" s="1"/>
  <c r="E1419" i="20"/>
  <c r="U1290" i="31" s="1"/>
  <c r="E1390" i="23"/>
  <c r="E1390" i="8"/>
  <c r="H1392" i="23"/>
  <c r="K1392" i="23" s="1"/>
  <c r="N1392" i="23" s="1"/>
  <c r="E1392" i="20"/>
  <c r="U1265" i="31" s="1"/>
  <c r="H1393" i="23"/>
  <c r="K1393" i="23" s="1"/>
  <c r="N1393" i="23" s="1"/>
  <c r="E1393" i="20"/>
  <c r="U1266" i="31" s="1"/>
  <c r="R1393" i="23"/>
  <c r="Z1266" i="31" s="1"/>
  <c r="P1266" i="31"/>
  <c r="S1266" i="31"/>
  <c r="E1394" i="20"/>
  <c r="U1267" i="31" s="1"/>
  <c r="H1394" i="23"/>
  <c r="K1394" i="23" s="1"/>
  <c r="N1394" i="23" s="1"/>
  <c r="R1394" i="23"/>
  <c r="Z1267" i="31" s="1"/>
  <c r="E1395" i="23"/>
  <c r="E1395" i="8"/>
  <c r="H1396" i="23"/>
  <c r="K1396" i="23" s="1"/>
  <c r="N1396" i="23" s="1"/>
  <c r="E1396" i="20"/>
  <c r="U1269" i="31" s="1"/>
  <c r="R1396" i="23"/>
  <c r="Z1269" i="31" s="1"/>
  <c r="S1269" i="31"/>
  <c r="P1269" i="31"/>
  <c r="E1397" i="23"/>
  <c r="E1397" i="8"/>
  <c r="E1398" i="23"/>
  <c r="E1398" i="8"/>
  <c r="H1239" i="23"/>
  <c r="K1239" i="23" s="1"/>
  <c r="N1239" i="23" s="1"/>
  <c r="E1239" i="20"/>
  <c r="U1126" i="31" s="1"/>
  <c r="R1239" i="23"/>
  <c r="Z1126" i="31" s="1"/>
  <c r="O1239" i="23"/>
  <c r="Y1126" i="31" s="1"/>
  <c r="F1240" i="23"/>
  <c r="F1240" i="8"/>
  <c r="E1241" i="23"/>
  <c r="E1241" i="8"/>
  <c r="F1242" i="23"/>
  <c r="F1242" i="8"/>
  <c r="E1243" i="23"/>
  <c r="E1243" i="8"/>
  <c r="F1244" i="23"/>
  <c r="F1244" i="8"/>
  <c r="E1191" i="23"/>
  <c r="E1191" i="8"/>
  <c r="P1082" i="31"/>
  <c r="S1082" i="31"/>
  <c r="H1160" i="23"/>
  <c r="K1160" i="23" s="1"/>
  <c r="N1160" i="23" s="1"/>
  <c r="E1160" i="20"/>
  <c r="U1054" i="31" s="1"/>
  <c r="F1161" i="23"/>
  <c r="F1161" i="8"/>
  <c r="E1162" i="23"/>
  <c r="E1162" i="8"/>
  <c r="E1164" i="23"/>
  <c r="E1164" i="8"/>
  <c r="F1165" i="23"/>
  <c r="F1165" i="8"/>
  <c r="E1166" i="23"/>
  <c r="E1166" i="8"/>
  <c r="F1167" i="23"/>
  <c r="F1167" i="8"/>
  <c r="E762" i="23"/>
  <c r="E762" i="8"/>
  <c r="S693" i="31"/>
  <c r="P693" i="31"/>
  <c r="H764" i="23"/>
  <c r="K764" i="23" s="1"/>
  <c r="N764" i="23" s="1"/>
  <c r="E764" i="20"/>
  <c r="U694" i="31" s="1"/>
  <c r="P694" i="31"/>
  <c r="S694" i="31"/>
  <c r="H765" i="23"/>
  <c r="K765" i="23" s="1"/>
  <c r="N765" i="23" s="1"/>
  <c r="E765" i="20"/>
  <c r="U695" i="31" s="1"/>
  <c r="P695" i="31"/>
  <c r="S695" i="31"/>
  <c r="E766" i="20"/>
  <c r="U696" i="31" s="1"/>
  <c r="H766" i="23"/>
  <c r="K766" i="23" s="1"/>
  <c r="N766" i="23" s="1"/>
  <c r="P696" i="31"/>
  <c r="S696" i="31"/>
  <c r="H767" i="23"/>
  <c r="K767" i="23" s="1"/>
  <c r="N767" i="23" s="1"/>
  <c r="E767" i="20"/>
  <c r="U697" i="31" s="1"/>
  <c r="S697" i="31"/>
  <c r="P697" i="31"/>
  <c r="H768" i="23"/>
  <c r="K768" i="23" s="1"/>
  <c r="N768" i="23" s="1"/>
  <c r="E768" i="20"/>
  <c r="U698" i="31" s="1"/>
  <c r="H769" i="23"/>
  <c r="K769" i="23" s="1"/>
  <c r="N769" i="23" s="1"/>
  <c r="E769" i="20"/>
  <c r="U699" i="31" s="1"/>
  <c r="P699" i="31"/>
  <c r="S699" i="31"/>
  <c r="H770" i="23"/>
  <c r="K770" i="23" s="1"/>
  <c r="N770" i="23" s="1"/>
  <c r="E770" i="20"/>
  <c r="U700" i="31" s="1"/>
  <c r="P700" i="31"/>
  <c r="S700" i="31"/>
  <c r="H771" i="23"/>
  <c r="K771" i="23" s="1"/>
  <c r="N771" i="23" s="1"/>
  <c r="E771" i="20"/>
  <c r="U701" i="31" s="1"/>
  <c r="H971" i="23"/>
  <c r="K971" i="23" s="1"/>
  <c r="N971" i="23" s="1"/>
  <c r="E971" i="20"/>
  <c r="U882" i="31" s="1"/>
  <c r="R971" i="23"/>
  <c r="Z882" i="31" s="1"/>
  <c r="P883" i="31"/>
  <c r="S883" i="31"/>
  <c r="H973" i="23"/>
  <c r="K973" i="23" s="1"/>
  <c r="N973" i="23" s="1"/>
  <c r="E973" i="20"/>
  <c r="U884" i="31" s="1"/>
  <c r="R973" i="23"/>
  <c r="Z884" i="31" s="1"/>
  <c r="P884" i="31"/>
  <c r="S884" i="31"/>
  <c r="H974" i="23"/>
  <c r="K974" i="23" s="1"/>
  <c r="N974" i="23" s="1"/>
  <c r="E974" i="20"/>
  <c r="U885" i="31" s="1"/>
  <c r="R974" i="23"/>
  <c r="Z885" i="31" s="1"/>
  <c r="S885" i="31"/>
  <c r="P885" i="31"/>
  <c r="H975" i="23"/>
  <c r="K975" i="23" s="1"/>
  <c r="N975" i="23" s="1"/>
  <c r="E975" i="20"/>
  <c r="U886" i="31" s="1"/>
  <c r="R975" i="23"/>
  <c r="Z886" i="31" s="1"/>
  <c r="P886" i="31"/>
  <c r="S886" i="31"/>
  <c r="H976" i="23"/>
  <c r="K976" i="23" s="1"/>
  <c r="N976" i="23" s="1"/>
  <c r="E976" i="20"/>
  <c r="U887" i="31" s="1"/>
  <c r="R976" i="23"/>
  <c r="Z887" i="31" s="1"/>
  <c r="P887" i="31"/>
  <c r="S887" i="31"/>
  <c r="H978" i="23"/>
  <c r="K978" i="23" s="1"/>
  <c r="N978" i="23" s="1"/>
  <c r="E978" i="20"/>
  <c r="U889" i="31" s="1"/>
  <c r="R978" i="23"/>
  <c r="Z889" i="31" s="1"/>
  <c r="H979" i="23"/>
  <c r="K979" i="23" s="1"/>
  <c r="N979" i="23" s="1"/>
  <c r="E979" i="20"/>
  <c r="U890" i="31" s="1"/>
  <c r="R979" i="23"/>
  <c r="Z890" i="31" s="1"/>
  <c r="P890" i="31"/>
  <c r="S890" i="31"/>
  <c r="H980" i="23"/>
  <c r="K980" i="23" s="1"/>
  <c r="N980" i="23" s="1"/>
  <c r="E980" i="20"/>
  <c r="U891" i="31" s="1"/>
  <c r="R980" i="23"/>
  <c r="Z891" i="31" s="1"/>
  <c r="P891" i="31"/>
  <c r="S891" i="31"/>
  <c r="H1004" i="23"/>
  <c r="K1004" i="23" s="1"/>
  <c r="N1004" i="23" s="1"/>
  <c r="E1004" i="20"/>
  <c r="U912" i="31" s="1"/>
  <c r="E1005" i="23"/>
  <c r="E1005" i="8"/>
  <c r="F1006" i="23"/>
  <c r="F1006" i="8"/>
  <c r="E1007" i="23"/>
  <c r="E1007" i="8"/>
  <c r="F1008" i="23"/>
  <c r="F1008" i="8"/>
  <c r="E1009" i="23"/>
  <c r="E1009" i="8"/>
  <c r="F1010" i="23"/>
  <c r="F1010" i="8"/>
  <c r="W1010" i="6"/>
  <c r="H1011" i="23"/>
  <c r="K1011" i="23" s="1"/>
  <c r="N1011" i="23" s="1"/>
  <c r="E1011" i="20"/>
  <c r="U919" i="31" s="1"/>
  <c r="P919" i="31"/>
  <c r="S919" i="31"/>
  <c r="H1012" i="23"/>
  <c r="K1012" i="23" s="1"/>
  <c r="N1012" i="23" s="1"/>
  <c r="E1012" i="20"/>
  <c r="U920" i="31" s="1"/>
  <c r="P920" i="31"/>
  <c r="S920" i="31"/>
  <c r="H1013" i="23"/>
  <c r="K1013" i="23" s="1"/>
  <c r="N1013" i="23" s="1"/>
  <c r="E1013" i="20"/>
  <c r="U921" i="31" s="1"/>
  <c r="S921" i="31"/>
  <c r="P921" i="31"/>
  <c r="F1015" i="23"/>
  <c r="F1015" i="8"/>
  <c r="F1016" i="23"/>
  <c r="F1016" i="8"/>
  <c r="H1018" i="23"/>
  <c r="K1018" i="23" s="1"/>
  <c r="N1018" i="23" s="1"/>
  <c r="E1018" i="20"/>
  <c r="U925" i="31" s="1"/>
  <c r="F1019" i="23"/>
  <c r="F1019" i="8"/>
  <c r="E1020" i="23"/>
  <c r="E1020" i="8"/>
  <c r="F1021" i="23"/>
  <c r="F1021" i="8"/>
  <c r="E1022" i="23"/>
  <c r="E1022" i="8"/>
  <c r="F1023" i="23"/>
  <c r="F1023" i="8"/>
  <c r="E1024" i="23"/>
  <c r="E1024" i="8"/>
  <c r="F1279" i="23"/>
  <c r="F1279" i="8"/>
  <c r="E1281" i="23"/>
  <c r="E1281" i="8"/>
  <c r="F1282" i="23"/>
  <c r="F1282" i="8"/>
  <c r="E1283" i="23"/>
  <c r="E1283" i="8"/>
  <c r="F1284" i="23"/>
  <c r="F1284" i="8"/>
  <c r="E1285" i="23"/>
  <c r="E1285" i="8"/>
  <c r="F1286" i="23"/>
  <c r="F1286" i="8"/>
  <c r="E1287" i="23"/>
  <c r="E1287" i="8"/>
  <c r="F1288" i="23"/>
  <c r="F1288" i="8"/>
  <c r="H1293" i="23"/>
  <c r="K1293" i="23" s="1"/>
  <c r="N1293" i="23" s="1"/>
  <c r="O1293" i="23" s="1"/>
  <c r="Y1175" i="31" s="1"/>
  <c r="E1293" i="20"/>
  <c r="U1175" i="31" s="1"/>
  <c r="R1293" i="23"/>
  <c r="Z1175" i="31" s="1"/>
  <c r="H1295" i="23"/>
  <c r="K1295" i="23" s="1"/>
  <c r="N1295" i="23" s="1"/>
  <c r="E1295" i="20"/>
  <c r="U1177" i="31" s="1"/>
  <c r="R1295" i="23"/>
  <c r="Z1177" i="31" s="1"/>
  <c r="W971" i="31"/>
  <c r="S1068" i="23"/>
  <c r="AA971" i="31" s="1"/>
  <c r="W1201" i="31"/>
  <c r="S1321" i="23"/>
  <c r="AA1201" i="31" s="1"/>
  <c r="W1193" i="31"/>
  <c r="S1313" i="23"/>
  <c r="AA1193" i="31" s="1"/>
  <c r="W1300" i="31"/>
  <c r="S1430" i="23"/>
  <c r="AA1300" i="31" s="1"/>
  <c r="W968" i="31"/>
  <c r="S1065" i="23"/>
  <c r="AA968" i="31" s="1"/>
  <c r="W772" i="31"/>
  <c r="S850" i="23"/>
  <c r="AA772" i="31" s="1"/>
  <c r="G1431" i="23"/>
  <c r="I1431" i="23" s="1"/>
  <c r="S743" i="23"/>
  <c r="AA675" i="31" s="1"/>
  <c r="L1430" i="23"/>
  <c r="X1300" i="31" s="1"/>
  <c r="W779" i="31"/>
  <c r="S857" i="23"/>
  <c r="AA779" i="31" s="1"/>
  <c r="W969" i="31"/>
  <c r="S1066" i="23"/>
  <c r="AA969" i="31" s="1"/>
  <c r="L1426" i="23"/>
  <c r="X1296" i="31" s="1"/>
  <c r="G1426" i="23"/>
  <c r="I1426" i="23" s="1"/>
  <c r="L1384" i="23"/>
  <c r="X1258" i="31" s="1"/>
  <c r="L1379" i="23"/>
  <c r="X1253" i="31" s="1"/>
  <c r="G1362" i="8"/>
  <c r="E1238" i="31" s="1"/>
  <c r="G1360" i="23"/>
  <c r="I1360" i="23" s="1"/>
  <c r="L1358" i="23"/>
  <c r="X1234" i="31" s="1"/>
  <c r="L1320" i="23"/>
  <c r="X1200" i="31" s="1"/>
  <c r="G1316" i="23"/>
  <c r="I1316" i="23" s="1"/>
  <c r="G1314" i="8"/>
  <c r="E1194" i="31" s="1"/>
  <c r="S745" i="23"/>
  <c r="AA677" i="31" s="1"/>
  <c r="L1428" i="23"/>
  <c r="X1298" i="31" s="1"/>
  <c r="G1365" i="23"/>
  <c r="I1365" i="23" s="1"/>
  <c r="G1363" i="23"/>
  <c r="I1363" i="23" s="1"/>
  <c r="G1381" i="8"/>
  <c r="E1255" i="31" s="1"/>
  <c r="G1358" i="8"/>
  <c r="E1234" i="31" s="1"/>
  <c r="G1383" i="8"/>
  <c r="E1257" i="31" s="1"/>
  <c r="G1384" i="8"/>
  <c r="E1258" i="31" s="1"/>
  <c r="H1560" i="23"/>
  <c r="K1560" i="23" s="1"/>
  <c r="N1560" i="23" s="1"/>
  <c r="E1560" i="20"/>
  <c r="U1418" i="31" s="1"/>
  <c r="F1582" i="23"/>
  <c r="F1582" i="8"/>
  <c r="E1473" i="23"/>
  <c r="E1473" i="8"/>
  <c r="H1474" i="23"/>
  <c r="K1474" i="23" s="1"/>
  <c r="N1474" i="23" s="1"/>
  <c r="O1474" i="23" s="1"/>
  <c r="Y1340" i="31" s="1"/>
  <c r="E1474" i="20"/>
  <c r="U1340" i="31" s="1"/>
  <c r="P1324" i="31"/>
  <c r="S1324" i="31"/>
  <c r="H1458" i="23"/>
  <c r="K1458" i="23" s="1"/>
  <c r="N1458" i="23" s="1"/>
  <c r="E1458" i="20"/>
  <c r="U1325" i="31" s="1"/>
  <c r="S1325" i="31"/>
  <c r="P1325" i="31"/>
  <c r="H1459" i="23"/>
  <c r="K1459" i="23" s="1"/>
  <c r="N1459" i="23" s="1"/>
  <c r="E1459" i="20"/>
  <c r="U1326" i="31" s="1"/>
  <c r="P1326" i="31"/>
  <c r="S1326" i="31"/>
  <c r="H1460" i="23"/>
  <c r="K1460" i="23" s="1"/>
  <c r="N1460" i="23" s="1"/>
  <c r="E1460" i="20"/>
  <c r="U1327" i="31" s="1"/>
  <c r="P1327" i="31"/>
  <c r="S1327" i="31"/>
  <c r="F1462" i="23"/>
  <c r="F1462" i="8"/>
  <c r="E1463" i="23"/>
  <c r="G1463" i="23" s="1"/>
  <c r="E1463" i="8"/>
  <c r="G1463" i="8" s="1"/>
  <c r="E1330" i="31" s="1"/>
  <c r="H1464" i="23"/>
  <c r="K1464" i="23" s="1"/>
  <c r="N1464" i="23" s="1"/>
  <c r="E1464" i="20"/>
  <c r="U1331" i="31" s="1"/>
  <c r="P1331" i="31"/>
  <c r="S1331" i="31"/>
  <c r="E1446" i="23"/>
  <c r="E1446" i="8"/>
  <c r="F1446" i="23"/>
  <c r="F1446" i="8"/>
  <c r="F1447" i="23"/>
  <c r="F1447" i="8"/>
  <c r="E1448" i="23"/>
  <c r="E1448" i="8"/>
  <c r="F1449" i="23"/>
  <c r="F1449" i="8"/>
  <c r="E1450" i="23"/>
  <c r="E1450" i="8"/>
  <c r="F1451" i="23"/>
  <c r="F1451" i="8"/>
  <c r="E1452" i="23"/>
  <c r="E1452" i="8"/>
  <c r="F1453" i="23"/>
  <c r="F1453" i="8"/>
  <c r="H1434" i="23"/>
  <c r="K1434" i="23" s="1"/>
  <c r="N1434" i="23" s="1"/>
  <c r="O1434" i="23" s="1"/>
  <c r="Y1303" i="31" s="1"/>
  <c r="E1434" i="20"/>
  <c r="U1303" i="31" s="1"/>
  <c r="R1434" i="23"/>
  <c r="Z1303" i="31" s="1"/>
  <c r="E1435" i="23"/>
  <c r="E1435" i="8"/>
  <c r="F1436" i="23"/>
  <c r="F1436" i="8"/>
  <c r="E1437" i="23"/>
  <c r="E1437" i="8"/>
  <c r="F1438" i="23"/>
  <c r="F1438" i="8"/>
  <c r="E1439" i="23"/>
  <c r="E1439" i="8"/>
  <c r="F1440" i="23"/>
  <c r="F1440" i="8"/>
  <c r="H1441" i="23"/>
  <c r="K1441" i="23" s="1"/>
  <c r="N1441" i="23" s="1"/>
  <c r="E1441" i="20"/>
  <c r="U1310" i="31" s="1"/>
  <c r="F1442" i="23"/>
  <c r="F1442" i="8"/>
  <c r="H1411" i="23"/>
  <c r="K1411" i="23" s="1"/>
  <c r="N1411" i="23" s="1"/>
  <c r="O1411" i="23" s="1"/>
  <c r="Y1282" i="31" s="1"/>
  <c r="E1411" i="20"/>
  <c r="U1282" i="31" s="1"/>
  <c r="R1411" i="23"/>
  <c r="Z1282" i="31" s="1"/>
  <c r="E1413" i="23"/>
  <c r="G1413" i="23" s="1"/>
  <c r="E1413" i="8"/>
  <c r="G1413" i="8" s="1"/>
  <c r="E1284" i="31" s="1"/>
  <c r="E1416" i="23"/>
  <c r="E1416" i="8"/>
  <c r="F1417" i="23"/>
  <c r="F1417" i="8"/>
  <c r="E1418" i="23"/>
  <c r="E1418" i="8"/>
  <c r="F1419" i="23"/>
  <c r="F1419" i="8"/>
  <c r="E1420" i="23"/>
  <c r="E1420" i="8"/>
  <c r="E1391" i="23"/>
  <c r="E1391" i="8"/>
  <c r="F1390" i="23"/>
  <c r="F1390" i="8"/>
  <c r="P1264" i="31"/>
  <c r="S1264" i="31"/>
  <c r="O1392" i="23"/>
  <c r="Y1265" i="31" s="1"/>
  <c r="R1392" i="23"/>
  <c r="Z1265" i="31" s="1"/>
  <c r="P1267" i="31"/>
  <c r="S1267" i="31"/>
  <c r="H1395" i="23"/>
  <c r="K1395" i="23" s="1"/>
  <c r="N1395" i="23" s="1"/>
  <c r="E1395" i="20"/>
  <c r="U1268" i="31" s="1"/>
  <c r="P1268" i="31"/>
  <c r="S1268" i="31"/>
  <c r="H1397" i="23"/>
  <c r="K1397" i="23" s="1"/>
  <c r="N1397" i="23" s="1"/>
  <c r="E1397" i="20"/>
  <c r="U1270" i="31" s="1"/>
  <c r="P1270" i="31"/>
  <c r="S1270" i="31"/>
  <c r="H1398" i="23"/>
  <c r="K1398" i="23" s="1"/>
  <c r="N1398" i="23" s="1"/>
  <c r="E1398" i="20"/>
  <c r="U1271" i="31" s="1"/>
  <c r="P1271" i="31"/>
  <c r="S1271" i="31"/>
  <c r="E1238" i="23"/>
  <c r="G1238" i="23" s="1"/>
  <c r="E1238" i="8"/>
  <c r="G1238" i="8" s="1"/>
  <c r="E1125" i="31" s="1"/>
  <c r="F1238" i="23"/>
  <c r="F1238" i="8"/>
  <c r="H1241" i="23"/>
  <c r="K1241" i="23" s="1"/>
  <c r="N1241" i="23" s="1"/>
  <c r="E1241" i="20"/>
  <c r="U1128" i="31" s="1"/>
  <c r="H1243" i="23"/>
  <c r="K1243" i="23" s="1"/>
  <c r="N1243" i="23" s="1"/>
  <c r="E1243" i="20"/>
  <c r="U1130" i="31" s="1"/>
  <c r="H1191" i="23"/>
  <c r="K1191" i="23" s="1"/>
  <c r="N1191" i="23" s="1"/>
  <c r="O1191" i="23" s="1"/>
  <c r="Y1082" i="31" s="1"/>
  <c r="E1191" i="20"/>
  <c r="U1082" i="31" s="1"/>
  <c r="E1192" i="23"/>
  <c r="E1192" i="8"/>
  <c r="E1193" i="23"/>
  <c r="E1193" i="8"/>
  <c r="E1194" i="23"/>
  <c r="E1194" i="8"/>
  <c r="E1195" i="23"/>
  <c r="E1195" i="8"/>
  <c r="E1196" i="23"/>
  <c r="E1196" i="8"/>
  <c r="E1197" i="23"/>
  <c r="E1197" i="8"/>
  <c r="E1198" i="23"/>
  <c r="E1198" i="8"/>
  <c r="E1199" i="23"/>
  <c r="E1199" i="8"/>
  <c r="E1200" i="23"/>
  <c r="E1200" i="8"/>
  <c r="E1158" i="23"/>
  <c r="E1158" i="8"/>
  <c r="F1159" i="23"/>
  <c r="F1159" i="8"/>
  <c r="F1160" i="23"/>
  <c r="F1160" i="8"/>
  <c r="H1162" i="23"/>
  <c r="K1162" i="23" s="1"/>
  <c r="N1162" i="23" s="1"/>
  <c r="E1162" i="20"/>
  <c r="U1056" i="31" s="1"/>
  <c r="E1163" i="23"/>
  <c r="E1163" i="8"/>
  <c r="H1164" i="23"/>
  <c r="K1164" i="23" s="1"/>
  <c r="N1164" i="23" s="1"/>
  <c r="E1164" i="20"/>
  <c r="U1058" i="31" s="1"/>
  <c r="H1166" i="23"/>
  <c r="K1166" i="23" s="1"/>
  <c r="N1166" i="23" s="1"/>
  <c r="E1166" i="20"/>
  <c r="U1060" i="31" s="1"/>
  <c r="H762" i="23"/>
  <c r="K762" i="23" s="1"/>
  <c r="N762" i="23" s="1"/>
  <c r="E762" i="20"/>
  <c r="U692" i="31" s="1"/>
  <c r="E763" i="23"/>
  <c r="E763" i="8"/>
  <c r="F764" i="23"/>
  <c r="F764" i="8"/>
  <c r="F765" i="23"/>
  <c r="F765" i="8"/>
  <c r="F766" i="23"/>
  <c r="F766" i="8"/>
  <c r="F767" i="23"/>
  <c r="F767" i="8"/>
  <c r="F768" i="23"/>
  <c r="F768" i="8"/>
  <c r="P698" i="31"/>
  <c r="S698" i="31"/>
  <c r="F769" i="23"/>
  <c r="F769" i="8"/>
  <c r="F770" i="23"/>
  <c r="F770" i="8"/>
  <c r="F771" i="23"/>
  <c r="F771" i="8"/>
  <c r="S701" i="31"/>
  <c r="P701" i="31"/>
  <c r="F972" i="23"/>
  <c r="F972" i="8"/>
  <c r="F977" i="23"/>
  <c r="F977" i="8"/>
  <c r="S889" i="31"/>
  <c r="P889" i="31"/>
  <c r="F1004" i="23"/>
  <c r="F1004" i="8"/>
  <c r="H1005" i="23"/>
  <c r="K1005" i="23" s="1"/>
  <c r="N1005" i="23" s="1"/>
  <c r="E1005" i="20"/>
  <c r="U913" i="31" s="1"/>
  <c r="H1007" i="23"/>
  <c r="K1007" i="23" s="1"/>
  <c r="N1007" i="23" s="1"/>
  <c r="E1007" i="20"/>
  <c r="U915" i="31" s="1"/>
  <c r="H1009" i="23"/>
  <c r="K1009" i="23" s="1"/>
  <c r="N1009" i="23" s="1"/>
  <c r="E1009" i="20"/>
  <c r="U917" i="31" s="1"/>
  <c r="F1011" i="23"/>
  <c r="F1011" i="8"/>
  <c r="F1012" i="23"/>
  <c r="F1012" i="8"/>
  <c r="F1013" i="23"/>
  <c r="F1013" i="8"/>
  <c r="H1015" i="23"/>
  <c r="K1015" i="23" s="1"/>
  <c r="N1015" i="23" s="1"/>
  <c r="E1015" i="20"/>
  <c r="U922" i="31" s="1"/>
  <c r="E1017" i="23"/>
  <c r="E1017" i="8"/>
  <c r="F1018" i="23"/>
  <c r="F1018" i="8"/>
  <c r="H1020" i="23"/>
  <c r="K1020" i="23" s="1"/>
  <c r="N1020" i="23" s="1"/>
  <c r="E1020" i="20"/>
  <c r="U927" i="31" s="1"/>
  <c r="H1022" i="23"/>
  <c r="K1022" i="23" s="1"/>
  <c r="N1022" i="23" s="1"/>
  <c r="E1022" i="20"/>
  <c r="U929" i="31" s="1"/>
  <c r="H1024" i="23"/>
  <c r="K1024" i="23" s="1"/>
  <c r="N1024" i="23" s="1"/>
  <c r="E1024" i="20"/>
  <c r="U931" i="31" s="1"/>
  <c r="E1280" i="23"/>
  <c r="E1280" i="8"/>
  <c r="H1281" i="23"/>
  <c r="K1281" i="23" s="1"/>
  <c r="N1281" i="23" s="1"/>
  <c r="E1281" i="20"/>
  <c r="U1164" i="31" s="1"/>
  <c r="H1283" i="23"/>
  <c r="K1283" i="23" s="1"/>
  <c r="N1283" i="23" s="1"/>
  <c r="E1283" i="20"/>
  <c r="U1166" i="31" s="1"/>
  <c r="H1285" i="23"/>
  <c r="K1285" i="23" s="1"/>
  <c r="N1285" i="23" s="1"/>
  <c r="E1285" i="20"/>
  <c r="U1168" i="31" s="1"/>
  <c r="H1287" i="23"/>
  <c r="K1287" i="23" s="1"/>
  <c r="N1287" i="23" s="1"/>
  <c r="E1287" i="20"/>
  <c r="U1170" i="31" s="1"/>
  <c r="H1294" i="23"/>
  <c r="K1294" i="23" s="1"/>
  <c r="N1294" i="23" s="1"/>
  <c r="E1294" i="20"/>
  <c r="U1176" i="31" s="1"/>
  <c r="R1294" i="23"/>
  <c r="Z1176" i="31" s="1"/>
  <c r="O1294" i="23"/>
  <c r="Y1176" i="31" s="1"/>
  <c r="F1295" i="23"/>
  <c r="F1295" i="8"/>
  <c r="E1296" i="23"/>
  <c r="E1296" i="8"/>
  <c r="E1297" i="23"/>
  <c r="E1297" i="8"/>
  <c r="E1298" i="23"/>
  <c r="E1298" i="8"/>
  <c r="R1298" i="23"/>
  <c r="Z1180" i="31" s="1"/>
  <c r="P1180" i="31"/>
  <c r="S1180" i="31"/>
  <c r="S1319" i="23"/>
  <c r="AA1199" i="31" s="1"/>
  <c r="W1199" i="31"/>
  <c r="W1259" i="31"/>
  <c r="W1002" i="31"/>
  <c r="S1103" i="23"/>
  <c r="AA1002" i="31" s="1"/>
  <c r="W674" i="31"/>
  <c r="S742" i="23"/>
  <c r="AA674" i="31" s="1"/>
  <c r="W1235" i="31"/>
  <c r="S1359" i="23"/>
  <c r="AA1235" i="31" s="1"/>
  <c r="I1312" i="23"/>
  <c r="W1003" i="31"/>
  <c r="S1104" i="23"/>
  <c r="AA1003" i="31" s="1"/>
  <c r="L1383" i="23"/>
  <c r="X1257" i="31" s="1"/>
  <c r="G1362" i="23"/>
  <c r="I1362" i="23" s="1"/>
  <c r="L1360" i="23"/>
  <c r="X1236" i="31" s="1"/>
  <c r="L1357" i="23"/>
  <c r="X1233" i="31" s="1"/>
  <c r="L1356" i="23"/>
  <c r="X1232" i="31" s="1"/>
  <c r="G1320" i="8"/>
  <c r="E1200" i="31" s="1"/>
  <c r="L1318" i="23"/>
  <c r="X1198" i="31" s="1"/>
  <c r="G1314" i="23"/>
  <c r="I1314" i="23" s="1"/>
  <c r="S854" i="23"/>
  <c r="AA776" i="31" s="1"/>
  <c r="G1381" i="23"/>
  <c r="I1381" i="23" s="1"/>
  <c r="G1358" i="23"/>
  <c r="I1358" i="23" s="1"/>
  <c r="G1383" i="23"/>
  <c r="I1383" i="23" s="1"/>
  <c r="G1384" i="23"/>
  <c r="I1384" i="23" s="1"/>
  <c r="S1401" i="31"/>
  <c r="P1401" i="31"/>
  <c r="F1556" i="23"/>
  <c r="F1556" i="8"/>
  <c r="H1558" i="23"/>
  <c r="K1558" i="23" s="1"/>
  <c r="N1558" i="23" s="1"/>
  <c r="O1558" i="23" s="1"/>
  <c r="Y1416" i="31" s="1"/>
  <c r="E1558" i="20"/>
  <c r="U1416" i="31" s="1"/>
  <c r="R1558" i="23"/>
  <c r="Z1416" i="31" s="1"/>
  <c r="H1561" i="23"/>
  <c r="K1561" i="23" s="1"/>
  <c r="N1561" i="23" s="1"/>
  <c r="O1561" i="23" s="1"/>
  <c r="Y1419" i="31" s="1"/>
  <c r="E1561" i="20"/>
  <c r="U1419" i="31" s="1"/>
  <c r="E1578" i="23"/>
  <c r="E1578" i="8"/>
  <c r="F1580" i="23"/>
  <c r="F1580" i="8"/>
  <c r="E1583" i="23"/>
  <c r="E1583" i="8"/>
  <c r="F1473" i="23"/>
  <c r="F1473" i="8"/>
  <c r="F1560" i="23"/>
  <c r="F1560" i="8"/>
  <c r="H1562" i="23"/>
  <c r="K1562" i="23" s="1"/>
  <c r="N1562" i="23" s="1"/>
  <c r="E1562" i="20"/>
  <c r="U1420" i="31" s="1"/>
  <c r="R1562" i="23"/>
  <c r="Z1420" i="31" s="1"/>
  <c r="O1562" i="23"/>
  <c r="Y1420" i="31" s="1"/>
  <c r="E1563" i="23"/>
  <c r="G1563" i="23" s="1"/>
  <c r="E1563" i="8"/>
  <c r="G1563" i="8" s="1"/>
  <c r="E1421" i="31" s="1"/>
  <c r="E1579" i="23"/>
  <c r="E1579" i="8"/>
  <c r="F1579" i="23"/>
  <c r="F1579" i="8"/>
  <c r="L1579" i="23"/>
  <c r="X1435" i="31" s="1"/>
  <c r="O1580" i="23"/>
  <c r="Y1436" i="31" s="1"/>
  <c r="H1581" i="23"/>
  <c r="K1581" i="23" s="1"/>
  <c r="N1581" i="23" s="1"/>
  <c r="O1581" i="23" s="1"/>
  <c r="Y1437" i="31" s="1"/>
  <c r="E1581" i="20"/>
  <c r="U1437" i="31" s="1"/>
  <c r="R1581" i="23"/>
  <c r="Z1437" i="31" s="1"/>
  <c r="O1582" i="23"/>
  <c r="Y1438" i="31" s="1"/>
  <c r="H1583" i="23"/>
  <c r="K1583" i="23" s="1"/>
  <c r="N1583" i="23" s="1"/>
  <c r="O1583" i="23" s="1"/>
  <c r="Y1439" i="31" s="1"/>
  <c r="E1583" i="20"/>
  <c r="U1439" i="31" s="1"/>
  <c r="R1583" i="23"/>
  <c r="Z1439" i="31" s="1"/>
  <c r="O1584" i="23"/>
  <c r="Y1440" i="31" s="1"/>
  <c r="H1585" i="23"/>
  <c r="K1585" i="23" s="1"/>
  <c r="N1585" i="23" s="1"/>
  <c r="O1585" i="23" s="1"/>
  <c r="Y1441" i="31" s="1"/>
  <c r="E1585" i="20"/>
  <c r="U1441" i="31" s="1"/>
  <c r="R1585" i="23"/>
  <c r="Z1441" i="31" s="1"/>
  <c r="F1471" i="23"/>
  <c r="F1471" i="8"/>
  <c r="L1471" i="23"/>
  <c r="X1337" i="31" s="1"/>
  <c r="E1472" i="23"/>
  <c r="E1472" i="8"/>
  <c r="O1473" i="23"/>
  <c r="Y1339" i="31" s="1"/>
  <c r="F1474" i="23"/>
  <c r="F1474" i="8"/>
  <c r="R1474" i="23"/>
  <c r="Z1340" i="31" s="1"/>
  <c r="O1475" i="23"/>
  <c r="Y1341" i="31" s="1"/>
  <c r="H1455" i="23"/>
  <c r="K1455" i="23" s="1"/>
  <c r="N1455" i="23" s="1"/>
  <c r="O1455" i="23" s="1"/>
  <c r="Y1322" i="31" s="1"/>
  <c r="E1455" i="20"/>
  <c r="U1322" i="31" s="1"/>
  <c r="R1455" i="23"/>
  <c r="Z1322" i="31" s="1"/>
  <c r="F1456" i="23"/>
  <c r="F1456" i="8"/>
  <c r="H1461" i="6"/>
  <c r="O1461" i="23"/>
  <c r="Y1328" i="31" s="1"/>
  <c r="H1463" i="23"/>
  <c r="K1463" i="23" s="1"/>
  <c r="N1463" i="23" s="1"/>
  <c r="O1463" i="23" s="1"/>
  <c r="Y1330" i="31" s="1"/>
  <c r="E1463" i="20"/>
  <c r="U1330" i="31" s="1"/>
  <c r="P1330" i="31"/>
  <c r="S1330" i="31"/>
  <c r="H1445" i="23"/>
  <c r="K1445" i="23" s="1"/>
  <c r="N1445" i="23" s="1"/>
  <c r="E1445" i="20"/>
  <c r="U1313" i="31" s="1"/>
  <c r="R1445" i="23"/>
  <c r="Z1313" i="31" s="1"/>
  <c r="O1445" i="23"/>
  <c r="Y1313" i="31" s="1"/>
  <c r="O1447" i="23"/>
  <c r="Y1315" i="31" s="1"/>
  <c r="H1448" i="23"/>
  <c r="K1448" i="23" s="1"/>
  <c r="N1448" i="23" s="1"/>
  <c r="O1448" i="23" s="1"/>
  <c r="Y1316" i="31" s="1"/>
  <c r="E1448" i="20"/>
  <c r="U1316" i="31" s="1"/>
  <c r="R1448" i="23"/>
  <c r="Z1316" i="31" s="1"/>
  <c r="O1449" i="23"/>
  <c r="Y1317" i="31" s="1"/>
  <c r="H1450" i="23"/>
  <c r="K1450" i="23" s="1"/>
  <c r="N1450" i="23" s="1"/>
  <c r="O1450" i="23" s="1"/>
  <c r="Y1318" i="31" s="1"/>
  <c r="E1450" i="20"/>
  <c r="U1318" i="31" s="1"/>
  <c r="R1450" i="23"/>
  <c r="Z1318" i="31" s="1"/>
  <c r="O1451" i="23"/>
  <c r="Y1319" i="31" s="1"/>
  <c r="H1452" i="23"/>
  <c r="K1452" i="23" s="1"/>
  <c r="N1452" i="23" s="1"/>
  <c r="O1452" i="23" s="1"/>
  <c r="Y1320" i="31" s="1"/>
  <c r="E1452" i="20"/>
  <c r="U1320" i="31" s="1"/>
  <c r="R1452" i="23"/>
  <c r="Z1320" i="31" s="1"/>
  <c r="O1453" i="23"/>
  <c r="Y1321" i="31" s="1"/>
  <c r="E1433" i="23"/>
  <c r="E1433" i="8"/>
  <c r="F1433" i="23"/>
  <c r="F1433" i="8"/>
  <c r="L1433" i="23"/>
  <c r="X1302" i="31" s="1"/>
  <c r="H1435" i="23"/>
  <c r="K1435" i="23" s="1"/>
  <c r="N1435" i="23" s="1"/>
  <c r="O1435" i="23" s="1"/>
  <c r="Y1304" i="31" s="1"/>
  <c r="E1435" i="20"/>
  <c r="U1304" i="31" s="1"/>
  <c r="R1435" i="23"/>
  <c r="Z1304" i="31" s="1"/>
  <c r="O1436" i="23"/>
  <c r="Y1305" i="31" s="1"/>
  <c r="H1437" i="23"/>
  <c r="K1437" i="23" s="1"/>
  <c r="N1437" i="23" s="1"/>
  <c r="O1437" i="23" s="1"/>
  <c r="Y1306" i="31" s="1"/>
  <c r="E1437" i="20"/>
  <c r="U1306" i="31" s="1"/>
  <c r="R1437" i="23"/>
  <c r="Z1306" i="31" s="1"/>
  <c r="O1438" i="23"/>
  <c r="Y1307" i="31" s="1"/>
  <c r="H1439" i="23"/>
  <c r="K1439" i="23" s="1"/>
  <c r="N1439" i="23" s="1"/>
  <c r="O1439" i="23" s="1"/>
  <c r="Y1308" i="31" s="1"/>
  <c r="E1439" i="20"/>
  <c r="U1308" i="31" s="1"/>
  <c r="R1439" i="23"/>
  <c r="Z1308" i="31" s="1"/>
  <c r="O1440" i="23"/>
  <c r="Y1309" i="31" s="1"/>
  <c r="F1441" i="23"/>
  <c r="F1441" i="8"/>
  <c r="O1442" i="23"/>
  <c r="Y1311" i="31" s="1"/>
  <c r="H1412" i="23"/>
  <c r="K1412" i="23" s="1"/>
  <c r="N1412" i="23" s="1"/>
  <c r="E1412" i="20"/>
  <c r="U1283" i="31" s="1"/>
  <c r="R1412" i="23"/>
  <c r="Z1283" i="31" s="1"/>
  <c r="O1412" i="23"/>
  <c r="Y1283" i="31" s="1"/>
  <c r="E1414" i="20"/>
  <c r="U1285" i="31" s="1"/>
  <c r="H1414" i="23"/>
  <c r="K1414" i="23" s="1"/>
  <c r="N1414" i="23" s="1"/>
  <c r="O1414" i="23" s="1"/>
  <c r="Y1285" i="31" s="1"/>
  <c r="R1414" i="23"/>
  <c r="Z1285" i="31" s="1"/>
  <c r="E1415" i="23"/>
  <c r="G1415" i="23" s="1"/>
  <c r="E1415" i="8"/>
  <c r="G1415" i="8" s="1"/>
  <c r="E1286" i="31" s="1"/>
  <c r="H1416" i="23"/>
  <c r="K1416" i="23" s="1"/>
  <c r="N1416" i="23" s="1"/>
  <c r="O1416" i="23" s="1"/>
  <c r="Y1287" i="31" s="1"/>
  <c r="E1416" i="20"/>
  <c r="U1287" i="31" s="1"/>
  <c r="R1416" i="23"/>
  <c r="Z1287" i="31" s="1"/>
  <c r="O1417" i="23"/>
  <c r="Y1288" i="31" s="1"/>
  <c r="H1418" i="23"/>
  <c r="K1418" i="23" s="1"/>
  <c r="N1418" i="23" s="1"/>
  <c r="O1418" i="23" s="1"/>
  <c r="Y1289" i="31" s="1"/>
  <c r="E1418" i="20"/>
  <c r="U1289" i="31" s="1"/>
  <c r="R1418" i="23"/>
  <c r="Z1289" i="31" s="1"/>
  <c r="O1419" i="23"/>
  <c r="Y1290" i="31" s="1"/>
  <c r="H1420" i="23"/>
  <c r="K1420" i="23" s="1"/>
  <c r="N1420" i="23" s="1"/>
  <c r="O1420" i="23" s="1"/>
  <c r="Y1291" i="31" s="1"/>
  <c r="E1420" i="20"/>
  <c r="U1291" i="31" s="1"/>
  <c r="R1420" i="23"/>
  <c r="Z1291" i="31" s="1"/>
  <c r="H1390" i="23"/>
  <c r="K1390" i="23" s="1"/>
  <c r="N1390" i="23" s="1"/>
  <c r="O1390" i="23" s="1"/>
  <c r="Y1263" i="31" s="1"/>
  <c r="E1390" i="20"/>
  <c r="U1263" i="31" s="1"/>
  <c r="R1390" i="23"/>
  <c r="Z1263" i="31" s="1"/>
  <c r="H1392" i="6"/>
  <c r="H1393" i="6"/>
  <c r="O1393" i="23"/>
  <c r="Y1266" i="31" s="1"/>
  <c r="H1394" i="6"/>
  <c r="H1396" i="6"/>
  <c r="O1396" i="23"/>
  <c r="Y1269" i="31" s="1"/>
  <c r="E1239" i="23"/>
  <c r="E1239" i="8"/>
  <c r="F1239" i="23"/>
  <c r="F1239" i="8"/>
  <c r="L1239" i="23"/>
  <c r="X1126" i="31" s="1"/>
  <c r="E1240" i="23"/>
  <c r="G1240" i="23" s="1"/>
  <c r="E1240" i="8"/>
  <c r="G1240" i="8" s="1"/>
  <c r="E1127" i="31" s="1"/>
  <c r="F1241" i="23"/>
  <c r="F1241" i="8"/>
  <c r="E1242" i="23"/>
  <c r="G1242" i="23" s="1"/>
  <c r="E1242" i="8"/>
  <c r="G1242" i="8" s="1"/>
  <c r="E1129" i="31" s="1"/>
  <c r="F1243" i="23"/>
  <c r="F1243" i="8"/>
  <c r="E1244" i="23"/>
  <c r="G1244" i="23" s="1"/>
  <c r="E1244" i="8"/>
  <c r="G1244" i="8" s="1"/>
  <c r="E1131" i="31" s="1"/>
  <c r="F1191" i="23"/>
  <c r="F1191" i="8"/>
  <c r="H1192" i="23"/>
  <c r="K1192" i="23" s="1"/>
  <c r="N1192" i="23" s="1"/>
  <c r="O1192" i="23" s="1"/>
  <c r="Y1083" i="31" s="1"/>
  <c r="E1192" i="20"/>
  <c r="U1083" i="31" s="1"/>
  <c r="R1192" i="23"/>
  <c r="Z1083" i="31" s="1"/>
  <c r="W1192" i="6"/>
  <c r="E1192" i="28"/>
  <c r="H1193" i="23"/>
  <c r="K1193" i="23" s="1"/>
  <c r="N1193" i="23" s="1"/>
  <c r="O1193" i="23" s="1"/>
  <c r="Y1084" i="31" s="1"/>
  <c r="E1193" i="20"/>
  <c r="U1084" i="31" s="1"/>
  <c r="R1193" i="23"/>
  <c r="Z1084" i="31" s="1"/>
  <c r="P1084" i="31"/>
  <c r="S1084" i="31"/>
  <c r="H1194" i="23"/>
  <c r="K1194" i="23" s="1"/>
  <c r="N1194" i="23" s="1"/>
  <c r="O1194" i="23" s="1"/>
  <c r="Y1085" i="31" s="1"/>
  <c r="E1194" i="20"/>
  <c r="U1085" i="31" s="1"/>
  <c r="R1194" i="23"/>
  <c r="Z1085" i="31" s="1"/>
  <c r="S1085" i="31"/>
  <c r="P1085" i="31"/>
  <c r="H1195" i="23"/>
  <c r="K1195" i="23" s="1"/>
  <c r="N1195" i="23" s="1"/>
  <c r="O1195" i="23" s="1"/>
  <c r="Y1086" i="31" s="1"/>
  <c r="E1195" i="20"/>
  <c r="U1086" i="31" s="1"/>
  <c r="R1195" i="23"/>
  <c r="Z1086" i="31" s="1"/>
  <c r="P1086" i="31"/>
  <c r="S1086" i="31"/>
  <c r="H1196" i="23"/>
  <c r="K1196" i="23" s="1"/>
  <c r="N1196" i="23" s="1"/>
  <c r="O1196" i="23" s="1"/>
  <c r="Y1087" i="31" s="1"/>
  <c r="E1196" i="20"/>
  <c r="U1087" i="31" s="1"/>
  <c r="R1196" i="23"/>
  <c r="Z1087" i="31" s="1"/>
  <c r="P1087" i="31"/>
  <c r="S1087" i="31"/>
  <c r="H1197" i="23"/>
  <c r="K1197" i="23" s="1"/>
  <c r="N1197" i="23" s="1"/>
  <c r="O1197" i="23" s="1"/>
  <c r="Y1088" i="31" s="1"/>
  <c r="E1197" i="20"/>
  <c r="U1088" i="31" s="1"/>
  <c r="R1197" i="23"/>
  <c r="Z1088" i="31" s="1"/>
  <c r="P1088" i="31"/>
  <c r="S1088" i="31"/>
  <c r="E1198" i="20"/>
  <c r="U1089" i="31" s="1"/>
  <c r="H1198" i="23"/>
  <c r="K1198" i="23" s="1"/>
  <c r="N1198" i="23" s="1"/>
  <c r="O1198" i="23" s="1"/>
  <c r="Y1089" i="31" s="1"/>
  <c r="R1198" i="23"/>
  <c r="Z1089" i="31" s="1"/>
  <c r="S1089" i="31"/>
  <c r="P1089" i="31"/>
  <c r="H1199" i="23"/>
  <c r="K1199" i="23" s="1"/>
  <c r="N1199" i="23" s="1"/>
  <c r="O1199" i="23" s="1"/>
  <c r="Y1090" i="31" s="1"/>
  <c r="E1199" i="20"/>
  <c r="U1090" i="31" s="1"/>
  <c r="R1199" i="23"/>
  <c r="Z1090" i="31" s="1"/>
  <c r="P1090" i="31"/>
  <c r="S1090" i="31"/>
  <c r="H1200" i="23"/>
  <c r="K1200" i="23" s="1"/>
  <c r="N1200" i="23" s="1"/>
  <c r="O1200" i="23" s="1"/>
  <c r="Y1091" i="31" s="1"/>
  <c r="E1200" i="20"/>
  <c r="U1091" i="31" s="1"/>
  <c r="R1200" i="23"/>
  <c r="Z1091" i="31" s="1"/>
  <c r="P1091" i="31"/>
  <c r="S1091" i="31"/>
  <c r="H1158" i="23"/>
  <c r="K1158" i="23" s="1"/>
  <c r="N1158" i="23" s="1"/>
  <c r="O1158" i="23" s="1"/>
  <c r="Y1052" i="31" s="1"/>
  <c r="E1158" i="20"/>
  <c r="U1052" i="31" s="1"/>
  <c r="R1158" i="23"/>
  <c r="Z1052" i="31" s="1"/>
  <c r="E1159" i="23"/>
  <c r="G1159" i="23" s="1"/>
  <c r="E1159" i="8"/>
  <c r="G1159" i="8" s="1"/>
  <c r="E1053" i="31" s="1"/>
  <c r="R1160" i="23"/>
  <c r="Z1054" i="31" s="1"/>
  <c r="O1160" i="23"/>
  <c r="Y1054" i="31" s="1"/>
  <c r="E1161" i="23"/>
  <c r="G1161" i="23" s="1"/>
  <c r="E1161" i="8"/>
  <c r="G1161" i="8" s="1"/>
  <c r="E1055" i="31" s="1"/>
  <c r="F1162" i="23"/>
  <c r="F1162" i="8"/>
  <c r="O1162" i="23"/>
  <c r="Y1056" i="31" s="1"/>
  <c r="H1163" i="23"/>
  <c r="K1163" i="23" s="1"/>
  <c r="N1163" i="23" s="1"/>
  <c r="O1163" i="23" s="1"/>
  <c r="Y1057" i="31" s="1"/>
  <c r="E1163" i="20"/>
  <c r="U1057" i="31" s="1"/>
  <c r="R1163" i="23"/>
  <c r="Z1057" i="31" s="1"/>
  <c r="F1164" i="23"/>
  <c r="F1164" i="8"/>
  <c r="E1165" i="23"/>
  <c r="G1165" i="23" s="1"/>
  <c r="E1165" i="8"/>
  <c r="G1165" i="8" s="1"/>
  <c r="E1059" i="31" s="1"/>
  <c r="F1166" i="23"/>
  <c r="F1166" i="8"/>
  <c r="E1167" i="23"/>
  <c r="G1167" i="23" s="1"/>
  <c r="E1167" i="8"/>
  <c r="G1167" i="8" s="1"/>
  <c r="E1061" i="31" s="1"/>
  <c r="F762" i="23"/>
  <c r="F762" i="8"/>
  <c r="O762" i="23"/>
  <c r="Y692" i="31" s="1"/>
  <c r="P692" i="31"/>
  <c r="S692" i="31"/>
  <c r="H763" i="23"/>
  <c r="K763" i="23" s="1"/>
  <c r="N763" i="23" s="1"/>
  <c r="E763" i="20"/>
  <c r="U693" i="31" s="1"/>
  <c r="R763" i="23"/>
  <c r="Z693" i="31" s="1"/>
  <c r="O763" i="23"/>
  <c r="Y693" i="31" s="1"/>
  <c r="O764" i="23"/>
  <c r="Y694" i="31" s="1"/>
  <c r="O765" i="23"/>
  <c r="Y695" i="31" s="1"/>
  <c r="O766" i="23"/>
  <c r="Y696" i="31" s="1"/>
  <c r="O767" i="23"/>
  <c r="Y697" i="31" s="1"/>
  <c r="O768" i="23"/>
  <c r="Y698" i="31" s="1"/>
  <c r="O769" i="23"/>
  <c r="Y699" i="31" s="1"/>
  <c r="O770" i="23"/>
  <c r="Y700" i="31" s="1"/>
  <c r="O771" i="23"/>
  <c r="Y701" i="31" s="1"/>
  <c r="H971" i="6"/>
  <c r="H973" i="6"/>
  <c r="O973" i="23"/>
  <c r="Y884" i="31" s="1"/>
  <c r="H974" i="6"/>
  <c r="O974" i="23"/>
  <c r="Y885" i="31" s="1"/>
  <c r="H975" i="6"/>
  <c r="O975" i="23"/>
  <c r="Y886" i="31" s="1"/>
  <c r="H976" i="6"/>
  <c r="O976" i="23"/>
  <c r="Y887" i="31" s="1"/>
  <c r="H978" i="6"/>
  <c r="O978" i="23"/>
  <c r="Y889" i="31" s="1"/>
  <c r="H979" i="6"/>
  <c r="O979" i="23"/>
  <c r="Y890" i="31" s="1"/>
  <c r="H980" i="6"/>
  <c r="O980" i="23"/>
  <c r="Y891" i="31" s="1"/>
  <c r="F1005" i="23"/>
  <c r="F1005" i="8"/>
  <c r="E1006" i="23"/>
  <c r="G1006" i="23" s="1"/>
  <c r="E1006" i="8"/>
  <c r="G1006" i="8" s="1"/>
  <c r="E914" i="31" s="1"/>
  <c r="F1007" i="23"/>
  <c r="F1007" i="8"/>
  <c r="E1008" i="23"/>
  <c r="G1008" i="23" s="1"/>
  <c r="E1008" i="8"/>
  <c r="G1008" i="8" s="1"/>
  <c r="E916" i="31" s="1"/>
  <c r="F1009" i="23"/>
  <c r="F1009" i="8"/>
  <c r="E1010" i="23"/>
  <c r="G1010" i="23" s="1"/>
  <c r="E1010" i="8"/>
  <c r="G1010" i="8" s="1"/>
  <c r="E918" i="31" s="1"/>
  <c r="O1011" i="23"/>
  <c r="Y919" i="31" s="1"/>
  <c r="O1012" i="23"/>
  <c r="Y920" i="31" s="1"/>
  <c r="O1013" i="23"/>
  <c r="Y921" i="31" s="1"/>
  <c r="P916" i="31"/>
  <c r="S916" i="31"/>
  <c r="E1016" i="23"/>
  <c r="G1016" i="23" s="1"/>
  <c r="E1016" i="8"/>
  <c r="G1016" i="8" s="1"/>
  <c r="E923" i="31" s="1"/>
  <c r="H1017" i="23"/>
  <c r="K1017" i="23" s="1"/>
  <c r="N1017" i="23" s="1"/>
  <c r="O1017" i="23" s="1"/>
  <c r="Y924" i="31" s="1"/>
  <c r="E1017" i="20"/>
  <c r="U924" i="31" s="1"/>
  <c r="R1017" i="23"/>
  <c r="Z924" i="31" s="1"/>
  <c r="O1018" i="23"/>
  <c r="Y925" i="31" s="1"/>
  <c r="E1019" i="23"/>
  <c r="G1019" i="23" s="1"/>
  <c r="E1019" i="8"/>
  <c r="G1019" i="8" s="1"/>
  <c r="E926" i="31" s="1"/>
  <c r="F1020" i="23"/>
  <c r="F1020" i="8"/>
  <c r="E1021" i="23"/>
  <c r="G1021" i="23" s="1"/>
  <c r="E1021" i="8"/>
  <c r="G1021" i="8" s="1"/>
  <c r="E928" i="31" s="1"/>
  <c r="F1022" i="23"/>
  <c r="F1022" i="8"/>
  <c r="E1023" i="23"/>
  <c r="G1023" i="23" s="1"/>
  <c r="E1023" i="8"/>
  <c r="G1023" i="8" s="1"/>
  <c r="E930" i="31" s="1"/>
  <c r="F1024" i="23"/>
  <c r="F1024" i="8"/>
  <c r="E1279" i="23"/>
  <c r="G1279" i="23" s="1"/>
  <c r="E1279" i="8"/>
  <c r="G1279" i="8" s="1"/>
  <c r="E1162" i="31" s="1"/>
  <c r="H1280" i="23"/>
  <c r="K1280" i="23" s="1"/>
  <c r="N1280" i="23" s="1"/>
  <c r="O1280" i="23" s="1"/>
  <c r="Y1163" i="31" s="1"/>
  <c r="E1280" i="20"/>
  <c r="U1163" i="31" s="1"/>
  <c r="R1280" i="23"/>
  <c r="Z1163" i="31" s="1"/>
  <c r="F1281" i="23"/>
  <c r="F1281" i="8"/>
  <c r="E1282" i="23"/>
  <c r="G1282" i="23" s="1"/>
  <c r="E1282" i="8"/>
  <c r="G1282" i="8" s="1"/>
  <c r="E1165" i="31" s="1"/>
  <c r="F1283" i="23"/>
  <c r="F1283" i="8"/>
  <c r="E1284" i="23"/>
  <c r="G1284" i="23" s="1"/>
  <c r="E1284" i="8"/>
  <c r="G1284" i="8" s="1"/>
  <c r="E1167" i="31" s="1"/>
  <c r="F1285" i="23"/>
  <c r="F1285" i="8"/>
  <c r="E1286" i="23"/>
  <c r="G1286" i="23" s="1"/>
  <c r="E1286" i="8"/>
  <c r="G1286" i="8" s="1"/>
  <c r="E1169" i="31" s="1"/>
  <c r="F1287" i="23"/>
  <c r="F1287" i="8"/>
  <c r="E1288" i="23"/>
  <c r="G1288" i="23" s="1"/>
  <c r="E1288" i="8"/>
  <c r="G1288" i="8" s="1"/>
  <c r="E1171" i="31" s="1"/>
  <c r="E1293" i="23"/>
  <c r="E1293" i="8"/>
  <c r="G1293" i="8" s="1"/>
  <c r="E1175" i="31" s="1"/>
  <c r="F1293" i="23"/>
  <c r="F1293" i="8"/>
  <c r="L1293" i="23"/>
  <c r="X1175" i="31" s="1"/>
  <c r="O1295" i="23"/>
  <c r="Y1177" i="31" s="1"/>
  <c r="H1296" i="23"/>
  <c r="K1296" i="23" s="1"/>
  <c r="N1296" i="23" s="1"/>
  <c r="O1296" i="23" s="1"/>
  <c r="Y1178" i="31" s="1"/>
  <c r="E1296" i="20"/>
  <c r="U1178" i="31" s="1"/>
  <c r="P1178" i="31"/>
  <c r="S1178" i="31"/>
  <c r="H1297" i="23"/>
  <c r="K1297" i="23" s="1"/>
  <c r="N1297" i="23" s="1"/>
  <c r="O1297" i="23" s="1"/>
  <c r="Y1179" i="31" s="1"/>
  <c r="E1297" i="20"/>
  <c r="U1179" i="31" s="1"/>
  <c r="P1179" i="31"/>
  <c r="S1179" i="31"/>
  <c r="F1298" i="23"/>
  <c r="F1298" i="8"/>
  <c r="W1007" i="31"/>
  <c r="S1108" i="23"/>
  <c r="AA1007" i="31" s="1"/>
  <c r="S747" i="23"/>
  <c r="AA679" i="31" s="1"/>
  <c r="W679" i="31"/>
  <c r="W1260" i="31"/>
  <c r="S1386" i="23"/>
  <c r="AA1260" i="31" s="1"/>
  <c r="W1237" i="31"/>
  <c r="S1361" i="23"/>
  <c r="AA1237" i="31" s="1"/>
  <c r="W1197" i="31"/>
  <c r="S1317" i="23"/>
  <c r="AA1197" i="31" s="1"/>
  <c r="W1298" i="31"/>
  <c r="S1428" i="23"/>
  <c r="AA1298" i="31" s="1"/>
  <c r="W676" i="31"/>
  <c r="S744" i="23"/>
  <c r="AA676" i="31" s="1"/>
  <c r="L1431" i="23"/>
  <c r="X1301" i="31" s="1"/>
  <c r="G1427" i="8"/>
  <c r="E1297" i="31" s="1"/>
  <c r="S749" i="23"/>
  <c r="AA681" i="31" s="1"/>
  <c r="W775" i="31"/>
  <c r="S853" i="23"/>
  <c r="AA775" i="31" s="1"/>
  <c r="W673" i="31"/>
  <c r="S741" i="23"/>
  <c r="AA673" i="31" s="1"/>
  <c r="W1005" i="31"/>
  <c r="S1106" i="23"/>
  <c r="AA1005" i="31" s="1"/>
  <c r="L1382" i="23"/>
  <c r="X1256" i="31" s="1"/>
  <c r="G1357" i="8"/>
  <c r="E1233" i="31" s="1"/>
  <c r="G1320" i="23"/>
  <c r="I1320" i="23" s="1"/>
  <c r="G1318" i="8"/>
  <c r="E1198" i="31" s="1"/>
  <c r="L1316" i="23"/>
  <c r="X1196" i="31" s="1"/>
  <c r="I1299" i="23"/>
  <c r="W774" i="31"/>
  <c r="S852" i="23"/>
  <c r="AA774" i="31" s="1"/>
  <c r="G1356" i="8"/>
  <c r="E1232" i="31" s="1"/>
  <c r="G1382" i="8"/>
  <c r="E1256" i="31" s="1"/>
  <c r="G1380" i="8"/>
  <c r="E1254" i="31" s="1"/>
  <c r="G1379" i="8"/>
  <c r="E1253" i="31" s="1"/>
  <c r="F1578" i="23"/>
  <c r="F1578" i="8"/>
  <c r="E1581" i="23"/>
  <c r="E1581" i="8"/>
  <c r="L1583" i="23"/>
  <c r="X1439" i="31" s="1"/>
  <c r="F1584" i="23"/>
  <c r="F1584" i="8"/>
  <c r="E1585" i="23"/>
  <c r="E1585" i="8"/>
  <c r="H1472" i="23"/>
  <c r="K1472" i="23" s="1"/>
  <c r="N1472" i="23" s="1"/>
  <c r="O1472" i="23" s="1"/>
  <c r="Y1338" i="31" s="1"/>
  <c r="E1472" i="20"/>
  <c r="U1338" i="31" s="1"/>
  <c r="R1472" i="23"/>
  <c r="Z1338" i="31" s="1"/>
  <c r="L1474" i="23"/>
  <c r="X1340" i="31" s="1"/>
  <c r="F1475" i="23"/>
  <c r="F1475" i="8"/>
  <c r="E1455" i="23"/>
  <c r="G1455" i="23" s="1"/>
  <c r="I1455" i="23" s="1"/>
  <c r="E1455" i="8"/>
  <c r="P1322" i="31"/>
  <c r="S1322" i="31"/>
  <c r="H1456" i="23"/>
  <c r="K1456" i="23" s="1"/>
  <c r="N1456" i="23" s="1"/>
  <c r="E1456" i="20"/>
  <c r="U1323" i="31" s="1"/>
  <c r="P1323" i="31"/>
  <c r="S1323" i="31"/>
  <c r="H1457" i="23"/>
  <c r="K1457" i="23" s="1"/>
  <c r="N1457" i="23" s="1"/>
  <c r="O1457" i="23" s="1"/>
  <c r="Y1324" i="31" s="1"/>
  <c r="E1457" i="20"/>
  <c r="U1324" i="31" s="1"/>
  <c r="E1541" i="23"/>
  <c r="G1541" i="23" s="1"/>
  <c r="E1541" i="8"/>
  <c r="G1541" i="8" s="1"/>
  <c r="E1401" i="31" s="1"/>
  <c r="O1556" i="23"/>
  <c r="Y1414" i="31" s="1"/>
  <c r="H1559" i="23"/>
  <c r="K1559" i="23" s="1"/>
  <c r="N1559" i="23" s="1"/>
  <c r="O1559" i="23" s="1"/>
  <c r="Y1417" i="31" s="1"/>
  <c r="E1559" i="20"/>
  <c r="U1417" i="31" s="1"/>
  <c r="R1559" i="23"/>
  <c r="Z1417" i="31" s="1"/>
  <c r="P1400" i="31"/>
  <c r="S1400" i="31"/>
  <c r="H1541" i="23"/>
  <c r="K1541" i="23" s="1"/>
  <c r="N1541" i="23" s="1"/>
  <c r="O1541" i="23" s="1"/>
  <c r="Y1401" i="31" s="1"/>
  <c r="E1541" i="20"/>
  <c r="U1401" i="31" s="1"/>
  <c r="R1541" i="23"/>
  <c r="Z1401" i="31" s="1"/>
  <c r="W1541" i="6"/>
  <c r="E1556" i="23"/>
  <c r="G1556" i="23" s="1"/>
  <c r="I1556" i="23" s="1"/>
  <c r="E1556" i="8"/>
  <c r="G1556" i="8" s="1"/>
  <c r="E1414" i="31" s="1"/>
  <c r="L1556" i="23"/>
  <c r="X1414" i="31" s="1"/>
  <c r="E1558" i="23"/>
  <c r="E1558" i="8"/>
  <c r="G1558" i="8" s="1"/>
  <c r="E1416" i="31" s="1"/>
  <c r="F1558" i="23"/>
  <c r="F1558" i="8"/>
  <c r="L1558" i="23"/>
  <c r="X1416" i="31" s="1"/>
  <c r="O1560" i="23"/>
  <c r="Y1418" i="31" s="1"/>
  <c r="E1561" i="23"/>
  <c r="G1561" i="23" s="1"/>
  <c r="I1561" i="23" s="1"/>
  <c r="E1561" i="8"/>
  <c r="F1561" i="23"/>
  <c r="F1561" i="8"/>
  <c r="L1561" i="23"/>
  <c r="X1419" i="31" s="1"/>
  <c r="H1563" i="23"/>
  <c r="K1563" i="23" s="1"/>
  <c r="N1563" i="23" s="1"/>
  <c r="O1563" i="23" s="1"/>
  <c r="Y1421" i="31" s="1"/>
  <c r="E1563" i="20"/>
  <c r="U1421" i="31" s="1"/>
  <c r="R1563" i="23"/>
  <c r="Z1421" i="31" s="1"/>
  <c r="H1578" i="23"/>
  <c r="K1578" i="23" s="1"/>
  <c r="N1578" i="23" s="1"/>
  <c r="O1578" i="23" s="1"/>
  <c r="Y1434" i="31" s="1"/>
  <c r="E1578" i="20"/>
  <c r="U1434" i="31" s="1"/>
  <c r="R1578" i="23"/>
  <c r="Z1434" i="31" s="1"/>
  <c r="E1580" i="23"/>
  <c r="G1580" i="23" s="1"/>
  <c r="I1580" i="23" s="1"/>
  <c r="E1580" i="8"/>
  <c r="G1580" i="8" s="1"/>
  <c r="E1436" i="31" s="1"/>
  <c r="L1580" i="23"/>
  <c r="X1436" i="31" s="1"/>
  <c r="F1581" i="23"/>
  <c r="F1581" i="8"/>
  <c r="E1582" i="23"/>
  <c r="G1582" i="23" s="1"/>
  <c r="I1582" i="23" s="1"/>
  <c r="E1582" i="8"/>
  <c r="G1582" i="8" s="1"/>
  <c r="E1438" i="31" s="1"/>
  <c r="L1582" i="23"/>
  <c r="X1438" i="31" s="1"/>
  <c r="F1583" i="23"/>
  <c r="F1583" i="8"/>
  <c r="E1584" i="23"/>
  <c r="G1584" i="23" s="1"/>
  <c r="I1584" i="23" s="1"/>
  <c r="E1584" i="8"/>
  <c r="G1584" i="8" s="1"/>
  <c r="E1440" i="31" s="1"/>
  <c r="L1584" i="23"/>
  <c r="X1440" i="31" s="1"/>
  <c r="F1585" i="23"/>
  <c r="F1585" i="8"/>
  <c r="F1472" i="23"/>
  <c r="F1472" i="8"/>
  <c r="L1472" i="23"/>
  <c r="X1338" i="31" s="1"/>
  <c r="E1471" i="23"/>
  <c r="G1471" i="23" s="1"/>
  <c r="I1471" i="23" s="1"/>
  <c r="E1471" i="8"/>
  <c r="G1471" i="8" s="1"/>
  <c r="E1337" i="31" s="1"/>
  <c r="L1473" i="23"/>
  <c r="X1339" i="31" s="1"/>
  <c r="E1474" i="23"/>
  <c r="G1474" i="23" s="1"/>
  <c r="I1474" i="23" s="1"/>
  <c r="E1474" i="8"/>
  <c r="G1474" i="8" s="1"/>
  <c r="E1340" i="31" s="1"/>
  <c r="E1475" i="23"/>
  <c r="G1475" i="23" s="1"/>
  <c r="I1475" i="23" s="1"/>
  <c r="E1475" i="8"/>
  <c r="G1475" i="8" s="1"/>
  <c r="E1341" i="31" s="1"/>
  <c r="L1475" i="23"/>
  <c r="X1341" i="31" s="1"/>
  <c r="F1455" i="23"/>
  <c r="F1455" i="8"/>
  <c r="O1456" i="23"/>
  <c r="Y1323" i="31" s="1"/>
  <c r="H1457" i="6"/>
  <c r="H1458" i="6"/>
  <c r="O1458" i="23"/>
  <c r="Y1325" i="31" s="1"/>
  <c r="H1459" i="6"/>
  <c r="O1459" i="23"/>
  <c r="Y1326" i="31" s="1"/>
  <c r="H1460" i="6"/>
  <c r="O1460" i="23"/>
  <c r="Y1327" i="31" s="1"/>
  <c r="L1461" i="23"/>
  <c r="X1328" i="31" s="1"/>
  <c r="H1462" i="23"/>
  <c r="K1462" i="23" s="1"/>
  <c r="N1462" i="23" s="1"/>
  <c r="O1462" i="23" s="1"/>
  <c r="Y1329" i="31" s="1"/>
  <c r="E1462" i="20"/>
  <c r="U1329" i="31" s="1"/>
  <c r="R1462" i="23"/>
  <c r="Z1329" i="31" s="1"/>
  <c r="S1329" i="31"/>
  <c r="P1329" i="31"/>
  <c r="H1464" i="6"/>
  <c r="O1464" i="23"/>
  <c r="Y1331" i="31" s="1"/>
  <c r="H1446" i="23"/>
  <c r="K1446" i="23" s="1"/>
  <c r="N1446" i="23" s="1"/>
  <c r="E1446" i="20"/>
  <c r="U1314" i="31" s="1"/>
  <c r="R1446" i="23"/>
  <c r="Z1314" i="31" s="1"/>
  <c r="O1446" i="23"/>
  <c r="Y1314" i="31" s="1"/>
  <c r="E1447" i="23"/>
  <c r="G1447" i="23" s="1"/>
  <c r="I1447" i="23" s="1"/>
  <c r="E1447" i="8"/>
  <c r="G1447" i="8" s="1"/>
  <c r="E1315" i="31" s="1"/>
  <c r="L1447" i="23"/>
  <c r="X1315" i="31" s="1"/>
  <c r="F1448" i="23"/>
  <c r="F1448" i="8"/>
  <c r="E1449" i="23"/>
  <c r="G1449" i="23" s="1"/>
  <c r="I1449" i="23" s="1"/>
  <c r="E1449" i="8"/>
  <c r="G1449" i="8" s="1"/>
  <c r="E1317" i="31" s="1"/>
  <c r="L1449" i="23"/>
  <c r="X1317" i="31" s="1"/>
  <c r="F1450" i="23"/>
  <c r="F1450" i="8"/>
  <c r="E1451" i="23"/>
  <c r="G1451" i="23" s="1"/>
  <c r="I1451" i="23" s="1"/>
  <c r="E1451" i="8"/>
  <c r="G1451" i="8" s="1"/>
  <c r="E1319" i="31" s="1"/>
  <c r="L1451" i="23"/>
  <c r="X1319" i="31" s="1"/>
  <c r="F1452" i="23"/>
  <c r="F1452" i="8"/>
  <c r="E1453" i="23"/>
  <c r="G1453" i="23" s="1"/>
  <c r="I1453" i="23" s="1"/>
  <c r="E1453" i="8"/>
  <c r="G1453" i="8" s="1"/>
  <c r="E1321" i="31" s="1"/>
  <c r="L1453" i="23"/>
  <c r="X1321" i="31" s="1"/>
  <c r="E1434" i="23"/>
  <c r="G1434" i="23" s="1"/>
  <c r="I1434" i="23" s="1"/>
  <c r="E1434" i="8"/>
  <c r="G1434" i="8" s="1"/>
  <c r="E1303" i="31" s="1"/>
  <c r="F1434" i="23"/>
  <c r="F1434" i="8"/>
  <c r="L1434" i="23"/>
  <c r="X1303" i="31" s="1"/>
  <c r="F1435" i="23"/>
  <c r="F1435" i="8"/>
  <c r="E1436" i="23"/>
  <c r="G1436" i="23" s="1"/>
  <c r="I1436" i="23" s="1"/>
  <c r="E1436" i="8"/>
  <c r="G1436" i="8" s="1"/>
  <c r="E1305" i="31" s="1"/>
  <c r="L1436" i="23"/>
  <c r="X1305" i="31" s="1"/>
  <c r="F1437" i="23"/>
  <c r="F1437" i="8"/>
  <c r="E1438" i="23"/>
  <c r="G1438" i="23" s="1"/>
  <c r="I1438" i="23" s="1"/>
  <c r="E1438" i="8"/>
  <c r="G1438" i="8" s="1"/>
  <c r="E1307" i="31" s="1"/>
  <c r="L1438" i="23"/>
  <c r="X1307" i="31" s="1"/>
  <c r="F1439" i="23"/>
  <c r="F1439" i="8"/>
  <c r="E1440" i="23"/>
  <c r="G1440" i="23" s="1"/>
  <c r="I1440" i="23" s="1"/>
  <c r="E1440" i="8"/>
  <c r="G1440" i="8" s="1"/>
  <c r="E1309" i="31" s="1"/>
  <c r="L1440" i="23"/>
  <c r="X1309" i="31" s="1"/>
  <c r="O1441" i="23"/>
  <c r="Y1310" i="31" s="1"/>
  <c r="E1442" i="23"/>
  <c r="G1442" i="23" s="1"/>
  <c r="I1442" i="23" s="1"/>
  <c r="E1442" i="8"/>
  <c r="G1442" i="8" s="1"/>
  <c r="E1311" i="31" s="1"/>
  <c r="L1442" i="23"/>
  <c r="X1311" i="31" s="1"/>
  <c r="E1411" i="23"/>
  <c r="G1411" i="23" s="1"/>
  <c r="I1411" i="23" s="1"/>
  <c r="E1411" i="8"/>
  <c r="G1411" i="8" s="1"/>
  <c r="E1282" i="31" s="1"/>
  <c r="F1411" i="23"/>
  <c r="F1411" i="8"/>
  <c r="L1411" i="23"/>
  <c r="X1282" i="31" s="1"/>
  <c r="H1413" i="23"/>
  <c r="K1413" i="23" s="1"/>
  <c r="N1413" i="23" s="1"/>
  <c r="O1413" i="23" s="1"/>
  <c r="Y1284" i="31" s="1"/>
  <c r="E1413" i="20"/>
  <c r="U1284" i="31" s="1"/>
  <c r="R1413" i="23"/>
  <c r="Z1284" i="31" s="1"/>
  <c r="F1414" i="23"/>
  <c r="F1414" i="8"/>
  <c r="H1415" i="23"/>
  <c r="K1415" i="23" s="1"/>
  <c r="N1415" i="23" s="1"/>
  <c r="O1415" i="23" s="1"/>
  <c r="Y1286" i="31" s="1"/>
  <c r="E1415" i="20"/>
  <c r="U1286" i="31" s="1"/>
  <c r="R1415" i="23"/>
  <c r="Z1286" i="31" s="1"/>
  <c r="F1416" i="23"/>
  <c r="F1416" i="8"/>
  <c r="E1417" i="23"/>
  <c r="G1417" i="23" s="1"/>
  <c r="I1417" i="23" s="1"/>
  <c r="E1417" i="8"/>
  <c r="G1417" i="8" s="1"/>
  <c r="E1288" i="31" s="1"/>
  <c r="L1417" i="23"/>
  <c r="X1288" i="31" s="1"/>
  <c r="F1418" i="23"/>
  <c r="F1418" i="8"/>
  <c r="E1419" i="23"/>
  <c r="G1419" i="23" s="1"/>
  <c r="I1419" i="23" s="1"/>
  <c r="E1419" i="8"/>
  <c r="G1419" i="8" s="1"/>
  <c r="E1290" i="31" s="1"/>
  <c r="L1419" i="23"/>
  <c r="X1290" i="31" s="1"/>
  <c r="F1420" i="23"/>
  <c r="F1420" i="8"/>
  <c r="H1391" i="23"/>
  <c r="K1391" i="23" s="1"/>
  <c r="N1391" i="23" s="1"/>
  <c r="E1391" i="20"/>
  <c r="U1264" i="31" s="1"/>
  <c r="F1391" i="23"/>
  <c r="F1391" i="8"/>
  <c r="O1391" i="23"/>
  <c r="Y1264" i="31" s="1"/>
  <c r="E1392" i="23"/>
  <c r="E1392" i="8"/>
  <c r="L1392" i="23"/>
  <c r="X1265" i="31" s="1"/>
  <c r="S1265" i="31"/>
  <c r="P1265" i="31"/>
  <c r="E1393" i="23"/>
  <c r="E1393" i="8"/>
  <c r="L1393" i="23"/>
  <c r="X1266" i="31" s="1"/>
  <c r="E1394" i="23"/>
  <c r="E1394" i="8"/>
  <c r="L1394" i="23"/>
  <c r="X1267" i="31" s="1"/>
  <c r="O1394" i="23"/>
  <c r="Y1267" i="31" s="1"/>
  <c r="F1395" i="23"/>
  <c r="F1395" i="8"/>
  <c r="O1395" i="23"/>
  <c r="Y1268" i="31" s="1"/>
  <c r="E1396" i="23"/>
  <c r="E1396" i="8"/>
  <c r="L1396" i="23"/>
  <c r="X1269" i="31" s="1"/>
  <c r="F1397" i="23"/>
  <c r="F1397" i="8"/>
  <c r="O1397" i="23"/>
  <c r="Y1270" i="31" s="1"/>
  <c r="F1398" i="23"/>
  <c r="F1398" i="8"/>
  <c r="O1398" i="23"/>
  <c r="Y1271" i="31" s="1"/>
  <c r="H1238" i="23"/>
  <c r="K1238" i="23" s="1"/>
  <c r="N1238" i="23" s="1"/>
  <c r="E1238" i="20"/>
  <c r="U1125" i="31" s="1"/>
  <c r="R1238" i="23"/>
  <c r="Z1125" i="31" s="1"/>
  <c r="O1238" i="23"/>
  <c r="Y1125" i="31" s="1"/>
  <c r="H1240" i="23"/>
  <c r="K1240" i="23" s="1"/>
  <c r="N1240" i="23" s="1"/>
  <c r="O1240" i="23" s="1"/>
  <c r="Y1127" i="31" s="1"/>
  <c r="E1240" i="20"/>
  <c r="U1127" i="31" s="1"/>
  <c r="R1240" i="23"/>
  <c r="Z1127" i="31" s="1"/>
  <c r="O1241" i="23"/>
  <c r="Y1128" i="31" s="1"/>
  <c r="H1242" i="23"/>
  <c r="K1242" i="23" s="1"/>
  <c r="N1242" i="23" s="1"/>
  <c r="O1242" i="23" s="1"/>
  <c r="Y1129" i="31" s="1"/>
  <c r="E1242" i="20"/>
  <c r="U1129" i="31" s="1"/>
  <c r="R1242" i="23"/>
  <c r="Z1129" i="31" s="1"/>
  <c r="O1243" i="23"/>
  <c r="Y1130" i="31" s="1"/>
  <c r="H1244" i="23"/>
  <c r="K1244" i="23" s="1"/>
  <c r="N1244" i="23" s="1"/>
  <c r="O1244" i="23" s="1"/>
  <c r="Y1131" i="31" s="1"/>
  <c r="E1244" i="20"/>
  <c r="U1131" i="31" s="1"/>
  <c r="R1244" i="23"/>
  <c r="Z1131" i="31" s="1"/>
  <c r="F1192" i="23"/>
  <c r="F1192" i="8"/>
  <c r="F1193" i="23"/>
  <c r="F1193" i="8"/>
  <c r="F1194" i="23"/>
  <c r="F1194" i="8"/>
  <c r="F1195" i="23"/>
  <c r="F1195" i="8"/>
  <c r="F1196" i="23"/>
  <c r="F1196" i="8"/>
  <c r="F1197" i="23"/>
  <c r="F1197" i="8"/>
  <c r="F1198" i="23"/>
  <c r="F1198" i="8"/>
  <c r="F1199" i="23"/>
  <c r="F1199" i="8"/>
  <c r="F1200" i="23"/>
  <c r="F1200" i="8"/>
  <c r="F1158" i="23"/>
  <c r="F1158" i="8"/>
  <c r="H1159" i="23"/>
  <c r="K1159" i="23" s="1"/>
  <c r="N1159" i="23" s="1"/>
  <c r="O1159" i="23" s="1"/>
  <c r="Y1053" i="31" s="1"/>
  <c r="E1159" i="20"/>
  <c r="U1053" i="31" s="1"/>
  <c r="E1160" i="23"/>
  <c r="G1160" i="23" s="1"/>
  <c r="I1160" i="23" s="1"/>
  <c r="E1160" i="8"/>
  <c r="G1160" i="8" s="1"/>
  <c r="E1054" i="31" s="1"/>
  <c r="L1159" i="23"/>
  <c r="X1053" i="31" s="1"/>
  <c r="H1161" i="23"/>
  <c r="K1161" i="23" s="1"/>
  <c r="N1161" i="23" s="1"/>
  <c r="O1161" i="23" s="1"/>
  <c r="Y1055" i="31" s="1"/>
  <c r="E1161" i="20"/>
  <c r="U1055" i="31" s="1"/>
  <c r="R1161" i="23"/>
  <c r="Z1055" i="31" s="1"/>
  <c r="F1163" i="23"/>
  <c r="F1163" i="8"/>
  <c r="O1164" i="23"/>
  <c r="Y1058" i="31" s="1"/>
  <c r="H1165" i="23"/>
  <c r="K1165" i="23" s="1"/>
  <c r="N1165" i="23" s="1"/>
  <c r="O1165" i="23" s="1"/>
  <c r="Y1059" i="31" s="1"/>
  <c r="E1165" i="20"/>
  <c r="U1059" i="31" s="1"/>
  <c r="R1165" i="23"/>
  <c r="Z1059" i="31" s="1"/>
  <c r="O1166" i="23"/>
  <c r="Y1060" i="31" s="1"/>
  <c r="H1167" i="23"/>
  <c r="K1167" i="23" s="1"/>
  <c r="N1167" i="23" s="1"/>
  <c r="O1167" i="23" s="1"/>
  <c r="Y1061" i="31" s="1"/>
  <c r="E1167" i="20"/>
  <c r="U1061" i="31" s="1"/>
  <c r="R1167" i="23"/>
  <c r="Z1061" i="31" s="1"/>
  <c r="F763" i="23"/>
  <c r="F763" i="8"/>
  <c r="E764" i="23"/>
  <c r="G764" i="23" s="1"/>
  <c r="I764" i="23" s="1"/>
  <c r="E764" i="8"/>
  <c r="G764" i="8" s="1"/>
  <c r="E694" i="31" s="1"/>
  <c r="L764" i="23"/>
  <c r="X694" i="31" s="1"/>
  <c r="E765" i="23"/>
  <c r="G765" i="23" s="1"/>
  <c r="I765" i="23" s="1"/>
  <c r="E765" i="8"/>
  <c r="G765" i="8" s="1"/>
  <c r="E695" i="31" s="1"/>
  <c r="L765" i="23"/>
  <c r="X695" i="31" s="1"/>
  <c r="E766" i="23"/>
  <c r="G766" i="23" s="1"/>
  <c r="I766" i="23" s="1"/>
  <c r="E766" i="8"/>
  <c r="G766" i="8" s="1"/>
  <c r="E696" i="31" s="1"/>
  <c r="L766" i="23"/>
  <c r="X696" i="31" s="1"/>
  <c r="E767" i="23"/>
  <c r="G767" i="23" s="1"/>
  <c r="I767" i="23" s="1"/>
  <c r="E767" i="8"/>
  <c r="G767" i="8" s="1"/>
  <c r="E697" i="31" s="1"/>
  <c r="L767" i="23"/>
  <c r="X697" i="31" s="1"/>
  <c r="E768" i="23"/>
  <c r="G768" i="23" s="1"/>
  <c r="I768" i="23" s="1"/>
  <c r="E768" i="8"/>
  <c r="G768" i="8" s="1"/>
  <c r="E698" i="31" s="1"/>
  <c r="L768" i="23"/>
  <c r="X698" i="31" s="1"/>
  <c r="E769" i="23"/>
  <c r="G769" i="23" s="1"/>
  <c r="I769" i="23" s="1"/>
  <c r="E769" i="8"/>
  <c r="G769" i="8" s="1"/>
  <c r="E699" i="31" s="1"/>
  <c r="L769" i="23"/>
  <c r="X699" i="31" s="1"/>
  <c r="E770" i="23"/>
  <c r="G770" i="23" s="1"/>
  <c r="I770" i="23" s="1"/>
  <c r="E770" i="8"/>
  <c r="G770" i="8" s="1"/>
  <c r="E700" i="31" s="1"/>
  <c r="L770" i="23"/>
  <c r="X700" i="31" s="1"/>
  <c r="E771" i="23"/>
  <c r="G771" i="23" s="1"/>
  <c r="I771" i="23" s="1"/>
  <c r="E771" i="8"/>
  <c r="G771" i="8" s="1"/>
  <c r="E701" i="31" s="1"/>
  <c r="L771" i="23"/>
  <c r="X701" i="31" s="1"/>
  <c r="E971" i="23"/>
  <c r="E971" i="8"/>
  <c r="L971" i="23"/>
  <c r="X882" i="31" s="1"/>
  <c r="O971" i="23"/>
  <c r="Y882" i="31" s="1"/>
  <c r="H972" i="23"/>
  <c r="K972" i="23" s="1"/>
  <c r="N972" i="23" s="1"/>
  <c r="O972" i="23" s="1"/>
  <c r="Y883" i="31" s="1"/>
  <c r="E972" i="20"/>
  <c r="U883" i="31" s="1"/>
  <c r="P882" i="31"/>
  <c r="S882" i="31"/>
  <c r="E973" i="23"/>
  <c r="E973" i="8"/>
  <c r="L973" i="23"/>
  <c r="X884" i="31" s="1"/>
  <c r="E974" i="23"/>
  <c r="E974" i="8"/>
  <c r="L974" i="23"/>
  <c r="X885" i="31" s="1"/>
  <c r="E975" i="23"/>
  <c r="E975" i="8"/>
  <c r="L975" i="23"/>
  <c r="X886" i="31" s="1"/>
  <c r="E976" i="23"/>
  <c r="E976" i="8"/>
  <c r="L976" i="23"/>
  <c r="X887" i="31" s="1"/>
  <c r="H977" i="23"/>
  <c r="K977" i="23" s="1"/>
  <c r="N977" i="23" s="1"/>
  <c r="O977" i="23" s="1"/>
  <c r="Y888" i="31" s="1"/>
  <c r="E977" i="20"/>
  <c r="U888" i="31" s="1"/>
  <c r="P888" i="31"/>
  <c r="S888" i="31"/>
  <c r="E978" i="23"/>
  <c r="E978" i="8"/>
  <c r="L978" i="23"/>
  <c r="X889" i="31" s="1"/>
  <c r="E979" i="23"/>
  <c r="E979" i="8"/>
  <c r="L979" i="23"/>
  <c r="X890" i="31" s="1"/>
  <c r="E980" i="23"/>
  <c r="E980" i="8"/>
  <c r="L980" i="23"/>
  <c r="X891" i="31" s="1"/>
  <c r="E1004" i="23"/>
  <c r="G1004" i="23" s="1"/>
  <c r="I1004" i="23" s="1"/>
  <c r="E1004" i="8"/>
  <c r="G1004" i="8" s="1"/>
  <c r="E912" i="31" s="1"/>
  <c r="L1004" i="23"/>
  <c r="X912" i="31" s="1"/>
  <c r="O1004" i="23"/>
  <c r="Y912" i="31" s="1"/>
  <c r="O1005" i="23"/>
  <c r="Y913" i="31" s="1"/>
  <c r="H1006" i="23"/>
  <c r="K1006" i="23" s="1"/>
  <c r="N1006" i="23" s="1"/>
  <c r="O1006" i="23" s="1"/>
  <c r="Y914" i="31" s="1"/>
  <c r="E1006" i="20"/>
  <c r="U914" i="31" s="1"/>
  <c r="R1006" i="23"/>
  <c r="Z914" i="31" s="1"/>
  <c r="O1007" i="23"/>
  <c r="Y915" i="31" s="1"/>
  <c r="H1008" i="23"/>
  <c r="K1008" i="23" s="1"/>
  <c r="N1008" i="23" s="1"/>
  <c r="O1008" i="23" s="1"/>
  <c r="Y916" i="31" s="1"/>
  <c r="E1008" i="20"/>
  <c r="U916" i="31" s="1"/>
  <c r="R1008" i="23"/>
  <c r="Z916" i="31" s="1"/>
  <c r="O1009" i="23"/>
  <c r="Y917" i="31" s="1"/>
  <c r="H1010" i="23"/>
  <c r="K1010" i="23" s="1"/>
  <c r="N1010" i="23" s="1"/>
  <c r="O1010" i="23" s="1"/>
  <c r="Y918" i="31" s="1"/>
  <c r="E1010" i="20"/>
  <c r="U918" i="31" s="1"/>
  <c r="R1010" i="23"/>
  <c r="Z918" i="31" s="1"/>
  <c r="P918" i="31"/>
  <c r="S918" i="31"/>
  <c r="E1011" i="23"/>
  <c r="G1011" i="23" s="1"/>
  <c r="I1011" i="23" s="1"/>
  <c r="E1011" i="8"/>
  <c r="G1011" i="8" s="1"/>
  <c r="E919" i="31" s="1"/>
  <c r="L1011" i="23"/>
  <c r="X919" i="31" s="1"/>
  <c r="E1012" i="23"/>
  <c r="G1012" i="23" s="1"/>
  <c r="I1012" i="23" s="1"/>
  <c r="E1012" i="8"/>
  <c r="G1012" i="8" s="1"/>
  <c r="E920" i="31" s="1"/>
  <c r="L1012" i="23"/>
  <c r="X920" i="31" s="1"/>
  <c r="E1013" i="23"/>
  <c r="G1013" i="23" s="1"/>
  <c r="I1013" i="23" s="1"/>
  <c r="E1013" i="8"/>
  <c r="G1013" i="8" s="1"/>
  <c r="E921" i="31" s="1"/>
  <c r="L1013" i="23"/>
  <c r="X921" i="31" s="1"/>
  <c r="S917" i="31"/>
  <c r="P917" i="31"/>
  <c r="E1015" i="23"/>
  <c r="G1015" i="23" s="1"/>
  <c r="I1015" i="23" s="1"/>
  <c r="E1015" i="8"/>
  <c r="G1015" i="8" s="1"/>
  <c r="E922" i="31" s="1"/>
  <c r="L1015" i="23"/>
  <c r="X922" i="31" s="1"/>
  <c r="O1015" i="23"/>
  <c r="Y922" i="31" s="1"/>
  <c r="P922" i="31"/>
  <c r="S922" i="31"/>
  <c r="H1016" i="23"/>
  <c r="K1016" i="23" s="1"/>
  <c r="N1016" i="23" s="1"/>
  <c r="O1016" i="23" s="1"/>
  <c r="Y923" i="31" s="1"/>
  <c r="E1016" i="20"/>
  <c r="U923" i="31" s="1"/>
  <c r="R1016" i="23"/>
  <c r="Z923" i="31" s="1"/>
  <c r="F1017" i="23"/>
  <c r="F1017" i="8"/>
  <c r="E1018" i="23"/>
  <c r="G1018" i="23" s="1"/>
  <c r="I1018" i="23" s="1"/>
  <c r="E1018" i="8"/>
  <c r="G1018" i="8" s="1"/>
  <c r="E925" i="31" s="1"/>
  <c r="L1018" i="23"/>
  <c r="X925" i="31" s="1"/>
  <c r="H1019" i="23"/>
  <c r="K1019" i="23" s="1"/>
  <c r="N1019" i="23" s="1"/>
  <c r="O1019" i="23" s="1"/>
  <c r="Y926" i="31" s="1"/>
  <c r="E1019" i="20"/>
  <c r="U926" i="31" s="1"/>
  <c r="R1019" i="23"/>
  <c r="Z926" i="31" s="1"/>
  <c r="O1020" i="23"/>
  <c r="Y927" i="31" s="1"/>
  <c r="H1021" i="23"/>
  <c r="K1021" i="23" s="1"/>
  <c r="N1021" i="23" s="1"/>
  <c r="O1021" i="23" s="1"/>
  <c r="Y928" i="31" s="1"/>
  <c r="E1021" i="20"/>
  <c r="U928" i="31" s="1"/>
  <c r="R1021" i="23"/>
  <c r="Z928" i="31" s="1"/>
  <c r="O1022" i="23"/>
  <c r="Y929" i="31" s="1"/>
  <c r="H1023" i="23"/>
  <c r="K1023" i="23" s="1"/>
  <c r="N1023" i="23" s="1"/>
  <c r="O1023" i="23" s="1"/>
  <c r="Y930" i="31" s="1"/>
  <c r="E1023" i="20"/>
  <c r="U930" i="31" s="1"/>
  <c r="R1023" i="23"/>
  <c r="Z930" i="31" s="1"/>
  <c r="O1024" i="23"/>
  <c r="Y931" i="31" s="1"/>
  <c r="H1279" i="23"/>
  <c r="K1279" i="23" s="1"/>
  <c r="N1279" i="23" s="1"/>
  <c r="O1279" i="23" s="1"/>
  <c r="Y1162" i="31" s="1"/>
  <c r="E1279" i="20"/>
  <c r="U1162" i="31" s="1"/>
  <c r="R1279" i="23"/>
  <c r="Z1162" i="31" s="1"/>
  <c r="F1280" i="23"/>
  <c r="F1280" i="8"/>
  <c r="O1281" i="23"/>
  <c r="Y1164" i="31" s="1"/>
  <c r="H1282" i="23"/>
  <c r="K1282" i="23" s="1"/>
  <c r="N1282" i="23" s="1"/>
  <c r="O1282" i="23" s="1"/>
  <c r="Y1165" i="31" s="1"/>
  <c r="E1282" i="20"/>
  <c r="U1165" i="31" s="1"/>
  <c r="R1282" i="23"/>
  <c r="Z1165" i="31" s="1"/>
  <c r="O1283" i="23"/>
  <c r="Y1166" i="31" s="1"/>
  <c r="H1284" i="23"/>
  <c r="K1284" i="23" s="1"/>
  <c r="N1284" i="23" s="1"/>
  <c r="O1284" i="23" s="1"/>
  <c r="Y1167" i="31" s="1"/>
  <c r="E1284" i="20"/>
  <c r="U1167" i="31" s="1"/>
  <c r="R1284" i="23"/>
  <c r="Z1167" i="31" s="1"/>
  <c r="O1285" i="23"/>
  <c r="Y1168" i="31" s="1"/>
  <c r="E1286" i="20"/>
  <c r="U1169" i="31" s="1"/>
  <c r="H1286" i="23"/>
  <c r="K1286" i="23" s="1"/>
  <c r="N1286" i="23" s="1"/>
  <c r="O1286" i="23" s="1"/>
  <c r="Y1169" i="31" s="1"/>
  <c r="R1286" i="23"/>
  <c r="Z1169" i="31" s="1"/>
  <c r="O1287" i="23"/>
  <c r="Y1170" i="31" s="1"/>
  <c r="H1288" i="23"/>
  <c r="K1288" i="23" s="1"/>
  <c r="N1288" i="23" s="1"/>
  <c r="O1288" i="23" s="1"/>
  <c r="Y1171" i="31" s="1"/>
  <c r="E1288" i="20"/>
  <c r="U1171" i="31" s="1"/>
  <c r="R1288" i="23"/>
  <c r="Z1171" i="31" s="1"/>
  <c r="E1294" i="23"/>
  <c r="E1294" i="8"/>
  <c r="F1294" i="23"/>
  <c r="F1294" i="8"/>
  <c r="L1294" i="23"/>
  <c r="X1176" i="31" s="1"/>
  <c r="E1295" i="23"/>
  <c r="G1295" i="23" s="1"/>
  <c r="I1295" i="23" s="1"/>
  <c r="E1295" i="8"/>
  <c r="G1295" i="8" s="1"/>
  <c r="E1177" i="31" s="1"/>
  <c r="L1295" i="23"/>
  <c r="X1177" i="31" s="1"/>
  <c r="F1296" i="23"/>
  <c r="F1296" i="8"/>
  <c r="F1297" i="23"/>
  <c r="F1297" i="8"/>
  <c r="W967" i="31"/>
  <c r="S1064" i="23"/>
  <c r="AA967" i="31" s="1"/>
  <c r="W965" i="31"/>
  <c r="S1062" i="23"/>
  <c r="AA965" i="31" s="1"/>
  <c r="W1299" i="31"/>
  <c r="S1429" i="23"/>
  <c r="AA1299" i="31" s="1"/>
  <c r="W1261" i="31"/>
  <c r="S1387" i="23"/>
  <c r="AA1261" i="31" s="1"/>
  <c r="W1240" i="31"/>
  <c r="S1364" i="23"/>
  <c r="AA1240" i="31" s="1"/>
  <c r="W1195" i="31"/>
  <c r="S1315" i="23"/>
  <c r="AA1195" i="31" s="1"/>
  <c r="W773" i="31"/>
  <c r="S851" i="23"/>
  <c r="AA773" i="31" s="1"/>
  <c r="W780" i="31"/>
  <c r="S858" i="23"/>
  <c r="AA780" i="31" s="1"/>
  <c r="S746" i="23"/>
  <c r="AA678" i="31" s="1"/>
  <c r="W678" i="31"/>
  <c r="G1431" i="8"/>
  <c r="E1301" i="31" s="1"/>
  <c r="G1427" i="23"/>
  <c r="I1427" i="23" s="1"/>
  <c r="L1312" i="23"/>
  <c r="X1192" i="31" s="1"/>
  <c r="S1107" i="23"/>
  <c r="AA1006" i="31" s="1"/>
  <c r="W1006" i="31"/>
  <c r="W777" i="31"/>
  <c r="S855" i="23"/>
  <c r="AA777" i="31" s="1"/>
  <c r="W1009" i="31"/>
  <c r="S1110" i="23"/>
  <c r="AA1009" i="31" s="1"/>
  <c r="W680" i="31"/>
  <c r="S748" i="23"/>
  <c r="AA680" i="31" s="1"/>
  <c r="G1426" i="8"/>
  <c r="E1296" i="31" s="1"/>
  <c r="L1381" i="23"/>
  <c r="X1255" i="31" s="1"/>
  <c r="L1362" i="23"/>
  <c r="X1238" i="31" s="1"/>
  <c r="G1360" i="8"/>
  <c r="E1236" i="31" s="1"/>
  <c r="G1357" i="23"/>
  <c r="I1357" i="23" s="1"/>
  <c r="G1318" i="23"/>
  <c r="I1318" i="23" s="1"/>
  <c r="G1316" i="8"/>
  <c r="E1196" i="31" s="1"/>
  <c r="L1314" i="23"/>
  <c r="X1194" i="31" s="1"/>
  <c r="W970" i="31"/>
  <c r="S1067" i="23"/>
  <c r="AA970" i="31" s="1"/>
  <c r="L1385" i="23"/>
  <c r="X1259" i="31" s="1"/>
  <c r="G1365" i="8"/>
  <c r="E1241" i="31" s="1"/>
  <c r="G1363" i="8"/>
  <c r="E1239" i="31" s="1"/>
  <c r="G1356" i="23"/>
  <c r="I1356" i="23" s="1"/>
  <c r="G1382" i="23"/>
  <c r="I1382" i="23" s="1"/>
  <c r="G1380" i="23"/>
  <c r="I1380" i="23" s="1"/>
  <c r="G1379" i="23"/>
  <c r="I1379" i="23" s="1"/>
  <c r="N1540" i="6"/>
  <c r="M1540" i="6"/>
  <c r="M1540" i="23" s="1"/>
  <c r="L1540" i="6"/>
  <c r="K1540" i="6"/>
  <c r="P1540" i="23" s="1"/>
  <c r="J1540" i="6"/>
  <c r="J1540" i="23" s="1"/>
  <c r="I1540" i="6"/>
  <c r="Q1540" i="23" s="1"/>
  <c r="H1540" i="6"/>
  <c r="G1540" i="6"/>
  <c r="F1540" i="6"/>
  <c r="E1540" i="6"/>
  <c r="X1539" i="6"/>
  <c r="E1539" i="29" s="1"/>
  <c r="T1399" i="31" s="1"/>
  <c r="V1539" i="6"/>
  <c r="E1539" i="28" s="1"/>
  <c r="N1539" i="6"/>
  <c r="M1539" i="6"/>
  <c r="M1539" i="23" s="1"/>
  <c r="L1539" i="6"/>
  <c r="K1539" i="6"/>
  <c r="P1539" i="23" s="1"/>
  <c r="J1539" i="6"/>
  <c r="J1539" i="23" s="1"/>
  <c r="I1539" i="6"/>
  <c r="Q1539" i="23" s="1"/>
  <c r="H1539" i="6"/>
  <c r="G1539" i="6"/>
  <c r="F1539" i="6"/>
  <c r="E1539" i="6"/>
  <c r="X1538" i="6"/>
  <c r="E1538" i="29" s="1"/>
  <c r="T1398" i="31" s="1"/>
  <c r="V1538" i="6"/>
  <c r="E1538" i="28" s="1"/>
  <c r="N1538" i="6"/>
  <c r="M1538" i="6"/>
  <c r="M1538" i="23" s="1"/>
  <c r="L1538" i="6"/>
  <c r="K1538" i="6"/>
  <c r="P1538" i="23" s="1"/>
  <c r="J1538" i="6"/>
  <c r="J1538" i="23" s="1"/>
  <c r="I1538" i="6"/>
  <c r="Q1538" i="23" s="1"/>
  <c r="H1538" i="6"/>
  <c r="G1538" i="6"/>
  <c r="F1538" i="6"/>
  <c r="E1538" i="6"/>
  <c r="X1537" i="6"/>
  <c r="E1537" i="29" s="1"/>
  <c r="T1397" i="31" s="1"/>
  <c r="V1537" i="6"/>
  <c r="E1537" i="28" s="1"/>
  <c r="N1537" i="6"/>
  <c r="M1537" i="6"/>
  <c r="M1537" i="23" s="1"/>
  <c r="L1537" i="6"/>
  <c r="K1537" i="6"/>
  <c r="P1537" i="23" s="1"/>
  <c r="J1537" i="6"/>
  <c r="J1537" i="23" s="1"/>
  <c r="I1537" i="6"/>
  <c r="Q1537" i="23" s="1"/>
  <c r="H1537" i="6"/>
  <c r="G1537" i="6"/>
  <c r="F1537" i="6"/>
  <c r="E1537" i="6"/>
  <c r="X1536" i="6"/>
  <c r="E1536" i="29" s="1"/>
  <c r="T1396" i="31" s="1"/>
  <c r="X1535" i="6"/>
  <c r="E1535" i="29" s="1"/>
  <c r="T1395" i="31" s="1"/>
  <c r="V1536" i="6"/>
  <c r="E1536" i="28" s="1"/>
  <c r="N1536" i="6"/>
  <c r="M1536" i="6"/>
  <c r="M1536" i="23" s="1"/>
  <c r="L1536" i="6"/>
  <c r="K1536" i="6"/>
  <c r="P1536" i="23" s="1"/>
  <c r="R1536" i="23" s="1"/>
  <c r="Z1396" i="31" s="1"/>
  <c r="J1536" i="6"/>
  <c r="J1536" i="23" s="1"/>
  <c r="I1536" i="6"/>
  <c r="Q1536" i="23" s="1"/>
  <c r="H1536" i="6"/>
  <c r="G1536" i="6"/>
  <c r="F1536" i="6"/>
  <c r="E1536" i="6"/>
  <c r="V1535" i="6"/>
  <c r="E1535" i="28" s="1"/>
  <c r="N1535" i="6"/>
  <c r="M1535" i="6"/>
  <c r="M1535" i="23" s="1"/>
  <c r="L1535" i="6"/>
  <c r="K1535" i="6"/>
  <c r="P1535" i="23" s="1"/>
  <c r="J1535" i="6"/>
  <c r="J1535" i="23" s="1"/>
  <c r="I1535" i="6"/>
  <c r="Q1535" i="23" s="1"/>
  <c r="H1535" i="6"/>
  <c r="G1535" i="6"/>
  <c r="F1535" i="6"/>
  <c r="E1535" i="6"/>
  <c r="X1534" i="6"/>
  <c r="E1534" i="29" s="1"/>
  <c r="T1394" i="31" s="1"/>
  <c r="X1533" i="6"/>
  <c r="E1533" i="29" s="1"/>
  <c r="T1393" i="31" s="1"/>
  <c r="V1534" i="6"/>
  <c r="E1534" i="28" s="1"/>
  <c r="N1534" i="6"/>
  <c r="M1534" i="6"/>
  <c r="M1534" i="23" s="1"/>
  <c r="L1534" i="6"/>
  <c r="K1534" i="6"/>
  <c r="P1534" i="23" s="1"/>
  <c r="R1534" i="23" s="1"/>
  <c r="Z1394" i="31" s="1"/>
  <c r="J1534" i="6"/>
  <c r="J1534" i="23" s="1"/>
  <c r="I1534" i="6"/>
  <c r="Q1534" i="23" s="1"/>
  <c r="H1534" i="6"/>
  <c r="G1534" i="6"/>
  <c r="F1534" i="6"/>
  <c r="E1534" i="6"/>
  <c r="V1533" i="6"/>
  <c r="E1533" i="28" s="1"/>
  <c r="N1533" i="6"/>
  <c r="M1533" i="6"/>
  <c r="M1533" i="23" s="1"/>
  <c r="L1533" i="6"/>
  <c r="K1533" i="6"/>
  <c r="P1533" i="23" s="1"/>
  <c r="J1533" i="6"/>
  <c r="J1533" i="23" s="1"/>
  <c r="I1533" i="6"/>
  <c r="Q1533" i="23" s="1"/>
  <c r="H1533" i="6"/>
  <c r="G1533" i="6"/>
  <c r="F1533" i="6"/>
  <c r="E1533" i="6"/>
  <c r="X1532" i="6"/>
  <c r="E1532" i="29" s="1"/>
  <c r="T1392" i="31" s="1"/>
  <c r="V1532" i="6"/>
  <c r="E1532" i="28" s="1"/>
  <c r="T1533" i="6"/>
  <c r="E1533" i="19" s="1"/>
  <c r="T1534" i="6"/>
  <c r="E1534" i="19" s="1"/>
  <c r="T1535" i="6"/>
  <c r="E1535" i="19" s="1"/>
  <c r="T1536" i="6"/>
  <c r="E1536" i="19" s="1"/>
  <c r="T1537" i="6"/>
  <c r="E1537" i="19" s="1"/>
  <c r="T1538" i="6"/>
  <c r="E1538" i="19" s="1"/>
  <c r="T1539" i="6"/>
  <c r="E1539" i="19" s="1"/>
  <c r="T1540" i="6"/>
  <c r="E1540" i="19" s="1"/>
  <c r="T1541" i="6"/>
  <c r="E1541" i="19" s="1"/>
  <c r="T1532" i="6"/>
  <c r="E1532" i="19" s="1"/>
  <c r="N1532" i="6"/>
  <c r="M1532" i="6"/>
  <c r="M1532" i="23" s="1"/>
  <c r="L1532" i="6"/>
  <c r="L1531" i="6"/>
  <c r="K1532" i="6"/>
  <c r="P1532" i="23" s="1"/>
  <c r="J1532" i="6"/>
  <c r="J1532" i="23" s="1"/>
  <c r="I1532" i="6"/>
  <c r="Q1532" i="23" s="1"/>
  <c r="H1532" i="6"/>
  <c r="G1532" i="6"/>
  <c r="F1532" i="6"/>
  <c r="E1532" i="6"/>
  <c r="V1530" i="6"/>
  <c r="E1530" i="28" s="1"/>
  <c r="X1530" i="6"/>
  <c r="E1530" i="29" s="1"/>
  <c r="T1391" i="31" s="1"/>
  <c r="N1530" i="6"/>
  <c r="M1530" i="6"/>
  <c r="M1530" i="23" s="1"/>
  <c r="L1530" i="6"/>
  <c r="K1530" i="6"/>
  <c r="P1530" i="23" s="1"/>
  <c r="J1530" i="6"/>
  <c r="J1530" i="23" s="1"/>
  <c r="I1530" i="6"/>
  <c r="Q1530" i="23" s="1"/>
  <c r="G1530" i="6"/>
  <c r="E1530" i="6"/>
  <c r="F1530" i="6" s="1"/>
  <c r="X1529" i="6"/>
  <c r="E1529" i="29" s="1"/>
  <c r="T1390" i="31" s="1"/>
  <c r="W1529" i="6"/>
  <c r="V1529" i="6"/>
  <c r="E1529" i="28" s="1"/>
  <c r="N1529" i="6"/>
  <c r="M1529" i="6"/>
  <c r="M1529" i="23" s="1"/>
  <c r="L1529" i="6"/>
  <c r="K1529" i="6"/>
  <c r="P1529" i="23" s="1"/>
  <c r="J1529" i="6"/>
  <c r="J1529" i="23" s="1"/>
  <c r="H1529" i="6"/>
  <c r="I1529" i="6"/>
  <c r="Q1529" i="23" s="1"/>
  <c r="G1529" i="6"/>
  <c r="E1529" i="6"/>
  <c r="F1529" i="6" s="1"/>
  <c r="X1528" i="6"/>
  <c r="E1528" i="29" s="1"/>
  <c r="T1389" i="31" s="1"/>
  <c r="V1528" i="6"/>
  <c r="E1528" i="28" s="1"/>
  <c r="N1528" i="6"/>
  <c r="M1528" i="6"/>
  <c r="M1528" i="23" s="1"/>
  <c r="L1528" i="6"/>
  <c r="K1528" i="6"/>
  <c r="P1528" i="23" s="1"/>
  <c r="J1528" i="6"/>
  <c r="J1528" i="23" s="1"/>
  <c r="H1528" i="6"/>
  <c r="I1528" i="6"/>
  <c r="Q1528" i="23" s="1"/>
  <c r="G1528" i="6"/>
  <c r="E1528" i="6"/>
  <c r="F1528" i="6" s="1"/>
  <c r="X1527" i="6"/>
  <c r="E1527" i="29" s="1"/>
  <c r="T1388" i="31" s="1"/>
  <c r="V1527" i="6"/>
  <c r="E1527" i="28" s="1"/>
  <c r="X1526" i="6"/>
  <c r="E1526" i="29" s="1"/>
  <c r="T1387" i="31" s="1"/>
  <c r="N1527" i="6"/>
  <c r="M1527" i="6"/>
  <c r="M1527" i="23" s="1"/>
  <c r="L1527" i="6"/>
  <c r="K1527" i="6"/>
  <c r="P1527" i="23" s="1"/>
  <c r="R1527" i="23" s="1"/>
  <c r="Z1388" i="31" s="1"/>
  <c r="J1527" i="6"/>
  <c r="J1527" i="23" s="1"/>
  <c r="H1527" i="6"/>
  <c r="I1527" i="6"/>
  <c r="Q1527" i="23" s="1"/>
  <c r="G1527" i="6"/>
  <c r="F1527" i="6"/>
  <c r="E1527" i="6"/>
  <c r="V1526" i="6"/>
  <c r="E1526" i="28" s="1"/>
  <c r="N1526" i="6"/>
  <c r="M1526" i="6"/>
  <c r="M1526" i="23" s="1"/>
  <c r="L1526" i="6"/>
  <c r="K1526" i="6"/>
  <c r="P1526" i="23" s="1"/>
  <c r="J1526" i="6"/>
  <c r="J1526" i="23" s="1"/>
  <c r="H1526" i="6"/>
  <c r="I1526" i="6"/>
  <c r="Q1526" i="23" s="1"/>
  <c r="G1526" i="6"/>
  <c r="E1526" i="6"/>
  <c r="F1526" i="6" s="1"/>
  <c r="X1525" i="6"/>
  <c r="E1525" i="29" s="1"/>
  <c r="T1386" i="31" s="1"/>
  <c r="V1525" i="6"/>
  <c r="E1525" i="28" s="1"/>
  <c r="N1525" i="6"/>
  <c r="M1525" i="6"/>
  <c r="M1525" i="23" s="1"/>
  <c r="L1525" i="6"/>
  <c r="K1525" i="6"/>
  <c r="P1525" i="23" s="1"/>
  <c r="J1525" i="6"/>
  <c r="J1525" i="23" s="1"/>
  <c r="H1525" i="6"/>
  <c r="I1525" i="6"/>
  <c r="Q1525" i="23" s="1"/>
  <c r="G1525" i="6"/>
  <c r="E1525" i="6"/>
  <c r="F1525" i="6" s="1"/>
  <c r="X1524" i="6"/>
  <c r="E1524" i="29" s="1"/>
  <c r="T1385" i="31" s="1"/>
  <c r="V1524" i="6"/>
  <c r="E1524" i="28" s="1"/>
  <c r="N1524" i="6"/>
  <c r="M1524" i="6"/>
  <c r="M1524" i="23" s="1"/>
  <c r="L1524" i="6"/>
  <c r="K1524" i="6"/>
  <c r="P1524" i="23" s="1"/>
  <c r="J1524" i="6"/>
  <c r="J1524" i="23" s="1"/>
  <c r="H1524" i="6"/>
  <c r="I1524" i="6"/>
  <c r="Q1524" i="23" s="1"/>
  <c r="G1524" i="6"/>
  <c r="E1524" i="6"/>
  <c r="F1524" i="6" s="1"/>
  <c r="V1523" i="6"/>
  <c r="E1523" i="28" s="1"/>
  <c r="X1523" i="6"/>
  <c r="E1523" i="29" s="1"/>
  <c r="T1384" i="31" s="1"/>
  <c r="N1523" i="6"/>
  <c r="M1523" i="6"/>
  <c r="M1523" i="23" s="1"/>
  <c r="L1523" i="6"/>
  <c r="K1523" i="6"/>
  <c r="P1523" i="23" s="1"/>
  <c r="J1523" i="6"/>
  <c r="J1523" i="23" s="1"/>
  <c r="H1523" i="6"/>
  <c r="I1523" i="6"/>
  <c r="Q1523" i="23" s="1"/>
  <c r="G1523" i="6"/>
  <c r="E1523" i="6"/>
  <c r="F1523" i="6" s="1"/>
  <c r="X1522" i="6"/>
  <c r="E1522" i="29" s="1"/>
  <c r="T1383" i="31" s="1"/>
  <c r="V1522" i="6"/>
  <c r="E1522" i="28" s="1"/>
  <c r="N1522" i="6"/>
  <c r="N1521" i="6"/>
  <c r="M1522" i="6"/>
  <c r="M1522" i="23" s="1"/>
  <c r="M1521" i="6"/>
  <c r="M1521" i="23" s="1"/>
  <c r="L1522" i="6"/>
  <c r="L1521" i="6"/>
  <c r="K1522" i="6"/>
  <c r="P1522" i="23" s="1"/>
  <c r="R1522" i="23" s="1"/>
  <c r="Z1383" i="31" s="1"/>
  <c r="K1521" i="6"/>
  <c r="P1521" i="23" s="1"/>
  <c r="J1522" i="6"/>
  <c r="J1522" i="23" s="1"/>
  <c r="J1521" i="6"/>
  <c r="J1521" i="23" s="1"/>
  <c r="H1522" i="6"/>
  <c r="I1522" i="6"/>
  <c r="Q1522" i="23" s="1"/>
  <c r="I1521" i="6"/>
  <c r="Q1521" i="23" s="1"/>
  <c r="G1522" i="6"/>
  <c r="G1521" i="6"/>
  <c r="F1522" i="6"/>
  <c r="F1521" i="6"/>
  <c r="E1521" i="6"/>
  <c r="E1522" i="6"/>
  <c r="V1521" i="6"/>
  <c r="E1521" i="28" s="1"/>
  <c r="X1521" i="6"/>
  <c r="E1521" i="29" s="1"/>
  <c r="T1382" i="31" s="1"/>
  <c r="T1522" i="6"/>
  <c r="E1522" i="19" s="1"/>
  <c r="T1523" i="6"/>
  <c r="E1523" i="19" s="1"/>
  <c r="T1524" i="6"/>
  <c r="E1524" i="19" s="1"/>
  <c r="T1525" i="6"/>
  <c r="E1525" i="19" s="1"/>
  <c r="T1526" i="6"/>
  <c r="E1526" i="19" s="1"/>
  <c r="T1527" i="6"/>
  <c r="E1527" i="19" s="1"/>
  <c r="T1528" i="6"/>
  <c r="E1528" i="19" s="1"/>
  <c r="T1529" i="6"/>
  <c r="E1529" i="19" s="1"/>
  <c r="T1530" i="6"/>
  <c r="E1530" i="19" s="1"/>
  <c r="T1521" i="6"/>
  <c r="E1521" i="19" s="1"/>
  <c r="L1520" i="6"/>
  <c r="X1519" i="6"/>
  <c r="E1519" i="29" s="1"/>
  <c r="T1381" i="31" s="1"/>
  <c r="W1519" i="6"/>
  <c r="V1519" i="6"/>
  <c r="E1519" i="28" s="1"/>
  <c r="T1519" i="6"/>
  <c r="E1519" i="19" s="1"/>
  <c r="N1519" i="6"/>
  <c r="M1519" i="6"/>
  <c r="M1519" i="23" s="1"/>
  <c r="L1519" i="6"/>
  <c r="K1519" i="6"/>
  <c r="P1519" i="23" s="1"/>
  <c r="J1519" i="6"/>
  <c r="J1519" i="23" s="1"/>
  <c r="I1519" i="6"/>
  <c r="Q1519" i="23" s="1"/>
  <c r="H1519" i="6"/>
  <c r="G1519" i="6"/>
  <c r="F1519" i="6"/>
  <c r="E1519" i="6"/>
  <c r="X1508" i="6"/>
  <c r="E1508" i="29" s="1"/>
  <c r="T1371" i="31" s="1"/>
  <c r="V1508" i="6"/>
  <c r="E1508" i="28" s="1"/>
  <c r="N1508" i="6"/>
  <c r="M1508" i="6"/>
  <c r="M1508" i="23" s="1"/>
  <c r="L1508" i="6"/>
  <c r="K1508" i="6"/>
  <c r="P1508" i="23" s="1"/>
  <c r="J1508" i="6"/>
  <c r="J1508" i="23" s="1"/>
  <c r="I1508" i="6"/>
  <c r="Q1508" i="23" s="1"/>
  <c r="H1508" i="6"/>
  <c r="G1508" i="6"/>
  <c r="F1508" i="6"/>
  <c r="E1508" i="6"/>
  <c r="X1507" i="6"/>
  <c r="E1507" i="29" s="1"/>
  <c r="T1370" i="31" s="1"/>
  <c r="V1507" i="6"/>
  <c r="E1507" i="28" s="1"/>
  <c r="N1507" i="6"/>
  <c r="M1507" i="6"/>
  <c r="M1507" i="23" s="1"/>
  <c r="L1507" i="6"/>
  <c r="K1507" i="6"/>
  <c r="P1507" i="23" s="1"/>
  <c r="J1507" i="6"/>
  <c r="J1507" i="23" s="1"/>
  <c r="I1507" i="6"/>
  <c r="Q1507" i="23" s="1"/>
  <c r="H1507" i="6"/>
  <c r="G1507" i="6"/>
  <c r="F1507" i="6"/>
  <c r="E1507" i="6"/>
  <c r="X1506" i="6"/>
  <c r="E1506" i="29" s="1"/>
  <c r="T1369" i="31" s="1"/>
  <c r="V1506" i="6"/>
  <c r="E1506" i="28" s="1"/>
  <c r="N1506" i="6"/>
  <c r="M1506" i="6"/>
  <c r="M1506" i="23" s="1"/>
  <c r="L1506" i="6"/>
  <c r="K1506" i="6"/>
  <c r="P1506" i="23" s="1"/>
  <c r="J1506" i="6"/>
  <c r="J1506" i="23" s="1"/>
  <c r="I1506" i="6"/>
  <c r="Q1506" i="23" s="1"/>
  <c r="H1506" i="6"/>
  <c r="G1506" i="6"/>
  <c r="F1506" i="6"/>
  <c r="E1506" i="6"/>
  <c r="X1505" i="6"/>
  <c r="E1505" i="29" s="1"/>
  <c r="T1368" i="31" s="1"/>
  <c r="V1505" i="6"/>
  <c r="E1505" i="28" s="1"/>
  <c r="N1505" i="6"/>
  <c r="M1505" i="6"/>
  <c r="M1505" i="23" s="1"/>
  <c r="L1505" i="6"/>
  <c r="K1505" i="6"/>
  <c r="P1505" i="23" s="1"/>
  <c r="J1505" i="6"/>
  <c r="J1505" i="23" s="1"/>
  <c r="I1505" i="6"/>
  <c r="Q1505" i="23" s="1"/>
  <c r="H1505" i="6"/>
  <c r="G1505" i="6"/>
  <c r="F1505" i="6"/>
  <c r="E1505" i="6"/>
  <c r="V1504" i="6"/>
  <c r="E1504" i="28" s="1"/>
  <c r="X1504" i="6"/>
  <c r="E1504" i="29" s="1"/>
  <c r="T1367" i="31" s="1"/>
  <c r="X1503" i="6"/>
  <c r="E1503" i="29" s="1"/>
  <c r="T1366" i="31" s="1"/>
  <c r="X1502" i="6"/>
  <c r="E1502" i="29" s="1"/>
  <c r="T1365" i="31" s="1"/>
  <c r="V1503" i="6"/>
  <c r="E1503" i="28" s="1"/>
  <c r="N1504" i="6"/>
  <c r="N1503" i="6"/>
  <c r="M1504" i="6"/>
  <c r="M1504" i="23" s="1"/>
  <c r="M1503" i="6"/>
  <c r="M1503" i="23" s="1"/>
  <c r="L1504" i="6"/>
  <c r="L1503" i="6"/>
  <c r="K1504" i="6"/>
  <c r="P1504" i="23" s="1"/>
  <c r="K1503" i="6"/>
  <c r="P1503" i="23" s="1"/>
  <c r="J1504" i="6"/>
  <c r="J1504" i="23" s="1"/>
  <c r="J1503" i="6"/>
  <c r="J1503" i="23" s="1"/>
  <c r="I1504" i="6"/>
  <c r="Q1504" i="23" s="1"/>
  <c r="I1503" i="6"/>
  <c r="Q1503" i="23" s="1"/>
  <c r="H1504" i="6"/>
  <c r="H1503" i="6"/>
  <c r="G1504" i="6"/>
  <c r="G1503" i="6"/>
  <c r="F1504" i="6"/>
  <c r="F1503" i="6"/>
  <c r="E1504" i="6"/>
  <c r="E1503" i="6"/>
  <c r="V1502" i="6"/>
  <c r="E1502" i="28" s="1"/>
  <c r="N1502" i="6"/>
  <c r="M1502" i="6"/>
  <c r="M1502" i="23" s="1"/>
  <c r="L1502" i="6"/>
  <c r="K1502" i="6"/>
  <c r="P1502" i="23" s="1"/>
  <c r="J1502" i="6"/>
  <c r="J1502" i="23" s="1"/>
  <c r="I1502" i="6"/>
  <c r="Q1502" i="23" s="1"/>
  <c r="H1502" i="6"/>
  <c r="G1502" i="6"/>
  <c r="F1502" i="6"/>
  <c r="E1502" i="6"/>
  <c r="X1501" i="6"/>
  <c r="E1501" i="29" s="1"/>
  <c r="T1364" i="31" s="1"/>
  <c r="V1501" i="6"/>
  <c r="E1501" i="28" s="1"/>
  <c r="T1502" i="6"/>
  <c r="E1502" i="19" s="1"/>
  <c r="T1503" i="6"/>
  <c r="E1503" i="19" s="1"/>
  <c r="T1504" i="6"/>
  <c r="E1504" i="19" s="1"/>
  <c r="T1505" i="6"/>
  <c r="E1505" i="19" s="1"/>
  <c r="T1506" i="6"/>
  <c r="E1506" i="19" s="1"/>
  <c r="T1507" i="6"/>
  <c r="E1507" i="19" s="1"/>
  <c r="T1508" i="6"/>
  <c r="E1508" i="19" s="1"/>
  <c r="T1501" i="6"/>
  <c r="E1501" i="19" s="1"/>
  <c r="N1501" i="6"/>
  <c r="N1500" i="6"/>
  <c r="M1501" i="6"/>
  <c r="M1501" i="23" s="1"/>
  <c r="M1500" i="6"/>
  <c r="M1500" i="23" s="1"/>
  <c r="L1501" i="6"/>
  <c r="L1500" i="6"/>
  <c r="K1501" i="6"/>
  <c r="P1501" i="23" s="1"/>
  <c r="K1500" i="6"/>
  <c r="P1500" i="23" s="1"/>
  <c r="J1501" i="6"/>
  <c r="J1501" i="23" s="1"/>
  <c r="J1500" i="6"/>
  <c r="J1500" i="23" s="1"/>
  <c r="I1501" i="6"/>
  <c r="Q1501" i="23" s="1"/>
  <c r="I1500" i="6"/>
  <c r="Q1500" i="23" s="1"/>
  <c r="H1501" i="6"/>
  <c r="H1500" i="6"/>
  <c r="G1501" i="6"/>
  <c r="G1500" i="6"/>
  <c r="F1501" i="6"/>
  <c r="F1500" i="6"/>
  <c r="E1501" i="6"/>
  <c r="E1500" i="6"/>
  <c r="V1497" i="6"/>
  <c r="E1497" i="28" s="1"/>
  <c r="X1497" i="6"/>
  <c r="E1497" i="29" s="1"/>
  <c r="T1361" i="31" s="1"/>
  <c r="N1497" i="6"/>
  <c r="M1497" i="6"/>
  <c r="M1497" i="23" s="1"/>
  <c r="L1497" i="6"/>
  <c r="K1497" i="6"/>
  <c r="P1497" i="23" s="1"/>
  <c r="R1497" i="23" s="1"/>
  <c r="Z1361" i="31" s="1"/>
  <c r="J1497" i="6"/>
  <c r="J1497" i="23" s="1"/>
  <c r="I1497" i="6"/>
  <c r="Q1497" i="23" s="1"/>
  <c r="H1497" i="6"/>
  <c r="G1497" i="6"/>
  <c r="F1497" i="6"/>
  <c r="E1497" i="6"/>
  <c r="X1496" i="6"/>
  <c r="E1496" i="29" s="1"/>
  <c r="T1360" i="31" s="1"/>
  <c r="V1496" i="6"/>
  <c r="E1496" i="28" s="1"/>
  <c r="N1496" i="6"/>
  <c r="M1496" i="6"/>
  <c r="M1496" i="23" s="1"/>
  <c r="L1496" i="6"/>
  <c r="K1496" i="6"/>
  <c r="P1496" i="23" s="1"/>
  <c r="R1496" i="23" s="1"/>
  <c r="Z1360" i="31" s="1"/>
  <c r="J1496" i="6"/>
  <c r="J1496" i="23" s="1"/>
  <c r="I1496" i="6"/>
  <c r="Q1496" i="23" s="1"/>
  <c r="H1496" i="6"/>
  <c r="G1496" i="6"/>
  <c r="F1496" i="6"/>
  <c r="E1496" i="6"/>
  <c r="T1496" i="6"/>
  <c r="E1496" i="19" s="1"/>
  <c r="T1497" i="6"/>
  <c r="E1497" i="19" s="1"/>
  <c r="T1495" i="6"/>
  <c r="E1495" i="19" s="1"/>
  <c r="N1495" i="6"/>
  <c r="M1495" i="6"/>
  <c r="M1495" i="23" s="1"/>
  <c r="L1495" i="6"/>
  <c r="K1495" i="6"/>
  <c r="P1495" i="23" s="1"/>
  <c r="J1495" i="6"/>
  <c r="J1495" i="23" s="1"/>
  <c r="I1495" i="6"/>
  <c r="Q1495" i="23" s="1"/>
  <c r="H1495" i="6"/>
  <c r="G1495" i="6"/>
  <c r="F1495" i="6"/>
  <c r="E1495" i="6"/>
  <c r="N1409" i="6"/>
  <c r="M1409" i="6"/>
  <c r="M1409" i="23" s="1"/>
  <c r="L1409" i="6"/>
  <c r="K1409" i="6"/>
  <c r="P1409" i="23" s="1"/>
  <c r="R1409" i="23" s="1"/>
  <c r="Z1281" i="31" s="1"/>
  <c r="J1409" i="6"/>
  <c r="J1409" i="23" s="1"/>
  <c r="I1409" i="6"/>
  <c r="Q1409" i="23" s="1"/>
  <c r="H1409" i="6"/>
  <c r="G1409" i="6"/>
  <c r="F1409" i="6"/>
  <c r="E1409" i="6"/>
  <c r="N1408" i="6"/>
  <c r="M1408" i="6"/>
  <c r="M1408" i="23" s="1"/>
  <c r="L1408" i="6"/>
  <c r="K1408" i="6"/>
  <c r="P1408" i="23" s="1"/>
  <c r="J1408" i="6"/>
  <c r="J1408" i="23" s="1"/>
  <c r="I1408" i="6"/>
  <c r="Q1408" i="23" s="1"/>
  <c r="H1408" i="6"/>
  <c r="G1408" i="6"/>
  <c r="F1408" i="6"/>
  <c r="E1408" i="6"/>
  <c r="N1407" i="6"/>
  <c r="M1407" i="6"/>
  <c r="M1407" i="23" s="1"/>
  <c r="L1407" i="6"/>
  <c r="K1407" i="6"/>
  <c r="P1407" i="23" s="1"/>
  <c r="R1407" i="23" s="1"/>
  <c r="Z1279" i="31" s="1"/>
  <c r="J1407" i="6"/>
  <c r="J1407" i="23" s="1"/>
  <c r="I1407" i="6"/>
  <c r="Q1407" i="23" s="1"/>
  <c r="H1407" i="6"/>
  <c r="G1407" i="6"/>
  <c r="F1407" i="6"/>
  <c r="E1407" i="6"/>
  <c r="N1406" i="6"/>
  <c r="M1406" i="6"/>
  <c r="M1406" i="23" s="1"/>
  <c r="L1406" i="6"/>
  <c r="K1406" i="6"/>
  <c r="P1406" i="23" s="1"/>
  <c r="J1406" i="6"/>
  <c r="J1406" i="23" s="1"/>
  <c r="I1406" i="6"/>
  <c r="Q1406" i="23" s="1"/>
  <c r="H1406" i="6"/>
  <c r="G1406" i="6"/>
  <c r="F1406" i="6"/>
  <c r="E1406" i="6"/>
  <c r="N1405" i="6"/>
  <c r="M1405" i="6"/>
  <c r="M1405" i="23" s="1"/>
  <c r="L1405" i="6"/>
  <c r="K1405" i="6"/>
  <c r="P1405" i="23" s="1"/>
  <c r="R1405" i="23" s="1"/>
  <c r="Z1277" i="31" s="1"/>
  <c r="J1405" i="6"/>
  <c r="J1405" i="23" s="1"/>
  <c r="I1405" i="6"/>
  <c r="Q1405" i="23" s="1"/>
  <c r="H1405" i="6"/>
  <c r="G1405" i="6"/>
  <c r="F1405" i="6"/>
  <c r="E1405" i="6"/>
  <c r="T1405" i="6"/>
  <c r="E1405" i="19" s="1"/>
  <c r="T1406" i="6"/>
  <c r="E1406" i="19" s="1"/>
  <c r="T1407" i="6"/>
  <c r="E1407" i="19" s="1"/>
  <c r="T1408" i="6"/>
  <c r="E1408" i="19" s="1"/>
  <c r="T1409" i="6"/>
  <c r="E1409" i="19" s="1"/>
  <c r="T1404" i="6"/>
  <c r="E1404" i="19" s="1"/>
  <c r="N1404" i="6"/>
  <c r="N1403" i="6"/>
  <c r="M1404" i="6"/>
  <c r="M1404" i="23" s="1"/>
  <c r="M1403" i="6"/>
  <c r="M1403" i="23" s="1"/>
  <c r="L1404" i="6"/>
  <c r="L1403" i="6"/>
  <c r="K1404" i="6"/>
  <c r="P1404" i="23" s="1"/>
  <c r="K1403" i="6"/>
  <c r="P1403" i="23" s="1"/>
  <c r="J1404" i="6"/>
  <c r="J1404" i="23" s="1"/>
  <c r="J1403" i="6"/>
  <c r="J1403" i="23" s="1"/>
  <c r="I1404" i="6"/>
  <c r="Q1404" i="23" s="1"/>
  <c r="I1403" i="6"/>
  <c r="Q1403" i="23" s="1"/>
  <c r="H1404" i="6"/>
  <c r="H1403" i="6"/>
  <c r="G1404" i="6"/>
  <c r="G1403" i="6"/>
  <c r="F1404" i="6"/>
  <c r="F1403" i="6"/>
  <c r="E1404" i="6"/>
  <c r="E1403" i="6"/>
  <c r="N1354" i="6"/>
  <c r="M1354" i="6"/>
  <c r="M1354" i="23" s="1"/>
  <c r="L1354" i="6"/>
  <c r="K1354" i="6"/>
  <c r="P1354" i="23" s="1"/>
  <c r="R1354" i="23" s="1"/>
  <c r="Z1231" i="31" s="1"/>
  <c r="J1354" i="6"/>
  <c r="J1354" i="23" s="1"/>
  <c r="I1354" i="6"/>
  <c r="Q1354" i="23" s="1"/>
  <c r="G1354" i="6"/>
  <c r="F1354" i="6"/>
  <c r="E1354" i="6"/>
  <c r="N1353" i="6"/>
  <c r="M1353" i="6"/>
  <c r="M1353" i="23" s="1"/>
  <c r="L1353" i="6"/>
  <c r="K1353" i="6"/>
  <c r="P1353" i="23" s="1"/>
  <c r="J1353" i="6"/>
  <c r="J1353" i="23" s="1"/>
  <c r="H1353" i="6"/>
  <c r="I1353" i="6"/>
  <c r="Q1353" i="23" s="1"/>
  <c r="G1353" i="6"/>
  <c r="E1353" i="6"/>
  <c r="F1353" i="6" s="1"/>
  <c r="N1352" i="6"/>
  <c r="M1352" i="6"/>
  <c r="M1352" i="23" s="1"/>
  <c r="L1352" i="6"/>
  <c r="K1352" i="6"/>
  <c r="P1352" i="23" s="1"/>
  <c r="R1352" i="23" s="1"/>
  <c r="Z1229" i="31" s="1"/>
  <c r="J1352" i="6"/>
  <c r="J1352" i="23" s="1"/>
  <c r="I1352" i="6"/>
  <c r="Q1352" i="23" s="1"/>
  <c r="G1352" i="6"/>
  <c r="F1352" i="6"/>
  <c r="E1352" i="6"/>
  <c r="N1351" i="6"/>
  <c r="M1351" i="6"/>
  <c r="M1351" i="23" s="1"/>
  <c r="L1351" i="6"/>
  <c r="K1351" i="6"/>
  <c r="P1351" i="23" s="1"/>
  <c r="J1351" i="6"/>
  <c r="J1351" i="23" s="1"/>
  <c r="H1351" i="6"/>
  <c r="I1351" i="6"/>
  <c r="Q1351" i="23" s="1"/>
  <c r="G1351" i="6"/>
  <c r="E1351" i="6"/>
  <c r="F1351" i="6" s="1"/>
  <c r="T1350" i="6"/>
  <c r="E1350" i="19" s="1"/>
  <c r="T1351" i="6"/>
  <c r="E1351" i="19" s="1"/>
  <c r="T1352" i="6"/>
  <c r="E1352" i="19" s="1"/>
  <c r="T1353" i="6"/>
  <c r="E1353" i="19" s="1"/>
  <c r="T1354" i="6"/>
  <c r="E1354" i="19" s="1"/>
  <c r="T1349" i="6"/>
  <c r="E1349" i="19" s="1"/>
  <c r="N1350" i="6"/>
  <c r="N1349" i="6"/>
  <c r="M1350" i="6"/>
  <c r="M1350" i="23" s="1"/>
  <c r="M1349" i="6"/>
  <c r="M1349" i="23" s="1"/>
  <c r="L1350" i="6"/>
  <c r="L1349" i="6"/>
  <c r="K1350" i="6"/>
  <c r="P1350" i="23" s="1"/>
  <c r="K1349" i="6"/>
  <c r="P1349" i="23" s="1"/>
  <c r="J1350" i="6"/>
  <c r="J1350" i="23" s="1"/>
  <c r="J1349" i="6"/>
  <c r="J1349" i="23" s="1"/>
  <c r="I1350" i="6"/>
  <c r="Q1350" i="23" s="1"/>
  <c r="I1349" i="6"/>
  <c r="Q1349" i="23" s="1"/>
  <c r="H1350" i="6"/>
  <c r="H1349" i="6"/>
  <c r="G1350" i="6"/>
  <c r="G1349" i="6"/>
  <c r="F1349" i="6"/>
  <c r="E1350" i="6"/>
  <c r="F1350" i="6" s="1"/>
  <c r="E1349" i="6"/>
  <c r="L1322" i="6"/>
  <c r="M1332" i="6"/>
  <c r="M1332" i="23" s="1"/>
  <c r="L1332" i="6"/>
  <c r="K1332" i="6"/>
  <c r="P1332" i="23" s="1"/>
  <c r="J1332" i="6"/>
  <c r="J1332" i="23" s="1"/>
  <c r="I1332" i="6"/>
  <c r="Q1332" i="23" s="1"/>
  <c r="H1332" i="6"/>
  <c r="G1331" i="6"/>
  <c r="G1332" i="6"/>
  <c r="F1332" i="6"/>
  <c r="E1332" i="6"/>
  <c r="N1331" i="6"/>
  <c r="M1331" i="6"/>
  <c r="M1331" i="23" s="1"/>
  <c r="L1331" i="6"/>
  <c r="K1331" i="6"/>
  <c r="P1331" i="23" s="1"/>
  <c r="R1331" i="23" s="1"/>
  <c r="Z1210" i="31" s="1"/>
  <c r="J1331" i="6"/>
  <c r="J1331" i="23" s="1"/>
  <c r="I1331" i="6"/>
  <c r="Q1331" i="23" s="1"/>
  <c r="H1331" i="6"/>
  <c r="F1331" i="6"/>
  <c r="E1331" i="6"/>
  <c r="N1330" i="6"/>
  <c r="M1330" i="6"/>
  <c r="M1330" i="23" s="1"/>
  <c r="L1330" i="6"/>
  <c r="K1330" i="6"/>
  <c r="P1330" i="23" s="1"/>
  <c r="J1330" i="6"/>
  <c r="J1330" i="23" s="1"/>
  <c r="I1330" i="6"/>
  <c r="Q1330" i="23" s="1"/>
  <c r="H1330" i="6"/>
  <c r="G1330" i="6"/>
  <c r="F1330" i="6"/>
  <c r="E1330" i="6"/>
  <c r="N1329" i="6"/>
  <c r="M1329" i="6"/>
  <c r="M1329" i="23" s="1"/>
  <c r="L1329" i="6"/>
  <c r="K1329" i="6"/>
  <c r="P1329" i="23" s="1"/>
  <c r="R1329" i="23" s="1"/>
  <c r="Z1208" i="31" s="1"/>
  <c r="J1329" i="6"/>
  <c r="J1329" i="23" s="1"/>
  <c r="I1329" i="6"/>
  <c r="Q1329" i="23" s="1"/>
  <c r="H1329" i="6"/>
  <c r="G1329" i="6"/>
  <c r="F1329" i="6"/>
  <c r="E1329" i="6"/>
  <c r="N1328" i="6"/>
  <c r="N1327" i="6"/>
  <c r="M1328" i="6"/>
  <c r="M1328" i="23" s="1"/>
  <c r="M1327" i="6"/>
  <c r="M1327" i="23" s="1"/>
  <c r="L1328" i="6"/>
  <c r="L1327" i="6"/>
  <c r="K1328" i="6"/>
  <c r="P1328" i="23" s="1"/>
  <c r="K1327" i="6"/>
  <c r="P1327" i="23" s="1"/>
  <c r="J1328" i="6"/>
  <c r="J1328" i="23" s="1"/>
  <c r="J1327" i="6"/>
  <c r="J1327" i="23" s="1"/>
  <c r="I1328" i="6"/>
  <c r="Q1328" i="23" s="1"/>
  <c r="I1327" i="6"/>
  <c r="Q1327" i="23" s="1"/>
  <c r="H1328" i="6"/>
  <c r="H1327" i="6"/>
  <c r="G1328" i="6"/>
  <c r="G1327" i="6"/>
  <c r="F1328" i="6"/>
  <c r="F1327" i="6"/>
  <c r="E1328" i="6"/>
  <c r="E1327" i="6"/>
  <c r="N1326" i="6"/>
  <c r="M1326" i="6"/>
  <c r="M1326" i="23" s="1"/>
  <c r="L1326" i="6"/>
  <c r="K1326" i="6"/>
  <c r="P1326" i="23" s="1"/>
  <c r="J1326" i="6"/>
  <c r="J1326" i="23" s="1"/>
  <c r="I1326" i="6"/>
  <c r="Q1326" i="23" s="1"/>
  <c r="H1326" i="6"/>
  <c r="G1326" i="6"/>
  <c r="F1326" i="6"/>
  <c r="E1326" i="6"/>
  <c r="N1325" i="6"/>
  <c r="M1325" i="6"/>
  <c r="M1325" i="23" s="1"/>
  <c r="L1325" i="6"/>
  <c r="K1325" i="6"/>
  <c r="P1325" i="23" s="1"/>
  <c r="R1325" i="23" s="1"/>
  <c r="Z1204" i="31" s="1"/>
  <c r="J1325" i="6"/>
  <c r="J1325" i="23" s="1"/>
  <c r="I1325" i="6"/>
  <c r="Q1325" i="23" s="1"/>
  <c r="H1325" i="6"/>
  <c r="G1325" i="6"/>
  <c r="F1325" i="6"/>
  <c r="E1325" i="6"/>
  <c r="N1324" i="6"/>
  <c r="M1324" i="6"/>
  <c r="M1324" i="23" s="1"/>
  <c r="L1324" i="6"/>
  <c r="K1324" i="6"/>
  <c r="P1324" i="23" s="1"/>
  <c r="J1324" i="6"/>
  <c r="J1324" i="23" s="1"/>
  <c r="I1324" i="6"/>
  <c r="Q1324" i="23" s="1"/>
  <c r="H1324" i="6"/>
  <c r="G1324" i="6"/>
  <c r="F1324" i="6"/>
  <c r="E1324" i="6"/>
  <c r="T1324" i="6"/>
  <c r="E1324" i="19" s="1"/>
  <c r="T1325" i="6"/>
  <c r="E1325" i="19" s="1"/>
  <c r="T1326" i="6"/>
  <c r="E1326" i="19" s="1"/>
  <c r="T1327" i="6"/>
  <c r="E1327" i="19" s="1"/>
  <c r="T1328" i="6"/>
  <c r="E1328" i="19" s="1"/>
  <c r="T1329" i="6"/>
  <c r="E1329" i="19" s="1"/>
  <c r="T1330" i="6"/>
  <c r="E1330" i="19" s="1"/>
  <c r="T1331" i="6"/>
  <c r="E1331" i="19" s="1"/>
  <c r="T1332" i="6"/>
  <c r="E1332" i="19" s="1"/>
  <c r="T1323" i="6"/>
  <c r="E1323" i="19" s="1"/>
  <c r="N1323" i="6"/>
  <c r="M1323" i="6"/>
  <c r="M1323" i="23" s="1"/>
  <c r="L1323" i="6"/>
  <c r="K1323" i="6"/>
  <c r="P1323" i="23" s="1"/>
  <c r="J1323" i="6"/>
  <c r="J1323" i="23" s="1"/>
  <c r="I1323" i="6"/>
  <c r="Q1323" i="23" s="1"/>
  <c r="H1323" i="6"/>
  <c r="G1323" i="6"/>
  <c r="F1323" i="6"/>
  <c r="E1323" i="6"/>
  <c r="X1309" i="6"/>
  <c r="E1309" i="29" s="1"/>
  <c r="T1190" i="31" s="1"/>
  <c r="V1309" i="6"/>
  <c r="E1309" i="28" s="1"/>
  <c r="N1309" i="6"/>
  <c r="M1309" i="6"/>
  <c r="M1309" i="23" s="1"/>
  <c r="L1309" i="6"/>
  <c r="K1309" i="6"/>
  <c r="P1309" i="23" s="1"/>
  <c r="J1309" i="6"/>
  <c r="J1309" i="23" s="1"/>
  <c r="I1309" i="6"/>
  <c r="Q1309" i="23" s="1"/>
  <c r="H1309" i="6"/>
  <c r="G1309" i="6"/>
  <c r="F1309" i="6"/>
  <c r="E1309" i="6"/>
  <c r="X1308" i="6"/>
  <c r="E1308" i="29" s="1"/>
  <c r="T1189" i="31" s="1"/>
  <c r="V1308" i="6"/>
  <c r="E1308" i="28" s="1"/>
  <c r="N1308" i="6"/>
  <c r="M1308" i="6"/>
  <c r="M1308" i="23" s="1"/>
  <c r="L1308" i="6"/>
  <c r="K1308" i="6"/>
  <c r="P1308" i="23" s="1"/>
  <c r="J1308" i="6"/>
  <c r="J1308" i="23" s="1"/>
  <c r="I1308" i="6"/>
  <c r="Q1308" i="23" s="1"/>
  <c r="H1308" i="6"/>
  <c r="G1308" i="6"/>
  <c r="F1308" i="6"/>
  <c r="E1308" i="6"/>
  <c r="X1307" i="6"/>
  <c r="E1307" i="29" s="1"/>
  <c r="T1188" i="31" s="1"/>
  <c r="X1306" i="6"/>
  <c r="E1306" i="29" s="1"/>
  <c r="T1187" i="31" s="1"/>
  <c r="V1307" i="6"/>
  <c r="E1307" i="28" s="1"/>
  <c r="V1306" i="6"/>
  <c r="E1306" i="28" s="1"/>
  <c r="N1307" i="6"/>
  <c r="N1306" i="6"/>
  <c r="M1307" i="6"/>
  <c r="M1307" i="23" s="1"/>
  <c r="M1306" i="6"/>
  <c r="M1306" i="23" s="1"/>
  <c r="L1307" i="6"/>
  <c r="L1306" i="6"/>
  <c r="K1307" i="6"/>
  <c r="P1307" i="23" s="1"/>
  <c r="K1306" i="6"/>
  <c r="P1306" i="23" s="1"/>
  <c r="J1307" i="6"/>
  <c r="J1307" i="23" s="1"/>
  <c r="J1306" i="6"/>
  <c r="J1306" i="23" s="1"/>
  <c r="I1307" i="6"/>
  <c r="Q1307" i="23" s="1"/>
  <c r="I1306" i="6"/>
  <c r="Q1306" i="23" s="1"/>
  <c r="H1307" i="6"/>
  <c r="H1306" i="6"/>
  <c r="G1307" i="6"/>
  <c r="G1306" i="6"/>
  <c r="F1307" i="6"/>
  <c r="F1306" i="6"/>
  <c r="E1307" i="6"/>
  <c r="E1306" i="6"/>
  <c r="X1305" i="6"/>
  <c r="E1305" i="29" s="1"/>
  <c r="T1186" i="31" s="1"/>
  <c r="V1305" i="6"/>
  <c r="E1305" i="28" s="1"/>
  <c r="N1304" i="6"/>
  <c r="N1305" i="6"/>
  <c r="M1305" i="6"/>
  <c r="M1305" i="23" s="1"/>
  <c r="L1305" i="6"/>
  <c r="K1305" i="6"/>
  <c r="P1305" i="23" s="1"/>
  <c r="J1305" i="6"/>
  <c r="J1305" i="23" s="1"/>
  <c r="I1305" i="6"/>
  <c r="Q1305" i="23" s="1"/>
  <c r="H1305" i="6"/>
  <c r="G1305" i="6"/>
  <c r="F1305" i="6"/>
  <c r="E1305" i="6"/>
  <c r="X1304" i="6"/>
  <c r="E1304" i="29" s="1"/>
  <c r="T1185" i="31" s="1"/>
  <c r="V1304" i="6"/>
  <c r="E1304" i="28" s="1"/>
  <c r="M1304" i="6"/>
  <c r="M1304" i="23" s="1"/>
  <c r="L1304" i="6"/>
  <c r="K1304" i="6"/>
  <c r="P1304" i="23" s="1"/>
  <c r="J1304" i="6"/>
  <c r="J1304" i="23" s="1"/>
  <c r="I1304" i="6"/>
  <c r="Q1304" i="23" s="1"/>
  <c r="H1304" i="6"/>
  <c r="G1304" i="6"/>
  <c r="F1304" i="6"/>
  <c r="E1304" i="6"/>
  <c r="X1303" i="6"/>
  <c r="E1303" i="29" s="1"/>
  <c r="T1184" i="31" s="1"/>
  <c r="V1303" i="6"/>
  <c r="E1303" i="28" s="1"/>
  <c r="N1303" i="6"/>
  <c r="M1303" i="6"/>
  <c r="M1303" i="23" s="1"/>
  <c r="L1303" i="6"/>
  <c r="K1303" i="6"/>
  <c r="P1303" i="23" s="1"/>
  <c r="J1303" i="6"/>
  <c r="J1303" i="23" s="1"/>
  <c r="I1303" i="6"/>
  <c r="Q1303" i="23" s="1"/>
  <c r="H1303" i="6"/>
  <c r="G1303" i="6"/>
  <c r="F1303" i="6"/>
  <c r="E1303" i="6"/>
  <c r="X1302" i="6"/>
  <c r="E1302" i="29" s="1"/>
  <c r="T1183" i="31" s="1"/>
  <c r="V1302" i="6"/>
  <c r="E1302" i="28" s="1"/>
  <c r="T1303" i="6"/>
  <c r="E1303" i="19" s="1"/>
  <c r="T1304" i="6"/>
  <c r="E1304" i="19" s="1"/>
  <c r="T1305" i="6"/>
  <c r="E1305" i="19" s="1"/>
  <c r="T1306" i="6"/>
  <c r="E1306" i="19" s="1"/>
  <c r="T1307" i="6"/>
  <c r="E1307" i="19" s="1"/>
  <c r="T1308" i="6"/>
  <c r="E1308" i="19" s="1"/>
  <c r="T1309" i="6"/>
  <c r="E1309" i="19" s="1"/>
  <c r="T1302" i="6"/>
  <c r="E1302" i="19" s="1"/>
  <c r="N1302" i="6"/>
  <c r="N1301" i="6"/>
  <c r="M1302" i="6"/>
  <c r="M1302" i="23" s="1"/>
  <c r="M1301" i="6"/>
  <c r="M1301" i="23" s="1"/>
  <c r="L1302" i="6"/>
  <c r="L1301" i="6"/>
  <c r="K1302" i="6"/>
  <c r="P1302" i="23" s="1"/>
  <c r="K1301" i="6"/>
  <c r="P1301" i="23" s="1"/>
  <c r="J1302" i="6"/>
  <c r="J1302" i="23" s="1"/>
  <c r="J1301" i="6"/>
  <c r="J1301" i="23" s="1"/>
  <c r="I1302" i="6"/>
  <c r="Q1302" i="23" s="1"/>
  <c r="I1301" i="6"/>
  <c r="Q1301" i="23" s="1"/>
  <c r="H1301" i="6"/>
  <c r="H1302" i="6"/>
  <c r="G1302" i="6"/>
  <c r="G1301" i="6"/>
  <c r="F1302" i="6"/>
  <c r="F1301" i="6"/>
  <c r="E1302" i="6"/>
  <c r="E1301" i="6"/>
  <c r="N1277" i="6"/>
  <c r="M1277" i="6"/>
  <c r="M1277" i="23" s="1"/>
  <c r="L1277" i="6"/>
  <c r="K1277" i="6"/>
  <c r="P1277" i="23" s="1"/>
  <c r="J1277" i="6"/>
  <c r="J1277" i="23" s="1"/>
  <c r="I1277" i="6"/>
  <c r="Q1277" i="23" s="1"/>
  <c r="H1277" i="6"/>
  <c r="G1277" i="6"/>
  <c r="F1277" i="6"/>
  <c r="E1277" i="6"/>
  <c r="N1276" i="6"/>
  <c r="M1276" i="6"/>
  <c r="M1276" i="23" s="1"/>
  <c r="L1276" i="6"/>
  <c r="K1276" i="6"/>
  <c r="P1276" i="23" s="1"/>
  <c r="R1276" i="23" s="1"/>
  <c r="Z1160" i="31" s="1"/>
  <c r="J1276" i="6"/>
  <c r="J1276" i="23" s="1"/>
  <c r="I1276" i="6"/>
  <c r="Q1276" i="23" s="1"/>
  <c r="H1276" i="6"/>
  <c r="G1276" i="6"/>
  <c r="F1276" i="6"/>
  <c r="E1276" i="6"/>
  <c r="N1275" i="6"/>
  <c r="M1275" i="6"/>
  <c r="M1275" i="23" s="1"/>
  <c r="L1275" i="6"/>
  <c r="K1275" i="6"/>
  <c r="P1275" i="23" s="1"/>
  <c r="J1275" i="6"/>
  <c r="J1275" i="23" s="1"/>
  <c r="I1275" i="6"/>
  <c r="Q1275" i="23" s="1"/>
  <c r="H1275" i="6"/>
  <c r="G1275" i="6"/>
  <c r="F1275" i="6"/>
  <c r="E1275" i="6"/>
  <c r="N1274" i="6"/>
  <c r="M1274" i="6"/>
  <c r="M1274" i="23" s="1"/>
  <c r="L1274" i="6"/>
  <c r="K1274" i="6"/>
  <c r="P1274" i="23" s="1"/>
  <c r="R1274" i="23" s="1"/>
  <c r="Z1158" i="31" s="1"/>
  <c r="J1274" i="6"/>
  <c r="J1274" i="23" s="1"/>
  <c r="I1274" i="6"/>
  <c r="Q1274" i="23" s="1"/>
  <c r="H1274" i="6"/>
  <c r="G1274" i="6"/>
  <c r="F1274" i="6"/>
  <c r="E1274" i="6"/>
  <c r="N1273" i="6"/>
  <c r="M1273" i="6"/>
  <c r="M1273" i="23" s="1"/>
  <c r="L1273" i="6"/>
  <c r="K1273" i="6"/>
  <c r="P1273" i="23" s="1"/>
  <c r="J1273" i="6"/>
  <c r="J1273" i="23" s="1"/>
  <c r="I1273" i="6"/>
  <c r="Q1273" i="23" s="1"/>
  <c r="H1273" i="6"/>
  <c r="G1273" i="6"/>
  <c r="F1273" i="6"/>
  <c r="E1273" i="6"/>
  <c r="N1272" i="6"/>
  <c r="M1272" i="6"/>
  <c r="M1272" i="23" s="1"/>
  <c r="L1272" i="6"/>
  <c r="K1272" i="6"/>
  <c r="P1272" i="23" s="1"/>
  <c r="R1272" i="23" s="1"/>
  <c r="Z1156" i="31" s="1"/>
  <c r="J1272" i="6"/>
  <c r="J1272" i="23" s="1"/>
  <c r="I1272" i="6"/>
  <c r="Q1272" i="23" s="1"/>
  <c r="H1272" i="6"/>
  <c r="G1272" i="6"/>
  <c r="F1272" i="6"/>
  <c r="E1272" i="6"/>
  <c r="N1271" i="6"/>
  <c r="M1271" i="6"/>
  <c r="M1271" i="23" s="1"/>
  <c r="L1271" i="6"/>
  <c r="K1271" i="6"/>
  <c r="P1271" i="23" s="1"/>
  <c r="J1271" i="6"/>
  <c r="J1271" i="23" s="1"/>
  <c r="I1271" i="6"/>
  <c r="Q1271" i="23" s="1"/>
  <c r="H1271" i="6"/>
  <c r="G1271" i="6"/>
  <c r="F1271" i="6"/>
  <c r="E1271" i="6"/>
  <c r="N1270" i="6"/>
  <c r="M1270" i="6"/>
  <c r="M1270" i="23" s="1"/>
  <c r="L1270" i="6"/>
  <c r="K1270" i="6"/>
  <c r="P1270" i="23" s="1"/>
  <c r="R1270" i="23" s="1"/>
  <c r="Z1154" i="31" s="1"/>
  <c r="J1270" i="6"/>
  <c r="J1270" i="23" s="1"/>
  <c r="I1270" i="6"/>
  <c r="Q1270" i="23" s="1"/>
  <c r="H1270" i="6"/>
  <c r="G1270" i="6"/>
  <c r="F1270" i="6"/>
  <c r="E1270" i="6"/>
  <c r="N1269" i="6"/>
  <c r="M1269" i="6"/>
  <c r="M1269" i="23" s="1"/>
  <c r="L1269" i="6"/>
  <c r="K1269" i="6"/>
  <c r="P1269" i="23" s="1"/>
  <c r="J1269" i="6"/>
  <c r="J1269" i="23" s="1"/>
  <c r="I1269" i="6"/>
  <c r="Q1269" i="23" s="1"/>
  <c r="H1269" i="6"/>
  <c r="G1269" i="6"/>
  <c r="F1269" i="6"/>
  <c r="E1269" i="6"/>
  <c r="T1269" i="6"/>
  <c r="E1269" i="19" s="1"/>
  <c r="T1270" i="6"/>
  <c r="E1270" i="19" s="1"/>
  <c r="T1271" i="6"/>
  <c r="E1271" i="19" s="1"/>
  <c r="T1272" i="6"/>
  <c r="E1272" i="19" s="1"/>
  <c r="T1273" i="6"/>
  <c r="E1273" i="19" s="1"/>
  <c r="T1274" i="6"/>
  <c r="E1274" i="19" s="1"/>
  <c r="T1275" i="6"/>
  <c r="E1275" i="19" s="1"/>
  <c r="T1276" i="6"/>
  <c r="E1276" i="19" s="1"/>
  <c r="T1277" i="6"/>
  <c r="E1277" i="19" s="1"/>
  <c r="T1268" i="6"/>
  <c r="E1268" i="19" s="1"/>
  <c r="N1268" i="6"/>
  <c r="M1268" i="6"/>
  <c r="M1268" i="23" s="1"/>
  <c r="L1268" i="6"/>
  <c r="L1267" i="6"/>
  <c r="K1268" i="6"/>
  <c r="P1268" i="23" s="1"/>
  <c r="J1268" i="6"/>
  <c r="J1268" i="23" s="1"/>
  <c r="I1268" i="6"/>
  <c r="Q1268" i="23" s="1"/>
  <c r="H1268" i="6"/>
  <c r="G1268" i="6"/>
  <c r="F1268" i="6"/>
  <c r="E1268" i="6"/>
  <c r="N1266" i="6"/>
  <c r="M1266" i="6"/>
  <c r="M1266" i="23" s="1"/>
  <c r="L1266" i="6"/>
  <c r="K1266" i="6"/>
  <c r="P1266" i="23" s="1"/>
  <c r="R1266" i="23" s="1"/>
  <c r="Z1151" i="31" s="1"/>
  <c r="J1266" i="6"/>
  <c r="J1266" i="23" s="1"/>
  <c r="I1266" i="6"/>
  <c r="Q1266" i="23" s="1"/>
  <c r="H1266" i="6"/>
  <c r="G1266" i="6"/>
  <c r="F1266" i="6"/>
  <c r="E1266" i="6"/>
  <c r="N1265" i="6"/>
  <c r="M1265" i="6"/>
  <c r="M1265" i="23" s="1"/>
  <c r="L1265" i="6"/>
  <c r="K1265" i="6"/>
  <c r="P1265" i="23" s="1"/>
  <c r="J1265" i="6"/>
  <c r="J1265" i="23" s="1"/>
  <c r="I1265" i="6"/>
  <c r="Q1265" i="23" s="1"/>
  <c r="H1265" i="6"/>
  <c r="G1265" i="6"/>
  <c r="F1265" i="6"/>
  <c r="E1265" i="6"/>
  <c r="T1265" i="6"/>
  <c r="E1265" i="19" s="1"/>
  <c r="T1266" i="6"/>
  <c r="E1266" i="19" s="1"/>
  <c r="T1264" i="6"/>
  <c r="E1264" i="19" s="1"/>
  <c r="N1264" i="6"/>
  <c r="M1264" i="6"/>
  <c r="M1264" i="23" s="1"/>
  <c r="K1264" i="6"/>
  <c r="P1264" i="23" s="1"/>
  <c r="J1264" i="6"/>
  <c r="J1264" i="23" s="1"/>
  <c r="I1264" i="6"/>
  <c r="Q1264" i="23" s="1"/>
  <c r="H1264" i="6"/>
  <c r="G1264" i="6"/>
  <c r="F1264" i="6"/>
  <c r="E1264" i="6"/>
  <c r="X1255" i="6"/>
  <c r="E1255" i="29" s="1"/>
  <c r="T1141" i="31" s="1"/>
  <c r="V1255" i="6"/>
  <c r="N1255" i="6"/>
  <c r="M1255" i="6"/>
  <c r="M1255" i="23" s="1"/>
  <c r="L1255" i="6"/>
  <c r="K1255" i="6"/>
  <c r="P1255" i="23" s="1"/>
  <c r="J1255" i="6"/>
  <c r="J1255" i="23" s="1"/>
  <c r="I1255" i="6"/>
  <c r="Q1255" i="23" s="1"/>
  <c r="H1255" i="6"/>
  <c r="G1255" i="6"/>
  <c r="F1255" i="6"/>
  <c r="E1255" i="6"/>
  <c r="X1254" i="6"/>
  <c r="E1254" i="29" s="1"/>
  <c r="T1140" i="31" s="1"/>
  <c r="V1254" i="6"/>
  <c r="E1254" i="28" s="1"/>
  <c r="N1254" i="6"/>
  <c r="M1254" i="6"/>
  <c r="M1254" i="23" s="1"/>
  <c r="L1254" i="6"/>
  <c r="K1254" i="6"/>
  <c r="P1254" i="23" s="1"/>
  <c r="R1254" i="23" s="1"/>
  <c r="Z1140" i="31" s="1"/>
  <c r="J1254" i="6"/>
  <c r="J1254" i="23" s="1"/>
  <c r="I1254" i="6"/>
  <c r="Q1254" i="23" s="1"/>
  <c r="H1254" i="6"/>
  <c r="G1254" i="6"/>
  <c r="F1254" i="6"/>
  <c r="E1254" i="6"/>
  <c r="X1253" i="6"/>
  <c r="E1253" i="29" s="1"/>
  <c r="T1139" i="31" s="1"/>
  <c r="V1253" i="6"/>
  <c r="E1253" i="28" s="1"/>
  <c r="N1253" i="6"/>
  <c r="M1253" i="6"/>
  <c r="M1253" i="23" s="1"/>
  <c r="L1253" i="6"/>
  <c r="K1253" i="6"/>
  <c r="P1253" i="23" s="1"/>
  <c r="R1253" i="23" s="1"/>
  <c r="Z1139" i="31" s="1"/>
  <c r="J1253" i="6"/>
  <c r="J1253" i="23" s="1"/>
  <c r="I1253" i="6"/>
  <c r="Q1253" i="23" s="1"/>
  <c r="H1253" i="6"/>
  <c r="G1253" i="6"/>
  <c r="F1253" i="6"/>
  <c r="E1253" i="6"/>
  <c r="X1252" i="6"/>
  <c r="E1252" i="29" s="1"/>
  <c r="T1138" i="31" s="1"/>
  <c r="V1252" i="6"/>
  <c r="E1252" i="28" s="1"/>
  <c r="N1252" i="6"/>
  <c r="M1252" i="6"/>
  <c r="M1252" i="23" s="1"/>
  <c r="L1252" i="6"/>
  <c r="K1252" i="6"/>
  <c r="P1252" i="23" s="1"/>
  <c r="R1252" i="23" s="1"/>
  <c r="Z1138" i="31" s="1"/>
  <c r="J1252" i="6"/>
  <c r="J1252" i="23" s="1"/>
  <c r="I1252" i="6"/>
  <c r="Q1252" i="23" s="1"/>
  <c r="H1252" i="6"/>
  <c r="G1252" i="6"/>
  <c r="F1252" i="6"/>
  <c r="E1252" i="6"/>
  <c r="X1251" i="6"/>
  <c r="E1251" i="29" s="1"/>
  <c r="T1137" i="31" s="1"/>
  <c r="V1251" i="6"/>
  <c r="E1251" i="28" s="1"/>
  <c r="N1251" i="6"/>
  <c r="M1251" i="6"/>
  <c r="M1251" i="23" s="1"/>
  <c r="L1251" i="6"/>
  <c r="K1251" i="6"/>
  <c r="P1251" i="23" s="1"/>
  <c r="R1251" i="23" s="1"/>
  <c r="Z1137" i="31" s="1"/>
  <c r="J1251" i="6"/>
  <c r="J1251" i="23" s="1"/>
  <c r="I1251" i="6"/>
  <c r="Q1251" i="23" s="1"/>
  <c r="H1251" i="6"/>
  <c r="G1251" i="6"/>
  <c r="F1251" i="6"/>
  <c r="E1251" i="6"/>
  <c r="X1250" i="6"/>
  <c r="E1250" i="29" s="1"/>
  <c r="T1136" i="31" s="1"/>
  <c r="V1250" i="6"/>
  <c r="E1250" i="28" s="1"/>
  <c r="N1250" i="6"/>
  <c r="M1250" i="6"/>
  <c r="M1250" i="23" s="1"/>
  <c r="L1250" i="6"/>
  <c r="K1250" i="6"/>
  <c r="P1250" i="23" s="1"/>
  <c r="R1250" i="23" s="1"/>
  <c r="Z1136" i="31" s="1"/>
  <c r="J1250" i="6"/>
  <c r="J1250" i="23" s="1"/>
  <c r="I1250" i="6"/>
  <c r="Q1250" i="23" s="1"/>
  <c r="H1250" i="6"/>
  <c r="G1250" i="6"/>
  <c r="F1250" i="6"/>
  <c r="E1250" i="6"/>
  <c r="X1249" i="6"/>
  <c r="E1249" i="29" s="1"/>
  <c r="T1135" i="31" s="1"/>
  <c r="V1249" i="6"/>
  <c r="E1249" i="28" s="1"/>
  <c r="N1249" i="6"/>
  <c r="M1249" i="6"/>
  <c r="M1249" i="23" s="1"/>
  <c r="L1249" i="6"/>
  <c r="K1249" i="6"/>
  <c r="P1249" i="23" s="1"/>
  <c r="R1249" i="23" s="1"/>
  <c r="Z1135" i="31" s="1"/>
  <c r="J1249" i="6"/>
  <c r="J1249" i="23" s="1"/>
  <c r="I1249" i="6"/>
  <c r="Q1249" i="23" s="1"/>
  <c r="H1249" i="6"/>
  <c r="G1249" i="6"/>
  <c r="F1249" i="6"/>
  <c r="E1249" i="6"/>
  <c r="X1248" i="6"/>
  <c r="E1248" i="29" s="1"/>
  <c r="T1134" i="31" s="1"/>
  <c r="V1248" i="6"/>
  <c r="E1248" i="28" s="1"/>
  <c r="N1248" i="6"/>
  <c r="M1248" i="6"/>
  <c r="M1248" i="23" s="1"/>
  <c r="L1248" i="6"/>
  <c r="K1248" i="6"/>
  <c r="P1248" i="23" s="1"/>
  <c r="R1248" i="23" s="1"/>
  <c r="Z1134" i="31" s="1"/>
  <c r="J1248" i="6"/>
  <c r="J1248" i="23" s="1"/>
  <c r="I1248" i="6"/>
  <c r="Q1248" i="23" s="1"/>
  <c r="H1248" i="6"/>
  <c r="G1248" i="6"/>
  <c r="F1248" i="6"/>
  <c r="E1248" i="6"/>
  <c r="V1247" i="6"/>
  <c r="E1247" i="28" s="1"/>
  <c r="N1247" i="6"/>
  <c r="M1247" i="6"/>
  <c r="M1247" i="23" s="1"/>
  <c r="L1247" i="6"/>
  <c r="K1247" i="6"/>
  <c r="P1247" i="23" s="1"/>
  <c r="J1247" i="6"/>
  <c r="J1247" i="23" s="1"/>
  <c r="I1247" i="6"/>
  <c r="Q1247" i="23" s="1"/>
  <c r="H1247" i="6"/>
  <c r="G1247" i="6"/>
  <c r="F1247" i="6"/>
  <c r="E1247" i="6"/>
  <c r="X1246" i="6"/>
  <c r="E1246" i="29" s="1"/>
  <c r="T1132" i="31" s="1"/>
  <c r="V1246" i="6"/>
  <c r="E1246" i="28" s="1"/>
  <c r="T1247" i="6"/>
  <c r="E1247" i="19" s="1"/>
  <c r="T1248" i="6"/>
  <c r="E1248" i="19" s="1"/>
  <c r="T1249" i="6"/>
  <c r="E1249" i="19" s="1"/>
  <c r="T1250" i="6"/>
  <c r="E1250" i="19" s="1"/>
  <c r="T1251" i="6"/>
  <c r="E1251" i="19" s="1"/>
  <c r="T1252" i="6"/>
  <c r="E1252" i="19" s="1"/>
  <c r="T1253" i="6"/>
  <c r="E1253" i="19" s="1"/>
  <c r="T1254" i="6"/>
  <c r="E1254" i="19" s="1"/>
  <c r="T1255" i="6"/>
  <c r="E1255" i="19" s="1"/>
  <c r="T1246" i="6"/>
  <c r="E1246" i="19" s="1"/>
  <c r="N1246" i="6"/>
  <c r="M1246" i="6"/>
  <c r="M1246" i="23" s="1"/>
  <c r="L1246" i="6"/>
  <c r="L1245" i="6"/>
  <c r="K1246" i="6"/>
  <c r="P1246" i="23" s="1"/>
  <c r="J1246" i="6"/>
  <c r="J1246" i="23" s="1"/>
  <c r="I1246" i="6"/>
  <c r="Q1246" i="23" s="1"/>
  <c r="H1246" i="6"/>
  <c r="G1246" i="6"/>
  <c r="F1246" i="6"/>
  <c r="E1246" i="6"/>
  <c r="X1233" i="6"/>
  <c r="E1233" i="29" s="1"/>
  <c r="T1121" i="31" s="1"/>
  <c r="V1233" i="6"/>
  <c r="E1233" i="28" s="1"/>
  <c r="N1233" i="6"/>
  <c r="M1233" i="6"/>
  <c r="M1233" i="23" s="1"/>
  <c r="L1233" i="6"/>
  <c r="K1233" i="6"/>
  <c r="P1233" i="23" s="1"/>
  <c r="J1233" i="6"/>
  <c r="J1233" i="23" s="1"/>
  <c r="I1233" i="6"/>
  <c r="Q1233" i="23" s="1"/>
  <c r="H1233" i="6"/>
  <c r="G1233" i="6"/>
  <c r="F1233" i="6"/>
  <c r="E1233" i="6"/>
  <c r="N1232" i="6"/>
  <c r="M1232" i="6"/>
  <c r="M1232" i="23" s="1"/>
  <c r="L1232" i="6"/>
  <c r="K1232" i="6"/>
  <c r="P1232" i="23" s="1"/>
  <c r="R1232" i="23" s="1"/>
  <c r="Z1120" i="31" s="1"/>
  <c r="J1232" i="6"/>
  <c r="J1232" i="23" s="1"/>
  <c r="I1232" i="6"/>
  <c r="Q1232" i="23" s="1"/>
  <c r="H1232" i="6"/>
  <c r="G1232" i="6"/>
  <c r="F1232" i="6"/>
  <c r="E1232" i="6"/>
  <c r="N1231" i="6"/>
  <c r="M1231" i="6"/>
  <c r="M1231" i="23" s="1"/>
  <c r="L1231" i="6"/>
  <c r="K1231" i="6"/>
  <c r="P1231" i="23" s="1"/>
  <c r="J1231" i="6"/>
  <c r="J1231" i="23" s="1"/>
  <c r="I1231" i="6"/>
  <c r="Q1231" i="23" s="1"/>
  <c r="H1231" i="6"/>
  <c r="G1231" i="6"/>
  <c r="F1231" i="6"/>
  <c r="E1231" i="6"/>
  <c r="N1230" i="6"/>
  <c r="M1230" i="6"/>
  <c r="M1230" i="23" s="1"/>
  <c r="L1230" i="6"/>
  <c r="K1230" i="6"/>
  <c r="P1230" i="23" s="1"/>
  <c r="R1230" i="23" s="1"/>
  <c r="Z1118" i="31" s="1"/>
  <c r="J1230" i="6"/>
  <c r="J1230" i="23" s="1"/>
  <c r="I1230" i="6"/>
  <c r="Q1230" i="23" s="1"/>
  <c r="H1230" i="6"/>
  <c r="G1230" i="6"/>
  <c r="F1230" i="6"/>
  <c r="E1230" i="6"/>
  <c r="N1229" i="6"/>
  <c r="M1229" i="6"/>
  <c r="M1229" i="23" s="1"/>
  <c r="L1229" i="6"/>
  <c r="K1229" i="6"/>
  <c r="P1229" i="23" s="1"/>
  <c r="J1229" i="6"/>
  <c r="J1229" i="23" s="1"/>
  <c r="I1229" i="6"/>
  <c r="Q1229" i="23" s="1"/>
  <c r="H1229" i="6"/>
  <c r="G1229" i="6"/>
  <c r="F1229" i="6"/>
  <c r="E1229" i="6"/>
  <c r="N1228" i="6"/>
  <c r="M1228" i="6"/>
  <c r="M1228" i="23" s="1"/>
  <c r="L1228" i="6"/>
  <c r="K1228" i="6"/>
  <c r="P1228" i="23" s="1"/>
  <c r="R1228" i="23" s="1"/>
  <c r="Z1116" i="31" s="1"/>
  <c r="J1228" i="6"/>
  <c r="J1228" i="23" s="1"/>
  <c r="I1228" i="6"/>
  <c r="Q1228" i="23" s="1"/>
  <c r="H1228" i="6"/>
  <c r="G1228" i="6"/>
  <c r="F1228" i="6"/>
  <c r="E1228" i="6"/>
  <c r="N1227" i="6"/>
  <c r="M1227" i="6"/>
  <c r="M1227" i="23" s="1"/>
  <c r="L1227" i="6"/>
  <c r="K1227" i="6"/>
  <c r="P1227" i="23" s="1"/>
  <c r="J1227" i="6"/>
  <c r="J1227" i="23" s="1"/>
  <c r="I1227" i="6"/>
  <c r="Q1227" i="23" s="1"/>
  <c r="H1227" i="6"/>
  <c r="G1227" i="6"/>
  <c r="F1227" i="6"/>
  <c r="E1227" i="6"/>
  <c r="N1226" i="6"/>
  <c r="M1226" i="6"/>
  <c r="M1226" i="23" s="1"/>
  <c r="L1226" i="6"/>
  <c r="K1226" i="6"/>
  <c r="P1226" i="23" s="1"/>
  <c r="R1226" i="23" s="1"/>
  <c r="Z1114" i="31" s="1"/>
  <c r="J1226" i="6"/>
  <c r="J1226" i="23" s="1"/>
  <c r="I1226" i="6"/>
  <c r="Q1226" i="23" s="1"/>
  <c r="H1226" i="6"/>
  <c r="G1226" i="6"/>
  <c r="F1226" i="6"/>
  <c r="E1226" i="6"/>
  <c r="T1226" i="6"/>
  <c r="E1226" i="19" s="1"/>
  <c r="T1227" i="6"/>
  <c r="E1227" i="19" s="1"/>
  <c r="T1228" i="6"/>
  <c r="E1228" i="19" s="1"/>
  <c r="T1229" i="6"/>
  <c r="E1229" i="19" s="1"/>
  <c r="T1230" i="6"/>
  <c r="E1230" i="19" s="1"/>
  <c r="T1231" i="6"/>
  <c r="E1231" i="19" s="1"/>
  <c r="T1232" i="6"/>
  <c r="E1232" i="19" s="1"/>
  <c r="T1233" i="6"/>
  <c r="E1233" i="19" s="1"/>
  <c r="T1225" i="6"/>
  <c r="E1225" i="19" s="1"/>
  <c r="N1225" i="6"/>
  <c r="N1224" i="6"/>
  <c r="M1225" i="6"/>
  <c r="M1225" i="23" s="1"/>
  <c r="M1224" i="6"/>
  <c r="M1224" i="23" s="1"/>
  <c r="L1225" i="6"/>
  <c r="L1224" i="6"/>
  <c r="K1225" i="6"/>
  <c r="P1225" i="23" s="1"/>
  <c r="K1224" i="6"/>
  <c r="P1224" i="23" s="1"/>
  <c r="J1224" i="6"/>
  <c r="J1224" i="23" s="1"/>
  <c r="J1225" i="6"/>
  <c r="J1225" i="23" s="1"/>
  <c r="I1225" i="6"/>
  <c r="Q1225" i="23" s="1"/>
  <c r="I1224" i="6"/>
  <c r="Q1224" i="23" s="1"/>
  <c r="H1225" i="6"/>
  <c r="H1224" i="6"/>
  <c r="G1225" i="6"/>
  <c r="G1224" i="6"/>
  <c r="F1225" i="6"/>
  <c r="E1350" i="23" l="1"/>
  <c r="E1350" i="8"/>
  <c r="E1351" i="23"/>
  <c r="E1351" i="8"/>
  <c r="E1526" i="23"/>
  <c r="E1526" i="8"/>
  <c r="E1525" i="23"/>
  <c r="E1525" i="8"/>
  <c r="E1353" i="23"/>
  <c r="E1353" i="8"/>
  <c r="E1524" i="23"/>
  <c r="E1524" i="8"/>
  <c r="E1529" i="23"/>
  <c r="E1529" i="8"/>
  <c r="E1530" i="23"/>
  <c r="E1530" i="8"/>
  <c r="E1523" i="23"/>
  <c r="E1523" i="8"/>
  <c r="E1528" i="23"/>
  <c r="E1528" i="8"/>
  <c r="F1225" i="23"/>
  <c r="F1225" i="8"/>
  <c r="H1226" i="23"/>
  <c r="K1226" i="23" s="1"/>
  <c r="N1226" i="23" s="1"/>
  <c r="E1226" i="20"/>
  <c r="U1114" i="31" s="1"/>
  <c r="H1228" i="23"/>
  <c r="K1228" i="23" s="1"/>
  <c r="N1228" i="23" s="1"/>
  <c r="E1228" i="20"/>
  <c r="U1116" i="31" s="1"/>
  <c r="H1232" i="23"/>
  <c r="K1232" i="23" s="1"/>
  <c r="N1232" i="23" s="1"/>
  <c r="E1232" i="20"/>
  <c r="U1120" i="31" s="1"/>
  <c r="E1247" i="23"/>
  <c r="E1247" i="8"/>
  <c r="H1248" i="23"/>
  <c r="K1248" i="23" s="1"/>
  <c r="N1248" i="23" s="1"/>
  <c r="E1248" i="20"/>
  <c r="U1134" i="31" s="1"/>
  <c r="P1136" i="31"/>
  <c r="S1136" i="31"/>
  <c r="H1251" i="23"/>
  <c r="K1251" i="23" s="1"/>
  <c r="N1251" i="23" s="1"/>
  <c r="E1251" i="20"/>
  <c r="U1137" i="31" s="1"/>
  <c r="S1137" i="31"/>
  <c r="P1137" i="31"/>
  <c r="H1252" i="23"/>
  <c r="K1252" i="23" s="1"/>
  <c r="N1252" i="23" s="1"/>
  <c r="E1252" i="20"/>
  <c r="U1138" i="31" s="1"/>
  <c r="P1139" i="31"/>
  <c r="S1139" i="31"/>
  <c r="H1254" i="23"/>
  <c r="K1254" i="23" s="1"/>
  <c r="N1254" i="23" s="1"/>
  <c r="E1254" i="20"/>
  <c r="U1140" i="31" s="1"/>
  <c r="P1140" i="31"/>
  <c r="S1140" i="31"/>
  <c r="E1255" i="23"/>
  <c r="E1255" i="8"/>
  <c r="E1264" i="23"/>
  <c r="E1264" i="8"/>
  <c r="E1265" i="23"/>
  <c r="E1265" i="8"/>
  <c r="F1266" i="23"/>
  <c r="F1266" i="8"/>
  <c r="E1268" i="23"/>
  <c r="E1268" i="8"/>
  <c r="H1270" i="23"/>
  <c r="K1270" i="23" s="1"/>
  <c r="N1270" i="23" s="1"/>
  <c r="E1270" i="20"/>
  <c r="U1154" i="31" s="1"/>
  <c r="H1272" i="23"/>
  <c r="K1272" i="23" s="1"/>
  <c r="N1272" i="23" s="1"/>
  <c r="E1272" i="20"/>
  <c r="U1156" i="31" s="1"/>
  <c r="H1274" i="23"/>
  <c r="K1274" i="23" s="1"/>
  <c r="N1274" i="23" s="1"/>
  <c r="E1274" i="20"/>
  <c r="U1158" i="31" s="1"/>
  <c r="H1276" i="23"/>
  <c r="K1276" i="23" s="1"/>
  <c r="N1276" i="23" s="1"/>
  <c r="E1276" i="20"/>
  <c r="U1160" i="31" s="1"/>
  <c r="E1301" i="23"/>
  <c r="E1301" i="8"/>
  <c r="F1302" i="23"/>
  <c r="F1302" i="8"/>
  <c r="E1305" i="23"/>
  <c r="E1305" i="8"/>
  <c r="H1306" i="23"/>
  <c r="K1306" i="23" s="1"/>
  <c r="N1306" i="23" s="1"/>
  <c r="E1306" i="20"/>
  <c r="U1187" i="31" s="1"/>
  <c r="R1306" i="23"/>
  <c r="Z1187" i="31" s="1"/>
  <c r="O1306" i="23"/>
  <c r="Y1187" i="31" s="1"/>
  <c r="P1187" i="31"/>
  <c r="S1187" i="31"/>
  <c r="H1325" i="23"/>
  <c r="K1325" i="23" s="1"/>
  <c r="N1325" i="23" s="1"/>
  <c r="E1325" i="20"/>
  <c r="U1204" i="31" s="1"/>
  <c r="E1327" i="23"/>
  <c r="E1327" i="8"/>
  <c r="G1327" i="8" s="1"/>
  <c r="E1206" i="31" s="1"/>
  <c r="F1327" i="23"/>
  <c r="F1327" i="8"/>
  <c r="H1329" i="23"/>
  <c r="K1329" i="23" s="1"/>
  <c r="N1329" i="23" s="1"/>
  <c r="E1329" i="20"/>
  <c r="U1208" i="31" s="1"/>
  <c r="F1331" i="23"/>
  <c r="F1331" i="8"/>
  <c r="E1332" i="23"/>
  <c r="E1332" i="8"/>
  <c r="E1349" i="23"/>
  <c r="G1349" i="23" s="1"/>
  <c r="E1349" i="8"/>
  <c r="G1349" i="8" s="1"/>
  <c r="E1226" i="31" s="1"/>
  <c r="F1349" i="23"/>
  <c r="F1349" i="8"/>
  <c r="F1351" i="23"/>
  <c r="F1351" i="8"/>
  <c r="H1352" i="23"/>
  <c r="K1352" i="23" s="1"/>
  <c r="N1352" i="23" s="1"/>
  <c r="E1352" i="20"/>
  <c r="U1229" i="31" s="1"/>
  <c r="F1353" i="23"/>
  <c r="F1353" i="8"/>
  <c r="H1354" i="23"/>
  <c r="K1354" i="23" s="1"/>
  <c r="N1354" i="23" s="1"/>
  <c r="E1354" i="20"/>
  <c r="U1231" i="31" s="1"/>
  <c r="H1403" i="23"/>
  <c r="K1403" i="23" s="1"/>
  <c r="N1403" i="23" s="1"/>
  <c r="O1403" i="23" s="1"/>
  <c r="Y1275" i="31" s="1"/>
  <c r="E1403" i="20"/>
  <c r="U1275" i="31" s="1"/>
  <c r="R1403" i="23"/>
  <c r="Z1275" i="31" s="1"/>
  <c r="H1405" i="23"/>
  <c r="K1405" i="23" s="1"/>
  <c r="N1405" i="23" s="1"/>
  <c r="E1405" i="20"/>
  <c r="U1277" i="31" s="1"/>
  <c r="H1407" i="23"/>
  <c r="K1407" i="23" s="1"/>
  <c r="N1407" i="23" s="1"/>
  <c r="E1407" i="20"/>
  <c r="U1279" i="31" s="1"/>
  <c r="H1409" i="23"/>
  <c r="K1409" i="23" s="1"/>
  <c r="N1409" i="23" s="1"/>
  <c r="E1409" i="20"/>
  <c r="U1281" i="31" s="1"/>
  <c r="F1496" i="23"/>
  <c r="F1496" i="8"/>
  <c r="F1497" i="23"/>
  <c r="F1497" i="8"/>
  <c r="S1361" i="31"/>
  <c r="P1361" i="31"/>
  <c r="E1501" i="23"/>
  <c r="E1501" i="8"/>
  <c r="F1501" i="23"/>
  <c r="F1501" i="8"/>
  <c r="E1502" i="23"/>
  <c r="E1502" i="8"/>
  <c r="E1503" i="23"/>
  <c r="E1503" i="8"/>
  <c r="F1503" i="23"/>
  <c r="F1503" i="8"/>
  <c r="E1505" i="23"/>
  <c r="E1505" i="8"/>
  <c r="E1506" i="23"/>
  <c r="E1506" i="8"/>
  <c r="E1507" i="23"/>
  <c r="E1507" i="8"/>
  <c r="E1508" i="23"/>
  <c r="E1508" i="8"/>
  <c r="E1519" i="23"/>
  <c r="E1519" i="8"/>
  <c r="E1521" i="23"/>
  <c r="E1521" i="8"/>
  <c r="F1523" i="23"/>
  <c r="F1523" i="8"/>
  <c r="F1524" i="23"/>
  <c r="F1524" i="8"/>
  <c r="F1525" i="23"/>
  <c r="F1525" i="8"/>
  <c r="F1526" i="23"/>
  <c r="F1526" i="8"/>
  <c r="E1527" i="23"/>
  <c r="E1527" i="8"/>
  <c r="F1528" i="23"/>
  <c r="F1528" i="8"/>
  <c r="F1529" i="23"/>
  <c r="F1529" i="8"/>
  <c r="P1391" i="31"/>
  <c r="S1391" i="31"/>
  <c r="F1532" i="23"/>
  <c r="F1532" i="8"/>
  <c r="E1534" i="23"/>
  <c r="E1534" i="8"/>
  <c r="E1536" i="23"/>
  <c r="E1536" i="8"/>
  <c r="W1256" i="31"/>
  <c r="S1382" i="23"/>
  <c r="AA1256" i="31" s="1"/>
  <c r="W1297" i="31"/>
  <c r="S1427" i="23"/>
  <c r="AA1297" i="31" s="1"/>
  <c r="W698" i="31"/>
  <c r="S768" i="23"/>
  <c r="AA698" i="31" s="1"/>
  <c r="W694" i="31"/>
  <c r="S764" i="23"/>
  <c r="AA694" i="31" s="1"/>
  <c r="S1442" i="23"/>
  <c r="AA1311" i="31" s="1"/>
  <c r="W1311" i="31"/>
  <c r="W1309" i="31"/>
  <c r="S1440" i="23"/>
  <c r="AA1309" i="31" s="1"/>
  <c r="W1321" i="31"/>
  <c r="S1453" i="23"/>
  <c r="AA1321" i="31" s="1"/>
  <c r="W1436" i="31"/>
  <c r="S1580" i="23"/>
  <c r="AA1436" i="31" s="1"/>
  <c r="W1419" i="31"/>
  <c r="S1561" i="23"/>
  <c r="AA1419" i="31" s="1"/>
  <c r="L1541" i="23"/>
  <c r="X1401" i="31" s="1"/>
  <c r="W1322" i="31"/>
  <c r="G1585" i="23"/>
  <c r="I1585" i="23" s="1"/>
  <c r="G1581" i="8"/>
  <c r="E1437" i="31" s="1"/>
  <c r="L1286" i="23"/>
  <c r="X1169" i="31" s="1"/>
  <c r="I1282" i="23"/>
  <c r="I1279" i="23"/>
  <c r="L1021" i="23"/>
  <c r="X928" i="31" s="1"/>
  <c r="L1016" i="23"/>
  <c r="X923" i="31" s="1"/>
  <c r="L1010" i="23"/>
  <c r="X918" i="31" s="1"/>
  <c r="I1006" i="23"/>
  <c r="F980" i="23"/>
  <c r="F980" i="8"/>
  <c r="F978" i="23"/>
  <c r="G978" i="23" s="1"/>
  <c r="I978" i="23" s="1"/>
  <c r="F978" i="8"/>
  <c r="I1165" i="23"/>
  <c r="I1244" i="23"/>
  <c r="L1240" i="23"/>
  <c r="X1127" i="31" s="1"/>
  <c r="F1393" i="23"/>
  <c r="F1393" i="8"/>
  <c r="L1563" i="23"/>
  <c r="X1421" i="31" s="1"/>
  <c r="L1585" i="23"/>
  <c r="X1441" i="31" s="1"/>
  <c r="W1255" i="31"/>
  <c r="S1381" i="23"/>
  <c r="AA1255" i="31" s="1"/>
  <c r="S1362" i="23"/>
  <c r="AA1238" i="31" s="1"/>
  <c r="W1238" i="31"/>
  <c r="W1192" i="31"/>
  <c r="S1312" i="23"/>
  <c r="AA1192" i="31" s="1"/>
  <c r="L1297" i="23"/>
  <c r="X1179" i="31" s="1"/>
  <c r="G1296" i="8"/>
  <c r="E1178" i="31" s="1"/>
  <c r="G1017" i="8"/>
  <c r="E924" i="31" s="1"/>
  <c r="G763" i="23"/>
  <c r="I763" i="23" s="1"/>
  <c r="G1163" i="23"/>
  <c r="I1163" i="23" s="1"/>
  <c r="G1158" i="23"/>
  <c r="I1158" i="23" s="1"/>
  <c r="L1199" i="23"/>
  <c r="X1090" i="31" s="1"/>
  <c r="G1198" i="8"/>
  <c r="E1089" i="31" s="1"/>
  <c r="G1197" i="23"/>
  <c r="I1197" i="23" s="1"/>
  <c r="L1195" i="23"/>
  <c r="X1086" i="31" s="1"/>
  <c r="G1194" i="8"/>
  <c r="E1085" i="31" s="1"/>
  <c r="G1193" i="23"/>
  <c r="I1193" i="23" s="1"/>
  <c r="L1391" i="23"/>
  <c r="X1264" i="31" s="1"/>
  <c r="G1391" i="23"/>
  <c r="I1391" i="23" s="1"/>
  <c r="G1418" i="23"/>
  <c r="I1418" i="23" s="1"/>
  <c r="G1416" i="8"/>
  <c r="E1287" i="31" s="1"/>
  <c r="G1437" i="23"/>
  <c r="I1437" i="23" s="1"/>
  <c r="G1435" i="8"/>
  <c r="E1304" i="31" s="1"/>
  <c r="L1452" i="23"/>
  <c r="X1320" i="31" s="1"/>
  <c r="G1448" i="23"/>
  <c r="I1448" i="23" s="1"/>
  <c r="L1463" i="23"/>
  <c r="X1330" i="31" s="1"/>
  <c r="L1455" i="23"/>
  <c r="X1322" i="31" s="1"/>
  <c r="G1473" i="23"/>
  <c r="I1473" i="23" s="1"/>
  <c r="L1581" i="23"/>
  <c r="X1437" i="31" s="1"/>
  <c r="W1241" i="31"/>
  <c r="S1365" i="23"/>
  <c r="AA1241" i="31" s="1"/>
  <c r="W1196" i="31"/>
  <c r="S1316" i="23"/>
  <c r="AA1196" i="31" s="1"/>
  <c r="G1287" i="8"/>
  <c r="E1170" i="31" s="1"/>
  <c r="L1285" i="23"/>
  <c r="X1168" i="31" s="1"/>
  <c r="G1281" i="23"/>
  <c r="I1281" i="23" s="1"/>
  <c r="L1024" i="23"/>
  <c r="X931" i="31" s="1"/>
  <c r="G1020" i="23"/>
  <c r="I1020" i="23" s="1"/>
  <c r="G1007" i="23"/>
  <c r="I1007" i="23" s="1"/>
  <c r="G1005" i="8"/>
  <c r="E913" i="31" s="1"/>
  <c r="L762" i="23"/>
  <c r="X692" i="31" s="1"/>
  <c r="G1164" i="23"/>
  <c r="I1164" i="23" s="1"/>
  <c r="G1243" i="23"/>
  <c r="I1243" i="23" s="1"/>
  <c r="G1241" i="8"/>
  <c r="E1128" i="31" s="1"/>
  <c r="L1398" i="23"/>
  <c r="X1271" i="31" s="1"/>
  <c r="G1397" i="8"/>
  <c r="E1270" i="31" s="1"/>
  <c r="G1395" i="8"/>
  <c r="E1268" i="31" s="1"/>
  <c r="L1390" i="23"/>
  <c r="X1263" i="31" s="1"/>
  <c r="G1412" i="8"/>
  <c r="E1283" i="31" s="1"/>
  <c r="L1441" i="23"/>
  <c r="X1310" i="31" s="1"/>
  <c r="L1464" i="23"/>
  <c r="X1331" i="31" s="1"/>
  <c r="L1457" i="23"/>
  <c r="X1324" i="31" s="1"/>
  <c r="G1456" i="8"/>
  <c r="E1323" i="31" s="1"/>
  <c r="L1560" i="23"/>
  <c r="X1418" i="31" s="1"/>
  <c r="G972" i="8"/>
  <c r="E883" i="31" s="1"/>
  <c r="G977" i="8"/>
  <c r="E888" i="31" s="1"/>
  <c r="P1134" i="31"/>
  <c r="S1134" i="31"/>
  <c r="H1249" i="23"/>
  <c r="K1249" i="23" s="1"/>
  <c r="N1249" i="23" s="1"/>
  <c r="E1249" i="20"/>
  <c r="U1135" i="31" s="1"/>
  <c r="P1135" i="31"/>
  <c r="S1135" i="31"/>
  <c r="H1250" i="23"/>
  <c r="K1250" i="23" s="1"/>
  <c r="N1250" i="23" s="1"/>
  <c r="E1250" i="20"/>
  <c r="U1136" i="31" s="1"/>
  <c r="P1138" i="31"/>
  <c r="S1138" i="31"/>
  <c r="H1253" i="23"/>
  <c r="K1253" i="23" s="1"/>
  <c r="N1253" i="23" s="1"/>
  <c r="E1253" i="20"/>
  <c r="U1139" i="31" s="1"/>
  <c r="H1224" i="23"/>
  <c r="K1224" i="23" s="1"/>
  <c r="N1224" i="23" s="1"/>
  <c r="E1224" i="20"/>
  <c r="U1112" i="31" s="1"/>
  <c r="R1224" i="23"/>
  <c r="Z1112" i="31" s="1"/>
  <c r="O1224" i="23"/>
  <c r="Y1112" i="31" s="1"/>
  <c r="F1226" i="23"/>
  <c r="F1226" i="8"/>
  <c r="E1227" i="23"/>
  <c r="E1227" i="8"/>
  <c r="F1228" i="23"/>
  <c r="F1228" i="8"/>
  <c r="E1229" i="23"/>
  <c r="E1229" i="8"/>
  <c r="F1230" i="23"/>
  <c r="F1230" i="8"/>
  <c r="E1231" i="23"/>
  <c r="E1231" i="8"/>
  <c r="F1232" i="23"/>
  <c r="F1232" i="8"/>
  <c r="E1233" i="23"/>
  <c r="E1233" i="8"/>
  <c r="E1246" i="23"/>
  <c r="E1246" i="8"/>
  <c r="P1132" i="31"/>
  <c r="S1132" i="31"/>
  <c r="H1247" i="23"/>
  <c r="K1247" i="23" s="1"/>
  <c r="N1247" i="23" s="1"/>
  <c r="E1247" i="20"/>
  <c r="U1133" i="31" s="1"/>
  <c r="R1247" i="23"/>
  <c r="Z1133" i="31" s="1"/>
  <c r="S1133" i="31"/>
  <c r="P1133" i="31"/>
  <c r="F1248" i="23"/>
  <c r="F1248" i="8"/>
  <c r="F1249" i="23"/>
  <c r="F1249" i="8"/>
  <c r="F1250" i="23"/>
  <c r="F1250" i="8"/>
  <c r="F1251" i="23"/>
  <c r="F1251" i="8"/>
  <c r="F1252" i="23"/>
  <c r="F1252" i="8"/>
  <c r="F1253" i="23"/>
  <c r="F1253" i="8"/>
  <c r="F1254" i="23"/>
  <c r="F1254" i="8"/>
  <c r="W1254" i="6"/>
  <c r="H1255" i="23"/>
  <c r="K1255" i="23" s="1"/>
  <c r="N1255" i="23" s="1"/>
  <c r="E1255" i="20"/>
  <c r="U1141" i="31" s="1"/>
  <c r="R1255" i="23"/>
  <c r="Z1141" i="31" s="1"/>
  <c r="W1255" i="6"/>
  <c r="E1255" i="28"/>
  <c r="H1264" i="23"/>
  <c r="K1264" i="23" s="1"/>
  <c r="N1264" i="23" s="1"/>
  <c r="E1264" i="20"/>
  <c r="U1149" i="31" s="1"/>
  <c r="R1264" i="23"/>
  <c r="Z1149" i="31" s="1"/>
  <c r="H1265" i="23"/>
  <c r="K1265" i="23" s="1"/>
  <c r="N1265" i="23" s="1"/>
  <c r="E1265" i="20"/>
  <c r="U1150" i="31" s="1"/>
  <c r="R1265" i="23"/>
  <c r="Z1150" i="31" s="1"/>
  <c r="H1268" i="23"/>
  <c r="K1268" i="23" s="1"/>
  <c r="N1268" i="23" s="1"/>
  <c r="O1268" i="23" s="1"/>
  <c r="Y1152" i="31" s="1"/>
  <c r="E1268" i="20"/>
  <c r="U1152" i="31" s="1"/>
  <c r="R1268" i="23"/>
  <c r="Z1152" i="31" s="1"/>
  <c r="E1269" i="23"/>
  <c r="E1269" i="8"/>
  <c r="F1270" i="23"/>
  <c r="F1270" i="8"/>
  <c r="E1271" i="23"/>
  <c r="E1271" i="8"/>
  <c r="F1272" i="23"/>
  <c r="F1272" i="8"/>
  <c r="E1273" i="23"/>
  <c r="E1273" i="8"/>
  <c r="F1274" i="23"/>
  <c r="F1274" i="8"/>
  <c r="E1275" i="23"/>
  <c r="E1275" i="8"/>
  <c r="F1276" i="23"/>
  <c r="F1276" i="8"/>
  <c r="E1277" i="23"/>
  <c r="E1277" i="8"/>
  <c r="E1302" i="23"/>
  <c r="G1302" i="23" s="1"/>
  <c r="E1302" i="8"/>
  <c r="G1302" i="8" s="1"/>
  <c r="E1183" i="31" s="1"/>
  <c r="F1301" i="23"/>
  <c r="F1301" i="8"/>
  <c r="E1303" i="23"/>
  <c r="E1303" i="8"/>
  <c r="E1304" i="23"/>
  <c r="E1304" i="8"/>
  <c r="S1185" i="31"/>
  <c r="P1185" i="31"/>
  <c r="H1305" i="23"/>
  <c r="K1305" i="23" s="1"/>
  <c r="N1305" i="23" s="1"/>
  <c r="E1305" i="20"/>
  <c r="U1186" i="31" s="1"/>
  <c r="R1305" i="23"/>
  <c r="Z1186" i="31" s="1"/>
  <c r="H1307" i="23"/>
  <c r="K1307" i="23" s="1"/>
  <c r="N1307" i="23" s="1"/>
  <c r="E1307" i="20"/>
  <c r="U1188" i="31" s="1"/>
  <c r="R1307" i="23"/>
  <c r="Z1188" i="31" s="1"/>
  <c r="O1307" i="23"/>
  <c r="Y1188" i="31" s="1"/>
  <c r="P1188" i="31"/>
  <c r="S1188" i="31"/>
  <c r="E1308" i="23"/>
  <c r="E1308" i="8"/>
  <c r="E1309" i="23"/>
  <c r="E1309" i="8"/>
  <c r="E1323" i="23"/>
  <c r="E1323" i="8"/>
  <c r="E1324" i="23"/>
  <c r="E1324" i="8"/>
  <c r="F1325" i="23"/>
  <c r="F1325" i="8"/>
  <c r="E1326" i="23"/>
  <c r="E1326" i="8"/>
  <c r="E1328" i="23"/>
  <c r="E1328" i="8"/>
  <c r="F1328" i="23"/>
  <c r="F1328" i="8"/>
  <c r="F1329" i="23"/>
  <c r="F1329" i="8"/>
  <c r="E1330" i="23"/>
  <c r="E1330" i="8"/>
  <c r="H1332" i="23"/>
  <c r="K1332" i="23" s="1"/>
  <c r="N1332" i="23" s="1"/>
  <c r="O1332" i="23" s="1"/>
  <c r="Y1211" i="31" s="1"/>
  <c r="E1332" i="20"/>
  <c r="U1211" i="31" s="1"/>
  <c r="F1350" i="23"/>
  <c r="F1350" i="8"/>
  <c r="H1404" i="23"/>
  <c r="K1404" i="23" s="1"/>
  <c r="N1404" i="23" s="1"/>
  <c r="E1404" i="20"/>
  <c r="U1276" i="31" s="1"/>
  <c r="R1404" i="23"/>
  <c r="Z1276" i="31" s="1"/>
  <c r="O1404" i="23"/>
  <c r="Y1276" i="31" s="1"/>
  <c r="F1405" i="23"/>
  <c r="F1405" i="8"/>
  <c r="E1406" i="23"/>
  <c r="E1406" i="8"/>
  <c r="F1407" i="23"/>
  <c r="F1407" i="8"/>
  <c r="E1408" i="23"/>
  <c r="E1408" i="8"/>
  <c r="F1409" i="23"/>
  <c r="F1409" i="8"/>
  <c r="E1495" i="23"/>
  <c r="E1495" i="8"/>
  <c r="H1500" i="23"/>
  <c r="K1500" i="23" s="1"/>
  <c r="N1500" i="23" s="1"/>
  <c r="E1500" i="20"/>
  <c r="U1363" i="31" s="1"/>
  <c r="R1500" i="23"/>
  <c r="Z1363" i="31" s="1"/>
  <c r="O1500" i="23"/>
  <c r="Y1363" i="31" s="1"/>
  <c r="P1364" i="31"/>
  <c r="S1364" i="31"/>
  <c r="H1502" i="23"/>
  <c r="K1502" i="23" s="1"/>
  <c r="N1502" i="23" s="1"/>
  <c r="E1502" i="20"/>
  <c r="U1365" i="31" s="1"/>
  <c r="R1502" i="23"/>
  <c r="Z1365" i="31" s="1"/>
  <c r="S1365" i="31"/>
  <c r="P1365" i="31"/>
  <c r="E1504" i="23"/>
  <c r="G1504" i="23" s="1"/>
  <c r="E1504" i="8"/>
  <c r="F1504" i="23"/>
  <c r="F1504" i="8"/>
  <c r="H1505" i="23"/>
  <c r="K1505" i="23" s="1"/>
  <c r="N1505" i="23" s="1"/>
  <c r="E1505" i="20"/>
  <c r="U1368" i="31" s="1"/>
  <c r="R1505" i="23"/>
  <c r="Z1368" i="31" s="1"/>
  <c r="P1368" i="31"/>
  <c r="S1368" i="31"/>
  <c r="H1506" i="23"/>
  <c r="K1506" i="23" s="1"/>
  <c r="N1506" i="23" s="1"/>
  <c r="E1506" i="20"/>
  <c r="U1369" i="31" s="1"/>
  <c r="R1506" i="23"/>
  <c r="Z1369" i="31" s="1"/>
  <c r="S1369" i="31"/>
  <c r="P1369" i="31"/>
  <c r="H1507" i="23"/>
  <c r="K1507" i="23" s="1"/>
  <c r="N1507" i="23" s="1"/>
  <c r="E1507" i="20"/>
  <c r="U1370" i="31" s="1"/>
  <c r="R1507" i="23"/>
  <c r="Z1370" i="31" s="1"/>
  <c r="P1370" i="31"/>
  <c r="S1370" i="31"/>
  <c r="H1508" i="23"/>
  <c r="K1508" i="23" s="1"/>
  <c r="N1508" i="23" s="1"/>
  <c r="E1508" i="20"/>
  <c r="U1371" i="31" s="1"/>
  <c r="R1508" i="23"/>
  <c r="Z1371" i="31" s="1"/>
  <c r="P1371" i="31"/>
  <c r="S1371" i="31"/>
  <c r="H1519" i="23"/>
  <c r="K1519" i="23" s="1"/>
  <c r="N1519" i="23" s="1"/>
  <c r="E1519" i="20"/>
  <c r="U1381" i="31" s="1"/>
  <c r="R1519" i="23"/>
  <c r="Z1381" i="31" s="1"/>
  <c r="S1382" i="31"/>
  <c r="P1382" i="31"/>
  <c r="E1522" i="23"/>
  <c r="E1522" i="8"/>
  <c r="H1527" i="23"/>
  <c r="K1527" i="23" s="1"/>
  <c r="N1527" i="23" s="1"/>
  <c r="E1527" i="20"/>
  <c r="U1388" i="31" s="1"/>
  <c r="H1530" i="6"/>
  <c r="E1533" i="23"/>
  <c r="E1533" i="8"/>
  <c r="H1534" i="23"/>
  <c r="K1534" i="23" s="1"/>
  <c r="N1534" i="23" s="1"/>
  <c r="E1534" i="20"/>
  <c r="U1394" i="31" s="1"/>
  <c r="S1394" i="31"/>
  <c r="P1394" i="31"/>
  <c r="E1535" i="23"/>
  <c r="E1535" i="8"/>
  <c r="H1536" i="23"/>
  <c r="K1536" i="23" s="1"/>
  <c r="N1536" i="23" s="1"/>
  <c r="E1536" i="20"/>
  <c r="U1396" i="31" s="1"/>
  <c r="P1396" i="31"/>
  <c r="S1396" i="31"/>
  <c r="E1537" i="23"/>
  <c r="E1537" i="8"/>
  <c r="E1538" i="23"/>
  <c r="E1538" i="8"/>
  <c r="E1539" i="23"/>
  <c r="E1539" i="8"/>
  <c r="E1540" i="23"/>
  <c r="E1540" i="8"/>
  <c r="W1232" i="31"/>
  <c r="S1356" i="23"/>
  <c r="AA1232" i="31" s="1"/>
  <c r="S1318" i="23"/>
  <c r="AA1198" i="31" s="1"/>
  <c r="W1198" i="31"/>
  <c r="S1011" i="23"/>
  <c r="AA919" i="31" s="1"/>
  <c r="W919" i="31"/>
  <c r="G980" i="8"/>
  <c r="E891" i="31" s="1"/>
  <c r="G975" i="8"/>
  <c r="E886" i="31" s="1"/>
  <c r="W699" i="31"/>
  <c r="S769" i="23"/>
  <c r="AA699" i="31" s="1"/>
  <c r="W695" i="31"/>
  <c r="S765" i="23"/>
  <c r="AA695" i="31" s="1"/>
  <c r="G1393" i="8"/>
  <c r="E1266" i="31" s="1"/>
  <c r="W1290" i="31"/>
  <c r="S1419" i="23"/>
  <c r="AA1290" i="31" s="1"/>
  <c r="W1282" i="31"/>
  <c r="S1411" i="23"/>
  <c r="AA1282" i="31" s="1"/>
  <c r="S1438" i="23"/>
  <c r="AA1307" i="31" s="1"/>
  <c r="W1307" i="31"/>
  <c r="S1434" i="23"/>
  <c r="AA1303" i="31" s="1"/>
  <c r="W1303" i="31"/>
  <c r="S1451" i="23"/>
  <c r="AA1319" i="31" s="1"/>
  <c r="W1319" i="31"/>
  <c r="F1464" i="23"/>
  <c r="F1464" i="8"/>
  <c r="F1460" i="23"/>
  <c r="F1460" i="8"/>
  <c r="G1460" i="8" s="1"/>
  <c r="E1327" i="31" s="1"/>
  <c r="F1458" i="23"/>
  <c r="F1458" i="8"/>
  <c r="W1341" i="31"/>
  <c r="S1475" i="23"/>
  <c r="AA1341" i="31" s="1"/>
  <c r="W1414" i="31"/>
  <c r="S1556" i="23"/>
  <c r="AA1414" i="31" s="1"/>
  <c r="G1581" i="23"/>
  <c r="I1581" i="23" s="1"/>
  <c r="W1200" i="31"/>
  <c r="S1320" i="23"/>
  <c r="AA1200" i="31" s="1"/>
  <c r="I1288" i="23"/>
  <c r="L1284" i="23"/>
  <c r="X1167" i="31" s="1"/>
  <c r="I1023" i="23"/>
  <c r="L1019" i="23"/>
  <c r="X926" i="31" s="1"/>
  <c r="L1008" i="23"/>
  <c r="X916" i="31" s="1"/>
  <c r="L977" i="23"/>
  <c r="X888" i="31" s="1"/>
  <c r="F975" i="23"/>
  <c r="F975" i="8"/>
  <c r="F973" i="23"/>
  <c r="G973" i="23" s="1"/>
  <c r="I973" i="23" s="1"/>
  <c r="F973" i="8"/>
  <c r="L1167" i="23"/>
  <c r="X1061" i="31" s="1"/>
  <c r="L1161" i="23"/>
  <c r="X1055" i="31" s="1"/>
  <c r="I1242" i="23"/>
  <c r="F1396" i="23"/>
  <c r="G1396" i="23" s="1"/>
  <c r="I1396" i="23" s="1"/>
  <c r="F1396" i="8"/>
  <c r="F1392" i="23"/>
  <c r="F1392" i="8"/>
  <c r="L1415" i="23"/>
  <c r="X1286" i="31" s="1"/>
  <c r="L1462" i="23"/>
  <c r="X1329" i="31" s="1"/>
  <c r="G1583" i="8"/>
  <c r="E1439" i="31" s="1"/>
  <c r="G1578" i="8"/>
  <c r="E1434" i="31" s="1"/>
  <c r="W1258" i="31"/>
  <c r="S1384" i="23"/>
  <c r="AA1258" i="31" s="1"/>
  <c r="G1297" i="8"/>
  <c r="E1179" i="31" s="1"/>
  <c r="G1296" i="23"/>
  <c r="I1296" i="23" s="1"/>
  <c r="L1280" i="23"/>
  <c r="X1163" i="31" s="1"/>
  <c r="G1017" i="23"/>
  <c r="I1017" i="23" s="1"/>
  <c r="L1200" i="23"/>
  <c r="X1091" i="31" s="1"/>
  <c r="G1199" i="8"/>
  <c r="E1090" i="31" s="1"/>
  <c r="G1198" i="23"/>
  <c r="I1198" i="23" s="1"/>
  <c r="L1196" i="23"/>
  <c r="X1087" i="31" s="1"/>
  <c r="G1195" i="8"/>
  <c r="E1086" i="31" s="1"/>
  <c r="G1194" i="23"/>
  <c r="I1194" i="23" s="1"/>
  <c r="L1192" i="23"/>
  <c r="X1083" i="31" s="1"/>
  <c r="L1238" i="23"/>
  <c r="X1125" i="31" s="1"/>
  <c r="I1238" i="23"/>
  <c r="L1420" i="23"/>
  <c r="X1291" i="31" s="1"/>
  <c r="G1416" i="23"/>
  <c r="I1416" i="23" s="1"/>
  <c r="I1413" i="23"/>
  <c r="L1439" i="23"/>
  <c r="X1308" i="31" s="1"/>
  <c r="G1435" i="23"/>
  <c r="I1435" i="23" s="1"/>
  <c r="G1452" i="8"/>
  <c r="E1320" i="31" s="1"/>
  <c r="L1450" i="23"/>
  <c r="X1318" i="31" s="1"/>
  <c r="L1578" i="23"/>
  <c r="X1434" i="31" s="1"/>
  <c r="G1287" i="23"/>
  <c r="I1287" i="23" s="1"/>
  <c r="G1285" i="8"/>
  <c r="E1168" i="31" s="1"/>
  <c r="L1283" i="23"/>
  <c r="X1166" i="31" s="1"/>
  <c r="G1024" i="8"/>
  <c r="E931" i="31" s="1"/>
  <c r="L1022" i="23"/>
  <c r="X929" i="31" s="1"/>
  <c r="L1009" i="23"/>
  <c r="X917" i="31" s="1"/>
  <c r="G1005" i="23"/>
  <c r="I1005" i="23" s="1"/>
  <c r="G762" i="8"/>
  <c r="E692" i="31" s="1"/>
  <c r="L1166" i="23"/>
  <c r="X1060" i="31" s="1"/>
  <c r="L1162" i="23"/>
  <c r="X1056" i="31" s="1"/>
  <c r="L1191" i="23"/>
  <c r="X1082" i="31" s="1"/>
  <c r="G1241" i="23"/>
  <c r="I1241" i="23" s="1"/>
  <c r="G1398" i="8"/>
  <c r="E1271" i="31" s="1"/>
  <c r="G1397" i="23"/>
  <c r="I1397" i="23" s="1"/>
  <c r="G1395" i="23"/>
  <c r="I1395" i="23" s="1"/>
  <c r="G1390" i="8"/>
  <c r="E1263" i="31" s="1"/>
  <c r="G1414" i="8"/>
  <c r="E1285" i="31" s="1"/>
  <c r="L1412" i="23"/>
  <c r="X1283" i="31" s="1"/>
  <c r="I1412" i="23"/>
  <c r="G1441" i="8"/>
  <c r="E1310" i="31" s="1"/>
  <c r="G1464" i="8"/>
  <c r="E1331" i="31" s="1"/>
  <c r="G1460" i="23"/>
  <c r="I1460" i="23" s="1"/>
  <c r="L1458" i="23"/>
  <c r="X1325" i="31" s="1"/>
  <c r="G1456" i="23"/>
  <c r="I1456" i="23" s="1"/>
  <c r="G1560" i="8"/>
  <c r="E1418" i="31" s="1"/>
  <c r="G972" i="23"/>
  <c r="I972" i="23" s="1"/>
  <c r="G977" i="23"/>
  <c r="I977" i="23" s="1"/>
  <c r="E1225" i="23"/>
  <c r="G1225" i="23" s="1"/>
  <c r="I1225" i="23" s="1"/>
  <c r="E1225" i="8"/>
  <c r="G1225" i="8" s="1"/>
  <c r="E1113" i="31" s="1"/>
  <c r="L1224" i="23"/>
  <c r="X1112" i="31" s="1"/>
  <c r="O1233" i="23"/>
  <c r="Y1121" i="31" s="1"/>
  <c r="H1225" i="23"/>
  <c r="K1225" i="23" s="1"/>
  <c r="N1225" i="23" s="1"/>
  <c r="E1225" i="20"/>
  <c r="U1113" i="31" s="1"/>
  <c r="R1225" i="23"/>
  <c r="Z1113" i="31" s="1"/>
  <c r="R1227" i="23"/>
  <c r="Z1115" i="31" s="1"/>
  <c r="O1228" i="23"/>
  <c r="Y1116" i="31" s="1"/>
  <c r="R1229" i="23"/>
  <c r="Z1117" i="31" s="1"/>
  <c r="R1231" i="23"/>
  <c r="Z1119" i="31" s="1"/>
  <c r="O1232" i="23"/>
  <c r="Y1120" i="31" s="1"/>
  <c r="H1233" i="23"/>
  <c r="K1233" i="23" s="1"/>
  <c r="N1233" i="23" s="1"/>
  <c r="E1233" i="20"/>
  <c r="U1121" i="31" s="1"/>
  <c r="R1233" i="23"/>
  <c r="Z1121" i="31" s="1"/>
  <c r="S1121" i="31"/>
  <c r="P1121" i="31"/>
  <c r="H1246" i="23"/>
  <c r="K1246" i="23" s="1"/>
  <c r="N1246" i="23" s="1"/>
  <c r="O1246" i="23" s="1"/>
  <c r="Y1132" i="31" s="1"/>
  <c r="E1246" i="20"/>
  <c r="U1132" i="31" s="1"/>
  <c r="R1246" i="23"/>
  <c r="Z1132" i="31" s="1"/>
  <c r="F1247" i="23"/>
  <c r="F1247" i="8"/>
  <c r="O1248" i="23"/>
  <c r="Y1134" i="31" s="1"/>
  <c r="O1249" i="23"/>
  <c r="Y1135" i="31" s="1"/>
  <c r="O1250" i="23"/>
  <c r="Y1136" i="31" s="1"/>
  <c r="O1251" i="23"/>
  <c r="Y1137" i="31" s="1"/>
  <c r="O1252" i="23"/>
  <c r="Y1138" i="31" s="1"/>
  <c r="O1253" i="23"/>
  <c r="Y1139" i="31" s="1"/>
  <c r="O1254" i="23"/>
  <c r="Y1140" i="31" s="1"/>
  <c r="F1255" i="23"/>
  <c r="F1255" i="8"/>
  <c r="F1264" i="23"/>
  <c r="F1264" i="8"/>
  <c r="O1264" i="23"/>
  <c r="Y1149" i="31" s="1"/>
  <c r="F1265" i="23"/>
  <c r="F1265" i="8"/>
  <c r="E1266" i="23"/>
  <c r="G1266" i="23" s="1"/>
  <c r="E1266" i="8"/>
  <c r="G1266" i="8" s="1"/>
  <c r="E1151" i="31" s="1"/>
  <c r="F1268" i="23"/>
  <c r="F1268" i="8"/>
  <c r="H1269" i="23"/>
  <c r="K1269" i="23" s="1"/>
  <c r="N1269" i="23" s="1"/>
  <c r="O1269" i="23" s="1"/>
  <c r="Y1153" i="31" s="1"/>
  <c r="E1269" i="20"/>
  <c r="U1153" i="31" s="1"/>
  <c r="R1269" i="23"/>
  <c r="Z1153" i="31" s="1"/>
  <c r="O1270" i="23"/>
  <c r="Y1154" i="31" s="1"/>
  <c r="H1271" i="23"/>
  <c r="K1271" i="23" s="1"/>
  <c r="N1271" i="23" s="1"/>
  <c r="O1271" i="23" s="1"/>
  <c r="Y1155" i="31" s="1"/>
  <c r="E1271" i="20"/>
  <c r="U1155" i="31" s="1"/>
  <c r="R1271" i="23"/>
  <c r="Z1155" i="31" s="1"/>
  <c r="O1272" i="23"/>
  <c r="Y1156" i="31" s="1"/>
  <c r="H1273" i="23"/>
  <c r="K1273" i="23" s="1"/>
  <c r="N1273" i="23" s="1"/>
  <c r="O1273" i="23" s="1"/>
  <c r="Y1157" i="31" s="1"/>
  <c r="E1273" i="20"/>
  <c r="U1157" i="31" s="1"/>
  <c r="R1273" i="23"/>
  <c r="Z1157" i="31" s="1"/>
  <c r="O1274" i="23"/>
  <c r="Y1158" i="31" s="1"/>
  <c r="H1275" i="23"/>
  <c r="K1275" i="23" s="1"/>
  <c r="N1275" i="23" s="1"/>
  <c r="O1275" i="23" s="1"/>
  <c r="Y1159" i="31" s="1"/>
  <c r="E1275" i="20"/>
  <c r="U1159" i="31" s="1"/>
  <c r="R1275" i="23"/>
  <c r="Z1159" i="31" s="1"/>
  <c r="O1276" i="23"/>
  <c r="Y1160" i="31" s="1"/>
  <c r="H1277" i="23"/>
  <c r="K1277" i="23" s="1"/>
  <c r="N1277" i="23" s="1"/>
  <c r="O1277" i="23" s="1"/>
  <c r="Y1161" i="31" s="1"/>
  <c r="E1277" i="20"/>
  <c r="U1161" i="31" s="1"/>
  <c r="R1277" i="23"/>
  <c r="Z1161" i="31" s="1"/>
  <c r="H1301" i="23"/>
  <c r="K1301" i="23" s="1"/>
  <c r="N1301" i="23" s="1"/>
  <c r="E1301" i="20"/>
  <c r="U1182" i="31" s="1"/>
  <c r="R1301" i="23"/>
  <c r="Z1182" i="31" s="1"/>
  <c r="O1301" i="23"/>
  <c r="Y1182" i="31" s="1"/>
  <c r="P1183" i="31"/>
  <c r="S1183" i="31"/>
  <c r="H1303" i="23"/>
  <c r="K1303" i="23" s="1"/>
  <c r="N1303" i="23" s="1"/>
  <c r="O1303" i="23" s="1"/>
  <c r="Y1184" i="31" s="1"/>
  <c r="E1303" i="20"/>
  <c r="U1184" i="31" s="1"/>
  <c r="R1303" i="23"/>
  <c r="Z1184" i="31" s="1"/>
  <c r="P1184" i="31"/>
  <c r="S1184" i="31"/>
  <c r="H1304" i="23"/>
  <c r="K1304" i="23" s="1"/>
  <c r="N1304" i="23" s="1"/>
  <c r="O1304" i="23" s="1"/>
  <c r="Y1185" i="31" s="1"/>
  <c r="E1304" i="20"/>
  <c r="U1185" i="31" s="1"/>
  <c r="R1304" i="23"/>
  <c r="Z1185" i="31" s="1"/>
  <c r="F1305" i="23"/>
  <c r="F1305" i="8"/>
  <c r="P1186" i="31"/>
  <c r="S1186" i="31"/>
  <c r="E1306" i="23"/>
  <c r="G1306" i="23" s="1"/>
  <c r="I1306" i="23" s="1"/>
  <c r="E1306" i="8"/>
  <c r="G1306" i="8" s="1"/>
  <c r="E1187" i="31" s="1"/>
  <c r="F1306" i="23"/>
  <c r="F1306" i="8"/>
  <c r="L1306" i="23"/>
  <c r="X1187" i="31" s="1"/>
  <c r="H1308" i="23"/>
  <c r="K1308" i="23" s="1"/>
  <c r="N1308" i="23" s="1"/>
  <c r="O1308" i="23" s="1"/>
  <c r="Y1189" i="31" s="1"/>
  <c r="E1308" i="20"/>
  <c r="U1189" i="31" s="1"/>
  <c r="R1308" i="23"/>
  <c r="Z1189" i="31" s="1"/>
  <c r="S1189" i="31"/>
  <c r="P1189" i="31"/>
  <c r="H1309" i="23"/>
  <c r="K1309" i="23" s="1"/>
  <c r="N1309" i="23" s="1"/>
  <c r="O1309" i="23" s="1"/>
  <c r="Y1190" i="31" s="1"/>
  <c r="E1309" i="20"/>
  <c r="U1190" i="31" s="1"/>
  <c r="R1309" i="23"/>
  <c r="Z1190" i="31" s="1"/>
  <c r="P1190" i="31"/>
  <c r="S1190" i="31"/>
  <c r="H1323" i="23"/>
  <c r="K1323" i="23" s="1"/>
  <c r="N1323" i="23" s="1"/>
  <c r="O1323" i="23" s="1"/>
  <c r="Y1202" i="31" s="1"/>
  <c r="E1323" i="20"/>
  <c r="U1202" i="31" s="1"/>
  <c r="R1323" i="23"/>
  <c r="Z1202" i="31" s="1"/>
  <c r="H1324" i="23"/>
  <c r="K1324" i="23" s="1"/>
  <c r="N1324" i="23" s="1"/>
  <c r="O1324" i="23" s="1"/>
  <c r="Y1203" i="31" s="1"/>
  <c r="E1324" i="20"/>
  <c r="U1203" i="31" s="1"/>
  <c r="R1324" i="23"/>
  <c r="Z1203" i="31" s="1"/>
  <c r="O1325" i="23"/>
  <c r="Y1204" i="31" s="1"/>
  <c r="H1326" i="23"/>
  <c r="K1326" i="23" s="1"/>
  <c r="N1326" i="23" s="1"/>
  <c r="O1326" i="23" s="1"/>
  <c r="Y1205" i="31" s="1"/>
  <c r="E1326" i="20"/>
  <c r="U1205" i="31" s="1"/>
  <c r="R1326" i="23"/>
  <c r="Z1205" i="31" s="1"/>
  <c r="H1327" i="23"/>
  <c r="K1327" i="23" s="1"/>
  <c r="N1327" i="23" s="1"/>
  <c r="O1327" i="23" s="1"/>
  <c r="Y1206" i="31" s="1"/>
  <c r="E1327" i="20"/>
  <c r="U1206" i="31" s="1"/>
  <c r="R1327" i="23"/>
  <c r="Z1206" i="31" s="1"/>
  <c r="O1329" i="23"/>
  <c r="Y1208" i="31" s="1"/>
  <c r="E1330" i="20"/>
  <c r="U1209" i="31" s="1"/>
  <c r="H1330" i="23"/>
  <c r="K1330" i="23" s="1"/>
  <c r="N1330" i="23" s="1"/>
  <c r="O1330" i="23" s="1"/>
  <c r="Y1209" i="31" s="1"/>
  <c r="R1330" i="23"/>
  <c r="Z1209" i="31" s="1"/>
  <c r="L1331" i="23"/>
  <c r="X1210" i="31" s="1"/>
  <c r="H1331" i="23"/>
  <c r="K1331" i="23" s="1"/>
  <c r="N1331" i="23" s="1"/>
  <c r="O1331" i="23" s="1"/>
  <c r="Y1210" i="31" s="1"/>
  <c r="E1331" i="20"/>
  <c r="U1210" i="31" s="1"/>
  <c r="R1332" i="23"/>
  <c r="Z1211" i="31" s="1"/>
  <c r="H1349" i="23"/>
  <c r="K1349" i="23" s="1"/>
  <c r="N1349" i="23" s="1"/>
  <c r="O1349" i="23" s="1"/>
  <c r="Y1226" i="31" s="1"/>
  <c r="E1349" i="20"/>
  <c r="U1226" i="31" s="1"/>
  <c r="R1349" i="23"/>
  <c r="Z1226" i="31" s="1"/>
  <c r="H1351" i="23"/>
  <c r="K1351" i="23" s="1"/>
  <c r="N1351" i="23" s="1"/>
  <c r="O1351" i="23" s="1"/>
  <c r="Y1228" i="31" s="1"/>
  <c r="E1351" i="20"/>
  <c r="U1228" i="31" s="1"/>
  <c r="R1351" i="23"/>
  <c r="Z1228" i="31" s="1"/>
  <c r="H1352" i="6"/>
  <c r="O1352" i="23"/>
  <c r="Y1229" i="31" s="1"/>
  <c r="H1353" i="23"/>
  <c r="K1353" i="23" s="1"/>
  <c r="N1353" i="23" s="1"/>
  <c r="O1353" i="23" s="1"/>
  <c r="Y1230" i="31" s="1"/>
  <c r="E1353" i="20"/>
  <c r="U1230" i="31" s="1"/>
  <c r="R1353" i="23"/>
  <c r="Z1230" i="31" s="1"/>
  <c r="H1354" i="6"/>
  <c r="O1354" i="23"/>
  <c r="Y1231" i="31" s="1"/>
  <c r="E1403" i="23"/>
  <c r="E1403" i="8"/>
  <c r="G1403" i="8" s="1"/>
  <c r="E1275" i="31" s="1"/>
  <c r="F1403" i="23"/>
  <c r="F1403" i="8"/>
  <c r="L1403" i="23"/>
  <c r="X1275" i="31" s="1"/>
  <c r="O1405" i="23"/>
  <c r="Y1277" i="31" s="1"/>
  <c r="H1406" i="23"/>
  <c r="K1406" i="23" s="1"/>
  <c r="N1406" i="23" s="1"/>
  <c r="O1406" i="23" s="1"/>
  <c r="Y1278" i="31" s="1"/>
  <c r="E1406" i="20"/>
  <c r="U1278" i="31" s="1"/>
  <c r="R1406" i="23"/>
  <c r="Z1278" i="31" s="1"/>
  <c r="O1407" i="23"/>
  <c r="Y1279" i="31" s="1"/>
  <c r="H1408" i="23"/>
  <c r="K1408" i="23" s="1"/>
  <c r="N1408" i="23" s="1"/>
  <c r="O1408" i="23" s="1"/>
  <c r="Y1280" i="31" s="1"/>
  <c r="E1408" i="20"/>
  <c r="U1280" i="31" s="1"/>
  <c r="R1408" i="23"/>
  <c r="Z1280" i="31" s="1"/>
  <c r="O1409" i="23"/>
  <c r="Y1281" i="31" s="1"/>
  <c r="H1495" i="23"/>
  <c r="K1495" i="23" s="1"/>
  <c r="N1495" i="23" s="1"/>
  <c r="O1495" i="23" s="1"/>
  <c r="Y1359" i="31" s="1"/>
  <c r="E1495" i="20"/>
  <c r="U1359" i="31" s="1"/>
  <c r="R1495" i="23"/>
  <c r="Z1359" i="31" s="1"/>
  <c r="E1496" i="23"/>
  <c r="G1496" i="23" s="1"/>
  <c r="E1496" i="8"/>
  <c r="G1496" i="8" s="1"/>
  <c r="E1360" i="31" s="1"/>
  <c r="E1497" i="23"/>
  <c r="G1497" i="23" s="1"/>
  <c r="E1497" i="8"/>
  <c r="G1497" i="8" s="1"/>
  <c r="E1361" i="31" s="1"/>
  <c r="H1501" i="23"/>
  <c r="K1501" i="23" s="1"/>
  <c r="N1501" i="23" s="1"/>
  <c r="E1501" i="20"/>
  <c r="U1364" i="31" s="1"/>
  <c r="R1501" i="23"/>
  <c r="Z1364" i="31" s="1"/>
  <c r="O1501" i="23"/>
  <c r="Y1364" i="31" s="1"/>
  <c r="F1502" i="23"/>
  <c r="F1502" i="8"/>
  <c r="H1503" i="23"/>
  <c r="K1503" i="23" s="1"/>
  <c r="N1503" i="23" s="1"/>
  <c r="O1503" i="23" s="1"/>
  <c r="Y1366" i="31" s="1"/>
  <c r="E1503" i="20"/>
  <c r="U1366" i="31" s="1"/>
  <c r="R1503" i="23"/>
  <c r="Z1366" i="31" s="1"/>
  <c r="P1366" i="31"/>
  <c r="S1366" i="31"/>
  <c r="P1367" i="31"/>
  <c r="S1367" i="31"/>
  <c r="F1505" i="23"/>
  <c r="F1505" i="8"/>
  <c r="F1506" i="23"/>
  <c r="F1506" i="8"/>
  <c r="F1507" i="23"/>
  <c r="F1507" i="8"/>
  <c r="F1508" i="23"/>
  <c r="F1508" i="8"/>
  <c r="F1519" i="23"/>
  <c r="F1519" i="8"/>
  <c r="S1381" i="31"/>
  <c r="P1381" i="31"/>
  <c r="H1521" i="23"/>
  <c r="K1521" i="23" s="1"/>
  <c r="N1521" i="23" s="1"/>
  <c r="E1521" i="20"/>
  <c r="U1382" i="31" s="1"/>
  <c r="H1521" i="6"/>
  <c r="R1521" i="23"/>
  <c r="Z1382" i="31" s="1"/>
  <c r="O1521" i="23"/>
  <c r="Y1382" i="31" s="1"/>
  <c r="P1383" i="31"/>
  <c r="S1383" i="31"/>
  <c r="H1523" i="23"/>
  <c r="K1523" i="23" s="1"/>
  <c r="N1523" i="23" s="1"/>
  <c r="O1523" i="23" s="1"/>
  <c r="Y1384" i="31" s="1"/>
  <c r="E1523" i="20"/>
  <c r="U1384" i="31" s="1"/>
  <c r="R1523" i="23"/>
  <c r="Z1384" i="31" s="1"/>
  <c r="H1524" i="23"/>
  <c r="K1524" i="23" s="1"/>
  <c r="N1524" i="23" s="1"/>
  <c r="O1524" i="23" s="1"/>
  <c r="Y1385" i="31" s="1"/>
  <c r="E1524" i="20"/>
  <c r="U1385" i="31" s="1"/>
  <c r="R1524" i="23"/>
  <c r="Z1385" i="31" s="1"/>
  <c r="S1385" i="31"/>
  <c r="P1385" i="31"/>
  <c r="H1525" i="23"/>
  <c r="K1525" i="23" s="1"/>
  <c r="N1525" i="23" s="1"/>
  <c r="O1525" i="23" s="1"/>
  <c r="Y1386" i="31" s="1"/>
  <c r="E1525" i="20"/>
  <c r="U1386" i="31" s="1"/>
  <c r="R1525" i="23"/>
  <c r="Z1386" i="31" s="1"/>
  <c r="S1386" i="31"/>
  <c r="P1386" i="31"/>
  <c r="H1526" i="23"/>
  <c r="K1526" i="23" s="1"/>
  <c r="N1526" i="23" s="1"/>
  <c r="O1526" i="23" s="1"/>
  <c r="Y1387" i="31" s="1"/>
  <c r="E1526" i="20"/>
  <c r="U1387" i="31" s="1"/>
  <c r="R1526" i="23"/>
  <c r="Z1387" i="31" s="1"/>
  <c r="P1387" i="31"/>
  <c r="S1387" i="31"/>
  <c r="P1388" i="31"/>
  <c r="S1388" i="31"/>
  <c r="H1528" i="23"/>
  <c r="K1528" i="23" s="1"/>
  <c r="N1528" i="23" s="1"/>
  <c r="O1528" i="23" s="1"/>
  <c r="Y1389" i="31" s="1"/>
  <c r="E1528" i="20"/>
  <c r="U1389" i="31" s="1"/>
  <c r="R1528" i="23"/>
  <c r="Z1389" i="31" s="1"/>
  <c r="S1389" i="31"/>
  <c r="P1389" i="31"/>
  <c r="H1529" i="23"/>
  <c r="K1529" i="23" s="1"/>
  <c r="N1529" i="23" s="1"/>
  <c r="O1529" i="23" s="1"/>
  <c r="Y1390" i="31" s="1"/>
  <c r="E1529" i="20"/>
  <c r="U1390" i="31" s="1"/>
  <c r="R1529" i="23"/>
  <c r="Z1390" i="31" s="1"/>
  <c r="S1390" i="31"/>
  <c r="P1390" i="31"/>
  <c r="E1532" i="23"/>
  <c r="G1532" i="23" s="1"/>
  <c r="E1532" i="8"/>
  <c r="G1532" i="8" s="1"/>
  <c r="E1392" i="31" s="1"/>
  <c r="P1392" i="31"/>
  <c r="S1392" i="31"/>
  <c r="H1533" i="23"/>
  <c r="K1533" i="23" s="1"/>
  <c r="N1533" i="23" s="1"/>
  <c r="O1533" i="23" s="1"/>
  <c r="Y1393" i="31" s="1"/>
  <c r="E1533" i="20"/>
  <c r="U1393" i="31" s="1"/>
  <c r="R1533" i="23"/>
  <c r="Z1393" i="31" s="1"/>
  <c r="S1393" i="31"/>
  <c r="P1393" i="31"/>
  <c r="F1534" i="23"/>
  <c r="F1534" i="8"/>
  <c r="H1535" i="23"/>
  <c r="K1535" i="23" s="1"/>
  <c r="N1535" i="23" s="1"/>
  <c r="O1535" i="23" s="1"/>
  <c r="Y1395" i="31" s="1"/>
  <c r="E1535" i="20"/>
  <c r="U1395" i="31" s="1"/>
  <c r="R1535" i="23"/>
  <c r="Z1395" i="31" s="1"/>
  <c r="P1395" i="31"/>
  <c r="S1395" i="31"/>
  <c r="F1536" i="23"/>
  <c r="F1536" i="8"/>
  <c r="H1537" i="23"/>
  <c r="K1537" i="23" s="1"/>
  <c r="N1537" i="23" s="1"/>
  <c r="O1537" i="23" s="1"/>
  <c r="Y1397" i="31" s="1"/>
  <c r="E1537" i="20"/>
  <c r="U1397" i="31" s="1"/>
  <c r="R1537" i="23"/>
  <c r="Z1397" i="31" s="1"/>
  <c r="S1397" i="31"/>
  <c r="P1397" i="31"/>
  <c r="H1538" i="23"/>
  <c r="K1538" i="23" s="1"/>
  <c r="N1538" i="23" s="1"/>
  <c r="O1538" i="23" s="1"/>
  <c r="Y1398" i="31" s="1"/>
  <c r="E1538" i="20"/>
  <c r="U1398" i="31" s="1"/>
  <c r="R1538" i="23"/>
  <c r="Z1398" i="31" s="1"/>
  <c r="S1398" i="31"/>
  <c r="P1398" i="31"/>
  <c r="H1539" i="23"/>
  <c r="K1539" i="23" s="1"/>
  <c r="N1539" i="23" s="1"/>
  <c r="O1539" i="23" s="1"/>
  <c r="Y1399" i="31" s="1"/>
  <c r="E1539" i="20"/>
  <c r="U1399" i="31" s="1"/>
  <c r="R1539" i="23"/>
  <c r="Z1399" i="31" s="1"/>
  <c r="P1399" i="31"/>
  <c r="S1399" i="31"/>
  <c r="H1540" i="23"/>
  <c r="K1540" i="23" s="1"/>
  <c r="N1540" i="23" s="1"/>
  <c r="O1540" i="23" s="1"/>
  <c r="Y1400" i="31" s="1"/>
  <c r="E1540" i="20"/>
  <c r="U1400" i="31" s="1"/>
  <c r="R1540" i="23"/>
  <c r="Z1400" i="31" s="1"/>
  <c r="W1253" i="31"/>
  <c r="S1379" i="23"/>
  <c r="AA1253" i="31" s="1"/>
  <c r="W1233" i="31"/>
  <c r="S1357" i="23"/>
  <c r="AA1233" i="31" s="1"/>
  <c r="W1177" i="31"/>
  <c r="S1295" i="23"/>
  <c r="AA1177" i="31" s="1"/>
  <c r="G1294" i="8"/>
  <c r="E1176" i="31" s="1"/>
  <c r="W922" i="31"/>
  <c r="S1015" i="23"/>
  <c r="AA922" i="31" s="1"/>
  <c r="W920" i="31"/>
  <c r="S1012" i="23"/>
  <c r="AA920" i="31" s="1"/>
  <c r="G980" i="23"/>
  <c r="I980" i="23" s="1"/>
  <c r="G975" i="23"/>
  <c r="I975" i="23" s="1"/>
  <c r="W700" i="31"/>
  <c r="S770" i="23"/>
  <c r="AA700" i="31" s="1"/>
  <c r="W696" i="31"/>
  <c r="S766" i="23"/>
  <c r="AA696" i="31" s="1"/>
  <c r="W1054" i="31"/>
  <c r="G1393" i="23"/>
  <c r="I1393" i="23" s="1"/>
  <c r="G1392" i="8"/>
  <c r="E1265" i="31" s="1"/>
  <c r="W1288" i="31"/>
  <c r="S1417" i="23"/>
  <c r="AA1288" i="31" s="1"/>
  <c r="W1305" i="31"/>
  <c r="S1436" i="23"/>
  <c r="AA1305" i="31" s="1"/>
  <c r="W1317" i="31"/>
  <c r="S1449" i="23"/>
  <c r="AA1317" i="31" s="1"/>
  <c r="W1337" i="31"/>
  <c r="S1471" i="23"/>
  <c r="AA1337" i="31" s="1"/>
  <c r="W1440" i="31"/>
  <c r="S1584" i="23"/>
  <c r="AA1440" i="31" s="1"/>
  <c r="G1558" i="23"/>
  <c r="I1558" i="23" s="1"/>
  <c r="I1541" i="23"/>
  <c r="W1181" i="31"/>
  <c r="S1299" i="23"/>
  <c r="AA1181" i="31" s="1"/>
  <c r="G1293" i="23"/>
  <c r="I1293" i="23" s="1"/>
  <c r="I1286" i="23"/>
  <c r="L1282" i="23"/>
  <c r="X1165" i="31" s="1"/>
  <c r="L1279" i="23"/>
  <c r="X1162" i="31" s="1"/>
  <c r="I1021" i="23"/>
  <c r="I1016" i="23"/>
  <c r="I1010" i="23"/>
  <c r="L1006" i="23"/>
  <c r="X914" i="31" s="1"/>
  <c r="F979" i="23"/>
  <c r="G979" i="23" s="1"/>
  <c r="I979" i="23" s="1"/>
  <c r="F979" i="8"/>
  <c r="G979" i="8" s="1"/>
  <c r="E890" i="31" s="1"/>
  <c r="L972" i="23"/>
  <c r="X883" i="31" s="1"/>
  <c r="L1165" i="23"/>
  <c r="X1059" i="31" s="1"/>
  <c r="L1244" i="23"/>
  <c r="X1131" i="31" s="1"/>
  <c r="I1240" i="23"/>
  <c r="G1239" i="8"/>
  <c r="E1126" i="31" s="1"/>
  <c r="F1394" i="23"/>
  <c r="F1394" i="8"/>
  <c r="G1394" i="8" s="1"/>
  <c r="E1267" i="31" s="1"/>
  <c r="G1433" i="8"/>
  <c r="E1302" i="31" s="1"/>
  <c r="G1472" i="8"/>
  <c r="E1338" i="31" s="1"/>
  <c r="G1579" i="8"/>
  <c r="E1435" i="31" s="1"/>
  <c r="I1563" i="23"/>
  <c r="G1583" i="23"/>
  <c r="I1583" i="23" s="1"/>
  <c r="G1578" i="23"/>
  <c r="I1578" i="23" s="1"/>
  <c r="W1257" i="31"/>
  <c r="S1383" i="23"/>
  <c r="AA1257" i="31" s="1"/>
  <c r="W1194" i="31"/>
  <c r="S1314" i="23"/>
  <c r="AA1194" i="31" s="1"/>
  <c r="G1298" i="8"/>
  <c r="E1180" i="31" s="1"/>
  <c r="G1297" i="23"/>
  <c r="I1297" i="23" s="1"/>
  <c r="G1280" i="8"/>
  <c r="E1163" i="31" s="1"/>
  <c r="L763" i="23"/>
  <c r="X693" i="31" s="1"/>
  <c r="L1163" i="23"/>
  <c r="X1057" i="31" s="1"/>
  <c r="L1158" i="23"/>
  <c r="X1052" i="31" s="1"/>
  <c r="G1200" i="8"/>
  <c r="E1091" i="31" s="1"/>
  <c r="G1199" i="23"/>
  <c r="I1199" i="23" s="1"/>
  <c r="L1197" i="23"/>
  <c r="X1088" i="31" s="1"/>
  <c r="G1196" i="8"/>
  <c r="E1087" i="31" s="1"/>
  <c r="G1195" i="23"/>
  <c r="I1195" i="23" s="1"/>
  <c r="L1193" i="23"/>
  <c r="X1084" i="31" s="1"/>
  <c r="G1192" i="8"/>
  <c r="E1083" i="31" s="1"/>
  <c r="G1420" i="8"/>
  <c r="E1291" i="31" s="1"/>
  <c r="L1418" i="23"/>
  <c r="X1289" i="31" s="1"/>
  <c r="G1439" i="8"/>
  <c r="E1308" i="31" s="1"/>
  <c r="L1437" i="23"/>
  <c r="X1306" i="31" s="1"/>
  <c r="G1452" i="23"/>
  <c r="I1452" i="23" s="1"/>
  <c r="G1450" i="8"/>
  <c r="E1318" i="31" s="1"/>
  <c r="L1448" i="23"/>
  <c r="X1316" i="31" s="1"/>
  <c r="G1446" i="8"/>
  <c r="E1314" i="31" s="1"/>
  <c r="I1463" i="23"/>
  <c r="G1285" i="23"/>
  <c r="I1285" i="23" s="1"/>
  <c r="G1283" i="8"/>
  <c r="E1166" i="31" s="1"/>
  <c r="L1281" i="23"/>
  <c r="X1164" i="31" s="1"/>
  <c r="G1024" i="23"/>
  <c r="I1024" i="23" s="1"/>
  <c r="G1022" i="8"/>
  <c r="E929" i="31" s="1"/>
  <c r="L1020" i="23"/>
  <c r="X927" i="31" s="1"/>
  <c r="G1009" i="8"/>
  <c r="E917" i="31" s="1"/>
  <c r="L1007" i="23"/>
  <c r="X915" i="31" s="1"/>
  <c r="G762" i="23"/>
  <c r="I762" i="23" s="1"/>
  <c r="G1166" i="8"/>
  <c r="E1060" i="31" s="1"/>
  <c r="L1164" i="23"/>
  <c r="X1058" i="31" s="1"/>
  <c r="G1162" i="8"/>
  <c r="E1056" i="31" s="1"/>
  <c r="L1160" i="23"/>
  <c r="X1054" i="31" s="1"/>
  <c r="G1191" i="8"/>
  <c r="E1082" i="31" s="1"/>
  <c r="L1243" i="23"/>
  <c r="X1130" i="31" s="1"/>
  <c r="G1398" i="23"/>
  <c r="I1398" i="23" s="1"/>
  <c r="G1390" i="23"/>
  <c r="I1390" i="23" s="1"/>
  <c r="G1414" i="23"/>
  <c r="I1414" i="23" s="1"/>
  <c r="G1441" i="23"/>
  <c r="I1441" i="23" s="1"/>
  <c r="G1445" i="8"/>
  <c r="E1313" i="31" s="1"/>
  <c r="G1464" i="23"/>
  <c r="I1464" i="23" s="1"/>
  <c r="L1459" i="23"/>
  <c r="X1326" i="31" s="1"/>
  <c r="G1458" i="8"/>
  <c r="E1325" i="31" s="1"/>
  <c r="G1562" i="8"/>
  <c r="E1420" i="31" s="1"/>
  <c r="G1560" i="23"/>
  <c r="I1560" i="23" s="1"/>
  <c r="G1559" i="8"/>
  <c r="E1417" i="31" s="1"/>
  <c r="G1462" i="8"/>
  <c r="E1329" i="31" s="1"/>
  <c r="H1230" i="23"/>
  <c r="K1230" i="23" s="1"/>
  <c r="N1230" i="23" s="1"/>
  <c r="E1230" i="20"/>
  <c r="U1118" i="31" s="1"/>
  <c r="O1225" i="23"/>
  <c r="Y1113" i="31" s="1"/>
  <c r="O1226" i="23"/>
  <c r="Y1114" i="31" s="1"/>
  <c r="H1227" i="23"/>
  <c r="K1227" i="23" s="1"/>
  <c r="N1227" i="23" s="1"/>
  <c r="O1227" i="23" s="1"/>
  <c r="Y1115" i="31" s="1"/>
  <c r="E1227" i="20"/>
  <c r="U1115" i="31" s="1"/>
  <c r="H1229" i="23"/>
  <c r="K1229" i="23" s="1"/>
  <c r="N1229" i="23" s="1"/>
  <c r="O1229" i="23" s="1"/>
  <c r="Y1117" i="31" s="1"/>
  <c r="E1229" i="20"/>
  <c r="U1117" i="31" s="1"/>
  <c r="O1230" i="23"/>
  <c r="Y1118" i="31" s="1"/>
  <c r="H1231" i="23"/>
  <c r="K1231" i="23" s="1"/>
  <c r="N1231" i="23" s="1"/>
  <c r="O1231" i="23" s="1"/>
  <c r="Y1119" i="31" s="1"/>
  <c r="E1231" i="20"/>
  <c r="U1119" i="31" s="1"/>
  <c r="F1224" i="23"/>
  <c r="F1224" i="8"/>
  <c r="L1225" i="23"/>
  <c r="X1113" i="31" s="1"/>
  <c r="E1226" i="23"/>
  <c r="G1226" i="23" s="1"/>
  <c r="I1226" i="23" s="1"/>
  <c r="E1226" i="8"/>
  <c r="G1226" i="8" s="1"/>
  <c r="E1114" i="31" s="1"/>
  <c r="L1226" i="23"/>
  <c r="X1114" i="31" s="1"/>
  <c r="F1227" i="23"/>
  <c r="F1227" i="8"/>
  <c r="E1228" i="23"/>
  <c r="G1228" i="23" s="1"/>
  <c r="I1228" i="23" s="1"/>
  <c r="E1228" i="8"/>
  <c r="G1228" i="8" s="1"/>
  <c r="E1116" i="31" s="1"/>
  <c r="L1228" i="23"/>
  <c r="X1116" i="31" s="1"/>
  <c r="F1229" i="23"/>
  <c r="F1229" i="8"/>
  <c r="E1230" i="23"/>
  <c r="G1230" i="23" s="1"/>
  <c r="I1230" i="23" s="1"/>
  <c r="E1230" i="8"/>
  <c r="G1230" i="8" s="1"/>
  <c r="E1118" i="31" s="1"/>
  <c r="L1230" i="23"/>
  <c r="X1118" i="31" s="1"/>
  <c r="F1231" i="23"/>
  <c r="F1231" i="8"/>
  <c r="E1232" i="23"/>
  <c r="G1232" i="23" s="1"/>
  <c r="I1232" i="23" s="1"/>
  <c r="E1232" i="8"/>
  <c r="G1232" i="8" s="1"/>
  <c r="E1120" i="31" s="1"/>
  <c r="L1232" i="23"/>
  <c r="X1120" i="31" s="1"/>
  <c r="F1233" i="23"/>
  <c r="F1233" i="8"/>
  <c r="F1246" i="23"/>
  <c r="F1246" i="8"/>
  <c r="O1247" i="23"/>
  <c r="Y1133" i="31" s="1"/>
  <c r="E1248" i="23"/>
  <c r="G1248" i="23" s="1"/>
  <c r="I1248" i="23" s="1"/>
  <c r="E1248" i="8"/>
  <c r="G1248" i="8" s="1"/>
  <c r="E1134" i="31" s="1"/>
  <c r="L1248" i="23"/>
  <c r="X1134" i="31" s="1"/>
  <c r="E1249" i="23"/>
  <c r="G1249" i="23" s="1"/>
  <c r="I1249" i="23" s="1"/>
  <c r="E1249" i="8"/>
  <c r="G1249" i="8" s="1"/>
  <c r="E1135" i="31" s="1"/>
  <c r="L1249" i="23"/>
  <c r="X1135" i="31" s="1"/>
  <c r="E1250" i="23"/>
  <c r="G1250" i="23" s="1"/>
  <c r="I1250" i="23" s="1"/>
  <c r="E1250" i="8"/>
  <c r="G1250" i="8" s="1"/>
  <c r="E1136" i="31" s="1"/>
  <c r="L1250" i="23"/>
  <c r="X1136" i="31" s="1"/>
  <c r="E1251" i="23"/>
  <c r="G1251" i="23" s="1"/>
  <c r="I1251" i="23" s="1"/>
  <c r="E1251" i="8"/>
  <c r="G1251" i="8" s="1"/>
  <c r="E1137" i="31" s="1"/>
  <c r="L1251" i="23"/>
  <c r="X1137" i="31" s="1"/>
  <c r="E1252" i="23"/>
  <c r="G1252" i="23" s="1"/>
  <c r="I1252" i="23" s="1"/>
  <c r="E1252" i="8"/>
  <c r="G1252" i="8" s="1"/>
  <c r="E1138" i="31" s="1"/>
  <c r="L1252" i="23"/>
  <c r="X1138" i="31" s="1"/>
  <c r="E1253" i="23"/>
  <c r="G1253" i="23" s="1"/>
  <c r="I1253" i="23" s="1"/>
  <c r="E1253" i="8"/>
  <c r="G1253" i="8" s="1"/>
  <c r="E1139" i="31" s="1"/>
  <c r="L1253" i="23"/>
  <c r="X1139" i="31" s="1"/>
  <c r="E1254" i="23"/>
  <c r="G1254" i="23" s="1"/>
  <c r="I1254" i="23" s="1"/>
  <c r="E1254" i="8"/>
  <c r="G1254" i="8" s="1"/>
  <c r="E1140" i="31" s="1"/>
  <c r="L1254" i="23"/>
  <c r="X1140" i="31" s="1"/>
  <c r="O1255" i="23"/>
  <c r="Y1141" i="31" s="1"/>
  <c r="O1265" i="23"/>
  <c r="Y1150" i="31" s="1"/>
  <c r="H1266" i="23"/>
  <c r="K1266" i="23" s="1"/>
  <c r="N1266" i="23" s="1"/>
  <c r="O1266" i="23" s="1"/>
  <c r="Y1151" i="31" s="1"/>
  <c r="E1266" i="20"/>
  <c r="U1151" i="31" s="1"/>
  <c r="F1269" i="23"/>
  <c r="F1269" i="8"/>
  <c r="E1270" i="23"/>
  <c r="G1270" i="23" s="1"/>
  <c r="I1270" i="23" s="1"/>
  <c r="E1270" i="8"/>
  <c r="G1270" i="8" s="1"/>
  <c r="E1154" i="31" s="1"/>
  <c r="L1270" i="23"/>
  <c r="X1154" i="31" s="1"/>
  <c r="F1271" i="23"/>
  <c r="F1271" i="8"/>
  <c r="E1272" i="23"/>
  <c r="G1272" i="23" s="1"/>
  <c r="I1272" i="23" s="1"/>
  <c r="E1272" i="8"/>
  <c r="G1272" i="8" s="1"/>
  <c r="E1156" i="31" s="1"/>
  <c r="L1272" i="23"/>
  <c r="X1156" i="31" s="1"/>
  <c r="F1273" i="23"/>
  <c r="F1273" i="8"/>
  <c r="E1274" i="23"/>
  <c r="G1274" i="23" s="1"/>
  <c r="I1274" i="23" s="1"/>
  <c r="E1274" i="8"/>
  <c r="G1274" i="8" s="1"/>
  <c r="E1158" i="31" s="1"/>
  <c r="L1274" i="23"/>
  <c r="X1158" i="31" s="1"/>
  <c r="F1275" i="23"/>
  <c r="F1275" i="8"/>
  <c r="E1276" i="23"/>
  <c r="G1276" i="23" s="1"/>
  <c r="I1276" i="23" s="1"/>
  <c r="E1276" i="8"/>
  <c r="G1276" i="8" s="1"/>
  <c r="E1160" i="31" s="1"/>
  <c r="L1276" i="23"/>
  <c r="X1160" i="31" s="1"/>
  <c r="F1277" i="23"/>
  <c r="F1277" i="8"/>
  <c r="H1302" i="23"/>
  <c r="K1302" i="23" s="1"/>
  <c r="N1302" i="23" s="1"/>
  <c r="O1302" i="23" s="1"/>
  <c r="Y1183" i="31" s="1"/>
  <c r="E1302" i="20"/>
  <c r="U1183" i="31" s="1"/>
  <c r="R1302" i="23"/>
  <c r="Z1183" i="31" s="1"/>
  <c r="F1303" i="23"/>
  <c r="F1303" i="8"/>
  <c r="F1304" i="23"/>
  <c r="F1304" i="8"/>
  <c r="O1305" i="23"/>
  <c r="Y1186" i="31" s="1"/>
  <c r="E1307" i="23"/>
  <c r="G1307" i="23" s="1"/>
  <c r="I1307" i="23" s="1"/>
  <c r="E1307" i="8"/>
  <c r="G1307" i="8" s="1"/>
  <c r="E1188" i="31" s="1"/>
  <c r="F1307" i="23"/>
  <c r="F1307" i="8"/>
  <c r="L1307" i="23"/>
  <c r="X1188" i="31" s="1"/>
  <c r="F1308" i="23"/>
  <c r="F1308" i="8"/>
  <c r="F1309" i="23"/>
  <c r="F1309" i="8"/>
  <c r="F1323" i="23"/>
  <c r="F1323" i="8"/>
  <c r="F1324" i="23"/>
  <c r="F1324" i="8"/>
  <c r="E1325" i="23"/>
  <c r="G1325" i="23" s="1"/>
  <c r="I1325" i="23" s="1"/>
  <c r="E1325" i="8"/>
  <c r="G1325" i="8" s="1"/>
  <c r="E1204" i="31" s="1"/>
  <c r="L1325" i="23"/>
  <c r="X1204" i="31" s="1"/>
  <c r="F1326" i="23"/>
  <c r="F1326" i="8"/>
  <c r="H1328" i="23"/>
  <c r="K1328" i="23" s="1"/>
  <c r="N1328" i="23" s="1"/>
  <c r="E1328" i="20"/>
  <c r="U1207" i="31" s="1"/>
  <c r="R1328" i="23"/>
  <c r="Z1207" i="31" s="1"/>
  <c r="O1328" i="23"/>
  <c r="Y1207" i="31" s="1"/>
  <c r="E1329" i="23"/>
  <c r="G1329" i="23" s="1"/>
  <c r="I1329" i="23" s="1"/>
  <c r="E1329" i="8"/>
  <c r="G1329" i="8" s="1"/>
  <c r="E1208" i="31" s="1"/>
  <c r="L1329" i="23"/>
  <c r="X1208" i="31" s="1"/>
  <c r="F1330" i="23"/>
  <c r="F1330" i="8"/>
  <c r="E1331" i="23"/>
  <c r="G1331" i="23" s="1"/>
  <c r="I1331" i="23" s="1"/>
  <c r="E1331" i="8"/>
  <c r="G1331" i="8" s="1"/>
  <c r="E1210" i="31" s="1"/>
  <c r="F1332" i="23"/>
  <c r="F1332" i="8"/>
  <c r="H1350" i="23"/>
  <c r="K1350" i="23" s="1"/>
  <c r="N1350" i="23" s="1"/>
  <c r="O1350" i="23" s="1"/>
  <c r="Y1227" i="31" s="1"/>
  <c r="E1350" i="20"/>
  <c r="U1227" i="31" s="1"/>
  <c r="R1350" i="23"/>
  <c r="Z1227" i="31" s="1"/>
  <c r="E1352" i="23"/>
  <c r="E1352" i="8"/>
  <c r="L1352" i="23"/>
  <c r="X1229" i="31" s="1"/>
  <c r="E1354" i="23"/>
  <c r="E1354" i="8"/>
  <c r="L1354" i="23"/>
  <c r="X1231" i="31" s="1"/>
  <c r="E1404" i="23"/>
  <c r="G1404" i="23" s="1"/>
  <c r="I1404" i="23" s="1"/>
  <c r="E1404" i="8"/>
  <c r="F1404" i="23"/>
  <c r="F1404" i="8"/>
  <c r="L1404" i="23"/>
  <c r="X1276" i="31" s="1"/>
  <c r="E1405" i="23"/>
  <c r="G1405" i="23" s="1"/>
  <c r="I1405" i="23" s="1"/>
  <c r="E1405" i="8"/>
  <c r="G1405" i="8" s="1"/>
  <c r="E1277" i="31" s="1"/>
  <c r="L1405" i="23"/>
  <c r="X1277" i="31" s="1"/>
  <c r="F1406" i="23"/>
  <c r="F1406" i="8"/>
  <c r="E1407" i="23"/>
  <c r="G1407" i="23" s="1"/>
  <c r="I1407" i="23" s="1"/>
  <c r="E1407" i="8"/>
  <c r="G1407" i="8" s="1"/>
  <c r="E1279" i="31" s="1"/>
  <c r="L1407" i="23"/>
  <c r="X1279" i="31" s="1"/>
  <c r="F1408" i="23"/>
  <c r="F1408" i="8"/>
  <c r="E1409" i="23"/>
  <c r="G1409" i="23" s="1"/>
  <c r="I1409" i="23" s="1"/>
  <c r="E1409" i="8"/>
  <c r="G1409" i="8" s="1"/>
  <c r="E1281" i="31" s="1"/>
  <c r="L1409" i="23"/>
  <c r="X1281" i="31" s="1"/>
  <c r="F1495" i="23"/>
  <c r="F1495" i="8"/>
  <c r="H1496" i="23"/>
  <c r="K1496" i="23" s="1"/>
  <c r="N1496" i="23" s="1"/>
  <c r="O1496" i="23" s="1"/>
  <c r="Y1360" i="31" s="1"/>
  <c r="E1496" i="20"/>
  <c r="U1360" i="31" s="1"/>
  <c r="P1360" i="31"/>
  <c r="S1360" i="31"/>
  <c r="H1497" i="23"/>
  <c r="K1497" i="23" s="1"/>
  <c r="N1497" i="23" s="1"/>
  <c r="O1497" i="23" s="1"/>
  <c r="Y1361" i="31" s="1"/>
  <c r="E1497" i="20"/>
  <c r="U1361" i="31" s="1"/>
  <c r="E1500" i="23"/>
  <c r="E1500" i="8"/>
  <c r="G1500" i="8" s="1"/>
  <c r="E1363" i="31" s="1"/>
  <c r="F1500" i="23"/>
  <c r="F1500" i="8"/>
  <c r="L1500" i="23"/>
  <c r="X1363" i="31" s="1"/>
  <c r="O1502" i="23"/>
  <c r="Y1365" i="31" s="1"/>
  <c r="H1504" i="23"/>
  <c r="K1504" i="23" s="1"/>
  <c r="N1504" i="23" s="1"/>
  <c r="E1504" i="20"/>
  <c r="U1367" i="31" s="1"/>
  <c r="R1504" i="23"/>
  <c r="Z1367" i="31" s="1"/>
  <c r="O1504" i="23"/>
  <c r="Y1367" i="31" s="1"/>
  <c r="O1505" i="23"/>
  <c r="Y1368" i="31" s="1"/>
  <c r="O1506" i="23"/>
  <c r="Y1369" i="31" s="1"/>
  <c r="O1507" i="23"/>
  <c r="Y1370" i="31" s="1"/>
  <c r="O1508" i="23"/>
  <c r="Y1371" i="31" s="1"/>
  <c r="O1519" i="23"/>
  <c r="Y1381" i="31" s="1"/>
  <c r="H1522" i="23"/>
  <c r="K1522" i="23" s="1"/>
  <c r="N1522" i="23" s="1"/>
  <c r="E1522" i="20"/>
  <c r="U1383" i="31" s="1"/>
  <c r="F1522" i="23"/>
  <c r="F1522" i="8"/>
  <c r="O1522" i="23"/>
  <c r="Y1383" i="31" s="1"/>
  <c r="P1384" i="31"/>
  <c r="S1384" i="31"/>
  <c r="F1527" i="23"/>
  <c r="F1527" i="8"/>
  <c r="O1527" i="23"/>
  <c r="Y1388" i="31" s="1"/>
  <c r="H1530" i="23"/>
  <c r="K1530" i="23" s="1"/>
  <c r="N1530" i="23" s="1"/>
  <c r="O1530" i="23" s="1"/>
  <c r="Y1391" i="31" s="1"/>
  <c r="E1530" i="20"/>
  <c r="U1391" i="31" s="1"/>
  <c r="R1530" i="23"/>
  <c r="Z1391" i="31" s="1"/>
  <c r="H1532" i="23"/>
  <c r="K1532" i="23" s="1"/>
  <c r="N1532" i="23" s="1"/>
  <c r="O1532" i="23" s="1"/>
  <c r="Y1392" i="31" s="1"/>
  <c r="E1532" i="20"/>
  <c r="U1392" i="31" s="1"/>
  <c r="R1532" i="23"/>
  <c r="Z1392" i="31" s="1"/>
  <c r="F1533" i="23"/>
  <c r="F1533" i="8"/>
  <c r="O1534" i="23"/>
  <c r="Y1394" i="31" s="1"/>
  <c r="F1535" i="23"/>
  <c r="F1535" i="8"/>
  <c r="O1536" i="23"/>
  <c r="Y1396" i="31" s="1"/>
  <c r="F1537" i="23"/>
  <c r="F1537" i="8"/>
  <c r="F1538" i="23"/>
  <c r="F1538" i="8"/>
  <c r="F1539" i="23"/>
  <c r="F1539" i="8"/>
  <c r="F1540" i="23"/>
  <c r="F1540" i="8"/>
  <c r="W1254" i="31"/>
  <c r="S1380" i="23"/>
  <c r="AA1254" i="31" s="1"/>
  <c r="G1294" i="23"/>
  <c r="I1294" i="23" s="1"/>
  <c r="W925" i="31"/>
  <c r="S1018" i="23"/>
  <c r="AA925" i="31" s="1"/>
  <c r="W921" i="31"/>
  <c r="S1013" i="23"/>
  <c r="AA921" i="31" s="1"/>
  <c r="W912" i="31"/>
  <c r="S1004" i="23"/>
  <c r="AA912" i="31" s="1"/>
  <c r="G978" i="8"/>
  <c r="E889" i="31" s="1"/>
  <c r="G973" i="8"/>
  <c r="E884" i="31" s="1"/>
  <c r="G971" i="8"/>
  <c r="E882" i="31" s="1"/>
  <c r="W701" i="31"/>
  <c r="S771" i="23"/>
  <c r="AA701" i="31" s="1"/>
  <c r="W697" i="31"/>
  <c r="S767" i="23"/>
  <c r="AA697" i="31" s="1"/>
  <c r="G1396" i="8"/>
  <c r="E1269" i="31" s="1"/>
  <c r="G1394" i="23"/>
  <c r="I1394" i="23" s="1"/>
  <c r="G1392" i="23"/>
  <c r="I1392" i="23" s="1"/>
  <c r="W1315" i="31"/>
  <c r="S1447" i="23"/>
  <c r="AA1315" i="31" s="1"/>
  <c r="F1459" i="23"/>
  <c r="G1459" i="23" s="1"/>
  <c r="I1459" i="23" s="1"/>
  <c r="F1459" i="8"/>
  <c r="F1457" i="23"/>
  <c r="G1457" i="23" s="1"/>
  <c r="I1457" i="23" s="1"/>
  <c r="F1457" i="8"/>
  <c r="G1457" i="8" s="1"/>
  <c r="E1324" i="31" s="1"/>
  <c r="W1340" i="31"/>
  <c r="S1474" i="23"/>
  <c r="AA1340" i="31" s="1"/>
  <c r="S1582" i="23"/>
  <c r="AA1438" i="31" s="1"/>
  <c r="W1438" i="31"/>
  <c r="G1561" i="8"/>
  <c r="E1419" i="31" s="1"/>
  <c r="G1455" i="8"/>
  <c r="E1322" i="31" s="1"/>
  <c r="G1585" i="8"/>
  <c r="E1441" i="31" s="1"/>
  <c r="L1288" i="23"/>
  <c r="X1171" i="31" s="1"/>
  <c r="I1284" i="23"/>
  <c r="L1023" i="23"/>
  <c r="X930" i="31" s="1"/>
  <c r="I1019" i="23"/>
  <c r="I1008" i="23"/>
  <c r="F976" i="23"/>
  <c r="G976" i="23" s="1"/>
  <c r="I976" i="23" s="1"/>
  <c r="F976" i="8"/>
  <c r="G976" i="8" s="1"/>
  <c r="E887" i="31" s="1"/>
  <c r="F974" i="23"/>
  <c r="G974" i="23" s="1"/>
  <c r="I974" i="23" s="1"/>
  <c r="F974" i="8"/>
  <c r="G974" i="8" s="1"/>
  <c r="E885" i="31" s="1"/>
  <c r="F971" i="23"/>
  <c r="G971" i="23" s="1"/>
  <c r="I971" i="23" s="1"/>
  <c r="F971" i="8"/>
  <c r="I1167" i="23"/>
  <c r="I1161" i="23"/>
  <c r="I1159" i="23"/>
  <c r="P1083" i="31"/>
  <c r="S1083" i="31"/>
  <c r="L1242" i="23"/>
  <c r="X1129" i="31" s="1"/>
  <c r="G1239" i="23"/>
  <c r="I1239" i="23" s="1"/>
  <c r="I1415" i="23"/>
  <c r="L1413" i="23"/>
  <c r="X1284" i="31" s="1"/>
  <c r="G1433" i="23"/>
  <c r="I1433" i="23" s="1"/>
  <c r="F1461" i="23"/>
  <c r="F1461" i="8"/>
  <c r="G1461" i="8" s="1"/>
  <c r="E1328" i="31" s="1"/>
  <c r="G1472" i="23"/>
  <c r="I1472" i="23" s="1"/>
  <c r="G1579" i="23"/>
  <c r="I1579" i="23" s="1"/>
  <c r="W1234" i="31"/>
  <c r="S1358" i="23"/>
  <c r="AA1234" i="31" s="1"/>
  <c r="S1385" i="23"/>
  <c r="AA1259" i="31" s="1"/>
  <c r="G1298" i="23"/>
  <c r="I1298" i="23" s="1"/>
  <c r="L1296" i="23"/>
  <c r="X1178" i="31" s="1"/>
  <c r="G1280" i="23"/>
  <c r="I1280" i="23" s="1"/>
  <c r="L1017" i="23"/>
  <c r="X924" i="31" s="1"/>
  <c r="G763" i="8"/>
  <c r="E693" i="31" s="1"/>
  <c r="G1163" i="8"/>
  <c r="E1057" i="31" s="1"/>
  <c r="G1158" i="8"/>
  <c r="E1052" i="31" s="1"/>
  <c r="G1200" i="23"/>
  <c r="I1200" i="23" s="1"/>
  <c r="L1198" i="23"/>
  <c r="X1089" i="31" s="1"/>
  <c r="G1197" i="8"/>
  <c r="E1088" i="31" s="1"/>
  <c r="G1196" i="23"/>
  <c r="I1196" i="23" s="1"/>
  <c r="L1194" i="23"/>
  <c r="X1085" i="31" s="1"/>
  <c r="G1193" i="8"/>
  <c r="E1084" i="31" s="1"/>
  <c r="G1192" i="23"/>
  <c r="I1192" i="23" s="1"/>
  <c r="G1391" i="8"/>
  <c r="E1264" i="31" s="1"/>
  <c r="G1420" i="23"/>
  <c r="I1420" i="23" s="1"/>
  <c r="G1418" i="8"/>
  <c r="E1289" i="31" s="1"/>
  <c r="L1416" i="23"/>
  <c r="X1287" i="31" s="1"/>
  <c r="L1414" i="23"/>
  <c r="X1285" i="31" s="1"/>
  <c r="G1439" i="23"/>
  <c r="I1439" i="23" s="1"/>
  <c r="G1437" i="8"/>
  <c r="E1306" i="31" s="1"/>
  <c r="L1435" i="23"/>
  <c r="X1304" i="31" s="1"/>
  <c r="G1450" i="23"/>
  <c r="I1450" i="23" s="1"/>
  <c r="G1448" i="8"/>
  <c r="E1316" i="31" s="1"/>
  <c r="L1446" i="23"/>
  <c r="X1314" i="31" s="1"/>
  <c r="G1446" i="23"/>
  <c r="I1446" i="23" s="1"/>
  <c r="G1473" i="8"/>
  <c r="E1339" i="31" s="1"/>
  <c r="S1363" i="23"/>
  <c r="AA1239" i="31" s="1"/>
  <c r="W1239" i="31"/>
  <c r="W1236" i="31"/>
  <c r="S1360" i="23"/>
  <c r="AA1236" i="31" s="1"/>
  <c r="W1296" i="31"/>
  <c r="S1426" i="23"/>
  <c r="AA1296" i="31" s="1"/>
  <c r="W1301" i="31"/>
  <c r="S1431" i="23"/>
  <c r="AA1301" i="31" s="1"/>
  <c r="L1287" i="23"/>
  <c r="X1170" i="31" s="1"/>
  <c r="G1283" i="23"/>
  <c r="I1283" i="23" s="1"/>
  <c r="G1281" i="8"/>
  <c r="E1164" i="31" s="1"/>
  <c r="G1022" i="23"/>
  <c r="I1022" i="23" s="1"/>
  <c r="G1020" i="8"/>
  <c r="E927" i="31" s="1"/>
  <c r="G1009" i="23"/>
  <c r="I1009" i="23" s="1"/>
  <c r="G1007" i="8"/>
  <c r="E915" i="31" s="1"/>
  <c r="L1005" i="23"/>
  <c r="X913" i="31" s="1"/>
  <c r="G1166" i="23"/>
  <c r="I1166" i="23" s="1"/>
  <c r="G1164" i="8"/>
  <c r="E1058" i="31" s="1"/>
  <c r="G1162" i="23"/>
  <c r="I1162" i="23" s="1"/>
  <c r="G1191" i="23"/>
  <c r="I1191" i="23" s="1"/>
  <c r="G1243" i="8"/>
  <c r="E1130" i="31" s="1"/>
  <c r="L1241" i="23"/>
  <c r="X1128" i="31" s="1"/>
  <c r="L1397" i="23"/>
  <c r="X1270" i="31" s="1"/>
  <c r="L1395" i="23"/>
  <c r="X1268" i="31" s="1"/>
  <c r="L1445" i="23"/>
  <c r="X1313" i="31" s="1"/>
  <c r="G1445" i="23"/>
  <c r="I1445" i="23" s="1"/>
  <c r="L1460" i="23"/>
  <c r="X1327" i="31" s="1"/>
  <c r="G1459" i="8"/>
  <c r="E1326" i="31" s="1"/>
  <c r="G1458" i="23"/>
  <c r="I1458" i="23" s="1"/>
  <c r="L1456" i="23"/>
  <c r="X1323" i="31" s="1"/>
  <c r="L1562" i="23"/>
  <c r="X1420" i="31" s="1"/>
  <c r="G1562" i="23"/>
  <c r="I1562" i="23" s="1"/>
  <c r="L1559" i="23"/>
  <c r="X1417" i="31" s="1"/>
  <c r="G1559" i="23"/>
  <c r="I1559" i="23" s="1"/>
  <c r="G1461" i="23"/>
  <c r="I1461" i="23" s="1"/>
  <c r="G1462" i="23"/>
  <c r="I1462" i="23" s="1"/>
  <c r="F1224" i="6"/>
  <c r="E1225" i="6"/>
  <c r="E1224" i="6"/>
  <c r="X1222" i="6"/>
  <c r="E1222" i="29" s="1"/>
  <c r="T1111" i="31" s="1"/>
  <c r="V1222" i="6"/>
  <c r="E1222" i="28" s="1"/>
  <c r="N1222" i="6"/>
  <c r="M1222" i="6"/>
  <c r="M1222" i="23" s="1"/>
  <c r="L1222" i="6"/>
  <c r="K1222" i="6"/>
  <c r="P1222" i="23" s="1"/>
  <c r="R1222" i="23" s="1"/>
  <c r="Z1111" i="31" s="1"/>
  <c r="J1222" i="6"/>
  <c r="J1222" i="23" s="1"/>
  <c r="I1222" i="6"/>
  <c r="Q1222" i="23" s="1"/>
  <c r="H1222" i="6"/>
  <c r="G1222" i="6"/>
  <c r="F1222" i="6"/>
  <c r="E1222" i="6"/>
  <c r="X1221" i="6"/>
  <c r="E1221" i="29" s="1"/>
  <c r="T1110" i="31" s="1"/>
  <c r="V1221" i="6"/>
  <c r="E1221" i="28" s="1"/>
  <c r="N1221" i="6"/>
  <c r="M1221" i="6"/>
  <c r="M1221" i="23" s="1"/>
  <c r="L1221" i="6"/>
  <c r="K1221" i="6"/>
  <c r="P1221" i="23" s="1"/>
  <c r="R1221" i="23" s="1"/>
  <c r="Z1110" i="31" s="1"/>
  <c r="J1221" i="6"/>
  <c r="J1221" i="23" s="1"/>
  <c r="I1221" i="6"/>
  <c r="Q1221" i="23" s="1"/>
  <c r="H1221" i="6"/>
  <c r="G1221" i="6"/>
  <c r="F1221" i="6"/>
  <c r="E1221" i="6"/>
  <c r="X1220" i="6"/>
  <c r="E1220" i="29" s="1"/>
  <c r="T1109" i="31" s="1"/>
  <c r="V1220" i="6"/>
  <c r="E1220" i="28" s="1"/>
  <c r="N1220" i="6"/>
  <c r="M1220" i="6"/>
  <c r="M1220" i="23" s="1"/>
  <c r="L1220" i="6"/>
  <c r="K1220" i="6"/>
  <c r="P1220" i="23" s="1"/>
  <c r="R1220" i="23" s="1"/>
  <c r="Z1109" i="31" s="1"/>
  <c r="J1220" i="6"/>
  <c r="J1220" i="23" s="1"/>
  <c r="I1220" i="6"/>
  <c r="Q1220" i="23" s="1"/>
  <c r="H1220" i="6"/>
  <c r="G1220" i="6"/>
  <c r="F1220" i="6"/>
  <c r="E1220" i="6"/>
  <c r="X1219" i="6"/>
  <c r="E1219" i="29" s="1"/>
  <c r="T1108" i="31" s="1"/>
  <c r="V1219" i="6"/>
  <c r="E1219" i="28" s="1"/>
  <c r="N1219" i="6"/>
  <c r="M1219" i="6"/>
  <c r="M1219" i="23" s="1"/>
  <c r="L1219" i="6"/>
  <c r="K1219" i="6"/>
  <c r="P1219" i="23" s="1"/>
  <c r="R1219" i="23" s="1"/>
  <c r="Z1108" i="31" s="1"/>
  <c r="J1219" i="6"/>
  <c r="J1219" i="23" s="1"/>
  <c r="I1219" i="6"/>
  <c r="Q1219" i="23" s="1"/>
  <c r="H1219" i="6"/>
  <c r="G1219" i="6"/>
  <c r="F1219" i="6"/>
  <c r="E1219" i="6"/>
  <c r="X1218" i="6"/>
  <c r="E1218" i="29" s="1"/>
  <c r="T1107" i="31" s="1"/>
  <c r="V1218" i="6"/>
  <c r="E1218" i="28" s="1"/>
  <c r="V1217" i="6"/>
  <c r="E1217" i="28" s="1"/>
  <c r="N1218" i="6"/>
  <c r="M1218" i="6"/>
  <c r="M1218" i="23" s="1"/>
  <c r="L1218" i="6"/>
  <c r="K1218" i="6"/>
  <c r="P1218" i="23" s="1"/>
  <c r="R1218" i="23" s="1"/>
  <c r="Z1107" i="31" s="1"/>
  <c r="J1218" i="6"/>
  <c r="J1218" i="23" s="1"/>
  <c r="I1218" i="6"/>
  <c r="Q1218" i="23" s="1"/>
  <c r="H1218" i="6"/>
  <c r="G1218" i="6"/>
  <c r="F1218" i="6"/>
  <c r="E1218" i="6"/>
  <c r="X1217" i="6"/>
  <c r="E1217" i="29" s="1"/>
  <c r="T1106" i="31" s="1"/>
  <c r="N1217" i="6"/>
  <c r="M1217" i="6"/>
  <c r="M1217" i="23" s="1"/>
  <c r="L1217" i="6"/>
  <c r="K1217" i="6"/>
  <c r="P1217" i="23" s="1"/>
  <c r="R1217" i="23" s="1"/>
  <c r="Z1106" i="31" s="1"/>
  <c r="J1217" i="6"/>
  <c r="J1217" i="23" s="1"/>
  <c r="I1217" i="6"/>
  <c r="Q1217" i="23" s="1"/>
  <c r="H1217" i="6"/>
  <c r="G1217" i="6"/>
  <c r="F1217" i="6"/>
  <c r="E1217" i="6"/>
  <c r="X1216" i="6"/>
  <c r="E1216" i="29" s="1"/>
  <c r="T1105" i="31" s="1"/>
  <c r="V1216" i="6"/>
  <c r="E1216" i="28" s="1"/>
  <c r="N1216" i="6"/>
  <c r="M1216" i="6"/>
  <c r="M1216" i="23" s="1"/>
  <c r="L1216" i="6"/>
  <c r="K1216" i="6"/>
  <c r="P1216" i="23" s="1"/>
  <c r="R1216" i="23" s="1"/>
  <c r="Z1105" i="31" s="1"/>
  <c r="J1216" i="6"/>
  <c r="J1216" i="23" s="1"/>
  <c r="I1216" i="6"/>
  <c r="Q1216" i="23" s="1"/>
  <c r="H1216" i="6"/>
  <c r="G1216" i="6"/>
  <c r="F1216" i="6"/>
  <c r="E1216" i="6"/>
  <c r="X1215" i="6"/>
  <c r="E1215" i="29" s="1"/>
  <c r="T1104" i="31" s="1"/>
  <c r="V1215" i="6"/>
  <c r="E1215" i="28" s="1"/>
  <c r="N1215" i="6"/>
  <c r="M1215" i="6"/>
  <c r="M1215" i="23" s="1"/>
  <c r="L1215" i="6"/>
  <c r="K1215" i="6"/>
  <c r="P1215" i="23" s="1"/>
  <c r="R1215" i="23" s="1"/>
  <c r="Z1104" i="31" s="1"/>
  <c r="J1215" i="6"/>
  <c r="J1215" i="23" s="1"/>
  <c r="I1215" i="6"/>
  <c r="Q1215" i="23" s="1"/>
  <c r="H1215" i="6"/>
  <c r="G1215" i="6"/>
  <c r="F1215" i="6"/>
  <c r="E1215" i="6"/>
  <c r="X1214" i="6"/>
  <c r="E1214" i="29" s="1"/>
  <c r="T1103" i="31" s="1"/>
  <c r="V1214" i="6"/>
  <c r="E1214" i="28" s="1"/>
  <c r="N1214" i="6"/>
  <c r="M1214" i="6"/>
  <c r="M1214" i="23" s="1"/>
  <c r="L1214" i="6"/>
  <c r="K1214" i="6"/>
  <c r="P1214" i="23" s="1"/>
  <c r="R1214" i="23" s="1"/>
  <c r="Z1103" i="31" s="1"/>
  <c r="J1214" i="6"/>
  <c r="J1214" i="23" s="1"/>
  <c r="I1214" i="6"/>
  <c r="Q1214" i="23" s="1"/>
  <c r="H1214" i="6"/>
  <c r="G1214" i="6"/>
  <c r="F1214" i="6"/>
  <c r="E1214" i="6"/>
  <c r="X1213" i="6"/>
  <c r="E1213" i="29" s="1"/>
  <c r="T1102" i="31" s="1"/>
  <c r="V1213" i="6"/>
  <c r="E1213" i="28" s="1"/>
  <c r="T1214" i="6"/>
  <c r="E1214" i="19" s="1"/>
  <c r="T1215" i="6"/>
  <c r="E1215" i="19" s="1"/>
  <c r="T1216" i="6"/>
  <c r="E1216" i="19" s="1"/>
  <c r="T1217" i="6"/>
  <c r="E1217" i="19" s="1"/>
  <c r="T1218" i="6"/>
  <c r="E1218" i="19" s="1"/>
  <c r="T1219" i="6"/>
  <c r="E1219" i="19" s="1"/>
  <c r="T1220" i="6"/>
  <c r="E1220" i="19" s="1"/>
  <c r="T1221" i="6"/>
  <c r="E1221" i="19" s="1"/>
  <c r="T1222" i="6"/>
  <c r="E1222" i="19" s="1"/>
  <c r="T1213" i="6"/>
  <c r="E1213" i="19" s="1"/>
  <c r="N1213" i="6"/>
  <c r="M1213" i="6"/>
  <c r="M1213" i="23" s="1"/>
  <c r="L1213" i="6"/>
  <c r="K1213" i="6"/>
  <c r="P1213" i="23" s="1"/>
  <c r="J1213" i="6"/>
  <c r="J1213" i="23" s="1"/>
  <c r="I1213" i="6"/>
  <c r="Q1213" i="23" s="1"/>
  <c r="H1213" i="6"/>
  <c r="G1213" i="6"/>
  <c r="F1213" i="6"/>
  <c r="E1213" i="6"/>
  <c r="X1203" i="6"/>
  <c r="E1203" i="29" s="1"/>
  <c r="T1093" i="31" s="1"/>
  <c r="V1203" i="6"/>
  <c r="E1203" i="28" s="1"/>
  <c r="V1204" i="6"/>
  <c r="E1204" i="28" s="1"/>
  <c r="X1204" i="6"/>
  <c r="E1204" i="29" s="1"/>
  <c r="T1094" i="31" s="1"/>
  <c r="V1205" i="6"/>
  <c r="E1205" i="28" s="1"/>
  <c r="X1205" i="6"/>
  <c r="E1205" i="29" s="1"/>
  <c r="T1095" i="31" s="1"/>
  <c r="V1206" i="6"/>
  <c r="E1206" i="28" s="1"/>
  <c r="X1206" i="6"/>
  <c r="E1206" i="29" s="1"/>
  <c r="T1096" i="31" s="1"/>
  <c r="V1207" i="6"/>
  <c r="E1207" i="28" s="1"/>
  <c r="X1207" i="6"/>
  <c r="E1207" i="29" s="1"/>
  <c r="T1097" i="31" s="1"/>
  <c r="X1208" i="6"/>
  <c r="E1208" i="29" s="1"/>
  <c r="T1098" i="31" s="1"/>
  <c r="V1208" i="6"/>
  <c r="E1208" i="28" s="1"/>
  <c r="V1209" i="6"/>
  <c r="E1209" i="28" s="1"/>
  <c r="X1209" i="6"/>
  <c r="E1209" i="29" s="1"/>
  <c r="T1099" i="31" s="1"/>
  <c r="X1210" i="6"/>
  <c r="E1210" i="29" s="1"/>
  <c r="T1100" i="31" s="1"/>
  <c r="V1210" i="6"/>
  <c r="E1210" i="28" s="1"/>
  <c r="X1211" i="6"/>
  <c r="E1211" i="29" s="1"/>
  <c r="T1101" i="31" s="1"/>
  <c r="V1211" i="6"/>
  <c r="E1211" i="28" s="1"/>
  <c r="N1211" i="6"/>
  <c r="M1211" i="6"/>
  <c r="M1211" i="23" s="1"/>
  <c r="L1211" i="6"/>
  <c r="K1211" i="6"/>
  <c r="P1211" i="23" s="1"/>
  <c r="J1211" i="6"/>
  <c r="J1211" i="23" s="1"/>
  <c r="I1211" i="6"/>
  <c r="Q1211" i="23" s="1"/>
  <c r="H1211" i="6"/>
  <c r="G1211" i="6"/>
  <c r="F1211" i="6"/>
  <c r="E1211" i="6"/>
  <c r="N1210" i="6"/>
  <c r="M1210" i="6"/>
  <c r="M1210" i="23" s="1"/>
  <c r="L1210" i="6"/>
  <c r="K1210" i="6"/>
  <c r="P1210" i="23" s="1"/>
  <c r="R1210" i="23" s="1"/>
  <c r="Z1100" i="31" s="1"/>
  <c r="J1210" i="6"/>
  <c r="J1210" i="23" s="1"/>
  <c r="I1210" i="6"/>
  <c r="Q1210" i="23" s="1"/>
  <c r="H1210" i="6"/>
  <c r="G1210" i="6"/>
  <c r="F1210" i="6"/>
  <c r="E1210" i="6"/>
  <c r="N1209" i="6"/>
  <c r="M1209" i="6"/>
  <c r="M1209" i="23" s="1"/>
  <c r="L1209" i="6"/>
  <c r="K1209" i="6"/>
  <c r="P1209" i="23" s="1"/>
  <c r="J1209" i="6"/>
  <c r="J1209" i="23" s="1"/>
  <c r="I1209" i="6"/>
  <c r="Q1209" i="23" s="1"/>
  <c r="H1209" i="6"/>
  <c r="G1209" i="6"/>
  <c r="F1209" i="6"/>
  <c r="E1209" i="6"/>
  <c r="W887" i="31" l="1"/>
  <c r="S976" i="23"/>
  <c r="AA887" i="31" s="1"/>
  <c r="S1459" i="23"/>
  <c r="AA1326" i="31" s="1"/>
  <c r="W1326" i="31"/>
  <c r="W890" i="31"/>
  <c r="S979" i="23"/>
  <c r="AA890" i="31" s="1"/>
  <c r="W889" i="31"/>
  <c r="S978" i="23"/>
  <c r="AA889" i="31" s="1"/>
  <c r="W1269" i="31"/>
  <c r="S1396" i="23"/>
  <c r="AA1269" i="31" s="1"/>
  <c r="W882" i="31"/>
  <c r="S971" i="23"/>
  <c r="AA882" i="31" s="1"/>
  <c r="W885" i="31"/>
  <c r="S974" i="23"/>
  <c r="AA885" i="31" s="1"/>
  <c r="W1324" i="31"/>
  <c r="S1457" i="23"/>
  <c r="AA1324" i="31" s="1"/>
  <c r="W884" i="31"/>
  <c r="S973" i="23"/>
  <c r="AA884" i="31" s="1"/>
  <c r="E1210" i="23"/>
  <c r="E1210" i="8"/>
  <c r="H1216" i="23"/>
  <c r="K1216" i="23" s="1"/>
  <c r="N1216" i="23" s="1"/>
  <c r="E1216" i="20"/>
  <c r="U1105" i="31" s="1"/>
  <c r="S1105" i="31"/>
  <c r="P1105" i="31"/>
  <c r="H1217" i="23"/>
  <c r="K1217" i="23" s="1"/>
  <c r="N1217" i="23" s="1"/>
  <c r="E1217" i="20"/>
  <c r="U1106" i="31" s="1"/>
  <c r="P1107" i="31"/>
  <c r="S1107" i="31"/>
  <c r="H1220" i="23"/>
  <c r="K1220" i="23" s="1"/>
  <c r="N1220" i="23" s="1"/>
  <c r="E1220" i="20"/>
  <c r="U1109" i="31" s="1"/>
  <c r="S1109" i="31"/>
  <c r="P1109" i="31"/>
  <c r="H1221" i="23"/>
  <c r="K1221" i="23" s="1"/>
  <c r="N1221" i="23" s="1"/>
  <c r="E1221" i="20"/>
  <c r="U1110" i="31" s="1"/>
  <c r="E1222" i="20"/>
  <c r="U1111" i="31" s="1"/>
  <c r="H1222" i="23"/>
  <c r="K1222" i="23" s="1"/>
  <c r="N1222" i="23" s="1"/>
  <c r="F1210" i="23"/>
  <c r="F1210" i="8"/>
  <c r="E1211" i="23"/>
  <c r="E1211" i="8"/>
  <c r="L1211" i="23"/>
  <c r="X1101" i="31" s="1"/>
  <c r="H1209" i="23"/>
  <c r="K1209" i="23" s="1"/>
  <c r="N1209" i="23" s="1"/>
  <c r="E1209" i="20"/>
  <c r="U1099" i="31" s="1"/>
  <c r="R1209" i="23"/>
  <c r="Z1099" i="31" s="1"/>
  <c r="H1211" i="23"/>
  <c r="K1211" i="23" s="1"/>
  <c r="N1211" i="23" s="1"/>
  <c r="O1211" i="23" s="1"/>
  <c r="Y1101" i="31" s="1"/>
  <c r="E1211" i="20"/>
  <c r="U1101" i="31" s="1"/>
  <c r="R1211" i="23"/>
  <c r="Z1101" i="31" s="1"/>
  <c r="S1101" i="31"/>
  <c r="P1101" i="31"/>
  <c r="S1093" i="31"/>
  <c r="P1093" i="31"/>
  <c r="H1213" i="23"/>
  <c r="K1213" i="23" s="1"/>
  <c r="N1213" i="23" s="1"/>
  <c r="O1213" i="23" s="1"/>
  <c r="Y1102" i="31" s="1"/>
  <c r="E1213" i="20"/>
  <c r="U1102" i="31" s="1"/>
  <c r="R1213" i="23"/>
  <c r="Z1102" i="31" s="1"/>
  <c r="O1216" i="23"/>
  <c r="Y1105" i="31" s="1"/>
  <c r="O1217" i="23"/>
  <c r="Y1106" i="31" s="1"/>
  <c r="E1218" i="23"/>
  <c r="E1218" i="8"/>
  <c r="O1220" i="23"/>
  <c r="Y1109" i="31" s="1"/>
  <c r="O1221" i="23"/>
  <c r="Y1110" i="31" s="1"/>
  <c r="O1222" i="23"/>
  <c r="Y1111" i="31" s="1"/>
  <c r="W1328" i="31"/>
  <c r="S1461" i="23"/>
  <c r="AA1328" i="31" s="1"/>
  <c r="W1056" i="31"/>
  <c r="S1162" i="23"/>
  <c r="AA1056" i="31" s="1"/>
  <c r="W1314" i="31"/>
  <c r="S1446" i="23"/>
  <c r="AA1314" i="31" s="1"/>
  <c r="W1083" i="31"/>
  <c r="S1192" i="23"/>
  <c r="AA1083" i="31" s="1"/>
  <c r="S1239" i="23"/>
  <c r="AA1126" i="31" s="1"/>
  <c r="W1126" i="31"/>
  <c r="W1053" i="31"/>
  <c r="S1159" i="23"/>
  <c r="AA1053" i="31" s="1"/>
  <c r="W1167" i="31"/>
  <c r="S1284" i="23"/>
  <c r="AA1167" i="31" s="1"/>
  <c r="S1394" i="23"/>
  <c r="AA1267" i="31" s="1"/>
  <c r="W1267" i="31"/>
  <c r="W1176" i="31"/>
  <c r="S1294" i="23"/>
  <c r="AA1176" i="31" s="1"/>
  <c r="W1277" i="31"/>
  <c r="S1405" i="23"/>
  <c r="AA1277" i="31" s="1"/>
  <c r="G1404" i="8"/>
  <c r="E1276" i="31" s="1"/>
  <c r="W1208" i="31"/>
  <c r="S1329" i="23"/>
  <c r="AA1208" i="31" s="1"/>
  <c r="W1160" i="31"/>
  <c r="S1276" i="23"/>
  <c r="AA1160" i="31" s="1"/>
  <c r="W1140" i="31"/>
  <c r="S1254" i="23"/>
  <c r="AA1140" i="31" s="1"/>
  <c r="W1136" i="31"/>
  <c r="S1250" i="23"/>
  <c r="AA1136" i="31" s="1"/>
  <c r="W1116" i="31"/>
  <c r="S1228" i="23"/>
  <c r="AA1116" i="31" s="1"/>
  <c r="W1331" i="31"/>
  <c r="S1464" i="23"/>
  <c r="AA1331" i="31" s="1"/>
  <c r="S1390" i="23"/>
  <c r="AA1263" i="31" s="1"/>
  <c r="W1263" i="31"/>
  <c r="W692" i="31"/>
  <c r="S762" i="23"/>
  <c r="AA692" i="31" s="1"/>
  <c r="W1168" i="31"/>
  <c r="S1285" i="23"/>
  <c r="AA1168" i="31" s="1"/>
  <c r="S1195" i="23"/>
  <c r="AA1086" i="31" s="1"/>
  <c r="W1086" i="31"/>
  <c r="S1583" i="23"/>
  <c r="AA1439" i="31" s="1"/>
  <c r="W1439" i="31"/>
  <c r="W1127" i="31"/>
  <c r="S1240" i="23"/>
  <c r="AA1127" i="31" s="1"/>
  <c r="W923" i="31"/>
  <c r="S1016" i="23"/>
  <c r="AA923" i="31" s="1"/>
  <c r="W1169" i="31"/>
  <c r="S1286" i="23"/>
  <c r="AA1169" i="31" s="1"/>
  <c r="W1401" i="31"/>
  <c r="S1541" i="23"/>
  <c r="AA1401" i="31" s="1"/>
  <c r="I1532" i="23"/>
  <c r="F1521" i="23"/>
  <c r="F1521" i="8"/>
  <c r="L1496" i="23"/>
  <c r="X1360" i="31" s="1"/>
  <c r="I1266" i="23"/>
  <c r="W883" i="31"/>
  <c r="S972" i="23"/>
  <c r="AA883" i="31" s="1"/>
  <c r="W1283" i="31"/>
  <c r="S1412" i="23"/>
  <c r="AA1283" i="31" s="1"/>
  <c r="W1268" i="31"/>
  <c r="S1395" i="23"/>
  <c r="AA1268" i="31" s="1"/>
  <c r="W913" i="31"/>
  <c r="S1005" i="23"/>
  <c r="AA913" i="31" s="1"/>
  <c r="W1284" i="31"/>
  <c r="S1413" i="23"/>
  <c r="AA1284" i="31" s="1"/>
  <c r="W924" i="31"/>
  <c r="S1017" i="23"/>
  <c r="AA924" i="31" s="1"/>
  <c r="W930" i="31"/>
  <c r="S1023" i="23"/>
  <c r="AA930" i="31" s="1"/>
  <c r="L1539" i="23"/>
  <c r="X1399" i="31" s="1"/>
  <c r="G1538" i="8"/>
  <c r="E1398" i="31" s="1"/>
  <c r="G1537" i="23"/>
  <c r="I1537" i="23" s="1"/>
  <c r="L1533" i="23"/>
  <c r="X1393" i="31" s="1"/>
  <c r="F1530" i="23"/>
  <c r="F1530" i="8"/>
  <c r="L1523" i="23"/>
  <c r="X1384" i="31" s="1"/>
  <c r="G1504" i="8"/>
  <c r="E1367" i="31" s="1"/>
  <c r="G1495" i="8"/>
  <c r="E1359" i="31" s="1"/>
  <c r="L1408" i="23"/>
  <c r="X1280" i="31" s="1"/>
  <c r="L1350" i="23"/>
  <c r="X1227" i="31" s="1"/>
  <c r="G1330" i="8"/>
  <c r="E1209" i="31" s="1"/>
  <c r="L1328" i="23"/>
  <c r="X1207" i="31" s="1"/>
  <c r="G1328" i="23"/>
  <c r="I1328" i="23" s="1"/>
  <c r="G1324" i="23"/>
  <c r="I1324" i="23" s="1"/>
  <c r="L1309" i="23"/>
  <c r="X1190" i="31" s="1"/>
  <c r="G1308" i="8"/>
  <c r="E1189" i="31" s="1"/>
  <c r="L1303" i="23"/>
  <c r="X1184" i="31" s="1"/>
  <c r="L1277" i="23"/>
  <c r="X1161" i="31" s="1"/>
  <c r="G1273" i="23"/>
  <c r="I1273" i="23" s="1"/>
  <c r="G1271" i="8"/>
  <c r="E1155" i="31" s="1"/>
  <c r="L1269" i="23"/>
  <c r="X1153" i="31" s="1"/>
  <c r="L1233" i="23"/>
  <c r="X1121" i="31" s="1"/>
  <c r="G1229" i="23"/>
  <c r="I1229" i="23" s="1"/>
  <c r="G1227" i="8"/>
  <c r="E1115" i="31" s="1"/>
  <c r="W1058" i="31"/>
  <c r="S1164" i="23"/>
  <c r="AA1058" i="31" s="1"/>
  <c r="W927" i="31"/>
  <c r="S1020" i="23"/>
  <c r="AA927" i="31" s="1"/>
  <c r="W1306" i="31"/>
  <c r="S1437" i="23"/>
  <c r="AA1306" i="31" s="1"/>
  <c r="W1088" i="31"/>
  <c r="S1197" i="23"/>
  <c r="AA1088" i="31" s="1"/>
  <c r="W1057" i="31"/>
  <c r="S1163" i="23"/>
  <c r="AA1057" i="31" s="1"/>
  <c r="W1131" i="31"/>
  <c r="S1244" i="23"/>
  <c r="AA1131" i="31" s="1"/>
  <c r="G1536" i="23"/>
  <c r="I1536" i="23" s="1"/>
  <c r="G1534" i="23"/>
  <c r="I1534" i="23" s="1"/>
  <c r="L1527" i="23"/>
  <c r="X1388" i="31" s="1"/>
  <c r="G1521" i="8"/>
  <c r="E1382" i="31" s="1"/>
  <c r="G1519" i="23"/>
  <c r="I1519" i="23" s="1"/>
  <c r="L1507" i="23"/>
  <c r="X1370" i="31" s="1"/>
  <c r="G1506" i="8"/>
  <c r="E1369" i="31" s="1"/>
  <c r="G1505" i="23"/>
  <c r="I1505" i="23" s="1"/>
  <c r="G1503" i="8"/>
  <c r="E1366" i="31" s="1"/>
  <c r="G1502" i="23"/>
  <c r="I1502" i="23" s="1"/>
  <c r="G1501" i="8"/>
  <c r="E1364" i="31" s="1"/>
  <c r="L1327" i="23"/>
  <c r="X1206" i="31" s="1"/>
  <c r="G1327" i="23"/>
  <c r="I1327" i="23" s="1"/>
  <c r="G1305" i="23"/>
  <c r="I1305" i="23" s="1"/>
  <c r="G1268" i="23"/>
  <c r="I1268" i="23" s="1"/>
  <c r="G1265" i="8"/>
  <c r="E1150" i="31" s="1"/>
  <c r="G1264" i="23"/>
  <c r="I1264" i="23" s="1"/>
  <c r="L1247" i="23"/>
  <c r="X1133" i="31" s="1"/>
  <c r="G1528" i="8"/>
  <c r="E1389" i="31" s="1"/>
  <c r="G1530" i="8"/>
  <c r="E1391" i="31" s="1"/>
  <c r="G1524" i="8"/>
  <c r="E1385" i="31" s="1"/>
  <c r="G1525" i="8"/>
  <c r="E1386" i="31" s="1"/>
  <c r="G1351" i="8"/>
  <c r="E1228" i="31" s="1"/>
  <c r="P1099" i="31"/>
  <c r="S1099" i="31"/>
  <c r="E1214" i="23"/>
  <c r="E1214" i="8"/>
  <c r="E1215" i="23"/>
  <c r="E1215" i="8"/>
  <c r="E1216" i="23"/>
  <c r="E1216" i="8"/>
  <c r="L1216" i="23"/>
  <c r="X1105" i="31" s="1"/>
  <c r="E1217" i="23"/>
  <c r="E1217" i="8"/>
  <c r="L1217" i="23"/>
  <c r="X1106" i="31" s="1"/>
  <c r="H1218" i="23"/>
  <c r="K1218" i="23" s="1"/>
  <c r="N1218" i="23" s="1"/>
  <c r="E1218" i="20"/>
  <c r="U1107" i="31" s="1"/>
  <c r="P1106" i="31"/>
  <c r="S1106" i="31"/>
  <c r="E1219" i="23"/>
  <c r="E1219" i="8"/>
  <c r="E1220" i="23"/>
  <c r="E1220" i="8"/>
  <c r="L1220" i="23"/>
  <c r="X1109" i="31" s="1"/>
  <c r="E1221" i="23"/>
  <c r="E1221" i="8"/>
  <c r="L1221" i="23"/>
  <c r="X1110" i="31" s="1"/>
  <c r="E1222" i="23"/>
  <c r="E1222" i="8"/>
  <c r="L1222" i="23"/>
  <c r="X1111" i="31" s="1"/>
  <c r="W1417" i="31"/>
  <c r="S1559" i="23"/>
  <c r="AA1417" i="31" s="1"/>
  <c r="W1313" i="31"/>
  <c r="S1445" i="23"/>
  <c r="AA1313" i="31" s="1"/>
  <c r="W917" i="31"/>
  <c r="S1009" i="23"/>
  <c r="AA917" i="31" s="1"/>
  <c r="S1283" i="23"/>
  <c r="AA1166" i="31" s="1"/>
  <c r="W1166" i="31"/>
  <c r="W1180" i="31"/>
  <c r="S1298" i="23"/>
  <c r="AA1180" i="31" s="1"/>
  <c r="W1435" i="31"/>
  <c r="S1579" i="23"/>
  <c r="AA1435" i="31" s="1"/>
  <c r="W1302" i="31"/>
  <c r="S1433" i="23"/>
  <c r="AA1302" i="31" s="1"/>
  <c r="W1055" i="31"/>
  <c r="S1161" i="23"/>
  <c r="AA1055" i="31" s="1"/>
  <c r="W916" i="31"/>
  <c r="S1008" i="23"/>
  <c r="AA916" i="31" s="1"/>
  <c r="W1276" i="31"/>
  <c r="S1404" i="23"/>
  <c r="AA1276" i="31" s="1"/>
  <c r="W1204" i="31"/>
  <c r="S1325" i="23"/>
  <c r="AA1204" i="31" s="1"/>
  <c r="S1274" i="23"/>
  <c r="AA1158" i="31" s="1"/>
  <c r="W1158" i="31"/>
  <c r="W1137" i="31"/>
  <c r="S1251" i="23"/>
  <c r="AA1137" i="31" s="1"/>
  <c r="W1114" i="31"/>
  <c r="S1226" i="23"/>
  <c r="AA1114" i="31" s="1"/>
  <c r="S1398" i="23"/>
  <c r="AA1271" i="31" s="1"/>
  <c r="W1271" i="31"/>
  <c r="W931" i="31"/>
  <c r="S1024" i="23"/>
  <c r="AA931" i="31" s="1"/>
  <c r="W1330" i="31"/>
  <c r="S1463" i="23"/>
  <c r="AA1330" i="31" s="1"/>
  <c r="W1320" i="31"/>
  <c r="S1452" i="23"/>
  <c r="AA1320" i="31" s="1"/>
  <c r="W1179" i="31"/>
  <c r="S1297" i="23"/>
  <c r="AA1179" i="31" s="1"/>
  <c r="W1421" i="31"/>
  <c r="S1563" i="23"/>
  <c r="AA1421" i="31" s="1"/>
  <c r="W928" i="31"/>
  <c r="S1021" i="23"/>
  <c r="AA928" i="31" s="1"/>
  <c r="W1175" i="31"/>
  <c r="S1293" i="23"/>
  <c r="AA1175" i="31" s="1"/>
  <c r="W1416" i="31"/>
  <c r="S1558" i="23"/>
  <c r="AA1416" i="31" s="1"/>
  <c r="W1266" i="31"/>
  <c r="S1393" i="23"/>
  <c r="AA1266" i="31" s="1"/>
  <c r="S975" i="23"/>
  <c r="AA886" i="31" s="1"/>
  <c r="W886" i="31"/>
  <c r="L1530" i="23"/>
  <c r="X1391" i="31" s="1"/>
  <c r="L1497" i="23"/>
  <c r="X1361" i="31" s="1"/>
  <c r="F1354" i="23"/>
  <c r="G1354" i="23" s="1"/>
  <c r="I1354" i="23" s="1"/>
  <c r="F1354" i="8"/>
  <c r="W1327" i="31"/>
  <c r="S1460" i="23"/>
  <c r="AA1327" i="31" s="1"/>
  <c r="W1270" i="31"/>
  <c r="S1397" i="23"/>
  <c r="AA1270" i="31" s="1"/>
  <c r="W1287" i="31"/>
  <c r="S1416" i="23"/>
  <c r="AA1287" i="31" s="1"/>
  <c r="W1089" i="31"/>
  <c r="S1198" i="23"/>
  <c r="AA1089" i="31" s="1"/>
  <c r="W1437" i="31"/>
  <c r="S1581" i="23"/>
  <c r="AA1437" i="31" s="1"/>
  <c r="L1540" i="23"/>
  <c r="X1400" i="31" s="1"/>
  <c r="G1539" i="8"/>
  <c r="E1399" i="31" s="1"/>
  <c r="G1538" i="23"/>
  <c r="I1538" i="23" s="1"/>
  <c r="L1535" i="23"/>
  <c r="X1395" i="31" s="1"/>
  <c r="G1533" i="8"/>
  <c r="E1393" i="31" s="1"/>
  <c r="L1529" i="23"/>
  <c r="X1390" i="31" s="1"/>
  <c r="L1526" i="23"/>
  <c r="X1387" i="31" s="1"/>
  <c r="L1522" i="23"/>
  <c r="X1383" i="31" s="1"/>
  <c r="L1504" i="23"/>
  <c r="X1367" i="31" s="1"/>
  <c r="I1504" i="23"/>
  <c r="G1495" i="23"/>
  <c r="I1495" i="23" s="1"/>
  <c r="G1408" i="8"/>
  <c r="E1280" i="31" s="1"/>
  <c r="L1406" i="23"/>
  <c r="X1278" i="31" s="1"/>
  <c r="G1330" i="23"/>
  <c r="I1330" i="23" s="1"/>
  <c r="L1326" i="23"/>
  <c r="X1205" i="31" s="1"/>
  <c r="L1323" i="23"/>
  <c r="X1202" i="31" s="1"/>
  <c r="G1309" i="8"/>
  <c r="E1190" i="31" s="1"/>
  <c r="G1308" i="23"/>
  <c r="I1308" i="23" s="1"/>
  <c r="L1304" i="23"/>
  <c r="X1185" i="31" s="1"/>
  <c r="G1303" i="8"/>
  <c r="E1184" i="31" s="1"/>
  <c r="G1277" i="8"/>
  <c r="E1161" i="31" s="1"/>
  <c r="L1275" i="23"/>
  <c r="X1159" i="31" s="1"/>
  <c r="G1271" i="23"/>
  <c r="I1271" i="23" s="1"/>
  <c r="G1269" i="8"/>
  <c r="E1153" i="31" s="1"/>
  <c r="S1141" i="31"/>
  <c r="P1141" i="31"/>
  <c r="L1246" i="23"/>
  <c r="X1132" i="31" s="1"/>
  <c r="G1233" i="8"/>
  <c r="E1121" i="31" s="1"/>
  <c r="L1231" i="23"/>
  <c r="X1119" i="31" s="1"/>
  <c r="G1227" i="23"/>
  <c r="I1227" i="23" s="1"/>
  <c r="W1316" i="31"/>
  <c r="S1448" i="23"/>
  <c r="AA1316" i="31" s="1"/>
  <c r="W1084" i="31"/>
  <c r="S1193" i="23"/>
  <c r="AA1084" i="31" s="1"/>
  <c r="W693" i="31"/>
  <c r="S763" i="23"/>
  <c r="AA693" i="31" s="1"/>
  <c r="W1059" i="31"/>
  <c r="S1165" i="23"/>
  <c r="AA1059" i="31" s="1"/>
  <c r="G1527" i="8"/>
  <c r="E1388" i="31" s="1"/>
  <c r="G1521" i="23"/>
  <c r="I1521" i="23" s="1"/>
  <c r="L1508" i="23"/>
  <c r="X1371" i="31" s="1"/>
  <c r="G1507" i="8"/>
  <c r="E1370" i="31" s="1"/>
  <c r="G1506" i="23"/>
  <c r="I1506" i="23" s="1"/>
  <c r="L1503" i="23"/>
  <c r="X1366" i="31" s="1"/>
  <c r="G1503" i="23"/>
  <c r="I1503" i="23" s="1"/>
  <c r="L1501" i="23"/>
  <c r="X1364" i="31" s="1"/>
  <c r="G1501" i="23"/>
  <c r="I1501" i="23" s="1"/>
  <c r="G1332" i="8"/>
  <c r="E1211" i="31" s="1"/>
  <c r="G1265" i="23"/>
  <c r="I1265" i="23" s="1"/>
  <c r="L1255" i="23"/>
  <c r="X1141" i="31" s="1"/>
  <c r="G1247" i="8"/>
  <c r="E1133" i="31" s="1"/>
  <c r="G1528" i="23"/>
  <c r="I1528" i="23" s="1"/>
  <c r="G1530" i="23"/>
  <c r="I1530" i="23" s="1"/>
  <c r="G1524" i="23"/>
  <c r="I1524" i="23" s="1"/>
  <c r="G1525" i="23"/>
  <c r="I1525" i="23" s="1"/>
  <c r="G1351" i="23"/>
  <c r="I1351" i="23" s="1"/>
  <c r="F1209" i="23"/>
  <c r="F1209" i="8"/>
  <c r="F1211" i="23"/>
  <c r="F1211" i="8"/>
  <c r="S1097" i="31"/>
  <c r="P1097" i="31"/>
  <c r="O1209" i="23"/>
  <c r="Y1099" i="31" s="1"/>
  <c r="P1098" i="31"/>
  <c r="S1098" i="31"/>
  <c r="P1103" i="31"/>
  <c r="S1103" i="31"/>
  <c r="P1104" i="31"/>
  <c r="S1104" i="31"/>
  <c r="P1110" i="31"/>
  <c r="S1110" i="31"/>
  <c r="P1111" i="31"/>
  <c r="S1111" i="31"/>
  <c r="W1308" i="31"/>
  <c r="S1439" i="23"/>
  <c r="AA1308" i="31" s="1"/>
  <c r="W1291" i="31"/>
  <c r="S1420" i="23"/>
  <c r="AA1291" i="31" s="1"/>
  <c r="W1091" i="31"/>
  <c r="S1200" i="23"/>
  <c r="AA1091" i="31" s="1"/>
  <c r="W1338" i="31"/>
  <c r="S1472" i="23"/>
  <c r="AA1338" i="31" s="1"/>
  <c r="W1061" i="31"/>
  <c r="S1167" i="23"/>
  <c r="AA1061" i="31" s="1"/>
  <c r="S1019" i="23"/>
  <c r="AA926" i="31" s="1"/>
  <c r="W926" i="31"/>
  <c r="W1281" i="31"/>
  <c r="S1409" i="23"/>
  <c r="AA1281" i="31" s="1"/>
  <c r="W1188" i="31"/>
  <c r="S1307" i="23"/>
  <c r="AA1188" i="31" s="1"/>
  <c r="W1156" i="31"/>
  <c r="S1272" i="23"/>
  <c r="AA1156" i="31" s="1"/>
  <c r="W1138" i="31"/>
  <c r="S1252" i="23"/>
  <c r="AA1138" i="31" s="1"/>
  <c r="W1134" i="31"/>
  <c r="S1248" i="23"/>
  <c r="AA1134" i="31" s="1"/>
  <c r="W1120" i="31"/>
  <c r="S1232" i="23"/>
  <c r="AA1120" i="31" s="1"/>
  <c r="W1310" i="31"/>
  <c r="S1441" i="23"/>
  <c r="AA1310" i="31" s="1"/>
  <c r="L1532" i="23"/>
  <c r="X1392" i="31" s="1"/>
  <c r="I1496" i="23"/>
  <c r="F1352" i="23"/>
  <c r="F1352" i="8"/>
  <c r="G1352" i="8" s="1"/>
  <c r="E1229" i="31" s="1"/>
  <c r="S1306" i="23"/>
  <c r="AA1187" i="31" s="1"/>
  <c r="W1187" i="31"/>
  <c r="L1266" i="23"/>
  <c r="X1151" i="31" s="1"/>
  <c r="W1113" i="31"/>
  <c r="S1225" i="23"/>
  <c r="AA1113" i="31" s="1"/>
  <c r="W1323" i="31"/>
  <c r="S1456" i="23"/>
  <c r="AA1323" i="31" s="1"/>
  <c r="W1170" i="31"/>
  <c r="S1287" i="23"/>
  <c r="AA1170" i="31" s="1"/>
  <c r="W1304" i="31"/>
  <c r="S1435" i="23"/>
  <c r="AA1304" i="31" s="1"/>
  <c r="W1085" i="31"/>
  <c r="S1194" i="23"/>
  <c r="AA1085" i="31" s="1"/>
  <c r="W1178" i="31"/>
  <c r="S1296" i="23"/>
  <c r="AA1178" i="31" s="1"/>
  <c r="W1129" i="31"/>
  <c r="S1242" i="23"/>
  <c r="AA1129" i="31" s="1"/>
  <c r="W1171" i="31"/>
  <c r="S1288" i="23"/>
  <c r="AA1171" i="31" s="1"/>
  <c r="G1540" i="8"/>
  <c r="E1400" i="31" s="1"/>
  <c r="G1539" i="23"/>
  <c r="I1539" i="23" s="1"/>
  <c r="L1537" i="23"/>
  <c r="X1397" i="31" s="1"/>
  <c r="G1535" i="8"/>
  <c r="E1395" i="31" s="1"/>
  <c r="G1533" i="23"/>
  <c r="I1533" i="23" s="1"/>
  <c r="L1528" i="23"/>
  <c r="X1389" i="31" s="1"/>
  <c r="L1525" i="23"/>
  <c r="X1386" i="31" s="1"/>
  <c r="G1522" i="8"/>
  <c r="E1383" i="31" s="1"/>
  <c r="G1408" i="23"/>
  <c r="I1408" i="23" s="1"/>
  <c r="G1406" i="8"/>
  <c r="E1278" i="31" s="1"/>
  <c r="L1353" i="23"/>
  <c r="X1230" i="31" s="1"/>
  <c r="G1326" i="8"/>
  <c r="E1205" i="31" s="1"/>
  <c r="L1324" i="23"/>
  <c r="X1203" i="31" s="1"/>
  <c r="G1323" i="8"/>
  <c r="E1202" i="31" s="1"/>
  <c r="G1309" i="23"/>
  <c r="I1309" i="23" s="1"/>
  <c r="G1304" i="8"/>
  <c r="E1185" i="31" s="1"/>
  <c r="G1303" i="23"/>
  <c r="I1303" i="23" s="1"/>
  <c r="G1277" i="23"/>
  <c r="I1277" i="23" s="1"/>
  <c r="G1275" i="8"/>
  <c r="E1159" i="31" s="1"/>
  <c r="L1273" i="23"/>
  <c r="X1157" i="31" s="1"/>
  <c r="G1269" i="23"/>
  <c r="I1269" i="23" s="1"/>
  <c r="G1246" i="8"/>
  <c r="E1132" i="31" s="1"/>
  <c r="G1233" i="23"/>
  <c r="I1233" i="23" s="1"/>
  <c r="G1231" i="8"/>
  <c r="E1119" i="31" s="1"/>
  <c r="L1229" i="23"/>
  <c r="X1117" i="31" s="1"/>
  <c r="W1164" i="31"/>
  <c r="S1281" i="23"/>
  <c r="AA1164" i="31" s="1"/>
  <c r="W1339" i="31"/>
  <c r="S1473" i="23"/>
  <c r="AA1339" i="31" s="1"/>
  <c r="W1289" i="31"/>
  <c r="S1418" i="23"/>
  <c r="AA1289" i="31" s="1"/>
  <c r="W914" i="31"/>
  <c r="S1006" i="23"/>
  <c r="AA914" i="31" s="1"/>
  <c r="W1162" i="31"/>
  <c r="S1279" i="23"/>
  <c r="AA1162" i="31" s="1"/>
  <c r="W1441" i="31"/>
  <c r="S1585" i="23"/>
  <c r="AA1441" i="31" s="1"/>
  <c r="L1536" i="23"/>
  <c r="X1396" i="31" s="1"/>
  <c r="L1534" i="23"/>
  <c r="X1394" i="31" s="1"/>
  <c r="G1527" i="23"/>
  <c r="I1527" i="23" s="1"/>
  <c r="L1519" i="23"/>
  <c r="X1381" i="31" s="1"/>
  <c r="G1508" i="8"/>
  <c r="E1371" i="31" s="1"/>
  <c r="G1507" i="23"/>
  <c r="I1507" i="23" s="1"/>
  <c r="L1505" i="23"/>
  <c r="X1368" i="31" s="1"/>
  <c r="L1502" i="23"/>
  <c r="X1365" i="31" s="1"/>
  <c r="G1332" i="23"/>
  <c r="I1332" i="23" s="1"/>
  <c r="L1305" i="23"/>
  <c r="X1186" i="31" s="1"/>
  <c r="G1301" i="8"/>
  <c r="E1182" i="31" s="1"/>
  <c r="L1268" i="23"/>
  <c r="X1152" i="31" s="1"/>
  <c r="L1264" i="23"/>
  <c r="X1149" i="31" s="1"/>
  <c r="G1255" i="8"/>
  <c r="E1141" i="31" s="1"/>
  <c r="G1247" i="23"/>
  <c r="I1247" i="23" s="1"/>
  <c r="G1523" i="8"/>
  <c r="E1384" i="31" s="1"/>
  <c r="G1529" i="8"/>
  <c r="E1390" i="31" s="1"/>
  <c r="G1353" i="8"/>
  <c r="E1230" i="31" s="1"/>
  <c r="G1526" i="8"/>
  <c r="E1387" i="31" s="1"/>
  <c r="G1350" i="8"/>
  <c r="E1227" i="31" s="1"/>
  <c r="P1095" i="31"/>
  <c r="S1095" i="31"/>
  <c r="F1213" i="23"/>
  <c r="F1213" i="8"/>
  <c r="H1210" i="23"/>
  <c r="K1210" i="23" s="1"/>
  <c r="N1210" i="23" s="1"/>
  <c r="O1210" i="23" s="1"/>
  <c r="Y1100" i="31" s="1"/>
  <c r="E1210" i="20"/>
  <c r="U1100" i="31" s="1"/>
  <c r="P1100" i="31"/>
  <c r="S1100" i="31"/>
  <c r="P1102" i="31"/>
  <c r="S1102" i="31"/>
  <c r="H1214" i="23"/>
  <c r="K1214" i="23" s="1"/>
  <c r="N1214" i="23" s="1"/>
  <c r="O1214" i="23" s="1"/>
  <c r="Y1103" i="31" s="1"/>
  <c r="E1214" i="20"/>
  <c r="U1103" i="31" s="1"/>
  <c r="H1215" i="23"/>
  <c r="K1215" i="23" s="1"/>
  <c r="N1215" i="23" s="1"/>
  <c r="O1215" i="23" s="1"/>
  <c r="Y1104" i="31" s="1"/>
  <c r="E1215" i="20"/>
  <c r="U1104" i="31" s="1"/>
  <c r="F1218" i="23"/>
  <c r="F1218" i="8"/>
  <c r="H1219" i="23"/>
  <c r="K1219" i="23" s="1"/>
  <c r="N1219" i="23" s="1"/>
  <c r="O1219" i="23" s="1"/>
  <c r="Y1108" i="31" s="1"/>
  <c r="E1219" i="20"/>
  <c r="U1108" i="31" s="1"/>
  <c r="P1108" i="31"/>
  <c r="S1108" i="31"/>
  <c r="E1224" i="23"/>
  <c r="G1224" i="23" s="1"/>
  <c r="I1224" i="23" s="1"/>
  <c r="E1224" i="8"/>
  <c r="G1224" i="8" s="1"/>
  <c r="E1112" i="31" s="1"/>
  <c r="W1325" i="31"/>
  <c r="S1458" i="23"/>
  <c r="AA1325" i="31" s="1"/>
  <c r="W1060" i="31"/>
  <c r="S1166" i="23"/>
  <c r="AA1060" i="31" s="1"/>
  <c r="E1209" i="23"/>
  <c r="G1209" i="23" s="1"/>
  <c r="I1209" i="23" s="1"/>
  <c r="E1209" i="8"/>
  <c r="G1209" i="8" s="1"/>
  <c r="E1099" i="31" s="1"/>
  <c r="P1096" i="31"/>
  <c r="S1096" i="31"/>
  <c r="P1094" i="31"/>
  <c r="S1094" i="31"/>
  <c r="E1213" i="23"/>
  <c r="E1213" i="8"/>
  <c r="G1213" i="8" s="1"/>
  <c r="E1102" i="31" s="1"/>
  <c r="L1213" i="23"/>
  <c r="X1102" i="31" s="1"/>
  <c r="F1214" i="23"/>
  <c r="F1214" i="8"/>
  <c r="F1215" i="23"/>
  <c r="F1215" i="8"/>
  <c r="F1216" i="23"/>
  <c r="F1216" i="8"/>
  <c r="F1217" i="23"/>
  <c r="F1217" i="8"/>
  <c r="O1218" i="23"/>
  <c r="Y1107" i="31" s="1"/>
  <c r="F1219" i="23"/>
  <c r="F1219" i="8"/>
  <c r="F1220" i="23"/>
  <c r="F1220" i="8"/>
  <c r="F1221" i="23"/>
  <c r="F1221" i="8"/>
  <c r="F1222" i="23"/>
  <c r="F1222" i="8"/>
  <c r="W1329" i="31"/>
  <c r="S1462" i="23"/>
  <c r="AA1329" i="31" s="1"/>
  <c r="W1420" i="31"/>
  <c r="S1562" i="23"/>
  <c r="AA1420" i="31" s="1"/>
  <c r="W1082" i="31"/>
  <c r="S1191" i="23"/>
  <c r="AA1082" i="31" s="1"/>
  <c r="W929" i="31"/>
  <c r="S1022" i="23"/>
  <c r="AA929" i="31" s="1"/>
  <c r="S1450" i="23"/>
  <c r="AA1318" i="31" s="1"/>
  <c r="W1318" i="31"/>
  <c r="W1087" i="31"/>
  <c r="S1196" i="23"/>
  <c r="AA1087" i="31" s="1"/>
  <c r="W1163" i="31"/>
  <c r="S1280" i="23"/>
  <c r="AA1163" i="31" s="1"/>
  <c r="S1415" i="23"/>
  <c r="AA1286" i="31" s="1"/>
  <c r="W1286" i="31"/>
  <c r="W1265" i="31"/>
  <c r="S1392" i="23"/>
  <c r="AA1265" i="31" s="1"/>
  <c r="G1500" i="23"/>
  <c r="I1500" i="23" s="1"/>
  <c r="S1407" i="23"/>
  <c r="AA1279" i="31" s="1"/>
  <c r="W1279" i="31"/>
  <c r="G1354" i="8"/>
  <c r="E1231" i="31" s="1"/>
  <c r="G1352" i="23"/>
  <c r="I1352" i="23" s="1"/>
  <c r="W1210" i="31"/>
  <c r="S1331" i="23"/>
  <c r="AA1210" i="31" s="1"/>
  <c r="W1154" i="31"/>
  <c r="S1270" i="23"/>
  <c r="AA1154" i="31" s="1"/>
  <c r="W1139" i="31"/>
  <c r="S1253" i="23"/>
  <c r="AA1139" i="31" s="1"/>
  <c r="W1135" i="31"/>
  <c r="S1249" i="23"/>
  <c r="AA1135" i="31" s="1"/>
  <c r="S1230" i="23"/>
  <c r="AA1118" i="31" s="1"/>
  <c r="W1118" i="31"/>
  <c r="W1418" i="31"/>
  <c r="S1560" i="23"/>
  <c r="AA1418" i="31" s="1"/>
  <c r="W1285" i="31"/>
  <c r="S1414" i="23"/>
  <c r="AA1285" i="31" s="1"/>
  <c r="W1090" i="31"/>
  <c r="S1199" i="23"/>
  <c r="AA1090" i="31" s="1"/>
  <c r="W1434" i="31"/>
  <c r="S1578" i="23"/>
  <c r="AA1434" i="31" s="1"/>
  <c r="S1010" i="23"/>
  <c r="AA918" i="31" s="1"/>
  <c r="W918" i="31"/>
  <c r="S1160" i="23"/>
  <c r="AA1054" i="31" s="1"/>
  <c r="W891" i="31"/>
  <c r="S980" i="23"/>
  <c r="AA891" i="31" s="1"/>
  <c r="I1497" i="23"/>
  <c r="G1403" i="23"/>
  <c r="I1403" i="23" s="1"/>
  <c r="W888" i="31"/>
  <c r="S977" i="23"/>
  <c r="AA888" i="31" s="1"/>
  <c r="W1128" i="31"/>
  <c r="S1241" i="23"/>
  <c r="AA1128" i="31" s="1"/>
  <c r="W1125" i="31"/>
  <c r="S1238" i="23"/>
  <c r="AA1125" i="31" s="1"/>
  <c r="G1540" i="23"/>
  <c r="I1540" i="23" s="1"/>
  <c r="L1538" i="23"/>
  <c r="X1398" i="31" s="1"/>
  <c r="G1537" i="8"/>
  <c r="E1397" i="31" s="1"/>
  <c r="G1535" i="23"/>
  <c r="I1535" i="23" s="1"/>
  <c r="L1524" i="23"/>
  <c r="X1385" i="31" s="1"/>
  <c r="G1522" i="23"/>
  <c r="I1522" i="23" s="1"/>
  <c r="L1495" i="23"/>
  <c r="X1359" i="31" s="1"/>
  <c r="G1406" i="23"/>
  <c r="I1406" i="23" s="1"/>
  <c r="L1351" i="23"/>
  <c r="X1228" i="31" s="1"/>
  <c r="L1332" i="23"/>
  <c r="X1211" i="31" s="1"/>
  <c r="L1330" i="23"/>
  <c r="X1209" i="31" s="1"/>
  <c r="G1328" i="8"/>
  <c r="E1207" i="31" s="1"/>
  <c r="G1326" i="23"/>
  <c r="I1326" i="23" s="1"/>
  <c r="G1324" i="8"/>
  <c r="E1203" i="31" s="1"/>
  <c r="G1323" i="23"/>
  <c r="I1323" i="23" s="1"/>
  <c r="L1308" i="23"/>
  <c r="X1189" i="31" s="1"/>
  <c r="G1304" i="23"/>
  <c r="I1304" i="23" s="1"/>
  <c r="L1302" i="23"/>
  <c r="X1183" i="31" s="1"/>
  <c r="I1302" i="23"/>
  <c r="G1275" i="23"/>
  <c r="I1275" i="23" s="1"/>
  <c r="G1273" i="8"/>
  <c r="E1157" i="31" s="1"/>
  <c r="L1271" i="23"/>
  <c r="X1155" i="31" s="1"/>
  <c r="G1246" i="23"/>
  <c r="I1246" i="23" s="1"/>
  <c r="G1231" i="23"/>
  <c r="I1231" i="23" s="1"/>
  <c r="G1229" i="8"/>
  <c r="E1117" i="31" s="1"/>
  <c r="L1227" i="23"/>
  <c r="X1115" i="31" s="1"/>
  <c r="W1130" i="31"/>
  <c r="S1243" i="23"/>
  <c r="AA1130" i="31" s="1"/>
  <c r="W915" i="31"/>
  <c r="S1007" i="23"/>
  <c r="AA915" i="31" s="1"/>
  <c r="W1264" i="31"/>
  <c r="S1391" i="23"/>
  <c r="AA1264" i="31" s="1"/>
  <c r="W1052" i="31"/>
  <c r="S1158" i="23"/>
  <c r="AA1052" i="31" s="1"/>
  <c r="W1165" i="31"/>
  <c r="S1282" i="23"/>
  <c r="AA1165" i="31" s="1"/>
  <c r="S1455" i="23"/>
  <c r="AA1322" i="31" s="1"/>
  <c r="G1536" i="8"/>
  <c r="E1396" i="31" s="1"/>
  <c r="G1534" i="8"/>
  <c r="E1394" i="31" s="1"/>
  <c r="L1521" i="23"/>
  <c r="X1382" i="31" s="1"/>
  <c r="G1519" i="8"/>
  <c r="E1381" i="31" s="1"/>
  <c r="G1508" i="23"/>
  <c r="I1508" i="23" s="1"/>
  <c r="L1506" i="23"/>
  <c r="X1369" i="31" s="1"/>
  <c r="G1505" i="8"/>
  <c r="E1368" i="31" s="1"/>
  <c r="G1502" i="8"/>
  <c r="E1365" i="31" s="1"/>
  <c r="L1349" i="23"/>
  <c r="X1226" i="31" s="1"/>
  <c r="I1349" i="23"/>
  <c r="G1305" i="8"/>
  <c r="E1186" i="31" s="1"/>
  <c r="L1301" i="23"/>
  <c r="X1182" i="31" s="1"/>
  <c r="G1301" i="23"/>
  <c r="I1301" i="23" s="1"/>
  <c r="G1268" i="8"/>
  <c r="E1152" i="31" s="1"/>
  <c r="L1265" i="23"/>
  <c r="X1150" i="31" s="1"/>
  <c r="G1264" i="8"/>
  <c r="E1149" i="31" s="1"/>
  <c r="G1255" i="23"/>
  <c r="I1255" i="23" s="1"/>
  <c r="G1523" i="23"/>
  <c r="I1523" i="23" s="1"/>
  <c r="G1529" i="23"/>
  <c r="I1529" i="23" s="1"/>
  <c r="G1353" i="23"/>
  <c r="I1353" i="23" s="1"/>
  <c r="G1526" i="23"/>
  <c r="I1526" i="23" s="1"/>
  <c r="G1350" i="23"/>
  <c r="I1350" i="23" s="1"/>
  <c r="N1208" i="6"/>
  <c r="M1208" i="6"/>
  <c r="M1208" i="23" s="1"/>
  <c r="L1208" i="6"/>
  <c r="K1208" i="6"/>
  <c r="P1208" i="23" s="1"/>
  <c r="J1208" i="6"/>
  <c r="J1208" i="23" s="1"/>
  <c r="I1208" i="6"/>
  <c r="Q1208" i="23" s="1"/>
  <c r="H1208" i="6"/>
  <c r="G1208" i="6"/>
  <c r="F1208" i="6"/>
  <c r="E1208" i="6"/>
  <c r="N1207" i="6"/>
  <c r="M1207" i="6"/>
  <c r="M1207" i="23" s="1"/>
  <c r="L1207" i="6"/>
  <c r="K1207" i="6"/>
  <c r="P1207" i="23" s="1"/>
  <c r="R1207" i="23" s="1"/>
  <c r="Z1097" i="31" s="1"/>
  <c r="J1207" i="6"/>
  <c r="J1207" i="23" s="1"/>
  <c r="I1207" i="6"/>
  <c r="Q1207" i="23" s="1"/>
  <c r="H1207" i="6"/>
  <c r="G1207" i="6"/>
  <c r="F1207" i="6"/>
  <c r="E1207" i="6"/>
  <c r="N1206" i="6"/>
  <c r="S1354" i="23" l="1"/>
  <c r="AA1231" i="31" s="1"/>
  <c r="W1231" i="31"/>
  <c r="W1185" i="31"/>
  <c r="S1304" i="23"/>
  <c r="AA1185" i="31" s="1"/>
  <c r="W1205" i="31"/>
  <c r="S1326" i="23"/>
  <c r="AA1205" i="31" s="1"/>
  <c r="F1207" i="23"/>
  <c r="F1207" i="8"/>
  <c r="L1208" i="23"/>
  <c r="X1098" i="31" s="1"/>
  <c r="W1390" i="31"/>
  <c r="S1529" i="23"/>
  <c r="AA1390" i="31" s="1"/>
  <c r="H1208" i="23"/>
  <c r="K1208" i="23" s="1"/>
  <c r="N1208" i="23" s="1"/>
  <c r="E1208" i="20"/>
  <c r="U1098" i="31" s="1"/>
  <c r="S1350" i="23"/>
  <c r="AA1227" i="31" s="1"/>
  <c r="W1227" i="31"/>
  <c r="W1226" i="31"/>
  <c r="S1349" i="23"/>
  <c r="AA1226" i="31" s="1"/>
  <c r="W1132" i="31"/>
  <c r="S1246" i="23"/>
  <c r="AA1132" i="31" s="1"/>
  <c r="S1302" i="23"/>
  <c r="AA1183" i="31" s="1"/>
  <c r="W1183" i="31"/>
  <c r="W1202" i="31"/>
  <c r="S1323" i="23"/>
  <c r="AA1202" i="31" s="1"/>
  <c r="G1213" i="23"/>
  <c r="I1213" i="23" s="1"/>
  <c r="W1112" i="31"/>
  <c r="S1224" i="23"/>
  <c r="AA1112" i="31" s="1"/>
  <c r="W1370" i="31"/>
  <c r="S1507" i="23"/>
  <c r="AA1370" i="31" s="1"/>
  <c r="W1121" i="31"/>
  <c r="S1233" i="23"/>
  <c r="AA1121" i="31" s="1"/>
  <c r="W1190" i="31"/>
  <c r="S1309" i="23"/>
  <c r="AA1190" i="31" s="1"/>
  <c r="W1360" i="31"/>
  <c r="S1496" i="23"/>
  <c r="AA1360" i="31" s="1"/>
  <c r="W1385" i="31"/>
  <c r="S1524" i="23"/>
  <c r="AA1385" i="31" s="1"/>
  <c r="W1115" i="31"/>
  <c r="S1227" i="23"/>
  <c r="AA1115" i="31" s="1"/>
  <c r="W1189" i="31"/>
  <c r="S1308" i="23"/>
  <c r="AA1189" i="31" s="1"/>
  <c r="W1209" i="31"/>
  <c r="S1330" i="23"/>
  <c r="AA1209" i="31" s="1"/>
  <c r="W1367" i="31"/>
  <c r="S1504" i="23"/>
  <c r="AA1367" i="31" s="1"/>
  <c r="G1222" i="23"/>
  <c r="I1222" i="23" s="1"/>
  <c r="G1219" i="8"/>
  <c r="E1108" i="31" s="1"/>
  <c r="G1217" i="23"/>
  <c r="I1217" i="23" s="1"/>
  <c r="L1215" i="23"/>
  <c r="X1104" i="31" s="1"/>
  <c r="G1214" i="8"/>
  <c r="E1103" i="31" s="1"/>
  <c r="W1152" i="31"/>
  <c r="S1268" i="23"/>
  <c r="AA1152" i="31" s="1"/>
  <c r="W1117" i="31"/>
  <c r="S1229" i="23"/>
  <c r="AA1117" i="31" s="1"/>
  <c r="W1157" i="31"/>
  <c r="S1273" i="23"/>
  <c r="AA1157" i="31" s="1"/>
  <c r="G1218" i="8"/>
  <c r="E1107" i="31" s="1"/>
  <c r="G1210" i="8"/>
  <c r="E1100" i="31" s="1"/>
  <c r="O1208" i="23"/>
  <c r="Y1098" i="31" s="1"/>
  <c r="W1400" i="31"/>
  <c r="S1540" i="23"/>
  <c r="AA1400" i="31" s="1"/>
  <c r="R1208" i="23"/>
  <c r="Z1098" i="31" s="1"/>
  <c r="W1384" i="31"/>
  <c r="S1523" i="23"/>
  <c r="AA1384" i="31" s="1"/>
  <c r="E1207" i="23"/>
  <c r="G1207" i="23" s="1"/>
  <c r="E1207" i="8"/>
  <c r="G1207" i="8" s="1"/>
  <c r="E1097" i="31" s="1"/>
  <c r="F1208" i="23"/>
  <c r="F1208" i="8"/>
  <c r="S1526" i="23"/>
  <c r="AA1387" i="31" s="1"/>
  <c r="W1387" i="31"/>
  <c r="W1141" i="31"/>
  <c r="S1255" i="23"/>
  <c r="AA1141" i="31" s="1"/>
  <c r="S1301" i="23"/>
  <c r="AA1182" i="31" s="1"/>
  <c r="W1182" i="31"/>
  <c r="W1371" i="31"/>
  <c r="S1508" i="23"/>
  <c r="AA1371" i="31" s="1"/>
  <c r="S1522" i="23"/>
  <c r="AA1383" i="31" s="1"/>
  <c r="W1383" i="31"/>
  <c r="W1275" i="31"/>
  <c r="S1403" i="23"/>
  <c r="AA1275" i="31" s="1"/>
  <c r="L1210" i="23"/>
  <c r="X1100" i="31" s="1"/>
  <c r="W1211" i="31"/>
  <c r="S1332" i="23"/>
  <c r="AA1211" i="31" s="1"/>
  <c r="W1161" i="31"/>
  <c r="S1277" i="23"/>
  <c r="AA1161" i="31" s="1"/>
  <c r="S1539" i="23"/>
  <c r="AA1399" i="31" s="1"/>
  <c r="W1399" i="31"/>
  <c r="S1530" i="23"/>
  <c r="AA1391" i="31" s="1"/>
  <c r="W1391" i="31"/>
  <c r="W1150" i="31"/>
  <c r="S1265" i="23"/>
  <c r="AA1150" i="31" s="1"/>
  <c r="S1503" i="23"/>
  <c r="AA1366" i="31" s="1"/>
  <c r="W1366" i="31"/>
  <c r="G1220" i="8"/>
  <c r="E1109" i="31" s="1"/>
  <c r="G1219" i="23"/>
  <c r="I1219" i="23" s="1"/>
  <c r="G1215" i="8"/>
  <c r="E1104" i="31" s="1"/>
  <c r="G1214" i="23"/>
  <c r="I1214" i="23" s="1"/>
  <c r="W1186" i="31"/>
  <c r="S1305" i="23"/>
  <c r="AA1186" i="31" s="1"/>
  <c r="W1365" i="31"/>
  <c r="S1502" i="23"/>
  <c r="AA1365" i="31" s="1"/>
  <c r="W1394" i="31"/>
  <c r="S1534" i="23"/>
  <c r="AA1394" i="31" s="1"/>
  <c r="W1203" i="31"/>
  <c r="S1324" i="23"/>
  <c r="AA1203" i="31" s="1"/>
  <c r="W1397" i="31"/>
  <c r="S1537" i="23"/>
  <c r="AA1397" i="31" s="1"/>
  <c r="G1218" i="23"/>
  <c r="I1218" i="23" s="1"/>
  <c r="G1211" i="8"/>
  <c r="E1101" i="31" s="1"/>
  <c r="L1209" i="23"/>
  <c r="X1099" i="31" s="1"/>
  <c r="G1210" i="23"/>
  <c r="I1210" i="23" s="1"/>
  <c r="H1207" i="23"/>
  <c r="K1207" i="23" s="1"/>
  <c r="N1207" i="23" s="1"/>
  <c r="O1207" i="23" s="1"/>
  <c r="Y1097" i="31" s="1"/>
  <c r="E1207" i="20"/>
  <c r="U1097" i="31" s="1"/>
  <c r="W1230" i="31"/>
  <c r="S1353" i="23"/>
  <c r="AA1230" i="31" s="1"/>
  <c r="W1361" i="31"/>
  <c r="S1497" i="23"/>
  <c r="AA1361" i="31" s="1"/>
  <c r="W1229" i="31"/>
  <c r="S1352" i="23"/>
  <c r="AA1229" i="31" s="1"/>
  <c r="W1363" i="31"/>
  <c r="S1500" i="23"/>
  <c r="AA1363" i="31" s="1"/>
  <c r="W1099" i="31"/>
  <c r="S1209" i="23"/>
  <c r="AA1099" i="31" s="1"/>
  <c r="W1153" i="31"/>
  <c r="S1269" i="23"/>
  <c r="AA1153" i="31" s="1"/>
  <c r="W1184" i="31"/>
  <c r="S1303" i="23"/>
  <c r="AA1184" i="31" s="1"/>
  <c r="W1280" i="31"/>
  <c r="S1408" i="23"/>
  <c r="AA1280" i="31" s="1"/>
  <c r="W1393" i="31"/>
  <c r="S1533" i="23"/>
  <c r="AA1393" i="31" s="1"/>
  <c r="W1228" i="31"/>
  <c r="S1351" i="23"/>
  <c r="AA1228" i="31" s="1"/>
  <c r="W1389" i="31"/>
  <c r="S1528" i="23"/>
  <c r="AA1389" i="31" s="1"/>
  <c r="W1382" i="31"/>
  <c r="S1521" i="23"/>
  <c r="AA1382" i="31" s="1"/>
  <c r="G1221" i="8"/>
  <c r="E1110" i="31" s="1"/>
  <c r="G1220" i="23"/>
  <c r="I1220" i="23" s="1"/>
  <c r="G1216" i="8"/>
  <c r="E1105" i="31" s="1"/>
  <c r="G1215" i="23"/>
  <c r="I1215" i="23" s="1"/>
  <c r="W1149" i="31"/>
  <c r="S1264" i="23"/>
  <c r="AA1149" i="31" s="1"/>
  <c r="S1327" i="23"/>
  <c r="AA1206" i="31" s="1"/>
  <c r="W1206" i="31"/>
  <c r="W1381" i="31"/>
  <c r="S1519" i="23"/>
  <c r="AA1381" i="31" s="1"/>
  <c r="W1396" i="31"/>
  <c r="S1536" i="23"/>
  <c r="AA1396" i="31" s="1"/>
  <c r="W1207" i="31"/>
  <c r="S1328" i="23"/>
  <c r="AA1207" i="31" s="1"/>
  <c r="S1266" i="23"/>
  <c r="AA1151" i="31" s="1"/>
  <c r="W1151" i="31"/>
  <c r="W1392" i="31"/>
  <c r="S1532" i="23"/>
  <c r="AA1392" i="31" s="1"/>
  <c r="G1211" i="23"/>
  <c r="I1211" i="23" s="1"/>
  <c r="E1208" i="23"/>
  <c r="G1208" i="23" s="1"/>
  <c r="I1208" i="23" s="1"/>
  <c r="E1208" i="8"/>
  <c r="G1208" i="8" s="1"/>
  <c r="E1098" i="31" s="1"/>
  <c r="S1231" i="23"/>
  <c r="AA1119" i="31" s="1"/>
  <c r="W1119" i="31"/>
  <c r="S1275" i="23"/>
  <c r="AA1159" i="31" s="1"/>
  <c r="W1159" i="31"/>
  <c r="S1406" i="23"/>
  <c r="AA1278" i="31" s="1"/>
  <c r="W1278" i="31"/>
  <c r="W1395" i="31"/>
  <c r="S1535" i="23"/>
  <c r="AA1395" i="31" s="1"/>
  <c r="W1133" i="31"/>
  <c r="S1247" i="23"/>
  <c r="AA1133" i="31" s="1"/>
  <c r="W1388" i="31"/>
  <c r="S1527" i="23"/>
  <c r="AA1388" i="31" s="1"/>
  <c r="W1386" i="31"/>
  <c r="S1525" i="23"/>
  <c r="AA1386" i="31" s="1"/>
  <c r="W1364" i="31"/>
  <c r="S1501" i="23"/>
  <c r="AA1364" i="31" s="1"/>
  <c r="W1369" i="31"/>
  <c r="S1506" i="23"/>
  <c r="AA1369" i="31" s="1"/>
  <c r="W1155" i="31"/>
  <c r="S1271" i="23"/>
  <c r="AA1155" i="31" s="1"/>
  <c r="S1495" i="23"/>
  <c r="AA1359" i="31" s="1"/>
  <c r="W1359" i="31"/>
  <c r="S1538" i="23"/>
  <c r="AA1398" i="31" s="1"/>
  <c r="W1398" i="31"/>
  <c r="G1222" i="8"/>
  <c r="E1111" i="31" s="1"/>
  <c r="G1221" i="23"/>
  <c r="I1221" i="23" s="1"/>
  <c r="L1219" i="23"/>
  <c r="X1108" i="31" s="1"/>
  <c r="G1217" i="8"/>
  <c r="E1106" i="31" s="1"/>
  <c r="G1216" i="23"/>
  <c r="I1216" i="23" s="1"/>
  <c r="L1214" i="23"/>
  <c r="X1103" i="31" s="1"/>
  <c r="W1368" i="31"/>
  <c r="S1505" i="23"/>
  <c r="AA1368" i="31" s="1"/>
  <c r="L1218" i="23"/>
  <c r="X1107" i="31" s="1"/>
  <c r="M1206" i="6"/>
  <c r="M1206" i="23" s="1"/>
  <c r="L1206" i="6"/>
  <c r="K1206" i="6"/>
  <c r="P1206" i="23" s="1"/>
  <c r="J1206" i="6"/>
  <c r="J1206" i="23" s="1"/>
  <c r="I1206" i="6"/>
  <c r="Q1206" i="23" s="1"/>
  <c r="H1206" i="6"/>
  <c r="G1206" i="6"/>
  <c r="F1206" i="6"/>
  <c r="E1206" i="6"/>
  <c r="N1205" i="6"/>
  <c r="M1205" i="6"/>
  <c r="M1205" i="23" s="1"/>
  <c r="L1205" i="6"/>
  <c r="K1205" i="6"/>
  <c r="P1205" i="23" s="1"/>
  <c r="R1205" i="23" s="1"/>
  <c r="Z1095" i="31" s="1"/>
  <c r="J1205" i="6"/>
  <c r="J1205" i="23" s="1"/>
  <c r="I1205" i="6"/>
  <c r="Q1205" i="23" s="1"/>
  <c r="H1205" i="6"/>
  <c r="G1205" i="6"/>
  <c r="F1205" i="6"/>
  <c r="E1205" i="6"/>
  <c r="T1204" i="6"/>
  <c r="E1204" i="19" s="1"/>
  <c r="T1205" i="6"/>
  <c r="E1205" i="19" s="1"/>
  <c r="T1206" i="6"/>
  <c r="E1206" i="19" s="1"/>
  <c r="T1207" i="6"/>
  <c r="E1207" i="19" s="1"/>
  <c r="T1208" i="6"/>
  <c r="E1208" i="19" s="1"/>
  <c r="T1209" i="6"/>
  <c r="E1209" i="19" s="1"/>
  <c r="T1210" i="6"/>
  <c r="E1210" i="19" s="1"/>
  <c r="T1211" i="6"/>
  <c r="E1211" i="19" s="1"/>
  <c r="N1204" i="6"/>
  <c r="M1204" i="6"/>
  <c r="M1204" i="23" s="1"/>
  <c r="L1204" i="6"/>
  <c r="K1204" i="6"/>
  <c r="P1204" i="23" s="1"/>
  <c r="J1204" i="6"/>
  <c r="J1204" i="23" s="1"/>
  <c r="I1204" i="6"/>
  <c r="Q1204" i="23" s="1"/>
  <c r="H1204" i="6"/>
  <c r="G1204" i="6"/>
  <c r="F1204" i="6"/>
  <c r="E1204" i="6"/>
  <c r="T1203" i="6"/>
  <c r="E1203" i="19" s="1"/>
  <c r="N1203" i="6"/>
  <c r="N1202" i="6"/>
  <c r="M1203" i="6"/>
  <c r="M1203" i="23" s="1"/>
  <c r="M1202" i="6"/>
  <c r="M1202" i="23" s="1"/>
  <c r="L1203" i="6"/>
  <c r="L1202" i="6"/>
  <c r="K1203" i="6"/>
  <c r="P1203" i="23" s="1"/>
  <c r="K1202" i="6"/>
  <c r="P1202" i="23" s="1"/>
  <c r="R1202" i="23" s="1"/>
  <c r="Z1092" i="31" s="1"/>
  <c r="J1203" i="6"/>
  <c r="J1203" i="23" s="1"/>
  <c r="J1202" i="6"/>
  <c r="J1202" i="23" s="1"/>
  <c r="I1203" i="6"/>
  <c r="Q1203" i="23" s="1"/>
  <c r="H1202" i="6"/>
  <c r="I1202" i="6"/>
  <c r="Q1202" i="23" s="1"/>
  <c r="H1203" i="6"/>
  <c r="G1203" i="6"/>
  <c r="G1202" i="6"/>
  <c r="F1203" i="6"/>
  <c r="F1202" i="6"/>
  <c r="E1203" i="6"/>
  <c r="E1202" i="6"/>
  <c r="N1189" i="6"/>
  <c r="M1189" i="6"/>
  <c r="M1189" i="23" s="1"/>
  <c r="L1189" i="6"/>
  <c r="K1189" i="6"/>
  <c r="P1189" i="23" s="1"/>
  <c r="R1189" i="23" s="1"/>
  <c r="Z1081" i="31" s="1"/>
  <c r="J1189" i="6"/>
  <c r="J1189" i="23" s="1"/>
  <c r="I1189" i="6"/>
  <c r="Q1189" i="23" s="1"/>
  <c r="H1189" i="6"/>
  <c r="G1189" i="6"/>
  <c r="F1189" i="6"/>
  <c r="E1189" i="6"/>
  <c r="N1188" i="6"/>
  <c r="M1188" i="6"/>
  <c r="M1188" i="23" s="1"/>
  <c r="L1188" i="6"/>
  <c r="K1188" i="6"/>
  <c r="P1188" i="23" s="1"/>
  <c r="J1188" i="6"/>
  <c r="J1188" i="23" s="1"/>
  <c r="I1188" i="6"/>
  <c r="Q1188" i="23" s="1"/>
  <c r="H1188" i="6"/>
  <c r="G1188" i="6"/>
  <c r="F1188" i="6"/>
  <c r="E1188" i="6"/>
  <c r="N1187" i="6"/>
  <c r="M1187" i="6"/>
  <c r="M1187" i="23" s="1"/>
  <c r="L1187" i="6"/>
  <c r="K1187" i="6"/>
  <c r="P1187" i="23" s="1"/>
  <c r="R1187" i="23" s="1"/>
  <c r="Z1079" i="31" s="1"/>
  <c r="J1187" i="6"/>
  <c r="J1187" i="23" s="1"/>
  <c r="I1187" i="6"/>
  <c r="Q1187" i="23" s="1"/>
  <c r="H1187" i="6"/>
  <c r="G1187" i="6"/>
  <c r="F1187" i="6"/>
  <c r="E1187" i="6"/>
  <c r="N1186" i="6"/>
  <c r="M1186" i="6"/>
  <c r="M1186" i="23" s="1"/>
  <c r="L1186" i="6"/>
  <c r="K1186" i="6"/>
  <c r="P1186" i="23" s="1"/>
  <c r="J1186" i="6"/>
  <c r="J1186" i="23" s="1"/>
  <c r="I1186" i="6"/>
  <c r="Q1186" i="23" s="1"/>
  <c r="H1186" i="6"/>
  <c r="G1186" i="6"/>
  <c r="F1186" i="6"/>
  <c r="E1186" i="6"/>
  <c r="N1185" i="6"/>
  <c r="N1184" i="6"/>
  <c r="M1185" i="6"/>
  <c r="M1185" i="23" s="1"/>
  <c r="M1184" i="6"/>
  <c r="M1184" i="23" s="1"/>
  <c r="L1185" i="6"/>
  <c r="L1184" i="6"/>
  <c r="K1185" i="6"/>
  <c r="P1185" i="23" s="1"/>
  <c r="K1184" i="6"/>
  <c r="P1184" i="23" s="1"/>
  <c r="J1185" i="6"/>
  <c r="J1185" i="23" s="1"/>
  <c r="J1184" i="6"/>
  <c r="J1184" i="23" s="1"/>
  <c r="I1185" i="6"/>
  <c r="Q1185" i="23" s="1"/>
  <c r="I1184" i="6"/>
  <c r="Q1184" i="23" s="1"/>
  <c r="H1185" i="6"/>
  <c r="H1184" i="6"/>
  <c r="G1185" i="6"/>
  <c r="G1184" i="6"/>
  <c r="F1184" i="6"/>
  <c r="F1185" i="6"/>
  <c r="E1185" i="6"/>
  <c r="E1184" i="6"/>
  <c r="N1183" i="6"/>
  <c r="N1182" i="6"/>
  <c r="M1183" i="6"/>
  <c r="M1183" i="23" s="1"/>
  <c r="M1182" i="6"/>
  <c r="M1182" i="23" s="1"/>
  <c r="L1183" i="6"/>
  <c r="L1182" i="6"/>
  <c r="K1183" i="6"/>
  <c r="P1183" i="23" s="1"/>
  <c r="K1182" i="6"/>
  <c r="P1182" i="23" s="1"/>
  <c r="J1183" i="6"/>
  <c r="J1183" i="23" s="1"/>
  <c r="J1182" i="6"/>
  <c r="J1182" i="23" s="1"/>
  <c r="I1183" i="6"/>
  <c r="Q1183" i="23" s="1"/>
  <c r="I1182" i="6"/>
  <c r="Q1182" i="23" s="1"/>
  <c r="H1182" i="6"/>
  <c r="H1183" i="6"/>
  <c r="G1183" i="6"/>
  <c r="G1182" i="6"/>
  <c r="F1183" i="6"/>
  <c r="F1182" i="6"/>
  <c r="E1183" i="6"/>
  <c r="E1182" i="6"/>
  <c r="N1181" i="6"/>
  <c r="M1181" i="6"/>
  <c r="M1181" i="23" s="1"/>
  <c r="L1181" i="6"/>
  <c r="K1181" i="6"/>
  <c r="P1181" i="23" s="1"/>
  <c r="R1181" i="23" s="1"/>
  <c r="Z1073" i="31" s="1"/>
  <c r="J1181" i="6"/>
  <c r="J1181" i="23" s="1"/>
  <c r="I1181" i="6"/>
  <c r="Q1181" i="23" s="1"/>
  <c r="H1181" i="6"/>
  <c r="G1181" i="6"/>
  <c r="F1181" i="6"/>
  <c r="E1181" i="6"/>
  <c r="E1180" i="6"/>
  <c r="T1181" i="6"/>
  <c r="E1181" i="19" s="1"/>
  <c r="T1182" i="6"/>
  <c r="E1182" i="19" s="1"/>
  <c r="T1183" i="6"/>
  <c r="E1183" i="19" s="1"/>
  <c r="T1184" i="6"/>
  <c r="E1184" i="19" s="1"/>
  <c r="T1185" i="6"/>
  <c r="E1185" i="19" s="1"/>
  <c r="T1186" i="6"/>
  <c r="E1186" i="19" s="1"/>
  <c r="T1187" i="6"/>
  <c r="E1187" i="19" s="1"/>
  <c r="T1188" i="6"/>
  <c r="E1188" i="19" s="1"/>
  <c r="T1189" i="6"/>
  <c r="E1189" i="19" s="1"/>
  <c r="T1180" i="6"/>
  <c r="E1180" i="19" s="1"/>
  <c r="N1180" i="6"/>
  <c r="M1180" i="6"/>
  <c r="M1180" i="23" s="1"/>
  <c r="L1180" i="6"/>
  <c r="L1179" i="6"/>
  <c r="K1180" i="6"/>
  <c r="P1180" i="23" s="1"/>
  <c r="J1180" i="6"/>
  <c r="J1180" i="23" s="1"/>
  <c r="I1180" i="6"/>
  <c r="Q1180" i="23" s="1"/>
  <c r="H1180" i="6"/>
  <c r="G1180" i="6"/>
  <c r="F1180" i="6"/>
  <c r="N1178" i="6"/>
  <c r="M1178" i="6"/>
  <c r="M1178" i="23" s="1"/>
  <c r="L1178" i="6"/>
  <c r="K1178" i="6"/>
  <c r="P1178" i="23" s="1"/>
  <c r="R1178" i="23" s="1"/>
  <c r="Z1071" i="31" s="1"/>
  <c r="J1178" i="6"/>
  <c r="J1178" i="23" s="1"/>
  <c r="I1178" i="6"/>
  <c r="Q1178" i="23" s="1"/>
  <c r="H1178" i="6"/>
  <c r="G1178" i="6"/>
  <c r="F1178" i="6"/>
  <c r="E1178" i="6"/>
  <c r="N1177" i="6"/>
  <c r="M1177" i="6"/>
  <c r="M1177" i="23" s="1"/>
  <c r="L1177" i="6"/>
  <c r="K1177" i="6"/>
  <c r="P1177" i="23" s="1"/>
  <c r="J1177" i="6"/>
  <c r="J1177" i="23" s="1"/>
  <c r="I1177" i="6"/>
  <c r="Q1177" i="23" s="1"/>
  <c r="H1177" i="6"/>
  <c r="G1177" i="6"/>
  <c r="F1177" i="6"/>
  <c r="E1177" i="6"/>
  <c r="N1176" i="6"/>
  <c r="M1176" i="6"/>
  <c r="M1176" i="23" s="1"/>
  <c r="L1176" i="6"/>
  <c r="K1176" i="6"/>
  <c r="P1176" i="23" s="1"/>
  <c r="R1176" i="23" s="1"/>
  <c r="Z1069" i="31" s="1"/>
  <c r="J1176" i="6"/>
  <c r="J1176" i="23" s="1"/>
  <c r="I1176" i="6"/>
  <c r="Q1176" i="23" s="1"/>
  <c r="H1176" i="6"/>
  <c r="G1176" i="6"/>
  <c r="F1176" i="6"/>
  <c r="E1176" i="6"/>
  <c r="N1175" i="6"/>
  <c r="M1175" i="6"/>
  <c r="M1175" i="23" s="1"/>
  <c r="L1175" i="6"/>
  <c r="K1175" i="6"/>
  <c r="P1175" i="23" s="1"/>
  <c r="J1175" i="6"/>
  <c r="J1175" i="23" s="1"/>
  <c r="I1175" i="6"/>
  <c r="Q1175" i="23" s="1"/>
  <c r="H1175" i="6"/>
  <c r="G1175" i="6"/>
  <c r="F1175" i="6"/>
  <c r="E1175" i="6"/>
  <c r="N1174" i="6"/>
  <c r="M1174" i="6"/>
  <c r="M1174" i="23" s="1"/>
  <c r="L1174" i="6"/>
  <c r="K1174" i="6"/>
  <c r="P1174" i="23" s="1"/>
  <c r="R1174" i="23" s="1"/>
  <c r="Z1067" i="31" s="1"/>
  <c r="J1174" i="6"/>
  <c r="J1174" i="23" s="1"/>
  <c r="I1174" i="6"/>
  <c r="Q1174" i="23" s="1"/>
  <c r="H1173" i="6"/>
  <c r="H1174" i="6"/>
  <c r="G1174" i="6"/>
  <c r="F1174" i="6"/>
  <c r="E1174" i="6"/>
  <c r="E1178" i="23" l="1"/>
  <c r="E1178" i="8"/>
  <c r="H1178" i="23"/>
  <c r="K1178" i="23" s="1"/>
  <c r="N1178" i="23" s="1"/>
  <c r="E1178" i="20"/>
  <c r="U1071" i="31" s="1"/>
  <c r="R1180" i="23"/>
  <c r="Z1072" i="31" s="1"/>
  <c r="E1185" i="23"/>
  <c r="E1185" i="8"/>
  <c r="F1184" i="23"/>
  <c r="F1184" i="8"/>
  <c r="H1186" i="23"/>
  <c r="K1186" i="23" s="1"/>
  <c r="N1186" i="23" s="1"/>
  <c r="E1186" i="20"/>
  <c r="U1078" i="31" s="1"/>
  <c r="R1186" i="23"/>
  <c r="Z1078" i="31" s="1"/>
  <c r="H1188" i="23"/>
  <c r="K1188" i="23" s="1"/>
  <c r="N1188" i="23" s="1"/>
  <c r="E1188" i="20"/>
  <c r="U1080" i="31" s="1"/>
  <c r="R1188" i="23"/>
  <c r="Z1080" i="31" s="1"/>
  <c r="E1202" i="23"/>
  <c r="E1202" i="8"/>
  <c r="F1203" i="23"/>
  <c r="F1203" i="8"/>
  <c r="E1204" i="23"/>
  <c r="E1204" i="8"/>
  <c r="F1205" i="23"/>
  <c r="F1205" i="8"/>
  <c r="E1206" i="23"/>
  <c r="E1206" i="8"/>
  <c r="W1105" i="31"/>
  <c r="S1216" i="23"/>
  <c r="AA1105" i="31" s="1"/>
  <c r="W1109" i="31"/>
  <c r="S1220" i="23"/>
  <c r="AA1109" i="31" s="1"/>
  <c r="W1100" i="31"/>
  <c r="S1210" i="23"/>
  <c r="AA1100" i="31" s="1"/>
  <c r="W1108" i="31"/>
  <c r="S1219" i="23"/>
  <c r="AA1108" i="31" s="1"/>
  <c r="S1213" i="23"/>
  <c r="AA1102" i="31" s="1"/>
  <c r="W1102" i="31"/>
  <c r="F1175" i="23"/>
  <c r="F1175" i="8"/>
  <c r="E1176" i="23"/>
  <c r="G1176" i="23" s="1"/>
  <c r="E1176" i="8"/>
  <c r="F1174" i="23"/>
  <c r="F1174" i="8"/>
  <c r="H1176" i="23"/>
  <c r="K1176" i="23" s="1"/>
  <c r="N1176" i="23" s="1"/>
  <c r="E1176" i="20"/>
  <c r="U1069" i="31" s="1"/>
  <c r="E1180" i="23"/>
  <c r="E1180" i="8"/>
  <c r="F1173" i="23"/>
  <c r="F1173" i="8"/>
  <c r="E1175" i="23"/>
  <c r="G1175" i="23" s="1"/>
  <c r="E1175" i="8"/>
  <c r="G1175" i="8" s="1"/>
  <c r="E1068" i="31" s="1"/>
  <c r="L1175" i="23"/>
  <c r="X1068" i="31" s="1"/>
  <c r="F1176" i="23"/>
  <c r="F1176" i="8"/>
  <c r="E1177" i="23"/>
  <c r="E1177" i="8"/>
  <c r="L1177" i="23"/>
  <c r="X1070" i="31" s="1"/>
  <c r="F1178" i="23"/>
  <c r="F1178" i="8"/>
  <c r="H1180" i="23"/>
  <c r="K1180" i="23" s="1"/>
  <c r="N1180" i="23" s="1"/>
  <c r="E1180" i="20"/>
  <c r="U1072" i="31" s="1"/>
  <c r="E1182" i="23"/>
  <c r="E1182" i="8"/>
  <c r="G1182" i="8" s="1"/>
  <c r="E1074" i="31" s="1"/>
  <c r="F1183" i="23"/>
  <c r="F1183" i="8"/>
  <c r="E1174" i="23"/>
  <c r="G1174" i="23" s="1"/>
  <c r="E1174" i="8"/>
  <c r="G1174" i="8" s="1"/>
  <c r="E1067" i="31" s="1"/>
  <c r="H1175" i="23"/>
  <c r="K1175" i="23" s="1"/>
  <c r="N1175" i="23" s="1"/>
  <c r="E1175" i="20"/>
  <c r="U1068" i="31" s="1"/>
  <c r="R1175" i="23"/>
  <c r="Z1068" i="31" s="1"/>
  <c r="O1176" i="23"/>
  <c r="Y1069" i="31" s="1"/>
  <c r="H1177" i="23"/>
  <c r="K1177" i="23" s="1"/>
  <c r="N1177" i="23" s="1"/>
  <c r="O1177" i="23" s="1"/>
  <c r="Y1070" i="31" s="1"/>
  <c r="E1177" i="20"/>
  <c r="U1070" i="31" s="1"/>
  <c r="R1177" i="23"/>
  <c r="Z1070" i="31" s="1"/>
  <c r="O1178" i="23"/>
  <c r="Y1071" i="31" s="1"/>
  <c r="F1180" i="23"/>
  <c r="F1180" i="8"/>
  <c r="E1181" i="23"/>
  <c r="E1181" i="8"/>
  <c r="E1183" i="23"/>
  <c r="G1183" i="23" s="1"/>
  <c r="E1183" i="8"/>
  <c r="G1183" i="8" s="1"/>
  <c r="E1075" i="31" s="1"/>
  <c r="F1182" i="23"/>
  <c r="F1182" i="8"/>
  <c r="E1184" i="23"/>
  <c r="G1184" i="23" s="1"/>
  <c r="I1184" i="23" s="1"/>
  <c r="E1184" i="8"/>
  <c r="G1184" i="8" s="1"/>
  <c r="E1076" i="31" s="1"/>
  <c r="F1185" i="23"/>
  <c r="F1185" i="8"/>
  <c r="F1186" i="23"/>
  <c r="F1186" i="8"/>
  <c r="E1187" i="23"/>
  <c r="E1187" i="8"/>
  <c r="F1188" i="23"/>
  <c r="F1188" i="8"/>
  <c r="E1189" i="23"/>
  <c r="E1189" i="8"/>
  <c r="E1203" i="23"/>
  <c r="G1203" i="23" s="1"/>
  <c r="E1203" i="8"/>
  <c r="G1203" i="8" s="1"/>
  <c r="E1093" i="31" s="1"/>
  <c r="H1204" i="23"/>
  <c r="K1204" i="23" s="1"/>
  <c r="N1204" i="23" s="1"/>
  <c r="E1204" i="20"/>
  <c r="U1094" i="31" s="1"/>
  <c r="R1204" i="23"/>
  <c r="Z1094" i="31" s="1"/>
  <c r="H1206" i="23"/>
  <c r="K1206" i="23" s="1"/>
  <c r="N1206" i="23" s="1"/>
  <c r="E1206" i="20"/>
  <c r="U1096" i="31" s="1"/>
  <c r="R1206" i="23"/>
  <c r="Z1096" i="31" s="1"/>
  <c r="L1207" i="23"/>
  <c r="X1097" i="31" s="1"/>
  <c r="W1106" i="31"/>
  <c r="S1217" i="23"/>
  <c r="AA1106" i="31" s="1"/>
  <c r="H1174" i="23"/>
  <c r="K1174" i="23" s="1"/>
  <c r="N1174" i="23" s="1"/>
  <c r="O1174" i="23" s="1"/>
  <c r="Y1067" i="31" s="1"/>
  <c r="E1174" i="20"/>
  <c r="U1067" i="31" s="1"/>
  <c r="F1177" i="23"/>
  <c r="F1177" i="8"/>
  <c r="L1178" i="23"/>
  <c r="X1071" i="31" s="1"/>
  <c r="H1181" i="23"/>
  <c r="K1181" i="23" s="1"/>
  <c r="N1181" i="23" s="1"/>
  <c r="O1181" i="23" s="1"/>
  <c r="Y1073" i="31" s="1"/>
  <c r="E1181" i="20"/>
  <c r="U1073" i="31" s="1"/>
  <c r="H1182" i="23"/>
  <c r="K1182" i="23" s="1"/>
  <c r="N1182" i="23" s="1"/>
  <c r="O1182" i="23" s="1"/>
  <c r="Y1074" i="31" s="1"/>
  <c r="E1182" i="20"/>
  <c r="U1074" i="31" s="1"/>
  <c r="R1182" i="23"/>
  <c r="Z1074" i="31" s="1"/>
  <c r="H1184" i="23"/>
  <c r="K1184" i="23" s="1"/>
  <c r="N1184" i="23" s="1"/>
  <c r="O1184" i="23" s="1"/>
  <c r="Y1076" i="31" s="1"/>
  <c r="E1184" i="20"/>
  <c r="U1076" i="31" s="1"/>
  <c r="R1184" i="23"/>
  <c r="Z1076" i="31" s="1"/>
  <c r="O1186" i="23"/>
  <c r="Y1078" i="31" s="1"/>
  <c r="H1187" i="23"/>
  <c r="K1187" i="23" s="1"/>
  <c r="N1187" i="23" s="1"/>
  <c r="O1187" i="23" s="1"/>
  <c r="Y1079" i="31" s="1"/>
  <c r="E1187" i="20"/>
  <c r="U1079" i="31" s="1"/>
  <c r="O1188" i="23"/>
  <c r="Y1080" i="31" s="1"/>
  <c r="H1189" i="23"/>
  <c r="K1189" i="23" s="1"/>
  <c r="N1189" i="23" s="1"/>
  <c r="O1189" i="23" s="1"/>
  <c r="Y1081" i="31" s="1"/>
  <c r="E1189" i="20"/>
  <c r="U1081" i="31" s="1"/>
  <c r="H1202" i="23"/>
  <c r="K1202" i="23" s="1"/>
  <c r="N1202" i="23" s="1"/>
  <c r="E1202" i="20"/>
  <c r="U1092" i="31" s="1"/>
  <c r="F1202" i="23"/>
  <c r="F1202" i="8"/>
  <c r="O1202" i="23"/>
  <c r="Y1092" i="31" s="1"/>
  <c r="F1204" i="23"/>
  <c r="F1204" i="8"/>
  <c r="E1205" i="23"/>
  <c r="G1205" i="23" s="1"/>
  <c r="I1205" i="23" s="1"/>
  <c r="E1205" i="8"/>
  <c r="G1205" i="8" s="1"/>
  <c r="E1095" i="31" s="1"/>
  <c r="F1206" i="23"/>
  <c r="F1206" i="8"/>
  <c r="W1098" i="31"/>
  <c r="S1208" i="23"/>
  <c r="AA1098" i="31" s="1"/>
  <c r="W1104" i="31"/>
  <c r="S1215" i="23"/>
  <c r="AA1104" i="31" s="1"/>
  <c r="S1214" i="23"/>
  <c r="AA1103" i="31" s="1"/>
  <c r="W1103" i="31"/>
  <c r="O1175" i="23"/>
  <c r="Y1068" i="31" s="1"/>
  <c r="O1180" i="23"/>
  <c r="Y1072" i="31" s="1"/>
  <c r="F1181" i="23"/>
  <c r="F1181" i="8"/>
  <c r="H1183" i="23"/>
  <c r="K1183" i="23" s="1"/>
  <c r="N1183" i="23" s="1"/>
  <c r="O1183" i="23" s="1"/>
  <c r="Y1075" i="31" s="1"/>
  <c r="E1183" i="20"/>
  <c r="U1075" i="31" s="1"/>
  <c r="R1183" i="23"/>
  <c r="Z1075" i="31" s="1"/>
  <c r="H1185" i="23"/>
  <c r="K1185" i="23" s="1"/>
  <c r="N1185" i="23" s="1"/>
  <c r="O1185" i="23" s="1"/>
  <c r="Y1077" i="31" s="1"/>
  <c r="E1185" i="20"/>
  <c r="U1077" i="31" s="1"/>
  <c r="R1185" i="23"/>
  <c r="Z1077" i="31" s="1"/>
  <c r="E1186" i="23"/>
  <c r="G1186" i="23" s="1"/>
  <c r="I1186" i="23" s="1"/>
  <c r="E1186" i="8"/>
  <c r="G1186" i="8" s="1"/>
  <c r="E1078" i="31" s="1"/>
  <c r="L1186" i="23"/>
  <c r="X1078" i="31" s="1"/>
  <c r="F1187" i="23"/>
  <c r="F1187" i="8"/>
  <c r="E1188" i="23"/>
  <c r="G1188" i="23" s="1"/>
  <c r="I1188" i="23" s="1"/>
  <c r="E1188" i="8"/>
  <c r="G1188" i="8" s="1"/>
  <c r="E1080" i="31" s="1"/>
  <c r="L1188" i="23"/>
  <c r="X1080" i="31" s="1"/>
  <c r="F1189" i="23"/>
  <c r="F1189" i="8"/>
  <c r="H1203" i="23"/>
  <c r="K1203" i="23" s="1"/>
  <c r="N1203" i="23" s="1"/>
  <c r="E1203" i="20"/>
  <c r="U1093" i="31" s="1"/>
  <c r="R1203" i="23"/>
  <c r="Z1093" i="31" s="1"/>
  <c r="O1203" i="23"/>
  <c r="Y1093" i="31" s="1"/>
  <c r="O1204" i="23"/>
  <c r="Y1094" i="31" s="1"/>
  <c r="H1205" i="23"/>
  <c r="K1205" i="23" s="1"/>
  <c r="N1205" i="23" s="1"/>
  <c r="O1205" i="23" s="1"/>
  <c r="Y1095" i="31" s="1"/>
  <c r="E1205" i="20"/>
  <c r="U1095" i="31" s="1"/>
  <c r="O1206" i="23"/>
  <c r="Y1096" i="31" s="1"/>
  <c r="W1110" i="31"/>
  <c r="S1221" i="23"/>
  <c r="AA1110" i="31" s="1"/>
  <c r="W1101" i="31"/>
  <c r="S1211" i="23"/>
  <c r="AA1101" i="31" s="1"/>
  <c r="S1218" i="23"/>
  <c r="AA1107" i="31" s="1"/>
  <c r="W1107" i="31"/>
  <c r="I1207" i="23"/>
  <c r="S1222" i="23"/>
  <c r="AA1111" i="31" s="1"/>
  <c r="W1111" i="31"/>
  <c r="T1174" i="6"/>
  <c r="E1174" i="19" s="1"/>
  <c r="T1175" i="6"/>
  <c r="E1175" i="19" s="1"/>
  <c r="T1176" i="6"/>
  <c r="E1176" i="19" s="1"/>
  <c r="T1177" i="6"/>
  <c r="E1177" i="19" s="1"/>
  <c r="T1178" i="6"/>
  <c r="E1178" i="19" s="1"/>
  <c r="T1173" i="6"/>
  <c r="E1173" i="19" s="1"/>
  <c r="N1173" i="6"/>
  <c r="M1173" i="6"/>
  <c r="M1173" i="23" s="1"/>
  <c r="L1173" i="6"/>
  <c r="K1173" i="6"/>
  <c r="P1173" i="23" s="1"/>
  <c r="J1173" i="6"/>
  <c r="J1173" i="23" s="1"/>
  <c r="I1173" i="6"/>
  <c r="Q1173" i="23" s="1"/>
  <c r="G1173" i="6"/>
  <c r="F1173" i="6"/>
  <c r="E1173" i="6"/>
  <c r="E1173" i="23" l="1"/>
  <c r="G1173" i="23" s="1"/>
  <c r="E1173" i="8"/>
  <c r="G1173" i="8" s="1"/>
  <c r="E1066" i="31" s="1"/>
  <c r="W1097" i="31"/>
  <c r="S1207" i="23"/>
  <c r="AA1097" i="31" s="1"/>
  <c r="I1203" i="23"/>
  <c r="G1187" i="23"/>
  <c r="I1187" i="23" s="1"/>
  <c r="L1183" i="23"/>
  <c r="X1075" i="31" s="1"/>
  <c r="I1183" i="23"/>
  <c r="I1174" i="23"/>
  <c r="G1182" i="23"/>
  <c r="I1182" i="23" s="1"/>
  <c r="G1177" i="23"/>
  <c r="I1177" i="23" s="1"/>
  <c r="G1180" i="8"/>
  <c r="E1072" i="31" s="1"/>
  <c r="G1204" i="23"/>
  <c r="I1204" i="23" s="1"/>
  <c r="G1202" i="8"/>
  <c r="E1092" i="31" s="1"/>
  <c r="W1080" i="31"/>
  <c r="S1188" i="23"/>
  <c r="AA1080" i="31" s="1"/>
  <c r="R1173" i="23"/>
  <c r="Z1066" i="31" s="1"/>
  <c r="S1186" i="23"/>
  <c r="AA1078" i="31" s="1"/>
  <c r="W1078" i="31"/>
  <c r="H1173" i="23"/>
  <c r="K1173" i="23" s="1"/>
  <c r="N1173" i="23" s="1"/>
  <c r="E1173" i="20"/>
  <c r="U1066" i="31" s="1"/>
  <c r="L1205" i="23"/>
  <c r="X1095" i="31" s="1"/>
  <c r="L1189" i="23"/>
  <c r="X1081" i="31" s="1"/>
  <c r="L1181" i="23"/>
  <c r="X1073" i="31" s="1"/>
  <c r="I1175" i="23"/>
  <c r="G1180" i="23"/>
  <c r="I1180" i="23" s="1"/>
  <c r="L1206" i="23"/>
  <c r="X1096" i="31" s="1"/>
  <c r="L1202" i="23"/>
  <c r="X1092" i="31" s="1"/>
  <c r="G1202" i="23"/>
  <c r="I1202" i="23" s="1"/>
  <c r="G1185" i="8"/>
  <c r="E1077" i="31" s="1"/>
  <c r="L1180" i="23"/>
  <c r="X1072" i="31" s="1"/>
  <c r="G1178" i="8"/>
  <c r="E1071" i="31" s="1"/>
  <c r="L1173" i="23"/>
  <c r="X1066" i="31" s="1"/>
  <c r="O1173" i="23"/>
  <c r="Y1066" i="31" s="1"/>
  <c r="L1203" i="23"/>
  <c r="X1093" i="31" s="1"/>
  <c r="G1189" i="8"/>
  <c r="E1081" i="31" s="1"/>
  <c r="L1187" i="23"/>
  <c r="X1079" i="31" s="1"/>
  <c r="G1181" i="8"/>
  <c r="E1073" i="31" s="1"/>
  <c r="G1176" i="8"/>
  <c r="E1069" i="31" s="1"/>
  <c r="L1174" i="23"/>
  <c r="X1067" i="31" s="1"/>
  <c r="G1206" i="8"/>
  <c r="E1096" i="31" s="1"/>
  <c r="L1204" i="23"/>
  <c r="X1094" i="31" s="1"/>
  <c r="L1184" i="23"/>
  <c r="X1076" i="31" s="1"/>
  <c r="G1185" i="23"/>
  <c r="I1185" i="23" s="1"/>
  <c r="G1178" i="23"/>
  <c r="I1178" i="23" s="1"/>
  <c r="W1095" i="31"/>
  <c r="S1205" i="23"/>
  <c r="AA1095" i="31" s="1"/>
  <c r="G1189" i="23"/>
  <c r="I1189" i="23" s="1"/>
  <c r="G1187" i="8"/>
  <c r="E1079" i="31" s="1"/>
  <c r="L1185" i="23"/>
  <c r="X1077" i="31" s="1"/>
  <c r="W1076" i="31"/>
  <c r="S1184" i="23"/>
  <c r="AA1076" i="31" s="1"/>
  <c r="G1181" i="23"/>
  <c r="I1181" i="23" s="1"/>
  <c r="G1177" i="8"/>
  <c r="E1070" i="31" s="1"/>
  <c r="I1176" i="23"/>
  <c r="G1206" i="23"/>
  <c r="I1206" i="23" s="1"/>
  <c r="G1204" i="8"/>
  <c r="E1094" i="31" s="1"/>
  <c r="L1182" i="23"/>
  <c r="X1074" i="31" s="1"/>
  <c r="L1176" i="23"/>
  <c r="X1069" i="31" s="1"/>
  <c r="T1145" i="6"/>
  <c r="E1145" i="19" s="1"/>
  <c r="N1145" i="6"/>
  <c r="M1145" i="6"/>
  <c r="M1145" i="23" s="1"/>
  <c r="L1145" i="6"/>
  <c r="K1145" i="6"/>
  <c r="P1145" i="23" s="1"/>
  <c r="R1145" i="23" s="1"/>
  <c r="Z1041" i="31" s="1"/>
  <c r="J1145" i="6"/>
  <c r="J1145" i="23" s="1"/>
  <c r="I1145" i="6"/>
  <c r="Q1145" i="23" s="1"/>
  <c r="H1145" i="6"/>
  <c r="G1145" i="6"/>
  <c r="F1145" i="6"/>
  <c r="E1145" i="6"/>
  <c r="T1144" i="6"/>
  <c r="E1144" i="19" s="1"/>
  <c r="N1144" i="6"/>
  <c r="M1144" i="6"/>
  <c r="M1144" i="23" s="1"/>
  <c r="L1144" i="6"/>
  <c r="K1144" i="6"/>
  <c r="P1144" i="23" s="1"/>
  <c r="R1144" i="23" s="1"/>
  <c r="Z1040" i="31" s="1"/>
  <c r="J1144" i="6"/>
  <c r="J1144" i="23" s="1"/>
  <c r="I1144" i="6"/>
  <c r="Q1144" i="23" s="1"/>
  <c r="H1144" i="6"/>
  <c r="G1144" i="6"/>
  <c r="F1144" i="6"/>
  <c r="E1144" i="6"/>
  <c r="T1143" i="6"/>
  <c r="E1143" i="19" s="1"/>
  <c r="N1143" i="6"/>
  <c r="M1143" i="6"/>
  <c r="M1143" i="23" s="1"/>
  <c r="L1143" i="6"/>
  <c r="K1143" i="6"/>
  <c r="P1143" i="23" s="1"/>
  <c r="J1143" i="6"/>
  <c r="J1143" i="23" s="1"/>
  <c r="I1143" i="6"/>
  <c r="Q1143" i="23" s="1"/>
  <c r="H1143" i="6"/>
  <c r="G1143" i="6"/>
  <c r="F1143" i="6"/>
  <c r="E1143" i="6"/>
  <c r="T1142" i="6"/>
  <c r="E1142" i="19" s="1"/>
  <c r="N1142" i="6"/>
  <c r="M1142" i="6"/>
  <c r="M1142" i="23" s="1"/>
  <c r="L1142" i="6"/>
  <c r="K1142" i="6"/>
  <c r="P1142" i="23" s="1"/>
  <c r="J1142" i="6"/>
  <c r="J1142" i="23" s="1"/>
  <c r="I1142" i="6"/>
  <c r="Q1142" i="23" s="1"/>
  <c r="H1142" i="6"/>
  <c r="G1142" i="6"/>
  <c r="F1142" i="6"/>
  <c r="E1142" i="6"/>
  <c r="T1141" i="6"/>
  <c r="E1141" i="19" s="1"/>
  <c r="N1141" i="6"/>
  <c r="M1141" i="6"/>
  <c r="M1141" i="23" s="1"/>
  <c r="L1141" i="6"/>
  <c r="K1141" i="6"/>
  <c r="P1141" i="23" s="1"/>
  <c r="R1141" i="23" s="1"/>
  <c r="Z1037" i="31" s="1"/>
  <c r="J1141" i="6"/>
  <c r="J1141" i="23" s="1"/>
  <c r="I1141" i="6"/>
  <c r="Q1141" i="23" s="1"/>
  <c r="H1141" i="6"/>
  <c r="G1141" i="6"/>
  <c r="F1141" i="6"/>
  <c r="E1141" i="6"/>
  <c r="T1140" i="6"/>
  <c r="E1140" i="19" s="1"/>
  <c r="N1140" i="6"/>
  <c r="M1140" i="6"/>
  <c r="M1140" i="23" s="1"/>
  <c r="L1140" i="6"/>
  <c r="K1140" i="6"/>
  <c r="P1140" i="23" s="1"/>
  <c r="R1140" i="23" s="1"/>
  <c r="Z1036" i="31" s="1"/>
  <c r="J1140" i="6"/>
  <c r="J1140" i="23" s="1"/>
  <c r="I1140" i="6"/>
  <c r="Q1140" i="23" s="1"/>
  <c r="H1140" i="6"/>
  <c r="G1140" i="6"/>
  <c r="F1140" i="6"/>
  <c r="E1140" i="6"/>
  <c r="T1139" i="6"/>
  <c r="E1139" i="19" s="1"/>
  <c r="N1139" i="6"/>
  <c r="M1139" i="6"/>
  <c r="M1139" i="23" s="1"/>
  <c r="L1139" i="6"/>
  <c r="K1139" i="6"/>
  <c r="P1139" i="23" s="1"/>
  <c r="J1139" i="6"/>
  <c r="J1139" i="23" s="1"/>
  <c r="I1139" i="6"/>
  <c r="Q1139" i="23" s="1"/>
  <c r="H1139" i="6"/>
  <c r="G1139" i="6"/>
  <c r="F1139" i="6"/>
  <c r="E1139" i="6"/>
  <c r="E1138" i="6"/>
  <c r="T1138" i="6"/>
  <c r="E1138" i="19" s="1"/>
  <c r="N1138" i="6"/>
  <c r="M1136" i="6"/>
  <c r="M1136" i="23" s="1"/>
  <c r="M1138" i="6"/>
  <c r="M1138" i="23" s="1"/>
  <c r="L1138" i="6"/>
  <c r="K1138" i="6"/>
  <c r="P1138" i="23" s="1"/>
  <c r="R1138" i="23" s="1"/>
  <c r="Z1034" i="31" s="1"/>
  <c r="J1138" i="6"/>
  <c r="J1138" i="23" s="1"/>
  <c r="I1138" i="6"/>
  <c r="Q1138" i="23" s="1"/>
  <c r="H1138" i="6"/>
  <c r="G1138" i="6"/>
  <c r="F1138" i="6"/>
  <c r="T1137" i="6"/>
  <c r="E1137" i="19" s="1"/>
  <c r="T1136" i="6"/>
  <c r="E1136" i="19" s="1"/>
  <c r="N1137" i="6"/>
  <c r="M1137" i="6"/>
  <c r="M1137" i="23" s="1"/>
  <c r="L1137" i="6"/>
  <c r="K1137" i="6"/>
  <c r="P1137" i="23" s="1"/>
  <c r="J1137" i="6"/>
  <c r="J1137" i="23" s="1"/>
  <c r="I1137" i="6"/>
  <c r="Q1137" i="23" s="1"/>
  <c r="H1136" i="6"/>
  <c r="H1137" i="6"/>
  <c r="G1137" i="6"/>
  <c r="F1137" i="6"/>
  <c r="E1137" i="6"/>
  <c r="E1140" i="23" l="1"/>
  <c r="E1140" i="8"/>
  <c r="H1141" i="23"/>
  <c r="K1141" i="23" s="1"/>
  <c r="N1141" i="23" s="1"/>
  <c r="E1141" i="20"/>
  <c r="U1037" i="31" s="1"/>
  <c r="F1142" i="23"/>
  <c r="F1142" i="8"/>
  <c r="E1144" i="23"/>
  <c r="E1144" i="8"/>
  <c r="H1145" i="23"/>
  <c r="K1145" i="23" s="1"/>
  <c r="N1145" i="23" s="1"/>
  <c r="E1145" i="20"/>
  <c r="U1041" i="31" s="1"/>
  <c r="W1096" i="31"/>
  <c r="S1206" i="23"/>
  <c r="AA1096" i="31" s="1"/>
  <c r="W1081" i="31"/>
  <c r="S1189" i="23"/>
  <c r="AA1081" i="31" s="1"/>
  <c r="W1077" i="31"/>
  <c r="S1185" i="23"/>
  <c r="AA1077" i="31" s="1"/>
  <c r="W1075" i="31"/>
  <c r="S1183" i="23"/>
  <c r="AA1075" i="31" s="1"/>
  <c r="E1139" i="23"/>
  <c r="E1139" i="8"/>
  <c r="H1140" i="23"/>
  <c r="K1140" i="23" s="1"/>
  <c r="N1140" i="23" s="1"/>
  <c r="E1140" i="20"/>
  <c r="U1036" i="31" s="1"/>
  <c r="F1141" i="23"/>
  <c r="F1141" i="8"/>
  <c r="E1143" i="23"/>
  <c r="E1143" i="8"/>
  <c r="H1144" i="23"/>
  <c r="K1144" i="23" s="1"/>
  <c r="N1144" i="23" s="1"/>
  <c r="E1144" i="20"/>
  <c r="U1040" i="31" s="1"/>
  <c r="F1145" i="23"/>
  <c r="F1145" i="8"/>
  <c r="W1069" i="31"/>
  <c r="S1176" i="23"/>
  <c r="AA1069" i="31" s="1"/>
  <c r="S1177" i="23"/>
  <c r="AA1070" i="31" s="1"/>
  <c r="W1070" i="31"/>
  <c r="E1137" i="23"/>
  <c r="E1137" i="8"/>
  <c r="G1137" i="8" s="1"/>
  <c r="E1033" i="31" s="1"/>
  <c r="H1137" i="23"/>
  <c r="K1137" i="23" s="1"/>
  <c r="N1137" i="23" s="1"/>
  <c r="O1137" i="23" s="1"/>
  <c r="Y1033" i="31" s="1"/>
  <c r="E1137" i="20"/>
  <c r="U1033" i="31" s="1"/>
  <c r="H1138" i="23"/>
  <c r="K1138" i="23" s="1"/>
  <c r="N1138" i="23" s="1"/>
  <c r="O1138" i="23" s="1"/>
  <c r="Y1034" i="31" s="1"/>
  <c r="E1138" i="20"/>
  <c r="U1034" i="31" s="1"/>
  <c r="F1138" i="23"/>
  <c r="F1138" i="8"/>
  <c r="H1139" i="23"/>
  <c r="K1139" i="23" s="1"/>
  <c r="N1139" i="23" s="1"/>
  <c r="O1139" i="23" s="1"/>
  <c r="Y1035" i="31" s="1"/>
  <c r="E1139" i="20"/>
  <c r="U1035" i="31" s="1"/>
  <c r="R1139" i="23"/>
  <c r="Z1035" i="31" s="1"/>
  <c r="F1140" i="23"/>
  <c r="F1140" i="8"/>
  <c r="O1141" i="23"/>
  <c r="Y1037" i="31" s="1"/>
  <c r="E1142" i="23"/>
  <c r="G1142" i="23" s="1"/>
  <c r="E1142" i="8"/>
  <c r="G1142" i="8" s="1"/>
  <c r="E1038" i="31" s="1"/>
  <c r="H1143" i="23"/>
  <c r="K1143" i="23" s="1"/>
  <c r="N1143" i="23" s="1"/>
  <c r="O1143" i="23" s="1"/>
  <c r="Y1039" i="31" s="1"/>
  <c r="E1143" i="20"/>
  <c r="U1039" i="31" s="1"/>
  <c r="R1143" i="23"/>
  <c r="Z1039" i="31" s="1"/>
  <c r="F1144" i="23"/>
  <c r="F1144" i="8"/>
  <c r="O1145" i="23"/>
  <c r="Y1041" i="31" s="1"/>
  <c r="W1072" i="31"/>
  <c r="S1180" i="23"/>
  <c r="AA1072" i="31" s="1"/>
  <c r="W1074" i="31"/>
  <c r="S1182" i="23"/>
  <c r="AA1074" i="31" s="1"/>
  <c r="S1187" i="23"/>
  <c r="AA1079" i="31" s="1"/>
  <c r="W1079" i="31"/>
  <c r="E1138" i="23"/>
  <c r="G1138" i="23" s="1"/>
  <c r="E1138" i="8"/>
  <c r="G1138" i="8" s="1"/>
  <c r="E1034" i="31" s="1"/>
  <c r="L1137" i="23"/>
  <c r="X1033" i="31" s="1"/>
  <c r="F1137" i="23"/>
  <c r="F1137" i="8"/>
  <c r="R1137" i="23"/>
  <c r="Z1033" i="31" s="1"/>
  <c r="F1136" i="23"/>
  <c r="F1136" i="8"/>
  <c r="F1139" i="23"/>
  <c r="F1139" i="8"/>
  <c r="O1140" i="23"/>
  <c r="Y1036" i="31" s="1"/>
  <c r="E1141" i="23"/>
  <c r="G1141" i="23" s="1"/>
  <c r="I1141" i="23" s="1"/>
  <c r="E1141" i="8"/>
  <c r="G1141" i="8" s="1"/>
  <c r="E1037" i="31" s="1"/>
  <c r="L1141" i="23"/>
  <c r="X1037" i="31" s="1"/>
  <c r="H1142" i="23"/>
  <c r="K1142" i="23" s="1"/>
  <c r="N1142" i="23" s="1"/>
  <c r="O1142" i="23" s="1"/>
  <c r="Y1038" i="31" s="1"/>
  <c r="E1142" i="20"/>
  <c r="U1038" i="31" s="1"/>
  <c r="R1142" i="23"/>
  <c r="Z1038" i="31" s="1"/>
  <c r="F1143" i="23"/>
  <c r="F1143" i="8"/>
  <c r="O1144" i="23"/>
  <c r="Y1040" i="31" s="1"/>
  <c r="E1145" i="23"/>
  <c r="G1145" i="23" s="1"/>
  <c r="I1145" i="23" s="1"/>
  <c r="E1145" i="8"/>
  <c r="G1145" i="8" s="1"/>
  <c r="E1041" i="31" s="1"/>
  <c r="L1145" i="23"/>
  <c r="X1041" i="31" s="1"/>
  <c r="W1073" i="31"/>
  <c r="S1181" i="23"/>
  <c r="AA1073" i="31" s="1"/>
  <c r="S1178" i="23"/>
  <c r="AA1071" i="31" s="1"/>
  <c r="W1071" i="31"/>
  <c r="W1092" i="31"/>
  <c r="S1202" i="23"/>
  <c r="AA1092" i="31" s="1"/>
  <c r="W1068" i="31"/>
  <c r="S1175" i="23"/>
  <c r="AA1068" i="31" s="1"/>
  <c r="W1094" i="31"/>
  <c r="S1204" i="23"/>
  <c r="AA1094" i="31" s="1"/>
  <c r="S1174" i="23"/>
  <c r="AA1067" i="31" s="1"/>
  <c r="W1067" i="31"/>
  <c r="W1093" i="31"/>
  <c r="S1203" i="23"/>
  <c r="AA1093" i="31" s="1"/>
  <c r="I1173" i="23"/>
  <c r="N1136" i="6"/>
  <c r="L1135" i="6"/>
  <c r="L1136" i="6"/>
  <c r="K1136" i="6"/>
  <c r="P1136" i="23" s="1"/>
  <c r="R1136" i="23" s="1"/>
  <c r="Z1032" i="31" s="1"/>
  <c r="J1136" i="6"/>
  <c r="J1136" i="23" s="1"/>
  <c r="I1136" i="6"/>
  <c r="Q1136" i="23" s="1"/>
  <c r="G1136" i="6"/>
  <c r="F1136" i="6"/>
  <c r="E1136" i="6"/>
  <c r="H1132" i="6"/>
  <c r="H1131" i="6"/>
  <c r="H1130" i="6"/>
  <c r="I1131" i="6"/>
  <c r="Q1131" i="23" s="1"/>
  <c r="H1129" i="6"/>
  <c r="H1128" i="6"/>
  <c r="H1127" i="6"/>
  <c r="H1126" i="6"/>
  <c r="H1125" i="6"/>
  <c r="N1134" i="6"/>
  <c r="M1134" i="6"/>
  <c r="M1134" i="23" s="1"/>
  <c r="L1134" i="6"/>
  <c r="K1134" i="6"/>
  <c r="P1134" i="23" s="1"/>
  <c r="J1134" i="6"/>
  <c r="J1134" i="23" s="1"/>
  <c r="I1134" i="6"/>
  <c r="Q1134" i="23" s="1"/>
  <c r="H1134" i="6"/>
  <c r="G1134" i="6"/>
  <c r="F1134" i="6"/>
  <c r="E1134" i="6"/>
  <c r="N1133" i="6"/>
  <c r="M1133" i="6"/>
  <c r="M1133" i="23" s="1"/>
  <c r="L1133" i="6"/>
  <c r="K1133" i="6"/>
  <c r="P1133" i="23" s="1"/>
  <c r="R1133" i="23" s="1"/>
  <c r="Z1030" i="31" s="1"/>
  <c r="J1133" i="6"/>
  <c r="J1133" i="23" s="1"/>
  <c r="I1133" i="6"/>
  <c r="Q1133" i="23" s="1"/>
  <c r="H1133" i="6"/>
  <c r="G1133" i="6"/>
  <c r="F1133" i="6"/>
  <c r="E1133" i="6"/>
  <c r="N1132" i="6"/>
  <c r="M1132" i="6"/>
  <c r="M1132" i="23" s="1"/>
  <c r="L1132" i="6"/>
  <c r="K1132" i="6"/>
  <c r="P1132" i="23" s="1"/>
  <c r="J1132" i="6"/>
  <c r="J1132" i="23" s="1"/>
  <c r="I1132" i="6"/>
  <c r="Q1132" i="23" s="1"/>
  <c r="G1132" i="6"/>
  <c r="F1132" i="6"/>
  <c r="E1132" i="6"/>
  <c r="N1131" i="6"/>
  <c r="M1131" i="6"/>
  <c r="M1131" i="23" s="1"/>
  <c r="L1131" i="6"/>
  <c r="K1131" i="6"/>
  <c r="P1131" i="23" s="1"/>
  <c r="J1131" i="6"/>
  <c r="J1131" i="23" s="1"/>
  <c r="G1131" i="6"/>
  <c r="F1131" i="6"/>
  <c r="E1131" i="6"/>
  <c r="N1130" i="6"/>
  <c r="M1130" i="6"/>
  <c r="M1130" i="23" s="1"/>
  <c r="L1130" i="6"/>
  <c r="K1130" i="6"/>
  <c r="P1130" i="23" s="1"/>
  <c r="J1130" i="6"/>
  <c r="J1130" i="23" s="1"/>
  <c r="I1130" i="6"/>
  <c r="Q1130" i="23" s="1"/>
  <c r="G1130" i="6"/>
  <c r="F1130" i="6"/>
  <c r="E1130" i="6"/>
  <c r="E1129" i="6"/>
  <c r="N1129" i="6"/>
  <c r="N1128" i="6"/>
  <c r="M1128" i="6"/>
  <c r="M1128" i="23" s="1"/>
  <c r="M1129" i="6"/>
  <c r="M1129" i="23" s="1"/>
  <c r="L1129" i="6"/>
  <c r="L1128" i="6"/>
  <c r="K1128" i="6"/>
  <c r="P1128" i="23" s="1"/>
  <c r="R1128" i="23" s="1"/>
  <c r="Z1025" i="31" s="1"/>
  <c r="J1128" i="6"/>
  <c r="J1128" i="23" s="1"/>
  <c r="I1128" i="6"/>
  <c r="Q1128" i="23" s="1"/>
  <c r="K1129" i="6"/>
  <c r="P1129" i="23" s="1"/>
  <c r="J1129" i="6"/>
  <c r="J1129" i="23" s="1"/>
  <c r="I1129" i="6"/>
  <c r="Q1129" i="23" s="1"/>
  <c r="G1129" i="6"/>
  <c r="G1128" i="6"/>
  <c r="F1129" i="6"/>
  <c r="F1128" i="6"/>
  <c r="E1128" i="6"/>
  <c r="N1127" i="6"/>
  <c r="M1127" i="6"/>
  <c r="M1127" i="23" s="1"/>
  <c r="L1127" i="6"/>
  <c r="K1127" i="6"/>
  <c r="P1127" i="23" s="1"/>
  <c r="J1127" i="6"/>
  <c r="J1127" i="23" s="1"/>
  <c r="I1127" i="6"/>
  <c r="Q1127" i="23" s="1"/>
  <c r="G1127" i="6"/>
  <c r="F1127" i="6"/>
  <c r="E1127" i="6"/>
  <c r="N1126" i="6"/>
  <c r="M1126" i="6"/>
  <c r="M1126" i="23" s="1"/>
  <c r="L1126" i="6"/>
  <c r="L1124" i="6"/>
  <c r="K1126" i="6"/>
  <c r="P1126" i="23" s="1"/>
  <c r="R1126" i="23" s="1"/>
  <c r="Z1023" i="31" s="1"/>
  <c r="J1126" i="6"/>
  <c r="J1126" i="23" s="1"/>
  <c r="I1126" i="6"/>
  <c r="Q1126" i="23" s="1"/>
  <c r="G1126" i="6"/>
  <c r="F1126" i="6"/>
  <c r="E1126" i="6"/>
  <c r="T1126" i="6"/>
  <c r="E1126" i="19" s="1"/>
  <c r="T1127" i="6"/>
  <c r="E1127" i="19" s="1"/>
  <c r="T1129" i="6"/>
  <c r="E1129" i="19" s="1"/>
  <c r="T1130" i="6"/>
  <c r="E1130" i="19" s="1"/>
  <c r="T1131" i="6"/>
  <c r="E1131" i="19" s="1"/>
  <c r="T1132" i="6"/>
  <c r="E1132" i="19" s="1"/>
  <c r="T1133" i="6"/>
  <c r="E1133" i="19" s="1"/>
  <c r="T1134" i="6"/>
  <c r="E1134" i="19" s="1"/>
  <c r="T1125" i="6"/>
  <c r="E1125" i="19" s="1"/>
  <c r="N1125" i="6"/>
  <c r="M1125" i="6"/>
  <c r="M1125" i="23" s="1"/>
  <c r="L1125" i="6"/>
  <c r="K1125" i="6"/>
  <c r="P1125" i="23" s="1"/>
  <c r="J1125" i="6"/>
  <c r="J1125" i="23" s="1"/>
  <c r="I1125" i="6"/>
  <c r="Q1125" i="23" s="1"/>
  <c r="G1125" i="6"/>
  <c r="F1125" i="6"/>
  <c r="E1125" i="6"/>
  <c r="X1055" i="6"/>
  <c r="E1055" i="29" s="1"/>
  <c r="T959" i="31" s="1"/>
  <c r="X1057" i="6"/>
  <c r="E1057" i="29" s="1"/>
  <c r="T961" i="31" s="1"/>
  <c r="V1057" i="6"/>
  <c r="E1057" i="28" s="1"/>
  <c r="N1057" i="6"/>
  <c r="M1057" i="6"/>
  <c r="M1057" i="23" s="1"/>
  <c r="L1057" i="6"/>
  <c r="K1057" i="6"/>
  <c r="P1057" i="23" s="1"/>
  <c r="J1057" i="6"/>
  <c r="J1057" i="23" s="1"/>
  <c r="I1057" i="6"/>
  <c r="Q1057" i="23" s="1"/>
  <c r="H1057" i="6"/>
  <c r="G1057" i="6"/>
  <c r="E1057" i="6"/>
  <c r="F1057" i="6" s="1"/>
  <c r="X1056" i="6"/>
  <c r="E1056" i="29" s="1"/>
  <c r="T960" i="31" s="1"/>
  <c r="V1056" i="6"/>
  <c r="E1056" i="28" s="1"/>
  <c r="N1056" i="6"/>
  <c r="M1056" i="6"/>
  <c r="M1056" i="23" s="1"/>
  <c r="L1056" i="6"/>
  <c r="K1056" i="6"/>
  <c r="P1056" i="23" s="1"/>
  <c r="R1056" i="23" s="1"/>
  <c r="Z960" i="31" s="1"/>
  <c r="J1056" i="6"/>
  <c r="J1056" i="23" s="1"/>
  <c r="I1056" i="6"/>
  <c r="Q1056" i="23" s="1"/>
  <c r="H1056" i="6"/>
  <c r="G1056" i="6"/>
  <c r="E1056" i="6"/>
  <c r="F1056" i="6" s="1"/>
  <c r="V1055" i="6"/>
  <c r="E1055" i="28" s="1"/>
  <c r="N1055" i="6"/>
  <c r="M1055" i="6"/>
  <c r="M1055" i="23" s="1"/>
  <c r="L1055" i="6"/>
  <c r="K1055" i="6"/>
  <c r="P1055" i="23" s="1"/>
  <c r="J1055" i="6"/>
  <c r="J1055" i="23" s="1"/>
  <c r="I1055" i="6"/>
  <c r="Q1055" i="23" s="1"/>
  <c r="H1055" i="6"/>
  <c r="G1055" i="6"/>
  <c r="F1055" i="6"/>
  <c r="E1055" i="6"/>
  <c r="X1054" i="6"/>
  <c r="E1054" i="29" s="1"/>
  <c r="T958" i="31" s="1"/>
  <c r="V1054" i="6"/>
  <c r="E1054" i="28" s="1"/>
  <c r="N1054" i="6"/>
  <c r="M1054" i="6"/>
  <c r="M1054" i="23" s="1"/>
  <c r="L1054" i="6"/>
  <c r="K1054" i="6"/>
  <c r="P1054" i="23" s="1"/>
  <c r="J1054" i="6"/>
  <c r="J1054" i="23" s="1"/>
  <c r="I1054" i="6"/>
  <c r="Q1054" i="23" s="1"/>
  <c r="H1054" i="6"/>
  <c r="G1054" i="6"/>
  <c r="F1054" i="6"/>
  <c r="E1054" i="6"/>
  <c r="X1053" i="6"/>
  <c r="E1053" i="29" s="1"/>
  <c r="T957" i="31" s="1"/>
  <c r="V1053" i="6"/>
  <c r="E1053" i="28" s="1"/>
  <c r="N1053" i="6"/>
  <c r="M1053" i="6"/>
  <c r="M1053" i="23" s="1"/>
  <c r="L1053" i="6"/>
  <c r="K1053" i="6"/>
  <c r="P1053" i="23" s="1"/>
  <c r="R1053" i="23" s="1"/>
  <c r="Z957" i="31" s="1"/>
  <c r="J1053" i="6"/>
  <c r="J1053" i="23" s="1"/>
  <c r="I1052" i="6"/>
  <c r="Q1052" i="23" s="1"/>
  <c r="I1053" i="6"/>
  <c r="Q1053" i="23" s="1"/>
  <c r="H1053" i="6"/>
  <c r="G1053" i="6"/>
  <c r="E1053" i="6"/>
  <c r="F1053" i="6" s="1"/>
  <c r="X1052" i="6"/>
  <c r="E1052" i="29" s="1"/>
  <c r="T956" i="31" s="1"/>
  <c r="V1052" i="6"/>
  <c r="E1052" i="28" s="1"/>
  <c r="N1052" i="6"/>
  <c r="M1052" i="6"/>
  <c r="M1052" i="23" s="1"/>
  <c r="L1052" i="6"/>
  <c r="K1052" i="6"/>
  <c r="P1052" i="23" s="1"/>
  <c r="J1052" i="6"/>
  <c r="J1052" i="23" s="1"/>
  <c r="H1052" i="6"/>
  <c r="G1052" i="6"/>
  <c r="F1052" i="6"/>
  <c r="E1052" i="6"/>
  <c r="X1051" i="6"/>
  <c r="E1051" i="29" s="1"/>
  <c r="T955" i="31" s="1"/>
  <c r="V1051" i="6"/>
  <c r="E1051" i="28" s="1"/>
  <c r="V1050" i="6"/>
  <c r="E1050" i="28" s="1"/>
  <c r="V1049" i="6"/>
  <c r="E1049" i="28" s="1"/>
  <c r="N1051" i="6"/>
  <c r="M1051" i="6"/>
  <c r="M1051" i="23" s="1"/>
  <c r="L1051" i="6"/>
  <c r="K1051" i="6"/>
  <c r="P1051" i="23" s="1"/>
  <c r="R1051" i="23" s="1"/>
  <c r="Z955" i="31" s="1"/>
  <c r="J1051" i="6"/>
  <c r="J1051" i="23" s="1"/>
  <c r="I1051" i="6"/>
  <c r="Q1051" i="23" s="1"/>
  <c r="H1051" i="6"/>
  <c r="G1051" i="6"/>
  <c r="F1051" i="6"/>
  <c r="E1051" i="6"/>
  <c r="X1050" i="6"/>
  <c r="E1050" i="29" s="1"/>
  <c r="T954" i="31" s="1"/>
  <c r="X1049" i="6"/>
  <c r="E1049" i="29" s="1"/>
  <c r="T953" i="31" s="1"/>
  <c r="T1050" i="6"/>
  <c r="E1050" i="19" s="1"/>
  <c r="T1051" i="6"/>
  <c r="E1051" i="19" s="1"/>
  <c r="T1052" i="6"/>
  <c r="E1052" i="19" s="1"/>
  <c r="T1053" i="6"/>
  <c r="E1053" i="19" s="1"/>
  <c r="T1054" i="6"/>
  <c r="E1054" i="19" s="1"/>
  <c r="T1055" i="6"/>
  <c r="E1055" i="19" s="1"/>
  <c r="T1056" i="6"/>
  <c r="E1056" i="19" s="1"/>
  <c r="T1057" i="6"/>
  <c r="E1057" i="19" s="1"/>
  <c r="T1049" i="6"/>
  <c r="E1049" i="19" s="1"/>
  <c r="N1048" i="6"/>
  <c r="M1048" i="6"/>
  <c r="M1048" i="23" s="1"/>
  <c r="L1048" i="6"/>
  <c r="K1048" i="6"/>
  <c r="P1048" i="23" s="1"/>
  <c r="J1048" i="6"/>
  <c r="J1048" i="23" s="1"/>
  <c r="I1048" i="6"/>
  <c r="Q1048" i="23" s="1"/>
  <c r="H1048" i="6"/>
  <c r="G1050" i="6"/>
  <c r="G1048" i="6"/>
  <c r="E1048" i="6"/>
  <c r="F1048" i="6" s="1"/>
  <c r="N1050" i="6"/>
  <c r="N1049" i="6"/>
  <c r="M1050" i="6"/>
  <c r="M1050" i="23" s="1"/>
  <c r="M1049" i="6"/>
  <c r="M1049" i="23" s="1"/>
  <c r="L1050" i="6"/>
  <c r="L1049" i="6"/>
  <c r="K1050" i="6"/>
  <c r="P1050" i="23" s="1"/>
  <c r="K1049" i="6"/>
  <c r="P1049" i="23" s="1"/>
  <c r="J1050" i="6"/>
  <c r="J1050" i="23" s="1"/>
  <c r="J1049" i="6"/>
  <c r="J1049" i="23" s="1"/>
  <c r="I1050" i="6"/>
  <c r="Q1050" i="23" s="1"/>
  <c r="I1049" i="6"/>
  <c r="Q1049" i="23" s="1"/>
  <c r="H1049" i="6"/>
  <c r="H1050" i="6"/>
  <c r="G1049" i="6"/>
  <c r="F1050" i="6"/>
  <c r="E1050" i="6"/>
  <c r="F1049" i="6"/>
  <c r="E1049" i="6"/>
  <c r="N815" i="6"/>
  <c r="M815" i="6"/>
  <c r="M815" i="23" s="1"/>
  <c r="L815" i="6"/>
  <c r="K815" i="6"/>
  <c r="P815" i="23" s="1"/>
  <c r="J815" i="6"/>
  <c r="J815" i="23" s="1"/>
  <c r="I815" i="6"/>
  <c r="Q815" i="23" s="1"/>
  <c r="H815" i="6"/>
  <c r="G815" i="6"/>
  <c r="F815" i="6"/>
  <c r="E815" i="6"/>
  <c r="N814" i="6"/>
  <c r="M814" i="6"/>
  <c r="M814" i="23" s="1"/>
  <c r="L814" i="6"/>
  <c r="K814" i="6"/>
  <c r="P814" i="23" s="1"/>
  <c r="R814" i="23" s="1"/>
  <c r="Z740" i="31" s="1"/>
  <c r="J814" i="6"/>
  <c r="J814" i="23" s="1"/>
  <c r="I814" i="6"/>
  <c r="Q814" i="23" s="1"/>
  <c r="H814" i="6"/>
  <c r="G814" i="6"/>
  <c r="F814" i="6"/>
  <c r="E814" i="6"/>
  <c r="N813" i="6"/>
  <c r="M813" i="6"/>
  <c r="M813" i="23" s="1"/>
  <c r="L813" i="6"/>
  <c r="K813" i="6"/>
  <c r="P813" i="23" s="1"/>
  <c r="J813" i="6"/>
  <c r="J813" i="23" s="1"/>
  <c r="I813" i="6"/>
  <c r="Q813" i="23" s="1"/>
  <c r="H813" i="6"/>
  <c r="G813" i="6"/>
  <c r="F813" i="6"/>
  <c r="E813" i="6"/>
  <c r="N812" i="6"/>
  <c r="M812" i="6"/>
  <c r="M812" i="23" s="1"/>
  <c r="L812" i="6"/>
  <c r="K812" i="6"/>
  <c r="P812" i="23" s="1"/>
  <c r="R812" i="23" s="1"/>
  <c r="Z738" i="31" s="1"/>
  <c r="J812" i="6"/>
  <c r="J812" i="23" s="1"/>
  <c r="I812" i="6"/>
  <c r="Q812" i="23" s="1"/>
  <c r="H812" i="6"/>
  <c r="G812" i="6"/>
  <c r="F812" i="6"/>
  <c r="E812" i="6"/>
  <c r="N811" i="6"/>
  <c r="M811" i="6"/>
  <c r="M811" i="23" s="1"/>
  <c r="L811" i="6"/>
  <c r="K811" i="6"/>
  <c r="P811" i="23" s="1"/>
  <c r="J811" i="6"/>
  <c r="J811" i="23" s="1"/>
  <c r="I811" i="6"/>
  <c r="Q811" i="23" s="1"/>
  <c r="H811" i="6"/>
  <c r="G811" i="6"/>
  <c r="F811" i="6"/>
  <c r="E811" i="6"/>
  <c r="N810" i="6"/>
  <c r="M810" i="6"/>
  <c r="M810" i="23" s="1"/>
  <c r="L810" i="6"/>
  <c r="K810" i="6"/>
  <c r="P810" i="23" s="1"/>
  <c r="R810" i="23" s="1"/>
  <c r="Z736" i="31" s="1"/>
  <c r="J810" i="6"/>
  <c r="J810" i="23" s="1"/>
  <c r="I810" i="6"/>
  <c r="Q810" i="23" s="1"/>
  <c r="H810" i="6"/>
  <c r="G810" i="6"/>
  <c r="F810" i="6"/>
  <c r="E810" i="6"/>
  <c r="N809" i="6"/>
  <c r="M809" i="6"/>
  <c r="M809" i="23" s="1"/>
  <c r="L809" i="6"/>
  <c r="K809" i="6"/>
  <c r="P809" i="23" s="1"/>
  <c r="J809" i="6"/>
  <c r="J809" i="23" s="1"/>
  <c r="I809" i="6"/>
  <c r="Q809" i="23" s="1"/>
  <c r="H809" i="6"/>
  <c r="G809" i="6"/>
  <c r="F809" i="6"/>
  <c r="E809" i="6"/>
  <c r="N808" i="6"/>
  <c r="M808" i="6"/>
  <c r="M808" i="23" s="1"/>
  <c r="L808" i="6"/>
  <c r="K808" i="6"/>
  <c r="P808" i="23" s="1"/>
  <c r="R808" i="23" s="1"/>
  <c r="Z734" i="31" s="1"/>
  <c r="J808" i="6"/>
  <c r="J808" i="23" s="1"/>
  <c r="I808" i="6"/>
  <c r="Q808" i="23" s="1"/>
  <c r="H808" i="6"/>
  <c r="G808" i="6"/>
  <c r="F807" i="6"/>
  <c r="F808" i="6"/>
  <c r="E808" i="6"/>
  <c r="N807" i="6"/>
  <c r="M807" i="6"/>
  <c r="M807" i="23" s="1"/>
  <c r="L807" i="6"/>
  <c r="N806" i="6"/>
  <c r="M806" i="6"/>
  <c r="M806" i="23" s="1"/>
  <c r="L806" i="6"/>
  <c r="L805" i="6"/>
  <c r="G806" i="6"/>
  <c r="F806" i="6"/>
  <c r="K807" i="6"/>
  <c r="P807" i="23" s="1"/>
  <c r="K806" i="6"/>
  <c r="P806" i="23" s="1"/>
  <c r="J807" i="6"/>
  <c r="J807" i="23" s="1"/>
  <c r="J806" i="6"/>
  <c r="J806" i="23" s="1"/>
  <c r="I807" i="6"/>
  <c r="Q807" i="23" s="1"/>
  <c r="H807" i="6"/>
  <c r="H806" i="6"/>
  <c r="G807" i="6"/>
  <c r="E807" i="6"/>
  <c r="T807" i="6"/>
  <c r="E807" i="19" s="1"/>
  <c r="T808" i="6"/>
  <c r="E808" i="19" s="1"/>
  <c r="T809" i="6"/>
  <c r="E809" i="19" s="1"/>
  <c r="T810" i="6"/>
  <c r="E810" i="19" s="1"/>
  <c r="T811" i="6"/>
  <c r="E811" i="19" s="1"/>
  <c r="T812" i="6"/>
  <c r="E812" i="19" s="1"/>
  <c r="T813" i="6"/>
  <c r="E813" i="19" s="1"/>
  <c r="T814" i="6"/>
  <c r="E814" i="19" s="1"/>
  <c r="T815" i="6"/>
  <c r="E815" i="19" s="1"/>
  <c r="T806" i="6"/>
  <c r="E806" i="19" s="1"/>
  <c r="I806" i="6"/>
  <c r="Q806" i="23" s="1"/>
  <c r="E806" i="6"/>
  <c r="X837" i="6"/>
  <c r="E837" i="29" s="1"/>
  <c r="T761" i="31" s="1"/>
  <c r="V837" i="6"/>
  <c r="E837" i="28" s="1"/>
  <c r="N837" i="6"/>
  <c r="M837" i="6"/>
  <c r="M837" i="23" s="1"/>
  <c r="L837" i="6"/>
  <c r="K837" i="6"/>
  <c r="P837" i="23" s="1"/>
  <c r="R837" i="23" s="1"/>
  <c r="Z761" i="31" s="1"/>
  <c r="J837" i="6"/>
  <c r="J837" i="23" s="1"/>
  <c r="I837" i="6"/>
  <c r="Q837" i="23" s="1"/>
  <c r="H837" i="6"/>
  <c r="G837" i="6"/>
  <c r="F837" i="6"/>
  <c r="E837" i="6"/>
  <c r="X836" i="6"/>
  <c r="E836" i="29" s="1"/>
  <c r="T760" i="31" s="1"/>
  <c r="V836" i="6"/>
  <c r="E836" i="28" s="1"/>
  <c r="N836" i="6"/>
  <c r="M836" i="6"/>
  <c r="M836" i="23" s="1"/>
  <c r="L836" i="6"/>
  <c r="K836" i="6"/>
  <c r="P836" i="23" s="1"/>
  <c r="R836" i="23" s="1"/>
  <c r="Z760" i="31" s="1"/>
  <c r="J836" i="6"/>
  <c r="J836" i="23" s="1"/>
  <c r="I836" i="6"/>
  <c r="Q836" i="23" s="1"/>
  <c r="H836" i="6"/>
  <c r="G836" i="6"/>
  <c r="F836" i="6"/>
  <c r="E836" i="6"/>
  <c r="X835" i="6"/>
  <c r="E835" i="29" s="1"/>
  <c r="T759" i="31" s="1"/>
  <c r="V835" i="6"/>
  <c r="E835" i="28" s="1"/>
  <c r="N835" i="6"/>
  <c r="M835" i="6"/>
  <c r="M835" i="23" s="1"/>
  <c r="L835" i="6"/>
  <c r="K835" i="6"/>
  <c r="P835" i="23" s="1"/>
  <c r="R835" i="23" s="1"/>
  <c r="Z759" i="31" s="1"/>
  <c r="J835" i="6"/>
  <c r="J835" i="23" s="1"/>
  <c r="I835" i="6"/>
  <c r="Q835" i="23" s="1"/>
  <c r="H835" i="6"/>
  <c r="G835" i="6"/>
  <c r="F835" i="6"/>
  <c r="E835" i="6"/>
  <c r="X834" i="6"/>
  <c r="E834" i="29" s="1"/>
  <c r="T758" i="31" s="1"/>
  <c r="V834" i="6"/>
  <c r="E834" i="28" s="1"/>
  <c r="N834" i="6"/>
  <c r="M834" i="6"/>
  <c r="M834" i="23" s="1"/>
  <c r="L834" i="6"/>
  <c r="K833" i="6"/>
  <c r="P833" i="23" s="1"/>
  <c r="K834" i="6"/>
  <c r="P834" i="23" s="1"/>
  <c r="R834" i="23" s="1"/>
  <c r="Z758" i="31" s="1"/>
  <c r="J834" i="6"/>
  <c r="J834" i="23" s="1"/>
  <c r="I834" i="6"/>
  <c r="Q834" i="23" s="1"/>
  <c r="H834" i="6"/>
  <c r="G834" i="6"/>
  <c r="F834" i="6"/>
  <c r="E834" i="6"/>
  <c r="X833" i="6"/>
  <c r="E833" i="29" s="1"/>
  <c r="T757" i="31" s="1"/>
  <c r="V833" i="6"/>
  <c r="E833" i="28" s="1"/>
  <c r="T834" i="6"/>
  <c r="E834" i="19" s="1"/>
  <c r="T835" i="6"/>
  <c r="E835" i="19" s="1"/>
  <c r="T836" i="6"/>
  <c r="E836" i="19" s="1"/>
  <c r="T837" i="6"/>
  <c r="E837" i="19" s="1"/>
  <c r="T833" i="6"/>
  <c r="E833" i="19" s="1"/>
  <c r="N833" i="6"/>
  <c r="N832" i="6"/>
  <c r="M833" i="6"/>
  <c r="M833" i="23" s="1"/>
  <c r="M832" i="6"/>
  <c r="M832" i="23" s="1"/>
  <c r="L833" i="6"/>
  <c r="L832" i="6"/>
  <c r="K832" i="6"/>
  <c r="P832" i="23" s="1"/>
  <c r="J833" i="6"/>
  <c r="J833" i="23" s="1"/>
  <c r="J832" i="6"/>
  <c r="J832" i="23" s="1"/>
  <c r="I833" i="6"/>
  <c r="Q833" i="23" s="1"/>
  <c r="I832" i="6"/>
  <c r="Q832" i="23" s="1"/>
  <c r="H833" i="6"/>
  <c r="H832" i="6"/>
  <c r="G833" i="6"/>
  <c r="G832" i="6"/>
  <c r="F833" i="6"/>
  <c r="F832" i="6"/>
  <c r="E833" i="6"/>
  <c r="E832" i="6"/>
  <c r="X845" i="6"/>
  <c r="E845" i="29" s="1"/>
  <c r="T768" i="31" s="1"/>
  <c r="X846" i="6"/>
  <c r="E846" i="29" s="1"/>
  <c r="T769" i="31" s="1"/>
  <c r="X847" i="6"/>
  <c r="E847" i="29" s="1"/>
  <c r="T770" i="31" s="1"/>
  <c r="X848" i="6"/>
  <c r="E848" i="29" s="1"/>
  <c r="T771" i="31" s="1"/>
  <c r="V848" i="6"/>
  <c r="E848" i="28" s="1"/>
  <c r="N848" i="6"/>
  <c r="M848" i="6"/>
  <c r="M848" i="23" s="1"/>
  <c r="L848" i="6"/>
  <c r="K848" i="6"/>
  <c r="P848" i="23" s="1"/>
  <c r="J848" i="6"/>
  <c r="J848" i="23" s="1"/>
  <c r="I848" i="6"/>
  <c r="Q848" i="23" s="1"/>
  <c r="H848" i="6"/>
  <c r="G848" i="6"/>
  <c r="F848" i="6"/>
  <c r="E848" i="6"/>
  <c r="N847" i="6"/>
  <c r="M847" i="6"/>
  <c r="M847" i="23" s="1"/>
  <c r="L847" i="6"/>
  <c r="K847" i="6"/>
  <c r="P847" i="23" s="1"/>
  <c r="R847" i="23" s="1"/>
  <c r="Z770" i="31" s="1"/>
  <c r="J847" i="6"/>
  <c r="J847" i="23" s="1"/>
  <c r="I847" i="6"/>
  <c r="Q847" i="23" s="1"/>
  <c r="H847" i="6"/>
  <c r="G847" i="6"/>
  <c r="F847" i="6"/>
  <c r="E847" i="6"/>
  <c r="N846" i="6"/>
  <c r="M846" i="6"/>
  <c r="M846" i="23" s="1"/>
  <c r="L846" i="6"/>
  <c r="K846" i="6"/>
  <c r="P846" i="23" s="1"/>
  <c r="J846" i="6"/>
  <c r="J846" i="23" s="1"/>
  <c r="I846" i="6"/>
  <c r="Q846" i="23" s="1"/>
  <c r="H846" i="6"/>
  <c r="G846" i="6"/>
  <c r="F846" i="6"/>
  <c r="E846" i="6"/>
  <c r="V845" i="6"/>
  <c r="E845" i="28" s="1"/>
  <c r="N845" i="6"/>
  <c r="M845" i="6"/>
  <c r="M845" i="23" s="1"/>
  <c r="L845" i="6"/>
  <c r="K845" i="6"/>
  <c r="P845" i="23" s="1"/>
  <c r="R845" i="23" s="1"/>
  <c r="Z768" i="31" s="1"/>
  <c r="J845" i="6"/>
  <c r="J845" i="23" s="1"/>
  <c r="I845" i="6"/>
  <c r="Q845" i="23" s="1"/>
  <c r="H845" i="6"/>
  <c r="G845" i="6"/>
  <c r="F845" i="6"/>
  <c r="E845" i="6"/>
  <c r="X844" i="6"/>
  <c r="E844" i="29" s="1"/>
  <c r="T767" i="31" s="1"/>
  <c r="N844" i="6"/>
  <c r="M844" i="6"/>
  <c r="M844" i="23" s="1"/>
  <c r="L844" i="6"/>
  <c r="K844" i="6"/>
  <c r="P844" i="23" s="1"/>
  <c r="R844" i="23" s="1"/>
  <c r="Z767" i="31" s="1"/>
  <c r="J844" i="6"/>
  <c r="J844" i="23" s="1"/>
  <c r="I844" i="6"/>
  <c r="Q844" i="23" s="1"/>
  <c r="H844" i="6"/>
  <c r="G844" i="6"/>
  <c r="F844" i="6"/>
  <c r="E844" i="6"/>
  <c r="X843" i="6"/>
  <c r="E843" i="29" s="1"/>
  <c r="T766" i="31" s="1"/>
  <c r="V843" i="6"/>
  <c r="E843" i="28" s="1"/>
  <c r="T844" i="6"/>
  <c r="E844" i="19" s="1"/>
  <c r="T845" i="6"/>
  <c r="E845" i="19" s="1"/>
  <c r="T846" i="6"/>
  <c r="E846" i="19" s="1"/>
  <c r="T847" i="6"/>
  <c r="E847" i="19" s="1"/>
  <c r="T848" i="6"/>
  <c r="E848" i="19" s="1"/>
  <c r="T843" i="6"/>
  <c r="E843" i="19" s="1"/>
  <c r="N843" i="6"/>
  <c r="N842" i="6"/>
  <c r="M843" i="6"/>
  <c r="M843" i="23" s="1"/>
  <c r="M842" i="6"/>
  <c r="M842" i="23" s="1"/>
  <c r="L843" i="6"/>
  <c r="L842" i="6"/>
  <c r="K843" i="6"/>
  <c r="P843" i="23" s="1"/>
  <c r="K842" i="6"/>
  <c r="P842" i="23" s="1"/>
  <c r="J843" i="6"/>
  <c r="J843" i="23" s="1"/>
  <c r="J842" i="6"/>
  <c r="J842" i="23" s="1"/>
  <c r="I843" i="6"/>
  <c r="Q843" i="23" s="1"/>
  <c r="I842" i="6"/>
  <c r="Q842" i="23" s="1"/>
  <c r="H843" i="6"/>
  <c r="H842" i="6"/>
  <c r="G843" i="6"/>
  <c r="G842" i="6"/>
  <c r="F843" i="6"/>
  <c r="F842" i="6"/>
  <c r="E843" i="6"/>
  <c r="E842" i="6"/>
  <c r="X474" i="6"/>
  <c r="E474" i="29" s="1"/>
  <c r="T431" i="31" s="1"/>
  <c r="V474" i="6"/>
  <c r="E474" i="28" s="1"/>
  <c r="X473" i="6"/>
  <c r="E473" i="29" s="1"/>
  <c r="T430" i="31" s="1"/>
  <c r="V473" i="6"/>
  <c r="E473" i="28" s="1"/>
  <c r="V472" i="6"/>
  <c r="E472" i="28" s="1"/>
  <c r="X454" i="6"/>
  <c r="E454" i="29" s="1"/>
  <c r="T412" i="31" s="1"/>
  <c r="X463" i="6"/>
  <c r="E463" i="29" s="1"/>
  <c r="T421" i="31" s="1"/>
  <c r="V463" i="6"/>
  <c r="V462" i="6"/>
  <c r="E462" i="28" s="1"/>
  <c r="X462" i="6"/>
  <c r="E462" i="29" s="1"/>
  <c r="T420" i="31" s="1"/>
  <c r="X461" i="6"/>
  <c r="E461" i="29" s="1"/>
  <c r="T419" i="31" s="1"/>
  <c r="V461" i="6"/>
  <c r="E461" i="28" s="1"/>
  <c r="V460" i="6"/>
  <c r="E460" i="28" s="1"/>
  <c r="X460" i="6"/>
  <c r="E460" i="29" s="1"/>
  <c r="T418" i="31" s="1"/>
  <c r="V459" i="6"/>
  <c r="E459" i="28" s="1"/>
  <c r="X459" i="6"/>
  <c r="E459" i="29" s="1"/>
  <c r="T417" i="31" s="1"/>
  <c r="X458" i="6"/>
  <c r="E458" i="29" s="1"/>
  <c r="T416" i="31" s="1"/>
  <c r="V458" i="6"/>
  <c r="E458" i="28" s="1"/>
  <c r="V457" i="6"/>
  <c r="E457" i="28" s="1"/>
  <c r="X457" i="6"/>
  <c r="E457" i="29" s="1"/>
  <c r="T415" i="31" s="1"/>
  <c r="X456" i="6"/>
  <c r="E456" i="29" s="1"/>
  <c r="T414" i="31" s="1"/>
  <c r="V456" i="6"/>
  <c r="E456" i="28" s="1"/>
  <c r="V455" i="6"/>
  <c r="E455" i="28" s="1"/>
  <c r="X455" i="6"/>
  <c r="E455" i="29" s="1"/>
  <c r="T413" i="31" s="1"/>
  <c r="V454" i="6"/>
  <c r="P414" i="31" l="1"/>
  <c r="S414" i="31"/>
  <c r="P431" i="31"/>
  <c r="S431" i="31"/>
  <c r="E842" i="23"/>
  <c r="G842" i="23" s="1"/>
  <c r="E842" i="8"/>
  <c r="F842" i="23"/>
  <c r="F842" i="8"/>
  <c r="F845" i="23"/>
  <c r="F845" i="8"/>
  <c r="H833" i="23"/>
  <c r="K833" i="23" s="1"/>
  <c r="N833" i="23" s="1"/>
  <c r="E833" i="20"/>
  <c r="U757" i="31" s="1"/>
  <c r="F834" i="23"/>
  <c r="F834" i="8"/>
  <c r="R833" i="23"/>
  <c r="Z757" i="31" s="1"/>
  <c r="P758" i="31"/>
  <c r="S758" i="31"/>
  <c r="H835" i="23"/>
  <c r="K835" i="23" s="1"/>
  <c r="N835" i="23" s="1"/>
  <c r="E835" i="20"/>
  <c r="U759" i="31" s="1"/>
  <c r="P759" i="31"/>
  <c r="S759" i="31"/>
  <c r="H836" i="23"/>
  <c r="K836" i="23" s="1"/>
  <c r="N836" i="23" s="1"/>
  <c r="E836" i="20"/>
  <c r="U760" i="31" s="1"/>
  <c r="P760" i="31"/>
  <c r="S760" i="31"/>
  <c r="H837" i="23"/>
  <c r="K837" i="23" s="1"/>
  <c r="N837" i="23" s="1"/>
  <c r="E837" i="20"/>
  <c r="U761" i="31" s="1"/>
  <c r="S761" i="31"/>
  <c r="P761" i="31"/>
  <c r="F806" i="23"/>
  <c r="F806" i="8"/>
  <c r="H806" i="23"/>
  <c r="K806" i="23" s="1"/>
  <c r="N806" i="23" s="1"/>
  <c r="E806" i="20"/>
  <c r="U732" i="31" s="1"/>
  <c r="F808" i="23"/>
  <c r="F808" i="8"/>
  <c r="E809" i="23"/>
  <c r="E809" i="8"/>
  <c r="F810" i="23"/>
  <c r="F810" i="8"/>
  <c r="E811" i="23"/>
  <c r="E811" i="8"/>
  <c r="F812" i="23"/>
  <c r="F812" i="8"/>
  <c r="E813" i="23"/>
  <c r="E813" i="8"/>
  <c r="F814" i="23"/>
  <c r="F814" i="8"/>
  <c r="E815" i="23"/>
  <c r="E815" i="8"/>
  <c r="E1050" i="23"/>
  <c r="E1050" i="8"/>
  <c r="R1049" i="23"/>
  <c r="Z953" i="31" s="1"/>
  <c r="E1048" i="23"/>
  <c r="E1048" i="8"/>
  <c r="H1051" i="23"/>
  <c r="K1051" i="23" s="1"/>
  <c r="N1051" i="23" s="1"/>
  <c r="E1051" i="20"/>
  <c r="U955" i="31" s="1"/>
  <c r="S953" i="31"/>
  <c r="P953" i="31"/>
  <c r="H1053" i="23"/>
  <c r="K1053" i="23" s="1"/>
  <c r="N1053" i="23" s="1"/>
  <c r="E1053" i="20"/>
  <c r="U957" i="31" s="1"/>
  <c r="E1054" i="23"/>
  <c r="E1054" i="8"/>
  <c r="E1055" i="23"/>
  <c r="E1055" i="8"/>
  <c r="F1056" i="23"/>
  <c r="F1056" i="8"/>
  <c r="E1126" i="23"/>
  <c r="E1126" i="8"/>
  <c r="E1129" i="23"/>
  <c r="E1129" i="8"/>
  <c r="H1133" i="23"/>
  <c r="K1133" i="23" s="1"/>
  <c r="N1133" i="23" s="1"/>
  <c r="E1133" i="20"/>
  <c r="U1030" i="31" s="1"/>
  <c r="F1127" i="23"/>
  <c r="F1127" i="8"/>
  <c r="F1130" i="23"/>
  <c r="F1130" i="8"/>
  <c r="E1136" i="23"/>
  <c r="G1136" i="23" s="1"/>
  <c r="E1136" i="8"/>
  <c r="G1136" i="8" s="1"/>
  <c r="E1032" i="31" s="1"/>
  <c r="W1066" i="31"/>
  <c r="S1173" i="23"/>
  <c r="AA1066" i="31" s="1"/>
  <c r="G1137" i="23"/>
  <c r="I1137" i="23" s="1"/>
  <c r="G1144" i="8"/>
  <c r="E1040" i="31" s="1"/>
  <c r="G1140" i="8"/>
  <c r="E1036" i="31" s="1"/>
  <c r="P766" i="31"/>
  <c r="S766" i="31"/>
  <c r="H844" i="23"/>
  <c r="K844" i="23" s="1"/>
  <c r="N844" i="23" s="1"/>
  <c r="E844" i="20"/>
  <c r="U767" i="31" s="1"/>
  <c r="H847" i="23"/>
  <c r="K847" i="23" s="1"/>
  <c r="N847" i="23" s="1"/>
  <c r="E847" i="20"/>
  <c r="U770" i="31" s="1"/>
  <c r="W454" i="6"/>
  <c r="E454" i="28"/>
  <c r="P418" i="31"/>
  <c r="S418" i="31"/>
  <c r="P420" i="31"/>
  <c r="S420" i="31"/>
  <c r="S429" i="31"/>
  <c r="P429" i="31"/>
  <c r="E843" i="23"/>
  <c r="G843" i="23" s="1"/>
  <c r="E843" i="8"/>
  <c r="F843" i="23"/>
  <c r="F843" i="8"/>
  <c r="F844" i="23"/>
  <c r="F844" i="8"/>
  <c r="E846" i="23"/>
  <c r="E846" i="8"/>
  <c r="F847" i="23"/>
  <c r="F847" i="8"/>
  <c r="E848" i="23"/>
  <c r="E848" i="8"/>
  <c r="E832" i="23"/>
  <c r="G832" i="23" s="1"/>
  <c r="E832" i="8"/>
  <c r="F832" i="23"/>
  <c r="F832" i="8"/>
  <c r="F835" i="23"/>
  <c r="F835" i="8"/>
  <c r="F836" i="23"/>
  <c r="F836" i="8"/>
  <c r="F837" i="23"/>
  <c r="F837" i="8"/>
  <c r="F807" i="23"/>
  <c r="F807" i="8"/>
  <c r="R806" i="23"/>
  <c r="Z732" i="31" s="1"/>
  <c r="E808" i="23"/>
  <c r="G808" i="23" s="1"/>
  <c r="E808" i="8"/>
  <c r="G808" i="8" s="1"/>
  <c r="E734" i="31" s="1"/>
  <c r="H809" i="23"/>
  <c r="K809" i="23" s="1"/>
  <c r="N809" i="23" s="1"/>
  <c r="E809" i="20"/>
  <c r="U735" i="31" s="1"/>
  <c r="R809" i="23"/>
  <c r="Z735" i="31" s="1"/>
  <c r="H811" i="23"/>
  <c r="K811" i="23" s="1"/>
  <c r="N811" i="23" s="1"/>
  <c r="E811" i="20"/>
  <c r="U737" i="31" s="1"/>
  <c r="R811" i="23"/>
  <c r="Z737" i="31" s="1"/>
  <c r="H813" i="23"/>
  <c r="K813" i="23" s="1"/>
  <c r="N813" i="23" s="1"/>
  <c r="E813" i="20"/>
  <c r="U739" i="31" s="1"/>
  <c r="R813" i="23"/>
  <c r="Z739" i="31" s="1"/>
  <c r="H815" i="23"/>
  <c r="K815" i="23" s="1"/>
  <c r="N815" i="23" s="1"/>
  <c r="E815" i="20"/>
  <c r="U741" i="31" s="1"/>
  <c r="R815" i="23"/>
  <c r="Z741" i="31" s="1"/>
  <c r="H1049" i="23"/>
  <c r="K1049" i="23" s="1"/>
  <c r="N1049" i="23" s="1"/>
  <c r="O1049" i="23" s="1"/>
  <c r="Y953" i="31" s="1"/>
  <c r="E1049" i="20"/>
  <c r="U953" i="31" s="1"/>
  <c r="R1050" i="23"/>
  <c r="Z954" i="31" s="1"/>
  <c r="H1048" i="23"/>
  <c r="K1048" i="23" s="1"/>
  <c r="N1048" i="23" s="1"/>
  <c r="O1048" i="23" s="1"/>
  <c r="Y952" i="31" s="1"/>
  <c r="E1048" i="20"/>
  <c r="U952" i="31" s="1"/>
  <c r="L1048" i="23"/>
  <c r="X952" i="31" s="1"/>
  <c r="F1051" i="23"/>
  <c r="F1051" i="8"/>
  <c r="P954" i="31"/>
  <c r="S954" i="31"/>
  <c r="E1052" i="23"/>
  <c r="E1052" i="8"/>
  <c r="R1052" i="23"/>
  <c r="Z956" i="31" s="1"/>
  <c r="P956" i="31"/>
  <c r="S956" i="31"/>
  <c r="F1053" i="23"/>
  <c r="F1053" i="8"/>
  <c r="S957" i="31"/>
  <c r="P957" i="31"/>
  <c r="H1054" i="23"/>
  <c r="K1054" i="23" s="1"/>
  <c r="N1054" i="23" s="1"/>
  <c r="E1054" i="20"/>
  <c r="U958" i="31" s="1"/>
  <c r="R1054" i="23"/>
  <c r="Z958" i="31" s="1"/>
  <c r="P958" i="31"/>
  <c r="S958" i="31"/>
  <c r="H1055" i="23"/>
  <c r="K1055" i="23" s="1"/>
  <c r="N1055" i="23" s="1"/>
  <c r="E1055" i="20"/>
  <c r="U959" i="31" s="1"/>
  <c r="R1055" i="23"/>
  <c r="Z959" i="31" s="1"/>
  <c r="P959" i="31"/>
  <c r="S959" i="31"/>
  <c r="E1057" i="23"/>
  <c r="E1057" i="8"/>
  <c r="H1126" i="23"/>
  <c r="K1126" i="23" s="1"/>
  <c r="N1126" i="23" s="1"/>
  <c r="E1126" i="20"/>
  <c r="U1023" i="31" s="1"/>
  <c r="H1128" i="23"/>
  <c r="K1128" i="23" s="1"/>
  <c r="N1128" i="23" s="1"/>
  <c r="O1128" i="23" s="1"/>
  <c r="Y1025" i="31" s="1"/>
  <c r="E1128" i="20"/>
  <c r="U1025" i="31" s="1"/>
  <c r="R1129" i="23"/>
  <c r="Z1026" i="31" s="1"/>
  <c r="E1130" i="23"/>
  <c r="G1130" i="23" s="1"/>
  <c r="E1130" i="8"/>
  <c r="G1130" i="8" s="1"/>
  <c r="E1027" i="31" s="1"/>
  <c r="R1130" i="23"/>
  <c r="Z1027" i="31" s="1"/>
  <c r="R1131" i="23"/>
  <c r="Z1028" i="31" s="1"/>
  <c r="F1133" i="23"/>
  <c r="F1133" i="8"/>
  <c r="E1134" i="23"/>
  <c r="E1134" i="8"/>
  <c r="F1128" i="23"/>
  <c r="F1128" i="8"/>
  <c r="F1131" i="23"/>
  <c r="F1131" i="8"/>
  <c r="H1136" i="23"/>
  <c r="K1136" i="23" s="1"/>
  <c r="N1136" i="23" s="1"/>
  <c r="O1136" i="23" s="1"/>
  <c r="Y1032" i="31" s="1"/>
  <c r="E1136" i="20"/>
  <c r="U1032" i="31" s="1"/>
  <c r="W1041" i="31"/>
  <c r="S1145" i="23"/>
  <c r="AA1041" i="31" s="1"/>
  <c r="I1142" i="23"/>
  <c r="L1143" i="23"/>
  <c r="X1039" i="31" s="1"/>
  <c r="L1139" i="23"/>
  <c r="X1035" i="31" s="1"/>
  <c r="G1144" i="23"/>
  <c r="I1144" i="23" s="1"/>
  <c r="G1140" i="23"/>
  <c r="I1140" i="23" s="1"/>
  <c r="P416" i="31"/>
  <c r="S416" i="31"/>
  <c r="P419" i="31"/>
  <c r="S419" i="31"/>
  <c r="W463" i="6"/>
  <c r="E463" i="28"/>
  <c r="P430" i="31"/>
  <c r="S430" i="31"/>
  <c r="E842" i="20"/>
  <c r="U765" i="31" s="1"/>
  <c r="H842" i="23"/>
  <c r="K842" i="23" s="1"/>
  <c r="N842" i="23" s="1"/>
  <c r="R842" i="23"/>
  <c r="Z765" i="31" s="1"/>
  <c r="O842" i="23"/>
  <c r="Y765" i="31" s="1"/>
  <c r="O844" i="23"/>
  <c r="Y767" i="31" s="1"/>
  <c r="E845" i="23"/>
  <c r="G845" i="23" s="1"/>
  <c r="E845" i="8"/>
  <c r="G845" i="8" s="1"/>
  <c r="E768" i="31" s="1"/>
  <c r="H846" i="23"/>
  <c r="K846" i="23" s="1"/>
  <c r="N846" i="23" s="1"/>
  <c r="O846" i="23" s="1"/>
  <c r="Y769" i="31" s="1"/>
  <c r="E846" i="20"/>
  <c r="U769" i="31" s="1"/>
  <c r="R846" i="23"/>
  <c r="Z769" i="31" s="1"/>
  <c r="O847" i="23"/>
  <c r="Y770" i="31" s="1"/>
  <c r="H848" i="23"/>
  <c r="K848" i="23" s="1"/>
  <c r="N848" i="23" s="1"/>
  <c r="O848" i="23" s="1"/>
  <c r="Y771" i="31" s="1"/>
  <c r="E848" i="20"/>
  <c r="U771" i="31" s="1"/>
  <c r="R848" i="23"/>
  <c r="Z771" i="31" s="1"/>
  <c r="P771" i="31"/>
  <c r="S771" i="31"/>
  <c r="E833" i="23"/>
  <c r="E833" i="8"/>
  <c r="G833" i="8" s="1"/>
  <c r="E757" i="31" s="1"/>
  <c r="F833" i="23"/>
  <c r="F833" i="8"/>
  <c r="L833" i="23"/>
  <c r="X757" i="31" s="1"/>
  <c r="E834" i="23"/>
  <c r="G834" i="23" s="1"/>
  <c r="E834" i="8"/>
  <c r="G834" i="8" s="1"/>
  <c r="E758" i="31" s="1"/>
  <c r="O835" i="23"/>
  <c r="Y759" i="31" s="1"/>
  <c r="O836" i="23"/>
  <c r="Y760" i="31" s="1"/>
  <c r="O837" i="23"/>
  <c r="Y761" i="31" s="1"/>
  <c r="R807" i="23"/>
  <c r="Z733" i="31" s="1"/>
  <c r="E807" i="23"/>
  <c r="G807" i="23" s="1"/>
  <c r="E807" i="8"/>
  <c r="G807" i="8" s="1"/>
  <c r="E733" i="31" s="1"/>
  <c r="F809" i="23"/>
  <c r="F809" i="8"/>
  <c r="E810" i="23"/>
  <c r="G810" i="23" s="1"/>
  <c r="E810" i="8"/>
  <c r="G810" i="8" s="1"/>
  <c r="E736" i="31" s="1"/>
  <c r="F811" i="23"/>
  <c r="F811" i="8"/>
  <c r="E812" i="23"/>
  <c r="G812" i="23" s="1"/>
  <c r="E812" i="8"/>
  <c r="G812" i="8" s="1"/>
  <c r="E738" i="31" s="1"/>
  <c r="F813" i="23"/>
  <c r="F813" i="8"/>
  <c r="E814" i="23"/>
  <c r="G814" i="23" s="1"/>
  <c r="E814" i="8"/>
  <c r="G814" i="8" s="1"/>
  <c r="E740" i="31" s="1"/>
  <c r="F815" i="23"/>
  <c r="F815" i="8"/>
  <c r="E1049" i="23"/>
  <c r="E1049" i="8"/>
  <c r="F1050" i="23"/>
  <c r="F1050" i="8"/>
  <c r="L1049" i="23"/>
  <c r="X953" i="31" s="1"/>
  <c r="H1050" i="23"/>
  <c r="K1050" i="23" s="1"/>
  <c r="N1050" i="23" s="1"/>
  <c r="O1050" i="23" s="1"/>
  <c r="Y954" i="31" s="1"/>
  <c r="E1050" i="20"/>
  <c r="U954" i="31" s="1"/>
  <c r="R1048" i="23"/>
  <c r="Z952" i="31" s="1"/>
  <c r="O1051" i="23"/>
  <c r="Y955" i="31" s="1"/>
  <c r="P955" i="31"/>
  <c r="S955" i="31"/>
  <c r="H1052" i="23"/>
  <c r="K1052" i="23" s="1"/>
  <c r="N1052" i="23" s="1"/>
  <c r="E1052" i="20"/>
  <c r="U956" i="31" s="1"/>
  <c r="F1054" i="23"/>
  <c r="F1054" i="8"/>
  <c r="F1055" i="23"/>
  <c r="F1055" i="8"/>
  <c r="E1056" i="23"/>
  <c r="G1056" i="23" s="1"/>
  <c r="E1056" i="8"/>
  <c r="G1056" i="8" s="1"/>
  <c r="E960" i="31" s="1"/>
  <c r="H1057" i="23"/>
  <c r="K1057" i="23" s="1"/>
  <c r="N1057" i="23" s="1"/>
  <c r="O1057" i="23" s="1"/>
  <c r="Y961" i="31" s="1"/>
  <c r="E1057" i="20"/>
  <c r="U961" i="31" s="1"/>
  <c r="R1057" i="23"/>
  <c r="Z961" i="31" s="1"/>
  <c r="S961" i="31"/>
  <c r="P961" i="31"/>
  <c r="E1125" i="23"/>
  <c r="E1125" i="8"/>
  <c r="G1125" i="8" s="1"/>
  <c r="E1022" i="31" s="1"/>
  <c r="R1125" i="23"/>
  <c r="Z1022" i="31" s="1"/>
  <c r="E1127" i="23"/>
  <c r="G1127" i="23" s="1"/>
  <c r="E1127" i="8"/>
  <c r="G1127" i="8" s="1"/>
  <c r="E1024" i="31" s="1"/>
  <c r="R1127" i="23"/>
  <c r="Z1024" i="31" s="1"/>
  <c r="H1129" i="23"/>
  <c r="K1129" i="23" s="1"/>
  <c r="N1129" i="23" s="1"/>
  <c r="E1129" i="20"/>
  <c r="U1026" i="31" s="1"/>
  <c r="H1130" i="23"/>
  <c r="K1130" i="23" s="1"/>
  <c r="N1130" i="23" s="1"/>
  <c r="E1130" i="20"/>
  <c r="U1027" i="31" s="1"/>
  <c r="E1131" i="23"/>
  <c r="G1131" i="23" s="1"/>
  <c r="E1131" i="8"/>
  <c r="G1131" i="8" s="1"/>
  <c r="E1028" i="31" s="1"/>
  <c r="E1132" i="23"/>
  <c r="E1132" i="8"/>
  <c r="G1132" i="8" s="1"/>
  <c r="E1029" i="31" s="1"/>
  <c r="R1132" i="23"/>
  <c r="Z1029" i="31" s="1"/>
  <c r="O1133" i="23"/>
  <c r="Y1030" i="31" s="1"/>
  <c r="H1134" i="23"/>
  <c r="K1134" i="23" s="1"/>
  <c r="N1134" i="23" s="1"/>
  <c r="O1134" i="23" s="1"/>
  <c r="Y1031" i="31" s="1"/>
  <c r="E1134" i="20"/>
  <c r="U1031" i="31" s="1"/>
  <c r="R1134" i="23"/>
  <c r="Z1031" i="31" s="1"/>
  <c r="F1125" i="23"/>
  <c r="F1125" i="8"/>
  <c r="F1129" i="23"/>
  <c r="F1129" i="8"/>
  <c r="F1132" i="23"/>
  <c r="F1132" i="8"/>
  <c r="W1037" i="31"/>
  <c r="S1141" i="23"/>
  <c r="AA1037" i="31" s="1"/>
  <c r="I1138" i="23"/>
  <c r="L1138" i="23"/>
  <c r="X1034" i="31" s="1"/>
  <c r="G1143" i="8"/>
  <c r="E1039" i="31" s="1"/>
  <c r="G1139" i="8"/>
  <c r="E1035" i="31" s="1"/>
  <c r="S413" i="31"/>
  <c r="P413" i="31"/>
  <c r="P415" i="31"/>
  <c r="S415" i="31"/>
  <c r="S417" i="31"/>
  <c r="P417" i="31"/>
  <c r="H843" i="23"/>
  <c r="K843" i="23" s="1"/>
  <c r="N843" i="23" s="1"/>
  <c r="O843" i="23" s="1"/>
  <c r="Y766" i="31" s="1"/>
  <c r="E843" i="20"/>
  <c r="U766" i="31" s="1"/>
  <c r="R843" i="23"/>
  <c r="Z766" i="31" s="1"/>
  <c r="E844" i="23"/>
  <c r="G844" i="23" s="1"/>
  <c r="I844" i="23" s="1"/>
  <c r="E844" i="8"/>
  <c r="G844" i="8" s="1"/>
  <c r="E767" i="31" s="1"/>
  <c r="L844" i="23"/>
  <c r="X767" i="31" s="1"/>
  <c r="H845" i="23"/>
  <c r="K845" i="23" s="1"/>
  <c r="N845" i="23" s="1"/>
  <c r="O845" i="23" s="1"/>
  <c r="Y768" i="31" s="1"/>
  <c r="E845" i="20"/>
  <c r="U768" i="31" s="1"/>
  <c r="P768" i="31"/>
  <c r="S768" i="31"/>
  <c r="F846" i="23"/>
  <c r="F846" i="8"/>
  <c r="E847" i="23"/>
  <c r="G847" i="23" s="1"/>
  <c r="I847" i="23" s="1"/>
  <c r="E847" i="8"/>
  <c r="G847" i="8" s="1"/>
  <c r="E770" i="31" s="1"/>
  <c r="L847" i="23"/>
  <c r="X770" i="31" s="1"/>
  <c r="F848" i="23"/>
  <c r="F848" i="8"/>
  <c r="H832" i="23"/>
  <c r="K832" i="23" s="1"/>
  <c r="N832" i="23" s="1"/>
  <c r="O832" i="23" s="1"/>
  <c r="Y756" i="31" s="1"/>
  <c r="E832" i="20"/>
  <c r="U756" i="31" s="1"/>
  <c r="R832" i="23"/>
  <c r="Z756" i="31" s="1"/>
  <c r="O833" i="23"/>
  <c r="Y757" i="31" s="1"/>
  <c r="S757" i="31"/>
  <c r="P757" i="31"/>
  <c r="H834" i="23"/>
  <c r="K834" i="23" s="1"/>
  <c r="N834" i="23" s="1"/>
  <c r="O834" i="23" s="1"/>
  <c r="Y758" i="31" s="1"/>
  <c r="E834" i="20"/>
  <c r="U758" i="31" s="1"/>
  <c r="E835" i="23"/>
  <c r="G835" i="23" s="1"/>
  <c r="I835" i="23" s="1"/>
  <c r="E835" i="8"/>
  <c r="G835" i="8" s="1"/>
  <c r="E759" i="31" s="1"/>
  <c r="L835" i="23"/>
  <c r="X759" i="31" s="1"/>
  <c r="E836" i="23"/>
  <c r="G836" i="23" s="1"/>
  <c r="I836" i="23" s="1"/>
  <c r="E836" i="8"/>
  <c r="G836" i="8" s="1"/>
  <c r="E760" i="31" s="1"/>
  <c r="L836" i="23"/>
  <c r="X760" i="31" s="1"/>
  <c r="E837" i="23"/>
  <c r="G837" i="23" s="1"/>
  <c r="I837" i="23" s="1"/>
  <c r="E837" i="8"/>
  <c r="G837" i="8" s="1"/>
  <c r="E761" i="31" s="1"/>
  <c r="L837" i="23"/>
  <c r="X761" i="31" s="1"/>
  <c r="H807" i="23"/>
  <c r="K807" i="23" s="1"/>
  <c r="N807" i="23" s="1"/>
  <c r="O807" i="23" s="1"/>
  <c r="Y733" i="31" s="1"/>
  <c r="E807" i="20"/>
  <c r="U733" i="31" s="1"/>
  <c r="L806" i="23"/>
  <c r="X732" i="31" s="1"/>
  <c r="E806" i="23"/>
  <c r="G806" i="23" s="1"/>
  <c r="I806" i="23" s="1"/>
  <c r="E806" i="8"/>
  <c r="G806" i="8" s="1"/>
  <c r="E732" i="31" s="1"/>
  <c r="O806" i="23"/>
  <c r="Y732" i="31" s="1"/>
  <c r="H808" i="23"/>
  <c r="K808" i="23" s="1"/>
  <c r="N808" i="23" s="1"/>
  <c r="O808" i="23" s="1"/>
  <c r="Y734" i="31" s="1"/>
  <c r="E808" i="20"/>
  <c r="U734" i="31" s="1"/>
  <c r="O809" i="23"/>
  <c r="Y735" i="31" s="1"/>
  <c r="H810" i="23"/>
  <c r="K810" i="23" s="1"/>
  <c r="N810" i="23" s="1"/>
  <c r="O810" i="23" s="1"/>
  <c r="Y736" i="31" s="1"/>
  <c r="E810" i="20"/>
  <c r="U736" i="31" s="1"/>
  <c r="O811" i="23"/>
  <c r="Y737" i="31" s="1"/>
  <c r="H812" i="23"/>
  <c r="K812" i="23" s="1"/>
  <c r="N812" i="23" s="1"/>
  <c r="O812" i="23" s="1"/>
  <c r="Y738" i="31" s="1"/>
  <c r="E812" i="20"/>
  <c r="U738" i="31" s="1"/>
  <c r="O813" i="23"/>
  <c r="Y739" i="31" s="1"/>
  <c r="H814" i="23"/>
  <c r="K814" i="23" s="1"/>
  <c r="N814" i="23" s="1"/>
  <c r="O814" i="23" s="1"/>
  <c r="Y740" i="31" s="1"/>
  <c r="E814" i="20"/>
  <c r="U740" i="31" s="1"/>
  <c r="O815" i="23"/>
  <c r="Y741" i="31" s="1"/>
  <c r="F1049" i="23"/>
  <c r="F1049" i="8"/>
  <c r="L1050" i="23"/>
  <c r="X954" i="31" s="1"/>
  <c r="F1048" i="23"/>
  <c r="F1048" i="8"/>
  <c r="W1049" i="6"/>
  <c r="E1051" i="23"/>
  <c r="G1051" i="23" s="1"/>
  <c r="I1051" i="23" s="1"/>
  <c r="E1051" i="8"/>
  <c r="G1051" i="8" s="1"/>
  <c r="E955" i="31" s="1"/>
  <c r="L1051" i="23"/>
  <c r="X955" i="31" s="1"/>
  <c r="F1052" i="23"/>
  <c r="F1052" i="8"/>
  <c r="O1052" i="23"/>
  <c r="Y956" i="31" s="1"/>
  <c r="E1053" i="23"/>
  <c r="G1053" i="23" s="1"/>
  <c r="I1053" i="23" s="1"/>
  <c r="E1053" i="8"/>
  <c r="G1053" i="8" s="1"/>
  <c r="E957" i="31" s="1"/>
  <c r="O1053" i="23"/>
  <c r="Y957" i="31" s="1"/>
  <c r="O1054" i="23"/>
  <c r="Y958" i="31" s="1"/>
  <c r="O1055" i="23"/>
  <c r="Y959" i="31" s="1"/>
  <c r="H1056" i="23"/>
  <c r="K1056" i="23" s="1"/>
  <c r="N1056" i="23" s="1"/>
  <c r="O1056" i="23" s="1"/>
  <c r="Y960" i="31" s="1"/>
  <c r="E1056" i="20"/>
  <c r="U960" i="31" s="1"/>
  <c r="P960" i="31"/>
  <c r="S960" i="31"/>
  <c r="F1057" i="23"/>
  <c r="F1057" i="8"/>
  <c r="H1125" i="23"/>
  <c r="K1125" i="23" s="1"/>
  <c r="N1125" i="23" s="1"/>
  <c r="O1125" i="23" s="1"/>
  <c r="Y1022" i="31" s="1"/>
  <c r="E1125" i="20"/>
  <c r="U1022" i="31" s="1"/>
  <c r="L1126" i="23"/>
  <c r="X1023" i="31" s="1"/>
  <c r="O1126" i="23"/>
  <c r="Y1023" i="31" s="1"/>
  <c r="H1127" i="23"/>
  <c r="K1127" i="23" s="1"/>
  <c r="N1127" i="23" s="1"/>
  <c r="O1127" i="23" s="1"/>
  <c r="Y1024" i="31" s="1"/>
  <c r="E1127" i="20"/>
  <c r="U1024" i="31" s="1"/>
  <c r="E1128" i="23"/>
  <c r="G1128" i="23" s="1"/>
  <c r="I1128" i="23" s="1"/>
  <c r="E1128" i="8"/>
  <c r="G1128" i="8" s="1"/>
  <c r="E1025" i="31" s="1"/>
  <c r="L1128" i="23"/>
  <c r="X1025" i="31" s="1"/>
  <c r="O1129" i="23"/>
  <c r="Y1026" i="31" s="1"/>
  <c r="O1130" i="23"/>
  <c r="Y1027" i="31" s="1"/>
  <c r="H1131" i="23"/>
  <c r="K1131" i="23" s="1"/>
  <c r="N1131" i="23" s="1"/>
  <c r="E1131" i="20"/>
  <c r="U1028" i="31" s="1"/>
  <c r="O1131" i="23"/>
  <c r="Y1028" i="31" s="1"/>
  <c r="H1132" i="23"/>
  <c r="K1132" i="23" s="1"/>
  <c r="N1132" i="23" s="1"/>
  <c r="O1132" i="23" s="1"/>
  <c r="Y1029" i="31" s="1"/>
  <c r="E1132" i="20"/>
  <c r="U1029" i="31" s="1"/>
  <c r="E1133" i="23"/>
  <c r="G1133" i="23" s="1"/>
  <c r="I1133" i="23" s="1"/>
  <c r="E1133" i="8"/>
  <c r="G1133" i="8" s="1"/>
  <c r="E1030" i="31" s="1"/>
  <c r="L1133" i="23"/>
  <c r="X1030" i="31" s="1"/>
  <c r="F1134" i="23"/>
  <c r="F1134" i="8"/>
  <c r="F1126" i="23"/>
  <c r="F1126" i="8"/>
  <c r="L1136" i="23"/>
  <c r="X1032" i="31" s="1"/>
  <c r="L1142" i="23"/>
  <c r="X1038" i="31" s="1"/>
  <c r="G1143" i="23"/>
  <c r="I1143" i="23" s="1"/>
  <c r="G1139" i="23"/>
  <c r="I1139" i="23" s="1"/>
  <c r="L1144" i="23"/>
  <c r="X1040" i="31" s="1"/>
  <c r="L1140" i="23"/>
  <c r="X1036" i="31" s="1"/>
  <c r="T1041" i="6"/>
  <c r="E1041" i="19" s="1"/>
  <c r="T1042" i="6"/>
  <c r="E1042" i="19" s="1"/>
  <c r="N1041" i="6"/>
  <c r="M1041" i="6"/>
  <c r="M1041" i="23" s="1"/>
  <c r="L1041" i="6"/>
  <c r="K1041" i="6"/>
  <c r="P1041" i="23" s="1"/>
  <c r="J1041" i="6"/>
  <c r="J1041" i="23" s="1"/>
  <c r="I1041" i="6"/>
  <c r="Q1041" i="23" s="1"/>
  <c r="H1041" i="6"/>
  <c r="G1041" i="6"/>
  <c r="F1041" i="6"/>
  <c r="E1041" i="6"/>
  <c r="T1043" i="6"/>
  <c r="E1043" i="19" s="1"/>
  <c r="T1044" i="6"/>
  <c r="E1044" i="19" s="1"/>
  <c r="N1043" i="6"/>
  <c r="N1042" i="6"/>
  <c r="M1043" i="6"/>
  <c r="M1043" i="23" s="1"/>
  <c r="M1042" i="6"/>
  <c r="M1042" i="23" s="1"/>
  <c r="L1043" i="6"/>
  <c r="L1042" i="6"/>
  <c r="K1043" i="6"/>
  <c r="P1043" i="23" s="1"/>
  <c r="K1042" i="6"/>
  <c r="P1042" i="23" s="1"/>
  <c r="J1043" i="6"/>
  <c r="J1043" i="23" s="1"/>
  <c r="J1042" i="6"/>
  <c r="J1042" i="23" s="1"/>
  <c r="I1043" i="6"/>
  <c r="Q1043" i="23" s="1"/>
  <c r="I1042" i="6"/>
  <c r="Q1042" i="23" s="1"/>
  <c r="H1043" i="6"/>
  <c r="H1042" i="6"/>
  <c r="G1043" i="6"/>
  <c r="G1042" i="6"/>
  <c r="F1043" i="6"/>
  <c r="F1042" i="6"/>
  <c r="E1043" i="6"/>
  <c r="E1042" i="6"/>
  <c r="T1045" i="6"/>
  <c r="E1045" i="19" s="1"/>
  <c r="N1044" i="6"/>
  <c r="M1044" i="6"/>
  <c r="M1044" i="23" s="1"/>
  <c r="L1044" i="6"/>
  <c r="K1044" i="6"/>
  <c r="P1044" i="23" s="1"/>
  <c r="J1044" i="6"/>
  <c r="J1044" i="23" s="1"/>
  <c r="I1044" i="6"/>
  <c r="Q1044" i="23" s="1"/>
  <c r="H1044" i="6"/>
  <c r="G1044" i="6"/>
  <c r="F1044" i="6"/>
  <c r="E1044" i="6"/>
  <c r="T1046" i="6"/>
  <c r="E1046" i="19" s="1"/>
  <c r="N1046" i="6"/>
  <c r="N1045" i="6"/>
  <c r="M1046" i="6"/>
  <c r="M1046" i="23" s="1"/>
  <c r="M1045" i="6"/>
  <c r="M1045" i="23" s="1"/>
  <c r="L1046" i="6"/>
  <c r="L1045" i="6"/>
  <c r="K1046" i="6"/>
  <c r="P1046" i="23" s="1"/>
  <c r="K1045" i="6"/>
  <c r="P1045" i="23" s="1"/>
  <c r="J1046" i="6"/>
  <c r="J1046" i="23" s="1"/>
  <c r="J1045" i="6"/>
  <c r="J1045" i="23" s="1"/>
  <c r="I1046" i="6"/>
  <c r="Q1046" i="23" s="1"/>
  <c r="I1045" i="6"/>
  <c r="Q1045" i="23" s="1"/>
  <c r="H1046" i="6"/>
  <c r="H1045" i="6"/>
  <c r="G1046" i="6"/>
  <c r="G1045" i="6"/>
  <c r="F1046" i="6"/>
  <c r="F1045" i="6"/>
  <c r="E1045" i="6"/>
  <c r="E1046" i="6"/>
  <c r="X1035" i="6"/>
  <c r="E1035" i="29" s="1"/>
  <c r="T941" i="31" s="1"/>
  <c r="V1034" i="6"/>
  <c r="E1034" i="28" s="1"/>
  <c r="V1035" i="6"/>
  <c r="E1035" i="28" s="1"/>
  <c r="N1035" i="6"/>
  <c r="M1035" i="6"/>
  <c r="M1035" i="23" s="1"/>
  <c r="L1035" i="6"/>
  <c r="K1035" i="6"/>
  <c r="P1035" i="23" s="1"/>
  <c r="R1035" i="23" s="1"/>
  <c r="Z941" i="31" s="1"/>
  <c r="J1035" i="6"/>
  <c r="J1035" i="23" s="1"/>
  <c r="I1035" i="6"/>
  <c r="Q1035" i="23" s="1"/>
  <c r="H1035" i="6"/>
  <c r="G1035" i="6"/>
  <c r="F1035" i="6"/>
  <c r="E1035" i="6"/>
  <c r="X1034" i="6"/>
  <c r="E1034" i="29" s="1"/>
  <c r="T940" i="31" s="1"/>
  <c r="T1034" i="6"/>
  <c r="E1034" i="19" s="1"/>
  <c r="N1034" i="6"/>
  <c r="M1034" i="6"/>
  <c r="M1034" i="23" s="1"/>
  <c r="L1034" i="6"/>
  <c r="K1034" i="6"/>
  <c r="P1034" i="23" s="1"/>
  <c r="R1034" i="23" s="1"/>
  <c r="Z940" i="31" s="1"/>
  <c r="J1034" i="6"/>
  <c r="J1034" i="23" s="1"/>
  <c r="I1034" i="6"/>
  <c r="Q1034" i="23" s="1"/>
  <c r="H1034" i="6"/>
  <c r="G1034" i="6"/>
  <c r="F1034" i="6"/>
  <c r="E1034" i="6"/>
  <c r="N1033" i="6"/>
  <c r="M1033" i="6"/>
  <c r="M1033" i="23" s="1"/>
  <c r="L1033" i="6"/>
  <c r="K1033" i="6"/>
  <c r="P1033" i="23" s="1"/>
  <c r="J1033" i="6"/>
  <c r="J1033" i="23" s="1"/>
  <c r="I1033" i="6"/>
  <c r="Q1033" i="23" s="1"/>
  <c r="H1033" i="6"/>
  <c r="G1033" i="6"/>
  <c r="F1033" i="6"/>
  <c r="E1033" i="6"/>
  <c r="N1032" i="6"/>
  <c r="M1032" i="6"/>
  <c r="M1032" i="23" s="1"/>
  <c r="L1032" i="6"/>
  <c r="K1032" i="6"/>
  <c r="P1032" i="23" s="1"/>
  <c r="R1032" i="23" s="1"/>
  <c r="Z938" i="31" s="1"/>
  <c r="J1032" i="6"/>
  <c r="J1032" i="23" s="1"/>
  <c r="I1032" i="6"/>
  <c r="Q1032" i="23" s="1"/>
  <c r="H1032" i="6"/>
  <c r="G1032" i="6"/>
  <c r="F1032" i="6"/>
  <c r="E1032" i="6"/>
  <c r="N1031" i="6"/>
  <c r="M1031" i="6"/>
  <c r="M1031" i="23" s="1"/>
  <c r="L1031" i="6"/>
  <c r="K1031" i="6"/>
  <c r="P1031" i="23" s="1"/>
  <c r="J1031" i="6"/>
  <c r="J1031" i="23" s="1"/>
  <c r="I1031" i="6"/>
  <c r="Q1031" i="23" s="1"/>
  <c r="H1031" i="6"/>
  <c r="G1031" i="6"/>
  <c r="F1031" i="6"/>
  <c r="E1031" i="6"/>
  <c r="N1030" i="6"/>
  <c r="M1030" i="6"/>
  <c r="M1030" i="23" s="1"/>
  <c r="L1030" i="6"/>
  <c r="K1030" i="6"/>
  <c r="P1030" i="23" s="1"/>
  <c r="R1030" i="23" s="1"/>
  <c r="Z936" i="31" s="1"/>
  <c r="J1030" i="6"/>
  <c r="J1030" i="23" s="1"/>
  <c r="I1030" i="6"/>
  <c r="Q1030" i="23" s="1"/>
  <c r="H1030" i="6"/>
  <c r="G1030" i="6"/>
  <c r="F1030" i="6"/>
  <c r="E1030" i="6"/>
  <c r="N1029" i="6"/>
  <c r="M1029" i="6"/>
  <c r="M1029" i="23" s="1"/>
  <c r="L1029" i="6"/>
  <c r="K1029" i="6"/>
  <c r="P1029" i="23" s="1"/>
  <c r="J1029" i="6"/>
  <c r="J1029" i="23" s="1"/>
  <c r="I1029" i="6"/>
  <c r="Q1029" i="23" s="1"/>
  <c r="H1029" i="6"/>
  <c r="G1029" i="6"/>
  <c r="F1029" i="6"/>
  <c r="E1029" i="6"/>
  <c r="N1028" i="6"/>
  <c r="M1028" i="6"/>
  <c r="M1028" i="23" s="1"/>
  <c r="L1028" i="6"/>
  <c r="K1028" i="6"/>
  <c r="P1028" i="23" s="1"/>
  <c r="R1028" i="23" s="1"/>
  <c r="Z934" i="31" s="1"/>
  <c r="J1028" i="6"/>
  <c r="J1028" i="23" s="1"/>
  <c r="I1028" i="6"/>
  <c r="Q1028" i="23" s="1"/>
  <c r="H1028" i="6"/>
  <c r="G1028" i="6"/>
  <c r="F1028" i="6"/>
  <c r="E1028" i="6"/>
  <c r="N1027" i="6"/>
  <c r="M1027" i="6"/>
  <c r="M1027" i="23" s="1"/>
  <c r="L1027" i="6"/>
  <c r="K1027" i="6"/>
  <c r="P1027" i="23" s="1"/>
  <c r="J1027" i="6"/>
  <c r="J1027" i="23" s="1"/>
  <c r="I1027" i="6"/>
  <c r="Q1027" i="23" s="1"/>
  <c r="H1027" i="6"/>
  <c r="G1027" i="6"/>
  <c r="F1027" i="6"/>
  <c r="E1027" i="6"/>
  <c r="T1027" i="6"/>
  <c r="E1027" i="19" s="1"/>
  <c r="T1028" i="6"/>
  <c r="E1028" i="19" s="1"/>
  <c r="T1029" i="6"/>
  <c r="E1029" i="19" s="1"/>
  <c r="T1030" i="6"/>
  <c r="E1030" i="19" s="1"/>
  <c r="T1031" i="6"/>
  <c r="E1031" i="19" s="1"/>
  <c r="T1032" i="6"/>
  <c r="E1032" i="19" s="1"/>
  <c r="T1033" i="6"/>
  <c r="E1033" i="19" s="1"/>
  <c r="T1035" i="6"/>
  <c r="E1035" i="19" s="1"/>
  <c r="T1026" i="6"/>
  <c r="E1026" i="19" s="1"/>
  <c r="N1026" i="6"/>
  <c r="M1026" i="6"/>
  <c r="M1026" i="23" s="1"/>
  <c r="L1026" i="6"/>
  <c r="L1025" i="6"/>
  <c r="K1026" i="6"/>
  <c r="P1026" i="23" s="1"/>
  <c r="J1026" i="6"/>
  <c r="J1026" i="23" s="1"/>
  <c r="I1026" i="6"/>
  <c r="Q1026" i="23" s="1"/>
  <c r="H1026" i="6"/>
  <c r="G1026" i="6"/>
  <c r="F1026" i="6"/>
  <c r="E1026" i="6"/>
  <c r="L992" i="6"/>
  <c r="L993" i="6"/>
  <c r="L994" i="6"/>
  <c r="L995" i="6"/>
  <c r="L996" i="6"/>
  <c r="N1002" i="6"/>
  <c r="M1002" i="6"/>
  <c r="M1002" i="23" s="1"/>
  <c r="L1002" i="6"/>
  <c r="K1002" i="6"/>
  <c r="P1002" i="23" s="1"/>
  <c r="R1002" i="23" s="1"/>
  <c r="Z911" i="31" s="1"/>
  <c r="J1002" i="6"/>
  <c r="J1002" i="23" s="1"/>
  <c r="I1002" i="6"/>
  <c r="Q1002" i="23" s="1"/>
  <c r="H1002" i="6"/>
  <c r="G1002" i="6"/>
  <c r="F1002" i="6"/>
  <c r="E1002" i="6"/>
  <c r="N1001" i="6"/>
  <c r="M1001" i="6"/>
  <c r="M1001" i="23" s="1"/>
  <c r="L1001" i="6"/>
  <c r="K1001" i="6"/>
  <c r="P1001" i="23" s="1"/>
  <c r="J1001" i="6"/>
  <c r="J1001" i="23" s="1"/>
  <c r="I1001" i="6"/>
  <c r="Q1001" i="23" s="1"/>
  <c r="H1001" i="6"/>
  <c r="G1001" i="6"/>
  <c r="F1001" i="6"/>
  <c r="E1001" i="6"/>
  <c r="N1000" i="6"/>
  <c r="M1000" i="6"/>
  <c r="M1000" i="23" s="1"/>
  <c r="L1000" i="6"/>
  <c r="K1000" i="6"/>
  <c r="P1000" i="23" s="1"/>
  <c r="R1000" i="23" s="1"/>
  <c r="Z909" i="31" s="1"/>
  <c r="J1000" i="6"/>
  <c r="J1000" i="23" s="1"/>
  <c r="I1000" i="6"/>
  <c r="Q1000" i="23" s="1"/>
  <c r="H1000" i="6"/>
  <c r="G1000" i="6"/>
  <c r="F1000" i="6"/>
  <c r="E1000" i="6"/>
  <c r="N999" i="6"/>
  <c r="M999" i="6"/>
  <c r="M999" i="23" s="1"/>
  <c r="L999" i="6"/>
  <c r="L998" i="6"/>
  <c r="L997" i="6"/>
  <c r="K999" i="6"/>
  <c r="P999" i="23" s="1"/>
  <c r="R999" i="23" s="1"/>
  <c r="Z908" i="31" s="1"/>
  <c r="J999" i="6"/>
  <c r="J999" i="23" s="1"/>
  <c r="I999" i="6"/>
  <c r="Q999" i="23" s="1"/>
  <c r="H999" i="6"/>
  <c r="G999" i="6"/>
  <c r="F999" i="6"/>
  <c r="E999" i="6"/>
  <c r="N998" i="6"/>
  <c r="M998" i="6"/>
  <c r="M998" i="23" s="1"/>
  <c r="K998" i="6"/>
  <c r="P998" i="23" s="1"/>
  <c r="R998" i="23" s="1"/>
  <c r="Z907" i="31" s="1"/>
  <c r="J998" i="6"/>
  <c r="J998" i="23" s="1"/>
  <c r="I998" i="6"/>
  <c r="Q998" i="23" s="1"/>
  <c r="H998" i="6"/>
  <c r="G998" i="6"/>
  <c r="F998" i="6"/>
  <c r="E998" i="6"/>
  <c r="N997" i="6"/>
  <c r="M997" i="6"/>
  <c r="M997" i="23" s="1"/>
  <c r="K997" i="6"/>
  <c r="P997" i="23" s="1"/>
  <c r="J997" i="6"/>
  <c r="J997" i="23" s="1"/>
  <c r="I997" i="6"/>
  <c r="Q997" i="23" s="1"/>
  <c r="H997" i="6"/>
  <c r="G997" i="6"/>
  <c r="F997" i="6"/>
  <c r="E997" i="6"/>
  <c r="N996" i="6"/>
  <c r="M996" i="6"/>
  <c r="M996" i="23" s="1"/>
  <c r="K996" i="6"/>
  <c r="P996" i="23" s="1"/>
  <c r="J996" i="6"/>
  <c r="J996" i="23" s="1"/>
  <c r="I996" i="6"/>
  <c r="Q996" i="23" s="1"/>
  <c r="H996" i="6"/>
  <c r="G996" i="6"/>
  <c r="F996" i="6"/>
  <c r="E996" i="6"/>
  <c r="N995" i="6"/>
  <c r="M995" i="6"/>
  <c r="M995" i="23" s="1"/>
  <c r="K995" i="6"/>
  <c r="P995" i="23" s="1"/>
  <c r="R995" i="23" s="1"/>
  <c r="Z904" i="31" s="1"/>
  <c r="J995" i="6"/>
  <c r="J995" i="23" s="1"/>
  <c r="I995" i="6"/>
  <c r="Q995" i="23" s="1"/>
  <c r="H995" i="6"/>
  <c r="G995" i="6"/>
  <c r="F995" i="6"/>
  <c r="E995" i="6"/>
  <c r="N994" i="6"/>
  <c r="M994" i="6"/>
  <c r="M994" i="23" s="1"/>
  <c r="K994" i="6"/>
  <c r="P994" i="23" s="1"/>
  <c r="J994" i="6"/>
  <c r="J994" i="23" s="1"/>
  <c r="I994" i="6"/>
  <c r="Q994" i="23" s="1"/>
  <c r="H994" i="6"/>
  <c r="G994" i="6"/>
  <c r="F994" i="6"/>
  <c r="E994" i="6"/>
  <c r="T994" i="6"/>
  <c r="E994" i="19" s="1"/>
  <c r="T995" i="6"/>
  <c r="E995" i="19" s="1"/>
  <c r="T996" i="6"/>
  <c r="E996" i="19" s="1"/>
  <c r="T997" i="6"/>
  <c r="E997" i="19" s="1"/>
  <c r="T998" i="6"/>
  <c r="E998" i="19" s="1"/>
  <c r="T999" i="6"/>
  <c r="E999" i="19" s="1"/>
  <c r="T1000" i="6"/>
  <c r="E1000" i="19" s="1"/>
  <c r="T1001" i="6"/>
  <c r="E1001" i="19" s="1"/>
  <c r="T1002" i="6"/>
  <c r="E1002" i="19" s="1"/>
  <c r="T993" i="6"/>
  <c r="E993" i="19" s="1"/>
  <c r="N993" i="6"/>
  <c r="M993" i="6"/>
  <c r="M993" i="23" s="1"/>
  <c r="K993" i="6"/>
  <c r="P993" i="23" s="1"/>
  <c r="R993" i="23" s="1"/>
  <c r="Z902" i="31" s="1"/>
  <c r="J993" i="6"/>
  <c r="J993" i="23" s="1"/>
  <c r="I993" i="6"/>
  <c r="Q993" i="23" s="1"/>
  <c r="H993" i="6"/>
  <c r="G993" i="6"/>
  <c r="F993" i="6"/>
  <c r="E993" i="6"/>
  <c r="N991" i="6"/>
  <c r="M991" i="6"/>
  <c r="M991" i="23" s="1"/>
  <c r="L991" i="6"/>
  <c r="K991" i="6"/>
  <c r="P991" i="23" s="1"/>
  <c r="J991" i="6"/>
  <c r="J991" i="23" s="1"/>
  <c r="I991" i="6"/>
  <c r="Q991" i="23" s="1"/>
  <c r="H991" i="6"/>
  <c r="G991" i="6"/>
  <c r="F991" i="6"/>
  <c r="E991" i="6"/>
  <c r="N990" i="6"/>
  <c r="M990" i="6"/>
  <c r="M990" i="23" s="1"/>
  <c r="L990" i="6"/>
  <c r="K990" i="6"/>
  <c r="P990" i="23" s="1"/>
  <c r="R990" i="23" s="1"/>
  <c r="Z900" i="31" s="1"/>
  <c r="J990" i="6"/>
  <c r="J990" i="23" s="1"/>
  <c r="I990" i="6"/>
  <c r="Q990" i="23" s="1"/>
  <c r="H990" i="6"/>
  <c r="G990" i="6"/>
  <c r="F990" i="6"/>
  <c r="E990" i="6"/>
  <c r="N989" i="6"/>
  <c r="M989" i="6"/>
  <c r="M989" i="23" s="1"/>
  <c r="L989" i="6"/>
  <c r="K989" i="6"/>
  <c r="P989" i="23" s="1"/>
  <c r="J989" i="6"/>
  <c r="J989" i="23" s="1"/>
  <c r="I989" i="6"/>
  <c r="Q989" i="23" s="1"/>
  <c r="H989" i="6"/>
  <c r="G989" i="6"/>
  <c r="F989" i="6"/>
  <c r="E989" i="6"/>
  <c r="N988" i="6"/>
  <c r="M988" i="6"/>
  <c r="M988" i="23" s="1"/>
  <c r="L988" i="6"/>
  <c r="K988" i="6"/>
  <c r="P988" i="23" s="1"/>
  <c r="R988" i="23" s="1"/>
  <c r="Z898" i="31" s="1"/>
  <c r="J988" i="6"/>
  <c r="J988" i="23" s="1"/>
  <c r="I988" i="6"/>
  <c r="Q988" i="23" s="1"/>
  <c r="H988" i="6"/>
  <c r="G988" i="6"/>
  <c r="F988" i="6"/>
  <c r="E988" i="6"/>
  <c r="N987" i="6"/>
  <c r="M987" i="6"/>
  <c r="M987" i="23" s="1"/>
  <c r="L987" i="6"/>
  <c r="K987" i="6"/>
  <c r="P987" i="23" s="1"/>
  <c r="J987" i="6"/>
  <c r="J987" i="23" s="1"/>
  <c r="I987" i="6"/>
  <c r="Q987" i="23" s="1"/>
  <c r="H987" i="6"/>
  <c r="G987" i="6"/>
  <c r="F987" i="6"/>
  <c r="E987" i="6"/>
  <c r="N986" i="6"/>
  <c r="M986" i="6"/>
  <c r="M986" i="23" s="1"/>
  <c r="L986" i="6"/>
  <c r="K986" i="6"/>
  <c r="P986" i="23" s="1"/>
  <c r="R986" i="23" s="1"/>
  <c r="Z896" i="31" s="1"/>
  <c r="J986" i="6"/>
  <c r="J986" i="23" s="1"/>
  <c r="I986" i="6"/>
  <c r="Q986" i="23" s="1"/>
  <c r="H986" i="6"/>
  <c r="G986" i="6"/>
  <c r="F986" i="6"/>
  <c r="E986" i="6"/>
  <c r="N985" i="6"/>
  <c r="M985" i="6"/>
  <c r="M985" i="23" s="1"/>
  <c r="L985" i="6"/>
  <c r="K985" i="6"/>
  <c r="P985" i="23" s="1"/>
  <c r="J985" i="6"/>
  <c r="J985" i="23" s="1"/>
  <c r="I985" i="6"/>
  <c r="Q985" i="23" s="1"/>
  <c r="H985" i="6"/>
  <c r="G985" i="6"/>
  <c r="F985" i="6"/>
  <c r="E985" i="6"/>
  <c r="N984" i="6"/>
  <c r="M984" i="6"/>
  <c r="M984" i="23" s="1"/>
  <c r="L984" i="6"/>
  <c r="K984" i="6"/>
  <c r="P984" i="23" s="1"/>
  <c r="R984" i="23" s="1"/>
  <c r="Z894" i="31" s="1"/>
  <c r="J984" i="6"/>
  <c r="J984" i="23" s="1"/>
  <c r="I984" i="6"/>
  <c r="Q984" i="23" s="1"/>
  <c r="H984" i="6"/>
  <c r="G984" i="6"/>
  <c r="F983" i="6"/>
  <c r="F984" i="6"/>
  <c r="E984" i="6"/>
  <c r="N983" i="6"/>
  <c r="M983" i="6"/>
  <c r="M983" i="23" s="1"/>
  <c r="L983" i="6"/>
  <c r="K983" i="6"/>
  <c r="P983" i="23" s="1"/>
  <c r="J983" i="6"/>
  <c r="J983" i="23" s="1"/>
  <c r="I983" i="6"/>
  <c r="Q983" i="23" s="1"/>
  <c r="H983" i="6"/>
  <c r="G983" i="6"/>
  <c r="E983" i="6"/>
  <c r="T983" i="6"/>
  <c r="E983" i="19" s="1"/>
  <c r="T984" i="6"/>
  <c r="E984" i="19" s="1"/>
  <c r="T985" i="6"/>
  <c r="E985" i="19" s="1"/>
  <c r="T986" i="6"/>
  <c r="E986" i="19" s="1"/>
  <c r="T987" i="6"/>
  <c r="E987" i="19" s="1"/>
  <c r="T988" i="6"/>
  <c r="E988" i="19" s="1"/>
  <c r="T989" i="6"/>
  <c r="E989" i="19" s="1"/>
  <c r="T990" i="6"/>
  <c r="E990" i="19" s="1"/>
  <c r="T991" i="6"/>
  <c r="E991" i="19" s="1"/>
  <c r="T982" i="6"/>
  <c r="E982" i="19" s="1"/>
  <c r="N982" i="6"/>
  <c r="M982" i="6"/>
  <c r="M982" i="23" s="1"/>
  <c r="L982" i="6"/>
  <c r="L981" i="6"/>
  <c r="K982" i="6"/>
  <c r="P982" i="23" s="1"/>
  <c r="R982" i="23" s="1"/>
  <c r="Z892" i="31" s="1"/>
  <c r="J982" i="6"/>
  <c r="J982" i="23" s="1"/>
  <c r="I982" i="6"/>
  <c r="Q982" i="23" s="1"/>
  <c r="H982" i="6"/>
  <c r="G982" i="6"/>
  <c r="F982" i="6"/>
  <c r="E982" i="6"/>
  <c r="W939" i="6"/>
  <c r="W940" i="6"/>
  <c r="W941" i="6"/>
  <c r="W942" i="6"/>
  <c r="W946" i="6"/>
  <c r="W947" i="6"/>
  <c r="V936" i="6"/>
  <c r="E936" i="28" s="1"/>
  <c r="N936" i="6"/>
  <c r="M936" i="6"/>
  <c r="M936" i="23" s="1"/>
  <c r="L936" i="6"/>
  <c r="K936" i="6"/>
  <c r="P936" i="23" s="1"/>
  <c r="R936" i="23" s="1"/>
  <c r="Z851" i="31" s="1"/>
  <c r="J936" i="6"/>
  <c r="J936" i="23" s="1"/>
  <c r="I936" i="6"/>
  <c r="Q936" i="23" s="1"/>
  <c r="H936" i="6"/>
  <c r="G936" i="6"/>
  <c r="F936" i="6"/>
  <c r="E936" i="6"/>
  <c r="X935" i="6"/>
  <c r="E935" i="29" s="1"/>
  <c r="T850" i="31" s="1"/>
  <c r="V935" i="6"/>
  <c r="E935" i="28" s="1"/>
  <c r="X934" i="6"/>
  <c r="E934" i="29" s="1"/>
  <c r="T849" i="31" s="1"/>
  <c r="V934" i="6"/>
  <c r="E934" i="28" s="1"/>
  <c r="N935" i="6"/>
  <c r="N934" i="6"/>
  <c r="M935" i="6"/>
  <c r="M935" i="23" s="1"/>
  <c r="M934" i="6"/>
  <c r="M934" i="23" s="1"/>
  <c r="L935" i="6"/>
  <c r="L934" i="6"/>
  <c r="K935" i="6"/>
  <c r="P935" i="23" s="1"/>
  <c r="K934" i="6"/>
  <c r="P934" i="23" s="1"/>
  <c r="R934" i="23" s="1"/>
  <c r="Z849" i="31" s="1"/>
  <c r="J935" i="6"/>
  <c r="J935" i="23" s="1"/>
  <c r="J934" i="6"/>
  <c r="J934" i="23" s="1"/>
  <c r="I935" i="6"/>
  <c r="Q935" i="23" s="1"/>
  <c r="I934" i="6"/>
  <c r="Q934" i="23" s="1"/>
  <c r="H935" i="6"/>
  <c r="H934" i="6"/>
  <c r="G935" i="6"/>
  <c r="G934" i="6"/>
  <c r="F935" i="6"/>
  <c r="E935" i="6"/>
  <c r="F934" i="6"/>
  <c r="E934" i="6"/>
  <c r="X933" i="6"/>
  <c r="E933" i="29" s="1"/>
  <c r="T848" i="31" s="1"/>
  <c r="V933" i="6"/>
  <c r="E933" i="28" s="1"/>
  <c r="N933" i="6"/>
  <c r="M932" i="6"/>
  <c r="M932" i="23" s="1"/>
  <c r="M933" i="6"/>
  <c r="M933" i="23" s="1"/>
  <c r="L933" i="6"/>
  <c r="K933" i="6"/>
  <c r="P933" i="23" s="1"/>
  <c r="J933" i="6"/>
  <c r="J933" i="23" s="1"/>
  <c r="I933" i="6"/>
  <c r="Q933" i="23" s="1"/>
  <c r="H933" i="6"/>
  <c r="G933" i="6"/>
  <c r="F933" i="6"/>
  <c r="E933" i="6"/>
  <c r="F934" i="23" l="1"/>
  <c r="F934" i="8"/>
  <c r="P851" i="31"/>
  <c r="S851" i="31"/>
  <c r="E935" i="23"/>
  <c r="G935" i="23" s="1"/>
  <c r="I935" i="23" s="1"/>
  <c r="E935" i="8"/>
  <c r="F935" i="23"/>
  <c r="F935" i="8"/>
  <c r="L935" i="23"/>
  <c r="X850" i="31" s="1"/>
  <c r="F936" i="23"/>
  <c r="F936" i="8"/>
  <c r="H982" i="23"/>
  <c r="K982" i="23" s="1"/>
  <c r="N982" i="23" s="1"/>
  <c r="O982" i="23" s="1"/>
  <c r="Y892" i="31" s="1"/>
  <c r="E982" i="20"/>
  <c r="U892" i="31" s="1"/>
  <c r="H983" i="23"/>
  <c r="K983" i="23" s="1"/>
  <c r="N983" i="23" s="1"/>
  <c r="E983" i="20"/>
  <c r="U893" i="31" s="1"/>
  <c r="R983" i="23"/>
  <c r="Z893" i="31" s="1"/>
  <c r="F984" i="23"/>
  <c r="F984" i="8"/>
  <c r="E985" i="23"/>
  <c r="E985" i="8"/>
  <c r="L985" i="23"/>
  <c r="X895" i="31" s="1"/>
  <c r="F986" i="23"/>
  <c r="F986" i="8"/>
  <c r="E987" i="23"/>
  <c r="E987" i="8"/>
  <c r="G987" i="8" s="1"/>
  <c r="E897" i="31" s="1"/>
  <c r="F988" i="23"/>
  <c r="F988" i="8"/>
  <c r="E989" i="23"/>
  <c r="G989" i="23" s="1"/>
  <c r="I989" i="23" s="1"/>
  <c r="E989" i="8"/>
  <c r="F990" i="23"/>
  <c r="F990" i="8"/>
  <c r="E991" i="23"/>
  <c r="E991" i="8"/>
  <c r="F993" i="23"/>
  <c r="F993" i="8"/>
  <c r="F995" i="23"/>
  <c r="F995" i="8"/>
  <c r="H996" i="23"/>
  <c r="K996" i="23" s="1"/>
  <c r="N996" i="23" s="1"/>
  <c r="E996" i="20"/>
  <c r="U905" i="31" s="1"/>
  <c r="R996" i="23"/>
  <c r="Z905" i="31" s="1"/>
  <c r="E997" i="23"/>
  <c r="E997" i="8"/>
  <c r="F999" i="23"/>
  <c r="F999" i="8"/>
  <c r="F1000" i="23"/>
  <c r="F1000" i="8"/>
  <c r="E1001" i="23"/>
  <c r="G1001" i="23" s="1"/>
  <c r="I1001" i="23" s="1"/>
  <c r="E1001" i="8"/>
  <c r="F1002" i="23"/>
  <c r="F1002" i="8"/>
  <c r="H1028" i="23"/>
  <c r="K1028" i="23" s="1"/>
  <c r="N1028" i="23" s="1"/>
  <c r="E1028" i="20"/>
  <c r="U934" i="31" s="1"/>
  <c r="O1029" i="23"/>
  <c r="Y935" i="31" s="1"/>
  <c r="H1030" i="23"/>
  <c r="K1030" i="23" s="1"/>
  <c r="N1030" i="23" s="1"/>
  <c r="E1030" i="20"/>
  <c r="U936" i="31" s="1"/>
  <c r="H1032" i="23"/>
  <c r="K1032" i="23" s="1"/>
  <c r="N1032" i="23" s="1"/>
  <c r="O1032" i="23" s="1"/>
  <c r="Y938" i="31" s="1"/>
  <c r="E1032" i="20"/>
  <c r="U938" i="31" s="1"/>
  <c r="H1034" i="23"/>
  <c r="K1034" i="23" s="1"/>
  <c r="N1034" i="23" s="1"/>
  <c r="E1034" i="20"/>
  <c r="U940" i="31" s="1"/>
  <c r="H1035" i="23"/>
  <c r="K1035" i="23" s="1"/>
  <c r="N1035" i="23" s="1"/>
  <c r="E1035" i="20"/>
  <c r="U941" i="31" s="1"/>
  <c r="S941" i="31"/>
  <c r="P941" i="31"/>
  <c r="H1046" i="23"/>
  <c r="K1046" i="23" s="1"/>
  <c r="N1046" i="23" s="1"/>
  <c r="E1046" i="20"/>
  <c r="U951" i="31" s="1"/>
  <c r="R1046" i="23"/>
  <c r="Z951" i="31" s="1"/>
  <c r="O1046" i="23"/>
  <c r="Y951" i="31" s="1"/>
  <c r="H1043" i="23"/>
  <c r="K1043" i="23" s="1"/>
  <c r="N1043" i="23" s="1"/>
  <c r="O1043" i="23" s="1"/>
  <c r="Y948" i="31" s="1"/>
  <c r="E1043" i="20"/>
  <c r="U948" i="31" s="1"/>
  <c r="R1043" i="23"/>
  <c r="Z948" i="31" s="1"/>
  <c r="F1041" i="23"/>
  <c r="F1041" i="8"/>
  <c r="S1143" i="23"/>
  <c r="AA1039" i="31" s="1"/>
  <c r="W1039" i="31"/>
  <c r="W957" i="31"/>
  <c r="W760" i="31"/>
  <c r="S836" i="23"/>
  <c r="AA760" i="31" s="1"/>
  <c r="W770" i="31"/>
  <c r="S847" i="23"/>
  <c r="AA770" i="31" s="1"/>
  <c r="I1131" i="23"/>
  <c r="L1056" i="23"/>
  <c r="X960" i="31" s="1"/>
  <c r="I814" i="23"/>
  <c r="L810" i="23"/>
  <c r="X736" i="31" s="1"/>
  <c r="I834" i="23"/>
  <c r="L845" i="23"/>
  <c r="X768" i="31" s="1"/>
  <c r="G1134" i="23"/>
  <c r="I1134" i="23" s="1"/>
  <c r="G1057" i="8"/>
  <c r="E961" i="31" s="1"/>
  <c r="G1052" i="8"/>
  <c r="E956" i="31" s="1"/>
  <c r="L832" i="23"/>
  <c r="X756" i="31" s="1"/>
  <c r="I832" i="23"/>
  <c r="G846" i="23"/>
  <c r="I846" i="23" s="1"/>
  <c r="L843" i="23"/>
  <c r="X766" i="31" s="1"/>
  <c r="I843" i="23"/>
  <c r="L842" i="23"/>
  <c r="X765" i="31" s="1"/>
  <c r="L1131" i="23"/>
  <c r="X1028" i="31" s="1"/>
  <c r="G1129" i="8"/>
  <c r="E1026" i="31" s="1"/>
  <c r="G1126" i="23"/>
  <c r="I1126" i="23" s="1"/>
  <c r="L1054" i="23"/>
  <c r="X958" i="31" s="1"/>
  <c r="G1048" i="8"/>
  <c r="E952" i="31" s="1"/>
  <c r="G1050" i="8"/>
  <c r="E954" i="31" s="1"/>
  <c r="G815" i="23"/>
  <c r="I815" i="23" s="1"/>
  <c r="G813" i="8"/>
  <c r="E739" i="31" s="1"/>
  <c r="L811" i="23"/>
  <c r="X737" i="31" s="1"/>
  <c r="L807" i="23"/>
  <c r="X733" i="31" s="1"/>
  <c r="P850" i="31"/>
  <c r="S850" i="31"/>
  <c r="S849" i="31"/>
  <c r="P849" i="31"/>
  <c r="F982" i="23"/>
  <c r="F982" i="8"/>
  <c r="F983" i="23"/>
  <c r="F983" i="8"/>
  <c r="E984" i="23"/>
  <c r="E984" i="8"/>
  <c r="G984" i="8" s="1"/>
  <c r="E894" i="31" s="1"/>
  <c r="H985" i="23"/>
  <c r="K985" i="23" s="1"/>
  <c r="N985" i="23" s="1"/>
  <c r="E985" i="20"/>
  <c r="U895" i="31" s="1"/>
  <c r="R985" i="23"/>
  <c r="Z895" i="31" s="1"/>
  <c r="H987" i="23"/>
  <c r="K987" i="23" s="1"/>
  <c r="N987" i="23" s="1"/>
  <c r="E987" i="20"/>
  <c r="U897" i="31" s="1"/>
  <c r="R987" i="23"/>
  <c r="Z897" i="31" s="1"/>
  <c r="H989" i="23"/>
  <c r="K989" i="23" s="1"/>
  <c r="N989" i="23" s="1"/>
  <c r="E989" i="20"/>
  <c r="U899" i="31" s="1"/>
  <c r="R989" i="23"/>
  <c r="Z899" i="31" s="1"/>
  <c r="H991" i="23"/>
  <c r="K991" i="23" s="1"/>
  <c r="N991" i="23" s="1"/>
  <c r="E991" i="20"/>
  <c r="U901" i="31" s="1"/>
  <c r="R991" i="23"/>
  <c r="Z901" i="31" s="1"/>
  <c r="E994" i="23"/>
  <c r="E994" i="8"/>
  <c r="F996" i="23"/>
  <c r="F996" i="8"/>
  <c r="O996" i="23"/>
  <c r="Y905" i="31" s="1"/>
  <c r="H997" i="23"/>
  <c r="K997" i="23" s="1"/>
  <c r="N997" i="23" s="1"/>
  <c r="E997" i="20"/>
  <c r="U906" i="31" s="1"/>
  <c r="R997" i="23"/>
  <c r="Z906" i="31" s="1"/>
  <c r="E998" i="23"/>
  <c r="E998" i="8"/>
  <c r="L998" i="23"/>
  <c r="X907" i="31" s="1"/>
  <c r="H1001" i="23"/>
  <c r="K1001" i="23" s="1"/>
  <c r="N1001" i="23" s="1"/>
  <c r="E1001" i="20"/>
  <c r="U910" i="31" s="1"/>
  <c r="R1001" i="23"/>
  <c r="Z910" i="31" s="1"/>
  <c r="E1026" i="23"/>
  <c r="E1026" i="8"/>
  <c r="L1026" i="23"/>
  <c r="X932" i="31" s="1"/>
  <c r="E1027" i="23"/>
  <c r="E1027" i="8"/>
  <c r="L1027" i="23"/>
  <c r="X933" i="31" s="1"/>
  <c r="F1028" i="23"/>
  <c r="F1028" i="8"/>
  <c r="E1029" i="23"/>
  <c r="E1029" i="8"/>
  <c r="G1029" i="8" s="1"/>
  <c r="E935" i="31" s="1"/>
  <c r="F1030" i="23"/>
  <c r="F1030" i="8"/>
  <c r="E1031" i="23"/>
  <c r="G1031" i="23" s="1"/>
  <c r="I1031" i="23" s="1"/>
  <c r="E1031" i="8"/>
  <c r="F1032" i="23"/>
  <c r="F1032" i="8"/>
  <c r="E1033" i="23"/>
  <c r="E1033" i="8"/>
  <c r="F1034" i="23"/>
  <c r="F1034" i="8"/>
  <c r="F1035" i="23"/>
  <c r="F1035" i="8"/>
  <c r="P940" i="31"/>
  <c r="S940" i="31"/>
  <c r="E1045" i="23"/>
  <c r="E1045" i="8"/>
  <c r="G1045" i="8" s="1"/>
  <c r="E950" i="31" s="1"/>
  <c r="F1045" i="23"/>
  <c r="F1045" i="8"/>
  <c r="E1044" i="23"/>
  <c r="E1044" i="8"/>
  <c r="G1044" i="8" s="1"/>
  <c r="E949" i="31" s="1"/>
  <c r="E1042" i="23"/>
  <c r="E1042" i="8"/>
  <c r="G1042" i="8" s="1"/>
  <c r="E947" i="31" s="1"/>
  <c r="F1042" i="23"/>
  <c r="F1042" i="8"/>
  <c r="W1030" i="31"/>
  <c r="S1133" i="23"/>
  <c r="AA1030" i="31" s="1"/>
  <c r="W761" i="31"/>
  <c r="S837" i="23"/>
  <c r="AA761" i="31" s="1"/>
  <c r="W767" i="31"/>
  <c r="S844" i="23"/>
  <c r="AA767" i="31" s="1"/>
  <c r="I812" i="23"/>
  <c r="L808" i="23"/>
  <c r="X734" i="31" s="1"/>
  <c r="W1036" i="31"/>
  <c r="S1140" i="23"/>
  <c r="AA1036" i="31" s="1"/>
  <c r="S1142" i="23"/>
  <c r="AA1038" i="31" s="1"/>
  <c r="W1038" i="31"/>
  <c r="G1057" i="23"/>
  <c r="I1057" i="23" s="1"/>
  <c r="G1052" i="23"/>
  <c r="I1052" i="23" s="1"/>
  <c r="L848" i="23"/>
  <c r="X771" i="31" s="1"/>
  <c r="L1130" i="23"/>
  <c r="X1027" i="31" s="1"/>
  <c r="G1129" i="23"/>
  <c r="I1129" i="23" s="1"/>
  <c r="L1055" i="23"/>
  <c r="X959" i="31" s="1"/>
  <c r="G1054" i="8"/>
  <c r="E958" i="31" s="1"/>
  <c r="G1048" i="23"/>
  <c r="I1048" i="23" s="1"/>
  <c r="G1050" i="23"/>
  <c r="I1050" i="23" s="1"/>
  <c r="G813" i="23"/>
  <c r="I813" i="23" s="1"/>
  <c r="G811" i="8"/>
  <c r="E737" i="31" s="1"/>
  <c r="L809" i="23"/>
  <c r="X735" i="31" s="1"/>
  <c r="P848" i="31"/>
  <c r="S848" i="31"/>
  <c r="H936" i="23"/>
  <c r="K936" i="23" s="1"/>
  <c r="N936" i="23" s="1"/>
  <c r="O936" i="23" s="1"/>
  <c r="Y851" i="31" s="1"/>
  <c r="E936" i="20"/>
  <c r="U851" i="31" s="1"/>
  <c r="E982" i="23"/>
  <c r="G982" i="23" s="1"/>
  <c r="I982" i="23" s="1"/>
  <c r="E982" i="8"/>
  <c r="E933" i="23"/>
  <c r="E933" i="8"/>
  <c r="G933" i="8" s="1"/>
  <c r="E848" i="31" s="1"/>
  <c r="H934" i="23"/>
  <c r="K934" i="23" s="1"/>
  <c r="N934" i="23" s="1"/>
  <c r="E934" i="20"/>
  <c r="U849" i="31" s="1"/>
  <c r="O934" i="23"/>
  <c r="Y849" i="31" s="1"/>
  <c r="H933" i="23"/>
  <c r="K933" i="23" s="1"/>
  <c r="N933" i="23" s="1"/>
  <c r="O933" i="23" s="1"/>
  <c r="Y848" i="31" s="1"/>
  <c r="E933" i="20"/>
  <c r="U848" i="31" s="1"/>
  <c r="R933" i="23"/>
  <c r="Z848" i="31" s="1"/>
  <c r="E934" i="23"/>
  <c r="G934" i="23" s="1"/>
  <c r="I934" i="23" s="1"/>
  <c r="E934" i="8"/>
  <c r="G934" i="8" s="1"/>
  <c r="E849" i="31" s="1"/>
  <c r="H935" i="23"/>
  <c r="K935" i="23" s="1"/>
  <c r="N935" i="23" s="1"/>
  <c r="O935" i="23" s="1"/>
  <c r="Y850" i="31" s="1"/>
  <c r="E935" i="20"/>
  <c r="U850" i="31" s="1"/>
  <c r="R935" i="23"/>
  <c r="Z850" i="31" s="1"/>
  <c r="E936" i="23"/>
  <c r="G936" i="23" s="1"/>
  <c r="I936" i="23" s="1"/>
  <c r="E936" i="8"/>
  <c r="G936" i="8" s="1"/>
  <c r="E851" i="31" s="1"/>
  <c r="L936" i="23"/>
  <c r="X851" i="31" s="1"/>
  <c r="O983" i="23"/>
  <c r="Y893" i="31" s="1"/>
  <c r="E983" i="23"/>
  <c r="G983" i="23" s="1"/>
  <c r="I983" i="23" s="1"/>
  <c r="E983" i="8"/>
  <c r="G983" i="8" s="1"/>
  <c r="E893" i="31" s="1"/>
  <c r="L984" i="23"/>
  <c r="X894" i="31" s="1"/>
  <c r="F985" i="23"/>
  <c r="F985" i="8"/>
  <c r="E986" i="23"/>
  <c r="G986" i="23" s="1"/>
  <c r="E986" i="8"/>
  <c r="G986" i="8" s="1"/>
  <c r="E896" i="31" s="1"/>
  <c r="F987" i="23"/>
  <c r="F987" i="8"/>
  <c r="E988" i="23"/>
  <c r="G988" i="23" s="1"/>
  <c r="E988" i="8"/>
  <c r="G988" i="8" s="1"/>
  <c r="E898" i="31" s="1"/>
  <c r="F989" i="23"/>
  <c r="F989" i="8"/>
  <c r="E990" i="23"/>
  <c r="G990" i="23" s="1"/>
  <c r="E990" i="8"/>
  <c r="F991" i="23"/>
  <c r="F991" i="8"/>
  <c r="E993" i="23"/>
  <c r="E993" i="8"/>
  <c r="G993" i="8" s="1"/>
  <c r="E902" i="31" s="1"/>
  <c r="L993" i="23"/>
  <c r="X902" i="31" s="1"/>
  <c r="H994" i="23"/>
  <c r="K994" i="23" s="1"/>
  <c r="N994" i="23" s="1"/>
  <c r="E994" i="20"/>
  <c r="U903" i="31" s="1"/>
  <c r="R994" i="23"/>
  <c r="Z903" i="31" s="1"/>
  <c r="E995" i="23"/>
  <c r="G995" i="23" s="1"/>
  <c r="I995" i="23" s="1"/>
  <c r="E995" i="8"/>
  <c r="F997" i="23"/>
  <c r="F997" i="8"/>
  <c r="O997" i="23"/>
  <c r="Y906" i="31" s="1"/>
  <c r="H998" i="23"/>
  <c r="K998" i="23" s="1"/>
  <c r="N998" i="23" s="1"/>
  <c r="E998" i="20"/>
  <c r="U907" i="31" s="1"/>
  <c r="E999" i="23"/>
  <c r="G999" i="23" s="1"/>
  <c r="I999" i="23" s="1"/>
  <c r="E999" i="8"/>
  <c r="G999" i="8" s="1"/>
  <c r="E908" i="31" s="1"/>
  <c r="E1000" i="23"/>
  <c r="G1000" i="23" s="1"/>
  <c r="E1000" i="8"/>
  <c r="G1000" i="8" s="1"/>
  <c r="E909" i="31" s="1"/>
  <c r="F1001" i="23"/>
  <c r="F1001" i="8"/>
  <c r="E1002" i="23"/>
  <c r="G1002" i="23" s="1"/>
  <c r="I1002" i="23" s="1"/>
  <c r="E1002" i="8"/>
  <c r="H1026" i="23"/>
  <c r="K1026" i="23" s="1"/>
  <c r="N1026" i="23" s="1"/>
  <c r="O1026" i="23" s="1"/>
  <c r="Y932" i="31" s="1"/>
  <c r="E1026" i="20"/>
  <c r="U932" i="31" s="1"/>
  <c r="R1026" i="23"/>
  <c r="Z932" i="31" s="1"/>
  <c r="H1027" i="23"/>
  <c r="K1027" i="23" s="1"/>
  <c r="N1027" i="23" s="1"/>
  <c r="O1027" i="23" s="1"/>
  <c r="Y933" i="31" s="1"/>
  <c r="E1027" i="20"/>
  <c r="U933" i="31" s="1"/>
  <c r="R1027" i="23"/>
  <c r="Z933" i="31" s="1"/>
  <c r="O1028" i="23"/>
  <c r="Y934" i="31" s="1"/>
  <c r="H1029" i="23"/>
  <c r="K1029" i="23" s="1"/>
  <c r="N1029" i="23" s="1"/>
  <c r="E1029" i="20"/>
  <c r="U935" i="31" s="1"/>
  <c r="R1029" i="23"/>
  <c r="Z935" i="31" s="1"/>
  <c r="O1030" i="23"/>
  <c r="Y936" i="31" s="1"/>
  <c r="H1031" i="23"/>
  <c r="K1031" i="23" s="1"/>
  <c r="N1031" i="23" s="1"/>
  <c r="O1031" i="23" s="1"/>
  <c r="Y937" i="31" s="1"/>
  <c r="E1031" i="20"/>
  <c r="U937" i="31" s="1"/>
  <c r="R1031" i="23"/>
  <c r="Z937" i="31" s="1"/>
  <c r="H1033" i="23"/>
  <c r="K1033" i="23" s="1"/>
  <c r="N1033" i="23" s="1"/>
  <c r="O1033" i="23" s="1"/>
  <c r="Y939" i="31" s="1"/>
  <c r="E1033" i="20"/>
  <c r="U939" i="31" s="1"/>
  <c r="R1033" i="23"/>
  <c r="Z939" i="31" s="1"/>
  <c r="O1034" i="23"/>
  <c r="Y940" i="31" s="1"/>
  <c r="O1035" i="23"/>
  <c r="Y941" i="31" s="1"/>
  <c r="E1046" i="23"/>
  <c r="G1046" i="23" s="1"/>
  <c r="I1046" i="23" s="1"/>
  <c r="E1046" i="8"/>
  <c r="G1046" i="8" s="1"/>
  <c r="E951" i="31" s="1"/>
  <c r="F1046" i="23"/>
  <c r="F1046" i="8"/>
  <c r="L1046" i="23"/>
  <c r="X951" i="31" s="1"/>
  <c r="H1044" i="23"/>
  <c r="K1044" i="23" s="1"/>
  <c r="N1044" i="23" s="1"/>
  <c r="O1044" i="23" s="1"/>
  <c r="Y949" i="31" s="1"/>
  <c r="E1044" i="20"/>
  <c r="U949" i="31" s="1"/>
  <c r="R1044" i="23"/>
  <c r="Z949" i="31" s="1"/>
  <c r="E1043" i="23"/>
  <c r="G1043" i="23" s="1"/>
  <c r="I1043" i="23" s="1"/>
  <c r="E1043" i="8"/>
  <c r="G1043" i="8" s="1"/>
  <c r="E948" i="31" s="1"/>
  <c r="F1043" i="23"/>
  <c r="F1043" i="8"/>
  <c r="L1043" i="23"/>
  <c r="X948" i="31" s="1"/>
  <c r="E1041" i="23"/>
  <c r="G1041" i="23" s="1"/>
  <c r="I1041" i="23" s="1"/>
  <c r="E1041" i="8"/>
  <c r="G1041" i="8" s="1"/>
  <c r="E946" i="31" s="1"/>
  <c r="W955" i="31"/>
  <c r="S1051" i="23"/>
  <c r="AA955" i="31" s="1"/>
  <c r="G1132" i="23"/>
  <c r="I1132" i="23" s="1"/>
  <c r="G1125" i="23"/>
  <c r="I1125" i="23" s="1"/>
  <c r="I1056" i="23"/>
  <c r="G1049" i="8"/>
  <c r="E953" i="31" s="1"/>
  <c r="L814" i="23"/>
  <c r="X740" i="31" s="1"/>
  <c r="I810" i="23"/>
  <c r="L834" i="23"/>
  <c r="X758" i="31" s="1"/>
  <c r="G833" i="23"/>
  <c r="I833" i="23" s="1"/>
  <c r="I845" i="23"/>
  <c r="S421" i="31"/>
  <c r="P421" i="31"/>
  <c r="W1040" i="31"/>
  <c r="S1144" i="23"/>
  <c r="AA1040" i="31" s="1"/>
  <c r="L1134" i="23"/>
  <c r="X1031" i="31" s="1"/>
  <c r="L1125" i="23"/>
  <c r="X1022" i="31" s="1"/>
  <c r="I808" i="23"/>
  <c r="G848" i="8"/>
  <c r="E771" i="31" s="1"/>
  <c r="L846" i="23"/>
  <c r="X769" i="31" s="1"/>
  <c r="G1055" i="8"/>
  <c r="E959" i="31" s="1"/>
  <c r="G1054" i="23"/>
  <c r="I1054" i="23" s="1"/>
  <c r="L1052" i="23"/>
  <c r="X956" i="31" s="1"/>
  <c r="L815" i="23"/>
  <c r="X741" i="31" s="1"/>
  <c r="G811" i="23"/>
  <c r="I811" i="23" s="1"/>
  <c r="G809" i="8"/>
  <c r="E735" i="31" s="1"/>
  <c r="G842" i="8"/>
  <c r="E765" i="31" s="1"/>
  <c r="F933" i="23"/>
  <c r="F933" i="8"/>
  <c r="L982" i="23"/>
  <c r="X892" i="31" s="1"/>
  <c r="L983" i="23"/>
  <c r="X893" i="31" s="1"/>
  <c r="H984" i="23"/>
  <c r="K984" i="23" s="1"/>
  <c r="N984" i="23" s="1"/>
  <c r="O984" i="23" s="1"/>
  <c r="Y894" i="31" s="1"/>
  <c r="E984" i="20"/>
  <c r="U894" i="31" s="1"/>
  <c r="O985" i="23"/>
  <c r="Y895" i="31" s="1"/>
  <c r="H986" i="23"/>
  <c r="K986" i="23" s="1"/>
  <c r="N986" i="23" s="1"/>
  <c r="O986" i="23" s="1"/>
  <c r="Y896" i="31" s="1"/>
  <c r="E986" i="20"/>
  <c r="U896" i="31" s="1"/>
  <c r="O987" i="23"/>
  <c r="Y897" i="31" s="1"/>
  <c r="H988" i="23"/>
  <c r="K988" i="23" s="1"/>
  <c r="N988" i="23" s="1"/>
  <c r="O988" i="23" s="1"/>
  <c r="Y898" i="31" s="1"/>
  <c r="E988" i="20"/>
  <c r="U898" i="31" s="1"/>
  <c r="O989" i="23"/>
  <c r="Y899" i="31" s="1"/>
  <c r="E990" i="20"/>
  <c r="U900" i="31" s="1"/>
  <c r="H990" i="23"/>
  <c r="K990" i="23" s="1"/>
  <c r="N990" i="23" s="1"/>
  <c r="O990" i="23" s="1"/>
  <c r="Y900" i="31" s="1"/>
  <c r="O991" i="23"/>
  <c r="Y901" i="31" s="1"/>
  <c r="H993" i="23"/>
  <c r="K993" i="23" s="1"/>
  <c r="N993" i="23" s="1"/>
  <c r="O993" i="23" s="1"/>
  <c r="Y902" i="31" s="1"/>
  <c r="E993" i="20"/>
  <c r="U902" i="31" s="1"/>
  <c r="F994" i="23"/>
  <c r="F994" i="8"/>
  <c r="O994" i="23"/>
  <c r="Y903" i="31" s="1"/>
  <c r="H995" i="23"/>
  <c r="K995" i="23" s="1"/>
  <c r="N995" i="23" s="1"/>
  <c r="O995" i="23" s="1"/>
  <c r="Y904" i="31" s="1"/>
  <c r="E995" i="20"/>
  <c r="U904" i="31" s="1"/>
  <c r="E996" i="23"/>
  <c r="E996" i="8"/>
  <c r="G996" i="8" s="1"/>
  <c r="E905" i="31" s="1"/>
  <c r="L996" i="23"/>
  <c r="X905" i="31" s="1"/>
  <c r="F998" i="23"/>
  <c r="F998" i="8"/>
  <c r="O998" i="23"/>
  <c r="Y907" i="31" s="1"/>
  <c r="H999" i="23"/>
  <c r="K999" i="23" s="1"/>
  <c r="N999" i="23" s="1"/>
  <c r="O999" i="23" s="1"/>
  <c r="Y908" i="31" s="1"/>
  <c r="E999" i="20"/>
  <c r="U908" i="31" s="1"/>
  <c r="H1000" i="23"/>
  <c r="K1000" i="23" s="1"/>
  <c r="N1000" i="23" s="1"/>
  <c r="O1000" i="23" s="1"/>
  <c r="Y909" i="31" s="1"/>
  <c r="E1000" i="20"/>
  <c r="U909" i="31" s="1"/>
  <c r="O1001" i="23"/>
  <c r="Y910" i="31" s="1"/>
  <c r="H1002" i="23"/>
  <c r="K1002" i="23" s="1"/>
  <c r="N1002" i="23" s="1"/>
  <c r="O1002" i="23" s="1"/>
  <c r="Y911" i="31" s="1"/>
  <c r="E1002" i="20"/>
  <c r="U911" i="31" s="1"/>
  <c r="F1026" i="23"/>
  <c r="F1026" i="8"/>
  <c r="F1027" i="23"/>
  <c r="F1027" i="8"/>
  <c r="E1028" i="23"/>
  <c r="G1028" i="23" s="1"/>
  <c r="I1028" i="23" s="1"/>
  <c r="E1028" i="8"/>
  <c r="G1028" i="8" s="1"/>
  <c r="E934" i="31" s="1"/>
  <c r="L1028" i="23"/>
  <c r="X934" i="31" s="1"/>
  <c r="F1029" i="23"/>
  <c r="F1029" i="8"/>
  <c r="E1030" i="23"/>
  <c r="G1030" i="23" s="1"/>
  <c r="I1030" i="23" s="1"/>
  <c r="E1030" i="8"/>
  <c r="G1030" i="8" s="1"/>
  <c r="E936" i="31" s="1"/>
  <c r="L1030" i="23"/>
  <c r="X936" i="31" s="1"/>
  <c r="F1031" i="23"/>
  <c r="F1031" i="8"/>
  <c r="E1032" i="23"/>
  <c r="G1032" i="23" s="1"/>
  <c r="E1032" i="8"/>
  <c r="F1033" i="23"/>
  <c r="F1033" i="8"/>
  <c r="E1034" i="23"/>
  <c r="E1034" i="8"/>
  <c r="G1034" i="8" s="1"/>
  <c r="E940" i="31" s="1"/>
  <c r="L1034" i="23"/>
  <c r="X940" i="31" s="1"/>
  <c r="E1035" i="23"/>
  <c r="G1035" i="23" s="1"/>
  <c r="I1035" i="23" s="1"/>
  <c r="E1035" i="8"/>
  <c r="G1035" i="8" s="1"/>
  <c r="E941" i="31" s="1"/>
  <c r="L1035" i="23"/>
  <c r="X941" i="31" s="1"/>
  <c r="H1045" i="23"/>
  <c r="K1045" i="23" s="1"/>
  <c r="N1045" i="23" s="1"/>
  <c r="O1045" i="23" s="1"/>
  <c r="Y950" i="31" s="1"/>
  <c r="E1045" i="20"/>
  <c r="U950" i="31" s="1"/>
  <c r="R1045" i="23"/>
  <c r="Z950" i="31" s="1"/>
  <c r="F1044" i="23"/>
  <c r="F1044" i="8"/>
  <c r="E1042" i="20"/>
  <c r="U947" i="31" s="1"/>
  <c r="H1042" i="23"/>
  <c r="K1042" i="23" s="1"/>
  <c r="N1042" i="23" s="1"/>
  <c r="O1042" i="23" s="1"/>
  <c r="Y947" i="31" s="1"/>
  <c r="R1042" i="23"/>
  <c r="Z947" i="31" s="1"/>
  <c r="H1041" i="23"/>
  <c r="K1041" i="23" s="1"/>
  <c r="N1041" i="23" s="1"/>
  <c r="O1041" i="23" s="1"/>
  <c r="Y946" i="31" s="1"/>
  <c r="E1041" i="20"/>
  <c r="U946" i="31" s="1"/>
  <c r="R1041" i="23"/>
  <c r="Z946" i="31" s="1"/>
  <c r="W1035" i="31"/>
  <c r="S1139" i="23"/>
  <c r="AA1035" i="31" s="1"/>
  <c r="W1025" i="31"/>
  <c r="S1128" i="23"/>
  <c r="AA1025" i="31" s="1"/>
  <c r="W732" i="31"/>
  <c r="S806" i="23"/>
  <c r="AA732" i="31" s="1"/>
  <c r="S835" i="23"/>
  <c r="AA759" i="31" s="1"/>
  <c r="W759" i="31"/>
  <c r="W1034" i="31"/>
  <c r="S1138" i="23"/>
  <c r="AA1034" i="31" s="1"/>
  <c r="I1127" i="23"/>
  <c r="G1049" i="23"/>
  <c r="I1049" i="23" s="1"/>
  <c r="L812" i="23"/>
  <c r="X738" i="31" s="1"/>
  <c r="I807" i="23"/>
  <c r="G1134" i="8"/>
  <c r="E1031" i="31" s="1"/>
  <c r="L1132" i="23"/>
  <c r="X1029" i="31" s="1"/>
  <c r="I1130" i="23"/>
  <c r="L1127" i="23"/>
  <c r="X1024" i="31" s="1"/>
  <c r="L1057" i="23"/>
  <c r="X961" i="31" s="1"/>
  <c r="G832" i="8"/>
  <c r="E756" i="31" s="1"/>
  <c r="G848" i="23"/>
  <c r="I848" i="23" s="1"/>
  <c r="G846" i="8"/>
  <c r="E769" i="31" s="1"/>
  <c r="G843" i="8"/>
  <c r="E766" i="31" s="1"/>
  <c r="P412" i="31"/>
  <c r="S412" i="31"/>
  <c r="W1033" i="31"/>
  <c r="S1137" i="23"/>
  <c r="AA1033" i="31" s="1"/>
  <c r="I1136" i="23"/>
  <c r="L1129" i="23"/>
  <c r="X1026" i="31" s="1"/>
  <c r="G1126" i="8"/>
  <c r="E1023" i="31" s="1"/>
  <c r="G1055" i="23"/>
  <c r="I1055" i="23" s="1"/>
  <c r="L1053" i="23"/>
  <c r="X957" i="31" s="1"/>
  <c r="G815" i="8"/>
  <c r="E741" i="31" s="1"/>
  <c r="L813" i="23"/>
  <c r="X739" i="31" s="1"/>
  <c r="G809" i="23"/>
  <c r="I809" i="23" s="1"/>
  <c r="I842" i="23"/>
  <c r="X932" i="6"/>
  <c r="E932" i="29" s="1"/>
  <c r="T847" i="31" s="1"/>
  <c r="V932" i="6"/>
  <c r="E932" i="28" s="1"/>
  <c r="N932" i="6"/>
  <c r="L932" i="6"/>
  <c r="K932" i="6"/>
  <c r="P932" i="23" s="1"/>
  <c r="J932" i="6"/>
  <c r="J932" i="23" s="1"/>
  <c r="I932" i="6"/>
  <c r="Q932" i="23" s="1"/>
  <c r="H932" i="6"/>
  <c r="G932" i="6"/>
  <c r="F932" i="6"/>
  <c r="E932" i="6"/>
  <c r="X931" i="6"/>
  <c r="E931" i="29" s="1"/>
  <c r="T846" i="31" s="1"/>
  <c r="V931" i="6"/>
  <c r="E931" i="28" s="1"/>
  <c r="N931" i="6"/>
  <c r="M931" i="6"/>
  <c r="M931" i="23" s="1"/>
  <c r="L931" i="6"/>
  <c r="K931" i="6"/>
  <c r="P931" i="23" s="1"/>
  <c r="J931" i="6"/>
  <c r="J931" i="23" s="1"/>
  <c r="I931" i="6"/>
  <c r="Q931" i="23" s="1"/>
  <c r="H931" i="6"/>
  <c r="G931" i="6"/>
  <c r="F931" i="6"/>
  <c r="E931" i="6"/>
  <c r="X930" i="6"/>
  <c r="E930" i="29" s="1"/>
  <c r="T845" i="31" s="1"/>
  <c r="V930" i="6"/>
  <c r="E930" i="28" s="1"/>
  <c r="G929" i="6"/>
  <c r="G930" i="6"/>
  <c r="X929" i="6"/>
  <c r="E929" i="29" s="1"/>
  <c r="T844" i="31" s="1"/>
  <c r="V929" i="6"/>
  <c r="E929" i="28" s="1"/>
  <c r="N930" i="6"/>
  <c r="N929" i="6"/>
  <c r="M930" i="6"/>
  <c r="M930" i="23" s="1"/>
  <c r="M929" i="6"/>
  <c r="M929" i="23" s="1"/>
  <c r="L930" i="6"/>
  <c r="L929" i="6"/>
  <c r="K930" i="6"/>
  <c r="P930" i="23" s="1"/>
  <c r="K929" i="6"/>
  <c r="P929" i="23" s="1"/>
  <c r="J930" i="6"/>
  <c r="J930" i="23" s="1"/>
  <c r="J929" i="6"/>
  <c r="J929" i="23" s="1"/>
  <c r="I930" i="6"/>
  <c r="Q930" i="23" s="1"/>
  <c r="I929" i="6"/>
  <c r="Q929" i="23" s="1"/>
  <c r="H929" i="6"/>
  <c r="H930" i="6"/>
  <c r="F930" i="6"/>
  <c r="F929" i="6"/>
  <c r="E930" i="6"/>
  <c r="E929" i="6"/>
  <c r="N928" i="6"/>
  <c r="M928" i="6"/>
  <c r="M928" i="23" s="1"/>
  <c r="L928" i="6"/>
  <c r="K928" i="6"/>
  <c r="P928" i="23" s="1"/>
  <c r="R928" i="23" s="1"/>
  <c r="Z843" i="31" s="1"/>
  <c r="J928" i="6"/>
  <c r="J928" i="23" s="1"/>
  <c r="I928" i="6"/>
  <c r="Q928" i="23" s="1"/>
  <c r="H928" i="6"/>
  <c r="G928" i="6"/>
  <c r="F3" i="10"/>
  <c r="F4" i="10"/>
  <c r="F5" i="10"/>
  <c r="F6" i="10"/>
  <c r="F7" i="10"/>
  <c r="F8" i="10"/>
  <c r="F9" i="10"/>
  <c r="F10" i="10"/>
  <c r="F11" i="10"/>
  <c r="F12" i="10"/>
  <c r="F13" i="10"/>
  <c r="F24" i="10"/>
  <c r="F35" i="10"/>
  <c r="F36" i="10"/>
  <c r="F37" i="10"/>
  <c r="F38" i="10"/>
  <c r="F39" i="10"/>
  <c r="F40" i="10"/>
  <c r="F41" i="10"/>
  <c r="F42" i="10"/>
  <c r="F46" i="10"/>
  <c r="F56" i="10"/>
  <c r="F57" i="10"/>
  <c r="F58" i="10"/>
  <c r="F68" i="10"/>
  <c r="F79" i="10"/>
  <c r="F90" i="10"/>
  <c r="F101" i="10"/>
  <c r="F112" i="10"/>
  <c r="F113" i="10"/>
  <c r="F114" i="10"/>
  <c r="F115" i="10"/>
  <c r="F116" i="10"/>
  <c r="F117" i="10"/>
  <c r="F123" i="10"/>
  <c r="F134" i="10"/>
  <c r="F145" i="10"/>
  <c r="F146" i="10"/>
  <c r="F147" i="10"/>
  <c r="F148" i="10"/>
  <c r="F149" i="10"/>
  <c r="F150" i="10"/>
  <c r="F151" i="10"/>
  <c r="F152" i="10"/>
  <c r="F153" i="10"/>
  <c r="F154" i="10"/>
  <c r="F156" i="10"/>
  <c r="F157" i="10"/>
  <c r="F158" i="10"/>
  <c r="F167" i="10"/>
  <c r="F178" i="10"/>
  <c r="F179" i="10"/>
  <c r="F180" i="10"/>
  <c r="F181" i="10"/>
  <c r="F182" i="10"/>
  <c r="F189" i="10"/>
  <c r="F200" i="10"/>
  <c r="F211" i="10"/>
  <c r="F212" i="10"/>
  <c r="F213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77" i="10"/>
  <c r="F278" i="10"/>
  <c r="F279" i="10"/>
  <c r="F280" i="10"/>
  <c r="F281" i="10"/>
  <c r="F282" i="10"/>
  <c r="F283" i="10"/>
  <c r="F284" i="10"/>
  <c r="F28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32" i="10"/>
  <c r="F333" i="10"/>
  <c r="F334" i="10"/>
  <c r="F335" i="10"/>
  <c r="F336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65" i="10"/>
  <c r="F376" i="10"/>
  <c r="F377" i="10"/>
  <c r="F378" i="10"/>
  <c r="F379" i="10"/>
  <c r="F380" i="10"/>
  <c r="F381" i="10"/>
  <c r="F387" i="10"/>
  <c r="F388" i="10"/>
  <c r="F397" i="10"/>
  <c r="F398" i="10"/>
  <c r="F399" i="10"/>
  <c r="F400" i="10"/>
  <c r="F409" i="10"/>
  <c r="F410" i="10"/>
  <c r="F411" i="10"/>
  <c r="F420" i="10"/>
  <c r="F431" i="10"/>
  <c r="F432" i="10"/>
  <c r="F433" i="10"/>
  <c r="F434" i="10"/>
  <c r="F442" i="10"/>
  <c r="F443" i="10"/>
  <c r="F444" i="10"/>
  <c r="F445" i="10"/>
  <c r="F453" i="10"/>
  <c r="F464" i="10"/>
  <c r="F475" i="10"/>
  <c r="F486" i="10"/>
  <c r="F487" i="10"/>
  <c r="F488" i="10"/>
  <c r="F489" i="10"/>
  <c r="F497" i="10"/>
  <c r="F498" i="10"/>
  <c r="F508" i="10"/>
  <c r="F509" i="10"/>
  <c r="F510" i="10"/>
  <c r="F511" i="10"/>
  <c r="F512" i="10"/>
  <c r="F519" i="10"/>
  <c r="F530" i="10"/>
  <c r="F531" i="10"/>
  <c r="F541" i="10"/>
  <c r="F552" i="10"/>
  <c r="F553" i="10"/>
  <c r="F554" i="10"/>
  <c r="F555" i="10"/>
  <c r="F556" i="10"/>
  <c r="F563" i="10"/>
  <c r="F574" i="10"/>
  <c r="F575" i="10"/>
  <c r="F585" i="10"/>
  <c r="F586" i="10"/>
  <c r="F587" i="10"/>
  <c r="F588" i="10"/>
  <c r="F589" i="10"/>
  <c r="F590" i="10"/>
  <c r="F591" i="10"/>
  <c r="F596" i="10"/>
  <c r="F607" i="10"/>
  <c r="F618" i="10"/>
  <c r="F619" i="10"/>
  <c r="F620" i="10"/>
  <c r="F629" i="10"/>
  <c r="F630" i="10"/>
  <c r="F631" i="10"/>
  <c r="F632" i="10"/>
  <c r="F633" i="10"/>
  <c r="F634" i="10"/>
  <c r="F640" i="10"/>
  <c r="F641" i="10"/>
  <c r="F642" i="10"/>
  <c r="F643" i="10"/>
  <c r="F644" i="10"/>
  <c r="F651" i="10"/>
  <c r="F652" i="10"/>
  <c r="F653" i="10"/>
  <c r="F654" i="10"/>
  <c r="F655" i="10"/>
  <c r="F656" i="10"/>
  <c r="F662" i="10"/>
  <c r="F673" i="10"/>
  <c r="F674" i="10"/>
  <c r="F675" i="10"/>
  <c r="F676" i="10"/>
  <c r="F68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7" i="10"/>
  <c r="F727" i="10"/>
  <c r="F72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83" i="10"/>
  <c r="F794" i="10"/>
  <c r="F795" i="10"/>
  <c r="F796" i="10"/>
  <c r="F797" i="10"/>
  <c r="F798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71" i="10"/>
  <c r="F882" i="10"/>
  <c r="F883" i="10"/>
  <c r="F884" i="10"/>
  <c r="F885" i="10"/>
  <c r="F893" i="10"/>
  <c r="F894" i="10"/>
  <c r="F895" i="10"/>
  <c r="F896" i="10"/>
  <c r="F897" i="10"/>
  <c r="F898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26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80" i="10"/>
  <c r="F1081" i="10"/>
  <c r="F1082" i="10"/>
  <c r="F1083" i="10"/>
  <c r="F1084" i="10"/>
  <c r="F1085" i="10"/>
  <c r="F1086" i="10"/>
  <c r="F109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E3" i="10"/>
  <c r="E4" i="10"/>
  <c r="G4" i="10" s="1"/>
  <c r="G3" i="31" s="1"/>
  <c r="E5" i="10"/>
  <c r="G5" i="10" s="1"/>
  <c r="G4" i="31" s="1"/>
  <c r="E6" i="10"/>
  <c r="G6" i="10" s="1"/>
  <c r="G5" i="31" s="1"/>
  <c r="E7" i="10"/>
  <c r="E8" i="10"/>
  <c r="G8" i="10" s="1"/>
  <c r="G7" i="31" s="1"/>
  <c r="E9" i="10"/>
  <c r="G9" i="10" s="1"/>
  <c r="G8" i="31" s="1"/>
  <c r="E10" i="10"/>
  <c r="G10" i="10" s="1"/>
  <c r="G9" i="31" s="1"/>
  <c r="E11" i="10"/>
  <c r="E12" i="10"/>
  <c r="G12" i="10" s="1"/>
  <c r="G11" i="31" s="1"/>
  <c r="E13" i="10"/>
  <c r="G13" i="10" s="1"/>
  <c r="E24" i="10"/>
  <c r="G24" i="10" s="1"/>
  <c r="E35" i="10"/>
  <c r="E36" i="10"/>
  <c r="G36" i="10" s="1"/>
  <c r="G32" i="31" s="1"/>
  <c r="E37" i="10"/>
  <c r="G37" i="10" s="1"/>
  <c r="G33" i="31" s="1"/>
  <c r="E38" i="10"/>
  <c r="G38" i="10" s="1"/>
  <c r="G34" i="31" s="1"/>
  <c r="E39" i="10"/>
  <c r="E40" i="10"/>
  <c r="G40" i="10" s="1"/>
  <c r="G36" i="31" s="1"/>
  <c r="E41" i="10"/>
  <c r="G41" i="10" s="1"/>
  <c r="G37" i="31" s="1"/>
  <c r="E42" i="10"/>
  <c r="G42" i="10" s="1"/>
  <c r="G38" i="31" s="1"/>
  <c r="E46" i="10"/>
  <c r="E56" i="10"/>
  <c r="G56" i="10" s="1"/>
  <c r="G51" i="31" s="1"/>
  <c r="E57" i="10"/>
  <c r="G57" i="10" s="1"/>
  <c r="E58" i="10"/>
  <c r="G58" i="10" s="1"/>
  <c r="G52" i="31" s="1"/>
  <c r="E68" i="10"/>
  <c r="E79" i="10"/>
  <c r="G79" i="10" s="1"/>
  <c r="E90" i="10"/>
  <c r="G90" i="10" s="1"/>
  <c r="E101" i="10"/>
  <c r="G101" i="10" s="1"/>
  <c r="E112" i="10"/>
  <c r="E113" i="10"/>
  <c r="G113" i="10" s="1"/>
  <c r="G102" i="31" s="1"/>
  <c r="E114" i="10"/>
  <c r="G114" i="10" s="1"/>
  <c r="G103" i="31" s="1"/>
  <c r="E115" i="10"/>
  <c r="G115" i="10" s="1"/>
  <c r="G104" i="31" s="1"/>
  <c r="E116" i="10"/>
  <c r="E117" i="10"/>
  <c r="G117" i="10" s="1"/>
  <c r="G106" i="31" s="1"/>
  <c r="E123" i="10"/>
  <c r="G123" i="10" s="1"/>
  <c r="E132" i="10"/>
  <c r="E134" i="10"/>
  <c r="G134" i="10" s="1"/>
  <c r="E145" i="10"/>
  <c r="E146" i="10"/>
  <c r="G146" i="10" s="1"/>
  <c r="G132" i="31" s="1"/>
  <c r="E147" i="10"/>
  <c r="G147" i="10" s="1"/>
  <c r="G133" i="31" s="1"/>
  <c r="E148" i="10"/>
  <c r="G148" i="10" s="1"/>
  <c r="G134" i="31" s="1"/>
  <c r="E149" i="10"/>
  <c r="E150" i="10"/>
  <c r="G150" i="10" s="1"/>
  <c r="G136" i="31" s="1"/>
  <c r="E151" i="10"/>
  <c r="G151" i="10" s="1"/>
  <c r="G137" i="31" s="1"/>
  <c r="E152" i="10"/>
  <c r="G152" i="10" s="1"/>
  <c r="G138" i="31" s="1"/>
  <c r="E153" i="10"/>
  <c r="E154" i="10"/>
  <c r="G154" i="10" s="1"/>
  <c r="G140" i="31" s="1"/>
  <c r="E156" i="10"/>
  <c r="G156" i="10" s="1"/>
  <c r="E157" i="10"/>
  <c r="G157" i="10" s="1"/>
  <c r="G142" i="31" s="1"/>
  <c r="E158" i="10"/>
  <c r="E167" i="10"/>
  <c r="G167" i="10" s="1"/>
  <c r="E178" i="10"/>
  <c r="G178" i="10" s="1"/>
  <c r="E179" i="10"/>
  <c r="G179" i="10" s="1"/>
  <c r="G162" i="31" s="1"/>
  <c r="E180" i="10"/>
  <c r="E181" i="10"/>
  <c r="G181" i="10" s="1"/>
  <c r="G164" i="31" s="1"/>
  <c r="E182" i="10"/>
  <c r="G182" i="10" s="1"/>
  <c r="G165" i="31" s="1"/>
  <c r="E189" i="10"/>
  <c r="G189" i="10" s="1"/>
  <c r="E200" i="10"/>
  <c r="E211" i="10"/>
  <c r="G211" i="10" s="1"/>
  <c r="E212" i="10"/>
  <c r="G212" i="10" s="1"/>
  <c r="G192" i="31" s="1"/>
  <c r="E213" i="10"/>
  <c r="G213" i="10" s="1"/>
  <c r="G193" i="31" s="1"/>
  <c r="E222" i="10"/>
  <c r="E223" i="10"/>
  <c r="G223" i="10" s="1"/>
  <c r="G202" i="31" s="1"/>
  <c r="E224" i="10"/>
  <c r="G224" i="10" s="1"/>
  <c r="G203" i="31" s="1"/>
  <c r="E225" i="10"/>
  <c r="G225" i="10" s="1"/>
  <c r="G204" i="31" s="1"/>
  <c r="E226" i="10"/>
  <c r="E227" i="10"/>
  <c r="G227" i="10" s="1"/>
  <c r="G206" i="31" s="1"/>
  <c r="E228" i="10"/>
  <c r="G228" i="10" s="1"/>
  <c r="G207" i="31" s="1"/>
  <c r="E229" i="10"/>
  <c r="G229" i="10" s="1"/>
  <c r="G208" i="31" s="1"/>
  <c r="E230" i="10"/>
  <c r="E231" i="10"/>
  <c r="G231" i="10" s="1"/>
  <c r="G210" i="31" s="1"/>
  <c r="E232" i="10"/>
  <c r="G232" i="10" s="1"/>
  <c r="G211" i="31" s="1"/>
  <c r="E233" i="10"/>
  <c r="G233" i="10" s="1"/>
  <c r="E234" i="10"/>
  <c r="E235" i="10"/>
  <c r="G235" i="10" s="1"/>
  <c r="G213" i="31" s="1"/>
  <c r="E236" i="10"/>
  <c r="G236" i="10" s="1"/>
  <c r="G214" i="31" s="1"/>
  <c r="E237" i="10"/>
  <c r="G237" i="10" s="1"/>
  <c r="G215" i="31" s="1"/>
  <c r="E238" i="10"/>
  <c r="E239" i="10"/>
  <c r="G239" i="10" s="1"/>
  <c r="G217" i="31" s="1"/>
  <c r="E240" i="10"/>
  <c r="G240" i="10" s="1"/>
  <c r="G218" i="31" s="1"/>
  <c r="E241" i="10"/>
  <c r="G241" i="10" s="1"/>
  <c r="G219" i="31" s="1"/>
  <c r="E242" i="10"/>
  <c r="E243" i="10"/>
  <c r="G243" i="10" s="1"/>
  <c r="G221" i="31" s="1"/>
  <c r="E244" i="10"/>
  <c r="G244" i="10" s="1"/>
  <c r="E245" i="10"/>
  <c r="G245" i="10" s="1"/>
  <c r="G222" i="31" s="1"/>
  <c r="E246" i="10"/>
  <c r="E247" i="10"/>
  <c r="G247" i="10" s="1"/>
  <c r="G224" i="31" s="1"/>
  <c r="E248" i="10"/>
  <c r="G248" i="10" s="1"/>
  <c r="G225" i="31" s="1"/>
  <c r="E249" i="10"/>
  <c r="G249" i="10" s="1"/>
  <c r="G226" i="31" s="1"/>
  <c r="E250" i="10"/>
  <c r="E251" i="10"/>
  <c r="G251" i="10" s="1"/>
  <c r="G228" i="31" s="1"/>
  <c r="E252" i="10"/>
  <c r="G252" i="10" s="1"/>
  <c r="G229" i="31" s="1"/>
  <c r="E253" i="10"/>
  <c r="G253" i="10" s="1"/>
  <c r="G230" i="31" s="1"/>
  <c r="E254" i="10"/>
  <c r="E255" i="10"/>
  <c r="G255" i="10" s="1"/>
  <c r="E256" i="10"/>
  <c r="G256" i="10" s="1"/>
  <c r="G232" i="31" s="1"/>
  <c r="E257" i="10"/>
  <c r="G257" i="10" s="1"/>
  <c r="G233" i="31" s="1"/>
  <c r="E258" i="10"/>
  <c r="E259" i="10"/>
  <c r="G259" i="10" s="1"/>
  <c r="G235" i="31" s="1"/>
  <c r="E260" i="10"/>
  <c r="G260" i="10" s="1"/>
  <c r="G236" i="31" s="1"/>
  <c r="E261" i="10"/>
  <c r="G261" i="10" s="1"/>
  <c r="G237" i="31" s="1"/>
  <c r="E262" i="10"/>
  <c r="E263" i="10"/>
  <c r="G263" i="10" s="1"/>
  <c r="G239" i="31" s="1"/>
  <c r="E264" i="10"/>
  <c r="G264" i="10" s="1"/>
  <c r="G240" i="31" s="1"/>
  <c r="E265" i="10"/>
  <c r="G265" i="10" s="1"/>
  <c r="G241" i="31" s="1"/>
  <c r="E266" i="10"/>
  <c r="E277" i="10"/>
  <c r="G277" i="10" s="1"/>
  <c r="E278" i="10"/>
  <c r="G278" i="10" s="1"/>
  <c r="G252" i="31" s="1"/>
  <c r="E279" i="10"/>
  <c r="G279" i="10" s="1"/>
  <c r="G253" i="31" s="1"/>
  <c r="E280" i="10"/>
  <c r="E281" i="10"/>
  <c r="G281" i="10" s="1"/>
  <c r="G255" i="31" s="1"/>
  <c r="E282" i="10"/>
  <c r="G282" i="10" s="1"/>
  <c r="G256" i="31" s="1"/>
  <c r="E283" i="10"/>
  <c r="G283" i="10" s="1"/>
  <c r="G257" i="31" s="1"/>
  <c r="E284" i="10"/>
  <c r="E288" i="10"/>
  <c r="G288" i="10" s="1"/>
  <c r="E299" i="10"/>
  <c r="G299" i="10" s="1"/>
  <c r="E300" i="10"/>
  <c r="G300" i="10" s="1"/>
  <c r="G272" i="31" s="1"/>
  <c r="E301" i="10"/>
  <c r="E302" i="10"/>
  <c r="G302" i="10" s="1"/>
  <c r="G274" i="31" s="1"/>
  <c r="E303" i="10"/>
  <c r="G303" i="10" s="1"/>
  <c r="G275" i="31" s="1"/>
  <c r="E304" i="10"/>
  <c r="G304" i="10" s="1"/>
  <c r="G276" i="31" s="1"/>
  <c r="E305" i="10"/>
  <c r="E306" i="10"/>
  <c r="G306" i="10" s="1"/>
  <c r="G278" i="31" s="1"/>
  <c r="E307" i="10"/>
  <c r="G307" i="10" s="1"/>
  <c r="G279" i="31" s="1"/>
  <c r="E308" i="10"/>
  <c r="G308" i="10" s="1"/>
  <c r="G280" i="31" s="1"/>
  <c r="E309" i="10"/>
  <c r="E310" i="10"/>
  <c r="G310" i="10" s="1"/>
  <c r="E311" i="10"/>
  <c r="G311" i="10" s="1"/>
  <c r="G282" i="31" s="1"/>
  <c r="E312" i="10"/>
  <c r="G312" i="10" s="1"/>
  <c r="G283" i="31" s="1"/>
  <c r="E313" i="10"/>
  <c r="E314" i="10"/>
  <c r="G314" i="10" s="1"/>
  <c r="G285" i="31" s="1"/>
  <c r="E315" i="10"/>
  <c r="G315" i="10" s="1"/>
  <c r="G286" i="31" s="1"/>
  <c r="E316" i="10"/>
  <c r="G316" i="10" s="1"/>
  <c r="G287" i="31" s="1"/>
  <c r="E317" i="10"/>
  <c r="E318" i="10"/>
  <c r="G318" i="10" s="1"/>
  <c r="G289" i="31" s="1"/>
  <c r="E319" i="10"/>
  <c r="G319" i="10" s="1"/>
  <c r="G290" i="31" s="1"/>
  <c r="E320" i="10"/>
  <c r="G320" i="10" s="1"/>
  <c r="G291" i="31" s="1"/>
  <c r="E321" i="10"/>
  <c r="E322" i="10"/>
  <c r="G322" i="10" s="1"/>
  <c r="G292" i="31" s="1"/>
  <c r="E323" i="10"/>
  <c r="G323" i="10" s="1"/>
  <c r="G293" i="31" s="1"/>
  <c r="E332" i="10"/>
  <c r="G332" i="10" s="1"/>
  <c r="E333" i="10"/>
  <c r="E334" i="10"/>
  <c r="G334" i="10" s="1"/>
  <c r="G303" i="31" s="1"/>
  <c r="E335" i="10"/>
  <c r="G335" i="10" s="1"/>
  <c r="G304" i="31" s="1"/>
  <c r="E336" i="10"/>
  <c r="G336" i="10" s="1"/>
  <c r="G305" i="31" s="1"/>
  <c r="E343" i="10"/>
  <c r="E344" i="10"/>
  <c r="G344" i="10" s="1"/>
  <c r="G312" i="31" s="1"/>
  <c r="E345" i="10"/>
  <c r="G345" i="10" s="1"/>
  <c r="G313" i="31" s="1"/>
  <c r="E346" i="10"/>
  <c r="G346" i="10" s="1"/>
  <c r="G314" i="31" s="1"/>
  <c r="E347" i="10"/>
  <c r="E348" i="10"/>
  <c r="G348" i="10" s="1"/>
  <c r="G316" i="31" s="1"/>
  <c r="E349" i="10"/>
  <c r="G349" i="10" s="1"/>
  <c r="G317" i="31" s="1"/>
  <c r="E350" i="10"/>
  <c r="G350" i="10" s="1"/>
  <c r="G318" i="31" s="1"/>
  <c r="E351" i="10"/>
  <c r="E352" i="10"/>
  <c r="G352" i="10" s="1"/>
  <c r="G320" i="31" s="1"/>
  <c r="E353" i="10"/>
  <c r="G353" i="10" s="1"/>
  <c r="G321" i="31" s="1"/>
  <c r="E354" i="10"/>
  <c r="G354" i="10" s="1"/>
  <c r="E355" i="10"/>
  <c r="E365" i="10"/>
  <c r="G365" i="10" s="1"/>
  <c r="E376" i="10"/>
  <c r="G376" i="10" s="1"/>
  <c r="E377" i="10"/>
  <c r="G377" i="10" s="1"/>
  <c r="G342" i="31" s="1"/>
  <c r="E378" i="10"/>
  <c r="E379" i="10"/>
  <c r="G379" i="10" s="1"/>
  <c r="G344" i="31" s="1"/>
  <c r="E380" i="10"/>
  <c r="G380" i="10" s="1"/>
  <c r="G345" i="31" s="1"/>
  <c r="E381" i="10"/>
  <c r="G381" i="10" s="1"/>
  <c r="G346" i="31" s="1"/>
  <c r="E387" i="10"/>
  <c r="E388" i="10"/>
  <c r="G388" i="10" s="1"/>
  <c r="G352" i="31" s="1"/>
  <c r="E397" i="10"/>
  <c r="G397" i="10" s="1"/>
  <c r="G361" i="31" s="1"/>
  <c r="E398" i="10"/>
  <c r="G398" i="10" s="1"/>
  <c r="E399" i="10"/>
  <c r="E400" i="10"/>
  <c r="G400" i="10" s="1"/>
  <c r="G363" i="31" s="1"/>
  <c r="E409" i="10"/>
  <c r="G409" i="10" s="1"/>
  <c r="E410" i="10"/>
  <c r="G410" i="10" s="1"/>
  <c r="G372" i="31" s="1"/>
  <c r="E411" i="10"/>
  <c r="E420" i="10"/>
  <c r="G420" i="10" s="1"/>
  <c r="E431" i="10"/>
  <c r="G431" i="10" s="1"/>
  <c r="E432" i="10"/>
  <c r="G432" i="10" s="1"/>
  <c r="G392" i="31" s="1"/>
  <c r="E433" i="10"/>
  <c r="E434" i="10"/>
  <c r="G434" i="10" s="1"/>
  <c r="G394" i="31" s="1"/>
  <c r="E442" i="10"/>
  <c r="G442" i="10" s="1"/>
  <c r="E443" i="10"/>
  <c r="G443" i="10" s="1"/>
  <c r="G402" i="31" s="1"/>
  <c r="E444" i="10"/>
  <c r="E445" i="10"/>
  <c r="G445" i="10" s="1"/>
  <c r="G404" i="31" s="1"/>
  <c r="E453" i="10"/>
  <c r="G453" i="10" s="1"/>
  <c r="E464" i="10"/>
  <c r="G464" i="10" s="1"/>
  <c r="E475" i="10"/>
  <c r="E486" i="10"/>
  <c r="G486" i="10" s="1"/>
  <c r="E487" i="10"/>
  <c r="G487" i="10" s="1"/>
  <c r="G442" i="31" s="1"/>
  <c r="E488" i="10"/>
  <c r="G488" i="10" s="1"/>
  <c r="G443" i="31" s="1"/>
  <c r="E489" i="10"/>
  <c r="E497" i="10"/>
  <c r="G497" i="10" s="1"/>
  <c r="E498" i="10"/>
  <c r="G498" i="10" s="1"/>
  <c r="G452" i="31" s="1"/>
  <c r="E508" i="10"/>
  <c r="G508" i="10" s="1"/>
  <c r="E509" i="10"/>
  <c r="E510" i="10"/>
  <c r="G510" i="10" s="1"/>
  <c r="G463" i="31" s="1"/>
  <c r="E511" i="10"/>
  <c r="G511" i="10" s="1"/>
  <c r="G464" i="31" s="1"/>
  <c r="E512" i="10"/>
  <c r="G512" i="10" s="1"/>
  <c r="G465" i="31" s="1"/>
  <c r="E519" i="10"/>
  <c r="E530" i="10"/>
  <c r="G530" i="10" s="1"/>
  <c r="E531" i="10"/>
  <c r="G531" i="10" s="1"/>
  <c r="G482" i="31" s="1"/>
  <c r="E541" i="10"/>
  <c r="G541" i="10" s="1"/>
  <c r="E552" i="10"/>
  <c r="E553" i="10"/>
  <c r="G553" i="10" s="1"/>
  <c r="G502" i="31" s="1"/>
  <c r="E554" i="10"/>
  <c r="G554" i="10" s="1"/>
  <c r="G503" i="31" s="1"/>
  <c r="E555" i="10"/>
  <c r="G555" i="10" s="1"/>
  <c r="G504" i="31" s="1"/>
  <c r="E556" i="10"/>
  <c r="E563" i="10"/>
  <c r="G563" i="10" s="1"/>
  <c r="E574" i="10"/>
  <c r="G574" i="10" s="1"/>
  <c r="E575" i="10"/>
  <c r="G575" i="10" s="1"/>
  <c r="G522" i="31" s="1"/>
  <c r="E585" i="10"/>
  <c r="E586" i="10"/>
  <c r="G586" i="10" s="1"/>
  <c r="G532" i="31" s="1"/>
  <c r="E587" i="10"/>
  <c r="G587" i="10" s="1"/>
  <c r="G533" i="31" s="1"/>
  <c r="E588" i="10"/>
  <c r="G588" i="10" s="1"/>
  <c r="G534" i="31" s="1"/>
  <c r="E589" i="10"/>
  <c r="E590" i="10"/>
  <c r="G590" i="10" s="1"/>
  <c r="G536" i="31" s="1"/>
  <c r="E591" i="10"/>
  <c r="G591" i="10" s="1"/>
  <c r="G537" i="31" s="1"/>
  <c r="E596" i="10"/>
  <c r="G596" i="10" s="1"/>
  <c r="E607" i="10"/>
  <c r="E618" i="10"/>
  <c r="G618" i="10" s="1"/>
  <c r="E619" i="10"/>
  <c r="G619" i="10" s="1"/>
  <c r="G562" i="31" s="1"/>
  <c r="E620" i="10"/>
  <c r="G620" i="10" s="1"/>
  <c r="G563" i="31" s="1"/>
  <c r="E629" i="10"/>
  <c r="E630" i="10"/>
  <c r="G630" i="10" s="1"/>
  <c r="G572" i="31" s="1"/>
  <c r="E631" i="10"/>
  <c r="G631" i="10" s="1"/>
  <c r="G573" i="31" s="1"/>
  <c r="E632" i="10"/>
  <c r="G632" i="10" s="1"/>
  <c r="G574" i="31" s="1"/>
  <c r="E633" i="10"/>
  <c r="E634" i="10"/>
  <c r="G634" i="10" s="1"/>
  <c r="G576" i="31" s="1"/>
  <c r="E640" i="10"/>
  <c r="G640" i="10" s="1"/>
  <c r="E641" i="10"/>
  <c r="G641" i="10" s="1"/>
  <c r="G582" i="31" s="1"/>
  <c r="E642" i="10"/>
  <c r="E643" i="10"/>
  <c r="G643" i="10" s="1"/>
  <c r="G584" i="31" s="1"/>
  <c r="E644" i="10"/>
  <c r="G644" i="10" s="1"/>
  <c r="G585" i="31" s="1"/>
  <c r="E651" i="10"/>
  <c r="G651" i="10" s="1"/>
  <c r="E652" i="10"/>
  <c r="E653" i="10"/>
  <c r="G653" i="10" s="1"/>
  <c r="G593" i="31" s="1"/>
  <c r="E654" i="10"/>
  <c r="G654" i="10" s="1"/>
  <c r="G594" i="31" s="1"/>
  <c r="E655" i="10"/>
  <c r="G655" i="10" s="1"/>
  <c r="G595" i="31" s="1"/>
  <c r="E656" i="10"/>
  <c r="E662" i="10"/>
  <c r="G662" i="10" s="1"/>
  <c r="E673" i="10"/>
  <c r="G673" i="10" s="1"/>
  <c r="E674" i="10"/>
  <c r="G674" i="10" s="1"/>
  <c r="G612" i="31" s="1"/>
  <c r="E675" i="10"/>
  <c r="E676" i="10"/>
  <c r="G676" i="10" s="1"/>
  <c r="G614" i="31" s="1"/>
  <c r="E684" i="10"/>
  <c r="G684" i="10" s="1"/>
  <c r="E695" i="10"/>
  <c r="G695" i="10" s="1"/>
  <c r="E696" i="10"/>
  <c r="E697" i="10"/>
  <c r="G697" i="10" s="1"/>
  <c r="G633" i="31" s="1"/>
  <c r="E698" i="10"/>
  <c r="G698" i="10" s="1"/>
  <c r="G634" i="31" s="1"/>
  <c r="E699" i="10"/>
  <c r="G699" i="10" s="1"/>
  <c r="G635" i="31" s="1"/>
  <c r="E700" i="10"/>
  <c r="E701" i="10"/>
  <c r="G701" i="10" s="1"/>
  <c r="G637" i="31" s="1"/>
  <c r="E702" i="10"/>
  <c r="G702" i="10" s="1"/>
  <c r="G638" i="31" s="1"/>
  <c r="E703" i="10"/>
  <c r="G703" i="10" s="1"/>
  <c r="G639" i="31" s="1"/>
  <c r="E704" i="10"/>
  <c r="E705" i="10"/>
  <c r="G705" i="10" s="1"/>
  <c r="G641" i="31" s="1"/>
  <c r="E706" i="10"/>
  <c r="G706" i="10" s="1"/>
  <c r="E707" i="10"/>
  <c r="G707" i="10" s="1"/>
  <c r="G642" i="31" s="1"/>
  <c r="E708" i="10"/>
  <c r="E709" i="10"/>
  <c r="G709" i="10" s="1"/>
  <c r="G644" i="31" s="1"/>
  <c r="E710" i="10"/>
  <c r="G710" i="10" s="1"/>
  <c r="G645" i="31" s="1"/>
  <c r="E711" i="10"/>
  <c r="G711" i="10" s="1"/>
  <c r="G646" i="31" s="1"/>
  <c r="E712" i="10"/>
  <c r="E713" i="10"/>
  <c r="G713" i="10" s="1"/>
  <c r="G648" i="31" s="1"/>
  <c r="E717" i="10"/>
  <c r="G717" i="10" s="1"/>
  <c r="E727" i="10"/>
  <c r="G727" i="10" s="1"/>
  <c r="G661" i="31" s="1"/>
  <c r="E728" i="10"/>
  <c r="E739" i="10"/>
  <c r="G739" i="10" s="1"/>
  <c r="E740" i="10"/>
  <c r="G740" i="10" s="1"/>
  <c r="G672" i="31" s="1"/>
  <c r="E741" i="10"/>
  <c r="G741" i="10" s="1"/>
  <c r="G673" i="31" s="1"/>
  <c r="E742" i="10"/>
  <c r="E743" i="10"/>
  <c r="G743" i="10" s="1"/>
  <c r="G675" i="31" s="1"/>
  <c r="E744" i="10"/>
  <c r="G744" i="10" s="1"/>
  <c r="G676" i="31" s="1"/>
  <c r="E745" i="10"/>
  <c r="G745" i="10" s="1"/>
  <c r="G677" i="31" s="1"/>
  <c r="E746" i="10"/>
  <c r="E747" i="10"/>
  <c r="G747" i="10" s="1"/>
  <c r="G679" i="31" s="1"/>
  <c r="E748" i="10"/>
  <c r="G748" i="10" s="1"/>
  <c r="G680" i="31" s="1"/>
  <c r="E749" i="10"/>
  <c r="G749" i="10" s="1"/>
  <c r="G681" i="31" s="1"/>
  <c r="E750" i="10"/>
  <c r="E751" i="10"/>
  <c r="G751" i="10" s="1"/>
  <c r="G682" i="31" s="1"/>
  <c r="E752" i="10"/>
  <c r="G752" i="10" s="1"/>
  <c r="G683" i="31" s="1"/>
  <c r="E761" i="10"/>
  <c r="G761" i="10" s="1"/>
  <c r="E762" i="10"/>
  <c r="E763" i="10"/>
  <c r="G763" i="10" s="1"/>
  <c r="G693" i="31" s="1"/>
  <c r="E764" i="10"/>
  <c r="G764" i="10" s="1"/>
  <c r="G694" i="31" s="1"/>
  <c r="E765" i="10"/>
  <c r="G765" i="10" s="1"/>
  <c r="G695" i="31" s="1"/>
  <c r="E766" i="10"/>
  <c r="E767" i="10"/>
  <c r="G767" i="10" s="1"/>
  <c r="G697" i="31" s="1"/>
  <c r="E768" i="10"/>
  <c r="G768" i="10" s="1"/>
  <c r="G698" i="31" s="1"/>
  <c r="E769" i="10"/>
  <c r="G769" i="10" s="1"/>
  <c r="G699" i="31" s="1"/>
  <c r="E770" i="10"/>
  <c r="E771" i="10"/>
  <c r="G771" i="10" s="1"/>
  <c r="G701" i="31" s="1"/>
  <c r="E772" i="10"/>
  <c r="G772" i="10" s="1"/>
  <c r="E783" i="10"/>
  <c r="G783" i="10" s="1"/>
  <c r="E794" i="10"/>
  <c r="E795" i="10"/>
  <c r="G795" i="10" s="1"/>
  <c r="G722" i="31" s="1"/>
  <c r="E796" i="10"/>
  <c r="G796" i="10" s="1"/>
  <c r="G723" i="31" s="1"/>
  <c r="E797" i="10"/>
  <c r="G797" i="10" s="1"/>
  <c r="G724" i="31" s="1"/>
  <c r="E798" i="10"/>
  <c r="E805" i="10"/>
  <c r="G805" i="10" s="1"/>
  <c r="E806" i="10"/>
  <c r="G806" i="10" s="1"/>
  <c r="G732" i="31" s="1"/>
  <c r="E807" i="10"/>
  <c r="G807" i="10" s="1"/>
  <c r="G733" i="31" s="1"/>
  <c r="E808" i="10"/>
  <c r="E809" i="10"/>
  <c r="G809" i="10" s="1"/>
  <c r="G735" i="31" s="1"/>
  <c r="E810" i="10"/>
  <c r="G810" i="10" s="1"/>
  <c r="G736" i="31" s="1"/>
  <c r="E811" i="10"/>
  <c r="G811" i="10" s="1"/>
  <c r="G737" i="31" s="1"/>
  <c r="E812" i="10"/>
  <c r="E813" i="10"/>
  <c r="G813" i="10" s="1"/>
  <c r="G739" i="31" s="1"/>
  <c r="E814" i="10"/>
  <c r="G814" i="10" s="1"/>
  <c r="G740" i="31" s="1"/>
  <c r="E815" i="10"/>
  <c r="G815" i="10" s="1"/>
  <c r="G741" i="31" s="1"/>
  <c r="E816" i="10"/>
  <c r="E817" i="10"/>
  <c r="G817" i="10" s="1"/>
  <c r="G742" i="31" s="1"/>
  <c r="E818" i="10"/>
  <c r="G818" i="10" s="1"/>
  <c r="G743" i="31" s="1"/>
  <c r="E819" i="10"/>
  <c r="G819" i="10" s="1"/>
  <c r="G744" i="31" s="1"/>
  <c r="E820" i="10"/>
  <c r="E821" i="10"/>
  <c r="G821" i="10" s="1"/>
  <c r="G746" i="31" s="1"/>
  <c r="E822" i="10"/>
  <c r="G822" i="10" s="1"/>
  <c r="G747" i="31" s="1"/>
  <c r="E823" i="10"/>
  <c r="G823" i="10" s="1"/>
  <c r="G748" i="31" s="1"/>
  <c r="E824" i="10"/>
  <c r="E825" i="10"/>
  <c r="G825" i="10" s="1"/>
  <c r="G750" i="31" s="1"/>
  <c r="E826" i="10"/>
  <c r="G826" i="10" s="1"/>
  <c r="G751" i="31" s="1"/>
  <c r="E827" i="10"/>
  <c r="G827" i="10" s="1"/>
  <c r="E828" i="10"/>
  <c r="E829" i="10"/>
  <c r="G829" i="10" s="1"/>
  <c r="G753" i="31" s="1"/>
  <c r="E830" i="10"/>
  <c r="G830" i="10" s="1"/>
  <c r="G754" i="31" s="1"/>
  <c r="E831" i="10"/>
  <c r="G831" i="10" s="1"/>
  <c r="G755" i="31" s="1"/>
  <c r="E832" i="10"/>
  <c r="E833" i="10"/>
  <c r="G833" i="10" s="1"/>
  <c r="G757" i="31" s="1"/>
  <c r="E834" i="10"/>
  <c r="G834" i="10" s="1"/>
  <c r="G758" i="31" s="1"/>
  <c r="E835" i="10"/>
  <c r="G835" i="10" s="1"/>
  <c r="G759" i="31" s="1"/>
  <c r="E836" i="10"/>
  <c r="E837" i="10"/>
  <c r="G837" i="10" s="1"/>
  <c r="G761" i="31" s="1"/>
  <c r="E838" i="10"/>
  <c r="G838" i="10" s="1"/>
  <c r="E839" i="10"/>
  <c r="G839" i="10" s="1"/>
  <c r="G762" i="31" s="1"/>
  <c r="E840" i="10"/>
  <c r="E841" i="10"/>
  <c r="G841" i="10" s="1"/>
  <c r="G764" i="31" s="1"/>
  <c r="E842" i="10"/>
  <c r="G842" i="10" s="1"/>
  <c r="G765" i="31" s="1"/>
  <c r="E843" i="10"/>
  <c r="G843" i="10" s="1"/>
  <c r="G766" i="31" s="1"/>
  <c r="E844" i="10"/>
  <c r="E845" i="10"/>
  <c r="G845" i="10" s="1"/>
  <c r="G768" i="31" s="1"/>
  <c r="E846" i="10"/>
  <c r="G846" i="10" s="1"/>
  <c r="G769" i="31" s="1"/>
  <c r="E847" i="10"/>
  <c r="G847" i="10" s="1"/>
  <c r="G770" i="31" s="1"/>
  <c r="E848" i="10"/>
  <c r="E849" i="10"/>
  <c r="G849" i="10" s="1"/>
  <c r="E850" i="10"/>
  <c r="G850" i="10" s="1"/>
  <c r="G772" i="31" s="1"/>
  <c r="E851" i="10"/>
  <c r="G851" i="10" s="1"/>
  <c r="G773" i="31" s="1"/>
  <c r="E852" i="10"/>
  <c r="E853" i="10"/>
  <c r="G853" i="10" s="1"/>
  <c r="G775" i="31" s="1"/>
  <c r="E854" i="10"/>
  <c r="G854" i="10" s="1"/>
  <c r="G776" i="31" s="1"/>
  <c r="E855" i="10"/>
  <c r="G855" i="10" s="1"/>
  <c r="G777" i="31" s="1"/>
  <c r="E856" i="10"/>
  <c r="E857" i="10"/>
  <c r="G857" i="10" s="1"/>
  <c r="G779" i="31" s="1"/>
  <c r="E858" i="10"/>
  <c r="G858" i="10" s="1"/>
  <c r="G780" i="31" s="1"/>
  <c r="E859" i="10"/>
  <c r="G859" i="10" s="1"/>
  <c r="G781" i="31" s="1"/>
  <c r="E860" i="10"/>
  <c r="E871" i="10"/>
  <c r="G871" i="10" s="1"/>
  <c r="E882" i="10"/>
  <c r="G882" i="10" s="1"/>
  <c r="E883" i="10"/>
  <c r="G883" i="10" s="1"/>
  <c r="G802" i="31" s="1"/>
  <c r="E884" i="10"/>
  <c r="E885" i="10"/>
  <c r="G885" i="10" s="1"/>
  <c r="G804" i="31" s="1"/>
  <c r="E893" i="10"/>
  <c r="G893" i="10" s="1"/>
  <c r="E894" i="10"/>
  <c r="G894" i="10" s="1"/>
  <c r="G812" i="31" s="1"/>
  <c r="E895" i="10"/>
  <c r="E896" i="10"/>
  <c r="G896" i="10" s="1"/>
  <c r="G814" i="31" s="1"/>
  <c r="E897" i="10"/>
  <c r="G897" i="10" s="1"/>
  <c r="G815" i="31" s="1"/>
  <c r="E898" i="10"/>
  <c r="G898" i="10" s="1"/>
  <c r="G816" i="31" s="1"/>
  <c r="E904" i="10"/>
  <c r="E905" i="10"/>
  <c r="G905" i="10" s="1"/>
  <c r="G822" i="31" s="1"/>
  <c r="E906" i="10"/>
  <c r="G906" i="10" s="1"/>
  <c r="G823" i="31" s="1"/>
  <c r="E907" i="10"/>
  <c r="G907" i="10" s="1"/>
  <c r="G824" i="31" s="1"/>
  <c r="E908" i="10"/>
  <c r="E909" i="10"/>
  <c r="G909" i="10" s="1"/>
  <c r="G826" i="31" s="1"/>
  <c r="E910" i="10"/>
  <c r="G910" i="10" s="1"/>
  <c r="G827" i="31" s="1"/>
  <c r="E911" i="10"/>
  <c r="G911" i="10" s="1"/>
  <c r="G828" i="31" s="1"/>
  <c r="E912" i="10"/>
  <c r="E913" i="10"/>
  <c r="G913" i="10" s="1"/>
  <c r="G830" i="31" s="1"/>
  <c r="E914" i="10"/>
  <c r="G914" i="10" s="1"/>
  <c r="G831" i="31" s="1"/>
  <c r="E915" i="10"/>
  <c r="G915" i="10" s="1"/>
  <c r="E926" i="10"/>
  <c r="E928" i="10"/>
  <c r="G928" i="10" s="1"/>
  <c r="G843" i="31" s="1"/>
  <c r="E929" i="10"/>
  <c r="G929" i="10" s="1"/>
  <c r="G844" i="31" s="1"/>
  <c r="E931" i="10"/>
  <c r="E932" i="10"/>
  <c r="G932" i="10" s="1"/>
  <c r="G847" i="31" s="1"/>
  <c r="E933" i="10"/>
  <c r="G933" i="10" s="1"/>
  <c r="G848" i="31" s="1"/>
  <c r="E934" i="10"/>
  <c r="G934" i="10" s="1"/>
  <c r="G849" i="31" s="1"/>
  <c r="E935" i="10"/>
  <c r="E936" i="10"/>
  <c r="G936" i="10" s="1"/>
  <c r="G851" i="31" s="1"/>
  <c r="E937" i="10"/>
  <c r="G937" i="10" s="1"/>
  <c r="E938" i="10"/>
  <c r="G938" i="10" s="1"/>
  <c r="G852" i="31" s="1"/>
  <c r="E939" i="10"/>
  <c r="E940" i="10"/>
  <c r="G940" i="10" s="1"/>
  <c r="G854" i="31" s="1"/>
  <c r="E941" i="10"/>
  <c r="G941" i="10" s="1"/>
  <c r="G855" i="31" s="1"/>
  <c r="E942" i="10"/>
  <c r="G942" i="10" s="1"/>
  <c r="G856" i="31" s="1"/>
  <c r="E943" i="10"/>
  <c r="E944" i="10"/>
  <c r="G944" i="10" s="1"/>
  <c r="G858" i="31" s="1"/>
  <c r="E945" i="10"/>
  <c r="G945" i="10" s="1"/>
  <c r="G859" i="31" s="1"/>
  <c r="E946" i="10"/>
  <c r="G946" i="10" s="1"/>
  <c r="G860" i="31" s="1"/>
  <c r="E947" i="10"/>
  <c r="E948" i="10"/>
  <c r="G948" i="10" s="1"/>
  <c r="E949" i="10"/>
  <c r="G949" i="10" s="1"/>
  <c r="G862" i="31" s="1"/>
  <c r="E950" i="10"/>
  <c r="G950" i="10" s="1"/>
  <c r="G863" i="31" s="1"/>
  <c r="E951" i="10"/>
  <c r="E952" i="10"/>
  <c r="G952" i="10" s="1"/>
  <c r="G865" i="31" s="1"/>
  <c r="E953" i="10"/>
  <c r="G953" i="10" s="1"/>
  <c r="G866" i="31" s="1"/>
  <c r="E954" i="10"/>
  <c r="G954" i="10" s="1"/>
  <c r="G867" i="31" s="1"/>
  <c r="E955" i="10"/>
  <c r="E956" i="10"/>
  <c r="G956" i="10" s="1"/>
  <c r="G869" i="31" s="1"/>
  <c r="E957" i="10"/>
  <c r="G957" i="10" s="1"/>
  <c r="G870" i="31" s="1"/>
  <c r="E958" i="10"/>
  <c r="G958" i="10" s="1"/>
  <c r="G871" i="31" s="1"/>
  <c r="E959" i="10"/>
  <c r="E960" i="10"/>
  <c r="G960" i="10" s="1"/>
  <c r="G872" i="31" s="1"/>
  <c r="E961" i="10"/>
  <c r="G961" i="10" s="1"/>
  <c r="G873" i="31" s="1"/>
  <c r="E962" i="10"/>
  <c r="G962" i="10" s="1"/>
  <c r="G874" i="31" s="1"/>
  <c r="E963" i="10"/>
  <c r="E964" i="10"/>
  <c r="G964" i="10" s="1"/>
  <c r="G876" i="31" s="1"/>
  <c r="E965" i="10"/>
  <c r="G965" i="10" s="1"/>
  <c r="G877" i="31" s="1"/>
  <c r="E966" i="10"/>
  <c r="G966" i="10" s="1"/>
  <c r="G878" i="31" s="1"/>
  <c r="E967" i="10"/>
  <c r="E968" i="10"/>
  <c r="G968" i="10" s="1"/>
  <c r="G880" i="31" s="1"/>
  <c r="E969" i="10"/>
  <c r="G969" i="10" s="1"/>
  <c r="G881" i="31" s="1"/>
  <c r="E970" i="10"/>
  <c r="G970" i="10" s="1"/>
  <c r="E971" i="10"/>
  <c r="E972" i="10"/>
  <c r="G972" i="10" s="1"/>
  <c r="G883" i="31" s="1"/>
  <c r="E973" i="10"/>
  <c r="G973" i="10" s="1"/>
  <c r="G884" i="31" s="1"/>
  <c r="E974" i="10"/>
  <c r="G974" i="10" s="1"/>
  <c r="G885" i="31" s="1"/>
  <c r="E975" i="10"/>
  <c r="E976" i="10"/>
  <c r="G976" i="10" s="1"/>
  <c r="G887" i="31" s="1"/>
  <c r="E977" i="10"/>
  <c r="G977" i="10" s="1"/>
  <c r="G888" i="31" s="1"/>
  <c r="E978" i="10"/>
  <c r="G978" i="10" s="1"/>
  <c r="G889" i="31" s="1"/>
  <c r="E979" i="10"/>
  <c r="E980" i="10"/>
  <c r="G980" i="10" s="1"/>
  <c r="G891" i="31" s="1"/>
  <c r="E981" i="10"/>
  <c r="G981" i="10" s="1"/>
  <c r="E982" i="10"/>
  <c r="G982" i="10" s="1"/>
  <c r="G892" i="31" s="1"/>
  <c r="E983" i="10"/>
  <c r="E984" i="10"/>
  <c r="G984" i="10" s="1"/>
  <c r="G894" i="31" s="1"/>
  <c r="E985" i="10"/>
  <c r="G985" i="10" s="1"/>
  <c r="G895" i="31" s="1"/>
  <c r="E986" i="10"/>
  <c r="G986" i="10" s="1"/>
  <c r="G896" i="31" s="1"/>
  <c r="E987" i="10"/>
  <c r="E988" i="10"/>
  <c r="G988" i="10" s="1"/>
  <c r="G898" i="31" s="1"/>
  <c r="E989" i="10"/>
  <c r="G989" i="10" s="1"/>
  <c r="G899" i="31" s="1"/>
  <c r="E990" i="10"/>
  <c r="G990" i="10" s="1"/>
  <c r="G900" i="31" s="1"/>
  <c r="E991" i="10"/>
  <c r="E992" i="10"/>
  <c r="G992" i="10" s="1"/>
  <c r="E993" i="10"/>
  <c r="G993" i="10" s="1"/>
  <c r="G902" i="31" s="1"/>
  <c r="E994" i="10"/>
  <c r="G994" i="10" s="1"/>
  <c r="G903" i="31" s="1"/>
  <c r="E995" i="10"/>
  <c r="E996" i="10"/>
  <c r="G996" i="10" s="1"/>
  <c r="G905" i="31" s="1"/>
  <c r="E997" i="10"/>
  <c r="G997" i="10" s="1"/>
  <c r="G906" i="31" s="1"/>
  <c r="E998" i="10"/>
  <c r="G998" i="10" s="1"/>
  <c r="G907" i="31" s="1"/>
  <c r="E999" i="10"/>
  <c r="E1000" i="10"/>
  <c r="G1000" i="10" s="1"/>
  <c r="G909" i="31" s="1"/>
  <c r="E1001" i="10"/>
  <c r="G1001" i="10" s="1"/>
  <c r="G910" i="31" s="1"/>
  <c r="E1002" i="10"/>
  <c r="G1002" i="10" s="1"/>
  <c r="G911" i="31" s="1"/>
  <c r="E1003" i="10"/>
  <c r="E1004" i="10"/>
  <c r="G1004" i="10" s="1"/>
  <c r="G912" i="31" s="1"/>
  <c r="E1005" i="10"/>
  <c r="G1005" i="10" s="1"/>
  <c r="G913" i="31" s="1"/>
  <c r="E1006" i="10"/>
  <c r="G1006" i="10" s="1"/>
  <c r="G914" i="31" s="1"/>
  <c r="E1007" i="10"/>
  <c r="E1008" i="10"/>
  <c r="G1008" i="10" s="1"/>
  <c r="G916" i="31" s="1"/>
  <c r="E1009" i="10"/>
  <c r="G1009" i="10" s="1"/>
  <c r="G917" i="31" s="1"/>
  <c r="E1010" i="10"/>
  <c r="G1010" i="10" s="1"/>
  <c r="G918" i="31" s="1"/>
  <c r="E1011" i="10"/>
  <c r="E1012" i="10"/>
  <c r="G1012" i="10" s="1"/>
  <c r="G920" i="31" s="1"/>
  <c r="E1013" i="10"/>
  <c r="G1013" i="10" s="1"/>
  <c r="G921" i="31" s="1"/>
  <c r="E1014" i="10"/>
  <c r="G1014" i="10" s="1"/>
  <c r="E1015" i="10"/>
  <c r="E1016" i="10"/>
  <c r="G1016" i="10" s="1"/>
  <c r="G923" i="31" s="1"/>
  <c r="E1017" i="10"/>
  <c r="G1017" i="10" s="1"/>
  <c r="G924" i="31" s="1"/>
  <c r="E1018" i="10"/>
  <c r="G1018" i="10" s="1"/>
  <c r="G925" i="31" s="1"/>
  <c r="E1019" i="10"/>
  <c r="E1020" i="10"/>
  <c r="G1020" i="10" s="1"/>
  <c r="G927" i="31" s="1"/>
  <c r="E1021" i="10"/>
  <c r="G1021" i="10" s="1"/>
  <c r="G928" i="31" s="1"/>
  <c r="E1022" i="10"/>
  <c r="G1022" i="10" s="1"/>
  <c r="G929" i="31" s="1"/>
  <c r="E1023" i="10"/>
  <c r="E1024" i="10"/>
  <c r="G1024" i="10" s="1"/>
  <c r="G931" i="31" s="1"/>
  <c r="E1025" i="10"/>
  <c r="G1025" i="10" s="1"/>
  <c r="E1026" i="10"/>
  <c r="G1026" i="10" s="1"/>
  <c r="G932" i="31" s="1"/>
  <c r="E1027" i="10"/>
  <c r="E1028" i="10"/>
  <c r="G1028" i="10" s="1"/>
  <c r="G934" i="31" s="1"/>
  <c r="E1029" i="10"/>
  <c r="G1029" i="10" s="1"/>
  <c r="G935" i="31" s="1"/>
  <c r="E1030" i="10"/>
  <c r="G1030" i="10" s="1"/>
  <c r="G936" i="31" s="1"/>
  <c r="E1031" i="10"/>
  <c r="E1032" i="10"/>
  <c r="G1032" i="10" s="1"/>
  <c r="G938" i="31" s="1"/>
  <c r="E1033" i="10"/>
  <c r="G1033" i="10" s="1"/>
  <c r="G939" i="31" s="1"/>
  <c r="E1034" i="10"/>
  <c r="G1034" i="10" s="1"/>
  <c r="G940" i="31" s="1"/>
  <c r="E1035" i="10"/>
  <c r="E1036" i="10"/>
  <c r="G1036" i="10" s="1"/>
  <c r="E1037" i="10"/>
  <c r="G1037" i="10" s="1"/>
  <c r="G942" i="31" s="1"/>
  <c r="E1038" i="10"/>
  <c r="G1038" i="10" s="1"/>
  <c r="G943" i="31" s="1"/>
  <c r="E1039" i="10"/>
  <c r="E1040" i="10"/>
  <c r="G1040" i="10" s="1"/>
  <c r="G945" i="31" s="1"/>
  <c r="E1041" i="10"/>
  <c r="G1041" i="10" s="1"/>
  <c r="G946" i="31" s="1"/>
  <c r="E1042" i="10"/>
  <c r="G1042" i="10" s="1"/>
  <c r="G947" i="31" s="1"/>
  <c r="E1043" i="10"/>
  <c r="E1044" i="10"/>
  <c r="G1044" i="10" s="1"/>
  <c r="G949" i="31" s="1"/>
  <c r="E1045" i="10"/>
  <c r="G1045" i="10" s="1"/>
  <c r="G950" i="31" s="1"/>
  <c r="E1046" i="10"/>
  <c r="G1046" i="10" s="1"/>
  <c r="G951" i="31" s="1"/>
  <c r="E1047" i="10"/>
  <c r="E1048" i="10"/>
  <c r="G1048" i="10" s="1"/>
  <c r="G952" i="31" s="1"/>
  <c r="E1049" i="10"/>
  <c r="G1049" i="10" s="1"/>
  <c r="G953" i="31" s="1"/>
  <c r="E1050" i="10"/>
  <c r="G1050" i="10" s="1"/>
  <c r="G954" i="31" s="1"/>
  <c r="E1051" i="10"/>
  <c r="E1052" i="10"/>
  <c r="G1052" i="10" s="1"/>
  <c r="G956" i="31" s="1"/>
  <c r="E1053" i="10"/>
  <c r="G1053" i="10" s="1"/>
  <c r="G957" i="31" s="1"/>
  <c r="E1054" i="10"/>
  <c r="G1054" i="10" s="1"/>
  <c r="G958" i="31" s="1"/>
  <c r="E1055" i="10"/>
  <c r="E1056" i="10"/>
  <c r="G1056" i="10" s="1"/>
  <c r="G960" i="31" s="1"/>
  <c r="E1057" i="10"/>
  <c r="G1057" i="10" s="1"/>
  <c r="G961" i="31" s="1"/>
  <c r="E1058" i="10"/>
  <c r="G1058" i="10" s="1"/>
  <c r="E1059" i="10"/>
  <c r="E1060" i="10"/>
  <c r="G1060" i="10" s="1"/>
  <c r="G963" i="31" s="1"/>
  <c r="E1061" i="10"/>
  <c r="G1061" i="10" s="1"/>
  <c r="G964" i="31" s="1"/>
  <c r="E1062" i="10"/>
  <c r="G1062" i="10" s="1"/>
  <c r="G965" i="31" s="1"/>
  <c r="E1063" i="10"/>
  <c r="E1064" i="10"/>
  <c r="G1064" i="10" s="1"/>
  <c r="G967" i="31" s="1"/>
  <c r="E1065" i="10"/>
  <c r="G1065" i="10" s="1"/>
  <c r="G968" i="31" s="1"/>
  <c r="E1066" i="10"/>
  <c r="G1066" i="10" s="1"/>
  <c r="G969" i="31" s="1"/>
  <c r="E1067" i="10"/>
  <c r="E1068" i="10"/>
  <c r="G1068" i="10" s="1"/>
  <c r="G971" i="31" s="1"/>
  <c r="E1069" i="10"/>
  <c r="G1069" i="10" s="1"/>
  <c r="E1070" i="10"/>
  <c r="G1070" i="10" s="1"/>
  <c r="G972" i="31" s="1"/>
  <c r="E1071" i="10"/>
  <c r="E1080" i="10"/>
  <c r="G1080" i="10" s="1"/>
  <c r="E1081" i="10"/>
  <c r="G1081" i="10" s="1"/>
  <c r="G982" i="31" s="1"/>
  <c r="E1082" i="10"/>
  <c r="G1082" i="10" s="1"/>
  <c r="G983" i="31" s="1"/>
  <c r="E1083" i="10"/>
  <c r="E1084" i="10"/>
  <c r="G1084" i="10" s="1"/>
  <c r="G985" i="31" s="1"/>
  <c r="E1085" i="10"/>
  <c r="G1085" i="10" s="1"/>
  <c r="G986" i="31" s="1"/>
  <c r="E1086" i="10"/>
  <c r="G1086" i="10" s="1"/>
  <c r="G987" i="31" s="1"/>
  <c r="E1091" i="10"/>
  <c r="E1102" i="10"/>
  <c r="G1102" i="10" s="1"/>
  <c r="E1103" i="10"/>
  <c r="G1103" i="10" s="1"/>
  <c r="G1002" i="31" s="1"/>
  <c r="E1104" i="10"/>
  <c r="G1104" i="10" s="1"/>
  <c r="G1003" i="31" s="1"/>
  <c r="E1105" i="10"/>
  <c r="E1106" i="10"/>
  <c r="G1106" i="10" s="1"/>
  <c r="G1005" i="31" s="1"/>
  <c r="E1107" i="10"/>
  <c r="G1107" i="10" s="1"/>
  <c r="G1006" i="31" s="1"/>
  <c r="E1108" i="10"/>
  <c r="G1108" i="10" s="1"/>
  <c r="G1007" i="31" s="1"/>
  <c r="E1109" i="10"/>
  <c r="E1110" i="10"/>
  <c r="G1110" i="10" s="1"/>
  <c r="G1009" i="31" s="1"/>
  <c r="E1111" i="10"/>
  <c r="G1111" i="10" s="1"/>
  <c r="G1010" i="31" s="1"/>
  <c r="E1112" i="10"/>
  <c r="G1112" i="10" s="1"/>
  <c r="G1011" i="31" s="1"/>
  <c r="E1113" i="10"/>
  <c r="E1114" i="10"/>
  <c r="G1114" i="10" s="1"/>
  <c r="G1012" i="31" s="1"/>
  <c r="E1115" i="10"/>
  <c r="G1115" i="10" s="1"/>
  <c r="G1013" i="31" s="1"/>
  <c r="E1116" i="10"/>
  <c r="G1116" i="10" s="1"/>
  <c r="G1014" i="31" s="1"/>
  <c r="E1117" i="10"/>
  <c r="E1118" i="10"/>
  <c r="G1118" i="10" s="1"/>
  <c r="G1016" i="31" s="1"/>
  <c r="E1119" i="10"/>
  <c r="G1119" i="10" s="1"/>
  <c r="G1017" i="31" s="1"/>
  <c r="E1120" i="10"/>
  <c r="G1120" i="10" s="1"/>
  <c r="G1018" i="31" s="1"/>
  <c r="E1121" i="10"/>
  <c r="E1122" i="10"/>
  <c r="G1122" i="10" s="1"/>
  <c r="G1020" i="31" s="1"/>
  <c r="E1123" i="10"/>
  <c r="G1123" i="10" s="1"/>
  <c r="G1021" i="31" s="1"/>
  <c r="E1124" i="10"/>
  <c r="G1124" i="10" s="1"/>
  <c r="E1125" i="10"/>
  <c r="E1126" i="10"/>
  <c r="G1126" i="10" s="1"/>
  <c r="G1023" i="31" s="1"/>
  <c r="E1127" i="10"/>
  <c r="G1127" i="10" s="1"/>
  <c r="G1024" i="31" s="1"/>
  <c r="E1128" i="10"/>
  <c r="G1128" i="10" s="1"/>
  <c r="G1025" i="31" s="1"/>
  <c r="E1129" i="10"/>
  <c r="E1130" i="10"/>
  <c r="G1130" i="10" s="1"/>
  <c r="G1027" i="31" s="1"/>
  <c r="E1131" i="10"/>
  <c r="G1131" i="10" s="1"/>
  <c r="G1028" i="31" s="1"/>
  <c r="E1132" i="10"/>
  <c r="G1132" i="10" s="1"/>
  <c r="G1029" i="31" s="1"/>
  <c r="E1133" i="10"/>
  <c r="E1134" i="10"/>
  <c r="G1134" i="10" s="1"/>
  <c r="G1031" i="31" s="1"/>
  <c r="E1135" i="10"/>
  <c r="G1135" i="10" s="1"/>
  <c r="E1136" i="10"/>
  <c r="G1136" i="10" s="1"/>
  <c r="G1032" i="31" s="1"/>
  <c r="E1137" i="10"/>
  <c r="E1138" i="10"/>
  <c r="G1138" i="10" s="1"/>
  <c r="G1034" i="31" s="1"/>
  <c r="E1139" i="10"/>
  <c r="G1139" i="10" s="1"/>
  <c r="G1035" i="31" s="1"/>
  <c r="E1140" i="10"/>
  <c r="G1140" i="10" s="1"/>
  <c r="G1036" i="31" s="1"/>
  <c r="E1141" i="10"/>
  <c r="E1142" i="10"/>
  <c r="G1142" i="10" s="1"/>
  <c r="G1038" i="31" s="1"/>
  <c r="E1143" i="10"/>
  <c r="G1143" i="10" s="1"/>
  <c r="G1039" i="31" s="1"/>
  <c r="E1144" i="10"/>
  <c r="G1144" i="10" s="1"/>
  <c r="G1040" i="31" s="1"/>
  <c r="E1145" i="10"/>
  <c r="E1146" i="10"/>
  <c r="G1146" i="10" s="1"/>
  <c r="E1147" i="10"/>
  <c r="G1147" i="10" s="1"/>
  <c r="G1042" i="31" s="1"/>
  <c r="E1148" i="10"/>
  <c r="G1148" i="10" s="1"/>
  <c r="G1043" i="31" s="1"/>
  <c r="E1149" i="10"/>
  <c r="E1150" i="10"/>
  <c r="G1150" i="10" s="1"/>
  <c r="G1045" i="31" s="1"/>
  <c r="E1151" i="10"/>
  <c r="G1151" i="10" s="1"/>
  <c r="G1046" i="31" s="1"/>
  <c r="E1152" i="10"/>
  <c r="G1152" i="10" s="1"/>
  <c r="G1047" i="31" s="1"/>
  <c r="E1153" i="10"/>
  <c r="E1154" i="10"/>
  <c r="G1154" i="10" s="1"/>
  <c r="G1049" i="31" s="1"/>
  <c r="E1155" i="10"/>
  <c r="G1155" i="10" s="1"/>
  <c r="G1050" i="31" s="1"/>
  <c r="E1156" i="10"/>
  <c r="G1156" i="10" s="1"/>
  <c r="G1051" i="31" s="1"/>
  <c r="E1157" i="10"/>
  <c r="E1158" i="10"/>
  <c r="G1158" i="10" s="1"/>
  <c r="G1052" i="31" s="1"/>
  <c r="E1159" i="10"/>
  <c r="G1159" i="10" s="1"/>
  <c r="G1053" i="31" s="1"/>
  <c r="E1160" i="10"/>
  <c r="G1160" i="10" s="1"/>
  <c r="G1054" i="31" s="1"/>
  <c r="E1161" i="10"/>
  <c r="E1162" i="10"/>
  <c r="G1162" i="10" s="1"/>
  <c r="G1056" i="31" s="1"/>
  <c r="E1163" i="10"/>
  <c r="G1163" i="10" s="1"/>
  <c r="G1057" i="31" s="1"/>
  <c r="E1164" i="10"/>
  <c r="G1164" i="10" s="1"/>
  <c r="G1058" i="31" s="1"/>
  <c r="E1165" i="10"/>
  <c r="E1166" i="10"/>
  <c r="G1166" i="10" s="1"/>
  <c r="G1060" i="31" s="1"/>
  <c r="E1167" i="10"/>
  <c r="G1167" i="10" s="1"/>
  <c r="G1061" i="31" s="1"/>
  <c r="E1168" i="10"/>
  <c r="G1168" i="10" s="1"/>
  <c r="E1169" i="10"/>
  <c r="E1170" i="10"/>
  <c r="G1170" i="10" s="1"/>
  <c r="G1063" i="31" s="1"/>
  <c r="E1171" i="10"/>
  <c r="G1171" i="10" s="1"/>
  <c r="G1064" i="31" s="1"/>
  <c r="E1172" i="10"/>
  <c r="G1172" i="10" s="1"/>
  <c r="G1065" i="31" s="1"/>
  <c r="E1173" i="10"/>
  <c r="E1174" i="10"/>
  <c r="G1174" i="10" s="1"/>
  <c r="G1067" i="31" s="1"/>
  <c r="E1175" i="10"/>
  <c r="G1175" i="10" s="1"/>
  <c r="G1068" i="31" s="1"/>
  <c r="E1176" i="10"/>
  <c r="G1176" i="10" s="1"/>
  <c r="G1069" i="31" s="1"/>
  <c r="E1177" i="10"/>
  <c r="E1178" i="10"/>
  <c r="G1178" i="10" s="1"/>
  <c r="G1071" i="31" s="1"/>
  <c r="E1179" i="10"/>
  <c r="G1179" i="10" s="1"/>
  <c r="E1180" i="10"/>
  <c r="G1180" i="10" s="1"/>
  <c r="G1072" i="31" s="1"/>
  <c r="E1181" i="10"/>
  <c r="E1182" i="10"/>
  <c r="G1182" i="10" s="1"/>
  <c r="G1074" i="31" s="1"/>
  <c r="E1183" i="10"/>
  <c r="G1183" i="10" s="1"/>
  <c r="G1075" i="31" s="1"/>
  <c r="E1184" i="10"/>
  <c r="G1184" i="10" s="1"/>
  <c r="G1076" i="31" s="1"/>
  <c r="E1185" i="10"/>
  <c r="E1186" i="10"/>
  <c r="G1186" i="10" s="1"/>
  <c r="G1078" i="31" s="1"/>
  <c r="E1187" i="10"/>
  <c r="G1187" i="10" s="1"/>
  <c r="G1079" i="31" s="1"/>
  <c r="E1188" i="10"/>
  <c r="G1188" i="10" s="1"/>
  <c r="G1080" i="31" s="1"/>
  <c r="E1189" i="10"/>
  <c r="E1190" i="10"/>
  <c r="G1190" i="10" s="1"/>
  <c r="E1191" i="10"/>
  <c r="G1191" i="10" s="1"/>
  <c r="G1082" i="31" s="1"/>
  <c r="E1192" i="10"/>
  <c r="G1192" i="10" s="1"/>
  <c r="G1083" i="31" s="1"/>
  <c r="E1193" i="10"/>
  <c r="E1194" i="10"/>
  <c r="G1194" i="10" s="1"/>
  <c r="G1085" i="31" s="1"/>
  <c r="E1195" i="10"/>
  <c r="G1195" i="10" s="1"/>
  <c r="G1086" i="31" s="1"/>
  <c r="E1196" i="10"/>
  <c r="G1196" i="10" s="1"/>
  <c r="G1087" i="31" s="1"/>
  <c r="E1197" i="10"/>
  <c r="E1198" i="10"/>
  <c r="G1198" i="10" s="1"/>
  <c r="G1089" i="31" s="1"/>
  <c r="E1199" i="10"/>
  <c r="G1199" i="10" s="1"/>
  <c r="G1090" i="31" s="1"/>
  <c r="E1200" i="10"/>
  <c r="G1200" i="10" s="1"/>
  <c r="G1091" i="31" s="1"/>
  <c r="E1201" i="10"/>
  <c r="E1202" i="10"/>
  <c r="G1202" i="10" s="1"/>
  <c r="G1092" i="31" s="1"/>
  <c r="E1203" i="10"/>
  <c r="G1203" i="10" s="1"/>
  <c r="G1093" i="31" s="1"/>
  <c r="E1204" i="10"/>
  <c r="G1204" i="10" s="1"/>
  <c r="G1094" i="31" s="1"/>
  <c r="E1205" i="10"/>
  <c r="E1206" i="10"/>
  <c r="G1206" i="10" s="1"/>
  <c r="G1096" i="31" s="1"/>
  <c r="E1207" i="10"/>
  <c r="G1207" i="10" s="1"/>
  <c r="G1097" i="31" s="1"/>
  <c r="E1208" i="10"/>
  <c r="G1208" i="10" s="1"/>
  <c r="G1098" i="31" s="1"/>
  <c r="E1209" i="10"/>
  <c r="E1210" i="10"/>
  <c r="G1210" i="10" s="1"/>
  <c r="G1100" i="31" s="1"/>
  <c r="E1211" i="10"/>
  <c r="G1211" i="10" s="1"/>
  <c r="G1101" i="31" s="1"/>
  <c r="E1212" i="10"/>
  <c r="G1212" i="10" s="1"/>
  <c r="E1213" i="10"/>
  <c r="E1214" i="10"/>
  <c r="G1214" i="10" s="1"/>
  <c r="G1103" i="31" s="1"/>
  <c r="E1215" i="10"/>
  <c r="G1215" i="10" s="1"/>
  <c r="G1104" i="31" s="1"/>
  <c r="E1216" i="10"/>
  <c r="G1216" i="10" s="1"/>
  <c r="G1105" i="31" s="1"/>
  <c r="E1217" i="10"/>
  <c r="E1218" i="10"/>
  <c r="G1218" i="10" s="1"/>
  <c r="G1107" i="31" s="1"/>
  <c r="E1219" i="10"/>
  <c r="G1219" i="10" s="1"/>
  <c r="G1108" i="31" s="1"/>
  <c r="E1220" i="10"/>
  <c r="G1220" i="10" s="1"/>
  <c r="G1109" i="31" s="1"/>
  <c r="E1221" i="10"/>
  <c r="E1222" i="10"/>
  <c r="G1222" i="10" s="1"/>
  <c r="G1111" i="31" s="1"/>
  <c r="E1223" i="10"/>
  <c r="G1223" i="10" s="1"/>
  <c r="E1224" i="10"/>
  <c r="G1224" i="10" s="1"/>
  <c r="G1112" i="31" s="1"/>
  <c r="E1225" i="10"/>
  <c r="E1226" i="10"/>
  <c r="G1226" i="10" s="1"/>
  <c r="G1114" i="31" s="1"/>
  <c r="E1227" i="10"/>
  <c r="G1227" i="10" s="1"/>
  <c r="G1115" i="31" s="1"/>
  <c r="E1228" i="10"/>
  <c r="G1228" i="10" s="1"/>
  <c r="G1116" i="31" s="1"/>
  <c r="E1229" i="10"/>
  <c r="E1230" i="10"/>
  <c r="G1230" i="10" s="1"/>
  <c r="G1118" i="31" s="1"/>
  <c r="E1231" i="10"/>
  <c r="G1231" i="10" s="1"/>
  <c r="G1119" i="31" s="1"/>
  <c r="E1232" i="10"/>
  <c r="G1232" i="10" s="1"/>
  <c r="G1120" i="31" s="1"/>
  <c r="E1233" i="10"/>
  <c r="E1234" i="10"/>
  <c r="G1234" i="10" s="1"/>
  <c r="E1235" i="10"/>
  <c r="G1235" i="10" s="1"/>
  <c r="G1122" i="31" s="1"/>
  <c r="E1236" i="10"/>
  <c r="G1236" i="10" s="1"/>
  <c r="G1123" i="31" s="1"/>
  <c r="E1237" i="10"/>
  <c r="E1238" i="10"/>
  <c r="G1238" i="10" s="1"/>
  <c r="G1125" i="31" s="1"/>
  <c r="E1239" i="10"/>
  <c r="G1239" i="10" s="1"/>
  <c r="G1126" i="31" s="1"/>
  <c r="E1240" i="10"/>
  <c r="G1240" i="10" s="1"/>
  <c r="G1127" i="31" s="1"/>
  <c r="E1241" i="10"/>
  <c r="E1242" i="10"/>
  <c r="G1242" i="10" s="1"/>
  <c r="G1129" i="31" s="1"/>
  <c r="E1243" i="10"/>
  <c r="G1243" i="10" s="1"/>
  <c r="G1130" i="31" s="1"/>
  <c r="E1244" i="10"/>
  <c r="G1244" i="10" s="1"/>
  <c r="G1131" i="31" s="1"/>
  <c r="E1245" i="10"/>
  <c r="E1246" i="10"/>
  <c r="G1246" i="10" s="1"/>
  <c r="G1132" i="31" s="1"/>
  <c r="E1247" i="10"/>
  <c r="G1247" i="10" s="1"/>
  <c r="G1133" i="31" s="1"/>
  <c r="E1248" i="10"/>
  <c r="G1248" i="10" s="1"/>
  <c r="G1134" i="31" s="1"/>
  <c r="E1249" i="10"/>
  <c r="E1250" i="10"/>
  <c r="G1250" i="10" s="1"/>
  <c r="G1136" i="31" s="1"/>
  <c r="E1251" i="10"/>
  <c r="G1251" i="10" s="1"/>
  <c r="G1137" i="31" s="1"/>
  <c r="E1252" i="10"/>
  <c r="G1252" i="10" s="1"/>
  <c r="G1138" i="31" s="1"/>
  <c r="E1253" i="10"/>
  <c r="E1254" i="10"/>
  <c r="G1254" i="10" s="1"/>
  <c r="G1140" i="31" s="1"/>
  <c r="E1255" i="10"/>
  <c r="G1255" i="10" s="1"/>
  <c r="G1141" i="31" s="1"/>
  <c r="E1256" i="10"/>
  <c r="G1256" i="10" s="1"/>
  <c r="E1257" i="10"/>
  <c r="E1258" i="10"/>
  <c r="G1258" i="10" s="1"/>
  <c r="G1143" i="31" s="1"/>
  <c r="E1259" i="10"/>
  <c r="G1259" i="10" s="1"/>
  <c r="G1144" i="31" s="1"/>
  <c r="E1260" i="10"/>
  <c r="G1260" i="10" s="1"/>
  <c r="G1145" i="31" s="1"/>
  <c r="E1261" i="10"/>
  <c r="E1262" i="10"/>
  <c r="G1262" i="10" s="1"/>
  <c r="G1147" i="31" s="1"/>
  <c r="E1263" i="10"/>
  <c r="G1263" i="10" s="1"/>
  <c r="G1148" i="31" s="1"/>
  <c r="E1264" i="10"/>
  <c r="G1264" i="10" s="1"/>
  <c r="G1149" i="31" s="1"/>
  <c r="E1265" i="10"/>
  <c r="E1266" i="10"/>
  <c r="G1266" i="10" s="1"/>
  <c r="G1151" i="31" s="1"/>
  <c r="E1267" i="10"/>
  <c r="G1267" i="10" s="1"/>
  <c r="E1268" i="10"/>
  <c r="G1268" i="10" s="1"/>
  <c r="G1152" i="31" s="1"/>
  <c r="E1269" i="10"/>
  <c r="E1270" i="10"/>
  <c r="G1270" i="10" s="1"/>
  <c r="G1154" i="31" s="1"/>
  <c r="E1271" i="10"/>
  <c r="G1271" i="10" s="1"/>
  <c r="G1155" i="31" s="1"/>
  <c r="E1272" i="10"/>
  <c r="G1272" i="10" s="1"/>
  <c r="G1156" i="31" s="1"/>
  <c r="E1273" i="10"/>
  <c r="E1274" i="10"/>
  <c r="G1274" i="10" s="1"/>
  <c r="G1158" i="31" s="1"/>
  <c r="E1275" i="10"/>
  <c r="G1275" i="10" s="1"/>
  <c r="G1159" i="31" s="1"/>
  <c r="E1276" i="10"/>
  <c r="G1276" i="10" s="1"/>
  <c r="G1160" i="31" s="1"/>
  <c r="E1277" i="10"/>
  <c r="E1278" i="10"/>
  <c r="G1278" i="10" s="1"/>
  <c r="E1279" i="10"/>
  <c r="G1279" i="10" s="1"/>
  <c r="G1162" i="31" s="1"/>
  <c r="E1280" i="10"/>
  <c r="G1280" i="10" s="1"/>
  <c r="G1163" i="31" s="1"/>
  <c r="E1281" i="10"/>
  <c r="E1282" i="10"/>
  <c r="G1282" i="10" s="1"/>
  <c r="G1165" i="31" s="1"/>
  <c r="E1283" i="10"/>
  <c r="G1283" i="10" s="1"/>
  <c r="G1166" i="31" s="1"/>
  <c r="E1284" i="10"/>
  <c r="G1284" i="10" s="1"/>
  <c r="G1167" i="31" s="1"/>
  <c r="E1285" i="10"/>
  <c r="E1286" i="10"/>
  <c r="G1286" i="10" s="1"/>
  <c r="G1169" i="31" s="1"/>
  <c r="E1287" i="10"/>
  <c r="G1287" i="10" s="1"/>
  <c r="G1170" i="31" s="1"/>
  <c r="E1288" i="10"/>
  <c r="G1288" i="10" s="1"/>
  <c r="G1171" i="31" s="1"/>
  <c r="E1289" i="10"/>
  <c r="E1290" i="10"/>
  <c r="G1290" i="10" s="1"/>
  <c r="G1172" i="31" s="1"/>
  <c r="E1291" i="10"/>
  <c r="G1291" i="10" s="1"/>
  <c r="G1173" i="31" s="1"/>
  <c r="E1292" i="10"/>
  <c r="G1292" i="10" s="1"/>
  <c r="G1174" i="31" s="1"/>
  <c r="E1293" i="10"/>
  <c r="E1294" i="10"/>
  <c r="G1294" i="10" s="1"/>
  <c r="G1176" i="31" s="1"/>
  <c r="E1295" i="10"/>
  <c r="G1295" i="10" s="1"/>
  <c r="G1177" i="31" s="1"/>
  <c r="E1296" i="10"/>
  <c r="G1296" i="10" s="1"/>
  <c r="G1178" i="31" s="1"/>
  <c r="E1297" i="10"/>
  <c r="E1298" i="10"/>
  <c r="G1298" i="10" s="1"/>
  <c r="G1180" i="31" s="1"/>
  <c r="E1299" i="10"/>
  <c r="G1299" i="10" s="1"/>
  <c r="G1181" i="31" s="1"/>
  <c r="E1300" i="10"/>
  <c r="G1300" i="10" s="1"/>
  <c r="E1301" i="10"/>
  <c r="E1302" i="10"/>
  <c r="G1302" i="10" s="1"/>
  <c r="G1183" i="31" s="1"/>
  <c r="E1303" i="10"/>
  <c r="G1303" i="10" s="1"/>
  <c r="G1184" i="31" s="1"/>
  <c r="E1304" i="10"/>
  <c r="G1304" i="10" s="1"/>
  <c r="G1185" i="31" s="1"/>
  <c r="E1305" i="10"/>
  <c r="E1306" i="10"/>
  <c r="G1306" i="10" s="1"/>
  <c r="G1187" i="31" s="1"/>
  <c r="E1307" i="10"/>
  <c r="G1307" i="10" s="1"/>
  <c r="G1188" i="31" s="1"/>
  <c r="E1308" i="10"/>
  <c r="G1308" i="10" s="1"/>
  <c r="G1189" i="31" s="1"/>
  <c r="E1309" i="10"/>
  <c r="E1310" i="10"/>
  <c r="G1310" i="10" s="1"/>
  <c r="G1191" i="31" s="1"/>
  <c r="E1311" i="10"/>
  <c r="G1311" i="10" s="1"/>
  <c r="E1312" i="10"/>
  <c r="G1312" i="10" s="1"/>
  <c r="G1192" i="31" s="1"/>
  <c r="E1313" i="10"/>
  <c r="E1314" i="10"/>
  <c r="G1314" i="10" s="1"/>
  <c r="G1194" i="31" s="1"/>
  <c r="E1315" i="10"/>
  <c r="G1315" i="10" s="1"/>
  <c r="G1195" i="31" s="1"/>
  <c r="E1316" i="10"/>
  <c r="G1316" i="10" s="1"/>
  <c r="G1196" i="31" s="1"/>
  <c r="E1317" i="10"/>
  <c r="E1318" i="10"/>
  <c r="G1318" i="10" s="1"/>
  <c r="G1198" i="31" s="1"/>
  <c r="E1319" i="10"/>
  <c r="G1319" i="10" s="1"/>
  <c r="G1199" i="31" s="1"/>
  <c r="E1320" i="10"/>
  <c r="G1320" i="10" s="1"/>
  <c r="G1200" i="31" s="1"/>
  <c r="E1321" i="10"/>
  <c r="E1322" i="10"/>
  <c r="G1322" i="10" s="1"/>
  <c r="E1323" i="10"/>
  <c r="G1323" i="10" s="1"/>
  <c r="G1202" i="31" s="1"/>
  <c r="E1324" i="10"/>
  <c r="G1324" i="10" s="1"/>
  <c r="G1203" i="31" s="1"/>
  <c r="E1325" i="10"/>
  <c r="E1326" i="10"/>
  <c r="G1326" i="10" s="1"/>
  <c r="G1205" i="31" s="1"/>
  <c r="E1327" i="10"/>
  <c r="G1327" i="10" s="1"/>
  <c r="G1206" i="31" s="1"/>
  <c r="E1328" i="10"/>
  <c r="G1328" i="10" s="1"/>
  <c r="G1207" i="31" s="1"/>
  <c r="E1329" i="10"/>
  <c r="E1330" i="10"/>
  <c r="G1330" i="10" s="1"/>
  <c r="G1209" i="31" s="1"/>
  <c r="E1331" i="10"/>
  <c r="G1331" i="10" s="1"/>
  <c r="G1210" i="31" s="1"/>
  <c r="E1332" i="10"/>
  <c r="G1332" i="10" s="1"/>
  <c r="G1211" i="31" s="1"/>
  <c r="E1333" i="10"/>
  <c r="E1334" i="10"/>
  <c r="G1334" i="10" s="1"/>
  <c r="G1212" i="31" s="1"/>
  <c r="E1335" i="10"/>
  <c r="G1335" i="10" s="1"/>
  <c r="G1213" i="31" s="1"/>
  <c r="E1336" i="10"/>
  <c r="G1336" i="10" s="1"/>
  <c r="G1214" i="31" s="1"/>
  <c r="E1337" i="10"/>
  <c r="E1338" i="10"/>
  <c r="G1338" i="10" s="1"/>
  <c r="G1216" i="31" s="1"/>
  <c r="E1339" i="10"/>
  <c r="G1339" i="10" s="1"/>
  <c r="G1217" i="31" s="1"/>
  <c r="E1340" i="10"/>
  <c r="G1340" i="10" s="1"/>
  <c r="G1218" i="31" s="1"/>
  <c r="E1341" i="10"/>
  <c r="E1342" i="10"/>
  <c r="G1342" i="10" s="1"/>
  <c r="G1220" i="31" s="1"/>
  <c r="E1343" i="10"/>
  <c r="G1343" i="10" s="1"/>
  <c r="G1221" i="31" s="1"/>
  <c r="E1344" i="10"/>
  <c r="G1344" i="10" s="1"/>
  <c r="E1345" i="10"/>
  <c r="E1346" i="10"/>
  <c r="G1346" i="10" s="1"/>
  <c r="G1223" i="31" s="1"/>
  <c r="E1347" i="10"/>
  <c r="G1347" i="10" s="1"/>
  <c r="G1224" i="31" s="1"/>
  <c r="E1348" i="10"/>
  <c r="G1348" i="10" s="1"/>
  <c r="G1225" i="31" s="1"/>
  <c r="E1349" i="10"/>
  <c r="E1350" i="10"/>
  <c r="G1350" i="10" s="1"/>
  <c r="G1227" i="31" s="1"/>
  <c r="E1351" i="10"/>
  <c r="G1351" i="10" s="1"/>
  <c r="G1228" i="31" s="1"/>
  <c r="E1352" i="10"/>
  <c r="G1352" i="10" s="1"/>
  <c r="G1229" i="31" s="1"/>
  <c r="E1353" i="10"/>
  <c r="E1354" i="10"/>
  <c r="G1354" i="10" s="1"/>
  <c r="G1231" i="31" s="1"/>
  <c r="E1355" i="10"/>
  <c r="G1355" i="10" s="1"/>
  <c r="E1356" i="10"/>
  <c r="G1356" i="10" s="1"/>
  <c r="G1232" i="31" s="1"/>
  <c r="E1357" i="10"/>
  <c r="E1358" i="10"/>
  <c r="G1358" i="10" s="1"/>
  <c r="G1234" i="31" s="1"/>
  <c r="E1359" i="10"/>
  <c r="G1359" i="10" s="1"/>
  <c r="G1235" i="31" s="1"/>
  <c r="E1360" i="10"/>
  <c r="G1360" i="10" s="1"/>
  <c r="G1236" i="31" s="1"/>
  <c r="E1361" i="10"/>
  <c r="E1362" i="10"/>
  <c r="G1362" i="10" s="1"/>
  <c r="G1238" i="31" s="1"/>
  <c r="E1363" i="10"/>
  <c r="G1363" i="10" s="1"/>
  <c r="G1239" i="31" s="1"/>
  <c r="E1364" i="10"/>
  <c r="G1364" i="10" s="1"/>
  <c r="G1240" i="31" s="1"/>
  <c r="E1365" i="10"/>
  <c r="E1366" i="10"/>
  <c r="G1366" i="10" s="1"/>
  <c r="E1367" i="10"/>
  <c r="G1367" i="10" s="1"/>
  <c r="G1242" i="31" s="1"/>
  <c r="E1368" i="10"/>
  <c r="G1368" i="10" s="1"/>
  <c r="G1243" i="31" s="1"/>
  <c r="E1369" i="10"/>
  <c r="E1370" i="10"/>
  <c r="G1370" i="10" s="1"/>
  <c r="G1245" i="31" s="1"/>
  <c r="E1371" i="10"/>
  <c r="G1371" i="10" s="1"/>
  <c r="G1246" i="31" s="1"/>
  <c r="E1372" i="10"/>
  <c r="G1372" i="10" s="1"/>
  <c r="G1247" i="31" s="1"/>
  <c r="E1373" i="10"/>
  <c r="E1374" i="10"/>
  <c r="G1374" i="10" s="1"/>
  <c r="G1249" i="31" s="1"/>
  <c r="E1375" i="10"/>
  <c r="G1375" i="10" s="1"/>
  <c r="G1250" i="31" s="1"/>
  <c r="E1376" i="10"/>
  <c r="G1376" i="10" s="1"/>
  <c r="G1251" i="31" s="1"/>
  <c r="E1377" i="10"/>
  <c r="E1378" i="10"/>
  <c r="G1378" i="10" s="1"/>
  <c r="G1252" i="31" s="1"/>
  <c r="E1379" i="10"/>
  <c r="G1379" i="10" s="1"/>
  <c r="G1253" i="31" s="1"/>
  <c r="E1380" i="10"/>
  <c r="G1380" i="10" s="1"/>
  <c r="G1254" i="31" s="1"/>
  <c r="E1381" i="10"/>
  <c r="E1382" i="10"/>
  <c r="G1382" i="10" s="1"/>
  <c r="G1256" i="31" s="1"/>
  <c r="E1383" i="10"/>
  <c r="G1383" i="10" s="1"/>
  <c r="G1257" i="31" s="1"/>
  <c r="E1384" i="10"/>
  <c r="G1384" i="10" s="1"/>
  <c r="G1258" i="31" s="1"/>
  <c r="E1385" i="10"/>
  <c r="E1386" i="10"/>
  <c r="G1386" i="10" s="1"/>
  <c r="G1260" i="31" s="1"/>
  <c r="E1387" i="10"/>
  <c r="G1387" i="10" s="1"/>
  <c r="G1261" i="31" s="1"/>
  <c r="E1388" i="10"/>
  <c r="G1388" i="10" s="1"/>
  <c r="E1389" i="10"/>
  <c r="E1390" i="10"/>
  <c r="G1390" i="10" s="1"/>
  <c r="G1263" i="31" s="1"/>
  <c r="E1391" i="10"/>
  <c r="G1391" i="10" s="1"/>
  <c r="G1264" i="31" s="1"/>
  <c r="E1392" i="10"/>
  <c r="G1392" i="10" s="1"/>
  <c r="G1265" i="31" s="1"/>
  <c r="E1393" i="10"/>
  <c r="E1394" i="10"/>
  <c r="G1394" i="10" s="1"/>
  <c r="G1267" i="31" s="1"/>
  <c r="E1395" i="10"/>
  <c r="G1395" i="10" s="1"/>
  <c r="G1268" i="31" s="1"/>
  <c r="E1396" i="10"/>
  <c r="G1396" i="10" s="1"/>
  <c r="G1269" i="31" s="1"/>
  <c r="E1397" i="10"/>
  <c r="E1398" i="10"/>
  <c r="G1398" i="10" s="1"/>
  <c r="G1271" i="31" s="1"/>
  <c r="E1399" i="10"/>
  <c r="G1399" i="10" s="1"/>
  <c r="E1400" i="10"/>
  <c r="G1400" i="10" s="1"/>
  <c r="G1272" i="31" s="1"/>
  <c r="E1401" i="10"/>
  <c r="E1402" i="10"/>
  <c r="G1402" i="10" s="1"/>
  <c r="G1274" i="31" s="1"/>
  <c r="E1403" i="10"/>
  <c r="G1403" i="10" s="1"/>
  <c r="G1275" i="31" s="1"/>
  <c r="E1404" i="10"/>
  <c r="G1404" i="10" s="1"/>
  <c r="G1276" i="31" s="1"/>
  <c r="E1405" i="10"/>
  <c r="E1406" i="10"/>
  <c r="G1406" i="10" s="1"/>
  <c r="G1278" i="31" s="1"/>
  <c r="E1407" i="10"/>
  <c r="G1407" i="10" s="1"/>
  <c r="G1279" i="31" s="1"/>
  <c r="E1408" i="10"/>
  <c r="G1408" i="10" s="1"/>
  <c r="G1280" i="31" s="1"/>
  <c r="E1409" i="10"/>
  <c r="E1410" i="10"/>
  <c r="G1410" i="10" s="1"/>
  <c r="E1411" i="10"/>
  <c r="G1411" i="10" s="1"/>
  <c r="G1282" i="31" s="1"/>
  <c r="E1412" i="10"/>
  <c r="G1412" i="10" s="1"/>
  <c r="G1283" i="31" s="1"/>
  <c r="E1413" i="10"/>
  <c r="E1414" i="10"/>
  <c r="G1414" i="10" s="1"/>
  <c r="G1285" i="31" s="1"/>
  <c r="E1415" i="10"/>
  <c r="G1415" i="10" s="1"/>
  <c r="G1286" i="31" s="1"/>
  <c r="E1416" i="10"/>
  <c r="G1416" i="10" s="1"/>
  <c r="G1287" i="31" s="1"/>
  <c r="E1417" i="10"/>
  <c r="E1418" i="10"/>
  <c r="G1418" i="10" s="1"/>
  <c r="G1289" i="31" s="1"/>
  <c r="E1419" i="10"/>
  <c r="G1419" i="10" s="1"/>
  <c r="G1290" i="31" s="1"/>
  <c r="E1420" i="10"/>
  <c r="G1420" i="10" s="1"/>
  <c r="G1291" i="31" s="1"/>
  <c r="E1421" i="10"/>
  <c r="E1422" i="10"/>
  <c r="G1422" i="10" s="1"/>
  <c r="G1292" i="31" s="1"/>
  <c r="E1423" i="10"/>
  <c r="G1423" i="10" s="1"/>
  <c r="G1293" i="31" s="1"/>
  <c r="E1424" i="10"/>
  <c r="G1424" i="10" s="1"/>
  <c r="G1294" i="31" s="1"/>
  <c r="E1425" i="10"/>
  <c r="E1426" i="10"/>
  <c r="G1426" i="10" s="1"/>
  <c r="G1296" i="31" s="1"/>
  <c r="E1427" i="10"/>
  <c r="G1427" i="10" s="1"/>
  <c r="G1297" i="31" s="1"/>
  <c r="E1428" i="10"/>
  <c r="G1428" i="10" s="1"/>
  <c r="G1298" i="31" s="1"/>
  <c r="E1429" i="10"/>
  <c r="E1430" i="10"/>
  <c r="G1430" i="10" s="1"/>
  <c r="G1300" i="31" s="1"/>
  <c r="E1431" i="10"/>
  <c r="G1431" i="10" s="1"/>
  <c r="G1301" i="31" s="1"/>
  <c r="E1432" i="10"/>
  <c r="G1432" i="10" s="1"/>
  <c r="E1433" i="10"/>
  <c r="E1434" i="10"/>
  <c r="G1434" i="10" s="1"/>
  <c r="G1303" i="31" s="1"/>
  <c r="E1435" i="10"/>
  <c r="G1435" i="10" s="1"/>
  <c r="G1304" i="31" s="1"/>
  <c r="E1436" i="10"/>
  <c r="G1436" i="10" s="1"/>
  <c r="G1305" i="31" s="1"/>
  <c r="E1437" i="10"/>
  <c r="E1438" i="10"/>
  <c r="G1438" i="10" s="1"/>
  <c r="G1307" i="31" s="1"/>
  <c r="E1439" i="10"/>
  <c r="G1439" i="10" s="1"/>
  <c r="G1308" i="31" s="1"/>
  <c r="E1440" i="10"/>
  <c r="G1440" i="10" s="1"/>
  <c r="G1309" i="31" s="1"/>
  <c r="E1441" i="10"/>
  <c r="E1442" i="10"/>
  <c r="G1442" i="10" s="1"/>
  <c r="G1311" i="31" s="1"/>
  <c r="E1443" i="10"/>
  <c r="G1443" i="10" s="1"/>
  <c r="E1444" i="10"/>
  <c r="G1444" i="10" s="1"/>
  <c r="G1312" i="31" s="1"/>
  <c r="E1445" i="10"/>
  <c r="E1446" i="10"/>
  <c r="G1446" i="10" s="1"/>
  <c r="G1314" i="31" s="1"/>
  <c r="E1447" i="10"/>
  <c r="G1447" i="10" s="1"/>
  <c r="G1315" i="31" s="1"/>
  <c r="E1448" i="10"/>
  <c r="G1448" i="10" s="1"/>
  <c r="G1316" i="31" s="1"/>
  <c r="E1449" i="10"/>
  <c r="E1450" i="10"/>
  <c r="G1450" i="10" s="1"/>
  <c r="G1318" i="31" s="1"/>
  <c r="E1451" i="10"/>
  <c r="G1451" i="10" s="1"/>
  <c r="G1319" i="31" s="1"/>
  <c r="E1452" i="10"/>
  <c r="G1452" i="10" s="1"/>
  <c r="G1320" i="31" s="1"/>
  <c r="E1453" i="10"/>
  <c r="E1454" i="10"/>
  <c r="G1454" i="10" s="1"/>
  <c r="E1455" i="10"/>
  <c r="G1455" i="10" s="1"/>
  <c r="G1322" i="31" s="1"/>
  <c r="E1456" i="10"/>
  <c r="G1456" i="10" s="1"/>
  <c r="G1323" i="31" s="1"/>
  <c r="E1457" i="10"/>
  <c r="E1458" i="10"/>
  <c r="G1458" i="10" s="1"/>
  <c r="G1325" i="31" s="1"/>
  <c r="E1459" i="10"/>
  <c r="G1459" i="10" s="1"/>
  <c r="G1326" i="31" s="1"/>
  <c r="E1460" i="10"/>
  <c r="G1460" i="10" s="1"/>
  <c r="G1327" i="31" s="1"/>
  <c r="E1461" i="10"/>
  <c r="E1462" i="10"/>
  <c r="G1462" i="10" s="1"/>
  <c r="G1329" i="31" s="1"/>
  <c r="E1463" i="10"/>
  <c r="G1463" i="10" s="1"/>
  <c r="G1330" i="31" s="1"/>
  <c r="E1464" i="10"/>
  <c r="G1464" i="10" s="1"/>
  <c r="G1331" i="31" s="1"/>
  <c r="E1465" i="10"/>
  <c r="E1466" i="10"/>
  <c r="G1466" i="10" s="1"/>
  <c r="G1332" i="31" s="1"/>
  <c r="E1467" i="10"/>
  <c r="G1467" i="10" s="1"/>
  <c r="G1333" i="31" s="1"/>
  <c r="E1468" i="10"/>
  <c r="G1468" i="10" s="1"/>
  <c r="G1334" i="31" s="1"/>
  <c r="E1469" i="10"/>
  <c r="E1470" i="10"/>
  <c r="G1470" i="10" s="1"/>
  <c r="G1336" i="31" s="1"/>
  <c r="E1471" i="10"/>
  <c r="G1471" i="10" s="1"/>
  <c r="G1337" i="31" s="1"/>
  <c r="E1472" i="10"/>
  <c r="G1472" i="10" s="1"/>
  <c r="G1338" i="31" s="1"/>
  <c r="E1473" i="10"/>
  <c r="E1474" i="10"/>
  <c r="G1474" i="10" s="1"/>
  <c r="G1340" i="31" s="1"/>
  <c r="E1475" i="10"/>
  <c r="G1475" i="10" s="1"/>
  <c r="G1341" i="31" s="1"/>
  <c r="E1476" i="10"/>
  <c r="G1476" i="10" s="1"/>
  <c r="E1477" i="10"/>
  <c r="E1478" i="10"/>
  <c r="G1478" i="10" s="1"/>
  <c r="G1343" i="31" s="1"/>
  <c r="E1479" i="10"/>
  <c r="G1479" i="10" s="1"/>
  <c r="G1344" i="31" s="1"/>
  <c r="E1480" i="10"/>
  <c r="G1480" i="10" s="1"/>
  <c r="G1345" i="31" s="1"/>
  <c r="E1481" i="10"/>
  <c r="E1482" i="10"/>
  <c r="G1482" i="10" s="1"/>
  <c r="G1347" i="31" s="1"/>
  <c r="E1483" i="10"/>
  <c r="G1483" i="10" s="1"/>
  <c r="G1348" i="31" s="1"/>
  <c r="E1484" i="10"/>
  <c r="G1484" i="10" s="1"/>
  <c r="G1349" i="31" s="1"/>
  <c r="E1485" i="10"/>
  <c r="E1486" i="10"/>
  <c r="G1486" i="10" s="1"/>
  <c r="G1351" i="31" s="1"/>
  <c r="E1487" i="10"/>
  <c r="G1487" i="10" s="1"/>
  <c r="E1488" i="10"/>
  <c r="G1488" i="10" s="1"/>
  <c r="G1352" i="31" s="1"/>
  <c r="E1489" i="10"/>
  <c r="E1490" i="10"/>
  <c r="G1490" i="10" s="1"/>
  <c r="G1354" i="31" s="1"/>
  <c r="E1491" i="10"/>
  <c r="G1491" i="10" s="1"/>
  <c r="G1355" i="31" s="1"/>
  <c r="E1492" i="10"/>
  <c r="G1492" i="10" s="1"/>
  <c r="G1356" i="31" s="1"/>
  <c r="E1493" i="10"/>
  <c r="E1494" i="10"/>
  <c r="G1494" i="10" s="1"/>
  <c r="G1358" i="31" s="1"/>
  <c r="E1495" i="10"/>
  <c r="G1495" i="10" s="1"/>
  <c r="G1359" i="31" s="1"/>
  <c r="E1496" i="10"/>
  <c r="G1496" i="10" s="1"/>
  <c r="G1360" i="31" s="1"/>
  <c r="E1497" i="10"/>
  <c r="E1498" i="10"/>
  <c r="G1498" i="10" s="1"/>
  <c r="E1499" i="10"/>
  <c r="G1499" i="10" s="1"/>
  <c r="G1362" i="31" s="1"/>
  <c r="E1500" i="10"/>
  <c r="G1500" i="10" s="1"/>
  <c r="G1363" i="31" s="1"/>
  <c r="E1501" i="10"/>
  <c r="E1502" i="10"/>
  <c r="G1502" i="10" s="1"/>
  <c r="G1365" i="31" s="1"/>
  <c r="E1503" i="10"/>
  <c r="G1503" i="10" s="1"/>
  <c r="G1366" i="31" s="1"/>
  <c r="E1504" i="10"/>
  <c r="G1504" i="10" s="1"/>
  <c r="G1367" i="31" s="1"/>
  <c r="E1505" i="10"/>
  <c r="E1506" i="10"/>
  <c r="G1506" i="10" s="1"/>
  <c r="G1369" i="31" s="1"/>
  <c r="E1507" i="10"/>
  <c r="G1507" i="10" s="1"/>
  <c r="G1370" i="31" s="1"/>
  <c r="E1508" i="10"/>
  <c r="G1508" i="10" s="1"/>
  <c r="G1371" i="31" s="1"/>
  <c r="E1509" i="10"/>
  <c r="E1510" i="10"/>
  <c r="G1510" i="10" s="1"/>
  <c r="G1372" i="31" s="1"/>
  <c r="E1511" i="10"/>
  <c r="G1511" i="10" s="1"/>
  <c r="G1373" i="31" s="1"/>
  <c r="E1512" i="10"/>
  <c r="G1512" i="10" s="1"/>
  <c r="G1374" i="31" s="1"/>
  <c r="E1513" i="10"/>
  <c r="E1514" i="10"/>
  <c r="G1514" i="10" s="1"/>
  <c r="G1376" i="31" s="1"/>
  <c r="E1515" i="10"/>
  <c r="G1515" i="10" s="1"/>
  <c r="G1377" i="31" s="1"/>
  <c r="E1516" i="10"/>
  <c r="G1516" i="10" s="1"/>
  <c r="G1378" i="31" s="1"/>
  <c r="E1517" i="10"/>
  <c r="E1518" i="10"/>
  <c r="G1518" i="10" s="1"/>
  <c r="G1380" i="31" s="1"/>
  <c r="E1519" i="10"/>
  <c r="G1519" i="10" s="1"/>
  <c r="G1381" i="31" s="1"/>
  <c r="E1520" i="10"/>
  <c r="G1520" i="10" s="1"/>
  <c r="E1521" i="10"/>
  <c r="E1522" i="10"/>
  <c r="G1522" i="10" s="1"/>
  <c r="G1383" i="31" s="1"/>
  <c r="E1523" i="10"/>
  <c r="G1523" i="10" s="1"/>
  <c r="G1384" i="31" s="1"/>
  <c r="E1524" i="10"/>
  <c r="G1524" i="10" s="1"/>
  <c r="G1385" i="31" s="1"/>
  <c r="E1525" i="10"/>
  <c r="E1526" i="10"/>
  <c r="G1526" i="10" s="1"/>
  <c r="G1387" i="31" s="1"/>
  <c r="E1527" i="10"/>
  <c r="G1527" i="10" s="1"/>
  <c r="G1388" i="31" s="1"/>
  <c r="E1528" i="10"/>
  <c r="G1528" i="10" s="1"/>
  <c r="G1389" i="31" s="1"/>
  <c r="E1529" i="10"/>
  <c r="E1530" i="10"/>
  <c r="G1530" i="10" s="1"/>
  <c r="G1391" i="31" s="1"/>
  <c r="E1531" i="10"/>
  <c r="G1531" i="10" s="1"/>
  <c r="E1532" i="10"/>
  <c r="G1532" i="10" s="1"/>
  <c r="G1392" i="31" s="1"/>
  <c r="E1533" i="10"/>
  <c r="E1534" i="10"/>
  <c r="G1534" i="10" s="1"/>
  <c r="G1394" i="31" s="1"/>
  <c r="E1535" i="10"/>
  <c r="G1535" i="10" s="1"/>
  <c r="G1395" i="31" s="1"/>
  <c r="E1536" i="10"/>
  <c r="G1536" i="10" s="1"/>
  <c r="G1396" i="31" s="1"/>
  <c r="E1537" i="10"/>
  <c r="E1538" i="10"/>
  <c r="G1538" i="10" s="1"/>
  <c r="G1398" i="31" s="1"/>
  <c r="E1539" i="10"/>
  <c r="G1539" i="10" s="1"/>
  <c r="G1399" i="31" s="1"/>
  <c r="E1540" i="10"/>
  <c r="G1540" i="10" s="1"/>
  <c r="G1400" i="31" s="1"/>
  <c r="E1541" i="10"/>
  <c r="E1542" i="10"/>
  <c r="G1542" i="10" s="1"/>
  <c r="E1543" i="10"/>
  <c r="G1543" i="10" s="1"/>
  <c r="G1402" i="31" s="1"/>
  <c r="E1544" i="10"/>
  <c r="G1544" i="10" s="1"/>
  <c r="G1403" i="31" s="1"/>
  <c r="E1545" i="10"/>
  <c r="E1546" i="10"/>
  <c r="G1546" i="10" s="1"/>
  <c r="G1405" i="31" s="1"/>
  <c r="E1547" i="10"/>
  <c r="G1547" i="10" s="1"/>
  <c r="G1406" i="31" s="1"/>
  <c r="E1548" i="10"/>
  <c r="G1548" i="10" s="1"/>
  <c r="G1407" i="31" s="1"/>
  <c r="E1549" i="10"/>
  <c r="E1550" i="10"/>
  <c r="G1550" i="10" s="1"/>
  <c r="G1409" i="31" s="1"/>
  <c r="E1551" i="10"/>
  <c r="G1551" i="10" s="1"/>
  <c r="G1410" i="31" s="1"/>
  <c r="E1552" i="10"/>
  <c r="G1552" i="10" s="1"/>
  <c r="G1411" i="31" s="1"/>
  <c r="E1553" i="10"/>
  <c r="E1554" i="10"/>
  <c r="G1554" i="10" s="1"/>
  <c r="G1412" i="31" s="1"/>
  <c r="E1555" i="10"/>
  <c r="G1555" i="10" s="1"/>
  <c r="G1413" i="31" s="1"/>
  <c r="E1556" i="10"/>
  <c r="G1556" i="10" s="1"/>
  <c r="G1414" i="31" s="1"/>
  <c r="E1557" i="10"/>
  <c r="E1558" i="10"/>
  <c r="G1558" i="10" s="1"/>
  <c r="G1416" i="31" s="1"/>
  <c r="E1559" i="10"/>
  <c r="G1559" i="10" s="1"/>
  <c r="G1417" i="31" s="1"/>
  <c r="E1560" i="10"/>
  <c r="G1560" i="10" s="1"/>
  <c r="G1418" i="31" s="1"/>
  <c r="E1561" i="10"/>
  <c r="E1562" i="10"/>
  <c r="G1562" i="10" s="1"/>
  <c r="G1420" i="31" s="1"/>
  <c r="E1563" i="10"/>
  <c r="G1563" i="10" s="1"/>
  <c r="G1421" i="31" s="1"/>
  <c r="E1564" i="10"/>
  <c r="G1564" i="10" s="1"/>
  <c r="E1565" i="10"/>
  <c r="E1566" i="10"/>
  <c r="G1566" i="10" s="1"/>
  <c r="G1423" i="31" s="1"/>
  <c r="E1567" i="10"/>
  <c r="G1567" i="10" s="1"/>
  <c r="G1424" i="31" s="1"/>
  <c r="E1568" i="10"/>
  <c r="G1568" i="10" s="1"/>
  <c r="G1425" i="31" s="1"/>
  <c r="E1569" i="10"/>
  <c r="E1570" i="10"/>
  <c r="G1570" i="10" s="1"/>
  <c r="G1427" i="31" s="1"/>
  <c r="E1571" i="10"/>
  <c r="G1571" i="10" s="1"/>
  <c r="G1428" i="31" s="1"/>
  <c r="E1572" i="10"/>
  <c r="G1572" i="10" s="1"/>
  <c r="G1429" i="31" s="1"/>
  <c r="E1573" i="10"/>
  <c r="E1574" i="10"/>
  <c r="G1574" i="10" s="1"/>
  <c r="G1431" i="31" s="1"/>
  <c r="E1575" i="10"/>
  <c r="G1575" i="10" s="1"/>
  <c r="E1576" i="10"/>
  <c r="G1576" i="10" s="1"/>
  <c r="G1432" i="31" s="1"/>
  <c r="E1577" i="10"/>
  <c r="E1578" i="10"/>
  <c r="G1578" i="10" s="1"/>
  <c r="G1434" i="31" s="1"/>
  <c r="E1579" i="10"/>
  <c r="G1579" i="10" s="1"/>
  <c r="G1435" i="31" s="1"/>
  <c r="E1580" i="10"/>
  <c r="G1580" i="10" s="1"/>
  <c r="G1436" i="31" s="1"/>
  <c r="E1581" i="10"/>
  <c r="E1582" i="10"/>
  <c r="G1582" i="10" s="1"/>
  <c r="G1438" i="31" s="1"/>
  <c r="E1583" i="10"/>
  <c r="G1583" i="10" s="1"/>
  <c r="G1439" i="31" s="1"/>
  <c r="E1584" i="10"/>
  <c r="G1584" i="10" s="1"/>
  <c r="G1440" i="31" s="1"/>
  <c r="E1585" i="10"/>
  <c r="E1586" i="10"/>
  <c r="G1586" i="10" s="1"/>
  <c r="E1587" i="10"/>
  <c r="G1587" i="10" s="1"/>
  <c r="G1442" i="31" s="1"/>
  <c r="E1588" i="10"/>
  <c r="G1588" i="10" s="1"/>
  <c r="G1443" i="31" s="1"/>
  <c r="E1589" i="10"/>
  <c r="E1590" i="10"/>
  <c r="G1590" i="10" s="1"/>
  <c r="G1445" i="31" s="1"/>
  <c r="E1591" i="10"/>
  <c r="G1591" i="10" s="1"/>
  <c r="G1446" i="31" s="1"/>
  <c r="E1592" i="10"/>
  <c r="G1592" i="10" s="1"/>
  <c r="G1447" i="31" s="1"/>
  <c r="E1593" i="10"/>
  <c r="E1594" i="10"/>
  <c r="G1594" i="10" s="1"/>
  <c r="G1449" i="31" s="1"/>
  <c r="E1595" i="10"/>
  <c r="G1595" i="10" s="1"/>
  <c r="G1450" i="31" s="1"/>
  <c r="E1596" i="10"/>
  <c r="G1596" i="10" s="1"/>
  <c r="G1451" i="31" s="1"/>
  <c r="E1597" i="10"/>
  <c r="E1598" i="10"/>
  <c r="G1598" i="10" s="1"/>
  <c r="G1452" i="31" s="1"/>
  <c r="E1599" i="10"/>
  <c r="G1599" i="10" s="1"/>
  <c r="G1453" i="31" s="1"/>
  <c r="E1600" i="10"/>
  <c r="G1600" i="10" s="1"/>
  <c r="G1454" i="31" s="1"/>
  <c r="E1601" i="10"/>
  <c r="E1602" i="10"/>
  <c r="G1602" i="10" s="1"/>
  <c r="G1456" i="31" s="1"/>
  <c r="E1603" i="10"/>
  <c r="G1603" i="10" s="1"/>
  <c r="G1457" i="31" s="1"/>
  <c r="E1604" i="10"/>
  <c r="G1604" i="10" s="1"/>
  <c r="G1458" i="31" s="1"/>
  <c r="E1605" i="10"/>
  <c r="E1606" i="10"/>
  <c r="G1606" i="10" s="1"/>
  <c r="G1460" i="31" s="1"/>
  <c r="E1607" i="10"/>
  <c r="G1607" i="10" s="1"/>
  <c r="G1461" i="31" s="1"/>
  <c r="E1608" i="10"/>
  <c r="G1608" i="10" s="1"/>
  <c r="E1609" i="10"/>
  <c r="E1610" i="10"/>
  <c r="G1610" i="10" s="1"/>
  <c r="G1463" i="31" s="1"/>
  <c r="E1611" i="10"/>
  <c r="G1611" i="10" s="1"/>
  <c r="G1464" i="31" s="1"/>
  <c r="E1612" i="10"/>
  <c r="G1612" i="10" s="1"/>
  <c r="G1465" i="31" s="1"/>
  <c r="E1613" i="10"/>
  <c r="E1614" i="10"/>
  <c r="G1614" i="10" s="1"/>
  <c r="G1467" i="31" s="1"/>
  <c r="E1615" i="10"/>
  <c r="G1615" i="10" s="1"/>
  <c r="G1468" i="31" s="1"/>
  <c r="E1616" i="10"/>
  <c r="G1616" i="10" s="1"/>
  <c r="G1469" i="31" s="1"/>
  <c r="E1617" i="10"/>
  <c r="E1618" i="10"/>
  <c r="G1618" i="10" s="1"/>
  <c r="G1471" i="31" s="1"/>
  <c r="E1619" i="10"/>
  <c r="G1619" i="10" s="1"/>
  <c r="E1620" i="10"/>
  <c r="G1620" i="10" s="1"/>
  <c r="G1472" i="31" s="1"/>
  <c r="E1621" i="10"/>
  <c r="E1622" i="10"/>
  <c r="G1622" i="10" s="1"/>
  <c r="G1474" i="31" s="1"/>
  <c r="E1623" i="10"/>
  <c r="G1623" i="10" s="1"/>
  <c r="G1475" i="31" s="1"/>
  <c r="E1624" i="10"/>
  <c r="G1624" i="10" s="1"/>
  <c r="G1476" i="31" s="1"/>
  <c r="E1625" i="10"/>
  <c r="E1626" i="10"/>
  <c r="G1626" i="10" s="1"/>
  <c r="G1478" i="31" s="1"/>
  <c r="E1627" i="10"/>
  <c r="G1627" i="10" s="1"/>
  <c r="G1479" i="31" s="1"/>
  <c r="E1628" i="10"/>
  <c r="G1628" i="10" s="1"/>
  <c r="G1480" i="31" s="1"/>
  <c r="E1629" i="10"/>
  <c r="F3" i="9"/>
  <c r="F4" i="9"/>
  <c r="F5" i="9"/>
  <c r="F6" i="9"/>
  <c r="F7" i="9"/>
  <c r="F8" i="9"/>
  <c r="F9" i="9"/>
  <c r="F10" i="9"/>
  <c r="F11" i="9"/>
  <c r="F12" i="9"/>
  <c r="F13" i="9"/>
  <c r="F24" i="9"/>
  <c r="F35" i="9"/>
  <c r="F36" i="9"/>
  <c r="F37" i="9"/>
  <c r="F38" i="9"/>
  <c r="F39" i="9"/>
  <c r="F40" i="9"/>
  <c r="F41" i="9"/>
  <c r="F42" i="9"/>
  <c r="F46" i="9"/>
  <c r="F56" i="9"/>
  <c r="F57" i="9"/>
  <c r="F58" i="9"/>
  <c r="F68" i="9"/>
  <c r="F79" i="9"/>
  <c r="F90" i="9"/>
  <c r="F101" i="9"/>
  <c r="F112" i="9"/>
  <c r="F113" i="9"/>
  <c r="F114" i="9"/>
  <c r="F115" i="9"/>
  <c r="F116" i="9"/>
  <c r="F117" i="9"/>
  <c r="F123" i="9"/>
  <c r="F134" i="9"/>
  <c r="F145" i="9"/>
  <c r="F146" i="9"/>
  <c r="F147" i="9"/>
  <c r="F148" i="9"/>
  <c r="F149" i="9"/>
  <c r="F150" i="9"/>
  <c r="F151" i="9"/>
  <c r="F152" i="9"/>
  <c r="F153" i="9"/>
  <c r="F154" i="9"/>
  <c r="F156" i="9"/>
  <c r="F157" i="9"/>
  <c r="F158" i="9"/>
  <c r="F167" i="9"/>
  <c r="F178" i="9"/>
  <c r="F179" i="9"/>
  <c r="F180" i="9"/>
  <c r="F181" i="9"/>
  <c r="F182" i="9"/>
  <c r="F189" i="9"/>
  <c r="F200" i="9"/>
  <c r="F211" i="9"/>
  <c r="F212" i="9"/>
  <c r="F213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77" i="9"/>
  <c r="F278" i="9"/>
  <c r="F279" i="9"/>
  <c r="F280" i="9"/>
  <c r="F281" i="9"/>
  <c r="F282" i="9"/>
  <c r="F283" i="9"/>
  <c r="F284" i="9"/>
  <c r="F28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32" i="9"/>
  <c r="F333" i="9"/>
  <c r="F334" i="9"/>
  <c r="F335" i="9"/>
  <c r="F336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65" i="9"/>
  <c r="F376" i="9"/>
  <c r="F377" i="9"/>
  <c r="F378" i="9"/>
  <c r="F379" i="9"/>
  <c r="F380" i="9"/>
  <c r="F381" i="9"/>
  <c r="F387" i="9"/>
  <c r="F388" i="9"/>
  <c r="F397" i="9"/>
  <c r="F398" i="9"/>
  <c r="F399" i="9"/>
  <c r="F400" i="9"/>
  <c r="F409" i="9"/>
  <c r="F410" i="9"/>
  <c r="F411" i="9"/>
  <c r="F420" i="9"/>
  <c r="F431" i="9"/>
  <c r="F432" i="9"/>
  <c r="F433" i="9"/>
  <c r="F434" i="9"/>
  <c r="F442" i="9"/>
  <c r="F443" i="9"/>
  <c r="F444" i="9"/>
  <c r="F445" i="9"/>
  <c r="F453" i="9"/>
  <c r="F464" i="9"/>
  <c r="F475" i="9"/>
  <c r="F486" i="9"/>
  <c r="F487" i="9"/>
  <c r="F488" i="9"/>
  <c r="F489" i="9"/>
  <c r="F497" i="9"/>
  <c r="F498" i="9"/>
  <c r="F508" i="9"/>
  <c r="F509" i="9"/>
  <c r="F510" i="9"/>
  <c r="F511" i="9"/>
  <c r="F512" i="9"/>
  <c r="F519" i="9"/>
  <c r="F530" i="9"/>
  <c r="F531" i="9"/>
  <c r="F541" i="9"/>
  <c r="F552" i="9"/>
  <c r="F553" i="9"/>
  <c r="F554" i="9"/>
  <c r="F555" i="9"/>
  <c r="F556" i="9"/>
  <c r="F563" i="9"/>
  <c r="F574" i="9"/>
  <c r="F575" i="9"/>
  <c r="F585" i="9"/>
  <c r="F586" i="9"/>
  <c r="F587" i="9"/>
  <c r="F588" i="9"/>
  <c r="F589" i="9"/>
  <c r="F590" i="9"/>
  <c r="F591" i="9"/>
  <c r="F596" i="9"/>
  <c r="F607" i="9"/>
  <c r="F618" i="9"/>
  <c r="F619" i="9"/>
  <c r="F620" i="9"/>
  <c r="F629" i="9"/>
  <c r="F630" i="9"/>
  <c r="F631" i="9"/>
  <c r="F632" i="9"/>
  <c r="F633" i="9"/>
  <c r="F634" i="9"/>
  <c r="F640" i="9"/>
  <c r="F641" i="9"/>
  <c r="F642" i="9"/>
  <c r="F643" i="9"/>
  <c r="F644" i="9"/>
  <c r="F651" i="9"/>
  <c r="F652" i="9"/>
  <c r="F653" i="9"/>
  <c r="F654" i="9"/>
  <c r="F655" i="9"/>
  <c r="F656" i="9"/>
  <c r="F662" i="9"/>
  <c r="F673" i="9"/>
  <c r="F674" i="9"/>
  <c r="F675" i="9"/>
  <c r="F676" i="9"/>
  <c r="F68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7" i="9"/>
  <c r="F727" i="9"/>
  <c r="F72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83" i="9"/>
  <c r="F794" i="9"/>
  <c r="F795" i="9"/>
  <c r="F796" i="9"/>
  <c r="F797" i="9"/>
  <c r="F798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71" i="9"/>
  <c r="F882" i="9"/>
  <c r="F883" i="9"/>
  <c r="F884" i="9"/>
  <c r="F885" i="9"/>
  <c r="F893" i="9"/>
  <c r="F894" i="9"/>
  <c r="F895" i="9"/>
  <c r="F896" i="9"/>
  <c r="F897" i="9"/>
  <c r="F898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26" i="9"/>
  <c r="F928" i="9"/>
  <c r="F929" i="9"/>
  <c r="F930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80" i="9"/>
  <c r="F1081" i="9"/>
  <c r="F1082" i="9"/>
  <c r="F1083" i="9"/>
  <c r="F1084" i="9"/>
  <c r="F1085" i="9"/>
  <c r="F1086" i="9"/>
  <c r="F109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E3" i="9"/>
  <c r="G3" i="9" s="1"/>
  <c r="F2" i="31" s="1"/>
  <c r="E4" i="9"/>
  <c r="E5" i="9"/>
  <c r="E6" i="9"/>
  <c r="G6" i="9" s="1"/>
  <c r="F5" i="31" s="1"/>
  <c r="E7" i="9"/>
  <c r="G7" i="9" s="1"/>
  <c r="F6" i="31" s="1"/>
  <c r="E8" i="9"/>
  <c r="E9" i="9"/>
  <c r="E10" i="9"/>
  <c r="G10" i="9" s="1"/>
  <c r="F9" i="31" s="1"/>
  <c r="E11" i="9"/>
  <c r="G11" i="9" s="1"/>
  <c r="F10" i="31" s="1"/>
  <c r="E12" i="9"/>
  <c r="E13" i="9"/>
  <c r="E24" i="9"/>
  <c r="G24" i="9" s="1"/>
  <c r="E35" i="9"/>
  <c r="G35" i="9" s="1"/>
  <c r="E36" i="9"/>
  <c r="E37" i="9"/>
  <c r="E38" i="9"/>
  <c r="G38" i="9" s="1"/>
  <c r="F34" i="31" s="1"/>
  <c r="E39" i="9"/>
  <c r="G39" i="9" s="1"/>
  <c r="F35" i="31" s="1"/>
  <c r="E40" i="9"/>
  <c r="E41" i="9"/>
  <c r="E42" i="9"/>
  <c r="G42" i="9" s="1"/>
  <c r="F38" i="31" s="1"/>
  <c r="E46" i="9"/>
  <c r="G46" i="9" s="1"/>
  <c r="E56" i="9"/>
  <c r="E57" i="9"/>
  <c r="E58" i="9"/>
  <c r="G58" i="9" s="1"/>
  <c r="F52" i="31" s="1"/>
  <c r="E68" i="9"/>
  <c r="G68" i="9" s="1"/>
  <c r="E79" i="9"/>
  <c r="E90" i="9"/>
  <c r="E101" i="9"/>
  <c r="G101" i="9" s="1"/>
  <c r="E112" i="9"/>
  <c r="G112" i="9" s="1"/>
  <c r="E113" i="9"/>
  <c r="E114" i="9"/>
  <c r="E115" i="9"/>
  <c r="G115" i="9" s="1"/>
  <c r="F104" i="31" s="1"/>
  <c r="E116" i="9"/>
  <c r="G116" i="9" s="1"/>
  <c r="F105" i="31" s="1"/>
  <c r="E117" i="9"/>
  <c r="E123" i="9"/>
  <c r="E125" i="9"/>
  <c r="E126" i="9"/>
  <c r="E127" i="9"/>
  <c r="E128" i="9"/>
  <c r="E129" i="9"/>
  <c r="E130" i="9"/>
  <c r="E131" i="9"/>
  <c r="E134" i="9"/>
  <c r="G134" i="9" s="1"/>
  <c r="E145" i="9"/>
  <c r="G145" i="9" s="1"/>
  <c r="E146" i="9"/>
  <c r="G146" i="9" s="1"/>
  <c r="F132" i="31" s="1"/>
  <c r="E147" i="9"/>
  <c r="G147" i="9" s="1"/>
  <c r="F133" i="31" s="1"/>
  <c r="E148" i="9"/>
  <c r="G148" i="9" s="1"/>
  <c r="F134" i="31" s="1"/>
  <c r="E149" i="9"/>
  <c r="G149" i="9" s="1"/>
  <c r="F135" i="31" s="1"/>
  <c r="E150" i="9"/>
  <c r="G150" i="9" s="1"/>
  <c r="F136" i="31" s="1"/>
  <c r="E151" i="9"/>
  <c r="G151" i="9" s="1"/>
  <c r="F137" i="31" s="1"/>
  <c r="E152" i="9"/>
  <c r="G152" i="9" s="1"/>
  <c r="F138" i="31" s="1"/>
  <c r="E153" i="9"/>
  <c r="G153" i="9" s="1"/>
  <c r="F139" i="31" s="1"/>
  <c r="E154" i="9"/>
  <c r="G154" i="9" s="1"/>
  <c r="F140" i="31" s="1"/>
  <c r="E156" i="9"/>
  <c r="G156" i="9" s="1"/>
  <c r="E157" i="9"/>
  <c r="G157" i="9" s="1"/>
  <c r="F142" i="31" s="1"/>
  <c r="E158" i="9"/>
  <c r="G158" i="9" s="1"/>
  <c r="F143" i="31" s="1"/>
  <c r="E167" i="9"/>
  <c r="G167" i="9" s="1"/>
  <c r="E178" i="9"/>
  <c r="G178" i="9" s="1"/>
  <c r="E179" i="9"/>
  <c r="G179" i="9" s="1"/>
  <c r="F162" i="31" s="1"/>
  <c r="E180" i="9"/>
  <c r="G180" i="9" s="1"/>
  <c r="F163" i="31" s="1"/>
  <c r="E181" i="9"/>
  <c r="G181" i="9" s="1"/>
  <c r="F164" i="31" s="1"/>
  <c r="E182" i="9"/>
  <c r="G182" i="9" s="1"/>
  <c r="F165" i="31" s="1"/>
  <c r="E189" i="9"/>
  <c r="G189" i="9" s="1"/>
  <c r="E200" i="9"/>
  <c r="G200" i="9" s="1"/>
  <c r="E211" i="9"/>
  <c r="G211" i="9" s="1"/>
  <c r="E212" i="9"/>
  <c r="G212" i="9" s="1"/>
  <c r="F192" i="31" s="1"/>
  <c r="E213" i="9"/>
  <c r="G213" i="9" s="1"/>
  <c r="F193" i="31" s="1"/>
  <c r="E222" i="9"/>
  <c r="G222" i="9" s="1"/>
  <c r="E223" i="9"/>
  <c r="G223" i="9" s="1"/>
  <c r="F202" i="31" s="1"/>
  <c r="E224" i="9"/>
  <c r="G224" i="9" s="1"/>
  <c r="F203" i="31" s="1"/>
  <c r="E225" i="9"/>
  <c r="G225" i="9" s="1"/>
  <c r="F204" i="31" s="1"/>
  <c r="E226" i="9"/>
  <c r="G226" i="9" s="1"/>
  <c r="F205" i="31" s="1"/>
  <c r="E227" i="9"/>
  <c r="G227" i="9" s="1"/>
  <c r="F206" i="31" s="1"/>
  <c r="E228" i="9"/>
  <c r="G228" i="9" s="1"/>
  <c r="F207" i="31" s="1"/>
  <c r="E229" i="9"/>
  <c r="G229" i="9" s="1"/>
  <c r="F208" i="31" s="1"/>
  <c r="E230" i="9"/>
  <c r="G230" i="9" s="1"/>
  <c r="F209" i="31" s="1"/>
  <c r="E231" i="9"/>
  <c r="G231" i="9" s="1"/>
  <c r="F210" i="31" s="1"/>
  <c r="E232" i="9"/>
  <c r="G232" i="9" s="1"/>
  <c r="F211" i="31" s="1"/>
  <c r="E233" i="9"/>
  <c r="G233" i="9" s="1"/>
  <c r="E234" i="9"/>
  <c r="G234" i="9" s="1"/>
  <c r="F212" i="31" s="1"/>
  <c r="E235" i="9"/>
  <c r="G235" i="9" s="1"/>
  <c r="F213" i="31" s="1"/>
  <c r="E236" i="9"/>
  <c r="G236" i="9" s="1"/>
  <c r="F214" i="31" s="1"/>
  <c r="E237" i="9"/>
  <c r="G237" i="9" s="1"/>
  <c r="F215" i="31" s="1"/>
  <c r="E238" i="9"/>
  <c r="G238" i="9" s="1"/>
  <c r="F216" i="31" s="1"/>
  <c r="E239" i="9"/>
  <c r="G239" i="9" s="1"/>
  <c r="F217" i="31" s="1"/>
  <c r="E240" i="9"/>
  <c r="G240" i="9" s="1"/>
  <c r="F218" i="31" s="1"/>
  <c r="E241" i="9"/>
  <c r="G241" i="9" s="1"/>
  <c r="F219" i="31" s="1"/>
  <c r="E242" i="9"/>
  <c r="G242" i="9" s="1"/>
  <c r="F220" i="31" s="1"/>
  <c r="E243" i="9"/>
  <c r="G243" i="9" s="1"/>
  <c r="F221" i="31" s="1"/>
  <c r="E244" i="9"/>
  <c r="G244" i="9" s="1"/>
  <c r="E245" i="9"/>
  <c r="G245" i="9" s="1"/>
  <c r="F222" i="31" s="1"/>
  <c r="E246" i="9"/>
  <c r="G246" i="9" s="1"/>
  <c r="F223" i="31" s="1"/>
  <c r="E247" i="9"/>
  <c r="G247" i="9" s="1"/>
  <c r="F224" i="31" s="1"/>
  <c r="E248" i="9"/>
  <c r="G248" i="9" s="1"/>
  <c r="F225" i="31" s="1"/>
  <c r="E249" i="9"/>
  <c r="G249" i="9" s="1"/>
  <c r="F226" i="31" s="1"/>
  <c r="E250" i="9"/>
  <c r="G250" i="9" s="1"/>
  <c r="F227" i="31" s="1"/>
  <c r="E251" i="9"/>
  <c r="G251" i="9" s="1"/>
  <c r="F228" i="31" s="1"/>
  <c r="E252" i="9"/>
  <c r="G252" i="9" s="1"/>
  <c r="F229" i="31" s="1"/>
  <c r="E253" i="9"/>
  <c r="G253" i="9" s="1"/>
  <c r="F230" i="31" s="1"/>
  <c r="E254" i="9"/>
  <c r="G254" i="9" s="1"/>
  <c r="F231" i="31" s="1"/>
  <c r="E255" i="9"/>
  <c r="G255" i="9" s="1"/>
  <c r="E256" i="9"/>
  <c r="G256" i="9" s="1"/>
  <c r="F232" i="31" s="1"/>
  <c r="E257" i="9"/>
  <c r="G257" i="9" s="1"/>
  <c r="F233" i="31" s="1"/>
  <c r="E258" i="9"/>
  <c r="G258" i="9" s="1"/>
  <c r="F234" i="31" s="1"/>
  <c r="E259" i="9"/>
  <c r="G259" i="9" s="1"/>
  <c r="F235" i="31" s="1"/>
  <c r="E260" i="9"/>
  <c r="G260" i="9" s="1"/>
  <c r="F236" i="31" s="1"/>
  <c r="E261" i="9"/>
  <c r="G261" i="9" s="1"/>
  <c r="F237" i="31" s="1"/>
  <c r="E262" i="9"/>
  <c r="G262" i="9" s="1"/>
  <c r="F238" i="31" s="1"/>
  <c r="E263" i="9"/>
  <c r="G263" i="9" s="1"/>
  <c r="F239" i="31" s="1"/>
  <c r="E264" i="9"/>
  <c r="G264" i="9" s="1"/>
  <c r="F240" i="31" s="1"/>
  <c r="E265" i="9"/>
  <c r="G265" i="9" s="1"/>
  <c r="F241" i="31" s="1"/>
  <c r="E266" i="9"/>
  <c r="G266" i="9" s="1"/>
  <c r="E277" i="9"/>
  <c r="G277" i="9" s="1"/>
  <c r="E278" i="9"/>
  <c r="G278" i="9" s="1"/>
  <c r="F252" i="31" s="1"/>
  <c r="E279" i="9"/>
  <c r="G279" i="9" s="1"/>
  <c r="F253" i="31" s="1"/>
  <c r="E280" i="9"/>
  <c r="G280" i="9" s="1"/>
  <c r="F254" i="31" s="1"/>
  <c r="E281" i="9"/>
  <c r="G281" i="9" s="1"/>
  <c r="F255" i="31" s="1"/>
  <c r="E282" i="9"/>
  <c r="G282" i="9" s="1"/>
  <c r="F256" i="31" s="1"/>
  <c r="E283" i="9"/>
  <c r="G283" i="9" s="1"/>
  <c r="F257" i="31" s="1"/>
  <c r="E284" i="9"/>
  <c r="G284" i="9" s="1"/>
  <c r="F258" i="31" s="1"/>
  <c r="E288" i="9"/>
  <c r="G288" i="9" s="1"/>
  <c r="E299" i="9"/>
  <c r="G299" i="9" s="1"/>
  <c r="E300" i="9"/>
  <c r="G300" i="9" s="1"/>
  <c r="F272" i="31" s="1"/>
  <c r="E301" i="9"/>
  <c r="G301" i="9" s="1"/>
  <c r="F273" i="31" s="1"/>
  <c r="E302" i="9"/>
  <c r="G302" i="9" s="1"/>
  <c r="F274" i="31" s="1"/>
  <c r="E303" i="9"/>
  <c r="G303" i="9" s="1"/>
  <c r="F275" i="31" s="1"/>
  <c r="E304" i="9"/>
  <c r="G304" i="9" s="1"/>
  <c r="F276" i="31" s="1"/>
  <c r="E305" i="9"/>
  <c r="G305" i="9" s="1"/>
  <c r="F277" i="31" s="1"/>
  <c r="E306" i="9"/>
  <c r="G306" i="9" s="1"/>
  <c r="F278" i="31" s="1"/>
  <c r="E307" i="9"/>
  <c r="G307" i="9" s="1"/>
  <c r="F279" i="31" s="1"/>
  <c r="E308" i="9"/>
  <c r="G308" i="9" s="1"/>
  <c r="F280" i="31" s="1"/>
  <c r="E309" i="9"/>
  <c r="G309" i="9" s="1"/>
  <c r="F281" i="31" s="1"/>
  <c r="E310" i="9"/>
  <c r="G310" i="9" s="1"/>
  <c r="E311" i="9"/>
  <c r="G311" i="9" s="1"/>
  <c r="F282" i="31" s="1"/>
  <c r="E312" i="9"/>
  <c r="G312" i="9" s="1"/>
  <c r="F283" i="31" s="1"/>
  <c r="E313" i="9"/>
  <c r="G313" i="9" s="1"/>
  <c r="F284" i="31" s="1"/>
  <c r="E314" i="9"/>
  <c r="G314" i="9" s="1"/>
  <c r="F285" i="31" s="1"/>
  <c r="E315" i="9"/>
  <c r="G315" i="9" s="1"/>
  <c r="F286" i="31" s="1"/>
  <c r="E316" i="9"/>
  <c r="G316" i="9" s="1"/>
  <c r="F287" i="31" s="1"/>
  <c r="E317" i="9"/>
  <c r="G317" i="9" s="1"/>
  <c r="F288" i="31" s="1"/>
  <c r="E318" i="9"/>
  <c r="G318" i="9" s="1"/>
  <c r="F289" i="31" s="1"/>
  <c r="E319" i="9"/>
  <c r="G319" i="9" s="1"/>
  <c r="F290" i="31" s="1"/>
  <c r="E320" i="9"/>
  <c r="G320" i="9" s="1"/>
  <c r="F291" i="31" s="1"/>
  <c r="E321" i="9"/>
  <c r="G321" i="9" s="1"/>
  <c r="E322" i="9"/>
  <c r="G322" i="9" s="1"/>
  <c r="F292" i="31" s="1"/>
  <c r="E323" i="9"/>
  <c r="G323" i="9" s="1"/>
  <c r="F293" i="31" s="1"/>
  <c r="E332" i="9"/>
  <c r="G332" i="9" s="1"/>
  <c r="E333" i="9"/>
  <c r="G333" i="9" s="1"/>
  <c r="F302" i="31" s="1"/>
  <c r="E334" i="9"/>
  <c r="G334" i="9" s="1"/>
  <c r="F303" i="31" s="1"/>
  <c r="E335" i="9"/>
  <c r="G335" i="9" s="1"/>
  <c r="F304" i="31" s="1"/>
  <c r="E336" i="9"/>
  <c r="G336" i="9" s="1"/>
  <c r="F305" i="31" s="1"/>
  <c r="E343" i="9"/>
  <c r="G343" i="9" s="1"/>
  <c r="E344" i="9"/>
  <c r="G344" i="9" s="1"/>
  <c r="F312" i="31" s="1"/>
  <c r="E345" i="9"/>
  <c r="G345" i="9" s="1"/>
  <c r="F313" i="31" s="1"/>
  <c r="E346" i="9"/>
  <c r="G346" i="9" s="1"/>
  <c r="F314" i="31" s="1"/>
  <c r="E347" i="9"/>
  <c r="G347" i="9" s="1"/>
  <c r="F315" i="31" s="1"/>
  <c r="E348" i="9"/>
  <c r="G348" i="9" s="1"/>
  <c r="F316" i="31" s="1"/>
  <c r="E349" i="9"/>
  <c r="G349" i="9" s="1"/>
  <c r="F317" i="31" s="1"/>
  <c r="E350" i="9"/>
  <c r="G350" i="9" s="1"/>
  <c r="F318" i="31" s="1"/>
  <c r="E351" i="9"/>
  <c r="G351" i="9" s="1"/>
  <c r="F319" i="31" s="1"/>
  <c r="E352" i="9"/>
  <c r="G352" i="9" s="1"/>
  <c r="F320" i="31" s="1"/>
  <c r="E353" i="9"/>
  <c r="G353" i="9" s="1"/>
  <c r="F321" i="31" s="1"/>
  <c r="E354" i="9"/>
  <c r="G354" i="9" s="1"/>
  <c r="E355" i="9"/>
  <c r="G355" i="9" s="1"/>
  <c r="F322" i="31" s="1"/>
  <c r="E365" i="9"/>
  <c r="G365" i="9" s="1"/>
  <c r="E376" i="9"/>
  <c r="G376" i="9" s="1"/>
  <c r="E377" i="9"/>
  <c r="G377" i="9" s="1"/>
  <c r="F342" i="31" s="1"/>
  <c r="E378" i="9"/>
  <c r="G378" i="9" s="1"/>
  <c r="F343" i="31" s="1"/>
  <c r="E379" i="9"/>
  <c r="G379" i="9" s="1"/>
  <c r="F344" i="31" s="1"/>
  <c r="E380" i="9"/>
  <c r="G380" i="9" s="1"/>
  <c r="F345" i="31" s="1"/>
  <c r="E381" i="9"/>
  <c r="G381" i="9" s="1"/>
  <c r="F346" i="31" s="1"/>
  <c r="E387" i="9"/>
  <c r="G387" i="9" s="1"/>
  <c r="E388" i="9"/>
  <c r="G388" i="9" s="1"/>
  <c r="F352" i="31" s="1"/>
  <c r="E397" i="9"/>
  <c r="G397" i="9" s="1"/>
  <c r="F361" i="31" s="1"/>
  <c r="E398" i="9"/>
  <c r="G398" i="9" s="1"/>
  <c r="E399" i="9"/>
  <c r="G399" i="9" s="1"/>
  <c r="F362" i="31" s="1"/>
  <c r="E400" i="9"/>
  <c r="G400" i="9" s="1"/>
  <c r="F363" i="31" s="1"/>
  <c r="E409" i="9"/>
  <c r="G409" i="9" s="1"/>
  <c r="E410" i="9"/>
  <c r="G410" i="9" s="1"/>
  <c r="F372" i="31" s="1"/>
  <c r="E411" i="9"/>
  <c r="G411" i="9" s="1"/>
  <c r="F373" i="31" s="1"/>
  <c r="E420" i="9"/>
  <c r="G420" i="9" s="1"/>
  <c r="E431" i="9"/>
  <c r="G431" i="9" s="1"/>
  <c r="E432" i="9"/>
  <c r="G432" i="9" s="1"/>
  <c r="F392" i="31" s="1"/>
  <c r="E433" i="9"/>
  <c r="G433" i="9" s="1"/>
  <c r="F393" i="31" s="1"/>
  <c r="E434" i="9"/>
  <c r="G434" i="9" s="1"/>
  <c r="F394" i="31" s="1"/>
  <c r="E442" i="9"/>
  <c r="G442" i="9" s="1"/>
  <c r="E443" i="9"/>
  <c r="G443" i="9" s="1"/>
  <c r="F402" i="31" s="1"/>
  <c r="E444" i="9"/>
  <c r="G444" i="9" s="1"/>
  <c r="F403" i="31" s="1"/>
  <c r="E445" i="9"/>
  <c r="G445" i="9" s="1"/>
  <c r="F404" i="31" s="1"/>
  <c r="E453" i="9"/>
  <c r="G453" i="9" s="1"/>
  <c r="E464" i="9"/>
  <c r="G464" i="9" s="1"/>
  <c r="E475" i="9"/>
  <c r="G475" i="9" s="1"/>
  <c r="E486" i="9"/>
  <c r="G486" i="9" s="1"/>
  <c r="E487" i="9"/>
  <c r="G487" i="9" s="1"/>
  <c r="F442" i="31" s="1"/>
  <c r="E488" i="9"/>
  <c r="G488" i="9" s="1"/>
  <c r="F443" i="31" s="1"/>
  <c r="E489" i="9"/>
  <c r="G489" i="9" s="1"/>
  <c r="F444" i="31" s="1"/>
  <c r="E497" i="9"/>
  <c r="G497" i="9" s="1"/>
  <c r="E498" i="9"/>
  <c r="G498" i="9" s="1"/>
  <c r="F452" i="31" s="1"/>
  <c r="E508" i="9"/>
  <c r="G508" i="9" s="1"/>
  <c r="E509" i="9"/>
  <c r="G509" i="9" s="1"/>
  <c r="F462" i="31" s="1"/>
  <c r="E510" i="9"/>
  <c r="G510" i="9" s="1"/>
  <c r="F463" i="31" s="1"/>
  <c r="E511" i="9"/>
  <c r="G511" i="9" s="1"/>
  <c r="F464" i="31" s="1"/>
  <c r="E512" i="9"/>
  <c r="G512" i="9" s="1"/>
  <c r="F465" i="31" s="1"/>
  <c r="E519" i="9"/>
  <c r="G519" i="9" s="1"/>
  <c r="E530" i="9"/>
  <c r="G530" i="9" s="1"/>
  <c r="E531" i="9"/>
  <c r="G531" i="9" s="1"/>
  <c r="F482" i="31" s="1"/>
  <c r="E541" i="9"/>
  <c r="G541" i="9" s="1"/>
  <c r="E552" i="9"/>
  <c r="G552" i="9" s="1"/>
  <c r="E553" i="9"/>
  <c r="G553" i="9" s="1"/>
  <c r="F502" i="31" s="1"/>
  <c r="E554" i="9"/>
  <c r="G554" i="9" s="1"/>
  <c r="F503" i="31" s="1"/>
  <c r="E555" i="9"/>
  <c r="G555" i="9" s="1"/>
  <c r="F504" i="31" s="1"/>
  <c r="E556" i="9"/>
  <c r="G556" i="9" s="1"/>
  <c r="F505" i="31" s="1"/>
  <c r="E563" i="9"/>
  <c r="G563" i="9" s="1"/>
  <c r="E574" i="9"/>
  <c r="G574" i="9" s="1"/>
  <c r="E575" i="9"/>
  <c r="G575" i="9" s="1"/>
  <c r="F522" i="31" s="1"/>
  <c r="E585" i="9"/>
  <c r="G585" i="9" s="1"/>
  <c r="E586" i="9"/>
  <c r="G586" i="9" s="1"/>
  <c r="F532" i="31" s="1"/>
  <c r="E587" i="9"/>
  <c r="G587" i="9" s="1"/>
  <c r="F533" i="31" s="1"/>
  <c r="E588" i="9"/>
  <c r="G588" i="9" s="1"/>
  <c r="F534" i="31" s="1"/>
  <c r="E589" i="9"/>
  <c r="G589" i="9" s="1"/>
  <c r="F535" i="31" s="1"/>
  <c r="E590" i="9"/>
  <c r="G590" i="9" s="1"/>
  <c r="F536" i="31" s="1"/>
  <c r="E591" i="9"/>
  <c r="G591" i="9" s="1"/>
  <c r="F537" i="31" s="1"/>
  <c r="E596" i="9"/>
  <c r="G596" i="9" s="1"/>
  <c r="E607" i="9"/>
  <c r="G607" i="9" s="1"/>
  <c r="E618" i="9"/>
  <c r="G618" i="9" s="1"/>
  <c r="E619" i="9"/>
  <c r="G619" i="9" s="1"/>
  <c r="F562" i="31" s="1"/>
  <c r="E620" i="9"/>
  <c r="G620" i="9" s="1"/>
  <c r="F563" i="31" s="1"/>
  <c r="E629" i="9"/>
  <c r="G629" i="9" s="1"/>
  <c r="E630" i="9"/>
  <c r="G630" i="9" s="1"/>
  <c r="F572" i="31" s="1"/>
  <c r="E631" i="9"/>
  <c r="G631" i="9" s="1"/>
  <c r="F573" i="31" s="1"/>
  <c r="E632" i="9"/>
  <c r="G632" i="9" s="1"/>
  <c r="F574" i="31" s="1"/>
  <c r="E633" i="9"/>
  <c r="G633" i="9" s="1"/>
  <c r="F575" i="31" s="1"/>
  <c r="E634" i="9"/>
  <c r="G634" i="9" s="1"/>
  <c r="F576" i="31" s="1"/>
  <c r="E640" i="9"/>
  <c r="G640" i="9" s="1"/>
  <c r="E641" i="9"/>
  <c r="G641" i="9" s="1"/>
  <c r="F582" i="31" s="1"/>
  <c r="E642" i="9"/>
  <c r="G642" i="9" s="1"/>
  <c r="F583" i="31" s="1"/>
  <c r="E643" i="9"/>
  <c r="G643" i="9" s="1"/>
  <c r="F584" i="31" s="1"/>
  <c r="E644" i="9"/>
  <c r="G644" i="9" s="1"/>
  <c r="F585" i="31" s="1"/>
  <c r="E651" i="9"/>
  <c r="G651" i="9" s="1"/>
  <c r="E652" i="9"/>
  <c r="G652" i="9" s="1"/>
  <c r="F592" i="31" s="1"/>
  <c r="E653" i="9"/>
  <c r="G653" i="9" s="1"/>
  <c r="F593" i="31" s="1"/>
  <c r="E654" i="9"/>
  <c r="G654" i="9" s="1"/>
  <c r="F594" i="31" s="1"/>
  <c r="E655" i="9"/>
  <c r="G655" i="9" s="1"/>
  <c r="F595" i="31" s="1"/>
  <c r="E656" i="9"/>
  <c r="G656" i="9" s="1"/>
  <c r="F596" i="31" s="1"/>
  <c r="E662" i="9"/>
  <c r="G662" i="9" s="1"/>
  <c r="E673" i="9"/>
  <c r="G673" i="9" s="1"/>
  <c r="E674" i="9"/>
  <c r="G674" i="9" s="1"/>
  <c r="F612" i="31" s="1"/>
  <c r="E675" i="9"/>
  <c r="G675" i="9" s="1"/>
  <c r="F613" i="31" s="1"/>
  <c r="E676" i="9"/>
  <c r="G676" i="9" s="1"/>
  <c r="F614" i="31" s="1"/>
  <c r="E684" i="9"/>
  <c r="G684" i="9" s="1"/>
  <c r="E692" i="9"/>
  <c r="E695" i="9"/>
  <c r="G695" i="9" s="1"/>
  <c r="E696" i="9"/>
  <c r="G696" i="9" s="1"/>
  <c r="F632" i="31" s="1"/>
  <c r="E697" i="9"/>
  <c r="E698" i="9"/>
  <c r="G698" i="9" s="1"/>
  <c r="F634" i="31" s="1"/>
  <c r="E699" i="9"/>
  <c r="G699" i="9" s="1"/>
  <c r="F635" i="31" s="1"/>
  <c r="E700" i="9"/>
  <c r="G700" i="9" s="1"/>
  <c r="F636" i="31" s="1"/>
  <c r="E701" i="9"/>
  <c r="E702" i="9"/>
  <c r="G702" i="9" s="1"/>
  <c r="F638" i="31" s="1"/>
  <c r="E703" i="9"/>
  <c r="G703" i="9" s="1"/>
  <c r="F639" i="31" s="1"/>
  <c r="E704" i="9"/>
  <c r="G704" i="9" s="1"/>
  <c r="F640" i="31" s="1"/>
  <c r="E705" i="9"/>
  <c r="E706" i="9"/>
  <c r="G706" i="9" s="1"/>
  <c r="E707" i="9"/>
  <c r="G707" i="9" s="1"/>
  <c r="F642" i="31" s="1"/>
  <c r="E708" i="9"/>
  <c r="G708" i="9" s="1"/>
  <c r="F643" i="31" s="1"/>
  <c r="E709" i="9"/>
  <c r="E710" i="9"/>
  <c r="G710" i="9" s="1"/>
  <c r="F645" i="31" s="1"/>
  <c r="E711" i="9"/>
  <c r="G711" i="9" s="1"/>
  <c r="F646" i="31" s="1"/>
  <c r="E712" i="9"/>
  <c r="G712" i="9" s="1"/>
  <c r="F647" i="31" s="1"/>
  <c r="E713" i="9"/>
  <c r="E717" i="9"/>
  <c r="G717" i="9" s="1"/>
  <c r="E727" i="9"/>
  <c r="G727" i="9" s="1"/>
  <c r="F661" i="31" s="1"/>
  <c r="E728" i="9"/>
  <c r="G728" i="9" s="1"/>
  <c r="E739" i="9"/>
  <c r="E740" i="9"/>
  <c r="G740" i="9" s="1"/>
  <c r="F672" i="31" s="1"/>
  <c r="E741" i="9"/>
  <c r="G741" i="9" s="1"/>
  <c r="F673" i="31" s="1"/>
  <c r="E742" i="9"/>
  <c r="G742" i="9" s="1"/>
  <c r="F674" i="31" s="1"/>
  <c r="E743" i="9"/>
  <c r="E744" i="9"/>
  <c r="G744" i="9" s="1"/>
  <c r="F676" i="31" s="1"/>
  <c r="E745" i="9"/>
  <c r="G745" i="9" s="1"/>
  <c r="F677" i="31" s="1"/>
  <c r="E746" i="9"/>
  <c r="G746" i="9" s="1"/>
  <c r="F678" i="31" s="1"/>
  <c r="E747" i="9"/>
  <c r="E748" i="9"/>
  <c r="G748" i="9" s="1"/>
  <c r="F680" i="31" s="1"/>
  <c r="E749" i="9"/>
  <c r="G749" i="9" s="1"/>
  <c r="F681" i="31" s="1"/>
  <c r="E750" i="9"/>
  <c r="G750" i="9" s="1"/>
  <c r="E751" i="9"/>
  <c r="E752" i="9"/>
  <c r="G752" i="9" s="1"/>
  <c r="F683" i="31" s="1"/>
  <c r="E761" i="9"/>
  <c r="G761" i="9" s="1"/>
  <c r="E762" i="9"/>
  <c r="G762" i="9" s="1"/>
  <c r="F692" i="31" s="1"/>
  <c r="E763" i="9"/>
  <c r="E764" i="9"/>
  <c r="G764" i="9" s="1"/>
  <c r="F694" i="31" s="1"/>
  <c r="E765" i="9"/>
  <c r="G765" i="9" s="1"/>
  <c r="F695" i="31" s="1"/>
  <c r="E766" i="9"/>
  <c r="G766" i="9" s="1"/>
  <c r="F696" i="31" s="1"/>
  <c r="E767" i="9"/>
  <c r="E768" i="9"/>
  <c r="G768" i="9" s="1"/>
  <c r="F698" i="31" s="1"/>
  <c r="E769" i="9"/>
  <c r="G769" i="9" s="1"/>
  <c r="F699" i="31" s="1"/>
  <c r="E770" i="9"/>
  <c r="G770" i="9" s="1"/>
  <c r="F700" i="31" s="1"/>
  <c r="E771" i="9"/>
  <c r="E772" i="9"/>
  <c r="G772" i="9" s="1"/>
  <c r="E783" i="9"/>
  <c r="G783" i="9" s="1"/>
  <c r="E794" i="9"/>
  <c r="G794" i="9" s="1"/>
  <c r="E795" i="9"/>
  <c r="E796" i="9"/>
  <c r="G796" i="9" s="1"/>
  <c r="F723" i="31" s="1"/>
  <c r="E797" i="9"/>
  <c r="G797" i="9" s="1"/>
  <c r="F724" i="31" s="1"/>
  <c r="E798" i="9"/>
  <c r="G798" i="9" s="1"/>
  <c r="F725" i="31" s="1"/>
  <c r="E805" i="9"/>
  <c r="E806" i="9"/>
  <c r="G806" i="9" s="1"/>
  <c r="F732" i="31" s="1"/>
  <c r="E807" i="9"/>
  <c r="G807" i="9" s="1"/>
  <c r="F733" i="31" s="1"/>
  <c r="E808" i="9"/>
  <c r="G808" i="9" s="1"/>
  <c r="F734" i="31" s="1"/>
  <c r="E809" i="9"/>
  <c r="E810" i="9"/>
  <c r="G810" i="9" s="1"/>
  <c r="F736" i="31" s="1"/>
  <c r="E811" i="9"/>
  <c r="G811" i="9" s="1"/>
  <c r="F737" i="31" s="1"/>
  <c r="E812" i="9"/>
  <c r="G812" i="9" s="1"/>
  <c r="F738" i="31" s="1"/>
  <c r="E813" i="9"/>
  <c r="E814" i="9"/>
  <c r="G814" i="9" s="1"/>
  <c r="F740" i="31" s="1"/>
  <c r="E815" i="9"/>
  <c r="G815" i="9" s="1"/>
  <c r="F741" i="31" s="1"/>
  <c r="E816" i="9"/>
  <c r="G816" i="9" s="1"/>
  <c r="E817" i="9"/>
  <c r="E818" i="9"/>
  <c r="G818" i="9" s="1"/>
  <c r="F743" i="31" s="1"/>
  <c r="E819" i="9"/>
  <c r="G819" i="9" s="1"/>
  <c r="F744" i="31" s="1"/>
  <c r="E820" i="9"/>
  <c r="G820" i="9" s="1"/>
  <c r="F745" i="31" s="1"/>
  <c r="E821" i="9"/>
  <c r="E822" i="9"/>
  <c r="G822" i="9" s="1"/>
  <c r="F747" i="31" s="1"/>
  <c r="E823" i="9"/>
  <c r="G823" i="9" s="1"/>
  <c r="F748" i="31" s="1"/>
  <c r="E824" i="9"/>
  <c r="G824" i="9" s="1"/>
  <c r="F749" i="31" s="1"/>
  <c r="E825" i="9"/>
  <c r="E826" i="9"/>
  <c r="G826" i="9" s="1"/>
  <c r="F751" i="31" s="1"/>
  <c r="E827" i="9"/>
  <c r="G827" i="9" s="1"/>
  <c r="E828" i="9"/>
  <c r="G828" i="9" s="1"/>
  <c r="F752" i="31" s="1"/>
  <c r="E829" i="9"/>
  <c r="E830" i="9"/>
  <c r="G830" i="9" s="1"/>
  <c r="F754" i="31" s="1"/>
  <c r="E831" i="9"/>
  <c r="G831" i="9" s="1"/>
  <c r="F755" i="31" s="1"/>
  <c r="E832" i="9"/>
  <c r="G832" i="9" s="1"/>
  <c r="F756" i="31" s="1"/>
  <c r="E833" i="9"/>
  <c r="E834" i="9"/>
  <c r="G834" i="9" s="1"/>
  <c r="F758" i="31" s="1"/>
  <c r="E835" i="9"/>
  <c r="G835" i="9" s="1"/>
  <c r="F759" i="31" s="1"/>
  <c r="E836" i="9"/>
  <c r="G836" i="9" s="1"/>
  <c r="F760" i="31" s="1"/>
  <c r="E837" i="9"/>
  <c r="E838" i="9"/>
  <c r="G838" i="9" s="1"/>
  <c r="E839" i="9"/>
  <c r="G839" i="9" s="1"/>
  <c r="F762" i="31" s="1"/>
  <c r="E840" i="9"/>
  <c r="G840" i="9" s="1"/>
  <c r="F763" i="31" s="1"/>
  <c r="E841" i="9"/>
  <c r="E842" i="9"/>
  <c r="G842" i="9" s="1"/>
  <c r="F765" i="31" s="1"/>
  <c r="E843" i="9"/>
  <c r="G843" i="9" s="1"/>
  <c r="F766" i="31" s="1"/>
  <c r="E844" i="9"/>
  <c r="G844" i="9" s="1"/>
  <c r="F767" i="31" s="1"/>
  <c r="E845" i="9"/>
  <c r="E846" i="9"/>
  <c r="G846" i="9" s="1"/>
  <c r="F769" i="31" s="1"/>
  <c r="E847" i="9"/>
  <c r="G847" i="9" s="1"/>
  <c r="F770" i="31" s="1"/>
  <c r="E848" i="9"/>
  <c r="G848" i="9" s="1"/>
  <c r="F771" i="31" s="1"/>
  <c r="E849" i="9"/>
  <c r="E850" i="9"/>
  <c r="G850" i="9" s="1"/>
  <c r="F772" i="31" s="1"/>
  <c r="E851" i="9"/>
  <c r="G851" i="9" s="1"/>
  <c r="F773" i="31" s="1"/>
  <c r="E852" i="9"/>
  <c r="G852" i="9" s="1"/>
  <c r="F774" i="31" s="1"/>
  <c r="E853" i="9"/>
  <c r="E854" i="9"/>
  <c r="G854" i="9" s="1"/>
  <c r="F776" i="31" s="1"/>
  <c r="E855" i="9"/>
  <c r="G855" i="9" s="1"/>
  <c r="F777" i="31" s="1"/>
  <c r="E856" i="9"/>
  <c r="G856" i="9" s="1"/>
  <c r="F778" i="31" s="1"/>
  <c r="E857" i="9"/>
  <c r="E858" i="9"/>
  <c r="G858" i="9" s="1"/>
  <c r="F780" i="31" s="1"/>
  <c r="E859" i="9"/>
  <c r="G859" i="9" s="1"/>
  <c r="F781" i="31" s="1"/>
  <c r="E860" i="9"/>
  <c r="G860" i="9" s="1"/>
  <c r="E871" i="9"/>
  <c r="E882" i="9"/>
  <c r="G882" i="9" s="1"/>
  <c r="E883" i="9"/>
  <c r="G883" i="9" s="1"/>
  <c r="F802" i="31" s="1"/>
  <c r="E884" i="9"/>
  <c r="G884" i="9" s="1"/>
  <c r="F803" i="31" s="1"/>
  <c r="E885" i="9"/>
  <c r="E893" i="9"/>
  <c r="G893" i="9" s="1"/>
  <c r="E894" i="9"/>
  <c r="G894" i="9" s="1"/>
  <c r="F812" i="31" s="1"/>
  <c r="E895" i="9"/>
  <c r="G895" i="9" s="1"/>
  <c r="F813" i="31" s="1"/>
  <c r="E896" i="9"/>
  <c r="E897" i="9"/>
  <c r="G897" i="9" s="1"/>
  <c r="F815" i="31" s="1"/>
  <c r="E898" i="9"/>
  <c r="G898" i="9" s="1"/>
  <c r="F816" i="31" s="1"/>
  <c r="E904" i="9"/>
  <c r="G904" i="9" s="1"/>
  <c r="E905" i="9"/>
  <c r="E906" i="9"/>
  <c r="G906" i="9" s="1"/>
  <c r="F823" i="31" s="1"/>
  <c r="E907" i="9"/>
  <c r="G907" i="9" s="1"/>
  <c r="F824" i="31" s="1"/>
  <c r="E908" i="9"/>
  <c r="G908" i="9" s="1"/>
  <c r="F825" i="31" s="1"/>
  <c r="E909" i="9"/>
  <c r="E910" i="9"/>
  <c r="G910" i="9" s="1"/>
  <c r="F827" i="31" s="1"/>
  <c r="E911" i="9"/>
  <c r="G911" i="9" s="1"/>
  <c r="F828" i="31" s="1"/>
  <c r="E912" i="9"/>
  <c r="G912" i="9" s="1"/>
  <c r="F829" i="31" s="1"/>
  <c r="E913" i="9"/>
  <c r="E914" i="9"/>
  <c r="G914" i="9" s="1"/>
  <c r="F831" i="31" s="1"/>
  <c r="E915" i="9"/>
  <c r="G915" i="9" s="1"/>
  <c r="E926" i="9"/>
  <c r="G926" i="9" s="1"/>
  <c r="E929" i="9"/>
  <c r="G929" i="9" s="1"/>
  <c r="F844" i="31" s="1"/>
  <c r="E930" i="9"/>
  <c r="G930" i="9" s="1"/>
  <c r="F845" i="31" s="1"/>
  <c r="E931" i="9"/>
  <c r="E932" i="9"/>
  <c r="G932" i="9" s="1"/>
  <c r="F847" i="31" s="1"/>
  <c r="E933" i="9"/>
  <c r="G933" i="9" s="1"/>
  <c r="F848" i="31" s="1"/>
  <c r="E934" i="9"/>
  <c r="G934" i="9" s="1"/>
  <c r="F849" i="31" s="1"/>
  <c r="E935" i="9"/>
  <c r="G935" i="9" s="1"/>
  <c r="F850" i="31" s="1"/>
  <c r="E936" i="9"/>
  <c r="G936" i="9" s="1"/>
  <c r="F851" i="31" s="1"/>
  <c r="E937" i="9"/>
  <c r="G937" i="9" s="1"/>
  <c r="E938" i="9"/>
  <c r="G938" i="9" s="1"/>
  <c r="F852" i="31" s="1"/>
  <c r="E939" i="9"/>
  <c r="G939" i="9" s="1"/>
  <c r="F853" i="31" s="1"/>
  <c r="E940" i="9"/>
  <c r="G940" i="9" s="1"/>
  <c r="F854" i="31" s="1"/>
  <c r="E941" i="9"/>
  <c r="G941" i="9" s="1"/>
  <c r="F855" i="31" s="1"/>
  <c r="E942" i="9"/>
  <c r="G942" i="9" s="1"/>
  <c r="F856" i="31" s="1"/>
  <c r="E943" i="9"/>
  <c r="G943" i="9" s="1"/>
  <c r="F857" i="31" s="1"/>
  <c r="E944" i="9"/>
  <c r="G944" i="9" s="1"/>
  <c r="F858" i="31" s="1"/>
  <c r="E945" i="9"/>
  <c r="G945" i="9" s="1"/>
  <c r="F859" i="31" s="1"/>
  <c r="E946" i="9"/>
  <c r="G946" i="9" s="1"/>
  <c r="F860" i="31" s="1"/>
  <c r="E947" i="9"/>
  <c r="G947" i="9" s="1"/>
  <c r="F861" i="31" s="1"/>
  <c r="E948" i="9"/>
  <c r="G948" i="9" s="1"/>
  <c r="E949" i="9"/>
  <c r="G949" i="9" s="1"/>
  <c r="F862" i="31" s="1"/>
  <c r="E950" i="9"/>
  <c r="G950" i="9" s="1"/>
  <c r="F863" i="31" s="1"/>
  <c r="E951" i="9"/>
  <c r="G951" i="9" s="1"/>
  <c r="F864" i="31" s="1"/>
  <c r="E952" i="9"/>
  <c r="G952" i="9" s="1"/>
  <c r="F865" i="31" s="1"/>
  <c r="E953" i="9"/>
  <c r="G953" i="9" s="1"/>
  <c r="F866" i="31" s="1"/>
  <c r="E954" i="9"/>
  <c r="G954" i="9" s="1"/>
  <c r="F867" i="31" s="1"/>
  <c r="E955" i="9"/>
  <c r="G955" i="9" s="1"/>
  <c r="F868" i="31" s="1"/>
  <c r="E956" i="9"/>
  <c r="G956" i="9" s="1"/>
  <c r="F869" i="31" s="1"/>
  <c r="E957" i="9"/>
  <c r="G957" i="9" s="1"/>
  <c r="F870" i="31" s="1"/>
  <c r="E958" i="9"/>
  <c r="G958" i="9" s="1"/>
  <c r="F871" i="31" s="1"/>
  <c r="E959" i="9"/>
  <c r="G959" i="9" s="1"/>
  <c r="E960" i="9"/>
  <c r="G960" i="9" s="1"/>
  <c r="F872" i="31" s="1"/>
  <c r="E961" i="9"/>
  <c r="G961" i="9" s="1"/>
  <c r="F873" i="31" s="1"/>
  <c r="E962" i="9"/>
  <c r="G962" i="9" s="1"/>
  <c r="F874" i="31" s="1"/>
  <c r="E963" i="9"/>
  <c r="G963" i="9" s="1"/>
  <c r="F875" i="31" s="1"/>
  <c r="E964" i="9"/>
  <c r="G964" i="9" s="1"/>
  <c r="F876" i="31" s="1"/>
  <c r="E965" i="9"/>
  <c r="G965" i="9" s="1"/>
  <c r="F877" i="31" s="1"/>
  <c r="E966" i="9"/>
  <c r="G966" i="9" s="1"/>
  <c r="F878" i="31" s="1"/>
  <c r="E967" i="9"/>
  <c r="G967" i="9" s="1"/>
  <c r="F879" i="31" s="1"/>
  <c r="E968" i="9"/>
  <c r="G968" i="9" s="1"/>
  <c r="F880" i="31" s="1"/>
  <c r="E969" i="9"/>
  <c r="G969" i="9" s="1"/>
  <c r="F881" i="31" s="1"/>
  <c r="E970" i="9"/>
  <c r="G970" i="9" s="1"/>
  <c r="E971" i="9"/>
  <c r="G971" i="9" s="1"/>
  <c r="F882" i="31" s="1"/>
  <c r="E972" i="9"/>
  <c r="G972" i="9" s="1"/>
  <c r="F883" i="31" s="1"/>
  <c r="E973" i="9"/>
  <c r="G973" i="9" s="1"/>
  <c r="F884" i="31" s="1"/>
  <c r="E974" i="9"/>
  <c r="G974" i="9" s="1"/>
  <c r="F885" i="31" s="1"/>
  <c r="E975" i="9"/>
  <c r="G975" i="9" s="1"/>
  <c r="F886" i="31" s="1"/>
  <c r="E976" i="9"/>
  <c r="G976" i="9" s="1"/>
  <c r="F887" i="31" s="1"/>
  <c r="E977" i="9"/>
  <c r="G977" i="9" s="1"/>
  <c r="F888" i="31" s="1"/>
  <c r="E978" i="9"/>
  <c r="G978" i="9" s="1"/>
  <c r="F889" i="31" s="1"/>
  <c r="E979" i="9"/>
  <c r="G979" i="9" s="1"/>
  <c r="F890" i="31" s="1"/>
  <c r="E980" i="9"/>
  <c r="G980" i="9" s="1"/>
  <c r="F891" i="31" s="1"/>
  <c r="E981" i="9"/>
  <c r="G981" i="9" s="1"/>
  <c r="E982" i="9"/>
  <c r="G982" i="9" s="1"/>
  <c r="F892" i="31" s="1"/>
  <c r="E983" i="9"/>
  <c r="G983" i="9" s="1"/>
  <c r="F893" i="31" s="1"/>
  <c r="E984" i="9"/>
  <c r="G984" i="9" s="1"/>
  <c r="F894" i="31" s="1"/>
  <c r="E985" i="9"/>
  <c r="G985" i="9" s="1"/>
  <c r="F895" i="31" s="1"/>
  <c r="E986" i="9"/>
  <c r="G986" i="9" s="1"/>
  <c r="F896" i="31" s="1"/>
  <c r="E987" i="9"/>
  <c r="G987" i="9" s="1"/>
  <c r="F897" i="31" s="1"/>
  <c r="E988" i="9"/>
  <c r="G988" i="9" s="1"/>
  <c r="F898" i="31" s="1"/>
  <c r="E989" i="9"/>
  <c r="G989" i="9" s="1"/>
  <c r="F899" i="31" s="1"/>
  <c r="E990" i="9"/>
  <c r="G990" i="9" s="1"/>
  <c r="F900" i="31" s="1"/>
  <c r="E991" i="9"/>
  <c r="G991" i="9" s="1"/>
  <c r="F901" i="31" s="1"/>
  <c r="E992" i="9"/>
  <c r="G992" i="9" s="1"/>
  <c r="E993" i="9"/>
  <c r="G993" i="9" s="1"/>
  <c r="F902" i="31" s="1"/>
  <c r="E994" i="9"/>
  <c r="G994" i="9" s="1"/>
  <c r="F903" i="31" s="1"/>
  <c r="E995" i="9"/>
  <c r="G995" i="9" s="1"/>
  <c r="F904" i="31" s="1"/>
  <c r="E996" i="9"/>
  <c r="G996" i="9" s="1"/>
  <c r="F905" i="31" s="1"/>
  <c r="E997" i="9"/>
  <c r="G997" i="9" s="1"/>
  <c r="F906" i="31" s="1"/>
  <c r="E998" i="9"/>
  <c r="G998" i="9" s="1"/>
  <c r="F907" i="31" s="1"/>
  <c r="E999" i="9"/>
  <c r="G999" i="9" s="1"/>
  <c r="F908" i="31" s="1"/>
  <c r="E1000" i="9"/>
  <c r="G1000" i="9" s="1"/>
  <c r="F909" i="31" s="1"/>
  <c r="E1001" i="9"/>
  <c r="G1001" i="9" s="1"/>
  <c r="F910" i="31" s="1"/>
  <c r="E1002" i="9"/>
  <c r="G1002" i="9" s="1"/>
  <c r="F911" i="31" s="1"/>
  <c r="E1003" i="9"/>
  <c r="G1003" i="9" s="1"/>
  <c r="E1004" i="9"/>
  <c r="G1004" i="9" s="1"/>
  <c r="F912" i="31" s="1"/>
  <c r="E1005" i="9"/>
  <c r="G1005" i="9" s="1"/>
  <c r="F913" i="31" s="1"/>
  <c r="E1006" i="9"/>
  <c r="G1006" i="9" s="1"/>
  <c r="F914" i="31" s="1"/>
  <c r="E1007" i="9"/>
  <c r="G1007" i="9" s="1"/>
  <c r="F915" i="31" s="1"/>
  <c r="E1008" i="9"/>
  <c r="G1008" i="9" s="1"/>
  <c r="F916" i="31" s="1"/>
  <c r="E1009" i="9"/>
  <c r="G1009" i="9" s="1"/>
  <c r="F917" i="31" s="1"/>
  <c r="E1010" i="9"/>
  <c r="G1010" i="9" s="1"/>
  <c r="F918" i="31" s="1"/>
  <c r="E1011" i="9"/>
  <c r="G1011" i="9" s="1"/>
  <c r="F919" i="31" s="1"/>
  <c r="E1012" i="9"/>
  <c r="G1012" i="9" s="1"/>
  <c r="F920" i="31" s="1"/>
  <c r="E1013" i="9"/>
  <c r="G1013" i="9" s="1"/>
  <c r="F921" i="31" s="1"/>
  <c r="E1014" i="9"/>
  <c r="G1014" i="9" s="1"/>
  <c r="E1015" i="9"/>
  <c r="G1015" i="9" s="1"/>
  <c r="F922" i="31" s="1"/>
  <c r="E1016" i="9"/>
  <c r="G1016" i="9" s="1"/>
  <c r="F923" i="31" s="1"/>
  <c r="E1017" i="9"/>
  <c r="G1017" i="9" s="1"/>
  <c r="F924" i="31" s="1"/>
  <c r="E1018" i="9"/>
  <c r="G1018" i="9" s="1"/>
  <c r="F925" i="31" s="1"/>
  <c r="E1019" i="9"/>
  <c r="G1019" i="9" s="1"/>
  <c r="F926" i="31" s="1"/>
  <c r="E1020" i="9"/>
  <c r="G1020" i="9" s="1"/>
  <c r="F927" i="31" s="1"/>
  <c r="E1021" i="9"/>
  <c r="G1021" i="9" s="1"/>
  <c r="F928" i="31" s="1"/>
  <c r="E1022" i="9"/>
  <c r="G1022" i="9" s="1"/>
  <c r="F929" i="31" s="1"/>
  <c r="E1023" i="9"/>
  <c r="G1023" i="9" s="1"/>
  <c r="F930" i="31" s="1"/>
  <c r="E1024" i="9"/>
  <c r="G1024" i="9" s="1"/>
  <c r="F931" i="31" s="1"/>
  <c r="E1025" i="9"/>
  <c r="G1025" i="9" s="1"/>
  <c r="E1026" i="9"/>
  <c r="G1026" i="9" s="1"/>
  <c r="F932" i="31" s="1"/>
  <c r="E1027" i="9"/>
  <c r="G1027" i="9" s="1"/>
  <c r="F933" i="31" s="1"/>
  <c r="E1028" i="9"/>
  <c r="G1028" i="9" s="1"/>
  <c r="F934" i="31" s="1"/>
  <c r="E1029" i="9"/>
  <c r="G1029" i="9" s="1"/>
  <c r="F935" i="31" s="1"/>
  <c r="E1030" i="9"/>
  <c r="G1030" i="9" s="1"/>
  <c r="F936" i="31" s="1"/>
  <c r="E1031" i="9"/>
  <c r="G1031" i="9" s="1"/>
  <c r="F937" i="31" s="1"/>
  <c r="E1032" i="9"/>
  <c r="G1032" i="9" s="1"/>
  <c r="F938" i="31" s="1"/>
  <c r="E1033" i="9"/>
  <c r="G1033" i="9" s="1"/>
  <c r="F939" i="31" s="1"/>
  <c r="E1034" i="9"/>
  <c r="G1034" i="9" s="1"/>
  <c r="F940" i="31" s="1"/>
  <c r="E1035" i="9"/>
  <c r="G1035" i="9" s="1"/>
  <c r="F941" i="31" s="1"/>
  <c r="E1036" i="9"/>
  <c r="G1036" i="9" s="1"/>
  <c r="E1037" i="9"/>
  <c r="G1037" i="9" s="1"/>
  <c r="F942" i="31" s="1"/>
  <c r="E1038" i="9"/>
  <c r="G1038" i="9" s="1"/>
  <c r="F943" i="31" s="1"/>
  <c r="E1039" i="9"/>
  <c r="G1039" i="9" s="1"/>
  <c r="F944" i="31" s="1"/>
  <c r="E1040" i="9"/>
  <c r="G1040" i="9" s="1"/>
  <c r="F945" i="31" s="1"/>
  <c r="E1041" i="9"/>
  <c r="G1041" i="9" s="1"/>
  <c r="F946" i="31" s="1"/>
  <c r="E1042" i="9"/>
  <c r="G1042" i="9" s="1"/>
  <c r="F947" i="31" s="1"/>
  <c r="E1043" i="9"/>
  <c r="G1043" i="9" s="1"/>
  <c r="F948" i="31" s="1"/>
  <c r="E1044" i="9"/>
  <c r="G1044" i="9" s="1"/>
  <c r="F949" i="31" s="1"/>
  <c r="E1045" i="9"/>
  <c r="G1045" i="9" s="1"/>
  <c r="F950" i="31" s="1"/>
  <c r="E1046" i="9"/>
  <c r="G1046" i="9" s="1"/>
  <c r="F951" i="31" s="1"/>
  <c r="E1047" i="9"/>
  <c r="G1047" i="9" s="1"/>
  <c r="E1048" i="9"/>
  <c r="G1048" i="9" s="1"/>
  <c r="F952" i="31" s="1"/>
  <c r="E1049" i="9"/>
  <c r="G1049" i="9" s="1"/>
  <c r="F953" i="31" s="1"/>
  <c r="E1050" i="9"/>
  <c r="G1050" i="9" s="1"/>
  <c r="F954" i="31" s="1"/>
  <c r="E1051" i="9"/>
  <c r="G1051" i="9" s="1"/>
  <c r="F955" i="31" s="1"/>
  <c r="E1052" i="9"/>
  <c r="G1052" i="9" s="1"/>
  <c r="F956" i="31" s="1"/>
  <c r="E1053" i="9"/>
  <c r="G1053" i="9" s="1"/>
  <c r="F957" i="31" s="1"/>
  <c r="E1054" i="9"/>
  <c r="G1054" i="9" s="1"/>
  <c r="F958" i="31" s="1"/>
  <c r="E1055" i="9"/>
  <c r="G1055" i="9" s="1"/>
  <c r="F959" i="31" s="1"/>
  <c r="E1056" i="9"/>
  <c r="G1056" i="9" s="1"/>
  <c r="F960" i="31" s="1"/>
  <c r="E1057" i="9"/>
  <c r="G1057" i="9" s="1"/>
  <c r="F961" i="31" s="1"/>
  <c r="E1058" i="9"/>
  <c r="G1058" i="9" s="1"/>
  <c r="E1059" i="9"/>
  <c r="G1059" i="9" s="1"/>
  <c r="F962" i="31" s="1"/>
  <c r="E1060" i="9"/>
  <c r="G1060" i="9" s="1"/>
  <c r="F963" i="31" s="1"/>
  <c r="E1061" i="9"/>
  <c r="G1061" i="9" s="1"/>
  <c r="F964" i="31" s="1"/>
  <c r="E1062" i="9"/>
  <c r="G1062" i="9" s="1"/>
  <c r="F965" i="31" s="1"/>
  <c r="E1063" i="9"/>
  <c r="G1063" i="9" s="1"/>
  <c r="F966" i="31" s="1"/>
  <c r="E1064" i="9"/>
  <c r="G1064" i="9" s="1"/>
  <c r="F967" i="31" s="1"/>
  <c r="E1065" i="9"/>
  <c r="G1065" i="9" s="1"/>
  <c r="F968" i="31" s="1"/>
  <c r="E1066" i="9"/>
  <c r="G1066" i="9" s="1"/>
  <c r="F969" i="31" s="1"/>
  <c r="E1067" i="9"/>
  <c r="G1067" i="9" s="1"/>
  <c r="F970" i="31" s="1"/>
  <c r="E1068" i="9"/>
  <c r="G1068" i="9" s="1"/>
  <c r="F971" i="31" s="1"/>
  <c r="E1069" i="9"/>
  <c r="G1069" i="9" s="1"/>
  <c r="E1070" i="9"/>
  <c r="G1070" i="9" s="1"/>
  <c r="F972" i="31" s="1"/>
  <c r="E1071" i="9"/>
  <c r="G1071" i="9" s="1"/>
  <c r="F973" i="31" s="1"/>
  <c r="E1080" i="9"/>
  <c r="G1080" i="9" s="1"/>
  <c r="E1081" i="9"/>
  <c r="G1081" i="9" s="1"/>
  <c r="F982" i="31" s="1"/>
  <c r="E1082" i="9"/>
  <c r="G1082" i="9" s="1"/>
  <c r="F983" i="31" s="1"/>
  <c r="E1083" i="9"/>
  <c r="G1083" i="9" s="1"/>
  <c r="F984" i="31" s="1"/>
  <c r="E1084" i="9"/>
  <c r="G1084" i="9" s="1"/>
  <c r="F985" i="31" s="1"/>
  <c r="E1085" i="9"/>
  <c r="G1085" i="9" s="1"/>
  <c r="F986" i="31" s="1"/>
  <c r="E1086" i="9"/>
  <c r="G1086" i="9" s="1"/>
  <c r="F987" i="31" s="1"/>
  <c r="E1091" i="9"/>
  <c r="G1091" i="9" s="1"/>
  <c r="E1102" i="9"/>
  <c r="G1102" i="9" s="1"/>
  <c r="E1103" i="9"/>
  <c r="G1103" i="9" s="1"/>
  <c r="F1002" i="31" s="1"/>
  <c r="E1104" i="9"/>
  <c r="G1104" i="9" s="1"/>
  <c r="F1003" i="31" s="1"/>
  <c r="E1105" i="9"/>
  <c r="G1105" i="9" s="1"/>
  <c r="F1004" i="31" s="1"/>
  <c r="E1106" i="9"/>
  <c r="G1106" i="9" s="1"/>
  <c r="F1005" i="31" s="1"/>
  <c r="E1107" i="9"/>
  <c r="G1107" i="9" s="1"/>
  <c r="F1006" i="31" s="1"/>
  <c r="E1108" i="9"/>
  <c r="G1108" i="9" s="1"/>
  <c r="F1007" i="31" s="1"/>
  <c r="E1109" i="9"/>
  <c r="G1109" i="9" s="1"/>
  <c r="F1008" i="31" s="1"/>
  <c r="E1110" i="9"/>
  <c r="G1110" i="9" s="1"/>
  <c r="F1009" i="31" s="1"/>
  <c r="E1111" i="9"/>
  <c r="G1111" i="9" s="1"/>
  <c r="F1010" i="31" s="1"/>
  <c r="E1112" i="9"/>
  <c r="G1112" i="9" s="1"/>
  <c r="F1011" i="31" s="1"/>
  <c r="E1113" i="9"/>
  <c r="G1113" i="9" s="1"/>
  <c r="E1114" i="9"/>
  <c r="G1114" i="9" s="1"/>
  <c r="F1012" i="31" s="1"/>
  <c r="E1115" i="9"/>
  <c r="G1115" i="9" s="1"/>
  <c r="F1013" i="31" s="1"/>
  <c r="E1116" i="9"/>
  <c r="G1116" i="9" s="1"/>
  <c r="F1014" i="31" s="1"/>
  <c r="E1117" i="9"/>
  <c r="G1117" i="9" s="1"/>
  <c r="F1015" i="31" s="1"/>
  <c r="E1118" i="9"/>
  <c r="G1118" i="9" s="1"/>
  <c r="F1016" i="31" s="1"/>
  <c r="E1119" i="9"/>
  <c r="G1119" i="9" s="1"/>
  <c r="F1017" i="31" s="1"/>
  <c r="E1120" i="9"/>
  <c r="G1120" i="9" s="1"/>
  <c r="F1018" i="31" s="1"/>
  <c r="E1121" i="9"/>
  <c r="G1121" i="9" s="1"/>
  <c r="F1019" i="31" s="1"/>
  <c r="E1122" i="9"/>
  <c r="G1122" i="9" s="1"/>
  <c r="F1020" i="31" s="1"/>
  <c r="E1123" i="9"/>
  <c r="G1123" i="9" s="1"/>
  <c r="F1021" i="31" s="1"/>
  <c r="E1124" i="9"/>
  <c r="G1124" i="9" s="1"/>
  <c r="E1125" i="9"/>
  <c r="G1125" i="9" s="1"/>
  <c r="F1022" i="31" s="1"/>
  <c r="E1126" i="9"/>
  <c r="G1126" i="9" s="1"/>
  <c r="F1023" i="31" s="1"/>
  <c r="E1127" i="9"/>
  <c r="G1127" i="9" s="1"/>
  <c r="F1024" i="31" s="1"/>
  <c r="E1128" i="9"/>
  <c r="G1128" i="9" s="1"/>
  <c r="F1025" i="31" s="1"/>
  <c r="E1129" i="9"/>
  <c r="G1129" i="9" s="1"/>
  <c r="F1026" i="31" s="1"/>
  <c r="E1130" i="9"/>
  <c r="G1130" i="9" s="1"/>
  <c r="F1027" i="31" s="1"/>
  <c r="E1131" i="9"/>
  <c r="G1131" i="9" s="1"/>
  <c r="F1028" i="31" s="1"/>
  <c r="E1132" i="9"/>
  <c r="G1132" i="9" s="1"/>
  <c r="F1029" i="31" s="1"/>
  <c r="E1133" i="9"/>
  <c r="G1133" i="9" s="1"/>
  <c r="F1030" i="31" s="1"/>
  <c r="E1134" i="9"/>
  <c r="G1134" i="9" s="1"/>
  <c r="F1031" i="31" s="1"/>
  <c r="E1135" i="9"/>
  <c r="G1135" i="9" s="1"/>
  <c r="E1136" i="9"/>
  <c r="G1136" i="9" s="1"/>
  <c r="F1032" i="31" s="1"/>
  <c r="E1137" i="9"/>
  <c r="G1137" i="9" s="1"/>
  <c r="F1033" i="31" s="1"/>
  <c r="E1138" i="9"/>
  <c r="G1138" i="9" s="1"/>
  <c r="F1034" i="31" s="1"/>
  <c r="E1139" i="9"/>
  <c r="G1139" i="9" s="1"/>
  <c r="F1035" i="31" s="1"/>
  <c r="E1140" i="9"/>
  <c r="G1140" i="9" s="1"/>
  <c r="F1036" i="31" s="1"/>
  <c r="E1141" i="9"/>
  <c r="G1141" i="9" s="1"/>
  <c r="F1037" i="31" s="1"/>
  <c r="E1142" i="9"/>
  <c r="G1142" i="9" s="1"/>
  <c r="F1038" i="31" s="1"/>
  <c r="E1143" i="9"/>
  <c r="G1143" i="9" s="1"/>
  <c r="F1039" i="31" s="1"/>
  <c r="E1144" i="9"/>
  <c r="G1144" i="9" s="1"/>
  <c r="F1040" i="31" s="1"/>
  <c r="E1145" i="9"/>
  <c r="G1145" i="9" s="1"/>
  <c r="F1041" i="31" s="1"/>
  <c r="E1146" i="9"/>
  <c r="G1146" i="9" s="1"/>
  <c r="E1147" i="9"/>
  <c r="G1147" i="9" s="1"/>
  <c r="F1042" i="31" s="1"/>
  <c r="E1148" i="9"/>
  <c r="G1148" i="9" s="1"/>
  <c r="F1043" i="31" s="1"/>
  <c r="E1149" i="9"/>
  <c r="G1149" i="9" s="1"/>
  <c r="F1044" i="31" s="1"/>
  <c r="E1150" i="9"/>
  <c r="G1150" i="9" s="1"/>
  <c r="F1045" i="31" s="1"/>
  <c r="E1151" i="9"/>
  <c r="G1151" i="9" s="1"/>
  <c r="F1046" i="31" s="1"/>
  <c r="E1152" i="9"/>
  <c r="G1152" i="9" s="1"/>
  <c r="F1047" i="31" s="1"/>
  <c r="E1153" i="9"/>
  <c r="G1153" i="9" s="1"/>
  <c r="F1048" i="31" s="1"/>
  <c r="E1154" i="9"/>
  <c r="G1154" i="9" s="1"/>
  <c r="F1049" i="31" s="1"/>
  <c r="E1155" i="9"/>
  <c r="G1155" i="9" s="1"/>
  <c r="F1050" i="31" s="1"/>
  <c r="E1156" i="9"/>
  <c r="G1156" i="9" s="1"/>
  <c r="F1051" i="31" s="1"/>
  <c r="E1157" i="9"/>
  <c r="G1157" i="9" s="1"/>
  <c r="E1158" i="9"/>
  <c r="G1158" i="9" s="1"/>
  <c r="F1052" i="31" s="1"/>
  <c r="E1159" i="9"/>
  <c r="G1159" i="9" s="1"/>
  <c r="F1053" i="31" s="1"/>
  <c r="E1160" i="9"/>
  <c r="G1160" i="9" s="1"/>
  <c r="F1054" i="31" s="1"/>
  <c r="E1161" i="9"/>
  <c r="G1161" i="9" s="1"/>
  <c r="F1055" i="31" s="1"/>
  <c r="E1162" i="9"/>
  <c r="G1162" i="9" s="1"/>
  <c r="F1056" i="31" s="1"/>
  <c r="E1163" i="9"/>
  <c r="G1163" i="9" s="1"/>
  <c r="F1057" i="31" s="1"/>
  <c r="E1164" i="9"/>
  <c r="G1164" i="9" s="1"/>
  <c r="F1058" i="31" s="1"/>
  <c r="E1165" i="9"/>
  <c r="G1165" i="9" s="1"/>
  <c r="F1059" i="31" s="1"/>
  <c r="E1166" i="9"/>
  <c r="G1166" i="9" s="1"/>
  <c r="F1060" i="31" s="1"/>
  <c r="E1167" i="9"/>
  <c r="G1167" i="9" s="1"/>
  <c r="F1061" i="31" s="1"/>
  <c r="E1168" i="9"/>
  <c r="G1168" i="9" s="1"/>
  <c r="E1169" i="9"/>
  <c r="G1169" i="9" s="1"/>
  <c r="F1062" i="31" s="1"/>
  <c r="E1170" i="9"/>
  <c r="G1170" i="9" s="1"/>
  <c r="F1063" i="31" s="1"/>
  <c r="E1171" i="9"/>
  <c r="G1171" i="9" s="1"/>
  <c r="F1064" i="31" s="1"/>
  <c r="E1172" i="9"/>
  <c r="G1172" i="9" s="1"/>
  <c r="F1065" i="31" s="1"/>
  <c r="E1173" i="9"/>
  <c r="G1173" i="9" s="1"/>
  <c r="F1066" i="31" s="1"/>
  <c r="E1174" i="9"/>
  <c r="G1174" i="9" s="1"/>
  <c r="F1067" i="31" s="1"/>
  <c r="E1175" i="9"/>
  <c r="G1175" i="9" s="1"/>
  <c r="F1068" i="31" s="1"/>
  <c r="E1176" i="9"/>
  <c r="G1176" i="9" s="1"/>
  <c r="F1069" i="31" s="1"/>
  <c r="E1177" i="9"/>
  <c r="G1177" i="9" s="1"/>
  <c r="F1070" i="31" s="1"/>
  <c r="E1178" i="9"/>
  <c r="G1178" i="9" s="1"/>
  <c r="F1071" i="31" s="1"/>
  <c r="E1179" i="9"/>
  <c r="G1179" i="9" s="1"/>
  <c r="E1180" i="9"/>
  <c r="G1180" i="9" s="1"/>
  <c r="F1072" i="31" s="1"/>
  <c r="E1181" i="9"/>
  <c r="G1181" i="9" s="1"/>
  <c r="F1073" i="31" s="1"/>
  <c r="E1182" i="9"/>
  <c r="G1182" i="9" s="1"/>
  <c r="F1074" i="31" s="1"/>
  <c r="E1183" i="9"/>
  <c r="G1183" i="9" s="1"/>
  <c r="F1075" i="31" s="1"/>
  <c r="E1184" i="9"/>
  <c r="G1184" i="9" s="1"/>
  <c r="F1076" i="31" s="1"/>
  <c r="E1185" i="9"/>
  <c r="G1185" i="9" s="1"/>
  <c r="F1077" i="31" s="1"/>
  <c r="E1186" i="9"/>
  <c r="G1186" i="9" s="1"/>
  <c r="F1078" i="31" s="1"/>
  <c r="E1187" i="9"/>
  <c r="G1187" i="9" s="1"/>
  <c r="F1079" i="31" s="1"/>
  <c r="E1188" i="9"/>
  <c r="G1188" i="9" s="1"/>
  <c r="F1080" i="31" s="1"/>
  <c r="E1189" i="9"/>
  <c r="G1189" i="9" s="1"/>
  <c r="F1081" i="31" s="1"/>
  <c r="E1190" i="9"/>
  <c r="G1190" i="9" s="1"/>
  <c r="E1191" i="9"/>
  <c r="G1191" i="9" s="1"/>
  <c r="F1082" i="31" s="1"/>
  <c r="E1192" i="9"/>
  <c r="G1192" i="9" s="1"/>
  <c r="F1083" i="31" s="1"/>
  <c r="E1193" i="9"/>
  <c r="G1193" i="9" s="1"/>
  <c r="F1084" i="31" s="1"/>
  <c r="E1194" i="9"/>
  <c r="G1194" i="9" s="1"/>
  <c r="F1085" i="31" s="1"/>
  <c r="E1195" i="9"/>
  <c r="G1195" i="9" s="1"/>
  <c r="F1086" i="31" s="1"/>
  <c r="E1196" i="9"/>
  <c r="G1196" i="9" s="1"/>
  <c r="F1087" i="31" s="1"/>
  <c r="E1197" i="9"/>
  <c r="G1197" i="9" s="1"/>
  <c r="F1088" i="31" s="1"/>
  <c r="E1198" i="9"/>
  <c r="G1198" i="9" s="1"/>
  <c r="F1089" i="31" s="1"/>
  <c r="E1199" i="9"/>
  <c r="G1199" i="9" s="1"/>
  <c r="F1090" i="31" s="1"/>
  <c r="E1200" i="9"/>
  <c r="G1200" i="9" s="1"/>
  <c r="F1091" i="31" s="1"/>
  <c r="E1201" i="9"/>
  <c r="G1201" i="9" s="1"/>
  <c r="E1202" i="9"/>
  <c r="G1202" i="9" s="1"/>
  <c r="F1092" i="31" s="1"/>
  <c r="E1203" i="9"/>
  <c r="G1203" i="9" s="1"/>
  <c r="F1093" i="31" s="1"/>
  <c r="E1204" i="9"/>
  <c r="G1204" i="9" s="1"/>
  <c r="F1094" i="31" s="1"/>
  <c r="E1205" i="9"/>
  <c r="G1205" i="9" s="1"/>
  <c r="F1095" i="31" s="1"/>
  <c r="E1206" i="9"/>
  <c r="G1206" i="9" s="1"/>
  <c r="F1096" i="31" s="1"/>
  <c r="E1207" i="9"/>
  <c r="G1207" i="9" s="1"/>
  <c r="F1097" i="31" s="1"/>
  <c r="E1208" i="9"/>
  <c r="G1208" i="9" s="1"/>
  <c r="F1098" i="31" s="1"/>
  <c r="E1209" i="9"/>
  <c r="G1209" i="9" s="1"/>
  <c r="F1099" i="31" s="1"/>
  <c r="E1210" i="9"/>
  <c r="G1210" i="9" s="1"/>
  <c r="F1100" i="31" s="1"/>
  <c r="E1211" i="9"/>
  <c r="G1211" i="9" s="1"/>
  <c r="F1101" i="31" s="1"/>
  <c r="E1212" i="9"/>
  <c r="G1212" i="9" s="1"/>
  <c r="E1213" i="9"/>
  <c r="G1213" i="9" s="1"/>
  <c r="F1102" i="31" s="1"/>
  <c r="E1214" i="9"/>
  <c r="G1214" i="9" s="1"/>
  <c r="F1103" i="31" s="1"/>
  <c r="E1215" i="9"/>
  <c r="G1215" i="9" s="1"/>
  <c r="F1104" i="31" s="1"/>
  <c r="E1216" i="9"/>
  <c r="G1216" i="9" s="1"/>
  <c r="F1105" i="31" s="1"/>
  <c r="E1217" i="9"/>
  <c r="G1217" i="9" s="1"/>
  <c r="F1106" i="31" s="1"/>
  <c r="E1218" i="9"/>
  <c r="G1218" i="9" s="1"/>
  <c r="F1107" i="31" s="1"/>
  <c r="E1219" i="9"/>
  <c r="G1219" i="9" s="1"/>
  <c r="F1108" i="31" s="1"/>
  <c r="E1220" i="9"/>
  <c r="G1220" i="9" s="1"/>
  <c r="F1109" i="31" s="1"/>
  <c r="E1221" i="9"/>
  <c r="G1221" i="9" s="1"/>
  <c r="F1110" i="31" s="1"/>
  <c r="E1222" i="9"/>
  <c r="G1222" i="9" s="1"/>
  <c r="F1111" i="31" s="1"/>
  <c r="E1223" i="9"/>
  <c r="G1223" i="9" s="1"/>
  <c r="E1224" i="9"/>
  <c r="G1224" i="9" s="1"/>
  <c r="F1112" i="31" s="1"/>
  <c r="E1225" i="9"/>
  <c r="G1225" i="9" s="1"/>
  <c r="F1113" i="31" s="1"/>
  <c r="E1226" i="9"/>
  <c r="G1226" i="9" s="1"/>
  <c r="F1114" i="31" s="1"/>
  <c r="E1227" i="9"/>
  <c r="G1227" i="9" s="1"/>
  <c r="F1115" i="31" s="1"/>
  <c r="E1228" i="9"/>
  <c r="G1228" i="9" s="1"/>
  <c r="F1116" i="31" s="1"/>
  <c r="E1229" i="9"/>
  <c r="G1229" i="9" s="1"/>
  <c r="F1117" i="31" s="1"/>
  <c r="E1230" i="9"/>
  <c r="G1230" i="9" s="1"/>
  <c r="F1118" i="31" s="1"/>
  <c r="E1231" i="9"/>
  <c r="G1231" i="9" s="1"/>
  <c r="F1119" i="31" s="1"/>
  <c r="E1232" i="9"/>
  <c r="G1232" i="9" s="1"/>
  <c r="F1120" i="31" s="1"/>
  <c r="E1233" i="9"/>
  <c r="G1233" i="9" s="1"/>
  <c r="F1121" i="31" s="1"/>
  <c r="E1234" i="9"/>
  <c r="G1234" i="9" s="1"/>
  <c r="E1235" i="9"/>
  <c r="G1235" i="9" s="1"/>
  <c r="F1122" i="31" s="1"/>
  <c r="E1236" i="9"/>
  <c r="G1236" i="9" s="1"/>
  <c r="F1123" i="31" s="1"/>
  <c r="E1237" i="9"/>
  <c r="G1237" i="9" s="1"/>
  <c r="F1124" i="31" s="1"/>
  <c r="E1238" i="9"/>
  <c r="G1238" i="9" s="1"/>
  <c r="F1125" i="31" s="1"/>
  <c r="E1239" i="9"/>
  <c r="G1239" i="9" s="1"/>
  <c r="F1126" i="31" s="1"/>
  <c r="E1240" i="9"/>
  <c r="G1240" i="9" s="1"/>
  <c r="F1127" i="31" s="1"/>
  <c r="E1241" i="9"/>
  <c r="G1241" i="9" s="1"/>
  <c r="F1128" i="31" s="1"/>
  <c r="E1242" i="9"/>
  <c r="G1242" i="9" s="1"/>
  <c r="F1129" i="31" s="1"/>
  <c r="E1243" i="9"/>
  <c r="G1243" i="9" s="1"/>
  <c r="F1130" i="31" s="1"/>
  <c r="E1244" i="9"/>
  <c r="G1244" i="9" s="1"/>
  <c r="F1131" i="31" s="1"/>
  <c r="E1245" i="9"/>
  <c r="G1245" i="9" s="1"/>
  <c r="E1246" i="9"/>
  <c r="G1246" i="9" s="1"/>
  <c r="F1132" i="31" s="1"/>
  <c r="E1247" i="9"/>
  <c r="G1247" i="9" s="1"/>
  <c r="F1133" i="31" s="1"/>
  <c r="E1248" i="9"/>
  <c r="G1248" i="9" s="1"/>
  <c r="F1134" i="31" s="1"/>
  <c r="E1249" i="9"/>
  <c r="G1249" i="9" s="1"/>
  <c r="F1135" i="31" s="1"/>
  <c r="E1250" i="9"/>
  <c r="G1250" i="9" s="1"/>
  <c r="F1136" i="31" s="1"/>
  <c r="E1251" i="9"/>
  <c r="G1251" i="9" s="1"/>
  <c r="F1137" i="31" s="1"/>
  <c r="E1252" i="9"/>
  <c r="G1252" i="9" s="1"/>
  <c r="F1138" i="31" s="1"/>
  <c r="E1253" i="9"/>
  <c r="G1253" i="9" s="1"/>
  <c r="F1139" i="31" s="1"/>
  <c r="E1254" i="9"/>
  <c r="G1254" i="9" s="1"/>
  <c r="F1140" i="31" s="1"/>
  <c r="E1255" i="9"/>
  <c r="G1255" i="9" s="1"/>
  <c r="F1141" i="31" s="1"/>
  <c r="E1256" i="9"/>
  <c r="G1256" i="9" s="1"/>
  <c r="E1257" i="9"/>
  <c r="G1257" i="9" s="1"/>
  <c r="F1142" i="31" s="1"/>
  <c r="E1258" i="9"/>
  <c r="G1258" i="9" s="1"/>
  <c r="F1143" i="31" s="1"/>
  <c r="E1259" i="9"/>
  <c r="G1259" i="9" s="1"/>
  <c r="F1144" i="31" s="1"/>
  <c r="E1260" i="9"/>
  <c r="G1260" i="9" s="1"/>
  <c r="F1145" i="31" s="1"/>
  <c r="E1261" i="9"/>
  <c r="G1261" i="9" s="1"/>
  <c r="F1146" i="31" s="1"/>
  <c r="E1262" i="9"/>
  <c r="G1262" i="9" s="1"/>
  <c r="F1147" i="31" s="1"/>
  <c r="E1263" i="9"/>
  <c r="G1263" i="9" s="1"/>
  <c r="F1148" i="31" s="1"/>
  <c r="E1264" i="9"/>
  <c r="G1264" i="9" s="1"/>
  <c r="F1149" i="31" s="1"/>
  <c r="E1265" i="9"/>
  <c r="G1265" i="9" s="1"/>
  <c r="F1150" i="31" s="1"/>
  <c r="E1266" i="9"/>
  <c r="G1266" i="9" s="1"/>
  <c r="F1151" i="31" s="1"/>
  <c r="E1267" i="9"/>
  <c r="G1267" i="9" s="1"/>
  <c r="E1268" i="9"/>
  <c r="G1268" i="9" s="1"/>
  <c r="F1152" i="31" s="1"/>
  <c r="E1269" i="9"/>
  <c r="G1269" i="9" s="1"/>
  <c r="F1153" i="31" s="1"/>
  <c r="E1270" i="9"/>
  <c r="G1270" i="9" s="1"/>
  <c r="F1154" i="31" s="1"/>
  <c r="E1271" i="9"/>
  <c r="G1271" i="9" s="1"/>
  <c r="F1155" i="31" s="1"/>
  <c r="E1272" i="9"/>
  <c r="G1272" i="9" s="1"/>
  <c r="F1156" i="31" s="1"/>
  <c r="E1273" i="9"/>
  <c r="G1273" i="9" s="1"/>
  <c r="F1157" i="31" s="1"/>
  <c r="E1274" i="9"/>
  <c r="G1274" i="9" s="1"/>
  <c r="F1158" i="31" s="1"/>
  <c r="E1275" i="9"/>
  <c r="G1275" i="9" s="1"/>
  <c r="F1159" i="31" s="1"/>
  <c r="E1276" i="9"/>
  <c r="G1276" i="9" s="1"/>
  <c r="F1160" i="31" s="1"/>
  <c r="E1277" i="9"/>
  <c r="G1277" i="9" s="1"/>
  <c r="F1161" i="31" s="1"/>
  <c r="E1278" i="9"/>
  <c r="G1278" i="9" s="1"/>
  <c r="E1279" i="9"/>
  <c r="G1279" i="9" s="1"/>
  <c r="F1162" i="31" s="1"/>
  <c r="E1280" i="9"/>
  <c r="G1280" i="9" s="1"/>
  <c r="F1163" i="31" s="1"/>
  <c r="E1281" i="9"/>
  <c r="G1281" i="9" s="1"/>
  <c r="F1164" i="31" s="1"/>
  <c r="E1282" i="9"/>
  <c r="G1282" i="9" s="1"/>
  <c r="F1165" i="31" s="1"/>
  <c r="E1283" i="9"/>
  <c r="G1283" i="9" s="1"/>
  <c r="F1166" i="31" s="1"/>
  <c r="E1284" i="9"/>
  <c r="G1284" i="9" s="1"/>
  <c r="F1167" i="31" s="1"/>
  <c r="E1285" i="9"/>
  <c r="G1285" i="9" s="1"/>
  <c r="F1168" i="31" s="1"/>
  <c r="E1286" i="9"/>
  <c r="G1286" i="9" s="1"/>
  <c r="F1169" i="31" s="1"/>
  <c r="E1287" i="9"/>
  <c r="G1287" i="9" s="1"/>
  <c r="F1170" i="31" s="1"/>
  <c r="E1288" i="9"/>
  <c r="G1288" i="9" s="1"/>
  <c r="F1171" i="31" s="1"/>
  <c r="E1289" i="9"/>
  <c r="G1289" i="9" s="1"/>
  <c r="E1290" i="9"/>
  <c r="G1290" i="9" s="1"/>
  <c r="F1172" i="31" s="1"/>
  <c r="E1291" i="9"/>
  <c r="G1291" i="9" s="1"/>
  <c r="F1173" i="31" s="1"/>
  <c r="E1292" i="9"/>
  <c r="G1292" i="9" s="1"/>
  <c r="F1174" i="31" s="1"/>
  <c r="E1293" i="9"/>
  <c r="G1293" i="9" s="1"/>
  <c r="F1175" i="31" s="1"/>
  <c r="E1294" i="9"/>
  <c r="G1294" i="9" s="1"/>
  <c r="F1176" i="31" s="1"/>
  <c r="E1295" i="9"/>
  <c r="G1295" i="9" s="1"/>
  <c r="F1177" i="31" s="1"/>
  <c r="E1296" i="9"/>
  <c r="G1296" i="9" s="1"/>
  <c r="F1178" i="31" s="1"/>
  <c r="E1297" i="9"/>
  <c r="G1297" i="9" s="1"/>
  <c r="F1179" i="31" s="1"/>
  <c r="E1298" i="9"/>
  <c r="G1298" i="9" s="1"/>
  <c r="F1180" i="31" s="1"/>
  <c r="E1299" i="9"/>
  <c r="G1299" i="9" s="1"/>
  <c r="F1181" i="31" s="1"/>
  <c r="E1300" i="9"/>
  <c r="G1300" i="9" s="1"/>
  <c r="E1301" i="9"/>
  <c r="G1301" i="9" s="1"/>
  <c r="F1182" i="31" s="1"/>
  <c r="E1302" i="9"/>
  <c r="G1302" i="9" s="1"/>
  <c r="F1183" i="31" s="1"/>
  <c r="E1303" i="9"/>
  <c r="G1303" i="9" s="1"/>
  <c r="F1184" i="31" s="1"/>
  <c r="E1304" i="9"/>
  <c r="G1304" i="9" s="1"/>
  <c r="F1185" i="31" s="1"/>
  <c r="E1305" i="9"/>
  <c r="G1305" i="9" s="1"/>
  <c r="F1186" i="31" s="1"/>
  <c r="E1306" i="9"/>
  <c r="G1306" i="9" s="1"/>
  <c r="F1187" i="31" s="1"/>
  <c r="E1307" i="9"/>
  <c r="G1307" i="9" s="1"/>
  <c r="F1188" i="31" s="1"/>
  <c r="E1308" i="9"/>
  <c r="G1308" i="9" s="1"/>
  <c r="F1189" i="31" s="1"/>
  <c r="E1309" i="9"/>
  <c r="G1309" i="9" s="1"/>
  <c r="F1190" i="31" s="1"/>
  <c r="E1310" i="9"/>
  <c r="G1310" i="9" s="1"/>
  <c r="F1191" i="31" s="1"/>
  <c r="E1311" i="9"/>
  <c r="G1311" i="9" s="1"/>
  <c r="E1312" i="9"/>
  <c r="G1312" i="9" s="1"/>
  <c r="F1192" i="31" s="1"/>
  <c r="E1313" i="9"/>
  <c r="G1313" i="9" s="1"/>
  <c r="F1193" i="31" s="1"/>
  <c r="E1314" i="9"/>
  <c r="G1314" i="9" s="1"/>
  <c r="F1194" i="31" s="1"/>
  <c r="E1315" i="9"/>
  <c r="G1315" i="9" s="1"/>
  <c r="F1195" i="31" s="1"/>
  <c r="E1316" i="9"/>
  <c r="G1316" i="9" s="1"/>
  <c r="F1196" i="31" s="1"/>
  <c r="E1317" i="9"/>
  <c r="G1317" i="9" s="1"/>
  <c r="F1197" i="31" s="1"/>
  <c r="E1318" i="9"/>
  <c r="G1318" i="9" s="1"/>
  <c r="F1198" i="31" s="1"/>
  <c r="E1319" i="9"/>
  <c r="G1319" i="9" s="1"/>
  <c r="F1199" i="31" s="1"/>
  <c r="E1320" i="9"/>
  <c r="G1320" i="9" s="1"/>
  <c r="F1200" i="31" s="1"/>
  <c r="E1321" i="9"/>
  <c r="G1321" i="9" s="1"/>
  <c r="F1201" i="31" s="1"/>
  <c r="E1322" i="9"/>
  <c r="G1322" i="9" s="1"/>
  <c r="E1323" i="9"/>
  <c r="G1323" i="9" s="1"/>
  <c r="F1202" i="31" s="1"/>
  <c r="E1324" i="9"/>
  <c r="G1324" i="9" s="1"/>
  <c r="F1203" i="31" s="1"/>
  <c r="E1325" i="9"/>
  <c r="G1325" i="9" s="1"/>
  <c r="F1204" i="31" s="1"/>
  <c r="E1326" i="9"/>
  <c r="G1326" i="9" s="1"/>
  <c r="F1205" i="31" s="1"/>
  <c r="E1327" i="9"/>
  <c r="G1327" i="9" s="1"/>
  <c r="F1206" i="31" s="1"/>
  <c r="E1328" i="9"/>
  <c r="G1328" i="9" s="1"/>
  <c r="F1207" i="31" s="1"/>
  <c r="E1329" i="9"/>
  <c r="G1329" i="9" s="1"/>
  <c r="F1208" i="31" s="1"/>
  <c r="E1330" i="9"/>
  <c r="G1330" i="9" s="1"/>
  <c r="F1209" i="31" s="1"/>
  <c r="E1331" i="9"/>
  <c r="G1331" i="9" s="1"/>
  <c r="F1210" i="31" s="1"/>
  <c r="E1332" i="9"/>
  <c r="G1332" i="9" s="1"/>
  <c r="F1211" i="31" s="1"/>
  <c r="E1333" i="9"/>
  <c r="G1333" i="9" s="1"/>
  <c r="E1334" i="9"/>
  <c r="G1334" i="9" s="1"/>
  <c r="F1212" i="31" s="1"/>
  <c r="E1335" i="9"/>
  <c r="G1335" i="9" s="1"/>
  <c r="F1213" i="31" s="1"/>
  <c r="E1336" i="9"/>
  <c r="G1336" i="9" s="1"/>
  <c r="F1214" i="31" s="1"/>
  <c r="E1337" i="9"/>
  <c r="G1337" i="9" s="1"/>
  <c r="F1215" i="31" s="1"/>
  <c r="E1338" i="9"/>
  <c r="G1338" i="9" s="1"/>
  <c r="F1216" i="31" s="1"/>
  <c r="E1339" i="9"/>
  <c r="G1339" i="9" s="1"/>
  <c r="F1217" i="31" s="1"/>
  <c r="E1340" i="9"/>
  <c r="G1340" i="9" s="1"/>
  <c r="F1218" i="31" s="1"/>
  <c r="E1341" i="9"/>
  <c r="G1341" i="9" s="1"/>
  <c r="F1219" i="31" s="1"/>
  <c r="E1342" i="9"/>
  <c r="G1342" i="9" s="1"/>
  <c r="F1220" i="31" s="1"/>
  <c r="E1343" i="9"/>
  <c r="G1343" i="9" s="1"/>
  <c r="F1221" i="31" s="1"/>
  <c r="E1344" i="9"/>
  <c r="G1344" i="9" s="1"/>
  <c r="E1345" i="9"/>
  <c r="G1345" i="9" s="1"/>
  <c r="F1222" i="31" s="1"/>
  <c r="E1346" i="9"/>
  <c r="G1346" i="9" s="1"/>
  <c r="F1223" i="31" s="1"/>
  <c r="E1347" i="9"/>
  <c r="G1347" i="9" s="1"/>
  <c r="F1224" i="31" s="1"/>
  <c r="E1348" i="9"/>
  <c r="G1348" i="9" s="1"/>
  <c r="F1225" i="31" s="1"/>
  <c r="E1349" i="9"/>
  <c r="G1349" i="9" s="1"/>
  <c r="F1226" i="31" s="1"/>
  <c r="E1350" i="9"/>
  <c r="G1350" i="9" s="1"/>
  <c r="F1227" i="31" s="1"/>
  <c r="E1351" i="9"/>
  <c r="G1351" i="9" s="1"/>
  <c r="F1228" i="31" s="1"/>
  <c r="E1352" i="9"/>
  <c r="G1352" i="9" s="1"/>
  <c r="F1229" i="31" s="1"/>
  <c r="E1353" i="9"/>
  <c r="G1353" i="9" s="1"/>
  <c r="F1230" i="31" s="1"/>
  <c r="E1354" i="9"/>
  <c r="G1354" i="9" s="1"/>
  <c r="F1231" i="31" s="1"/>
  <c r="E1355" i="9"/>
  <c r="G1355" i="9" s="1"/>
  <c r="E1356" i="9"/>
  <c r="G1356" i="9" s="1"/>
  <c r="F1232" i="31" s="1"/>
  <c r="E1357" i="9"/>
  <c r="G1357" i="9" s="1"/>
  <c r="F1233" i="31" s="1"/>
  <c r="E1358" i="9"/>
  <c r="G1358" i="9" s="1"/>
  <c r="F1234" i="31" s="1"/>
  <c r="E1359" i="9"/>
  <c r="G1359" i="9" s="1"/>
  <c r="F1235" i="31" s="1"/>
  <c r="E1360" i="9"/>
  <c r="G1360" i="9" s="1"/>
  <c r="F1236" i="31" s="1"/>
  <c r="E1361" i="9"/>
  <c r="G1361" i="9" s="1"/>
  <c r="F1237" i="31" s="1"/>
  <c r="E1362" i="9"/>
  <c r="G1362" i="9" s="1"/>
  <c r="F1238" i="31" s="1"/>
  <c r="E1363" i="9"/>
  <c r="G1363" i="9" s="1"/>
  <c r="F1239" i="31" s="1"/>
  <c r="E1364" i="9"/>
  <c r="G1364" i="9" s="1"/>
  <c r="F1240" i="31" s="1"/>
  <c r="E1365" i="9"/>
  <c r="G1365" i="9" s="1"/>
  <c r="F1241" i="31" s="1"/>
  <c r="E1366" i="9"/>
  <c r="G1366" i="9" s="1"/>
  <c r="E1367" i="9"/>
  <c r="G1367" i="9" s="1"/>
  <c r="F1242" i="31" s="1"/>
  <c r="E1368" i="9"/>
  <c r="G1368" i="9" s="1"/>
  <c r="F1243" i="31" s="1"/>
  <c r="E1369" i="9"/>
  <c r="G1369" i="9" s="1"/>
  <c r="F1244" i="31" s="1"/>
  <c r="E1370" i="9"/>
  <c r="G1370" i="9" s="1"/>
  <c r="F1245" i="31" s="1"/>
  <c r="E1371" i="9"/>
  <c r="G1371" i="9" s="1"/>
  <c r="F1246" i="31" s="1"/>
  <c r="E1372" i="9"/>
  <c r="G1372" i="9" s="1"/>
  <c r="F1247" i="31" s="1"/>
  <c r="E1373" i="9"/>
  <c r="G1373" i="9" s="1"/>
  <c r="F1248" i="31" s="1"/>
  <c r="E1374" i="9"/>
  <c r="G1374" i="9" s="1"/>
  <c r="F1249" i="31" s="1"/>
  <c r="E1375" i="9"/>
  <c r="G1375" i="9" s="1"/>
  <c r="F1250" i="31" s="1"/>
  <c r="E1376" i="9"/>
  <c r="G1376" i="9" s="1"/>
  <c r="F1251" i="31" s="1"/>
  <c r="E1377" i="9"/>
  <c r="G1377" i="9" s="1"/>
  <c r="E1378" i="9"/>
  <c r="G1378" i="9" s="1"/>
  <c r="F1252" i="31" s="1"/>
  <c r="E1379" i="9"/>
  <c r="G1379" i="9" s="1"/>
  <c r="F1253" i="31" s="1"/>
  <c r="E1380" i="9"/>
  <c r="G1380" i="9" s="1"/>
  <c r="F1254" i="31" s="1"/>
  <c r="E1381" i="9"/>
  <c r="G1381" i="9" s="1"/>
  <c r="F1255" i="31" s="1"/>
  <c r="E1382" i="9"/>
  <c r="G1382" i="9" s="1"/>
  <c r="F1256" i="31" s="1"/>
  <c r="E1383" i="9"/>
  <c r="G1383" i="9" s="1"/>
  <c r="F1257" i="31" s="1"/>
  <c r="E1384" i="9"/>
  <c r="G1384" i="9" s="1"/>
  <c r="F1258" i="31" s="1"/>
  <c r="E1385" i="9"/>
  <c r="G1385" i="9" s="1"/>
  <c r="F1259" i="31" s="1"/>
  <c r="E1386" i="9"/>
  <c r="G1386" i="9" s="1"/>
  <c r="F1260" i="31" s="1"/>
  <c r="E1387" i="9"/>
  <c r="G1387" i="9" s="1"/>
  <c r="F1261" i="31" s="1"/>
  <c r="E1388" i="9"/>
  <c r="G1388" i="9" s="1"/>
  <c r="E1389" i="9"/>
  <c r="G1389" i="9" s="1"/>
  <c r="F1262" i="31" s="1"/>
  <c r="E1390" i="9"/>
  <c r="G1390" i="9" s="1"/>
  <c r="F1263" i="31" s="1"/>
  <c r="E1391" i="9"/>
  <c r="G1391" i="9" s="1"/>
  <c r="F1264" i="31" s="1"/>
  <c r="E1392" i="9"/>
  <c r="G1392" i="9" s="1"/>
  <c r="F1265" i="31" s="1"/>
  <c r="E1393" i="9"/>
  <c r="G1393" i="9" s="1"/>
  <c r="F1266" i="31" s="1"/>
  <c r="E1394" i="9"/>
  <c r="G1394" i="9" s="1"/>
  <c r="F1267" i="31" s="1"/>
  <c r="E1395" i="9"/>
  <c r="G1395" i="9" s="1"/>
  <c r="F1268" i="31" s="1"/>
  <c r="E1396" i="9"/>
  <c r="G1396" i="9" s="1"/>
  <c r="F1269" i="31" s="1"/>
  <c r="E1397" i="9"/>
  <c r="G1397" i="9" s="1"/>
  <c r="F1270" i="31" s="1"/>
  <c r="E1398" i="9"/>
  <c r="G1398" i="9" s="1"/>
  <c r="F1271" i="31" s="1"/>
  <c r="E1399" i="9"/>
  <c r="G1399" i="9" s="1"/>
  <c r="E1400" i="9"/>
  <c r="G1400" i="9" s="1"/>
  <c r="F1272" i="31" s="1"/>
  <c r="E1401" i="9"/>
  <c r="G1401" i="9" s="1"/>
  <c r="F1273" i="31" s="1"/>
  <c r="E1402" i="9"/>
  <c r="G1402" i="9" s="1"/>
  <c r="F1274" i="31" s="1"/>
  <c r="E1403" i="9"/>
  <c r="G1403" i="9" s="1"/>
  <c r="F1275" i="31" s="1"/>
  <c r="E1404" i="9"/>
  <c r="G1404" i="9" s="1"/>
  <c r="F1276" i="31" s="1"/>
  <c r="E1405" i="9"/>
  <c r="G1405" i="9" s="1"/>
  <c r="F1277" i="31" s="1"/>
  <c r="E1406" i="9"/>
  <c r="G1406" i="9" s="1"/>
  <c r="F1278" i="31" s="1"/>
  <c r="E1407" i="9"/>
  <c r="G1407" i="9" s="1"/>
  <c r="F1279" i="31" s="1"/>
  <c r="E1408" i="9"/>
  <c r="G1408" i="9" s="1"/>
  <c r="F1280" i="31" s="1"/>
  <c r="E1409" i="9"/>
  <c r="G1409" i="9" s="1"/>
  <c r="F1281" i="31" s="1"/>
  <c r="E1410" i="9"/>
  <c r="G1410" i="9" s="1"/>
  <c r="E1411" i="9"/>
  <c r="G1411" i="9" s="1"/>
  <c r="F1282" i="31" s="1"/>
  <c r="E1412" i="9"/>
  <c r="G1412" i="9" s="1"/>
  <c r="F1283" i="31" s="1"/>
  <c r="E1413" i="9"/>
  <c r="G1413" i="9" s="1"/>
  <c r="F1284" i="31" s="1"/>
  <c r="E1414" i="9"/>
  <c r="G1414" i="9" s="1"/>
  <c r="F1285" i="31" s="1"/>
  <c r="E1415" i="9"/>
  <c r="G1415" i="9" s="1"/>
  <c r="F1286" i="31" s="1"/>
  <c r="E1416" i="9"/>
  <c r="G1416" i="9" s="1"/>
  <c r="F1287" i="31" s="1"/>
  <c r="E1417" i="9"/>
  <c r="G1417" i="9" s="1"/>
  <c r="F1288" i="31" s="1"/>
  <c r="E1418" i="9"/>
  <c r="G1418" i="9" s="1"/>
  <c r="F1289" i="31" s="1"/>
  <c r="E1419" i="9"/>
  <c r="G1419" i="9" s="1"/>
  <c r="F1290" i="31" s="1"/>
  <c r="E1420" i="9"/>
  <c r="G1420" i="9" s="1"/>
  <c r="F1291" i="31" s="1"/>
  <c r="E1421" i="9"/>
  <c r="G1421" i="9" s="1"/>
  <c r="E1422" i="9"/>
  <c r="G1422" i="9" s="1"/>
  <c r="F1292" i="31" s="1"/>
  <c r="E1423" i="9"/>
  <c r="G1423" i="9" s="1"/>
  <c r="F1293" i="31" s="1"/>
  <c r="E1424" i="9"/>
  <c r="G1424" i="9" s="1"/>
  <c r="F1294" i="31" s="1"/>
  <c r="E1425" i="9"/>
  <c r="G1425" i="9" s="1"/>
  <c r="F1295" i="31" s="1"/>
  <c r="E1426" i="9"/>
  <c r="G1426" i="9" s="1"/>
  <c r="F1296" i="31" s="1"/>
  <c r="E1427" i="9"/>
  <c r="G1427" i="9" s="1"/>
  <c r="F1297" i="31" s="1"/>
  <c r="E1428" i="9"/>
  <c r="G1428" i="9" s="1"/>
  <c r="F1298" i="31" s="1"/>
  <c r="E1429" i="9"/>
  <c r="G1429" i="9" s="1"/>
  <c r="F1299" i="31" s="1"/>
  <c r="E1430" i="9"/>
  <c r="G1430" i="9" s="1"/>
  <c r="F1300" i="31" s="1"/>
  <c r="E1431" i="9"/>
  <c r="G1431" i="9" s="1"/>
  <c r="F1301" i="31" s="1"/>
  <c r="E1432" i="9"/>
  <c r="G1432" i="9" s="1"/>
  <c r="E1433" i="9"/>
  <c r="G1433" i="9" s="1"/>
  <c r="F1302" i="31" s="1"/>
  <c r="E1434" i="9"/>
  <c r="G1434" i="9" s="1"/>
  <c r="F1303" i="31" s="1"/>
  <c r="E1435" i="9"/>
  <c r="G1435" i="9" s="1"/>
  <c r="F1304" i="31" s="1"/>
  <c r="E1436" i="9"/>
  <c r="G1436" i="9" s="1"/>
  <c r="F1305" i="31" s="1"/>
  <c r="E1437" i="9"/>
  <c r="G1437" i="9" s="1"/>
  <c r="F1306" i="31" s="1"/>
  <c r="E1438" i="9"/>
  <c r="G1438" i="9" s="1"/>
  <c r="F1307" i="31" s="1"/>
  <c r="E1439" i="9"/>
  <c r="G1439" i="9" s="1"/>
  <c r="F1308" i="31" s="1"/>
  <c r="E1440" i="9"/>
  <c r="G1440" i="9" s="1"/>
  <c r="F1309" i="31" s="1"/>
  <c r="E1441" i="9"/>
  <c r="G1441" i="9" s="1"/>
  <c r="F1310" i="31" s="1"/>
  <c r="E1442" i="9"/>
  <c r="G1442" i="9" s="1"/>
  <c r="F1311" i="31" s="1"/>
  <c r="E1443" i="9"/>
  <c r="G1443" i="9" s="1"/>
  <c r="E1444" i="9"/>
  <c r="G1444" i="9" s="1"/>
  <c r="F1312" i="31" s="1"/>
  <c r="E1445" i="9"/>
  <c r="G1445" i="9" s="1"/>
  <c r="F1313" i="31" s="1"/>
  <c r="E1446" i="9"/>
  <c r="G1446" i="9" s="1"/>
  <c r="F1314" i="31" s="1"/>
  <c r="E1447" i="9"/>
  <c r="G1447" i="9" s="1"/>
  <c r="F1315" i="31" s="1"/>
  <c r="E1448" i="9"/>
  <c r="G1448" i="9" s="1"/>
  <c r="F1316" i="31" s="1"/>
  <c r="E1449" i="9"/>
  <c r="G1449" i="9" s="1"/>
  <c r="F1317" i="31" s="1"/>
  <c r="E1450" i="9"/>
  <c r="G1450" i="9" s="1"/>
  <c r="F1318" i="31" s="1"/>
  <c r="E1451" i="9"/>
  <c r="G1451" i="9" s="1"/>
  <c r="F1319" i="31" s="1"/>
  <c r="E1452" i="9"/>
  <c r="G1452" i="9" s="1"/>
  <c r="F1320" i="31" s="1"/>
  <c r="E1453" i="9"/>
  <c r="G1453" i="9" s="1"/>
  <c r="F1321" i="31" s="1"/>
  <c r="E1454" i="9"/>
  <c r="G1454" i="9" s="1"/>
  <c r="E1455" i="9"/>
  <c r="G1455" i="9" s="1"/>
  <c r="F1322" i="31" s="1"/>
  <c r="E1456" i="9"/>
  <c r="G1456" i="9" s="1"/>
  <c r="F1323" i="31" s="1"/>
  <c r="E1457" i="9"/>
  <c r="G1457" i="9" s="1"/>
  <c r="F1324" i="31" s="1"/>
  <c r="E1458" i="9"/>
  <c r="G1458" i="9" s="1"/>
  <c r="F1325" i="31" s="1"/>
  <c r="E1459" i="9"/>
  <c r="G1459" i="9" s="1"/>
  <c r="F1326" i="31" s="1"/>
  <c r="E1460" i="9"/>
  <c r="G1460" i="9" s="1"/>
  <c r="F1327" i="31" s="1"/>
  <c r="E1461" i="9"/>
  <c r="G1461" i="9" s="1"/>
  <c r="F1328" i="31" s="1"/>
  <c r="E1462" i="9"/>
  <c r="G1462" i="9" s="1"/>
  <c r="F1329" i="31" s="1"/>
  <c r="E1463" i="9"/>
  <c r="G1463" i="9" s="1"/>
  <c r="F1330" i="31" s="1"/>
  <c r="E1464" i="9"/>
  <c r="G1464" i="9" s="1"/>
  <c r="F1331" i="31" s="1"/>
  <c r="E1465" i="9"/>
  <c r="G1465" i="9" s="1"/>
  <c r="E1466" i="9"/>
  <c r="G1466" i="9" s="1"/>
  <c r="F1332" i="31" s="1"/>
  <c r="E1467" i="9"/>
  <c r="G1467" i="9" s="1"/>
  <c r="F1333" i="31" s="1"/>
  <c r="E1468" i="9"/>
  <c r="G1468" i="9" s="1"/>
  <c r="F1334" i="31" s="1"/>
  <c r="E1469" i="9"/>
  <c r="G1469" i="9" s="1"/>
  <c r="F1335" i="31" s="1"/>
  <c r="E1470" i="9"/>
  <c r="G1470" i="9" s="1"/>
  <c r="F1336" i="31" s="1"/>
  <c r="E1471" i="9"/>
  <c r="G1471" i="9" s="1"/>
  <c r="F1337" i="31" s="1"/>
  <c r="E1472" i="9"/>
  <c r="G1472" i="9" s="1"/>
  <c r="F1338" i="31" s="1"/>
  <c r="E1473" i="9"/>
  <c r="G1473" i="9" s="1"/>
  <c r="F1339" i="31" s="1"/>
  <c r="E1474" i="9"/>
  <c r="G1474" i="9" s="1"/>
  <c r="F1340" i="31" s="1"/>
  <c r="E1475" i="9"/>
  <c r="G1475" i="9" s="1"/>
  <c r="F1341" i="31" s="1"/>
  <c r="E1476" i="9"/>
  <c r="G1476" i="9" s="1"/>
  <c r="E1477" i="9"/>
  <c r="G1477" i="9" s="1"/>
  <c r="F1342" i="31" s="1"/>
  <c r="E1478" i="9"/>
  <c r="G1478" i="9" s="1"/>
  <c r="F1343" i="31" s="1"/>
  <c r="E1479" i="9"/>
  <c r="G1479" i="9" s="1"/>
  <c r="F1344" i="31" s="1"/>
  <c r="E1480" i="9"/>
  <c r="G1480" i="9" s="1"/>
  <c r="F1345" i="31" s="1"/>
  <c r="E1481" i="9"/>
  <c r="G1481" i="9" s="1"/>
  <c r="F1346" i="31" s="1"/>
  <c r="E1482" i="9"/>
  <c r="G1482" i="9" s="1"/>
  <c r="F1347" i="31" s="1"/>
  <c r="E1483" i="9"/>
  <c r="G1483" i="9" s="1"/>
  <c r="F1348" i="31" s="1"/>
  <c r="E1484" i="9"/>
  <c r="G1484" i="9" s="1"/>
  <c r="F1349" i="31" s="1"/>
  <c r="E1485" i="9"/>
  <c r="G1485" i="9" s="1"/>
  <c r="F1350" i="31" s="1"/>
  <c r="E1486" i="9"/>
  <c r="G1486" i="9" s="1"/>
  <c r="F1351" i="31" s="1"/>
  <c r="E1487" i="9"/>
  <c r="G1487" i="9" s="1"/>
  <c r="E1488" i="9"/>
  <c r="G1488" i="9" s="1"/>
  <c r="F1352" i="31" s="1"/>
  <c r="E1489" i="9"/>
  <c r="G1489" i="9" s="1"/>
  <c r="F1353" i="31" s="1"/>
  <c r="E1490" i="9"/>
  <c r="G1490" i="9" s="1"/>
  <c r="F1354" i="31" s="1"/>
  <c r="E1491" i="9"/>
  <c r="G1491" i="9" s="1"/>
  <c r="F1355" i="31" s="1"/>
  <c r="E1492" i="9"/>
  <c r="G1492" i="9" s="1"/>
  <c r="F1356" i="31" s="1"/>
  <c r="E1493" i="9"/>
  <c r="G1493" i="9" s="1"/>
  <c r="F1357" i="31" s="1"/>
  <c r="E1494" i="9"/>
  <c r="G1494" i="9" s="1"/>
  <c r="F1358" i="31" s="1"/>
  <c r="E1495" i="9"/>
  <c r="G1495" i="9" s="1"/>
  <c r="F1359" i="31" s="1"/>
  <c r="E1496" i="9"/>
  <c r="G1496" i="9" s="1"/>
  <c r="F1360" i="31" s="1"/>
  <c r="E1497" i="9"/>
  <c r="G1497" i="9" s="1"/>
  <c r="F1361" i="31" s="1"/>
  <c r="E1498" i="9"/>
  <c r="G1498" i="9" s="1"/>
  <c r="E1499" i="9"/>
  <c r="G1499" i="9" s="1"/>
  <c r="F1362" i="31" s="1"/>
  <c r="E1500" i="9"/>
  <c r="G1500" i="9" s="1"/>
  <c r="F1363" i="31" s="1"/>
  <c r="E1501" i="9"/>
  <c r="G1501" i="9" s="1"/>
  <c r="F1364" i="31" s="1"/>
  <c r="E1502" i="9"/>
  <c r="G1502" i="9" s="1"/>
  <c r="F1365" i="31" s="1"/>
  <c r="E1503" i="9"/>
  <c r="G1503" i="9" s="1"/>
  <c r="F1366" i="31" s="1"/>
  <c r="E1504" i="9"/>
  <c r="G1504" i="9" s="1"/>
  <c r="F1367" i="31" s="1"/>
  <c r="E1505" i="9"/>
  <c r="G1505" i="9" s="1"/>
  <c r="F1368" i="31" s="1"/>
  <c r="E1506" i="9"/>
  <c r="G1506" i="9" s="1"/>
  <c r="F1369" i="31" s="1"/>
  <c r="E1507" i="9"/>
  <c r="G1507" i="9" s="1"/>
  <c r="F1370" i="31" s="1"/>
  <c r="E1508" i="9"/>
  <c r="G1508" i="9" s="1"/>
  <c r="F1371" i="31" s="1"/>
  <c r="E1509" i="9"/>
  <c r="G1509" i="9" s="1"/>
  <c r="E1510" i="9"/>
  <c r="G1510" i="9" s="1"/>
  <c r="F1372" i="31" s="1"/>
  <c r="E1511" i="9"/>
  <c r="G1511" i="9" s="1"/>
  <c r="F1373" i="31" s="1"/>
  <c r="E1512" i="9"/>
  <c r="G1512" i="9" s="1"/>
  <c r="F1374" i="31" s="1"/>
  <c r="E1513" i="9"/>
  <c r="G1513" i="9" s="1"/>
  <c r="F1375" i="31" s="1"/>
  <c r="E1514" i="9"/>
  <c r="G1514" i="9" s="1"/>
  <c r="F1376" i="31" s="1"/>
  <c r="E1515" i="9"/>
  <c r="G1515" i="9" s="1"/>
  <c r="F1377" i="31" s="1"/>
  <c r="E1516" i="9"/>
  <c r="G1516" i="9" s="1"/>
  <c r="F1378" i="31" s="1"/>
  <c r="E1517" i="9"/>
  <c r="G1517" i="9" s="1"/>
  <c r="F1379" i="31" s="1"/>
  <c r="E1518" i="9"/>
  <c r="G1518" i="9" s="1"/>
  <c r="F1380" i="31" s="1"/>
  <c r="E1519" i="9"/>
  <c r="G1519" i="9" s="1"/>
  <c r="F1381" i="31" s="1"/>
  <c r="E1520" i="9"/>
  <c r="G1520" i="9" s="1"/>
  <c r="E1521" i="9"/>
  <c r="G1521" i="9" s="1"/>
  <c r="F1382" i="31" s="1"/>
  <c r="E1522" i="9"/>
  <c r="G1522" i="9" s="1"/>
  <c r="F1383" i="31" s="1"/>
  <c r="E1523" i="9"/>
  <c r="G1523" i="9" s="1"/>
  <c r="F1384" i="31" s="1"/>
  <c r="E1524" i="9"/>
  <c r="G1524" i="9" s="1"/>
  <c r="F1385" i="31" s="1"/>
  <c r="E1525" i="9"/>
  <c r="G1525" i="9" s="1"/>
  <c r="F1386" i="31" s="1"/>
  <c r="E1526" i="9"/>
  <c r="G1526" i="9" s="1"/>
  <c r="F1387" i="31" s="1"/>
  <c r="E1527" i="9"/>
  <c r="G1527" i="9" s="1"/>
  <c r="F1388" i="31" s="1"/>
  <c r="E1528" i="9"/>
  <c r="G1528" i="9" s="1"/>
  <c r="F1389" i="31" s="1"/>
  <c r="E1529" i="9"/>
  <c r="G1529" i="9" s="1"/>
  <c r="F1390" i="31" s="1"/>
  <c r="E1530" i="9"/>
  <c r="G1530" i="9" s="1"/>
  <c r="F1391" i="31" s="1"/>
  <c r="E1531" i="9"/>
  <c r="G1531" i="9" s="1"/>
  <c r="E1532" i="9"/>
  <c r="G1532" i="9" s="1"/>
  <c r="F1392" i="31" s="1"/>
  <c r="E1533" i="9"/>
  <c r="G1533" i="9" s="1"/>
  <c r="F1393" i="31" s="1"/>
  <c r="E1534" i="9"/>
  <c r="G1534" i="9" s="1"/>
  <c r="F1394" i="31" s="1"/>
  <c r="E1535" i="9"/>
  <c r="G1535" i="9" s="1"/>
  <c r="F1395" i="31" s="1"/>
  <c r="E1536" i="9"/>
  <c r="G1536" i="9" s="1"/>
  <c r="F1396" i="31" s="1"/>
  <c r="E1537" i="9"/>
  <c r="G1537" i="9" s="1"/>
  <c r="F1397" i="31" s="1"/>
  <c r="E1538" i="9"/>
  <c r="G1538" i="9" s="1"/>
  <c r="F1398" i="31" s="1"/>
  <c r="E1539" i="9"/>
  <c r="G1539" i="9" s="1"/>
  <c r="F1399" i="31" s="1"/>
  <c r="E1540" i="9"/>
  <c r="G1540" i="9" s="1"/>
  <c r="F1400" i="31" s="1"/>
  <c r="E1541" i="9"/>
  <c r="G1541" i="9" s="1"/>
  <c r="F1401" i="31" s="1"/>
  <c r="E1542" i="9"/>
  <c r="G1542" i="9" s="1"/>
  <c r="E1543" i="9"/>
  <c r="G1543" i="9" s="1"/>
  <c r="F1402" i="31" s="1"/>
  <c r="E1544" i="9"/>
  <c r="G1544" i="9" s="1"/>
  <c r="F1403" i="31" s="1"/>
  <c r="E1545" i="9"/>
  <c r="G1545" i="9" s="1"/>
  <c r="F1404" i="31" s="1"/>
  <c r="E1546" i="9"/>
  <c r="G1546" i="9" s="1"/>
  <c r="F1405" i="31" s="1"/>
  <c r="E1547" i="9"/>
  <c r="G1547" i="9" s="1"/>
  <c r="F1406" i="31" s="1"/>
  <c r="E1548" i="9"/>
  <c r="G1548" i="9" s="1"/>
  <c r="F1407" i="31" s="1"/>
  <c r="E1549" i="9"/>
  <c r="G1549" i="9" s="1"/>
  <c r="F1408" i="31" s="1"/>
  <c r="E1550" i="9"/>
  <c r="G1550" i="9" s="1"/>
  <c r="F1409" i="31" s="1"/>
  <c r="E1551" i="9"/>
  <c r="G1551" i="9" s="1"/>
  <c r="F1410" i="31" s="1"/>
  <c r="E1552" i="9"/>
  <c r="G1552" i="9" s="1"/>
  <c r="F1411" i="31" s="1"/>
  <c r="E1553" i="9"/>
  <c r="G1553" i="9" s="1"/>
  <c r="E1554" i="9"/>
  <c r="G1554" i="9" s="1"/>
  <c r="F1412" i="31" s="1"/>
  <c r="E1555" i="9"/>
  <c r="G1555" i="9" s="1"/>
  <c r="F1413" i="31" s="1"/>
  <c r="E1556" i="9"/>
  <c r="G1556" i="9" s="1"/>
  <c r="F1414" i="31" s="1"/>
  <c r="E1557" i="9"/>
  <c r="G1557" i="9" s="1"/>
  <c r="F1415" i="31" s="1"/>
  <c r="E1558" i="9"/>
  <c r="G1558" i="9" s="1"/>
  <c r="F1416" i="31" s="1"/>
  <c r="E1559" i="9"/>
  <c r="G1559" i="9" s="1"/>
  <c r="F1417" i="31" s="1"/>
  <c r="E1560" i="9"/>
  <c r="G1560" i="9" s="1"/>
  <c r="F1418" i="31" s="1"/>
  <c r="E1561" i="9"/>
  <c r="G1561" i="9" s="1"/>
  <c r="F1419" i="31" s="1"/>
  <c r="E1562" i="9"/>
  <c r="G1562" i="9" s="1"/>
  <c r="F1420" i="31" s="1"/>
  <c r="E1563" i="9"/>
  <c r="G1563" i="9" s="1"/>
  <c r="F1421" i="31" s="1"/>
  <c r="E1564" i="9"/>
  <c r="G1564" i="9" s="1"/>
  <c r="E1565" i="9"/>
  <c r="G1565" i="9" s="1"/>
  <c r="F1422" i="31" s="1"/>
  <c r="E1566" i="9"/>
  <c r="G1566" i="9" s="1"/>
  <c r="F1423" i="31" s="1"/>
  <c r="E1567" i="9"/>
  <c r="G1567" i="9" s="1"/>
  <c r="F1424" i="31" s="1"/>
  <c r="E1568" i="9"/>
  <c r="G1568" i="9" s="1"/>
  <c r="F1425" i="31" s="1"/>
  <c r="E1569" i="9"/>
  <c r="G1569" i="9" s="1"/>
  <c r="F1426" i="31" s="1"/>
  <c r="E1570" i="9"/>
  <c r="G1570" i="9" s="1"/>
  <c r="F1427" i="31" s="1"/>
  <c r="E1571" i="9"/>
  <c r="G1571" i="9" s="1"/>
  <c r="F1428" i="31" s="1"/>
  <c r="E1572" i="9"/>
  <c r="G1572" i="9" s="1"/>
  <c r="F1429" i="31" s="1"/>
  <c r="E1573" i="9"/>
  <c r="G1573" i="9" s="1"/>
  <c r="F1430" i="31" s="1"/>
  <c r="E1574" i="9"/>
  <c r="G1574" i="9" s="1"/>
  <c r="F1431" i="31" s="1"/>
  <c r="E1575" i="9"/>
  <c r="G1575" i="9" s="1"/>
  <c r="E1576" i="9"/>
  <c r="G1576" i="9" s="1"/>
  <c r="F1432" i="31" s="1"/>
  <c r="E1577" i="9"/>
  <c r="G1577" i="9" s="1"/>
  <c r="F1433" i="31" s="1"/>
  <c r="E1578" i="9"/>
  <c r="G1578" i="9" s="1"/>
  <c r="F1434" i="31" s="1"/>
  <c r="E1579" i="9"/>
  <c r="G1579" i="9" s="1"/>
  <c r="F1435" i="31" s="1"/>
  <c r="E1580" i="9"/>
  <c r="G1580" i="9" s="1"/>
  <c r="F1436" i="31" s="1"/>
  <c r="E1581" i="9"/>
  <c r="G1581" i="9" s="1"/>
  <c r="F1437" i="31" s="1"/>
  <c r="E1582" i="9"/>
  <c r="G1582" i="9" s="1"/>
  <c r="F1438" i="31" s="1"/>
  <c r="E1583" i="9"/>
  <c r="G1583" i="9" s="1"/>
  <c r="F1439" i="31" s="1"/>
  <c r="E1584" i="9"/>
  <c r="G1584" i="9" s="1"/>
  <c r="F1440" i="31" s="1"/>
  <c r="E1585" i="9"/>
  <c r="G1585" i="9" s="1"/>
  <c r="F1441" i="31" s="1"/>
  <c r="E1586" i="9"/>
  <c r="G1586" i="9" s="1"/>
  <c r="E1587" i="9"/>
  <c r="G1587" i="9" s="1"/>
  <c r="F1442" i="31" s="1"/>
  <c r="E1588" i="9"/>
  <c r="G1588" i="9" s="1"/>
  <c r="F1443" i="31" s="1"/>
  <c r="E1589" i="9"/>
  <c r="G1589" i="9" s="1"/>
  <c r="F1444" i="31" s="1"/>
  <c r="E1590" i="9"/>
  <c r="G1590" i="9" s="1"/>
  <c r="F1445" i="31" s="1"/>
  <c r="E1591" i="9"/>
  <c r="G1591" i="9" s="1"/>
  <c r="F1446" i="31" s="1"/>
  <c r="E1592" i="9"/>
  <c r="G1592" i="9" s="1"/>
  <c r="F1447" i="31" s="1"/>
  <c r="E1593" i="9"/>
  <c r="G1593" i="9" s="1"/>
  <c r="F1448" i="31" s="1"/>
  <c r="E1594" i="9"/>
  <c r="G1594" i="9" s="1"/>
  <c r="F1449" i="31" s="1"/>
  <c r="E1595" i="9"/>
  <c r="G1595" i="9" s="1"/>
  <c r="F1450" i="31" s="1"/>
  <c r="E1596" i="9"/>
  <c r="G1596" i="9" s="1"/>
  <c r="F1451" i="31" s="1"/>
  <c r="E1597" i="9"/>
  <c r="G1597" i="9" s="1"/>
  <c r="E1598" i="9"/>
  <c r="G1598" i="9" s="1"/>
  <c r="F1452" i="31" s="1"/>
  <c r="E1599" i="9"/>
  <c r="G1599" i="9" s="1"/>
  <c r="F1453" i="31" s="1"/>
  <c r="E1600" i="9"/>
  <c r="G1600" i="9" s="1"/>
  <c r="F1454" i="31" s="1"/>
  <c r="E1601" i="9"/>
  <c r="G1601" i="9" s="1"/>
  <c r="F1455" i="31" s="1"/>
  <c r="E1602" i="9"/>
  <c r="G1602" i="9" s="1"/>
  <c r="F1456" i="31" s="1"/>
  <c r="E1603" i="9"/>
  <c r="G1603" i="9" s="1"/>
  <c r="F1457" i="31" s="1"/>
  <c r="E1604" i="9"/>
  <c r="G1604" i="9" s="1"/>
  <c r="F1458" i="31" s="1"/>
  <c r="E1605" i="9"/>
  <c r="G1605" i="9" s="1"/>
  <c r="F1459" i="31" s="1"/>
  <c r="E1606" i="9"/>
  <c r="G1606" i="9" s="1"/>
  <c r="F1460" i="31" s="1"/>
  <c r="E1607" i="9"/>
  <c r="G1607" i="9" s="1"/>
  <c r="F1461" i="31" s="1"/>
  <c r="E1608" i="9"/>
  <c r="G1608" i="9" s="1"/>
  <c r="E1609" i="9"/>
  <c r="G1609" i="9" s="1"/>
  <c r="F1462" i="31" s="1"/>
  <c r="E1610" i="9"/>
  <c r="G1610" i="9" s="1"/>
  <c r="F1463" i="31" s="1"/>
  <c r="E1611" i="9"/>
  <c r="G1611" i="9" s="1"/>
  <c r="F1464" i="31" s="1"/>
  <c r="E1612" i="9"/>
  <c r="G1612" i="9" s="1"/>
  <c r="F1465" i="31" s="1"/>
  <c r="E1613" i="9"/>
  <c r="G1613" i="9" s="1"/>
  <c r="F1466" i="31" s="1"/>
  <c r="E1614" i="9"/>
  <c r="G1614" i="9" s="1"/>
  <c r="F1467" i="31" s="1"/>
  <c r="E1615" i="9"/>
  <c r="G1615" i="9" s="1"/>
  <c r="F1468" i="31" s="1"/>
  <c r="E1616" i="9"/>
  <c r="G1616" i="9" s="1"/>
  <c r="F1469" i="31" s="1"/>
  <c r="E1617" i="9"/>
  <c r="G1617" i="9" s="1"/>
  <c r="F1470" i="31" s="1"/>
  <c r="E1618" i="9"/>
  <c r="G1618" i="9" s="1"/>
  <c r="F1471" i="31" s="1"/>
  <c r="E1619" i="9"/>
  <c r="G1619" i="9" s="1"/>
  <c r="E1620" i="9"/>
  <c r="G1620" i="9" s="1"/>
  <c r="F1472" i="31" s="1"/>
  <c r="E1621" i="9"/>
  <c r="G1621" i="9" s="1"/>
  <c r="F1473" i="31" s="1"/>
  <c r="E1622" i="9"/>
  <c r="G1622" i="9" s="1"/>
  <c r="F1474" i="31" s="1"/>
  <c r="E1623" i="9"/>
  <c r="G1623" i="9" s="1"/>
  <c r="F1475" i="31" s="1"/>
  <c r="E1624" i="9"/>
  <c r="G1624" i="9" s="1"/>
  <c r="F1476" i="31" s="1"/>
  <c r="E1625" i="9"/>
  <c r="G1625" i="9" s="1"/>
  <c r="F1477" i="31" s="1"/>
  <c r="E1626" i="9"/>
  <c r="G1626" i="9" s="1"/>
  <c r="F1478" i="31" s="1"/>
  <c r="E1627" i="9"/>
  <c r="G1627" i="9" s="1"/>
  <c r="F1479" i="31" s="1"/>
  <c r="E1628" i="9"/>
  <c r="G1628" i="9" s="1"/>
  <c r="F1480" i="31" s="1"/>
  <c r="E1629" i="9"/>
  <c r="G1629" i="9" s="1"/>
  <c r="F1481" i="31" s="1"/>
  <c r="F928" i="6"/>
  <c r="E928" i="6"/>
  <c r="E928" i="9" s="1"/>
  <c r="V928" i="6"/>
  <c r="E928" i="28" s="1"/>
  <c r="X928" i="6"/>
  <c r="E928" i="29" s="1"/>
  <c r="T843" i="31" s="1"/>
  <c r="X927" i="6"/>
  <c r="E927" i="29" s="1"/>
  <c r="T842" i="31" s="1"/>
  <c r="V927" i="6"/>
  <c r="E927" i="28" s="1"/>
  <c r="T928" i="6"/>
  <c r="E928" i="19" s="1"/>
  <c r="T929" i="6"/>
  <c r="E929" i="19" s="1"/>
  <c r="T930" i="6"/>
  <c r="E930" i="19" s="1"/>
  <c r="T931" i="6"/>
  <c r="E931" i="19" s="1"/>
  <c r="T932" i="6"/>
  <c r="E932" i="19" s="1"/>
  <c r="T933" i="6"/>
  <c r="E933" i="19" s="1"/>
  <c r="T934" i="6"/>
  <c r="E934" i="19" s="1"/>
  <c r="T935" i="6"/>
  <c r="E935" i="19" s="1"/>
  <c r="T936" i="6"/>
  <c r="E936" i="19" s="1"/>
  <c r="T927" i="6"/>
  <c r="E927" i="19" s="1"/>
  <c r="N927" i="6"/>
  <c r="M927" i="6"/>
  <c r="M927" i="23" s="1"/>
  <c r="L927" i="6"/>
  <c r="L926" i="6"/>
  <c r="K927" i="6"/>
  <c r="P927" i="23" s="1"/>
  <c r="J927" i="6"/>
  <c r="J927" i="23" s="1"/>
  <c r="I927" i="6"/>
  <c r="H927" i="6"/>
  <c r="G927" i="6"/>
  <c r="F927" i="6"/>
  <c r="E927" i="6"/>
  <c r="E927" i="9" s="1"/>
  <c r="X925" i="6"/>
  <c r="E925" i="29" s="1"/>
  <c r="T841" i="31" s="1"/>
  <c r="V925" i="6"/>
  <c r="E925" i="28" s="1"/>
  <c r="N925" i="6"/>
  <c r="M925" i="6"/>
  <c r="M925" i="23" s="1"/>
  <c r="L925" i="6"/>
  <c r="K925" i="6"/>
  <c r="P925" i="23" s="1"/>
  <c r="J925" i="6"/>
  <c r="J925" i="23" s="1"/>
  <c r="I925" i="6"/>
  <c r="H925" i="6"/>
  <c r="G925" i="6"/>
  <c r="F924" i="6"/>
  <c r="F925" i="6"/>
  <c r="E925" i="6"/>
  <c r="E925" i="9" s="1"/>
  <c r="X922" i="6"/>
  <c r="E922" i="29" s="1"/>
  <c r="T838" i="31" s="1"/>
  <c r="X923" i="6"/>
  <c r="E923" i="29" s="1"/>
  <c r="T839" i="31" s="1"/>
  <c r="X924" i="6"/>
  <c r="E924" i="29" s="1"/>
  <c r="T840" i="31" s="1"/>
  <c r="V924" i="6"/>
  <c r="E924" i="28" s="1"/>
  <c r="N924" i="6"/>
  <c r="M924" i="6"/>
  <c r="M924" i="23" s="1"/>
  <c r="L924" i="6"/>
  <c r="K924" i="6"/>
  <c r="P924" i="23" s="1"/>
  <c r="J924" i="6"/>
  <c r="J924" i="23" s="1"/>
  <c r="I924" i="6"/>
  <c r="H924" i="6"/>
  <c r="G924" i="6"/>
  <c r="E924" i="6"/>
  <c r="E924" i="9" s="1"/>
  <c r="V923" i="6"/>
  <c r="E923" i="28" s="1"/>
  <c r="N923" i="6"/>
  <c r="M923" i="6"/>
  <c r="M923" i="23" s="1"/>
  <c r="L923" i="6"/>
  <c r="K923" i="6"/>
  <c r="P923" i="23" s="1"/>
  <c r="J923" i="6"/>
  <c r="J923" i="23" s="1"/>
  <c r="I923" i="6"/>
  <c r="H923" i="6"/>
  <c r="G923" i="6"/>
  <c r="F923" i="6"/>
  <c r="E923" i="6"/>
  <c r="E923" i="9" s="1"/>
  <c r="V922" i="6"/>
  <c r="E922" i="28" s="1"/>
  <c r="N922" i="6"/>
  <c r="M922" i="6"/>
  <c r="M922" i="23" s="1"/>
  <c r="L922" i="6"/>
  <c r="K922" i="6"/>
  <c r="P922" i="23" s="1"/>
  <c r="J922" i="6"/>
  <c r="J922" i="23" s="1"/>
  <c r="I922" i="6"/>
  <c r="H922" i="6"/>
  <c r="G922" i="6"/>
  <c r="F922" i="6"/>
  <c r="E922" i="6"/>
  <c r="E922" i="9" s="1"/>
  <c r="X921" i="6"/>
  <c r="E921" i="29" s="1"/>
  <c r="T837" i="31" s="1"/>
  <c r="V921" i="6"/>
  <c r="E921" i="28" s="1"/>
  <c r="N921" i="6"/>
  <c r="M921" i="6"/>
  <c r="M921" i="23" s="1"/>
  <c r="L921" i="6"/>
  <c r="K921" i="6"/>
  <c r="P921" i="23" s="1"/>
  <c r="J921" i="6"/>
  <c r="J921" i="23" s="1"/>
  <c r="I921" i="6"/>
  <c r="H921" i="6"/>
  <c r="G921" i="6"/>
  <c r="F921" i="6"/>
  <c r="E921" i="6"/>
  <c r="E921" i="9" s="1"/>
  <c r="X920" i="6"/>
  <c r="E920" i="29" s="1"/>
  <c r="T836" i="31" s="1"/>
  <c r="V920" i="6"/>
  <c r="E920" i="28" s="1"/>
  <c r="N920" i="6"/>
  <c r="M920" i="6"/>
  <c r="M920" i="23" s="1"/>
  <c r="L920" i="6"/>
  <c r="K920" i="6"/>
  <c r="P920" i="23" s="1"/>
  <c r="J920" i="6"/>
  <c r="J920" i="23" s="1"/>
  <c r="I920" i="6"/>
  <c r="H920" i="6"/>
  <c r="G920" i="6"/>
  <c r="F920" i="6"/>
  <c r="E920" i="6"/>
  <c r="E920" i="9" s="1"/>
  <c r="X919" i="6"/>
  <c r="E919" i="29" s="1"/>
  <c r="T835" i="31" s="1"/>
  <c r="V919" i="6"/>
  <c r="E919" i="28" s="1"/>
  <c r="N919" i="6"/>
  <c r="M919" i="6"/>
  <c r="M919" i="23" s="1"/>
  <c r="L919" i="6"/>
  <c r="K919" i="6"/>
  <c r="P919" i="23" s="1"/>
  <c r="J919" i="6"/>
  <c r="J919" i="23" s="1"/>
  <c r="I919" i="6"/>
  <c r="H919" i="6"/>
  <c r="G919" i="6"/>
  <c r="F919" i="6"/>
  <c r="E919" i="6"/>
  <c r="E919" i="9" s="1"/>
  <c r="X918" i="6"/>
  <c r="E918" i="29" s="1"/>
  <c r="T834" i="31" s="1"/>
  <c r="V918" i="6"/>
  <c r="E918" i="28" s="1"/>
  <c r="N918" i="6"/>
  <c r="M918" i="6"/>
  <c r="M918" i="23" s="1"/>
  <c r="L918" i="6"/>
  <c r="K918" i="6"/>
  <c r="P918" i="23" s="1"/>
  <c r="J918" i="6"/>
  <c r="J918" i="23" s="1"/>
  <c r="I918" i="6"/>
  <c r="H918" i="6"/>
  <c r="G918" i="6"/>
  <c r="F918" i="6"/>
  <c r="E918" i="6"/>
  <c r="E918" i="9" s="1"/>
  <c r="X917" i="6"/>
  <c r="E917" i="29" s="1"/>
  <c r="T833" i="31" s="1"/>
  <c r="V917" i="6"/>
  <c r="E917" i="28" s="1"/>
  <c r="N917" i="6"/>
  <c r="M917" i="6"/>
  <c r="M917" i="23" s="1"/>
  <c r="L917" i="6"/>
  <c r="K917" i="6"/>
  <c r="P917" i="23" s="1"/>
  <c r="J917" i="6"/>
  <c r="J917" i="23" s="1"/>
  <c r="I917" i="6"/>
  <c r="H917" i="6"/>
  <c r="G917" i="6"/>
  <c r="F917" i="6"/>
  <c r="E917" i="6"/>
  <c r="E917" i="9" s="1"/>
  <c r="X916" i="6"/>
  <c r="E916" i="29" s="1"/>
  <c r="T832" i="31" s="1"/>
  <c r="V916" i="6"/>
  <c r="E916" i="28" s="1"/>
  <c r="T917" i="6"/>
  <c r="E917" i="19" s="1"/>
  <c r="T918" i="6"/>
  <c r="E918" i="19" s="1"/>
  <c r="T919" i="6"/>
  <c r="E919" i="19" s="1"/>
  <c r="T920" i="6"/>
  <c r="E920" i="19" s="1"/>
  <c r="T921" i="6"/>
  <c r="E921" i="19" s="1"/>
  <c r="T922" i="6"/>
  <c r="E922" i="19" s="1"/>
  <c r="T923" i="6"/>
  <c r="E923" i="19" s="1"/>
  <c r="T924" i="6"/>
  <c r="E924" i="19" s="1"/>
  <c r="T925" i="6"/>
  <c r="E925" i="19" s="1"/>
  <c r="T916" i="6"/>
  <c r="E916" i="19" s="1"/>
  <c r="N916" i="6"/>
  <c r="M916" i="6"/>
  <c r="M916" i="23" s="1"/>
  <c r="L916" i="6"/>
  <c r="L915" i="6"/>
  <c r="K916" i="6"/>
  <c r="P916" i="23" s="1"/>
  <c r="J916" i="6"/>
  <c r="J916" i="23" s="1"/>
  <c r="I916" i="6"/>
  <c r="H916" i="6"/>
  <c r="G916" i="6"/>
  <c r="F916" i="6"/>
  <c r="E916" i="6"/>
  <c r="E916" i="9" s="1"/>
  <c r="T914" i="6"/>
  <c r="E914" i="19" s="1"/>
  <c r="V903" i="6"/>
  <c r="E903" i="28" s="1"/>
  <c r="N903" i="6"/>
  <c r="M903" i="6"/>
  <c r="M903" i="23" s="1"/>
  <c r="L903" i="6"/>
  <c r="K903" i="6"/>
  <c r="P903" i="23" s="1"/>
  <c r="J903" i="6"/>
  <c r="J903" i="23" s="1"/>
  <c r="I903" i="6"/>
  <c r="H903" i="6"/>
  <c r="G903" i="6"/>
  <c r="F903" i="6"/>
  <c r="E903" i="6"/>
  <c r="E903" i="9" s="1"/>
  <c r="V902" i="6"/>
  <c r="E902" i="28" s="1"/>
  <c r="N902" i="6"/>
  <c r="M902" i="6"/>
  <c r="M902" i="23" s="1"/>
  <c r="L902" i="6"/>
  <c r="K902" i="6"/>
  <c r="P902" i="23" s="1"/>
  <c r="J902" i="6"/>
  <c r="J902" i="23" s="1"/>
  <c r="J901" i="6"/>
  <c r="J901" i="23" s="1"/>
  <c r="I902" i="6"/>
  <c r="H902" i="6"/>
  <c r="G902" i="6"/>
  <c r="F902" i="6"/>
  <c r="E902" i="6"/>
  <c r="E902" i="9" s="1"/>
  <c r="V901" i="6"/>
  <c r="E901" i="28" s="1"/>
  <c r="T901" i="6"/>
  <c r="E901" i="19" s="1"/>
  <c r="T902" i="6"/>
  <c r="E902" i="19" s="1"/>
  <c r="T903" i="6"/>
  <c r="E903" i="19" s="1"/>
  <c r="N901" i="6"/>
  <c r="M901" i="6"/>
  <c r="M901" i="23" s="1"/>
  <c r="L901" i="6"/>
  <c r="K901" i="6"/>
  <c r="P901" i="23" s="1"/>
  <c r="I901" i="6"/>
  <c r="H901" i="6"/>
  <c r="G901" i="6"/>
  <c r="F901" i="6"/>
  <c r="E901" i="6"/>
  <c r="E901" i="9" s="1"/>
  <c r="V900" i="6"/>
  <c r="E900" i="28" s="1"/>
  <c r="T900" i="6"/>
  <c r="E900" i="19" s="1"/>
  <c r="N900" i="6"/>
  <c r="N899" i="6"/>
  <c r="M900" i="6"/>
  <c r="M900" i="23" s="1"/>
  <c r="M899" i="6"/>
  <c r="M899" i="23" s="1"/>
  <c r="L899" i="6"/>
  <c r="L900" i="6"/>
  <c r="K900" i="6"/>
  <c r="P900" i="23" s="1"/>
  <c r="K899" i="6"/>
  <c r="P899" i="23" s="1"/>
  <c r="J900" i="6"/>
  <c r="J900" i="23" s="1"/>
  <c r="J899" i="6"/>
  <c r="J899" i="23" s="1"/>
  <c r="I900" i="6"/>
  <c r="I899" i="6"/>
  <c r="H900" i="6"/>
  <c r="H899" i="6"/>
  <c r="G900" i="6"/>
  <c r="G899" i="6"/>
  <c r="F900" i="6"/>
  <c r="F899" i="6"/>
  <c r="E900" i="6"/>
  <c r="E900" i="9" s="1"/>
  <c r="E899" i="6"/>
  <c r="E899" i="9" s="1"/>
  <c r="X892" i="6"/>
  <c r="E892" i="29" s="1"/>
  <c r="T811" i="31" s="1"/>
  <c r="V892" i="6"/>
  <c r="E892" i="28" s="1"/>
  <c r="N892" i="6"/>
  <c r="M892" i="6"/>
  <c r="M892" i="23" s="1"/>
  <c r="L892" i="6"/>
  <c r="K892" i="6"/>
  <c r="P892" i="23" s="1"/>
  <c r="J892" i="6"/>
  <c r="J892" i="23" s="1"/>
  <c r="I892" i="6"/>
  <c r="H892" i="6"/>
  <c r="G892" i="6"/>
  <c r="F892" i="6"/>
  <c r="E892" i="6"/>
  <c r="E892" i="9" s="1"/>
  <c r="X891" i="6"/>
  <c r="E891" i="29" s="1"/>
  <c r="T810" i="31" s="1"/>
  <c r="V891" i="6"/>
  <c r="E891" i="28" s="1"/>
  <c r="N891" i="6"/>
  <c r="M891" i="6"/>
  <c r="M891" i="23" s="1"/>
  <c r="L891" i="6"/>
  <c r="K891" i="6"/>
  <c r="P891" i="23" s="1"/>
  <c r="J891" i="6"/>
  <c r="J891" i="23" s="1"/>
  <c r="I891" i="6"/>
  <c r="H891" i="6"/>
  <c r="G891" i="6"/>
  <c r="F891" i="6"/>
  <c r="E891" i="6"/>
  <c r="E891" i="9" s="1"/>
  <c r="X890" i="6"/>
  <c r="E890" i="29" s="1"/>
  <c r="T809" i="31" s="1"/>
  <c r="V890" i="6"/>
  <c r="E890" i="28" s="1"/>
  <c r="N890" i="6"/>
  <c r="M890" i="6"/>
  <c r="M890" i="23" s="1"/>
  <c r="L890" i="6"/>
  <c r="K890" i="6"/>
  <c r="P890" i="23" s="1"/>
  <c r="J890" i="6"/>
  <c r="J890" i="23" s="1"/>
  <c r="I890" i="6"/>
  <c r="H890" i="6"/>
  <c r="G890" i="6"/>
  <c r="F890" i="6"/>
  <c r="E890" i="6"/>
  <c r="E890" i="9" s="1"/>
  <c r="X889" i="6"/>
  <c r="E889" i="29" s="1"/>
  <c r="T808" i="31" s="1"/>
  <c r="V889" i="6"/>
  <c r="E889" i="28" s="1"/>
  <c r="N889" i="6"/>
  <c r="M889" i="6"/>
  <c r="M889" i="23" s="1"/>
  <c r="L889" i="6"/>
  <c r="K889" i="6"/>
  <c r="P889" i="23" s="1"/>
  <c r="J889" i="6"/>
  <c r="J889" i="23" s="1"/>
  <c r="I889" i="6"/>
  <c r="H889" i="6"/>
  <c r="G889" i="6"/>
  <c r="F889" i="6"/>
  <c r="E889" i="6"/>
  <c r="E889" i="9" s="1"/>
  <c r="X888" i="6"/>
  <c r="E888" i="29" s="1"/>
  <c r="T807" i="31" s="1"/>
  <c r="V888" i="6"/>
  <c r="E888" i="28" s="1"/>
  <c r="N888" i="6"/>
  <c r="M888" i="6"/>
  <c r="M888" i="23" s="1"/>
  <c r="L888" i="6"/>
  <c r="K888" i="6"/>
  <c r="P888" i="23" s="1"/>
  <c r="J888" i="6"/>
  <c r="J888" i="23" s="1"/>
  <c r="I887" i="6"/>
  <c r="I886" i="6"/>
  <c r="I888" i="6"/>
  <c r="H888" i="6"/>
  <c r="G888" i="6"/>
  <c r="F888" i="6"/>
  <c r="F887" i="6"/>
  <c r="F886" i="6"/>
  <c r="E888" i="6"/>
  <c r="E888" i="9" s="1"/>
  <c r="X887" i="6"/>
  <c r="E887" i="29" s="1"/>
  <c r="T806" i="31" s="1"/>
  <c r="V887" i="6"/>
  <c r="E887" i="28" s="1"/>
  <c r="T888" i="6"/>
  <c r="E888" i="19" s="1"/>
  <c r="T889" i="6"/>
  <c r="E889" i="19" s="1"/>
  <c r="T890" i="6"/>
  <c r="E890" i="19" s="1"/>
  <c r="T891" i="6"/>
  <c r="E891" i="19" s="1"/>
  <c r="T892" i="6"/>
  <c r="E892" i="19" s="1"/>
  <c r="T887" i="6"/>
  <c r="E887" i="19" s="1"/>
  <c r="N887" i="6"/>
  <c r="N886" i="6"/>
  <c r="M887" i="6"/>
  <c r="M887" i="23" s="1"/>
  <c r="M886" i="6"/>
  <c r="M886" i="23" s="1"/>
  <c r="L887" i="6"/>
  <c r="L886" i="6"/>
  <c r="K887" i="6"/>
  <c r="P887" i="23" s="1"/>
  <c r="K886" i="6"/>
  <c r="P886" i="23" s="1"/>
  <c r="J887" i="6"/>
  <c r="J887" i="23" s="1"/>
  <c r="J886" i="6"/>
  <c r="J886" i="23" s="1"/>
  <c r="H887" i="6"/>
  <c r="H886" i="6"/>
  <c r="G887" i="6"/>
  <c r="G886" i="6"/>
  <c r="E887" i="6"/>
  <c r="E887" i="9" s="1"/>
  <c r="E886" i="6"/>
  <c r="E886" i="9" s="1"/>
  <c r="N881" i="6"/>
  <c r="M881" i="6"/>
  <c r="M881" i="23" s="1"/>
  <c r="L881" i="6"/>
  <c r="K881" i="6"/>
  <c r="P881" i="23" s="1"/>
  <c r="J881" i="6"/>
  <c r="J881" i="23" s="1"/>
  <c r="I881" i="6"/>
  <c r="H881" i="6"/>
  <c r="G881" i="6"/>
  <c r="F881" i="6"/>
  <c r="E881" i="6"/>
  <c r="E881" i="9" s="1"/>
  <c r="N880" i="6"/>
  <c r="M880" i="6"/>
  <c r="M880" i="23" s="1"/>
  <c r="L880" i="6"/>
  <c r="K880" i="6"/>
  <c r="P880" i="23" s="1"/>
  <c r="J880" i="6"/>
  <c r="J880" i="23" s="1"/>
  <c r="I880" i="6"/>
  <c r="H880" i="6"/>
  <c r="G880" i="6"/>
  <c r="F880" i="6"/>
  <c r="E880" i="6"/>
  <c r="E880" i="9" s="1"/>
  <c r="N879" i="6"/>
  <c r="M879" i="6"/>
  <c r="M879" i="23" s="1"/>
  <c r="L879" i="6"/>
  <c r="K879" i="6"/>
  <c r="P879" i="23" s="1"/>
  <c r="J879" i="6"/>
  <c r="J879" i="23" s="1"/>
  <c r="I879" i="6"/>
  <c r="H879" i="6"/>
  <c r="G879" i="6"/>
  <c r="F879" i="6"/>
  <c r="E879" i="6"/>
  <c r="E879" i="9" s="1"/>
  <c r="N878" i="6"/>
  <c r="M878" i="6"/>
  <c r="M878" i="23" s="1"/>
  <c r="L878" i="6"/>
  <c r="K878" i="6"/>
  <c r="P878" i="23" s="1"/>
  <c r="J878" i="6"/>
  <c r="J878" i="23" s="1"/>
  <c r="I878" i="6"/>
  <c r="H878" i="6"/>
  <c r="G878" i="6"/>
  <c r="F878" i="6"/>
  <c r="E878" i="6"/>
  <c r="E878" i="9" s="1"/>
  <c r="N877" i="6"/>
  <c r="M877" i="6"/>
  <c r="M877" i="23" s="1"/>
  <c r="L877" i="6"/>
  <c r="K877" i="6"/>
  <c r="P877" i="23" s="1"/>
  <c r="J877" i="6"/>
  <c r="J877" i="23" s="1"/>
  <c r="I877" i="6"/>
  <c r="H877" i="6"/>
  <c r="G877" i="6"/>
  <c r="F877" i="6"/>
  <c r="E877" i="6"/>
  <c r="E877" i="9" s="1"/>
  <c r="N876" i="6"/>
  <c r="M876" i="6"/>
  <c r="M876" i="23" s="1"/>
  <c r="L876" i="6"/>
  <c r="K876" i="6"/>
  <c r="P876" i="23" s="1"/>
  <c r="J876" i="6"/>
  <c r="J876" i="23" s="1"/>
  <c r="I876" i="6"/>
  <c r="H876" i="6"/>
  <c r="G876" i="6"/>
  <c r="F876" i="6"/>
  <c r="E876" i="6"/>
  <c r="E876" i="9" s="1"/>
  <c r="N875" i="6"/>
  <c r="M875" i="6"/>
  <c r="M875" i="23" s="1"/>
  <c r="L875" i="6"/>
  <c r="K875" i="6"/>
  <c r="P875" i="23" s="1"/>
  <c r="J875" i="6"/>
  <c r="J875" i="23" s="1"/>
  <c r="I875" i="6"/>
  <c r="H875" i="6"/>
  <c r="G875" i="6"/>
  <c r="F875" i="6"/>
  <c r="E875" i="6"/>
  <c r="E875" i="9" s="1"/>
  <c r="N874" i="6"/>
  <c r="M874" i="6"/>
  <c r="M874" i="23" s="1"/>
  <c r="L874" i="6"/>
  <c r="K874" i="6"/>
  <c r="P874" i="23" s="1"/>
  <c r="J874" i="6"/>
  <c r="J874" i="23" s="1"/>
  <c r="I874" i="6"/>
  <c r="H874" i="6"/>
  <c r="G874" i="6"/>
  <c r="F874" i="6"/>
  <c r="E874" i="6"/>
  <c r="E874" i="9" s="1"/>
  <c r="N873" i="6"/>
  <c r="M873" i="6"/>
  <c r="M873" i="23" s="1"/>
  <c r="L873" i="6"/>
  <c r="K873" i="6"/>
  <c r="P873" i="23" s="1"/>
  <c r="J873" i="6"/>
  <c r="J873" i="23" s="1"/>
  <c r="I873" i="6"/>
  <c r="H873" i="6"/>
  <c r="G873" i="6"/>
  <c r="F873" i="6"/>
  <c r="E873" i="6"/>
  <c r="E873" i="9" s="1"/>
  <c r="L871" i="6"/>
  <c r="T873" i="6"/>
  <c r="E873" i="19" s="1"/>
  <c r="T874" i="6"/>
  <c r="E874" i="19" s="1"/>
  <c r="T875" i="6"/>
  <c r="E875" i="19" s="1"/>
  <c r="T876" i="6"/>
  <c r="E876" i="19" s="1"/>
  <c r="T877" i="6"/>
  <c r="E877" i="19" s="1"/>
  <c r="T878" i="6"/>
  <c r="E878" i="19" s="1"/>
  <c r="T879" i="6"/>
  <c r="E879" i="19" s="1"/>
  <c r="T880" i="6"/>
  <c r="E880" i="19" s="1"/>
  <c r="T881" i="6"/>
  <c r="E881" i="19" s="1"/>
  <c r="T872" i="6"/>
  <c r="E872" i="19" s="1"/>
  <c r="N872" i="6"/>
  <c r="M872" i="6"/>
  <c r="M872" i="23" s="1"/>
  <c r="L872" i="6"/>
  <c r="K872" i="6"/>
  <c r="P872" i="23" s="1"/>
  <c r="J872" i="6"/>
  <c r="J872" i="23" s="1"/>
  <c r="I872" i="6"/>
  <c r="H872" i="6"/>
  <c r="G872" i="6"/>
  <c r="F872" i="6"/>
  <c r="E872" i="6"/>
  <c r="E872" i="9" s="1"/>
  <c r="N1079" i="6"/>
  <c r="M1079" i="6"/>
  <c r="M1079" i="23" s="1"/>
  <c r="L1079" i="6"/>
  <c r="K1079" i="6"/>
  <c r="P1079" i="23" s="1"/>
  <c r="J1079" i="6"/>
  <c r="J1079" i="23" s="1"/>
  <c r="I1079" i="6"/>
  <c r="H1079" i="6"/>
  <c r="G1079" i="6"/>
  <c r="F1079" i="6"/>
  <c r="E1079" i="6"/>
  <c r="E1079" i="9" s="1"/>
  <c r="N1078" i="6"/>
  <c r="M1078" i="6"/>
  <c r="M1078" i="23" s="1"/>
  <c r="L1078" i="6"/>
  <c r="K1078" i="6"/>
  <c r="P1078" i="23" s="1"/>
  <c r="J1078" i="6"/>
  <c r="J1078" i="23" s="1"/>
  <c r="I1078" i="6"/>
  <c r="H1078" i="6"/>
  <c r="G1078" i="6"/>
  <c r="F1078" i="6"/>
  <c r="E1078" i="6"/>
  <c r="E1078" i="9" s="1"/>
  <c r="N1077" i="6"/>
  <c r="M1077" i="6"/>
  <c r="M1077" i="23" s="1"/>
  <c r="L1077" i="6"/>
  <c r="K1077" i="6"/>
  <c r="P1077" i="23" s="1"/>
  <c r="J1077" i="6"/>
  <c r="J1077" i="23" s="1"/>
  <c r="I1077" i="6"/>
  <c r="H1077" i="6"/>
  <c r="G1077" i="6"/>
  <c r="F1077" i="6"/>
  <c r="E1077" i="6"/>
  <c r="E1077" i="9" s="1"/>
  <c r="N1076" i="6"/>
  <c r="M1076" i="6"/>
  <c r="M1076" i="23" s="1"/>
  <c r="L1076" i="6"/>
  <c r="K1075" i="6"/>
  <c r="P1075" i="23" s="1"/>
  <c r="K1076" i="6"/>
  <c r="P1076" i="23" s="1"/>
  <c r="J1076" i="6"/>
  <c r="J1076" i="23" s="1"/>
  <c r="I1076" i="6"/>
  <c r="H1076" i="6"/>
  <c r="G1076" i="6"/>
  <c r="F1076" i="6"/>
  <c r="E1076" i="6"/>
  <c r="E1076" i="9" s="1"/>
  <c r="N1075" i="6"/>
  <c r="M1075" i="6"/>
  <c r="M1075" i="23" s="1"/>
  <c r="L1075" i="6"/>
  <c r="J1075" i="6"/>
  <c r="J1075" i="23" s="1"/>
  <c r="I1075" i="6"/>
  <c r="H1075" i="6"/>
  <c r="G1075" i="6"/>
  <c r="F1075" i="6"/>
  <c r="E1075" i="6"/>
  <c r="E1075" i="9" s="1"/>
  <c r="N1074" i="6"/>
  <c r="M1073" i="6"/>
  <c r="M1073" i="23" s="1"/>
  <c r="M1074" i="6"/>
  <c r="M1074" i="23" s="1"/>
  <c r="L1074" i="6"/>
  <c r="K1074" i="6"/>
  <c r="P1074" i="23" s="1"/>
  <c r="J1074" i="6"/>
  <c r="J1074" i="23" s="1"/>
  <c r="I1074" i="6"/>
  <c r="H1074" i="6"/>
  <c r="G1074" i="6"/>
  <c r="F1074" i="6"/>
  <c r="E1074" i="6"/>
  <c r="E1074" i="9" s="1"/>
  <c r="T1074" i="6"/>
  <c r="E1074" i="19" s="1"/>
  <c r="T1075" i="6"/>
  <c r="E1075" i="19" s="1"/>
  <c r="T1076" i="6"/>
  <c r="E1076" i="19" s="1"/>
  <c r="T1077" i="6"/>
  <c r="E1077" i="19" s="1"/>
  <c r="T1078" i="6"/>
  <c r="E1078" i="19" s="1"/>
  <c r="T1079" i="6"/>
  <c r="E1079" i="19" s="1"/>
  <c r="T1073" i="6"/>
  <c r="E1073" i="19" s="1"/>
  <c r="N1073" i="6"/>
  <c r="N1072" i="6"/>
  <c r="M1072" i="6"/>
  <c r="M1072" i="23" s="1"/>
  <c r="L1073" i="6"/>
  <c r="L1072" i="6"/>
  <c r="K1073" i="6"/>
  <c r="P1073" i="23" s="1"/>
  <c r="K1072" i="6"/>
  <c r="P1072" i="23" s="1"/>
  <c r="J1073" i="6"/>
  <c r="J1073" i="23" s="1"/>
  <c r="J1072" i="6"/>
  <c r="J1072" i="23" s="1"/>
  <c r="I1073" i="6"/>
  <c r="I1072" i="6"/>
  <c r="H1073" i="6"/>
  <c r="H1072" i="6"/>
  <c r="G1073" i="6"/>
  <c r="G1072" i="6"/>
  <c r="F1073" i="6"/>
  <c r="F1072" i="6"/>
  <c r="E1073" i="6"/>
  <c r="E1073" i="9" s="1"/>
  <c r="E1072" i="6"/>
  <c r="E1072" i="9" s="1"/>
  <c r="N1090" i="6"/>
  <c r="M1090" i="6"/>
  <c r="M1090" i="23" s="1"/>
  <c r="L1090" i="6"/>
  <c r="K1090" i="6"/>
  <c r="P1090" i="23" s="1"/>
  <c r="J1090" i="6"/>
  <c r="J1090" i="23" s="1"/>
  <c r="I1090" i="6"/>
  <c r="H1090" i="6"/>
  <c r="G1090" i="6"/>
  <c r="F1090" i="6"/>
  <c r="E1090" i="6"/>
  <c r="E1090" i="9" s="1"/>
  <c r="N1089" i="6"/>
  <c r="M1089" i="6"/>
  <c r="M1089" i="23" s="1"/>
  <c r="L1089" i="6"/>
  <c r="K1089" i="6"/>
  <c r="P1089" i="23" s="1"/>
  <c r="J1089" i="6"/>
  <c r="J1089" i="23" s="1"/>
  <c r="I1089" i="6"/>
  <c r="H1089" i="6"/>
  <c r="G1089" i="6"/>
  <c r="F1089" i="6"/>
  <c r="E1089" i="6"/>
  <c r="E1089" i="9" s="1"/>
  <c r="T1089" i="6"/>
  <c r="E1089" i="19" s="1"/>
  <c r="T1090" i="6"/>
  <c r="E1090" i="19" s="1"/>
  <c r="T1088" i="6"/>
  <c r="E1088" i="19" s="1"/>
  <c r="N1088" i="6"/>
  <c r="N1087" i="6"/>
  <c r="M1088" i="6"/>
  <c r="M1088" i="23" s="1"/>
  <c r="M1087" i="6"/>
  <c r="M1087" i="23" s="1"/>
  <c r="L1088" i="6"/>
  <c r="L1087" i="6"/>
  <c r="K1088" i="6"/>
  <c r="P1088" i="23" s="1"/>
  <c r="K1087" i="6"/>
  <c r="P1087" i="23" s="1"/>
  <c r="J1088" i="6"/>
  <c r="J1088" i="23" s="1"/>
  <c r="J1087" i="6"/>
  <c r="J1087" i="23" s="1"/>
  <c r="I1088" i="6"/>
  <c r="I1087" i="6"/>
  <c r="H1088" i="6"/>
  <c r="H1087" i="6"/>
  <c r="G1088" i="6"/>
  <c r="G1087" i="6"/>
  <c r="F1088" i="6"/>
  <c r="F1087" i="6"/>
  <c r="E1088" i="6"/>
  <c r="E1088" i="9" s="1"/>
  <c r="E1087" i="6"/>
  <c r="E1087" i="9" s="1"/>
  <c r="N1101" i="6"/>
  <c r="M1101" i="6"/>
  <c r="M1101" i="23" s="1"/>
  <c r="L1101" i="6"/>
  <c r="K1101" i="6"/>
  <c r="P1101" i="23" s="1"/>
  <c r="J1101" i="6"/>
  <c r="J1101" i="23" s="1"/>
  <c r="I1101" i="6"/>
  <c r="H1101" i="6"/>
  <c r="G1101" i="6"/>
  <c r="F1101" i="6"/>
  <c r="E1101" i="6"/>
  <c r="E1101" i="9" s="1"/>
  <c r="N1100" i="6"/>
  <c r="M1100" i="6"/>
  <c r="M1100" i="23" s="1"/>
  <c r="L1100" i="6"/>
  <c r="K1100" i="6"/>
  <c r="P1100" i="23" s="1"/>
  <c r="J1100" i="6"/>
  <c r="J1100" i="23" s="1"/>
  <c r="I1099" i="6"/>
  <c r="I1100" i="6"/>
  <c r="H1100" i="6"/>
  <c r="G1100" i="6"/>
  <c r="F1100" i="6"/>
  <c r="E1100" i="6"/>
  <c r="E1100" i="9" s="1"/>
  <c r="N1099" i="6"/>
  <c r="M1099" i="6"/>
  <c r="M1099" i="23" s="1"/>
  <c r="L1099" i="6"/>
  <c r="K1099" i="6"/>
  <c r="P1099" i="23" s="1"/>
  <c r="J1099" i="6"/>
  <c r="J1099" i="23" s="1"/>
  <c r="H1099" i="6"/>
  <c r="G1099" i="6"/>
  <c r="F1099" i="6"/>
  <c r="E1099" i="6"/>
  <c r="E1099" i="9" s="1"/>
  <c r="N1098" i="6"/>
  <c r="M1098" i="6"/>
  <c r="M1098" i="23" s="1"/>
  <c r="L1098" i="6"/>
  <c r="K1098" i="6"/>
  <c r="P1098" i="23" s="1"/>
  <c r="J1098" i="6"/>
  <c r="J1098" i="23" s="1"/>
  <c r="I1098" i="6"/>
  <c r="H1098" i="6"/>
  <c r="G1098" i="6"/>
  <c r="F1098" i="6"/>
  <c r="E1098" i="6"/>
  <c r="E1098" i="9" s="1"/>
  <c r="N1097" i="6"/>
  <c r="M1097" i="6"/>
  <c r="M1097" i="23" s="1"/>
  <c r="L1097" i="6"/>
  <c r="K1097" i="6"/>
  <c r="P1097" i="23" s="1"/>
  <c r="J1097" i="6"/>
  <c r="J1097" i="23" s="1"/>
  <c r="I1097" i="6"/>
  <c r="H1097" i="6"/>
  <c r="G1097" i="6"/>
  <c r="F1097" i="6"/>
  <c r="E1097" i="6"/>
  <c r="E1097" i="9" s="1"/>
  <c r="N1096" i="6"/>
  <c r="M1096" i="6"/>
  <c r="M1096" i="23" s="1"/>
  <c r="L1096" i="6"/>
  <c r="K1096" i="6"/>
  <c r="P1096" i="23" s="1"/>
  <c r="J1096" i="6"/>
  <c r="J1096" i="23" s="1"/>
  <c r="I1096" i="6"/>
  <c r="H1096" i="6"/>
  <c r="G1096" i="6"/>
  <c r="F1096" i="6"/>
  <c r="E1096" i="6"/>
  <c r="E1096" i="9" s="1"/>
  <c r="N1095" i="6"/>
  <c r="M1095" i="6"/>
  <c r="M1095" i="23" s="1"/>
  <c r="L1095" i="6"/>
  <c r="K1095" i="6"/>
  <c r="P1095" i="23" s="1"/>
  <c r="J1095" i="6"/>
  <c r="J1095" i="23" s="1"/>
  <c r="I1095" i="6"/>
  <c r="H1095" i="6"/>
  <c r="G1095" i="6"/>
  <c r="F1095" i="6"/>
  <c r="E1095" i="6"/>
  <c r="E1095" i="9" s="1"/>
  <c r="N1094" i="6"/>
  <c r="M1094" i="6"/>
  <c r="M1094" i="23" s="1"/>
  <c r="L1094" i="6"/>
  <c r="K1094" i="6"/>
  <c r="P1094" i="23" s="1"/>
  <c r="J1094" i="6"/>
  <c r="J1094" i="23" s="1"/>
  <c r="I1094" i="6"/>
  <c r="H1094" i="6"/>
  <c r="G1094" i="6"/>
  <c r="F1094" i="6"/>
  <c r="E1094" i="6"/>
  <c r="E1094" i="9" s="1"/>
  <c r="N1093" i="6"/>
  <c r="M1093" i="6"/>
  <c r="M1093" i="23" s="1"/>
  <c r="L1093" i="6"/>
  <c r="K1093" i="6"/>
  <c r="P1093" i="23" s="1"/>
  <c r="J1093" i="6"/>
  <c r="J1093" i="23" s="1"/>
  <c r="I1093" i="6"/>
  <c r="H1093" i="6"/>
  <c r="G1093" i="6"/>
  <c r="F1093" i="6"/>
  <c r="E1093" i="6"/>
  <c r="E1093" i="9" s="1"/>
  <c r="T1093" i="6"/>
  <c r="E1093" i="19" s="1"/>
  <c r="T1094" i="6"/>
  <c r="E1094" i="19" s="1"/>
  <c r="T1095" i="6"/>
  <c r="E1095" i="19" s="1"/>
  <c r="T1096" i="6"/>
  <c r="E1096" i="19" s="1"/>
  <c r="T1097" i="6"/>
  <c r="E1097" i="19" s="1"/>
  <c r="T1098" i="6"/>
  <c r="E1098" i="19" s="1"/>
  <c r="T1099" i="6"/>
  <c r="E1099" i="19" s="1"/>
  <c r="T1100" i="6"/>
  <c r="E1100" i="19" s="1"/>
  <c r="T1101" i="6"/>
  <c r="E1101" i="19" s="1"/>
  <c r="T1092" i="6"/>
  <c r="E1092" i="19" s="1"/>
  <c r="N1092" i="6"/>
  <c r="M1092" i="6"/>
  <c r="M1092" i="23" s="1"/>
  <c r="L1092" i="6"/>
  <c r="L1091" i="6"/>
  <c r="J1092" i="6"/>
  <c r="J1092" i="23" s="1"/>
  <c r="K1092" i="6"/>
  <c r="P1092" i="23" s="1"/>
  <c r="I1092" i="6"/>
  <c r="H1092" i="6"/>
  <c r="G1092" i="6"/>
  <c r="F1092" i="6"/>
  <c r="E1092" i="6"/>
  <c r="E1092" i="9" s="1"/>
  <c r="N870" i="6"/>
  <c r="M870" i="6"/>
  <c r="M870" i="23" s="1"/>
  <c r="L870" i="6"/>
  <c r="K870" i="6"/>
  <c r="P870" i="23" s="1"/>
  <c r="J870" i="6"/>
  <c r="J870" i="23" s="1"/>
  <c r="I870" i="6"/>
  <c r="H870" i="6"/>
  <c r="G870" i="6"/>
  <c r="F870" i="6"/>
  <c r="E870" i="6"/>
  <c r="E870" i="9" s="1"/>
  <c r="N869" i="6"/>
  <c r="M869" i="6"/>
  <c r="M869" i="23" s="1"/>
  <c r="L869" i="6"/>
  <c r="K869" i="6"/>
  <c r="P869" i="23" s="1"/>
  <c r="J869" i="6"/>
  <c r="J869" i="23" s="1"/>
  <c r="I869" i="6"/>
  <c r="H869" i="6"/>
  <c r="G869" i="6"/>
  <c r="F869" i="6"/>
  <c r="E869" i="6"/>
  <c r="E869" i="9" s="1"/>
  <c r="N868" i="6"/>
  <c r="M868" i="6"/>
  <c r="M868" i="23" s="1"/>
  <c r="L868" i="6"/>
  <c r="K868" i="6"/>
  <c r="P868" i="23" s="1"/>
  <c r="J868" i="6"/>
  <c r="J868" i="23" s="1"/>
  <c r="I868" i="6"/>
  <c r="H868" i="6"/>
  <c r="G868" i="6"/>
  <c r="F868" i="6"/>
  <c r="E868" i="6"/>
  <c r="E868" i="9" s="1"/>
  <c r="N867" i="6"/>
  <c r="M867" i="6"/>
  <c r="M867" i="23" s="1"/>
  <c r="L867" i="6"/>
  <c r="K867" i="6"/>
  <c r="P867" i="23" s="1"/>
  <c r="J867" i="6"/>
  <c r="J867" i="23" s="1"/>
  <c r="I867" i="6"/>
  <c r="H867" i="6"/>
  <c r="G867" i="6"/>
  <c r="F867" i="6"/>
  <c r="E867" i="6"/>
  <c r="E867" i="9" s="1"/>
  <c r="N866" i="6"/>
  <c r="M866" i="6"/>
  <c r="M866" i="23" s="1"/>
  <c r="L866" i="6"/>
  <c r="K866" i="6"/>
  <c r="P866" i="23" s="1"/>
  <c r="J866" i="6"/>
  <c r="J866" i="23" s="1"/>
  <c r="I866" i="6"/>
  <c r="H866" i="6"/>
  <c r="G866" i="6"/>
  <c r="F866" i="6"/>
  <c r="E866" i="6"/>
  <c r="E866" i="9" s="1"/>
  <c r="N865" i="6"/>
  <c r="M865" i="6"/>
  <c r="M865" i="23" s="1"/>
  <c r="L865" i="6"/>
  <c r="K865" i="6"/>
  <c r="P865" i="23" s="1"/>
  <c r="J865" i="6"/>
  <c r="J865" i="23" s="1"/>
  <c r="I865" i="6"/>
  <c r="H865" i="6"/>
  <c r="G865" i="6"/>
  <c r="E865" i="6"/>
  <c r="E865" i="9" s="1"/>
  <c r="F865" i="6"/>
  <c r="N864" i="6"/>
  <c r="M864" i="6"/>
  <c r="M864" i="23" s="1"/>
  <c r="L864" i="6"/>
  <c r="K864" i="6"/>
  <c r="P864" i="23" s="1"/>
  <c r="J864" i="6"/>
  <c r="J864" i="23" s="1"/>
  <c r="I864" i="6"/>
  <c r="H864" i="6"/>
  <c r="G864" i="6"/>
  <c r="F864" i="6"/>
  <c r="E864" i="6"/>
  <c r="E864" i="9" s="1"/>
  <c r="N863" i="6"/>
  <c r="M863" i="6"/>
  <c r="M863" i="23" s="1"/>
  <c r="L863" i="6"/>
  <c r="K863" i="6"/>
  <c r="P863" i="23" s="1"/>
  <c r="J863" i="6"/>
  <c r="J863" i="23" s="1"/>
  <c r="I863" i="6"/>
  <c r="H863" i="6"/>
  <c r="G863" i="6"/>
  <c r="F863" i="6"/>
  <c r="E863" i="6"/>
  <c r="E863" i="9" s="1"/>
  <c r="T862" i="6"/>
  <c r="E862" i="19" s="1"/>
  <c r="T863" i="6"/>
  <c r="E863" i="19" s="1"/>
  <c r="T864" i="6"/>
  <c r="E864" i="19" s="1"/>
  <c r="T865" i="6"/>
  <c r="E865" i="19" s="1"/>
  <c r="T866" i="6"/>
  <c r="E866" i="19" s="1"/>
  <c r="T867" i="6"/>
  <c r="E867" i="19" s="1"/>
  <c r="T868" i="6"/>
  <c r="E868" i="19" s="1"/>
  <c r="T869" i="6"/>
  <c r="E869" i="19" s="1"/>
  <c r="T870" i="6"/>
  <c r="E870" i="19" s="1"/>
  <c r="N862" i="6"/>
  <c r="M862" i="6"/>
  <c r="M862" i="23" s="1"/>
  <c r="L862" i="6"/>
  <c r="K862" i="6"/>
  <c r="P862" i="23" s="1"/>
  <c r="J862" i="6"/>
  <c r="J862" i="23" s="1"/>
  <c r="I862" i="6"/>
  <c r="H862" i="6"/>
  <c r="G862" i="6"/>
  <c r="F862" i="6"/>
  <c r="E862" i="6"/>
  <c r="E862" i="9" s="1"/>
  <c r="X861" i="6"/>
  <c r="E861" i="29" s="1"/>
  <c r="T782" i="31" s="1"/>
  <c r="T861" i="6"/>
  <c r="E861" i="19" s="1"/>
  <c r="N861" i="6"/>
  <c r="M861" i="6"/>
  <c r="M861" i="23" s="1"/>
  <c r="L861" i="6"/>
  <c r="L860" i="6"/>
  <c r="K861" i="6"/>
  <c r="P861" i="23" s="1"/>
  <c r="J861" i="6"/>
  <c r="J861" i="23" s="1"/>
  <c r="I861" i="6"/>
  <c r="H861" i="6"/>
  <c r="G861" i="6"/>
  <c r="F861" i="6"/>
  <c r="E861" i="6"/>
  <c r="E861" i="9" s="1"/>
  <c r="V804" i="6"/>
  <c r="E804" i="28" s="1"/>
  <c r="N804" i="6"/>
  <c r="M804" i="6"/>
  <c r="M804" i="23" s="1"/>
  <c r="L804" i="6"/>
  <c r="K804" i="6"/>
  <c r="P804" i="23" s="1"/>
  <c r="J804" i="6"/>
  <c r="J804" i="23" s="1"/>
  <c r="I804" i="6"/>
  <c r="H804" i="6"/>
  <c r="G804" i="6"/>
  <c r="F804" i="6"/>
  <c r="E804" i="6"/>
  <c r="E804" i="9" s="1"/>
  <c r="X803" i="6"/>
  <c r="E803" i="29" s="1"/>
  <c r="T730" i="31" s="1"/>
  <c r="V803" i="6"/>
  <c r="E803" i="28" s="1"/>
  <c r="N803" i="6"/>
  <c r="M803" i="6"/>
  <c r="M803" i="23" s="1"/>
  <c r="L803" i="6"/>
  <c r="K803" i="6"/>
  <c r="P803" i="23" s="1"/>
  <c r="J803" i="6"/>
  <c r="J803" i="23" s="1"/>
  <c r="I803" i="6"/>
  <c r="H803" i="6"/>
  <c r="G803" i="6"/>
  <c r="F803" i="6"/>
  <c r="E803" i="6"/>
  <c r="E803" i="9" s="1"/>
  <c r="X802" i="6"/>
  <c r="E802" i="29" s="1"/>
  <c r="T729" i="31" s="1"/>
  <c r="V802" i="6"/>
  <c r="E802" i="28" s="1"/>
  <c r="N802" i="6"/>
  <c r="M802" i="6"/>
  <c r="M802" i="23" s="1"/>
  <c r="L802" i="6"/>
  <c r="K802" i="6"/>
  <c r="P802" i="23" s="1"/>
  <c r="J802" i="6"/>
  <c r="J802" i="23" s="1"/>
  <c r="I802" i="6"/>
  <c r="H802" i="6"/>
  <c r="G802" i="6"/>
  <c r="F802" i="6"/>
  <c r="E802" i="6"/>
  <c r="E802" i="9" s="1"/>
  <c r="V801" i="6"/>
  <c r="N801" i="6"/>
  <c r="M801" i="6"/>
  <c r="M801" i="23" s="1"/>
  <c r="L801" i="6"/>
  <c r="K801" i="6"/>
  <c r="P801" i="23" s="1"/>
  <c r="J801" i="6"/>
  <c r="J801" i="23" s="1"/>
  <c r="I801" i="6"/>
  <c r="H801" i="6"/>
  <c r="G801" i="6"/>
  <c r="F801" i="6"/>
  <c r="E801" i="6"/>
  <c r="E801" i="9" s="1"/>
  <c r="V800" i="6"/>
  <c r="E800" i="28" s="1"/>
  <c r="T801" i="6"/>
  <c r="E801" i="19" s="1"/>
  <c r="T802" i="6"/>
  <c r="E802" i="19" s="1"/>
  <c r="T803" i="6"/>
  <c r="E803" i="19" s="1"/>
  <c r="T804" i="6"/>
  <c r="E804" i="19" s="1"/>
  <c r="T800" i="6"/>
  <c r="E800" i="19" s="1"/>
  <c r="N800" i="6"/>
  <c r="M800" i="6"/>
  <c r="M800" i="23" s="1"/>
  <c r="L800" i="6"/>
  <c r="K800" i="6"/>
  <c r="P800" i="23" s="1"/>
  <c r="K799" i="6"/>
  <c r="P799" i="23" s="1"/>
  <c r="J800" i="6"/>
  <c r="J800" i="23" s="1"/>
  <c r="J799" i="6"/>
  <c r="J799" i="23" s="1"/>
  <c r="I800" i="6"/>
  <c r="I799" i="6"/>
  <c r="H800" i="6"/>
  <c r="H799" i="6"/>
  <c r="G800" i="6"/>
  <c r="G799" i="6"/>
  <c r="F800" i="6"/>
  <c r="F799" i="6"/>
  <c r="E799" i="6"/>
  <c r="E799" i="9" s="1"/>
  <c r="E800" i="6"/>
  <c r="E800" i="9" s="1"/>
  <c r="N793" i="6"/>
  <c r="M793" i="6"/>
  <c r="M793" i="23" s="1"/>
  <c r="L793" i="6"/>
  <c r="K793" i="6"/>
  <c r="P793" i="23" s="1"/>
  <c r="J793" i="6"/>
  <c r="J793" i="23" s="1"/>
  <c r="I793" i="6"/>
  <c r="H793" i="6"/>
  <c r="G793" i="6"/>
  <c r="F793" i="6"/>
  <c r="E793" i="6"/>
  <c r="E793" i="9" s="1"/>
  <c r="T792" i="6"/>
  <c r="E792" i="19" s="1"/>
  <c r="T793" i="6"/>
  <c r="E793" i="19" s="1"/>
  <c r="N792" i="6"/>
  <c r="M792" i="6"/>
  <c r="M792" i="23" s="1"/>
  <c r="L792" i="6"/>
  <c r="K792" i="6"/>
  <c r="P792" i="23" s="1"/>
  <c r="J792" i="6"/>
  <c r="J792" i="23" s="1"/>
  <c r="I792" i="6"/>
  <c r="H792" i="6"/>
  <c r="G792" i="6"/>
  <c r="F792" i="6"/>
  <c r="E792" i="6"/>
  <c r="E792" i="9" s="1"/>
  <c r="N791" i="6"/>
  <c r="M791" i="6"/>
  <c r="M791" i="23" s="1"/>
  <c r="L791" i="6"/>
  <c r="K791" i="6"/>
  <c r="P791" i="23" s="1"/>
  <c r="J791" i="6"/>
  <c r="J791" i="23" s="1"/>
  <c r="I791" i="6"/>
  <c r="H791" i="6"/>
  <c r="G791" i="6"/>
  <c r="F791" i="6"/>
  <c r="E791" i="6"/>
  <c r="E791" i="9" s="1"/>
  <c r="N790" i="6"/>
  <c r="M790" i="6"/>
  <c r="M790" i="23" s="1"/>
  <c r="L790" i="6"/>
  <c r="K790" i="6"/>
  <c r="P790" i="23" s="1"/>
  <c r="J790" i="6"/>
  <c r="J790" i="23" s="1"/>
  <c r="I790" i="6"/>
  <c r="H790" i="6"/>
  <c r="G790" i="6"/>
  <c r="F790" i="6"/>
  <c r="E790" i="6"/>
  <c r="E790" i="9" s="1"/>
  <c r="N789" i="6"/>
  <c r="M789" i="6"/>
  <c r="M789" i="23" s="1"/>
  <c r="L789" i="6"/>
  <c r="K789" i="6"/>
  <c r="P789" i="23" s="1"/>
  <c r="J789" i="6"/>
  <c r="J789" i="23" s="1"/>
  <c r="I789" i="6"/>
  <c r="H789" i="6"/>
  <c r="G789" i="6"/>
  <c r="F789" i="6"/>
  <c r="E789" i="6"/>
  <c r="E789" i="9" s="1"/>
  <c r="N788" i="6"/>
  <c r="M788" i="6"/>
  <c r="M788" i="23" s="1"/>
  <c r="L788" i="6"/>
  <c r="K788" i="6"/>
  <c r="P788" i="23" s="1"/>
  <c r="J788" i="6"/>
  <c r="J788" i="23" s="1"/>
  <c r="I788" i="6"/>
  <c r="H788" i="6"/>
  <c r="G788" i="6"/>
  <c r="F788" i="6"/>
  <c r="E788" i="6"/>
  <c r="E788" i="9" s="1"/>
  <c r="N787" i="6"/>
  <c r="M787" i="6"/>
  <c r="M787" i="23" s="1"/>
  <c r="L787" i="6"/>
  <c r="K787" i="6"/>
  <c r="P787" i="23" s="1"/>
  <c r="J787" i="6"/>
  <c r="J787" i="23" s="1"/>
  <c r="I787" i="6"/>
  <c r="H787" i="6"/>
  <c r="G787" i="6"/>
  <c r="F787" i="6"/>
  <c r="E787" i="6"/>
  <c r="E787" i="9" s="1"/>
  <c r="N786" i="6"/>
  <c r="M786" i="6"/>
  <c r="M786" i="23" s="1"/>
  <c r="L786" i="6"/>
  <c r="K786" i="6"/>
  <c r="P786" i="23" s="1"/>
  <c r="J786" i="6"/>
  <c r="J786" i="23" s="1"/>
  <c r="I785" i="6"/>
  <c r="I786" i="6"/>
  <c r="H786" i="6"/>
  <c r="G786" i="6"/>
  <c r="F786" i="6"/>
  <c r="E786" i="6"/>
  <c r="E786" i="9" s="1"/>
  <c r="N785" i="6"/>
  <c r="M785" i="6"/>
  <c r="M785" i="23" s="1"/>
  <c r="L785" i="6"/>
  <c r="K785" i="6"/>
  <c r="P785" i="23" s="1"/>
  <c r="J785" i="6"/>
  <c r="J785" i="23" s="1"/>
  <c r="H785" i="6"/>
  <c r="G785" i="6"/>
  <c r="F785" i="6"/>
  <c r="E785" i="6"/>
  <c r="E785" i="9" s="1"/>
  <c r="E786" i="10" l="1"/>
  <c r="Q786" i="23"/>
  <c r="E789" i="23"/>
  <c r="E789" i="8"/>
  <c r="F803" i="23"/>
  <c r="F803" i="8"/>
  <c r="F804" i="23"/>
  <c r="F804" i="8"/>
  <c r="F868" i="10"/>
  <c r="H868" i="23"/>
  <c r="K868" i="23" s="1"/>
  <c r="N868" i="23" s="1"/>
  <c r="E868" i="20"/>
  <c r="U789" i="31" s="1"/>
  <c r="E1094" i="23"/>
  <c r="E1094" i="8"/>
  <c r="F1099" i="9"/>
  <c r="F1099" i="23"/>
  <c r="F1099" i="8"/>
  <c r="F1072" i="9"/>
  <c r="F1072" i="23"/>
  <c r="F1072" i="8"/>
  <c r="E1077" i="23"/>
  <c r="E1077" i="8"/>
  <c r="F1078" i="9"/>
  <c r="F1078" i="23"/>
  <c r="F1078" i="8"/>
  <c r="E1079" i="23"/>
  <c r="E1079" i="8"/>
  <c r="F872" i="9"/>
  <c r="F872" i="23"/>
  <c r="F872" i="8"/>
  <c r="F873" i="10"/>
  <c r="H873" i="23"/>
  <c r="K873" i="23" s="1"/>
  <c r="N873" i="23" s="1"/>
  <c r="E873" i="20"/>
  <c r="U793" i="31" s="1"/>
  <c r="E880" i="10"/>
  <c r="Q880" i="23"/>
  <c r="F881" i="10"/>
  <c r="H881" i="23"/>
  <c r="K881" i="23" s="1"/>
  <c r="N881" i="23" s="1"/>
  <c r="E881" i="20"/>
  <c r="U801" i="31" s="1"/>
  <c r="E891" i="10"/>
  <c r="Q891" i="23"/>
  <c r="F899" i="10"/>
  <c r="H899" i="23"/>
  <c r="K899" i="23" s="1"/>
  <c r="N899" i="23" s="1"/>
  <c r="E899" i="20"/>
  <c r="U817" i="31" s="1"/>
  <c r="E903" i="23"/>
  <c r="E903" i="8"/>
  <c r="P834" i="31"/>
  <c r="S834" i="31"/>
  <c r="P836" i="31"/>
  <c r="S836" i="31"/>
  <c r="F922" i="10"/>
  <c r="E922" i="20"/>
  <c r="U838" i="31" s="1"/>
  <c r="H922" i="23"/>
  <c r="K922" i="23" s="1"/>
  <c r="N922" i="23" s="1"/>
  <c r="W1032" i="31"/>
  <c r="S1136" i="23"/>
  <c r="AA1032" i="31" s="1"/>
  <c r="E790" i="10"/>
  <c r="Q790" i="23"/>
  <c r="F791" i="10"/>
  <c r="H791" i="23"/>
  <c r="K791" i="23" s="1"/>
  <c r="N791" i="23" s="1"/>
  <c r="E791" i="20"/>
  <c r="U719" i="31" s="1"/>
  <c r="E788" i="23"/>
  <c r="E788" i="8"/>
  <c r="F791" i="23"/>
  <c r="F791" i="8"/>
  <c r="E792" i="23"/>
  <c r="E792" i="8"/>
  <c r="F800" i="23"/>
  <c r="F800" i="8"/>
  <c r="F786" i="23"/>
  <c r="F786" i="8"/>
  <c r="R786" i="23"/>
  <c r="Z714" i="31" s="1"/>
  <c r="E787" i="10"/>
  <c r="Q787" i="23"/>
  <c r="F788" i="10"/>
  <c r="H788" i="23"/>
  <c r="K788" i="23" s="1"/>
  <c r="N788" i="23" s="1"/>
  <c r="O788" i="23" s="1"/>
  <c r="Y716" i="31" s="1"/>
  <c r="E788" i="20"/>
  <c r="U716" i="31" s="1"/>
  <c r="E789" i="10"/>
  <c r="Q789" i="23"/>
  <c r="F790" i="10"/>
  <c r="H790" i="23"/>
  <c r="K790" i="23" s="1"/>
  <c r="N790" i="23" s="1"/>
  <c r="E790" i="20"/>
  <c r="U718" i="31" s="1"/>
  <c r="R790" i="23"/>
  <c r="Z718" i="31" s="1"/>
  <c r="E791" i="10"/>
  <c r="G791" i="10" s="1"/>
  <c r="G719" i="31" s="1"/>
  <c r="Q791" i="23"/>
  <c r="O791" i="23"/>
  <c r="Y719" i="31" s="1"/>
  <c r="F792" i="10"/>
  <c r="H792" i="23"/>
  <c r="K792" i="23" s="1"/>
  <c r="N792" i="23" s="1"/>
  <c r="E792" i="20"/>
  <c r="U720" i="31" s="1"/>
  <c r="F793" i="10"/>
  <c r="H793" i="23"/>
  <c r="K793" i="23" s="1"/>
  <c r="N793" i="23" s="1"/>
  <c r="E793" i="20"/>
  <c r="U721" i="31" s="1"/>
  <c r="F799" i="10"/>
  <c r="H799" i="23"/>
  <c r="K799" i="23" s="1"/>
  <c r="N799" i="23" s="1"/>
  <c r="O799" i="23" s="1"/>
  <c r="Y726" i="31" s="1"/>
  <c r="E799" i="20"/>
  <c r="U726" i="31" s="1"/>
  <c r="E799" i="10"/>
  <c r="G799" i="10" s="1"/>
  <c r="G726" i="31" s="1"/>
  <c r="Q799" i="23"/>
  <c r="R799" i="23"/>
  <c r="Z726" i="31" s="1"/>
  <c r="E801" i="23"/>
  <c r="E801" i="8"/>
  <c r="F802" i="10"/>
  <c r="H802" i="23"/>
  <c r="K802" i="23" s="1"/>
  <c r="N802" i="23" s="1"/>
  <c r="E802" i="20"/>
  <c r="U729" i="31" s="1"/>
  <c r="S729" i="31"/>
  <c r="P729" i="31"/>
  <c r="F803" i="10"/>
  <c r="H803" i="23"/>
  <c r="K803" i="23" s="1"/>
  <c r="N803" i="23" s="1"/>
  <c r="E803" i="20"/>
  <c r="U730" i="31" s="1"/>
  <c r="P730" i="31"/>
  <c r="S730" i="31"/>
  <c r="F804" i="10"/>
  <c r="H804" i="23"/>
  <c r="K804" i="23" s="1"/>
  <c r="N804" i="23" s="1"/>
  <c r="E804" i="20"/>
  <c r="U731" i="31" s="1"/>
  <c r="P731" i="31"/>
  <c r="S731" i="31"/>
  <c r="F861" i="23"/>
  <c r="F861" i="8"/>
  <c r="F862" i="10"/>
  <c r="H862" i="23"/>
  <c r="K862" i="23" s="1"/>
  <c r="N862" i="23" s="1"/>
  <c r="E862" i="20"/>
  <c r="U783" i="31" s="1"/>
  <c r="F863" i="23"/>
  <c r="F863" i="8"/>
  <c r="E864" i="23"/>
  <c r="E864" i="8"/>
  <c r="F865" i="23"/>
  <c r="F865" i="8"/>
  <c r="E866" i="23"/>
  <c r="E866" i="8"/>
  <c r="F867" i="23"/>
  <c r="F867" i="8"/>
  <c r="E868" i="23"/>
  <c r="E868" i="8"/>
  <c r="L868" i="23"/>
  <c r="X789" i="31" s="1"/>
  <c r="F869" i="23"/>
  <c r="F869" i="8"/>
  <c r="E870" i="23"/>
  <c r="E870" i="8"/>
  <c r="F1092" i="23"/>
  <c r="F1092" i="8"/>
  <c r="F1093" i="10"/>
  <c r="H1093" i="23"/>
  <c r="K1093" i="23" s="1"/>
  <c r="N1093" i="23" s="1"/>
  <c r="E1093" i="20"/>
  <c r="U993" i="31" s="1"/>
  <c r="E1094" i="10"/>
  <c r="Q1094" i="23"/>
  <c r="F1095" i="10"/>
  <c r="H1095" i="23"/>
  <c r="K1095" i="23" s="1"/>
  <c r="N1095" i="23" s="1"/>
  <c r="E1095" i="20"/>
  <c r="U995" i="31" s="1"/>
  <c r="E1096" i="10"/>
  <c r="Q1096" i="23"/>
  <c r="F1097" i="10"/>
  <c r="H1097" i="23"/>
  <c r="K1097" i="23" s="1"/>
  <c r="N1097" i="23" s="1"/>
  <c r="E1097" i="20"/>
  <c r="U997" i="31" s="1"/>
  <c r="E1098" i="10"/>
  <c r="Q1098" i="23"/>
  <c r="F1099" i="10"/>
  <c r="H1099" i="23"/>
  <c r="K1099" i="23" s="1"/>
  <c r="N1099" i="23" s="1"/>
  <c r="E1099" i="20"/>
  <c r="U999" i="31" s="1"/>
  <c r="E1100" i="23"/>
  <c r="E1100" i="8"/>
  <c r="E1099" i="10"/>
  <c r="Q1099" i="23"/>
  <c r="F1101" i="10"/>
  <c r="H1101" i="23"/>
  <c r="K1101" i="23" s="1"/>
  <c r="N1101" i="23" s="1"/>
  <c r="E1101" i="20"/>
  <c r="U1001" i="31" s="1"/>
  <c r="F1087" i="10"/>
  <c r="H1087" i="23"/>
  <c r="K1087" i="23" s="1"/>
  <c r="N1087" i="23" s="1"/>
  <c r="O1087" i="23" s="1"/>
  <c r="Y988" i="31" s="1"/>
  <c r="E1087" i="20"/>
  <c r="U988" i="31" s="1"/>
  <c r="E1087" i="10"/>
  <c r="G1087" i="10" s="1"/>
  <c r="G988" i="31" s="1"/>
  <c r="Q1087" i="23"/>
  <c r="R1087" i="23"/>
  <c r="Z988" i="31" s="1"/>
  <c r="E1089" i="23"/>
  <c r="E1089" i="8"/>
  <c r="F1090" i="9"/>
  <c r="F1090" i="23"/>
  <c r="F1090" i="8"/>
  <c r="F1073" i="10"/>
  <c r="H1073" i="23"/>
  <c r="K1073" i="23" s="1"/>
  <c r="N1073" i="23" s="1"/>
  <c r="E1073" i="20"/>
  <c r="U975" i="31" s="1"/>
  <c r="E1073" i="10"/>
  <c r="G1073" i="10" s="1"/>
  <c r="G975" i="31" s="1"/>
  <c r="Q1073" i="23"/>
  <c r="R1073" i="23"/>
  <c r="Z975" i="31" s="1"/>
  <c r="F1074" i="9"/>
  <c r="F1074" i="23"/>
  <c r="F1074" i="8"/>
  <c r="E1075" i="10"/>
  <c r="Q1075" i="23"/>
  <c r="F1076" i="9"/>
  <c r="G1076" i="9" s="1"/>
  <c r="F978" i="31" s="1"/>
  <c r="F1076" i="23"/>
  <c r="F1076" i="8"/>
  <c r="R1075" i="23"/>
  <c r="Z977" i="31" s="1"/>
  <c r="E1077" i="10"/>
  <c r="Q1077" i="23"/>
  <c r="F1078" i="10"/>
  <c r="H1078" i="23"/>
  <c r="K1078" i="23" s="1"/>
  <c r="N1078" i="23" s="1"/>
  <c r="E1078" i="20"/>
  <c r="U980" i="31" s="1"/>
  <c r="E1079" i="10"/>
  <c r="Q1079" i="23"/>
  <c r="F872" i="10"/>
  <c r="H872" i="23"/>
  <c r="K872" i="23" s="1"/>
  <c r="N872" i="23" s="1"/>
  <c r="E872" i="20"/>
  <c r="U792" i="31" s="1"/>
  <c r="E873" i="23"/>
  <c r="E873" i="8"/>
  <c r="L873" i="23"/>
  <c r="X793" i="31" s="1"/>
  <c r="F874" i="9"/>
  <c r="F874" i="23"/>
  <c r="F874" i="8"/>
  <c r="E875" i="23"/>
  <c r="E875" i="8"/>
  <c r="F876" i="9"/>
  <c r="F876" i="23"/>
  <c r="F876" i="8"/>
  <c r="E877" i="23"/>
  <c r="E877" i="8"/>
  <c r="F878" i="9"/>
  <c r="G878" i="9" s="1"/>
  <c r="F798" i="31" s="1"/>
  <c r="F878" i="23"/>
  <c r="F878" i="8"/>
  <c r="E879" i="23"/>
  <c r="E879" i="8"/>
  <c r="F880" i="9"/>
  <c r="G880" i="9" s="1"/>
  <c r="F800" i="31" s="1"/>
  <c r="F880" i="23"/>
  <c r="F880" i="8"/>
  <c r="E881" i="23"/>
  <c r="E881" i="8"/>
  <c r="L881" i="23"/>
  <c r="X801" i="31" s="1"/>
  <c r="F887" i="10"/>
  <c r="H887" i="23"/>
  <c r="K887" i="23" s="1"/>
  <c r="N887" i="23" s="1"/>
  <c r="E887" i="20"/>
  <c r="U806" i="31" s="1"/>
  <c r="L887" i="23"/>
  <c r="X806" i="31" s="1"/>
  <c r="E888" i="23"/>
  <c r="E888" i="8"/>
  <c r="E886" i="10"/>
  <c r="Q886" i="23"/>
  <c r="F889" i="9"/>
  <c r="F889" i="23"/>
  <c r="F889" i="8"/>
  <c r="F890" i="9"/>
  <c r="G890" i="9" s="1"/>
  <c r="F809" i="31" s="1"/>
  <c r="F890" i="23"/>
  <c r="F890" i="8"/>
  <c r="F891" i="9"/>
  <c r="F891" i="23"/>
  <c r="F891" i="8"/>
  <c r="F892" i="9"/>
  <c r="F892" i="23"/>
  <c r="F892" i="8"/>
  <c r="E900" i="23"/>
  <c r="G900" i="23" s="1"/>
  <c r="E900" i="8"/>
  <c r="F900" i="9"/>
  <c r="F900" i="23"/>
  <c r="F900" i="8"/>
  <c r="E901" i="23"/>
  <c r="E901" i="8"/>
  <c r="E902" i="10"/>
  <c r="Q902" i="23"/>
  <c r="E903" i="10"/>
  <c r="Q903" i="23"/>
  <c r="E916" i="10"/>
  <c r="Q916" i="23"/>
  <c r="E917" i="23"/>
  <c r="E917" i="8"/>
  <c r="E918" i="23"/>
  <c r="E918" i="8"/>
  <c r="E919" i="23"/>
  <c r="E919" i="8"/>
  <c r="E920" i="23"/>
  <c r="E920" i="8"/>
  <c r="E921" i="23"/>
  <c r="E921" i="8"/>
  <c r="E922" i="23"/>
  <c r="E922" i="8"/>
  <c r="L922" i="23"/>
  <c r="X838" i="31" s="1"/>
  <c r="F923" i="10"/>
  <c r="H923" i="23"/>
  <c r="K923" i="23" s="1"/>
  <c r="N923" i="23" s="1"/>
  <c r="E923" i="20"/>
  <c r="U839" i="31" s="1"/>
  <c r="P839" i="31"/>
  <c r="S839" i="31"/>
  <c r="E924" i="10"/>
  <c r="Q924" i="23"/>
  <c r="E924" i="23"/>
  <c r="E924" i="8"/>
  <c r="E927" i="23"/>
  <c r="E927" i="8"/>
  <c r="P842" i="31"/>
  <c r="S842" i="31"/>
  <c r="G928" i="9"/>
  <c r="F843" i="31" s="1"/>
  <c r="G913" i="9"/>
  <c r="F830" i="31" s="1"/>
  <c r="G909" i="9"/>
  <c r="F826" i="31" s="1"/>
  <c r="G905" i="9"/>
  <c r="F822" i="31" s="1"/>
  <c r="G896" i="9"/>
  <c r="F814" i="31" s="1"/>
  <c r="G885" i="9"/>
  <c r="F804" i="31" s="1"/>
  <c r="G871" i="9"/>
  <c r="G857" i="9"/>
  <c r="F779" i="31" s="1"/>
  <c r="G853" i="9"/>
  <c r="F775" i="31" s="1"/>
  <c r="G849" i="9"/>
  <c r="G845" i="9"/>
  <c r="F768" i="31" s="1"/>
  <c r="G841" i="9"/>
  <c r="F764" i="31" s="1"/>
  <c r="G837" i="9"/>
  <c r="F761" i="31" s="1"/>
  <c r="G833" i="9"/>
  <c r="F757" i="31" s="1"/>
  <c r="G829" i="9"/>
  <c r="F753" i="31" s="1"/>
  <c r="G825" i="9"/>
  <c r="F750" i="31" s="1"/>
  <c r="G821" i="9"/>
  <c r="F746" i="31" s="1"/>
  <c r="G817" i="9"/>
  <c r="F742" i="31" s="1"/>
  <c r="G813" i="9"/>
  <c r="F739" i="31" s="1"/>
  <c r="G809" i="9"/>
  <c r="F735" i="31" s="1"/>
  <c r="G805" i="9"/>
  <c r="G795" i="9"/>
  <c r="F722" i="31" s="1"/>
  <c r="G771" i="9"/>
  <c r="F701" i="31" s="1"/>
  <c r="G767" i="9"/>
  <c r="F697" i="31" s="1"/>
  <c r="G763" i="9"/>
  <c r="F693" i="31" s="1"/>
  <c r="G751" i="9"/>
  <c r="F682" i="31" s="1"/>
  <c r="G747" i="9"/>
  <c r="F679" i="31" s="1"/>
  <c r="G743" i="9"/>
  <c r="F675" i="31" s="1"/>
  <c r="G739" i="9"/>
  <c r="G713" i="9"/>
  <c r="F648" i="31" s="1"/>
  <c r="G709" i="9"/>
  <c r="F644" i="31" s="1"/>
  <c r="G705" i="9"/>
  <c r="F641" i="31" s="1"/>
  <c r="G701" i="9"/>
  <c r="F637" i="31" s="1"/>
  <c r="G697" i="9"/>
  <c r="F633" i="31" s="1"/>
  <c r="G117" i="9"/>
  <c r="F106" i="31" s="1"/>
  <c r="G113" i="9"/>
  <c r="F102" i="31" s="1"/>
  <c r="G79" i="9"/>
  <c r="G56" i="9"/>
  <c r="F51" i="31" s="1"/>
  <c r="G40" i="9"/>
  <c r="F36" i="31" s="1"/>
  <c r="G36" i="9"/>
  <c r="F32" i="31" s="1"/>
  <c r="G12" i="9"/>
  <c r="F11" i="31" s="1"/>
  <c r="G8" i="9"/>
  <c r="F7" i="31" s="1"/>
  <c r="G4" i="9"/>
  <c r="F3" i="31" s="1"/>
  <c r="E930" i="10"/>
  <c r="G930" i="10" s="1"/>
  <c r="G845" i="31" s="1"/>
  <c r="G116" i="10"/>
  <c r="G105" i="31" s="1"/>
  <c r="G112" i="10"/>
  <c r="G68" i="10"/>
  <c r="G46" i="10"/>
  <c r="G39" i="10"/>
  <c r="G35" i="31" s="1"/>
  <c r="G35" i="10"/>
  <c r="G11" i="10"/>
  <c r="G10" i="31" s="1"/>
  <c r="G7" i="10"/>
  <c r="G6" i="31" s="1"/>
  <c r="G3" i="10"/>
  <c r="G2" i="31" s="1"/>
  <c r="E929" i="23"/>
  <c r="E929" i="8"/>
  <c r="R929" i="23"/>
  <c r="Z844" i="31" s="1"/>
  <c r="P844" i="31"/>
  <c r="S844" i="31"/>
  <c r="S845" i="31"/>
  <c r="P845" i="31"/>
  <c r="H931" i="23"/>
  <c r="K931" i="23" s="1"/>
  <c r="N931" i="23" s="1"/>
  <c r="E931" i="20"/>
  <c r="U846" i="31" s="1"/>
  <c r="R931" i="23"/>
  <c r="Z846" i="31" s="1"/>
  <c r="P846" i="31"/>
  <c r="S846" i="31"/>
  <c r="H932" i="23"/>
  <c r="K932" i="23" s="1"/>
  <c r="N932" i="23" s="1"/>
  <c r="O932" i="23" s="1"/>
  <c r="Y847" i="31" s="1"/>
  <c r="E932" i="20"/>
  <c r="U847" i="31" s="1"/>
  <c r="R932" i="23"/>
  <c r="Z847" i="31" s="1"/>
  <c r="W771" i="31"/>
  <c r="S848" i="23"/>
  <c r="AA771" i="31" s="1"/>
  <c r="S1130" i="23"/>
  <c r="AA1027" i="31" s="1"/>
  <c r="W1027" i="31"/>
  <c r="W941" i="31"/>
  <c r="S1035" i="23"/>
  <c r="AA941" i="31" s="1"/>
  <c r="I1032" i="23"/>
  <c r="G996" i="23"/>
  <c r="I996" i="23" s="1"/>
  <c r="W768" i="31"/>
  <c r="S845" i="23"/>
  <c r="AA768" i="31" s="1"/>
  <c r="W1029" i="31"/>
  <c r="S1132" i="23"/>
  <c r="AA1029" i="31" s="1"/>
  <c r="G1002" i="8"/>
  <c r="E911" i="31" s="1"/>
  <c r="L1000" i="23"/>
  <c r="X909" i="31" s="1"/>
  <c r="G995" i="8"/>
  <c r="E904" i="31" s="1"/>
  <c r="I990" i="23"/>
  <c r="L986" i="23"/>
  <c r="X896" i="31" s="1"/>
  <c r="W892" i="31"/>
  <c r="S982" i="23"/>
  <c r="AA892" i="31" s="1"/>
  <c r="W739" i="31"/>
  <c r="S813" i="23"/>
  <c r="AA739" i="31" s="1"/>
  <c r="W956" i="31"/>
  <c r="S1052" i="23"/>
  <c r="AA956" i="31" s="1"/>
  <c r="L1044" i="23"/>
  <c r="X949" i="31" s="1"/>
  <c r="G1033" i="23"/>
  <c r="I1033" i="23" s="1"/>
  <c r="G1031" i="8"/>
  <c r="E937" i="31" s="1"/>
  <c r="L1029" i="23"/>
  <c r="X935" i="31" s="1"/>
  <c r="G994" i="23"/>
  <c r="I994" i="23" s="1"/>
  <c r="W741" i="31"/>
  <c r="S815" i="23"/>
  <c r="AA741" i="31" s="1"/>
  <c r="S1126" i="23"/>
  <c r="AA1023" i="31" s="1"/>
  <c r="W1023" i="31"/>
  <c r="S843" i="23"/>
  <c r="AA766" i="31" s="1"/>
  <c r="W766" i="31"/>
  <c r="G1001" i="8"/>
  <c r="E910" i="31" s="1"/>
  <c r="G997" i="23"/>
  <c r="I997" i="23" s="1"/>
  <c r="G991" i="23"/>
  <c r="I991" i="23" s="1"/>
  <c r="G989" i="8"/>
  <c r="E899" i="31" s="1"/>
  <c r="L987" i="23"/>
  <c r="X897" i="31" s="1"/>
  <c r="G935" i="8"/>
  <c r="E850" i="31" s="1"/>
  <c r="F788" i="23"/>
  <c r="F788" i="8"/>
  <c r="E800" i="10"/>
  <c r="Q800" i="23"/>
  <c r="W800" i="6"/>
  <c r="E801" i="28"/>
  <c r="E861" i="10"/>
  <c r="Q861" i="23"/>
  <c r="F862" i="23"/>
  <c r="F862" i="8"/>
  <c r="E863" i="10"/>
  <c r="Q863" i="23"/>
  <c r="E865" i="10"/>
  <c r="Q865" i="23"/>
  <c r="E1092" i="10"/>
  <c r="Q1092" i="23"/>
  <c r="F1097" i="9"/>
  <c r="F1097" i="23"/>
  <c r="F1097" i="8"/>
  <c r="E1072" i="23"/>
  <c r="G1072" i="23" s="1"/>
  <c r="E1072" i="8"/>
  <c r="G1072" i="8" s="1"/>
  <c r="E974" i="31" s="1"/>
  <c r="G1074" i="9"/>
  <c r="F976" i="31" s="1"/>
  <c r="E1075" i="23"/>
  <c r="E1075" i="8"/>
  <c r="G874" i="9"/>
  <c r="F794" i="31" s="1"/>
  <c r="E874" i="10"/>
  <c r="Q874" i="23"/>
  <c r="F875" i="10"/>
  <c r="H875" i="23"/>
  <c r="K875" i="23" s="1"/>
  <c r="N875" i="23" s="1"/>
  <c r="E875" i="20"/>
  <c r="U795" i="31" s="1"/>
  <c r="G886" i="9"/>
  <c r="F805" i="31" s="1"/>
  <c r="F886" i="9"/>
  <c r="F886" i="23"/>
  <c r="F886" i="8"/>
  <c r="F888" i="10"/>
  <c r="H888" i="23"/>
  <c r="K888" i="23" s="1"/>
  <c r="N888" i="23" s="1"/>
  <c r="O888" i="23" s="1"/>
  <c r="Y807" i="31" s="1"/>
  <c r="E888" i="20"/>
  <c r="U807" i="31" s="1"/>
  <c r="E889" i="10"/>
  <c r="Q889" i="23"/>
  <c r="O899" i="23"/>
  <c r="Y817" i="31" s="1"/>
  <c r="F901" i="10"/>
  <c r="H901" i="23"/>
  <c r="K901" i="23" s="1"/>
  <c r="N901" i="23" s="1"/>
  <c r="E901" i="20"/>
  <c r="U819" i="31" s="1"/>
  <c r="E902" i="23"/>
  <c r="E902" i="8"/>
  <c r="S833" i="31"/>
  <c r="P833" i="31"/>
  <c r="F918" i="10"/>
  <c r="H918" i="23"/>
  <c r="K918" i="23" s="1"/>
  <c r="N918" i="23" s="1"/>
  <c r="E918" i="20"/>
  <c r="U834" i="31" s="1"/>
  <c r="F919" i="10"/>
  <c r="H919" i="23"/>
  <c r="K919" i="23" s="1"/>
  <c r="N919" i="23" s="1"/>
  <c r="E919" i="20"/>
  <c r="U835" i="31" s="1"/>
  <c r="P835" i="31"/>
  <c r="S835" i="31"/>
  <c r="F921" i="10"/>
  <c r="H921" i="23"/>
  <c r="K921" i="23" s="1"/>
  <c r="N921" i="23" s="1"/>
  <c r="E921" i="20"/>
  <c r="U837" i="31" s="1"/>
  <c r="S841" i="31"/>
  <c r="P841" i="31"/>
  <c r="E930" i="23"/>
  <c r="E930" i="8"/>
  <c r="R930" i="23"/>
  <c r="Z845" i="31" s="1"/>
  <c r="F931" i="23"/>
  <c r="F931" i="8"/>
  <c r="F932" i="23"/>
  <c r="F932" i="8"/>
  <c r="W953" i="31"/>
  <c r="S1049" i="23"/>
  <c r="AA953" i="31" s="1"/>
  <c r="W936" i="31"/>
  <c r="S1030" i="23"/>
  <c r="AA936" i="31" s="1"/>
  <c r="S1054" i="23"/>
  <c r="AA958" i="31" s="1"/>
  <c r="W958" i="31"/>
  <c r="W734" i="31"/>
  <c r="S808" i="23"/>
  <c r="AA734" i="31" s="1"/>
  <c r="W757" i="31"/>
  <c r="S833" i="23"/>
  <c r="AA757" i="31" s="1"/>
  <c r="W946" i="31"/>
  <c r="W911" i="31"/>
  <c r="W908" i="31"/>
  <c r="W904" i="31"/>
  <c r="I988" i="23"/>
  <c r="W849" i="31"/>
  <c r="W954" i="31"/>
  <c r="S1050" i="23"/>
  <c r="AA954" i="31" s="1"/>
  <c r="W1026" i="31"/>
  <c r="S1129" i="23"/>
  <c r="AA1026" i="31" s="1"/>
  <c r="W961" i="31"/>
  <c r="S1057" i="23"/>
  <c r="AA961" i="31" s="1"/>
  <c r="W937" i="31"/>
  <c r="S834" i="23"/>
  <c r="AA758" i="31" s="1"/>
  <c r="W758" i="31"/>
  <c r="W1028" i="31"/>
  <c r="S1131" i="23"/>
  <c r="AA1028" i="31" s="1"/>
  <c r="W910" i="31"/>
  <c r="W899" i="31"/>
  <c r="W850" i="31"/>
  <c r="S935" i="23"/>
  <c r="AA850" i="31" s="1"/>
  <c r="E785" i="23"/>
  <c r="E785" i="8"/>
  <c r="F790" i="23"/>
  <c r="F790" i="8"/>
  <c r="E791" i="23"/>
  <c r="G791" i="23" s="1"/>
  <c r="I791" i="23" s="1"/>
  <c r="E791" i="8"/>
  <c r="G791" i="8" s="1"/>
  <c r="E719" i="31" s="1"/>
  <c r="F792" i="23"/>
  <c r="F792" i="8"/>
  <c r="F793" i="23"/>
  <c r="F793" i="8"/>
  <c r="F800" i="10"/>
  <c r="H800" i="23"/>
  <c r="K800" i="23" s="1"/>
  <c r="N800" i="23" s="1"/>
  <c r="E800" i="20"/>
  <c r="U727" i="31" s="1"/>
  <c r="F801" i="10"/>
  <c r="H801" i="23"/>
  <c r="K801" i="23" s="1"/>
  <c r="N801" i="23" s="1"/>
  <c r="E801" i="20"/>
  <c r="U728" i="31" s="1"/>
  <c r="F802" i="23"/>
  <c r="F802" i="8"/>
  <c r="F864" i="10"/>
  <c r="H864" i="23"/>
  <c r="K864" i="23" s="1"/>
  <c r="N864" i="23" s="1"/>
  <c r="E864" i="20"/>
  <c r="U785" i="31" s="1"/>
  <c r="E865" i="23"/>
  <c r="G865" i="23" s="1"/>
  <c r="E865" i="8"/>
  <c r="G865" i="8" s="1"/>
  <c r="E786" i="31" s="1"/>
  <c r="F866" i="10"/>
  <c r="H866" i="23"/>
  <c r="K866" i="23" s="1"/>
  <c r="N866" i="23" s="1"/>
  <c r="E866" i="20"/>
  <c r="U787" i="31" s="1"/>
  <c r="F1093" i="9"/>
  <c r="F1093" i="23"/>
  <c r="F1093" i="8"/>
  <c r="E1098" i="23"/>
  <c r="E1098" i="8"/>
  <c r="F1101" i="9"/>
  <c r="F1101" i="23"/>
  <c r="F1101" i="8"/>
  <c r="F1088" i="10"/>
  <c r="H1088" i="23"/>
  <c r="K1088" i="23" s="1"/>
  <c r="N1088" i="23" s="1"/>
  <c r="O1088" i="23" s="1"/>
  <c r="Y989" i="31" s="1"/>
  <c r="E1088" i="20"/>
  <c r="U989" i="31" s="1"/>
  <c r="E1088" i="10"/>
  <c r="Q1088" i="23"/>
  <c r="R1088" i="23" s="1"/>
  <c r="Z989" i="31" s="1"/>
  <c r="F1089" i="10"/>
  <c r="H1089" i="23"/>
  <c r="K1089" i="23" s="1"/>
  <c r="N1089" i="23" s="1"/>
  <c r="E1089" i="20"/>
  <c r="U990" i="31" s="1"/>
  <c r="E1090" i="10"/>
  <c r="Q1090" i="23"/>
  <c r="E1074" i="10"/>
  <c r="Q1074" i="23"/>
  <c r="E1076" i="10"/>
  <c r="Q1076" i="23"/>
  <c r="E878" i="10"/>
  <c r="Q878" i="23"/>
  <c r="F879" i="10"/>
  <c r="H879" i="23"/>
  <c r="K879" i="23" s="1"/>
  <c r="N879" i="23" s="1"/>
  <c r="E879" i="20"/>
  <c r="U799" i="31" s="1"/>
  <c r="E887" i="10"/>
  <c r="G887" i="10" s="1"/>
  <c r="G806" i="31" s="1"/>
  <c r="Q887" i="23"/>
  <c r="G889" i="9"/>
  <c r="F808" i="31" s="1"/>
  <c r="E890" i="10"/>
  <c r="Q890" i="23"/>
  <c r="L901" i="23"/>
  <c r="X819" i="31" s="1"/>
  <c r="E916" i="23"/>
  <c r="E916" i="8"/>
  <c r="F917" i="10"/>
  <c r="H917" i="23"/>
  <c r="K917" i="23" s="1"/>
  <c r="N917" i="23" s="1"/>
  <c r="E917" i="20"/>
  <c r="U833" i="31" s="1"/>
  <c r="F920" i="10"/>
  <c r="H920" i="23"/>
  <c r="K920" i="23" s="1"/>
  <c r="N920" i="23" s="1"/>
  <c r="E920" i="20"/>
  <c r="U836" i="31" s="1"/>
  <c r="S837" i="31"/>
  <c r="P837" i="31"/>
  <c r="P838" i="31"/>
  <c r="S838" i="31"/>
  <c r="F923" i="9"/>
  <c r="F923" i="23"/>
  <c r="F923" i="8"/>
  <c r="F925" i="10"/>
  <c r="H925" i="23"/>
  <c r="K925" i="23" s="1"/>
  <c r="N925" i="23" s="1"/>
  <c r="E925" i="20"/>
  <c r="U841" i="31" s="1"/>
  <c r="W765" i="31"/>
  <c r="S842" i="23"/>
  <c r="AA765" i="31" s="1"/>
  <c r="R787" i="23"/>
  <c r="Z715" i="31" s="1"/>
  <c r="R789" i="23"/>
  <c r="Z717" i="31" s="1"/>
  <c r="R791" i="23"/>
  <c r="Z719" i="31" s="1"/>
  <c r="E792" i="10"/>
  <c r="G792" i="10" s="1"/>
  <c r="G720" i="31" s="1"/>
  <c r="Q792" i="23"/>
  <c r="R792" i="23" s="1"/>
  <c r="Z720" i="31" s="1"/>
  <c r="O792" i="23"/>
  <c r="Y720" i="31" s="1"/>
  <c r="E793" i="10"/>
  <c r="G793" i="10" s="1"/>
  <c r="G721" i="31" s="1"/>
  <c r="Q793" i="23"/>
  <c r="R793" i="23" s="1"/>
  <c r="Z721" i="31" s="1"/>
  <c r="O793" i="23"/>
  <c r="Y721" i="31" s="1"/>
  <c r="E799" i="23"/>
  <c r="G799" i="23" s="1"/>
  <c r="I799" i="23" s="1"/>
  <c r="E799" i="8"/>
  <c r="G799" i="8" s="1"/>
  <c r="E726" i="31" s="1"/>
  <c r="F799" i="23"/>
  <c r="F799" i="8"/>
  <c r="L799" i="23"/>
  <c r="X726" i="31" s="1"/>
  <c r="P727" i="31"/>
  <c r="S727" i="31"/>
  <c r="F801" i="23"/>
  <c r="F801" i="8"/>
  <c r="E802" i="10"/>
  <c r="G802" i="10" s="1"/>
  <c r="G729" i="31" s="1"/>
  <c r="Q802" i="23"/>
  <c r="R802" i="23" s="1"/>
  <c r="Z729" i="31" s="1"/>
  <c r="O802" i="23"/>
  <c r="Y729" i="31" s="1"/>
  <c r="E803" i="10"/>
  <c r="G803" i="10" s="1"/>
  <c r="G730" i="31" s="1"/>
  <c r="Q803" i="23"/>
  <c r="R803" i="23" s="1"/>
  <c r="Z730" i="31" s="1"/>
  <c r="O803" i="23"/>
  <c r="Y730" i="31" s="1"/>
  <c r="E804" i="10"/>
  <c r="G804" i="10" s="1"/>
  <c r="G731" i="31" s="1"/>
  <c r="Q804" i="23"/>
  <c r="R804" i="23" s="1"/>
  <c r="Z731" i="31" s="1"/>
  <c r="O804" i="23"/>
  <c r="Y731" i="31" s="1"/>
  <c r="E861" i="23"/>
  <c r="G861" i="23" s="1"/>
  <c r="E861" i="8"/>
  <c r="G861" i="8" s="1"/>
  <c r="E782" i="31" s="1"/>
  <c r="E862" i="10"/>
  <c r="G862" i="10" s="1"/>
  <c r="G783" i="31" s="1"/>
  <c r="Q862" i="23"/>
  <c r="R862" i="23" s="1"/>
  <c r="Z783" i="31" s="1"/>
  <c r="O862" i="23"/>
  <c r="Y783" i="31" s="1"/>
  <c r="E863" i="23"/>
  <c r="G863" i="23" s="1"/>
  <c r="E863" i="8"/>
  <c r="G863" i="8" s="1"/>
  <c r="E784" i="31" s="1"/>
  <c r="F864" i="23"/>
  <c r="F864" i="8"/>
  <c r="F866" i="23"/>
  <c r="F866" i="8"/>
  <c r="E867" i="23"/>
  <c r="G867" i="23" s="1"/>
  <c r="E867" i="8"/>
  <c r="G867" i="8" s="1"/>
  <c r="E788" i="31" s="1"/>
  <c r="F868" i="23"/>
  <c r="F868" i="8"/>
  <c r="E869" i="23"/>
  <c r="G869" i="23" s="1"/>
  <c r="E869" i="8"/>
  <c r="G869" i="8" s="1"/>
  <c r="E790" i="31" s="1"/>
  <c r="F870" i="23"/>
  <c r="F870" i="8"/>
  <c r="E1092" i="23"/>
  <c r="G1092" i="23" s="1"/>
  <c r="E1092" i="8"/>
  <c r="G1092" i="8" s="1"/>
  <c r="E992" i="31" s="1"/>
  <c r="R1092" i="23"/>
  <c r="Z992" i="31" s="1"/>
  <c r="G1093" i="9"/>
  <c r="F993" i="31" s="1"/>
  <c r="E1093" i="10"/>
  <c r="G1093" i="10" s="1"/>
  <c r="G993" i="31" s="1"/>
  <c r="Q1093" i="23"/>
  <c r="R1093" i="23" s="1"/>
  <c r="Z993" i="31" s="1"/>
  <c r="O1093" i="23"/>
  <c r="Y993" i="31" s="1"/>
  <c r="F1094" i="10"/>
  <c r="H1094" i="23"/>
  <c r="K1094" i="23" s="1"/>
  <c r="N1094" i="23" s="1"/>
  <c r="O1094" i="23" s="1"/>
  <c r="Y994" i="31" s="1"/>
  <c r="E1094" i="20"/>
  <c r="U994" i="31" s="1"/>
  <c r="R1094" i="23"/>
  <c r="Z994" i="31" s="1"/>
  <c r="E1095" i="10"/>
  <c r="G1095" i="10" s="1"/>
  <c r="G995" i="31" s="1"/>
  <c r="Q1095" i="23"/>
  <c r="R1095" i="23" s="1"/>
  <c r="Z995" i="31" s="1"/>
  <c r="O1095" i="23"/>
  <c r="Y995" i="31" s="1"/>
  <c r="F1096" i="10"/>
  <c r="H1096" i="23"/>
  <c r="K1096" i="23" s="1"/>
  <c r="N1096" i="23" s="1"/>
  <c r="O1096" i="23" s="1"/>
  <c r="Y996" i="31" s="1"/>
  <c r="E1096" i="20"/>
  <c r="U996" i="31" s="1"/>
  <c r="R1096" i="23"/>
  <c r="Z996" i="31" s="1"/>
  <c r="G1097" i="9"/>
  <c r="F997" i="31" s="1"/>
  <c r="E1097" i="10"/>
  <c r="G1097" i="10" s="1"/>
  <c r="G997" i="31" s="1"/>
  <c r="Q1097" i="23"/>
  <c r="R1097" i="23" s="1"/>
  <c r="Z997" i="31" s="1"/>
  <c r="O1097" i="23"/>
  <c r="Y997" i="31" s="1"/>
  <c r="F1098" i="10"/>
  <c r="H1098" i="23"/>
  <c r="K1098" i="23" s="1"/>
  <c r="N1098" i="23" s="1"/>
  <c r="O1098" i="23" s="1"/>
  <c r="Y998" i="31" s="1"/>
  <c r="E1098" i="20"/>
  <c r="U998" i="31" s="1"/>
  <c r="R1098" i="23"/>
  <c r="Z998" i="31" s="1"/>
  <c r="G1099" i="9"/>
  <c r="F999" i="31" s="1"/>
  <c r="L1099" i="23"/>
  <c r="X999" i="31" s="1"/>
  <c r="F1100" i="23"/>
  <c r="F1100" i="8"/>
  <c r="G1101" i="9"/>
  <c r="F1001" i="31" s="1"/>
  <c r="E1101" i="10"/>
  <c r="G1101" i="10" s="1"/>
  <c r="G1001" i="31" s="1"/>
  <c r="Q1101" i="23"/>
  <c r="R1101" i="23" s="1"/>
  <c r="Z1001" i="31" s="1"/>
  <c r="O1101" i="23"/>
  <c r="Y1001" i="31" s="1"/>
  <c r="E1087" i="23"/>
  <c r="E1087" i="8"/>
  <c r="G1087" i="8" s="1"/>
  <c r="E988" i="31" s="1"/>
  <c r="F1087" i="9"/>
  <c r="G1087" i="9" s="1"/>
  <c r="F988" i="31" s="1"/>
  <c r="F1087" i="23"/>
  <c r="F1087" i="8"/>
  <c r="L1087" i="23"/>
  <c r="X988" i="31" s="1"/>
  <c r="F1089" i="9"/>
  <c r="F1089" i="23"/>
  <c r="F1089" i="8"/>
  <c r="E1090" i="23"/>
  <c r="G1090" i="23" s="1"/>
  <c r="E1090" i="8"/>
  <c r="G1090" i="8" s="1"/>
  <c r="E991" i="31" s="1"/>
  <c r="E1073" i="23"/>
  <c r="E1073" i="8"/>
  <c r="G1073" i="8" s="1"/>
  <c r="E975" i="31" s="1"/>
  <c r="F1073" i="9"/>
  <c r="G1073" i="9" s="1"/>
  <c r="F975" i="31" s="1"/>
  <c r="F1073" i="23"/>
  <c r="F1073" i="8"/>
  <c r="L1073" i="23"/>
  <c r="X975" i="31" s="1"/>
  <c r="E1074" i="23"/>
  <c r="G1074" i="23" s="1"/>
  <c r="E1074" i="8"/>
  <c r="G1074" i="8" s="1"/>
  <c r="E976" i="31" s="1"/>
  <c r="O1073" i="23"/>
  <c r="Y975" i="31" s="1"/>
  <c r="F1075" i="10"/>
  <c r="H1075" i="23"/>
  <c r="K1075" i="23" s="1"/>
  <c r="N1075" i="23" s="1"/>
  <c r="E1075" i="20"/>
  <c r="U977" i="31" s="1"/>
  <c r="E1076" i="23"/>
  <c r="G1076" i="23" s="1"/>
  <c r="E1076" i="8"/>
  <c r="G1076" i="8" s="1"/>
  <c r="E978" i="31" s="1"/>
  <c r="F1077" i="10"/>
  <c r="H1077" i="23"/>
  <c r="K1077" i="23" s="1"/>
  <c r="N1077" i="23" s="1"/>
  <c r="O1077" i="23" s="1"/>
  <c r="Y979" i="31" s="1"/>
  <c r="E1077" i="20"/>
  <c r="U979" i="31" s="1"/>
  <c r="R1077" i="23"/>
  <c r="Z979" i="31" s="1"/>
  <c r="G1078" i="9"/>
  <c r="F980" i="31" s="1"/>
  <c r="E1078" i="10"/>
  <c r="G1078" i="10" s="1"/>
  <c r="G980" i="31" s="1"/>
  <c r="Q1078" i="23"/>
  <c r="R1078" i="23" s="1"/>
  <c r="Z980" i="31" s="1"/>
  <c r="O1078" i="23"/>
  <c r="Y980" i="31" s="1"/>
  <c r="F1079" i="10"/>
  <c r="H1079" i="23"/>
  <c r="K1079" i="23" s="1"/>
  <c r="N1079" i="23" s="1"/>
  <c r="O1079" i="23" s="1"/>
  <c r="Y981" i="31" s="1"/>
  <c r="E1079" i="20"/>
  <c r="U981" i="31" s="1"/>
  <c r="R1079" i="23"/>
  <c r="Z981" i="31" s="1"/>
  <c r="G872" i="9"/>
  <c r="F792" i="31" s="1"/>
  <c r="E872" i="10"/>
  <c r="G872" i="10" s="1"/>
  <c r="G792" i="31" s="1"/>
  <c r="Q872" i="23"/>
  <c r="R872" i="23" s="1"/>
  <c r="Z792" i="31" s="1"/>
  <c r="O872" i="23"/>
  <c r="Y792" i="31" s="1"/>
  <c r="F873" i="9"/>
  <c r="F873" i="23"/>
  <c r="F873" i="8"/>
  <c r="E874" i="23"/>
  <c r="G874" i="23" s="1"/>
  <c r="E874" i="8"/>
  <c r="G874" i="8" s="1"/>
  <c r="E794" i="31" s="1"/>
  <c r="F875" i="9"/>
  <c r="F875" i="23"/>
  <c r="F875" i="8"/>
  <c r="E876" i="23"/>
  <c r="G876" i="23" s="1"/>
  <c r="E876" i="8"/>
  <c r="G876" i="8" s="1"/>
  <c r="E796" i="31" s="1"/>
  <c r="F877" i="9"/>
  <c r="F877" i="23"/>
  <c r="F877" i="8"/>
  <c r="E878" i="23"/>
  <c r="G878" i="23" s="1"/>
  <c r="E878" i="8"/>
  <c r="G878" i="8" s="1"/>
  <c r="E798" i="31" s="1"/>
  <c r="F879" i="9"/>
  <c r="F879" i="23"/>
  <c r="F879" i="8"/>
  <c r="E880" i="23"/>
  <c r="G880" i="23" s="1"/>
  <c r="E880" i="8"/>
  <c r="G880" i="8" s="1"/>
  <c r="E800" i="31" s="1"/>
  <c r="F881" i="9"/>
  <c r="F881" i="23"/>
  <c r="F881" i="8"/>
  <c r="F887" i="9"/>
  <c r="G887" i="9" s="1"/>
  <c r="F806" i="31" s="1"/>
  <c r="F887" i="23"/>
  <c r="F887" i="8"/>
  <c r="R887" i="23"/>
  <c r="Z806" i="31" s="1"/>
  <c r="O887" i="23"/>
  <c r="Y806" i="31" s="1"/>
  <c r="E886" i="23"/>
  <c r="G886" i="23" s="1"/>
  <c r="E886" i="8"/>
  <c r="G886" i="8" s="1"/>
  <c r="E805" i="31" s="1"/>
  <c r="F888" i="9"/>
  <c r="G888" i="9" s="1"/>
  <c r="F807" i="31" s="1"/>
  <c r="F888" i="23"/>
  <c r="F888" i="8"/>
  <c r="L888" i="23"/>
  <c r="X807" i="31" s="1"/>
  <c r="E889" i="23"/>
  <c r="G889" i="23" s="1"/>
  <c r="E889" i="8"/>
  <c r="G889" i="8" s="1"/>
  <c r="E808" i="31" s="1"/>
  <c r="E890" i="23"/>
  <c r="G890" i="23" s="1"/>
  <c r="E890" i="8"/>
  <c r="G890" i="8" s="1"/>
  <c r="E809" i="31" s="1"/>
  <c r="E891" i="23"/>
  <c r="G891" i="23" s="1"/>
  <c r="E891" i="8"/>
  <c r="G891" i="8" s="1"/>
  <c r="E810" i="31" s="1"/>
  <c r="E892" i="23"/>
  <c r="G892" i="23" s="1"/>
  <c r="E892" i="8"/>
  <c r="G892" i="8" s="1"/>
  <c r="E811" i="31" s="1"/>
  <c r="G900" i="9"/>
  <c r="F818" i="31" s="1"/>
  <c r="F900" i="10"/>
  <c r="H900" i="23"/>
  <c r="K900" i="23" s="1"/>
  <c r="N900" i="23" s="1"/>
  <c r="E900" i="20"/>
  <c r="U818" i="31" s="1"/>
  <c r="E900" i="10"/>
  <c r="Q900" i="23"/>
  <c r="R900" i="23" s="1"/>
  <c r="Z818" i="31" s="1"/>
  <c r="O900" i="23"/>
  <c r="Y818" i="31" s="1"/>
  <c r="P818" i="31"/>
  <c r="S818" i="31"/>
  <c r="F901" i="9"/>
  <c r="F901" i="23"/>
  <c r="F901" i="8"/>
  <c r="O901" i="23"/>
  <c r="Y819" i="31" s="1"/>
  <c r="F902" i="10"/>
  <c r="H902" i="23"/>
  <c r="K902" i="23" s="1"/>
  <c r="N902" i="23" s="1"/>
  <c r="O902" i="23" s="1"/>
  <c r="Y820" i="31" s="1"/>
  <c r="E902" i="20"/>
  <c r="U820" i="31" s="1"/>
  <c r="F903" i="10"/>
  <c r="H903" i="23"/>
  <c r="K903" i="23" s="1"/>
  <c r="N903" i="23" s="1"/>
  <c r="O903" i="23" s="1"/>
  <c r="Y821" i="31" s="1"/>
  <c r="E903" i="20"/>
  <c r="U821" i="31" s="1"/>
  <c r="R903" i="23"/>
  <c r="Z821" i="31" s="1"/>
  <c r="S821" i="31"/>
  <c r="P821" i="31"/>
  <c r="F916" i="10"/>
  <c r="H916" i="23"/>
  <c r="K916" i="23" s="1"/>
  <c r="N916" i="23" s="1"/>
  <c r="E916" i="20"/>
  <c r="U832" i="31" s="1"/>
  <c r="R916" i="23"/>
  <c r="Z832" i="31" s="1"/>
  <c r="F917" i="9"/>
  <c r="F917" i="23"/>
  <c r="F917" i="8"/>
  <c r="F918" i="9"/>
  <c r="F918" i="23"/>
  <c r="F918" i="8"/>
  <c r="F919" i="9"/>
  <c r="F919" i="23"/>
  <c r="F919" i="8"/>
  <c r="F920" i="9"/>
  <c r="F920" i="23"/>
  <c r="F920" i="8"/>
  <c r="F921" i="9"/>
  <c r="F921" i="23"/>
  <c r="F921" i="8"/>
  <c r="F922" i="9"/>
  <c r="F922" i="23"/>
  <c r="F922" i="8"/>
  <c r="G923" i="9"/>
  <c r="F839" i="31" s="1"/>
  <c r="E923" i="10"/>
  <c r="G923" i="10" s="1"/>
  <c r="G839" i="31" s="1"/>
  <c r="Q923" i="23"/>
  <c r="R923" i="23" s="1"/>
  <c r="Z839" i="31" s="1"/>
  <c r="O923" i="23"/>
  <c r="Y839" i="31" s="1"/>
  <c r="F924" i="10"/>
  <c r="H924" i="23"/>
  <c r="K924" i="23" s="1"/>
  <c r="N924" i="23" s="1"/>
  <c r="O924" i="23" s="1"/>
  <c r="Y840" i="31" s="1"/>
  <c r="E924" i="20"/>
  <c r="U840" i="31" s="1"/>
  <c r="R924" i="23"/>
  <c r="Z840" i="31" s="1"/>
  <c r="P840" i="31"/>
  <c r="S840" i="31"/>
  <c r="F925" i="9"/>
  <c r="G925" i="9" s="1"/>
  <c r="F841" i="31" s="1"/>
  <c r="F925" i="23"/>
  <c r="F925" i="8"/>
  <c r="F927" i="9"/>
  <c r="F927" i="23"/>
  <c r="F927" i="8"/>
  <c r="G931" i="9"/>
  <c r="F846" i="31" s="1"/>
  <c r="F931" i="9"/>
  <c r="H928" i="23"/>
  <c r="K928" i="23" s="1"/>
  <c r="N928" i="23" s="1"/>
  <c r="O928" i="23" s="1"/>
  <c r="Y843" i="31" s="1"/>
  <c r="E928" i="20"/>
  <c r="U843" i="31" s="1"/>
  <c r="F930" i="23"/>
  <c r="F930" i="8"/>
  <c r="H930" i="23"/>
  <c r="K930" i="23" s="1"/>
  <c r="N930" i="23" s="1"/>
  <c r="O930" i="23" s="1"/>
  <c r="Y845" i="31" s="1"/>
  <c r="E930" i="20"/>
  <c r="U845" i="31" s="1"/>
  <c r="O931" i="23"/>
  <c r="Y846" i="31" s="1"/>
  <c r="W735" i="31"/>
  <c r="S809" i="23"/>
  <c r="AA735" i="31" s="1"/>
  <c r="S1055" i="23"/>
  <c r="AA959" i="31" s="1"/>
  <c r="W959" i="31"/>
  <c r="W1024" i="31"/>
  <c r="S1127" i="23"/>
  <c r="AA1024" i="31" s="1"/>
  <c r="L1032" i="23"/>
  <c r="X938" i="31" s="1"/>
  <c r="W934" i="31"/>
  <c r="S1028" i="23"/>
  <c r="AA934" i="31" s="1"/>
  <c r="W737" i="31"/>
  <c r="S811" i="23"/>
  <c r="AA737" i="31" s="1"/>
  <c r="W960" i="31"/>
  <c r="S1056" i="23"/>
  <c r="AA960" i="31" s="1"/>
  <c r="W948" i="31"/>
  <c r="S1043" i="23"/>
  <c r="AA948" i="31" s="1"/>
  <c r="S1046" i="23"/>
  <c r="AA951" i="31" s="1"/>
  <c r="W951" i="31"/>
  <c r="I1000" i="23"/>
  <c r="L990" i="23"/>
  <c r="X900" i="31" s="1"/>
  <c r="I986" i="23"/>
  <c r="G933" i="23"/>
  <c r="I933" i="23" s="1"/>
  <c r="W952" i="31"/>
  <c r="S1048" i="23"/>
  <c r="AA952" i="31" s="1"/>
  <c r="G1044" i="23"/>
  <c r="I1044" i="23" s="1"/>
  <c r="L1033" i="23"/>
  <c r="X939" i="31" s="1"/>
  <c r="G1029" i="23"/>
  <c r="I1029" i="23" s="1"/>
  <c r="G1027" i="8"/>
  <c r="E933" i="31" s="1"/>
  <c r="G1026" i="8"/>
  <c r="E932" i="31" s="1"/>
  <c r="G998" i="8"/>
  <c r="E907" i="31" s="1"/>
  <c r="L994" i="23"/>
  <c r="X903" i="31" s="1"/>
  <c r="G984" i="23"/>
  <c r="I984" i="23" s="1"/>
  <c r="L933" i="23"/>
  <c r="X848" i="31" s="1"/>
  <c r="W769" i="31"/>
  <c r="S846" i="23"/>
  <c r="AA769" i="31" s="1"/>
  <c r="S1053" i="23"/>
  <c r="AA957" i="31" s="1"/>
  <c r="L997" i="23"/>
  <c r="X906" i="31" s="1"/>
  <c r="L991" i="23"/>
  <c r="X901" i="31" s="1"/>
  <c r="G987" i="23"/>
  <c r="I987" i="23" s="1"/>
  <c r="G985" i="8"/>
  <c r="E895" i="31" s="1"/>
  <c r="E787" i="23"/>
  <c r="E787" i="8"/>
  <c r="G787" i="8" s="1"/>
  <c r="E715" i="31" s="1"/>
  <c r="L791" i="23"/>
  <c r="X719" i="31" s="1"/>
  <c r="R800" i="23"/>
  <c r="Z727" i="31" s="1"/>
  <c r="E867" i="10"/>
  <c r="Q867" i="23"/>
  <c r="E869" i="10"/>
  <c r="Q869" i="23"/>
  <c r="F870" i="10"/>
  <c r="H870" i="23"/>
  <c r="K870" i="23" s="1"/>
  <c r="N870" i="23" s="1"/>
  <c r="O870" i="23" s="1"/>
  <c r="Y791" i="31" s="1"/>
  <c r="E870" i="20"/>
  <c r="U791" i="31" s="1"/>
  <c r="F1095" i="9"/>
  <c r="G1095" i="9" s="1"/>
  <c r="F995" i="31" s="1"/>
  <c r="F1095" i="23"/>
  <c r="F1095" i="8"/>
  <c r="E1096" i="23"/>
  <c r="E1096" i="8"/>
  <c r="O1099" i="23"/>
  <c r="Y999" i="31" s="1"/>
  <c r="F1100" i="10"/>
  <c r="H1100" i="23"/>
  <c r="K1100" i="23" s="1"/>
  <c r="N1100" i="23" s="1"/>
  <c r="O1100" i="23" s="1"/>
  <c r="Y1000" i="31" s="1"/>
  <c r="E1100" i="20"/>
  <c r="U1000" i="31" s="1"/>
  <c r="G1090" i="9"/>
  <c r="F991" i="31" s="1"/>
  <c r="L1077" i="23"/>
  <c r="X979" i="31" s="1"/>
  <c r="G876" i="9"/>
  <c r="F796" i="31" s="1"/>
  <c r="E876" i="10"/>
  <c r="Q876" i="23"/>
  <c r="F877" i="10"/>
  <c r="H877" i="23"/>
  <c r="K877" i="23" s="1"/>
  <c r="N877" i="23" s="1"/>
  <c r="E877" i="20"/>
  <c r="U797" i="31" s="1"/>
  <c r="R886" i="23"/>
  <c r="Z805" i="31" s="1"/>
  <c r="G891" i="9"/>
  <c r="F810" i="31" s="1"/>
  <c r="G892" i="9"/>
  <c r="F811" i="31" s="1"/>
  <c r="E892" i="10"/>
  <c r="Q892" i="23"/>
  <c r="E899" i="10"/>
  <c r="G899" i="10" s="1"/>
  <c r="G817" i="31" s="1"/>
  <c r="Q899" i="23"/>
  <c r="R899" i="23" s="1"/>
  <c r="Z817" i="31" s="1"/>
  <c r="O916" i="23"/>
  <c r="Y832" i="31" s="1"/>
  <c r="P832" i="31"/>
  <c r="S832" i="31"/>
  <c r="F927" i="10"/>
  <c r="H927" i="23"/>
  <c r="K927" i="23" s="1"/>
  <c r="N927" i="23" s="1"/>
  <c r="O927" i="23" s="1"/>
  <c r="Y842" i="31" s="1"/>
  <c r="E927" i="20"/>
  <c r="U842" i="31" s="1"/>
  <c r="E928" i="23"/>
  <c r="E928" i="8"/>
  <c r="F785" i="10"/>
  <c r="H785" i="23"/>
  <c r="K785" i="23" s="1"/>
  <c r="N785" i="23" s="1"/>
  <c r="E785" i="20"/>
  <c r="U713" i="31" s="1"/>
  <c r="E786" i="23"/>
  <c r="G786" i="23" s="1"/>
  <c r="I786" i="23" s="1"/>
  <c r="E786" i="8"/>
  <c r="G786" i="8" s="1"/>
  <c r="E714" i="31" s="1"/>
  <c r="E785" i="10"/>
  <c r="G785" i="10" s="1"/>
  <c r="G713" i="31" s="1"/>
  <c r="Q785" i="23"/>
  <c r="R785" i="23" s="1"/>
  <c r="Z713" i="31" s="1"/>
  <c r="F787" i="10"/>
  <c r="H787" i="23"/>
  <c r="K787" i="23" s="1"/>
  <c r="N787" i="23" s="1"/>
  <c r="O787" i="23" s="1"/>
  <c r="Y715" i="31" s="1"/>
  <c r="E787" i="20"/>
  <c r="U715" i="31" s="1"/>
  <c r="E788" i="10"/>
  <c r="G788" i="10" s="1"/>
  <c r="G716" i="31" s="1"/>
  <c r="Q788" i="23"/>
  <c r="R788" i="23" s="1"/>
  <c r="Z716" i="31" s="1"/>
  <c r="F789" i="10"/>
  <c r="H789" i="23"/>
  <c r="K789" i="23" s="1"/>
  <c r="N789" i="23" s="1"/>
  <c r="O789" i="23" s="1"/>
  <c r="Y717" i="31" s="1"/>
  <c r="E789" i="20"/>
  <c r="U717" i="31" s="1"/>
  <c r="O790" i="23"/>
  <c r="Y718" i="31" s="1"/>
  <c r="F785" i="23"/>
  <c r="F785" i="8"/>
  <c r="O785" i="23"/>
  <c r="Y713" i="31" s="1"/>
  <c r="F786" i="10"/>
  <c r="H786" i="23"/>
  <c r="K786" i="23" s="1"/>
  <c r="N786" i="23" s="1"/>
  <c r="O786" i="23" s="1"/>
  <c r="Y714" i="31" s="1"/>
  <c r="E786" i="20"/>
  <c r="U714" i="31" s="1"/>
  <c r="F787" i="23"/>
  <c r="F787" i="8"/>
  <c r="L788" i="23"/>
  <c r="X716" i="31" s="1"/>
  <c r="F789" i="23"/>
  <c r="F789" i="8"/>
  <c r="E790" i="23"/>
  <c r="G790" i="23" s="1"/>
  <c r="I790" i="23" s="1"/>
  <c r="E790" i="8"/>
  <c r="G790" i="8" s="1"/>
  <c r="E718" i="31" s="1"/>
  <c r="L792" i="23"/>
  <c r="X720" i="31" s="1"/>
  <c r="E793" i="23"/>
  <c r="G793" i="23" s="1"/>
  <c r="I793" i="23" s="1"/>
  <c r="E793" i="8"/>
  <c r="G793" i="8" s="1"/>
  <c r="E721" i="31" s="1"/>
  <c r="E800" i="23"/>
  <c r="G800" i="23" s="1"/>
  <c r="I800" i="23" s="1"/>
  <c r="E800" i="8"/>
  <c r="G800" i="8" s="1"/>
  <c r="E727" i="31" s="1"/>
  <c r="L800" i="23"/>
  <c r="X727" i="31" s="1"/>
  <c r="O800" i="23"/>
  <c r="Y727" i="31" s="1"/>
  <c r="E801" i="10"/>
  <c r="G801" i="10" s="1"/>
  <c r="G728" i="31" s="1"/>
  <c r="Q801" i="23"/>
  <c r="R801" i="23" s="1"/>
  <c r="Z728" i="31" s="1"/>
  <c r="O801" i="23"/>
  <c r="Y728" i="31" s="1"/>
  <c r="E802" i="23"/>
  <c r="G802" i="23" s="1"/>
  <c r="I802" i="23" s="1"/>
  <c r="E802" i="8"/>
  <c r="G802" i="8" s="1"/>
  <c r="E729" i="31" s="1"/>
  <c r="L802" i="23"/>
  <c r="X729" i="31" s="1"/>
  <c r="E803" i="23"/>
  <c r="G803" i="23" s="1"/>
  <c r="I803" i="23" s="1"/>
  <c r="E803" i="8"/>
  <c r="G803" i="8" s="1"/>
  <c r="E730" i="31" s="1"/>
  <c r="L803" i="23"/>
  <c r="X730" i="31" s="1"/>
  <c r="E804" i="23"/>
  <c r="G804" i="23" s="1"/>
  <c r="I804" i="23" s="1"/>
  <c r="E804" i="8"/>
  <c r="G804" i="8" s="1"/>
  <c r="E731" i="31" s="1"/>
  <c r="L804" i="23"/>
  <c r="X731" i="31" s="1"/>
  <c r="F861" i="10"/>
  <c r="H861" i="23"/>
  <c r="K861" i="23" s="1"/>
  <c r="N861" i="23" s="1"/>
  <c r="O861" i="23" s="1"/>
  <c r="Y782" i="31" s="1"/>
  <c r="E861" i="20"/>
  <c r="U782" i="31" s="1"/>
  <c r="R861" i="23"/>
  <c r="Z782" i="31" s="1"/>
  <c r="E862" i="23"/>
  <c r="G862" i="23" s="1"/>
  <c r="I862" i="23" s="1"/>
  <c r="E862" i="8"/>
  <c r="G862" i="8" s="1"/>
  <c r="E783" i="31" s="1"/>
  <c r="L862" i="23"/>
  <c r="X783" i="31" s="1"/>
  <c r="F863" i="10"/>
  <c r="H863" i="23"/>
  <c r="K863" i="23" s="1"/>
  <c r="N863" i="23" s="1"/>
  <c r="O863" i="23" s="1"/>
  <c r="Y784" i="31" s="1"/>
  <c r="E863" i="20"/>
  <c r="U784" i="31" s="1"/>
  <c r="R863" i="23"/>
  <c r="Z784" i="31" s="1"/>
  <c r="E864" i="10"/>
  <c r="G864" i="10" s="1"/>
  <c r="G785" i="31" s="1"/>
  <c r="Q864" i="23"/>
  <c r="R864" i="23" s="1"/>
  <c r="Z785" i="31" s="1"/>
  <c r="O864" i="23"/>
  <c r="Y785" i="31" s="1"/>
  <c r="F865" i="10"/>
  <c r="H865" i="23"/>
  <c r="K865" i="23" s="1"/>
  <c r="N865" i="23" s="1"/>
  <c r="O865" i="23" s="1"/>
  <c r="Y786" i="31" s="1"/>
  <c r="E865" i="20"/>
  <c r="U786" i="31" s="1"/>
  <c r="R865" i="23"/>
  <c r="Z786" i="31" s="1"/>
  <c r="E866" i="10"/>
  <c r="G866" i="10" s="1"/>
  <c r="G787" i="31" s="1"/>
  <c r="Q866" i="23"/>
  <c r="R866" i="23" s="1"/>
  <c r="Z787" i="31" s="1"/>
  <c r="O866" i="23"/>
  <c r="Y787" i="31" s="1"/>
  <c r="F867" i="10"/>
  <c r="H867" i="23"/>
  <c r="K867" i="23" s="1"/>
  <c r="N867" i="23" s="1"/>
  <c r="O867" i="23" s="1"/>
  <c r="Y788" i="31" s="1"/>
  <c r="E867" i="20"/>
  <c r="U788" i="31" s="1"/>
  <c r="R867" i="23"/>
  <c r="Z788" i="31" s="1"/>
  <c r="E868" i="10"/>
  <c r="G868" i="10" s="1"/>
  <c r="G789" i="31" s="1"/>
  <c r="Q868" i="23"/>
  <c r="R868" i="23" s="1"/>
  <c r="Z789" i="31" s="1"/>
  <c r="O868" i="23"/>
  <c r="Y789" i="31" s="1"/>
  <c r="F869" i="10"/>
  <c r="H869" i="23"/>
  <c r="K869" i="23" s="1"/>
  <c r="N869" i="23" s="1"/>
  <c r="O869" i="23" s="1"/>
  <c r="Y790" i="31" s="1"/>
  <c r="E869" i="20"/>
  <c r="U790" i="31" s="1"/>
  <c r="R869" i="23"/>
  <c r="Z790" i="31" s="1"/>
  <c r="E870" i="10"/>
  <c r="G870" i="10" s="1"/>
  <c r="G791" i="31" s="1"/>
  <c r="Q870" i="23"/>
  <c r="R870" i="23" s="1"/>
  <c r="Z791" i="31" s="1"/>
  <c r="F1092" i="10"/>
  <c r="H1092" i="23"/>
  <c r="K1092" i="23" s="1"/>
  <c r="N1092" i="23" s="1"/>
  <c r="O1092" i="23" s="1"/>
  <c r="Y992" i="31" s="1"/>
  <c r="E1092" i="20"/>
  <c r="U992" i="31" s="1"/>
  <c r="E1093" i="23"/>
  <c r="G1093" i="23" s="1"/>
  <c r="I1093" i="23" s="1"/>
  <c r="E1093" i="8"/>
  <c r="G1093" i="8" s="1"/>
  <c r="E993" i="31" s="1"/>
  <c r="L1093" i="23"/>
  <c r="X993" i="31" s="1"/>
  <c r="F1094" i="9"/>
  <c r="G1094" i="9" s="1"/>
  <c r="F994" i="31" s="1"/>
  <c r="F1094" i="23"/>
  <c r="F1094" i="8"/>
  <c r="E1095" i="23"/>
  <c r="G1095" i="23" s="1"/>
  <c r="I1095" i="23" s="1"/>
  <c r="E1095" i="8"/>
  <c r="L1095" i="23"/>
  <c r="X995" i="31" s="1"/>
  <c r="F1096" i="9"/>
  <c r="G1096" i="9" s="1"/>
  <c r="F996" i="31" s="1"/>
  <c r="F1096" i="23"/>
  <c r="F1096" i="8"/>
  <c r="E1097" i="23"/>
  <c r="G1097" i="23" s="1"/>
  <c r="I1097" i="23" s="1"/>
  <c r="E1097" i="8"/>
  <c r="G1097" i="8" s="1"/>
  <c r="E997" i="31" s="1"/>
  <c r="L1097" i="23"/>
  <c r="X997" i="31" s="1"/>
  <c r="F1098" i="9"/>
  <c r="G1098" i="9" s="1"/>
  <c r="F998" i="31" s="1"/>
  <c r="F1098" i="23"/>
  <c r="F1098" i="8"/>
  <c r="E1099" i="23"/>
  <c r="G1099" i="23" s="1"/>
  <c r="I1099" i="23" s="1"/>
  <c r="E1099" i="8"/>
  <c r="G1099" i="8" s="1"/>
  <c r="E999" i="31" s="1"/>
  <c r="R1099" i="23"/>
  <c r="Z999" i="31" s="1"/>
  <c r="E1100" i="10"/>
  <c r="G1100" i="10" s="1"/>
  <c r="G1000" i="31" s="1"/>
  <c r="Q1100" i="23"/>
  <c r="R1100" i="23" s="1"/>
  <c r="Z1000" i="31" s="1"/>
  <c r="E1101" i="23"/>
  <c r="G1101" i="23" s="1"/>
  <c r="I1101" i="23" s="1"/>
  <c r="E1101" i="8"/>
  <c r="G1101" i="8" s="1"/>
  <c r="E1001" i="31" s="1"/>
  <c r="L1101" i="23"/>
  <c r="X1001" i="31" s="1"/>
  <c r="E1088" i="23"/>
  <c r="E1088" i="8"/>
  <c r="G1088" i="8" s="1"/>
  <c r="E989" i="31" s="1"/>
  <c r="F1088" i="9"/>
  <c r="G1088" i="9" s="1"/>
  <c r="F989" i="31" s="1"/>
  <c r="F1088" i="23"/>
  <c r="F1088" i="8"/>
  <c r="L1088" i="23"/>
  <c r="X989" i="31" s="1"/>
  <c r="G1089" i="9"/>
  <c r="F990" i="31" s="1"/>
  <c r="E1089" i="10"/>
  <c r="G1089" i="10" s="1"/>
  <c r="G990" i="31" s="1"/>
  <c r="Q1089" i="23"/>
  <c r="R1089" i="23" s="1"/>
  <c r="Z990" i="31" s="1"/>
  <c r="O1089" i="23"/>
  <c r="Y990" i="31" s="1"/>
  <c r="F1090" i="10"/>
  <c r="H1090" i="23"/>
  <c r="K1090" i="23" s="1"/>
  <c r="N1090" i="23" s="1"/>
  <c r="O1090" i="23" s="1"/>
  <c r="Y991" i="31" s="1"/>
  <c r="E1090" i="20"/>
  <c r="U991" i="31" s="1"/>
  <c r="R1090" i="23"/>
  <c r="Z991" i="31" s="1"/>
  <c r="G1072" i="9"/>
  <c r="F974" i="31" s="1"/>
  <c r="F1072" i="10"/>
  <c r="H1072" i="23"/>
  <c r="K1072" i="23" s="1"/>
  <c r="N1072" i="23" s="1"/>
  <c r="E1072" i="20"/>
  <c r="U974" i="31" s="1"/>
  <c r="E1072" i="10"/>
  <c r="Q1072" i="23"/>
  <c r="R1072" i="23" s="1"/>
  <c r="Z974" i="31" s="1"/>
  <c r="O1072" i="23"/>
  <c r="Y974" i="31" s="1"/>
  <c r="F1074" i="10"/>
  <c r="H1074" i="23"/>
  <c r="K1074" i="23" s="1"/>
  <c r="N1074" i="23" s="1"/>
  <c r="O1074" i="23" s="1"/>
  <c r="Y976" i="31" s="1"/>
  <c r="E1074" i="20"/>
  <c r="U976" i="31" s="1"/>
  <c r="R1074" i="23"/>
  <c r="Z976" i="31" s="1"/>
  <c r="F1075" i="9"/>
  <c r="G1075" i="9" s="1"/>
  <c r="F977" i="31" s="1"/>
  <c r="F1075" i="23"/>
  <c r="F1075" i="8"/>
  <c r="O1075" i="23"/>
  <c r="Y977" i="31" s="1"/>
  <c r="F1076" i="10"/>
  <c r="H1076" i="23"/>
  <c r="K1076" i="23" s="1"/>
  <c r="N1076" i="23" s="1"/>
  <c r="O1076" i="23" s="1"/>
  <c r="Y978" i="31" s="1"/>
  <c r="E1076" i="20"/>
  <c r="U978" i="31" s="1"/>
  <c r="R1076" i="23"/>
  <c r="Z978" i="31" s="1"/>
  <c r="F1077" i="9"/>
  <c r="G1077" i="9" s="1"/>
  <c r="F979" i="31" s="1"/>
  <c r="F1077" i="23"/>
  <c r="F1077" i="8"/>
  <c r="E1078" i="23"/>
  <c r="G1078" i="23" s="1"/>
  <c r="I1078" i="23" s="1"/>
  <c r="E1078" i="8"/>
  <c r="G1078" i="8" s="1"/>
  <c r="E980" i="31" s="1"/>
  <c r="L1078" i="23"/>
  <c r="X980" i="31" s="1"/>
  <c r="F1079" i="9"/>
  <c r="G1079" i="9" s="1"/>
  <c r="F981" i="31" s="1"/>
  <c r="F1079" i="23"/>
  <c r="F1079" i="8"/>
  <c r="E872" i="23"/>
  <c r="G872" i="23" s="1"/>
  <c r="I872" i="23" s="1"/>
  <c r="E872" i="8"/>
  <c r="G872" i="8" s="1"/>
  <c r="E792" i="31" s="1"/>
  <c r="L872" i="23"/>
  <c r="X792" i="31" s="1"/>
  <c r="G873" i="9"/>
  <c r="F793" i="31" s="1"/>
  <c r="E873" i="10"/>
  <c r="G873" i="10" s="1"/>
  <c r="G793" i="31" s="1"/>
  <c r="Q873" i="23"/>
  <c r="R873" i="23" s="1"/>
  <c r="Z793" i="31" s="1"/>
  <c r="O873" i="23"/>
  <c r="Y793" i="31" s="1"/>
  <c r="F874" i="10"/>
  <c r="H874" i="23"/>
  <c r="K874" i="23" s="1"/>
  <c r="N874" i="23" s="1"/>
  <c r="O874" i="23" s="1"/>
  <c r="Y794" i="31" s="1"/>
  <c r="E874" i="20"/>
  <c r="U794" i="31" s="1"/>
  <c r="R874" i="23"/>
  <c r="Z794" i="31" s="1"/>
  <c r="G875" i="9"/>
  <c r="F795" i="31" s="1"/>
  <c r="E875" i="10"/>
  <c r="G875" i="10" s="1"/>
  <c r="G795" i="31" s="1"/>
  <c r="Q875" i="23"/>
  <c r="R875" i="23" s="1"/>
  <c r="Z795" i="31" s="1"/>
  <c r="O875" i="23"/>
  <c r="Y795" i="31" s="1"/>
  <c r="F876" i="10"/>
  <c r="H876" i="23"/>
  <c r="K876" i="23" s="1"/>
  <c r="N876" i="23" s="1"/>
  <c r="O876" i="23" s="1"/>
  <c r="Y796" i="31" s="1"/>
  <c r="E876" i="20"/>
  <c r="U796" i="31" s="1"/>
  <c r="R876" i="23"/>
  <c r="Z796" i="31" s="1"/>
  <c r="G877" i="9"/>
  <c r="F797" i="31" s="1"/>
  <c r="E877" i="10"/>
  <c r="G877" i="10" s="1"/>
  <c r="G797" i="31" s="1"/>
  <c r="Q877" i="23"/>
  <c r="R877" i="23" s="1"/>
  <c r="Z797" i="31" s="1"/>
  <c r="O877" i="23"/>
  <c r="Y797" i="31" s="1"/>
  <c r="F878" i="10"/>
  <c r="E878" i="20"/>
  <c r="U798" i="31" s="1"/>
  <c r="H878" i="23"/>
  <c r="K878" i="23" s="1"/>
  <c r="N878" i="23" s="1"/>
  <c r="O878" i="23" s="1"/>
  <c r="Y798" i="31" s="1"/>
  <c r="R878" i="23"/>
  <c r="Z798" i="31" s="1"/>
  <c r="G879" i="9"/>
  <c r="F799" i="31" s="1"/>
  <c r="E879" i="10"/>
  <c r="G879" i="10" s="1"/>
  <c r="G799" i="31" s="1"/>
  <c r="Q879" i="23"/>
  <c r="R879" i="23" s="1"/>
  <c r="Z799" i="31" s="1"/>
  <c r="O879" i="23"/>
  <c r="Y799" i="31" s="1"/>
  <c r="F880" i="10"/>
  <c r="H880" i="23"/>
  <c r="K880" i="23" s="1"/>
  <c r="N880" i="23" s="1"/>
  <c r="O880" i="23" s="1"/>
  <c r="Y800" i="31" s="1"/>
  <c r="E880" i="20"/>
  <c r="U800" i="31" s="1"/>
  <c r="R880" i="23"/>
  <c r="Z800" i="31" s="1"/>
  <c r="G881" i="9"/>
  <c r="F801" i="31" s="1"/>
  <c r="E881" i="10"/>
  <c r="G881" i="10" s="1"/>
  <c r="G801" i="31" s="1"/>
  <c r="Q881" i="23"/>
  <c r="R881" i="23" s="1"/>
  <c r="Z801" i="31" s="1"/>
  <c r="O881" i="23"/>
  <c r="Y801" i="31" s="1"/>
  <c r="F886" i="10"/>
  <c r="H886" i="23"/>
  <c r="K886" i="23" s="1"/>
  <c r="N886" i="23" s="1"/>
  <c r="O886" i="23" s="1"/>
  <c r="Y805" i="31" s="1"/>
  <c r="E886" i="20"/>
  <c r="U805" i="31" s="1"/>
  <c r="L886" i="23"/>
  <c r="X805" i="31" s="1"/>
  <c r="P806" i="31"/>
  <c r="S806" i="31"/>
  <c r="E887" i="23"/>
  <c r="G887" i="23" s="1"/>
  <c r="I887" i="23" s="1"/>
  <c r="E887" i="8"/>
  <c r="G887" i="8" s="1"/>
  <c r="E806" i="31" s="1"/>
  <c r="E888" i="10"/>
  <c r="G888" i="10" s="1"/>
  <c r="G807" i="31" s="1"/>
  <c r="Q888" i="23"/>
  <c r="R888" i="23" s="1"/>
  <c r="Z807" i="31" s="1"/>
  <c r="P807" i="31"/>
  <c r="S807" i="31"/>
  <c r="F889" i="10"/>
  <c r="H889" i="23"/>
  <c r="K889" i="23" s="1"/>
  <c r="N889" i="23" s="1"/>
  <c r="O889" i="23" s="1"/>
  <c r="Y808" i="31" s="1"/>
  <c r="E889" i="20"/>
  <c r="U808" i="31" s="1"/>
  <c r="R889" i="23"/>
  <c r="Z808" i="31" s="1"/>
  <c r="P808" i="31"/>
  <c r="S808" i="31"/>
  <c r="F890" i="10"/>
  <c r="H890" i="23"/>
  <c r="K890" i="23" s="1"/>
  <c r="N890" i="23" s="1"/>
  <c r="O890" i="23" s="1"/>
  <c r="Y809" i="31" s="1"/>
  <c r="E890" i="20"/>
  <c r="U809" i="31" s="1"/>
  <c r="R890" i="23"/>
  <c r="Z809" i="31" s="1"/>
  <c r="S809" i="31"/>
  <c r="P809" i="31"/>
  <c r="F891" i="10"/>
  <c r="H891" i="23"/>
  <c r="K891" i="23" s="1"/>
  <c r="N891" i="23" s="1"/>
  <c r="O891" i="23" s="1"/>
  <c r="Y810" i="31" s="1"/>
  <c r="E891" i="20"/>
  <c r="U810" i="31" s="1"/>
  <c r="R891" i="23"/>
  <c r="Z810" i="31" s="1"/>
  <c r="P810" i="31"/>
  <c r="S810" i="31"/>
  <c r="F892" i="10"/>
  <c r="H892" i="23"/>
  <c r="K892" i="23" s="1"/>
  <c r="N892" i="23" s="1"/>
  <c r="O892" i="23" s="1"/>
  <c r="Y811" i="31" s="1"/>
  <c r="E892" i="20"/>
  <c r="U811" i="31" s="1"/>
  <c r="R892" i="23"/>
  <c r="Z811" i="31" s="1"/>
  <c r="P811" i="31"/>
  <c r="S811" i="31"/>
  <c r="E899" i="23"/>
  <c r="G899" i="23" s="1"/>
  <c r="I899" i="23" s="1"/>
  <c r="E899" i="8"/>
  <c r="F899" i="9"/>
  <c r="G899" i="9" s="1"/>
  <c r="F817" i="31" s="1"/>
  <c r="F899" i="23"/>
  <c r="F899" i="8"/>
  <c r="L899" i="23"/>
  <c r="X817" i="31" s="1"/>
  <c r="G901" i="9"/>
  <c r="F819" i="31" s="1"/>
  <c r="E901" i="10"/>
  <c r="G901" i="10" s="1"/>
  <c r="G819" i="31" s="1"/>
  <c r="Q901" i="23"/>
  <c r="R901" i="23" s="1"/>
  <c r="Z819" i="31" s="1"/>
  <c r="P819" i="31"/>
  <c r="S819" i="31"/>
  <c r="F902" i="9"/>
  <c r="G902" i="9" s="1"/>
  <c r="F820" i="31" s="1"/>
  <c r="F902" i="23"/>
  <c r="F902" i="8"/>
  <c r="R902" i="23"/>
  <c r="Z820" i="31" s="1"/>
  <c r="P820" i="31"/>
  <c r="S820" i="31"/>
  <c r="F903" i="9"/>
  <c r="G903" i="9" s="1"/>
  <c r="F821" i="31" s="1"/>
  <c r="F903" i="23"/>
  <c r="F903" i="8"/>
  <c r="F916" i="9"/>
  <c r="G916" i="9" s="1"/>
  <c r="F832" i="31" s="1"/>
  <c r="F916" i="23"/>
  <c r="F916" i="8"/>
  <c r="G917" i="9"/>
  <c r="F833" i="31" s="1"/>
  <c r="E917" i="10"/>
  <c r="G917" i="10" s="1"/>
  <c r="G833" i="31" s="1"/>
  <c r="Q917" i="23"/>
  <c r="R917" i="23" s="1"/>
  <c r="Z833" i="31" s="1"/>
  <c r="O917" i="23"/>
  <c r="Y833" i="31" s="1"/>
  <c r="G918" i="9"/>
  <c r="F834" i="31" s="1"/>
  <c r="E918" i="10"/>
  <c r="G918" i="10" s="1"/>
  <c r="G834" i="31" s="1"/>
  <c r="Q918" i="23"/>
  <c r="R918" i="23" s="1"/>
  <c r="Z834" i="31" s="1"/>
  <c r="O918" i="23"/>
  <c r="Y834" i="31" s="1"/>
  <c r="G919" i="9"/>
  <c r="F835" i="31" s="1"/>
  <c r="E919" i="10"/>
  <c r="G919" i="10" s="1"/>
  <c r="G835" i="31" s="1"/>
  <c r="Q919" i="23"/>
  <c r="R919" i="23" s="1"/>
  <c r="Z835" i="31" s="1"/>
  <c r="O919" i="23"/>
  <c r="Y835" i="31" s="1"/>
  <c r="G920" i="9"/>
  <c r="F836" i="31" s="1"/>
  <c r="E920" i="10"/>
  <c r="G920" i="10" s="1"/>
  <c r="G836" i="31" s="1"/>
  <c r="Q920" i="23"/>
  <c r="R920" i="23" s="1"/>
  <c r="Z836" i="31" s="1"/>
  <c r="O920" i="23"/>
  <c r="Y836" i="31" s="1"/>
  <c r="G921" i="9"/>
  <c r="F837" i="31" s="1"/>
  <c r="E921" i="10"/>
  <c r="G921" i="10" s="1"/>
  <c r="G837" i="31" s="1"/>
  <c r="Q921" i="23"/>
  <c r="R921" i="23" s="1"/>
  <c r="Z837" i="31" s="1"/>
  <c r="O921" i="23"/>
  <c r="Y837" i="31" s="1"/>
  <c r="G922" i="9"/>
  <c r="F838" i="31" s="1"/>
  <c r="E922" i="10"/>
  <c r="G922" i="10" s="1"/>
  <c r="G838" i="31" s="1"/>
  <c r="Q922" i="23"/>
  <c r="R922" i="23" s="1"/>
  <c r="Z838" i="31" s="1"/>
  <c r="O922" i="23"/>
  <c r="Y838" i="31" s="1"/>
  <c r="E923" i="23"/>
  <c r="G923" i="23" s="1"/>
  <c r="I923" i="23" s="1"/>
  <c r="E923" i="8"/>
  <c r="G923" i="8" s="1"/>
  <c r="E839" i="31" s="1"/>
  <c r="L923" i="23"/>
  <c r="X839" i="31" s="1"/>
  <c r="F924" i="9"/>
  <c r="G924" i="9" s="1"/>
  <c r="F840" i="31" s="1"/>
  <c r="F924" i="23"/>
  <c r="F924" i="8"/>
  <c r="E925" i="23"/>
  <c r="G925" i="23" s="1"/>
  <c r="I925" i="23" s="1"/>
  <c r="E925" i="8"/>
  <c r="G925" i="8" s="1"/>
  <c r="E841" i="31" s="1"/>
  <c r="E925" i="10"/>
  <c r="G925" i="10" s="1"/>
  <c r="G841" i="31" s="1"/>
  <c r="Q925" i="23"/>
  <c r="R925" i="23" s="1"/>
  <c r="Z841" i="31" s="1"/>
  <c r="O925" i="23"/>
  <c r="Y841" i="31" s="1"/>
  <c r="G927" i="9"/>
  <c r="F842" i="31" s="1"/>
  <c r="E927" i="10"/>
  <c r="G927" i="10" s="1"/>
  <c r="G842" i="31" s="1"/>
  <c r="Q927" i="23"/>
  <c r="R927" i="23" s="1"/>
  <c r="Z842" i="31" s="1"/>
  <c r="P843" i="31"/>
  <c r="S843" i="31"/>
  <c r="G123" i="9"/>
  <c r="G114" i="9"/>
  <c r="F103" i="31" s="1"/>
  <c r="G90" i="9"/>
  <c r="G57" i="9"/>
  <c r="G41" i="9"/>
  <c r="F37" i="31" s="1"/>
  <c r="G37" i="9"/>
  <c r="F33" i="31" s="1"/>
  <c r="G13" i="9"/>
  <c r="G9" i="9"/>
  <c r="F8" i="31" s="1"/>
  <c r="G5" i="9"/>
  <c r="F4" i="31" s="1"/>
  <c r="G1629" i="10"/>
  <c r="G1481" i="31" s="1"/>
  <c r="G1625" i="10"/>
  <c r="G1477" i="31" s="1"/>
  <c r="G1621" i="10"/>
  <c r="G1473" i="31" s="1"/>
  <c r="G1617" i="10"/>
  <c r="G1470" i="31" s="1"/>
  <c r="G1613" i="10"/>
  <c r="G1466" i="31" s="1"/>
  <c r="G1609" i="10"/>
  <c r="G1462" i="31" s="1"/>
  <c r="G1605" i="10"/>
  <c r="G1459" i="31" s="1"/>
  <c r="G1601" i="10"/>
  <c r="G1455" i="31" s="1"/>
  <c r="G1597" i="10"/>
  <c r="G1593" i="10"/>
  <c r="G1448" i="31" s="1"/>
  <c r="G1589" i="10"/>
  <c r="G1444" i="31" s="1"/>
  <c r="G1585" i="10"/>
  <c r="G1441" i="31" s="1"/>
  <c r="G1581" i="10"/>
  <c r="G1437" i="31" s="1"/>
  <c r="G1577" i="10"/>
  <c r="G1433" i="31" s="1"/>
  <c r="G1573" i="10"/>
  <c r="G1430" i="31" s="1"/>
  <c r="G1569" i="10"/>
  <c r="G1426" i="31" s="1"/>
  <c r="G1565" i="10"/>
  <c r="G1422" i="31" s="1"/>
  <c r="G1561" i="10"/>
  <c r="G1419" i="31" s="1"/>
  <c r="G1557" i="10"/>
  <c r="G1415" i="31" s="1"/>
  <c r="G1553" i="10"/>
  <c r="G1549" i="10"/>
  <c r="G1408" i="31" s="1"/>
  <c r="G1545" i="10"/>
  <c r="G1404" i="31" s="1"/>
  <c r="G1541" i="10"/>
  <c r="G1401" i="31" s="1"/>
  <c r="G1537" i="10"/>
  <c r="G1397" i="31" s="1"/>
  <c r="G1533" i="10"/>
  <c r="G1393" i="31" s="1"/>
  <c r="G1529" i="10"/>
  <c r="G1390" i="31" s="1"/>
  <c r="G1525" i="10"/>
  <c r="G1386" i="31" s="1"/>
  <c r="G1521" i="10"/>
  <c r="G1382" i="31" s="1"/>
  <c r="G1517" i="10"/>
  <c r="G1379" i="31" s="1"/>
  <c r="G1513" i="10"/>
  <c r="G1375" i="31" s="1"/>
  <c r="G1509" i="10"/>
  <c r="G1505" i="10"/>
  <c r="G1368" i="31" s="1"/>
  <c r="G1501" i="10"/>
  <c r="G1364" i="31" s="1"/>
  <c r="G1497" i="10"/>
  <c r="G1361" i="31" s="1"/>
  <c r="G1493" i="10"/>
  <c r="G1357" i="31" s="1"/>
  <c r="G1489" i="10"/>
  <c r="G1353" i="31" s="1"/>
  <c r="G1485" i="10"/>
  <c r="G1350" i="31" s="1"/>
  <c r="G1481" i="10"/>
  <c r="G1346" i="31" s="1"/>
  <c r="G1477" i="10"/>
  <c r="G1342" i="31" s="1"/>
  <c r="G1473" i="10"/>
  <c r="G1339" i="31" s="1"/>
  <c r="G1469" i="10"/>
  <c r="G1335" i="31" s="1"/>
  <c r="G1465" i="10"/>
  <c r="G1461" i="10"/>
  <c r="G1328" i="31" s="1"/>
  <c r="G1457" i="10"/>
  <c r="G1324" i="31" s="1"/>
  <c r="G1453" i="10"/>
  <c r="G1321" i="31" s="1"/>
  <c r="G1449" i="10"/>
  <c r="G1317" i="31" s="1"/>
  <c r="G1445" i="10"/>
  <c r="G1313" i="31" s="1"/>
  <c r="G1441" i="10"/>
  <c r="G1310" i="31" s="1"/>
  <c r="G1437" i="10"/>
  <c r="G1306" i="31" s="1"/>
  <c r="G1433" i="10"/>
  <c r="G1302" i="31" s="1"/>
  <c r="G1429" i="10"/>
  <c r="G1299" i="31" s="1"/>
  <c r="G1425" i="10"/>
  <c r="G1295" i="31" s="1"/>
  <c r="G1421" i="10"/>
  <c r="G1417" i="10"/>
  <c r="G1288" i="31" s="1"/>
  <c r="G1413" i="10"/>
  <c r="G1284" i="31" s="1"/>
  <c r="G1409" i="10"/>
  <c r="G1281" i="31" s="1"/>
  <c r="G1405" i="10"/>
  <c r="G1277" i="31" s="1"/>
  <c r="G1401" i="10"/>
  <c r="G1273" i="31" s="1"/>
  <c r="G1397" i="10"/>
  <c r="G1270" i="31" s="1"/>
  <c r="G1393" i="10"/>
  <c r="G1266" i="31" s="1"/>
  <c r="G1389" i="10"/>
  <c r="G1262" i="31" s="1"/>
  <c r="G1385" i="10"/>
  <c r="G1259" i="31" s="1"/>
  <c r="G1381" i="10"/>
  <c r="G1255" i="31" s="1"/>
  <c r="G1377" i="10"/>
  <c r="G1373" i="10"/>
  <c r="G1248" i="31" s="1"/>
  <c r="G1369" i="10"/>
  <c r="G1244" i="31" s="1"/>
  <c r="G1365" i="10"/>
  <c r="G1241" i="31" s="1"/>
  <c r="G1361" i="10"/>
  <c r="G1237" i="31" s="1"/>
  <c r="G1357" i="10"/>
  <c r="G1233" i="31" s="1"/>
  <c r="G1353" i="10"/>
  <c r="G1230" i="31" s="1"/>
  <c r="G1349" i="10"/>
  <c r="G1226" i="31" s="1"/>
  <c r="G1345" i="10"/>
  <c r="G1222" i="31" s="1"/>
  <c r="G1341" i="10"/>
  <c r="G1219" i="31" s="1"/>
  <c r="G1337" i="10"/>
  <c r="G1215" i="31" s="1"/>
  <c r="G1333" i="10"/>
  <c r="G1329" i="10"/>
  <c r="G1208" i="31" s="1"/>
  <c r="G1325" i="10"/>
  <c r="G1204" i="31" s="1"/>
  <c r="G1321" i="10"/>
  <c r="G1201" i="31" s="1"/>
  <c r="G1317" i="10"/>
  <c r="G1197" i="31" s="1"/>
  <c r="G1313" i="10"/>
  <c r="G1193" i="31" s="1"/>
  <c r="G1309" i="10"/>
  <c r="G1190" i="31" s="1"/>
  <c r="G1305" i="10"/>
  <c r="G1186" i="31" s="1"/>
  <c r="G1301" i="10"/>
  <c r="G1182" i="31" s="1"/>
  <c r="G1297" i="10"/>
  <c r="G1179" i="31" s="1"/>
  <c r="G1293" i="10"/>
  <c r="G1175" i="31" s="1"/>
  <c r="G1289" i="10"/>
  <c r="G1285" i="10"/>
  <c r="G1168" i="31" s="1"/>
  <c r="G1281" i="10"/>
  <c r="G1164" i="31" s="1"/>
  <c r="G1277" i="10"/>
  <c r="G1161" i="31" s="1"/>
  <c r="G1273" i="10"/>
  <c r="G1157" i="31" s="1"/>
  <c r="G1269" i="10"/>
  <c r="G1153" i="31" s="1"/>
  <c r="G1265" i="10"/>
  <c r="G1150" i="31" s="1"/>
  <c r="G1261" i="10"/>
  <c r="G1146" i="31" s="1"/>
  <c r="G1257" i="10"/>
  <c r="G1142" i="31" s="1"/>
  <c r="G1253" i="10"/>
  <c r="G1139" i="31" s="1"/>
  <c r="G1249" i="10"/>
  <c r="G1135" i="31" s="1"/>
  <c r="G1245" i="10"/>
  <c r="G1241" i="10"/>
  <c r="G1128" i="31" s="1"/>
  <c r="G1237" i="10"/>
  <c r="G1124" i="31" s="1"/>
  <c r="G1233" i="10"/>
  <c r="G1121" i="31" s="1"/>
  <c r="G1229" i="10"/>
  <c r="G1117" i="31" s="1"/>
  <c r="G1225" i="10"/>
  <c r="G1113" i="31" s="1"/>
  <c r="G1221" i="10"/>
  <c r="G1110" i="31" s="1"/>
  <c r="G1217" i="10"/>
  <c r="G1106" i="31" s="1"/>
  <c r="G1213" i="10"/>
  <c r="G1102" i="31" s="1"/>
  <c r="G1209" i="10"/>
  <c r="G1099" i="31" s="1"/>
  <c r="G1205" i="10"/>
  <c r="G1095" i="31" s="1"/>
  <c r="G1201" i="10"/>
  <c r="G1197" i="10"/>
  <c r="G1088" i="31" s="1"/>
  <c r="G1193" i="10"/>
  <c r="G1084" i="31" s="1"/>
  <c r="G1189" i="10"/>
  <c r="G1081" i="31" s="1"/>
  <c r="G1185" i="10"/>
  <c r="G1077" i="31" s="1"/>
  <c r="G1181" i="10"/>
  <c r="G1073" i="31" s="1"/>
  <c r="G1177" i="10"/>
  <c r="G1070" i="31" s="1"/>
  <c r="G1173" i="10"/>
  <c r="G1066" i="31" s="1"/>
  <c r="G1169" i="10"/>
  <c r="G1062" i="31" s="1"/>
  <c r="G1165" i="10"/>
  <c r="G1059" i="31" s="1"/>
  <c r="G1161" i="10"/>
  <c r="G1055" i="31" s="1"/>
  <c r="G1157" i="10"/>
  <c r="G1153" i="10"/>
  <c r="G1048" i="31" s="1"/>
  <c r="G1149" i="10"/>
  <c r="G1044" i="31" s="1"/>
  <c r="G1145" i="10"/>
  <c r="G1041" i="31" s="1"/>
  <c r="G1141" i="10"/>
  <c r="G1037" i="31" s="1"/>
  <c r="G1137" i="10"/>
  <c r="G1033" i="31" s="1"/>
  <c r="G1133" i="10"/>
  <c r="G1030" i="31" s="1"/>
  <c r="G1129" i="10"/>
  <c r="G1026" i="31" s="1"/>
  <c r="G1125" i="10"/>
  <c r="G1022" i="31" s="1"/>
  <c r="G1121" i="10"/>
  <c r="G1019" i="31" s="1"/>
  <c r="G1117" i="10"/>
  <c r="G1015" i="31" s="1"/>
  <c r="G1113" i="10"/>
  <c r="G1109" i="10"/>
  <c r="G1008" i="31" s="1"/>
  <c r="G1105" i="10"/>
  <c r="G1004" i="31" s="1"/>
  <c r="G1091" i="10"/>
  <c r="G1083" i="10"/>
  <c r="G984" i="31" s="1"/>
  <c r="G1071" i="10"/>
  <c r="G973" i="31" s="1"/>
  <c r="G1067" i="10"/>
  <c r="G970" i="31" s="1"/>
  <c r="G1063" i="10"/>
  <c r="G966" i="31" s="1"/>
  <c r="G1059" i="10"/>
  <c r="G962" i="31" s="1"/>
  <c r="G1055" i="10"/>
  <c r="G959" i="31" s="1"/>
  <c r="G1051" i="10"/>
  <c r="G955" i="31" s="1"/>
  <c r="G1047" i="10"/>
  <c r="G1043" i="10"/>
  <c r="G948" i="31" s="1"/>
  <c r="G1039" i="10"/>
  <c r="G944" i="31" s="1"/>
  <c r="G1035" i="10"/>
  <c r="G941" i="31" s="1"/>
  <c r="G1031" i="10"/>
  <c r="G937" i="31" s="1"/>
  <c r="G1027" i="10"/>
  <c r="G933" i="31" s="1"/>
  <c r="G1023" i="10"/>
  <c r="G930" i="31" s="1"/>
  <c r="G1019" i="10"/>
  <c r="G926" i="31" s="1"/>
  <c r="G1015" i="10"/>
  <c r="G922" i="31" s="1"/>
  <c r="G1011" i="10"/>
  <c r="G919" i="31" s="1"/>
  <c r="G1007" i="10"/>
  <c r="G915" i="31" s="1"/>
  <c r="G1003" i="10"/>
  <c r="G999" i="10"/>
  <c r="G908" i="31" s="1"/>
  <c r="G995" i="10"/>
  <c r="G904" i="31" s="1"/>
  <c r="G991" i="10"/>
  <c r="G901" i="31" s="1"/>
  <c r="G987" i="10"/>
  <c r="G897" i="31" s="1"/>
  <c r="G983" i="10"/>
  <c r="G893" i="31" s="1"/>
  <c r="G979" i="10"/>
  <c r="G890" i="31" s="1"/>
  <c r="G975" i="10"/>
  <c r="G886" i="31" s="1"/>
  <c r="G971" i="10"/>
  <c r="G882" i="31" s="1"/>
  <c r="G967" i="10"/>
  <c r="G879" i="31" s="1"/>
  <c r="G963" i="10"/>
  <c r="G875" i="31" s="1"/>
  <c r="G959" i="10"/>
  <c r="G955" i="10"/>
  <c r="G868" i="31" s="1"/>
  <c r="G951" i="10"/>
  <c r="G864" i="31" s="1"/>
  <c r="G947" i="10"/>
  <c r="G861" i="31" s="1"/>
  <c r="G943" i="10"/>
  <c r="G857" i="31" s="1"/>
  <c r="G939" i="10"/>
  <c r="G853" i="31" s="1"/>
  <c r="G935" i="10"/>
  <c r="G850" i="31" s="1"/>
  <c r="G931" i="10"/>
  <c r="G846" i="31" s="1"/>
  <c r="G926" i="10"/>
  <c r="G912" i="10"/>
  <c r="G829" i="31" s="1"/>
  <c r="G908" i="10"/>
  <c r="G825" i="31" s="1"/>
  <c r="G904" i="10"/>
  <c r="G895" i="10"/>
  <c r="G813" i="31" s="1"/>
  <c r="G884" i="10"/>
  <c r="G803" i="31" s="1"/>
  <c r="G860" i="10"/>
  <c r="G856" i="10"/>
  <c r="G778" i="31" s="1"/>
  <c r="G852" i="10"/>
  <c r="G774" i="31" s="1"/>
  <c r="G848" i="10"/>
  <c r="G771" i="31" s="1"/>
  <c r="G844" i="10"/>
  <c r="G767" i="31" s="1"/>
  <c r="G840" i="10"/>
  <c r="G763" i="31" s="1"/>
  <c r="G836" i="10"/>
  <c r="G760" i="31" s="1"/>
  <c r="G832" i="10"/>
  <c r="G756" i="31" s="1"/>
  <c r="G828" i="10"/>
  <c r="G752" i="31" s="1"/>
  <c r="G824" i="10"/>
  <c r="G749" i="31" s="1"/>
  <c r="G820" i="10"/>
  <c r="G745" i="31" s="1"/>
  <c r="G816" i="10"/>
  <c r="G812" i="10"/>
  <c r="G738" i="31" s="1"/>
  <c r="G808" i="10"/>
  <c r="G734" i="31" s="1"/>
  <c r="G798" i="10"/>
  <c r="G725" i="31" s="1"/>
  <c r="G794" i="10"/>
  <c r="G770" i="10"/>
  <c r="G700" i="31" s="1"/>
  <c r="G766" i="10"/>
  <c r="G696" i="31" s="1"/>
  <c r="G762" i="10"/>
  <c r="G692" i="31" s="1"/>
  <c r="G750" i="10"/>
  <c r="G746" i="10"/>
  <c r="G678" i="31" s="1"/>
  <c r="G742" i="10"/>
  <c r="G674" i="31" s="1"/>
  <c r="G728" i="10"/>
  <c r="G712" i="10"/>
  <c r="G647" i="31" s="1"/>
  <c r="G708" i="10"/>
  <c r="G643" i="31" s="1"/>
  <c r="G704" i="10"/>
  <c r="G640" i="31" s="1"/>
  <c r="G700" i="10"/>
  <c r="G636" i="31" s="1"/>
  <c r="G696" i="10"/>
  <c r="G632" i="31" s="1"/>
  <c r="G675" i="10"/>
  <c r="G613" i="31" s="1"/>
  <c r="G656" i="10"/>
  <c r="G596" i="31" s="1"/>
  <c r="G652" i="10"/>
  <c r="G592" i="31" s="1"/>
  <c r="G642" i="10"/>
  <c r="G583" i="31" s="1"/>
  <c r="G633" i="10"/>
  <c r="G575" i="31" s="1"/>
  <c r="G629" i="10"/>
  <c r="G607" i="10"/>
  <c r="G589" i="10"/>
  <c r="G535" i="31" s="1"/>
  <c r="G585" i="10"/>
  <c r="G556" i="10"/>
  <c r="G505" i="31" s="1"/>
  <c r="G552" i="10"/>
  <c r="G519" i="10"/>
  <c r="G509" i="10"/>
  <c r="G462" i="31" s="1"/>
  <c r="G489" i="10"/>
  <c r="G444" i="31" s="1"/>
  <c r="G475" i="10"/>
  <c r="G444" i="10"/>
  <c r="G403" i="31" s="1"/>
  <c r="G433" i="10"/>
  <c r="G393" i="31" s="1"/>
  <c r="G411" i="10"/>
  <c r="G373" i="31" s="1"/>
  <c r="G399" i="10"/>
  <c r="G362" i="31" s="1"/>
  <c r="G387" i="10"/>
  <c r="G378" i="10"/>
  <c r="G343" i="31" s="1"/>
  <c r="G355" i="10"/>
  <c r="G322" i="31" s="1"/>
  <c r="G351" i="10"/>
  <c r="G319" i="31" s="1"/>
  <c r="G347" i="10"/>
  <c r="G315" i="31" s="1"/>
  <c r="G343" i="10"/>
  <c r="G333" i="10"/>
  <c r="G302" i="31" s="1"/>
  <c r="G321" i="10"/>
  <c r="G317" i="10"/>
  <c r="G288" i="31" s="1"/>
  <c r="G313" i="10"/>
  <c r="G284" i="31" s="1"/>
  <c r="G309" i="10"/>
  <c r="G281" i="31" s="1"/>
  <c r="G305" i="10"/>
  <c r="G277" i="31" s="1"/>
  <c r="G301" i="10"/>
  <c r="G273" i="31" s="1"/>
  <c r="G284" i="10"/>
  <c r="G258" i="31" s="1"/>
  <c r="G280" i="10"/>
  <c r="G254" i="31" s="1"/>
  <c r="G266" i="10"/>
  <c r="G262" i="10"/>
  <c r="G238" i="31" s="1"/>
  <c r="G258" i="10"/>
  <c r="G234" i="31" s="1"/>
  <c r="G254" i="10"/>
  <c r="G231" i="31" s="1"/>
  <c r="G250" i="10"/>
  <c r="G227" i="31" s="1"/>
  <c r="G246" i="10"/>
  <c r="G223" i="31" s="1"/>
  <c r="G242" i="10"/>
  <c r="G220" i="31" s="1"/>
  <c r="G238" i="10"/>
  <c r="G216" i="31" s="1"/>
  <c r="G234" i="10"/>
  <c r="G212" i="31" s="1"/>
  <c r="G230" i="10"/>
  <c r="G209" i="31" s="1"/>
  <c r="G226" i="10"/>
  <c r="G205" i="31" s="1"/>
  <c r="G222" i="10"/>
  <c r="G200" i="10"/>
  <c r="G180" i="10"/>
  <c r="G163" i="31" s="1"/>
  <c r="G158" i="10"/>
  <c r="G143" i="31" s="1"/>
  <c r="G153" i="10"/>
  <c r="G139" i="31" s="1"/>
  <c r="G149" i="10"/>
  <c r="G135" i="31" s="1"/>
  <c r="G145" i="10"/>
  <c r="F928" i="23"/>
  <c r="F928" i="8"/>
  <c r="F929" i="23"/>
  <c r="F929" i="8"/>
  <c r="L930" i="23"/>
  <c r="X845" i="31" s="1"/>
  <c r="H929" i="23"/>
  <c r="K929" i="23" s="1"/>
  <c r="N929" i="23" s="1"/>
  <c r="O929" i="23" s="1"/>
  <c r="Y844" i="31" s="1"/>
  <c r="E929" i="20"/>
  <c r="U844" i="31" s="1"/>
  <c r="E931" i="23"/>
  <c r="G931" i="23" s="1"/>
  <c r="I931" i="23" s="1"/>
  <c r="E931" i="8"/>
  <c r="G931" i="8" s="1"/>
  <c r="E846" i="31" s="1"/>
  <c r="L931" i="23"/>
  <c r="X846" i="31" s="1"/>
  <c r="E932" i="23"/>
  <c r="G932" i="23" s="1"/>
  <c r="I932" i="23" s="1"/>
  <c r="E932" i="8"/>
  <c r="G932" i="8" s="1"/>
  <c r="E847" i="31" s="1"/>
  <c r="L932" i="23"/>
  <c r="X847" i="31" s="1"/>
  <c r="P847" i="31"/>
  <c r="S847" i="31"/>
  <c r="W733" i="31"/>
  <c r="S807" i="23"/>
  <c r="AA733" i="31" s="1"/>
  <c r="G1034" i="23"/>
  <c r="I1034" i="23" s="1"/>
  <c r="G1032" i="8"/>
  <c r="E938" i="31" s="1"/>
  <c r="W736" i="31"/>
  <c r="S810" i="23"/>
  <c r="AA736" i="31" s="1"/>
  <c r="W1022" i="31"/>
  <c r="S1125" i="23"/>
  <c r="AA1022" i="31" s="1"/>
  <c r="L1041" i="23"/>
  <c r="X946" i="31" s="1"/>
  <c r="L1002" i="23"/>
  <c r="X911" i="31" s="1"/>
  <c r="L999" i="23"/>
  <c r="X908" i="31" s="1"/>
  <c r="L995" i="23"/>
  <c r="X904" i="31" s="1"/>
  <c r="G993" i="23"/>
  <c r="I993" i="23" s="1"/>
  <c r="G990" i="8"/>
  <c r="E900" i="31" s="1"/>
  <c r="L988" i="23"/>
  <c r="X898" i="31" s="1"/>
  <c r="W893" i="31"/>
  <c r="S983" i="23"/>
  <c r="AA893" i="31" s="1"/>
  <c r="W851" i="31"/>
  <c r="S936" i="23"/>
  <c r="AA851" i="31" s="1"/>
  <c r="G982" i="8"/>
  <c r="E892" i="31" s="1"/>
  <c r="L934" i="23"/>
  <c r="X849" i="31" s="1"/>
  <c r="W738" i="31"/>
  <c r="S812" i="23"/>
  <c r="AA738" i="31" s="1"/>
  <c r="L1042" i="23"/>
  <c r="X947" i="31" s="1"/>
  <c r="G1042" i="23"/>
  <c r="I1042" i="23" s="1"/>
  <c r="L1045" i="23"/>
  <c r="X950" i="31" s="1"/>
  <c r="G1045" i="23"/>
  <c r="I1045" i="23" s="1"/>
  <c r="G1033" i="8"/>
  <c r="E939" i="31" s="1"/>
  <c r="L1031" i="23"/>
  <c r="X937" i="31" s="1"/>
  <c r="G1027" i="23"/>
  <c r="I1027" i="23" s="1"/>
  <c r="G1026" i="23"/>
  <c r="I1026" i="23" s="1"/>
  <c r="G998" i="23"/>
  <c r="I998" i="23" s="1"/>
  <c r="G994" i="8"/>
  <c r="E903" i="31" s="1"/>
  <c r="W756" i="31"/>
  <c r="S832" i="23"/>
  <c r="AA756" i="31" s="1"/>
  <c r="S1134" i="23"/>
  <c r="AA1031" i="31" s="1"/>
  <c r="W1031" i="31"/>
  <c r="W740" i="31"/>
  <c r="S814" i="23"/>
  <c r="AA740" i="31" s="1"/>
  <c r="L1001" i="23"/>
  <c r="X910" i="31" s="1"/>
  <c r="G997" i="8"/>
  <c r="E906" i="31" s="1"/>
  <c r="G991" i="8"/>
  <c r="E901" i="31" s="1"/>
  <c r="L989" i="23"/>
  <c r="X899" i="31" s="1"/>
  <c r="G985" i="23"/>
  <c r="I985" i="23" s="1"/>
  <c r="F788" i="9"/>
  <c r="G788" i="9" s="1"/>
  <c r="F716" i="31" s="1"/>
  <c r="F790" i="9"/>
  <c r="G790" i="9" s="1"/>
  <c r="F718" i="31" s="1"/>
  <c r="F791" i="9"/>
  <c r="G791" i="9" s="1"/>
  <c r="F719" i="31" s="1"/>
  <c r="F786" i="9"/>
  <c r="G786" i="9" s="1"/>
  <c r="F714" i="31" s="1"/>
  <c r="F799" i="9"/>
  <c r="G799" i="9" s="1"/>
  <c r="F726" i="31" s="1"/>
  <c r="F801" i="9"/>
  <c r="G801" i="9" s="1"/>
  <c r="F728" i="31" s="1"/>
  <c r="F803" i="9"/>
  <c r="G803" i="9" s="1"/>
  <c r="F730" i="31" s="1"/>
  <c r="F804" i="9"/>
  <c r="G804" i="9" s="1"/>
  <c r="F731" i="31" s="1"/>
  <c r="F862" i="9"/>
  <c r="G862" i="9" s="1"/>
  <c r="F783" i="31" s="1"/>
  <c r="F785" i="9"/>
  <c r="G785" i="9" s="1"/>
  <c r="F713" i="31" s="1"/>
  <c r="F787" i="9"/>
  <c r="G787" i="9" s="1"/>
  <c r="F715" i="31" s="1"/>
  <c r="F789" i="9"/>
  <c r="G789" i="9" s="1"/>
  <c r="F717" i="31" s="1"/>
  <c r="F792" i="9"/>
  <c r="G792" i="9" s="1"/>
  <c r="F720" i="31" s="1"/>
  <c r="F793" i="9"/>
  <c r="G793" i="9" s="1"/>
  <c r="F721" i="31" s="1"/>
  <c r="F800" i="9"/>
  <c r="G800" i="9" s="1"/>
  <c r="F727" i="31" s="1"/>
  <c r="F802" i="9"/>
  <c r="G802" i="9" s="1"/>
  <c r="F729" i="31" s="1"/>
  <c r="F861" i="9"/>
  <c r="G861" i="9" s="1"/>
  <c r="F782" i="31" s="1"/>
  <c r="F863" i="9"/>
  <c r="G863" i="9" s="1"/>
  <c r="F784" i="31" s="1"/>
  <c r="F864" i="9"/>
  <c r="G864" i="9" s="1"/>
  <c r="F785" i="31" s="1"/>
  <c r="F865" i="9"/>
  <c r="G865" i="9" s="1"/>
  <c r="F786" i="31" s="1"/>
  <c r="F866" i="9"/>
  <c r="G866" i="9" s="1"/>
  <c r="F787" i="31" s="1"/>
  <c r="F867" i="9"/>
  <c r="G867" i="9" s="1"/>
  <c r="F788" i="31" s="1"/>
  <c r="F868" i="9"/>
  <c r="G868" i="9" s="1"/>
  <c r="F789" i="31" s="1"/>
  <c r="F869" i="9"/>
  <c r="G869" i="9" s="1"/>
  <c r="F790" i="31" s="1"/>
  <c r="F870" i="9"/>
  <c r="G870" i="9" s="1"/>
  <c r="F791" i="31" s="1"/>
  <c r="F1092" i="9"/>
  <c r="G1092" i="9" s="1"/>
  <c r="F992" i="31" s="1"/>
  <c r="F1100" i="9"/>
  <c r="G1100" i="9" s="1"/>
  <c r="F1000" i="31" s="1"/>
  <c r="T785" i="6"/>
  <c r="E785" i="19" s="1"/>
  <c r="T786" i="6"/>
  <c r="E786" i="19" s="1"/>
  <c r="T787" i="6"/>
  <c r="E787" i="19" s="1"/>
  <c r="T788" i="6"/>
  <c r="E788" i="19" s="1"/>
  <c r="T789" i="6"/>
  <c r="E789" i="19" s="1"/>
  <c r="T790" i="6"/>
  <c r="E790" i="19" s="1"/>
  <c r="T791" i="6"/>
  <c r="E791" i="19" s="1"/>
  <c r="T784" i="6"/>
  <c r="E784" i="19" s="1"/>
  <c r="N784" i="6"/>
  <c r="M784" i="6"/>
  <c r="M784" i="23" s="1"/>
  <c r="L783" i="6"/>
  <c r="L784" i="6"/>
  <c r="K784" i="6"/>
  <c r="P784" i="23" s="1"/>
  <c r="J784" i="6"/>
  <c r="J784" i="23" s="1"/>
  <c r="I784" i="6"/>
  <c r="H784" i="6"/>
  <c r="G784" i="6"/>
  <c r="F784" i="6"/>
  <c r="E784" i="6"/>
  <c r="E784" i="9" s="1"/>
  <c r="N782" i="6"/>
  <c r="M782" i="6"/>
  <c r="M782" i="23" s="1"/>
  <c r="L782" i="6"/>
  <c r="K782" i="6"/>
  <c r="P782" i="23" s="1"/>
  <c r="J782" i="6"/>
  <c r="J782" i="23" s="1"/>
  <c r="I782" i="6"/>
  <c r="H782" i="6"/>
  <c r="G782" i="6"/>
  <c r="F782" i="6"/>
  <c r="E782" i="6"/>
  <c r="E782" i="9" s="1"/>
  <c r="N781" i="6"/>
  <c r="M781" i="6"/>
  <c r="M781" i="23" s="1"/>
  <c r="L781" i="6"/>
  <c r="K781" i="6"/>
  <c r="P781" i="23" s="1"/>
  <c r="J781" i="6"/>
  <c r="J781" i="23" s="1"/>
  <c r="I781" i="6"/>
  <c r="H781" i="6"/>
  <c r="G781" i="6"/>
  <c r="F781" i="6"/>
  <c r="E781" i="6"/>
  <c r="E781" i="9" s="1"/>
  <c r="N780" i="6"/>
  <c r="M780" i="6"/>
  <c r="M780" i="23" s="1"/>
  <c r="L780" i="6"/>
  <c r="K780" i="6"/>
  <c r="P780" i="23" s="1"/>
  <c r="J780" i="6"/>
  <c r="J780" i="23" s="1"/>
  <c r="I780" i="6"/>
  <c r="H780" i="6"/>
  <c r="G780" i="6"/>
  <c r="F780" i="6"/>
  <c r="E780" i="6"/>
  <c r="E780" i="9" s="1"/>
  <c r="N779" i="6"/>
  <c r="M779" i="6"/>
  <c r="M779" i="23" s="1"/>
  <c r="L779" i="6"/>
  <c r="K779" i="6"/>
  <c r="P779" i="23" s="1"/>
  <c r="J779" i="6"/>
  <c r="J779" i="23" s="1"/>
  <c r="I779" i="6"/>
  <c r="H779" i="6"/>
  <c r="G779" i="6"/>
  <c r="F779" i="6"/>
  <c r="E779" i="6"/>
  <c r="E779" i="9" s="1"/>
  <c r="N778" i="6"/>
  <c r="M778" i="6"/>
  <c r="M778" i="23" s="1"/>
  <c r="L778" i="6"/>
  <c r="K778" i="6"/>
  <c r="P778" i="23" s="1"/>
  <c r="J778" i="6"/>
  <c r="J778" i="23" s="1"/>
  <c r="I778" i="6"/>
  <c r="H778" i="6"/>
  <c r="G778" i="6"/>
  <c r="F778" i="6"/>
  <c r="E778" i="6"/>
  <c r="E778" i="9" s="1"/>
  <c r="N777" i="6"/>
  <c r="M777" i="6"/>
  <c r="M777" i="23" s="1"/>
  <c r="L777" i="6"/>
  <c r="K777" i="6"/>
  <c r="P777" i="23" s="1"/>
  <c r="J777" i="6"/>
  <c r="J777" i="23" s="1"/>
  <c r="I777" i="6"/>
  <c r="H777" i="6"/>
  <c r="G777" i="6"/>
  <c r="F777" i="6"/>
  <c r="E777" i="6"/>
  <c r="E777" i="9" s="1"/>
  <c r="N776" i="6"/>
  <c r="M776" i="6"/>
  <c r="M776" i="23" s="1"/>
  <c r="L776" i="6"/>
  <c r="K776" i="6"/>
  <c r="P776" i="23" s="1"/>
  <c r="J776" i="6"/>
  <c r="J776" i="23" s="1"/>
  <c r="I776" i="6"/>
  <c r="H776" i="6"/>
  <c r="G776" i="6"/>
  <c r="F776" i="6"/>
  <c r="E776" i="6"/>
  <c r="E776" i="9" s="1"/>
  <c r="N775" i="6"/>
  <c r="M775" i="6"/>
  <c r="M775" i="23" s="1"/>
  <c r="L775" i="6"/>
  <c r="K775" i="6"/>
  <c r="P775" i="23" s="1"/>
  <c r="J775" i="6"/>
  <c r="J775" i="23" s="1"/>
  <c r="I775" i="6"/>
  <c r="H775" i="6"/>
  <c r="G775" i="6"/>
  <c r="F775" i="6"/>
  <c r="E775" i="6"/>
  <c r="E775" i="9" s="1"/>
  <c r="N774" i="6"/>
  <c r="M774" i="6"/>
  <c r="M774" i="23" s="1"/>
  <c r="L774" i="6"/>
  <c r="K774" i="6"/>
  <c r="P774" i="23" s="1"/>
  <c r="J774" i="6"/>
  <c r="J774" i="23" s="1"/>
  <c r="I774" i="6"/>
  <c r="H774" i="6"/>
  <c r="G774" i="6"/>
  <c r="F774" i="6"/>
  <c r="E774" i="6"/>
  <c r="E774" i="9" s="1"/>
  <c r="T774" i="6"/>
  <c r="E774" i="19" s="1"/>
  <c r="T775" i="6"/>
  <c r="E775" i="19" s="1"/>
  <c r="T776" i="6"/>
  <c r="E776" i="19" s="1"/>
  <c r="T777" i="6"/>
  <c r="E777" i="19" s="1"/>
  <c r="T778" i="6"/>
  <c r="E778" i="19" s="1"/>
  <c r="T779" i="6"/>
  <c r="E779" i="19" s="1"/>
  <c r="T780" i="6"/>
  <c r="E780" i="19" s="1"/>
  <c r="T781" i="6"/>
  <c r="E781" i="19" s="1"/>
  <c r="T782" i="6"/>
  <c r="E782" i="19" s="1"/>
  <c r="T773" i="6"/>
  <c r="E773" i="19" s="1"/>
  <c r="N773" i="6"/>
  <c r="M773" i="6"/>
  <c r="M773" i="23" s="1"/>
  <c r="L772" i="6"/>
  <c r="L773" i="6"/>
  <c r="K773" i="6"/>
  <c r="P773" i="23" s="1"/>
  <c r="J773" i="6"/>
  <c r="J773" i="23" s="1"/>
  <c r="I773" i="6"/>
  <c r="H773" i="6"/>
  <c r="G773" i="6"/>
  <c r="F773" i="6"/>
  <c r="E773" i="6"/>
  <c r="E773" i="9" s="1"/>
  <c r="X760" i="6"/>
  <c r="E760" i="29" s="1"/>
  <c r="T691" i="31" s="1"/>
  <c r="X759" i="6"/>
  <c r="E759" i="29" s="1"/>
  <c r="T690" i="31" s="1"/>
  <c r="W760" i="6"/>
  <c r="V760" i="6"/>
  <c r="E760" i="28" s="1"/>
  <c r="N760" i="6"/>
  <c r="M760" i="6"/>
  <c r="M760" i="23" s="1"/>
  <c r="L760" i="6"/>
  <c r="K760" i="6"/>
  <c r="P760" i="23" s="1"/>
  <c r="J760" i="6"/>
  <c r="J760" i="23" s="1"/>
  <c r="I760" i="6"/>
  <c r="H760" i="6"/>
  <c r="G760" i="6"/>
  <c r="F760" i="6"/>
  <c r="E760" i="6"/>
  <c r="E760" i="9" s="1"/>
  <c r="V759" i="6"/>
  <c r="E759" i="28" s="1"/>
  <c r="N759" i="6"/>
  <c r="M759" i="6"/>
  <c r="M759" i="23" s="1"/>
  <c r="L759" i="6"/>
  <c r="K759" i="6"/>
  <c r="P759" i="23" s="1"/>
  <c r="J759" i="6"/>
  <c r="J759" i="23" s="1"/>
  <c r="I759" i="6"/>
  <c r="H759" i="6"/>
  <c r="G759" i="6"/>
  <c r="F759" i="6"/>
  <c r="E759" i="6"/>
  <c r="E759" i="9" s="1"/>
  <c r="X758" i="6"/>
  <c r="E758" i="29" s="1"/>
  <c r="T689" i="31" s="1"/>
  <c r="V758" i="6"/>
  <c r="E758" i="28" s="1"/>
  <c r="N758" i="6"/>
  <c r="M758" i="6"/>
  <c r="M758" i="23" s="1"/>
  <c r="L758" i="6"/>
  <c r="K758" i="6"/>
  <c r="P758" i="23" s="1"/>
  <c r="J758" i="6"/>
  <c r="J758" i="23" s="1"/>
  <c r="I758" i="6"/>
  <c r="H758" i="6"/>
  <c r="G758" i="6"/>
  <c r="F758" i="6"/>
  <c r="E758" i="6"/>
  <c r="E758" i="9" s="1"/>
  <c r="X757" i="6"/>
  <c r="E757" i="29" s="1"/>
  <c r="T688" i="31" s="1"/>
  <c r="V754" i="6"/>
  <c r="E754" i="28" s="1"/>
  <c r="V755" i="6"/>
  <c r="E755" i="28" s="1"/>
  <c r="V756" i="6"/>
  <c r="E756" i="28" s="1"/>
  <c r="V757" i="6"/>
  <c r="E757" i="28" s="1"/>
  <c r="N757" i="6"/>
  <c r="M757" i="6"/>
  <c r="M757" i="23" s="1"/>
  <c r="L757" i="6"/>
  <c r="K757" i="6"/>
  <c r="P757" i="23" s="1"/>
  <c r="J757" i="6"/>
  <c r="J757" i="23" s="1"/>
  <c r="I757" i="6"/>
  <c r="H757" i="6"/>
  <c r="G757" i="6"/>
  <c r="F757" i="6"/>
  <c r="E757" i="6"/>
  <c r="E757" i="9" s="1"/>
  <c r="X756" i="6"/>
  <c r="E756" i="29" s="1"/>
  <c r="T687" i="31" s="1"/>
  <c r="N756" i="6"/>
  <c r="M756" i="6"/>
  <c r="M756" i="23" s="1"/>
  <c r="L756" i="6"/>
  <c r="K756" i="6"/>
  <c r="P756" i="23" s="1"/>
  <c r="J756" i="6"/>
  <c r="J756" i="23" s="1"/>
  <c r="I756" i="6"/>
  <c r="H756" i="6"/>
  <c r="G756" i="6"/>
  <c r="F756" i="6"/>
  <c r="E756" i="6"/>
  <c r="E756" i="9" s="1"/>
  <c r="X755" i="6"/>
  <c r="E755" i="29" s="1"/>
  <c r="T686" i="31" s="1"/>
  <c r="T755" i="6"/>
  <c r="E755" i="19" s="1"/>
  <c r="T756" i="6"/>
  <c r="E756" i="19" s="1"/>
  <c r="T757" i="6"/>
  <c r="E757" i="19" s="1"/>
  <c r="T758" i="6"/>
  <c r="E758" i="19" s="1"/>
  <c r="T759" i="6"/>
  <c r="E759" i="19" s="1"/>
  <c r="T760" i="6"/>
  <c r="E760" i="19" s="1"/>
  <c r="N755" i="6"/>
  <c r="M755" i="6"/>
  <c r="M755" i="23" s="1"/>
  <c r="L755" i="6"/>
  <c r="K755" i="6"/>
  <c r="P755" i="23" s="1"/>
  <c r="J755" i="6"/>
  <c r="J755" i="23" s="1"/>
  <c r="I755" i="6"/>
  <c r="H755" i="6"/>
  <c r="G755" i="6"/>
  <c r="F755" i="6"/>
  <c r="E755" i="6"/>
  <c r="E755" i="9" s="1"/>
  <c r="X754" i="6"/>
  <c r="E754" i="29" s="1"/>
  <c r="T685" i="31" s="1"/>
  <c r="T754" i="6"/>
  <c r="E754" i="19" s="1"/>
  <c r="N754" i="6"/>
  <c r="N753" i="6"/>
  <c r="M754" i="6"/>
  <c r="M754" i="23" s="1"/>
  <c r="M753" i="6"/>
  <c r="M753" i="23" s="1"/>
  <c r="L754" i="6"/>
  <c r="L753" i="6"/>
  <c r="K754" i="6"/>
  <c r="P754" i="23" s="1"/>
  <c r="K753" i="6"/>
  <c r="P753" i="23" s="1"/>
  <c r="J754" i="6"/>
  <c r="J754" i="23" s="1"/>
  <c r="J753" i="6"/>
  <c r="J753" i="23" s="1"/>
  <c r="I754" i="6"/>
  <c r="I753" i="6"/>
  <c r="H754" i="6"/>
  <c r="H753" i="6"/>
  <c r="G754" i="6"/>
  <c r="G753" i="6"/>
  <c r="F753" i="6"/>
  <c r="F754" i="6"/>
  <c r="E754" i="6"/>
  <c r="E754" i="9" s="1"/>
  <c r="E753" i="6"/>
  <c r="E753" i="9" s="1"/>
  <c r="X738" i="6"/>
  <c r="E738" i="29" s="1"/>
  <c r="T671" i="31" s="1"/>
  <c r="V738" i="6"/>
  <c r="E738" i="28" s="1"/>
  <c r="N738" i="6"/>
  <c r="M738" i="6"/>
  <c r="M738" i="23" s="1"/>
  <c r="L738" i="6"/>
  <c r="K738" i="6"/>
  <c r="P738" i="23" s="1"/>
  <c r="J738" i="6"/>
  <c r="J738" i="23" s="1"/>
  <c r="I738" i="6"/>
  <c r="H738" i="6"/>
  <c r="G738" i="6"/>
  <c r="F730" i="6"/>
  <c r="F731" i="6"/>
  <c r="F732" i="6"/>
  <c r="F733" i="6"/>
  <c r="F734" i="6"/>
  <c r="F735" i="6"/>
  <c r="F736" i="6"/>
  <c r="F737" i="6"/>
  <c r="F738" i="6"/>
  <c r="E738" i="6"/>
  <c r="E738" i="9" s="1"/>
  <c r="X737" i="6"/>
  <c r="E737" i="29" s="1"/>
  <c r="T670" i="31" s="1"/>
  <c r="V737" i="6"/>
  <c r="E737" i="28" s="1"/>
  <c r="N737" i="6"/>
  <c r="M737" i="6"/>
  <c r="M737" i="23" s="1"/>
  <c r="L737" i="6"/>
  <c r="K737" i="6"/>
  <c r="P737" i="23" s="1"/>
  <c r="J737" i="6"/>
  <c r="J737" i="23" s="1"/>
  <c r="I737" i="6"/>
  <c r="H737" i="6"/>
  <c r="G737" i="6"/>
  <c r="E737" i="6"/>
  <c r="E737" i="9" s="1"/>
  <c r="X736" i="6"/>
  <c r="E736" i="29" s="1"/>
  <c r="T669" i="31" s="1"/>
  <c r="V736" i="6"/>
  <c r="E736" i="28" s="1"/>
  <c r="N736" i="6"/>
  <c r="M736" i="6"/>
  <c r="M736" i="23" s="1"/>
  <c r="L736" i="6"/>
  <c r="K736" i="6"/>
  <c r="P736" i="23" s="1"/>
  <c r="J736" i="6"/>
  <c r="J736" i="23" s="1"/>
  <c r="I736" i="6"/>
  <c r="H736" i="6"/>
  <c r="G736" i="6"/>
  <c r="E736" i="6"/>
  <c r="E736" i="9" s="1"/>
  <c r="X735" i="6"/>
  <c r="E735" i="29" s="1"/>
  <c r="T668" i="31" s="1"/>
  <c r="V735" i="6"/>
  <c r="E735" i="28" s="1"/>
  <c r="N735" i="6"/>
  <c r="M735" i="6"/>
  <c r="M735" i="23" s="1"/>
  <c r="L735" i="6"/>
  <c r="K735" i="6"/>
  <c r="P735" i="23" s="1"/>
  <c r="J735" i="6"/>
  <c r="J735" i="23" s="1"/>
  <c r="I735" i="6"/>
  <c r="H735" i="6"/>
  <c r="G735" i="6"/>
  <c r="E735" i="6"/>
  <c r="E735" i="9" s="1"/>
  <c r="X734" i="6"/>
  <c r="E734" i="29" s="1"/>
  <c r="T667" i="31" s="1"/>
  <c r="V734" i="6"/>
  <c r="E734" i="28" s="1"/>
  <c r="N734" i="6"/>
  <c r="M734" i="6"/>
  <c r="M734" i="23" s="1"/>
  <c r="L734" i="6"/>
  <c r="K734" i="6"/>
  <c r="P734" i="23" s="1"/>
  <c r="J734" i="6"/>
  <c r="J734" i="23" s="1"/>
  <c r="I734" i="6"/>
  <c r="H734" i="6"/>
  <c r="G734" i="6"/>
  <c r="E734" i="6"/>
  <c r="E734" i="9" s="1"/>
  <c r="X733" i="6"/>
  <c r="E733" i="29" s="1"/>
  <c r="T666" i="31" s="1"/>
  <c r="V733" i="6"/>
  <c r="E733" i="28" s="1"/>
  <c r="N733" i="6"/>
  <c r="N732" i="6"/>
  <c r="M733" i="6"/>
  <c r="M733" i="23" s="1"/>
  <c r="M732" i="6"/>
  <c r="M732" i="23" s="1"/>
  <c r="L733" i="6"/>
  <c r="L732" i="6"/>
  <c r="K733" i="6"/>
  <c r="P733" i="23" s="1"/>
  <c r="K732" i="6"/>
  <c r="P732" i="23" s="1"/>
  <c r="J733" i="6"/>
  <c r="J733" i="23" s="1"/>
  <c r="J732" i="6"/>
  <c r="J732" i="23" s="1"/>
  <c r="I733" i="6"/>
  <c r="I732" i="6"/>
  <c r="H733" i="6"/>
  <c r="H732" i="6"/>
  <c r="G733" i="6"/>
  <c r="G732" i="6"/>
  <c r="E733" i="6"/>
  <c r="E733" i="9" s="1"/>
  <c r="E732" i="6"/>
  <c r="E732" i="9" s="1"/>
  <c r="X731" i="6"/>
  <c r="E731" i="29" s="1"/>
  <c r="T664" i="31" s="1"/>
  <c r="V731" i="6"/>
  <c r="E731" i="28" s="1"/>
  <c r="T731" i="6"/>
  <c r="E731" i="19" s="1"/>
  <c r="T733" i="6"/>
  <c r="E733" i="19" s="1"/>
  <c r="T734" i="6"/>
  <c r="E734" i="19" s="1"/>
  <c r="T735" i="6"/>
  <c r="E735" i="19" s="1"/>
  <c r="T736" i="6"/>
  <c r="E736" i="19" s="1"/>
  <c r="T737" i="6"/>
  <c r="E737" i="19" s="1"/>
  <c r="T738" i="6"/>
  <c r="E738" i="19" s="1"/>
  <c r="N731" i="6"/>
  <c r="M731" i="6"/>
  <c r="M731" i="23" s="1"/>
  <c r="L731" i="6"/>
  <c r="K731" i="6"/>
  <c r="P731" i="23" s="1"/>
  <c r="J731" i="6"/>
  <c r="J731" i="23" s="1"/>
  <c r="I731" i="6"/>
  <c r="H731" i="6"/>
  <c r="G731" i="6"/>
  <c r="E731" i="6"/>
  <c r="E731" i="9" s="1"/>
  <c r="X730" i="6"/>
  <c r="E730" i="29" s="1"/>
  <c r="T663" i="31" s="1"/>
  <c r="V730" i="6"/>
  <c r="E730" i="28" s="1"/>
  <c r="T730" i="6"/>
  <c r="E730" i="19" s="1"/>
  <c r="N730" i="6"/>
  <c r="N729" i="6"/>
  <c r="M730" i="6"/>
  <c r="M730" i="23" s="1"/>
  <c r="M729" i="6"/>
  <c r="M729" i="23" s="1"/>
  <c r="L730" i="6"/>
  <c r="L729" i="6"/>
  <c r="L728" i="6"/>
  <c r="K730" i="6"/>
  <c r="P730" i="23" s="1"/>
  <c r="K729" i="6"/>
  <c r="P729" i="23" s="1"/>
  <c r="J730" i="6"/>
  <c r="J730" i="23" s="1"/>
  <c r="J729" i="6"/>
  <c r="J729" i="23" s="1"/>
  <c r="I730" i="6"/>
  <c r="I729" i="6"/>
  <c r="H730" i="6"/>
  <c r="H729" i="6"/>
  <c r="G729" i="6"/>
  <c r="G730" i="6"/>
  <c r="F729" i="6"/>
  <c r="E730" i="6"/>
  <c r="E730" i="9" s="1"/>
  <c r="E729" i="6"/>
  <c r="E729" i="9" s="1"/>
  <c r="V726" i="6"/>
  <c r="E726" i="28" s="1"/>
  <c r="N726" i="6"/>
  <c r="M726" i="6"/>
  <c r="M726" i="23" s="1"/>
  <c r="L726" i="6"/>
  <c r="K726" i="6"/>
  <c r="P726" i="23" s="1"/>
  <c r="J726" i="6"/>
  <c r="J726" i="23" s="1"/>
  <c r="I726" i="6"/>
  <c r="H726" i="6"/>
  <c r="G726" i="6"/>
  <c r="F726" i="6"/>
  <c r="E726" i="6"/>
  <c r="E726" i="9" s="1"/>
  <c r="X725" i="6"/>
  <c r="E725" i="29" s="1"/>
  <c r="T659" i="31" s="1"/>
  <c r="V725" i="6"/>
  <c r="E725" i="28" s="1"/>
  <c r="N725" i="6"/>
  <c r="M725" i="6"/>
  <c r="M725" i="23" s="1"/>
  <c r="L725" i="6"/>
  <c r="K725" i="6"/>
  <c r="P725" i="23" s="1"/>
  <c r="J725" i="6"/>
  <c r="J725" i="23" s="1"/>
  <c r="I725" i="6"/>
  <c r="H725" i="6"/>
  <c r="G725" i="6"/>
  <c r="F725" i="6"/>
  <c r="E725" i="6"/>
  <c r="E725" i="9" s="1"/>
  <c r="X724" i="6"/>
  <c r="E724" i="29" s="1"/>
  <c r="T658" i="31" s="1"/>
  <c r="V724" i="6"/>
  <c r="E724" i="28" s="1"/>
  <c r="N724" i="6"/>
  <c r="M724" i="6"/>
  <c r="M724" i="23" s="1"/>
  <c r="L724" i="6"/>
  <c r="K724" i="6"/>
  <c r="P724" i="23" s="1"/>
  <c r="J724" i="6"/>
  <c r="J724" i="23" s="1"/>
  <c r="I724" i="6"/>
  <c r="H724" i="6"/>
  <c r="G724" i="6"/>
  <c r="F724" i="6"/>
  <c r="E724" i="6"/>
  <c r="E724" i="9" s="1"/>
  <c r="X723" i="6"/>
  <c r="E723" i="29" s="1"/>
  <c r="T657" i="31" s="1"/>
  <c r="V723" i="6"/>
  <c r="E723" i="28" s="1"/>
  <c r="N723" i="6"/>
  <c r="M723" i="6"/>
  <c r="M723" i="23" s="1"/>
  <c r="L723" i="6"/>
  <c r="K723" i="6"/>
  <c r="P723" i="23" s="1"/>
  <c r="J723" i="6"/>
  <c r="J723" i="23" s="1"/>
  <c r="I723" i="6"/>
  <c r="H723" i="6"/>
  <c r="G723" i="6"/>
  <c r="F723" i="6"/>
  <c r="E723" i="6"/>
  <c r="E723" i="9" s="1"/>
  <c r="X722" i="6"/>
  <c r="E722" i="29" s="1"/>
  <c r="T656" i="31" s="1"/>
  <c r="V722" i="6"/>
  <c r="E722" i="28" s="1"/>
  <c r="N722" i="6"/>
  <c r="M722" i="6"/>
  <c r="M722" i="23" s="1"/>
  <c r="L722" i="6"/>
  <c r="K722" i="6"/>
  <c r="P722" i="23" s="1"/>
  <c r="J722" i="6"/>
  <c r="J722" i="23" s="1"/>
  <c r="I722" i="6"/>
  <c r="H722" i="6"/>
  <c r="G722" i="6"/>
  <c r="F722" i="6"/>
  <c r="E722" i="6"/>
  <c r="E722" i="9" s="1"/>
  <c r="X721" i="6"/>
  <c r="E721" i="29" s="1"/>
  <c r="T655" i="31" s="1"/>
  <c r="V721" i="6"/>
  <c r="E721" i="28" s="1"/>
  <c r="N721" i="6"/>
  <c r="M721" i="6"/>
  <c r="M721" i="23" s="1"/>
  <c r="L721" i="6"/>
  <c r="K721" i="6"/>
  <c r="P721" i="23" s="1"/>
  <c r="J721" i="6"/>
  <c r="J721" i="23" s="1"/>
  <c r="I721" i="6"/>
  <c r="H721" i="6"/>
  <c r="G721" i="6"/>
  <c r="F721" i="6"/>
  <c r="E721" i="6"/>
  <c r="E721" i="9" s="1"/>
  <c r="X720" i="6"/>
  <c r="E720" i="29" s="1"/>
  <c r="T654" i="31" s="1"/>
  <c r="V720" i="6"/>
  <c r="E720" i="28" s="1"/>
  <c r="N720" i="6"/>
  <c r="M720" i="6"/>
  <c r="M720" i="23" s="1"/>
  <c r="L720" i="6"/>
  <c r="K720" i="6"/>
  <c r="P720" i="23" s="1"/>
  <c r="J720" i="6"/>
  <c r="J720" i="23" s="1"/>
  <c r="I720" i="6"/>
  <c r="H720" i="6"/>
  <c r="G720" i="6"/>
  <c r="F720" i="6"/>
  <c r="E720" i="6"/>
  <c r="E720" i="9" s="1"/>
  <c r="X719" i="6"/>
  <c r="E719" i="29" s="1"/>
  <c r="T653" i="31" s="1"/>
  <c r="V719" i="6"/>
  <c r="E719" i="28" s="1"/>
  <c r="T719" i="6"/>
  <c r="E719" i="19" s="1"/>
  <c r="T720" i="6"/>
  <c r="E720" i="19" s="1"/>
  <c r="T721" i="6"/>
  <c r="E721" i="19" s="1"/>
  <c r="T722" i="6"/>
  <c r="E722" i="19" s="1"/>
  <c r="T723" i="6"/>
  <c r="E723" i="19" s="1"/>
  <c r="T724" i="6"/>
  <c r="E724" i="19" s="1"/>
  <c r="T725" i="6"/>
  <c r="E725" i="19" s="1"/>
  <c r="T726" i="6"/>
  <c r="E726" i="19" s="1"/>
  <c r="N719" i="6"/>
  <c r="N718" i="6"/>
  <c r="M719" i="6"/>
  <c r="M719" i="23" s="1"/>
  <c r="L719" i="6"/>
  <c r="L718" i="6"/>
  <c r="K719" i="6"/>
  <c r="P719" i="23" s="1"/>
  <c r="J719" i="6"/>
  <c r="J719" i="23" s="1"/>
  <c r="I719" i="6"/>
  <c r="H719" i="6"/>
  <c r="H718" i="6"/>
  <c r="G719" i="6"/>
  <c r="F718" i="6"/>
  <c r="F719" i="6"/>
  <c r="E719" i="6"/>
  <c r="E719" i="9" s="1"/>
  <c r="X718" i="6"/>
  <c r="E718" i="29" s="1"/>
  <c r="T652" i="31" s="1"/>
  <c r="V718" i="6"/>
  <c r="E718" i="28" s="1"/>
  <c r="T718" i="6"/>
  <c r="E718" i="19" s="1"/>
  <c r="M718" i="6"/>
  <c r="M718" i="23" s="1"/>
  <c r="K718" i="6"/>
  <c r="P718" i="23" s="1"/>
  <c r="J718" i="6"/>
  <c r="J718" i="23" s="1"/>
  <c r="I718" i="6"/>
  <c r="G718" i="6"/>
  <c r="E718" i="6"/>
  <c r="E718" i="9" s="1"/>
  <c r="T716" i="6"/>
  <c r="E716" i="19" s="1"/>
  <c r="N716" i="6"/>
  <c r="M716" i="6"/>
  <c r="M716" i="23" s="1"/>
  <c r="L716" i="6"/>
  <c r="K716" i="6"/>
  <c r="P716" i="23" s="1"/>
  <c r="J716" i="6"/>
  <c r="J716" i="23" s="1"/>
  <c r="I716" i="6"/>
  <c r="H716" i="6"/>
  <c r="G716" i="6"/>
  <c r="F716" i="6"/>
  <c r="E716" i="6"/>
  <c r="E716" i="9" s="1"/>
  <c r="T715" i="6"/>
  <c r="E715" i="19" s="1"/>
  <c r="N715" i="6"/>
  <c r="M715" i="6"/>
  <c r="M715" i="23" s="1"/>
  <c r="L715" i="6"/>
  <c r="K715" i="6"/>
  <c r="P715" i="23" s="1"/>
  <c r="J715" i="6"/>
  <c r="J715" i="23" s="1"/>
  <c r="I715" i="6"/>
  <c r="H715" i="6"/>
  <c r="G715" i="6"/>
  <c r="F715" i="6"/>
  <c r="E715" i="6"/>
  <c r="E715" i="9" s="1"/>
  <c r="N714" i="6"/>
  <c r="M714" i="6"/>
  <c r="M714" i="23" s="1"/>
  <c r="L714" i="6"/>
  <c r="K714" i="6"/>
  <c r="P714" i="23" s="1"/>
  <c r="J714" i="6"/>
  <c r="J714" i="23" s="1"/>
  <c r="I714" i="6"/>
  <c r="H714" i="6"/>
  <c r="G714" i="6"/>
  <c r="F714" i="6"/>
  <c r="E714" i="6"/>
  <c r="E714" i="9" s="1"/>
  <c r="X694" i="6"/>
  <c r="E694" i="29" s="1"/>
  <c r="T631" i="31" s="1"/>
  <c r="W694" i="6"/>
  <c r="V694" i="6"/>
  <c r="E694" i="28" s="1"/>
  <c r="T694" i="6"/>
  <c r="E694" i="19" s="1"/>
  <c r="N694" i="6"/>
  <c r="M694" i="6"/>
  <c r="M694" i="23" s="1"/>
  <c r="L694" i="6"/>
  <c r="K694" i="6"/>
  <c r="P694" i="23" s="1"/>
  <c r="J694" i="6"/>
  <c r="J694" i="23" s="1"/>
  <c r="I694" i="6"/>
  <c r="H694" i="6"/>
  <c r="F694" i="6"/>
  <c r="G694" i="6"/>
  <c r="E694" i="6"/>
  <c r="E694" i="9" s="1"/>
  <c r="X693" i="6"/>
  <c r="E693" i="29" s="1"/>
  <c r="T630" i="31" s="1"/>
  <c r="V693" i="6"/>
  <c r="E693" i="28" s="1"/>
  <c r="N693" i="6"/>
  <c r="M693" i="6"/>
  <c r="M693" i="23" s="1"/>
  <c r="L693" i="6"/>
  <c r="K693" i="6"/>
  <c r="P693" i="23" s="1"/>
  <c r="J693" i="6"/>
  <c r="J693" i="23" s="1"/>
  <c r="H693" i="6"/>
  <c r="I693" i="6"/>
  <c r="F693" i="6"/>
  <c r="G693" i="6"/>
  <c r="E693" i="6"/>
  <c r="E693" i="9" s="1"/>
  <c r="X692" i="6"/>
  <c r="E692" i="29" s="1"/>
  <c r="T629" i="31" s="1"/>
  <c r="V692" i="6"/>
  <c r="E692" i="28" s="1"/>
  <c r="N692" i="6"/>
  <c r="M692" i="6"/>
  <c r="M692" i="23" s="1"/>
  <c r="L692" i="6"/>
  <c r="K692" i="6"/>
  <c r="P692" i="23" s="1"/>
  <c r="J692" i="6"/>
  <c r="J692" i="23" s="1"/>
  <c r="H692" i="6"/>
  <c r="I692" i="6"/>
  <c r="F692" i="6"/>
  <c r="G692" i="6"/>
  <c r="X691" i="6"/>
  <c r="E691" i="29" s="1"/>
  <c r="T628" i="31" s="1"/>
  <c r="V691" i="6"/>
  <c r="E691" i="28" s="1"/>
  <c r="N691" i="6"/>
  <c r="M691" i="6"/>
  <c r="M691" i="23" s="1"/>
  <c r="L691" i="6"/>
  <c r="K691" i="6"/>
  <c r="P691" i="23" s="1"/>
  <c r="J691" i="6"/>
  <c r="J691" i="23" s="1"/>
  <c r="I691" i="6"/>
  <c r="G691" i="6"/>
  <c r="E691" i="6"/>
  <c r="E691" i="9" s="1"/>
  <c r="X690" i="6"/>
  <c r="E690" i="29" s="1"/>
  <c r="T627" i="31" s="1"/>
  <c r="V690" i="6"/>
  <c r="E690" i="28" s="1"/>
  <c r="N690" i="6"/>
  <c r="M690" i="6"/>
  <c r="M690" i="23" s="1"/>
  <c r="L690" i="6"/>
  <c r="K690" i="6"/>
  <c r="P690" i="23" s="1"/>
  <c r="J690" i="6"/>
  <c r="J690" i="23" s="1"/>
  <c r="I690" i="6"/>
  <c r="G690" i="6"/>
  <c r="E690" i="6"/>
  <c r="E690" i="9" s="1"/>
  <c r="X689" i="6"/>
  <c r="E689" i="29" s="1"/>
  <c r="T626" i="31" s="1"/>
  <c r="V689" i="6"/>
  <c r="E689" i="28" s="1"/>
  <c r="N687" i="6"/>
  <c r="N689" i="6"/>
  <c r="M689" i="6"/>
  <c r="M689" i="23" s="1"/>
  <c r="K689" i="6"/>
  <c r="P689" i="23" s="1"/>
  <c r="J689" i="6"/>
  <c r="J689" i="23" s="1"/>
  <c r="I689" i="6"/>
  <c r="G689" i="6"/>
  <c r="E689" i="6"/>
  <c r="E689" i="9" s="1"/>
  <c r="X688" i="6"/>
  <c r="E688" i="29" s="1"/>
  <c r="T625" i="31" s="1"/>
  <c r="V688" i="6"/>
  <c r="E688" i="28" s="1"/>
  <c r="M688" i="6"/>
  <c r="M688" i="23" s="1"/>
  <c r="L688" i="6"/>
  <c r="K688" i="6"/>
  <c r="P688" i="23" s="1"/>
  <c r="J688" i="6"/>
  <c r="J688" i="23" s="1"/>
  <c r="H688" i="6"/>
  <c r="I688" i="6"/>
  <c r="F688" i="6"/>
  <c r="G688" i="6"/>
  <c r="E688" i="6"/>
  <c r="E688" i="9" s="1"/>
  <c r="E687" i="6"/>
  <c r="E687" i="9" s="1"/>
  <c r="X687" i="6"/>
  <c r="E687" i="29" s="1"/>
  <c r="T624" i="31" s="1"/>
  <c r="V687" i="6"/>
  <c r="E687" i="28" s="1"/>
  <c r="M687" i="6"/>
  <c r="M687" i="23" s="1"/>
  <c r="K686" i="6"/>
  <c r="P686" i="23" s="1"/>
  <c r="K687" i="6"/>
  <c r="P687" i="23" s="1"/>
  <c r="J687" i="6"/>
  <c r="J687" i="23" s="1"/>
  <c r="H687" i="6"/>
  <c r="I687" i="6"/>
  <c r="G687" i="6"/>
  <c r="X686" i="6"/>
  <c r="E686" i="29" s="1"/>
  <c r="T623" i="31" s="1"/>
  <c r="V686" i="6"/>
  <c r="E686" i="28" s="1"/>
  <c r="M686" i="6"/>
  <c r="M686" i="23" s="1"/>
  <c r="L686" i="6"/>
  <c r="J686" i="6"/>
  <c r="J686" i="23" s="1"/>
  <c r="H686" i="6"/>
  <c r="I686" i="6"/>
  <c r="G686" i="6"/>
  <c r="E686" i="6"/>
  <c r="E686" i="9" s="1"/>
  <c r="X685" i="6"/>
  <c r="E685" i="29" s="1"/>
  <c r="T622" i="31" s="1"/>
  <c r="V685" i="6"/>
  <c r="E685" i="28" s="1"/>
  <c r="T686" i="6"/>
  <c r="E686" i="19" s="1"/>
  <c r="T687" i="6"/>
  <c r="E687" i="19" s="1"/>
  <c r="T688" i="6"/>
  <c r="E688" i="19" s="1"/>
  <c r="T689" i="6"/>
  <c r="E689" i="19" s="1"/>
  <c r="T690" i="6"/>
  <c r="E690" i="19" s="1"/>
  <c r="T691" i="6"/>
  <c r="E691" i="19" s="1"/>
  <c r="T692" i="6"/>
  <c r="E692" i="19" s="1"/>
  <c r="T693" i="6"/>
  <c r="E693" i="19" s="1"/>
  <c r="T685" i="6"/>
  <c r="E685" i="19" s="1"/>
  <c r="M685" i="6"/>
  <c r="M685" i="23" s="1"/>
  <c r="L685" i="6"/>
  <c r="K685" i="6"/>
  <c r="P685" i="23" s="1"/>
  <c r="J685" i="6"/>
  <c r="J685" i="23" s="1"/>
  <c r="I685" i="6"/>
  <c r="H685" i="6"/>
  <c r="G685" i="6"/>
  <c r="F685" i="6"/>
  <c r="E685" i="6"/>
  <c r="E685" i="9" s="1"/>
  <c r="N672" i="6"/>
  <c r="M672" i="6"/>
  <c r="M672" i="23" s="1"/>
  <c r="L672" i="6"/>
  <c r="K672" i="6"/>
  <c r="P672" i="23" s="1"/>
  <c r="J672" i="6"/>
  <c r="J672" i="23" s="1"/>
  <c r="I672" i="6"/>
  <c r="H672" i="6"/>
  <c r="G672" i="6"/>
  <c r="F672" i="6"/>
  <c r="E672" i="6"/>
  <c r="E672" i="9" s="1"/>
  <c r="N671" i="6"/>
  <c r="M671" i="6"/>
  <c r="M671" i="23" s="1"/>
  <c r="L671" i="6"/>
  <c r="K671" i="6"/>
  <c r="P671" i="23" s="1"/>
  <c r="J671" i="6"/>
  <c r="J671" i="23" s="1"/>
  <c r="I671" i="6"/>
  <c r="H671" i="6"/>
  <c r="G671" i="6"/>
  <c r="F671" i="6"/>
  <c r="E671" i="6"/>
  <c r="E671" i="9" s="1"/>
  <c r="N670" i="6"/>
  <c r="M670" i="6"/>
  <c r="M670" i="23" s="1"/>
  <c r="L670" i="6"/>
  <c r="K670" i="6"/>
  <c r="P670" i="23" s="1"/>
  <c r="J670" i="6"/>
  <c r="J670" i="23" s="1"/>
  <c r="I670" i="6"/>
  <c r="H670" i="6"/>
  <c r="G670" i="6"/>
  <c r="F670" i="6"/>
  <c r="E670" i="6"/>
  <c r="E670" i="9" s="1"/>
  <c r="N669" i="6"/>
  <c r="M669" i="6"/>
  <c r="M669" i="23" s="1"/>
  <c r="L669" i="6"/>
  <c r="K669" i="6"/>
  <c r="P669" i="23" s="1"/>
  <c r="J669" i="6"/>
  <c r="J669" i="23" s="1"/>
  <c r="I669" i="6"/>
  <c r="H669" i="6"/>
  <c r="G669" i="6"/>
  <c r="F669" i="6"/>
  <c r="E669" i="6"/>
  <c r="E669" i="9" s="1"/>
  <c r="N668" i="6"/>
  <c r="M668" i="6"/>
  <c r="M668" i="23" s="1"/>
  <c r="L668" i="6"/>
  <c r="K668" i="6"/>
  <c r="P668" i="23" s="1"/>
  <c r="J668" i="6"/>
  <c r="J668" i="23" s="1"/>
  <c r="I668" i="6"/>
  <c r="H668" i="6"/>
  <c r="G668" i="6"/>
  <c r="F668" i="6"/>
  <c r="E668" i="6"/>
  <c r="E668" i="9" s="1"/>
  <c r="N667" i="6"/>
  <c r="M667" i="6"/>
  <c r="M667" i="23" s="1"/>
  <c r="L667" i="6"/>
  <c r="K667" i="6"/>
  <c r="P667" i="23" s="1"/>
  <c r="J667" i="6"/>
  <c r="J667" i="23" s="1"/>
  <c r="I667" i="6"/>
  <c r="H667" i="6"/>
  <c r="G667" i="6"/>
  <c r="F667" i="6"/>
  <c r="E667" i="6"/>
  <c r="E667" i="9" s="1"/>
  <c r="N666" i="6"/>
  <c r="M666" i="6"/>
  <c r="M666" i="23" s="1"/>
  <c r="L666" i="6"/>
  <c r="K666" i="6"/>
  <c r="P666" i="23" s="1"/>
  <c r="J666" i="6"/>
  <c r="J666" i="23" s="1"/>
  <c r="I666" i="6"/>
  <c r="H666" i="6"/>
  <c r="G666" i="6"/>
  <c r="F666" i="6"/>
  <c r="E666" i="6"/>
  <c r="E666" i="9" s="1"/>
  <c r="N665" i="6"/>
  <c r="M665" i="6"/>
  <c r="M665" i="23" s="1"/>
  <c r="L665" i="6"/>
  <c r="K665" i="6"/>
  <c r="P665" i="23" s="1"/>
  <c r="J665" i="6"/>
  <c r="J665" i="23" s="1"/>
  <c r="I665" i="6"/>
  <c r="H665" i="6"/>
  <c r="G665" i="6"/>
  <c r="F665" i="6"/>
  <c r="F664" i="6"/>
  <c r="E665" i="6"/>
  <c r="E665" i="9" s="1"/>
  <c r="N664" i="6"/>
  <c r="M664" i="6"/>
  <c r="M664" i="23" s="1"/>
  <c r="L664" i="6"/>
  <c r="K664" i="6"/>
  <c r="P664" i="23" s="1"/>
  <c r="J664" i="6"/>
  <c r="J664" i="23" s="1"/>
  <c r="I664" i="6"/>
  <c r="H664" i="6"/>
  <c r="G664" i="6"/>
  <c r="E664" i="6"/>
  <c r="E664" i="9" s="1"/>
  <c r="T664" i="6"/>
  <c r="E664" i="19" s="1"/>
  <c r="T665" i="6"/>
  <c r="E665" i="19" s="1"/>
  <c r="T666" i="6"/>
  <c r="E666" i="19" s="1"/>
  <c r="T667" i="6"/>
  <c r="E667" i="19" s="1"/>
  <c r="T668" i="6"/>
  <c r="E668" i="19" s="1"/>
  <c r="T669" i="6"/>
  <c r="E669" i="19" s="1"/>
  <c r="T670" i="6"/>
  <c r="E670" i="19" s="1"/>
  <c r="T671" i="6"/>
  <c r="E671" i="19" s="1"/>
  <c r="T672" i="6"/>
  <c r="E672" i="19" s="1"/>
  <c r="T663" i="6"/>
  <c r="E663" i="19" s="1"/>
  <c r="N663" i="6"/>
  <c r="M663" i="6"/>
  <c r="M663" i="23" s="1"/>
  <c r="L663" i="6"/>
  <c r="L662" i="6"/>
  <c r="K663" i="6"/>
  <c r="P663" i="23" s="1"/>
  <c r="J663" i="6"/>
  <c r="J663" i="23" s="1"/>
  <c r="I663" i="6"/>
  <c r="H663" i="6"/>
  <c r="G663" i="6"/>
  <c r="F663" i="6"/>
  <c r="E663" i="6"/>
  <c r="E663" i="9" s="1"/>
  <c r="E2" i="29"/>
  <c r="E2" i="28"/>
  <c r="N683" i="6"/>
  <c r="M683" i="6"/>
  <c r="M683" i="23" s="1"/>
  <c r="L683" i="6"/>
  <c r="K683" i="6"/>
  <c r="P683" i="23" s="1"/>
  <c r="J683" i="6"/>
  <c r="J683" i="23" s="1"/>
  <c r="I683" i="6"/>
  <c r="H683" i="6"/>
  <c r="G683" i="6"/>
  <c r="F682" i="6"/>
  <c r="F683" i="6"/>
  <c r="E683" i="6"/>
  <c r="E683" i="9" s="1"/>
  <c r="N682" i="6"/>
  <c r="M682" i="6"/>
  <c r="M682" i="23" s="1"/>
  <c r="L682" i="6"/>
  <c r="K682" i="6"/>
  <c r="P682" i="23" s="1"/>
  <c r="J682" i="6"/>
  <c r="J682" i="23" s="1"/>
  <c r="I682" i="6"/>
  <c r="H682" i="6"/>
  <c r="G682" i="6"/>
  <c r="E682" i="6"/>
  <c r="E682" i="9" s="1"/>
  <c r="N681" i="6"/>
  <c r="M681" i="6"/>
  <c r="M681" i="23" s="1"/>
  <c r="L681" i="6"/>
  <c r="K681" i="6"/>
  <c r="P681" i="23" s="1"/>
  <c r="J681" i="6"/>
  <c r="J681" i="23" s="1"/>
  <c r="I681" i="6"/>
  <c r="H681" i="6"/>
  <c r="G681" i="6"/>
  <c r="F681" i="6"/>
  <c r="E681" i="6"/>
  <c r="E681" i="9" s="1"/>
  <c r="N680" i="6"/>
  <c r="M680" i="6"/>
  <c r="M680" i="23" s="1"/>
  <c r="L680" i="6"/>
  <c r="K680" i="6"/>
  <c r="P680" i="23" s="1"/>
  <c r="J680" i="6"/>
  <c r="J680" i="23" s="1"/>
  <c r="I680" i="6"/>
  <c r="H680" i="6"/>
  <c r="G680" i="6"/>
  <c r="F680" i="6"/>
  <c r="E680" i="6"/>
  <c r="E680" i="9" s="1"/>
  <c r="T679" i="6"/>
  <c r="E679" i="19" s="1"/>
  <c r="T680" i="6"/>
  <c r="E680" i="19" s="1"/>
  <c r="T681" i="6"/>
  <c r="E681" i="19" s="1"/>
  <c r="T682" i="6"/>
  <c r="E682" i="19" s="1"/>
  <c r="T683" i="6"/>
  <c r="E683" i="19" s="1"/>
  <c r="T678" i="6"/>
  <c r="E678" i="19" s="1"/>
  <c r="N679" i="6"/>
  <c r="M679" i="6"/>
  <c r="M679" i="23" s="1"/>
  <c r="L679" i="6"/>
  <c r="K679" i="6"/>
  <c r="P679" i="23" s="1"/>
  <c r="J679" i="6"/>
  <c r="J679" i="23" s="1"/>
  <c r="I679" i="6"/>
  <c r="H679" i="6"/>
  <c r="G679" i="6"/>
  <c r="F679" i="6"/>
  <c r="E679" i="6"/>
  <c r="E679" i="9" s="1"/>
  <c r="N678" i="6"/>
  <c r="N677" i="6"/>
  <c r="M678" i="6"/>
  <c r="M678" i="23" s="1"/>
  <c r="M677" i="6"/>
  <c r="M677" i="23" s="1"/>
  <c r="L678" i="6"/>
  <c r="L677" i="6"/>
  <c r="K678" i="6"/>
  <c r="P678" i="23" s="1"/>
  <c r="K677" i="6"/>
  <c r="P677" i="23" s="1"/>
  <c r="J678" i="6"/>
  <c r="J678" i="23" s="1"/>
  <c r="J677" i="6"/>
  <c r="J677" i="23" s="1"/>
  <c r="I678" i="6"/>
  <c r="I677" i="6"/>
  <c r="H678" i="6"/>
  <c r="H677" i="6"/>
  <c r="G678" i="6"/>
  <c r="G677" i="6"/>
  <c r="F678" i="6"/>
  <c r="F677" i="6"/>
  <c r="E678" i="6"/>
  <c r="E678" i="9" s="1"/>
  <c r="E677" i="6"/>
  <c r="E677" i="9" s="1"/>
  <c r="N661" i="6"/>
  <c r="M661" i="6"/>
  <c r="M661" i="23" s="1"/>
  <c r="L661" i="6"/>
  <c r="K661" i="6"/>
  <c r="P661" i="23" s="1"/>
  <c r="J661" i="6"/>
  <c r="J661" i="23" s="1"/>
  <c r="I661" i="6"/>
  <c r="H661" i="6"/>
  <c r="G661" i="6"/>
  <c r="F661" i="6"/>
  <c r="E661" i="6"/>
  <c r="E661" i="9" s="1"/>
  <c r="N660" i="6"/>
  <c r="M660" i="6"/>
  <c r="M660" i="23" s="1"/>
  <c r="L660" i="6"/>
  <c r="K660" i="6"/>
  <c r="P660" i="23" s="1"/>
  <c r="J660" i="6"/>
  <c r="J660" i="23" s="1"/>
  <c r="I660" i="6"/>
  <c r="H660" i="6"/>
  <c r="G660" i="6"/>
  <c r="F660" i="6"/>
  <c r="E660" i="6"/>
  <c r="E660" i="9" s="1"/>
  <c r="N659" i="6"/>
  <c r="M659" i="6"/>
  <c r="M659" i="23" s="1"/>
  <c r="L659" i="6"/>
  <c r="K659" i="6"/>
  <c r="P659" i="23" s="1"/>
  <c r="J659" i="6"/>
  <c r="J659" i="23" s="1"/>
  <c r="I658" i="6"/>
  <c r="I659" i="6"/>
  <c r="H659" i="6"/>
  <c r="G658" i="6"/>
  <c r="G659" i="6"/>
  <c r="F658" i="6"/>
  <c r="F659" i="6"/>
  <c r="E659" i="6"/>
  <c r="E659" i="9" s="1"/>
  <c r="T659" i="6"/>
  <c r="E659" i="19" s="1"/>
  <c r="T660" i="6"/>
  <c r="E660" i="19" s="1"/>
  <c r="T661" i="6"/>
  <c r="E661" i="19" s="1"/>
  <c r="T658" i="6"/>
  <c r="E658" i="19" s="1"/>
  <c r="N658" i="6"/>
  <c r="N657" i="6"/>
  <c r="M658" i="6"/>
  <c r="M658" i="23" s="1"/>
  <c r="M657" i="6"/>
  <c r="M657" i="23" s="1"/>
  <c r="L658" i="6"/>
  <c r="L657" i="6"/>
  <c r="K658" i="6"/>
  <c r="P658" i="23" s="1"/>
  <c r="K657" i="6"/>
  <c r="P657" i="23" s="1"/>
  <c r="J658" i="6"/>
  <c r="J658" i="23" s="1"/>
  <c r="J657" i="6"/>
  <c r="J657" i="23" s="1"/>
  <c r="I657" i="6"/>
  <c r="H658" i="6"/>
  <c r="H657" i="6"/>
  <c r="G657" i="6"/>
  <c r="F657" i="6"/>
  <c r="E657" i="6"/>
  <c r="E657" i="9" s="1"/>
  <c r="E658" i="6"/>
  <c r="E658" i="9" s="1"/>
  <c r="N650" i="6"/>
  <c r="M650" i="6"/>
  <c r="M650" i="23" s="1"/>
  <c r="L650" i="6"/>
  <c r="K650" i="6"/>
  <c r="P650" i="23" s="1"/>
  <c r="J650" i="6"/>
  <c r="J650" i="23" s="1"/>
  <c r="I650" i="6"/>
  <c r="H650" i="6"/>
  <c r="G650" i="6"/>
  <c r="F650" i="6"/>
  <c r="E650" i="6"/>
  <c r="E650" i="9" s="1"/>
  <c r="N649" i="6"/>
  <c r="M649" i="6"/>
  <c r="M649" i="23" s="1"/>
  <c r="L649" i="6"/>
  <c r="K649" i="6"/>
  <c r="P649" i="23" s="1"/>
  <c r="J649" i="6"/>
  <c r="J649" i="23" s="1"/>
  <c r="I649" i="6"/>
  <c r="H649" i="6"/>
  <c r="G649" i="6"/>
  <c r="F649" i="6"/>
  <c r="E649" i="6"/>
  <c r="E649" i="9" s="1"/>
  <c r="N648" i="6"/>
  <c r="M648" i="6"/>
  <c r="M648" i="23" s="1"/>
  <c r="L648" i="6"/>
  <c r="K648" i="6"/>
  <c r="P648" i="23" s="1"/>
  <c r="J648" i="6"/>
  <c r="J648" i="23" s="1"/>
  <c r="I648" i="6"/>
  <c r="H648" i="6"/>
  <c r="G648" i="6"/>
  <c r="F648" i="6"/>
  <c r="E648" i="6"/>
  <c r="E648" i="9" s="1"/>
  <c r="R681" i="23" l="1"/>
  <c r="Z619" i="31" s="1"/>
  <c r="E649" i="10"/>
  <c r="G649" i="10" s="1"/>
  <c r="G590" i="31" s="1"/>
  <c r="Q649" i="23"/>
  <c r="F650" i="10"/>
  <c r="H650" i="23"/>
  <c r="K650" i="23" s="1"/>
  <c r="N650" i="23" s="1"/>
  <c r="E650" i="20"/>
  <c r="U591" i="31" s="1"/>
  <c r="F657" i="23"/>
  <c r="F657" i="8"/>
  <c r="L658" i="23"/>
  <c r="X598" i="31" s="1"/>
  <c r="F659" i="10"/>
  <c r="H659" i="23"/>
  <c r="K659" i="23" s="1"/>
  <c r="N659" i="23" s="1"/>
  <c r="E659" i="20"/>
  <c r="U599" i="31" s="1"/>
  <c r="E658" i="10"/>
  <c r="G658" i="10" s="1"/>
  <c r="G598" i="31" s="1"/>
  <c r="Q658" i="23"/>
  <c r="F660" i="10"/>
  <c r="H660" i="23"/>
  <c r="K660" i="23" s="1"/>
  <c r="N660" i="23" s="1"/>
  <c r="E660" i="20"/>
  <c r="U600" i="31" s="1"/>
  <c r="E677" i="23"/>
  <c r="E677" i="8"/>
  <c r="G677" i="8" s="1"/>
  <c r="E615" i="31" s="1"/>
  <c r="F677" i="23"/>
  <c r="F677" i="8"/>
  <c r="F679" i="10"/>
  <c r="H679" i="23"/>
  <c r="K679" i="23" s="1"/>
  <c r="N679" i="23" s="1"/>
  <c r="E679" i="20"/>
  <c r="U617" i="31" s="1"/>
  <c r="F680" i="10"/>
  <c r="H680" i="23"/>
  <c r="K680" i="23" s="1"/>
  <c r="N680" i="23" s="1"/>
  <c r="E680" i="20"/>
  <c r="U618" i="31" s="1"/>
  <c r="F666" i="23"/>
  <c r="F666" i="8"/>
  <c r="E667" i="23"/>
  <c r="E667" i="8"/>
  <c r="L667" i="23"/>
  <c r="X606" i="31" s="1"/>
  <c r="F668" i="23"/>
  <c r="F668" i="8"/>
  <c r="E669" i="23"/>
  <c r="E669" i="8"/>
  <c r="G669" i="8" s="1"/>
  <c r="E608" i="31" s="1"/>
  <c r="F670" i="23"/>
  <c r="F670" i="8"/>
  <c r="E671" i="23"/>
  <c r="G671" i="23" s="1"/>
  <c r="I671" i="23" s="1"/>
  <c r="E671" i="8"/>
  <c r="F672" i="23"/>
  <c r="F672" i="8"/>
  <c r="E685" i="23"/>
  <c r="E685" i="8"/>
  <c r="F686" i="10"/>
  <c r="H686" i="23"/>
  <c r="K686" i="23" s="1"/>
  <c r="N686" i="23" s="1"/>
  <c r="E686" i="20"/>
  <c r="U623" i="31" s="1"/>
  <c r="F687" i="10"/>
  <c r="H687" i="23"/>
  <c r="K687" i="23" s="1"/>
  <c r="N687" i="23" s="1"/>
  <c r="O687" i="23" s="1"/>
  <c r="Y624" i="31" s="1"/>
  <c r="E687" i="20"/>
  <c r="U624" i="31" s="1"/>
  <c r="E688" i="23"/>
  <c r="E688" i="8"/>
  <c r="G688" i="8" s="1"/>
  <c r="E625" i="31" s="1"/>
  <c r="F690" i="10"/>
  <c r="H690" i="23"/>
  <c r="K690" i="23" s="1"/>
  <c r="N690" i="23" s="1"/>
  <c r="O690" i="23" s="1"/>
  <c r="Y627" i="31" s="1"/>
  <c r="E690" i="20"/>
  <c r="U627" i="31" s="1"/>
  <c r="E692" i="23"/>
  <c r="E692" i="8"/>
  <c r="S629" i="31"/>
  <c r="P629" i="31"/>
  <c r="E693" i="23"/>
  <c r="G693" i="23" s="1"/>
  <c r="I693" i="23" s="1"/>
  <c r="E693" i="8"/>
  <c r="P630" i="31"/>
  <c r="S630" i="31"/>
  <c r="E694" i="23"/>
  <c r="E694" i="8"/>
  <c r="G714" i="9"/>
  <c r="F649" i="31" s="1"/>
  <c r="E714" i="10"/>
  <c r="Q714" i="23"/>
  <c r="F715" i="10"/>
  <c r="H715" i="23"/>
  <c r="K715" i="23" s="1"/>
  <c r="N715" i="23" s="1"/>
  <c r="E715" i="20"/>
  <c r="U650" i="31" s="1"/>
  <c r="F716" i="23"/>
  <c r="F716" i="8"/>
  <c r="F719" i="10"/>
  <c r="H719" i="23"/>
  <c r="K719" i="23" s="1"/>
  <c r="N719" i="23" s="1"/>
  <c r="E719" i="20"/>
  <c r="U653" i="31" s="1"/>
  <c r="O719" i="23"/>
  <c r="Y653" i="31" s="1"/>
  <c r="F720" i="23"/>
  <c r="F720" i="8"/>
  <c r="F721" i="23"/>
  <c r="F721" i="8"/>
  <c r="F722" i="23"/>
  <c r="F722" i="8"/>
  <c r="F723" i="23"/>
  <c r="F723" i="8"/>
  <c r="F724" i="23"/>
  <c r="F724" i="8"/>
  <c r="F725" i="23"/>
  <c r="F725" i="8"/>
  <c r="F726" i="23"/>
  <c r="F726" i="8"/>
  <c r="F729" i="10"/>
  <c r="H729" i="23"/>
  <c r="K729" i="23" s="1"/>
  <c r="N729" i="23" s="1"/>
  <c r="E729" i="20"/>
  <c r="U662" i="31" s="1"/>
  <c r="E730" i="10"/>
  <c r="Q730" i="23"/>
  <c r="R730" i="23" s="1"/>
  <c r="Z663" i="31" s="1"/>
  <c r="O729" i="23"/>
  <c r="Y662" i="31" s="1"/>
  <c r="F731" i="10"/>
  <c r="H731" i="23"/>
  <c r="K731" i="23" s="1"/>
  <c r="N731" i="23" s="1"/>
  <c r="O731" i="23" s="1"/>
  <c r="Y664" i="31" s="1"/>
  <c r="E731" i="20"/>
  <c r="U664" i="31" s="1"/>
  <c r="F733" i="10"/>
  <c r="H733" i="23"/>
  <c r="K733" i="23" s="1"/>
  <c r="N733" i="23" s="1"/>
  <c r="O733" i="23" s="1"/>
  <c r="Y666" i="31" s="1"/>
  <c r="E733" i="20"/>
  <c r="U666" i="31" s="1"/>
  <c r="E733" i="10"/>
  <c r="G733" i="10" s="1"/>
  <c r="G666" i="31" s="1"/>
  <c r="Q733" i="23"/>
  <c r="R733" i="23"/>
  <c r="Z666" i="31" s="1"/>
  <c r="E734" i="10"/>
  <c r="Q734" i="23"/>
  <c r="O734" i="23"/>
  <c r="Y667" i="31" s="1"/>
  <c r="F736" i="10"/>
  <c r="H736" i="23"/>
  <c r="K736" i="23" s="1"/>
  <c r="N736" i="23" s="1"/>
  <c r="O736" i="23" s="1"/>
  <c r="Y669" i="31" s="1"/>
  <c r="E736" i="20"/>
  <c r="U669" i="31" s="1"/>
  <c r="S669" i="31"/>
  <c r="P669" i="31"/>
  <c r="F737" i="23"/>
  <c r="F737" i="8"/>
  <c r="E736" i="23"/>
  <c r="E736" i="8"/>
  <c r="G736" i="8" s="1"/>
  <c r="E669" i="31" s="1"/>
  <c r="E732" i="23"/>
  <c r="E732" i="8"/>
  <c r="F738" i="23"/>
  <c r="F738" i="8"/>
  <c r="E753" i="23"/>
  <c r="E753" i="8"/>
  <c r="F754" i="23"/>
  <c r="F754" i="8"/>
  <c r="E755" i="23"/>
  <c r="E755" i="8"/>
  <c r="E756" i="10"/>
  <c r="Q756" i="23"/>
  <c r="O756" i="23"/>
  <c r="Y687" i="31" s="1"/>
  <c r="E757" i="23"/>
  <c r="E757" i="8"/>
  <c r="S685" i="31"/>
  <c r="P685" i="31"/>
  <c r="F758" i="10"/>
  <c r="H758" i="23"/>
  <c r="K758" i="23" s="1"/>
  <c r="N758" i="23" s="1"/>
  <c r="E758" i="20"/>
  <c r="U689" i="31" s="1"/>
  <c r="S689" i="31"/>
  <c r="P689" i="31"/>
  <c r="F759" i="10"/>
  <c r="H759" i="23"/>
  <c r="K759" i="23" s="1"/>
  <c r="N759" i="23" s="1"/>
  <c r="E759" i="20"/>
  <c r="U690" i="31" s="1"/>
  <c r="P690" i="31"/>
  <c r="S690" i="31"/>
  <c r="F760" i="23"/>
  <c r="F760" i="8"/>
  <c r="E773" i="23"/>
  <c r="G773" i="23" s="1"/>
  <c r="I773" i="23" s="1"/>
  <c r="E773" i="8"/>
  <c r="G774" i="9"/>
  <c r="F703" i="31" s="1"/>
  <c r="E774" i="10"/>
  <c r="Q774" i="23"/>
  <c r="F775" i="10"/>
  <c r="H775" i="23"/>
  <c r="K775" i="23" s="1"/>
  <c r="N775" i="23" s="1"/>
  <c r="E775" i="20"/>
  <c r="U704" i="31" s="1"/>
  <c r="E776" i="10"/>
  <c r="Q776" i="23"/>
  <c r="F777" i="10"/>
  <c r="H777" i="23"/>
  <c r="K777" i="23" s="1"/>
  <c r="N777" i="23" s="1"/>
  <c r="E777" i="20"/>
  <c r="U706" i="31" s="1"/>
  <c r="G778" i="9"/>
  <c r="F707" i="31" s="1"/>
  <c r="E778" i="10"/>
  <c r="Q778" i="23"/>
  <c r="F779" i="10"/>
  <c r="H779" i="23"/>
  <c r="K779" i="23" s="1"/>
  <c r="N779" i="23" s="1"/>
  <c r="E779" i="20"/>
  <c r="U708" i="31" s="1"/>
  <c r="E780" i="10"/>
  <c r="Q780" i="23"/>
  <c r="F781" i="10"/>
  <c r="H781" i="23"/>
  <c r="K781" i="23" s="1"/>
  <c r="N781" i="23" s="1"/>
  <c r="E781" i="20"/>
  <c r="U710" i="31" s="1"/>
  <c r="G782" i="9"/>
  <c r="F711" i="31" s="1"/>
  <c r="E782" i="10"/>
  <c r="Q782" i="23"/>
  <c r="F784" i="10"/>
  <c r="H784" i="23"/>
  <c r="K784" i="23" s="1"/>
  <c r="N784" i="23" s="1"/>
  <c r="E784" i="20"/>
  <c r="U712" i="31" s="1"/>
  <c r="W895" i="31"/>
  <c r="S985" i="23"/>
  <c r="AA895" i="31" s="1"/>
  <c r="S998" i="23"/>
  <c r="AA907" i="31" s="1"/>
  <c r="W907" i="31"/>
  <c r="W847" i="31"/>
  <c r="S932" i="23"/>
  <c r="AA847" i="31" s="1"/>
  <c r="W817" i="31"/>
  <c r="S899" i="23"/>
  <c r="AA817" i="31" s="1"/>
  <c r="W792" i="31"/>
  <c r="S872" i="23"/>
  <c r="AA792" i="31" s="1"/>
  <c r="S1099" i="23"/>
  <c r="AA999" i="31" s="1"/>
  <c r="W999" i="31"/>
  <c r="W995" i="31"/>
  <c r="S1095" i="23"/>
  <c r="AA995" i="31" s="1"/>
  <c r="W731" i="31"/>
  <c r="S804" i="23"/>
  <c r="AA731" i="31" s="1"/>
  <c r="W721" i="31"/>
  <c r="W714" i="31"/>
  <c r="G892" i="10"/>
  <c r="G811" i="31" s="1"/>
  <c r="G1096" i="8"/>
  <c r="E996" i="31" s="1"/>
  <c r="G867" i="10"/>
  <c r="G788" i="31" s="1"/>
  <c r="W894" i="31"/>
  <c r="S984" i="23"/>
  <c r="AA894" i="31" s="1"/>
  <c r="L902" i="23"/>
  <c r="X820" i="31" s="1"/>
  <c r="I892" i="23"/>
  <c r="L890" i="23"/>
  <c r="X809" i="31" s="1"/>
  <c r="I1076" i="23"/>
  <c r="I1090" i="23"/>
  <c r="I867" i="23"/>
  <c r="L903" i="23"/>
  <c r="X821" i="31" s="1"/>
  <c r="G1090" i="10"/>
  <c r="G991" i="31" s="1"/>
  <c r="L1100" i="23"/>
  <c r="X1000" i="31" s="1"/>
  <c r="G785" i="23"/>
  <c r="I785" i="23" s="1"/>
  <c r="S999" i="23"/>
  <c r="AA908" i="31" s="1"/>
  <c r="S1041" i="23"/>
  <c r="AA946" i="31" s="1"/>
  <c r="L928" i="23"/>
  <c r="X843" i="31" s="1"/>
  <c r="G1075" i="8"/>
  <c r="E977" i="31" s="1"/>
  <c r="I1072" i="23"/>
  <c r="G1092" i="10"/>
  <c r="G992" i="31" s="1"/>
  <c r="G865" i="10"/>
  <c r="G786" i="31" s="1"/>
  <c r="G929" i="8"/>
  <c r="E844" i="31" s="1"/>
  <c r="L925" i="23"/>
  <c r="X841" i="31" s="1"/>
  <c r="G921" i="8"/>
  <c r="E837" i="31" s="1"/>
  <c r="G920" i="23"/>
  <c r="I920" i="23" s="1"/>
  <c r="L918" i="23"/>
  <c r="X834" i="31" s="1"/>
  <c r="G917" i="8"/>
  <c r="E833" i="31" s="1"/>
  <c r="I900" i="23"/>
  <c r="G888" i="23"/>
  <c r="I888" i="23" s="1"/>
  <c r="G879" i="8"/>
  <c r="E799" i="31" s="1"/>
  <c r="G875" i="8"/>
  <c r="E795" i="31" s="1"/>
  <c r="L1089" i="23"/>
  <c r="X990" i="31" s="1"/>
  <c r="G868" i="23"/>
  <c r="I868" i="23" s="1"/>
  <c r="G866" i="8"/>
  <c r="E787" i="31" s="1"/>
  <c r="L864" i="23"/>
  <c r="X785" i="31" s="1"/>
  <c r="G792" i="23"/>
  <c r="I792" i="23" s="1"/>
  <c r="G788" i="8"/>
  <c r="E716" i="31" s="1"/>
  <c r="G1079" i="8"/>
  <c r="E981" i="31" s="1"/>
  <c r="G1094" i="23"/>
  <c r="I1094" i="23" s="1"/>
  <c r="G789" i="23"/>
  <c r="I789" i="23" s="1"/>
  <c r="R649" i="23"/>
  <c r="Z590" i="31" s="1"/>
  <c r="O650" i="23"/>
  <c r="Y591" i="31" s="1"/>
  <c r="E657" i="10"/>
  <c r="Q657" i="23"/>
  <c r="R657" i="23" s="1"/>
  <c r="Z597" i="31" s="1"/>
  <c r="F661" i="10"/>
  <c r="H661" i="23"/>
  <c r="K661" i="23" s="1"/>
  <c r="N661" i="23" s="1"/>
  <c r="O661" i="23" s="1"/>
  <c r="Y601" i="31" s="1"/>
  <c r="E661" i="20"/>
  <c r="U601" i="31" s="1"/>
  <c r="R683" i="23"/>
  <c r="Z621" i="31" s="1"/>
  <c r="F663" i="10"/>
  <c r="H663" i="23"/>
  <c r="K663" i="23" s="1"/>
  <c r="N663" i="23" s="1"/>
  <c r="O663" i="23" s="1"/>
  <c r="Y602" i="31" s="1"/>
  <c r="E663" i="20"/>
  <c r="U602" i="31" s="1"/>
  <c r="F664" i="10"/>
  <c r="H664" i="23"/>
  <c r="K664" i="23" s="1"/>
  <c r="N664" i="23" s="1"/>
  <c r="O664" i="23" s="1"/>
  <c r="Y603" i="31" s="1"/>
  <c r="E664" i="20"/>
  <c r="U603" i="31" s="1"/>
  <c r="F665" i="23"/>
  <c r="F665" i="8"/>
  <c r="F648" i="10"/>
  <c r="H648" i="23"/>
  <c r="K648" i="23" s="1"/>
  <c r="N648" i="23" s="1"/>
  <c r="E648" i="20"/>
  <c r="U589" i="31" s="1"/>
  <c r="O659" i="23"/>
  <c r="Y599" i="31" s="1"/>
  <c r="E661" i="10"/>
  <c r="G661" i="10" s="1"/>
  <c r="G601" i="31" s="1"/>
  <c r="Q661" i="23"/>
  <c r="L677" i="23"/>
  <c r="X615" i="31" s="1"/>
  <c r="E681" i="10"/>
  <c r="Q681" i="23"/>
  <c r="F682" i="23"/>
  <c r="F682" i="8"/>
  <c r="E683" i="23"/>
  <c r="G683" i="23" s="1"/>
  <c r="I683" i="23" s="1"/>
  <c r="E683" i="8"/>
  <c r="E683" i="10"/>
  <c r="Q683" i="23"/>
  <c r="O683" i="23"/>
  <c r="Y621" i="31" s="1"/>
  <c r="E663" i="10"/>
  <c r="G663" i="10" s="1"/>
  <c r="G602" i="31" s="1"/>
  <c r="Q663" i="23"/>
  <c r="E664" i="10"/>
  <c r="G664" i="10" s="1"/>
  <c r="G603" i="31" s="1"/>
  <c r="Q664" i="23"/>
  <c r="E665" i="23"/>
  <c r="G665" i="23" s="1"/>
  <c r="I665" i="23" s="1"/>
  <c r="E665" i="8"/>
  <c r="F648" i="23"/>
  <c r="F648" i="8"/>
  <c r="E649" i="23"/>
  <c r="E649" i="8"/>
  <c r="L649" i="23"/>
  <c r="X590" i="31" s="1"/>
  <c r="F650" i="23"/>
  <c r="F650" i="8"/>
  <c r="F658" i="23"/>
  <c r="F658" i="8"/>
  <c r="G659" i="9"/>
  <c r="F599" i="31" s="1"/>
  <c r="F658" i="10"/>
  <c r="H658" i="23"/>
  <c r="K658" i="23" s="1"/>
  <c r="N658" i="23" s="1"/>
  <c r="E658" i="20"/>
  <c r="U598" i="31" s="1"/>
  <c r="L659" i="23"/>
  <c r="X599" i="31" s="1"/>
  <c r="F660" i="23"/>
  <c r="F660" i="8"/>
  <c r="E661" i="23"/>
  <c r="E661" i="8"/>
  <c r="L661" i="23"/>
  <c r="X601" i="31" s="1"/>
  <c r="E678" i="23"/>
  <c r="E678" i="8"/>
  <c r="F678" i="23"/>
  <c r="F678" i="8"/>
  <c r="F679" i="23"/>
  <c r="F679" i="8"/>
  <c r="F680" i="23"/>
  <c r="F680" i="8"/>
  <c r="E681" i="23"/>
  <c r="E681" i="8"/>
  <c r="E682" i="10"/>
  <c r="Q682" i="23"/>
  <c r="O682" i="23"/>
  <c r="Y620" i="31" s="1"/>
  <c r="E682" i="23"/>
  <c r="E682" i="8"/>
  <c r="G682" i="8" s="1"/>
  <c r="E620" i="31" s="1"/>
  <c r="E663" i="23"/>
  <c r="E663" i="8"/>
  <c r="G664" i="9"/>
  <c r="F603" i="31" s="1"/>
  <c r="L664" i="23"/>
  <c r="X603" i="31" s="1"/>
  <c r="F665" i="10"/>
  <c r="H665" i="23"/>
  <c r="K665" i="23" s="1"/>
  <c r="N665" i="23" s="1"/>
  <c r="E665" i="20"/>
  <c r="U604" i="31" s="1"/>
  <c r="E666" i="10"/>
  <c r="Q666" i="23"/>
  <c r="F667" i="10"/>
  <c r="H667" i="23"/>
  <c r="K667" i="23" s="1"/>
  <c r="N667" i="23" s="1"/>
  <c r="E667" i="20"/>
  <c r="U606" i="31" s="1"/>
  <c r="E668" i="10"/>
  <c r="Q668" i="23"/>
  <c r="F669" i="10"/>
  <c r="H669" i="23"/>
  <c r="K669" i="23" s="1"/>
  <c r="N669" i="23" s="1"/>
  <c r="E669" i="20"/>
  <c r="U608" i="31" s="1"/>
  <c r="E670" i="10"/>
  <c r="Q670" i="23"/>
  <c r="F671" i="10"/>
  <c r="H671" i="23"/>
  <c r="K671" i="23" s="1"/>
  <c r="N671" i="23" s="1"/>
  <c r="E671" i="20"/>
  <c r="U610" i="31" s="1"/>
  <c r="E672" i="10"/>
  <c r="Q672" i="23"/>
  <c r="F685" i="10"/>
  <c r="H685" i="23"/>
  <c r="K685" i="23" s="1"/>
  <c r="N685" i="23" s="1"/>
  <c r="E685" i="20"/>
  <c r="U622" i="31" s="1"/>
  <c r="P622" i="31"/>
  <c r="S622" i="31"/>
  <c r="E686" i="10"/>
  <c r="G686" i="10" s="1"/>
  <c r="G623" i="31" s="1"/>
  <c r="Q686" i="23"/>
  <c r="O686" i="23"/>
  <c r="Y623" i="31" s="1"/>
  <c r="E687" i="10"/>
  <c r="G687" i="10" s="1"/>
  <c r="G624" i="31" s="1"/>
  <c r="Q687" i="23"/>
  <c r="R687" i="23" s="1"/>
  <c r="Z624" i="31" s="1"/>
  <c r="R686" i="23"/>
  <c r="Z623" i="31" s="1"/>
  <c r="E688" i="10"/>
  <c r="Q688" i="23"/>
  <c r="R688" i="23" s="1"/>
  <c r="Z625" i="31" s="1"/>
  <c r="P626" i="31"/>
  <c r="S626" i="31"/>
  <c r="E690" i="10"/>
  <c r="G690" i="10" s="1"/>
  <c r="G627" i="31" s="1"/>
  <c r="Q690" i="23"/>
  <c r="P628" i="31"/>
  <c r="S628" i="31"/>
  <c r="E692" i="10"/>
  <c r="G692" i="10" s="1"/>
  <c r="G629" i="31" s="1"/>
  <c r="Q692" i="23"/>
  <c r="R692" i="23" s="1"/>
  <c r="Z629" i="31" s="1"/>
  <c r="E693" i="10"/>
  <c r="Q693" i="23"/>
  <c r="R693" i="23" s="1"/>
  <c r="Z630" i="31" s="1"/>
  <c r="F694" i="23"/>
  <c r="F694" i="8"/>
  <c r="P631" i="31"/>
  <c r="S631" i="31"/>
  <c r="E714" i="23"/>
  <c r="G714" i="23" s="1"/>
  <c r="I714" i="23" s="1"/>
  <c r="E714" i="8"/>
  <c r="F715" i="23"/>
  <c r="F715" i="8"/>
  <c r="E716" i="10"/>
  <c r="Q716" i="23"/>
  <c r="O716" i="23"/>
  <c r="Y651" i="31" s="1"/>
  <c r="F718" i="10"/>
  <c r="H718" i="23"/>
  <c r="K718" i="23" s="1"/>
  <c r="N718" i="23" s="1"/>
  <c r="E718" i="20"/>
  <c r="U652" i="31" s="1"/>
  <c r="O718" i="23"/>
  <c r="Y652" i="31" s="1"/>
  <c r="F718" i="23"/>
  <c r="F718" i="8"/>
  <c r="E720" i="10"/>
  <c r="Q720" i="23"/>
  <c r="E721" i="10"/>
  <c r="Q721" i="23"/>
  <c r="O721" i="23"/>
  <c r="Y655" i="31" s="1"/>
  <c r="E722" i="10"/>
  <c r="Q722" i="23"/>
  <c r="E723" i="10"/>
  <c r="Q723" i="23"/>
  <c r="O723" i="23"/>
  <c r="Y657" i="31" s="1"/>
  <c r="E724" i="10"/>
  <c r="Q724" i="23"/>
  <c r="E725" i="10"/>
  <c r="Q725" i="23"/>
  <c r="O725" i="23"/>
  <c r="Y659" i="31" s="1"/>
  <c r="E726" i="10"/>
  <c r="Q726" i="23"/>
  <c r="F729" i="23"/>
  <c r="F729" i="8"/>
  <c r="L729" i="23"/>
  <c r="X662" i="31" s="1"/>
  <c r="P663" i="31"/>
  <c r="S663" i="31"/>
  <c r="F731" i="23"/>
  <c r="F731" i="8"/>
  <c r="F732" i="23"/>
  <c r="F732" i="8"/>
  <c r="F735" i="10"/>
  <c r="H735" i="23"/>
  <c r="K735" i="23" s="1"/>
  <c r="N735" i="23" s="1"/>
  <c r="E735" i="20"/>
  <c r="U668" i="31" s="1"/>
  <c r="P668" i="31"/>
  <c r="S668" i="31"/>
  <c r="F736" i="23"/>
  <c r="F736" i="8"/>
  <c r="E737" i="10"/>
  <c r="G737" i="10" s="1"/>
  <c r="G670" i="31" s="1"/>
  <c r="Q737" i="23"/>
  <c r="E735" i="23"/>
  <c r="G735" i="23" s="1"/>
  <c r="I735" i="23" s="1"/>
  <c r="E735" i="8"/>
  <c r="E731" i="23"/>
  <c r="E731" i="8"/>
  <c r="G731" i="8" s="1"/>
  <c r="E664" i="31" s="1"/>
  <c r="E738" i="10"/>
  <c r="G738" i="10" s="1"/>
  <c r="G671" i="31" s="1"/>
  <c r="Q738" i="23"/>
  <c r="F753" i="10"/>
  <c r="H753" i="23"/>
  <c r="K753" i="23" s="1"/>
  <c r="N753" i="23" s="1"/>
  <c r="E753" i="20"/>
  <c r="U684" i="31" s="1"/>
  <c r="E753" i="10"/>
  <c r="Q753" i="23"/>
  <c r="R753" i="23" s="1"/>
  <c r="Z684" i="31" s="1"/>
  <c r="O753" i="23"/>
  <c r="Y684" i="31" s="1"/>
  <c r="F755" i="10"/>
  <c r="H755" i="23"/>
  <c r="K755" i="23" s="1"/>
  <c r="N755" i="23" s="1"/>
  <c r="O755" i="23" s="1"/>
  <c r="Y686" i="31" s="1"/>
  <c r="E755" i="20"/>
  <c r="U686" i="31" s="1"/>
  <c r="E756" i="23"/>
  <c r="E756" i="8"/>
  <c r="G756" i="8" s="1"/>
  <c r="E687" i="31" s="1"/>
  <c r="F757" i="10"/>
  <c r="H757" i="23"/>
  <c r="K757" i="23" s="1"/>
  <c r="N757" i="23" s="1"/>
  <c r="E757" i="20"/>
  <c r="U688" i="31" s="1"/>
  <c r="P688" i="31"/>
  <c r="S688" i="31"/>
  <c r="F758" i="23"/>
  <c r="F758" i="8"/>
  <c r="F759" i="23"/>
  <c r="F759" i="8"/>
  <c r="G760" i="9"/>
  <c r="F691" i="31" s="1"/>
  <c r="E760" i="10"/>
  <c r="Q760" i="23"/>
  <c r="F773" i="10"/>
  <c r="H773" i="23"/>
  <c r="K773" i="23" s="1"/>
  <c r="N773" i="23" s="1"/>
  <c r="O773" i="23" s="1"/>
  <c r="Y702" i="31" s="1"/>
  <c r="E773" i="20"/>
  <c r="U702" i="31" s="1"/>
  <c r="E774" i="23"/>
  <c r="G774" i="23" s="1"/>
  <c r="E774" i="8"/>
  <c r="F775" i="23"/>
  <c r="F775" i="8"/>
  <c r="E776" i="23"/>
  <c r="E776" i="8"/>
  <c r="F777" i="23"/>
  <c r="F777" i="8"/>
  <c r="E778" i="23"/>
  <c r="E778" i="8"/>
  <c r="F779" i="23"/>
  <c r="F779" i="8"/>
  <c r="E780" i="23"/>
  <c r="E780" i="8"/>
  <c r="G780" i="8" s="1"/>
  <c r="E709" i="31" s="1"/>
  <c r="F781" i="23"/>
  <c r="F781" i="8"/>
  <c r="E782" i="23"/>
  <c r="G782" i="23" s="1"/>
  <c r="E782" i="8"/>
  <c r="F784" i="23"/>
  <c r="F784" i="8"/>
  <c r="W932" i="31"/>
  <c r="S1026" i="23"/>
  <c r="AA932" i="31" s="1"/>
  <c r="W950" i="31"/>
  <c r="S1045" i="23"/>
  <c r="AA950" i="31" s="1"/>
  <c r="W940" i="31"/>
  <c r="S1034" i="23"/>
  <c r="AA940" i="31" s="1"/>
  <c r="S923" i="23"/>
  <c r="AA839" i="31" s="1"/>
  <c r="W839" i="31"/>
  <c r="G1072" i="10"/>
  <c r="G974" i="31" s="1"/>
  <c r="S862" i="23"/>
  <c r="AA783" i="31" s="1"/>
  <c r="W783" i="31"/>
  <c r="G928" i="8"/>
  <c r="E843" i="31" s="1"/>
  <c r="G1096" i="23"/>
  <c r="I1096" i="23" s="1"/>
  <c r="G869" i="10"/>
  <c r="G790" i="31" s="1"/>
  <c r="W897" i="31"/>
  <c r="S987" i="23"/>
  <c r="AA897" i="31" s="1"/>
  <c r="W935" i="31"/>
  <c r="S1029" i="23"/>
  <c r="AA935" i="31" s="1"/>
  <c r="W909" i="31"/>
  <c r="S1000" i="23"/>
  <c r="AA909" i="31" s="1"/>
  <c r="G900" i="10"/>
  <c r="G818" i="31" s="1"/>
  <c r="L891" i="23"/>
  <c r="X810" i="31" s="1"/>
  <c r="I889" i="23"/>
  <c r="L880" i="23"/>
  <c r="X800" i="31" s="1"/>
  <c r="I878" i="23"/>
  <c r="L876" i="23"/>
  <c r="X796" i="31" s="1"/>
  <c r="I874" i="23"/>
  <c r="L1074" i="23"/>
  <c r="X976" i="31" s="1"/>
  <c r="G1073" i="23"/>
  <c r="I1073" i="23" s="1"/>
  <c r="G1087" i="23"/>
  <c r="I1087" i="23" s="1"/>
  <c r="L869" i="23"/>
  <c r="X790" i="31" s="1"/>
  <c r="I863" i="23"/>
  <c r="I861" i="23"/>
  <c r="G890" i="10"/>
  <c r="G809" i="31" s="1"/>
  <c r="G878" i="10"/>
  <c r="G798" i="31" s="1"/>
  <c r="G1074" i="10"/>
  <c r="G976" i="31" s="1"/>
  <c r="G1088" i="10"/>
  <c r="G989" i="31" s="1"/>
  <c r="G1098" i="8"/>
  <c r="E998" i="31" s="1"/>
  <c r="I865" i="23"/>
  <c r="S1001" i="23"/>
  <c r="AA910" i="31" s="1"/>
  <c r="W898" i="31"/>
  <c r="S988" i="23"/>
  <c r="AA898" i="31" s="1"/>
  <c r="L916" i="23"/>
  <c r="X832" i="31" s="1"/>
  <c r="G874" i="10"/>
  <c r="G794" i="31" s="1"/>
  <c r="G1075" i="23"/>
  <c r="I1075" i="23" s="1"/>
  <c r="P728" i="31"/>
  <c r="S728" i="31"/>
  <c r="G800" i="10"/>
  <c r="G727" i="31" s="1"/>
  <c r="L787" i="23"/>
  <c r="X715" i="31" s="1"/>
  <c r="W901" i="31"/>
  <c r="S991" i="23"/>
  <c r="AA901" i="31" s="1"/>
  <c r="W939" i="31"/>
  <c r="S1033" i="23"/>
  <c r="AA939" i="31" s="1"/>
  <c r="G929" i="23"/>
  <c r="I929" i="23" s="1"/>
  <c r="L927" i="23"/>
  <c r="X842" i="31" s="1"/>
  <c r="G924" i="8"/>
  <c r="E840" i="31" s="1"/>
  <c r="G924" i="10"/>
  <c r="G840" i="31" s="1"/>
  <c r="G922" i="8"/>
  <c r="E838" i="31" s="1"/>
  <c r="G921" i="23"/>
  <c r="I921" i="23" s="1"/>
  <c r="L919" i="23"/>
  <c r="X835" i="31" s="1"/>
  <c r="G918" i="8"/>
  <c r="E834" i="31" s="1"/>
  <c r="G917" i="23"/>
  <c r="I917" i="23" s="1"/>
  <c r="G901" i="8"/>
  <c r="E819" i="31" s="1"/>
  <c r="G879" i="23"/>
  <c r="I879" i="23" s="1"/>
  <c r="L877" i="23"/>
  <c r="X797" i="31" s="1"/>
  <c r="G875" i="23"/>
  <c r="I875" i="23" s="1"/>
  <c r="G1075" i="10"/>
  <c r="G977" i="31" s="1"/>
  <c r="G1089" i="8"/>
  <c r="E990" i="31" s="1"/>
  <c r="G1099" i="10"/>
  <c r="G999" i="31" s="1"/>
  <c r="G1098" i="10"/>
  <c r="G998" i="31" s="1"/>
  <c r="G1096" i="10"/>
  <c r="G996" i="31" s="1"/>
  <c r="G1094" i="10"/>
  <c r="G994" i="31" s="1"/>
  <c r="L870" i="23"/>
  <c r="X791" i="31" s="1"/>
  <c r="G866" i="23"/>
  <c r="I866" i="23" s="1"/>
  <c r="G864" i="8"/>
  <c r="E785" i="31" s="1"/>
  <c r="L801" i="23"/>
  <c r="X728" i="31" s="1"/>
  <c r="G789" i="10"/>
  <c r="G717" i="31" s="1"/>
  <c r="G787" i="10"/>
  <c r="G715" i="31" s="1"/>
  <c r="G788" i="23"/>
  <c r="I788" i="23" s="1"/>
  <c r="G903" i="8"/>
  <c r="E821" i="31" s="1"/>
  <c r="G891" i="10"/>
  <c r="G810" i="31" s="1"/>
  <c r="G1079" i="23"/>
  <c r="I1079" i="23" s="1"/>
  <c r="G1077" i="8"/>
  <c r="E979" i="31" s="1"/>
  <c r="O648" i="23"/>
  <c r="Y589" i="31" s="1"/>
  <c r="F649" i="10"/>
  <c r="H649" i="23"/>
  <c r="K649" i="23" s="1"/>
  <c r="N649" i="23" s="1"/>
  <c r="O649" i="23" s="1"/>
  <c r="Y590" i="31" s="1"/>
  <c r="E649" i="20"/>
  <c r="U590" i="31" s="1"/>
  <c r="E650" i="10"/>
  <c r="G650" i="10" s="1"/>
  <c r="G591" i="31" s="1"/>
  <c r="Q650" i="23"/>
  <c r="R650" i="23" s="1"/>
  <c r="Z591" i="31" s="1"/>
  <c r="R658" i="23"/>
  <c r="Z598" i="31" s="1"/>
  <c r="E659" i="23"/>
  <c r="E659" i="8"/>
  <c r="G659" i="8" s="1"/>
  <c r="E599" i="31" s="1"/>
  <c r="E660" i="10"/>
  <c r="G660" i="10" s="1"/>
  <c r="G600" i="31" s="1"/>
  <c r="Q660" i="23"/>
  <c r="R660" i="23" s="1"/>
  <c r="Z600" i="31" s="1"/>
  <c r="R661" i="23"/>
  <c r="Z601" i="31" s="1"/>
  <c r="F677" i="10"/>
  <c r="H677" i="23"/>
  <c r="K677" i="23" s="1"/>
  <c r="N677" i="23" s="1"/>
  <c r="O677" i="23" s="1"/>
  <c r="Y615" i="31" s="1"/>
  <c r="E677" i="20"/>
  <c r="U615" i="31" s="1"/>
  <c r="O679" i="23"/>
  <c r="Y617" i="31" s="1"/>
  <c r="O680" i="23"/>
  <c r="Y618" i="31" s="1"/>
  <c r="R664" i="23"/>
  <c r="Z603" i="31" s="1"/>
  <c r="E666" i="23"/>
  <c r="G666" i="23" s="1"/>
  <c r="I666" i="23" s="1"/>
  <c r="E666" i="8"/>
  <c r="G666" i="8" s="1"/>
  <c r="E605" i="31" s="1"/>
  <c r="F667" i="23"/>
  <c r="F667" i="8"/>
  <c r="E668" i="23"/>
  <c r="G668" i="23" s="1"/>
  <c r="E668" i="8"/>
  <c r="G668" i="8" s="1"/>
  <c r="E607" i="31" s="1"/>
  <c r="F669" i="23"/>
  <c r="F669" i="8"/>
  <c r="E670" i="23"/>
  <c r="G670" i="23" s="1"/>
  <c r="E670" i="8"/>
  <c r="G670" i="8" s="1"/>
  <c r="E609" i="31" s="1"/>
  <c r="L670" i="23"/>
  <c r="X609" i="31" s="1"/>
  <c r="F671" i="23"/>
  <c r="F671" i="8"/>
  <c r="E672" i="23"/>
  <c r="G672" i="23" s="1"/>
  <c r="E672" i="8"/>
  <c r="G672" i="8" s="1"/>
  <c r="E611" i="31" s="1"/>
  <c r="F685" i="23"/>
  <c r="F685" i="8"/>
  <c r="F686" i="23"/>
  <c r="F686" i="8"/>
  <c r="P623" i="31"/>
  <c r="S623" i="31"/>
  <c r="F687" i="23"/>
  <c r="F687" i="8"/>
  <c r="F688" i="23"/>
  <c r="F688" i="8"/>
  <c r="F689" i="10"/>
  <c r="H689" i="23"/>
  <c r="K689" i="23" s="1"/>
  <c r="N689" i="23" s="1"/>
  <c r="O689" i="23" s="1"/>
  <c r="Y626" i="31" s="1"/>
  <c r="E689" i="20"/>
  <c r="U626" i="31" s="1"/>
  <c r="F691" i="10"/>
  <c r="H691" i="23"/>
  <c r="K691" i="23" s="1"/>
  <c r="N691" i="23" s="1"/>
  <c r="E691" i="20"/>
  <c r="U628" i="31" s="1"/>
  <c r="F692" i="23"/>
  <c r="F692" i="8"/>
  <c r="F693" i="23"/>
  <c r="F693" i="8"/>
  <c r="E694" i="10"/>
  <c r="Q694" i="23"/>
  <c r="R694" i="23" s="1"/>
  <c r="Z631" i="31" s="1"/>
  <c r="F714" i="10"/>
  <c r="H714" i="23"/>
  <c r="K714" i="23" s="1"/>
  <c r="N714" i="23" s="1"/>
  <c r="O714" i="23" s="1"/>
  <c r="Y649" i="31" s="1"/>
  <c r="E714" i="20"/>
  <c r="U649" i="31" s="1"/>
  <c r="R714" i="23"/>
  <c r="Z649" i="31" s="1"/>
  <c r="E715" i="10"/>
  <c r="Q715" i="23"/>
  <c r="R715" i="23" s="1"/>
  <c r="Z650" i="31" s="1"/>
  <c r="O715" i="23"/>
  <c r="Y650" i="31" s="1"/>
  <c r="E716" i="23"/>
  <c r="E716" i="8"/>
  <c r="G716" i="8" s="1"/>
  <c r="E651" i="31" s="1"/>
  <c r="L716" i="23"/>
  <c r="X651" i="31" s="1"/>
  <c r="E718" i="10"/>
  <c r="G718" i="10" s="1"/>
  <c r="G652" i="31" s="1"/>
  <c r="Q718" i="23"/>
  <c r="R718" i="23" s="1"/>
  <c r="Z652" i="31" s="1"/>
  <c r="E719" i="23"/>
  <c r="E719" i="8"/>
  <c r="G719" i="8" s="1"/>
  <c r="E653" i="31" s="1"/>
  <c r="F719" i="23"/>
  <c r="F719" i="8"/>
  <c r="E720" i="23"/>
  <c r="G720" i="23" s="1"/>
  <c r="E720" i="8"/>
  <c r="G720" i="8" s="1"/>
  <c r="E654" i="31" s="1"/>
  <c r="E721" i="23"/>
  <c r="G721" i="23" s="1"/>
  <c r="E721" i="8"/>
  <c r="L721" i="23"/>
  <c r="X655" i="31" s="1"/>
  <c r="E722" i="23"/>
  <c r="G722" i="23" s="1"/>
  <c r="E722" i="8"/>
  <c r="G722" i="8" s="1"/>
  <c r="E656" i="31" s="1"/>
  <c r="E723" i="23"/>
  <c r="G723" i="23" s="1"/>
  <c r="I723" i="23" s="1"/>
  <c r="E723" i="8"/>
  <c r="E724" i="23"/>
  <c r="G724" i="23" s="1"/>
  <c r="E724" i="8"/>
  <c r="G724" i="8" s="1"/>
  <c r="E658" i="31" s="1"/>
  <c r="E725" i="23"/>
  <c r="G725" i="23" s="1"/>
  <c r="E725" i="8"/>
  <c r="L725" i="23"/>
  <c r="X659" i="31" s="1"/>
  <c r="E726" i="23"/>
  <c r="G726" i="23" s="1"/>
  <c r="E726" i="8"/>
  <c r="G726" i="8" s="1"/>
  <c r="E660" i="31" s="1"/>
  <c r="E729" i="23"/>
  <c r="G729" i="23" s="1"/>
  <c r="I729" i="23" s="1"/>
  <c r="E729" i="8"/>
  <c r="G729" i="8" s="1"/>
  <c r="E662" i="31" s="1"/>
  <c r="F730" i="23"/>
  <c r="F730" i="8"/>
  <c r="L730" i="23"/>
  <c r="X663" i="31" s="1"/>
  <c r="E731" i="10"/>
  <c r="G731" i="10" s="1"/>
  <c r="G664" i="31" s="1"/>
  <c r="Q731" i="23"/>
  <c r="R731" i="23" s="1"/>
  <c r="Z664" i="31" s="1"/>
  <c r="G733" i="9"/>
  <c r="F666" i="31" s="1"/>
  <c r="F733" i="23"/>
  <c r="F733" i="8"/>
  <c r="F734" i="10"/>
  <c r="H734" i="23"/>
  <c r="K734" i="23" s="1"/>
  <c r="N734" i="23" s="1"/>
  <c r="E734" i="20"/>
  <c r="U667" i="31" s="1"/>
  <c r="R734" i="23"/>
  <c r="Z667" i="31" s="1"/>
  <c r="P667" i="31"/>
  <c r="S667" i="31"/>
  <c r="F735" i="23"/>
  <c r="F735" i="8"/>
  <c r="E736" i="10"/>
  <c r="G736" i="10" s="1"/>
  <c r="G669" i="31" s="1"/>
  <c r="Q736" i="23"/>
  <c r="R736" i="23" s="1"/>
  <c r="Z669" i="31" s="1"/>
  <c r="E738" i="23"/>
  <c r="G738" i="23" s="1"/>
  <c r="E738" i="8"/>
  <c r="E734" i="23"/>
  <c r="E734" i="8"/>
  <c r="G734" i="8" s="1"/>
  <c r="E667" i="31" s="1"/>
  <c r="E730" i="23"/>
  <c r="E730" i="8"/>
  <c r="G730" i="8" s="1"/>
  <c r="E663" i="31" s="1"/>
  <c r="G754" i="9"/>
  <c r="F685" i="31" s="1"/>
  <c r="F754" i="10"/>
  <c r="E754" i="20"/>
  <c r="U685" i="31" s="1"/>
  <c r="H754" i="23"/>
  <c r="K754" i="23" s="1"/>
  <c r="N754" i="23" s="1"/>
  <c r="E754" i="10"/>
  <c r="G754" i="10" s="1"/>
  <c r="G685" i="31" s="1"/>
  <c r="Q754" i="23"/>
  <c r="R754" i="23"/>
  <c r="Z685" i="31" s="1"/>
  <c r="O754" i="23"/>
  <c r="Y685" i="31" s="1"/>
  <c r="F755" i="23"/>
  <c r="F755" i="8"/>
  <c r="F756" i="10"/>
  <c r="H756" i="23"/>
  <c r="K756" i="23" s="1"/>
  <c r="N756" i="23" s="1"/>
  <c r="E756" i="20"/>
  <c r="U687" i="31" s="1"/>
  <c r="R756" i="23"/>
  <c r="Z687" i="31" s="1"/>
  <c r="F757" i="23"/>
  <c r="F757" i="8"/>
  <c r="P687" i="31"/>
  <c r="S687" i="31"/>
  <c r="E758" i="10"/>
  <c r="G758" i="10" s="1"/>
  <c r="G689" i="31" s="1"/>
  <c r="Q758" i="23"/>
  <c r="R758" i="23" s="1"/>
  <c r="Z689" i="31" s="1"/>
  <c r="O758" i="23"/>
  <c r="Y689" i="31" s="1"/>
  <c r="E759" i="10"/>
  <c r="Q759" i="23"/>
  <c r="R759" i="23" s="1"/>
  <c r="Z690" i="31" s="1"/>
  <c r="O759" i="23"/>
  <c r="Y690" i="31" s="1"/>
  <c r="E760" i="23"/>
  <c r="G760" i="23" s="1"/>
  <c r="E760" i="8"/>
  <c r="G760" i="8" s="1"/>
  <c r="E691" i="31" s="1"/>
  <c r="L760" i="23"/>
  <c r="X691" i="31" s="1"/>
  <c r="F773" i="23"/>
  <c r="F773" i="8"/>
  <c r="F774" i="10"/>
  <c r="H774" i="23"/>
  <c r="K774" i="23" s="1"/>
  <c r="N774" i="23" s="1"/>
  <c r="O774" i="23" s="1"/>
  <c r="Y703" i="31" s="1"/>
  <c r="E774" i="20"/>
  <c r="U703" i="31" s="1"/>
  <c r="R774" i="23"/>
  <c r="Z703" i="31" s="1"/>
  <c r="E775" i="10"/>
  <c r="G775" i="10" s="1"/>
  <c r="G704" i="31" s="1"/>
  <c r="Q775" i="23"/>
  <c r="R775" i="23" s="1"/>
  <c r="Z704" i="31" s="1"/>
  <c r="O775" i="23"/>
  <c r="Y704" i="31" s="1"/>
  <c r="F776" i="10"/>
  <c r="H776" i="23"/>
  <c r="K776" i="23" s="1"/>
  <c r="N776" i="23" s="1"/>
  <c r="O776" i="23" s="1"/>
  <c r="Y705" i="31" s="1"/>
  <c r="E776" i="20"/>
  <c r="U705" i="31" s="1"/>
  <c r="R776" i="23"/>
  <c r="Z705" i="31" s="1"/>
  <c r="E777" i="10"/>
  <c r="G777" i="10" s="1"/>
  <c r="G706" i="31" s="1"/>
  <c r="Q777" i="23"/>
  <c r="R777" i="23" s="1"/>
  <c r="Z706" i="31" s="1"/>
  <c r="O777" i="23"/>
  <c r="Y706" i="31" s="1"/>
  <c r="F778" i="10"/>
  <c r="H778" i="23"/>
  <c r="K778" i="23" s="1"/>
  <c r="N778" i="23" s="1"/>
  <c r="O778" i="23" s="1"/>
  <c r="Y707" i="31" s="1"/>
  <c r="E778" i="20"/>
  <c r="U707" i="31" s="1"/>
  <c r="R778" i="23"/>
  <c r="Z707" i="31" s="1"/>
  <c r="E779" i="10"/>
  <c r="G779" i="10" s="1"/>
  <c r="G708" i="31" s="1"/>
  <c r="Q779" i="23"/>
  <c r="R779" i="23" s="1"/>
  <c r="Z708" i="31" s="1"/>
  <c r="O779" i="23"/>
  <c r="Y708" i="31" s="1"/>
  <c r="F780" i="10"/>
  <c r="H780" i="23"/>
  <c r="K780" i="23" s="1"/>
  <c r="N780" i="23" s="1"/>
  <c r="O780" i="23" s="1"/>
  <c r="Y709" i="31" s="1"/>
  <c r="E780" i="20"/>
  <c r="U709" i="31" s="1"/>
  <c r="R780" i="23"/>
  <c r="Z709" i="31" s="1"/>
  <c r="E781" i="10"/>
  <c r="G781" i="10" s="1"/>
  <c r="G710" i="31" s="1"/>
  <c r="Q781" i="23"/>
  <c r="R781" i="23" s="1"/>
  <c r="Z710" i="31" s="1"/>
  <c r="O781" i="23"/>
  <c r="Y710" i="31" s="1"/>
  <c r="F782" i="10"/>
  <c r="H782" i="23"/>
  <c r="K782" i="23" s="1"/>
  <c r="N782" i="23" s="1"/>
  <c r="O782" i="23" s="1"/>
  <c r="Y711" i="31" s="1"/>
  <c r="E782" i="20"/>
  <c r="U711" i="31" s="1"/>
  <c r="R782" i="23"/>
  <c r="Z711" i="31" s="1"/>
  <c r="E784" i="10"/>
  <c r="G784" i="10" s="1"/>
  <c r="G712" i="31" s="1"/>
  <c r="Q784" i="23"/>
  <c r="R784" i="23" s="1"/>
  <c r="Z712" i="31" s="1"/>
  <c r="W933" i="31"/>
  <c r="S1027" i="23"/>
  <c r="AA933" i="31" s="1"/>
  <c r="W980" i="31"/>
  <c r="S1078" i="23"/>
  <c r="AA980" i="31" s="1"/>
  <c r="W1001" i="31"/>
  <c r="S1101" i="23"/>
  <c r="AA1001" i="31" s="1"/>
  <c r="W997" i="31"/>
  <c r="S1097" i="23"/>
  <c r="AA997" i="31" s="1"/>
  <c r="W993" i="31"/>
  <c r="S1093" i="23"/>
  <c r="AA993" i="31" s="1"/>
  <c r="W729" i="31"/>
  <c r="S802" i="23"/>
  <c r="AA729" i="31" s="1"/>
  <c r="W727" i="31"/>
  <c r="S800" i="23"/>
  <c r="AA727" i="31" s="1"/>
  <c r="G928" i="23"/>
  <c r="I928" i="23" s="1"/>
  <c r="G787" i="23"/>
  <c r="I787" i="23" s="1"/>
  <c r="W848" i="31"/>
  <c r="S933" i="23"/>
  <c r="AA848" i="31" s="1"/>
  <c r="L929" i="23"/>
  <c r="X844" i="31" s="1"/>
  <c r="L892" i="23"/>
  <c r="X811" i="31" s="1"/>
  <c r="I890" i="23"/>
  <c r="L1076" i="23"/>
  <c r="X978" i="31" s="1"/>
  <c r="L1090" i="23"/>
  <c r="X991" i="31" s="1"/>
  <c r="I1092" i="23"/>
  <c r="L867" i="23"/>
  <c r="X788" i="31" s="1"/>
  <c r="S799" i="23"/>
  <c r="AA726" i="31" s="1"/>
  <c r="W726" i="31"/>
  <c r="G916" i="8"/>
  <c r="E832" i="31" s="1"/>
  <c r="G1076" i="10"/>
  <c r="G978" i="31" s="1"/>
  <c r="L1072" i="23"/>
  <c r="X974" i="31" s="1"/>
  <c r="G1098" i="23"/>
  <c r="I1098" i="23" s="1"/>
  <c r="L789" i="23"/>
  <c r="X717" i="31" s="1"/>
  <c r="S995" i="23"/>
  <c r="AA904" i="31" s="1"/>
  <c r="G930" i="8"/>
  <c r="E845" i="31" s="1"/>
  <c r="G902" i="8"/>
  <c r="E820" i="31" s="1"/>
  <c r="G889" i="10"/>
  <c r="G808" i="31" s="1"/>
  <c r="L1094" i="23"/>
  <c r="X994" i="31" s="1"/>
  <c r="G863" i="10"/>
  <c r="G784" i="31" s="1"/>
  <c r="W906" i="31"/>
  <c r="S997" i="23"/>
  <c r="AA906" i="31" s="1"/>
  <c r="S994" i="23"/>
  <c r="AA903" i="31" s="1"/>
  <c r="W903" i="31"/>
  <c r="W900" i="31"/>
  <c r="S990" i="23"/>
  <c r="AA900" i="31" s="1"/>
  <c r="W905" i="31"/>
  <c r="S996" i="23"/>
  <c r="AA905" i="31" s="1"/>
  <c r="G927" i="8"/>
  <c r="E842" i="31" s="1"/>
  <c r="G924" i="23"/>
  <c r="I924" i="23" s="1"/>
  <c r="G922" i="23"/>
  <c r="I922" i="23" s="1"/>
  <c r="L920" i="23"/>
  <c r="X836" i="31" s="1"/>
  <c r="G919" i="8"/>
  <c r="E835" i="31" s="1"/>
  <c r="G918" i="23"/>
  <c r="I918" i="23" s="1"/>
  <c r="G902" i="10"/>
  <c r="G820" i="31" s="1"/>
  <c r="G901" i="23"/>
  <c r="I901" i="23" s="1"/>
  <c r="G886" i="10"/>
  <c r="G805" i="31" s="1"/>
  <c r="G881" i="8"/>
  <c r="E801" i="31" s="1"/>
  <c r="G877" i="8"/>
  <c r="E797" i="31" s="1"/>
  <c r="G873" i="8"/>
  <c r="E793" i="31" s="1"/>
  <c r="G1079" i="10"/>
  <c r="G981" i="31" s="1"/>
  <c r="G1077" i="10"/>
  <c r="G979" i="31" s="1"/>
  <c r="G1089" i="23"/>
  <c r="I1089" i="23" s="1"/>
  <c r="G1100" i="8"/>
  <c r="E1000" i="31" s="1"/>
  <c r="G870" i="8"/>
  <c r="E791" i="31" s="1"/>
  <c r="G864" i="23"/>
  <c r="I864" i="23" s="1"/>
  <c r="G801" i="8"/>
  <c r="E728" i="31" s="1"/>
  <c r="L785" i="23"/>
  <c r="X713" i="31" s="1"/>
  <c r="L793" i="23"/>
  <c r="X721" i="31" s="1"/>
  <c r="L786" i="23"/>
  <c r="X714" i="31" s="1"/>
  <c r="G903" i="23"/>
  <c r="I903" i="23" s="1"/>
  <c r="G880" i="10"/>
  <c r="G800" i="31" s="1"/>
  <c r="G1077" i="23"/>
  <c r="I1077" i="23" s="1"/>
  <c r="L1098" i="23"/>
  <c r="X998" i="31" s="1"/>
  <c r="G786" i="10"/>
  <c r="G714" i="31" s="1"/>
  <c r="E648" i="10"/>
  <c r="G648" i="10" s="1"/>
  <c r="G589" i="31" s="1"/>
  <c r="Q648" i="23"/>
  <c r="R648" i="23" s="1"/>
  <c r="Z589" i="31" s="1"/>
  <c r="E657" i="23"/>
  <c r="G657" i="23" s="1"/>
  <c r="I657" i="23" s="1"/>
  <c r="E657" i="8"/>
  <c r="G657" i="8" s="1"/>
  <c r="E597" i="31" s="1"/>
  <c r="O658" i="23"/>
  <c r="Y598" i="31" s="1"/>
  <c r="F659" i="23"/>
  <c r="F659" i="8"/>
  <c r="O660" i="23"/>
  <c r="Y600" i="31" s="1"/>
  <c r="G677" i="9"/>
  <c r="F615" i="31" s="1"/>
  <c r="E677" i="10"/>
  <c r="G677" i="10" s="1"/>
  <c r="G615" i="31" s="1"/>
  <c r="Q677" i="23"/>
  <c r="R677" i="23" s="1"/>
  <c r="Z615" i="31" s="1"/>
  <c r="E679" i="10"/>
  <c r="G679" i="10" s="1"/>
  <c r="G617" i="31" s="1"/>
  <c r="Q679" i="23"/>
  <c r="R679" i="23" s="1"/>
  <c r="Z617" i="31" s="1"/>
  <c r="E680" i="10"/>
  <c r="G680" i="10" s="1"/>
  <c r="G618" i="31" s="1"/>
  <c r="Q680" i="23"/>
  <c r="R680" i="23" s="1"/>
  <c r="Z618" i="31" s="1"/>
  <c r="F681" i="10"/>
  <c r="H681" i="23"/>
  <c r="K681" i="23" s="1"/>
  <c r="N681" i="23" s="1"/>
  <c r="O681" i="23" s="1"/>
  <c r="Y619" i="31" s="1"/>
  <c r="E681" i="20"/>
  <c r="U619" i="31" s="1"/>
  <c r="F683" i="10"/>
  <c r="H683" i="23"/>
  <c r="K683" i="23" s="1"/>
  <c r="N683" i="23" s="1"/>
  <c r="E683" i="20"/>
  <c r="U621" i="31" s="1"/>
  <c r="R663" i="23"/>
  <c r="Z602" i="31" s="1"/>
  <c r="E648" i="23"/>
  <c r="G648" i="23" s="1"/>
  <c r="I648" i="23" s="1"/>
  <c r="E648" i="8"/>
  <c r="G648" i="8" s="1"/>
  <c r="E589" i="31" s="1"/>
  <c r="F649" i="23"/>
  <c r="F649" i="8"/>
  <c r="E650" i="23"/>
  <c r="G650" i="23" s="1"/>
  <c r="I650" i="23" s="1"/>
  <c r="E650" i="8"/>
  <c r="G650" i="8" s="1"/>
  <c r="E591" i="31" s="1"/>
  <c r="L650" i="23"/>
  <c r="X591" i="31" s="1"/>
  <c r="F657" i="10"/>
  <c r="H657" i="23"/>
  <c r="K657" i="23" s="1"/>
  <c r="N657" i="23" s="1"/>
  <c r="O657" i="23" s="1"/>
  <c r="Y597" i="31" s="1"/>
  <c r="E657" i="20"/>
  <c r="U597" i="31" s="1"/>
  <c r="L657" i="23"/>
  <c r="X597" i="31" s="1"/>
  <c r="E658" i="23"/>
  <c r="G658" i="23" s="1"/>
  <c r="I658" i="23" s="1"/>
  <c r="E658" i="8"/>
  <c r="G658" i="8" s="1"/>
  <c r="E598" i="31" s="1"/>
  <c r="E659" i="10"/>
  <c r="G659" i="10" s="1"/>
  <c r="G599" i="31" s="1"/>
  <c r="Q659" i="23"/>
  <c r="R659" i="23" s="1"/>
  <c r="Z599" i="31" s="1"/>
  <c r="E660" i="23"/>
  <c r="G660" i="23" s="1"/>
  <c r="I660" i="23" s="1"/>
  <c r="E660" i="8"/>
  <c r="G660" i="8" s="1"/>
  <c r="E600" i="31" s="1"/>
  <c r="L660" i="23"/>
  <c r="X600" i="31" s="1"/>
  <c r="F661" i="23"/>
  <c r="F661" i="8"/>
  <c r="F678" i="10"/>
  <c r="H678" i="23"/>
  <c r="K678" i="23" s="1"/>
  <c r="N678" i="23" s="1"/>
  <c r="E678" i="20"/>
  <c r="U616" i="31" s="1"/>
  <c r="E678" i="10"/>
  <c r="Q678" i="23"/>
  <c r="R678" i="23" s="1"/>
  <c r="Z616" i="31" s="1"/>
  <c r="O678" i="23"/>
  <c r="Y616" i="31" s="1"/>
  <c r="E679" i="23"/>
  <c r="G679" i="23" s="1"/>
  <c r="E679" i="8"/>
  <c r="E680" i="23"/>
  <c r="G680" i="23" s="1"/>
  <c r="I680" i="23" s="1"/>
  <c r="E680" i="8"/>
  <c r="G680" i="8" s="1"/>
  <c r="E618" i="31" s="1"/>
  <c r="L680" i="23"/>
  <c r="X618" i="31" s="1"/>
  <c r="F681" i="23"/>
  <c r="F681" i="8"/>
  <c r="F682" i="10"/>
  <c r="H682" i="23"/>
  <c r="K682" i="23" s="1"/>
  <c r="N682" i="23" s="1"/>
  <c r="E682" i="20"/>
  <c r="U620" i="31" s="1"/>
  <c r="R682" i="23"/>
  <c r="Z620" i="31" s="1"/>
  <c r="F683" i="23"/>
  <c r="F683" i="8"/>
  <c r="F663" i="23"/>
  <c r="F663" i="8"/>
  <c r="F664" i="23"/>
  <c r="F664" i="8"/>
  <c r="E664" i="23"/>
  <c r="G664" i="23" s="1"/>
  <c r="I664" i="23" s="1"/>
  <c r="E664" i="8"/>
  <c r="G664" i="8" s="1"/>
  <c r="E603" i="31" s="1"/>
  <c r="E665" i="10"/>
  <c r="G665" i="10" s="1"/>
  <c r="G604" i="31" s="1"/>
  <c r="Q665" i="23"/>
  <c r="R665" i="23" s="1"/>
  <c r="Z604" i="31" s="1"/>
  <c r="O665" i="23"/>
  <c r="Y604" i="31" s="1"/>
  <c r="F666" i="10"/>
  <c r="H666" i="23"/>
  <c r="K666" i="23" s="1"/>
  <c r="N666" i="23" s="1"/>
  <c r="O666" i="23" s="1"/>
  <c r="Y605" i="31" s="1"/>
  <c r="E666" i="20"/>
  <c r="U605" i="31" s="1"/>
  <c r="R666" i="23"/>
  <c r="Z605" i="31" s="1"/>
  <c r="E667" i="10"/>
  <c r="G667" i="10" s="1"/>
  <c r="G606" i="31" s="1"/>
  <c r="Q667" i="23"/>
  <c r="R667" i="23" s="1"/>
  <c r="Z606" i="31" s="1"/>
  <c r="O667" i="23"/>
  <c r="Y606" i="31" s="1"/>
  <c r="F668" i="10"/>
  <c r="H668" i="23"/>
  <c r="K668" i="23" s="1"/>
  <c r="N668" i="23" s="1"/>
  <c r="O668" i="23" s="1"/>
  <c r="Y607" i="31" s="1"/>
  <c r="E668" i="20"/>
  <c r="U607" i="31" s="1"/>
  <c r="R668" i="23"/>
  <c r="Z607" i="31" s="1"/>
  <c r="E669" i="10"/>
  <c r="G669" i="10" s="1"/>
  <c r="G608" i="31" s="1"/>
  <c r="Q669" i="23"/>
  <c r="R669" i="23" s="1"/>
  <c r="Z608" i="31" s="1"/>
  <c r="O669" i="23"/>
  <c r="Y608" i="31" s="1"/>
  <c r="F670" i="10"/>
  <c r="H670" i="23"/>
  <c r="K670" i="23" s="1"/>
  <c r="N670" i="23" s="1"/>
  <c r="O670" i="23" s="1"/>
  <c r="Y609" i="31" s="1"/>
  <c r="E670" i="20"/>
  <c r="U609" i="31" s="1"/>
  <c r="R670" i="23"/>
  <c r="Z609" i="31" s="1"/>
  <c r="E671" i="10"/>
  <c r="G671" i="10" s="1"/>
  <c r="G610" i="31" s="1"/>
  <c r="Q671" i="23"/>
  <c r="R671" i="23" s="1"/>
  <c r="Z610" i="31" s="1"/>
  <c r="O671" i="23"/>
  <c r="Y610" i="31" s="1"/>
  <c r="F672" i="10"/>
  <c r="H672" i="23"/>
  <c r="K672" i="23" s="1"/>
  <c r="N672" i="23" s="1"/>
  <c r="O672" i="23" s="1"/>
  <c r="Y611" i="31" s="1"/>
  <c r="E672" i="20"/>
  <c r="U611" i="31" s="1"/>
  <c r="R672" i="23"/>
  <c r="Z611" i="31" s="1"/>
  <c r="E685" i="10"/>
  <c r="G685" i="10" s="1"/>
  <c r="G622" i="31" s="1"/>
  <c r="Q685" i="23"/>
  <c r="R685" i="23" s="1"/>
  <c r="Z622" i="31" s="1"/>
  <c r="O685" i="23"/>
  <c r="Y622" i="31" s="1"/>
  <c r="L686" i="23"/>
  <c r="X623" i="31" s="1"/>
  <c r="P624" i="31"/>
  <c r="S624" i="31"/>
  <c r="F688" i="10"/>
  <c r="H688" i="23"/>
  <c r="K688" i="23" s="1"/>
  <c r="N688" i="23" s="1"/>
  <c r="O688" i="23" s="1"/>
  <c r="Y625" i="31" s="1"/>
  <c r="E688" i="20"/>
  <c r="U625" i="31" s="1"/>
  <c r="S625" i="31"/>
  <c r="P625" i="31"/>
  <c r="E689" i="10"/>
  <c r="G689" i="10" s="1"/>
  <c r="G626" i="31" s="1"/>
  <c r="Q689" i="23"/>
  <c r="R689" i="23" s="1"/>
  <c r="Z626" i="31" s="1"/>
  <c r="R690" i="23"/>
  <c r="Z627" i="31" s="1"/>
  <c r="P627" i="31"/>
  <c r="S627" i="31"/>
  <c r="E691" i="10"/>
  <c r="Q691" i="23"/>
  <c r="R691" i="23" s="1"/>
  <c r="Z628" i="31" s="1"/>
  <c r="O691" i="23"/>
  <c r="Y628" i="31" s="1"/>
  <c r="F692" i="10"/>
  <c r="H692" i="23"/>
  <c r="K692" i="23" s="1"/>
  <c r="N692" i="23" s="1"/>
  <c r="O692" i="23" s="1"/>
  <c r="Y629" i="31" s="1"/>
  <c r="E692" i="20"/>
  <c r="U629" i="31" s="1"/>
  <c r="L692" i="23"/>
  <c r="X629" i="31" s="1"/>
  <c r="F693" i="10"/>
  <c r="H693" i="23"/>
  <c r="K693" i="23" s="1"/>
  <c r="N693" i="23" s="1"/>
  <c r="O693" i="23" s="1"/>
  <c r="Y630" i="31" s="1"/>
  <c r="E693" i="20"/>
  <c r="U630" i="31" s="1"/>
  <c r="L693" i="23"/>
  <c r="X630" i="31" s="1"/>
  <c r="F694" i="10"/>
  <c r="H694" i="23"/>
  <c r="K694" i="23" s="1"/>
  <c r="N694" i="23" s="1"/>
  <c r="O694" i="23" s="1"/>
  <c r="Y631" i="31" s="1"/>
  <c r="E694" i="20"/>
  <c r="U631" i="31" s="1"/>
  <c r="L694" i="23"/>
  <c r="X631" i="31" s="1"/>
  <c r="F714" i="23"/>
  <c r="F714" i="8"/>
  <c r="E715" i="23"/>
  <c r="G715" i="23" s="1"/>
  <c r="I715" i="23" s="1"/>
  <c r="E715" i="8"/>
  <c r="G715" i="8" s="1"/>
  <c r="E650" i="31" s="1"/>
  <c r="L715" i="23"/>
  <c r="X650" i="31" s="1"/>
  <c r="F716" i="10"/>
  <c r="H716" i="23"/>
  <c r="K716" i="23" s="1"/>
  <c r="N716" i="23" s="1"/>
  <c r="E716" i="20"/>
  <c r="U651" i="31" s="1"/>
  <c r="R716" i="23"/>
  <c r="Z651" i="31" s="1"/>
  <c r="L718" i="23"/>
  <c r="X652" i="31" s="1"/>
  <c r="P652" i="31"/>
  <c r="S652" i="31"/>
  <c r="E718" i="23"/>
  <c r="G718" i="23" s="1"/>
  <c r="I718" i="23" s="1"/>
  <c r="E718" i="8"/>
  <c r="G718" i="8" s="1"/>
  <c r="E652" i="31" s="1"/>
  <c r="E719" i="10"/>
  <c r="Q719" i="23"/>
  <c r="R719" i="23" s="1"/>
  <c r="Z653" i="31" s="1"/>
  <c r="S653" i="31"/>
  <c r="P653" i="31"/>
  <c r="F720" i="10"/>
  <c r="H720" i="23"/>
  <c r="K720" i="23" s="1"/>
  <c r="N720" i="23" s="1"/>
  <c r="O720" i="23" s="1"/>
  <c r="Y654" i="31" s="1"/>
  <c r="E720" i="20"/>
  <c r="U654" i="31" s="1"/>
  <c r="R720" i="23"/>
  <c r="Z654" i="31" s="1"/>
  <c r="P654" i="31"/>
  <c r="S654" i="31"/>
  <c r="F721" i="10"/>
  <c r="H721" i="23"/>
  <c r="K721" i="23" s="1"/>
  <c r="N721" i="23" s="1"/>
  <c r="E721" i="20"/>
  <c r="U655" i="31" s="1"/>
  <c r="R721" i="23"/>
  <c r="Z655" i="31" s="1"/>
  <c r="P655" i="31"/>
  <c r="S655" i="31"/>
  <c r="F722" i="10"/>
  <c r="H722" i="23"/>
  <c r="K722" i="23" s="1"/>
  <c r="N722" i="23" s="1"/>
  <c r="O722" i="23" s="1"/>
  <c r="Y656" i="31" s="1"/>
  <c r="E722" i="20"/>
  <c r="U656" i="31" s="1"/>
  <c r="R722" i="23"/>
  <c r="Z656" i="31" s="1"/>
  <c r="P656" i="31"/>
  <c r="S656" i="31"/>
  <c r="F723" i="10"/>
  <c r="H723" i="23"/>
  <c r="K723" i="23" s="1"/>
  <c r="N723" i="23" s="1"/>
  <c r="E723" i="20"/>
  <c r="U657" i="31" s="1"/>
  <c r="R723" i="23"/>
  <c r="Z657" i="31" s="1"/>
  <c r="S657" i="31"/>
  <c r="P657" i="31"/>
  <c r="F724" i="10"/>
  <c r="H724" i="23"/>
  <c r="K724" i="23" s="1"/>
  <c r="N724" i="23" s="1"/>
  <c r="O724" i="23" s="1"/>
  <c r="Y658" i="31" s="1"/>
  <c r="E724" i="20"/>
  <c r="U658" i="31" s="1"/>
  <c r="R724" i="23"/>
  <c r="Z658" i="31" s="1"/>
  <c r="P658" i="31"/>
  <c r="S658" i="31"/>
  <c r="F725" i="10"/>
  <c r="H725" i="23"/>
  <c r="K725" i="23" s="1"/>
  <c r="N725" i="23" s="1"/>
  <c r="E725" i="20"/>
  <c r="U659" i="31" s="1"/>
  <c r="R725" i="23"/>
  <c r="Z659" i="31" s="1"/>
  <c r="P659" i="31"/>
  <c r="S659" i="31"/>
  <c r="F726" i="10"/>
  <c r="H726" i="23"/>
  <c r="K726" i="23" s="1"/>
  <c r="N726" i="23" s="1"/>
  <c r="O726" i="23" s="1"/>
  <c r="Y660" i="31" s="1"/>
  <c r="E726" i="20"/>
  <c r="U660" i="31" s="1"/>
  <c r="R726" i="23"/>
  <c r="Z660" i="31" s="1"/>
  <c r="P660" i="31"/>
  <c r="S660" i="31"/>
  <c r="F730" i="10"/>
  <c r="H730" i="23"/>
  <c r="K730" i="23" s="1"/>
  <c r="N730" i="23" s="1"/>
  <c r="O730" i="23" s="1"/>
  <c r="Y663" i="31" s="1"/>
  <c r="E730" i="20"/>
  <c r="U663" i="31" s="1"/>
  <c r="E729" i="10"/>
  <c r="G729" i="10" s="1"/>
  <c r="G662" i="31" s="1"/>
  <c r="Q729" i="23"/>
  <c r="R729" i="23"/>
  <c r="Z662" i="31" s="1"/>
  <c r="L731" i="23"/>
  <c r="X664" i="31" s="1"/>
  <c r="P664" i="31"/>
  <c r="S664" i="31"/>
  <c r="F732" i="10"/>
  <c r="H732" i="23"/>
  <c r="K732" i="23" s="1"/>
  <c r="N732" i="23" s="1"/>
  <c r="O732" i="23" s="1"/>
  <c r="Y665" i="31" s="1"/>
  <c r="E732" i="20"/>
  <c r="U665" i="31" s="1"/>
  <c r="E732" i="10"/>
  <c r="G732" i="10" s="1"/>
  <c r="G665" i="31" s="1"/>
  <c r="Q732" i="23"/>
  <c r="R732" i="23"/>
  <c r="Z665" i="31" s="1"/>
  <c r="P666" i="31"/>
  <c r="S666" i="31"/>
  <c r="F734" i="23"/>
  <c r="F734" i="8"/>
  <c r="E735" i="10"/>
  <c r="Q735" i="23"/>
  <c r="R735" i="23" s="1"/>
  <c r="Z668" i="31" s="1"/>
  <c r="O735" i="23"/>
  <c r="Y668" i="31" s="1"/>
  <c r="F737" i="10"/>
  <c r="H737" i="23"/>
  <c r="K737" i="23" s="1"/>
  <c r="N737" i="23" s="1"/>
  <c r="O737" i="23" s="1"/>
  <c r="Y670" i="31" s="1"/>
  <c r="E737" i="20"/>
  <c r="U670" i="31" s="1"/>
  <c r="R737" i="23"/>
  <c r="Z670" i="31" s="1"/>
  <c r="P670" i="31"/>
  <c r="S670" i="31"/>
  <c r="E737" i="23"/>
  <c r="G737" i="23" s="1"/>
  <c r="E737" i="8"/>
  <c r="G737" i="8" s="1"/>
  <c r="E670" i="31" s="1"/>
  <c r="E733" i="23"/>
  <c r="G733" i="23" s="1"/>
  <c r="E733" i="8"/>
  <c r="G733" i="8" s="1"/>
  <c r="E666" i="31" s="1"/>
  <c r="F738" i="10"/>
  <c r="H738" i="23"/>
  <c r="K738" i="23" s="1"/>
  <c r="N738" i="23" s="1"/>
  <c r="O738" i="23" s="1"/>
  <c r="Y671" i="31" s="1"/>
  <c r="E738" i="20"/>
  <c r="U671" i="31" s="1"/>
  <c r="R738" i="23"/>
  <c r="Z671" i="31" s="1"/>
  <c r="P671" i="31"/>
  <c r="S671" i="31"/>
  <c r="E754" i="23"/>
  <c r="G754" i="23" s="1"/>
  <c r="I754" i="23" s="1"/>
  <c r="E754" i="8"/>
  <c r="G754" i="8" s="1"/>
  <c r="E685" i="31" s="1"/>
  <c r="F753" i="23"/>
  <c r="F753" i="8"/>
  <c r="L753" i="23"/>
  <c r="X684" i="31" s="1"/>
  <c r="G755" i="9"/>
  <c r="F686" i="31" s="1"/>
  <c r="E755" i="10"/>
  <c r="G755" i="10" s="1"/>
  <c r="G686" i="31" s="1"/>
  <c r="Q755" i="23"/>
  <c r="R755" i="23" s="1"/>
  <c r="Z686" i="31" s="1"/>
  <c r="F756" i="23"/>
  <c r="F756" i="8"/>
  <c r="E757" i="10"/>
  <c r="G757" i="10" s="1"/>
  <c r="G688" i="31" s="1"/>
  <c r="Q757" i="23"/>
  <c r="R757" i="23" s="1"/>
  <c r="Z688" i="31" s="1"/>
  <c r="O757" i="23"/>
  <c r="Y688" i="31" s="1"/>
  <c r="P686" i="31"/>
  <c r="S686" i="31"/>
  <c r="E758" i="23"/>
  <c r="G758" i="23" s="1"/>
  <c r="I758" i="23" s="1"/>
  <c r="E758" i="8"/>
  <c r="G758" i="8" s="1"/>
  <c r="E689" i="31" s="1"/>
  <c r="L758" i="23"/>
  <c r="X689" i="31" s="1"/>
  <c r="E759" i="23"/>
  <c r="G759" i="23" s="1"/>
  <c r="I759" i="23" s="1"/>
  <c r="E759" i="8"/>
  <c r="G759" i="8" s="1"/>
  <c r="E690" i="31" s="1"/>
  <c r="L759" i="23"/>
  <c r="X690" i="31" s="1"/>
  <c r="F760" i="10"/>
  <c r="H760" i="23"/>
  <c r="K760" i="23" s="1"/>
  <c r="N760" i="23" s="1"/>
  <c r="O760" i="23" s="1"/>
  <c r="Y691" i="31" s="1"/>
  <c r="E760" i="20"/>
  <c r="U691" i="31" s="1"/>
  <c r="R760" i="23"/>
  <c r="Z691" i="31" s="1"/>
  <c r="P691" i="31"/>
  <c r="S691" i="31"/>
  <c r="G773" i="9"/>
  <c r="F702" i="31" s="1"/>
  <c r="E773" i="10"/>
  <c r="Q773" i="23"/>
  <c r="R773" i="23" s="1"/>
  <c r="Z702" i="31" s="1"/>
  <c r="F774" i="23"/>
  <c r="F774" i="8"/>
  <c r="E775" i="23"/>
  <c r="G775" i="23" s="1"/>
  <c r="I775" i="23" s="1"/>
  <c r="E775" i="8"/>
  <c r="L775" i="23"/>
  <c r="X704" i="31" s="1"/>
  <c r="F776" i="23"/>
  <c r="F776" i="8"/>
  <c r="E777" i="23"/>
  <c r="E777" i="8"/>
  <c r="G777" i="8" s="1"/>
  <c r="E706" i="31" s="1"/>
  <c r="L777" i="23"/>
  <c r="X706" i="31" s="1"/>
  <c r="F778" i="23"/>
  <c r="F778" i="8"/>
  <c r="E779" i="23"/>
  <c r="G779" i="23" s="1"/>
  <c r="I779" i="23" s="1"/>
  <c r="E779" i="8"/>
  <c r="G779" i="8" s="1"/>
  <c r="E708" i="31" s="1"/>
  <c r="L779" i="23"/>
  <c r="X708" i="31" s="1"/>
  <c r="F780" i="23"/>
  <c r="F780" i="8"/>
  <c r="E781" i="23"/>
  <c r="G781" i="23" s="1"/>
  <c r="I781" i="23" s="1"/>
  <c r="E781" i="8"/>
  <c r="G781" i="8" s="1"/>
  <c r="E710" i="31" s="1"/>
  <c r="L781" i="23"/>
  <c r="X710" i="31" s="1"/>
  <c r="F782" i="23"/>
  <c r="F782" i="8"/>
  <c r="E784" i="23"/>
  <c r="G784" i="23" s="1"/>
  <c r="I784" i="23" s="1"/>
  <c r="E784" i="8"/>
  <c r="L784" i="23"/>
  <c r="X712" i="31" s="1"/>
  <c r="O784" i="23"/>
  <c r="Y712" i="31" s="1"/>
  <c r="S1042" i="23"/>
  <c r="AA947" i="31" s="1"/>
  <c r="W947" i="31"/>
  <c r="W902" i="31"/>
  <c r="S993" i="23"/>
  <c r="AA902" i="31" s="1"/>
  <c r="S931" i="23"/>
  <c r="AA846" i="31" s="1"/>
  <c r="W846" i="31"/>
  <c r="W841" i="31"/>
  <c r="S925" i="23"/>
  <c r="AA841" i="31" s="1"/>
  <c r="G899" i="8"/>
  <c r="E817" i="31" s="1"/>
  <c r="S887" i="23"/>
  <c r="AA806" i="31" s="1"/>
  <c r="W806" i="31"/>
  <c r="G1088" i="23"/>
  <c r="I1088" i="23" s="1"/>
  <c r="G1095" i="8"/>
  <c r="E995" i="31" s="1"/>
  <c r="L1092" i="23"/>
  <c r="X992" i="31" s="1"/>
  <c r="W730" i="31"/>
  <c r="S803" i="23"/>
  <c r="AA730" i="31" s="1"/>
  <c r="W718" i="31"/>
  <c r="L924" i="23"/>
  <c r="X840" i="31" s="1"/>
  <c r="G876" i="10"/>
  <c r="G796" i="31" s="1"/>
  <c r="W949" i="31"/>
  <c r="S1044" i="23"/>
  <c r="AA949" i="31" s="1"/>
  <c r="W896" i="31"/>
  <c r="S986" i="23"/>
  <c r="AA896" i="31" s="1"/>
  <c r="I891" i="23"/>
  <c r="L889" i="23"/>
  <c r="X808" i="31" s="1"/>
  <c r="I886" i="23"/>
  <c r="I880" i="23"/>
  <c r="L878" i="23"/>
  <c r="X798" i="31" s="1"/>
  <c r="I876" i="23"/>
  <c r="L874" i="23"/>
  <c r="X794" i="31" s="1"/>
  <c r="I1074" i="23"/>
  <c r="I869" i="23"/>
  <c r="L865" i="23"/>
  <c r="X786" i="31" s="1"/>
  <c r="L863" i="23"/>
  <c r="X784" i="31" s="1"/>
  <c r="L861" i="23"/>
  <c r="X782" i="31" s="1"/>
  <c r="G916" i="23"/>
  <c r="I916" i="23" s="1"/>
  <c r="L1075" i="23"/>
  <c r="X977" i="31" s="1"/>
  <c r="L1096" i="23"/>
  <c r="X996" i="31" s="1"/>
  <c r="S791" i="23"/>
  <c r="AA719" i="31" s="1"/>
  <c r="W719" i="31"/>
  <c r="G785" i="8"/>
  <c r="E713" i="31" s="1"/>
  <c r="S989" i="23"/>
  <c r="AA899" i="31" s="1"/>
  <c r="S1031" i="23"/>
  <c r="AA937" i="31" s="1"/>
  <c r="S934" i="23"/>
  <c r="AA849" i="31" s="1"/>
  <c r="S1002" i="23"/>
  <c r="AA911" i="31" s="1"/>
  <c r="G930" i="23"/>
  <c r="I930" i="23" s="1"/>
  <c r="G902" i="23"/>
  <c r="I902" i="23" s="1"/>
  <c r="L1079" i="23"/>
  <c r="X981" i="31" s="1"/>
  <c r="G861" i="10"/>
  <c r="G782" i="31" s="1"/>
  <c r="W938" i="31"/>
  <c r="S1032" i="23"/>
  <c r="AA938" i="31" s="1"/>
  <c r="G927" i="23"/>
  <c r="I927" i="23" s="1"/>
  <c r="L921" i="23"/>
  <c r="X837" i="31" s="1"/>
  <c r="G920" i="8"/>
  <c r="E836" i="31" s="1"/>
  <c r="G919" i="23"/>
  <c r="I919" i="23" s="1"/>
  <c r="L917" i="23"/>
  <c r="X833" i="31" s="1"/>
  <c r="G916" i="10"/>
  <c r="G832" i="31" s="1"/>
  <c r="G903" i="10"/>
  <c r="G821" i="31" s="1"/>
  <c r="L900" i="23"/>
  <c r="X818" i="31" s="1"/>
  <c r="G900" i="8"/>
  <c r="E818" i="31" s="1"/>
  <c r="G888" i="8"/>
  <c r="E807" i="31" s="1"/>
  <c r="G881" i="23"/>
  <c r="I881" i="23" s="1"/>
  <c r="L879" i="23"/>
  <c r="X799" i="31" s="1"/>
  <c r="G877" i="23"/>
  <c r="I877" i="23" s="1"/>
  <c r="L875" i="23"/>
  <c r="X795" i="31" s="1"/>
  <c r="G873" i="23"/>
  <c r="I873" i="23" s="1"/>
  <c r="G1100" i="23"/>
  <c r="I1100" i="23" s="1"/>
  <c r="G870" i="23"/>
  <c r="I870" i="23" s="1"/>
  <c r="G868" i="8"/>
  <c r="E789" i="31" s="1"/>
  <c r="L866" i="23"/>
  <c r="X787" i="31" s="1"/>
  <c r="G801" i="23"/>
  <c r="I801" i="23" s="1"/>
  <c r="G792" i="8"/>
  <c r="E720" i="31" s="1"/>
  <c r="L790" i="23"/>
  <c r="X718" i="31" s="1"/>
  <c r="G790" i="10"/>
  <c r="G718" i="31" s="1"/>
  <c r="G1094" i="8"/>
  <c r="E994" i="31" s="1"/>
  <c r="G789" i="8"/>
  <c r="E717" i="31" s="1"/>
  <c r="F659" i="9"/>
  <c r="F677" i="9"/>
  <c r="F682" i="9"/>
  <c r="G682" i="9" s="1"/>
  <c r="F620" i="31" s="1"/>
  <c r="F648" i="9"/>
  <c r="G648" i="9" s="1"/>
  <c r="F589" i="31" s="1"/>
  <c r="F649" i="9"/>
  <c r="G649" i="9" s="1"/>
  <c r="F590" i="31" s="1"/>
  <c r="F650" i="9"/>
  <c r="G650" i="9" s="1"/>
  <c r="F591" i="31" s="1"/>
  <c r="F658" i="9"/>
  <c r="G658" i="9" s="1"/>
  <c r="F598" i="31" s="1"/>
  <c r="F660" i="9"/>
  <c r="G660" i="9" s="1"/>
  <c r="F600" i="31" s="1"/>
  <c r="F661" i="9"/>
  <c r="G661" i="9" s="1"/>
  <c r="F601" i="31" s="1"/>
  <c r="F678" i="9"/>
  <c r="G678" i="9" s="1"/>
  <c r="F616" i="31" s="1"/>
  <c r="F679" i="9"/>
  <c r="G679" i="9" s="1"/>
  <c r="F617" i="31" s="1"/>
  <c r="F680" i="9"/>
  <c r="G680" i="9" s="1"/>
  <c r="F618" i="31" s="1"/>
  <c r="F681" i="9"/>
  <c r="G681" i="9" s="1"/>
  <c r="F619" i="31" s="1"/>
  <c r="F683" i="9"/>
  <c r="G683" i="9" s="1"/>
  <c r="F621" i="31" s="1"/>
  <c r="F663" i="9"/>
  <c r="G663" i="9" s="1"/>
  <c r="F602" i="31" s="1"/>
  <c r="F664" i="9"/>
  <c r="F687" i="6"/>
  <c r="F689" i="6"/>
  <c r="H689" i="6"/>
  <c r="F690" i="6"/>
  <c r="H690" i="6"/>
  <c r="F691" i="6"/>
  <c r="H691" i="6"/>
  <c r="F694" i="9"/>
  <c r="G694" i="9" s="1"/>
  <c r="F631" i="31" s="1"/>
  <c r="F714" i="9"/>
  <c r="F715" i="9"/>
  <c r="G715" i="9" s="1"/>
  <c r="F650" i="31" s="1"/>
  <c r="F718" i="9"/>
  <c r="G718" i="9" s="1"/>
  <c r="F652" i="31" s="1"/>
  <c r="F729" i="9"/>
  <c r="G729" i="9" s="1"/>
  <c r="F662" i="31" s="1"/>
  <c r="F731" i="9"/>
  <c r="G731" i="9" s="1"/>
  <c r="F664" i="31" s="1"/>
  <c r="F732" i="9"/>
  <c r="G732" i="9" s="1"/>
  <c r="F665" i="31" s="1"/>
  <c r="F734" i="9"/>
  <c r="G734" i="9" s="1"/>
  <c r="F667" i="31" s="1"/>
  <c r="F736" i="9"/>
  <c r="G736" i="9" s="1"/>
  <c r="F669" i="31" s="1"/>
  <c r="F753" i="9"/>
  <c r="G753" i="9" s="1"/>
  <c r="F684" i="31" s="1"/>
  <c r="F756" i="9"/>
  <c r="G756" i="9" s="1"/>
  <c r="F687" i="31" s="1"/>
  <c r="F758" i="9"/>
  <c r="G758" i="9" s="1"/>
  <c r="F689" i="31" s="1"/>
  <c r="F759" i="9"/>
  <c r="G759" i="9" s="1"/>
  <c r="F690" i="31" s="1"/>
  <c r="F774" i="9"/>
  <c r="F775" i="9"/>
  <c r="G775" i="9" s="1"/>
  <c r="F704" i="31" s="1"/>
  <c r="F776" i="9"/>
  <c r="G776" i="9" s="1"/>
  <c r="F705" i="31" s="1"/>
  <c r="F777" i="9"/>
  <c r="G777" i="9" s="1"/>
  <c r="F706" i="31" s="1"/>
  <c r="F778" i="9"/>
  <c r="F779" i="9"/>
  <c r="G779" i="9" s="1"/>
  <c r="F708" i="31" s="1"/>
  <c r="F780" i="9"/>
  <c r="G780" i="9" s="1"/>
  <c r="F709" i="31" s="1"/>
  <c r="F781" i="9"/>
  <c r="G781" i="9" s="1"/>
  <c r="F710" i="31" s="1"/>
  <c r="F782" i="9"/>
  <c r="F784" i="9"/>
  <c r="G784" i="9" s="1"/>
  <c r="F712" i="31" s="1"/>
  <c r="F657" i="9"/>
  <c r="G657" i="9" s="1"/>
  <c r="F597" i="31" s="1"/>
  <c r="F665" i="9"/>
  <c r="G665" i="9" s="1"/>
  <c r="F604" i="31" s="1"/>
  <c r="F666" i="9"/>
  <c r="G666" i="9" s="1"/>
  <c r="F605" i="31" s="1"/>
  <c r="F667" i="9"/>
  <c r="G667" i="9" s="1"/>
  <c r="F606" i="31" s="1"/>
  <c r="F668" i="9"/>
  <c r="G668" i="9" s="1"/>
  <c r="F607" i="31" s="1"/>
  <c r="F669" i="9"/>
  <c r="G669" i="9" s="1"/>
  <c r="F608" i="31" s="1"/>
  <c r="F670" i="9"/>
  <c r="G670" i="9" s="1"/>
  <c r="F609" i="31" s="1"/>
  <c r="F671" i="9"/>
  <c r="G671" i="9" s="1"/>
  <c r="F610" i="31" s="1"/>
  <c r="F672" i="9"/>
  <c r="G672" i="9" s="1"/>
  <c r="F611" i="31" s="1"/>
  <c r="F685" i="9"/>
  <c r="G685" i="9" s="1"/>
  <c r="F622" i="31" s="1"/>
  <c r="F686" i="9"/>
  <c r="G686" i="9" s="1"/>
  <c r="F623" i="31" s="1"/>
  <c r="F686" i="6"/>
  <c r="F687" i="9"/>
  <c r="G687" i="9" s="1"/>
  <c r="F624" i="31" s="1"/>
  <c r="F688" i="9"/>
  <c r="G688" i="9" s="1"/>
  <c r="F625" i="31" s="1"/>
  <c r="F692" i="9"/>
  <c r="G692" i="9" s="1"/>
  <c r="F629" i="31" s="1"/>
  <c r="F693" i="9"/>
  <c r="G693" i="9" s="1"/>
  <c r="F630" i="31" s="1"/>
  <c r="F716" i="9"/>
  <c r="G716" i="9" s="1"/>
  <c r="F651" i="31" s="1"/>
  <c r="F719" i="9"/>
  <c r="G719" i="9" s="1"/>
  <c r="F653" i="31" s="1"/>
  <c r="F720" i="9"/>
  <c r="G720" i="9" s="1"/>
  <c r="F654" i="31" s="1"/>
  <c r="F721" i="9"/>
  <c r="G721" i="9" s="1"/>
  <c r="F655" i="31" s="1"/>
  <c r="F722" i="9"/>
  <c r="G722" i="9" s="1"/>
  <c r="F656" i="31" s="1"/>
  <c r="F723" i="9"/>
  <c r="G723" i="9" s="1"/>
  <c r="F657" i="31" s="1"/>
  <c r="F724" i="9"/>
  <c r="G724" i="9" s="1"/>
  <c r="F658" i="31" s="1"/>
  <c r="F725" i="9"/>
  <c r="G725" i="9" s="1"/>
  <c r="F659" i="31" s="1"/>
  <c r="F726" i="9"/>
  <c r="G726" i="9" s="1"/>
  <c r="F660" i="31" s="1"/>
  <c r="F730" i="9"/>
  <c r="G730" i="9" s="1"/>
  <c r="F663" i="31" s="1"/>
  <c r="F733" i="9"/>
  <c r="F735" i="9"/>
  <c r="G735" i="9" s="1"/>
  <c r="F668" i="31" s="1"/>
  <c r="F737" i="9"/>
  <c r="G737" i="9" s="1"/>
  <c r="F670" i="31" s="1"/>
  <c r="F738" i="9"/>
  <c r="G738" i="9" s="1"/>
  <c r="F671" i="31" s="1"/>
  <c r="F754" i="9"/>
  <c r="F755" i="9"/>
  <c r="F757" i="9"/>
  <c r="G757" i="9" s="1"/>
  <c r="F688" i="31" s="1"/>
  <c r="F760" i="9"/>
  <c r="F773" i="9"/>
  <c r="T647" i="6"/>
  <c r="E647" i="19" s="1"/>
  <c r="T648" i="6"/>
  <c r="E648" i="19" s="1"/>
  <c r="T649" i="6"/>
  <c r="E649" i="19" s="1"/>
  <c r="T650" i="6"/>
  <c r="E650" i="19" s="1"/>
  <c r="N647" i="6"/>
  <c r="M647" i="6"/>
  <c r="M647" i="23" s="1"/>
  <c r="L647" i="6"/>
  <c r="K647" i="6"/>
  <c r="P647" i="23" s="1"/>
  <c r="J647" i="6"/>
  <c r="J647" i="23" s="1"/>
  <c r="I647" i="6"/>
  <c r="H647" i="6"/>
  <c r="G647" i="6"/>
  <c r="F647" i="6"/>
  <c r="E647" i="6"/>
  <c r="E647" i="9" s="1"/>
  <c r="T646" i="6"/>
  <c r="E646" i="19" s="1"/>
  <c r="N646" i="6"/>
  <c r="N645" i="6"/>
  <c r="M646" i="6"/>
  <c r="M646" i="23" s="1"/>
  <c r="M645" i="6"/>
  <c r="M645" i="23" s="1"/>
  <c r="L646" i="6"/>
  <c r="L645" i="6"/>
  <c r="K646" i="6"/>
  <c r="P646" i="23" s="1"/>
  <c r="K645" i="6"/>
  <c r="P645" i="23" s="1"/>
  <c r="J646" i="6"/>
  <c r="J646" i="23" s="1"/>
  <c r="J645" i="6"/>
  <c r="J645" i="23" s="1"/>
  <c r="I646" i="6"/>
  <c r="I645" i="6"/>
  <c r="H646" i="6"/>
  <c r="H645" i="6"/>
  <c r="G646" i="6"/>
  <c r="G645" i="6"/>
  <c r="F646" i="6"/>
  <c r="F645" i="6"/>
  <c r="E645" i="6"/>
  <c r="E645" i="9" s="1"/>
  <c r="E646" i="6"/>
  <c r="E646" i="9" s="1"/>
  <c r="X55" i="6"/>
  <c r="E55" i="29" s="1"/>
  <c r="T50" i="31" s="1"/>
  <c r="V55" i="6"/>
  <c r="E55" i="28" s="1"/>
  <c r="N55" i="6"/>
  <c r="M55" i="6"/>
  <c r="M55" i="23" s="1"/>
  <c r="L55" i="6"/>
  <c r="K55" i="6"/>
  <c r="P55" i="23" s="1"/>
  <c r="J55" i="6"/>
  <c r="J55" i="23" s="1"/>
  <c r="I55" i="6"/>
  <c r="H55" i="6"/>
  <c r="G55" i="6"/>
  <c r="F55" i="6"/>
  <c r="E55" i="6"/>
  <c r="E55" i="9" s="1"/>
  <c r="V54" i="6"/>
  <c r="E54" i="28" s="1"/>
  <c r="X54" i="6"/>
  <c r="E54" i="29" s="1"/>
  <c r="T49" i="31" s="1"/>
  <c r="N54" i="6"/>
  <c r="M54" i="6"/>
  <c r="M54" i="23" s="1"/>
  <c r="L54" i="6"/>
  <c r="K54" i="6"/>
  <c r="P54" i="23" s="1"/>
  <c r="J54" i="6"/>
  <c r="J54" i="23" s="1"/>
  <c r="I54" i="6"/>
  <c r="H54" i="6"/>
  <c r="G54" i="6"/>
  <c r="F54" i="6"/>
  <c r="E54" i="6"/>
  <c r="E54" i="9" s="1"/>
  <c r="X53" i="6"/>
  <c r="E53" i="29" s="1"/>
  <c r="T48" i="31" s="1"/>
  <c r="V53" i="6"/>
  <c r="E53" i="28" s="1"/>
  <c r="N53" i="6"/>
  <c r="M53" i="6"/>
  <c r="M53" i="23" s="1"/>
  <c r="L53" i="6"/>
  <c r="K53" i="6"/>
  <c r="P53" i="23" s="1"/>
  <c r="J53" i="6"/>
  <c r="J53" i="23" s="1"/>
  <c r="I53" i="6"/>
  <c r="H53" i="6"/>
  <c r="G53" i="6"/>
  <c r="F53" i="6"/>
  <c r="E53" i="6"/>
  <c r="E53" i="9" s="1"/>
  <c r="X52" i="6"/>
  <c r="E52" i="29" s="1"/>
  <c r="T47" i="31" s="1"/>
  <c r="V52" i="6"/>
  <c r="E52" i="28" s="1"/>
  <c r="X51" i="6"/>
  <c r="E51" i="29" s="1"/>
  <c r="T46" i="31" s="1"/>
  <c r="V51" i="6"/>
  <c r="E51" i="28" s="1"/>
  <c r="N52" i="6"/>
  <c r="N51" i="6"/>
  <c r="M52" i="6"/>
  <c r="M52" i="23" s="1"/>
  <c r="M51" i="6"/>
  <c r="M51" i="23" s="1"/>
  <c r="L52" i="6"/>
  <c r="L51" i="6"/>
  <c r="K52" i="6"/>
  <c r="P52" i="23" s="1"/>
  <c r="K51" i="6"/>
  <c r="P51" i="23" s="1"/>
  <c r="J52" i="6"/>
  <c r="J52" i="23" s="1"/>
  <c r="J51" i="6"/>
  <c r="J51" i="23" s="1"/>
  <c r="I52" i="6"/>
  <c r="I51" i="6"/>
  <c r="H52" i="6"/>
  <c r="H51" i="6"/>
  <c r="G52" i="6"/>
  <c r="G51" i="6"/>
  <c r="F52" i="6"/>
  <c r="F51" i="6"/>
  <c r="E52" i="6"/>
  <c r="E52" i="9" s="1"/>
  <c r="E51" i="6"/>
  <c r="E51" i="9" s="1"/>
  <c r="X50" i="6"/>
  <c r="E50" i="29" s="1"/>
  <c r="T45" i="31" s="1"/>
  <c r="V50" i="6"/>
  <c r="E50" i="28" s="1"/>
  <c r="N50" i="6"/>
  <c r="M50" i="6"/>
  <c r="M50" i="23" s="1"/>
  <c r="L50" i="6"/>
  <c r="K50" i="6"/>
  <c r="P50" i="23" s="1"/>
  <c r="J50" i="6"/>
  <c r="J50" i="23" s="1"/>
  <c r="I50" i="6"/>
  <c r="H50" i="6"/>
  <c r="G50" i="6"/>
  <c r="F50" i="6"/>
  <c r="E50" i="6"/>
  <c r="E50" i="9" s="1"/>
  <c r="T50" i="6"/>
  <c r="E50" i="19" s="1"/>
  <c r="T51" i="6"/>
  <c r="E51" i="19" s="1"/>
  <c r="T52" i="6"/>
  <c r="E52" i="19" s="1"/>
  <c r="T53" i="6"/>
  <c r="E53" i="19" s="1"/>
  <c r="T54" i="6"/>
  <c r="E54" i="19" s="1"/>
  <c r="T55" i="6"/>
  <c r="E55" i="19" s="1"/>
  <c r="X49" i="6"/>
  <c r="E49" i="29" s="1"/>
  <c r="T44" i="31" s="1"/>
  <c r="V49" i="6"/>
  <c r="E49" i="28" s="1"/>
  <c r="T49" i="6"/>
  <c r="E49" i="19" s="1"/>
  <c r="N49" i="6"/>
  <c r="N48" i="6"/>
  <c r="M49" i="6"/>
  <c r="M49" i="23" s="1"/>
  <c r="M48" i="6"/>
  <c r="M48" i="23" s="1"/>
  <c r="L49" i="6"/>
  <c r="L48" i="6"/>
  <c r="K48" i="6"/>
  <c r="P48" i="23" s="1"/>
  <c r="K47" i="6"/>
  <c r="P47" i="23" s="1"/>
  <c r="J48" i="6"/>
  <c r="J48" i="23" s="1"/>
  <c r="J47" i="6"/>
  <c r="J47" i="23" s="1"/>
  <c r="I48" i="6"/>
  <c r="I47" i="6"/>
  <c r="H48" i="6"/>
  <c r="H47" i="6"/>
  <c r="G48" i="6"/>
  <c r="G47" i="6"/>
  <c r="F48" i="6"/>
  <c r="F47" i="6"/>
  <c r="E47" i="6"/>
  <c r="E47" i="9" s="1"/>
  <c r="E48" i="6"/>
  <c r="E48" i="9" s="1"/>
  <c r="K49" i="6"/>
  <c r="P49" i="23" s="1"/>
  <c r="J49" i="6"/>
  <c r="J49" i="23" s="1"/>
  <c r="I49" i="6"/>
  <c r="G49" i="6"/>
  <c r="H49" i="6"/>
  <c r="F49" i="6"/>
  <c r="E49" i="6"/>
  <c r="E49" i="9" s="1"/>
  <c r="T466" i="6"/>
  <c r="E466" i="19" s="1"/>
  <c r="T467" i="6"/>
  <c r="E467" i="19" s="1"/>
  <c r="T468" i="6"/>
  <c r="E468" i="19" s="1"/>
  <c r="T469" i="6"/>
  <c r="E469" i="19" s="1"/>
  <c r="T470" i="6"/>
  <c r="E470" i="19" s="1"/>
  <c r="T471" i="6"/>
  <c r="E471" i="19" s="1"/>
  <c r="T472" i="6"/>
  <c r="E472" i="19" s="1"/>
  <c r="T473" i="6"/>
  <c r="E473" i="19" s="1"/>
  <c r="T474" i="6"/>
  <c r="E474" i="19" s="1"/>
  <c r="T465" i="6"/>
  <c r="E465" i="19" s="1"/>
  <c r="T501" i="6"/>
  <c r="E501" i="19" s="1"/>
  <c r="T502" i="6"/>
  <c r="E502" i="19" s="1"/>
  <c r="T503" i="6"/>
  <c r="E503" i="19" s="1"/>
  <c r="T504" i="6"/>
  <c r="E504" i="19" s="1"/>
  <c r="T505" i="6"/>
  <c r="E505" i="19" s="1"/>
  <c r="T506" i="6"/>
  <c r="E506" i="19" s="1"/>
  <c r="T507" i="6"/>
  <c r="E507" i="19" s="1"/>
  <c r="T500" i="6"/>
  <c r="E500" i="19" s="1"/>
  <c r="X529" i="6"/>
  <c r="E529" i="29" s="1"/>
  <c r="T481" i="31" s="1"/>
  <c r="V529" i="6"/>
  <c r="E529" i="28" s="1"/>
  <c r="X528" i="6"/>
  <c r="E528" i="29" s="1"/>
  <c r="T480" i="31" s="1"/>
  <c r="V528" i="6"/>
  <c r="E528" i="28" s="1"/>
  <c r="X527" i="6"/>
  <c r="E527" i="29" s="1"/>
  <c r="T479" i="31" s="1"/>
  <c r="V527" i="6"/>
  <c r="E527" i="28" s="1"/>
  <c r="X526" i="6"/>
  <c r="E526" i="29" s="1"/>
  <c r="T478" i="31" s="1"/>
  <c r="V526" i="6"/>
  <c r="E526" i="28" s="1"/>
  <c r="X525" i="6"/>
  <c r="E525" i="29" s="1"/>
  <c r="T477" i="31" s="1"/>
  <c r="W527" i="6"/>
  <c r="W528" i="6"/>
  <c r="V525" i="6"/>
  <c r="E525" i="28" s="1"/>
  <c r="X524" i="6"/>
  <c r="E524" i="29" s="1"/>
  <c r="T476" i="31" s="1"/>
  <c r="V524" i="6"/>
  <c r="E524" i="28" s="1"/>
  <c r="T521" i="6"/>
  <c r="E521" i="19" s="1"/>
  <c r="T522" i="6"/>
  <c r="E522" i="19" s="1"/>
  <c r="T523" i="6"/>
  <c r="E523" i="19" s="1"/>
  <c r="T524" i="6"/>
  <c r="E524" i="19" s="1"/>
  <c r="T525" i="6"/>
  <c r="E525" i="19" s="1"/>
  <c r="T526" i="6"/>
  <c r="E526" i="19" s="1"/>
  <c r="T527" i="6"/>
  <c r="E527" i="19" s="1"/>
  <c r="T528" i="6"/>
  <c r="E528" i="19" s="1"/>
  <c r="T529" i="6"/>
  <c r="E529" i="19" s="1"/>
  <c r="T520" i="6"/>
  <c r="E520" i="19" s="1"/>
  <c r="P557" i="6"/>
  <c r="Q557" i="6" s="1"/>
  <c r="P556" i="6"/>
  <c r="Q556" i="6" s="1"/>
  <c r="P555" i="6"/>
  <c r="Q555" i="6" s="1"/>
  <c r="P554" i="6"/>
  <c r="Q554" i="6" s="1"/>
  <c r="P553" i="6"/>
  <c r="Q553" i="6" s="1"/>
  <c r="P552" i="6"/>
  <c r="Q552" i="6" s="1"/>
  <c r="T562" i="6"/>
  <c r="E562" i="19" s="1"/>
  <c r="X561" i="6"/>
  <c r="E561" i="29" s="1"/>
  <c r="T510" i="31" s="1"/>
  <c r="V561" i="6"/>
  <c r="E561" i="28" s="1"/>
  <c r="X560" i="6"/>
  <c r="E560" i="29" s="1"/>
  <c r="T509" i="31" s="1"/>
  <c r="V560" i="6"/>
  <c r="E560" i="28" s="1"/>
  <c r="X559" i="6"/>
  <c r="E559" i="29" s="1"/>
  <c r="T508" i="31" s="1"/>
  <c r="V559" i="6"/>
  <c r="E559" i="28" s="1"/>
  <c r="X558" i="6"/>
  <c r="E558" i="29" s="1"/>
  <c r="T507" i="31" s="1"/>
  <c r="V558" i="6"/>
  <c r="E558" i="28" s="1"/>
  <c r="T559" i="6"/>
  <c r="E559" i="19" s="1"/>
  <c r="T560" i="6"/>
  <c r="E560" i="19" s="1"/>
  <c r="T561" i="6"/>
  <c r="E561" i="19" s="1"/>
  <c r="T558" i="6"/>
  <c r="E558" i="19" s="1"/>
  <c r="N584" i="6"/>
  <c r="N583" i="6"/>
  <c r="M583" i="6"/>
  <c r="M583" i="23" s="1"/>
  <c r="L583" i="6"/>
  <c r="K583" i="6"/>
  <c r="P583" i="23" s="1"/>
  <c r="J583" i="6"/>
  <c r="J583" i="23" s="1"/>
  <c r="I583" i="6"/>
  <c r="H583" i="6"/>
  <c r="G583" i="6"/>
  <c r="F583" i="6"/>
  <c r="E583" i="6"/>
  <c r="E583" i="9" s="1"/>
  <c r="T584" i="6"/>
  <c r="E584" i="19" s="1"/>
  <c r="M584" i="6"/>
  <c r="M584" i="23" s="1"/>
  <c r="L584" i="6"/>
  <c r="K584" i="6"/>
  <c r="P584" i="23" s="1"/>
  <c r="J584" i="6"/>
  <c r="J584" i="23" s="1"/>
  <c r="I584" i="6"/>
  <c r="H584" i="6"/>
  <c r="G584" i="6"/>
  <c r="F584" i="6"/>
  <c r="E584" i="6"/>
  <c r="E584" i="9" s="1"/>
  <c r="N582" i="6"/>
  <c r="M582" i="6"/>
  <c r="M582" i="23" s="1"/>
  <c r="L582" i="6"/>
  <c r="K582" i="6"/>
  <c r="P582" i="23" s="1"/>
  <c r="J582" i="6"/>
  <c r="J582" i="23" s="1"/>
  <c r="I582" i="6"/>
  <c r="H582" i="6"/>
  <c r="G582" i="6"/>
  <c r="F582" i="6"/>
  <c r="E582" i="6"/>
  <c r="E582" i="9" s="1"/>
  <c r="N581" i="6"/>
  <c r="M581" i="6"/>
  <c r="M581" i="23" s="1"/>
  <c r="L581" i="6"/>
  <c r="K581" i="6"/>
  <c r="P581" i="23" s="1"/>
  <c r="J581" i="6"/>
  <c r="J581" i="23" s="1"/>
  <c r="I581" i="6"/>
  <c r="H581" i="6"/>
  <c r="G581" i="6"/>
  <c r="F581" i="6"/>
  <c r="E581" i="6"/>
  <c r="E581" i="9" s="1"/>
  <c r="N580" i="6"/>
  <c r="M580" i="6"/>
  <c r="M580" i="23" s="1"/>
  <c r="L580" i="6"/>
  <c r="K580" i="6"/>
  <c r="P580" i="23" s="1"/>
  <c r="J580" i="6"/>
  <c r="J580" i="23" s="1"/>
  <c r="I580" i="6"/>
  <c r="H580" i="6"/>
  <c r="G580" i="6"/>
  <c r="F580" i="6"/>
  <c r="E580" i="6"/>
  <c r="E580" i="9" s="1"/>
  <c r="N579" i="6"/>
  <c r="M579" i="6"/>
  <c r="M579" i="23" s="1"/>
  <c r="L579" i="6"/>
  <c r="K579" i="6"/>
  <c r="P579" i="23" s="1"/>
  <c r="J579" i="6"/>
  <c r="J579" i="23" s="1"/>
  <c r="I579" i="6"/>
  <c r="H579" i="6"/>
  <c r="G579" i="6"/>
  <c r="F579" i="6"/>
  <c r="E579" i="6"/>
  <c r="E579" i="9" s="1"/>
  <c r="N578" i="6"/>
  <c r="M578" i="6"/>
  <c r="M578" i="23" s="1"/>
  <c r="L578" i="6"/>
  <c r="K578" i="6"/>
  <c r="P578" i="23" s="1"/>
  <c r="J578" i="6"/>
  <c r="J578" i="23" s="1"/>
  <c r="I578" i="6"/>
  <c r="H578" i="6"/>
  <c r="G578" i="6"/>
  <c r="F578" i="6"/>
  <c r="E578" i="6"/>
  <c r="E578" i="9" s="1"/>
  <c r="T578" i="6"/>
  <c r="E578" i="19" s="1"/>
  <c r="T579" i="6"/>
  <c r="E579" i="19" s="1"/>
  <c r="T580" i="6"/>
  <c r="E580" i="19" s="1"/>
  <c r="T581" i="6"/>
  <c r="E581" i="19" s="1"/>
  <c r="T582" i="6"/>
  <c r="E582" i="19" s="1"/>
  <c r="T583" i="6"/>
  <c r="E583" i="19" s="1"/>
  <c r="T577" i="6"/>
  <c r="E577" i="19" s="1"/>
  <c r="N577" i="6"/>
  <c r="N576" i="6"/>
  <c r="M577" i="6"/>
  <c r="M577" i="23" s="1"/>
  <c r="M576" i="6"/>
  <c r="M576" i="23" s="1"/>
  <c r="L577" i="6"/>
  <c r="L576" i="6"/>
  <c r="K577" i="6"/>
  <c r="P577" i="23" s="1"/>
  <c r="K576" i="6"/>
  <c r="P576" i="23" s="1"/>
  <c r="J577" i="6"/>
  <c r="J577" i="23" s="1"/>
  <c r="J576" i="6"/>
  <c r="J576" i="23" s="1"/>
  <c r="I577" i="6"/>
  <c r="I576" i="6"/>
  <c r="H577" i="6"/>
  <c r="H576" i="6"/>
  <c r="G577" i="6"/>
  <c r="G576" i="6"/>
  <c r="F577" i="6"/>
  <c r="F576" i="6"/>
  <c r="E577" i="6"/>
  <c r="E577" i="9" s="1"/>
  <c r="E576" i="6"/>
  <c r="E576" i="9" s="1"/>
  <c r="X639" i="6"/>
  <c r="E639" i="29" s="1"/>
  <c r="T581" i="31" s="1"/>
  <c r="V639" i="6"/>
  <c r="E639" i="28" s="1"/>
  <c r="X638" i="6"/>
  <c r="E638" i="29" s="1"/>
  <c r="T580" i="31" s="1"/>
  <c r="V638" i="6"/>
  <c r="E638" i="28" s="1"/>
  <c r="X637" i="6"/>
  <c r="E637" i="29" s="1"/>
  <c r="T579" i="31" s="1"/>
  <c r="V637" i="6"/>
  <c r="E637" i="28" s="1"/>
  <c r="X636" i="6"/>
  <c r="E636" i="29" s="1"/>
  <c r="T578" i="31" s="1"/>
  <c r="V636" i="6"/>
  <c r="E636" i="28" s="1"/>
  <c r="X635" i="6"/>
  <c r="E635" i="29" s="1"/>
  <c r="T577" i="31" s="1"/>
  <c r="V635" i="6"/>
  <c r="E635" i="28" s="1"/>
  <c r="T636" i="6"/>
  <c r="E636" i="19" s="1"/>
  <c r="T637" i="6"/>
  <c r="E637" i="19" s="1"/>
  <c r="T638" i="6"/>
  <c r="E638" i="19" s="1"/>
  <c r="T639" i="6"/>
  <c r="E639" i="19" s="1"/>
  <c r="T635" i="6"/>
  <c r="E635" i="19" s="1"/>
  <c r="T594" i="6"/>
  <c r="E594" i="19" s="1"/>
  <c r="T595" i="6"/>
  <c r="E595" i="19" s="1"/>
  <c r="T593" i="6"/>
  <c r="E593" i="19" s="1"/>
  <c r="T543" i="6"/>
  <c r="E543" i="19" s="1"/>
  <c r="T544" i="6"/>
  <c r="E544" i="19" s="1"/>
  <c r="T545" i="6"/>
  <c r="E545" i="19" s="1"/>
  <c r="T546" i="6"/>
  <c r="E546" i="19" s="1"/>
  <c r="T547" i="6"/>
  <c r="E547" i="19" s="1"/>
  <c r="T548" i="6"/>
  <c r="E548" i="19" s="1"/>
  <c r="T549" i="6"/>
  <c r="E549" i="19" s="1"/>
  <c r="T550" i="6"/>
  <c r="E550" i="19" s="1"/>
  <c r="T551" i="6"/>
  <c r="E551" i="19" s="1"/>
  <c r="T542" i="6"/>
  <c r="E542" i="19" s="1"/>
  <c r="T534" i="6"/>
  <c r="E534" i="19" s="1"/>
  <c r="T535" i="6"/>
  <c r="E535" i="19" s="1"/>
  <c r="T536" i="6"/>
  <c r="E536" i="19" s="1"/>
  <c r="T537" i="6"/>
  <c r="E537" i="19" s="1"/>
  <c r="T538" i="6"/>
  <c r="E538" i="19" s="1"/>
  <c r="T539" i="6"/>
  <c r="E539" i="19" s="1"/>
  <c r="T540" i="6"/>
  <c r="E540" i="19" s="1"/>
  <c r="T533" i="6"/>
  <c r="E533" i="19" s="1"/>
  <c r="N490" i="6"/>
  <c r="M490" i="6"/>
  <c r="M490" i="23" s="1"/>
  <c r="K490" i="6"/>
  <c r="P490" i="23" s="1"/>
  <c r="J490" i="6"/>
  <c r="J490" i="23" s="1"/>
  <c r="I490" i="6"/>
  <c r="H490" i="6"/>
  <c r="G490" i="6"/>
  <c r="E490" i="6"/>
  <c r="E490" i="9" s="1"/>
  <c r="F490" i="6"/>
  <c r="T455" i="6"/>
  <c r="E455" i="19" s="1"/>
  <c r="T456" i="6"/>
  <c r="E456" i="19" s="1"/>
  <c r="T457" i="6"/>
  <c r="E457" i="19" s="1"/>
  <c r="T458" i="6"/>
  <c r="E458" i="19" s="1"/>
  <c r="T459" i="6"/>
  <c r="E459" i="19" s="1"/>
  <c r="T460" i="6"/>
  <c r="E460" i="19" s="1"/>
  <c r="T461" i="6"/>
  <c r="E461" i="19" s="1"/>
  <c r="T462" i="6"/>
  <c r="E462" i="19" s="1"/>
  <c r="T463" i="6"/>
  <c r="E463" i="19" s="1"/>
  <c r="T454" i="6"/>
  <c r="E454" i="19" s="1"/>
  <c r="T448" i="6"/>
  <c r="E448" i="19" s="1"/>
  <c r="T449" i="6"/>
  <c r="E449" i="19" s="1"/>
  <c r="T450" i="6"/>
  <c r="E450" i="19" s="1"/>
  <c r="T451" i="6"/>
  <c r="E451" i="19" s="1"/>
  <c r="T452" i="6"/>
  <c r="E452" i="19" s="1"/>
  <c r="T447" i="6"/>
  <c r="E447" i="19" s="1"/>
  <c r="T437" i="6"/>
  <c r="E437" i="19" s="1"/>
  <c r="T438" i="6"/>
  <c r="E438" i="19" s="1"/>
  <c r="T439" i="6"/>
  <c r="E439" i="19" s="1"/>
  <c r="T440" i="6"/>
  <c r="E440" i="19" s="1"/>
  <c r="T441" i="6"/>
  <c r="E441" i="19" s="1"/>
  <c r="T436" i="6"/>
  <c r="E436" i="19" s="1"/>
  <c r="T422" i="6"/>
  <c r="E422" i="19" s="1"/>
  <c r="T423" i="6"/>
  <c r="E423" i="19" s="1"/>
  <c r="T424" i="6"/>
  <c r="E424" i="19" s="1"/>
  <c r="T425" i="6"/>
  <c r="E425" i="19" s="1"/>
  <c r="T426" i="6"/>
  <c r="E426" i="19" s="1"/>
  <c r="T427" i="6"/>
  <c r="E427" i="19" s="1"/>
  <c r="T428" i="6"/>
  <c r="E428" i="19" s="1"/>
  <c r="T429" i="6"/>
  <c r="E429" i="19" s="1"/>
  <c r="T430" i="6"/>
  <c r="E430" i="19" s="1"/>
  <c r="T421" i="6"/>
  <c r="E421" i="19" s="1"/>
  <c r="T414" i="6"/>
  <c r="E414" i="19" s="1"/>
  <c r="T415" i="6"/>
  <c r="E415" i="19" s="1"/>
  <c r="T416" i="6"/>
  <c r="E416" i="19" s="1"/>
  <c r="T417" i="6"/>
  <c r="E417" i="19" s="1"/>
  <c r="T418" i="6"/>
  <c r="E418" i="19" s="1"/>
  <c r="T419" i="6"/>
  <c r="E419" i="19" s="1"/>
  <c r="T413" i="6"/>
  <c r="E413" i="19" s="1"/>
  <c r="T406" i="6"/>
  <c r="E406" i="19" s="1"/>
  <c r="T407" i="6"/>
  <c r="E407" i="19" s="1"/>
  <c r="T408" i="6"/>
  <c r="E408" i="19" s="1"/>
  <c r="T405" i="6"/>
  <c r="E405" i="19" s="1"/>
  <c r="T403" i="6"/>
  <c r="E403" i="19" s="1"/>
  <c r="T402" i="6"/>
  <c r="E402" i="19" s="1"/>
  <c r="X396" i="6"/>
  <c r="E396" i="29" s="1"/>
  <c r="T360" i="31" s="1"/>
  <c r="V396" i="6"/>
  <c r="E396" i="28" s="1"/>
  <c r="X395" i="6"/>
  <c r="E395" i="29" s="1"/>
  <c r="T359" i="31" s="1"/>
  <c r="V395" i="6"/>
  <c r="E395" i="28" s="1"/>
  <c r="X394" i="6"/>
  <c r="E394" i="29" s="1"/>
  <c r="T358" i="31" s="1"/>
  <c r="V394" i="6"/>
  <c r="E394" i="28" s="1"/>
  <c r="X393" i="6"/>
  <c r="E393" i="29" s="1"/>
  <c r="T357" i="31" s="1"/>
  <c r="V393" i="6"/>
  <c r="E393" i="28" s="1"/>
  <c r="X392" i="6"/>
  <c r="E392" i="29" s="1"/>
  <c r="T356" i="31" s="1"/>
  <c r="V392" i="6"/>
  <c r="E392" i="28" s="1"/>
  <c r="X391" i="6"/>
  <c r="E391" i="29" s="1"/>
  <c r="T355" i="31" s="1"/>
  <c r="V391" i="6"/>
  <c r="E391" i="28" s="1"/>
  <c r="T391" i="6"/>
  <c r="E391" i="19" s="1"/>
  <c r="T392" i="6"/>
  <c r="E392" i="19" s="1"/>
  <c r="T393" i="6"/>
  <c r="E393" i="19" s="1"/>
  <c r="T394" i="6"/>
  <c r="E394" i="19" s="1"/>
  <c r="T395" i="6"/>
  <c r="E395" i="19" s="1"/>
  <c r="T396" i="6"/>
  <c r="E396" i="19" s="1"/>
  <c r="X390" i="6"/>
  <c r="E390" i="29" s="1"/>
  <c r="T354" i="31" s="1"/>
  <c r="V390" i="6"/>
  <c r="E390" i="28" s="1"/>
  <c r="T390" i="6"/>
  <c r="E390" i="19" s="1"/>
  <c r="T384" i="6"/>
  <c r="E384" i="19" s="1"/>
  <c r="T385" i="6"/>
  <c r="E385" i="19" s="1"/>
  <c r="T386" i="6"/>
  <c r="E386" i="19" s="1"/>
  <c r="T383" i="6"/>
  <c r="E383" i="19" s="1"/>
  <c r="X375" i="6"/>
  <c r="E375" i="29" s="1"/>
  <c r="T341" i="31" s="1"/>
  <c r="V375" i="6"/>
  <c r="E375" i="28" s="1"/>
  <c r="T372" i="6"/>
  <c r="E372" i="19" s="1"/>
  <c r="T374" i="6"/>
  <c r="E374" i="19" s="1"/>
  <c r="T375" i="6"/>
  <c r="E375" i="19" s="1"/>
  <c r="X372" i="6"/>
  <c r="E372" i="29" s="1"/>
  <c r="T338" i="31" s="1"/>
  <c r="V372" i="6"/>
  <c r="E372" i="28" s="1"/>
  <c r="X371" i="6"/>
  <c r="E371" i="29" s="1"/>
  <c r="T337" i="31" s="1"/>
  <c r="V371" i="6"/>
  <c r="E371" i="28" s="1"/>
  <c r="T371" i="6"/>
  <c r="E371" i="19" s="1"/>
  <c r="X370" i="6"/>
  <c r="E370" i="29" s="1"/>
  <c r="T336" i="31" s="1"/>
  <c r="V370" i="6"/>
  <c r="E370" i="28" s="1"/>
  <c r="T370" i="6"/>
  <c r="E370" i="19" s="1"/>
  <c r="X369" i="6"/>
  <c r="E369" i="29" s="1"/>
  <c r="T335" i="31" s="1"/>
  <c r="V369" i="6"/>
  <c r="E369" i="28" s="1"/>
  <c r="T369" i="6"/>
  <c r="E369" i="19" s="1"/>
  <c r="X368" i="6"/>
  <c r="E368" i="29" s="1"/>
  <c r="T334" i="31" s="1"/>
  <c r="V368" i="6"/>
  <c r="E368" i="28" s="1"/>
  <c r="T368" i="6"/>
  <c r="E368" i="19" s="1"/>
  <c r="T367" i="6"/>
  <c r="E367" i="19" s="1"/>
  <c r="X367" i="6"/>
  <c r="E367" i="29" s="1"/>
  <c r="T333" i="31" s="1"/>
  <c r="V367" i="6"/>
  <c r="E367" i="28" s="1"/>
  <c r="T366" i="6"/>
  <c r="E366" i="19" s="1"/>
  <c r="X366" i="6"/>
  <c r="E366" i="29" s="1"/>
  <c r="T332" i="31" s="1"/>
  <c r="V366" i="6"/>
  <c r="E366" i="28" s="1"/>
  <c r="V364" i="6"/>
  <c r="E364" i="28" s="1"/>
  <c r="V363" i="6"/>
  <c r="E363" i="28" s="1"/>
  <c r="V362" i="6"/>
  <c r="E362" i="28" s="1"/>
  <c r="V361" i="6"/>
  <c r="E361" i="28" s="1"/>
  <c r="V360" i="6"/>
  <c r="E360" i="28" s="1"/>
  <c r="V359" i="6"/>
  <c r="E359" i="28" s="1"/>
  <c r="V357" i="6"/>
  <c r="E357" i="28" s="1"/>
  <c r="V358" i="6"/>
  <c r="E358" i="28" s="1"/>
  <c r="T358" i="6"/>
  <c r="E358" i="19" s="1"/>
  <c r="T359" i="6"/>
  <c r="E359" i="19" s="1"/>
  <c r="T360" i="6"/>
  <c r="E360" i="19" s="1"/>
  <c r="T361" i="6"/>
  <c r="E361" i="19" s="1"/>
  <c r="T362" i="6"/>
  <c r="E362" i="19" s="1"/>
  <c r="T363" i="6"/>
  <c r="E363" i="19" s="1"/>
  <c r="T364" i="6"/>
  <c r="E364" i="19" s="1"/>
  <c r="T357" i="6"/>
  <c r="E357" i="19" s="1"/>
  <c r="M356" i="6"/>
  <c r="K356" i="6"/>
  <c r="P356" i="23" s="1"/>
  <c r="J356" i="6"/>
  <c r="J356" i="23" s="1"/>
  <c r="H356" i="6"/>
  <c r="G356" i="6"/>
  <c r="E356" i="6"/>
  <c r="E356" i="9" s="1"/>
  <c r="T287" i="6"/>
  <c r="E287" i="19" s="1"/>
  <c r="T286" i="6"/>
  <c r="E286" i="19" s="1"/>
  <c r="X276" i="6"/>
  <c r="E276" i="29" s="1"/>
  <c r="T251" i="31" s="1"/>
  <c r="V276" i="6"/>
  <c r="E276" i="28" s="1"/>
  <c r="X275" i="6"/>
  <c r="E275" i="29" s="1"/>
  <c r="T250" i="31" s="1"/>
  <c r="V275" i="6"/>
  <c r="E275" i="28" s="1"/>
  <c r="T275" i="6"/>
  <c r="E275" i="19" s="1"/>
  <c r="T276" i="6"/>
  <c r="E276" i="19" s="1"/>
  <c r="X274" i="6"/>
  <c r="E274" i="29" s="1"/>
  <c r="T249" i="31" s="1"/>
  <c r="V274" i="6"/>
  <c r="E274" i="28" s="1"/>
  <c r="T274" i="6"/>
  <c r="E274" i="19" s="1"/>
  <c r="X273" i="6"/>
  <c r="E273" i="29" s="1"/>
  <c r="T248" i="31" s="1"/>
  <c r="V273" i="6"/>
  <c r="E273" i="28" s="1"/>
  <c r="T273" i="6"/>
  <c r="E273" i="19" s="1"/>
  <c r="X272" i="6"/>
  <c r="E272" i="29" s="1"/>
  <c r="T247" i="31" s="1"/>
  <c r="V272" i="6"/>
  <c r="E272" i="28" s="1"/>
  <c r="T272" i="6"/>
  <c r="E272" i="19" s="1"/>
  <c r="X271" i="6"/>
  <c r="E271" i="29" s="1"/>
  <c r="T246" i="31" s="1"/>
  <c r="V271" i="6"/>
  <c r="E271" i="28" s="1"/>
  <c r="T271" i="6"/>
  <c r="E271" i="19" s="1"/>
  <c r="X269" i="6"/>
  <c r="E269" i="29" s="1"/>
  <c r="T244" i="31" s="1"/>
  <c r="X270" i="6"/>
  <c r="E270" i="29" s="1"/>
  <c r="T245" i="31" s="1"/>
  <c r="V270" i="6"/>
  <c r="E270" i="28" s="1"/>
  <c r="T270" i="6"/>
  <c r="E270" i="19" s="1"/>
  <c r="V269" i="6"/>
  <c r="E269" i="28" s="1"/>
  <c r="T269" i="6"/>
  <c r="E269" i="19" s="1"/>
  <c r="X268" i="6"/>
  <c r="E268" i="29" s="1"/>
  <c r="T243" i="31" s="1"/>
  <c r="V268" i="6"/>
  <c r="E268" i="28" s="1"/>
  <c r="T268" i="6"/>
  <c r="E268" i="19" s="1"/>
  <c r="X267" i="6"/>
  <c r="E267" i="29" s="1"/>
  <c r="T242" i="31" s="1"/>
  <c r="W267" i="6"/>
  <c r="V267" i="6"/>
  <c r="E267" i="28" s="1"/>
  <c r="T267" i="6"/>
  <c r="E267" i="19" s="1"/>
  <c r="T221" i="6"/>
  <c r="E221" i="19" s="1"/>
  <c r="T216" i="6"/>
  <c r="E216" i="19" s="1"/>
  <c r="T217" i="6"/>
  <c r="E217" i="19" s="1"/>
  <c r="T218" i="6"/>
  <c r="E218" i="19" s="1"/>
  <c r="T219" i="6"/>
  <c r="E219" i="19" s="1"/>
  <c r="T220" i="6"/>
  <c r="E220" i="19" s="1"/>
  <c r="T215" i="6"/>
  <c r="E215" i="19" s="1"/>
  <c r="T202" i="6"/>
  <c r="E202" i="19" s="1"/>
  <c r="T203" i="6"/>
  <c r="E203" i="19" s="1"/>
  <c r="T204" i="6"/>
  <c r="E204" i="19" s="1"/>
  <c r="T205" i="6"/>
  <c r="E205" i="19" s="1"/>
  <c r="T206" i="6"/>
  <c r="E206" i="19" s="1"/>
  <c r="T207" i="6"/>
  <c r="E207" i="19" s="1"/>
  <c r="T208" i="6"/>
  <c r="E208" i="19" s="1"/>
  <c r="T209" i="6"/>
  <c r="E209" i="19" s="1"/>
  <c r="T210" i="6"/>
  <c r="E210" i="19" s="1"/>
  <c r="T201" i="6"/>
  <c r="E201" i="19" s="1"/>
  <c r="T191" i="6"/>
  <c r="E191" i="19" s="1"/>
  <c r="T192" i="6"/>
  <c r="E192" i="19" s="1"/>
  <c r="T193" i="6"/>
  <c r="E193" i="19" s="1"/>
  <c r="T194" i="6"/>
  <c r="E194" i="19" s="1"/>
  <c r="T195" i="6"/>
  <c r="E195" i="19" s="1"/>
  <c r="T196" i="6"/>
  <c r="E196" i="19" s="1"/>
  <c r="T197" i="6"/>
  <c r="E197" i="19" s="1"/>
  <c r="T198" i="6"/>
  <c r="E198" i="19" s="1"/>
  <c r="T199" i="6"/>
  <c r="E199" i="19" s="1"/>
  <c r="T190" i="6"/>
  <c r="E190" i="19" s="1"/>
  <c r="T185" i="6"/>
  <c r="E185" i="19" s="1"/>
  <c r="T186" i="6"/>
  <c r="E186" i="19" s="1"/>
  <c r="T187" i="6"/>
  <c r="E187" i="19" s="1"/>
  <c r="T188" i="6"/>
  <c r="E188" i="19" s="1"/>
  <c r="T184" i="6"/>
  <c r="E184" i="19" s="1"/>
  <c r="T177" i="6"/>
  <c r="E177" i="19" s="1"/>
  <c r="T176" i="6"/>
  <c r="E176" i="19" s="1"/>
  <c r="X175" i="6"/>
  <c r="E175" i="29" s="1"/>
  <c r="T159" i="31" s="1"/>
  <c r="V175" i="6"/>
  <c r="E175" i="28" s="1"/>
  <c r="T175" i="6"/>
  <c r="E175" i="19" s="1"/>
  <c r="X174" i="6"/>
  <c r="E174" i="29" s="1"/>
  <c r="T158" i="31" s="1"/>
  <c r="T174" i="6"/>
  <c r="E174" i="19" s="1"/>
  <c r="X173" i="6"/>
  <c r="E173" i="29" s="1"/>
  <c r="T157" i="31" s="1"/>
  <c r="T173" i="6"/>
  <c r="E173" i="19" s="1"/>
  <c r="X172" i="6"/>
  <c r="E172" i="29" s="1"/>
  <c r="T156" i="31" s="1"/>
  <c r="T172" i="6"/>
  <c r="E172" i="19" s="1"/>
  <c r="X171" i="6"/>
  <c r="E171" i="29" s="1"/>
  <c r="T155" i="31" s="1"/>
  <c r="T171" i="6"/>
  <c r="E171" i="19" s="1"/>
  <c r="X170" i="6"/>
  <c r="E170" i="29" s="1"/>
  <c r="T154" i="31" s="1"/>
  <c r="T170" i="6"/>
  <c r="E170" i="19" s="1"/>
  <c r="X169" i="6"/>
  <c r="E169" i="29" s="1"/>
  <c r="T153" i="31" s="1"/>
  <c r="T169" i="6"/>
  <c r="E169" i="19" s="1"/>
  <c r="X168" i="6"/>
  <c r="E168" i="29" s="1"/>
  <c r="T152" i="31" s="1"/>
  <c r="T168" i="6"/>
  <c r="E168" i="19" s="1"/>
  <c r="T77" i="6"/>
  <c r="E77" i="19" s="1"/>
  <c r="T78" i="6"/>
  <c r="E78" i="19" s="1"/>
  <c r="X76" i="6"/>
  <c r="E76" i="29" s="1"/>
  <c r="T69" i="31" s="1"/>
  <c r="W69" i="6"/>
  <c r="W70" i="6"/>
  <c r="W71" i="6"/>
  <c r="W72" i="6"/>
  <c r="W73" i="6"/>
  <c r="W74" i="6"/>
  <c r="W75" i="6"/>
  <c r="W77" i="6"/>
  <c r="W78" i="6"/>
  <c r="W68" i="6"/>
  <c r="V76" i="6"/>
  <c r="E76" i="28" s="1"/>
  <c r="T76" i="6"/>
  <c r="E76" i="19" s="1"/>
  <c r="T70" i="6"/>
  <c r="E70" i="19" s="1"/>
  <c r="T71" i="6"/>
  <c r="E71" i="19" s="1"/>
  <c r="T72" i="6"/>
  <c r="E72" i="19" s="1"/>
  <c r="T73" i="6"/>
  <c r="E73" i="19" s="1"/>
  <c r="T74" i="6"/>
  <c r="E74" i="19" s="1"/>
  <c r="T75" i="6"/>
  <c r="E75" i="19" s="1"/>
  <c r="T69" i="6"/>
  <c r="E69" i="19" s="1"/>
  <c r="T45" i="6"/>
  <c r="E45" i="19" s="1"/>
  <c r="T44" i="6"/>
  <c r="E44" i="19" s="1"/>
  <c r="X34" i="6"/>
  <c r="E34" i="29" s="1"/>
  <c r="T31" i="31" s="1"/>
  <c r="V34" i="6"/>
  <c r="E34" i="28" s="1"/>
  <c r="V33" i="6"/>
  <c r="E33" i="28" s="1"/>
  <c r="X33" i="6"/>
  <c r="E33" i="29" s="1"/>
  <c r="T30" i="31" s="1"/>
  <c r="T31" i="6"/>
  <c r="E31" i="19" s="1"/>
  <c r="T32" i="6"/>
  <c r="E32" i="19" s="1"/>
  <c r="T33" i="6"/>
  <c r="E33" i="19" s="1"/>
  <c r="T34" i="6"/>
  <c r="E34" i="19" s="1"/>
  <c r="X32" i="6"/>
  <c r="E32" i="29" s="1"/>
  <c r="T29" i="31" s="1"/>
  <c r="V32" i="6"/>
  <c r="E32" i="28" s="1"/>
  <c r="X31" i="6"/>
  <c r="E31" i="29" s="1"/>
  <c r="T28" i="31" s="1"/>
  <c r="V31" i="6"/>
  <c r="E31" i="28" s="1"/>
  <c r="V30" i="6"/>
  <c r="E30" i="28" s="1"/>
  <c r="X30" i="6"/>
  <c r="E30" i="29" s="1"/>
  <c r="T27" i="31" s="1"/>
  <c r="W25" i="6"/>
  <c r="W26" i="6"/>
  <c r="W27" i="6"/>
  <c r="W28" i="6"/>
  <c r="W29" i="6"/>
  <c r="W34" i="6"/>
  <c r="W24" i="6"/>
  <c r="T30" i="6"/>
  <c r="E30" i="19" s="1"/>
  <c r="T26" i="6"/>
  <c r="E26" i="19" s="1"/>
  <c r="T27" i="6"/>
  <c r="E27" i="19" s="1"/>
  <c r="T28" i="6"/>
  <c r="E28" i="19" s="1"/>
  <c r="T29" i="6"/>
  <c r="E29" i="19" s="1"/>
  <c r="T25" i="6"/>
  <c r="E25" i="19" s="1"/>
  <c r="T15" i="6"/>
  <c r="E15" i="19" s="1"/>
  <c r="T16" i="6"/>
  <c r="E16" i="19" s="1"/>
  <c r="T17" i="6"/>
  <c r="E17" i="19" s="1"/>
  <c r="T18" i="6"/>
  <c r="E18" i="19" s="1"/>
  <c r="T19" i="6"/>
  <c r="E19" i="19" s="1"/>
  <c r="T20" i="6"/>
  <c r="E20" i="19" s="1"/>
  <c r="T21" i="6"/>
  <c r="E21" i="19" s="1"/>
  <c r="T22" i="6"/>
  <c r="E22" i="19" s="1"/>
  <c r="T23" i="6"/>
  <c r="E23" i="19" s="1"/>
  <c r="T14" i="6"/>
  <c r="E14" i="19" s="1"/>
  <c r="X132" i="6"/>
  <c r="E132" i="29" s="1"/>
  <c r="T120" i="31" s="1"/>
  <c r="X133" i="6"/>
  <c r="E133" i="29" s="1"/>
  <c r="T121" i="31" s="1"/>
  <c r="V133" i="6"/>
  <c r="E133" i="28" s="1"/>
  <c r="T133" i="6"/>
  <c r="E133" i="19" s="1"/>
  <c r="N133" i="6"/>
  <c r="M133" i="6"/>
  <c r="M133" i="23" s="1"/>
  <c r="L133" i="6"/>
  <c r="K133" i="6"/>
  <c r="P133" i="23" s="1"/>
  <c r="J133" i="6"/>
  <c r="J133" i="23" s="1"/>
  <c r="I133" i="6"/>
  <c r="H133" i="6"/>
  <c r="G133" i="6"/>
  <c r="E133" i="6"/>
  <c r="E133" i="9" s="1"/>
  <c r="V132" i="6"/>
  <c r="E132" i="28" s="1"/>
  <c r="X131" i="6"/>
  <c r="E131" i="29" s="1"/>
  <c r="T119" i="31" s="1"/>
  <c r="V131" i="6"/>
  <c r="E131" i="28" s="1"/>
  <c r="X130" i="6"/>
  <c r="E130" i="29" s="1"/>
  <c r="T118" i="31" s="1"/>
  <c r="V130" i="6"/>
  <c r="E130" i="28" s="1"/>
  <c r="X129" i="6"/>
  <c r="E129" i="29" s="1"/>
  <c r="T117" i="31" s="1"/>
  <c r="V129" i="6"/>
  <c r="E129" i="28" s="1"/>
  <c r="X128" i="6"/>
  <c r="E128" i="29" s="1"/>
  <c r="T116" i="31" s="1"/>
  <c r="V128" i="6"/>
  <c r="E128" i="28" s="1"/>
  <c r="X127" i="6"/>
  <c r="E127" i="29" s="1"/>
  <c r="T115" i="31" s="1"/>
  <c r="V127" i="6"/>
  <c r="E127" i="28" s="1"/>
  <c r="T125" i="6"/>
  <c r="E125" i="19" s="1"/>
  <c r="T126" i="6"/>
  <c r="E126" i="19" s="1"/>
  <c r="T127" i="6"/>
  <c r="E127" i="19" s="1"/>
  <c r="T128" i="6"/>
  <c r="E128" i="19" s="1"/>
  <c r="T129" i="6"/>
  <c r="E129" i="19" s="1"/>
  <c r="T130" i="6"/>
  <c r="E130" i="19" s="1"/>
  <c r="T131" i="6"/>
  <c r="E131" i="19" s="1"/>
  <c r="T132" i="6"/>
  <c r="E132" i="19" s="1"/>
  <c r="X126" i="6"/>
  <c r="E126" i="29" s="1"/>
  <c r="T114" i="31" s="1"/>
  <c r="V126" i="6"/>
  <c r="E126" i="28" s="1"/>
  <c r="X125" i="6"/>
  <c r="E125" i="29" s="1"/>
  <c r="T113" i="31" s="1"/>
  <c r="W128" i="6"/>
  <c r="V125" i="6"/>
  <c r="E125" i="28" s="1"/>
  <c r="X124" i="6"/>
  <c r="E124" i="29" s="1"/>
  <c r="T112" i="31" s="1"/>
  <c r="V124" i="6"/>
  <c r="E124" i="28" s="1"/>
  <c r="T124" i="6"/>
  <c r="E124" i="19" s="1"/>
  <c r="X121" i="6"/>
  <c r="E121" i="29" s="1"/>
  <c r="T110" i="31" s="1"/>
  <c r="V121" i="6"/>
  <c r="E121" i="28" s="1"/>
  <c r="T119" i="6"/>
  <c r="E119" i="19" s="1"/>
  <c r="T120" i="6"/>
  <c r="E120" i="19" s="1"/>
  <c r="T121" i="6"/>
  <c r="E121" i="19" s="1"/>
  <c r="T118" i="6"/>
  <c r="E118" i="19" s="1"/>
  <c r="X120" i="6"/>
  <c r="E120" i="29" s="1"/>
  <c r="T109" i="31" s="1"/>
  <c r="V120" i="6"/>
  <c r="E120" i="28" s="1"/>
  <c r="X119" i="6"/>
  <c r="E119" i="29" s="1"/>
  <c r="T108" i="31" s="1"/>
  <c r="X118" i="6"/>
  <c r="E118" i="29" s="1"/>
  <c r="T107" i="31" s="1"/>
  <c r="V119" i="6"/>
  <c r="E119" i="28" s="1"/>
  <c r="V118" i="6"/>
  <c r="E118" i="28" s="1"/>
  <c r="U100" i="6"/>
  <c r="E100" i="26" s="1"/>
  <c r="N91" i="31" s="1"/>
  <c r="U99" i="6"/>
  <c r="E99" i="26" s="1"/>
  <c r="N90" i="31" s="1"/>
  <c r="U98" i="6"/>
  <c r="E98" i="26" s="1"/>
  <c r="N89" i="31" s="1"/>
  <c r="U97" i="6"/>
  <c r="E97" i="26" s="1"/>
  <c r="N88" i="31" s="1"/>
  <c r="U96" i="6"/>
  <c r="E96" i="26" s="1"/>
  <c r="N87" i="31" s="1"/>
  <c r="U95" i="6"/>
  <c r="E95" i="26" s="1"/>
  <c r="N86" i="31" s="1"/>
  <c r="U94" i="6"/>
  <c r="E94" i="26" s="1"/>
  <c r="N85" i="31" s="1"/>
  <c r="U93" i="6"/>
  <c r="E93" i="26" s="1"/>
  <c r="N84" i="31" s="1"/>
  <c r="U92" i="6"/>
  <c r="E92" i="26" s="1"/>
  <c r="N83" i="31" s="1"/>
  <c r="W67" i="6"/>
  <c r="V67" i="6"/>
  <c r="E67" i="28" s="1"/>
  <c r="U91" i="6"/>
  <c r="E91" i="26" s="1"/>
  <c r="N82" i="31" s="1"/>
  <c r="X67" i="6"/>
  <c r="E67" i="29" s="1"/>
  <c r="T61" i="31" s="1"/>
  <c r="X66" i="6"/>
  <c r="E66" i="29" s="1"/>
  <c r="T60" i="31" s="1"/>
  <c r="V66" i="6"/>
  <c r="E66" i="28" s="1"/>
  <c r="X65" i="6"/>
  <c r="E65" i="29" s="1"/>
  <c r="T59" i="31" s="1"/>
  <c r="V65" i="6"/>
  <c r="E65" i="28" s="1"/>
  <c r="X64" i="6"/>
  <c r="E64" i="29" s="1"/>
  <c r="T58" i="31" s="1"/>
  <c r="V64" i="6"/>
  <c r="E64" i="28" s="1"/>
  <c r="X63" i="6"/>
  <c r="E63" i="29" s="1"/>
  <c r="T57" i="31" s="1"/>
  <c r="V63" i="6"/>
  <c r="E63" i="28" s="1"/>
  <c r="X62" i="6"/>
  <c r="E62" i="29" s="1"/>
  <c r="T56" i="31" s="1"/>
  <c r="V62" i="6"/>
  <c r="E62" i="28" s="1"/>
  <c r="X61" i="6"/>
  <c r="E61" i="29" s="1"/>
  <c r="T55" i="31" s="1"/>
  <c r="V61" i="6"/>
  <c r="E61" i="28" s="1"/>
  <c r="X60" i="6"/>
  <c r="E60" i="29" s="1"/>
  <c r="T54" i="31" s="1"/>
  <c r="V60" i="6"/>
  <c r="E60" i="28" s="1"/>
  <c r="F3" i="11"/>
  <c r="F4" i="11"/>
  <c r="F5" i="11"/>
  <c r="F6" i="11"/>
  <c r="F7" i="11"/>
  <c r="F8" i="11"/>
  <c r="F9" i="11"/>
  <c r="F10" i="11"/>
  <c r="F11" i="11"/>
  <c r="F12" i="11"/>
  <c r="F13" i="11"/>
  <c r="F24" i="11"/>
  <c r="F35" i="11"/>
  <c r="F36" i="11"/>
  <c r="F37" i="11"/>
  <c r="F38" i="11"/>
  <c r="F39" i="11"/>
  <c r="F40" i="11"/>
  <c r="F41" i="11"/>
  <c r="F42" i="11"/>
  <c r="F46" i="11"/>
  <c r="F47" i="11"/>
  <c r="F48" i="11"/>
  <c r="F49" i="11"/>
  <c r="F50" i="11"/>
  <c r="F51" i="11"/>
  <c r="F53" i="11"/>
  <c r="F54" i="11"/>
  <c r="F55" i="11"/>
  <c r="F56" i="11"/>
  <c r="F57" i="11"/>
  <c r="F58" i="11"/>
  <c r="F68" i="11"/>
  <c r="F79" i="11"/>
  <c r="F90" i="11"/>
  <c r="F101" i="11"/>
  <c r="F112" i="11"/>
  <c r="F113" i="11"/>
  <c r="F114" i="11"/>
  <c r="F115" i="11"/>
  <c r="F116" i="11"/>
  <c r="F117" i="11"/>
  <c r="F123" i="11"/>
  <c r="F125" i="11"/>
  <c r="F133" i="11"/>
  <c r="F134" i="11"/>
  <c r="F145" i="11"/>
  <c r="F146" i="11"/>
  <c r="F147" i="11"/>
  <c r="F148" i="11"/>
  <c r="F149" i="11"/>
  <c r="F150" i="11"/>
  <c r="F151" i="11"/>
  <c r="F152" i="11"/>
  <c r="F153" i="11"/>
  <c r="F154" i="11"/>
  <c r="F156" i="11"/>
  <c r="F157" i="11"/>
  <c r="F158" i="11"/>
  <c r="F167" i="11"/>
  <c r="F178" i="11"/>
  <c r="F179" i="11"/>
  <c r="F180" i="11"/>
  <c r="F181" i="11"/>
  <c r="F182" i="11"/>
  <c r="F189" i="11"/>
  <c r="F200" i="11"/>
  <c r="F211" i="11"/>
  <c r="F212" i="11"/>
  <c r="F213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77" i="11"/>
  <c r="F278" i="11"/>
  <c r="F279" i="11"/>
  <c r="F280" i="11"/>
  <c r="F281" i="11"/>
  <c r="F282" i="11"/>
  <c r="F283" i="11"/>
  <c r="F284" i="11"/>
  <c r="F28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32" i="11"/>
  <c r="F333" i="11"/>
  <c r="F334" i="11"/>
  <c r="F335" i="11"/>
  <c r="F336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65" i="11"/>
  <c r="F376" i="11"/>
  <c r="F377" i="11"/>
  <c r="F378" i="11"/>
  <c r="F379" i="11"/>
  <c r="F380" i="11"/>
  <c r="F381" i="11"/>
  <c r="F387" i="11"/>
  <c r="F388" i="11"/>
  <c r="F397" i="11"/>
  <c r="F398" i="11"/>
  <c r="F399" i="11"/>
  <c r="F400" i="11"/>
  <c r="F409" i="11"/>
  <c r="F410" i="11"/>
  <c r="F411" i="11"/>
  <c r="F420" i="11"/>
  <c r="F431" i="11"/>
  <c r="F432" i="11"/>
  <c r="F433" i="11"/>
  <c r="F434" i="11"/>
  <c r="F442" i="11"/>
  <c r="F443" i="11"/>
  <c r="F444" i="11"/>
  <c r="F445" i="11"/>
  <c r="F453" i="11"/>
  <c r="F464" i="11"/>
  <c r="F475" i="11"/>
  <c r="F486" i="11"/>
  <c r="F487" i="11"/>
  <c r="F488" i="11"/>
  <c r="F489" i="11"/>
  <c r="F490" i="11"/>
  <c r="F497" i="11"/>
  <c r="F498" i="11"/>
  <c r="F508" i="11"/>
  <c r="F509" i="11"/>
  <c r="F510" i="11"/>
  <c r="F511" i="11"/>
  <c r="F512" i="11"/>
  <c r="F519" i="11"/>
  <c r="F530" i="11"/>
  <c r="F531" i="11"/>
  <c r="F541" i="11"/>
  <c r="F552" i="11"/>
  <c r="F553" i="11"/>
  <c r="F554" i="11"/>
  <c r="F555" i="11"/>
  <c r="F556" i="11"/>
  <c r="F56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6" i="11"/>
  <c r="F607" i="11"/>
  <c r="F618" i="11"/>
  <c r="F619" i="11"/>
  <c r="F620" i="11"/>
  <c r="F629" i="11"/>
  <c r="F630" i="11"/>
  <c r="F631" i="11"/>
  <c r="F632" i="11"/>
  <c r="F633" i="11"/>
  <c r="F634" i="11"/>
  <c r="F640" i="11"/>
  <c r="F641" i="11"/>
  <c r="F642" i="11"/>
  <c r="F643" i="11"/>
  <c r="F644" i="11"/>
  <c r="F645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E3" i="11"/>
  <c r="G3" i="11" s="1"/>
  <c r="H2" i="31" s="1"/>
  <c r="E4" i="11"/>
  <c r="E5" i="11"/>
  <c r="G5" i="11" s="1"/>
  <c r="H4" i="31" s="1"/>
  <c r="E6" i="11"/>
  <c r="G6" i="11" s="1"/>
  <c r="H5" i="31" s="1"/>
  <c r="E7" i="11"/>
  <c r="G7" i="11" s="1"/>
  <c r="H6" i="31" s="1"/>
  <c r="E8" i="11"/>
  <c r="E9" i="11"/>
  <c r="G9" i="11" s="1"/>
  <c r="H8" i="31" s="1"/>
  <c r="E10" i="11"/>
  <c r="G10" i="11" s="1"/>
  <c r="H9" i="31" s="1"/>
  <c r="E11" i="11"/>
  <c r="G11" i="11" s="1"/>
  <c r="H10" i="31" s="1"/>
  <c r="E12" i="11"/>
  <c r="E13" i="11"/>
  <c r="G13" i="11" s="1"/>
  <c r="E24" i="11"/>
  <c r="G24" i="11" s="1"/>
  <c r="E35" i="11"/>
  <c r="G35" i="11" s="1"/>
  <c r="E36" i="11"/>
  <c r="E37" i="11"/>
  <c r="G37" i="11" s="1"/>
  <c r="H33" i="31" s="1"/>
  <c r="E38" i="11"/>
  <c r="G38" i="11" s="1"/>
  <c r="H34" i="31" s="1"/>
  <c r="E39" i="11"/>
  <c r="G39" i="11" s="1"/>
  <c r="H35" i="31" s="1"/>
  <c r="E40" i="11"/>
  <c r="E41" i="11"/>
  <c r="G41" i="11" s="1"/>
  <c r="H37" i="31" s="1"/>
  <c r="E42" i="11"/>
  <c r="G42" i="11" s="1"/>
  <c r="H38" i="31" s="1"/>
  <c r="E46" i="11"/>
  <c r="G46" i="11" s="1"/>
  <c r="E47" i="11"/>
  <c r="E48" i="11"/>
  <c r="G48" i="11" s="1"/>
  <c r="H43" i="31" s="1"/>
  <c r="E49" i="11"/>
  <c r="G49" i="11" s="1"/>
  <c r="H44" i="31" s="1"/>
  <c r="E50" i="11"/>
  <c r="G50" i="11" s="1"/>
  <c r="H45" i="31" s="1"/>
  <c r="E51" i="11"/>
  <c r="E53" i="11"/>
  <c r="G53" i="11" s="1"/>
  <c r="H48" i="31" s="1"/>
  <c r="E54" i="11"/>
  <c r="G54" i="11" s="1"/>
  <c r="H49" i="31" s="1"/>
  <c r="E55" i="11"/>
  <c r="E56" i="11"/>
  <c r="G56" i="11" s="1"/>
  <c r="H51" i="31" s="1"/>
  <c r="E57" i="11"/>
  <c r="G57" i="11" s="1"/>
  <c r="E58" i="11"/>
  <c r="G58" i="11" s="1"/>
  <c r="H52" i="31" s="1"/>
  <c r="E68" i="11"/>
  <c r="E79" i="11"/>
  <c r="G79" i="11" s="1"/>
  <c r="E90" i="11"/>
  <c r="G90" i="11" s="1"/>
  <c r="E101" i="11"/>
  <c r="G101" i="11" s="1"/>
  <c r="E112" i="11"/>
  <c r="E113" i="11"/>
  <c r="G113" i="11" s="1"/>
  <c r="H102" i="31" s="1"/>
  <c r="E114" i="11"/>
  <c r="G114" i="11" s="1"/>
  <c r="H103" i="31" s="1"/>
  <c r="E115" i="11"/>
  <c r="G115" i="11" s="1"/>
  <c r="H104" i="31" s="1"/>
  <c r="E116" i="11"/>
  <c r="E117" i="11"/>
  <c r="G117" i="11" s="1"/>
  <c r="H106" i="31" s="1"/>
  <c r="E123" i="11"/>
  <c r="G123" i="11" s="1"/>
  <c r="E132" i="11"/>
  <c r="E133" i="11"/>
  <c r="E134" i="11"/>
  <c r="G134" i="11" s="1"/>
  <c r="E145" i="11"/>
  <c r="G145" i="11" s="1"/>
  <c r="E146" i="11"/>
  <c r="G146" i="11" s="1"/>
  <c r="H132" i="31" s="1"/>
  <c r="E147" i="11"/>
  <c r="E148" i="11"/>
  <c r="G148" i="11" s="1"/>
  <c r="H134" i="31" s="1"/>
  <c r="E149" i="11"/>
  <c r="G149" i="11" s="1"/>
  <c r="H135" i="31" s="1"/>
  <c r="E150" i="11"/>
  <c r="G150" i="11" s="1"/>
  <c r="H136" i="31" s="1"/>
  <c r="E151" i="11"/>
  <c r="E152" i="11"/>
  <c r="G152" i="11" s="1"/>
  <c r="H138" i="31" s="1"/>
  <c r="E153" i="11"/>
  <c r="G153" i="11" s="1"/>
  <c r="H139" i="31" s="1"/>
  <c r="E154" i="11"/>
  <c r="G154" i="11" s="1"/>
  <c r="H140" i="31" s="1"/>
  <c r="E156" i="11"/>
  <c r="E157" i="11"/>
  <c r="G157" i="11" s="1"/>
  <c r="H142" i="31" s="1"/>
  <c r="E158" i="11"/>
  <c r="G158" i="11" s="1"/>
  <c r="H143" i="31" s="1"/>
  <c r="E167" i="11"/>
  <c r="G167" i="11" s="1"/>
  <c r="E178" i="11"/>
  <c r="E179" i="11"/>
  <c r="G179" i="11" s="1"/>
  <c r="H162" i="31" s="1"/>
  <c r="E180" i="11"/>
  <c r="G180" i="11" s="1"/>
  <c r="H163" i="31" s="1"/>
  <c r="E181" i="11"/>
  <c r="G181" i="11" s="1"/>
  <c r="H164" i="31" s="1"/>
  <c r="E182" i="11"/>
  <c r="E189" i="11"/>
  <c r="G189" i="11" s="1"/>
  <c r="E200" i="11"/>
  <c r="G200" i="11" s="1"/>
  <c r="E211" i="11"/>
  <c r="G211" i="11" s="1"/>
  <c r="E212" i="11"/>
  <c r="E213" i="11"/>
  <c r="G213" i="11" s="1"/>
  <c r="H193" i="31" s="1"/>
  <c r="E222" i="11"/>
  <c r="G222" i="11" s="1"/>
  <c r="E223" i="11"/>
  <c r="G223" i="11" s="1"/>
  <c r="H202" i="31" s="1"/>
  <c r="E224" i="11"/>
  <c r="E225" i="11"/>
  <c r="G225" i="11" s="1"/>
  <c r="H204" i="31" s="1"/>
  <c r="E226" i="11"/>
  <c r="G226" i="11" s="1"/>
  <c r="H205" i="31" s="1"/>
  <c r="E227" i="11"/>
  <c r="G227" i="11" s="1"/>
  <c r="H206" i="31" s="1"/>
  <c r="E228" i="11"/>
  <c r="E229" i="11"/>
  <c r="G229" i="11" s="1"/>
  <c r="H208" i="31" s="1"/>
  <c r="E230" i="11"/>
  <c r="G230" i="11" s="1"/>
  <c r="H209" i="31" s="1"/>
  <c r="E231" i="11"/>
  <c r="G231" i="11" s="1"/>
  <c r="H210" i="31" s="1"/>
  <c r="E232" i="11"/>
  <c r="E233" i="11"/>
  <c r="G233" i="11" s="1"/>
  <c r="E234" i="11"/>
  <c r="G234" i="11" s="1"/>
  <c r="H212" i="31" s="1"/>
  <c r="E235" i="11"/>
  <c r="G235" i="11" s="1"/>
  <c r="H213" i="31" s="1"/>
  <c r="E236" i="11"/>
  <c r="E237" i="11"/>
  <c r="G237" i="11" s="1"/>
  <c r="H215" i="31" s="1"/>
  <c r="E238" i="11"/>
  <c r="G238" i="11" s="1"/>
  <c r="H216" i="31" s="1"/>
  <c r="E239" i="11"/>
  <c r="G239" i="11" s="1"/>
  <c r="H217" i="31" s="1"/>
  <c r="E240" i="11"/>
  <c r="E241" i="11"/>
  <c r="G241" i="11" s="1"/>
  <c r="H219" i="31" s="1"/>
  <c r="E242" i="11"/>
  <c r="G242" i="11" s="1"/>
  <c r="H220" i="31" s="1"/>
  <c r="E243" i="11"/>
  <c r="G243" i="11" s="1"/>
  <c r="H221" i="31" s="1"/>
  <c r="E244" i="11"/>
  <c r="E245" i="11"/>
  <c r="G245" i="11" s="1"/>
  <c r="H222" i="31" s="1"/>
  <c r="E246" i="11"/>
  <c r="G246" i="11" s="1"/>
  <c r="H223" i="31" s="1"/>
  <c r="E247" i="11"/>
  <c r="G247" i="11" s="1"/>
  <c r="H224" i="31" s="1"/>
  <c r="E248" i="11"/>
  <c r="E249" i="11"/>
  <c r="G249" i="11" s="1"/>
  <c r="H226" i="31" s="1"/>
  <c r="E250" i="11"/>
  <c r="G250" i="11" s="1"/>
  <c r="H227" i="31" s="1"/>
  <c r="E251" i="11"/>
  <c r="G251" i="11" s="1"/>
  <c r="H228" i="31" s="1"/>
  <c r="E252" i="11"/>
  <c r="E253" i="11"/>
  <c r="G253" i="11" s="1"/>
  <c r="H230" i="31" s="1"/>
  <c r="E254" i="11"/>
  <c r="G254" i="11" s="1"/>
  <c r="H231" i="31" s="1"/>
  <c r="E255" i="11"/>
  <c r="G255" i="11" s="1"/>
  <c r="E256" i="11"/>
  <c r="E257" i="11"/>
  <c r="G257" i="11" s="1"/>
  <c r="H233" i="31" s="1"/>
  <c r="E258" i="11"/>
  <c r="G258" i="11" s="1"/>
  <c r="H234" i="31" s="1"/>
  <c r="E259" i="11"/>
  <c r="G259" i="11" s="1"/>
  <c r="H235" i="31" s="1"/>
  <c r="E260" i="11"/>
  <c r="E261" i="11"/>
  <c r="G261" i="11" s="1"/>
  <c r="H237" i="31" s="1"/>
  <c r="E262" i="11"/>
  <c r="G262" i="11" s="1"/>
  <c r="H238" i="31" s="1"/>
  <c r="E263" i="11"/>
  <c r="G263" i="11" s="1"/>
  <c r="H239" i="31" s="1"/>
  <c r="E264" i="11"/>
  <c r="E265" i="11"/>
  <c r="G265" i="11" s="1"/>
  <c r="H241" i="31" s="1"/>
  <c r="E266" i="11"/>
  <c r="G266" i="11" s="1"/>
  <c r="E277" i="11"/>
  <c r="G277" i="11" s="1"/>
  <c r="E278" i="11"/>
  <c r="E279" i="11"/>
  <c r="G279" i="11" s="1"/>
  <c r="H253" i="31" s="1"/>
  <c r="E280" i="11"/>
  <c r="G280" i="11" s="1"/>
  <c r="H254" i="31" s="1"/>
  <c r="E281" i="11"/>
  <c r="G281" i="11" s="1"/>
  <c r="H255" i="31" s="1"/>
  <c r="E282" i="11"/>
  <c r="E283" i="11"/>
  <c r="G283" i="11" s="1"/>
  <c r="H257" i="31" s="1"/>
  <c r="E284" i="11"/>
  <c r="G284" i="11" s="1"/>
  <c r="H258" i="31" s="1"/>
  <c r="E288" i="11"/>
  <c r="G288" i="11" s="1"/>
  <c r="E299" i="11"/>
  <c r="E300" i="11"/>
  <c r="G300" i="11" s="1"/>
  <c r="H272" i="31" s="1"/>
  <c r="E301" i="11"/>
  <c r="G301" i="11" s="1"/>
  <c r="H273" i="31" s="1"/>
  <c r="E302" i="11"/>
  <c r="G302" i="11" s="1"/>
  <c r="H274" i="31" s="1"/>
  <c r="E303" i="11"/>
  <c r="E304" i="11"/>
  <c r="G304" i="11" s="1"/>
  <c r="H276" i="31" s="1"/>
  <c r="E305" i="11"/>
  <c r="G305" i="11" s="1"/>
  <c r="H277" i="31" s="1"/>
  <c r="E306" i="11"/>
  <c r="G306" i="11" s="1"/>
  <c r="H278" i="31" s="1"/>
  <c r="E307" i="11"/>
  <c r="E308" i="11"/>
  <c r="G308" i="11" s="1"/>
  <c r="H280" i="31" s="1"/>
  <c r="E309" i="11"/>
  <c r="G309" i="11" s="1"/>
  <c r="H281" i="31" s="1"/>
  <c r="E310" i="11"/>
  <c r="G310" i="11" s="1"/>
  <c r="E311" i="11"/>
  <c r="E312" i="11"/>
  <c r="G312" i="11" s="1"/>
  <c r="H283" i="31" s="1"/>
  <c r="E313" i="11"/>
  <c r="G313" i="11" s="1"/>
  <c r="H284" i="31" s="1"/>
  <c r="E314" i="11"/>
  <c r="G314" i="11" s="1"/>
  <c r="H285" i="31" s="1"/>
  <c r="E315" i="11"/>
  <c r="E316" i="11"/>
  <c r="G316" i="11" s="1"/>
  <c r="H287" i="31" s="1"/>
  <c r="E317" i="11"/>
  <c r="G317" i="11" s="1"/>
  <c r="H288" i="31" s="1"/>
  <c r="E318" i="11"/>
  <c r="G318" i="11" s="1"/>
  <c r="H289" i="31" s="1"/>
  <c r="E319" i="11"/>
  <c r="E320" i="11"/>
  <c r="G320" i="11" s="1"/>
  <c r="H291" i="31" s="1"/>
  <c r="E321" i="11"/>
  <c r="G321" i="11" s="1"/>
  <c r="E322" i="11"/>
  <c r="G322" i="11" s="1"/>
  <c r="H292" i="31" s="1"/>
  <c r="E323" i="11"/>
  <c r="E332" i="11"/>
  <c r="G332" i="11" s="1"/>
  <c r="E333" i="11"/>
  <c r="G333" i="11" s="1"/>
  <c r="H302" i="31" s="1"/>
  <c r="E334" i="11"/>
  <c r="G334" i="11" s="1"/>
  <c r="H303" i="31" s="1"/>
  <c r="E335" i="11"/>
  <c r="E336" i="11"/>
  <c r="G336" i="11" s="1"/>
  <c r="H305" i="31" s="1"/>
  <c r="E343" i="11"/>
  <c r="G343" i="11" s="1"/>
  <c r="E344" i="11"/>
  <c r="G344" i="11" s="1"/>
  <c r="H312" i="31" s="1"/>
  <c r="E345" i="11"/>
  <c r="E346" i="11"/>
  <c r="G346" i="11" s="1"/>
  <c r="H314" i="31" s="1"/>
  <c r="E347" i="11"/>
  <c r="G347" i="11" s="1"/>
  <c r="H315" i="31" s="1"/>
  <c r="E348" i="11"/>
  <c r="G348" i="11" s="1"/>
  <c r="H316" i="31" s="1"/>
  <c r="E349" i="11"/>
  <c r="E350" i="11"/>
  <c r="G350" i="11" s="1"/>
  <c r="H318" i="31" s="1"/>
  <c r="E351" i="11"/>
  <c r="G351" i="11" s="1"/>
  <c r="H319" i="31" s="1"/>
  <c r="E352" i="11"/>
  <c r="G352" i="11" s="1"/>
  <c r="H320" i="31" s="1"/>
  <c r="E353" i="11"/>
  <c r="E354" i="11"/>
  <c r="G354" i="11" s="1"/>
  <c r="E355" i="11"/>
  <c r="G355" i="11" s="1"/>
  <c r="H322" i="31" s="1"/>
  <c r="E365" i="11"/>
  <c r="E376" i="11"/>
  <c r="G376" i="11" s="1"/>
  <c r="E377" i="11"/>
  <c r="E378" i="11"/>
  <c r="G378" i="11" s="1"/>
  <c r="H343" i="31" s="1"/>
  <c r="E379" i="11"/>
  <c r="E380" i="11"/>
  <c r="G380" i="11" s="1"/>
  <c r="H345" i="31" s="1"/>
  <c r="E381" i="11"/>
  <c r="E387" i="11"/>
  <c r="G387" i="11" s="1"/>
  <c r="E388" i="11"/>
  <c r="E397" i="11"/>
  <c r="G397" i="11" s="1"/>
  <c r="H361" i="31" s="1"/>
  <c r="E398" i="11"/>
  <c r="E399" i="11"/>
  <c r="G399" i="11" s="1"/>
  <c r="H362" i="31" s="1"/>
  <c r="E400" i="11"/>
  <c r="E409" i="11"/>
  <c r="G409" i="11" s="1"/>
  <c r="E410" i="11"/>
  <c r="E411" i="11"/>
  <c r="G411" i="11" s="1"/>
  <c r="H373" i="31" s="1"/>
  <c r="E420" i="11"/>
  <c r="E431" i="11"/>
  <c r="G431" i="11" s="1"/>
  <c r="E432" i="11"/>
  <c r="E433" i="11"/>
  <c r="G433" i="11" s="1"/>
  <c r="H393" i="31" s="1"/>
  <c r="E434" i="11"/>
  <c r="E442" i="11"/>
  <c r="G442" i="11" s="1"/>
  <c r="E443" i="11"/>
  <c r="E444" i="11"/>
  <c r="G444" i="11" s="1"/>
  <c r="H403" i="31" s="1"/>
  <c r="E445" i="11"/>
  <c r="E453" i="11"/>
  <c r="G453" i="11" s="1"/>
  <c r="E464" i="11"/>
  <c r="E475" i="11"/>
  <c r="G475" i="11" s="1"/>
  <c r="E486" i="11"/>
  <c r="E487" i="11"/>
  <c r="G487" i="11" s="1"/>
  <c r="H442" i="31" s="1"/>
  <c r="E488" i="11"/>
  <c r="E489" i="11"/>
  <c r="G489" i="11" s="1"/>
  <c r="H444" i="31" s="1"/>
  <c r="E490" i="11"/>
  <c r="E497" i="11"/>
  <c r="G497" i="11" s="1"/>
  <c r="E498" i="11"/>
  <c r="E508" i="11"/>
  <c r="G508" i="11" s="1"/>
  <c r="E509" i="11"/>
  <c r="E510" i="11"/>
  <c r="G510" i="11" s="1"/>
  <c r="H463" i="31" s="1"/>
  <c r="E511" i="11"/>
  <c r="E512" i="11"/>
  <c r="G512" i="11" s="1"/>
  <c r="H465" i="31" s="1"/>
  <c r="E519" i="11"/>
  <c r="E530" i="11"/>
  <c r="G530" i="11" s="1"/>
  <c r="E531" i="11"/>
  <c r="E541" i="11"/>
  <c r="G541" i="11" s="1"/>
  <c r="E552" i="11"/>
  <c r="E553" i="11"/>
  <c r="G553" i="11" s="1"/>
  <c r="H502" i="31" s="1"/>
  <c r="E554" i="11"/>
  <c r="E555" i="11"/>
  <c r="G555" i="11" s="1"/>
  <c r="H504" i="31" s="1"/>
  <c r="E556" i="11"/>
  <c r="E563" i="11"/>
  <c r="G563" i="11" s="1"/>
  <c r="E574" i="11"/>
  <c r="E575" i="11"/>
  <c r="G575" i="11" s="1"/>
  <c r="H522" i="31" s="1"/>
  <c r="E577" i="11"/>
  <c r="G577" i="11" s="1"/>
  <c r="H524" i="31" s="1"/>
  <c r="E578" i="11"/>
  <c r="E579" i="11"/>
  <c r="G579" i="11" s="1"/>
  <c r="H526" i="31" s="1"/>
  <c r="E580" i="11"/>
  <c r="E581" i="11"/>
  <c r="G581" i="11" s="1"/>
  <c r="H528" i="31" s="1"/>
  <c r="E582" i="11"/>
  <c r="E583" i="11"/>
  <c r="G583" i="11" s="1"/>
  <c r="H530" i="31" s="1"/>
  <c r="E584" i="11"/>
  <c r="E585" i="11"/>
  <c r="G585" i="11" s="1"/>
  <c r="E586" i="11"/>
  <c r="E587" i="11"/>
  <c r="G587" i="11" s="1"/>
  <c r="H533" i="31" s="1"/>
  <c r="E588" i="11"/>
  <c r="E589" i="11"/>
  <c r="G589" i="11" s="1"/>
  <c r="H535" i="31" s="1"/>
  <c r="E590" i="11"/>
  <c r="E591" i="11"/>
  <c r="G591" i="11" s="1"/>
  <c r="H537" i="31" s="1"/>
  <c r="E596" i="11"/>
  <c r="E607" i="11"/>
  <c r="G607" i="11" s="1"/>
  <c r="E618" i="11"/>
  <c r="E619" i="11"/>
  <c r="G619" i="11" s="1"/>
  <c r="H562" i="31" s="1"/>
  <c r="E620" i="11"/>
  <c r="E629" i="11"/>
  <c r="G629" i="11" s="1"/>
  <c r="E630" i="11"/>
  <c r="E631" i="11"/>
  <c r="G631" i="11" s="1"/>
  <c r="H573" i="31" s="1"/>
  <c r="E632" i="11"/>
  <c r="E633" i="11"/>
  <c r="G633" i="11" s="1"/>
  <c r="H575" i="31" s="1"/>
  <c r="E634" i="11"/>
  <c r="E640" i="11"/>
  <c r="G640" i="11" s="1"/>
  <c r="E641" i="11"/>
  <c r="E642" i="11"/>
  <c r="G642" i="11" s="1"/>
  <c r="H583" i="31" s="1"/>
  <c r="E643" i="11"/>
  <c r="E644" i="11"/>
  <c r="G644" i="11" s="1"/>
  <c r="H585" i="31" s="1"/>
  <c r="E645" i="11"/>
  <c r="E648" i="11"/>
  <c r="G648" i="11" s="1"/>
  <c r="H589" i="31" s="1"/>
  <c r="E649" i="11"/>
  <c r="E650" i="11"/>
  <c r="G650" i="11" s="1"/>
  <c r="H591" i="31" s="1"/>
  <c r="E651" i="11"/>
  <c r="E652" i="11"/>
  <c r="G652" i="11" s="1"/>
  <c r="H592" i="31" s="1"/>
  <c r="E653" i="11"/>
  <c r="E654" i="11"/>
  <c r="G654" i="11" s="1"/>
  <c r="H594" i="31" s="1"/>
  <c r="E655" i="11"/>
  <c r="E656" i="11"/>
  <c r="G656" i="11" s="1"/>
  <c r="H596" i="31" s="1"/>
  <c r="E657" i="11"/>
  <c r="E658" i="11"/>
  <c r="G658" i="11" s="1"/>
  <c r="H598" i="31" s="1"/>
  <c r="E659" i="11"/>
  <c r="E660" i="11"/>
  <c r="G660" i="11" s="1"/>
  <c r="H600" i="31" s="1"/>
  <c r="E661" i="11"/>
  <c r="E662" i="11"/>
  <c r="G662" i="11" s="1"/>
  <c r="E663" i="11"/>
  <c r="E664" i="11"/>
  <c r="G664" i="11" s="1"/>
  <c r="H603" i="31" s="1"/>
  <c r="E665" i="11"/>
  <c r="E666" i="11"/>
  <c r="G666" i="11" s="1"/>
  <c r="H605" i="31" s="1"/>
  <c r="E667" i="11"/>
  <c r="E668" i="11"/>
  <c r="G668" i="11" s="1"/>
  <c r="H607" i="31" s="1"/>
  <c r="E669" i="11"/>
  <c r="E670" i="11"/>
  <c r="G670" i="11" s="1"/>
  <c r="H609" i="31" s="1"/>
  <c r="E671" i="11"/>
  <c r="E672" i="11"/>
  <c r="G672" i="11" s="1"/>
  <c r="H611" i="31" s="1"/>
  <c r="E673" i="11"/>
  <c r="E674" i="11"/>
  <c r="G674" i="11" s="1"/>
  <c r="H612" i="31" s="1"/>
  <c r="E675" i="11"/>
  <c r="E676" i="11"/>
  <c r="G676" i="11" s="1"/>
  <c r="H614" i="31" s="1"/>
  <c r="E677" i="11"/>
  <c r="E678" i="11"/>
  <c r="G678" i="11" s="1"/>
  <c r="H616" i="31" s="1"/>
  <c r="E679" i="11"/>
  <c r="E680" i="11"/>
  <c r="G680" i="11" s="1"/>
  <c r="H618" i="31" s="1"/>
  <c r="E681" i="11"/>
  <c r="E682" i="11"/>
  <c r="G682" i="11" s="1"/>
  <c r="H620" i="31" s="1"/>
  <c r="E683" i="11"/>
  <c r="E684" i="11"/>
  <c r="G684" i="11" s="1"/>
  <c r="E685" i="11"/>
  <c r="E686" i="11"/>
  <c r="G686" i="11" s="1"/>
  <c r="H623" i="31" s="1"/>
  <c r="E687" i="11"/>
  <c r="E688" i="11"/>
  <c r="G688" i="11" s="1"/>
  <c r="H625" i="31" s="1"/>
  <c r="E689" i="11"/>
  <c r="E690" i="11"/>
  <c r="G690" i="11" s="1"/>
  <c r="H627" i="31" s="1"/>
  <c r="E691" i="11"/>
  <c r="E692" i="11"/>
  <c r="G692" i="11" s="1"/>
  <c r="H629" i="31" s="1"/>
  <c r="E693" i="11"/>
  <c r="E694" i="11"/>
  <c r="G694" i="11" s="1"/>
  <c r="H631" i="31" s="1"/>
  <c r="E695" i="11"/>
  <c r="E696" i="11"/>
  <c r="G696" i="11" s="1"/>
  <c r="H632" i="31" s="1"/>
  <c r="E697" i="11"/>
  <c r="E698" i="11"/>
  <c r="G698" i="11" s="1"/>
  <c r="H634" i="31" s="1"/>
  <c r="E699" i="11"/>
  <c r="E700" i="11"/>
  <c r="G700" i="11" s="1"/>
  <c r="H636" i="31" s="1"/>
  <c r="E701" i="11"/>
  <c r="E702" i="11"/>
  <c r="G702" i="11" s="1"/>
  <c r="H638" i="31" s="1"/>
  <c r="E703" i="11"/>
  <c r="E704" i="11"/>
  <c r="G704" i="11" s="1"/>
  <c r="H640" i="31" s="1"/>
  <c r="E705" i="11"/>
  <c r="E706" i="11"/>
  <c r="G706" i="11" s="1"/>
  <c r="E707" i="11"/>
  <c r="E708" i="11"/>
  <c r="G708" i="11" s="1"/>
  <c r="H643" i="31" s="1"/>
  <c r="E709" i="11"/>
  <c r="E710" i="11"/>
  <c r="G710" i="11" s="1"/>
  <c r="H645" i="31" s="1"/>
  <c r="E711" i="11"/>
  <c r="E712" i="11"/>
  <c r="G712" i="11" s="1"/>
  <c r="H647" i="31" s="1"/>
  <c r="E713" i="11"/>
  <c r="E714" i="11"/>
  <c r="G714" i="11" s="1"/>
  <c r="H649" i="31" s="1"/>
  <c r="E715" i="11"/>
  <c r="E716" i="11"/>
  <c r="G716" i="11" s="1"/>
  <c r="H651" i="31" s="1"/>
  <c r="E717" i="11"/>
  <c r="E718" i="11"/>
  <c r="G718" i="11" s="1"/>
  <c r="H652" i="31" s="1"/>
  <c r="E719" i="11"/>
  <c r="E720" i="11"/>
  <c r="G720" i="11" s="1"/>
  <c r="H654" i="31" s="1"/>
  <c r="E721" i="11"/>
  <c r="E722" i="11"/>
  <c r="G722" i="11" s="1"/>
  <c r="H656" i="31" s="1"/>
  <c r="E723" i="11"/>
  <c r="E724" i="11"/>
  <c r="G724" i="11" s="1"/>
  <c r="H658" i="31" s="1"/>
  <c r="E725" i="11"/>
  <c r="E726" i="11"/>
  <c r="G726" i="11" s="1"/>
  <c r="H660" i="31" s="1"/>
  <c r="E727" i="11"/>
  <c r="E728" i="11"/>
  <c r="G728" i="11" s="1"/>
  <c r="E729" i="11"/>
  <c r="E730" i="11"/>
  <c r="G730" i="11" s="1"/>
  <c r="H663" i="31" s="1"/>
  <c r="E731" i="11"/>
  <c r="E732" i="11"/>
  <c r="G732" i="11" s="1"/>
  <c r="H665" i="31" s="1"/>
  <c r="E733" i="11"/>
  <c r="E734" i="11"/>
  <c r="G734" i="11" s="1"/>
  <c r="H667" i="31" s="1"/>
  <c r="E735" i="11"/>
  <c r="E736" i="11"/>
  <c r="G736" i="11" s="1"/>
  <c r="H669" i="31" s="1"/>
  <c r="E737" i="11"/>
  <c r="E738" i="11"/>
  <c r="G738" i="11" s="1"/>
  <c r="H671" i="31" s="1"/>
  <c r="E739" i="11"/>
  <c r="E740" i="11"/>
  <c r="G740" i="11" s="1"/>
  <c r="H672" i="31" s="1"/>
  <c r="E741" i="11"/>
  <c r="E742" i="11"/>
  <c r="G742" i="11" s="1"/>
  <c r="H674" i="31" s="1"/>
  <c r="E743" i="11"/>
  <c r="E744" i="11"/>
  <c r="G744" i="11" s="1"/>
  <c r="H676" i="31" s="1"/>
  <c r="E745" i="11"/>
  <c r="E746" i="11"/>
  <c r="G746" i="11" s="1"/>
  <c r="H678" i="31" s="1"/>
  <c r="E747" i="11"/>
  <c r="E748" i="11"/>
  <c r="G748" i="11" s="1"/>
  <c r="H680" i="31" s="1"/>
  <c r="E749" i="11"/>
  <c r="E750" i="11"/>
  <c r="G750" i="11" s="1"/>
  <c r="E751" i="11"/>
  <c r="E752" i="11"/>
  <c r="G752" i="11" s="1"/>
  <c r="H683" i="31" s="1"/>
  <c r="E753" i="11"/>
  <c r="E754" i="11"/>
  <c r="G754" i="11" s="1"/>
  <c r="H685" i="31" s="1"/>
  <c r="E755" i="11"/>
  <c r="E756" i="11"/>
  <c r="G756" i="11" s="1"/>
  <c r="H687" i="31" s="1"/>
  <c r="E757" i="11"/>
  <c r="E758" i="11"/>
  <c r="G758" i="11" s="1"/>
  <c r="H689" i="31" s="1"/>
  <c r="E759" i="11"/>
  <c r="E760" i="11"/>
  <c r="G760" i="11" s="1"/>
  <c r="H691" i="31" s="1"/>
  <c r="E761" i="11"/>
  <c r="E762" i="11"/>
  <c r="G762" i="11" s="1"/>
  <c r="H692" i="31" s="1"/>
  <c r="E763" i="11"/>
  <c r="E764" i="11"/>
  <c r="G764" i="11" s="1"/>
  <c r="H694" i="31" s="1"/>
  <c r="E765" i="11"/>
  <c r="E766" i="11"/>
  <c r="G766" i="11" s="1"/>
  <c r="H696" i="31" s="1"/>
  <c r="E767" i="11"/>
  <c r="E768" i="11"/>
  <c r="G768" i="11" s="1"/>
  <c r="H698" i="31" s="1"/>
  <c r="E769" i="11"/>
  <c r="E770" i="11"/>
  <c r="G770" i="11" s="1"/>
  <c r="H700" i="31" s="1"/>
  <c r="E771" i="11"/>
  <c r="E772" i="11"/>
  <c r="G772" i="11" s="1"/>
  <c r="E773" i="11"/>
  <c r="E774" i="11"/>
  <c r="G774" i="11" s="1"/>
  <c r="H703" i="31" s="1"/>
  <c r="E775" i="11"/>
  <c r="E776" i="11"/>
  <c r="G776" i="11" s="1"/>
  <c r="H705" i="31" s="1"/>
  <c r="E777" i="11"/>
  <c r="E778" i="11"/>
  <c r="G778" i="11" s="1"/>
  <c r="H707" i="31" s="1"/>
  <c r="E779" i="11"/>
  <c r="E780" i="11"/>
  <c r="G780" i="11" s="1"/>
  <c r="H709" i="31" s="1"/>
  <c r="E781" i="11"/>
  <c r="E782" i="11"/>
  <c r="G782" i="11" s="1"/>
  <c r="H711" i="31" s="1"/>
  <c r="E783" i="11"/>
  <c r="E784" i="11"/>
  <c r="G784" i="11" s="1"/>
  <c r="H712" i="31" s="1"/>
  <c r="E785" i="11"/>
  <c r="E786" i="11"/>
  <c r="G786" i="11" s="1"/>
  <c r="H714" i="31" s="1"/>
  <c r="E787" i="11"/>
  <c r="E788" i="11"/>
  <c r="G788" i="11" s="1"/>
  <c r="H716" i="31" s="1"/>
  <c r="E789" i="11"/>
  <c r="E790" i="11"/>
  <c r="G790" i="11" s="1"/>
  <c r="H718" i="31" s="1"/>
  <c r="E791" i="11"/>
  <c r="E792" i="11"/>
  <c r="G792" i="11" s="1"/>
  <c r="H720" i="31" s="1"/>
  <c r="E793" i="11"/>
  <c r="E794" i="11"/>
  <c r="G794" i="11" s="1"/>
  <c r="E795" i="11"/>
  <c r="E796" i="11"/>
  <c r="G796" i="11" s="1"/>
  <c r="H723" i="31" s="1"/>
  <c r="E797" i="11"/>
  <c r="E798" i="11"/>
  <c r="G798" i="11" s="1"/>
  <c r="H725" i="31" s="1"/>
  <c r="E799" i="11"/>
  <c r="E800" i="11"/>
  <c r="G800" i="11" s="1"/>
  <c r="H727" i="31" s="1"/>
  <c r="E801" i="11"/>
  <c r="E802" i="11"/>
  <c r="G802" i="11" s="1"/>
  <c r="H729" i="31" s="1"/>
  <c r="E803" i="11"/>
  <c r="E804" i="11"/>
  <c r="G804" i="11" s="1"/>
  <c r="H731" i="31" s="1"/>
  <c r="E805" i="11"/>
  <c r="E806" i="11"/>
  <c r="G806" i="11" s="1"/>
  <c r="H732" i="31" s="1"/>
  <c r="E807" i="11"/>
  <c r="E808" i="11"/>
  <c r="G808" i="11" s="1"/>
  <c r="H734" i="31" s="1"/>
  <c r="E809" i="11"/>
  <c r="E810" i="11"/>
  <c r="G810" i="11" s="1"/>
  <c r="H736" i="31" s="1"/>
  <c r="E811" i="11"/>
  <c r="E812" i="11"/>
  <c r="G812" i="11" s="1"/>
  <c r="H738" i="31" s="1"/>
  <c r="E813" i="11"/>
  <c r="E814" i="11"/>
  <c r="G814" i="11" s="1"/>
  <c r="H740" i="31" s="1"/>
  <c r="E815" i="11"/>
  <c r="E816" i="11"/>
  <c r="G816" i="11" s="1"/>
  <c r="E817" i="11"/>
  <c r="E818" i="11"/>
  <c r="G818" i="11" s="1"/>
  <c r="H743" i="31" s="1"/>
  <c r="E819" i="11"/>
  <c r="E820" i="11"/>
  <c r="G820" i="11" s="1"/>
  <c r="H745" i="31" s="1"/>
  <c r="E821" i="11"/>
  <c r="E822" i="11"/>
  <c r="G822" i="11" s="1"/>
  <c r="H747" i="31" s="1"/>
  <c r="E823" i="11"/>
  <c r="E824" i="11"/>
  <c r="G824" i="11" s="1"/>
  <c r="H749" i="31" s="1"/>
  <c r="E825" i="11"/>
  <c r="E826" i="11"/>
  <c r="G826" i="11" s="1"/>
  <c r="H751" i="31" s="1"/>
  <c r="E827" i="11"/>
  <c r="E828" i="11"/>
  <c r="G828" i="11" s="1"/>
  <c r="H752" i="31" s="1"/>
  <c r="E829" i="11"/>
  <c r="E830" i="11"/>
  <c r="G830" i="11" s="1"/>
  <c r="H754" i="31" s="1"/>
  <c r="E831" i="11"/>
  <c r="E832" i="11"/>
  <c r="G832" i="11" s="1"/>
  <c r="H756" i="31" s="1"/>
  <c r="E833" i="11"/>
  <c r="E834" i="11"/>
  <c r="G834" i="11" s="1"/>
  <c r="H758" i="31" s="1"/>
  <c r="E835" i="11"/>
  <c r="E836" i="11"/>
  <c r="G836" i="11" s="1"/>
  <c r="H760" i="31" s="1"/>
  <c r="E837" i="11"/>
  <c r="E838" i="11"/>
  <c r="G838" i="11" s="1"/>
  <c r="E839" i="11"/>
  <c r="E840" i="11"/>
  <c r="G840" i="11" s="1"/>
  <c r="H763" i="31" s="1"/>
  <c r="E841" i="11"/>
  <c r="E842" i="11"/>
  <c r="G842" i="11" s="1"/>
  <c r="H765" i="31" s="1"/>
  <c r="E843" i="11"/>
  <c r="E844" i="11"/>
  <c r="G844" i="11" s="1"/>
  <c r="H767" i="31" s="1"/>
  <c r="E845" i="11"/>
  <c r="E846" i="11"/>
  <c r="G846" i="11" s="1"/>
  <c r="H769" i="31" s="1"/>
  <c r="E847" i="11"/>
  <c r="E848" i="11"/>
  <c r="G848" i="11" s="1"/>
  <c r="H771" i="31" s="1"/>
  <c r="E849" i="11"/>
  <c r="E850" i="11"/>
  <c r="G850" i="11" s="1"/>
  <c r="H772" i="31" s="1"/>
  <c r="E851" i="11"/>
  <c r="E852" i="11"/>
  <c r="G852" i="11" s="1"/>
  <c r="H774" i="31" s="1"/>
  <c r="E853" i="11"/>
  <c r="E854" i="11"/>
  <c r="G854" i="11" s="1"/>
  <c r="H776" i="31" s="1"/>
  <c r="E855" i="11"/>
  <c r="E856" i="11"/>
  <c r="G856" i="11" s="1"/>
  <c r="H778" i="31" s="1"/>
  <c r="E857" i="11"/>
  <c r="E858" i="11"/>
  <c r="G858" i="11" s="1"/>
  <c r="H780" i="31" s="1"/>
  <c r="E859" i="11"/>
  <c r="E860" i="11"/>
  <c r="G860" i="11" s="1"/>
  <c r="E861" i="11"/>
  <c r="E862" i="11"/>
  <c r="G862" i="11" s="1"/>
  <c r="H783" i="31" s="1"/>
  <c r="E863" i="11"/>
  <c r="E864" i="11"/>
  <c r="G864" i="11" s="1"/>
  <c r="H785" i="31" s="1"/>
  <c r="E865" i="11"/>
  <c r="E866" i="11"/>
  <c r="G866" i="11" s="1"/>
  <c r="H787" i="31" s="1"/>
  <c r="E867" i="11"/>
  <c r="E868" i="11"/>
  <c r="G868" i="11" s="1"/>
  <c r="H789" i="31" s="1"/>
  <c r="E869" i="11"/>
  <c r="E870" i="11"/>
  <c r="G870" i="11" s="1"/>
  <c r="H791" i="31" s="1"/>
  <c r="E871" i="11"/>
  <c r="E872" i="11"/>
  <c r="G872" i="11" s="1"/>
  <c r="H792" i="31" s="1"/>
  <c r="E873" i="11"/>
  <c r="E874" i="11"/>
  <c r="G874" i="11" s="1"/>
  <c r="H794" i="31" s="1"/>
  <c r="E875" i="11"/>
  <c r="E876" i="11"/>
  <c r="G876" i="11" s="1"/>
  <c r="H796" i="31" s="1"/>
  <c r="E877" i="11"/>
  <c r="E878" i="11"/>
  <c r="G878" i="11" s="1"/>
  <c r="H798" i="31" s="1"/>
  <c r="E879" i="11"/>
  <c r="E880" i="11"/>
  <c r="G880" i="11" s="1"/>
  <c r="H800" i="31" s="1"/>
  <c r="E881" i="11"/>
  <c r="E882" i="11"/>
  <c r="G882" i="11" s="1"/>
  <c r="E883" i="11"/>
  <c r="E884" i="11"/>
  <c r="G884" i="11" s="1"/>
  <c r="H803" i="31" s="1"/>
  <c r="E885" i="11"/>
  <c r="E886" i="11"/>
  <c r="G886" i="11" s="1"/>
  <c r="H805" i="31" s="1"/>
  <c r="E887" i="11"/>
  <c r="E888" i="11"/>
  <c r="G888" i="11" s="1"/>
  <c r="H807" i="31" s="1"/>
  <c r="E889" i="11"/>
  <c r="E890" i="11"/>
  <c r="G890" i="11" s="1"/>
  <c r="H809" i="31" s="1"/>
  <c r="E891" i="11"/>
  <c r="E892" i="11"/>
  <c r="G892" i="11" s="1"/>
  <c r="H811" i="31" s="1"/>
  <c r="E893" i="11"/>
  <c r="E894" i="11"/>
  <c r="G894" i="11" s="1"/>
  <c r="H812" i="31" s="1"/>
  <c r="E895" i="11"/>
  <c r="E896" i="11"/>
  <c r="G896" i="11" s="1"/>
  <c r="H814" i="31" s="1"/>
  <c r="E897" i="11"/>
  <c r="E898" i="11"/>
  <c r="G898" i="11" s="1"/>
  <c r="H816" i="31" s="1"/>
  <c r="E899" i="11"/>
  <c r="E900" i="11"/>
  <c r="G900" i="11" s="1"/>
  <c r="H818" i="31" s="1"/>
  <c r="E901" i="11"/>
  <c r="E902" i="11"/>
  <c r="G902" i="11" s="1"/>
  <c r="H820" i="31" s="1"/>
  <c r="E903" i="11"/>
  <c r="E904" i="11"/>
  <c r="G904" i="11" s="1"/>
  <c r="E905" i="11"/>
  <c r="E906" i="11"/>
  <c r="G906" i="11" s="1"/>
  <c r="H823" i="31" s="1"/>
  <c r="E907" i="11"/>
  <c r="E908" i="11"/>
  <c r="G908" i="11" s="1"/>
  <c r="H825" i="31" s="1"/>
  <c r="E909" i="11"/>
  <c r="E910" i="11"/>
  <c r="G910" i="11" s="1"/>
  <c r="H827" i="31" s="1"/>
  <c r="E911" i="11"/>
  <c r="E912" i="11"/>
  <c r="G912" i="11" s="1"/>
  <c r="H829" i="31" s="1"/>
  <c r="E913" i="11"/>
  <c r="E914" i="11"/>
  <c r="G914" i="11" s="1"/>
  <c r="H831" i="31" s="1"/>
  <c r="E915" i="11"/>
  <c r="G915" i="11" s="1"/>
  <c r="E916" i="11"/>
  <c r="G916" i="11" s="1"/>
  <c r="H832" i="31" s="1"/>
  <c r="E917" i="11"/>
  <c r="E918" i="11"/>
  <c r="G918" i="11" s="1"/>
  <c r="H834" i="31" s="1"/>
  <c r="E919" i="11"/>
  <c r="G919" i="11" s="1"/>
  <c r="H835" i="31" s="1"/>
  <c r="E920" i="11"/>
  <c r="G920" i="11" s="1"/>
  <c r="H836" i="31" s="1"/>
  <c r="E921" i="11"/>
  <c r="E922" i="11"/>
  <c r="G922" i="11" s="1"/>
  <c r="H838" i="31" s="1"/>
  <c r="E923" i="11"/>
  <c r="G923" i="11" s="1"/>
  <c r="H839" i="31" s="1"/>
  <c r="E924" i="11"/>
  <c r="G924" i="11" s="1"/>
  <c r="H840" i="31" s="1"/>
  <c r="E925" i="11"/>
  <c r="E926" i="11"/>
  <c r="G926" i="11" s="1"/>
  <c r="E927" i="11"/>
  <c r="G927" i="11" s="1"/>
  <c r="H842" i="31" s="1"/>
  <c r="E928" i="11"/>
  <c r="G928" i="11" s="1"/>
  <c r="H843" i="31" s="1"/>
  <c r="E929" i="11"/>
  <c r="E930" i="11"/>
  <c r="G930" i="11" s="1"/>
  <c r="H845" i="31" s="1"/>
  <c r="E931" i="11"/>
  <c r="G931" i="11" s="1"/>
  <c r="H846" i="31" s="1"/>
  <c r="E932" i="11"/>
  <c r="G932" i="11" s="1"/>
  <c r="H847" i="31" s="1"/>
  <c r="E933" i="11"/>
  <c r="E934" i="11"/>
  <c r="G934" i="11" s="1"/>
  <c r="H849" i="31" s="1"/>
  <c r="E935" i="11"/>
  <c r="G935" i="11" s="1"/>
  <c r="H850" i="31" s="1"/>
  <c r="E936" i="11"/>
  <c r="G936" i="11" s="1"/>
  <c r="H851" i="31" s="1"/>
  <c r="E937" i="11"/>
  <c r="E938" i="11"/>
  <c r="G938" i="11" s="1"/>
  <c r="H852" i="31" s="1"/>
  <c r="E939" i="11"/>
  <c r="G939" i="11" s="1"/>
  <c r="H853" i="31" s="1"/>
  <c r="E940" i="11"/>
  <c r="G940" i="11" s="1"/>
  <c r="H854" i="31" s="1"/>
  <c r="E941" i="11"/>
  <c r="E942" i="11"/>
  <c r="G942" i="11" s="1"/>
  <c r="H856" i="31" s="1"/>
  <c r="E943" i="11"/>
  <c r="G943" i="11" s="1"/>
  <c r="H857" i="31" s="1"/>
  <c r="E944" i="11"/>
  <c r="G944" i="11" s="1"/>
  <c r="H858" i="31" s="1"/>
  <c r="E945" i="11"/>
  <c r="E946" i="11"/>
  <c r="G946" i="11" s="1"/>
  <c r="H860" i="31" s="1"/>
  <c r="E947" i="11"/>
  <c r="G947" i="11" s="1"/>
  <c r="H861" i="31" s="1"/>
  <c r="E948" i="11"/>
  <c r="G948" i="11" s="1"/>
  <c r="E949" i="11"/>
  <c r="E950" i="11"/>
  <c r="G950" i="11" s="1"/>
  <c r="H863" i="31" s="1"/>
  <c r="E951" i="11"/>
  <c r="G951" i="11" s="1"/>
  <c r="H864" i="31" s="1"/>
  <c r="E952" i="11"/>
  <c r="G952" i="11" s="1"/>
  <c r="H865" i="31" s="1"/>
  <c r="E953" i="11"/>
  <c r="E954" i="11"/>
  <c r="G954" i="11" s="1"/>
  <c r="H867" i="31" s="1"/>
  <c r="E955" i="11"/>
  <c r="G955" i="11" s="1"/>
  <c r="H868" i="31" s="1"/>
  <c r="E956" i="11"/>
  <c r="G956" i="11" s="1"/>
  <c r="H869" i="31" s="1"/>
  <c r="E957" i="11"/>
  <c r="E958" i="11"/>
  <c r="G958" i="11" s="1"/>
  <c r="H871" i="31" s="1"/>
  <c r="E959" i="11"/>
  <c r="G959" i="11" s="1"/>
  <c r="E960" i="11"/>
  <c r="G960" i="11" s="1"/>
  <c r="H872" i="31" s="1"/>
  <c r="E961" i="11"/>
  <c r="E962" i="11"/>
  <c r="G962" i="11" s="1"/>
  <c r="H874" i="31" s="1"/>
  <c r="E963" i="11"/>
  <c r="G963" i="11" s="1"/>
  <c r="H875" i="31" s="1"/>
  <c r="E964" i="11"/>
  <c r="G964" i="11" s="1"/>
  <c r="H876" i="31" s="1"/>
  <c r="E965" i="11"/>
  <c r="E966" i="11"/>
  <c r="G966" i="11" s="1"/>
  <c r="H878" i="31" s="1"/>
  <c r="E967" i="11"/>
  <c r="G967" i="11" s="1"/>
  <c r="H879" i="31" s="1"/>
  <c r="E968" i="11"/>
  <c r="G968" i="11" s="1"/>
  <c r="H880" i="31" s="1"/>
  <c r="E969" i="11"/>
  <c r="E970" i="11"/>
  <c r="G970" i="11" s="1"/>
  <c r="E971" i="11"/>
  <c r="G971" i="11" s="1"/>
  <c r="H882" i="31" s="1"/>
  <c r="E972" i="11"/>
  <c r="G972" i="11" s="1"/>
  <c r="H883" i="31" s="1"/>
  <c r="E973" i="11"/>
  <c r="E974" i="11"/>
  <c r="G974" i="11" s="1"/>
  <c r="H885" i="31" s="1"/>
  <c r="E975" i="11"/>
  <c r="G975" i="11" s="1"/>
  <c r="H886" i="31" s="1"/>
  <c r="E976" i="11"/>
  <c r="G976" i="11" s="1"/>
  <c r="H887" i="31" s="1"/>
  <c r="E977" i="11"/>
  <c r="E978" i="11"/>
  <c r="G978" i="11" s="1"/>
  <c r="H889" i="31" s="1"/>
  <c r="E979" i="11"/>
  <c r="G979" i="11" s="1"/>
  <c r="H890" i="31" s="1"/>
  <c r="E980" i="11"/>
  <c r="G980" i="11" s="1"/>
  <c r="H891" i="31" s="1"/>
  <c r="E981" i="11"/>
  <c r="E982" i="11"/>
  <c r="G982" i="11" s="1"/>
  <c r="H892" i="31" s="1"/>
  <c r="E983" i="11"/>
  <c r="G983" i="11" s="1"/>
  <c r="H893" i="31" s="1"/>
  <c r="E984" i="11"/>
  <c r="G984" i="11" s="1"/>
  <c r="H894" i="31" s="1"/>
  <c r="E985" i="11"/>
  <c r="E986" i="11"/>
  <c r="G986" i="11" s="1"/>
  <c r="H896" i="31" s="1"/>
  <c r="E987" i="11"/>
  <c r="G987" i="11" s="1"/>
  <c r="H897" i="31" s="1"/>
  <c r="E988" i="11"/>
  <c r="G988" i="11" s="1"/>
  <c r="H898" i="31" s="1"/>
  <c r="E989" i="11"/>
  <c r="E990" i="11"/>
  <c r="G990" i="11" s="1"/>
  <c r="H900" i="31" s="1"/>
  <c r="E991" i="11"/>
  <c r="G991" i="11" s="1"/>
  <c r="H901" i="31" s="1"/>
  <c r="E992" i="11"/>
  <c r="G992" i="11" s="1"/>
  <c r="E993" i="11"/>
  <c r="E994" i="11"/>
  <c r="G994" i="11" s="1"/>
  <c r="H903" i="31" s="1"/>
  <c r="E995" i="11"/>
  <c r="G995" i="11" s="1"/>
  <c r="H904" i="31" s="1"/>
  <c r="E996" i="11"/>
  <c r="G996" i="11" s="1"/>
  <c r="H905" i="31" s="1"/>
  <c r="E997" i="11"/>
  <c r="E998" i="11"/>
  <c r="G998" i="11" s="1"/>
  <c r="H907" i="31" s="1"/>
  <c r="E999" i="11"/>
  <c r="G999" i="11" s="1"/>
  <c r="H908" i="31" s="1"/>
  <c r="E1000" i="11"/>
  <c r="G1000" i="11" s="1"/>
  <c r="H909" i="31" s="1"/>
  <c r="E1001" i="11"/>
  <c r="E1002" i="11"/>
  <c r="G1002" i="11" s="1"/>
  <c r="H911" i="31" s="1"/>
  <c r="E1003" i="11"/>
  <c r="G1003" i="11" s="1"/>
  <c r="E1004" i="11"/>
  <c r="G1004" i="11" s="1"/>
  <c r="H912" i="31" s="1"/>
  <c r="E1005" i="11"/>
  <c r="E1006" i="11"/>
  <c r="G1006" i="11" s="1"/>
  <c r="H914" i="31" s="1"/>
  <c r="E1007" i="11"/>
  <c r="G1007" i="11" s="1"/>
  <c r="H915" i="31" s="1"/>
  <c r="E1008" i="11"/>
  <c r="G1008" i="11" s="1"/>
  <c r="H916" i="31" s="1"/>
  <c r="E1009" i="11"/>
  <c r="E1010" i="11"/>
  <c r="G1010" i="11" s="1"/>
  <c r="H918" i="31" s="1"/>
  <c r="E1011" i="11"/>
  <c r="G1011" i="11" s="1"/>
  <c r="H919" i="31" s="1"/>
  <c r="E1012" i="11"/>
  <c r="G1012" i="11" s="1"/>
  <c r="H920" i="31" s="1"/>
  <c r="E1013" i="11"/>
  <c r="E1014" i="11"/>
  <c r="G1014" i="11" s="1"/>
  <c r="E1015" i="11"/>
  <c r="G1015" i="11" s="1"/>
  <c r="H922" i="31" s="1"/>
  <c r="E1016" i="11"/>
  <c r="G1016" i="11" s="1"/>
  <c r="H923" i="31" s="1"/>
  <c r="E1017" i="11"/>
  <c r="E1018" i="11"/>
  <c r="G1018" i="11" s="1"/>
  <c r="H925" i="31" s="1"/>
  <c r="E1019" i="11"/>
  <c r="G1019" i="11" s="1"/>
  <c r="H926" i="31" s="1"/>
  <c r="E1020" i="11"/>
  <c r="G1020" i="11" s="1"/>
  <c r="H927" i="31" s="1"/>
  <c r="E1021" i="11"/>
  <c r="E1022" i="11"/>
  <c r="G1022" i="11" s="1"/>
  <c r="H929" i="31" s="1"/>
  <c r="E1023" i="11"/>
  <c r="G1023" i="11" s="1"/>
  <c r="H930" i="31" s="1"/>
  <c r="E1024" i="11"/>
  <c r="G1024" i="11" s="1"/>
  <c r="H931" i="31" s="1"/>
  <c r="E1025" i="11"/>
  <c r="E1026" i="11"/>
  <c r="G1026" i="11" s="1"/>
  <c r="H932" i="31" s="1"/>
  <c r="E1027" i="11"/>
  <c r="G1027" i="11" s="1"/>
  <c r="H933" i="31" s="1"/>
  <c r="E1028" i="11"/>
  <c r="G1028" i="11" s="1"/>
  <c r="H934" i="31" s="1"/>
  <c r="E1029" i="11"/>
  <c r="E1030" i="11"/>
  <c r="G1030" i="11" s="1"/>
  <c r="H936" i="31" s="1"/>
  <c r="E1031" i="11"/>
  <c r="G1031" i="11" s="1"/>
  <c r="H937" i="31" s="1"/>
  <c r="E1032" i="11"/>
  <c r="G1032" i="11" s="1"/>
  <c r="H938" i="31" s="1"/>
  <c r="E1033" i="11"/>
  <c r="E1034" i="11"/>
  <c r="G1034" i="11" s="1"/>
  <c r="H940" i="31" s="1"/>
  <c r="E1035" i="11"/>
  <c r="G1035" i="11" s="1"/>
  <c r="H941" i="31" s="1"/>
  <c r="E1036" i="11"/>
  <c r="G1036" i="11" s="1"/>
  <c r="E1037" i="11"/>
  <c r="E1038" i="11"/>
  <c r="G1038" i="11" s="1"/>
  <c r="H943" i="31" s="1"/>
  <c r="E1039" i="11"/>
  <c r="G1039" i="11" s="1"/>
  <c r="H944" i="31" s="1"/>
  <c r="E1040" i="11"/>
  <c r="G1040" i="11" s="1"/>
  <c r="H945" i="31" s="1"/>
  <c r="E1041" i="11"/>
  <c r="E1042" i="11"/>
  <c r="G1042" i="11" s="1"/>
  <c r="H947" i="31" s="1"/>
  <c r="E1043" i="11"/>
  <c r="G1043" i="11" s="1"/>
  <c r="H948" i="31" s="1"/>
  <c r="E1044" i="11"/>
  <c r="G1044" i="11" s="1"/>
  <c r="H949" i="31" s="1"/>
  <c r="E1045" i="11"/>
  <c r="E1046" i="11"/>
  <c r="G1046" i="11" s="1"/>
  <c r="H951" i="31" s="1"/>
  <c r="E1047" i="11"/>
  <c r="G1047" i="11" s="1"/>
  <c r="E1048" i="11"/>
  <c r="G1048" i="11" s="1"/>
  <c r="H952" i="31" s="1"/>
  <c r="E1049" i="11"/>
  <c r="E1050" i="11"/>
  <c r="G1050" i="11" s="1"/>
  <c r="H954" i="31" s="1"/>
  <c r="E1051" i="11"/>
  <c r="G1051" i="11" s="1"/>
  <c r="H955" i="31" s="1"/>
  <c r="E1052" i="11"/>
  <c r="G1052" i="11" s="1"/>
  <c r="H956" i="31" s="1"/>
  <c r="E1053" i="11"/>
  <c r="E1054" i="11"/>
  <c r="G1054" i="11" s="1"/>
  <c r="H958" i="31" s="1"/>
  <c r="E1055" i="11"/>
  <c r="G1055" i="11" s="1"/>
  <c r="H959" i="31" s="1"/>
  <c r="E1056" i="11"/>
  <c r="G1056" i="11" s="1"/>
  <c r="H960" i="31" s="1"/>
  <c r="E1057" i="11"/>
  <c r="E1058" i="11"/>
  <c r="G1058" i="11" s="1"/>
  <c r="E1059" i="11"/>
  <c r="G1059" i="11" s="1"/>
  <c r="H962" i="31" s="1"/>
  <c r="E1060" i="11"/>
  <c r="G1060" i="11" s="1"/>
  <c r="H963" i="31" s="1"/>
  <c r="E1061" i="11"/>
  <c r="E1062" i="11"/>
  <c r="G1062" i="11" s="1"/>
  <c r="H965" i="31" s="1"/>
  <c r="E1063" i="11"/>
  <c r="G1063" i="11" s="1"/>
  <c r="H966" i="31" s="1"/>
  <c r="E1064" i="11"/>
  <c r="G1064" i="11" s="1"/>
  <c r="H967" i="31" s="1"/>
  <c r="E1065" i="11"/>
  <c r="E1066" i="11"/>
  <c r="G1066" i="11" s="1"/>
  <c r="H969" i="31" s="1"/>
  <c r="E1067" i="11"/>
  <c r="G1067" i="11" s="1"/>
  <c r="H970" i="31" s="1"/>
  <c r="E1068" i="11"/>
  <c r="G1068" i="11" s="1"/>
  <c r="H971" i="31" s="1"/>
  <c r="E1069" i="11"/>
  <c r="E1070" i="11"/>
  <c r="G1070" i="11" s="1"/>
  <c r="H972" i="31" s="1"/>
  <c r="E1071" i="11"/>
  <c r="G1071" i="11" s="1"/>
  <c r="H973" i="31" s="1"/>
  <c r="E1072" i="11"/>
  <c r="G1072" i="11" s="1"/>
  <c r="H974" i="31" s="1"/>
  <c r="E1073" i="11"/>
  <c r="E1074" i="11"/>
  <c r="G1074" i="11" s="1"/>
  <c r="H976" i="31" s="1"/>
  <c r="E1075" i="11"/>
  <c r="G1075" i="11" s="1"/>
  <c r="H977" i="31" s="1"/>
  <c r="E1076" i="11"/>
  <c r="G1076" i="11" s="1"/>
  <c r="H978" i="31" s="1"/>
  <c r="E1077" i="11"/>
  <c r="E1078" i="11"/>
  <c r="G1078" i="11" s="1"/>
  <c r="H980" i="31" s="1"/>
  <c r="E1079" i="11"/>
  <c r="G1079" i="11" s="1"/>
  <c r="H981" i="31" s="1"/>
  <c r="E1080" i="11"/>
  <c r="G1080" i="11" s="1"/>
  <c r="E1081" i="11"/>
  <c r="E1082" i="11"/>
  <c r="G1082" i="11" s="1"/>
  <c r="H983" i="31" s="1"/>
  <c r="E1083" i="11"/>
  <c r="G1083" i="11" s="1"/>
  <c r="H984" i="31" s="1"/>
  <c r="E1084" i="11"/>
  <c r="G1084" i="11" s="1"/>
  <c r="H985" i="31" s="1"/>
  <c r="E1085" i="11"/>
  <c r="E1086" i="11"/>
  <c r="G1086" i="11" s="1"/>
  <c r="H987" i="31" s="1"/>
  <c r="E1087" i="11"/>
  <c r="G1087" i="11" s="1"/>
  <c r="H988" i="31" s="1"/>
  <c r="E1088" i="11"/>
  <c r="G1088" i="11" s="1"/>
  <c r="H989" i="31" s="1"/>
  <c r="E1089" i="11"/>
  <c r="E1090" i="11"/>
  <c r="G1090" i="11" s="1"/>
  <c r="H991" i="31" s="1"/>
  <c r="E1091" i="11"/>
  <c r="G1091" i="11" s="1"/>
  <c r="E1092" i="11"/>
  <c r="G1092" i="11" s="1"/>
  <c r="H992" i="31" s="1"/>
  <c r="E1093" i="11"/>
  <c r="E1094" i="11"/>
  <c r="G1094" i="11" s="1"/>
  <c r="H994" i="31" s="1"/>
  <c r="E1095" i="11"/>
  <c r="G1095" i="11" s="1"/>
  <c r="H995" i="31" s="1"/>
  <c r="E1096" i="11"/>
  <c r="G1096" i="11" s="1"/>
  <c r="H996" i="31" s="1"/>
  <c r="E1097" i="11"/>
  <c r="E1098" i="11"/>
  <c r="G1098" i="11" s="1"/>
  <c r="H998" i="31" s="1"/>
  <c r="E1099" i="11"/>
  <c r="G1099" i="11" s="1"/>
  <c r="H999" i="31" s="1"/>
  <c r="E1100" i="11"/>
  <c r="G1100" i="11" s="1"/>
  <c r="H1000" i="31" s="1"/>
  <c r="E1101" i="11"/>
  <c r="E1102" i="11"/>
  <c r="G1102" i="11" s="1"/>
  <c r="E1103" i="11"/>
  <c r="G1103" i="11" s="1"/>
  <c r="H1002" i="31" s="1"/>
  <c r="E1104" i="11"/>
  <c r="G1104" i="11" s="1"/>
  <c r="H1003" i="31" s="1"/>
  <c r="E1105" i="11"/>
  <c r="E1106" i="11"/>
  <c r="G1106" i="11" s="1"/>
  <c r="H1005" i="31" s="1"/>
  <c r="E1107" i="11"/>
  <c r="G1107" i="11" s="1"/>
  <c r="H1006" i="31" s="1"/>
  <c r="E1108" i="11"/>
  <c r="G1108" i="11" s="1"/>
  <c r="H1007" i="31" s="1"/>
  <c r="E1109" i="11"/>
  <c r="E1110" i="11"/>
  <c r="G1110" i="11" s="1"/>
  <c r="H1009" i="31" s="1"/>
  <c r="E1111" i="11"/>
  <c r="G1111" i="11" s="1"/>
  <c r="H1010" i="31" s="1"/>
  <c r="E1112" i="11"/>
  <c r="G1112" i="11" s="1"/>
  <c r="H1011" i="31" s="1"/>
  <c r="E1113" i="11"/>
  <c r="E1114" i="11"/>
  <c r="G1114" i="11" s="1"/>
  <c r="H1012" i="31" s="1"/>
  <c r="E1115" i="11"/>
  <c r="G1115" i="11" s="1"/>
  <c r="H1013" i="31" s="1"/>
  <c r="E1116" i="11"/>
  <c r="G1116" i="11" s="1"/>
  <c r="H1014" i="31" s="1"/>
  <c r="E1117" i="11"/>
  <c r="E1118" i="11"/>
  <c r="G1118" i="11" s="1"/>
  <c r="H1016" i="31" s="1"/>
  <c r="E1119" i="11"/>
  <c r="G1119" i="11" s="1"/>
  <c r="H1017" i="31" s="1"/>
  <c r="E1120" i="11"/>
  <c r="G1120" i="11" s="1"/>
  <c r="H1018" i="31" s="1"/>
  <c r="E1121" i="11"/>
  <c r="E1122" i="11"/>
  <c r="G1122" i="11" s="1"/>
  <c r="H1020" i="31" s="1"/>
  <c r="E1123" i="11"/>
  <c r="G1123" i="11" s="1"/>
  <c r="H1021" i="31" s="1"/>
  <c r="E1124" i="11"/>
  <c r="G1124" i="11" s="1"/>
  <c r="E1125" i="11"/>
  <c r="E1126" i="11"/>
  <c r="G1126" i="11" s="1"/>
  <c r="H1023" i="31" s="1"/>
  <c r="E1127" i="11"/>
  <c r="G1127" i="11" s="1"/>
  <c r="H1024" i="31" s="1"/>
  <c r="E1128" i="11"/>
  <c r="G1128" i="11" s="1"/>
  <c r="H1025" i="31" s="1"/>
  <c r="E1129" i="11"/>
  <c r="E1130" i="11"/>
  <c r="G1130" i="11" s="1"/>
  <c r="H1027" i="31" s="1"/>
  <c r="E1131" i="11"/>
  <c r="G1131" i="11" s="1"/>
  <c r="H1028" i="31" s="1"/>
  <c r="E1132" i="11"/>
  <c r="G1132" i="11" s="1"/>
  <c r="H1029" i="31" s="1"/>
  <c r="E1133" i="11"/>
  <c r="E1134" i="11"/>
  <c r="G1134" i="11" s="1"/>
  <c r="H1031" i="31" s="1"/>
  <c r="E1135" i="11"/>
  <c r="G1135" i="11" s="1"/>
  <c r="E1136" i="11"/>
  <c r="G1136" i="11" s="1"/>
  <c r="H1032" i="31" s="1"/>
  <c r="E1137" i="11"/>
  <c r="E1138" i="11"/>
  <c r="G1138" i="11" s="1"/>
  <c r="H1034" i="31" s="1"/>
  <c r="E1139" i="11"/>
  <c r="G1139" i="11" s="1"/>
  <c r="H1035" i="31" s="1"/>
  <c r="E1140" i="11"/>
  <c r="G1140" i="11" s="1"/>
  <c r="H1036" i="31" s="1"/>
  <c r="E1141" i="11"/>
  <c r="E1142" i="11"/>
  <c r="G1142" i="11" s="1"/>
  <c r="H1038" i="31" s="1"/>
  <c r="E1143" i="11"/>
  <c r="G1143" i="11" s="1"/>
  <c r="H1039" i="31" s="1"/>
  <c r="E1144" i="11"/>
  <c r="G1144" i="11" s="1"/>
  <c r="H1040" i="31" s="1"/>
  <c r="E1145" i="11"/>
  <c r="E1146" i="11"/>
  <c r="G1146" i="11" s="1"/>
  <c r="E1147" i="11"/>
  <c r="G1147" i="11" s="1"/>
  <c r="H1042" i="31" s="1"/>
  <c r="E1148" i="11"/>
  <c r="G1148" i="11" s="1"/>
  <c r="H1043" i="31" s="1"/>
  <c r="E1149" i="11"/>
  <c r="E1150" i="11"/>
  <c r="G1150" i="11" s="1"/>
  <c r="H1045" i="31" s="1"/>
  <c r="E1151" i="11"/>
  <c r="G1151" i="11" s="1"/>
  <c r="H1046" i="31" s="1"/>
  <c r="E1152" i="11"/>
  <c r="G1152" i="11" s="1"/>
  <c r="H1047" i="31" s="1"/>
  <c r="E1153" i="11"/>
  <c r="E1154" i="11"/>
  <c r="G1154" i="11" s="1"/>
  <c r="H1049" i="31" s="1"/>
  <c r="E1155" i="11"/>
  <c r="G1155" i="11" s="1"/>
  <c r="H1050" i="31" s="1"/>
  <c r="E1156" i="11"/>
  <c r="G1156" i="11" s="1"/>
  <c r="H1051" i="31" s="1"/>
  <c r="E1157" i="11"/>
  <c r="E1158" i="11"/>
  <c r="G1158" i="11" s="1"/>
  <c r="H1052" i="31" s="1"/>
  <c r="E1159" i="11"/>
  <c r="G1159" i="11" s="1"/>
  <c r="H1053" i="31" s="1"/>
  <c r="E1160" i="11"/>
  <c r="G1160" i="11" s="1"/>
  <c r="H1054" i="31" s="1"/>
  <c r="E1161" i="11"/>
  <c r="E1162" i="11"/>
  <c r="G1162" i="11" s="1"/>
  <c r="H1056" i="31" s="1"/>
  <c r="E1163" i="11"/>
  <c r="G1163" i="11" s="1"/>
  <c r="H1057" i="31" s="1"/>
  <c r="E1164" i="11"/>
  <c r="G1164" i="11" s="1"/>
  <c r="H1058" i="31" s="1"/>
  <c r="E1165" i="11"/>
  <c r="E1166" i="11"/>
  <c r="G1166" i="11" s="1"/>
  <c r="H1060" i="31" s="1"/>
  <c r="E1167" i="11"/>
  <c r="G1167" i="11" s="1"/>
  <c r="H1061" i="31" s="1"/>
  <c r="E1168" i="11"/>
  <c r="G1168" i="11" s="1"/>
  <c r="E1169" i="11"/>
  <c r="E1170" i="11"/>
  <c r="G1170" i="11" s="1"/>
  <c r="H1063" i="31" s="1"/>
  <c r="E1171" i="11"/>
  <c r="G1171" i="11" s="1"/>
  <c r="H1064" i="31" s="1"/>
  <c r="E1172" i="11"/>
  <c r="G1172" i="11" s="1"/>
  <c r="H1065" i="31" s="1"/>
  <c r="E1173" i="11"/>
  <c r="E1174" i="11"/>
  <c r="G1174" i="11" s="1"/>
  <c r="H1067" i="31" s="1"/>
  <c r="E1175" i="11"/>
  <c r="G1175" i="11" s="1"/>
  <c r="H1068" i="31" s="1"/>
  <c r="E1176" i="11"/>
  <c r="G1176" i="11" s="1"/>
  <c r="H1069" i="31" s="1"/>
  <c r="E1177" i="11"/>
  <c r="E1178" i="11"/>
  <c r="G1178" i="11" s="1"/>
  <c r="H1071" i="31" s="1"/>
  <c r="E1179" i="11"/>
  <c r="G1179" i="11" s="1"/>
  <c r="E1180" i="11"/>
  <c r="G1180" i="11" s="1"/>
  <c r="H1072" i="31" s="1"/>
  <c r="E1181" i="11"/>
  <c r="E1182" i="11"/>
  <c r="G1182" i="11" s="1"/>
  <c r="H1074" i="31" s="1"/>
  <c r="E1183" i="11"/>
  <c r="G1183" i="11" s="1"/>
  <c r="H1075" i="31" s="1"/>
  <c r="E1184" i="11"/>
  <c r="G1184" i="11" s="1"/>
  <c r="H1076" i="31" s="1"/>
  <c r="E1185" i="11"/>
  <c r="E1186" i="11"/>
  <c r="G1186" i="11" s="1"/>
  <c r="H1078" i="31" s="1"/>
  <c r="E1187" i="11"/>
  <c r="G1187" i="11" s="1"/>
  <c r="H1079" i="31" s="1"/>
  <c r="E1188" i="11"/>
  <c r="G1188" i="11" s="1"/>
  <c r="H1080" i="31" s="1"/>
  <c r="E1189" i="11"/>
  <c r="E1190" i="11"/>
  <c r="G1190" i="11" s="1"/>
  <c r="E1191" i="11"/>
  <c r="G1191" i="11" s="1"/>
  <c r="H1082" i="31" s="1"/>
  <c r="E1192" i="11"/>
  <c r="G1192" i="11" s="1"/>
  <c r="H1083" i="31" s="1"/>
  <c r="E1193" i="11"/>
  <c r="E1194" i="11"/>
  <c r="G1194" i="11" s="1"/>
  <c r="H1085" i="31" s="1"/>
  <c r="E1195" i="11"/>
  <c r="G1195" i="11" s="1"/>
  <c r="H1086" i="31" s="1"/>
  <c r="E1196" i="11"/>
  <c r="G1196" i="11" s="1"/>
  <c r="H1087" i="31" s="1"/>
  <c r="E1197" i="11"/>
  <c r="E1198" i="11"/>
  <c r="G1198" i="11" s="1"/>
  <c r="H1089" i="31" s="1"/>
  <c r="E1199" i="11"/>
  <c r="G1199" i="11" s="1"/>
  <c r="H1090" i="31" s="1"/>
  <c r="E1200" i="11"/>
  <c r="G1200" i="11" s="1"/>
  <c r="H1091" i="31" s="1"/>
  <c r="E1201" i="11"/>
  <c r="E1202" i="11"/>
  <c r="G1202" i="11" s="1"/>
  <c r="H1092" i="31" s="1"/>
  <c r="E1203" i="11"/>
  <c r="G1203" i="11" s="1"/>
  <c r="H1093" i="31" s="1"/>
  <c r="E1204" i="11"/>
  <c r="G1204" i="11" s="1"/>
  <c r="H1094" i="31" s="1"/>
  <c r="E1205" i="11"/>
  <c r="E1206" i="11"/>
  <c r="G1206" i="11" s="1"/>
  <c r="H1096" i="31" s="1"/>
  <c r="E1207" i="11"/>
  <c r="G1207" i="11" s="1"/>
  <c r="H1097" i="31" s="1"/>
  <c r="E1208" i="11"/>
  <c r="G1208" i="11" s="1"/>
  <c r="H1098" i="31" s="1"/>
  <c r="E1209" i="11"/>
  <c r="E1210" i="11"/>
  <c r="G1210" i="11" s="1"/>
  <c r="H1100" i="31" s="1"/>
  <c r="E1211" i="11"/>
  <c r="G1211" i="11" s="1"/>
  <c r="H1101" i="31" s="1"/>
  <c r="E1212" i="11"/>
  <c r="G1212" i="11" s="1"/>
  <c r="E1213" i="11"/>
  <c r="E1214" i="11"/>
  <c r="G1214" i="11" s="1"/>
  <c r="H1103" i="31" s="1"/>
  <c r="E1215" i="11"/>
  <c r="G1215" i="11" s="1"/>
  <c r="H1104" i="31" s="1"/>
  <c r="E1216" i="11"/>
  <c r="G1216" i="11" s="1"/>
  <c r="H1105" i="31" s="1"/>
  <c r="E1217" i="11"/>
  <c r="E1218" i="11"/>
  <c r="G1218" i="11" s="1"/>
  <c r="H1107" i="31" s="1"/>
  <c r="E1219" i="11"/>
  <c r="G1219" i="11" s="1"/>
  <c r="H1108" i="31" s="1"/>
  <c r="E1220" i="11"/>
  <c r="G1220" i="11" s="1"/>
  <c r="H1109" i="31" s="1"/>
  <c r="E1221" i="11"/>
  <c r="E1222" i="11"/>
  <c r="G1222" i="11" s="1"/>
  <c r="H1111" i="31" s="1"/>
  <c r="E1223" i="11"/>
  <c r="G1223" i="11" s="1"/>
  <c r="E1224" i="11"/>
  <c r="G1224" i="11" s="1"/>
  <c r="H1112" i="31" s="1"/>
  <c r="E1225" i="11"/>
  <c r="E1226" i="11"/>
  <c r="G1226" i="11" s="1"/>
  <c r="H1114" i="31" s="1"/>
  <c r="E1227" i="11"/>
  <c r="G1227" i="11" s="1"/>
  <c r="H1115" i="31" s="1"/>
  <c r="E1228" i="11"/>
  <c r="G1228" i="11" s="1"/>
  <c r="H1116" i="31" s="1"/>
  <c r="E1229" i="11"/>
  <c r="E1230" i="11"/>
  <c r="G1230" i="11" s="1"/>
  <c r="H1118" i="31" s="1"/>
  <c r="E1231" i="11"/>
  <c r="G1231" i="11" s="1"/>
  <c r="H1119" i="31" s="1"/>
  <c r="E1232" i="11"/>
  <c r="G1232" i="11" s="1"/>
  <c r="H1120" i="31" s="1"/>
  <c r="E1233" i="11"/>
  <c r="E1234" i="11"/>
  <c r="G1234" i="11" s="1"/>
  <c r="E1235" i="11"/>
  <c r="G1235" i="11" s="1"/>
  <c r="H1122" i="31" s="1"/>
  <c r="E1236" i="11"/>
  <c r="G1236" i="11" s="1"/>
  <c r="H1123" i="31" s="1"/>
  <c r="E1237" i="11"/>
  <c r="E1238" i="11"/>
  <c r="G1238" i="11" s="1"/>
  <c r="H1125" i="31" s="1"/>
  <c r="E1239" i="11"/>
  <c r="G1239" i="11" s="1"/>
  <c r="H1126" i="31" s="1"/>
  <c r="E1240" i="11"/>
  <c r="G1240" i="11" s="1"/>
  <c r="H1127" i="31" s="1"/>
  <c r="E1241" i="11"/>
  <c r="E1242" i="11"/>
  <c r="G1242" i="11" s="1"/>
  <c r="H1129" i="31" s="1"/>
  <c r="E1243" i="11"/>
  <c r="G1243" i="11" s="1"/>
  <c r="H1130" i="31" s="1"/>
  <c r="E1244" i="11"/>
  <c r="G1244" i="11" s="1"/>
  <c r="H1131" i="31" s="1"/>
  <c r="E1245" i="11"/>
  <c r="E1246" i="11"/>
  <c r="G1246" i="11" s="1"/>
  <c r="H1132" i="31" s="1"/>
  <c r="E1247" i="11"/>
  <c r="G1247" i="11" s="1"/>
  <c r="H1133" i="31" s="1"/>
  <c r="E1248" i="11"/>
  <c r="G1248" i="11" s="1"/>
  <c r="H1134" i="31" s="1"/>
  <c r="E1249" i="11"/>
  <c r="E1250" i="11"/>
  <c r="G1250" i="11" s="1"/>
  <c r="H1136" i="31" s="1"/>
  <c r="E1251" i="11"/>
  <c r="G1251" i="11" s="1"/>
  <c r="H1137" i="31" s="1"/>
  <c r="E1252" i="11"/>
  <c r="G1252" i="11" s="1"/>
  <c r="H1138" i="31" s="1"/>
  <c r="E1253" i="11"/>
  <c r="E1254" i="11"/>
  <c r="G1254" i="11" s="1"/>
  <c r="H1140" i="31" s="1"/>
  <c r="E1255" i="11"/>
  <c r="G1255" i="11" s="1"/>
  <c r="H1141" i="31" s="1"/>
  <c r="E1256" i="11"/>
  <c r="G1256" i="11" s="1"/>
  <c r="E1257" i="11"/>
  <c r="E1258" i="11"/>
  <c r="G1258" i="11" s="1"/>
  <c r="H1143" i="31" s="1"/>
  <c r="E1259" i="11"/>
  <c r="G1259" i="11" s="1"/>
  <c r="H1144" i="31" s="1"/>
  <c r="E1260" i="11"/>
  <c r="G1260" i="11" s="1"/>
  <c r="H1145" i="31" s="1"/>
  <c r="E1261" i="11"/>
  <c r="E1262" i="11"/>
  <c r="G1262" i="11" s="1"/>
  <c r="H1147" i="31" s="1"/>
  <c r="E1263" i="11"/>
  <c r="G1263" i="11" s="1"/>
  <c r="H1148" i="31" s="1"/>
  <c r="E1264" i="11"/>
  <c r="G1264" i="11" s="1"/>
  <c r="H1149" i="31" s="1"/>
  <c r="E1265" i="11"/>
  <c r="E1266" i="11"/>
  <c r="G1266" i="11" s="1"/>
  <c r="H1151" i="31" s="1"/>
  <c r="E1267" i="11"/>
  <c r="G1267" i="11" s="1"/>
  <c r="E1268" i="11"/>
  <c r="G1268" i="11" s="1"/>
  <c r="H1152" i="31" s="1"/>
  <c r="E1269" i="11"/>
  <c r="E1270" i="11"/>
  <c r="G1270" i="11" s="1"/>
  <c r="H1154" i="31" s="1"/>
  <c r="E1271" i="11"/>
  <c r="G1271" i="11" s="1"/>
  <c r="H1155" i="31" s="1"/>
  <c r="E1272" i="11"/>
  <c r="G1272" i="11" s="1"/>
  <c r="H1156" i="31" s="1"/>
  <c r="E1273" i="11"/>
  <c r="E1274" i="11"/>
  <c r="G1274" i="11" s="1"/>
  <c r="H1158" i="31" s="1"/>
  <c r="E1275" i="11"/>
  <c r="G1275" i="11" s="1"/>
  <c r="H1159" i="31" s="1"/>
  <c r="E1276" i="11"/>
  <c r="G1276" i="11" s="1"/>
  <c r="H1160" i="31" s="1"/>
  <c r="E1277" i="11"/>
  <c r="E1278" i="11"/>
  <c r="G1278" i="11" s="1"/>
  <c r="E1279" i="11"/>
  <c r="G1279" i="11" s="1"/>
  <c r="H1162" i="31" s="1"/>
  <c r="E1280" i="11"/>
  <c r="G1280" i="11" s="1"/>
  <c r="H1163" i="31" s="1"/>
  <c r="E1281" i="11"/>
  <c r="E1282" i="11"/>
  <c r="G1282" i="11" s="1"/>
  <c r="H1165" i="31" s="1"/>
  <c r="E1283" i="11"/>
  <c r="G1283" i="11" s="1"/>
  <c r="H1166" i="31" s="1"/>
  <c r="E1284" i="11"/>
  <c r="G1284" i="11" s="1"/>
  <c r="H1167" i="31" s="1"/>
  <c r="E1285" i="11"/>
  <c r="E1286" i="11"/>
  <c r="G1286" i="11" s="1"/>
  <c r="H1169" i="31" s="1"/>
  <c r="E1287" i="11"/>
  <c r="G1287" i="11" s="1"/>
  <c r="H1170" i="31" s="1"/>
  <c r="E1288" i="11"/>
  <c r="G1288" i="11" s="1"/>
  <c r="H1171" i="31" s="1"/>
  <c r="E1289" i="11"/>
  <c r="E1290" i="11"/>
  <c r="G1290" i="11" s="1"/>
  <c r="H1172" i="31" s="1"/>
  <c r="E1291" i="11"/>
  <c r="G1291" i="11" s="1"/>
  <c r="H1173" i="31" s="1"/>
  <c r="E1292" i="11"/>
  <c r="G1292" i="11" s="1"/>
  <c r="H1174" i="31" s="1"/>
  <c r="E1293" i="11"/>
  <c r="E1294" i="11"/>
  <c r="G1294" i="11" s="1"/>
  <c r="H1176" i="31" s="1"/>
  <c r="E1295" i="11"/>
  <c r="G1295" i="11" s="1"/>
  <c r="H1177" i="31" s="1"/>
  <c r="E1296" i="11"/>
  <c r="G1296" i="11" s="1"/>
  <c r="H1178" i="31" s="1"/>
  <c r="E1297" i="11"/>
  <c r="E1298" i="11"/>
  <c r="G1298" i="11" s="1"/>
  <c r="H1180" i="31" s="1"/>
  <c r="E1299" i="11"/>
  <c r="G1299" i="11" s="1"/>
  <c r="H1181" i="31" s="1"/>
  <c r="E1300" i="11"/>
  <c r="G1300" i="11" s="1"/>
  <c r="E1301" i="11"/>
  <c r="E1302" i="11"/>
  <c r="G1302" i="11" s="1"/>
  <c r="H1183" i="31" s="1"/>
  <c r="E1303" i="11"/>
  <c r="G1303" i="11" s="1"/>
  <c r="H1184" i="31" s="1"/>
  <c r="E1304" i="11"/>
  <c r="G1304" i="11" s="1"/>
  <c r="H1185" i="31" s="1"/>
  <c r="E1305" i="11"/>
  <c r="E1306" i="11"/>
  <c r="G1306" i="11" s="1"/>
  <c r="H1187" i="31" s="1"/>
  <c r="E1307" i="11"/>
  <c r="G1307" i="11" s="1"/>
  <c r="H1188" i="31" s="1"/>
  <c r="E1308" i="11"/>
  <c r="G1308" i="11" s="1"/>
  <c r="H1189" i="31" s="1"/>
  <c r="E1309" i="11"/>
  <c r="E1310" i="11"/>
  <c r="G1310" i="11" s="1"/>
  <c r="H1191" i="31" s="1"/>
  <c r="E1311" i="11"/>
  <c r="G1311" i="11" s="1"/>
  <c r="E1312" i="11"/>
  <c r="G1312" i="11" s="1"/>
  <c r="H1192" i="31" s="1"/>
  <c r="E1313" i="11"/>
  <c r="E1314" i="11"/>
  <c r="G1314" i="11" s="1"/>
  <c r="H1194" i="31" s="1"/>
  <c r="E1315" i="11"/>
  <c r="G1315" i="11" s="1"/>
  <c r="H1195" i="31" s="1"/>
  <c r="E1316" i="11"/>
  <c r="G1316" i="11" s="1"/>
  <c r="H1196" i="31" s="1"/>
  <c r="E1317" i="11"/>
  <c r="E1318" i="11"/>
  <c r="G1318" i="11" s="1"/>
  <c r="H1198" i="31" s="1"/>
  <c r="E1319" i="11"/>
  <c r="G1319" i="11" s="1"/>
  <c r="H1199" i="31" s="1"/>
  <c r="E1320" i="11"/>
  <c r="G1320" i="11" s="1"/>
  <c r="H1200" i="31" s="1"/>
  <c r="E1321" i="11"/>
  <c r="E1322" i="11"/>
  <c r="G1322" i="11" s="1"/>
  <c r="E1323" i="11"/>
  <c r="G1323" i="11" s="1"/>
  <c r="H1202" i="31" s="1"/>
  <c r="E1324" i="11"/>
  <c r="G1324" i="11" s="1"/>
  <c r="H1203" i="31" s="1"/>
  <c r="E1325" i="11"/>
  <c r="E1326" i="11"/>
  <c r="G1326" i="11" s="1"/>
  <c r="H1205" i="31" s="1"/>
  <c r="E1327" i="11"/>
  <c r="G1327" i="11" s="1"/>
  <c r="H1206" i="31" s="1"/>
  <c r="E1328" i="11"/>
  <c r="G1328" i="11" s="1"/>
  <c r="H1207" i="31" s="1"/>
  <c r="E1329" i="11"/>
  <c r="E1330" i="11"/>
  <c r="G1330" i="11" s="1"/>
  <c r="H1209" i="31" s="1"/>
  <c r="E1331" i="11"/>
  <c r="G1331" i="11" s="1"/>
  <c r="H1210" i="31" s="1"/>
  <c r="E1332" i="11"/>
  <c r="G1332" i="11" s="1"/>
  <c r="H1211" i="31" s="1"/>
  <c r="E1333" i="11"/>
  <c r="E1334" i="11"/>
  <c r="G1334" i="11" s="1"/>
  <c r="H1212" i="31" s="1"/>
  <c r="E1335" i="11"/>
  <c r="G1335" i="11" s="1"/>
  <c r="H1213" i="31" s="1"/>
  <c r="E1336" i="11"/>
  <c r="G1336" i="11" s="1"/>
  <c r="H1214" i="31" s="1"/>
  <c r="E1337" i="11"/>
  <c r="E1338" i="11"/>
  <c r="G1338" i="11" s="1"/>
  <c r="H1216" i="31" s="1"/>
  <c r="E1339" i="11"/>
  <c r="G1339" i="11" s="1"/>
  <c r="H1217" i="31" s="1"/>
  <c r="E1340" i="11"/>
  <c r="G1340" i="11" s="1"/>
  <c r="H1218" i="31" s="1"/>
  <c r="E1341" i="11"/>
  <c r="E1342" i="11"/>
  <c r="G1342" i="11" s="1"/>
  <c r="H1220" i="31" s="1"/>
  <c r="E1343" i="11"/>
  <c r="G1343" i="11" s="1"/>
  <c r="H1221" i="31" s="1"/>
  <c r="E1344" i="11"/>
  <c r="G1344" i="11" s="1"/>
  <c r="E1345" i="11"/>
  <c r="E1346" i="11"/>
  <c r="G1346" i="11" s="1"/>
  <c r="H1223" i="31" s="1"/>
  <c r="E1347" i="11"/>
  <c r="G1347" i="11" s="1"/>
  <c r="H1224" i="31" s="1"/>
  <c r="E1348" i="11"/>
  <c r="G1348" i="11" s="1"/>
  <c r="H1225" i="31" s="1"/>
  <c r="E1349" i="11"/>
  <c r="E1350" i="11"/>
  <c r="G1350" i="11" s="1"/>
  <c r="H1227" i="31" s="1"/>
  <c r="E1351" i="11"/>
  <c r="G1351" i="11" s="1"/>
  <c r="H1228" i="31" s="1"/>
  <c r="E1352" i="11"/>
  <c r="G1352" i="11" s="1"/>
  <c r="H1229" i="31" s="1"/>
  <c r="E1353" i="11"/>
  <c r="E1354" i="11"/>
  <c r="G1354" i="11" s="1"/>
  <c r="H1231" i="31" s="1"/>
  <c r="E1355" i="11"/>
  <c r="G1355" i="11" s="1"/>
  <c r="E1356" i="11"/>
  <c r="G1356" i="11" s="1"/>
  <c r="H1232" i="31" s="1"/>
  <c r="E1357" i="11"/>
  <c r="E1358" i="11"/>
  <c r="G1358" i="11" s="1"/>
  <c r="H1234" i="31" s="1"/>
  <c r="E1359" i="11"/>
  <c r="G1359" i="11" s="1"/>
  <c r="H1235" i="31" s="1"/>
  <c r="E1360" i="11"/>
  <c r="G1360" i="11" s="1"/>
  <c r="H1236" i="31" s="1"/>
  <c r="E1361" i="11"/>
  <c r="E1362" i="11"/>
  <c r="G1362" i="11" s="1"/>
  <c r="H1238" i="31" s="1"/>
  <c r="E1363" i="11"/>
  <c r="G1363" i="11" s="1"/>
  <c r="H1239" i="31" s="1"/>
  <c r="E1364" i="11"/>
  <c r="G1364" i="11" s="1"/>
  <c r="H1240" i="31" s="1"/>
  <c r="E1365" i="11"/>
  <c r="E1366" i="11"/>
  <c r="G1366" i="11" s="1"/>
  <c r="E1367" i="11"/>
  <c r="G1367" i="11" s="1"/>
  <c r="H1242" i="31" s="1"/>
  <c r="E1368" i="11"/>
  <c r="G1368" i="11" s="1"/>
  <c r="H1243" i="31" s="1"/>
  <c r="E1369" i="11"/>
  <c r="E1370" i="11"/>
  <c r="G1370" i="11" s="1"/>
  <c r="H1245" i="31" s="1"/>
  <c r="E1371" i="11"/>
  <c r="G1371" i="11" s="1"/>
  <c r="H1246" i="31" s="1"/>
  <c r="E1372" i="11"/>
  <c r="G1372" i="11" s="1"/>
  <c r="H1247" i="31" s="1"/>
  <c r="E1373" i="11"/>
  <c r="E1374" i="11"/>
  <c r="G1374" i="11" s="1"/>
  <c r="H1249" i="31" s="1"/>
  <c r="E1375" i="11"/>
  <c r="G1375" i="11" s="1"/>
  <c r="H1250" i="31" s="1"/>
  <c r="E1376" i="11"/>
  <c r="G1376" i="11" s="1"/>
  <c r="H1251" i="31" s="1"/>
  <c r="E1377" i="11"/>
  <c r="E1378" i="11"/>
  <c r="G1378" i="11" s="1"/>
  <c r="H1252" i="31" s="1"/>
  <c r="E1379" i="11"/>
  <c r="G1379" i="11" s="1"/>
  <c r="H1253" i="31" s="1"/>
  <c r="E1380" i="11"/>
  <c r="G1380" i="11" s="1"/>
  <c r="H1254" i="31" s="1"/>
  <c r="E1381" i="11"/>
  <c r="E1382" i="11"/>
  <c r="G1382" i="11" s="1"/>
  <c r="H1256" i="31" s="1"/>
  <c r="E1383" i="11"/>
  <c r="G1383" i="11" s="1"/>
  <c r="H1257" i="31" s="1"/>
  <c r="E1384" i="11"/>
  <c r="G1384" i="11" s="1"/>
  <c r="H1258" i="31" s="1"/>
  <c r="E1385" i="11"/>
  <c r="E1386" i="11"/>
  <c r="G1386" i="11" s="1"/>
  <c r="H1260" i="31" s="1"/>
  <c r="E1387" i="11"/>
  <c r="G1387" i="11" s="1"/>
  <c r="H1261" i="31" s="1"/>
  <c r="E1388" i="11"/>
  <c r="G1388" i="11" s="1"/>
  <c r="E1389" i="11"/>
  <c r="E1390" i="11"/>
  <c r="G1390" i="11" s="1"/>
  <c r="H1263" i="31" s="1"/>
  <c r="E1391" i="11"/>
  <c r="G1391" i="11" s="1"/>
  <c r="H1264" i="31" s="1"/>
  <c r="E1392" i="11"/>
  <c r="G1392" i="11" s="1"/>
  <c r="H1265" i="31" s="1"/>
  <c r="E1393" i="11"/>
  <c r="E1394" i="11"/>
  <c r="G1394" i="11" s="1"/>
  <c r="H1267" i="31" s="1"/>
  <c r="E1395" i="11"/>
  <c r="G1395" i="11" s="1"/>
  <c r="H1268" i="31" s="1"/>
  <c r="E1396" i="11"/>
  <c r="G1396" i="11" s="1"/>
  <c r="H1269" i="31" s="1"/>
  <c r="E1397" i="11"/>
  <c r="E1398" i="11"/>
  <c r="G1398" i="11" s="1"/>
  <c r="H1271" i="31" s="1"/>
  <c r="E1399" i="11"/>
  <c r="G1399" i="11" s="1"/>
  <c r="E1400" i="11"/>
  <c r="G1400" i="11" s="1"/>
  <c r="H1272" i="31" s="1"/>
  <c r="E1401" i="11"/>
  <c r="E1402" i="11"/>
  <c r="G1402" i="11" s="1"/>
  <c r="H1274" i="31" s="1"/>
  <c r="E1403" i="11"/>
  <c r="G1403" i="11" s="1"/>
  <c r="H1275" i="31" s="1"/>
  <c r="E1404" i="11"/>
  <c r="G1404" i="11" s="1"/>
  <c r="H1276" i="31" s="1"/>
  <c r="E1405" i="11"/>
  <c r="E1406" i="11"/>
  <c r="G1406" i="11" s="1"/>
  <c r="H1278" i="31" s="1"/>
  <c r="E1407" i="11"/>
  <c r="G1407" i="11" s="1"/>
  <c r="H1279" i="31" s="1"/>
  <c r="E1408" i="11"/>
  <c r="G1408" i="11" s="1"/>
  <c r="H1280" i="31" s="1"/>
  <c r="E1409" i="11"/>
  <c r="E1410" i="11"/>
  <c r="G1410" i="11" s="1"/>
  <c r="E1411" i="11"/>
  <c r="G1411" i="11" s="1"/>
  <c r="H1282" i="31" s="1"/>
  <c r="E1412" i="11"/>
  <c r="G1412" i="11" s="1"/>
  <c r="H1283" i="31" s="1"/>
  <c r="E1413" i="11"/>
  <c r="E1414" i="11"/>
  <c r="G1414" i="11" s="1"/>
  <c r="H1285" i="31" s="1"/>
  <c r="E1415" i="11"/>
  <c r="G1415" i="11" s="1"/>
  <c r="H1286" i="31" s="1"/>
  <c r="E1416" i="11"/>
  <c r="G1416" i="11" s="1"/>
  <c r="H1287" i="31" s="1"/>
  <c r="E1417" i="11"/>
  <c r="E1418" i="11"/>
  <c r="G1418" i="11" s="1"/>
  <c r="H1289" i="31" s="1"/>
  <c r="E1419" i="11"/>
  <c r="G1419" i="11" s="1"/>
  <c r="H1290" i="31" s="1"/>
  <c r="E1420" i="11"/>
  <c r="G1420" i="11" s="1"/>
  <c r="H1291" i="31" s="1"/>
  <c r="E1421" i="11"/>
  <c r="E1422" i="11"/>
  <c r="G1422" i="11" s="1"/>
  <c r="H1292" i="31" s="1"/>
  <c r="E1423" i="11"/>
  <c r="G1423" i="11" s="1"/>
  <c r="H1293" i="31" s="1"/>
  <c r="E1424" i="11"/>
  <c r="G1424" i="11" s="1"/>
  <c r="H1294" i="31" s="1"/>
  <c r="E1425" i="11"/>
  <c r="E1426" i="11"/>
  <c r="G1426" i="11" s="1"/>
  <c r="H1296" i="31" s="1"/>
  <c r="E1427" i="11"/>
  <c r="G1427" i="11" s="1"/>
  <c r="H1297" i="31" s="1"/>
  <c r="E1428" i="11"/>
  <c r="G1428" i="11" s="1"/>
  <c r="H1298" i="31" s="1"/>
  <c r="E1429" i="11"/>
  <c r="E1430" i="11"/>
  <c r="G1430" i="11" s="1"/>
  <c r="H1300" i="31" s="1"/>
  <c r="E1431" i="11"/>
  <c r="G1431" i="11" s="1"/>
  <c r="H1301" i="31" s="1"/>
  <c r="E1432" i="11"/>
  <c r="G1432" i="11" s="1"/>
  <c r="E1433" i="11"/>
  <c r="E1434" i="11"/>
  <c r="G1434" i="11" s="1"/>
  <c r="H1303" i="31" s="1"/>
  <c r="E1435" i="11"/>
  <c r="G1435" i="11" s="1"/>
  <c r="H1304" i="31" s="1"/>
  <c r="E1436" i="11"/>
  <c r="G1436" i="11" s="1"/>
  <c r="H1305" i="31" s="1"/>
  <c r="E1437" i="11"/>
  <c r="E1438" i="11"/>
  <c r="G1438" i="11" s="1"/>
  <c r="H1307" i="31" s="1"/>
  <c r="E1439" i="11"/>
  <c r="G1439" i="11" s="1"/>
  <c r="H1308" i="31" s="1"/>
  <c r="E1440" i="11"/>
  <c r="G1440" i="11" s="1"/>
  <c r="H1309" i="31" s="1"/>
  <c r="E1441" i="11"/>
  <c r="E1442" i="11"/>
  <c r="G1442" i="11" s="1"/>
  <c r="H1311" i="31" s="1"/>
  <c r="E1443" i="11"/>
  <c r="G1443" i="11" s="1"/>
  <c r="E1444" i="11"/>
  <c r="G1444" i="11" s="1"/>
  <c r="H1312" i="31" s="1"/>
  <c r="E1445" i="11"/>
  <c r="E1446" i="11"/>
  <c r="G1446" i="11" s="1"/>
  <c r="H1314" i="31" s="1"/>
  <c r="E1447" i="11"/>
  <c r="G1447" i="11" s="1"/>
  <c r="H1315" i="31" s="1"/>
  <c r="E1448" i="11"/>
  <c r="G1448" i="11" s="1"/>
  <c r="H1316" i="31" s="1"/>
  <c r="E1449" i="11"/>
  <c r="E1450" i="11"/>
  <c r="G1450" i="11" s="1"/>
  <c r="H1318" i="31" s="1"/>
  <c r="E1451" i="11"/>
  <c r="G1451" i="11" s="1"/>
  <c r="H1319" i="31" s="1"/>
  <c r="E1452" i="11"/>
  <c r="G1452" i="11" s="1"/>
  <c r="H1320" i="31" s="1"/>
  <c r="E1453" i="11"/>
  <c r="E1454" i="11"/>
  <c r="G1454" i="11" s="1"/>
  <c r="E1455" i="11"/>
  <c r="G1455" i="11" s="1"/>
  <c r="H1322" i="31" s="1"/>
  <c r="E1456" i="11"/>
  <c r="G1456" i="11" s="1"/>
  <c r="H1323" i="31" s="1"/>
  <c r="E1457" i="11"/>
  <c r="E1458" i="11"/>
  <c r="G1458" i="11" s="1"/>
  <c r="H1325" i="31" s="1"/>
  <c r="E1459" i="11"/>
  <c r="G1459" i="11" s="1"/>
  <c r="H1326" i="31" s="1"/>
  <c r="E1460" i="11"/>
  <c r="G1460" i="11" s="1"/>
  <c r="H1327" i="31" s="1"/>
  <c r="E1461" i="11"/>
  <c r="E1462" i="11"/>
  <c r="G1462" i="11" s="1"/>
  <c r="H1329" i="31" s="1"/>
  <c r="E1463" i="11"/>
  <c r="G1463" i="11" s="1"/>
  <c r="H1330" i="31" s="1"/>
  <c r="E1464" i="11"/>
  <c r="G1464" i="11" s="1"/>
  <c r="H1331" i="31" s="1"/>
  <c r="E1465" i="11"/>
  <c r="E1466" i="11"/>
  <c r="G1466" i="11" s="1"/>
  <c r="H1332" i="31" s="1"/>
  <c r="E1467" i="11"/>
  <c r="G1467" i="11" s="1"/>
  <c r="H1333" i="31" s="1"/>
  <c r="E1468" i="11"/>
  <c r="G1468" i="11" s="1"/>
  <c r="H1334" i="31" s="1"/>
  <c r="E1469" i="11"/>
  <c r="E1470" i="11"/>
  <c r="G1470" i="11" s="1"/>
  <c r="H1336" i="31" s="1"/>
  <c r="E1471" i="11"/>
  <c r="G1471" i="11" s="1"/>
  <c r="H1337" i="31" s="1"/>
  <c r="E1472" i="11"/>
  <c r="G1472" i="11" s="1"/>
  <c r="H1338" i="31" s="1"/>
  <c r="E1473" i="11"/>
  <c r="E1474" i="11"/>
  <c r="G1474" i="11" s="1"/>
  <c r="H1340" i="31" s="1"/>
  <c r="E1475" i="11"/>
  <c r="G1475" i="11" s="1"/>
  <c r="H1341" i="31" s="1"/>
  <c r="E1476" i="11"/>
  <c r="G1476" i="11" s="1"/>
  <c r="E1477" i="11"/>
  <c r="E1478" i="11"/>
  <c r="G1478" i="11" s="1"/>
  <c r="H1343" i="31" s="1"/>
  <c r="E1479" i="11"/>
  <c r="G1479" i="11" s="1"/>
  <c r="H1344" i="31" s="1"/>
  <c r="E1480" i="11"/>
  <c r="G1480" i="11" s="1"/>
  <c r="H1345" i="31" s="1"/>
  <c r="E1481" i="11"/>
  <c r="E1482" i="11"/>
  <c r="G1482" i="11" s="1"/>
  <c r="H1347" i="31" s="1"/>
  <c r="E1483" i="11"/>
  <c r="G1483" i="11" s="1"/>
  <c r="H1348" i="31" s="1"/>
  <c r="E1484" i="11"/>
  <c r="G1484" i="11" s="1"/>
  <c r="H1349" i="31" s="1"/>
  <c r="E1485" i="11"/>
  <c r="E1486" i="11"/>
  <c r="G1486" i="11" s="1"/>
  <c r="H1351" i="31" s="1"/>
  <c r="E1487" i="11"/>
  <c r="G1487" i="11" s="1"/>
  <c r="E1488" i="11"/>
  <c r="G1488" i="11" s="1"/>
  <c r="H1352" i="31" s="1"/>
  <c r="E1489" i="11"/>
  <c r="E1490" i="11"/>
  <c r="G1490" i="11" s="1"/>
  <c r="H1354" i="31" s="1"/>
  <c r="E1491" i="11"/>
  <c r="G1491" i="11" s="1"/>
  <c r="H1355" i="31" s="1"/>
  <c r="E1492" i="11"/>
  <c r="G1492" i="11" s="1"/>
  <c r="H1356" i="31" s="1"/>
  <c r="E1493" i="11"/>
  <c r="E1494" i="11"/>
  <c r="G1494" i="11" s="1"/>
  <c r="H1358" i="31" s="1"/>
  <c r="E1495" i="11"/>
  <c r="G1495" i="11" s="1"/>
  <c r="H1359" i="31" s="1"/>
  <c r="E1496" i="11"/>
  <c r="G1496" i="11" s="1"/>
  <c r="H1360" i="31" s="1"/>
  <c r="E1497" i="11"/>
  <c r="E1498" i="11"/>
  <c r="G1498" i="11" s="1"/>
  <c r="E1499" i="11"/>
  <c r="G1499" i="11" s="1"/>
  <c r="H1362" i="31" s="1"/>
  <c r="E1500" i="11"/>
  <c r="G1500" i="11" s="1"/>
  <c r="H1363" i="31" s="1"/>
  <c r="E1501" i="11"/>
  <c r="E1502" i="11"/>
  <c r="G1502" i="11" s="1"/>
  <c r="H1365" i="31" s="1"/>
  <c r="E1503" i="11"/>
  <c r="G1503" i="11" s="1"/>
  <c r="H1366" i="31" s="1"/>
  <c r="E1504" i="11"/>
  <c r="G1504" i="11" s="1"/>
  <c r="H1367" i="31" s="1"/>
  <c r="E1505" i="11"/>
  <c r="E1506" i="11"/>
  <c r="G1506" i="11" s="1"/>
  <c r="H1369" i="31" s="1"/>
  <c r="E1507" i="11"/>
  <c r="G1507" i="11" s="1"/>
  <c r="H1370" i="31" s="1"/>
  <c r="E1508" i="11"/>
  <c r="G1508" i="11" s="1"/>
  <c r="H1371" i="31" s="1"/>
  <c r="E1509" i="11"/>
  <c r="E1510" i="11"/>
  <c r="G1510" i="11" s="1"/>
  <c r="H1372" i="31" s="1"/>
  <c r="E1511" i="11"/>
  <c r="G1511" i="11" s="1"/>
  <c r="H1373" i="31" s="1"/>
  <c r="E1512" i="11"/>
  <c r="G1512" i="11" s="1"/>
  <c r="H1374" i="31" s="1"/>
  <c r="E1513" i="11"/>
  <c r="E1514" i="11"/>
  <c r="G1514" i="11" s="1"/>
  <c r="H1376" i="31" s="1"/>
  <c r="E1515" i="11"/>
  <c r="G1515" i="11" s="1"/>
  <c r="H1377" i="31" s="1"/>
  <c r="E1516" i="11"/>
  <c r="G1516" i="11" s="1"/>
  <c r="H1378" i="31" s="1"/>
  <c r="E1517" i="11"/>
  <c r="E1518" i="11"/>
  <c r="G1518" i="11" s="1"/>
  <c r="H1380" i="31" s="1"/>
  <c r="E1519" i="11"/>
  <c r="G1519" i="11" s="1"/>
  <c r="H1381" i="31" s="1"/>
  <c r="E1520" i="11"/>
  <c r="G1520" i="11" s="1"/>
  <c r="E1521" i="11"/>
  <c r="E1522" i="11"/>
  <c r="G1522" i="11" s="1"/>
  <c r="H1383" i="31" s="1"/>
  <c r="E1523" i="11"/>
  <c r="G1523" i="11" s="1"/>
  <c r="H1384" i="31" s="1"/>
  <c r="E1524" i="11"/>
  <c r="G1524" i="11" s="1"/>
  <c r="H1385" i="31" s="1"/>
  <c r="E1525" i="11"/>
  <c r="E1526" i="11"/>
  <c r="G1526" i="11" s="1"/>
  <c r="H1387" i="31" s="1"/>
  <c r="E1527" i="11"/>
  <c r="G1527" i="11" s="1"/>
  <c r="H1388" i="31" s="1"/>
  <c r="E1528" i="11"/>
  <c r="G1528" i="11" s="1"/>
  <c r="H1389" i="31" s="1"/>
  <c r="E1529" i="11"/>
  <c r="E1530" i="11"/>
  <c r="G1530" i="11" s="1"/>
  <c r="H1391" i="31" s="1"/>
  <c r="E1531" i="11"/>
  <c r="G1531" i="11" s="1"/>
  <c r="E1532" i="11"/>
  <c r="G1532" i="11" s="1"/>
  <c r="H1392" i="31" s="1"/>
  <c r="E1533" i="11"/>
  <c r="E1534" i="11"/>
  <c r="G1534" i="11" s="1"/>
  <c r="H1394" i="31" s="1"/>
  <c r="E1535" i="11"/>
  <c r="G1535" i="11" s="1"/>
  <c r="H1395" i="31" s="1"/>
  <c r="E1536" i="11"/>
  <c r="G1536" i="11" s="1"/>
  <c r="H1396" i="31" s="1"/>
  <c r="E1537" i="11"/>
  <c r="E1538" i="11"/>
  <c r="G1538" i="11" s="1"/>
  <c r="H1398" i="31" s="1"/>
  <c r="E1539" i="11"/>
  <c r="G1539" i="11" s="1"/>
  <c r="H1399" i="31" s="1"/>
  <c r="E1540" i="11"/>
  <c r="G1540" i="11" s="1"/>
  <c r="H1400" i="31" s="1"/>
  <c r="E1541" i="11"/>
  <c r="E1542" i="11"/>
  <c r="G1542" i="11" s="1"/>
  <c r="E1543" i="11"/>
  <c r="G1543" i="11" s="1"/>
  <c r="H1402" i="31" s="1"/>
  <c r="E1544" i="11"/>
  <c r="G1544" i="11" s="1"/>
  <c r="H1403" i="31" s="1"/>
  <c r="E1545" i="11"/>
  <c r="E1546" i="11"/>
  <c r="G1546" i="11" s="1"/>
  <c r="H1405" i="31" s="1"/>
  <c r="E1547" i="11"/>
  <c r="G1547" i="11" s="1"/>
  <c r="H1406" i="31" s="1"/>
  <c r="E1548" i="11"/>
  <c r="G1548" i="11" s="1"/>
  <c r="H1407" i="31" s="1"/>
  <c r="E1549" i="11"/>
  <c r="E1550" i="11"/>
  <c r="G1550" i="11" s="1"/>
  <c r="H1409" i="31" s="1"/>
  <c r="E1551" i="11"/>
  <c r="G1551" i="11" s="1"/>
  <c r="H1410" i="31" s="1"/>
  <c r="E1552" i="11"/>
  <c r="G1552" i="11" s="1"/>
  <c r="H1411" i="31" s="1"/>
  <c r="E1553" i="11"/>
  <c r="E1554" i="11"/>
  <c r="G1554" i="11" s="1"/>
  <c r="H1412" i="31" s="1"/>
  <c r="E1555" i="11"/>
  <c r="G1555" i="11" s="1"/>
  <c r="H1413" i="31" s="1"/>
  <c r="E1556" i="11"/>
  <c r="G1556" i="11" s="1"/>
  <c r="H1414" i="31" s="1"/>
  <c r="E1557" i="11"/>
  <c r="E1558" i="11"/>
  <c r="G1558" i="11" s="1"/>
  <c r="H1416" i="31" s="1"/>
  <c r="E1559" i="11"/>
  <c r="G1559" i="11" s="1"/>
  <c r="H1417" i="31" s="1"/>
  <c r="E1560" i="11"/>
  <c r="G1560" i="11" s="1"/>
  <c r="H1418" i="31" s="1"/>
  <c r="E1561" i="11"/>
  <c r="E1562" i="11"/>
  <c r="G1562" i="11" s="1"/>
  <c r="H1420" i="31" s="1"/>
  <c r="E1563" i="11"/>
  <c r="G1563" i="11" s="1"/>
  <c r="H1421" i="31" s="1"/>
  <c r="E1564" i="11"/>
  <c r="G1564" i="11" s="1"/>
  <c r="E1565" i="11"/>
  <c r="E1566" i="11"/>
  <c r="G1566" i="11" s="1"/>
  <c r="H1423" i="31" s="1"/>
  <c r="E1567" i="11"/>
  <c r="G1567" i="11" s="1"/>
  <c r="H1424" i="31" s="1"/>
  <c r="E1568" i="11"/>
  <c r="G1568" i="11" s="1"/>
  <c r="H1425" i="31" s="1"/>
  <c r="E1569" i="11"/>
  <c r="E1570" i="11"/>
  <c r="G1570" i="11" s="1"/>
  <c r="H1427" i="31" s="1"/>
  <c r="E1571" i="11"/>
  <c r="G1571" i="11" s="1"/>
  <c r="H1428" i="31" s="1"/>
  <c r="E1572" i="11"/>
  <c r="G1572" i="11" s="1"/>
  <c r="H1429" i="31" s="1"/>
  <c r="E1573" i="11"/>
  <c r="E1574" i="11"/>
  <c r="G1574" i="11" s="1"/>
  <c r="H1431" i="31" s="1"/>
  <c r="E1575" i="11"/>
  <c r="G1575" i="11" s="1"/>
  <c r="E1576" i="11"/>
  <c r="G1576" i="11" s="1"/>
  <c r="H1432" i="31" s="1"/>
  <c r="E1577" i="11"/>
  <c r="E1578" i="11"/>
  <c r="G1578" i="11" s="1"/>
  <c r="H1434" i="31" s="1"/>
  <c r="E1579" i="11"/>
  <c r="G1579" i="11" s="1"/>
  <c r="H1435" i="31" s="1"/>
  <c r="E1580" i="11"/>
  <c r="G1580" i="11" s="1"/>
  <c r="H1436" i="31" s="1"/>
  <c r="E1581" i="11"/>
  <c r="E1582" i="11"/>
  <c r="G1582" i="11" s="1"/>
  <c r="H1438" i="31" s="1"/>
  <c r="E1583" i="11"/>
  <c r="G1583" i="11" s="1"/>
  <c r="H1439" i="31" s="1"/>
  <c r="E1584" i="11"/>
  <c r="G1584" i="11" s="1"/>
  <c r="H1440" i="31" s="1"/>
  <c r="E1585" i="11"/>
  <c r="E1586" i="11"/>
  <c r="G1586" i="11" s="1"/>
  <c r="E1587" i="11"/>
  <c r="G1587" i="11" s="1"/>
  <c r="H1442" i="31" s="1"/>
  <c r="E1588" i="11"/>
  <c r="G1588" i="11" s="1"/>
  <c r="H1443" i="31" s="1"/>
  <c r="E1589" i="11"/>
  <c r="E1590" i="11"/>
  <c r="G1590" i="11" s="1"/>
  <c r="H1445" i="31" s="1"/>
  <c r="E1591" i="11"/>
  <c r="G1591" i="11" s="1"/>
  <c r="H1446" i="31" s="1"/>
  <c r="E1592" i="11"/>
  <c r="G1592" i="11" s="1"/>
  <c r="H1447" i="31" s="1"/>
  <c r="E1593" i="11"/>
  <c r="E1594" i="11"/>
  <c r="G1594" i="11" s="1"/>
  <c r="H1449" i="31" s="1"/>
  <c r="E1595" i="11"/>
  <c r="G1595" i="11" s="1"/>
  <c r="H1450" i="31" s="1"/>
  <c r="E1596" i="11"/>
  <c r="G1596" i="11" s="1"/>
  <c r="H1451" i="31" s="1"/>
  <c r="E1597" i="11"/>
  <c r="E1598" i="11"/>
  <c r="G1598" i="11" s="1"/>
  <c r="H1452" i="31" s="1"/>
  <c r="E1599" i="11"/>
  <c r="G1599" i="11" s="1"/>
  <c r="H1453" i="31" s="1"/>
  <c r="E1600" i="11"/>
  <c r="G1600" i="11" s="1"/>
  <c r="H1454" i="31" s="1"/>
  <c r="E1601" i="11"/>
  <c r="E1602" i="11"/>
  <c r="G1602" i="11" s="1"/>
  <c r="H1456" i="31" s="1"/>
  <c r="E1603" i="11"/>
  <c r="G1603" i="11" s="1"/>
  <c r="H1457" i="31" s="1"/>
  <c r="E1604" i="11"/>
  <c r="G1604" i="11" s="1"/>
  <c r="H1458" i="31" s="1"/>
  <c r="E1605" i="11"/>
  <c r="E1606" i="11"/>
  <c r="G1606" i="11" s="1"/>
  <c r="H1460" i="31" s="1"/>
  <c r="E1607" i="11"/>
  <c r="G1607" i="11" s="1"/>
  <c r="H1461" i="31" s="1"/>
  <c r="E1608" i="11"/>
  <c r="G1608" i="11" s="1"/>
  <c r="E1609" i="11"/>
  <c r="E1610" i="11"/>
  <c r="G1610" i="11" s="1"/>
  <c r="H1463" i="31" s="1"/>
  <c r="E1611" i="11"/>
  <c r="G1611" i="11" s="1"/>
  <c r="H1464" i="31" s="1"/>
  <c r="E1612" i="11"/>
  <c r="G1612" i="11" s="1"/>
  <c r="H1465" i="31" s="1"/>
  <c r="E1613" i="11"/>
  <c r="E1614" i="11"/>
  <c r="G1614" i="11" s="1"/>
  <c r="H1467" i="31" s="1"/>
  <c r="E1615" i="11"/>
  <c r="G1615" i="11" s="1"/>
  <c r="H1468" i="31" s="1"/>
  <c r="E1616" i="11"/>
  <c r="G1616" i="11" s="1"/>
  <c r="H1469" i="31" s="1"/>
  <c r="E1617" i="11"/>
  <c r="E1618" i="11"/>
  <c r="G1618" i="11" s="1"/>
  <c r="H1471" i="31" s="1"/>
  <c r="E1619" i="11"/>
  <c r="G1619" i="11" s="1"/>
  <c r="E1620" i="11"/>
  <c r="G1620" i="11" s="1"/>
  <c r="H1472" i="31" s="1"/>
  <c r="E1621" i="11"/>
  <c r="E1622" i="11"/>
  <c r="G1622" i="11" s="1"/>
  <c r="H1474" i="31" s="1"/>
  <c r="E1623" i="11"/>
  <c r="G1623" i="11" s="1"/>
  <c r="H1475" i="31" s="1"/>
  <c r="E1624" i="11"/>
  <c r="G1624" i="11" s="1"/>
  <c r="H1476" i="31" s="1"/>
  <c r="E1625" i="11"/>
  <c r="E1626" i="11"/>
  <c r="G1626" i="11" s="1"/>
  <c r="H1478" i="31" s="1"/>
  <c r="E1627" i="11"/>
  <c r="G1627" i="11" s="1"/>
  <c r="H1479" i="31" s="1"/>
  <c r="E1628" i="11"/>
  <c r="G1628" i="11" s="1"/>
  <c r="H1480" i="31" s="1"/>
  <c r="E1629" i="11"/>
  <c r="N375" i="6"/>
  <c r="M375" i="6"/>
  <c r="M375" i="23" s="1"/>
  <c r="L375" i="6"/>
  <c r="K375" i="6"/>
  <c r="J375" i="6"/>
  <c r="J375" i="23" s="1"/>
  <c r="I375" i="6"/>
  <c r="Q375" i="23" s="1"/>
  <c r="H375" i="6"/>
  <c r="G375" i="6"/>
  <c r="F375" i="6"/>
  <c r="E375" i="6"/>
  <c r="E375" i="9" s="1"/>
  <c r="N373" i="6"/>
  <c r="M373" i="6"/>
  <c r="M373" i="23" s="1"/>
  <c r="L373" i="6"/>
  <c r="K373" i="6"/>
  <c r="J373" i="6"/>
  <c r="J373" i="23" s="1"/>
  <c r="I373" i="6"/>
  <c r="Q373" i="23" s="1"/>
  <c r="H374" i="6"/>
  <c r="H373" i="6"/>
  <c r="G373" i="6"/>
  <c r="F373" i="6"/>
  <c r="E373" i="6"/>
  <c r="E373" i="9" s="1"/>
  <c r="N374" i="6"/>
  <c r="M374" i="6"/>
  <c r="M374" i="23" s="1"/>
  <c r="L374" i="6"/>
  <c r="K374" i="6"/>
  <c r="J374" i="6"/>
  <c r="J374" i="23" s="1"/>
  <c r="I374" i="6"/>
  <c r="Q374" i="23" s="1"/>
  <c r="G374" i="6"/>
  <c r="F374" i="6"/>
  <c r="E374" i="6"/>
  <c r="E374" i="9" s="1"/>
  <c r="N372" i="6"/>
  <c r="M372" i="6"/>
  <c r="M372" i="23" s="1"/>
  <c r="L372" i="6"/>
  <c r="K372" i="6"/>
  <c r="J372" i="6"/>
  <c r="J372" i="23" s="1"/>
  <c r="I372" i="6"/>
  <c r="Q372" i="23" s="1"/>
  <c r="H372" i="6"/>
  <c r="G372" i="6"/>
  <c r="F372" i="6"/>
  <c r="E372" i="6"/>
  <c r="E372" i="9" s="1"/>
  <c r="N371" i="6"/>
  <c r="M371" i="6"/>
  <c r="M371" i="23" s="1"/>
  <c r="L371" i="6"/>
  <c r="K371" i="6"/>
  <c r="J371" i="6"/>
  <c r="J371" i="23" s="1"/>
  <c r="I371" i="6"/>
  <c r="Q371" i="23" s="1"/>
  <c r="H371" i="6"/>
  <c r="G371" i="6"/>
  <c r="F371" i="6"/>
  <c r="E371" i="6"/>
  <c r="E371" i="9" s="1"/>
  <c r="N370" i="6"/>
  <c r="M370" i="6"/>
  <c r="M370" i="23" s="1"/>
  <c r="L370" i="6"/>
  <c r="K370" i="6"/>
  <c r="J370" i="6"/>
  <c r="J370" i="23" s="1"/>
  <c r="I370" i="6"/>
  <c r="Q370" i="23" s="1"/>
  <c r="H370" i="6"/>
  <c r="G370" i="6"/>
  <c r="F370" i="6"/>
  <c r="E370" i="6"/>
  <c r="E370" i="9" s="1"/>
  <c r="N369" i="6"/>
  <c r="M369" i="6"/>
  <c r="M369" i="23" s="1"/>
  <c r="L369" i="6"/>
  <c r="K369" i="6"/>
  <c r="J369" i="6"/>
  <c r="J369" i="23" s="1"/>
  <c r="I369" i="6"/>
  <c r="Q369" i="23" s="1"/>
  <c r="H369" i="6"/>
  <c r="G369" i="6"/>
  <c r="F369" i="6"/>
  <c r="E369" i="6"/>
  <c r="E369" i="9" s="1"/>
  <c r="N368" i="6"/>
  <c r="M368" i="6"/>
  <c r="M368" i="23" s="1"/>
  <c r="L368" i="6"/>
  <c r="K368" i="6"/>
  <c r="J368" i="6"/>
  <c r="J368" i="23" s="1"/>
  <c r="I368" i="6"/>
  <c r="Q368" i="23" s="1"/>
  <c r="H368" i="6"/>
  <c r="G368" i="6"/>
  <c r="F368" i="6"/>
  <c r="E368" i="6"/>
  <c r="E368" i="9" s="1"/>
  <c r="L365" i="6"/>
  <c r="N367" i="6"/>
  <c r="M367" i="6"/>
  <c r="M367" i="23" s="1"/>
  <c r="L367" i="6"/>
  <c r="K367" i="6"/>
  <c r="J367" i="6"/>
  <c r="J367" i="23" s="1"/>
  <c r="I367" i="6"/>
  <c r="Q367" i="23" s="1"/>
  <c r="H367" i="6"/>
  <c r="G367" i="6"/>
  <c r="F367" i="6"/>
  <c r="E367" i="6"/>
  <c r="E367" i="9" s="1"/>
  <c r="N366" i="6"/>
  <c r="M366" i="6"/>
  <c r="M366" i="23" s="1"/>
  <c r="L366" i="6"/>
  <c r="K366" i="6"/>
  <c r="J366" i="6"/>
  <c r="J366" i="23" s="1"/>
  <c r="I366" i="6"/>
  <c r="Q366" i="23" s="1"/>
  <c r="H366" i="6"/>
  <c r="G366" i="6"/>
  <c r="F366" i="6"/>
  <c r="E366" i="6"/>
  <c r="E366" i="9" s="1"/>
  <c r="N573" i="6"/>
  <c r="M573" i="6"/>
  <c r="M573" i="23" s="1"/>
  <c r="L573" i="6"/>
  <c r="K573" i="6"/>
  <c r="J573" i="6"/>
  <c r="J573" i="23" s="1"/>
  <c r="I573" i="6"/>
  <c r="Q573" i="23" s="1"/>
  <c r="H573" i="6"/>
  <c r="G573" i="6"/>
  <c r="F573" i="6"/>
  <c r="E573" i="6"/>
  <c r="E573" i="9" s="1"/>
  <c r="N572" i="6"/>
  <c r="M572" i="6"/>
  <c r="M572" i="23" s="1"/>
  <c r="L572" i="6"/>
  <c r="K572" i="6"/>
  <c r="J572" i="6"/>
  <c r="J572" i="23" s="1"/>
  <c r="I572" i="6"/>
  <c r="Q572" i="23" s="1"/>
  <c r="H572" i="6"/>
  <c r="G572" i="6"/>
  <c r="F572" i="6"/>
  <c r="E572" i="6"/>
  <c r="E572" i="9" s="1"/>
  <c r="N571" i="6"/>
  <c r="M571" i="6"/>
  <c r="M571" i="23" s="1"/>
  <c r="L571" i="6"/>
  <c r="K571" i="6"/>
  <c r="J571" i="6"/>
  <c r="J571" i="23" s="1"/>
  <c r="I571" i="6"/>
  <c r="Q571" i="23" s="1"/>
  <c r="H571" i="6"/>
  <c r="G571" i="6"/>
  <c r="F571" i="6"/>
  <c r="F570" i="6"/>
  <c r="E571" i="6"/>
  <c r="E571" i="9" s="1"/>
  <c r="N570" i="6"/>
  <c r="M570" i="6"/>
  <c r="M570" i="23" s="1"/>
  <c r="L570" i="6"/>
  <c r="K570" i="6"/>
  <c r="J570" i="6"/>
  <c r="J570" i="23" s="1"/>
  <c r="I570" i="6"/>
  <c r="Q570" i="23" s="1"/>
  <c r="H570" i="6"/>
  <c r="G570" i="6"/>
  <c r="E570" i="6"/>
  <c r="E570" i="9" s="1"/>
  <c r="N569" i="6"/>
  <c r="M569" i="6"/>
  <c r="M569" i="23" s="1"/>
  <c r="L569" i="6"/>
  <c r="K569" i="6"/>
  <c r="J569" i="6"/>
  <c r="J569" i="23" s="1"/>
  <c r="I569" i="6"/>
  <c r="Q569" i="23" s="1"/>
  <c r="H569" i="6"/>
  <c r="G569" i="6"/>
  <c r="F569" i="6"/>
  <c r="E569" i="6"/>
  <c r="E569" i="9" s="1"/>
  <c r="N568" i="6"/>
  <c r="M568" i="6"/>
  <c r="M568" i="23" s="1"/>
  <c r="L568" i="6"/>
  <c r="K568" i="6"/>
  <c r="J568" i="6"/>
  <c r="J568" i="23" s="1"/>
  <c r="I568" i="6"/>
  <c r="Q568" i="23" s="1"/>
  <c r="H568" i="6"/>
  <c r="G568" i="6"/>
  <c r="F568" i="6"/>
  <c r="E568" i="6"/>
  <c r="E568" i="9" s="1"/>
  <c r="L563" i="6"/>
  <c r="N567" i="6"/>
  <c r="M567" i="6"/>
  <c r="M567" i="23" s="1"/>
  <c r="L567" i="6"/>
  <c r="K567" i="6"/>
  <c r="J567" i="6"/>
  <c r="J567" i="23" s="1"/>
  <c r="I567" i="6"/>
  <c r="Q567" i="23" s="1"/>
  <c r="H567" i="6"/>
  <c r="G567" i="6"/>
  <c r="F567" i="6"/>
  <c r="E567" i="6"/>
  <c r="E567" i="9" s="1"/>
  <c r="N566" i="6"/>
  <c r="M566" i="6"/>
  <c r="M566" i="23" s="1"/>
  <c r="L566" i="6"/>
  <c r="K566" i="6"/>
  <c r="J566" i="6"/>
  <c r="J566" i="23" s="1"/>
  <c r="I566" i="6"/>
  <c r="Q566" i="23" s="1"/>
  <c r="H566" i="6"/>
  <c r="G566" i="6"/>
  <c r="F566" i="6"/>
  <c r="E566" i="6"/>
  <c r="E566" i="9" s="1"/>
  <c r="N565" i="6"/>
  <c r="N564" i="6"/>
  <c r="M565" i="6"/>
  <c r="M565" i="23" s="1"/>
  <c r="M564" i="6"/>
  <c r="M564" i="23" s="1"/>
  <c r="L565" i="6"/>
  <c r="L564" i="6"/>
  <c r="K565" i="6"/>
  <c r="K564" i="6"/>
  <c r="J565" i="6"/>
  <c r="J565" i="23" s="1"/>
  <c r="J564" i="6"/>
  <c r="J564" i="23" s="1"/>
  <c r="I565" i="6"/>
  <c r="Q565" i="23" s="1"/>
  <c r="I564" i="6"/>
  <c r="Q564" i="23" s="1"/>
  <c r="H565" i="6"/>
  <c r="H564" i="6"/>
  <c r="G565" i="6"/>
  <c r="G564" i="6"/>
  <c r="F565" i="6"/>
  <c r="F564" i="6"/>
  <c r="E565" i="6"/>
  <c r="E565" i="9" s="1"/>
  <c r="E564" i="6"/>
  <c r="E564" i="9" s="1"/>
  <c r="N529" i="6"/>
  <c r="M529" i="6"/>
  <c r="M529" i="23" s="1"/>
  <c r="L529" i="6"/>
  <c r="K529" i="6"/>
  <c r="J529" i="6"/>
  <c r="J529" i="23" s="1"/>
  <c r="I529" i="6"/>
  <c r="Q529" i="23" s="1"/>
  <c r="H529" i="6"/>
  <c r="G529" i="6"/>
  <c r="F529" i="6"/>
  <c r="E529" i="6"/>
  <c r="E529" i="9" s="1"/>
  <c r="N528" i="6"/>
  <c r="M528" i="6"/>
  <c r="M528" i="23" s="1"/>
  <c r="L528" i="6"/>
  <c r="K528" i="6"/>
  <c r="J528" i="6"/>
  <c r="J528" i="23" s="1"/>
  <c r="I528" i="6"/>
  <c r="Q528" i="23" s="1"/>
  <c r="H528" i="6"/>
  <c r="G528" i="6"/>
  <c r="F528" i="6"/>
  <c r="E528" i="6"/>
  <c r="E528" i="9" s="1"/>
  <c r="N527" i="6"/>
  <c r="M527" i="6"/>
  <c r="M527" i="23" s="1"/>
  <c r="L527" i="6"/>
  <c r="K527" i="6"/>
  <c r="J527" i="6"/>
  <c r="J527" i="23" s="1"/>
  <c r="I527" i="6"/>
  <c r="Q527" i="23" s="1"/>
  <c r="H527" i="6"/>
  <c r="G527" i="6"/>
  <c r="F527" i="6"/>
  <c r="E527" i="6"/>
  <c r="E527" i="9" s="1"/>
  <c r="N526" i="6"/>
  <c r="M526" i="6"/>
  <c r="M526" i="23" s="1"/>
  <c r="L526" i="6"/>
  <c r="K526" i="6"/>
  <c r="J526" i="6"/>
  <c r="J526" i="23" s="1"/>
  <c r="I526" i="6"/>
  <c r="Q526" i="23" s="1"/>
  <c r="H526" i="6"/>
  <c r="G526" i="6"/>
  <c r="F526" i="6"/>
  <c r="E526" i="6"/>
  <c r="E526" i="9" s="1"/>
  <c r="N525" i="6"/>
  <c r="M525" i="6"/>
  <c r="M525" i="23" s="1"/>
  <c r="L525" i="6"/>
  <c r="K525" i="6"/>
  <c r="J525" i="6"/>
  <c r="J525" i="23" s="1"/>
  <c r="I525" i="6"/>
  <c r="Q525" i="23" s="1"/>
  <c r="H525" i="6"/>
  <c r="G525" i="6"/>
  <c r="F525" i="6"/>
  <c r="E525" i="6"/>
  <c r="E525" i="9" s="1"/>
  <c r="N524" i="6"/>
  <c r="M524" i="6"/>
  <c r="M524" i="23" s="1"/>
  <c r="L524" i="6"/>
  <c r="K524" i="6"/>
  <c r="J524" i="6"/>
  <c r="J524" i="23" s="1"/>
  <c r="I524" i="6"/>
  <c r="Q524" i="23" s="1"/>
  <c r="H524" i="6"/>
  <c r="G524" i="6"/>
  <c r="F524" i="6"/>
  <c r="E524" i="6"/>
  <c r="E524" i="9" s="1"/>
  <c r="N523" i="6"/>
  <c r="M523" i="6"/>
  <c r="M523" i="23" s="1"/>
  <c r="L523" i="6"/>
  <c r="K523" i="6"/>
  <c r="J523" i="6"/>
  <c r="J523" i="23" s="1"/>
  <c r="I523" i="6"/>
  <c r="Q523" i="23" s="1"/>
  <c r="H523" i="6"/>
  <c r="G523" i="6"/>
  <c r="F523" i="6"/>
  <c r="E523" i="6"/>
  <c r="E523" i="9" s="1"/>
  <c r="N522" i="6"/>
  <c r="M522" i="6"/>
  <c r="M522" i="23" s="1"/>
  <c r="L522" i="6"/>
  <c r="K522" i="6"/>
  <c r="J522" i="6"/>
  <c r="J522" i="23" s="1"/>
  <c r="I522" i="6"/>
  <c r="Q522" i="23" s="1"/>
  <c r="H522" i="6"/>
  <c r="G522" i="6"/>
  <c r="F522" i="6"/>
  <c r="E522" i="6"/>
  <c r="E522" i="9" s="1"/>
  <c r="N521" i="6"/>
  <c r="M521" i="6"/>
  <c r="M521" i="23" s="1"/>
  <c r="L521" i="6"/>
  <c r="K521" i="6"/>
  <c r="J521" i="6"/>
  <c r="J521" i="23" s="1"/>
  <c r="I521" i="6"/>
  <c r="Q521" i="23" s="1"/>
  <c r="H521" i="6"/>
  <c r="G521" i="6"/>
  <c r="F521" i="6"/>
  <c r="E521" i="6"/>
  <c r="E521" i="9" s="1"/>
  <c r="N520" i="6"/>
  <c r="M520" i="6"/>
  <c r="M520" i="23" s="1"/>
  <c r="L520" i="6"/>
  <c r="L519" i="6"/>
  <c r="K520" i="6"/>
  <c r="J520" i="6"/>
  <c r="J520" i="23" s="1"/>
  <c r="I520" i="6"/>
  <c r="Q520" i="23" s="1"/>
  <c r="H520" i="6"/>
  <c r="G520" i="6"/>
  <c r="F520" i="6"/>
  <c r="E520" i="6"/>
  <c r="E520" i="9" s="1"/>
  <c r="N485" i="6"/>
  <c r="M485" i="6"/>
  <c r="M485" i="23" s="1"/>
  <c r="L485" i="6"/>
  <c r="K485" i="6"/>
  <c r="J485" i="6"/>
  <c r="J485" i="23" s="1"/>
  <c r="I485" i="6"/>
  <c r="Q485" i="23" s="1"/>
  <c r="H485" i="6"/>
  <c r="G485" i="6"/>
  <c r="F485" i="6"/>
  <c r="E485" i="6"/>
  <c r="E485" i="9" s="1"/>
  <c r="N484" i="6"/>
  <c r="M484" i="6"/>
  <c r="M484" i="23" s="1"/>
  <c r="L484" i="6"/>
  <c r="K484" i="6"/>
  <c r="J484" i="6"/>
  <c r="J484" i="23" s="1"/>
  <c r="I484" i="6"/>
  <c r="Q484" i="23" s="1"/>
  <c r="H484" i="6"/>
  <c r="G484" i="6"/>
  <c r="F484" i="6"/>
  <c r="E484" i="6"/>
  <c r="E484" i="9" s="1"/>
  <c r="N483" i="6"/>
  <c r="M483" i="6"/>
  <c r="M483" i="23" s="1"/>
  <c r="L483" i="6"/>
  <c r="K483" i="6"/>
  <c r="J483" i="6"/>
  <c r="J483" i="23" s="1"/>
  <c r="I483" i="6"/>
  <c r="Q483" i="23" s="1"/>
  <c r="H483" i="6"/>
  <c r="G483" i="6"/>
  <c r="F483" i="6"/>
  <c r="E483" i="6"/>
  <c r="E483" i="9" s="1"/>
  <c r="N482" i="6"/>
  <c r="M482" i="6"/>
  <c r="M482" i="23" s="1"/>
  <c r="L482" i="6"/>
  <c r="K482" i="6"/>
  <c r="J482" i="6"/>
  <c r="J482" i="23" s="1"/>
  <c r="I482" i="6"/>
  <c r="Q482" i="23" s="1"/>
  <c r="H482" i="6"/>
  <c r="G482" i="6"/>
  <c r="F482" i="6"/>
  <c r="E482" i="6"/>
  <c r="E482" i="9" s="1"/>
  <c r="N481" i="6"/>
  <c r="M481" i="6"/>
  <c r="M481" i="23" s="1"/>
  <c r="L481" i="6"/>
  <c r="K481" i="6"/>
  <c r="J481" i="6"/>
  <c r="J481" i="23" s="1"/>
  <c r="I481" i="6"/>
  <c r="Q481" i="23" s="1"/>
  <c r="H481" i="6"/>
  <c r="G481" i="6"/>
  <c r="F481" i="6"/>
  <c r="E481" i="6"/>
  <c r="E481" i="9" s="1"/>
  <c r="N480" i="6"/>
  <c r="M480" i="6"/>
  <c r="M480" i="23" s="1"/>
  <c r="L480" i="6"/>
  <c r="K480" i="6"/>
  <c r="J480" i="6"/>
  <c r="J480" i="23" s="1"/>
  <c r="I480" i="6"/>
  <c r="Q480" i="23" s="1"/>
  <c r="H480" i="6"/>
  <c r="G480" i="6"/>
  <c r="F480" i="6"/>
  <c r="E480" i="6"/>
  <c r="E480" i="9" s="1"/>
  <c r="N479" i="6"/>
  <c r="M479" i="6"/>
  <c r="M479" i="23" s="1"/>
  <c r="L479" i="6"/>
  <c r="K479" i="6"/>
  <c r="J479" i="6"/>
  <c r="J479" i="23" s="1"/>
  <c r="I479" i="6"/>
  <c r="Q479" i="23" s="1"/>
  <c r="H479" i="6"/>
  <c r="G479" i="6"/>
  <c r="F479" i="6"/>
  <c r="E479" i="6"/>
  <c r="E479" i="9" s="1"/>
  <c r="N478" i="6"/>
  <c r="M478" i="6"/>
  <c r="M478" i="23" s="1"/>
  <c r="L478" i="6"/>
  <c r="K478" i="6"/>
  <c r="J478" i="6"/>
  <c r="J478" i="23" s="1"/>
  <c r="I478" i="6"/>
  <c r="Q478" i="23" s="1"/>
  <c r="H478" i="6"/>
  <c r="G478" i="6"/>
  <c r="F478" i="6"/>
  <c r="E478" i="6"/>
  <c r="E478" i="9" s="1"/>
  <c r="N477" i="6"/>
  <c r="M477" i="6"/>
  <c r="M477" i="23" s="1"/>
  <c r="L477" i="6"/>
  <c r="K477" i="6"/>
  <c r="J477" i="6"/>
  <c r="J477" i="23" s="1"/>
  <c r="I477" i="6"/>
  <c r="Q477" i="23" s="1"/>
  <c r="H477" i="6"/>
  <c r="G477" i="6"/>
  <c r="F477" i="6"/>
  <c r="E477" i="6"/>
  <c r="E477" i="9" s="1"/>
  <c r="L475" i="6"/>
  <c r="N476" i="6"/>
  <c r="M476" i="6"/>
  <c r="M476" i="23" s="1"/>
  <c r="L476" i="6"/>
  <c r="K476" i="6"/>
  <c r="J476" i="6"/>
  <c r="J476" i="23" s="1"/>
  <c r="I476" i="6"/>
  <c r="Q476" i="23" s="1"/>
  <c r="H476" i="6"/>
  <c r="G476" i="6"/>
  <c r="F476" i="6"/>
  <c r="E476" i="6"/>
  <c r="E476" i="9" s="1"/>
  <c r="N430" i="6"/>
  <c r="M430" i="6"/>
  <c r="M430" i="23" s="1"/>
  <c r="L430" i="6"/>
  <c r="K430" i="6"/>
  <c r="J430" i="6"/>
  <c r="J430" i="23" s="1"/>
  <c r="I430" i="6"/>
  <c r="Q430" i="23" s="1"/>
  <c r="H430" i="6"/>
  <c r="G430" i="6"/>
  <c r="F430" i="6"/>
  <c r="E430" i="6"/>
  <c r="E430" i="9" s="1"/>
  <c r="N429" i="6"/>
  <c r="M429" i="6"/>
  <c r="M429" i="23" s="1"/>
  <c r="L429" i="6"/>
  <c r="K429" i="6"/>
  <c r="J429" i="6"/>
  <c r="J429" i="23" s="1"/>
  <c r="I429" i="6"/>
  <c r="Q429" i="23" s="1"/>
  <c r="H429" i="6"/>
  <c r="G429" i="6"/>
  <c r="F429" i="6"/>
  <c r="E429" i="6"/>
  <c r="E429" i="9" s="1"/>
  <c r="N428" i="6"/>
  <c r="M428" i="6"/>
  <c r="M428" i="23" s="1"/>
  <c r="L428" i="6"/>
  <c r="K428" i="6"/>
  <c r="J428" i="6"/>
  <c r="J428" i="23" s="1"/>
  <c r="I428" i="6"/>
  <c r="Q428" i="23" s="1"/>
  <c r="H428" i="6"/>
  <c r="G428" i="6"/>
  <c r="F428" i="6"/>
  <c r="E428" i="6"/>
  <c r="E428" i="9" s="1"/>
  <c r="N427" i="6"/>
  <c r="M427" i="6"/>
  <c r="M427" i="23" s="1"/>
  <c r="L427" i="6"/>
  <c r="K427" i="6"/>
  <c r="J427" i="6"/>
  <c r="J427" i="23" s="1"/>
  <c r="I427" i="6"/>
  <c r="Q427" i="23" s="1"/>
  <c r="H427" i="6"/>
  <c r="G427" i="6"/>
  <c r="F427" i="6"/>
  <c r="E427" i="6"/>
  <c r="E427" i="9" s="1"/>
  <c r="N426" i="6"/>
  <c r="M426" i="6"/>
  <c r="M426" i="23" s="1"/>
  <c r="L426" i="6"/>
  <c r="N425" i="6"/>
  <c r="M425" i="6"/>
  <c r="M425" i="23" s="1"/>
  <c r="L425" i="6"/>
  <c r="K426" i="6"/>
  <c r="J426" i="6"/>
  <c r="J426" i="23" s="1"/>
  <c r="I426" i="6"/>
  <c r="Q426" i="23" s="1"/>
  <c r="H426" i="6"/>
  <c r="G426" i="6"/>
  <c r="F426" i="6"/>
  <c r="E426" i="6"/>
  <c r="E426" i="9" s="1"/>
  <c r="K425" i="6"/>
  <c r="J425" i="6"/>
  <c r="J425" i="23" s="1"/>
  <c r="I425" i="6"/>
  <c r="Q425" i="23" s="1"/>
  <c r="H425" i="6"/>
  <c r="G425" i="6"/>
  <c r="F425" i="6"/>
  <c r="E425" i="6"/>
  <c r="E425" i="9" s="1"/>
  <c r="N424" i="6"/>
  <c r="M424" i="6"/>
  <c r="M424" i="23" s="1"/>
  <c r="L424" i="6"/>
  <c r="K424" i="6"/>
  <c r="J424" i="6"/>
  <c r="J424" i="23" s="1"/>
  <c r="I424" i="6"/>
  <c r="Q424" i="23" s="1"/>
  <c r="H424" i="6"/>
  <c r="G424" i="6"/>
  <c r="F424" i="6"/>
  <c r="E424" i="6"/>
  <c r="E424" i="9" s="1"/>
  <c r="N423" i="6"/>
  <c r="M423" i="6"/>
  <c r="M423" i="23" s="1"/>
  <c r="L423" i="6"/>
  <c r="K423" i="6"/>
  <c r="J423" i="6"/>
  <c r="J423" i="23" s="1"/>
  <c r="I423" i="6"/>
  <c r="Q423" i="23" s="1"/>
  <c r="H423" i="6"/>
  <c r="G423" i="6"/>
  <c r="F423" i="6"/>
  <c r="E423" i="6"/>
  <c r="E423" i="9" s="1"/>
  <c r="N422" i="6"/>
  <c r="M422" i="6"/>
  <c r="M422" i="23" s="1"/>
  <c r="L422" i="6"/>
  <c r="K422" i="6"/>
  <c r="J422" i="6"/>
  <c r="J422" i="23" s="1"/>
  <c r="I422" i="6"/>
  <c r="Q422" i="23" s="1"/>
  <c r="H422" i="6"/>
  <c r="G422" i="6"/>
  <c r="F422" i="6"/>
  <c r="E422" i="6"/>
  <c r="E422" i="9" s="1"/>
  <c r="N421" i="6"/>
  <c r="M421" i="6"/>
  <c r="M421" i="23" s="1"/>
  <c r="L421" i="6"/>
  <c r="L420" i="6"/>
  <c r="K421" i="6"/>
  <c r="J421" i="6"/>
  <c r="J421" i="23" s="1"/>
  <c r="I421" i="6"/>
  <c r="Q421" i="23" s="1"/>
  <c r="H421" i="6"/>
  <c r="G421" i="6"/>
  <c r="F421" i="6"/>
  <c r="E421" i="6"/>
  <c r="E421" i="9" s="1"/>
  <c r="N396" i="6"/>
  <c r="M396" i="6"/>
  <c r="M396" i="23" s="1"/>
  <c r="L396" i="6"/>
  <c r="K396" i="6"/>
  <c r="J396" i="6"/>
  <c r="J396" i="23" s="1"/>
  <c r="I396" i="6"/>
  <c r="Q396" i="23" s="1"/>
  <c r="H396" i="6"/>
  <c r="G396" i="6"/>
  <c r="F396" i="6"/>
  <c r="E396" i="6"/>
  <c r="E396" i="9" s="1"/>
  <c r="N395" i="6"/>
  <c r="M395" i="6"/>
  <c r="M395" i="23" s="1"/>
  <c r="L395" i="6"/>
  <c r="K395" i="6"/>
  <c r="J395" i="6"/>
  <c r="J395" i="23" s="1"/>
  <c r="I395" i="6"/>
  <c r="Q395" i="23" s="1"/>
  <c r="H395" i="6"/>
  <c r="G395" i="6"/>
  <c r="F395" i="6"/>
  <c r="E395" i="6"/>
  <c r="E395" i="9" s="1"/>
  <c r="N394" i="6"/>
  <c r="M394" i="6"/>
  <c r="M394" i="23" s="1"/>
  <c r="L394" i="6"/>
  <c r="K394" i="6"/>
  <c r="J394" i="6"/>
  <c r="J394" i="23" s="1"/>
  <c r="I394" i="6"/>
  <c r="Q394" i="23" s="1"/>
  <c r="H394" i="6"/>
  <c r="G394" i="6"/>
  <c r="F394" i="6"/>
  <c r="E394" i="6"/>
  <c r="E394" i="9" s="1"/>
  <c r="N393" i="6"/>
  <c r="M393" i="6"/>
  <c r="M393" i="23" s="1"/>
  <c r="L393" i="6"/>
  <c r="K393" i="6"/>
  <c r="J393" i="6"/>
  <c r="J393" i="23" s="1"/>
  <c r="I393" i="6"/>
  <c r="Q393" i="23" s="1"/>
  <c r="H393" i="6"/>
  <c r="G393" i="6"/>
  <c r="F393" i="6"/>
  <c r="E393" i="6"/>
  <c r="E393" i="9" s="1"/>
  <c r="N392" i="6"/>
  <c r="M392" i="6"/>
  <c r="M392" i="23" s="1"/>
  <c r="L392" i="6"/>
  <c r="K392" i="6"/>
  <c r="J392" i="6"/>
  <c r="J392" i="23" s="1"/>
  <c r="I392" i="6"/>
  <c r="Q392" i="23" s="1"/>
  <c r="H392" i="6"/>
  <c r="G392" i="6"/>
  <c r="F392" i="6"/>
  <c r="E392" i="6"/>
  <c r="E392" i="9" s="1"/>
  <c r="N391" i="6"/>
  <c r="M390" i="6"/>
  <c r="M390" i="23" s="1"/>
  <c r="M391" i="6"/>
  <c r="M391" i="23" s="1"/>
  <c r="L391" i="6"/>
  <c r="K391" i="6"/>
  <c r="J391" i="6"/>
  <c r="J391" i="23" s="1"/>
  <c r="I391" i="6"/>
  <c r="Q391" i="23" s="1"/>
  <c r="H391" i="6"/>
  <c r="G391" i="6"/>
  <c r="F391" i="6"/>
  <c r="E391" i="6"/>
  <c r="E391" i="9" s="1"/>
  <c r="N390" i="6"/>
  <c r="N389" i="6"/>
  <c r="M389" i="6"/>
  <c r="M389" i="23" s="1"/>
  <c r="L390" i="6"/>
  <c r="L389" i="6"/>
  <c r="K390" i="6"/>
  <c r="K389" i="6"/>
  <c r="J390" i="6"/>
  <c r="J390" i="23" s="1"/>
  <c r="J389" i="6"/>
  <c r="J389" i="23" s="1"/>
  <c r="I390" i="6"/>
  <c r="Q390" i="23" s="1"/>
  <c r="H390" i="6"/>
  <c r="H389" i="6"/>
  <c r="G390" i="6"/>
  <c r="G389" i="6"/>
  <c r="E390" i="6"/>
  <c r="E389" i="6"/>
  <c r="N331" i="6"/>
  <c r="M331" i="6"/>
  <c r="M331" i="23" s="1"/>
  <c r="L331" i="6"/>
  <c r="K331" i="6"/>
  <c r="J331" i="6"/>
  <c r="J331" i="23" s="1"/>
  <c r="I331" i="6"/>
  <c r="Q331" i="23" s="1"/>
  <c r="H331" i="6"/>
  <c r="G331" i="6"/>
  <c r="F331" i="6"/>
  <c r="E331" i="6"/>
  <c r="E331" i="9" s="1"/>
  <c r="N330" i="6"/>
  <c r="M330" i="6"/>
  <c r="M330" i="23" s="1"/>
  <c r="L330" i="6"/>
  <c r="K330" i="6"/>
  <c r="J330" i="6"/>
  <c r="J330" i="23" s="1"/>
  <c r="I330" i="6"/>
  <c r="Q330" i="23" s="1"/>
  <c r="H330" i="6"/>
  <c r="G330" i="6"/>
  <c r="F330" i="6"/>
  <c r="E330" i="6"/>
  <c r="E330" i="9" s="1"/>
  <c r="N329" i="6"/>
  <c r="M329" i="6"/>
  <c r="M329" i="23" s="1"/>
  <c r="L329" i="6"/>
  <c r="K329" i="6"/>
  <c r="J329" i="6"/>
  <c r="J329" i="23" s="1"/>
  <c r="I329" i="6"/>
  <c r="Q329" i="23" s="1"/>
  <c r="H329" i="6"/>
  <c r="G329" i="6"/>
  <c r="F329" i="6"/>
  <c r="E329" i="6"/>
  <c r="E329" i="9" s="1"/>
  <c r="N328" i="6"/>
  <c r="M328" i="6"/>
  <c r="M328" i="23" s="1"/>
  <c r="L328" i="6"/>
  <c r="K328" i="6"/>
  <c r="J328" i="6"/>
  <c r="J328" i="23" s="1"/>
  <c r="I328" i="6"/>
  <c r="Q328" i="23" s="1"/>
  <c r="H328" i="6"/>
  <c r="G328" i="6"/>
  <c r="F328" i="6"/>
  <c r="E328" i="6"/>
  <c r="E328" i="9" s="1"/>
  <c r="N327" i="6"/>
  <c r="M327" i="6"/>
  <c r="M327" i="23" s="1"/>
  <c r="L327" i="6"/>
  <c r="K327" i="6"/>
  <c r="J327" i="6"/>
  <c r="J327" i="23" s="1"/>
  <c r="I327" i="6"/>
  <c r="Q327" i="23" s="1"/>
  <c r="H327" i="6"/>
  <c r="G327" i="6"/>
  <c r="F327" i="6"/>
  <c r="E327" i="6"/>
  <c r="E327" i="9" s="1"/>
  <c r="N326" i="6"/>
  <c r="M326" i="6"/>
  <c r="M326" i="23" s="1"/>
  <c r="L326" i="6"/>
  <c r="K326" i="6"/>
  <c r="J326" i="6"/>
  <c r="J326" i="23" s="1"/>
  <c r="I326" i="6"/>
  <c r="Q326" i="23" s="1"/>
  <c r="H326" i="6"/>
  <c r="G326" i="6"/>
  <c r="F326" i="6"/>
  <c r="E326" i="6"/>
  <c r="E326" i="9" s="1"/>
  <c r="N325" i="6"/>
  <c r="N324" i="6"/>
  <c r="M325" i="6"/>
  <c r="M325" i="23" s="1"/>
  <c r="M324" i="6"/>
  <c r="M324" i="23" s="1"/>
  <c r="L325" i="6"/>
  <c r="L324" i="6"/>
  <c r="K325" i="6"/>
  <c r="K324" i="6"/>
  <c r="J325" i="6"/>
  <c r="J325" i="23" s="1"/>
  <c r="J324" i="6"/>
  <c r="J324" i="23" s="1"/>
  <c r="I325" i="6"/>
  <c r="Q325" i="23" s="1"/>
  <c r="I324" i="6"/>
  <c r="Q324" i="23" s="1"/>
  <c r="H325" i="6"/>
  <c r="H324" i="6"/>
  <c r="G325" i="6"/>
  <c r="G324" i="6"/>
  <c r="F325" i="6"/>
  <c r="F324" i="6"/>
  <c r="E325" i="6"/>
  <c r="E325" i="9" s="1"/>
  <c r="E324" i="6"/>
  <c r="E324" i="9" s="1"/>
  <c r="N177" i="6"/>
  <c r="M177" i="6"/>
  <c r="M177" i="23" s="1"/>
  <c r="L177" i="6"/>
  <c r="K177" i="6"/>
  <c r="J177" i="6"/>
  <c r="J177" i="23" s="1"/>
  <c r="I177" i="6"/>
  <c r="Q177" i="23" s="1"/>
  <c r="H177" i="6"/>
  <c r="G177" i="6"/>
  <c r="F177" i="6"/>
  <c r="E177" i="6"/>
  <c r="E177" i="9" s="1"/>
  <c r="N176" i="6"/>
  <c r="M176" i="6"/>
  <c r="M176" i="23" s="1"/>
  <c r="L176" i="6"/>
  <c r="K176" i="6"/>
  <c r="J176" i="6"/>
  <c r="J176" i="23" s="1"/>
  <c r="I176" i="6"/>
  <c r="Q176" i="23" s="1"/>
  <c r="H176" i="6"/>
  <c r="G176" i="6"/>
  <c r="F176" i="6"/>
  <c r="E176" i="6"/>
  <c r="E176" i="9" s="1"/>
  <c r="N175" i="6"/>
  <c r="M175" i="6"/>
  <c r="M175" i="23" s="1"/>
  <c r="L175" i="6"/>
  <c r="K175" i="6"/>
  <c r="J175" i="6"/>
  <c r="J175" i="23" s="1"/>
  <c r="I175" i="6"/>
  <c r="Q175" i="23" s="1"/>
  <c r="H175" i="6"/>
  <c r="G175" i="6"/>
  <c r="F175" i="6"/>
  <c r="E175" i="6"/>
  <c r="E175" i="9" s="1"/>
  <c r="N174" i="6"/>
  <c r="M174" i="6"/>
  <c r="M174" i="23" s="1"/>
  <c r="L174" i="6"/>
  <c r="K174" i="6"/>
  <c r="J174" i="6"/>
  <c r="J174" i="23" s="1"/>
  <c r="I174" i="6"/>
  <c r="Q174" i="23" s="1"/>
  <c r="H174" i="6"/>
  <c r="G174" i="6"/>
  <c r="F174" i="6"/>
  <c r="E174" i="6"/>
  <c r="E174" i="9" s="1"/>
  <c r="N173" i="6"/>
  <c r="M173" i="6"/>
  <c r="M173" i="23" s="1"/>
  <c r="L173" i="6"/>
  <c r="K173" i="6"/>
  <c r="J173" i="6"/>
  <c r="J173" i="23" s="1"/>
  <c r="I173" i="6"/>
  <c r="Q173" i="23" s="1"/>
  <c r="H173" i="6"/>
  <c r="G173" i="6"/>
  <c r="F173" i="6"/>
  <c r="E173" i="6"/>
  <c r="E173" i="9" s="1"/>
  <c r="N172" i="6"/>
  <c r="M172" i="6"/>
  <c r="M172" i="23" s="1"/>
  <c r="L172" i="6"/>
  <c r="K172" i="6"/>
  <c r="J172" i="6"/>
  <c r="J172" i="23" s="1"/>
  <c r="I172" i="6"/>
  <c r="Q172" i="23" s="1"/>
  <c r="H172" i="6"/>
  <c r="G172" i="6"/>
  <c r="F172" i="6"/>
  <c r="E172" i="6"/>
  <c r="E172" i="9" s="1"/>
  <c r="N171" i="6"/>
  <c r="M171" i="6"/>
  <c r="M171" i="23" s="1"/>
  <c r="L171" i="6"/>
  <c r="K171" i="6"/>
  <c r="J171" i="6"/>
  <c r="J171" i="23" s="1"/>
  <c r="I171" i="6"/>
  <c r="Q171" i="23" s="1"/>
  <c r="H171" i="6"/>
  <c r="G171" i="6"/>
  <c r="F171" i="6"/>
  <c r="E171" i="6"/>
  <c r="E171" i="9" s="1"/>
  <c r="N170" i="6"/>
  <c r="M170" i="6"/>
  <c r="M170" i="23" s="1"/>
  <c r="L170" i="6"/>
  <c r="K170" i="6"/>
  <c r="J170" i="6"/>
  <c r="J170" i="23" s="1"/>
  <c r="I170" i="6"/>
  <c r="Q170" i="23" s="1"/>
  <c r="H170" i="6"/>
  <c r="G170" i="6"/>
  <c r="F170" i="6"/>
  <c r="E170" i="6"/>
  <c r="E170" i="9" s="1"/>
  <c r="N169" i="6"/>
  <c r="N168" i="6"/>
  <c r="M169" i="6"/>
  <c r="M169" i="23" s="1"/>
  <c r="M168" i="6"/>
  <c r="M168" i="23" s="1"/>
  <c r="L169" i="6"/>
  <c r="L168" i="6"/>
  <c r="K169" i="6"/>
  <c r="K168" i="6"/>
  <c r="J169" i="6"/>
  <c r="J169" i="23" s="1"/>
  <c r="J168" i="6"/>
  <c r="J168" i="23" s="1"/>
  <c r="I168" i="6"/>
  <c r="Q168" i="23" s="1"/>
  <c r="I169" i="6"/>
  <c r="Q169" i="23" s="1"/>
  <c r="H169" i="6"/>
  <c r="H168" i="6"/>
  <c r="G169" i="6"/>
  <c r="G168" i="6"/>
  <c r="F169" i="6"/>
  <c r="F168" i="6"/>
  <c r="E169" i="6"/>
  <c r="E169" i="9" s="1"/>
  <c r="E168" i="6"/>
  <c r="E168" i="9" s="1"/>
  <c r="N595" i="6"/>
  <c r="M595" i="6"/>
  <c r="M595" i="23" s="1"/>
  <c r="L595" i="6"/>
  <c r="K595" i="6"/>
  <c r="J595" i="6"/>
  <c r="J595" i="23" s="1"/>
  <c r="I595" i="6"/>
  <c r="Q595" i="23" s="1"/>
  <c r="H595" i="6"/>
  <c r="G595" i="6"/>
  <c r="F595" i="6"/>
  <c r="E595" i="6"/>
  <c r="E595" i="9" s="1"/>
  <c r="N594" i="6"/>
  <c r="M594" i="6"/>
  <c r="M594" i="23" s="1"/>
  <c r="L594" i="6"/>
  <c r="K594" i="6"/>
  <c r="J594" i="6"/>
  <c r="J594" i="23" s="1"/>
  <c r="I594" i="6"/>
  <c r="Q594" i="23" s="1"/>
  <c r="H594" i="6"/>
  <c r="G594" i="6"/>
  <c r="F594" i="6"/>
  <c r="E594" i="6"/>
  <c r="E594" i="9" s="1"/>
  <c r="N593" i="6"/>
  <c r="N592" i="6"/>
  <c r="M593" i="6"/>
  <c r="M593" i="23" s="1"/>
  <c r="M592" i="6"/>
  <c r="M592" i="23" s="1"/>
  <c r="L593" i="6"/>
  <c r="L592" i="6"/>
  <c r="K592" i="6"/>
  <c r="K593" i="6"/>
  <c r="J593" i="6"/>
  <c r="J593" i="23" s="1"/>
  <c r="J592" i="6"/>
  <c r="J592" i="23" s="1"/>
  <c r="I593" i="6"/>
  <c r="Q593" i="23" s="1"/>
  <c r="I592" i="6"/>
  <c r="Q592" i="23" s="1"/>
  <c r="H592" i="6"/>
  <c r="H593" i="6"/>
  <c r="G593" i="6"/>
  <c r="G592" i="6"/>
  <c r="F593" i="6"/>
  <c r="F592" i="6"/>
  <c r="E593" i="6"/>
  <c r="E593" i="9" s="1"/>
  <c r="E592" i="6"/>
  <c r="E592" i="9" s="1"/>
  <c r="L596" i="6"/>
  <c r="N617" i="6"/>
  <c r="M617" i="6"/>
  <c r="M617" i="23" s="1"/>
  <c r="L617" i="6"/>
  <c r="K617" i="6"/>
  <c r="J617" i="6"/>
  <c r="J617" i="23" s="1"/>
  <c r="I617" i="6"/>
  <c r="Q617" i="23" s="1"/>
  <c r="H617" i="6"/>
  <c r="G617" i="6"/>
  <c r="F617" i="6"/>
  <c r="E617" i="6"/>
  <c r="E617" i="9" s="1"/>
  <c r="N616" i="6"/>
  <c r="M616" i="6"/>
  <c r="M616" i="23" s="1"/>
  <c r="L616" i="6"/>
  <c r="K616" i="6"/>
  <c r="J616" i="6"/>
  <c r="J616" i="23" s="1"/>
  <c r="I616" i="6"/>
  <c r="Q616" i="23" s="1"/>
  <c r="H616" i="6"/>
  <c r="G616" i="6"/>
  <c r="F616" i="6"/>
  <c r="E616" i="6"/>
  <c r="E616" i="9" s="1"/>
  <c r="N615" i="6"/>
  <c r="M615" i="6"/>
  <c r="M615" i="23" s="1"/>
  <c r="L615" i="6"/>
  <c r="K615" i="6"/>
  <c r="J615" i="6"/>
  <c r="J615" i="23" s="1"/>
  <c r="I615" i="6"/>
  <c r="Q615" i="23" s="1"/>
  <c r="H615" i="6"/>
  <c r="G615" i="6"/>
  <c r="F615" i="6"/>
  <c r="E615" i="6"/>
  <c r="E615" i="9" s="1"/>
  <c r="E614" i="6"/>
  <c r="E614" i="9" s="1"/>
  <c r="N614" i="6"/>
  <c r="M614" i="6"/>
  <c r="M614" i="23" s="1"/>
  <c r="L614" i="6"/>
  <c r="K614" i="6"/>
  <c r="J614" i="6"/>
  <c r="J614" i="23" s="1"/>
  <c r="I614" i="6"/>
  <c r="Q614" i="23" s="1"/>
  <c r="H614" i="6"/>
  <c r="G614" i="6"/>
  <c r="F614" i="6"/>
  <c r="N613" i="6"/>
  <c r="M613" i="6"/>
  <c r="M613" i="23" s="1"/>
  <c r="L613" i="6"/>
  <c r="K613" i="6"/>
  <c r="J613" i="6"/>
  <c r="J613" i="23" s="1"/>
  <c r="I613" i="6"/>
  <c r="Q613" i="23" s="1"/>
  <c r="H613" i="6"/>
  <c r="G613" i="6"/>
  <c r="F613" i="6"/>
  <c r="E613" i="6"/>
  <c r="E613" i="9" s="1"/>
  <c r="N612" i="6"/>
  <c r="M612" i="6"/>
  <c r="M612" i="23" s="1"/>
  <c r="L612" i="6"/>
  <c r="K612" i="6"/>
  <c r="J612" i="6"/>
  <c r="J612" i="23" s="1"/>
  <c r="I612" i="6"/>
  <c r="Q612" i="23" s="1"/>
  <c r="H612" i="6"/>
  <c r="G612" i="6"/>
  <c r="F612" i="6"/>
  <c r="E612" i="6"/>
  <c r="E612" i="9" s="1"/>
  <c r="N611" i="6"/>
  <c r="M611" i="6"/>
  <c r="M611" i="23" s="1"/>
  <c r="L611" i="6"/>
  <c r="K611" i="6"/>
  <c r="J611" i="6"/>
  <c r="J611" i="23" s="1"/>
  <c r="I611" i="6"/>
  <c r="Q611" i="23" s="1"/>
  <c r="H611" i="6"/>
  <c r="G611" i="6"/>
  <c r="F611" i="6"/>
  <c r="E611" i="6"/>
  <c r="E611" i="9" s="1"/>
  <c r="N610" i="6"/>
  <c r="M610" i="6"/>
  <c r="M610" i="23" s="1"/>
  <c r="L610" i="6"/>
  <c r="K610" i="6"/>
  <c r="J610" i="6"/>
  <c r="J610" i="23" s="1"/>
  <c r="I610" i="6"/>
  <c r="Q610" i="23" s="1"/>
  <c r="H610" i="6"/>
  <c r="G610" i="6"/>
  <c r="F610" i="6"/>
  <c r="E610" i="6"/>
  <c r="E610" i="9" s="1"/>
  <c r="N609" i="6"/>
  <c r="M609" i="6"/>
  <c r="M609" i="23" s="1"/>
  <c r="L609" i="6"/>
  <c r="K609" i="6"/>
  <c r="J609" i="6"/>
  <c r="J609" i="23" s="1"/>
  <c r="I609" i="6"/>
  <c r="Q609" i="23" s="1"/>
  <c r="H609" i="6"/>
  <c r="G609" i="6"/>
  <c r="F609" i="6"/>
  <c r="E609" i="6"/>
  <c r="E609" i="9" s="1"/>
  <c r="N608" i="6"/>
  <c r="M608" i="6"/>
  <c r="M608" i="23" s="1"/>
  <c r="L607" i="6"/>
  <c r="L608" i="6"/>
  <c r="K608" i="6"/>
  <c r="J608" i="6"/>
  <c r="J608" i="23" s="1"/>
  <c r="I608" i="6"/>
  <c r="Q608" i="23" s="1"/>
  <c r="H608" i="6"/>
  <c r="G608" i="6"/>
  <c r="F608" i="6"/>
  <c r="E608" i="6"/>
  <c r="E608" i="9" s="1"/>
  <c r="N628" i="6"/>
  <c r="M628" i="6"/>
  <c r="M628" i="23" s="1"/>
  <c r="L628" i="6"/>
  <c r="K628" i="6"/>
  <c r="J628" i="6"/>
  <c r="J628" i="23" s="1"/>
  <c r="I628" i="6"/>
  <c r="Q628" i="23" s="1"/>
  <c r="H628" i="6"/>
  <c r="G628" i="6"/>
  <c r="F628" i="6"/>
  <c r="E628" i="6"/>
  <c r="E628" i="9" s="1"/>
  <c r="N627" i="6"/>
  <c r="M627" i="6"/>
  <c r="M627" i="23" s="1"/>
  <c r="L627" i="6"/>
  <c r="K627" i="6"/>
  <c r="J627" i="6"/>
  <c r="J627" i="23" s="1"/>
  <c r="I627" i="6"/>
  <c r="Q627" i="23" s="1"/>
  <c r="H627" i="6"/>
  <c r="G627" i="6"/>
  <c r="F627" i="6"/>
  <c r="E627" i="6"/>
  <c r="E627" i="9" s="1"/>
  <c r="N626" i="6"/>
  <c r="M626" i="6"/>
  <c r="M626" i="23" s="1"/>
  <c r="L626" i="6"/>
  <c r="K626" i="6"/>
  <c r="J626" i="6"/>
  <c r="J626" i="23" s="1"/>
  <c r="I626" i="6"/>
  <c r="Q626" i="23" s="1"/>
  <c r="H626" i="6"/>
  <c r="G626" i="6"/>
  <c r="F626" i="6"/>
  <c r="E626" i="6"/>
  <c r="E626" i="9" s="1"/>
  <c r="N625" i="6"/>
  <c r="M625" i="6"/>
  <c r="M625" i="23" s="1"/>
  <c r="L625" i="6"/>
  <c r="K625" i="6"/>
  <c r="J625" i="6"/>
  <c r="J625" i="23" s="1"/>
  <c r="I625" i="6"/>
  <c r="Q625" i="23" s="1"/>
  <c r="H625" i="6"/>
  <c r="G625" i="6"/>
  <c r="F625" i="6"/>
  <c r="E625" i="6"/>
  <c r="E625" i="9" s="1"/>
  <c r="N624" i="6"/>
  <c r="M624" i="6"/>
  <c r="M624" i="23" s="1"/>
  <c r="L624" i="6"/>
  <c r="K624" i="6"/>
  <c r="J624" i="6"/>
  <c r="J624" i="23" s="1"/>
  <c r="I624" i="6"/>
  <c r="Q624" i="23" s="1"/>
  <c r="H624" i="6"/>
  <c r="G624" i="6"/>
  <c r="F624" i="6"/>
  <c r="E624" i="6"/>
  <c r="E624" i="9" s="1"/>
  <c r="N623" i="6"/>
  <c r="M623" i="6"/>
  <c r="M623" i="23" s="1"/>
  <c r="L623" i="6"/>
  <c r="K623" i="6"/>
  <c r="J623" i="6"/>
  <c r="J623" i="23" s="1"/>
  <c r="I623" i="6"/>
  <c r="Q623" i="23" s="1"/>
  <c r="H623" i="6"/>
  <c r="G623" i="6"/>
  <c r="F623" i="6"/>
  <c r="E623" i="6"/>
  <c r="E623" i="9" s="1"/>
  <c r="N622" i="6"/>
  <c r="N621" i="6"/>
  <c r="M622" i="6"/>
  <c r="M622" i="23" s="1"/>
  <c r="M621" i="6"/>
  <c r="M621" i="23" s="1"/>
  <c r="L622" i="6"/>
  <c r="L621" i="6"/>
  <c r="K622" i="6"/>
  <c r="K621" i="6"/>
  <c r="J622" i="6"/>
  <c r="J622" i="23" s="1"/>
  <c r="J621" i="6"/>
  <c r="J621" i="23" s="1"/>
  <c r="I622" i="6"/>
  <c r="Q622" i="23" s="1"/>
  <c r="I621" i="6"/>
  <c r="Q621" i="23" s="1"/>
  <c r="H622" i="6"/>
  <c r="H621" i="6"/>
  <c r="G622" i="6"/>
  <c r="G621" i="6"/>
  <c r="F622" i="6"/>
  <c r="F621" i="6"/>
  <c r="E622" i="6"/>
  <c r="E622" i="9" s="1"/>
  <c r="E621" i="6"/>
  <c r="E621" i="9" s="1"/>
  <c r="N606" i="6"/>
  <c r="M606" i="6"/>
  <c r="M606" i="23" s="1"/>
  <c r="L606" i="6"/>
  <c r="K606" i="6"/>
  <c r="J606" i="6"/>
  <c r="J606" i="23" s="1"/>
  <c r="I606" i="6"/>
  <c r="Q606" i="23" s="1"/>
  <c r="H606" i="6"/>
  <c r="G606" i="6"/>
  <c r="F606" i="6"/>
  <c r="E606" i="6"/>
  <c r="E606" i="9" s="1"/>
  <c r="N605" i="6"/>
  <c r="M605" i="6"/>
  <c r="M605" i="23" s="1"/>
  <c r="L605" i="6"/>
  <c r="K605" i="6"/>
  <c r="J605" i="6"/>
  <c r="J605" i="23" s="1"/>
  <c r="I605" i="6"/>
  <c r="Q605" i="23" s="1"/>
  <c r="H605" i="6"/>
  <c r="G605" i="6"/>
  <c r="F605" i="6"/>
  <c r="E605" i="6"/>
  <c r="E605" i="9" s="1"/>
  <c r="N604" i="6"/>
  <c r="M604" i="6"/>
  <c r="M604" i="23" s="1"/>
  <c r="L604" i="6"/>
  <c r="K604" i="6"/>
  <c r="J604" i="6"/>
  <c r="J604" i="23" s="1"/>
  <c r="I604" i="6"/>
  <c r="Q604" i="23" s="1"/>
  <c r="H604" i="6"/>
  <c r="G604" i="6"/>
  <c r="F604" i="6"/>
  <c r="E604" i="6"/>
  <c r="E604" i="9" s="1"/>
  <c r="N603" i="6"/>
  <c r="M603" i="6"/>
  <c r="M603" i="23" s="1"/>
  <c r="L603" i="6"/>
  <c r="K603" i="6"/>
  <c r="J603" i="6"/>
  <c r="J603" i="23" s="1"/>
  <c r="I603" i="6"/>
  <c r="Q603" i="23" s="1"/>
  <c r="H603" i="6"/>
  <c r="G603" i="6"/>
  <c r="F603" i="6"/>
  <c r="E603" i="6"/>
  <c r="E603" i="9" s="1"/>
  <c r="N602" i="6"/>
  <c r="M602" i="6"/>
  <c r="M602" i="23" s="1"/>
  <c r="L602" i="6"/>
  <c r="K602" i="6"/>
  <c r="J602" i="6"/>
  <c r="J602" i="23" s="1"/>
  <c r="I602" i="6"/>
  <c r="Q602" i="23" s="1"/>
  <c r="H602" i="6"/>
  <c r="G602" i="6"/>
  <c r="F602" i="6"/>
  <c r="E602" i="6"/>
  <c r="E602" i="9" s="1"/>
  <c r="N601" i="6"/>
  <c r="M601" i="6"/>
  <c r="M601" i="23" s="1"/>
  <c r="L601" i="6"/>
  <c r="K601" i="6"/>
  <c r="J601" i="6"/>
  <c r="J601" i="23" s="1"/>
  <c r="I601" i="6"/>
  <c r="Q601" i="23" s="1"/>
  <c r="H601" i="6"/>
  <c r="G601" i="6"/>
  <c r="F601" i="6"/>
  <c r="E601" i="6"/>
  <c r="E601" i="9" s="1"/>
  <c r="N600" i="6"/>
  <c r="M600" i="6"/>
  <c r="M600" i="23" s="1"/>
  <c r="L600" i="6"/>
  <c r="K600" i="6"/>
  <c r="J600" i="6"/>
  <c r="J600" i="23" s="1"/>
  <c r="I600" i="6"/>
  <c r="Q600" i="23" s="1"/>
  <c r="H600" i="6"/>
  <c r="G600" i="6"/>
  <c r="F600" i="6"/>
  <c r="E600" i="6"/>
  <c r="E600" i="9" s="1"/>
  <c r="N599" i="6"/>
  <c r="M599" i="6"/>
  <c r="M599" i="23" s="1"/>
  <c r="L599" i="6"/>
  <c r="K599" i="6"/>
  <c r="J599" i="6"/>
  <c r="J599" i="23" s="1"/>
  <c r="I599" i="6"/>
  <c r="Q599" i="23" s="1"/>
  <c r="H599" i="6"/>
  <c r="G599" i="6"/>
  <c r="F599" i="6"/>
  <c r="E599" i="6"/>
  <c r="E599" i="9" s="1"/>
  <c r="N598" i="6"/>
  <c r="N597" i="6"/>
  <c r="M598" i="6"/>
  <c r="M598" i="23" s="1"/>
  <c r="M597" i="6"/>
  <c r="M597" i="23" s="1"/>
  <c r="L598" i="6"/>
  <c r="L597" i="6"/>
  <c r="K598" i="6"/>
  <c r="K597" i="6"/>
  <c r="J598" i="6"/>
  <c r="J598" i="23" s="1"/>
  <c r="J597" i="6"/>
  <c r="J597" i="23" s="1"/>
  <c r="I598" i="6"/>
  <c r="Q598" i="23" s="1"/>
  <c r="I597" i="6"/>
  <c r="Q597" i="23" s="1"/>
  <c r="H598" i="6"/>
  <c r="H597" i="6"/>
  <c r="G598" i="6"/>
  <c r="G597" i="6"/>
  <c r="F598" i="6"/>
  <c r="F597" i="6"/>
  <c r="E598" i="6"/>
  <c r="E598" i="9" s="1"/>
  <c r="E597" i="6"/>
  <c r="E597" i="9" s="1"/>
  <c r="N639" i="6"/>
  <c r="M639" i="6"/>
  <c r="M639" i="23" s="1"/>
  <c r="L639" i="6"/>
  <c r="K639" i="6"/>
  <c r="J639" i="6"/>
  <c r="J639" i="23" s="1"/>
  <c r="I639" i="6"/>
  <c r="Q639" i="23" s="1"/>
  <c r="H639" i="6"/>
  <c r="G639" i="6"/>
  <c r="F639" i="6"/>
  <c r="E639" i="6"/>
  <c r="E639" i="9" s="1"/>
  <c r="N638" i="6"/>
  <c r="M638" i="6"/>
  <c r="M638" i="23" s="1"/>
  <c r="L638" i="6"/>
  <c r="K638" i="6"/>
  <c r="J638" i="6"/>
  <c r="J638" i="23" s="1"/>
  <c r="I638" i="6"/>
  <c r="Q638" i="23" s="1"/>
  <c r="H638" i="6"/>
  <c r="G638" i="6"/>
  <c r="F638" i="6"/>
  <c r="E638" i="6"/>
  <c r="E638" i="9" s="1"/>
  <c r="N637" i="6"/>
  <c r="M637" i="6"/>
  <c r="M637" i="23" s="1"/>
  <c r="L637" i="6"/>
  <c r="K637" i="6"/>
  <c r="J637" i="6"/>
  <c r="J637" i="23" s="1"/>
  <c r="I637" i="6"/>
  <c r="Q637" i="23" s="1"/>
  <c r="H637" i="6"/>
  <c r="G637" i="6"/>
  <c r="F637" i="6"/>
  <c r="E637" i="6"/>
  <c r="E637" i="9" s="1"/>
  <c r="N636" i="6"/>
  <c r="N635" i="6"/>
  <c r="M636" i="6"/>
  <c r="M636" i="23" s="1"/>
  <c r="M635" i="6"/>
  <c r="M635" i="23" s="1"/>
  <c r="L636" i="6"/>
  <c r="L635" i="6"/>
  <c r="K636" i="6"/>
  <c r="K635" i="6"/>
  <c r="J636" i="6"/>
  <c r="J636" i="23" s="1"/>
  <c r="J635" i="6"/>
  <c r="J635" i="23" s="1"/>
  <c r="I636" i="6"/>
  <c r="Q636" i="23" s="1"/>
  <c r="I635" i="6"/>
  <c r="Q635" i="23" s="1"/>
  <c r="H636" i="6"/>
  <c r="H635" i="6"/>
  <c r="G636" i="6"/>
  <c r="G635" i="6"/>
  <c r="F636" i="6"/>
  <c r="F635" i="6"/>
  <c r="E635" i="6"/>
  <c r="E635" i="9" s="1"/>
  <c r="E636" i="6"/>
  <c r="E636" i="9" s="1"/>
  <c r="N562" i="6"/>
  <c r="M562" i="6"/>
  <c r="M562" i="23" s="1"/>
  <c r="L562" i="6"/>
  <c r="K562" i="6"/>
  <c r="J562" i="6"/>
  <c r="J562" i="23" s="1"/>
  <c r="I562" i="6"/>
  <c r="Q562" i="23" s="1"/>
  <c r="H562" i="6"/>
  <c r="G562" i="6"/>
  <c r="E562" i="6"/>
  <c r="E562" i="9" s="1"/>
  <c r="F562" i="6"/>
  <c r="N561" i="6"/>
  <c r="M561" i="6"/>
  <c r="M561" i="23" s="1"/>
  <c r="L561" i="6"/>
  <c r="K561" i="6"/>
  <c r="I561" i="6"/>
  <c r="Q561" i="23" s="1"/>
  <c r="J561" i="6"/>
  <c r="J561" i="23" s="1"/>
  <c r="H561" i="6"/>
  <c r="G561" i="6"/>
  <c r="F561" i="6"/>
  <c r="E561" i="6"/>
  <c r="E561" i="9" s="1"/>
  <c r="N560" i="6"/>
  <c r="M560" i="6"/>
  <c r="M560" i="23" s="1"/>
  <c r="L560" i="6"/>
  <c r="K560" i="6"/>
  <c r="J560" i="6"/>
  <c r="J560" i="23" s="1"/>
  <c r="I560" i="6"/>
  <c r="Q560" i="23" s="1"/>
  <c r="H560" i="6"/>
  <c r="G560" i="6"/>
  <c r="F560" i="6"/>
  <c r="E560" i="6"/>
  <c r="E560" i="9" s="1"/>
  <c r="N559" i="6"/>
  <c r="M559" i="6"/>
  <c r="M559" i="23" s="1"/>
  <c r="L559" i="6"/>
  <c r="K559" i="6"/>
  <c r="J559" i="6"/>
  <c r="J559" i="23" s="1"/>
  <c r="I559" i="6"/>
  <c r="Q559" i="23" s="1"/>
  <c r="H559" i="6"/>
  <c r="G559" i="6"/>
  <c r="F559" i="6"/>
  <c r="E559" i="6"/>
  <c r="E559" i="9" s="1"/>
  <c r="N558" i="6"/>
  <c r="N557" i="6"/>
  <c r="M558" i="6"/>
  <c r="M558" i="23" s="1"/>
  <c r="M557" i="6"/>
  <c r="M557" i="23" s="1"/>
  <c r="L558" i="6"/>
  <c r="L557" i="6"/>
  <c r="K558" i="6"/>
  <c r="K557" i="6"/>
  <c r="J558" i="6"/>
  <c r="J558" i="23" s="1"/>
  <c r="J557" i="6"/>
  <c r="J557" i="23" s="1"/>
  <c r="I558" i="6"/>
  <c r="Q558" i="23" s="1"/>
  <c r="I557" i="6"/>
  <c r="Q557" i="23" s="1"/>
  <c r="H558" i="6"/>
  <c r="H557" i="6"/>
  <c r="G558" i="6"/>
  <c r="G557" i="6"/>
  <c r="F558" i="6"/>
  <c r="F557" i="6"/>
  <c r="E558" i="6"/>
  <c r="E558" i="9" s="1"/>
  <c r="E557" i="6"/>
  <c r="E557" i="9" s="1"/>
  <c r="N551" i="6"/>
  <c r="M551" i="6"/>
  <c r="M551" i="23" s="1"/>
  <c r="L551" i="6"/>
  <c r="K551" i="6"/>
  <c r="J551" i="6"/>
  <c r="J551" i="23" s="1"/>
  <c r="I551" i="6"/>
  <c r="Q551" i="23" s="1"/>
  <c r="H551" i="6"/>
  <c r="G551" i="6"/>
  <c r="F551" i="6"/>
  <c r="E551" i="6"/>
  <c r="E551" i="9" s="1"/>
  <c r="N550" i="6"/>
  <c r="M550" i="6"/>
  <c r="M550" i="23" s="1"/>
  <c r="L550" i="6"/>
  <c r="K550" i="6"/>
  <c r="J550" i="6"/>
  <c r="J550" i="23" s="1"/>
  <c r="I550" i="6"/>
  <c r="Q550" i="23" s="1"/>
  <c r="H550" i="6"/>
  <c r="G550" i="6"/>
  <c r="F550" i="6"/>
  <c r="E550" i="6"/>
  <c r="E550" i="9" s="1"/>
  <c r="N549" i="6"/>
  <c r="M549" i="6"/>
  <c r="M549" i="23" s="1"/>
  <c r="L549" i="6"/>
  <c r="K549" i="6"/>
  <c r="J549" i="6"/>
  <c r="J549" i="23" s="1"/>
  <c r="I549" i="6"/>
  <c r="Q549" i="23" s="1"/>
  <c r="H549" i="6"/>
  <c r="G549" i="6"/>
  <c r="F549" i="6"/>
  <c r="E549" i="6"/>
  <c r="E549" i="9" s="1"/>
  <c r="N548" i="6"/>
  <c r="M548" i="6"/>
  <c r="M548" i="23" s="1"/>
  <c r="L548" i="6"/>
  <c r="K548" i="6"/>
  <c r="J548" i="6"/>
  <c r="J548" i="23" s="1"/>
  <c r="I548" i="6"/>
  <c r="Q548" i="23" s="1"/>
  <c r="H548" i="6"/>
  <c r="G548" i="6"/>
  <c r="F548" i="6"/>
  <c r="E548" i="6"/>
  <c r="E548" i="9" s="1"/>
  <c r="N547" i="6"/>
  <c r="M547" i="6"/>
  <c r="M547" i="23" s="1"/>
  <c r="L547" i="6"/>
  <c r="K547" i="6"/>
  <c r="J547" i="6"/>
  <c r="J547" i="23" s="1"/>
  <c r="I547" i="6"/>
  <c r="Q547" i="23" s="1"/>
  <c r="H547" i="6"/>
  <c r="G547" i="6"/>
  <c r="F547" i="6"/>
  <c r="E547" i="6"/>
  <c r="E547" i="9" s="1"/>
  <c r="N546" i="6"/>
  <c r="M546" i="6"/>
  <c r="M546" i="23" s="1"/>
  <c r="L546" i="6"/>
  <c r="K546" i="6"/>
  <c r="J546" i="6"/>
  <c r="J546" i="23" s="1"/>
  <c r="I546" i="6"/>
  <c r="Q546" i="23" s="1"/>
  <c r="H546" i="6"/>
  <c r="G546" i="6"/>
  <c r="F546" i="6"/>
  <c r="E546" i="6"/>
  <c r="E546" i="9" s="1"/>
  <c r="N545" i="6"/>
  <c r="M545" i="6"/>
  <c r="M545" i="23" s="1"/>
  <c r="L545" i="6"/>
  <c r="K545" i="6"/>
  <c r="J545" i="6"/>
  <c r="J545" i="23" s="1"/>
  <c r="I545" i="6"/>
  <c r="Q545" i="23" s="1"/>
  <c r="H545" i="6"/>
  <c r="G545" i="6"/>
  <c r="F545" i="6"/>
  <c r="E545" i="6"/>
  <c r="E545" i="9" s="1"/>
  <c r="N544" i="6"/>
  <c r="M544" i="6"/>
  <c r="M544" i="23" s="1"/>
  <c r="L544" i="6"/>
  <c r="K544" i="6"/>
  <c r="J544" i="6"/>
  <c r="J544" i="23" s="1"/>
  <c r="I544" i="6"/>
  <c r="Q544" i="23" s="1"/>
  <c r="H544" i="6"/>
  <c r="G544" i="6"/>
  <c r="F544" i="6"/>
  <c r="E544" i="6"/>
  <c r="E544" i="9" s="1"/>
  <c r="N543" i="6"/>
  <c r="L543" i="6"/>
  <c r="M543" i="6"/>
  <c r="M543" i="23" s="1"/>
  <c r="K543" i="6"/>
  <c r="J543" i="6"/>
  <c r="J543" i="23" s="1"/>
  <c r="I543" i="6"/>
  <c r="Q543" i="23" s="1"/>
  <c r="H543" i="6"/>
  <c r="G543" i="6"/>
  <c r="F543" i="6"/>
  <c r="E543" i="6"/>
  <c r="E543" i="9" s="1"/>
  <c r="N542" i="6"/>
  <c r="M542" i="6"/>
  <c r="M542" i="23" s="1"/>
  <c r="L542" i="6"/>
  <c r="L541" i="6"/>
  <c r="K542" i="6"/>
  <c r="J542" i="6"/>
  <c r="J542" i="23" s="1"/>
  <c r="I542" i="6"/>
  <c r="Q542" i="23" s="1"/>
  <c r="H542" i="6"/>
  <c r="G542" i="6"/>
  <c r="F542" i="6"/>
  <c r="E542" i="6"/>
  <c r="E542" i="9" s="1"/>
  <c r="N540" i="6"/>
  <c r="M540" i="6"/>
  <c r="M540" i="23" s="1"/>
  <c r="L540" i="6"/>
  <c r="K540" i="6"/>
  <c r="J540" i="6"/>
  <c r="J540" i="23" s="1"/>
  <c r="I540" i="6"/>
  <c r="Q540" i="23" s="1"/>
  <c r="H540" i="6"/>
  <c r="G540" i="6"/>
  <c r="F540" i="6"/>
  <c r="E540" i="6"/>
  <c r="E540" i="9" s="1"/>
  <c r="N539" i="6"/>
  <c r="M539" i="6"/>
  <c r="M539" i="23" s="1"/>
  <c r="L539" i="6"/>
  <c r="K539" i="6"/>
  <c r="J539" i="6"/>
  <c r="J539" i="23" s="1"/>
  <c r="I539" i="6"/>
  <c r="Q539" i="23" s="1"/>
  <c r="H539" i="6"/>
  <c r="G539" i="6"/>
  <c r="F539" i="6"/>
  <c r="E539" i="6"/>
  <c r="E539" i="9" s="1"/>
  <c r="N538" i="6"/>
  <c r="M538" i="6"/>
  <c r="M538" i="23" s="1"/>
  <c r="L538" i="6"/>
  <c r="K538" i="6"/>
  <c r="J538" i="6"/>
  <c r="J538" i="23" s="1"/>
  <c r="I538" i="6"/>
  <c r="Q538" i="23" s="1"/>
  <c r="H538" i="6"/>
  <c r="G538" i="6"/>
  <c r="F538" i="6"/>
  <c r="E538" i="6"/>
  <c r="E538" i="9" s="1"/>
  <c r="N537" i="6"/>
  <c r="M537" i="6"/>
  <c r="M537" i="23" s="1"/>
  <c r="L537" i="6"/>
  <c r="K537" i="6"/>
  <c r="J537" i="6"/>
  <c r="J537" i="23" s="1"/>
  <c r="I537" i="6"/>
  <c r="Q537" i="23" s="1"/>
  <c r="H537" i="6"/>
  <c r="G537" i="6"/>
  <c r="F537" i="6"/>
  <c r="E537" i="6"/>
  <c r="E537" i="9" s="1"/>
  <c r="N536" i="6"/>
  <c r="M536" i="6"/>
  <c r="M536" i="23" s="1"/>
  <c r="L536" i="6"/>
  <c r="K536" i="6"/>
  <c r="J536" i="6"/>
  <c r="J536" i="23" s="1"/>
  <c r="I536" i="6"/>
  <c r="Q536" i="23" s="1"/>
  <c r="H536" i="6"/>
  <c r="G536" i="6"/>
  <c r="F536" i="6"/>
  <c r="E536" i="6"/>
  <c r="E536" i="9" s="1"/>
  <c r="N535" i="6"/>
  <c r="M535" i="6"/>
  <c r="M535" i="23" s="1"/>
  <c r="L535" i="6"/>
  <c r="K535" i="6"/>
  <c r="J535" i="6"/>
  <c r="J535" i="23" s="1"/>
  <c r="I535" i="6"/>
  <c r="Q535" i="23" s="1"/>
  <c r="H534" i="6"/>
  <c r="H535" i="6"/>
  <c r="G535" i="6"/>
  <c r="F535" i="6"/>
  <c r="E535" i="6"/>
  <c r="E535" i="9" s="1"/>
  <c r="N534" i="6"/>
  <c r="M534" i="6"/>
  <c r="M534" i="23" s="1"/>
  <c r="L534" i="6"/>
  <c r="K534" i="6"/>
  <c r="J534" i="6"/>
  <c r="J534" i="23" s="1"/>
  <c r="I534" i="6"/>
  <c r="Q534" i="23" s="1"/>
  <c r="G534" i="6"/>
  <c r="F534" i="6"/>
  <c r="E534" i="6"/>
  <c r="E534" i="9" s="1"/>
  <c r="N533" i="6"/>
  <c r="N532" i="6"/>
  <c r="M533" i="6"/>
  <c r="M533" i="23" s="1"/>
  <c r="M532" i="6"/>
  <c r="M532" i="23" s="1"/>
  <c r="L533" i="6"/>
  <c r="L532" i="6"/>
  <c r="K533" i="6"/>
  <c r="K532" i="6"/>
  <c r="J533" i="6"/>
  <c r="J533" i="23" s="1"/>
  <c r="J532" i="6"/>
  <c r="J532" i="23" s="1"/>
  <c r="I533" i="6"/>
  <c r="Q533" i="23" s="1"/>
  <c r="I532" i="6"/>
  <c r="Q532" i="23" s="1"/>
  <c r="H533" i="6"/>
  <c r="H532" i="6"/>
  <c r="G533" i="6"/>
  <c r="G532" i="6"/>
  <c r="F533" i="6"/>
  <c r="F532" i="6"/>
  <c r="E533" i="6"/>
  <c r="E533" i="9" s="1"/>
  <c r="E532" i="6"/>
  <c r="E532" i="9" s="1"/>
  <c r="F538" i="11" l="1"/>
  <c r="P538" i="23"/>
  <c r="R538" i="23" s="1"/>
  <c r="Z489" i="31" s="1"/>
  <c r="E545" i="23"/>
  <c r="E545" i="8"/>
  <c r="F546" i="23"/>
  <c r="F546" i="8"/>
  <c r="F548" i="23"/>
  <c r="F548" i="8"/>
  <c r="F637" i="23"/>
  <c r="F637" i="8"/>
  <c r="F639" i="23"/>
  <c r="F639" i="8"/>
  <c r="E601" i="23"/>
  <c r="E601" i="8"/>
  <c r="F604" i="23"/>
  <c r="F604" i="8"/>
  <c r="F606" i="23"/>
  <c r="F606" i="8"/>
  <c r="F628" i="23"/>
  <c r="F628" i="8"/>
  <c r="E608" i="23"/>
  <c r="E608" i="8"/>
  <c r="F174" i="23"/>
  <c r="F174" i="8"/>
  <c r="E175" i="23"/>
  <c r="E175" i="8"/>
  <c r="F176" i="23"/>
  <c r="F176" i="8"/>
  <c r="F325" i="23"/>
  <c r="F325" i="8"/>
  <c r="E329" i="23"/>
  <c r="E329" i="8"/>
  <c r="E331" i="23"/>
  <c r="E331" i="8"/>
  <c r="F421" i="11"/>
  <c r="P421" i="23"/>
  <c r="R421" i="23" s="1"/>
  <c r="Z382" i="31" s="1"/>
  <c r="F422" i="23"/>
  <c r="F422" i="8"/>
  <c r="F424" i="23"/>
  <c r="F424" i="8"/>
  <c r="F428" i="23"/>
  <c r="F428" i="8"/>
  <c r="F430" i="23"/>
  <c r="F430" i="8"/>
  <c r="F477" i="10"/>
  <c r="H477" i="23"/>
  <c r="K477" i="23" s="1"/>
  <c r="N477" i="23" s="1"/>
  <c r="E477" i="20"/>
  <c r="U433" i="31" s="1"/>
  <c r="F479" i="10"/>
  <c r="H479" i="23"/>
  <c r="K479" i="23" s="1"/>
  <c r="N479" i="23" s="1"/>
  <c r="E479" i="20"/>
  <c r="U435" i="31" s="1"/>
  <c r="F522" i="23"/>
  <c r="F522" i="8"/>
  <c r="E523" i="23"/>
  <c r="E523" i="8"/>
  <c r="F568" i="10"/>
  <c r="H568" i="23"/>
  <c r="K568" i="23" s="1"/>
  <c r="N568" i="23" s="1"/>
  <c r="E568" i="20"/>
  <c r="U516" i="31" s="1"/>
  <c r="F568" i="11"/>
  <c r="P568" i="23"/>
  <c r="R568" i="23" s="1"/>
  <c r="Z516" i="31" s="1"/>
  <c r="F375" i="23"/>
  <c r="F375" i="8"/>
  <c r="S57" i="31"/>
  <c r="P57" i="31"/>
  <c r="S121" i="31"/>
  <c r="P121" i="31"/>
  <c r="P27" i="31"/>
  <c r="S27" i="31"/>
  <c r="S248" i="31"/>
  <c r="P248" i="31"/>
  <c r="S324" i="31"/>
  <c r="P324" i="31"/>
  <c r="S332" i="31"/>
  <c r="P332" i="31"/>
  <c r="S337" i="31"/>
  <c r="P337" i="31"/>
  <c r="S356" i="31"/>
  <c r="P356" i="31"/>
  <c r="S358" i="31"/>
  <c r="P358" i="31"/>
  <c r="S360" i="31"/>
  <c r="P360" i="31"/>
  <c r="P578" i="31"/>
  <c r="S578" i="31"/>
  <c r="P580" i="31"/>
  <c r="S580" i="31"/>
  <c r="F576" i="10"/>
  <c r="H576" i="23"/>
  <c r="K576" i="23" s="1"/>
  <c r="N576" i="23" s="1"/>
  <c r="E576" i="20"/>
  <c r="U523" i="31" s="1"/>
  <c r="E576" i="10"/>
  <c r="G576" i="10" s="1"/>
  <c r="G523" i="31" s="1"/>
  <c r="Q576" i="23"/>
  <c r="R576" i="23"/>
  <c r="Z523" i="31" s="1"/>
  <c r="O576" i="23"/>
  <c r="Y523" i="31" s="1"/>
  <c r="E578" i="23"/>
  <c r="E578" i="8"/>
  <c r="F579" i="23"/>
  <c r="F579" i="8"/>
  <c r="F581" i="23"/>
  <c r="F581" i="8"/>
  <c r="E582" i="23"/>
  <c r="E582" i="8"/>
  <c r="F584" i="23"/>
  <c r="F584" i="8"/>
  <c r="E583" i="23"/>
  <c r="E583" i="8"/>
  <c r="P508" i="31"/>
  <c r="S508" i="31"/>
  <c r="P510" i="31"/>
  <c r="S510" i="31"/>
  <c r="R553" i="6"/>
  <c r="E553" i="17"/>
  <c r="M502" i="31" s="1"/>
  <c r="R557" i="6"/>
  <c r="E557" i="17"/>
  <c r="M506" i="31" s="1"/>
  <c r="E49" i="23"/>
  <c r="E49" i="8"/>
  <c r="E47" i="23"/>
  <c r="G47" i="23" s="1"/>
  <c r="E47" i="8"/>
  <c r="G47" i="8" s="1"/>
  <c r="E42" i="31" s="1"/>
  <c r="F47" i="23"/>
  <c r="F47" i="8"/>
  <c r="E50" i="23"/>
  <c r="E50" i="8"/>
  <c r="F52" i="10"/>
  <c r="H52" i="23"/>
  <c r="K52" i="23" s="1"/>
  <c r="N52" i="23" s="1"/>
  <c r="O52" i="23" s="1"/>
  <c r="Y47" i="31" s="1"/>
  <c r="E52" i="20"/>
  <c r="U47" i="31" s="1"/>
  <c r="E52" i="10"/>
  <c r="G52" i="10" s="1"/>
  <c r="G47" i="31" s="1"/>
  <c r="Q52" i="23"/>
  <c r="R52" i="23" s="1"/>
  <c r="Z47" i="31" s="1"/>
  <c r="E53" i="23"/>
  <c r="E53" i="8"/>
  <c r="E54" i="23"/>
  <c r="E54" i="8"/>
  <c r="E55" i="23"/>
  <c r="E55" i="8"/>
  <c r="F646" i="10"/>
  <c r="H646" i="23"/>
  <c r="K646" i="23" s="1"/>
  <c r="N646" i="23" s="1"/>
  <c r="E646" i="20"/>
  <c r="U587" i="31" s="1"/>
  <c r="E646" i="10"/>
  <c r="G646" i="10" s="1"/>
  <c r="G587" i="31" s="1"/>
  <c r="Q646" i="23"/>
  <c r="R646" i="23" s="1"/>
  <c r="Z587" i="31" s="1"/>
  <c r="O646" i="23"/>
  <c r="Y587" i="31" s="1"/>
  <c r="E647" i="10"/>
  <c r="Q647" i="23"/>
  <c r="F691" i="23"/>
  <c r="F691" i="8"/>
  <c r="F689" i="23"/>
  <c r="F689" i="8"/>
  <c r="W728" i="31"/>
  <c r="S801" i="23"/>
  <c r="AA728" i="31" s="1"/>
  <c r="W1000" i="31"/>
  <c r="S1100" i="23"/>
  <c r="AA1000" i="31" s="1"/>
  <c r="W835" i="31"/>
  <c r="S919" i="23"/>
  <c r="AA835" i="31" s="1"/>
  <c r="W820" i="31"/>
  <c r="S902" i="23"/>
  <c r="AA820" i="31" s="1"/>
  <c r="W976" i="31"/>
  <c r="S1074" i="23"/>
  <c r="AA976" i="31" s="1"/>
  <c r="W800" i="31"/>
  <c r="S880" i="23"/>
  <c r="AA800" i="31" s="1"/>
  <c r="W989" i="31"/>
  <c r="S1088" i="23"/>
  <c r="AA989" i="31" s="1"/>
  <c r="W710" i="31"/>
  <c r="S781" i="23"/>
  <c r="AA710" i="31" s="1"/>
  <c r="W689" i="31"/>
  <c r="S758" i="23"/>
  <c r="AA689" i="31" s="1"/>
  <c r="W603" i="31"/>
  <c r="S664" i="23"/>
  <c r="AA603" i="31" s="1"/>
  <c r="W618" i="31"/>
  <c r="S680" i="23"/>
  <c r="AA618" i="31" s="1"/>
  <c r="W600" i="31"/>
  <c r="S660" i="23"/>
  <c r="AA600" i="31" s="1"/>
  <c r="S658" i="23"/>
  <c r="AA598" i="31" s="1"/>
  <c r="W598" i="31"/>
  <c r="W589" i="31"/>
  <c r="W979" i="31"/>
  <c r="S1077" i="23"/>
  <c r="AA979" i="31" s="1"/>
  <c r="S1098" i="23"/>
  <c r="AA998" i="31" s="1"/>
  <c r="W998" i="31"/>
  <c r="W843" i="31"/>
  <c r="S928" i="23"/>
  <c r="AA843" i="31" s="1"/>
  <c r="L737" i="23"/>
  <c r="X670" i="31" s="1"/>
  <c r="W662" i="31"/>
  <c r="S729" i="23"/>
  <c r="AA662" i="31" s="1"/>
  <c r="W657" i="31"/>
  <c r="W605" i="31"/>
  <c r="S879" i="23"/>
  <c r="AA799" i="31" s="1"/>
  <c r="W799" i="31"/>
  <c r="W784" i="31"/>
  <c r="S863" i="23"/>
  <c r="AA784" i="31" s="1"/>
  <c r="I782" i="23"/>
  <c r="L778" i="23"/>
  <c r="X707" i="31" s="1"/>
  <c r="I774" i="23"/>
  <c r="W668" i="31"/>
  <c r="W649" i="31"/>
  <c r="G663" i="23"/>
  <c r="I663" i="23" s="1"/>
  <c r="G681" i="8"/>
  <c r="E619" i="31" s="1"/>
  <c r="G661" i="8"/>
  <c r="E601" i="31" s="1"/>
  <c r="W621" i="31"/>
  <c r="G681" i="10"/>
  <c r="G619" i="31" s="1"/>
  <c r="W717" i="31"/>
  <c r="S789" i="23"/>
  <c r="AA717" i="31" s="1"/>
  <c r="W720" i="31"/>
  <c r="S792" i="23"/>
  <c r="AA720" i="31" s="1"/>
  <c r="W818" i="31"/>
  <c r="S900" i="23"/>
  <c r="AA818" i="31" s="1"/>
  <c r="W978" i="31"/>
  <c r="S1076" i="23"/>
  <c r="AA978" i="31" s="1"/>
  <c r="W702" i="31"/>
  <c r="L755" i="23"/>
  <c r="X686" i="31" s="1"/>
  <c r="W630" i="31"/>
  <c r="S693" i="23"/>
  <c r="AA630" i="31" s="1"/>
  <c r="G692" i="8"/>
  <c r="E629" i="31" s="1"/>
  <c r="W610" i="31"/>
  <c r="F540" i="10"/>
  <c r="H540" i="23"/>
  <c r="K540" i="23" s="1"/>
  <c r="N540" i="23" s="1"/>
  <c r="E540" i="20"/>
  <c r="U491" i="31" s="1"/>
  <c r="F544" i="23"/>
  <c r="F544" i="8"/>
  <c r="F561" i="23"/>
  <c r="F561" i="8"/>
  <c r="F598" i="10"/>
  <c r="H598" i="23"/>
  <c r="K598" i="23" s="1"/>
  <c r="N598" i="23" s="1"/>
  <c r="O598" i="23" s="1"/>
  <c r="Y543" i="31" s="1"/>
  <c r="E598" i="20"/>
  <c r="U543" i="31" s="1"/>
  <c r="F598" i="11"/>
  <c r="P598" i="23"/>
  <c r="R598" i="23" s="1"/>
  <c r="Z543" i="31" s="1"/>
  <c r="E599" i="23"/>
  <c r="E599" i="8"/>
  <c r="E625" i="23"/>
  <c r="E625" i="8"/>
  <c r="E627" i="23"/>
  <c r="E627" i="8"/>
  <c r="F609" i="10"/>
  <c r="H609" i="23"/>
  <c r="K609" i="23" s="1"/>
  <c r="N609" i="23" s="1"/>
  <c r="E609" i="20"/>
  <c r="U553" i="31" s="1"/>
  <c r="F609" i="11"/>
  <c r="P609" i="23"/>
  <c r="R609" i="23" s="1"/>
  <c r="Z553" i="31" s="1"/>
  <c r="F611" i="10"/>
  <c r="H611" i="23"/>
  <c r="K611" i="23" s="1"/>
  <c r="N611" i="23" s="1"/>
  <c r="E611" i="20"/>
  <c r="U555" i="31" s="1"/>
  <c r="F615" i="11"/>
  <c r="P615" i="23"/>
  <c r="R615" i="23" s="1"/>
  <c r="Z559" i="31" s="1"/>
  <c r="F594" i="23"/>
  <c r="F594" i="8"/>
  <c r="E595" i="23"/>
  <c r="E595" i="8"/>
  <c r="F169" i="23"/>
  <c r="F169" i="8"/>
  <c r="E177" i="23"/>
  <c r="E177" i="8"/>
  <c r="E325" i="23"/>
  <c r="G325" i="23" s="1"/>
  <c r="E325" i="8"/>
  <c r="G325" i="8" s="1"/>
  <c r="E295" i="31" s="1"/>
  <c r="F328" i="23"/>
  <c r="F328" i="8"/>
  <c r="F390" i="10"/>
  <c r="E390" i="20"/>
  <c r="U354" i="31" s="1"/>
  <c r="H390" i="23"/>
  <c r="K390" i="23" s="1"/>
  <c r="N390" i="23" s="1"/>
  <c r="F391" i="23"/>
  <c r="F391" i="8"/>
  <c r="F421" i="10"/>
  <c r="H421" i="23"/>
  <c r="K421" i="23" s="1"/>
  <c r="N421" i="23" s="1"/>
  <c r="E421" i="20"/>
  <c r="U382" i="31" s="1"/>
  <c r="E423" i="23"/>
  <c r="E423" i="8"/>
  <c r="F426" i="11"/>
  <c r="P426" i="23"/>
  <c r="R426" i="23" s="1"/>
  <c r="Z387" i="31" s="1"/>
  <c r="E429" i="23"/>
  <c r="E429" i="8"/>
  <c r="F479" i="11"/>
  <c r="P479" i="23"/>
  <c r="R479" i="23" s="1"/>
  <c r="Z435" i="31" s="1"/>
  <c r="F481" i="11"/>
  <c r="P481" i="23"/>
  <c r="R481" i="23" s="1"/>
  <c r="Z437" i="31" s="1"/>
  <c r="F483" i="10"/>
  <c r="H483" i="23"/>
  <c r="K483" i="23" s="1"/>
  <c r="N483" i="23" s="1"/>
  <c r="E483" i="20"/>
  <c r="U439" i="31" s="1"/>
  <c r="F485" i="10"/>
  <c r="H485" i="23"/>
  <c r="K485" i="23" s="1"/>
  <c r="N485" i="23" s="1"/>
  <c r="E485" i="20"/>
  <c r="U441" i="31" s="1"/>
  <c r="F485" i="11"/>
  <c r="P485" i="23"/>
  <c r="R485" i="23" s="1"/>
  <c r="Z441" i="31" s="1"/>
  <c r="F526" i="23"/>
  <c r="F526" i="8"/>
  <c r="E527" i="23"/>
  <c r="E527" i="8"/>
  <c r="E565" i="23"/>
  <c r="E565" i="8"/>
  <c r="F566" i="23"/>
  <c r="F566" i="8"/>
  <c r="F570" i="23"/>
  <c r="F570" i="8"/>
  <c r="E570" i="23"/>
  <c r="E570" i="8"/>
  <c r="F366" i="10"/>
  <c r="H366" i="23"/>
  <c r="K366" i="23" s="1"/>
  <c r="N366" i="23" s="1"/>
  <c r="E366" i="20"/>
  <c r="U332" i="31" s="1"/>
  <c r="F366" i="11"/>
  <c r="P366" i="23"/>
  <c r="R366" i="23" s="1"/>
  <c r="Z332" i="31" s="1"/>
  <c r="E368" i="23"/>
  <c r="E368" i="8"/>
  <c r="F371" i="23"/>
  <c r="F371" i="8"/>
  <c r="S55" i="31"/>
  <c r="P55" i="31"/>
  <c r="P59" i="31"/>
  <c r="S59" i="31"/>
  <c r="S113" i="31"/>
  <c r="P113" i="31"/>
  <c r="S114" i="31"/>
  <c r="P114" i="31"/>
  <c r="S116" i="31"/>
  <c r="P116" i="31"/>
  <c r="S118" i="31"/>
  <c r="P118" i="31"/>
  <c r="F133" i="23"/>
  <c r="F133" i="8"/>
  <c r="S159" i="31"/>
  <c r="P159" i="31"/>
  <c r="S244" i="31"/>
  <c r="P244" i="31"/>
  <c r="S328" i="31"/>
  <c r="P328" i="31"/>
  <c r="E580" i="23"/>
  <c r="E580" i="8"/>
  <c r="E533" i="23"/>
  <c r="E533" i="8"/>
  <c r="F533" i="23"/>
  <c r="F533" i="8"/>
  <c r="F535" i="10"/>
  <c r="H535" i="23"/>
  <c r="K535" i="23" s="1"/>
  <c r="N535" i="23" s="1"/>
  <c r="O535" i="23" s="1"/>
  <c r="Y486" i="31" s="1"/>
  <c r="E535" i="20"/>
  <c r="U486" i="31" s="1"/>
  <c r="F536" i="23"/>
  <c r="F536" i="8"/>
  <c r="E537" i="23"/>
  <c r="E537" i="8"/>
  <c r="F538" i="23"/>
  <c r="F538" i="8"/>
  <c r="E539" i="23"/>
  <c r="E539" i="8"/>
  <c r="F540" i="23"/>
  <c r="F540" i="8"/>
  <c r="E542" i="23"/>
  <c r="E542" i="8"/>
  <c r="F543" i="10"/>
  <c r="H543" i="23"/>
  <c r="K543" i="23" s="1"/>
  <c r="N543" i="23" s="1"/>
  <c r="E543" i="20"/>
  <c r="U493" i="31" s="1"/>
  <c r="F543" i="11"/>
  <c r="P543" i="23"/>
  <c r="R543" i="23" s="1"/>
  <c r="Z493" i="31" s="1"/>
  <c r="F545" i="10"/>
  <c r="H545" i="23"/>
  <c r="K545" i="23" s="1"/>
  <c r="N545" i="23" s="1"/>
  <c r="E545" i="20"/>
  <c r="U495" i="31" s="1"/>
  <c r="F545" i="11"/>
  <c r="P545" i="23"/>
  <c r="R545" i="23" s="1"/>
  <c r="Z495" i="31" s="1"/>
  <c r="F547" i="10"/>
  <c r="H547" i="23"/>
  <c r="K547" i="23" s="1"/>
  <c r="N547" i="23" s="1"/>
  <c r="E547" i="20"/>
  <c r="U497" i="31" s="1"/>
  <c r="F547" i="11"/>
  <c r="P547" i="23"/>
  <c r="R547" i="23" s="1"/>
  <c r="Z497" i="31" s="1"/>
  <c r="F549" i="10"/>
  <c r="H549" i="23"/>
  <c r="K549" i="23" s="1"/>
  <c r="N549" i="23" s="1"/>
  <c r="E549" i="20"/>
  <c r="U499" i="31" s="1"/>
  <c r="F549" i="11"/>
  <c r="P549" i="23"/>
  <c r="R549" i="23" s="1"/>
  <c r="Z499" i="31" s="1"/>
  <c r="F551" i="10"/>
  <c r="H551" i="23"/>
  <c r="K551" i="23" s="1"/>
  <c r="N551" i="23" s="1"/>
  <c r="E551" i="20"/>
  <c r="U501" i="31" s="1"/>
  <c r="F551" i="11"/>
  <c r="P551" i="23"/>
  <c r="R551" i="23" s="1"/>
  <c r="Z501" i="31" s="1"/>
  <c r="F557" i="10"/>
  <c r="H557" i="23"/>
  <c r="K557" i="23" s="1"/>
  <c r="N557" i="23" s="1"/>
  <c r="E557" i="20"/>
  <c r="U506" i="31" s="1"/>
  <c r="F557" i="11"/>
  <c r="P557" i="23"/>
  <c r="R557" i="23" s="1"/>
  <c r="Z506" i="31" s="1"/>
  <c r="O557" i="23"/>
  <c r="Y506" i="31" s="1"/>
  <c r="F560" i="10"/>
  <c r="H560" i="23"/>
  <c r="K560" i="23" s="1"/>
  <c r="N560" i="23" s="1"/>
  <c r="E560" i="20"/>
  <c r="U509" i="31" s="1"/>
  <c r="F560" i="11"/>
  <c r="P560" i="23"/>
  <c r="R560" i="23" s="1"/>
  <c r="Z509" i="31" s="1"/>
  <c r="F562" i="10"/>
  <c r="H562" i="23"/>
  <c r="K562" i="23" s="1"/>
  <c r="N562" i="23" s="1"/>
  <c r="E562" i="20"/>
  <c r="U511" i="31" s="1"/>
  <c r="F562" i="11"/>
  <c r="P562" i="23"/>
  <c r="R562" i="23" s="1"/>
  <c r="Z511" i="31" s="1"/>
  <c r="F635" i="10"/>
  <c r="H635" i="23"/>
  <c r="K635" i="23" s="1"/>
  <c r="N635" i="23" s="1"/>
  <c r="E635" i="20"/>
  <c r="U577" i="31" s="1"/>
  <c r="F635" i="11"/>
  <c r="P635" i="23"/>
  <c r="R635" i="23" s="1"/>
  <c r="Z577" i="31" s="1"/>
  <c r="O635" i="23"/>
  <c r="Y577" i="31" s="1"/>
  <c r="F638" i="10"/>
  <c r="H638" i="23"/>
  <c r="K638" i="23" s="1"/>
  <c r="N638" i="23" s="1"/>
  <c r="E638" i="20"/>
  <c r="U580" i="31" s="1"/>
  <c r="F638" i="11"/>
  <c r="P638" i="23"/>
  <c r="R638" i="23" s="1"/>
  <c r="Z580" i="31" s="1"/>
  <c r="E597" i="23"/>
  <c r="G597" i="23" s="1"/>
  <c r="E597" i="8"/>
  <c r="G597" i="8" s="1"/>
  <c r="E542" i="31" s="1"/>
  <c r="F597" i="23"/>
  <c r="F597" i="8"/>
  <c r="F599" i="10"/>
  <c r="H599" i="23"/>
  <c r="K599" i="23" s="1"/>
  <c r="N599" i="23" s="1"/>
  <c r="E599" i="20"/>
  <c r="U544" i="31" s="1"/>
  <c r="F599" i="11"/>
  <c r="P599" i="23"/>
  <c r="R599" i="23" s="1"/>
  <c r="Z544" i="31" s="1"/>
  <c r="F601" i="10"/>
  <c r="H601" i="23"/>
  <c r="K601" i="23" s="1"/>
  <c r="N601" i="23" s="1"/>
  <c r="E601" i="20"/>
  <c r="U546" i="31" s="1"/>
  <c r="F601" i="11"/>
  <c r="P601" i="23"/>
  <c r="R601" i="23" s="1"/>
  <c r="Z546" i="31" s="1"/>
  <c r="F603" i="10"/>
  <c r="H603" i="23"/>
  <c r="K603" i="23" s="1"/>
  <c r="N603" i="23" s="1"/>
  <c r="E603" i="20"/>
  <c r="U548" i="31" s="1"/>
  <c r="F603" i="11"/>
  <c r="P603" i="23"/>
  <c r="R603" i="23" s="1"/>
  <c r="Z548" i="31" s="1"/>
  <c r="F605" i="10"/>
  <c r="H605" i="23"/>
  <c r="K605" i="23" s="1"/>
  <c r="N605" i="23" s="1"/>
  <c r="E605" i="20"/>
  <c r="U550" i="31" s="1"/>
  <c r="F605" i="11"/>
  <c r="P605" i="23"/>
  <c r="R605" i="23" s="1"/>
  <c r="Z550" i="31" s="1"/>
  <c r="E621" i="23"/>
  <c r="G621" i="23" s="1"/>
  <c r="E621" i="8"/>
  <c r="F621" i="23"/>
  <c r="F621" i="8"/>
  <c r="F623" i="10"/>
  <c r="H623" i="23"/>
  <c r="K623" i="23" s="1"/>
  <c r="N623" i="23" s="1"/>
  <c r="E623" i="20"/>
  <c r="U566" i="31" s="1"/>
  <c r="F623" i="11"/>
  <c r="P623" i="23"/>
  <c r="R623" i="23" s="1"/>
  <c r="Z566" i="31" s="1"/>
  <c r="F625" i="10"/>
  <c r="H625" i="23"/>
  <c r="K625" i="23" s="1"/>
  <c r="N625" i="23" s="1"/>
  <c r="E625" i="20"/>
  <c r="U568" i="31" s="1"/>
  <c r="F625" i="11"/>
  <c r="P625" i="23"/>
  <c r="R625" i="23" s="1"/>
  <c r="Z568" i="31" s="1"/>
  <c r="F627" i="10"/>
  <c r="H627" i="23"/>
  <c r="K627" i="23" s="1"/>
  <c r="N627" i="23" s="1"/>
  <c r="E627" i="20"/>
  <c r="U570" i="31" s="1"/>
  <c r="F627" i="11"/>
  <c r="P627" i="23"/>
  <c r="R627" i="23" s="1"/>
  <c r="Z570" i="31" s="1"/>
  <c r="F608" i="10"/>
  <c r="H608" i="23"/>
  <c r="K608" i="23" s="1"/>
  <c r="N608" i="23" s="1"/>
  <c r="O608" i="23" s="1"/>
  <c r="Y552" i="31" s="1"/>
  <c r="E608" i="20"/>
  <c r="U552" i="31" s="1"/>
  <c r="F608" i="11"/>
  <c r="P608" i="23"/>
  <c r="R608" i="23" s="1"/>
  <c r="Z552" i="31" s="1"/>
  <c r="F609" i="23"/>
  <c r="F609" i="8"/>
  <c r="E610" i="23"/>
  <c r="E610" i="8"/>
  <c r="F611" i="23"/>
  <c r="F611" i="8"/>
  <c r="E612" i="23"/>
  <c r="E612" i="8"/>
  <c r="F613" i="23"/>
  <c r="F613" i="8"/>
  <c r="F614" i="10"/>
  <c r="H614" i="23"/>
  <c r="K614" i="23" s="1"/>
  <c r="N614" i="23" s="1"/>
  <c r="E614" i="20"/>
  <c r="U558" i="31" s="1"/>
  <c r="F614" i="11"/>
  <c r="P614" i="23"/>
  <c r="R614" i="23" s="1"/>
  <c r="Z558" i="31" s="1"/>
  <c r="F615" i="23"/>
  <c r="F615" i="8"/>
  <c r="E616" i="23"/>
  <c r="E616" i="8"/>
  <c r="F617" i="23"/>
  <c r="F617" i="8"/>
  <c r="F592" i="10"/>
  <c r="H592" i="23"/>
  <c r="K592" i="23" s="1"/>
  <c r="N592" i="23" s="1"/>
  <c r="E592" i="20"/>
  <c r="U538" i="31" s="1"/>
  <c r="F593" i="11"/>
  <c r="P593" i="23"/>
  <c r="R593" i="23" s="1"/>
  <c r="Z539" i="31" s="1"/>
  <c r="O592" i="23"/>
  <c r="Y538" i="31" s="1"/>
  <c r="F595" i="10"/>
  <c r="H595" i="23"/>
  <c r="K595" i="23" s="1"/>
  <c r="N595" i="23" s="1"/>
  <c r="E595" i="20"/>
  <c r="U541" i="31" s="1"/>
  <c r="F595" i="11"/>
  <c r="P595" i="23"/>
  <c r="R595" i="23" s="1"/>
  <c r="Z541" i="31" s="1"/>
  <c r="F168" i="10"/>
  <c r="H168" i="23"/>
  <c r="K168" i="23" s="1"/>
  <c r="N168" i="23" s="1"/>
  <c r="E168" i="20"/>
  <c r="U152" i="31" s="1"/>
  <c r="F168" i="11"/>
  <c r="P168" i="23"/>
  <c r="R168" i="23" s="1"/>
  <c r="Z152" i="31" s="1"/>
  <c r="O168" i="23"/>
  <c r="Y152" i="31" s="1"/>
  <c r="F171" i="10"/>
  <c r="H171" i="23"/>
  <c r="K171" i="23" s="1"/>
  <c r="N171" i="23" s="1"/>
  <c r="E171" i="20"/>
  <c r="U155" i="31" s="1"/>
  <c r="F171" i="11"/>
  <c r="P171" i="23"/>
  <c r="R171" i="23" s="1"/>
  <c r="Z155" i="31" s="1"/>
  <c r="F173" i="10"/>
  <c r="H173" i="23"/>
  <c r="K173" i="23" s="1"/>
  <c r="N173" i="23" s="1"/>
  <c r="E173" i="20"/>
  <c r="U157" i="31" s="1"/>
  <c r="F173" i="11"/>
  <c r="P173" i="23"/>
  <c r="R173" i="23" s="1"/>
  <c r="Z157" i="31" s="1"/>
  <c r="F175" i="10"/>
  <c r="H175" i="23"/>
  <c r="K175" i="23" s="1"/>
  <c r="N175" i="23" s="1"/>
  <c r="E175" i="20"/>
  <c r="U159" i="31" s="1"/>
  <c r="F175" i="11"/>
  <c r="P175" i="23"/>
  <c r="R175" i="23" s="1"/>
  <c r="Z159" i="31" s="1"/>
  <c r="F177" i="10"/>
  <c r="H177" i="23"/>
  <c r="K177" i="23" s="1"/>
  <c r="N177" i="23" s="1"/>
  <c r="E177" i="20"/>
  <c r="U161" i="31" s="1"/>
  <c r="F177" i="11"/>
  <c r="P177" i="23"/>
  <c r="R177" i="23" s="1"/>
  <c r="Z161" i="31" s="1"/>
  <c r="F324" i="10"/>
  <c r="H324" i="23"/>
  <c r="K324" i="23" s="1"/>
  <c r="N324" i="23" s="1"/>
  <c r="E324" i="20"/>
  <c r="U294" i="31" s="1"/>
  <c r="F324" i="11"/>
  <c r="P324" i="23"/>
  <c r="R324" i="23" s="1"/>
  <c r="Z294" i="31" s="1"/>
  <c r="O324" i="23"/>
  <c r="Y294" i="31" s="1"/>
  <c r="F327" i="10"/>
  <c r="H327" i="23"/>
  <c r="K327" i="23" s="1"/>
  <c r="N327" i="23" s="1"/>
  <c r="E327" i="20"/>
  <c r="U297" i="31" s="1"/>
  <c r="F327" i="11"/>
  <c r="P327" i="23"/>
  <c r="R327" i="23" s="1"/>
  <c r="Z297" i="31" s="1"/>
  <c r="F329" i="10"/>
  <c r="H329" i="23"/>
  <c r="K329" i="23" s="1"/>
  <c r="N329" i="23" s="1"/>
  <c r="E329" i="20"/>
  <c r="U299" i="31" s="1"/>
  <c r="F329" i="11"/>
  <c r="P329" i="23"/>
  <c r="R329" i="23" s="1"/>
  <c r="Z299" i="31" s="1"/>
  <c r="F331" i="10"/>
  <c r="H331" i="23"/>
  <c r="K331" i="23" s="1"/>
  <c r="N331" i="23" s="1"/>
  <c r="E331" i="20"/>
  <c r="U301" i="31" s="1"/>
  <c r="F331" i="11"/>
  <c r="P331" i="23"/>
  <c r="R331" i="23" s="1"/>
  <c r="Z301" i="31" s="1"/>
  <c r="F389" i="23"/>
  <c r="F389" i="8"/>
  <c r="L390" i="23"/>
  <c r="X354" i="31" s="1"/>
  <c r="E392" i="23"/>
  <c r="E392" i="8"/>
  <c r="F393" i="23"/>
  <c r="F393" i="8"/>
  <c r="E394" i="23"/>
  <c r="E394" i="8"/>
  <c r="F395" i="23"/>
  <c r="F395" i="8"/>
  <c r="E396" i="23"/>
  <c r="E396" i="8"/>
  <c r="F421" i="23"/>
  <c r="F421" i="8"/>
  <c r="F423" i="10"/>
  <c r="H423" i="23"/>
  <c r="K423" i="23" s="1"/>
  <c r="N423" i="23" s="1"/>
  <c r="E423" i="20"/>
  <c r="U384" i="31" s="1"/>
  <c r="F423" i="11"/>
  <c r="P423" i="23"/>
  <c r="R423" i="23" s="1"/>
  <c r="Z384" i="31" s="1"/>
  <c r="F425" i="10"/>
  <c r="H425" i="23"/>
  <c r="K425" i="23" s="1"/>
  <c r="N425" i="23" s="1"/>
  <c r="E425" i="20"/>
  <c r="U386" i="31" s="1"/>
  <c r="F425" i="11"/>
  <c r="P425" i="23"/>
  <c r="R425" i="23" s="1"/>
  <c r="Z386" i="31" s="1"/>
  <c r="F426" i="23"/>
  <c r="F426" i="8"/>
  <c r="F427" i="10"/>
  <c r="H427" i="23"/>
  <c r="K427" i="23" s="1"/>
  <c r="N427" i="23" s="1"/>
  <c r="E427" i="20"/>
  <c r="U388" i="31" s="1"/>
  <c r="F427" i="11"/>
  <c r="P427" i="23"/>
  <c r="R427" i="23" s="1"/>
  <c r="Z388" i="31" s="1"/>
  <c r="F429" i="10"/>
  <c r="H429" i="23"/>
  <c r="K429" i="23" s="1"/>
  <c r="N429" i="23" s="1"/>
  <c r="E429" i="20"/>
  <c r="U390" i="31" s="1"/>
  <c r="F429" i="11"/>
  <c r="P429" i="23"/>
  <c r="R429" i="23" s="1"/>
  <c r="Z390" i="31" s="1"/>
  <c r="F476" i="10"/>
  <c r="H476" i="23"/>
  <c r="K476" i="23" s="1"/>
  <c r="N476" i="23" s="1"/>
  <c r="E476" i="20"/>
  <c r="U432" i="31" s="1"/>
  <c r="F476" i="11"/>
  <c r="P476" i="23"/>
  <c r="R476" i="23" s="1"/>
  <c r="Z432" i="31" s="1"/>
  <c r="F477" i="23"/>
  <c r="F477" i="8"/>
  <c r="E478" i="23"/>
  <c r="E478" i="8"/>
  <c r="F479" i="23"/>
  <c r="F479" i="8"/>
  <c r="E480" i="23"/>
  <c r="E480" i="8"/>
  <c r="F481" i="23"/>
  <c r="F481" i="8"/>
  <c r="E482" i="23"/>
  <c r="E482" i="8"/>
  <c r="F483" i="23"/>
  <c r="F483" i="8"/>
  <c r="E484" i="23"/>
  <c r="E484" i="8"/>
  <c r="F485" i="23"/>
  <c r="F485" i="8"/>
  <c r="E520" i="23"/>
  <c r="E520" i="8"/>
  <c r="F521" i="10"/>
  <c r="H521" i="23"/>
  <c r="K521" i="23" s="1"/>
  <c r="N521" i="23" s="1"/>
  <c r="E521" i="20"/>
  <c r="U473" i="31" s="1"/>
  <c r="F521" i="11"/>
  <c r="P521" i="23"/>
  <c r="R521" i="23" s="1"/>
  <c r="Z473" i="31" s="1"/>
  <c r="F523" i="10"/>
  <c r="H523" i="23"/>
  <c r="K523" i="23" s="1"/>
  <c r="N523" i="23" s="1"/>
  <c r="E523" i="20"/>
  <c r="U475" i="31" s="1"/>
  <c r="F523" i="11"/>
  <c r="P523" i="23"/>
  <c r="R523" i="23" s="1"/>
  <c r="Z475" i="31" s="1"/>
  <c r="F525" i="10"/>
  <c r="H525" i="23"/>
  <c r="K525" i="23" s="1"/>
  <c r="N525" i="23" s="1"/>
  <c r="E525" i="20"/>
  <c r="U477" i="31" s="1"/>
  <c r="F525" i="11"/>
  <c r="P525" i="23"/>
  <c r="R525" i="23" s="1"/>
  <c r="Z477" i="31" s="1"/>
  <c r="F527" i="10"/>
  <c r="H527" i="23"/>
  <c r="K527" i="23" s="1"/>
  <c r="N527" i="23" s="1"/>
  <c r="E527" i="20"/>
  <c r="U479" i="31" s="1"/>
  <c r="F527" i="11"/>
  <c r="P527" i="23"/>
  <c r="R527" i="23" s="1"/>
  <c r="Z479" i="31" s="1"/>
  <c r="F529" i="10"/>
  <c r="H529" i="23"/>
  <c r="K529" i="23" s="1"/>
  <c r="N529" i="23" s="1"/>
  <c r="E529" i="20"/>
  <c r="U481" i="31" s="1"/>
  <c r="F529" i="11"/>
  <c r="P529" i="23"/>
  <c r="R529" i="23" s="1"/>
  <c r="Z481" i="31" s="1"/>
  <c r="F564" i="10"/>
  <c r="H564" i="23"/>
  <c r="K564" i="23" s="1"/>
  <c r="N564" i="23" s="1"/>
  <c r="E564" i="20"/>
  <c r="U512" i="31" s="1"/>
  <c r="F564" i="11"/>
  <c r="P564" i="23"/>
  <c r="R564" i="23" s="1"/>
  <c r="Z512" i="31" s="1"/>
  <c r="O564" i="23"/>
  <c r="Y512" i="31" s="1"/>
  <c r="F567" i="10"/>
  <c r="H567" i="23"/>
  <c r="K567" i="23" s="1"/>
  <c r="N567" i="23" s="1"/>
  <c r="E567" i="20"/>
  <c r="U515" i="31" s="1"/>
  <c r="F567" i="11"/>
  <c r="P567" i="23"/>
  <c r="R567" i="23" s="1"/>
  <c r="Z515" i="31" s="1"/>
  <c r="F568" i="23"/>
  <c r="F568" i="8"/>
  <c r="E569" i="23"/>
  <c r="E569" i="8"/>
  <c r="E571" i="23"/>
  <c r="E571" i="8"/>
  <c r="F572" i="23"/>
  <c r="F572" i="8"/>
  <c r="E573" i="23"/>
  <c r="E573" i="8"/>
  <c r="F366" i="23"/>
  <c r="F366" i="8"/>
  <c r="E367" i="23"/>
  <c r="E367" i="8"/>
  <c r="F368" i="10"/>
  <c r="H368" i="23"/>
  <c r="K368" i="23" s="1"/>
  <c r="N368" i="23" s="1"/>
  <c r="E368" i="20"/>
  <c r="U334" i="31" s="1"/>
  <c r="F368" i="11"/>
  <c r="P368" i="23"/>
  <c r="R368" i="23" s="1"/>
  <c r="Z334" i="31" s="1"/>
  <c r="F370" i="10"/>
  <c r="H370" i="23"/>
  <c r="K370" i="23" s="1"/>
  <c r="N370" i="23" s="1"/>
  <c r="E370" i="20"/>
  <c r="U336" i="31" s="1"/>
  <c r="F370" i="11"/>
  <c r="P370" i="23"/>
  <c r="R370" i="23" s="1"/>
  <c r="Z336" i="31" s="1"/>
  <c r="F372" i="10"/>
  <c r="H372" i="23"/>
  <c r="K372" i="23" s="1"/>
  <c r="N372" i="23" s="1"/>
  <c r="E372" i="20"/>
  <c r="U338" i="31" s="1"/>
  <c r="F372" i="11"/>
  <c r="P372" i="23"/>
  <c r="R372" i="23" s="1"/>
  <c r="Z338" i="31" s="1"/>
  <c r="F373" i="23"/>
  <c r="F373" i="8"/>
  <c r="F373" i="11"/>
  <c r="P373" i="23"/>
  <c r="R373" i="23" s="1"/>
  <c r="Z339" i="31" s="1"/>
  <c r="G911" i="11"/>
  <c r="H828" i="31" s="1"/>
  <c r="G907" i="11"/>
  <c r="H824" i="31" s="1"/>
  <c r="G903" i="11"/>
  <c r="H821" i="31" s="1"/>
  <c r="G899" i="11"/>
  <c r="H817" i="31" s="1"/>
  <c r="G895" i="11"/>
  <c r="H813" i="31" s="1"/>
  <c r="G891" i="11"/>
  <c r="H810" i="31" s="1"/>
  <c r="G887" i="11"/>
  <c r="H806" i="31" s="1"/>
  <c r="G883" i="11"/>
  <c r="H802" i="31" s="1"/>
  <c r="G879" i="11"/>
  <c r="H799" i="31" s="1"/>
  <c r="G875" i="11"/>
  <c r="H795" i="31" s="1"/>
  <c r="G871" i="11"/>
  <c r="G867" i="11"/>
  <c r="H788" i="31" s="1"/>
  <c r="G863" i="11"/>
  <c r="H784" i="31" s="1"/>
  <c r="G859" i="11"/>
  <c r="H781" i="31" s="1"/>
  <c r="G855" i="11"/>
  <c r="H777" i="31" s="1"/>
  <c r="G851" i="11"/>
  <c r="H773" i="31" s="1"/>
  <c r="G847" i="11"/>
  <c r="H770" i="31" s="1"/>
  <c r="G843" i="11"/>
  <c r="H766" i="31" s="1"/>
  <c r="G839" i="11"/>
  <c r="H762" i="31" s="1"/>
  <c r="G835" i="11"/>
  <c r="H759" i="31" s="1"/>
  <c r="G831" i="11"/>
  <c r="H755" i="31" s="1"/>
  <c r="G827" i="11"/>
  <c r="G823" i="11"/>
  <c r="H748" i="31" s="1"/>
  <c r="G819" i="11"/>
  <c r="H744" i="31" s="1"/>
  <c r="G815" i="11"/>
  <c r="H741" i="31" s="1"/>
  <c r="G811" i="11"/>
  <c r="H737" i="31" s="1"/>
  <c r="G807" i="11"/>
  <c r="H733" i="31" s="1"/>
  <c r="G803" i="11"/>
  <c r="H730" i="31" s="1"/>
  <c r="G799" i="11"/>
  <c r="H726" i="31" s="1"/>
  <c r="G795" i="11"/>
  <c r="H722" i="31" s="1"/>
  <c r="G791" i="11"/>
  <c r="H719" i="31" s="1"/>
  <c r="G787" i="11"/>
  <c r="H715" i="31" s="1"/>
  <c r="G783" i="11"/>
  <c r="G779" i="11"/>
  <c r="H708" i="31" s="1"/>
  <c r="G775" i="11"/>
  <c r="H704" i="31" s="1"/>
  <c r="G771" i="11"/>
  <c r="H701" i="31" s="1"/>
  <c r="G767" i="11"/>
  <c r="H697" i="31" s="1"/>
  <c r="G763" i="11"/>
  <c r="H693" i="31" s="1"/>
  <c r="G759" i="11"/>
  <c r="H690" i="31" s="1"/>
  <c r="G755" i="11"/>
  <c r="H686" i="31" s="1"/>
  <c r="G751" i="11"/>
  <c r="H682" i="31" s="1"/>
  <c r="G747" i="11"/>
  <c r="H679" i="31" s="1"/>
  <c r="G743" i="11"/>
  <c r="H675" i="31" s="1"/>
  <c r="G739" i="11"/>
  <c r="G735" i="11"/>
  <c r="H668" i="31" s="1"/>
  <c r="G731" i="11"/>
  <c r="H664" i="31" s="1"/>
  <c r="G727" i="11"/>
  <c r="H661" i="31" s="1"/>
  <c r="G723" i="11"/>
  <c r="H657" i="31" s="1"/>
  <c r="G719" i="11"/>
  <c r="H653" i="31" s="1"/>
  <c r="G715" i="11"/>
  <c r="H650" i="31" s="1"/>
  <c r="G711" i="11"/>
  <c r="H646" i="31" s="1"/>
  <c r="G707" i="11"/>
  <c r="H642" i="31" s="1"/>
  <c r="G703" i="11"/>
  <c r="H639" i="31" s="1"/>
  <c r="G699" i="11"/>
  <c r="H635" i="31" s="1"/>
  <c r="G695" i="11"/>
  <c r="G691" i="11"/>
  <c r="H628" i="31" s="1"/>
  <c r="G687" i="11"/>
  <c r="H624" i="31" s="1"/>
  <c r="G683" i="11"/>
  <c r="H621" i="31" s="1"/>
  <c r="G679" i="11"/>
  <c r="H617" i="31" s="1"/>
  <c r="G675" i="11"/>
  <c r="H613" i="31" s="1"/>
  <c r="G671" i="11"/>
  <c r="H610" i="31" s="1"/>
  <c r="G667" i="11"/>
  <c r="H606" i="31" s="1"/>
  <c r="G663" i="11"/>
  <c r="H602" i="31" s="1"/>
  <c r="G659" i="11"/>
  <c r="H599" i="31" s="1"/>
  <c r="G655" i="11"/>
  <c r="H595" i="31" s="1"/>
  <c r="G651" i="11"/>
  <c r="E647" i="11"/>
  <c r="G647" i="11" s="1"/>
  <c r="H588" i="31" s="1"/>
  <c r="G643" i="11"/>
  <c r="H584" i="31" s="1"/>
  <c r="G634" i="11"/>
  <c r="H576" i="31" s="1"/>
  <c r="G630" i="11"/>
  <c r="H572" i="31" s="1"/>
  <c r="G618" i="11"/>
  <c r="G590" i="11"/>
  <c r="H536" i="31" s="1"/>
  <c r="G586" i="11"/>
  <c r="H532" i="31" s="1"/>
  <c r="G582" i="11"/>
  <c r="H529" i="31" s="1"/>
  <c r="G578" i="11"/>
  <c r="H525" i="31" s="1"/>
  <c r="G574" i="11"/>
  <c r="G554" i="11"/>
  <c r="H503" i="31" s="1"/>
  <c r="G531" i="11"/>
  <c r="H482" i="31" s="1"/>
  <c r="G511" i="11"/>
  <c r="H464" i="31" s="1"/>
  <c r="G498" i="11"/>
  <c r="H452" i="31" s="1"/>
  <c r="G488" i="11"/>
  <c r="H443" i="31" s="1"/>
  <c r="G464" i="11"/>
  <c r="G443" i="11"/>
  <c r="H402" i="31" s="1"/>
  <c r="G432" i="11"/>
  <c r="H392" i="31" s="1"/>
  <c r="G410" i="11"/>
  <c r="H372" i="31" s="1"/>
  <c r="G398" i="11"/>
  <c r="G381" i="11"/>
  <c r="H346" i="31" s="1"/>
  <c r="G377" i="11"/>
  <c r="H342" i="31" s="1"/>
  <c r="E52" i="11"/>
  <c r="P107" i="31"/>
  <c r="S107" i="31"/>
  <c r="S109" i="31"/>
  <c r="P109" i="31"/>
  <c r="W131" i="6"/>
  <c r="W127" i="6"/>
  <c r="S120" i="31"/>
  <c r="P120" i="31"/>
  <c r="E133" i="10"/>
  <c r="Q133" i="23"/>
  <c r="W33" i="6"/>
  <c r="S28" i="31"/>
  <c r="P28" i="31"/>
  <c r="S242" i="31"/>
  <c r="P242" i="31"/>
  <c r="P243" i="31"/>
  <c r="S243" i="31"/>
  <c r="S247" i="31"/>
  <c r="P247" i="31"/>
  <c r="P251" i="31"/>
  <c r="S251" i="31"/>
  <c r="W357" i="6"/>
  <c r="S329" i="31"/>
  <c r="P329" i="31"/>
  <c r="S336" i="31"/>
  <c r="P336" i="31"/>
  <c r="F490" i="10"/>
  <c r="H490" i="23"/>
  <c r="K490" i="23" s="1"/>
  <c r="N490" i="23" s="1"/>
  <c r="E490" i="20"/>
  <c r="U445" i="31" s="1"/>
  <c r="F577" i="10"/>
  <c r="H577" i="23"/>
  <c r="K577" i="23" s="1"/>
  <c r="N577" i="23" s="1"/>
  <c r="O577" i="23" s="1"/>
  <c r="Y524" i="31" s="1"/>
  <c r="E577" i="20"/>
  <c r="U524" i="31" s="1"/>
  <c r="E577" i="10"/>
  <c r="Q577" i="23"/>
  <c r="R577" i="23" s="1"/>
  <c r="Z524" i="31" s="1"/>
  <c r="F578" i="10"/>
  <c r="H578" i="23"/>
  <c r="K578" i="23" s="1"/>
  <c r="N578" i="23" s="1"/>
  <c r="E578" i="20"/>
  <c r="U525" i="31" s="1"/>
  <c r="E579" i="10"/>
  <c r="Q579" i="23"/>
  <c r="F580" i="10"/>
  <c r="H580" i="23"/>
  <c r="K580" i="23" s="1"/>
  <c r="N580" i="23" s="1"/>
  <c r="E580" i="20"/>
  <c r="U527" i="31" s="1"/>
  <c r="E581" i="10"/>
  <c r="Q581" i="23"/>
  <c r="F582" i="10"/>
  <c r="H582" i="23"/>
  <c r="K582" i="23" s="1"/>
  <c r="N582" i="23" s="1"/>
  <c r="E582" i="20"/>
  <c r="U529" i="31" s="1"/>
  <c r="E584" i="10"/>
  <c r="Q584" i="23"/>
  <c r="F583" i="10"/>
  <c r="H583" i="23"/>
  <c r="K583" i="23" s="1"/>
  <c r="N583" i="23" s="1"/>
  <c r="E583" i="20"/>
  <c r="U530" i="31" s="1"/>
  <c r="R554" i="6"/>
  <c r="E554" i="17"/>
  <c r="M503" i="31" s="1"/>
  <c r="S477" i="31"/>
  <c r="P477" i="31"/>
  <c r="P478" i="31"/>
  <c r="S478" i="31"/>
  <c r="P480" i="31"/>
  <c r="S480" i="31"/>
  <c r="F49" i="23"/>
  <c r="F49" i="8"/>
  <c r="E48" i="23"/>
  <c r="E48" i="8"/>
  <c r="G48" i="8" s="1"/>
  <c r="E43" i="31" s="1"/>
  <c r="F48" i="23"/>
  <c r="F48" i="8"/>
  <c r="F50" i="10"/>
  <c r="H50" i="23"/>
  <c r="K50" i="23" s="1"/>
  <c r="N50" i="23" s="1"/>
  <c r="E50" i="20"/>
  <c r="U45" i="31" s="1"/>
  <c r="S45" i="31"/>
  <c r="P45" i="31"/>
  <c r="E51" i="23"/>
  <c r="E51" i="8"/>
  <c r="F51" i="23"/>
  <c r="F51" i="8"/>
  <c r="S47" i="31"/>
  <c r="P47" i="31"/>
  <c r="F53" i="10"/>
  <c r="H53" i="23"/>
  <c r="K53" i="23" s="1"/>
  <c r="N53" i="23" s="1"/>
  <c r="E53" i="20"/>
  <c r="U48" i="31" s="1"/>
  <c r="S48" i="31"/>
  <c r="P48" i="31"/>
  <c r="F54" i="10"/>
  <c r="H54" i="23"/>
  <c r="K54" i="23" s="1"/>
  <c r="N54" i="23" s="1"/>
  <c r="E54" i="20"/>
  <c r="U49" i="31" s="1"/>
  <c r="F55" i="10"/>
  <c r="H55" i="23"/>
  <c r="K55" i="23" s="1"/>
  <c r="N55" i="23" s="1"/>
  <c r="E55" i="20"/>
  <c r="U50" i="31" s="1"/>
  <c r="S50" i="31"/>
  <c r="P50" i="31"/>
  <c r="E645" i="23"/>
  <c r="G645" i="23" s="1"/>
  <c r="E645" i="8"/>
  <c r="F645" i="23"/>
  <c r="F645" i="8"/>
  <c r="E647" i="23"/>
  <c r="E647" i="8"/>
  <c r="E686" i="23"/>
  <c r="G686" i="23" s="1"/>
  <c r="I686" i="23" s="1"/>
  <c r="E686" i="8"/>
  <c r="G686" i="8" s="1"/>
  <c r="E623" i="31" s="1"/>
  <c r="E691" i="23"/>
  <c r="G691" i="23" s="1"/>
  <c r="I691" i="23" s="1"/>
  <c r="E691" i="8"/>
  <c r="G691" i="8" s="1"/>
  <c r="E628" i="31" s="1"/>
  <c r="E689" i="23"/>
  <c r="G689" i="23" s="1"/>
  <c r="I689" i="23" s="1"/>
  <c r="E689" i="8"/>
  <c r="G689" i="8" s="1"/>
  <c r="E626" i="31" s="1"/>
  <c r="W793" i="31"/>
  <c r="S873" i="23"/>
  <c r="AA793" i="31" s="1"/>
  <c r="W801" i="31"/>
  <c r="S881" i="23"/>
  <c r="AA801" i="31" s="1"/>
  <c r="W845" i="31"/>
  <c r="S930" i="23"/>
  <c r="AA845" i="31" s="1"/>
  <c r="W805" i="31"/>
  <c r="S886" i="23"/>
  <c r="AA805" i="31" s="1"/>
  <c r="W708" i="31"/>
  <c r="S779" i="23"/>
  <c r="AA708" i="31" s="1"/>
  <c r="W690" i="31"/>
  <c r="S759" i="23"/>
  <c r="AA690" i="31" s="1"/>
  <c r="W685" i="31"/>
  <c r="I733" i="23"/>
  <c r="G719" i="10"/>
  <c r="G653" i="31" s="1"/>
  <c r="W650" i="31"/>
  <c r="S715" i="23"/>
  <c r="AA650" i="31" s="1"/>
  <c r="L687" i="23"/>
  <c r="X624" i="31" s="1"/>
  <c r="L679" i="23"/>
  <c r="X617" i="31" s="1"/>
  <c r="W819" i="31"/>
  <c r="S901" i="23"/>
  <c r="AA819" i="31" s="1"/>
  <c r="G759" i="10"/>
  <c r="G690" i="31" s="1"/>
  <c r="L738" i="23"/>
  <c r="X671" i="31" s="1"/>
  <c r="G734" i="23"/>
  <c r="I734" i="23" s="1"/>
  <c r="L733" i="23"/>
  <c r="X666" i="31" s="1"/>
  <c r="L726" i="23"/>
  <c r="X660" i="31" s="1"/>
  <c r="G725" i="8"/>
  <c r="E659" i="31" s="1"/>
  <c r="I724" i="23"/>
  <c r="L722" i="23"/>
  <c r="X656" i="31" s="1"/>
  <c r="G721" i="8"/>
  <c r="E655" i="31" s="1"/>
  <c r="I720" i="23"/>
  <c r="G719" i="23"/>
  <c r="I719" i="23" s="1"/>
  <c r="G715" i="10"/>
  <c r="G650" i="31" s="1"/>
  <c r="G694" i="10"/>
  <c r="G631" i="31" s="1"/>
  <c r="L690" i="23"/>
  <c r="X627" i="31" s="1"/>
  <c r="I672" i="23"/>
  <c r="L668" i="23"/>
  <c r="X607" i="31" s="1"/>
  <c r="G659" i="23"/>
  <c r="I659" i="23" s="1"/>
  <c r="W716" i="31"/>
  <c r="S788" i="23"/>
  <c r="AA716" i="31" s="1"/>
  <c r="W837" i="31"/>
  <c r="S921" i="23"/>
  <c r="AA837" i="31" s="1"/>
  <c r="W786" i="31"/>
  <c r="S865" i="23"/>
  <c r="AA786" i="31" s="1"/>
  <c r="W794" i="31"/>
  <c r="S874" i="23"/>
  <c r="AA794" i="31" s="1"/>
  <c r="W808" i="31"/>
  <c r="S889" i="23"/>
  <c r="AA808" i="31" s="1"/>
  <c r="G780" i="23"/>
  <c r="I780" i="23" s="1"/>
  <c r="G778" i="8"/>
  <c r="E707" i="31" s="1"/>
  <c r="L776" i="23"/>
  <c r="X705" i="31" s="1"/>
  <c r="G756" i="23"/>
  <c r="I756" i="23" s="1"/>
  <c r="G753" i="10"/>
  <c r="G684" i="31" s="1"/>
  <c r="L734" i="23"/>
  <c r="X667" i="31" s="1"/>
  <c r="G688" i="10"/>
  <c r="G625" i="31" s="1"/>
  <c r="G672" i="10"/>
  <c r="G611" i="31" s="1"/>
  <c r="G670" i="10"/>
  <c r="G609" i="31" s="1"/>
  <c r="G668" i="10"/>
  <c r="G607" i="31" s="1"/>
  <c r="G666" i="10"/>
  <c r="G605" i="31" s="1"/>
  <c r="L683" i="23"/>
  <c r="X621" i="31" s="1"/>
  <c r="G681" i="23"/>
  <c r="I681" i="23" s="1"/>
  <c r="G678" i="8"/>
  <c r="E616" i="31" s="1"/>
  <c r="G661" i="23"/>
  <c r="I661" i="23" s="1"/>
  <c r="G649" i="8"/>
  <c r="E590" i="31" s="1"/>
  <c r="G665" i="8"/>
  <c r="E604" i="31" s="1"/>
  <c r="G657" i="10"/>
  <c r="G597" i="31" s="1"/>
  <c r="W994" i="31"/>
  <c r="S1094" i="23"/>
  <c r="AA994" i="31" s="1"/>
  <c r="W974" i="31"/>
  <c r="S1072" i="23"/>
  <c r="AA974" i="31" s="1"/>
  <c r="S786" i="23"/>
  <c r="AA714" i="31" s="1"/>
  <c r="L757" i="23"/>
  <c r="X688" i="31" s="1"/>
  <c r="G755" i="8"/>
  <c r="E686" i="31" s="1"/>
  <c r="G736" i="23"/>
  <c r="I736" i="23" s="1"/>
  <c r="G730" i="10"/>
  <c r="G663" i="31" s="1"/>
  <c r="L719" i="23"/>
  <c r="X653" i="31" s="1"/>
  <c r="G692" i="23"/>
  <c r="I692" i="23" s="1"/>
  <c r="G688" i="23"/>
  <c r="I688" i="23" s="1"/>
  <c r="L685" i="23"/>
  <c r="X622" i="31" s="1"/>
  <c r="G669" i="23"/>
  <c r="I669" i="23" s="1"/>
  <c r="G667" i="8"/>
  <c r="E606" i="31" s="1"/>
  <c r="L665" i="23"/>
  <c r="X604" i="31" s="1"/>
  <c r="G677" i="23"/>
  <c r="I677" i="23" s="1"/>
  <c r="F536" i="11"/>
  <c r="P536" i="23"/>
  <c r="R536" i="23" s="1"/>
  <c r="Z487" i="31" s="1"/>
  <c r="F538" i="10"/>
  <c r="H538" i="23"/>
  <c r="K538" i="23" s="1"/>
  <c r="N538" i="23" s="1"/>
  <c r="E538" i="20"/>
  <c r="U489" i="31" s="1"/>
  <c r="E543" i="23"/>
  <c r="E543" i="8"/>
  <c r="L545" i="23"/>
  <c r="X495" i="31" s="1"/>
  <c r="E549" i="23"/>
  <c r="E549" i="8"/>
  <c r="L551" i="23"/>
  <c r="X501" i="31" s="1"/>
  <c r="F558" i="23"/>
  <c r="F558" i="8"/>
  <c r="F559" i="23"/>
  <c r="F559" i="8"/>
  <c r="E560" i="23"/>
  <c r="E560" i="8"/>
  <c r="L638" i="23"/>
  <c r="X580" i="31" s="1"/>
  <c r="L599" i="23"/>
  <c r="X544" i="31" s="1"/>
  <c r="F600" i="23"/>
  <c r="F600" i="8"/>
  <c r="E603" i="23"/>
  <c r="E603" i="8"/>
  <c r="L625" i="23"/>
  <c r="X568" i="31" s="1"/>
  <c r="F626" i="23"/>
  <c r="F626" i="8"/>
  <c r="L608" i="23"/>
  <c r="X552" i="31" s="1"/>
  <c r="F611" i="11"/>
  <c r="P611" i="23"/>
  <c r="R611" i="23" s="1"/>
  <c r="Z555" i="31" s="1"/>
  <c r="F613" i="10"/>
  <c r="H613" i="23"/>
  <c r="K613" i="23" s="1"/>
  <c r="N613" i="23" s="1"/>
  <c r="E613" i="20"/>
  <c r="U557" i="31" s="1"/>
  <c r="F613" i="11"/>
  <c r="P613" i="23"/>
  <c r="R613" i="23" s="1"/>
  <c r="Z557" i="31" s="1"/>
  <c r="E614" i="23"/>
  <c r="E614" i="8"/>
  <c r="F615" i="10"/>
  <c r="H615" i="23"/>
  <c r="K615" i="23" s="1"/>
  <c r="N615" i="23" s="1"/>
  <c r="E615" i="20"/>
  <c r="U559" i="31" s="1"/>
  <c r="F617" i="10"/>
  <c r="H617" i="23"/>
  <c r="K617" i="23" s="1"/>
  <c r="N617" i="23" s="1"/>
  <c r="E617" i="20"/>
  <c r="U561" i="31" s="1"/>
  <c r="F617" i="11"/>
  <c r="P617" i="23"/>
  <c r="R617" i="23" s="1"/>
  <c r="Z561" i="31" s="1"/>
  <c r="F592" i="23"/>
  <c r="F592" i="8"/>
  <c r="E169" i="23"/>
  <c r="G169" i="23" s="1"/>
  <c r="E169" i="8"/>
  <c r="G169" i="8" s="1"/>
  <c r="E153" i="31" s="1"/>
  <c r="L171" i="23"/>
  <c r="X155" i="31" s="1"/>
  <c r="E173" i="23"/>
  <c r="E173" i="8"/>
  <c r="F326" i="23"/>
  <c r="F326" i="8"/>
  <c r="E327" i="23"/>
  <c r="E327" i="8"/>
  <c r="F393" i="10"/>
  <c r="H393" i="23"/>
  <c r="K393" i="23" s="1"/>
  <c r="N393" i="23" s="1"/>
  <c r="E393" i="20"/>
  <c r="U357" i="31" s="1"/>
  <c r="F395" i="10"/>
  <c r="H395" i="23"/>
  <c r="K395" i="23" s="1"/>
  <c r="N395" i="23" s="1"/>
  <c r="E395" i="20"/>
  <c r="U359" i="31" s="1"/>
  <c r="F395" i="11"/>
  <c r="P395" i="23"/>
  <c r="R395" i="23" s="1"/>
  <c r="Z359" i="31" s="1"/>
  <c r="L429" i="23"/>
  <c r="X390" i="31" s="1"/>
  <c r="L476" i="23"/>
  <c r="X432" i="31" s="1"/>
  <c r="F477" i="11"/>
  <c r="P477" i="23"/>
  <c r="R477" i="23" s="1"/>
  <c r="Z433" i="31" s="1"/>
  <c r="F483" i="11"/>
  <c r="P483" i="23"/>
  <c r="R483" i="23" s="1"/>
  <c r="Z439" i="31" s="1"/>
  <c r="L523" i="23"/>
  <c r="X475" i="31" s="1"/>
  <c r="F524" i="23"/>
  <c r="F524" i="8"/>
  <c r="E525" i="23"/>
  <c r="E525" i="8"/>
  <c r="F572" i="10"/>
  <c r="H572" i="23"/>
  <c r="K572" i="23" s="1"/>
  <c r="N572" i="23" s="1"/>
  <c r="E572" i="20"/>
  <c r="U520" i="31" s="1"/>
  <c r="E370" i="23"/>
  <c r="E370" i="8"/>
  <c r="F532" i="11"/>
  <c r="P532" i="23"/>
  <c r="R532" i="23" s="1"/>
  <c r="Z483" i="31" s="1"/>
  <c r="F535" i="23"/>
  <c r="F535" i="8"/>
  <c r="F537" i="10"/>
  <c r="H537" i="23"/>
  <c r="K537" i="23" s="1"/>
  <c r="N537" i="23" s="1"/>
  <c r="O537" i="23" s="1"/>
  <c r="Y488" i="31" s="1"/>
  <c r="E537" i="20"/>
  <c r="U488" i="31" s="1"/>
  <c r="F537" i="11"/>
  <c r="P537" i="23"/>
  <c r="R537" i="23" s="1"/>
  <c r="Z488" i="31" s="1"/>
  <c r="O540" i="23"/>
  <c r="Y491" i="31" s="1"/>
  <c r="F542" i="10"/>
  <c r="H542" i="23"/>
  <c r="K542" i="23" s="1"/>
  <c r="N542" i="23" s="1"/>
  <c r="O542" i="23" s="1"/>
  <c r="Y492" i="31" s="1"/>
  <c r="E542" i="20"/>
  <c r="U492" i="31" s="1"/>
  <c r="F542" i="11"/>
  <c r="P542" i="23"/>
  <c r="R542" i="23" s="1"/>
  <c r="Z492" i="31" s="1"/>
  <c r="F543" i="23"/>
  <c r="F543" i="8"/>
  <c r="E544" i="23"/>
  <c r="G544" i="23" s="1"/>
  <c r="E544" i="8"/>
  <c r="G544" i="8" s="1"/>
  <c r="E494" i="31" s="1"/>
  <c r="F549" i="23"/>
  <c r="F549" i="8"/>
  <c r="E550" i="23"/>
  <c r="E550" i="8"/>
  <c r="F558" i="11"/>
  <c r="P558" i="23"/>
  <c r="R558" i="23" s="1"/>
  <c r="Z507" i="31" s="1"/>
  <c r="F560" i="23"/>
  <c r="F560" i="8"/>
  <c r="F562" i="23"/>
  <c r="F562" i="8"/>
  <c r="E637" i="23"/>
  <c r="G637" i="23" s="1"/>
  <c r="E637" i="8"/>
  <c r="G637" i="8" s="1"/>
  <c r="E579" i="31" s="1"/>
  <c r="E598" i="23"/>
  <c r="G598" i="23" s="1"/>
  <c r="I598" i="23" s="1"/>
  <c r="E598" i="8"/>
  <c r="G598" i="8" s="1"/>
  <c r="E543" i="31" s="1"/>
  <c r="F598" i="23"/>
  <c r="F598" i="8"/>
  <c r="F599" i="23"/>
  <c r="F599" i="8"/>
  <c r="E600" i="23"/>
  <c r="G600" i="23" s="1"/>
  <c r="E600" i="8"/>
  <c r="G600" i="8" s="1"/>
  <c r="E545" i="31" s="1"/>
  <c r="F601" i="23"/>
  <c r="F601" i="8"/>
  <c r="E602" i="23"/>
  <c r="E602" i="8"/>
  <c r="F605" i="23"/>
  <c r="F605" i="8"/>
  <c r="E622" i="23"/>
  <c r="G622" i="23" s="1"/>
  <c r="E622" i="8"/>
  <c r="G622" i="8" s="1"/>
  <c r="E565" i="31" s="1"/>
  <c r="F622" i="23"/>
  <c r="F622" i="8"/>
  <c r="F623" i="23"/>
  <c r="F623" i="8"/>
  <c r="E624" i="23"/>
  <c r="E624" i="8"/>
  <c r="F625" i="23"/>
  <c r="F625" i="8"/>
  <c r="E626" i="23"/>
  <c r="E626" i="8"/>
  <c r="G626" i="8" s="1"/>
  <c r="E569" i="31" s="1"/>
  <c r="O611" i="23"/>
  <c r="Y555" i="31" s="1"/>
  <c r="F612" i="10"/>
  <c r="H612" i="23"/>
  <c r="K612" i="23" s="1"/>
  <c r="N612" i="23" s="1"/>
  <c r="O612" i="23" s="1"/>
  <c r="Y556" i="31" s="1"/>
  <c r="E612" i="20"/>
  <c r="U556" i="31" s="1"/>
  <c r="F612" i="11"/>
  <c r="P612" i="23"/>
  <c r="R612" i="23" s="1"/>
  <c r="Z556" i="31" s="1"/>
  <c r="O613" i="23"/>
  <c r="Y557" i="31" s="1"/>
  <c r="F614" i="23"/>
  <c r="F614" i="8"/>
  <c r="O615" i="23"/>
  <c r="Y559" i="31" s="1"/>
  <c r="F616" i="10"/>
  <c r="H616" i="23"/>
  <c r="K616" i="23" s="1"/>
  <c r="N616" i="23" s="1"/>
  <c r="O616" i="23" s="1"/>
  <c r="Y560" i="31" s="1"/>
  <c r="E616" i="20"/>
  <c r="U560" i="31" s="1"/>
  <c r="F616" i="11"/>
  <c r="P616" i="23"/>
  <c r="R616" i="23" s="1"/>
  <c r="Z560" i="31" s="1"/>
  <c r="F520" i="10"/>
  <c r="H520" i="23"/>
  <c r="K520" i="23" s="1"/>
  <c r="N520" i="23" s="1"/>
  <c r="O520" i="23" s="1"/>
  <c r="Y472" i="31" s="1"/>
  <c r="E520" i="20"/>
  <c r="U472" i="31" s="1"/>
  <c r="F520" i="11"/>
  <c r="P520" i="23"/>
  <c r="R520" i="23" s="1"/>
  <c r="Z472" i="31" s="1"/>
  <c r="F521" i="23"/>
  <c r="F521" i="8"/>
  <c r="E522" i="23"/>
  <c r="G522" i="23" s="1"/>
  <c r="E522" i="8"/>
  <c r="G522" i="8" s="1"/>
  <c r="E474" i="31" s="1"/>
  <c r="F523" i="23"/>
  <c r="F523" i="8"/>
  <c r="E524" i="23"/>
  <c r="G524" i="23" s="1"/>
  <c r="E524" i="8"/>
  <c r="G524" i="8" s="1"/>
  <c r="E476" i="31" s="1"/>
  <c r="E528" i="23"/>
  <c r="E528" i="8"/>
  <c r="F529" i="23"/>
  <c r="F529" i="8"/>
  <c r="F565" i="10"/>
  <c r="H565" i="23"/>
  <c r="K565" i="23" s="1"/>
  <c r="N565" i="23" s="1"/>
  <c r="E565" i="20"/>
  <c r="U513" i="31" s="1"/>
  <c r="F565" i="11"/>
  <c r="P565" i="23"/>
  <c r="R565" i="23" s="1"/>
  <c r="Z513" i="31" s="1"/>
  <c r="O565" i="23"/>
  <c r="Y513" i="31" s="1"/>
  <c r="O572" i="23"/>
  <c r="Y520" i="31" s="1"/>
  <c r="F573" i="10"/>
  <c r="H573" i="23"/>
  <c r="K573" i="23" s="1"/>
  <c r="N573" i="23" s="1"/>
  <c r="O573" i="23" s="1"/>
  <c r="Y521" i="31" s="1"/>
  <c r="E573" i="20"/>
  <c r="U521" i="31" s="1"/>
  <c r="F573" i="11"/>
  <c r="P573" i="23"/>
  <c r="R573" i="23" s="1"/>
  <c r="Z521" i="31" s="1"/>
  <c r="O366" i="23"/>
  <c r="Y332" i="31" s="1"/>
  <c r="F367" i="10"/>
  <c r="H367" i="23"/>
  <c r="K367" i="23" s="1"/>
  <c r="N367" i="23" s="1"/>
  <c r="O367" i="23" s="1"/>
  <c r="Y333" i="31" s="1"/>
  <c r="E367" i="20"/>
  <c r="U333" i="31" s="1"/>
  <c r="F367" i="11"/>
  <c r="P367" i="23"/>
  <c r="R367" i="23" s="1"/>
  <c r="Z333" i="31" s="1"/>
  <c r="F368" i="23"/>
  <c r="F368" i="8"/>
  <c r="E646" i="11"/>
  <c r="G353" i="11"/>
  <c r="H321" i="31" s="1"/>
  <c r="G349" i="11"/>
  <c r="H317" i="31" s="1"/>
  <c r="G345" i="11"/>
  <c r="H313" i="31" s="1"/>
  <c r="G335" i="11"/>
  <c r="H304" i="31" s="1"/>
  <c r="G323" i="11"/>
  <c r="H293" i="31" s="1"/>
  <c r="G319" i="11"/>
  <c r="H290" i="31" s="1"/>
  <c r="G315" i="11"/>
  <c r="H286" i="31" s="1"/>
  <c r="G311" i="11"/>
  <c r="H282" i="31" s="1"/>
  <c r="G307" i="11"/>
  <c r="H279" i="31" s="1"/>
  <c r="G303" i="11"/>
  <c r="H275" i="31" s="1"/>
  <c r="G299" i="11"/>
  <c r="G282" i="11"/>
  <c r="H256" i="31" s="1"/>
  <c r="G278" i="11"/>
  <c r="H252" i="31" s="1"/>
  <c r="G264" i="11"/>
  <c r="H240" i="31" s="1"/>
  <c r="G260" i="11"/>
  <c r="H236" i="31" s="1"/>
  <c r="G256" i="11"/>
  <c r="H232" i="31" s="1"/>
  <c r="G252" i="11"/>
  <c r="H229" i="31" s="1"/>
  <c r="G248" i="11"/>
  <c r="H225" i="31" s="1"/>
  <c r="G244" i="11"/>
  <c r="G240" i="11"/>
  <c r="H218" i="31" s="1"/>
  <c r="G236" i="11"/>
  <c r="H214" i="31" s="1"/>
  <c r="G232" i="11"/>
  <c r="H211" i="31" s="1"/>
  <c r="G228" i="11"/>
  <c r="H207" i="31" s="1"/>
  <c r="G224" i="11"/>
  <c r="H203" i="31" s="1"/>
  <c r="G212" i="11"/>
  <c r="H192" i="31" s="1"/>
  <c r="G182" i="11"/>
  <c r="H165" i="31" s="1"/>
  <c r="G178" i="11"/>
  <c r="G156" i="11"/>
  <c r="G151" i="11"/>
  <c r="H137" i="31" s="1"/>
  <c r="G147" i="11"/>
  <c r="H133" i="31" s="1"/>
  <c r="G133" i="11"/>
  <c r="H121" i="31" s="1"/>
  <c r="G116" i="11"/>
  <c r="H105" i="31" s="1"/>
  <c r="G112" i="11"/>
  <c r="G68" i="11"/>
  <c r="G55" i="11"/>
  <c r="H50" i="31" s="1"/>
  <c r="G51" i="11"/>
  <c r="H46" i="31" s="1"/>
  <c r="G47" i="11"/>
  <c r="H42" i="31" s="1"/>
  <c r="G40" i="11"/>
  <c r="H36" i="31" s="1"/>
  <c r="G36" i="11"/>
  <c r="H32" i="31" s="1"/>
  <c r="G12" i="11"/>
  <c r="H11" i="31" s="1"/>
  <c r="G8" i="11"/>
  <c r="H7" i="31" s="1"/>
  <c r="G4" i="11"/>
  <c r="H3" i="31" s="1"/>
  <c r="S54" i="31"/>
  <c r="P54" i="31"/>
  <c r="S56" i="31"/>
  <c r="P56" i="31"/>
  <c r="S58" i="31"/>
  <c r="P58" i="31"/>
  <c r="S60" i="31"/>
  <c r="P60" i="31"/>
  <c r="S61" i="31"/>
  <c r="P61" i="31"/>
  <c r="S108" i="31"/>
  <c r="P108" i="31"/>
  <c r="S112" i="31"/>
  <c r="P112" i="31"/>
  <c r="W130" i="6"/>
  <c r="W125" i="6"/>
  <c r="P115" i="31"/>
  <c r="S115" i="31"/>
  <c r="S117" i="31"/>
  <c r="P117" i="31"/>
  <c r="S119" i="31"/>
  <c r="P119" i="31"/>
  <c r="S30" i="31"/>
  <c r="P30" i="31"/>
  <c r="S245" i="31"/>
  <c r="P245" i="31"/>
  <c r="S246" i="31"/>
  <c r="P246" i="31"/>
  <c r="F356" i="10"/>
  <c r="H356" i="23"/>
  <c r="K356" i="23" s="1"/>
  <c r="N356" i="23" s="1"/>
  <c r="E356" i="20"/>
  <c r="U323" i="31" s="1"/>
  <c r="N356" i="6"/>
  <c r="M356" i="23"/>
  <c r="O356" i="23" s="1"/>
  <c r="Y323" i="31" s="1"/>
  <c r="S326" i="31"/>
  <c r="P326" i="31"/>
  <c r="S330" i="31"/>
  <c r="P330" i="31"/>
  <c r="S335" i="31"/>
  <c r="P335" i="31"/>
  <c r="S338" i="31"/>
  <c r="P338" i="31"/>
  <c r="S354" i="31"/>
  <c r="P354" i="31"/>
  <c r="P355" i="31"/>
  <c r="S355" i="31"/>
  <c r="S357" i="31"/>
  <c r="P357" i="31"/>
  <c r="S359" i="31"/>
  <c r="P359" i="31"/>
  <c r="F490" i="23"/>
  <c r="F490" i="8"/>
  <c r="O490" i="23"/>
  <c r="Y445" i="31" s="1"/>
  <c r="S577" i="31"/>
  <c r="P577" i="31"/>
  <c r="P579" i="31"/>
  <c r="S579" i="31"/>
  <c r="S581" i="31"/>
  <c r="P581" i="31"/>
  <c r="E576" i="23"/>
  <c r="G576" i="23" s="1"/>
  <c r="I576" i="23" s="1"/>
  <c r="E576" i="8"/>
  <c r="F576" i="23"/>
  <c r="F576" i="8"/>
  <c r="L576" i="23"/>
  <c r="X523" i="31" s="1"/>
  <c r="F578" i="23"/>
  <c r="F578" i="8"/>
  <c r="E579" i="23"/>
  <c r="G579" i="23" s="1"/>
  <c r="E579" i="8"/>
  <c r="G579" i="8" s="1"/>
  <c r="E526" i="31" s="1"/>
  <c r="F580" i="23"/>
  <c r="F580" i="8"/>
  <c r="E581" i="23"/>
  <c r="G581" i="23" s="1"/>
  <c r="E581" i="8"/>
  <c r="G581" i="8" s="1"/>
  <c r="E528" i="31" s="1"/>
  <c r="F582" i="23"/>
  <c r="F582" i="8"/>
  <c r="E584" i="23"/>
  <c r="G584" i="23" s="1"/>
  <c r="E584" i="8"/>
  <c r="G584" i="8" s="1"/>
  <c r="E531" i="31" s="1"/>
  <c r="F583" i="23"/>
  <c r="F583" i="8"/>
  <c r="P507" i="31"/>
  <c r="S507" i="31"/>
  <c r="S509" i="31"/>
  <c r="P509" i="31"/>
  <c r="R555" i="6"/>
  <c r="E555" i="17"/>
  <c r="M504" i="31" s="1"/>
  <c r="F49" i="10"/>
  <c r="H49" i="23"/>
  <c r="K49" i="23" s="1"/>
  <c r="N49" i="23" s="1"/>
  <c r="E49" i="20"/>
  <c r="U44" i="31" s="1"/>
  <c r="F47" i="10"/>
  <c r="H47" i="23"/>
  <c r="K47" i="23" s="1"/>
  <c r="N47" i="23" s="1"/>
  <c r="O47" i="23" s="1"/>
  <c r="Y42" i="31" s="1"/>
  <c r="E47" i="20"/>
  <c r="U42" i="31" s="1"/>
  <c r="E47" i="10"/>
  <c r="Q47" i="23"/>
  <c r="R47" i="23" s="1"/>
  <c r="Z42" i="31" s="1"/>
  <c r="F50" i="23"/>
  <c r="F50" i="8"/>
  <c r="E52" i="23"/>
  <c r="E52" i="8"/>
  <c r="F52" i="23"/>
  <c r="F52" i="8"/>
  <c r="L52" i="23"/>
  <c r="X47" i="31" s="1"/>
  <c r="F53" i="23"/>
  <c r="F53" i="8"/>
  <c r="F54" i="23"/>
  <c r="F54" i="8"/>
  <c r="S49" i="31"/>
  <c r="P49" i="31"/>
  <c r="F55" i="23"/>
  <c r="F55" i="8"/>
  <c r="E646" i="23"/>
  <c r="E646" i="8"/>
  <c r="G646" i="8" s="1"/>
  <c r="E587" i="31" s="1"/>
  <c r="F646" i="23"/>
  <c r="F646" i="8"/>
  <c r="L646" i="23"/>
  <c r="X587" i="31" s="1"/>
  <c r="F647" i="10"/>
  <c r="H647" i="23"/>
  <c r="K647" i="23" s="1"/>
  <c r="N647" i="23" s="1"/>
  <c r="O647" i="23" s="1"/>
  <c r="Y588" i="31" s="1"/>
  <c r="E647" i="20"/>
  <c r="U588" i="31" s="1"/>
  <c r="R647" i="23"/>
  <c r="Z588" i="31" s="1"/>
  <c r="F690" i="23"/>
  <c r="F690" i="8"/>
  <c r="E687" i="23"/>
  <c r="G687" i="23" s="1"/>
  <c r="I687" i="23" s="1"/>
  <c r="E687" i="8"/>
  <c r="G687" i="8" s="1"/>
  <c r="E624" i="31" s="1"/>
  <c r="W796" i="31"/>
  <c r="S876" i="23"/>
  <c r="AA796" i="31" s="1"/>
  <c r="G784" i="8"/>
  <c r="E712" i="31" s="1"/>
  <c r="G777" i="23"/>
  <c r="I777" i="23" s="1"/>
  <c r="G775" i="8"/>
  <c r="E704" i="31" s="1"/>
  <c r="L736" i="23"/>
  <c r="X669" i="31" s="1"/>
  <c r="G735" i="10"/>
  <c r="G668" i="31" s="1"/>
  <c r="G691" i="10"/>
  <c r="G628" i="31" s="1"/>
  <c r="G679" i="8"/>
  <c r="E617" i="31" s="1"/>
  <c r="L648" i="23"/>
  <c r="X589" i="31" s="1"/>
  <c r="W597" i="31"/>
  <c r="S657" i="23"/>
  <c r="AA597" i="31" s="1"/>
  <c r="W821" i="31"/>
  <c r="S903" i="23"/>
  <c r="AA821" i="31" s="1"/>
  <c r="W990" i="31"/>
  <c r="S1089" i="23"/>
  <c r="AA990" i="31" s="1"/>
  <c r="S922" i="23"/>
  <c r="AA838" i="31" s="1"/>
  <c r="W838" i="31"/>
  <c r="W809" i="31"/>
  <c r="S890" i="23"/>
  <c r="AA809" i="31" s="1"/>
  <c r="I760" i="23"/>
  <c r="G738" i="8"/>
  <c r="E671" i="31" s="1"/>
  <c r="I725" i="23"/>
  <c r="L723" i="23"/>
  <c r="X657" i="31" s="1"/>
  <c r="I721" i="23"/>
  <c r="G716" i="23"/>
  <c r="I716" i="23" s="1"/>
  <c r="I670" i="23"/>
  <c r="L666" i="23"/>
  <c r="X605" i="31" s="1"/>
  <c r="L682" i="23"/>
  <c r="X620" i="31" s="1"/>
  <c r="W981" i="31"/>
  <c r="S1079" i="23"/>
  <c r="AA981" i="31" s="1"/>
  <c r="S866" i="23"/>
  <c r="AA787" i="31" s="1"/>
  <c r="W787" i="31"/>
  <c r="W795" i="31"/>
  <c r="S875" i="23"/>
  <c r="AA795" i="31" s="1"/>
  <c r="W833" i="31"/>
  <c r="S917" i="23"/>
  <c r="AA833" i="31" s="1"/>
  <c r="W844" i="31"/>
  <c r="S929" i="23"/>
  <c r="AA844" i="31" s="1"/>
  <c r="W988" i="31"/>
  <c r="S1087" i="23"/>
  <c r="AA988" i="31" s="1"/>
  <c r="L782" i="23"/>
  <c r="X711" i="31" s="1"/>
  <c r="G778" i="23"/>
  <c r="I778" i="23" s="1"/>
  <c r="G776" i="8"/>
  <c r="E705" i="31" s="1"/>
  <c r="L774" i="23"/>
  <c r="X703" i="31" s="1"/>
  <c r="G731" i="23"/>
  <c r="I731" i="23" s="1"/>
  <c r="G726" i="10"/>
  <c r="G660" i="31" s="1"/>
  <c r="G725" i="10"/>
  <c r="G659" i="31" s="1"/>
  <c r="G724" i="10"/>
  <c r="G658" i="31" s="1"/>
  <c r="G723" i="10"/>
  <c r="G657" i="31" s="1"/>
  <c r="G722" i="10"/>
  <c r="G656" i="31" s="1"/>
  <c r="G721" i="10"/>
  <c r="G655" i="31" s="1"/>
  <c r="G720" i="10"/>
  <c r="G654" i="31" s="1"/>
  <c r="G716" i="10"/>
  <c r="G651" i="31" s="1"/>
  <c r="L714" i="23"/>
  <c r="X649" i="31" s="1"/>
  <c r="G693" i="10"/>
  <c r="G630" i="31" s="1"/>
  <c r="L663" i="23"/>
  <c r="X602" i="31" s="1"/>
  <c r="G682" i="10"/>
  <c r="G620" i="31" s="1"/>
  <c r="L678" i="23"/>
  <c r="X616" i="31" s="1"/>
  <c r="G678" i="23"/>
  <c r="I678" i="23" s="1"/>
  <c r="G649" i="23"/>
  <c r="I649" i="23" s="1"/>
  <c r="W604" i="31"/>
  <c r="S665" i="23"/>
  <c r="AA604" i="31" s="1"/>
  <c r="G683" i="10"/>
  <c r="G621" i="31" s="1"/>
  <c r="W713" i="31"/>
  <c r="S785" i="23"/>
  <c r="AA713" i="31" s="1"/>
  <c r="W788" i="31"/>
  <c r="S867" i="23"/>
  <c r="AA788" i="31" s="1"/>
  <c r="W811" i="31"/>
  <c r="S892" i="23"/>
  <c r="AA811" i="31" s="1"/>
  <c r="L773" i="23"/>
  <c r="X702" i="31" s="1"/>
  <c r="G757" i="8"/>
  <c r="E688" i="31" s="1"/>
  <c r="G756" i="10"/>
  <c r="G687" i="31" s="1"/>
  <c r="G755" i="23"/>
  <c r="I755" i="23" s="1"/>
  <c r="G753" i="8"/>
  <c r="E684" i="31" s="1"/>
  <c r="G732" i="8"/>
  <c r="E665" i="31" s="1"/>
  <c r="L735" i="23"/>
  <c r="X668" i="31" s="1"/>
  <c r="G734" i="10"/>
  <c r="G667" i="31" s="1"/>
  <c r="G694" i="8"/>
  <c r="E631" i="31" s="1"/>
  <c r="L691" i="23"/>
  <c r="X628" i="31" s="1"/>
  <c r="L689" i="23"/>
  <c r="X626" i="31" s="1"/>
  <c r="G685" i="8"/>
  <c r="E622" i="31" s="1"/>
  <c r="L671" i="23"/>
  <c r="X610" i="31" s="1"/>
  <c r="G667" i="23"/>
  <c r="I667" i="23" s="1"/>
  <c r="E532" i="23"/>
  <c r="G532" i="23" s="1"/>
  <c r="E532" i="8"/>
  <c r="G532" i="8" s="1"/>
  <c r="E483" i="31" s="1"/>
  <c r="F532" i="23"/>
  <c r="F532" i="8"/>
  <c r="F534" i="10"/>
  <c r="H534" i="23"/>
  <c r="K534" i="23" s="1"/>
  <c r="N534" i="23" s="1"/>
  <c r="O534" i="23" s="1"/>
  <c r="Y485" i="31" s="1"/>
  <c r="E534" i="20"/>
  <c r="U485" i="31" s="1"/>
  <c r="E535" i="23"/>
  <c r="G535" i="23" s="1"/>
  <c r="I535" i="23" s="1"/>
  <c r="E535" i="8"/>
  <c r="G535" i="8" s="1"/>
  <c r="E486" i="31" s="1"/>
  <c r="F536" i="10"/>
  <c r="H536" i="23"/>
  <c r="K536" i="23" s="1"/>
  <c r="N536" i="23" s="1"/>
  <c r="O536" i="23" s="1"/>
  <c r="Y487" i="31" s="1"/>
  <c r="E536" i="20"/>
  <c r="U487" i="31" s="1"/>
  <c r="F540" i="11"/>
  <c r="P540" i="23"/>
  <c r="R540" i="23" s="1"/>
  <c r="Z491" i="31" s="1"/>
  <c r="E547" i="23"/>
  <c r="E547" i="8"/>
  <c r="L549" i="23"/>
  <c r="X499" i="31" s="1"/>
  <c r="F550" i="23"/>
  <c r="F550" i="8"/>
  <c r="E551" i="23"/>
  <c r="E551" i="8"/>
  <c r="E558" i="23"/>
  <c r="G558" i="23" s="1"/>
  <c r="E558" i="8"/>
  <c r="G558" i="8" s="1"/>
  <c r="E507" i="31" s="1"/>
  <c r="L562" i="23"/>
  <c r="X511" i="31" s="1"/>
  <c r="E636" i="23"/>
  <c r="G636" i="23" s="1"/>
  <c r="E636" i="8"/>
  <c r="G636" i="8" s="1"/>
  <c r="E578" i="31" s="1"/>
  <c r="F636" i="23"/>
  <c r="F636" i="8"/>
  <c r="E638" i="23"/>
  <c r="E638" i="8"/>
  <c r="G638" i="8" s="1"/>
  <c r="E580" i="31" s="1"/>
  <c r="L601" i="23"/>
  <c r="X546" i="31" s="1"/>
  <c r="F602" i="23"/>
  <c r="F602" i="8"/>
  <c r="E605" i="23"/>
  <c r="G605" i="23" s="1"/>
  <c r="I605" i="23" s="1"/>
  <c r="E605" i="8"/>
  <c r="G605" i="8" s="1"/>
  <c r="E550" i="31" s="1"/>
  <c r="F622" i="10"/>
  <c r="H622" i="23"/>
  <c r="K622" i="23" s="1"/>
  <c r="N622" i="23" s="1"/>
  <c r="O622" i="23" s="1"/>
  <c r="Y565" i="31" s="1"/>
  <c r="E622" i="20"/>
  <c r="U565" i="31" s="1"/>
  <c r="F622" i="11"/>
  <c r="P622" i="23"/>
  <c r="R622" i="23" s="1"/>
  <c r="Z565" i="31" s="1"/>
  <c r="E623" i="23"/>
  <c r="G623" i="23" s="1"/>
  <c r="I623" i="23" s="1"/>
  <c r="E623" i="8"/>
  <c r="G623" i="8" s="1"/>
  <c r="E566" i="31" s="1"/>
  <c r="F624" i="23"/>
  <c r="F624" i="8"/>
  <c r="E593" i="23"/>
  <c r="E593" i="8"/>
  <c r="F170" i="23"/>
  <c r="F170" i="8"/>
  <c r="E171" i="23"/>
  <c r="E171" i="8"/>
  <c r="G171" i="8" s="1"/>
  <c r="E155" i="31" s="1"/>
  <c r="F172" i="23"/>
  <c r="F172" i="8"/>
  <c r="L177" i="23"/>
  <c r="X161" i="31" s="1"/>
  <c r="L329" i="23"/>
  <c r="X299" i="31" s="1"/>
  <c r="F330" i="23"/>
  <c r="F330" i="8"/>
  <c r="F393" i="11"/>
  <c r="P393" i="23"/>
  <c r="R393" i="23" s="1"/>
  <c r="Z357" i="31" s="1"/>
  <c r="L423" i="23"/>
  <c r="X384" i="31" s="1"/>
  <c r="E425" i="23"/>
  <c r="E425" i="8"/>
  <c r="F426" i="10"/>
  <c r="H426" i="23"/>
  <c r="K426" i="23" s="1"/>
  <c r="N426" i="23" s="1"/>
  <c r="O426" i="23" s="1"/>
  <c r="Y387" i="31" s="1"/>
  <c r="E426" i="20"/>
  <c r="U387" i="31" s="1"/>
  <c r="E427" i="23"/>
  <c r="E427" i="8"/>
  <c r="E476" i="23"/>
  <c r="E476" i="8"/>
  <c r="F481" i="10"/>
  <c r="H481" i="23"/>
  <c r="K481" i="23" s="1"/>
  <c r="N481" i="23" s="1"/>
  <c r="E481" i="20"/>
  <c r="U437" i="31" s="1"/>
  <c r="E521" i="23"/>
  <c r="G521" i="23" s="1"/>
  <c r="I521" i="23" s="1"/>
  <c r="E521" i="8"/>
  <c r="G521" i="8" s="1"/>
  <c r="E473" i="31" s="1"/>
  <c r="L527" i="23"/>
  <c r="X479" i="31" s="1"/>
  <c r="F528" i="23"/>
  <c r="F528" i="8"/>
  <c r="E529" i="23"/>
  <c r="G529" i="23" s="1"/>
  <c r="I529" i="23" s="1"/>
  <c r="E529" i="8"/>
  <c r="G529" i="8" s="1"/>
  <c r="E481" i="31" s="1"/>
  <c r="F565" i="23"/>
  <c r="F565" i="8"/>
  <c r="E567" i="23"/>
  <c r="E567" i="8"/>
  <c r="G567" i="8" s="1"/>
  <c r="E515" i="31" s="1"/>
  <c r="F572" i="11"/>
  <c r="P572" i="23"/>
  <c r="R572" i="23" s="1"/>
  <c r="Z520" i="31" s="1"/>
  <c r="L368" i="23"/>
  <c r="X334" i="31" s="1"/>
  <c r="F369" i="23"/>
  <c r="F369" i="8"/>
  <c r="E372" i="23"/>
  <c r="E372" i="8"/>
  <c r="F373" i="10"/>
  <c r="H373" i="23"/>
  <c r="K373" i="23" s="1"/>
  <c r="N373" i="23" s="1"/>
  <c r="E373" i="20"/>
  <c r="U339" i="31" s="1"/>
  <c r="F532" i="10"/>
  <c r="H532" i="23"/>
  <c r="K532" i="23" s="1"/>
  <c r="N532" i="23" s="1"/>
  <c r="O532" i="23" s="1"/>
  <c r="Y483" i="31" s="1"/>
  <c r="E532" i="20"/>
  <c r="U483" i="31" s="1"/>
  <c r="L534" i="23"/>
  <c r="X485" i="31" s="1"/>
  <c r="F535" i="11"/>
  <c r="P535" i="23"/>
  <c r="R535" i="23" s="1"/>
  <c r="Z486" i="31" s="1"/>
  <c r="O538" i="23"/>
  <c r="Y489" i="31" s="1"/>
  <c r="F539" i="10"/>
  <c r="H539" i="23"/>
  <c r="K539" i="23" s="1"/>
  <c r="N539" i="23" s="1"/>
  <c r="O539" i="23" s="1"/>
  <c r="Y490" i="31" s="1"/>
  <c r="E539" i="20"/>
  <c r="U490" i="31" s="1"/>
  <c r="F539" i="11"/>
  <c r="P539" i="23"/>
  <c r="R539" i="23" s="1"/>
  <c r="Z490" i="31" s="1"/>
  <c r="O543" i="23"/>
  <c r="Y493" i="31" s="1"/>
  <c r="F545" i="23"/>
  <c r="F545" i="8"/>
  <c r="E546" i="23"/>
  <c r="G546" i="23" s="1"/>
  <c r="E546" i="8"/>
  <c r="G546" i="8" s="1"/>
  <c r="E496" i="31" s="1"/>
  <c r="F547" i="23"/>
  <c r="F547" i="8"/>
  <c r="E548" i="23"/>
  <c r="G548" i="23" s="1"/>
  <c r="E548" i="8"/>
  <c r="G548" i="8" s="1"/>
  <c r="E498" i="31" s="1"/>
  <c r="F551" i="23"/>
  <c r="F551" i="8"/>
  <c r="F558" i="10"/>
  <c r="E558" i="20"/>
  <c r="U507" i="31" s="1"/>
  <c r="H558" i="23"/>
  <c r="K558" i="23" s="1"/>
  <c r="N558" i="23" s="1"/>
  <c r="O558" i="23"/>
  <c r="Y507" i="31" s="1"/>
  <c r="E559" i="23"/>
  <c r="G559" i="23" s="1"/>
  <c r="E559" i="8"/>
  <c r="G559" i="8" s="1"/>
  <c r="E508" i="31" s="1"/>
  <c r="E561" i="23"/>
  <c r="G561" i="23" s="1"/>
  <c r="E561" i="8"/>
  <c r="G561" i="8" s="1"/>
  <c r="E510" i="31" s="1"/>
  <c r="F636" i="10"/>
  <c r="H636" i="23"/>
  <c r="K636" i="23" s="1"/>
  <c r="N636" i="23" s="1"/>
  <c r="O636" i="23" s="1"/>
  <c r="Y578" i="31" s="1"/>
  <c r="E636" i="20"/>
  <c r="U578" i="31" s="1"/>
  <c r="F636" i="11"/>
  <c r="P636" i="23"/>
  <c r="R636" i="23" s="1"/>
  <c r="Z578" i="31" s="1"/>
  <c r="F638" i="23"/>
  <c r="F638" i="8"/>
  <c r="E639" i="23"/>
  <c r="G639" i="23" s="1"/>
  <c r="E639" i="8"/>
  <c r="G639" i="8" s="1"/>
  <c r="E581" i="31" s="1"/>
  <c r="L598" i="23"/>
  <c r="X543" i="31" s="1"/>
  <c r="F603" i="23"/>
  <c r="F603" i="8"/>
  <c r="E604" i="23"/>
  <c r="G604" i="23" s="1"/>
  <c r="E604" i="8"/>
  <c r="G604" i="8" s="1"/>
  <c r="E549" i="31" s="1"/>
  <c r="E606" i="23"/>
  <c r="G606" i="23" s="1"/>
  <c r="E606" i="8"/>
  <c r="G606" i="8" s="1"/>
  <c r="E551" i="31" s="1"/>
  <c r="F627" i="23"/>
  <c r="F627" i="8"/>
  <c r="E628" i="23"/>
  <c r="G628" i="23" s="1"/>
  <c r="E628" i="8"/>
  <c r="G628" i="8" s="1"/>
  <c r="E571" i="31" s="1"/>
  <c r="F608" i="23"/>
  <c r="F608" i="8"/>
  <c r="O609" i="23"/>
  <c r="Y553" i="31" s="1"/>
  <c r="F610" i="10"/>
  <c r="H610" i="23"/>
  <c r="K610" i="23" s="1"/>
  <c r="N610" i="23" s="1"/>
  <c r="O610" i="23" s="1"/>
  <c r="Y554" i="31" s="1"/>
  <c r="E610" i="20"/>
  <c r="U554" i="31" s="1"/>
  <c r="F610" i="11"/>
  <c r="P610" i="23"/>
  <c r="R610" i="23" s="1"/>
  <c r="Z554" i="31" s="1"/>
  <c r="O617" i="23"/>
  <c r="Y561" i="31" s="1"/>
  <c r="F593" i="10"/>
  <c r="H593" i="23"/>
  <c r="K593" i="23" s="1"/>
  <c r="N593" i="23" s="1"/>
  <c r="E593" i="20"/>
  <c r="U539" i="31" s="1"/>
  <c r="F592" i="11"/>
  <c r="P592" i="23"/>
  <c r="R592" i="23" s="1"/>
  <c r="Z538" i="31" s="1"/>
  <c r="O593" i="23"/>
  <c r="Y539" i="31" s="1"/>
  <c r="E594" i="23"/>
  <c r="G594" i="23" s="1"/>
  <c r="E594" i="8"/>
  <c r="G594" i="8" s="1"/>
  <c r="E540" i="31" s="1"/>
  <c r="F595" i="23"/>
  <c r="F595" i="8"/>
  <c r="F169" i="10"/>
  <c r="H169" i="23"/>
  <c r="K169" i="23" s="1"/>
  <c r="N169" i="23" s="1"/>
  <c r="E169" i="20"/>
  <c r="U153" i="31" s="1"/>
  <c r="F169" i="11"/>
  <c r="P169" i="23"/>
  <c r="R169" i="23" s="1"/>
  <c r="Z153" i="31" s="1"/>
  <c r="O169" i="23"/>
  <c r="Y153" i="31" s="1"/>
  <c r="E170" i="23"/>
  <c r="G170" i="23" s="1"/>
  <c r="E170" i="8"/>
  <c r="G170" i="8" s="1"/>
  <c r="E154" i="31" s="1"/>
  <c r="F171" i="23"/>
  <c r="F171" i="8"/>
  <c r="E172" i="23"/>
  <c r="G172" i="23" s="1"/>
  <c r="E172" i="8"/>
  <c r="G172" i="8" s="1"/>
  <c r="E156" i="31" s="1"/>
  <c r="F173" i="23"/>
  <c r="F173" i="8"/>
  <c r="E174" i="23"/>
  <c r="G174" i="23" s="1"/>
  <c r="E174" i="8"/>
  <c r="G174" i="8" s="1"/>
  <c r="E158" i="31" s="1"/>
  <c r="F175" i="23"/>
  <c r="F175" i="8"/>
  <c r="E176" i="23"/>
  <c r="G176" i="23" s="1"/>
  <c r="E176" i="8"/>
  <c r="G176" i="8" s="1"/>
  <c r="E160" i="31" s="1"/>
  <c r="F177" i="23"/>
  <c r="F177" i="8"/>
  <c r="F325" i="10"/>
  <c r="H325" i="23"/>
  <c r="K325" i="23" s="1"/>
  <c r="N325" i="23" s="1"/>
  <c r="E325" i="20"/>
  <c r="U295" i="31" s="1"/>
  <c r="F325" i="11"/>
  <c r="P325" i="23"/>
  <c r="R325" i="23" s="1"/>
  <c r="Z295" i="31" s="1"/>
  <c r="O325" i="23"/>
  <c r="Y295" i="31" s="1"/>
  <c r="E326" i="23"/>
  <c r="G326" i="23" s="1"/>
  <c r="E326" i="8"/>
  <c r="G326" i="8" s="1"/>
  <c r="E296" i="31" s="1"/>
  <c r="F327" i="23"/>
  <c r="F327" i="8"/>
  <c r="E328" i="23"/>
  <c r="G328" i="23" s="1"/>
  <c r="E328" i="8"/>
  <c r="G328" i="8" s="1"/>
  <c r="E298" i="31" s="1"/>
  <c r="F329" i="23"/>
  <c r="F329" i="8"/>
  <c r="E330" i="23"/>
  <c r="G330" i="23" s="1"/>
  <c r="E330" i="8"/>
  <c r="G330" i="8" s="1"/>
  <c r="E300" i="31" s="1"/>
  <c r="F331" i="23"/>
  <c r="F331" i="8"/>
  <c r="F390" i="23"/>
  <c r="F390" i="8"/>
  <c r="F389" i="11"/>
  <c r="P389" i="23"/>
  <c r="E391" i="23"/>
  <c r="G391" i="23" s="1"/>
  <c r="E391" i="8"/>
  <c r="G391" i="8" s="1"/>
  <c r="E355" i="31" s="1"/>
  <c r="O390" i="23"/>
  <c r="Y354" i="31" s="1"/>
  <c r="F392" i="10"/>
  <c r="H392" i="23"/>
  <c r="K392" i="23" s="1"/>
  <c r="N392" i="23" s="1"/>
  <c r="O392" i="23" s="1"/>
  <c r="Y356" i="31" s="1"/>
  <c r="E392" i="20"/>
  <c r="U356" i="31" s="1"/>
  <c r="F392" i="11"/>
  <c r="P392" i="23"/>
  <c r="R392" i="23" s="1"/>
  <c r="Z356" i="31" s="1"/>
  <c r="O393" i="23"/>
  <c r="Y357" i="31" s="1"/>
  <c r="F394" i="10"/>
  <c r="H394" i="23"/>
  <c r="K394" i="23" s="1"/>
  <c r="N394" i="23" s="1"/>
  <c r="O394" i="23" s="1"/>
  <c r="Y358" i="31" s="1"/>
  <c r="E394" i="20"/>
  <c r="U358" i="31" s="1"/>
  <c r="F394" i="11"/>
  <c r="P394" i="23"/>
  <c r="R394" i="23" s="1"/>
  <c r="Z358" i="31" s="1"/>
  <c r="O395" i="23"/>
  <c r="Y359" i="31" s="1"/>
  <c r="F396" i="10"/>
  <c r="H396" i="23"/>
  <c r="K396" i="23" s="1"/>
  <c r="N396" i="23" s="1"/>
  <c r="O396" i="23" s="1"/>
  <c r="Y360" i="31" s="1"/>
  <c r="E396" i="20"/>
  <c r="U360" i="31" s="1"/>
  <c r="F396" i="11"/>
  <c r="P396" i="23"/>
  <c r="R396" i="23" s="1"/>
  <c r="Z360" i="31" s="1"/>
  <c r="E422" i="23"/>
  <c r="G422" i="23" s="1"/>
  <c r="E422" i="8"/>
  <c r="G422" i="8" s="1"/>
  <c r="E383" i="31" s="1"/>
  <c r="F423" i="23"/>
  <c r="F423" i="8"/>
  <c r="E424" i="23"/>
  <c r="G424" i="23" s="1"/>
  <c r="E424" i="8"/>
  <c r="G424" i="8" s="1"/>
  <c r="E385" i="31" s="1"/>
  <c r="F425" i="23"/>
  <c r="F425" i="8"/>
  <c r="O425" i="23"/>
  <c r="Y386" i="31" s="1"/>
  <c r="F427" i="23"/>
  <c r="F427" i="8"/>
  <c r="E428" i="23"/>
  <c r="G428" i="23" s="1"/>
  <c r="E428" i="8"/>
  <c r="G428" i="8" s="1"/>
  <c r="E389" i="31" s="1"/>
  <c r="F429" i="23"/>
  <c r="F429" i="8"/>
  <c r="E430" i="23"/>
  <c r="G430" i="23" s="1"/>
  <c r="E430" i="8"/>
  <c r="G430" i="8" s="1"/>
  <c r="E391" i="31" s="1"/>
  <c r="F476" i="23"/>
  <c r="F476" i="8"/>
  <c r="O477" i="23"/>
  <c r="Y433" i="31" s="1"/>
  <c r="F478" i="10"/>
  <c r="H478" i="23"/>
  <c r="K478" i="23" s="1"/>
  <c r="N478" i="23" s="1"/>
  <c r="O478" i="23" s="1"/>
  <c r="Y434" i="31" s="1"/>
  <c r="E478" i="20"/>
  <c r="U434" i="31" s="1"/>
  <c r="F478" i="11"/>
  <c r="P478" i="23"/>
  <c r="R478" i="23" s="1"/>
  <c r="Z434" i="31" s="1"/>
  <c r="O479" i="23"/>
  <c r="Y435" i="31" s="1"/>
  <c r="F480" i="10"/>
  <c r="H480" i="23"/>
  <c r="K480" i="23" s="1"/>
  <c r="N480" i="23" s="1"/>
  <c r="O480" i="23" s="1"/>
  <c r="Y436" i="31" s="1"/>
  <c r="E480" i="20"/>
  <c r="U436" i="31" s="1"/>
  <c r="F480" i="11"/>
  <c r="P480" i="23"/>
  <c r="R480" i="23" s="1"/>
  <c r="Z436" i="31" s="1"/>
  <c r="O481" i="23"/>
  <c r="Y437" i="31" s="1"/>
  <c r="F482" i="10"/>
  <c r="H482" i="23"/>
  <c r="K482" i="23" s="1"/>
  <c r="N482" i="23" s="1"/>
  <c r="O482" i="23" s="1"/>
  <c r="Y438" i="31" s="1"/>
  <c r="E482" i="20"/>
  <c r="U438" i="31" s="1"/>
  <c r="F482" i="11"/>
  <c r="P482" i="23"/>
  <c r="R482" i="23" s="1"/>
  <c r="Z438" i="31" s="1"/>
  <c r="O483" i="23"/>
  <c r="Y439" i="31" s="1"/>
  <c r="F484" i="10"/>
  <c r="H484" i="23"/>
  <c r="K484" i="23" s="1"/>
  <c r="N484" i="23" s="1"/>
  <c r="O484" i="23" s="1"/>
  <c r="Y440" i="31" s="1"/>
  <c r="E484" i="20"/>
  <c r="U440" i="31" s="1"/>
  <c r="F484" i="11"/>
  <c r="P484" i="23"/>
  <c r="R484" i="23" s="1"/>
  <c r="Z440" i="31" s="1"/>
  <c r="O485" i="23"/>
  <c r="Y441" i="31" s="1"/>
  <c r="F525" i="23"/>
  <c r="F525" i="8"/>
  <c r="E526" i="23"/>
  <c r="G526" i="23" s="1"/>
  <c r="E526" i="8"/>
  <c r="G526" i="8" s="1"/>
  <c r="E478" i="31" s="1"/>
  <c r="F527" i="23"/>
  <c r="F527" i="8"/>
  <c r="E566" i="23"/>
  <c r="G566" i="23" s="1"/>
  <c r="E566" i="8"/>
  <c r="G566" i="8" s="1"/>
  <c r="E514" i="31" s="1"/>
  <c r="F567" i="23"/>
  <c r="F567" i="8"/>
  <c r="O568" i="23"/>
  <c r="Y516" i="31" s="1"/>
  <c r="F569" i="10"/>
  <c r="H569" i="23"/>
  <c r="K569" i="23" s="1"/>
  <c r="N569" i="23" s="1"/>
  <c r="O569" i="23" s="1"/>
  <c r="Y517" i="31" s="1"/>
  <c r="E569" i="20"/>
  <c r="U517" i="31" s="1"/>
  <c r="F569" i="11"/>
  <c r="P569" i="23"/>
  <c r="R569" i="23" s="1"/>
  <c r="Z517" i="31" s="1"/>
  <c r="F571" i="10"/>
  <c r="H571" i="23"/>
  <c r="K571" i="23" s="1"/>
  <c r="N571" i="23" s="1"/>
  <c r="O571" i="23" s="1"/>
  <c r="Y519" i="31" s="1"/>
  <c r="E571" i="20"/>
  <c r="U519" i="31" s="1"/>
  <c r="F571" i="11"/>
  <c r="P571" i="23"/>
  <c r="R571" i="23" s="1"/>
  <c r="Z519" i="31" s="1"/>
  <c r="E369" i="23"/>
  <c r="G369" i="23" s="1"/>
  <c r="E369" i="8"/>
  <c r="G369" i="8" s="1"/>
  <c r="E335" i="31" s="1"/>
  <c r="F370" i="23"/>
  <c r="F370" i="8"/>
  <c r="E371" i="23"/>
  <c r="G371" i="23" s="1"/>
  <c r="E371" i="8"/>
  <c r="G371" i="8" s="1"/>
  <c r="E337" i="31" s="1"/>
  <c r="F372" i="23"/>
  <c r="F372" i="8"/>
  <c r="E374" i="23"/>
  <c r="E374" i="8"/>
  <c r="G374" i="8" s="1"/>
  <c r="E340" i="31" s="1"/>
  <c r="F374" i="11"/>
  <c r="P374" i="23"/>
  <c r="R374" i="23" s="1"/>
  <c r="Z340" i="31" s="1"/>
  <c r="F374" i="23"/>
  <c r="F374" i="8"/>
  <c r="E375" i="23"/>
  <c r="G375" i="23" s="1"/>
  <c r="E375" i="8"/>
  <c r="G375" i="8" s="1"/>
  <c r="E341" i="31" s="1"/>
  <c r="F533" i="10"/>
  <c r="H533" i="23"/>
  <c r="K533" i="23" s="1"/>
  <c r="N533" i="23" s="1"/>
  <c r="E533" i="20"/>
  <c r="U484" i="31" s="1"/>
  <c r="F533" i="11"/>
  <c r="P533" i="23"/>
  <c r="R533" i="23" s="1"/>
  <c r="Z484" i="31" s="1"/>
  <c r="O533" i="23"/>
  <c r="Y484" i="31" s="1"/>
  <c r="E534" i="23"/>
  <c r="G534" i="23" s="1"/>
  <c r="I534" i="23" s="1"/>
  <c r="E534" i="8"/>
  <c r="F534" i="11"/>
  <c r="P534" i="23"/>
  <c r="R534" i="23" s="1"/>
  <c r="Z485" i="31" s="1"/>
  <c r="F534" i="23"/>
  <c r="F534" i="8"/>
  <c r="E536" i="23"/>
  <c r="G536" i="23" s="1"/>
  <c r="I536" i="23" s="1"/>
  <c r="E536" i="8"/>
  <c r="G536" i="8" s="1"/>
  <c r="E487" i="31" s="1"/>
  <c r="L536" i="23"/>
  <c r="X487" i="31" s="1"/>
  <c r="F537" i="23"/>
  <c r="F537" i="8"/>
  <c r="E538" i="23"/>
  <c r="G538" i="23" s="1"/>
  <c r="I538" i="23" s="1"/>
  <c r="E538" i="8"/>
  <c r="G538" i="8" s="1"/>
  <c r="E489" i="31" s="1"/>
  <c r="L538" i="23"/>
  <c r="X489" i="31" s="1"/>
  <c r="F539" i="23"/>
  <c r="F539" i="8"/>
  <c r="E540" i="23"/>
  <c r="G540" i="23" s="1"/>
  <c r="I540" i="23" s="1"/>
  <c r="E540" i="8"/>
  <c r="G540" i="8" s="1"/>
  <c r="E491" i="31" s="1"/>
  <c r="L540" i="23"/>
  <c r="X491" i="31" s="1"/>
  <c r="F542" i="23"/>
  <c r="F542" i="8"/>
  <c r="F544" i="10"/>
  <c r="H544" i="23"/>
  <c r="K544" i="23" s="1"/>
  <c r="N544" i="23" s="1"/>
  <c r="O544" i="23" s="1"/>
  <c r="Y494" i="31" s="1"/>
  <c r="E544" i="20"/>
  <c r="U494" i="31" s="1"/>
  <c r="F544" i="11"/>
  <c r="P544" i="23"/>
  <c r="R544" i="23" s="1"/>
  <c r="Z494" i="31" s="1"/>
  <c r="O545" i="23"/>
  <c r="Y495" i="31" s="1"/>
  <c r="F546" i="10"/>
  <c r="H546" i="23"/>
  <c r="K546" i="23" s="1"/>
  <c r="N546" i="23" s="1"/>
  <c r="O546" i="23" s="1"/>
  <c r="Y496" i="31" s="1"/>
  <c r="E546" i="20"/>
  <c r="U496" i="31" s="1"/>
  <c r="F546" i="11"/>
  <c r="P546" i="23"/>
  <c r="R546" i="23" s="1"/>
  <c r="Z496" i="31" s="1"/>
  <c r="O547" i="23"/>
  <c r="Y497" i="31" s="1"/>
  <c r="F548" i="10"/>
  <c r="H548" i="23"/>
  <c r="K548" i="23" s="1"/>
  <c r="N548" i="23" s="1"/>
  <c r="O548" i="23" s="1"/>
  <c r="Y498" i="31" s="1"/>
  <c r="E548" i="20"/>
  <c r="U498" i="31" s="1"/>
  <c r="F548" i="11"/>
  <c r="P548" i="23"/>
  <c r="R548" i="23" s="1"/>
  <c r="Z498" i="31" s="1"/>
  <c r="O549" i="23"/>
  <c r="Y499" i="31" s="1"/>
  <c r="F550" i="10"/>
  <c r="H550" i="23"/>
  <c r="K550" i="23" s="1"/>
  <c r="N550" i="23" s="1"/>
  <c r="O550" i="23" s="1"/>
  <c r="Y500" i="31" s="1"/>
  <c r="E550" i="20"/>
  <c r="U500" i="31" s="1"/>
  <c r="F550" i="11"/>
  <c r="P550" i="23"/>
  <c r="R550" i="23" s="1"/>
  <c r="Z500" i="31" s="1"/>
  <c r="O551" i="23"/>
  <c r="Y501" i="31" s="1"/>
  <c r="E557" i="23"/>
  <c r="G557" i="23" s="1"/>
  <c r="I557" i="23" s="1"/>
  <c r="E557" i="8"/>
  <c r="G557" i="8" s="1"/>
  <c r="E506" i="31" s="1"/>
  <c r="F557" i="23"/>
  <c r="F557" i="8"/>
  <c r="L557" i="23"/>
  <c r="X506" i="31" s="1"/>
  <c r="F559" i="10"/>
  <c r="H559" i="23"/>
  <c r="K559" i="23" s="1"/>
  <c r="N559" i="23" s="1"/>
  <c r="O559" i="23" s="1"/>
  <c r="Y508" i="31" s="1"/>
  <c r="E559" i="20"/>
  <c r="U508" i="31" s="1"/>
  <c r="F559" i="11"/>
  <c r="P559" i="23"/>
  <c r="R559" i="23" s="1"/>
  <c r="Z508" i="31" s="1"/>
  <c r="O560" i="23"/>
  <c r="Y509" i="31" s="1"/>
  <c r="F561" i="10"/>
  <c r="H561" i="23"/>
  <c r="K561" i="23" s="1"/>
  <c r="N561" i="23" s="1"/>
  <c r="O561" i="23" s="1"/>
  <c r="Y510" i="31" s="1"/>
  <c r="E561" i="20"/>
  <c r="U510" i="31" s="1"/>
  <c r="F561" i="11"/>
  <c r="P561" i="23"/>
  <c r="R561" i="23" s="1"/>
  <c r="Z510" i="31" s="1"/>
  <c r="E562" i="23"/>
  <c r="G562" i="23" s="1"/>
  <c r="I562" i="23" s="1"/>
  <c r="E562" i="8"/>
  <c r="G562" i="8" s="1"/>
  <c r="E511" i="31" s="1"/>
  <c r="O562" i="23"/>
  <c r="Y511" i="31" s="1"/>
  <c r="E635" i="23"/>
  <c r="G635" i="23" s="1"/>
  <c r="I635" i="23" s="1"/>
  <c r="E635" i="8"/>
  <c r="G635" i="8" s="1"/>
  <c r="E577" i="31" s="1"/>
  <c r="F635" i="23"/>
  <c r="F635" i="8"/>
  <c r="L635" i="23"/>
  <c r="X577" i="31" s="1"/>
  <c r="F637" i="10"/>
  <c r="H637" i="23"/>
  <c r="K637" i="23" s="1"/>
  <c r="N637" i="23" s="1"/>
  <c r="O637" i="23" s="1"/>
  <c r="Y579" i="31" s="1"/>
  <c r="E637" i="20"/>
  <c r="U579" i="31" s="1"/>
  <c r="F637" i="11"/>
  <c r="P637" i="23"/>
  <c r="R637" i="23" s="1"/>
  <c r="Z579" i="31" s="1"/>
  <c r="O638" i="23"/>
  <c r="Y580" i="31" s="1"/>
  <c r="F639" i="10"/>
  <c r="H639" i="23"/>
  <c r="K639" i="23" s="1"/>
  <c r="N639" i="23" s="1"/>
  <c r="O639" i="23" s="1"/>
  <c r="Y581" i="31" s="1"/>
  <c r="E639" i="20"/>
  <c r="U581" i="31" s="1"/>
  <c r="F639" i="11"/>
  <c r="P639" i="23"/>
  <c r="R639" i="23" s="1"/>
  <c r="Z581" i="31" s="1"/>
  <c r="F597" i="10"/>
  <c r="H597" i="23"/>
  <c r="K597" i="23" s="1"/>
  <c r="N597" i="23" s="1"/>
  <c r="E597" i="20"/>
  <c r="U542" i="31" s="1"/>
  <c r="F597" i="11"/>
  <c r="P597" i="23"/>
  <c r="R597" i="23" s="1"/>
  <c r="Z542" i="31" s="1"/>
  <c r="O597" i="23"/>
  <c r="Y542" i="31" s="1"/>
  <c r="O599" i="23"/>
  <c r="Y544" i="31" s="1"/>
  <c r="F600" i="10"/>
  <c r="H600" i="23"/>
  <c r="K600" i="23" s="1"/>
  <c r="N600" i="23" s="1"/>
  <c r="O600" i="23" s="1"/>
  <c r="Y545" i="31" s="1"/>
  <c r="E600" i="20"/>
  <c r="U545" i="31" s="1"/>
  <c r="F600" i="11"/>
  <c r="P600" i="23"/>
  <c r="R600" i="23" s="1"/>
  <c r="Z545" i="31" s="1"/>
  <c r="O601" i="23"/>
  <c r="Y546" i="31" s="1"/>
  <c r="F602" i="10"/>
  <c r="H602" i="23"/>
  <c r="K602" i="23" s="1"/>
  <c r="N602" i="23" s="1"/>
  <c r="O602" i="23" s="1"/>
  <c r="Y547" i="31" s="1"/>
  <c r="E602" i="20"/>
  <c r="U547" i="31" s="1"/>
  <c r="F602" i="11"/>
  <c r="P602" i="23"/>
  <c r="R602" i="23" s="1"/>
  <c r="Z547" i="31" s="1"/>
  <c r="O603" i="23"/>
  <c r="Y548" i="31" s="1"/>
  <c r="F604" i="10"/>
  <c r="H604" i="23"/>
  <c r="K604" i="23" s="1"/>
  <c r="N604" i="23" s="1"/>
  <c r="O604" i="23" s="1"/>
  <c r="Y549" i="31" s="1"/>
  <c r="E604" i="20"/>
  <c r="U549" i="31" s="1"/>
  <c r="F604" i="11"/>
  <c r="P604" i="23"/>
  <c r="R604" i="23" s="1"/>
  <c r="Z549" i="31" s="1"/>
  <c r="O605" i="23"/>
  <c r="Y550" i="31" s="1"/>
  <c r="F606" i="10"/>
  <c r="H606" i="23"/>
  <c r="K606" i="23" s="1"/>
  <c r="N606" i="23" s="1"/>
  <c r="O606" i="23" s="1"/>
  <c r="Y551" i="31" s="1"/>
  <c r="E606" i="20"/>
  <c r="U551" i="31" s="1"/>
  <c r="F606" i="11"/>
  <c r="P606" i="23"/>
  <c r="R606" i="23" s="1"/>
  <c r="Z551" i="31" s="1"/>
  <c r="F621" i="10"/>
  <c r="H621" i="23"/>
  <c r="K621" i="23" s="1"/>
  <c r="N621" i="23" s="1"/>
  <c r="E621" i="20"/>
  <c r="U564" i="31" s="1"/>
  <c r="F621" i="11"/>
  <c r="P621" i="23"/>
  <c r="R621" i="23" s="1"/>
  <c r="Z564" i="31" s="1"/>
  <c r="O621" i="23"/>
  <c r="Y564" i="31" s="1"/>
  <c r="O623" i="23"/>
  <c r="Y566" i="31" s="1"/>
  <c r="F624" i="10"/>
  <c r="H624" i="23"/>
  <c r="K624" i="23" s="1"/>
  <c r="N624" i="23" s="1"/>
  <c r="O624" i="23" s="1"/>
  <c r="Y567" i="31" s="1"/>
  <c r="E624" i="20"/>
  <c r="U567" i="31" s="1"/>
  <c r="F624" i="11"/>
  <c r="P624" i="23"/>
  <c r="R624" i="23" s="1"/>
  <c r="Z567" i="31" s="1"/>
  <c r="O625" i="23"/>
  <c r="Y568" i="31" s="1"/>
  <c r="F626" i="10"/>
  <c r="H626" i="23"/>
  <c r="K626" i="23" s="1"/>
  <c r="N626" i="23" s="1"/>
  <c r="O626" i="23" s="1"/>
  <c r="Y569" i="31" s="1"/>
  <c r="E626" i="20"/>
  <c r="U569" i="31" s="1"/>
  <c r="F626" i="11"/>
  <c r="P626" i="23"/>
  <c r="R626" i="23" s="1"/>
  <c r="Z569" i="31" s="1"/>
  <c r="O627" i="23"/>
  <c r="Y570" i="31" s="1"/>
  <c r="F628" i="10"/>
  <c r="H628" i="23"/>
  <c r="K628" i="23" s="1"/>
  <c r="N628" i="23" s="1"/>
  <c r="O628" i="23" s="1"/>
  <c r="Y571" i="31" s="1"/>
  <c r="E628" i="20"/>
  <c r="U571" i="31" s="1"/>
  <c r="F628" i="11"/>
  <c r="P628" i="23"/>
  <c r="R628" i="23" s="1"/>
  <c r="Z571" i="31" s="1"/>
  <c r="E609" i="23"/>
  <c r="G609" i="23" s="1"/>
  <c r="I609" i="23" s="1"/>
  <c r="E609" i="8"/>
  <c r="G609" i="8" s="1"/>
  <c r="E553" i="31" s="1"/>
  <c r="L609" i="23"/>
  <c r="X553" i="31" s="1"/>
  <c r="F610" i="23"/>
  <c r="F610" i="8"/>
  <c r="E611" i="23"/>
  <c r="G611" i="23" s="1"/>
  <c r="I611" i="23" s="1"/>
  <c r="E611" i="8"/>
  <c r="G611" i="8" s="1"/>
  <c r="E555" i="31" s="1"/>
  <c r="L611" i="23"/>
  <c r="X555" i="31" s="1"/>
  <c r="F612" i="23"/>
  <c r="F612" i="8"/>
  <c r="E613" i="23"/>
  <c r="G613" i="23" s="1"/>
  <c r="I613" i="23" s="1"/>
  <c r="E613" i="8"/>
  <c r="G613" i="8" s="1"/>
  <c r="E557" i="31" s="1"/>
  <c r="L613" i="23"/>
  <c r="X557" i="31" s="1"/>
  <c r="O614" i="23"/>
  <c r="Y558" i="31" s="1"/>
  <c r="E615" i="23"/>
  <c r="G615" i="23" s="1"/>
  <c r="I615" i="23" s="1"/>
  <c r="E615" i="8"/>
  <c r="G615" i="8" s="1"/>
  <c r="E559" i="31" s="1"/>
  <c r="L615" i="23"/>
  <c r="X559" i="31" s="1"/>
  <c r="F616" i="23"/>
  <c r="F616" i="8"/>
  <c r="E617" i="23"/>
  <c r="G617" i="23" s="1"/>
  <c r="I617" i="23" s="1"/>
  <c r="E617" i="8"/>
  <c r="G617" i="8" s="1"/>
  <c r="E561" i="31" s="1"/>
  <c r="L617" i="23"/>
  <c r="X561" i="31" s="1"/>
  <c r="E592" i="23"/>
  <c r="G592" i="23" s="1"/>
  <c r="I592" i="23" s="1"/>
  <c r="E592" i="8"/>
  <c r="G592" i="8" s="1"/>
  <c r="E538" i="31" s="1"/>
  <c r="F593" i="23"/>
  <c r="F593" i="8"/>
  <c r="L592" i="23"/>
  <c r="X538" i="31" s="1"/>
  <c r="F594" i="10"/>
  <c r="H594" i="23"/>
  <c r="K594" i="23" s="1"/>
  <c r="N594" i="23" s="1"/>
  <c r="O594" i="23" s="1"/>
  <c r="Y540" i="31" s="1"/>
  <c r="E594" i="20"/>
  <c r="U540" i="31" s="1"/>
  <c r="F594" i="11"/>
  <c r="P594" i="23"/>
  <c r="R594" i="23" s="1"/>
  <c r="Z540" i="31" s="1"/>
  <c r="O595" i="23"/>
  <c r="Y541" i="31" s="1"/>
  <c r="E168" i="23"/>
  <c r="E168" i="8"/>
  <c r="G168" i="8" s="1"/>
  <c r="E152" i="31" s="1"/>
  <c r="F168" i="23"/>
  <c r="F168" i="8"/>
  <c r="L168" i="23"/>
  <c r="X152" i="31" s="1"/>
  <c r="F170" i="10"/>
  <c r="H170" i="23"/>
  <c r="K170" i="23" s="1"/>
  <c r="N170" i="23" s="1"/>
  <c r="O170" i="23" s="1"/>
  <c r="Y154" i="31" s="1"/>
  <c r="E170" i="20"/>
  <c r="U154" i="31" s="1"/>
  <c r="F170" i="11"/>
  <c r="P170" i="23"/>
  <c r="R170" i="23" s="1"/>
  <c r="Z154" i="31" s="1"/>
  <c r="O171" i="23"/>
  <c r="Y155" i="31" s="1"/>
  <c r="F172" i="10"/>
  <c r="H172" i="23"/>
  <c r="K172" i="23" s="1"/>
  <c r="N172" i="23" s="1"/>
  <c r="O172" i="23" s="1"/>
  <c r="Y156" i="31" s="1"/>
  <c r="E172" i="20"/>
  <c r="U156" i="31" s="1"/>
  <c r="F172" i="11"/>
  <c r="P172" i="23"/>
  <c r="R172" i="23" s="1"/>
  <c r="Z156" i="31" s="1"/>
  <c r="O173" i="23"/>
  <c r="Y157" i="31" s="1"/>
  <c r="F174" i="10"/>
  <c r="H174" i="23"/>
  <c r="K174" i="23" s="1"/>
  <c r="N174" i="23" s="1"/>
  <c r="O174" i="23" s="1"/>
  <c r="Y158" i="31" s="1"/>
  <c r="E174" i="20"/>
  <c r="U158" i="31" s="1"/>
  <c r="F174" i="11"/>
  <c r="P174" i="23"/>
  <c r="R174" i="23" s="1"/>
  <c r="Z158" i="31" s="1"/>
  <c r="O175" i="23"/>
  <c r="Y159" i="31" s="1"/>
  <c r="F176" i="10"/>
  <c r="H176" i="23"/>
  <c r="K176" i="23" s="1"/>
  <c r="N176" i="23" s="1"/>
  <c r="O176" i="23" s="1"/>
  <c r="Y160" i="31" s="1"/>
  <c r="E176" i="20"/>
  <c r="U160" i="31" s="1"/>
  <c r="F176" i="11"/>
  <c r="P176" i="23"/>
  <c r="R176" i="23" s="1"/>
  <c r="Z160" i="31" s="1"/>
  <c r="O177" i="23"/>
  <c r="Y161" i="31" s="1"/>
  <c r="E324" i="23"/>
  <c r="G324" i="23" s="1"/>
  <c r="I324" i="23" s="1"/>
  <c r="E324" i="8"/>
  <c r="G324" i="8" s="1"/>
  <c r="E294" i="31" s="1"/>
  <c r="F324" i="23"/>
  <c r="F324" i="8"/>
  <c r="L324" i="23"/>
  <c r="X294" i="31" s="1"/>
  <c r="F326" i="10"/>
  <c r="H326" i="23"/>
  <c r="K326" i="23" s="1"/>
  <c r="N326" i="23" s="1"/>
  <c r="O326" i="23" s="1"/>
  <c r="Y296" i="31" s="1"/>
  <c r="E326" i="20"/>
  <c r="U296" i="31" s="1"/>
  <c r="F326" i="11"/>
  <c r="P326" i="23"/>
  <c r="R326" i="23" s="1"/>
  <c r="Z296" i="31" s="1"/>
  <c r="O327" i="23"/>
  <c r="Y297" i="31" s="1"/>
  <c r="F328" i="10"/>
  <c r="H328" i="23"/>
  <c r="K328" i="23" s="1"/>
  <c r="N328" i="23" s="1"/>
  <c r="O328" i="23" s="1"/>
  <c r="Y298" i="31" s="1"/>
  <c r="E328" i="20"/>
  <c r="U298" i="31" s="1"/>
  <c r="F328" i="11"/>
  <c r="P328" i="23"/>
  <c r="R328" i="23" s="1"/>
  <c r="Z298" i="31" s="1"/>
  <c r="O329" i="23"/>
  <c r="Y299" i="31" s="1"/>
  <c r="F330" i="10"/>
  <c r="H330" i="23"/>
  <c r="K330" i="23" s="1"/>
  <c r="N330" i="23" s="1"/>
  <c r="O330" i="23" s="1"/>
  <c r="Y300" i="31" s="1"/>
  <c r="E330" i="20"/>
  <c r="U300" i="31" s="1"/>
  <c r="F330" i="11"/>
  <c r="P330" i="23"/>
  <c r="R330" i="23" s="1"/>
  <c r="Z300" i="31" s="1"/>
  <c r="O331" i="23"/>
  <c r="Y301" i="31" s="1"/>
  <c r="F389" i="10"/>
  <c r="H389" i="23"/>
  <c r="K389" i="23" s="1"/>
  <c r="N389" i="23" s="1"/>
  <c r="O389" i="23" s="1"/>
  <c r="Y353" i="31" s="1"/>
  <c r="E389" i="20"/>
  <c r="U353" i="31" s="1"/>
  <c r="F390" i="11"/>
  <c r="P390" i="23"/>
  <c r="R390" i="23" s="1"/>
  <c r="Z354" i="31" s="1"/>
  <c r="F391" i="10"/>
  <c r="H391" i="23"/>
  <c r="K391" i="23" s="1"/>
  <c r="N391" i="23" s="1"/>
  <c r="O391" i="23" s="1"/>
  <c r="Y355" i="31" s="1"/>
  <c r="E391" i="20"/>
  <c r="U355" i="31" s="1"/>
  <c r="F391" i="11"/>
  <c r="P391" i="23"/>
  <c r="R391" i="23" s="1"/>
  <c r="Z355" i="31" s="1"/>
  <c r="F392" i="23"/>
  <c r="F392" i="8"/>
  <c r="E393" i="23"/>
  <c r="G393" i="23" s="1"/>
  <c r="I393" i="23" s="1"/>
  <c r="E393" i="8"/>
  <c r="G393" i="8" s="1"/>
  <c r="E357" i="31" s="1"/>
  <c r="L393" i="23"/>
  <c r="X357" i="31" s="1"/>
  <c r="F394" i="23"/>
  <c r="F394" i="8"/>
  <c r="E395" i="23"/>
  <c r="G395" i="23" s="1"/>
  <c r="I395" i="23" s="1"/>
  <c r="E395" i="8"/>
  <c r="G395" i="8" s="1"/>
  <c r="E359" i="31" s="1"/>
  <c r="L395" i="23"/>
  <c r="X359" i="31" s="1"/>
  <c r="F396" i="23"/>
  <c r="F396" i="8"/>
  <c r="E421" i="23"/>
  <c r="G421" i="23" s="1"/>
  <c r="I421" i="23" s="1"/>
  <c r="E421" i="8"/>
  <c r="G421" i="8" s="1"/>
  <c r="E382" i="31" s="1"/>
  <c r="L421" i="23"/>
  <c r="X382" i="31" s="1"/>
  <c r="O421" i="23"/>
  <c r="Y382" i="31" s="1"/>
  <c r="F422" i="10"/>
  <c r="H422" i="23"/>
  <c r="K422" i="23" s="1"/>
  <c r="N422" i="23" s="1"/>
  <c r="O422" i="23" s="1"/>
  <c r="Y383" i="31" s="1"/>
  <c r="E422" i="20"/>
  <c r="U383" i="31" s="1"/>
  <c r="F422" i="11"/>
  <c r="P422" i="23"/>
  <c r="R422" i="23" s="1"/>
  <c r="Z383" i="31" s="1"/>
  <c r="O423" i="23"/>
  <c r="Y384" i="31" s="1"/>
  <c r="F424" i="10"/>
  <c r="H424" i="23"/>
  <c r="K424" i="23" s="1"/>
  <c r="N424" i="23" s="1"/>
  <c r="O424" i="23" s="1"/>
  <c r="Y385" i="31" s="1"/>
  <c r="E424" i="20"/>
  <c r="U385" i="31" s="1"/>
  <c r="F424" i="11"/>
  <c r="P424" i="23"/>
  <c r="R424" i="23" s="1"/>
  <c r="Z385" i="31" s="1"/>
  <c r="E426" i="23"/>
  <c r="G426" i="23" s="1"/>
  <c r="I426" i="23" s="1"/>
  <c r="E426" i="8"/>
  <c r="G426" i="8" s="1"/>
  <c r="E387" i="31" s="1"/>
  <c r="L426" i="23"/>
  <c r="X387" i="31" s="1"/>
  <c r="O427" i="23"/>
  <c r="Y388" i="31" s="1"/>
  <c r="F428" i="10"/>
  <c r="H428" i="23"/>
  <c r="K428" i="23" s="1"/>
  <c r="N428" i="23" s="1"/>
  <c r="O428" i="23" s="1"/>
  <c r="Y389" i="31" s="1"/>
  <c r="E428" i="20"/>
  <c r="U389" i="31" s="1"/>
  <c r="F428" i="11"/>
  <c r="P428" i="23"/>
  <c r="R428" i="23" s="1"/>
  <c r="Z389" i="31" s="1"/>
  <c r="O429" i="23"/>
  <c r="Y390" i="31" s="1"/>
  <c r="F430" i="10"/>
  <c r="H430" i="23"/>
  <c r="K430" i="23" s="1"/>
  <c r="N430" i="23" s="1"/>
  <c r="O430" i="23" s="1"/>
  <c r="Y391" i="31" s="1"/>
  <c r="E430" i="20"/>
  <c r="U391" i="31" s="1"/>
  <c r="F430" i="11"/>
  <c r="P430" i="23"/>
  <c r="R430" i="23" s="1"/>
  <c r="Z391" i="31" s="1"/>
  <c r="O476" i="23"/>
  <c r="Y432" i="31" s="1"/>
  <c r="E477" i="23"/>
  <c r="G477" i="23" s="1"/>
  <c r="I477" i="23" s="1"/>
  <c r="E477" i="8"/>
  <c r="G477" i="8" s="1"/>
  <c r="E433" i="31" s="1"/>
  <c r="L477" i="23"/>
  <c r="X433" i="31" s="1"/>
  <c r="F478" i="23"/>
  <c r="F478" i="8"/>
  <c r="E479" i="23"/>
  <c r="G479" i="23" s="1"/>
  <c r="I479" i="23" s="1"/>
  <c r="E479" i="8"/>
  <c r="G479" i="8" s="1"/>
  <c r="E435" i="31" s="1"/>
  <c r="L479" i="23"/>
  <c r="X435" i="31" s="1"/>
  <c r="F480" i="23"/>
  <c r="F480" i="8"/>
  <c r="E481" i="23"/>
  <c r="G481" i="23" s="1"/>
  <c r="I481" i="23" s="1"/>
  <c r="E481" i="8"/>
  <c r="G481" i="8" s="1"/>
  <c r="E437" i="31" s="1"/>
  <c r="L481" i="23"/>
  <c r="X437" i="31" s="1"/>
  <c r="F482" i="23"/>
  <c r="F482" i="8"/>
  <c r="E483" i="23"/>
  <c r="G483" i="23" s="1"/>
  <c r="I483" i="23" s="1"/>
  <c r="E483" i="8"/>
  <c r="G483" i="8" s="1"/>
  <c r="E439" i="31" s="1"/>
  <c r="L483" i="23"/>
  <c r="X439" i="31" s="1"/>
  <c r="F484" i="23"/>
  <c r="F484" i="8"/>
  <c r="E485" i="23"/>
  <c r="G485" i="23" s="1"/>
  <c r="I485" i="23" s="1"/>
  <c r="E485" i="8"/>
  <c r="G485" i="8" s="1"/>
  <c r="E441" i="31" s="1"/>
  <c r="L485" i="23"/>
  <c r="X441" i="31" s="1"/>
  <c r="F520" i="23"/>
  <c r="F520" i="8"/>
  <c r="O521" i="23"/>
  <c r="Y473" i="31" s="1"/>
  <c r="F522" i="10"/>
  <c r="H522" i="23"/>
  <c r="K522" i="23" s="1"/>
  <c r="N522" i="23" s="1"/>
  <c r="O522" i="23" s="1"/>
  <c r="Y474" i="31" s="1"/>
  <c r="E522" i="20"/>
  <c r="U474" i="31" s="1"/>
  <c r="F522" i="11"/>
  <c r="P522" i="23"/>
  <c r="R522" i="23" s="1"/>
  <c r="Z474" i="31" s="1"/>
  <c r="O523" i="23"/>
  <c r="Y475" i="31" s="1"/>
  <c r="F524" i="10"/>
  <c r="H524" i="23"/>
  <c r="K524" i="23" s="1"/>
  <c r="N524" i="23" s="1"/>
  <c r="O524" i="23" s="1"/>
  <c r="Y476" i="31" s="1"/>
  <c r="E524" i="20"/>
  <c r="U476" i="31" s="1"/>
  <c r="F524" i="11"/>
  <c r="P524" i="23"/>
  <c r="R524" i="23" s="1"/>
  <c r="Z476" i="31" s="1"/>
  <c r="O525" i="23"/>
  <c r="Y477" i="31" s="1"/>
  <c r="F526" i="10"/>
  <c r="H526" i="23"/>
  <c r="K526" i="23" s="1"/>
  <c r="N526" i="23" s="1"/>
  <c r="O526" i="23" s="1"/>
  <c r="Y478" i="31" s="1"/>
  <c r="E526" i="20"/>
  <c r="U478" i="31" s="1"/>
  <c r="F526" i="11"/>
  <c r="P526" i="23"/>
  <c r="R526" i="23" s="1"/>
  <c r="Z478" i="31" s="1"/>
  <c r="O527" i="23"/>
  <c r="Y479" i="31" s="1"/>
  <c r="F528" i="10"/>
  <c r="H528" i="23"/>
  <c r="K528" i="23" s="1"/>
  <c r="N528" i="23" s="1"/>
  <c r="O528" i="23" s="1"/>
  <c r="Y480" i="31" s="1"/>
  <c r="E528" i="20"/>
  <c r="U480" i="31" s="1"/>
  <c r="F528" i="11"/>
  <c r="P528" i="23"/>
  <c r="R528" i="23" s="1"/>
  <c r="Z480" i="31" s="1"/>
  <c r="O529" i="23"/>
  <c r="Y481" i="31" s="1"/>
  <c r="E564" i="23"/>
  <c r="E564" i="8"/>
  <c r="G564" i="8" s="1"/>
  <c r="E512" i="31" s="1"/>
  <c r="F564" i="23"/>
  <c r="F564" i="8"/>
  <c r="L564" i="23"/>
  <c r="X512" i="31" s="1"/>
  <c r="F566" i="10"/>
  <c r="H566" i="23"/>
  <c r="K566" i="23" s="1"/>
  <c r="N566" i="23" s="1"/>
  <c r="O566" i="23" s="1"/>
  <c r="Y514" i="31" s="1"/>
  <c r="E566" i="20"/>
  <c r="U514" i="31" s="1"/>
  <c r="F566" i="11"/>
  <c r="P566" i="23"/>
  <c r="R566" i="23" s="1"/>
  <c r="Z514" i="31" s="1"/>
  <c r="O567" i="23"/>
  <c r="Y515" i="31" s="1"/>
  <c r="E568" i="23"/>
  <c r="G568" i="23" s="1"/>
  <c r="I568" i="23" s="1"/>
  <c r="E568" i="8"/>
  <c r="G568" i="8" s="1"/>
  <c r="E516" i="31" s="1"/>
  <c r="L568" i="23"/>
  <c r="X516" i="31" s="1"/>
  <c r="F569" i="23"/>
  <c r="F569" i="8"/>
  <c r="F570" i="10"/>
  <c r="H570" i="23"/>
  <c r="K570" i="23" s="1"/>
  <c r="N570" i="23" s="1"/>
  <c r="O570" i="23" s="1"/>
  <c r="Y518" i="31" s="1"/>
  <c r="E570" i="20"/>
  <c r="U518" i="31" s="1"/>
  <c r="F570" i="11"/>
  <c r="P570" i="23"/>
  <c r="R570" i="23" s="1"/>
  <c r="Z518" i="31" s="1"/>
  <c r="F571" i="23"/>
  <c r="F571" i="8"/>
  <c r="E572" i="23"/>
  <c r="G572" i="23" s="1"/>
  <c r="I572" i="23" s="1"/>
  <c r="E572" i="8"/>
  <c r="G572" i="8" s="1"/>
  <c r="E520" i="31" s="1"/>
  <c r="L572" i="23"/>
  <c r="X520" i="31" s="1"/>
  <c r="F573" i="23"/>
  <c r="F573" i="8"/>
  <c r="E366" i="23"/>
  <c r="G366" i="23" s="1"/>
  <c r="I366" i="23" s="1"/>
  <c r="E366" i="8"/>
  <c r="G366" i="8" s="1"/>
  <c r="E332" i="31" s="1"/>
  <c r="L366" i="23"/>
  <c r="X332" i="31" s="1"/>
  <c r="F367" i="23"/>
  <c r="F367" i="8"/>
  <c r="O368" i="23"/>
  <c r="Y334" i="31" s="1"/>
  <c r="F369" i="10"/>
  <c r="H369" i="23"/>
  <c r="K369" i="23" s="1"/>
  <c r="N369" i="23" s="1"/>
  <c r="O369" i="23" s="1"/>
  <c r="Y335" i="31" s="1"/>
  <c r="E369" i="20"/>
  <c r="U335" i="31" s="1"/>
  <c r="F369" i="11"/>
  <c r="P369" i="23"/>
  <c r="R369" i="23" s="1"/>
  <c r="Z335" i="31" s="1"/>
  <c r="O370" i="23"/>
  <c r="Y336" i="31" s="1"/>
  <c r="F371" i="10"/>
  <c r="H371" i="23"/>
  <c r="K371" i="23" s="1"/>
  <c r="N371" i="23" s="1"/>
  <c r="O371" i="23" s="1"/>
  <c r="Y337" i="31" s="1"/>
  <c r="E371" i="20"/>
  <c r="U337" i="31" s="1"/>
  <c r="F371" i="11"/>
  <c r="P371" i="23"/>
  <c r="R371" i="23" s="1"/>
  <c r="Z337" i="31" s="1"/>
  <c r="O372" i="23"/>
  <c r="Y338" i="31" s="1"/>
  <c r="F374" i="10"/>
  <c r="H374" i="23"/>
  <c r="K374" i="23" s="1"/>
  <c r="N374" i="23" s="1"/>
  <c r="O374" i="23" s="1"/>
  <c r="Y340" i="31" s="1"/>
  <c r="E374" i="20"/>
  <c r="U340" i="31" s="1"/>
  <c r="E373" i="23"/>
  <c r="G373" i="23" s="1"/>
  <c r="I373" i="23" s="1"/>
  <c r="E373" i="8"/>
  <c r="G373" i="8" s="1"/>
  <c r="E339" i="31" s="1"/>
  <c r="O373" i="23"/>
  <c r="Y339" i="31" s="1"/>
  <c r="F375" i="10"/>
  <c r="H375" i="23"/>
  <c r="K375" i="23" s="1"/>
  <c r="N375" i="23" s="1"/>
  <c r="O375" i="23" s="1"/>
  <c r="Y341" i="31" s="1"/>
  <c r="E375" i="20"/>
  <c r="U341" i="31" s="1"/>
  <c r="F375" i="11"/>
  <c r="P375" i="23"/>
  <c r="R375" i="23" s="1"/>
  <c r="Z341" i="31" s="1"/>
  <c r="G1629" i="11"/>
  <c r="H1481" i="31" s="1"/>
  <c r="G1625" i="11"/>
  <c r="H1477" i="31" s="1"/>
  <c r="G1621" i="11"/>
  <c r="H1473" i="31" s="1"/>
  <c r="G1617" i="11"/>
  <c r="H1470" i="31" s="1"/>
  <c r="G1613" i="11"/>
  <c r="H1466" i="31" s="1"/>
  <c r="G1609" i="11"/>
  <c r="H1462" i="31" s="1"/>
  <c r="G1605" i="11"/>
  <c r="H1459" i="31" s="1"/>
  <c r="G1601" i="11"/>
  <c r="H1455" i="31" s="1"/>
  <c r="G1597" i="11"/>
  <c r="G1593" i="11"/>
  <c r="H1448" i="31" s="1"/>
  <c r="G1589" i="11"/>
  <c r="H1444" i="31" s="1"/>
  <c r="G1585" i="11"/>
  <c r="H1441" i="31" s="1"/>
  <c r="G1581" i="11"/>
  <c r="H1437" i="31" s="1"/>
  <c r="G1577" i="11"/>
  <c r="H1433" i="31" s="1"/>
  <c r="G1573" i="11"/>
  <c r="H1430" i="31" s="1"/>
  <c r="G1569" i="11"/>
  <c r="H1426" i="31" s="1"/>
  <c r="G1565" i="11"/>
  <c r="H1422" i="31" s="1"/>
  <c r="G1561" i="11"/>
  <c r="H1419" i="31" s="1"/>
  <c r="G1557" i="11"/>
  <c r="H1415" i="31" s="1"/>
  <c r="G1553" i="11"/>
  <c r="G1549" i="11"/>
  <c r="H1408" i="31" s="1"/>
  <c r="G1545" i="11"/>
  <c r="H1404" i="31" s="1"/>
  <c r="G1541" i="11"/>
  <c r="H1401" i="31" s="1"/>
  <c r="G1537" i="11"/>
  <c r="H1397" i="31" s="1"/>
  <c r="G1533" i="11"/>
  <c r="H1393" i="31" s="1"/>
  <c r="G1529" i="11"/>
  <c r="H1390" i="31" s="1"/>
  <c r="G1525" i="11"/>
  <c r="H1386" i="31" s="1"/>
  <c r="G1521" i="11"/>
  <c r="H1382" i="31" s="1"/>
  <c r="G1517" i="11"/>
  <c r="H1379" i="31" s="1"/>
  <c r="G1513" i="11"/>
  <c r="H1375" i="31" s="1"/>
  <c r="G1509" i="11"/>
  <c r="G1505" i="11"/>
  <c r="H1368" i="31" s="1"/>
  <c r="G1501" i="11"/>
  <c r="H1364" i="31" s="1"/>
  <c r="G1497" i="11"/>
  <c r="H1361" i="31" s="1"/>
  <c r="G1493" i="11"/>
  <c r="H1357" i="31" s="1"/>
  <c r="G1489" i="11"/>
  <c r="H1353" i="31" s="1"/>
  <c r="G1485" i="11"/>
  <c r="H1350" i="31" s="1"/>
  <c r="G1481" i="11"/>
  <c r="H1346" i="31" s="1"/>
  <c r="G1477" i="11"/>
  <c r="H1342" i="31" s="1"/>
  <c r="G1473" i="11"/>
  <c r="H1339" i="31" s="1"/>
  <c r="G1469" i="11"/>
  <c r="H1335" i="31" s="1"/>
  <c r="G1465" i="11"/>
  <c r="G1461" i="11"/>
  <c r="H1328" i="31" s="1"/>
  <c r="G1457" i="11"/>
  <c r="H1324" i="31" s="1"/>
  <c r="G1453" i="11"/>
  <c r="H1321" i="31" s="1"/>
  <c r="G1449" i="11"/>
  <c r="H1317" i="31" s="1"/>
  <c r="G1445" i="11"/>
  <c r="H1313" i="31" s="1"/>
  <c r="G1441" i="11"/>
  <c r="H1310" i="31" s="1"/>
  <c r="G1437" i="11"/>
  <c r="H1306" i="31" s="1"/>
  <c r="G1433" i="11"/>
  <c r="H1302" i="31" s="1"/>
  <c r="G1429" i="11"/>
  <c r="H1299" i="31" s="1"/>
  <c r="G1425" i="11"/>
  <c r="H1295" i="31" s="1"/>
  <c r="G1421" i="11"/>
  <c r="G1417" i="11"/>
  <c r="H1288" i="31" s="1"/>
  <c r="G1413" i="11"/>
  <c r="H1284" i="31" s="1"/>
  <c r="G1409" i="11"/>
  <c r="H1281" i="31" s="1"/>
  <c r="G1405" i="11"/>
  <c r="H1277" i="31" s="1"/>
  <c r="G1401" i="11"/>
  <c r="H1273" i="31" s="1"/>
  <c r="G1397" i="11"/>
  <c r="H1270" i="31" s="1"/>
  <c r="G1393" i="11"/>
  <c r="H1266" i="31" s="1"/>
  <c r="G1389" i="11"/>
  <c r="H1262" i="31" s="1"/>
  <c r="G1385" i="11"/>
  <c r="H1259" i="31" s="1"/>
  <c r="G1381" i="11"/>
  <c r="H1255" i="31" s="1"/>
  <c r="G1377" i="11"/>
  <c r="G1373" i="11"/>
  <c r="H1248" i="31" s="1"/>
  <c r="G1369" i="11"/>
  <c r="H1244" i="31" s="1"/>
  <c r="G1365" i="11"/>
  <c r="H1241" i="31" s="1"/>
  <c r="G1361" i="11"/>
  <c r="H1237" i="31" s="1"/>
  <c r="G1357" i="11"/>
  <c r="H1233" i="31" s="1"/>
  <c r="G1353" i="11"/>
  <c r="H1230" i="31" s="1"/>
  <c r="G1349" i="11"/>
  <c r="H1226" i="31" s="1"/>
  <c r="G1345" i="11"/>
  <c r="H1222" i="31" s="1"/>
  <c r="G1341" i="11"/>
  <c r="H1219" i="31" s="1"/>
  <c r="G1337" i="11"/>
  <c r="H1215" i="31" s="1"/>
  <c r="G1333" i="11"/>
  <c r="G1329" i="11"/>
  <c r="H1208" i="31" s="1"/>
  <c r="G1325" i="11"/>
  <c r="H1204" i="31" s="1"/>
  <c r="G1321" i="11"/>
  <c r="H1201" i="31" s="1"/>
  <c r="G1317" i="11"/>
  <c r="H1197" i="31" s="1"/>
  <c r="G1313" i="11"/>
  <c r="H1193" i="31" s="1"/>
  <c r="G1309" i="11"/>
  <c r="H1190" i="31" s="1"/>
  <c r="G1305" i="11"/>
  <c r="H1186" i="31" s="1"/>
  <c r="G1301" i="11"/>
  <c r="H1182" i="31" s="1"/>
  <c r="G1297" i="11"/>
  <c r="H1179" i="31" s="1"/>
  <c r="G1293" i="11"/>
  <c r="H1175" i="31" s="1"/>
  <c r="G1289" i="11"/>
  <c r="G1285" i="11"/>
  <c r="H1168" i="31" s="1"/>
  <c r="G1281" i="11"/>
  <c r="H1164" i="31" s="1"/>
  <c r="G1277" i="11"/>
  <c r="H1161" i="31" s="1"/>
  <c r="G1273" i="11"/>
  <c r="H1157" i="31" s="1"/>
  <c r="G1269" i="11"/>
  <c r="H1153" i="31" s="1"/>
  <c r="G1265" i="11"/>
  <c r="H1150" i="31" s="1"/>
  <c r="G1261" i="11"/>
  <c r="H1146" i="31" s="1"/>
  <c r="G1257" i="11"/>
  <c r="H1142" i="31" s="1"/>
  <c r="G1253" i="11"/>
  <c r="H1139" i="31" s="1"/>
  <c r="G1249" i="11"/>
  <c r="H1135" i="31" s="1"/>
  <c r="G1245" i="11"/>
  <c r="G1241" i="11"/>
  <c r="H1128" i="31" s="1"/>
  <c r="G1237" i="11"/>
  <c r="H1124" i="31" s="1"/>
  <c r="G1233" i="11"/>
  <c r="H1121" i="31" s="1"/>
  <c r="G1229" i="11"/>
  <c r="H1117" i="31" s="1"/>
  <c r="G1225" i="11"/>
  <c r="H1113" i="31" s="1"/>
  <c r="G1221" i="11"/>
  <c r="H1110" i="31" s="1"/>
  <c r="G1217" i="11"/>
  <c r="H1106" i="31" s="1"/>
  <c r="G1213" i="11"/>
  <c r="H1102" i="31" s="1"/>
  <c r="G1209" i="11"/>
  <c r="H1099" i="31" s="1"/>
  <c r="G1205" i="11"/>
  <c r="H1095" i="31" s="1"/>
  <c r="G1201" i="11"/>
  <c r="G1197" i="11"/>
  <c r="H1088" i="31" s="1"/>
  <c r="G1193" i="11"/>
  <c r="H1084" i="31" s="1"/>
  <c r="G1189" i="11"/>
  <c r="H1081" i="31" s="1"/>
  <c r="G1185" i="11"/>
  <c r="H1077" i="31" s="1"/>
  <c r="G1181" i="11"/>
  <c r="H1073" i="31" s="1"/>
  <c r="G1177" i="11"/>
  <c r="H1070" i="31" s="1"/>
  <c r="G1173" i="11"/>
  <c r="H1066" i="31" s="1"/>
  <c r="G1169" i="11"/>
  <c r="H1062" i="31" s="1"/>
  <c r="G1165" i="11"/>
  <c r="H1059" i="31" s="1"/>
  <c r="G1161" i="11"/>
  <c r="H1055" i="31" s="1"/>
  <c r="G1157" i="11"/>
  <c r="G1153" i="11"/>
  <c r="H1048" i="31" s="1"/>
  <c r="G1149" i="11"/>
  <c r="H1044" i="31" s="1"/>
  <c r="G1145" i="11"/>
  <c r="H1041" i="31" s="1"/>
  <c r="G1141" i="11"/>
  <c r="H1037" i="31" s="1"/>
  <c r="G1137" i="11"/>
  <c r="H1033" i="31" s="1"/>
  <c r="G1133" i="11"/>
  <c r="H1030" i="31" s="1"/>
  <c r="G1129" i="11"/>
  <c r="H1026" i="31" s="1"/>
  <c r="G1125" i="11"/>
  <c r="H1022" i="31" s="1"/>
  <c r="G1121" i="11"/>
  <c r="H1019" i="31" s="1"/>
  <c r="G1117" i="11"/>
  <c r="H1015" i="31" s="1"/>
  <c r="G1113" i="11"/>
  <c r="G1109" i="11"/>
  <c r="H1008" i="31" s="1"/>
  <c r="G1105" i="11"/>
  <c r="H1004" i="31" s="1"/>
  <c r="G1101" i="11"/>
  <c r="H1001" i="31" s="1"/>
  <c r="G1097" i="11"/>
  <c r="H997" i="31" s="1"/>
  <c r="G1093" i="11"/>
  <c r="H993" i="31" s="1"/>
  <c r="G1089" i="11"/>
  <c r="H990" i="31" s="1"/>
  <c r="G1085" i="11"/>
  <c r="H986" i="31" s="1"/>
  <c r="G1081" i="11"/>
  <c r="H982" i="31" s="1"/>
  <c r="G1077" i="11"/>
  <c r="H979" i="31" s="1"/>
  <c r="G1073" i="11"/>
  <c r="H975" i="31" s="1"/>
  <c r="G1069" i="11"/>
  <c r="G1065" i="11"/>
  <c r="H968" i="31" s="1"/>
  <c r="G1061" i="11"/>
  <c r="H964" i="31" s="1"/>
  <c r="G1057" i="11"/>
  <c r="H961" i="31" s="1"/>
  <c r="G1053" i="11"/>
  <c r="H957" i="31" s="1"/>
  <c r="G1049" i="11"/>
  <c r="H953" i="31" s="1"/>
  <c r="G1045" i="11"/>
  <c r="H950" i="31" s="1"/>
  <c r="G1041" i="11"/>
  <c r="H946" i="31" s="1"/>
  <c r="G1037" i="11"/>
  <c r="H942" i="31" s="1"/>
  <c r="G1033" i="11"/>
  <c r="H939" i="31" s="1"/>
  <c r="G1029" i="11"/>
  <c r="H935" i="31" s="1"/>
  <c r="G1025" i="11"/>
  <c r="G1021" i="11"/>
  <c r="H928" i="31" s="1"/>
  <c r="G1017" i="11"/>
  <c r="H924" i="31" s="1"/>
  <c r="G1013" i="11"/>
  <c r="H921" i="31" s="1"/>
  <c r="G1009" i="11"/>
  <c r="H917" i="31" s="1"/>
  <c r="G1005" i="11"/>
  <c r="H913" i="31" s="1"/>
  <c r="G1001" i="11"/>
  <c r="H910" i="31" s="1"/>
  <c r="G997" i="11"/>
  <c r="H906" i="31" s="1"/>
  <c r="G993" i="11"/>
  <c r="H902" i="31" s="1"/>
  <c r="G989" i="11"/>
  <c r="H899" i="31" s="1"/>
  <c r="G985" i="11"/>
  <c r="H895" i="31" s="1"/>
  <c r="G981" i="11"/>
  <c r="G977" i="11"/>
  <c r="H888" i="31" s="1"/>
  <c r="G973" i="11"/>
  <c r="H884" i="31" s="1"/>
  <c r="G969" i="11"/>
  <c r="H881" i="31" s="1"/>
  <c r="G965" i="11"/>
  <c r="H877" i="31" s="1"/>
  <c r="G961" i="11"/>
  <c r="H873" i="31" s="1"/>
  <c r="G957" i="11"/>
  <c r="H870" i="31" s="1"/>
  <c r="G953" i="11"/>
  <c r="H866" i="31" s="1"/>
  <c r="G949" i="11"/>
  <c r="H862" i="31" s="1"/>
  <c r="G945" i="11"/>
  <c r="H859" i="31" s="1"/>
  <c r="G941" i="11"/>
  <c r="H855" i="31" s="1"/>
  <c r="G937" i="11"/>
  <c r="G933" i="11"/>
  <c r="H848" i="31" s="1"/>
  <c r="G929" i="11"/>
  <c r="H844" i="31" s="1"/>
  <c r="G925" i="11"/>
  <c r="H841" i="31" s="1"/>
  <c r="G921" i="11"/>
  <c r="H837" i="31" s="1"/>
  <c r="G917" i="11"/>
  <c r="H833" i="31" s="1"/>
  <c r="G913" i="11"/>
  <c r="H830" i="31" s="1"/>
  <c r="G909" i="11"/>
  <c r="H826" i="31" s="1"/>
  <c r="G905" i="11"/>
  <c r="H822" i="31" s="1"/>
  <c r="G901" i="11"/>
  <c r="H819" i="31" s="1"/>
  <c r="G897" i="11"/>
  <c r="H815" i="31" s="1"/>
  <c r="G893" i="11"/>
  <c r="G889" i="11"/>
  <c r="H808" i="31" s="1"/>
  <c r="G885" i="11"/>
  <c r="H804" i="31" s="1"/>
  <c r="G881" i="11"/>
  <c r="H801" i="31" s="1"/>
  <c r="G877" i="11"/>
  <c r="H797" i="31" s="1"/>
  <c r="G873" i="11"/>
  <c r="H793" i="31" s="1"/>
  <c r="G869" i="11"/>
  <c r="H790" i="31" s="1"/>
  <c r="G865" i="11"/>
  <c r="H786" i="31" s="1"/>
  <c r="G861" i="11"/>
  <c r="H782" i="31" s="1"/>
  <c r="G857" i="11"/>
  <c r="H779" i="31" s="1"/>
  <c r="G853" i="11"/>
  <c r="H775" i="31" s="1"/>
  <c r="G849" i="11"/>
  <c r="G845" i="11"/>
  <c r="H768" i="31" s="1"/>
  <c r="G841" i="11"/>
  <c r="H764" i="31" s="1"/>
  <c r="G837" i="11"/>
  <c r="H761" i="31" s="1"/>
  <c r="G833" i="11"/>
  <c r="H757" i="31" s="1"/>
  <c r="G829" i="11"/>
  <c r="H753" i="31" s="1"/>
  <c r="G825" i="11"/>
  <c r="H750" i="31" s="1"/>
  <c r="G821" i="11"/>
  <c r="H746" i="31" s="1"/>
  <c r="G817" i="11"/>
  <c r="H742" i="31" s="1"/>
  <c r="G813" i="11"/>
  <c r="H739" i="31" s="1"/>
  <c r="G809" i="11"/>
  <c r="H735" i="31" s="1"/>
  <c r="G805" i="11"/>
  <c r="G801" i="11"/>
  <c r="H728" i="31" s="1"/>
  <c r="G797" i="11"/>
  <c r="H724" i="31" s="1"/>
  <c r="G793" i="11"/>
  <c r="H721" i="31" s="1"/>
  <c r="G789" i="11"/>
  <c r="H717" i="31" s="1"/>
  <c r="G785" i="11"/>
  <c r="H713" i="31" s="1"/>
  <c r="G781" i="11"/>
  <c r="H710" i="31" s="1"/>
  <c r="G777" i="11"/>
  <c r="H706" i="31" s="1"/>
  <c r="G773" i="11"/>
  <c r="H702" i="31" s="1"/>
  <c r="G769" i="11"/>
  <c r="H699" i="31" s="1"/>
  <c r="G765" i="11"/>
  <c r="H695" i="31" s="1"/>
  <c r="G761" i="11"/>
  <c r="G757" i="11"/>
  <c r="H688" i="31" s="1"/>
  <c r="G753" i="11"/>
  <c r="H684" i="31" s="1"/>
  <c r="G749" i="11"/>
  <c r="H681" i="31" s="1"/>
  <c r="G745" i="11"/>
  <c r="H677" i="31" s="1"/>
  <c r="G741" i="11"/>
  <c r="H673" i="31" s="1"/>
  <c r="G737" i="11"/>
  <c r="H670" i="31" s="1"/>
  <c r="G733" i="11"/>
  <c r="H666" i="31" s="1"/>
  <c r="G729" i="11"/>
  <c r="H662" i="31" s="1"/>
  <c r="G725" i="11"/>
  <c r="H659" i="31" s="1"/>
  <c r="G721" i="11"/>
  <c r="H655" i="31" s="1"/>
  <c r="G717" i="11"/>
  <c r="G713" i="11"/>
  <c r="H648" i="31" s="1"/>
  <c r="G709" i="11"/>
  <c r="H644" i="31" s="1"/>
  <c r="G705" i="11"/>
  <c r="H641" i="31" s="1"/>
  <c r="G701" i="11"/>
  <c r="H637" i="31" s="1"/>
  <c r="G697" i="11"/>
  <c r="H633" i="31" s="1"/>
  <c r="G693" i="11"/>
  <c r="H630" i="31" s="1"/>
  <c r="G689" i="11"/>
  <c r="H626" i="31" s="1"/>
  <c r="G685" i="11"/>
  <c r="H622" i="31" s="1"/>
  <c r="G681" i="11"/>
  <c r="H619" i="31" s="1"/>
  <c r="G677" i="11"/>
  <c r="H615" i="31" s="1"/>
  <c r="G673" i="11"/>
  <c r="G669" i="11"/>
  <c r="H608" i="31" s="1"/>
  <c r="G665" i="11"/>
  <c r="H604" i="31" s="1"/>
  <c r="G661" i="11"/>
  <c r="H601" i="31" s="1"/>
  <c r="G657" i="11"/>
  <c r="H597" i="31" s="1"/>
  <c r="G653" i="11"/>
  <c r="H593" i="31" s="1"/>
  <c r="G649" i="11"/>
  <c r="H590" i="31" s="1"/>
  <c r="G645" i="11"/>
  <c r="H586" i="31" s="1"/>
  <c r="G641" i="11"/>
  <c r="H582" i="31" s="1"/>
  <c r="G632" i="11"/>
  <c r="H574" i="31" s="1"/>
  <c r="G620" i="11"/>
  <c r="H563" i="31" s="1"/>
  <c r="G596" i="11"/>
  <c r="G588" i="11"/>
  <c r="H534" i="31" s="1"/>
  <c r="G584" i="11"/>
  <c r="H531" i="31" s="1"/>
  <c r="G580" i="11"/>
  <c r="H527" i="31" s="1"/>
  <c r="E576" i="11"/>
  <c r="G576" i="11" s="1"/>
  <c r="H523" i="31" s="1"/>
  <c r="G556" i="11"/>
  <c r="H505" i="31" s="1"/>
  <c r="G552" i="11"/>
  <c r="G519" i="11"/>
  <c r="G509" i="11"/>
  <c r="H462" i="31" s="1"/>
  <c r="G490" i="11"/>
  <c r="H445" i="31" s="1"/>
  <c r="G486" i="11"/>
  <c r="G445" i="11"/>
  <c r="H404" i="31" s="1"/>
  <c r="G434" i="11"/>
  <c r="H394" i="31" s="1"/>
  <c r="G420" i="11"/>
  <c r="G400" i="11"/>
  <c r="H363" i="31" s="1"/>
  <c r="G388" i="11"/>
  <c r="H352" i="31" s="1"/>
  <c r="G379" i="11"/>
  <c r="H344" i="31" s="1"/>
  <c r="G365" i="11"/>
  <c r="F646" i="11"/>
  <c r="F52" i="11"/>
  <c r="S110" i="31"/>
  <c r="P110" i="31"/>
  <c r="W129" i="6"/>
  <c r="W132" i="6"/>
  <c r="F133" i="10"/>
  <c r="H133" i="23"/>
  <c r="K133" i="23" s="1"/>
  <c r="N133" i="23" s="1"/>
  <c r="O133" i="23" s="1"/>
  <c r="Y121" i="31" s="1"/>
  <c r="E133" i="20"/>
  <c r="U121" i="31" s="1"/>
  <c r="R133" i="23"/>
  <c r="Z121" i="31" s="1"/>
  <c r="S29" i="31"/>
  <c r="P29" i="31"/>
  <c r="S31" i="31"/>
  <c r="P31" i="31"/>
  <c r="S69" i="31"/>
  <c r="P69" i="31"/>
  <c r="S249" i="31"/>
  <c r="P249" i="31"/>
  <c r="S250" i="31"/>
  <c r="P250" i="31"/>
  <c r="I356" i="6"/>
  <c r="Q356" i="23" s="1"/>
  <c r="R356" i="23" s="1"/>
  <c r="Z323" i="31" s="1"/>
  <c r="F356" i="23"/>
  <c r="F356" i="8"/>
  <c r="S325" i="31"/>
  <c r="P325" i="31"/>
  <c r="S327" i="31"/>
  <c r="P327" i="31"/>
  <c r="P331" i="31"/>
  <c r="S331" i="31"/>
  <c r="S333" i="31"/>
  <c r="P333" i="31"/>
  <c r="S334" i="31"/>
  <c r="P334" i="31"/>
  <c r="S341" i="31"/>
  <c r="P341" i="31"/>
  <c r="E490" i="23"/>
  <c r="G490" i="23" s="1"/>
  <c r="I490" i="23" s="1"/>
  <c r="E490" i="8"/>
  <c r="G490" i="8" s="1"/>
  <c r="E445" i="31" s="1"/>
  <c r="E490" i="10"/>
  <c r="G490" i="10" s="1"/>
  <c r="G445" i="31" s="1"/>
  <c r="Q490" i="23"/>
  <c r="R490" i="23" s="1"/>
  <c r="Z445" i="31" s="1"/>
  <c r="E577" i="23"/>
  <c r="G577" i="23" s="1"/>
  <c r="I577" i="23" s="1"/>
  <c r="E577" i="8"/>
  <c r="F577" i="23"/>
  <c r="F577" i="8"/>
  <c r="L577" i="23"/>
  <c r="X524" i="31" s="1"/>
  <c r="E578" i="10"/>
  <c r="G578" i="10" s="1"/>
  <c r="G525" i="31" s="1"/>
  <c r="Q578" i="23"/>
  <c r="R578" i="23" s="1"/>
  <c r="Z525" i="31" s="1"/>
  <c r="O578" i="23"/>
  <c r="Y525" i="31" s="1"/>
  <c r="F579" i="10"/>
  <c r="H579" i="23"/>
  <c r="K579" i="23" s="1"/>
  <c r="N579" i="23" s="1"/>
  <c r="O579" i="23" s="1"/>
  <c r="Y526" i="31" s="1"/>
  <c r="E579" i="20"/>
  <c r="U526" i="31" s="1"/>
  <c r="R579" i="23"/>
  <c r="Z526" i="31" s="1"/>
  <c r="E580" i="10"/>
  <c r="G580" i="10" s="1"/>
  <c r="G527" i="31" s="1"/>
  <c r="Q580" i="23"/>
  <c r="R580" i="23" s="1"/>
  <c r="Z527" i="31" s="1"/>
  <c r="O580" i="23"/>
  <c r="Y527" i="31" s="1"/>
  <c r="F581" i="10"/>
  <c r="H581" i="23"/>
  <c r="K581" i="23" s="1"/>
  <c r="N581" i="23" s="1"/>
  <c r="O581" i="23" s="1"/>
  <c r="Y528" i="31" s="1"/>
  <c r="E581" i="20"/>
  <c r="U528" i="31" s="1"/>
  <c r="R581" i="23"/>
  <c r="Z528" i="31" s="1"/>
  <c r="E582" i="10"/>
  <c r="G582" i="10" s="1"/>
  <c r="G529" i="31" s="1"/>
  <c r="Q582" i="23"/>
  <c r="R582" i="23" s="1"/>
  <c r="Z529" i="31" s="1"/>
  <c r="O582" i="23"/>
  <c r="Y529" i="31" s="1"/>
  <c r="F584" i="10"/>
  <c r="H584" i="23"/>
  <c r="K584" i="23" s="1"/>
  <c r="N584" i="23" s="1"/>
  <c r="O584" i="23" s="1"/>
  <c r="Y531" i="31" s="1"/>
  <c r="E584" i="20"/>
  <c r="U531" i="31" s="1"/>
  <c r="R584" i="23"/>
  <c r="Z531" i="31" s="1"/>
  <c r="E583" i="10"/>
  <c r="G583" i="10" s="1"/>
  <c r="G530" i="31" s="1"/>
  <c r="Q583" i="23"/>
  <c r="R583" i="23" s="1"/>
  <c r="Z530" i="31" s="1"/>
  <c r="O583" i="23"/>
  <c r="Y530" i="31" s="1"/>
  <c r="R552" i="6"/>
  <c r="E552" i="17"/>
  <c r="R556" i="6"/>
  <c r="E556" i="17"/>
  <c r="M505" i="31" s="1"/>
  <c r="P476" i="31"/>
  <c r="S476" i="31"/>
  <c r="P479" i="31"/>
  <c r="S479" i="31"/>
  <c r="S481" i="31"/>
  <c r="P481" i="31"/>
  <c r="E49" i="10"/>
  <c r="G49" i="10" s="1"/>
  <c r="G44" i="31" s="1"/>
  <c r="Q49" i="23"/>
  <c r="R49" i="23" s="1"/>
  <c r="Z44" i="31" s="1"/>
  <c r="F48" i="10"/>
  <c r="H48" i="23"/>
  <c r="K48" i="23" s="1"/>
  <c r="N48" i="23" s="1"/>
  <c r="O48" i="23" s="1"/>
  <c r="Y43" i="31" s="1"/>
  <c r="E48" i="20"/>
  <c r="U43" i="31" s="1"/>
  <c r="E48" i="10"/>
  <c r="G48" i="10" s="1"/>
  <c r="G43" i="31" s="1"/>
  <c r="Q48" i="23"/>
  <c r="R48" i="23"/>
  <c r="Z43" i="31" s="1"/>
  <c r="O49" i="23"/>
  <c r="Y44" i="31" s="1"/>
  <c r="S44" i="31"/>
  <c r="P44" i="31"/>
  <c r="E50" i="10"/>
  <c r="G50" i="10" s="1"/>
  <c r="G45" i="31" s="1"/>
  <c r="Q50" i="23"/>
  <c r="R50" i="23" s="1"/>
  <c r="Z45" i="31" s="1"/>
  <c r="O50" i="23"/>
  <c r="Y45" i="31" s="1"/>
  <c r="F51" i="10"/>
  <c r="H51" i="23"/>
  <c r="K51" i="23" s="1"/>
  <c r="N51" i="23" s="1"/>
  <c r="O51" i="23" s="1"/>
  <c r="Y46" i="31" s="1"/>
  <c r="E51" i="20"/>
  <c r="U46" i="31" s="1"/>
  <c r="E51" i="10"/>
  <c r="G51" i="10" s="1"/>
  <c r="G46" i="31" s="1"/>
  <c r="Q51" i="23"/>
  <c r="R51" i="23"/>
  <c r="Z46" i="31" s="1"/>
  <c r="S46" i="31"/>
  <c r="P46" i="31"/>
  <c r="E53" i="10"/>
  <c r="G53" i="10" s="1"/>
  <c r="G48" i="31" s="1"/>
  <c r="Q53" i="23"/>
  <c r="R53" i="23" s="1"/>
  <c r="Z48" i="31" s="1"/>
  <c r="O53" i="23"/>
  <c r="Y48" i="31" s="1"/>
  <c r="E54" i="10"/>
  <c r="G54" i="10" s="1"/>
  <c r="G49" i="31" s="1"/>
  <c r="Q54" i="23"/>
  <c r="R54" i="23" s="1"/>
  <c r="Z49" i="31" s="1"/>
  <c r="O54" i="23"/>
  <c r="Y49" i="31" s="1"/>
  <c r="E55" i="10"/>
  <c r="G55" i="10" s="1"/>
  <c r="G50" i="31" s="1"/>
  <c r="Q55" i="23"/>
  <c r="R55" i="23" s="1"/>
  <c r="Z50" i="31" s="1"/>
  <c r="O55" i="23"/>
  <c r="Y50" i="31" s="1"/>
  <c r="F645" i="10"/>
  <c r="H645" i="23"/>
  <c r="K645" i="23" s="1"/>
  <c r="N645" i="23" s="1"/>
  <c r="O645" i="23" s="1"/>
  <c r="Y586" i="31" s="1"/>
  <c r="E645" i="20"/>
  <c r="U586" i="31" s="1"/>
  <c r="E645" i="10"/>
  <c r="G645" i="10" s="1"/>
  <c r="G586" i="31" s="1"/>
  <c r="Q645" i="23"/>
  <c r="R645" i="23"/>
  <c r="Z586" i="31" s="1"/>
  <c r="F647" i="23"/>
  <c r="F647" i="8"/>
  <c r="E690" i="23"/>
  <c r="G690" i="23" s="1"/>
  <c r="I690" i="23" s="1"/>
  <c r="E690" i="8"/>
  <c r="G690" i="8" s="1"/>
  <c r="E627" i="31" s="1"/>
  <c r="S870" i="23"/>
  <c r="AA791" i="31" s="1"/>
  <c r="W791" i="31"/>
  <c r="W797" i="31"/>
  <c r="S877" i="23"/>
  <c r="AA797" i="31" s="1"/>
  <c r="W842" i="31"/>
  <c r="S927" i="23"/>
  <c r="AA842" i="31" s="1"/>
  <c r="W832" i="31"/>
  <c r="S916" i="23"/>
  <c r="AA832" i="31" s="1"/>
  <c r="W790" i="31"/>
  <c r="S869" i="23"/>
  <c r="AA790" i="31" s="1"/>
  <c r="W810" i="31"/>
  <c r="S891" i="23"/>
  <c r="AA810" i="31" s="1"/>
  <c r="S790" i="23"/>
  <c r="AA718" i="31" s="1"/>
  <c r="W712" i="31"/>
  <c r="S784" i="23"/>
  <c r="AA712" i="31" s="1"/>
  <c r="W704" i="31"/>
  <c r="S775" i="23"/>
  <c r="AA704" i="31" s="1"/>
  <c r="G773" i="10"/>
  <c r="G702" i="31" s="1"/>
  <c r="I737" i="23"/>
  <c r="W652" i="31"/>
  <c r="S718" i="23"/>
  <c r="AA652" i="31" s="1"/>
  <c r="L688" i="23"/>
  <c r="X625" i="31" s="1"/>
  <c r="I679" i="23"/>
  <c r="G678" i="10"/>
  <c r="G616" i="31" s="1"/>
  <c r="S650" i="23"/>
  <c r="AA591" i="31" s="1"/>
  <c r="W591" i="31"/>
  <c r="W785" i="31"/>
  <c r="S864" i="23"/>
  <c r="AA785" i="31" s="1"/>
  <c r="W834" i="31"/>
  <c r="S918" i="23"/>
  <c r="AA834" i="31" s="1"/>
  <c r="W840" i="31"/>
  <c r="S924" i="23"/>
  <c r="AA840" i="31" s="1"/>
  <c r="W992" i="31"/>
  <c r="S1092" i="23"/>
  <c r="AA992" i="31" s="1"/>
  <c r="W715" i="31"/>
  <c r="S787" i="23"/>
  <c r="AA715" i="31" s="1"/>
  <c r="G730" i="23"/>
  <c r="I730" i="23" s="1"/>
  <c r="I738" i="23"/>
  <c r="I726" i="23"/>
  <c r="L724" i="23"/>
  <c r="X658" i="31" s="1"/>
  <c r="G723" i="8"/>
  <c r="E657" i="31" s="1"/>
  <c r="I722" i="23"/>
  <c r="L720" i="23"/>
  <c r="X654" i="31" s="1"/>
  <c r="L672" i="23"/>
  <c r="X611" i="31" s="1"/>
  <c r="I668" i="23"/>
  <c r="W977" i="31"/>
  <c r="S1075" i="23"/>
  <c r="AA977" i="31" s="1"/>
  <c r="S861" i="23"/>
  <c r="AA782" i="31" s="1"/>
  <c r="W782" i="31"/>
  <c r="W975" i="31"/>
  <c r="S1073" i="23"/>
  <c r="AA975" i="31" s="1"/>
  <c r="S878" i="23"/>
  <c r="AA798" i="31" s="1"/>
  <c r="W798" i="31"/>
  <c r="W996" i="31"/>
  <c r="S1096" i="23"/>
  <c r="AA996" i="31" s="1"/>
  <c r="G782" i="8"/>
  <c r="E711" i="31" s="1"/>
  <c r="L780" i="23"/>
  <c r="X709" i="31" s="1"/>
  <c r="G776" i="23"/>
  <c r="I776" i="23" s="1"/>
  <c r="G774" i="8"/>
  <c r="E703" i="31" s="1"/>
  <c r="G760" i="10"/>
  <c r="G691" i="31" s="1"/>
  <c r="L756" i="23"/>
  <c r="X687" i="31" s="1"/>
  <c r="G735" i="8"/>
  <c r="E668" i="31" s="1"/>
  <c r="L732" i="23"/>
  <c r="X665" i="31" s="1"/>
  <c r="G714" i="8"/>
  <c r="E649" i="31" s="1"/>
  <c r="G663" i="8"/>
  <c r="E602" i="31" s="1"/>
  <c r="G682" i="23"/>
  <c r="I682" i="23" s="1"/>
  <c r="L681" i="23"/>
  <c r="X619" i="31" s="1"/>
  <c r="G683" i="8"/>
  <c r="E621" i="31" s="1"/>
  <c r="W789" i="31"/>
  <c r="S868" i="23"/>
  <c r="AA789" i="31" s="1"/>
  <c r="W807" i="31"/>
  <c r="S888" i="23"/>
  <c r="AA807" i="31" s="1"/>
  <c r="W836" i="31"/>
  <c r="S920" i="23"/>
  <c r="AA836" i="31" s="1"/>
  <c r="S1090" i="23"/>
  <c r="AA991" i="31" s="1"/>
  <c r="W991" i="31"/>
  <c r="S793" i="23"/>
  <c r="AA721" i="31" s="1"/>
  <c r="G782" i="10"/>
  <c r="G711" i="31" s="1"/>
  <c r="G780" i="10"/>
  <c r="G709" i="31" s="1"/>
  <c r="G778" i="10"/>
  <c r="G707" i="31" s="1"/>
  <c r="G776" i="10"/>
  <c r="G705" i="31" s="1"/>
  <c r="G774" i="10"/>
  <c r="G703" i="31" s="1"/>
  <c r="G773" i="8"/>
  <c r="E702" i="31" s="1"/>
  <c r="G757" i="23"/>
  <c r="I757" i="23" s="1"/>
  <c r="L754" i="23"/>
  <c r="X685" i="31" s="1"/>
  <c r="G753" i="23"/>
  <c r="I753" i="23" s="1"/>
  <c r="G732" i="23"/>
  <c r="I732" i="23" s="1"/>
  <c r="G714" i="10"/>
  <c r="G649" i="31" s="1"/>
  <c r="G694" i="23"/>
  <c r="I694" i="23" s="1"/>
  <c r="G693" i="8"/>
  <c r="E630" i="31" s="1"/>
  <c r="G685" i="23"/>
  <c r="I685" i="23" s="1"/>
  <c r="G671" i="8"/>
  <c r="E610" i="31" s="1"/>
  <c r="L669" i="23"/>
  <c r="X608" i="31" s="1"/>
  <c r="E356" i="10"/>
  <c r="G356" i="10" s="1"/>
  <c r="G323" i="31" s="1"/>
  <c r="E356" i="11"/>
  <c r="G356" i="11" s="1"/>
  <c r="H323" i="31" s="1"/>
  <c r="E533" i="11"/>
  <c r="G533" i="11" s="1"/>
  <c r="H484" i="31" s="1"/>
  <c r="E533" i="10"/>
  <c r="G533" i="10" s="1"/>
  <c r="G484" i="31" s="1"/>
  <c r="F534" i="9"/>
  <c r="G534" i="9" s="1"/>
  <c r="F485" i="31" s="1"/>
  <c r="F536" i="9"/>
  <c r="G536" i="9" s="1"/>
  <c r="F487" i="31" s="1"/>
  <c r="F540" i="9"/>
  <c r="G540" i="9" s="1"/>
  <c r="F491" i="31" s="1"/>
  <c r="F542" i="9"/>
  <c r="G542" i="9" s="1"/>
  <c r="F492" i="31" s="1"/>
  <c r="F532" i="9"/>
  <c r="G532" i="9" s="1"/>
  <c r="F483" i="31" s="1"/>
  <c r="E532" i="11"/>
  <c r="G532" i="11" s="1"/>
  <c r="H483" i="31" s="1"/>
  <c r="E532" i="10"/>
  <c r="G532" i="10" s="1"/>
  <c r="G483" i="31" s="1"/>
  <c r="F535" i="9"/>
  <c r="G535" i="9" s="1"/>
  <c r="F486" i="31" s="1"/>
  <c r="E535" i="11"/>
  <c r="G535" i="11" s="1"/>
  <c r="H486" i="31" s="1"/>
  <c r="E535" i="10"/>
  <c r="G535" i="10" s="1"/>
  <c r="G486" i="31" s="1"/>
  <c r="E536" i="11"/>
  <c r="G536" i="11" s="1"/>
  <c r="H487" i="31" s="1"/>
  <c r="E536" i="10"/>
  <c r="G536" i="10" s="1"/>
  <c r="G487" i="31" s="1"/>
  <c r="E537" i="11"/>
  <c r="G537" i="11" s="1"/>
  <c r="H488" i="31" s="1"/>
  <c r="E537" i="10"/>
  <c r="G537" i="10" s="1"/>
  <c r="G488" i="31" s="1"/>
  <c r="E538" i="11"/>
  <c r="G538" i="11" s="1"/>
  <c r="H489" i="31" s="1"/>
  <c r="E538" i="10"/>
  <c r="G538" i="10" s="1"/>
  <c r="G489" i="31" s="1"/>
  <c r="E539" i="11"/>
  <c r="G539" i="11" s="1"/>
  <c r="H490" i="31" s="1"/>
  <c r="E539" i="10"/>
  <c r="G539" i="10" s="1"/>
  <c r="G490" i="31" s="1"/>
  <c r="E540" i="11"/>
  <c r="G540" i="11" s="1"/>
  <c r="H491" i="31" s="1"/>
  <c r="E540" i="10"/>
  <c r="G540" i="10" s="1"/>
  <c r="G491" i="31" s="1"/>
  <c r="E542" i="11"/>
  <c r="G542" i="11" s="1"/>
  <c r="H492" i="31" s="1"/>
  <c r="E542" i="10"/>
  <c r="G542" i="10" s="1"/>
  <c r="G492" i="31" s="1"/>
  <c r="F543" i="9"/>
  <c r="G543" i="9" s="1"/>
  <c r="F493" i="31" s="1"/>
  <c r="F544" i="9"/>
  <c r="G544" i="9" s="1"/>
  <c r="F494" i="31" s="1"/>
  <c r="F545" i="9"/>
  <c r="G545" i="9" s="1"/>
  <c r="F495" i="31" s="1"/>
  <c r="F546" i="9"/>
  <c r="G546" i="9" s="1"/>
  <c r="F496" i="31" s="1"/>
  <c r="F547" i="9"/>
  <c r="G547" i="9" s="1"/>
  <c r="F497" i="31" s="1"/>
  <c r="F548" i="9"/>
  <c r="G548" i="9" s="1"/>
  <c r="F498" i="31" s="1"/>
  <c r="F549" i="9"/>
  <c r="G549" i="9" s="1"/>
  <c r="F499" i="31" s="1"/>
  <c r="F550" i="9"/>
  <c r="G550" i="9" s="1"/>
  <c r="F500" i="31" s="1"/>
  <c r="F551" i="9"/>
  <c r="G551" i="9" s="1"/>
  <c r="F501" i="31" s="1"/>
  <c r="F558" i="9"/>
  <c r="G558" i="9" s="1"/>
  <c r="F507" i="31" s="1"/>
  <c r="E558" i="11"/>
  <c r="G558" i="11" s="1"/>
  <c r="H507" i="31" s="1"/>
  <c r="E558" i="10"/>
  <c r="G558" i="10" s="1"/>
  <c r="G507" i="31" s="1"/>
  <c r="F559" i="9"/>
  <c r="G559" i="9" s="1"/>
  <c r="F508" i="31" s="1"/>
  <c r="F560" i="9"/>
  <c r="G560" i="9" s="1"/>
  <c r="F509" i="31" s="1"/>
  <c r="F561" i="9"/>
  <c r="G561" i="9" s="1"/>
  <c r="F510" i="31" s="1"/>
  <c r="E561" i="11"/>
  <c r="G561" i="11" s="1"/>
  <c r="H510" i="31" s="1"/>
  <c r="E561" i="10"/>
  <c r="G561" i="10" s="1"/>
  <c r="G510" i="31" s="1"/>
  <c r="F562" i="9"/>
  <c r="G562" i="9" s="1"/>
  <c r="F511" i="31" s="1"/>
  <c r="F636" i="9"/>
  <c r="G636" i="9" s="1"/>
  <c r="F578" i="31" s="1"/>
  <c r="E636" i="11"/>
  <c r="G636" i="11" s="1"/>
  <c r="H578" i="31" s="1"/>
  <c r="E636" i="10"/>
  <c r="G636" i="10" s="1"/>
  <c r="G578" i="31" s="1"/>
  <c r="F637" i="9"/>
  <c r="G637" i="9" s="1"/>
  <c r="F579" i="31" s="1"/>
  <c r="F638" i="9"/>
  <c r="G638" i="9" s="1"/>
  <c r="F580" i="31" s="1"/>
  <c r="F639" i="9"/>
  <c r="G639" i="9" s="1"/>
  <c r="F581" i="31" s="1"/>
  <c r="F598" i="9"/>
  <c r="G598" i="9" s="1"/>
  <c r="F543" i="31" s="1"/>
  <c r="E598" i="11"/>
  <c r="G598" i="11" s="1"/>
  <c r="H543" i="31" s="1"/>
  <c r="E598" i="10"/>
  <c r="G598" i="10" s="1"/>
  <c r="G543" i="31" s="1"/>
  <c r="F599" i="9"/>
  <c r="G599" i="9" s="1"/>
  <c r="F544" i="31" s="1"/>
  <c r="F600" i="9"/>
  <c r="G600" i="9" s="1"/>
  <c r="F545" i="31" s="1"/>
  <c r="F601" i="9"/>
  <c r="G601" i="9" s="1"/>
  <c r="F546" i="31" s="1"/>
  <c r="F602" i="9"/>
  <c r="G602" i="9" s="1"/>
  <c r="F547" i="31" s="1"/>
  <c r="F603" i="9"/>
  <c r="G603" i="9" s="1"/>
  <c r="F548" i="31" s="1"/>
  <c r="F604" i="9"/>
  <c r="G604" i="9" s="1"/>
  <c r="F549" i="31" s="1"/>
  <c r="F605" i="9"/>
  <c r="G605" i="9" s="1"/>
  <c r="F550" i="31" s="1"/>
  <c r="F606" i="9"/>
  <c r="G606" i="9" s="1"/>
  <c r="F551" i="31" s="1"/>
  <c r="F622" i="9"/>
  <c r="G622" i="9" s="1"/>
  <c r="F565" i="31" s="1"/>
  <c r="E622" i="11"/>
  <c r="G622" i="11" s="1"/>
  <c r="H565" i="31" s="1"/>
  <c r="E622" i="10"/>
  <c r="G622" i="10" s="1"/>
  <c r="G565" i="31" s="1"/>
  <c r="F623" i="9"/>
  <c r="G623" i="9" s="1"/>
  <c r="F566" i="31" s="1"/>
  <c r="F624" i="9"/>
  <c r="G624" i="9" s="1"/>
  <c r="F567" i="31" s="1"/>
  <c r="F625" i="9"/>
  <c r="G625" i="9" s="1"/>
  <c r="F568" i="31" s="1"/>
  <c r="F626" i="9"/>
  <c r="G626" i="9" s="1"/>
  <c r="F569" i="31" s="1"/>
  <c r="F627" i="9"/>
  <c r="G627" i="9" s="1"/>
  <c r="F570" i="31" s="1"/>
  <c r="F628" i="9"/>
  <c r="G628" i="9" s="1"/>
  <c r="F571" i="31" s="1"/>
  <c r="F608" i="9"/>
  <c r="G608" i="9" s="1"/>
  <c r="F552" i="31" s="1"/>
  <c r="E609" i="11"/>
  <c r="G609" i="11" s="1"/>
  <c r="H553" i="31" s="1"/>
  <c r="E609" i="10"/>
  <c r="G609" i="10" s="1"/>
  <c r="G553" i="31" s="1"/>
  <c r="E610" i="11"/>
  <c r="G610" i="11" s="1"/>
  <c r="H554" i="31" s="1"/>
  <c r="E610" i="10"/>
  <c r="G610" i="10" s="1"/>
  <c r="G554" i="31" s="1"/>
  <c r="E611" i="11"/>
  <c r="G611" i="11" s="1"/>
  <c r="H555" i="31" s="1"/>
  <c r="E611" i="10"/>
  <c r="G611" i="10" s="1"/>
  <c r="G555" i="31" s="1"/>
  <c r="E612" i="11"/>
  <c r="G612" i="11" s="1"/>
  <c r="H556" i="31" s="1"/>
  <c r="E612" i="10"/>
  <c r="G612" i="10" s="1"/>
  <c r="G556" i="31" s="1"/>
  <c r="E613" i="11"/>
  <c r="G613" i="11" s="1"/>
  <c r="H557" i="31" s="1"/>
  <c r="E613" i="10"/>
  <c r="G613" i="10" s="1"/>
  <c r="G557" i="31" s="1"/>
  <c r="F614" i="9"/>
  <c r="G614" i="9" s="1"/>
  <c r="F558" i="31" s="1"/>
  <c r="E615" i="11"/>
  <c r="G615" i="11" s="1"/>
  <c r="H559" i="31" s="1"/>
  <c r="E615" i="10"/>
  <c r="G615" i="10" s="1"/>
  <c r="G559" i="31" s="1"/>
  <c r="E616" i="11"/>
  <c r="G616" i="11" s="1"/>
  <c r="H560" i="31" s="1"/>
  <c r="E616" i="10"/>
  <c r="G616" i="10" s="1"/>
  <c r="G560" i="31" s="1"/>
  <c r="E617" i="11"/>
  <c r="G617" i="11" s="1"/>
  <c r="H561" i="31" s="1"/>
  <c r="E617" i="10"/>
  <c r="G617" i="10" s="1"/>
  <c r="G561" i="31" s="1"/>
  <c r="F592" i="9"/>
  <c r="G592" i="9" s="1"/>
  <c r="F538" i="31" s="1"/>
  <c r="E593" i="11"/>
  <c r="G593" i="11" s="1"/>
  <c r="H539" i="31" s="1"/>
  <c r="E593" i="10"/>
  <c r="G593" i="10" s="1"/>
  <c r="G539" i="31" s="1"/>
  <c r="F594" i="9"/>
  <c r="G594" i="9" s="1"/>
  <c r="F540" i="31" s="1"/>
  <c r="F595" i="9"/>
  <c r="G595" i="9" s="1"/>
  <c r="F541" i="31" s="1"/>
  <c r="F169" i="9"/>
  <c r="G169" i="9" s="1"/>
  <c r="F153" i="31" s="1"/>
  <c r="E168" i="11"/>
  <c r="G168" i="11" s="1"/>
  <c r="H152" i="31" s="1"/>
  <c r="E168" i="10"/>
  <c r="G168" i="10" s="1"/>
  <c r="G152" i="31" s="1"/>
  <c r="F170" i="9"/>
  <c r="G170" i="9" s="1"/>
  <c r="F154" i="31" s="1"/>
  <c r="F171" i="9"/>
  <c r="G171" i="9" s="1"/>
  <c r="F155" i="31" s="1"/>
  <c r="F172" i="9"/>
  <c r="G172" i="9" s="1"/>
  <c r="F156" i="31" s="1"/>
  <c r="F173" i="9"/>
  <c r="G173" i="9" s="1"/>
  <c r="F157" i="31" s="1"/>
  <c r="F174" i="9"/>
  <c r="G174" i="9" s="1"/>
  <c r="F158" i="31" s="1"/>
  <c r="F175" i="9"/>
  <c r="G175" i="9" s="1"/>
  <c r="F159" i="31" s="1"/>
  <c r="F176" i="9"/>
  <c r="G176" i="9" s="1"/>
  <c r="F160" i="31" s="1"/>
  <c r="F177" i="9"/>
  <c r="G177" i="9" s="1"/>
  <c r="F161" i="31" s="1"/>
  <c r="F325" i="9"/>
  <c r="G325" i="9" s="1"/>
  <c r="F295" i="31" s="1"/>
  <c r="E325" i="11"/>
  <c r="G325" i="11" s="1"/>
  <c r="H295" i="31" s="1"/>
  <c r="E325" i="10"/>
  <c r="G325" i="10" s="1"/>
  <c r="G295" i="31" s="1"/>
  <c r="F326" i="9"/>
  <c r="G326" i="9" s="1"/>
  <c r="F296" i="31" s="1"/>
  <c r="F327" i="9"/>
  <c r="G327" i="9" s="1"/>
  <c r="F297" i="31" s="1"/>
  <c r="F328" i="9"/>
  <c r="G328" i="9" s="1"/>
  <c r="F298" i="31" s="1"/>
  <c r="F329" i="9"/>
  <c r="G329" i="9" s="1"/>
  <c r="F299" i="31" s="1"/>
  <c r="F330" i="9"/>
  <c r="G330" i="9" s="1"/>
  <c r="F300" i="31" s="1"/>
  <c r="F331" i="9"/>
  <c r="G331" i="9" s="1"/>
  <c r="F301" i="31" s="1"/>
  <c r="F390" i="6"/>
  <c r="E390" i="9"/>
  <c r="F390" i="9"/>
  <c r="F391" i="9"/>
  <c r="G391" i="9" s="1"/>
  <c r="F355" i="31" s="1"/>
  <c r="E392" i="11"/>
  <c r="G392" i="11" s="1"/>
  <c r="H356" i="31" s="1"/>
  <c r="E392" i="10"/>
  <c r="G392" i="10" s="1"/>
  <c r="G356" i="31" s="1"/>
  <c r="E393" i="11"/>
  <c r="G393" i="11" s="1"/>
  <c r="H357" i="31" s="1"/>
  <c r="E393" i="10"/>
  <c r="G393" i="10" s="1"/>
  <c r="G357" i="31" s="1"/>
  <c r="E394" i="11"/>
  <c r="G394" i="11" s="1"/>
  <c r="H358" i="31" s="1"/>
  <c r="E394" i="10"/>
  <c r="G394" i="10" s="1"/>
  <c r="G358" i="31" s="1"/>
  <c r="E395" i="11"/>
  <c r="G395" i="11" s="1"/>
  <c r="H359" i="31" s="1"/>
  <c r="E395" i="10"/>
  <c r="G395" i="10" s="1"/>
  <c r="G359" i="31" s="1"/>
  <c r="E396" i="11"/>
  <c r="G396" i="11" s="1"/>
  <c r="H360" i="31" s="1"/>
  <c r="E396" i="10"/>
  <c r="G396" i="10" s="1"/>
  <c r="G360" i="31" s="1"/>
  <c r="E421" i="11"/>
  <c r="G421" i="11" s="1"/>
  <c r="H382" i="31" s="1"/>
  <c r="E421" i="10"/>
  <c r="G421" i="10" s="1"/>
  <c r="G382" i="31" s="1"/>
  <c r="F422" i="9"/>
  <c r="G422" i="9" s="1"/>
  <c r="F383" i="31" s="1"/>
  <c r="F423" i="9"/>
  <c r="G423" i="9" s="1"/>
  <c r="F384" i="31" s="1"/>
  <c r="F424" i="9"/>
  <c r="G424" i="9" s="1"/>
  <c r="F385" i="31" s="1"/>
  <c r="F425" i="9"/>
  <c r="G425" i="9" s="1"/>
  <c r="F386" i="31" s="1"/>
  <c r="E426" i="11"/>
  <c r="G426" i="11" s="1"/>
  <c r="H387" i="31" s="1"/>
  <c r="E426" i="10"/>
  <c r="G426" i="10" s="1"/>
  <c r="G387" i="31" s="1"/>
  <c r="F427" i="9"/>
  <c r="G427" i="9" s="1"/>
  <c r="F388" i="31" s="1"/>
  <c r="F428" i="9"/>
  <c r="G428" i="9" s="1"/>
  <c r="F389" i="31" s="1"/>
  <c r="F429" i="9"/>
  <c r="G429" i="9" s="1"/>
  <c r="F390" i="31" s="1"/>
  <c r="F430" i="9"/>
  <c r="G430" i="9" s="1"/>
  <c r="F391" i="31" s="1"/>
  <c r="F476" i="9"/>
  <c r="G476" i="9" s="1"/>
  <c r="F432" i="31" s="1"/>
  <c r="E477" i="11"/>
  <c r="G477" i="11" s="1"/>
  <c r="H433" i="31" s="1"/>
  <c r="E477" i="10"/>
  <c r="G477" i="10" s="1"/>
  <c r="G433" i="31" s="1"/>
  <c r="E478" i="11"/>
  <c r="G478" i="11" s="1"/>
  <c r="H434" i="31" s="1"/>
  <c r="E478" i="10"/>
  <c r="G478" i="10" s="1"/>
  <c r="G434" i="31" s="1"/>
  <c r="E479" i="11"/>
  <c r="G479" i="11" s="1"/>
  <c r="H435" i="31" s="1"/>
  <c r="E479" i="10"/>
  <c r="G479" i="10" s="1"/>
  <c r="G435" i="31" s="1"/>
  <c r="E480" i="11"/>
  <c r="G480" i="11" s="1"/>
  <c r="H436" i="31" s="1"/>
  <c r="E480" i="10"/>
  <c r="G480" i="10" s="1"/>
  <c r="G436" i="31" s="1"/>
  <c r="E481" i="11"/>
  <c r="G481" i="11" s="1"/>
  <c r="H437" i="31" s="1"/>
  <c r="E481" i="10"/>
  <c r="G481" i="10" s="1"/>
  <c r="G437" i="31" s="1"/>
  <c r="E482" i="11"/>
  <c r="G482" i="11" s="1"/>
  <c r="H438" i="31" s="1"/>
  <c r="E482" i="10"/>
  <c r="G482" i="10" s="1"/>
  <c r="G438" i="31" s="1"/>
  <c r="E483" i="11"/>
  <c r="G483" i="11" s="1"/>
  <c r="H439" i="31" s="1"/>
  <c r="E483" i="10"/>
  <c r="G483" i="10" s="1"/>
  <c r="G439" i="31" s="1"/>
  <c r="E484" i="11"/>
  <c r="G484" i="11" s="1"/>
  <c r="H440" i="31" s="1"/>
  <c r="E484" i="10"/>
  <c r="G484" i="10" s="1"/>
  <c r="G440" i="31" s="1"/>
  <c r="E485" i="11"/>
  <c r="G485" i="11" s="1"/>
  <c r="H441" i="31" s="1"/>
  <c r="E485" i="10"/>
  <c r="G485" i="10" s="1"/>
  <c r="G441" i="31" s="1"/>
  <c r="E520" i="11"/>
  <c r="G520" i="11" s="1"/>
  <c r="H472" i="31" s="1"/>
  <c r="E520" i="10"/>
  <c r="G520" i="10" s="1"/>
  <c r="G472" i="31" s="1"/>
  <c r="F521" i="9"/>
  <c r="G521" i="9" s="1"/>
  <c r="F473" i="31" s="1"/>
  <c r="F522" i="9"/>
  <c r="G522" i="9" s="1"/>
  <c r="F474" i="31" s="1"/>
  <c r="F523" i="9"/>
  <c r="G523" i="9" s="1"/>
  <c r="F475" i="31" s="1"/>
  <c r="F524" i="9"/>
  <c r="G524" i="9" s="1"/>
  <c r="F476" i="31" s="1"/>
  <c r="F525" i="9"/>
  <c r="G525" i="9" s="1"/>
  <c r="F477" i="31" s="1"/>
  <c r="F526" i="9"/>
  <c r="G526" i="9" s="1"/>
  <c r="F478" i="31" s="1"/>
  <c r="F527" i="9"/>
  <c r="G527" i="9" s="1"/>
  <c r="F479" i="31" s="1"/>
  <c r="F528" i="9"/>
  <c r="G528" i="9" s="1"/>
  <c r="F480" i="31" s="1"/>
  <c r="F529" i="9"/>
  <c r="G529" i="9" s="1"/>
  <c r="F481" i="31" s="1"/>
  <c r="F565" i="9"/>
  <c r="G565" i="9" s="1"/>
  <c r="F513" i="31" s="1"/>
  <c r="E565" i="11"/>
  <c r="G565" i="11" s="1"/>
  <c r="H513" i="31" s="1"/>
  <c r="E565" i="10"/>
  <c r="G565" i="10" s="1"/>
  <c r="G513" i="31" s="1"/>
  <c r="F566" i="9"/>
  <c r="G566" i="9" s="1"/>
  <c r="F514" i="31" s="1"/>
  <c r="F567" i="9"/>
  <c r="G567" i="9" s="1"/>
  <c r="F515" i="31" s="1"/>
  <c r="E568" i="11"/>
  <c r="G568" i="11" s="1"/>
  <c r="H516" i="31" s="1"/>
  <c r="E568" i="10"/>
  <c r="G568" i="10" s="1"/>
  <c r="G516" i="31" s="1"/>
  <c r="E569" i="11"/>
  <c r="G569" i="11" s="1"/>
  <c r="H517" i="31" s="1"/>
  <c r="E569" i="10"/>
  <c r="G569" i="10" s="1"/>
  <c r="G517" i="31" s="1"/>
  <c r="F570" i="9"/>
  <c r="G570" i="9" s="1"/>
  <c r="F518" i="31" s="1"/>
  <c r="E571" i="11"/>
  <c r="G571" i="11" s="1"/>
  <c r="H519" i="31" s="1"/>
  <c r="E571" i="10"/>
  <c r="G571" i="10" s="1"/>
  <c r="G519" i="31" s="1"/>
  <c r="E572" i="11"/>
  <c r="G572" i="11" s="1"/>
  <c r="H520" i="31" s="1"/>
  <c r="E572" i="10"/>
  <c r="G572" i="10" s="1"/>
  <c r="G520" i="31" s="1"/>
  <c r="E573" i="11"/>
  <c r="G573" i="11" s="1"/>
  <c r="H521" i="31" s="1"/>
  <c r="E573" i="10"/>
  <c r="G573" i="10" s="1"/>
  <c r="G521" i="31" s="1"/>
  <c r="E366" i="11"/>
  <c r="G366" i="11" s="1"/>
  <c r="H332" i="31" s="1"/>
  <c r="E366" i="10"/>
  <c r="G366" i="10" s="1"/>
  <c r="G332" i="31" s="1"/>
  <c r="E367" i="11"/>
  <c r="G367" i="11" s="1"/>
  <c r="H333" i="31" s="1"/>
  <c r="E367" i="10"/>
  <c r="G367" i="10" s="1"/>
  <c r="G333" i="31" s="1"/>
  <c r="F368" i="9"/>
  <c r="G368" i="9" s="1"/>
  <c r="F334" i="31" s="1"/>
  <c r="F369" i="9"/>
  <c r="G369" i="9" s="1"/>
  <c r="F335" i="31" s="1"/>
  <c r="F370" i="9"/>
  <c r="G370" i="9" s="1"/>
  <c r="F336" i="31" s="1"/>
  <c r="F371" i="9"/>
  <c r="G371" i="9" s="1"/>
  <c r="F337" i="31" s="1"/>
  <c r="F372" i="9"/>
  <c r="G372" i="9" s="1"/>
  <c r="F338" i="31" s="1"/>
  <c r="E374" i="11"/>
  <c r="G374" i="11" s="1"/>
  <c r="H340" i="31" s="1"/>
  <c r="E374" i="10"/>
  <c r="G374" i="10" s="1"/>
  <c r="G340" i="31" s="1"/>
  <c r="F374" i="9"/>
  <c r="G374" i="9" s="1"/>
  <c r="F340" i="31" s="1"/>
  <c r="F375" i="9"/>
  <c r="G375" i="9" s="1"/>
  <c r="F341" i="31" s="1"/>
  <c r="W60" i="6"/>
  <c r="W126" i="6"/>
  <c r="F133" i="6"/>
  <c r="F133" i="9"/>
  <c r="G133" i="9" s="1"/>
  <c r="F121" i="31" s="1"/>
  <c r="W133" i="6"/>
  <c r="W30" i="6"/>
  <c r="W31" i="6"/>
  <c r="W32" i="6"/>
  <c r="W76" i="6"/>
  <c r="F490" i="9"/>
  <c r="G490" i="9" s="1"/>
  <c r="F445" i="31" s="1"/>
  <c r="F576" i="9"/>
  <c r="G576" i="9" s="1"/>
  <c r="F523" i="31" s="1"/>
  <c r="F578" i="9"/>
  <c r="G578" i="9" s="1"/>
  <c r="F525" i="31" s="1"/>
  <c r="F579" i="9"/>
  <c r="G579" i="9" s="1"/>
  <c r="F526" i="31" s="1"/>
  <c r="F580" i="9"/>
  <c r="G580" i="9" s="1"/>
  <c r="F527" i="31" s="1"/>
  <c r="F581" i="9"/>
  <c r="G581" i="9" s="1"/>
  <c r="F528" i="31" s="1"/>
  <c r="F582" i="9"/>
  <c r="G582" i="9" s="1"/>
  <c r="F529" i="31" s="1"/>
  <c r="F584" i="9"/>
  <c r="G584" i="9" s="1"/>
  <c r="F531" i="31" s="1"/>
  <c r="F583" i="9"/>
  <c r="G583" i="9" s="1"/>
  <c r="F530" i="31" s="1"/>
  <c r="W525" i="6"/>
  <c r="W526" i="6"/>
  <c r="W529" i="6"/>
  <c r="F49" i="9"/>
  <c r="G49" i="9" s="1"/>
  <c r="F44" i="31" s="1"/>
  <c r="F48" i="9"/>
  <c r="G48" i="9" s="1"/>
  <c r="F43" i="31" s="1"/>
  <c r="F50" i="9"/>
  <c r="G50" i="9" s="1"/>
  <c r="F45" i="31" s="1"/>
  <c r="F52" i="9"/>
  <c r="G52" i="9" s="1"/>
  <c r="F47" i="31" s="1"/>
  <c r="F53" i="9"/>
  <c r="G53" i="9" s="1"/>
  <c r="F48" i="31" s="1"/>
  <c r="F54" i="9"/>
  <c r="G54" i="9" s="1"/>
  <c r="F49" i="31" s="1"/>
  <c r="F55" i="9"/>
  <c r="G55" i="9" s="1"/>
  <c r="F50" i="31" s="1"/>
  <c r="F646" i="9"/>
  <c r="G646" i="9" s="1"/>
  <c r="F587" i="31" s="1"/>
  <c r="F691" i="9"/>
  <c r="G691" i="9" s="1"/>
  <c r="F628" i="31" s="1"/>
  <c r="F533" i="9"/>
  <c r="G533" i="9" s="1"/>
  <c r="F484" i="31" s="1"/>
  <c r="E534" i="11"/>
  <c r="G534" i="11" s="1"/>
  <c r="H485" i="31" s="1"/>
  <c r="E534" i="10"/>
  <c r="G534" i="10" s="1"/>
  <c r="G485" i="31" s="1"/>
  <c r="F537" i="9"/>
  <c r="G537" i="9" s="1"/>
  <c r="F488" i="31" s="1"/>
  <c r="F538" i="9"/>
  <c r="G538" i="9" s="1"/>
  <c r="F489" i="31" s="1"/>
  <c r="F539" i="9"/>
  <c r="G539" i="9" s="1"/>
  <c r="F490" i="31" s="1"/>
  <c r="E543" i="11"/>
  <c r="G543" i="11" s="1"/>
  <c r="H493" i="31" s="1"/>
  <c r="E543" i="10"/>
  <c r="G543" i="10" s="1"/>
  <c r="G493" i="31" s="1"/>
  <c r="E544" i="11"/>
  <c r="G544" i="11" s="1"/>
  <c r="H494" i="31" s="1"/>
  <c r="E544" i="10"/>
  <c r="G544" i="10" s="1"/>
  <c r="G494" i="31" s="1"/>
  <c r="E545" i="11"/>
  <c r="G545" i="11" s="1"/>
  <c r="H495" i="31" s="1"/>
  <c r="E545" i="10"/>
  <c r="G545" i="10" s="1"/>
  <c r="G495" i="31" s="1"/>
  <c r="E546" i="11"/>
  <c r="G546" i="11" s="1"/>
  <c r="H496" i="31" s="1"/>
  <c r="E546" i="10"/>
  <c r="G546" i="10" s="1"/>
  <c r="G496" i="31" s="1"/>
  <c r="E547" i="11"/>
  <c r="G547" i="11" s="1"/>
  <c r="H497" i="31" s="1"/>
  <c r="E547" i="10"/>
  <c r="G547" i="10" s="1"/>
  <c r="G497" i="31" s="1"/>
  <c r="E548" i="11"/>
  <c r="G548" i="11" s="1"/>
  <c r="H498" i="31" s="1"/>
  <c r="E548" i="10"/>
  <c r="G548" i="10" s="1"/>
  <c r="G498" i="31" s="1"/>
  <c r="E549" i="11"/>
  <c r="G549" i="11" s="1"/>
  <c r="H499" i="31" s="1"/>
  <c r="E549" i="10"/>
  <c r="G549" i="10" s="1"/>
  <c r="G499" i="31" s="1"/>
  <c r="E550" i="11"/>
  <c r="G550" i="11" s="1"/>
  <c r="H500" i="31" s="1"/>
  <c r="E550" i="10"/>
  <c r="G550" i="10" s="1"/>
  <c r="G500" i="31" s="1"/>
  <c r="E551" i="11"/>
  <c r="G551" i="11" s="1"/>
  <c r="H501" i="31" s="1"/>
  <c r="E551" i="10"/>
  <c r="G551" i="10" s="1"/>
  <c r="G501" i="31" s="1"/>
  <c r="F557" i="9"/>
  <c r="G557" i="9" s="1"/>
  <c r="F506" i="31" s="1"/>
  <c r="E557" i="11"/>
  <c r="G557" i="11" s="1"/>
  <c r="H506" i="31" s="1"/>
  <c r="E557" i="10"/>
  <c r="G557" i="10" s="1"/>
  <c r="G506" i="31" s="1"/>
  <c r="E559" i="11"/>
  <c r="G559" i="11" s="1"/>
  <c r="H508" i="31" s="1"/>
  <c r="E559" i="10"/>
  <c r="G559" i="10" s="1"/>
  <c r="G508" i="31" s="1"/>
  <c r="E560" i="11"/>
  <c r="G560" i="11" s="1"/>
  <c r="H509" i="31" s="1"/>
  <c r="E560" i="10"/>
  <c r="G560" i="10" s="1"/>
  <c r="G509" i="31" s="1"/>
  <c r="E562" i="11"/>
  <c r="G562" i="11" s="1"/>
  <c r="H511" i="31" s="1"/>
  <c r="E562" i="10"/>
  <c r="G562" i="10" s="1"/>
  <c r="G511" i="31" s="1"/>
  <c r="F635" i="9"/>
  <c r="G635" i="9" s="1"/>
  <c r="F577" i="31" s="1"/>
  <c r="E635" i="11"/>
  <c r="G635" i="11" s="1"/>
  <c r="H577" i="31" s="1"/>
  <c r="E635" i="10"/>
  <c r="G635" i="10" s="1"/>
  <c r="G577" i="31" s="1"/>
  <c r="E637" i="11"/>
  <c r="G637" i="11" s="1"/>
  <c r="H579" i="31" s="1"/>
  <c r="E637" i="10"/>
  <c r="G637" i="10" s="1"/>
  <c r="G579" i="31" s="1"/>
  <c r="E638" i="11"/>
  <c r="G638" i="11" s="1"/>
  <c r="H580" i="31" s="1"/>
  <c r="E638" i="10"/>
  <c r="G638" i="10" s="1"/>
  <c r="G580" i="31" s="1"/>
  <c r="E639" i="11"/>
  <c r="G639" i="11" s="1"/>
  <c r="H581" i="31" s="1"/>
  <c r="E639" i="10"/>
  <c r="G639" i="10" s="1"/>
  <c r="G581" i="31" s="1"/>
  <c r="F597" i="9"/>
  <c r="G597" i="9" s="1"/>
  <c r="F542" i="31" s="1"/>
  <c r="E597" i="11"/>
  <c r="G597" i="11" s="1"/>
  <c r="H542" i="31" s="1"/>
  <c r="E597" i="10"/>
  <c r="G597" i="10" s="1"/>
  <c r="G542" i="31" s="1"/>
  <c r="E599" i="11"/>
  <c r="G599" i="11" s="1"/>
  <c r="H544" i="31" s="1"/>
  <c r="E599" i="10"/>
  <c r="G599" i="10" s="1"/>
  <c r="G544" i="31" s="1"/>
  <c r="E600" i="11"/>
  <c r="G600" i="11" s="1"/>
  <c r="H545" i="31" s="1"/>
  <c r="E600" i="10"/>
  <c r="G600" i="10" s="1"/>
  <c r="G545" i="31" s="1"/>
  <c r="E601" i="11"/>
  <c r="G601" i="11" s="1"/>
  <c r="H546" i="31" s="1"/>
  <c r="E601" i="10"/>
  <c r="G601" i="10" s="1"/>
  <c r="G546" i="31" s="1"/>
  <c r="E602" i="11"/>
  <c r="G602" i="11" s="1"/>
  <c r="H547" i="31" s="1"/>
  <c r="E602" i="10"/>
  <c r="G602" i="10" s="1"/>
  <c r="G547" i="31" s="1"/>
  <c r="E603" i="11"/>
  <c r="G603" i="11" s="1"/>
  <c r="H548" i="31" s="1"/>
  <c r="E603" i="10"/>
  <c r="G603" i="10" s="1"/>
  <c r="G548" i="31" s="1"/>
  <c r="E604" i="11"/>
  <c r="G604" i="11" s="1"/>
  <c r="H549" i="31" s="1"/>
  <c r="E604" i="10"/>
  <c r="G604" i="10" s="1"/>
  <c r="G549" i="31" s="1"/>
  <c r="E605" i="11"/>
  <c r="G605" i="11" s="1"/>
  <c r="H550" i="31" s="1"/>
  <c r="E605" i="10"/>
  <c r="G605" i="10" s="1"/>
  <c r="G550" i="31" s="1"/>
  <c r="E606" i="11"/>
  <c r="G606" i="11" s="1"/>
  <c r="H551" i="31" s="1"/>
  <c r="E606" i="10"/>
  <c r="G606" i="10" s="1"/>
  <c r="G551" i="31" s="1"/>
  <c r="F621" i="9"/>
  <c r="G621" i="9" s="1"/>
  <c r="F564" i="31" s="1"/>
  <c r="E621" i="11"/>
  <c r="G621" i="11" s="1"/>
  <c r="H564" i="31" s="1"/>
  <c r="E621" i="10"/>
  <c r="G621" i="10" s="1"/>
  <c r="G564" i="31" s="1"/>
  <c r="E623" i="11"/>
  <c r="G623" i="11" s="1"/>
  <c r="H566" i="31" s="1"/>
  <c r="E623" i="10"/>
  <c r="G623" i="10" s="1"/>
  <c r="G566" i="31" s="1"/>
  <c r="E624" i="11"/>
  <c r="G624" i="11" s="1"/>
  <c r="H567" i="31" s="1"/>
  <c r="E624" i="10"/>
  <c r="G624" i="10" s="1"/>
  <c r="G567" i="31" s="1"/>
  <c r="E625" i="11"/>
  <c r="G625" i="11" s="1"/>
  <c r="H568" i="31" s="1"/>
  <c r="E625" i="10"/>
  <c r="G625" i="10" s="1"/>
  <c r="G568" i="31" s="1"/>
  <c r="E626" i="11"/>
  <c r="G626" i="11" s="1"/>
  <c r="H569" i="31" s="1"/>
  <c r="E626" i="10"/>
  <c r="G626" i="10" s="1"/>
  <c r="G569" i="31" s="1"/>
  <c r="E627" i="11"/>
  <c r="G627" i="11" s="1"/>
  <c r="H570" i="31" s="1"/>
  <c r="E627" i="10"/>
  <c r="G627" i="10" s="1"/>
  <c r="G570" i="31" s="1"/>
  <c r="E628" i="11"/>
  <c r="G628" i="11" s="1"/>
  <c r="H571" i="31" s="1"/>
  <c r="E628" i="10"/>
  <c r="G628" i="10" s="1"/>
  <c r="G571" i="31" s="1"/>
  <c r="E608" i="11"/>
  <c r="G608" i="11" s="1"/>
  <c r="H552" i="31" s="1"/>
  <c r="E608" i="10"/>
  <c r="G608" i="10" s="1"/>
  <c r="G552" i="31" s="1"/>
  <c r="F609" i="9"/>
  <c r="G609" i="9" s="1"/>
  <c r="F553" i="31" s="1"/>
  <c r="F610" i="9"/>
  <c r="G610" i="9" s="1"/>
  <c r="F554" i="31" s="1"/>
  <c r="F611" i="9"/>
  <c r="G611" i="9" s="1"/>
  <c r="F555" i="31" s="1"/>
  <c r="F612" i="9"/>
  <c r="G612" i="9" s="1"/>
  <c r="F556" i="31" s="1"/>
  <c r="F613" i="9"/>
  <c r="G613" i="9" s="1"/>
  <c r="F557" i="31" s="1"/>
  <c r="E614" i="11"/>
  <c r="G614" i="11" s="1"/>
  <c r="H558" i="31" s="1"/>
  <c r="E614" i="10"/>
  <c r="G614" i="10" s="1"/>
  <c r="G558" i="31" s="1"/>
  <c r="F615" i="9"/>
  <c r="G615" i="9" s="1"/>
  <c r="F559" i="31" s="1"/>
  <c r="F616" i="9"/>
  <c r="G616" i="9" s="1"/>
  <c r="F560" i="31" s="1"/>
  <c r="F617" i="9"/>
  <c r="G617" i="9" s="1"/>
  <c r="F561" i="31" s="1"/>
  <c r="F593" i="9"/>
  <c r="G593" i="9" s="1"/>
  <c r="F539" i="31" s="1"/>
  <c r="E592" i="11"/>
  <c r="G592" i="11" s="1"/>
  <c r="H538" i="31" s="1"/>
  <c r="E592" i="10"/>
  <c r="G592" i="10" s="1"/>
  <c r="G538" i="31" s="1"/>
  <c r="E594" i="11"/>
  <c r="G594" i="11" s="1"/>
  <c r="H540" i="31" s="1"/>
  <c r="E594" i="10"/>
  <c r="G594" i="10" s="1"/>
  <c r="G540" i="31" s="1"/>
  <c r="E595" i="11"/>
  <c r="G595" i="11" s="1"/>
  <c r="H541" i="31" s="1"/>
  <c r="E595" i="10"/>
  <c r="G595" i="10" s="1"/>
  <c r="G541" i="31" s="1"/>
  <c r="F168" i="9"/>
  <c r="G168" i="9" s="1"/>
  <c r="F152" i="31" s="1"/>
  <c r="E169" i="11"/>
  <c r="G169" i="11" s="1"/>
  <c r="H153" i="31" s="1"/>
  <c r="E169" i="10"/>
  <c r="G169" i="10" s="1"/>
  <c r="G153" i="31" s="1"/>
  <c r="E170" i="11"/>
  <c r="G170" i="11" s="1"/>
  <c r="H154" i="31" s="1"/>
  <c r="E170" i="10"/>
  <c r="G170" i="10" s="1"/>
  <c r="G154" i="31" s="1"/>
  <c r="E171" i="11"/>
  <c r="G171" i="11" s="1"/>
  <c r="H155" i="31" s="1"/>
  <c r="E171" i="10"/>
  <c r="G171" i="10" s="1"/>
  <c r="G155" i="31" s="1"/>
  <c r="E172" i="11"/>
  <c r="G172" i="11" s="1"/>
  <c r="H156" i="31" s="1"/>
  <c r="E172" i="10"/>
  <c r="G172" i="10" s="1"/>
  <c r="G156" i="31" s="1"/>
  <c r="E173" i="11"/>
  <c r="G173" i="11" s="1"/>
  <c r="H157" i="31" s="1"/>
  <c r="E173" i="10"/>
  <c r="G173" i="10" s="1"/>
  <c r="G157" i="31" s="1"/>
  <c r="E174" i="11"/>
  <c r="G174" i="11" s="1"/>
  <c r="H158" i="31" s="1"/>
  <c r="E174" i="10"/>
  <c r="G174" i="10" s="1"/>
  <c r="G158" i="31" s="1"/>
  <c r="E175" i="11"/>
  <c r="G175" i="11" s="1"/>
  <c r="H159" i="31" s="1"/>
  <c r="E175" i="10"/>
  <c r="G175" i="10" s="1"/>
  <c r="G159" i="31" s="1"/>
  <c r="E176" i="11"/>
  <c r="G176" i="11" s="1"/>
  <c r="H160" i="31" s="1"/>
  <c r="E176" i="10"/>
  <c r="G176" i="10" s="1"/>
  <c r="G160" i="31" s="1"/>
  <c r="E177" i="11"/>
  <c r="G177" i="11" s="1"/>
  <c r="H161" i="31" s="1"/>
  <c r="E177" i="10"/>
  <c r="G177" i="10" s="1"/>
  <c r="G161" i="31" s="1"/>
  <c r="F324" i="9"/>
  <c r="G324" i="9" s="1"/>
  <c r="F294" i="31" s="1"/>
  <c r="E324" i="11"/>
  <c r="G324" i="11" s="1"/>
  <c r="H294" i="31" s="1"/>
  <c r="E324" i="10"/>
  <c r="G324" i="10" s="1"/>
  <c r="G294" i="31" s="1"/>
  <c r="E326" i="11"/>
  <c r="G326" i="11" s="1"/>
  <c r="H296" i="31" s="1"/>
  <c r="E326" i="10"/>
  <c r="G326" i="10" s="1"/>
  <c r="G296" i="31" s="1"/>
  <c r="E327" i="11"/>
  <c r="G327" i="11" s="1"/>
  <c r="H297" i="31" s="1"/>
  <c r="E327" i="10"/>
  <c r="G327" i="10" s="1"/>
  <c r="G297" i="31" s="1"/>
  <c r="E328" i="11"/>
  <c r="G328" i="11" s="1"/>
  <c r="H298" i="31" s="1"/>
  <c r="E328" i="10"/>
  <c r="G328" i="10" s="1"/>
  <c r="G298" i="31" s="1"/>
  <c r="E329" i="11"/>
  <c r="G329" i="11" s="1"/>
  <c r="H299" i="31" s="1"/>
  <c r="E329" i="10"/>
  <c r="G329" i="10" s="1"/>
  <c r="G299" i="31" s="1"/>
  <c r="E330" i="11"/>
  <c r="G330" i="11" s="1"/>
  <c r="H300" i="31" s="1"/>
  <c r="E330" i="10"/>
  <c r="G330" i="10" s="1"/>
  <c r="G300" i="31" s="1"/>
  <c r="E331" i="11"/>
  <c r="G331" i="11" s="1"/>
  <c r="H301" i="31" s="1"/>
  <c r="E331" i="10"/>
  <c r="G331" i="10" s="1"/>
  <c r="G301" i="31" s="1"/>
  <c r="F389" i="6"/>
  <c r="E389" i="9"/>
  <c r="I389" i="6"/>
  <c r="Q389" i="23" s="1"/>
  <c r="F389" i="9"/>
  <c r="E390" i="11"/>
  <c r="G390" i="11" s="1"/>
  <c r="H354" i="31" s="1"/>
  <c r="E390" i="10"/>
  <c r="G390" i="10" s="1"/>
  <c r="G354" i="31" s="1"/>
  <c r="E391" i="11"/>
  <c r="G391" i="11" s="1"/>
  <c r="H355" i="31" s="1"/>
  <c r="E391" i="10"/>
  <c r="G391" i="10" s="1"/>
  <c r="G355" i="31" s="1"/>
  <c r="F392" i="9"/>
  <c r="G392" i="9" s="1"/>
  <c r="F356" i="31" s="1"/>
  <c r="F393" i="9"/>
  <c r="G393" i="9" s="1"/>
  <c r="F357" i="31" s="1"/>
  <c r="F394" i="9"/>
  <c r="G394" i="9" s="1"/>
  <c r="F358" i="31" s="1"/>
  <c r="F395" i="9"/>
  <c r="G395" i="9" s="1"/>
  <c r="F359" i="31" s="1"/>
  <c r="F396" i="9"/>
  <c r="G396" i="9" s="1"/>
  <c r="F360" i="31" s="1"/>
  <c r="F421" i="9"/>
  <c r="G421" i="9" s="1"/>
  <c r="F382" i="31" s="1"/>
  <c r="E422" i="11"/>
  <c r="G422" i="11" s="1"/>
  <c r="H383" i="31" s="1"/>
  <c r="E422" i="10"/>
  <c r="G422" i="10" s="1"/>
  <c r="G383" i="31" s="1"/>
  <c r="E423" i="11"/>
  <c r="G423" i="11" s="1"/>
  <c r="H384" i="31" s="1"/>
  <c r="E423" i="10"/>
  <c r="G423" i="10" s="1"/>
  <c r="G384" i="31" s="1"/>
  <c r="E424" i="11"/>
  <c r="G424" i="11" s="1"/>
  <c r="H385" i="31" s="1"/>
  <c r="E424" i="10"/>
  <c r="G424" i="10" s="1"/>
  <c r="G385" i="31" s="1"/>
  <c r="E425" i="11"/>
  <c r="G425" i="11" s="1"/>
  <c r="H386" i="31" s="1"/>
  <c r="E425" i="10"/>
  <c r="G425" i="10" s="1"/>
  <c r="G386" i="31" s="1"/>
  <c r="F426" i="9"/>
  <c r="G426" i="9" s="1"/>
  <c r="F387" i="31" s="1"/>
  <c r="E427" i="11"/>
  <c r="G427" i="11" s="1"/>
  <c r="H388" i="31" s="1"/>
  <c r="E427" i="10"/>
  <c r="G427" i="10" s="1"/>
  <c r="G388" i="31" s="1"/>
  <c r="E428" i="11"/>
  <c r="G428" i="11" s="1"/>
  <c r="H389" i="31" s="1"/>
  <c r="E428" i="10"/>
  <c r="G428" i="10" s="1"/>
  <c r="G389" i="31" s="1"/>
  <c r="E429" i="11"/>
  <c r="G429" i="11" s="1"/>
  <c r="H390" i="31" s="1"/>
  <c r="E429" i="10"/>
  <c r="G429" i="10" s="1"/>
  <c r="G390" i="31" s="1"/>
  <c r="E430" i="11"/>
  <c r="G430" i="11" s="1"/>
  <c r="H391" i="31" s="1"/>
  <c r="E430" i="10"/>
  <c r="G430" i="10" s="1"/>
  <c r="G391" i="31" s="1"/>
  <c r="E476" i="11"/>
  <c r="G476" i="11" s="1"/>
  <c r="H432" i="31" s="1"/>
  <c r="E476" i="10"/>
  <c r="G476" i="10" s="1"/>
  <c r="G432" i="31" s="1"/>
  <c r="F477" i="9"/>
  <c r="G477" i="9" s="1"/>
  <c r="F433" i="31" s="1"/>
  <c r="F478" i="9"/>
  <c r="G478" i="9" s="1"/>
  <c r="F434" i="31" s="1"/>
  <c r="F479" i="9"/>
  <c r="G479" i="9" s="1"/>
  <c r="F435" i="31" s="1"/>
  <c r="F480" i="9"/>
  <c r="G480" i="9" s="1"/>
  <c r="F436" i="31" s="1"/>
  <c r="F481" i="9"/>
  <c r="G481" i="9" s="1"/>
  <c r="F437" i="31" s="1"/>
  <c r="F482" i="9"/>
  <c r="G482" i="9" s="1"/>
  <c r="F438" i="31" s="1"/>
  <c r="F483" i="9"/>
  <c r="G483" i="9" s="1"/>
  <c r="F439" i="31" s="1"/>
  <c r="F484" i="9"/>
  <c r="G484" i="9" s="1"/>
  <c r="F440" i="31" s="1"/>
  <c r="F485" i="9"/>
  <c r="G485" i="9" s="1"/>
  <c r="F441" i="31" s="1"/>
  <c r="F520" i="9"/>
  <c r="G520" i="9" s="1"/>
  <c r="F472" i="31" s="1"/>
  <c r="E521" i="11"/>
  <c r="G521" i="11" s="1"/>
  <c r="H473" i="31" s="1"/>
  <c r="E521" i="10"/>
  <c r="G521" i="10" s="1"/>
  <c r="G473" i="31" s="1"/>
  <c r="E522" i="11"/>
  <c r="G522" i="11" s="1"/>
  <c r="H474" i="31" s="1"/>
  <c r="E522" i="10"/>
  <c r="G522" i="10" s="1"/>
  <c r="G474" i="31" s="1"/>
  <c r="E523" i="11"/>
  <c r="G523" i="11" s="1"/>
  <c r="H475" i="31" s="1"/>
  <c r="E523" i="10"/>
  <c r="G523" i="10" s="1"/>
  <c r="G475" i="31" s="1"/>
  <c r="E524" i="11"/>
  <c r="G524" i="11" s="1"/>
  <c r="H476" i="31" s="1"/>
  <c r="E524" i="10"/>
  <c r="G524" i="10" s="1"/>
  <c r="G476" i="31" s="1"/>
  <c r="E525" i="11"/>
  <c r="G525" i="11" s="1"/>
  <c r="H477" i="31" s="1"/>
  <c r="E525" i="10"/>
  <c r="G525" i="10" s="1"/>
  <c r="G477" i="31" s="1"/>
  <c r="E526" i="11"/>
  <c r="G526" i="11" s="1"/>
  <c r="H478" i="31" s="1"/>
  <c r="E526" i="10"/>
  <c r="G526" i="10" s="1"/>
  <c r="G478" i="31" s="1"/>
  <c r="E527" i="11"/>
  <c r="G527" i="11" s="1"/>
  <c r="H479" i="31" s="1"/>
  <c r="E527" i="10"/>
  <c r="G527" i="10" s="1"/>
  <c r="G479" i="31" s="1"/>
  <c r="E528" i="11"/>
  <c r="G528" i="11" s="1"/>
  <c r="H480" i="31" s="1"/>
  <c r="E528" i="10"/>
  <c r="G528" i="10" s="1"/>
  <c r="G480" i="31" s="1"/>
  <c r="E529" i="11"/>
  <c r="G529" i="11" s="1"/>
  <c r="H481" i="31" s="1"/>
  <c r="E529" i="10"/>
  <c r="G529" i="10" s="1"/>
  <c r="G481" i="31" s="1"/>
  <c r="F564" i="9"/>
  <c r="G564" i="9" s="1"/>
  <c r="F512" i="31" s="1"/>
  <c r="E564" i="11"/>
  <c r="G564" i="11" s="1"/>
  <c r="H512" i="31" s="1"/>
  <c r="E564" i="10"/>
  <c r="G564" i="10" s="1"/>
  <c r="G512" i="31" s="1"/>
  <c r="E566" i="11"/>
  <c r="G566" i="11" s="1"/>
  <c r="H514" i="31" s="1"/>
  <c r="E566" i="10"/>
  <c r="G566" i="10" s="1"/>
  <c r="G514" i="31" s="1"/>
  <c r="E567" i="11"/>
  <c r="G567" i="11" s="1"/>
  <c r="H515" i="31" s="1"/>
  <c r="E567" i="10"/>
  <c r="G567" i="10" s="1"/>
  <c r="G515" i="31" s="1"/>
  <c r="F568" i="9"/>
  <c r="G568" i="9" s="1"/>
  <c r="F516" i="31" s="1"/>
  <c r="F569" i="9"/>
  <c r="G569" i="9" s="1"/>
  <c r="F517" i="31" s="1"/>
  <c r="E570" i="11"/>
  <c r="G570" i="11" s="1"/>
  <c r="H518" i="31" s="1"/>
  <c r="E570" i="10"/>
  <c r="G570" i="10" s="1"/>
  <c r="G518" i="31" s="1"/>
  <c r="F571" i="9"/>
  <c r="G571" i="9" s="1"/>
  <c r="F519" i="31" s="1"/>
  <c r="F572" i="9"/>
  <c r="G572" i="9" s="1"/>
  <c r="F520" i="31" s="1"/>
  <c r="F573" i="9"/>
  <c r="G573" i="9" s="1"/>
  <c r="F521" i="31" s="1"/>
  <c r="F366" i="9"/>
  <c r="G366" i="9" s="1"/>
  <c r="F332" i="31" s="1"/>
  <c r="F367" i="9"/>
  <c r="G367" i="9" s="1"/>
  <c r="F333" i="31" s="1"/>
  <c r="E368" i="11"/>
  <c r="G368" i="11" s="1"/>
  <c r="H334" i="31" s="1"/>
  <c r="E368" i="10"/>
  <c r="G368" i="10" s="1"/>
  <c r="G334" i="31" s="1"/>
  <c r="E369" i="11"/>
  <c r="G369" i="11" s="1"/>
  <c r="H335" i="31" s="1"/>
  <c r="E369" i="10"/>
  <c r="G369" i="10" s="1"/>
  <c r="G335" i="31" s="1"/>
  <c r="E370" i="11"/>
  <c r="G370" i="11" s="1"/>
  <c r="H336" i="31" s="1"/>
  <c r="E370" i="10"/>
  <c r="G370" i="10" s="1"/>
  <c r="G336" i="31" s="1"/>
  <c r="E371" i="11"/>
  <c r="G371" i="11" s="1"/>
  <c r="H337" i="31" s="1"/>
  <c r="E371" i="10"/>
  <c r="G371" i="10" s="1"/>
  <c r="G337" i="31" s="1"/>
  <c r="E372" i="11"/>
  <c r="G372" i="11" s="1"/>
  <c r="H338" i="31" s="1"/>
  <c r="E372" i="10"/>
  <c r="G372" i="10" s="1"/>
  <c r="G338" i="31" s="1"/>
  <c r="F373" i="9"/>
  <c r="G373" i="9" s="1"/>
  <c r="F339" i="31" s="1"/>
  <c r="E373" i="11"/>
  <c r="G373" i="11" s="1"/>
  <c r="H339" i="31" s="1"/>
  <c r="E373" i="10"/>
  <c r="G373" i="10" s="1"/>
  <c r="G339" i="31" s="1"/>
  <c r="E375" i="11"/>
  <c r="G375" i="11" s="1"/>
  <c r="H341" i="31" s="1"/>
  <c r="E375" i="10"/>
  <c r="G375" i="10" s="1"/>
  <c r="G341" i="31" s="1"/>
  <c r="F356" i="6"/>
  <c r="F356" i="9"/>
  <c r="G356" i="9" s="1"/>
  <c r="F323" i="31" s="1"/>
  <c r="F577" i="9"/>
  <c r="G577" i="9" s="1"/>
  <c r="F524" i="31" s="1"/>
  <c r="W524" i="6"/>
  <c r="F47" i="9"/>
  <c r="G47" i="9" s="1"/>
  <c r="F42" i="31" s="1"/>
  <c r="F51" i="9"/>
  <c r="G51" i="9" s="1"/>
  <c r="F46" i="31" s="1"/>
  <c r="F645" i="9"/>
  <c r="G645" i="9" s="1"/>
  <c r="F586" i="31" s="1"/>
  <c r="F647" i="9"/>
  <c r="G647" i="9" s="1"/>
  <c r="F588" i="31" s="1"/>
  <c r="F690" i="9"/>
  <c r="G690" i="9" s="1"/>
  <c r="F627" i="31" s="1"/>
  <c r="F689" i="9"/>
  <c r="G689" i="9" s="1"/>
  <c r="F626" i="31" s="1"/>
  <c r="N518" i="6"/>
  <c r="M518" i="6"/>
  <c r="M518" i="23" s="1"/>
  <c r="L518" i="6"/>
  <c r="K518" i="6"/>
  <c r="J518" i="6"/>
  <c r="J518" i="23" s="1"/>
  <c r="I518" i="6"/>
  <c r="Q518" i="23" s="1"/>
  <c r="H516" i="6"/>
  <c r="H518" i="6"/>
  <c r="G518" i="6"/>
  <c r="F518" i="6"/>
  <c r="E518" i="6"/>
  <c r="E518" i="9" s="1"/>
  <c r="N517" i="6"/>
  <c r="M517" i="6"/>
  <c r="M517" i="23" s="1"/>
  <c r="L517" i="6"/>
  <c r="K516" i="6"/>
  <c r="K517" i="6"/>
  <c r="J517" i="6"/>
  <c r="J517" i="23" s="1"/>
  <c r="I517" i="6"/>
  <c r="Q517" i="23" s="1"/>
  <c r="H517" i="6"/>
  <c r="G517" i="6"/>
  <c r="F517" i="6"/>
  <c r="E517" i="6"/>
  <c r="E517" i="9" s="1"/>
  <c r="N516" i="6"/>
  <c r="M516" i="6"/>
  <c r="M516" i="23" s="1"/>
  <c r="L516" i="6"/>
  <c r="J516" i="6"/>
  <c r="J516" i="23" s="1"/>
  <c r="I516" i="6"/>
  <c r="Q516" i="23" s="1"/>
  <c r="G516" i="6"/>
  <c r="F516" i="6"/>
  <c r="E516" i="6"/>
  <c r="E516" i="9" s="1"/>
  <c r="N515" i="6"/>
  <c r="M515" i="6"/>
  <c r="M515" i="23" s="1"/>
  <c r="L515" i="6"/>
  <c r="K515" i="6"/>
  <c r="J515" i="6"/>
  <c r="J515" i="23" s="1"/>
  <c r="I515" i="6"/>
  <c r="Q515" i="23" s="1"/>
  <c r="H515" i="6"/>
  <c r="G515" i="6"/>
  <c r="F515" i="6"/>
  <c r="E515" i="6"/>
  <c r="E515" i="9" s="1"/>
  <c r="N513" i="6"/>
  <c r="M513" i="6"/>
  <c r="M513" i="23" s="1"/>
  <c r="K513" i="6"/>
  <c r="J513" i="6"/>
  <c r="J513" i="23" s="1"/>
  <c r="I513" i="6"/>
  <c r="Q513" i="23" s="1"/>
  <c r="H513" i="6"/>
  <c r="G513" i="6"/>
  <c r="F513" i="6"/>
  <c r="E513" i="6"/>
  <c r="E513" i="9" s="1"/>
  <c r="N514" i="6"/>
  <c r="M514" i="6"/>
  <c r="M514" i="23" s="1"/>
  <c r="L513" i="6"/>
  <c r="L514" i="6"/>
  <c r="K514" i="6"/>
  <c r="J514" i="6"/>
  <c r="J514" i="23" s="1"/>
  <c r="I514" i="6"/>
  <c r="Q514" i="23" s="1"/>
  <c r="H514" i="6"/>
  <c r="G514" i="6"/>
  <c r="F514" i="6"/>
  <c r="E514" i="6"/>
  <c r="E514" i="9" s="1"/>
  <c r="N507" i="6"/>
  <c r="M507" i="6"/>
  <c r="M507" i="23" s="1"/>
  <c r="L507" i="6"/>
  <c r="K507" i="6"/>
  <c r="J507" i="6"/>
  <c r="J507" i="23" s="1"/>
  <c r="I507" i="6"/>
  <c r="Q507" i="23" s="1"/>
  <c r="H507" i="6"/>
  <c r="G507" i="6"/>
  <c r="F507" i="6"/>
  <c r="E507" i="6"/>
  <c r="E507" i="9" s="1"/>
  <c r="N506" i="6"/>
  <c r="M506" i="6"/>
  <c r="M506" i="23" s="1"/>
  <c r="L506" i="6"/>
  <c r="K506" i="6"/>
  <c r="J506" i="6"/>
  <c r="J506" i="23" s="1"/>
  <c r="I506" i="6"/>
  <c r="Q506" i="23" s="1"/>
  <c r="H506" i="6"/>
  <c r="G506" i="6"/>
  <c r="F506" i="6"/>
  <c r="E506" i="6"/>
  <c r="E506" i="9" s="1"/>
  <c r="N505" i="6"/>
  <c r="M505" i="6"/>
  <c r="M505" i="23" s="1"/>
  <c r="L505" i="6"/>
  <c r="K505" i="6"/>
  <c r="J505" i="6"/>
  <c r="J505" i="23" s="1"/>
  <c r="I505" i="6"/>
  <c r="Q505" i="23" s="1"/>
  <c r="H505" i="6"/>
  <c r="G505" i="6"/>
  <c r="F505" i="6"/>
  <c r="E505" i="6"/>
  <c r="E505" i="9" s="1"/>
  <c r="N504" i="6"/>
  <c r="M504" i="6"/>
  <c r="M504" i="23" s="1"/>
  <c r="L504" i="6"/>
  <c r="K504" i="6"/>
  <c r="J504" i="6"/>
  <c r="J504" i="23" s="1"/>
  <c r="I504" i="6"/>
  <c r="Q504" i="23" s="1"/>
  <c r="H504" i="6"/>
  <c r="G504" i="6"/>
  <c r="F504" i="6"/>
  <c r="E504" i="6"/>
  <c r="E504" i="9" s="1"/>
  <c r="N503" i="6"/>
  <c r="M503" i="6"/>
  <c r="M503" i="23" s="1"/>
  <c r="L503" i="6"/>
  <c r="K503" i="6"/>
  <c r="J503" i="6"/>
  <c r="J503" i="23" s="1"/>
  <c r="I503" i="6"/>
  <c r="Q503" i="23" s="1"/>
  <c r="H503" i="6"/>
  <c r="G503" i="6"/>
  <c r="F503" i="6"/>
  <c r="E503" i="6"/>
  <c r="E503" i="9" s="1"/>
  <c r="N502" i="6"/>
  <c r="M502" i="6"/>
  <c r="M502" i="23" s="1"/>
  <c r="L502" i="6"/>
  <c r="K502" i="6"/>
  <c r="J502" i="6"/>
  <c r="J502" i="23" s="1"/>
  <c r="I502" i="6"/>
  <c r="Q502" i="23" s="1"/>
  <c r="H502" i="6"/>
  <c r="G502" i="6"/>
  <c r="F502" i="6"/>
  <c r="E502" i="6"/>
  <c r="E502" i="9" s="1"/>
  <c r="N501" i="6"/>
  <c r="M501" i="6"/>
  <c r="M501" i="23" s="1"/>
  <c r="L501" i="6"/>
  <c r="K501" i="6"/>
  <c r="J501" i="6"/>
  <c r="J501" i="23" s="1"/>
  <c r="I501" i="6"/>
  <c r="Q501" i="23" s="1"/>
  <c r="N499" i="6"/>
  <c r="M499" i="6"/>
  <c r="M499" i="23" s="1"/>
  <c r="K499" i="6"/>
  <c r="J499" i="6"/>
  <c r="J499" i="23" s="1"/>
  <c r="I499" i="6"/>
  <c r="Q499" i="23" s="1"/>
  <c r="H499" i="6"/>
  <c r="G499" i="6"/>
  <c r="F499" i="6"/>
  <c r="E499" i="6"/>
  <c r="E499" i="9" s="1"/>
  <c r="H501" i="6"/>
  <c r="G501" i="6"/>
  <c r="F501" i="6"/>
  <c r="E501" i="6"/>
  <c r="E501" i="9" s="1"/>
  <c r="N500" i="6"/>
  <c r="M500" i="6"/>
  <c r="M500" i="23" s="1"/>
  <c r="L500" i="6"/>
  <c r="L499" i="6"/>
  <c r="F497" i="12" s="1"/>
  <c r="K500" i="6"/>
  <c r="J500" i="6"/>
  <c r="J500" i="23" s="1"/>
  <c r="I500" i="6"/>
  <c r="Q500" i="23" s="1"/>
  <c r="H500" i="6"/>
  <c r="G500" i="6"/>
  <c r="F500" i="6"/>
  <c r="E500" i="6"/>
  <c r="E500" i="9" s="1"/>
  <c r="N496" i="6"/>
  <c r="E496" i="12" s="1"/>
  <c r="M496" i="6"/>
  <c r="M496" i="23" s="1"/>
  <c r="L496" i="6"/>
  <c r="F496" i="12" s="1"/>
  <c r="K496" i="6"/>
  <c r="J496" i="6"/>
  <c r="J496" i="23" s="1"/>
  <c r="I496" i="6"/>
  <c r="Q496" i="23" s="1"/>
  <c r="H496" i="6"/>
  <c r="G496" i="6"/>
  <c r="F496" i="6"/>
  <c r="E496" i="6"/>
  <c r="E496" i="9" s="1"/>
  <c r="N495" i="6"/>
  <c r="M495" i="6"/>
  <c r="M495" i="23" s="1"/>
  <c r="L495" i="6"/>
  <c r="F495" i="12" s="1"/>
  <c r="K495" i="6"/>
  <c r="J495" i="6"/>
  <c r="J495" i="23" s="1"/>
  <c r="I495" i="6"/>
  <c r="Q495" i="23" s="1"/>
  <c r="H495" i="6"/>
  <c r="G495" i="6"/>
  <c r="F495" i="6"/>
  <c r="E495" i="6"/>
  <c r="E495" i="9" s="1"/>
  <c r="N494" i="6"/>
  <c r="E494" i="12" s="1"/>
  <c r="M494" i="6"/>
  <c r="M494" i="23" s="1"/>
  <c r="L494" i="6"/>
  <c r="K493" i="6"/>
  <c r="K494" i="6"/>
  <c r="P494" i="23" s="1"/>
  <c r="J494" i="6"/>
  <c r="J494" i="23" s="1"/>
  <c r="I494" i="6"/>
  <c r="Q494" i="23" s="1"/>
  <c r="H494" i="6"/>
  <c r="G494" i="6"/>
  <c r="F494" i="6"/>
  <c r="E494" i="6"/>
  <c r="E494" i="9" s="1"/>
  <c r="N493" i="6"/>
  <c r="M493" i="6"/>
  <c r="M493" i="23" s="1"/>
  <c r="L493" i="6"/>
  <c r="J493" i="6"/>
  <c r="J493" i="23" s="1"/>
  <c r="I493" i="6"/>
  <c r="Q493" i="23" s="1"/>
  <c r="H493" i="6"/>
  <c r="G493" i="6"/>
  <c r="F493" i="6"/>
  <c r="E493" i="6"/>
  <c r="E493" i="9" s="1"/>
  <c r="N492" i="6"/>
  <c r="E492" i="12" s="1"/>
  <c r="M492" i="6"/>
  <c r="M492" i="23" s="1"/>
  <c r="L492" i="6"/>
  <c r="K492" i="6"/>
  <c r="J492" i="6"/>
  <c r="J492" i="23" s="1"/>
  <c r="I492" i="6"/>
  <c r="Q492" i="23" s="1"/>
  <c r="H492" i="6"/>
  <c r="G492" i="6"/>
  <c r="F492" i="6"/>
  <c r="E492" i="6"/>
  <c r="E492" i="9" s="1"/>
  <c r="N491" i="6"/>
  <c r="E476" i="12" s="1"/>
  <c r="M491" i="6"/>
  <c r="M491" i="23" s="1"/>
  <c r="L491" i="6"/>
  <c r="L490" i="6"/>
  <c r="K491" i="6"/>
  <c r="P491" i="23" s="1"/>
  <c r="R491" i="23" s="1"/>
  <c r="Z446" i="31" s="1"/>
  <c r="J491" i="6"/>
  <c r="J491" i="23" s="1"/>
  <c r="I491" i="6"/>
  <c r="Q491" i="23" s="1"/>
  <c r="H491" i="6"/>
  <c r="G491" i="6"/>
  <c r="F491" i="6"/>
  <c r="E491" i="6"/>
  <c r="E491" i="9" s="1"/>
  <c r="N474" i="6"/>
  <c r="M474" i="6"/>
  <c r="M474" i="23" s="1"/>
  <c r="L474" i="6"/>
  <c r="K474" i="6"/>
  <c r="P474" i="23" s="1"/>
  <c r="J474" i="6"/>
  <c r="J474" i="23" s="1"/>
  <c r="I474" i="6"/>
  <c r="Q474" i="23" s="1"/>
  <c r="H474" i="6"/>
  <c r="G474" i="6"/>
  <c r="F474" i="6"/>
  <c r="E474" i="6"/>
  <c r="E474" i="9" s="1"/>
  <c r="N473" i="6"/>
  <c r="M473" i="6"/>
  <c r="M473" i="23" s="1"/>
  <c r="L473" i="6"/>
  <c r="K473" i="6"/>
  <c r="J473" i="6"/>
  <c r="J473" i="23" s="1"/>
  <c r="I473" i="6"/>
  <c r="Q473" i="23" s="1"/>
  <c r="H473" i="6"/>
  <c r="G473" i="6"/>
  <c r="F473" i="6"/>
  <c r="E473" i="6"/>
  <c r="E473" i="9" s="1"/>
  <c r="N472" i="6"/>
  <c r="M472" i="6"/>
  <c r="M472" i="23" s="1"/>
  <c r="L472" i="6"/>
  <c r="K472" i="6"/>
  <c r="P472" i="23" s="1"/>
  <c r="J472" i="6"/>
  <c r="J472" i="23" s="1"/>
  <c r="I472" i="6"/>
  <c r="Q472" i="23" s="1"/>
  <c r="H472" i="6"/>
  <c r="G472" i="6"/>
  <c r="F472" i="6"/>
  <c r="E472" i="6"/>
  <c r="E472" i="9" s="1"/>
  <c r="N471" i="6"/>
  <c r="M471" i="6"/>
  <c r="M471" i="23" s="1"/>
  <c r="L471" i="6"/>
  <c r="K471" i="6"/>
  <c r="J471" i="6"/>
  <c r="J471" i="23" s="1"/>
  <c r="I471" i="6"/>
  <c r="Q471" i="23" s="1"/>
  <c r="H471" i="6"/>
  <c r="G471" i="6"/>
  <c r="F471" i="6"/>
  <c r="E471" i="6"/>
  <c r="E471" i="9" s="1"/>
  <c r="N470" i="6"/>
  <c r="M470" i="6"/>
  <c r="M470" i="23" s="1"/>
  <c r="L470" i="6"/>
  <c r="K470" i="6"/>
  <c r="P470" i="23" s="1"/>
  <c r="J470" i="6"/>
  <c r="J470" i="23" s="1"/>
  <c r="I470" i="6"/>
  <c r="Q470" i="23" s="1"/>
  <c r="H470" i="6"/>
  <c r="G470" i="6"/>
  <c r="F470" i="6"/>
  <c r="E470" i="6"/>
  <c r="E470" i="9" s="1"/>
  <c r="N469" i="6"/>
  <c r="M469" i="6"/>
  <c r="M469" i="23" s="1"/>
  <c r="L469" i="6"/>
  <c r="K469" i="6"/>
  <c r="J469" i="6"/>
  <c r="J469" i="23" s="1"/>
  <c r="I469" i="6"/>
  <c r="Q469" i="23" s="1"/>
  <c r="H469" i="6"/>
  <c r="G469" i="6"/>
  <c r="F469" i="6"/>
  <c r="E469" i="6"/>
  <c r="E469" i="9" s="1"/>
  <c r="N468" i="6"/>
  <c r="M468" i="6"/>
  <c r="M468" i="23" s="1"/>
  <c r="L468" i="6"/>
  <c r="K468" i="6"/>
  <c r="P468" i="23" s="1"/>
  <c r="J468" i="6"/>
  <c r="J468" i="23" s="1"/>
  <c r="I468" i="6"/>
  <c r="Q468" i="23" s="1"/>
  <c r="H468" i="6"/>
  <c r="G468" i="6"/>
  <c r="F468" i="6"/>
  <c r="E468" i="6"/>
  <c r="E468" i="9" s="1"/>
  <c r="N467" i="6"/>
  <c r="M467" i="6"/>
  <c r="M467" i="23" s="1"/>
  <c r="L467" i="6"/>
  <c r="K466" i="6"/>
  <c r="P466" i="23" s="1"/>
  <c r="R466" i="23" s="1"/>
  <c r="Z423" i="31" s="1"/>
  <c r="K467" i="6"/>
  <c r="J467" i="6"/>
  <c r="J467" i="23" s="1"/>
  <c r="I467" i="6"/>
  <c r="Q467" i="23" s="1"/>
  <c r="H467" i="6"/>
  <c r="G467" i="6"/>
  <c r="F467" i="6"/>
  <c r="E467" i="6"/>
  <c r="E467" i="9" s="1"/>
  <c r="N466" i="6"/>
  <c r="E466" i="12" s="1"/>
  <c r="M466" i="6"/>
  <c r="M466" i="23" s="1"/>
  <c r="L466" i="6"/>
  <c r="J466" i="6"/>
  <c r="J466" i="23" s="1"/>
  <c r="I465" i="6"/>
  <c r="Q465" i="23" s="1"/>
  <c r="I466" i="6"/>
  <c r="Q466" i="23" s="1"/>
  <c r="H466" i="6"/>
  <c r="G466" i="6"/>
  <c r="F466" i="6"/>
  <c r="E466" i="6"/>
  <c r="E466" i="9" s="1"/>
  <c r="N465" i="6"/>
  <c r="M465" i="6"/>
  <c r="M465" i="23" s="1"/>
  <c r="L464" i="6"/>
  <c r="L465" i="6"/>
  <c r="K465" i="6"/>
  <c r="J465" i="6"/>
  <c r="J465" i="23" s="1"/>
  <c r="H465" i="6"/>
  <c r="G465" i="6"/>
  <c r="F465" i="6"/>
  <c r="E465" i="6"/>
  <c r="E465" i="9" s="1"/>
  <c r="N463" i="6"/>
  <c r="M463" i="6"/>
  <c r="M463" i="23" s="1"/>
  <c r="L463" i="6"/>
  <c r="F463" i="12" s="1"/>
  <c r="K463" i="6"/>
  <c r="J463" i="6"/>
  <c r="J463" i="23" s="1"/>
  <c r="I463" i="6"/>
  <c r="Q463" i="23" s="1"/>
  <c r="H463" i="6"/>
  <c r="G463" i="6"/>
  <c r="F463" i="6"/>
  <c r="E463" i="6"/>
  <c r="E463" i="9" s="1"/>
  <c r="N462" i="6"/>
  <c r="E462" i="12" s="1"/>
  <c r="M462" i="6"/>
  <c r="M462" i="23" s="1"/>
  <c r="L462" i="6"/>
  <c r="F462" i="12" s="1"/>
  <c r="K462" i="6"/>
  <c r="J462" i="6"/>
  <c r="J462" i="23" s="1"/>
  <c r="I462" i="6"/>
  <c r="Q462" i="23" s="1"/>
  <c r="H462" i="6"/>
  <c r="G462" i="6"/>
  <c r="F462" i="6"/>
  <c r="E462" i="6"/>
  <c r="E462" i="9" s="1"/>
  <c r="N461" i="6"/>
  <c r="E461" i="12" s="1"/>
  <c r="G461" i="12" s="1"/>
  <c r="I419" i="31" s="1"/>
  <c r="M461" i="6"/>
  <c r="M461" i="23" s="1"/>
  <c r="L461" i="6"/>
  <c r="F461" i="12" s="1"/>
  <c r="K461" i="6"/>
  <c r="J461" i="6"/>
  <c r="J461" i="23" s="1"/>
  <c r="I461" i="6"/>
  <c r="Q461" i="23" s="1"/>
  <c r="H461" i="6"/>
  <c r="G461" i="6"/>
  <c r="F461" i="6"/>
  <c r="E461" i="6"/>
  <c r="E461" i="9" s="1"/>
  <c r="N460" i="6"/>
  <c r="E460" i="12" s="1"/>
  <c r="M460" i="6"/>
  <c r="M460" i="23" s="1"/>
  <c r="L460" i="6"/>
  <c r="K460" i="6"/>
  <c r="J460" i="6"/>
  <c r="J460" i="23" s="1"/>
  <c r="I460" i="6"/>
  <c r="Q460" i="23" s="1"/>
  <c r="H460" i="6"/>
  <c r="G460" i="6"/>
  <c r="F460" i="6"/>
  <c r="E460" i="6"/>
  <c r="E460" i="9" s="1"/>
  <c r="N459" i="6"/>
  <c r="M459" i="6"/>
  <c r="M459" i="23" s="1"/>
  <c r="L459" i="6"/>
  <c r="F459" i="12" s="1"/>
  <c r="K459" i="6"/>
  <c r="J459" i="6"/>
  <c r="J459" i="23" s="1"/>
  <c r="I459" i="6"/>
  <c r="Q459" i="23" s="1"/>
  <c r="H459" i="6"/>
  <c r="G459" i="6"/>
  <c r="F459" i="6"/>
  <c r="E459" i="6"/>
  <c r="E459" i="9" s="1"/>
  <c r="N458" i="6"/>
  <c r="E458" i="12" s="1"/>
  <c r="M458" i="6"/>
  <c r="M458" i="23" s="1"/>
  <c r="L458" i="6"/>
  <c r="F458" i="12" s="1"/>
  <c r="K458" i="6"/>
  <c r="J458" i="6"/>
  <c r="J458" i="23" s="1"/>
  <c r="I458" i="6"/>
  <c r="Q458" i="23" s="1"/>
  <c r="H458" i="6"/>
  <c r="G458" i="6"/>
  <c r="F458" i="6"/>
  <c r="E458" i="6"/>
  <c r="E458" i="9" s="1"/>
  <c r="N457" i="6"/>
  <c r="E457" i="12" s="1"/>
  <c r="G457" i="12" s="1"/>
  <c r="I415" i="31" s="1"/>
  <c r="M457" i="6"/>
  <c r="M457" i="23" s="1"/>
  <c r="L457" i="6"/>
  <c r="F457" i="12" s="1"/>
  <c r="K457" i="6"/>
  <c r="J457" i="6"/>
  <c r="J457" i="23" s="1"/>
  <c r="I457" i="6"/>
  <c r="Q457" i="23" s="1"/>
  <c r="H457" i="6"/>
  <c r="G457" i="6"/>
  <c r="F457" i="6"/>
  <c r="E457" i="6"/>
  <c r="E457" i="9" s="1"/>
  <c r="N456" i="6"/>
  <c r="E456" i="12" s="1"/>
  <c r="M456" i="6"/>
  <c r="M456" i="23" s="1"/>
  <c r="L456" i="6"/>
  <c r="K456" i="6"/>
  <c r="J456" i="6"/>
  <c r="J456" i="23" s="1"/>
  <c r="I456" i="6"/>
  <c r="Q456" i="23" s="1"/>
  <c r="H456" i="6"/>
  <c r="G456" i="6"/>
  <c r="F456" i="6"/>
  <c r="E456" i="6"/>
  <c r="E456" i="9" s="1"/>
  <c r="N455" i="6"/>
  <c r="M455" i="6"/>
  <c r="M455" i="23" s="1"/>
  <c r="L455" i="6"/>
  <c r="F455" i="12" s="1"/>
  <c r="K455" i="6"/>
  <c r="J455" i="6"/>
  <c r="J455" i="23" s="1"/>
  <c r="I455" i="6"/>
  <c r="Q455" i="23" s="1"/>
  <c r="H455" i="6"/>
  <c r="G455" i="6"/>
  <c r="F455" i="6"/>
  <c r="E455" i="6"/>
  <c r="E455" i="9" s="1"/>
  <c r="N454" i="6"/>
  <c r="E454" i="12" s="1"/>
  <c r="M454" i="6"/>
  <c r="M454" i="23" s="1"/>
  <c r="L454" i="6"/>
  <c r="F454" i="12" s="1"/>
  <c r="L453" i="6"/>
  <c r="K454" i="6"/>
  <c r="P454" i="23" s="1"/>
  <c r="J454" i="6"/>
  <c r="J454" i="23" s="1"/>
  <c r="I454" i="6"/>
  <c r="Q454" i="23" s="1"/>
  <c r="H454" i="6"/>
  <c r="G454" i="6"/>
  <c r="F454" i="6"/>
  <c r="E454" i="6"/>
  <c r="E454" i="9" s="1"/>
  <c r="N452" i="6"/>
  <c r="M452" i="6"/>
  <c r="M452" i="23" s="1"/>
  <c r="L452" i="6"/>
  <c r="K452" i="6"/>
  <c r="P452" i="23" s="1"/>
  <c r="R452" i="23" s="1"/>
  <c r="Z411" i="31" s="1"/>
  <c r="J452" i="6"/>
  <c r="J452" i="23" s="1"/>
  <c r="I452" i="6"/>
  <c r="Q452" i="23" s="1"/>
  <c r="H452" i="6"/>
  <c r="G452" i="6"/>
  <c r="F452" i="6"/>
  <c r="E452" i="6"/>
  <c r="E452" i="9" s="1"/>
  <c r="N451" i="6"/>
  <c r="M451" i="6"/>
  <c r="M451" i="23" s="1"/>
  <c r="L451" i="6"/>
  <c r="K451" i="6"/>
  <c r="J451" i="6"/>
  <c r="J451" i="23" s="1"/>
  <c r="I451" i="6"/>
  <c r="Q451" i="23" s="1"/>
  <c r="H451" i="6"/>
  <c r="G451" i="6"/>
  <c r="F451" i="6"/>
  <c r="E451" i="6"/>
  <c r="E451" i="9" s="1"/>
  <c r="N450" i="6"/>
  <c r="M450" i="6"/>
  <c r="M450" i="23" s="1"/>
  <c r="L450" i="6"/>
  <c r="K450" i="6"/>
  <c r="P450" i="23" s="1"/>
  <c r="R450" i="23" s="1"/>
  <c r="Z409" i="31" s="1"/>
  <c r="J450" i="6"/>
  <c r="J450" i="23" s="1"/>
  <c r="I450" i="6"/>
  <c r="Q450" i="23" s="1"/>
  <c r="H450" i="6"/>
  <c r="G450" i="6"/>
  <c r="F450" i="6"/>
  <c r="E450" i="6"/>
  <c r="E450" i="9" s="1"/>
  <c r="N449" i="6"/>
  <c r="M449" i="6"/>
  <c r="M449" i="23" s="1"/>
  <c r="L449" i="6"/>
  <c r="K449" i="6"/>
  <c r="J449" i="6"/>
  <c r="J449" i="23" s="1"/>
  <c r="I449" i="6"/>
  <c r="Q449" i="23" s="1"/>
  <c r="H449" i="6"/>
  <c r="G449" i="6"/>
  <c r="F449" i="6"/>
  <c r="E449" i="6"/>
  <c r="E449" i="9" s="1"/>
  <c r="N448" i="6"/>
  <c r="M448" i="6"/>
  <c r="M448" i="23" s="1"/>
  <c r="L448" i="6"/>
  <c r="K448" i="6"/>
  <c r="P448" i="23" s="1"/>
  <c r="R448" i="23" s="1"/>
  <c r="Z407" i="31" s="1"/>
  <c r="J448" i="6"/>
  <c r="J448" i="23" s="1"/>
  <c r="I448" i="6"/>
  <c r="Q448" i="23" s="1"/>
  <c r="H448" i="6"/>
  <c r="G448" i="6"/>
  <c r="F448" i="6"/>
  <c r="E448" i="6"/>
  <c r="E448" i="9" s="1"/>
  <c r="N447" i="6"/>
  <c r="N446" i="6"/>
  <c r="E446" i="12" s="1"/>
  <c r="M447" i="6"/>
  <c r="M447" i="23" s="1"/>
  <c r="M446" i="6"/>
  <c r="M446" i="23" s="1"/>
  <c r="L447" i="6"/>
  <c r="L446" i="6"/>
  <c r="F446" i="12" s="1"/>
  <c r="K447" i="6"/>
  <c r="K446" i="6"/>
  <c r="P446" i="23" s="1"/>
  <c r="J447" i="6"/>
  <c r="J447" i="23" s="1"/>
  <c r="J446" i="6"/>
  <c r="J446" i="23" s="1"/>
  <c r="I447" i="6"/>
  <c r="Q447" i="23" s="1"/>
  <c r="I446" i="6"/>
  <c r="Q446" i="23" s="1"/>
  <c r="H447" i="6"/>
  <c r="H446" i="6"/>
  <c r="G447" i="6"/>
  <c r="G446" i="6"/>
  <c r="F447" i="6"/>
  <c r="E447" i="6"/>
  <c r="E447" i="9" s="1"/>
  <c r="F446" i="6"/>
  <c r="E446" i="6"/>
  <c r="E446" i="9" s="1"/>
  <c r="N441" i="6"/>
  <c r="M441" i="6"/>
  <c r="M441" i="23" s="1"/>
  <c r="L441" i="6"/>
  <c r="K441" i="6"/>
  <c r="P441" i="23" s="1"/>
  <c r="J441" i="6"/>
  <c r="J441" i="23" s="1"/>
  <c r="I441" i="6"/>
  <c r="Q441" i="23" s="1"/>
  <c r="H441" i="6"/>
  <c r="G441" i="6"/>
  <c r="F441" i="6"/>
  <c r="E441" i="6"/>
  <c r="E441" i="9" s="1"/>
  <c r="N440" i="6"/>
  <c r="M440" i="6"/>
  <c r="M440" i="23" s="1"/>
  <c r="L440" i="6"/>
  <c r="K440" i="6"/>
  <c r="J440" i="6"/>
  <c r="J440" i="23" s="1"/>
  <c r="I440" i="6"/>
  <c r="Q440" i="23" s="1"/>
  <c r="H440" i="6"/>
  <c r="G440" i="6"/>
  <c r="F440" i="6"/>
  <c r="E440" i="6"/>
  <c r="E440" i="9" s="1"/>
  <c r="N439" i="6"/>
  <c r="M439" i="6"/>
  <c r="M439" i="23" s="1"/>
  <c r="L439" i="6"/>
  <c r="K439" i="6"/>
  <c r="P439" i="23" s="1"/>
  <c r="R439" i="23" s="1"/>
  <c r="Z399" i="31" s="1"/>
  <c r="J439" i="6"/>
  <c r="J439" i="23" s="1"/>
  <c r="I438" i="6"/>
  <c r="Q438" i="23" s="1"/>
  <c r="I439" i="6"/>
  <c r="Q439" i="23" s="1"/>
  <c r="H439" i="6"/>
  <c r="G439" i="6"/>
  <c r="F439" i="6"/>
  <c r="E439" i="6"/>
  <c r="E439" i="9" s="1"/>
  <c r="N438" i="6"/>
  <c r="M438" i="6"/>
  <c r="M438" i="23" s="1"/>
  <c r="L438" i="6"/>
  <c r="F427" i="12" s="1"/>
  <c r="K438" i="6"/>
  <c r="J438" i="6"/>
  <c r="J438" i="23" s="1"/>
  <c r="H438" i="6"/>
  <c r="G438" i="6"/>
  <c r="F438" i="6"/>
  <c r="E438" i="6"/>
  <c r="E438" i="9" s="1"/>
  <c r="N437" i="6"/>
  <c r="M437" i="6"/>
  <c r="M437" i="23" s="1"/>
  <c r="L437" i="6"/>
  <c r="K437" i="6"/>
  <c r="P437" i="23" s="1"/>
  <c r="J437" i="6"/>
  <c r="J437" i="23" s="1"/>
  <c r="I437" i="6"/>
  <c r="Q437" i="23" s="1"/>
  <c r="H437" i="6"/>
  <c r="G437" i="6"/>
  <c r="F437" i="6"/>
  <c r="E437" i="6"/>
  <c r="E437" i="9" s="1"/>
  <c r="N436" i="6"/>
  <c r="N435" i="6"/>
  <c r="E424" i="12" s="1"/>
  <c r="M436" i="6"/>
  <c r="M436" i="23" s="1"/>
  <c r="M435" i="6"/>
  <c r="M435" i="23" s="1"/>
  <c r="L436" i="6"/>
  <c r="L435" i="6"/>
  <c r="F424" i="12" s="1"/>
  <c r="K436" i="6"/>
  <c r="K435" i="6"/>
  <c r="P435" i="23" s="1"/>
  <c r="J436" i="6"/>
  <c r="J436" i="23" s="1"/>
  <c r="J435" i="6"/>
  <c r="J435" i="23" s="1"/>
  <c r="I436" i="6"/>
  <c r="Q436" i="23" s="1"/>
  <c r="I435" i="6"/>
  <c r="Q435" i="23" s="1"/>
  <c r="H436" i="6"/>
  <c r="H435" i="6"/>
  <c r="G436" i="6"/>
  <c r="G435" i="6"/>
  <c r="F436" i="6"/>
  <c r="F435" i="6"/>
  <c r="E436" i="6"/>
  <c r="E436" i="9" s="1"/>
  <c r="E435" i="6"/>
  <c r="E435" i="9" s="1"/>
  <c r="N419" i="6"/>
  <c r="M419" i="6"/>
  <c r="M419" i="23" s="1"/>
  <c r="L419" i="6"/>
  <c r="K419" i="6"/>
  <c r="J419" i="6"/>
  <c r="J419" i="23" s="1"/>
  <c r="I419" i="6"/>
  <c r="Q419" i="23" s="1"/>
  <c r="H419" i="6"/>
  <c r="G419" i="6"/>
  <c r="F419" i="6"/>
  <c r="E419" i="6"/>
  <c r="E419" i="9" s="1"/>
  <c r="N418" i="6"/>
  <c r="M418" i="6"/>
  <c r="M418" i="23" s="1"/>
  <c r="L418" i="6"/>
  <c r="K418" i="6"/>
  <c r="P418" i="23" s="1"/>
  <c r="J418" i="6"/>
  <c r="J418" i="23" s="1"/>
  <c r="I418" i="6"/>
  <c r="Q418" i="23" s="1"/>
  <c r="H418" i="6"/>
  <c r="G418" i="6"/>
  <c r="F418" i="6"/>
  <c r="E418" i="6"/>
  <c r="E418" i="9" s="1"/>
  <c r="N417" i="6"/>
  <c r="M417" i="6"/>
  <c r="M417" i="23" s="1"/>
  <c r="L417" i="6"/>
  <c r="K417" i="6"/>
  <c r="J417" i="6"/>
  <c r="J417" i="23" s="1"/>
  <c r="I417" i="6"/>
  <c r="Q417" i="23" s="1"/>
  <c r="H417" i="6"/>
  <c r="G417" i="6"/>
  <c r="F417" i="6"/>
  <c r="E417" i="6"/>
  <c r="E417" i="9" s="1"/>
  <c r="N416" i="6"/>
  <c r="M416" i="6"/>
  <c r="M416" i="23" s="1"/>
  <c r="L416" i="6"/>
  <c r="K416" i="6"/>
  <c r="P416" i="23" s="1"/>
  <c r="J416" i="6"/>
  <c r="J416" i="23" s="1"/>
  <c r="I416" i="6"/>
  <c r="Q416" i="23" s="1"/>
  <c r="H416" i="6"/>
  <c r="G416" i="6"/>
  <c r="F416" i="6"/>
  <c r="E416" i="6"/>
  <c r="E416" i="9" s="1"/>
  <c r="N415" i="6"/>
  <c r="M415" i="6"/>
  <c r="M415" i="23" s="1"/>
  <c r="L415" i="6"/>
  <c r="K414" i="6"/>
  <c r="P414" i="23" s="1"/>
  <c r="K415" i="6"/>
  <c r="J415" i="6"/>
  <c r="J415" i="23" s="1"/>
  <c r="I415" i="6"/>
  <c r="Q415" i="23" s="1"/>
  <c r="H415" i="6"/>
  <c r="G415" i="6"/>
  <c r="F415" i="6"/>
  <c r="E415" i="6"/>
  <c r="E415" i="9" s="1"/>
  <c r="N414" i="6"/>
  <c r="E414" i="12" s="1"/>
  <c r="G414" i="12" s="1"/>
  <c r="I376" i="31" s="1"/>
  <c r="M414" i="6"/>
  <c r="M414" i="23" s="1"/>
  <c r="L414" i="6"/>
  <c r="F414" i="12" s="1"/>
  <c r="J414" i="6"/>
  <c r="J414" i="23" s="1"/>
  <c r="I414" i="6"/>
  <c r="Q414" i="23" s="1"/>
  <c r="H414" i="6"/>
  <c r="G414" i="6"/>
  <c r="F414" i="6"/>
  <c r="E414" i="6"/>
  <c r="E414" i="9" s="1"/>
  <c r="N413" i="6"/>
  <c r="N412" i="6"/>
  <c r="E412" i="12" s="1"/>
  <c r="M412" i="6"/>
  <c r="M412" i="23" s="1"/>
  <c r="M413" i="6"/>
  <c r="M413" i="23" s="1"/>
  <c r="L413" i="6"/>
  <c r="L412" i="6"/>
  <c r="F412" i="12" s="1"/>
  <c r="K413" i="6"/>
  <c r="K412" i="6"/>
  <c r="P412" i="23" s="1"/>
  <c r="J413" i="6"/>
  <c r="J413" i="23" s="1"/>
  <c r="J412" i="6"/>
  <c r="J412" i="23" s="1"/>
  <c r="I413" i="6"/>
  <c r="Q413" i="23" s="1"/>
  <c r="I412" i="6"/>
  <c r="Q412" i="23" s="1"/>
  <c r="H413" i="6"/>
  <c r="H412" i="6"/>
  <c r="G413" i="6"/>
  <c r="G412" i="6"/>
  <c r="F412" i="6"/>
  <c r="F413" i="6"/>
  <c r="E412" i="6"/>
  <c r="E412" i="9" s="1"/>
  <c r="E413" i="6"/>
  <c r="E413" i="9" s="1"/>
  <c r="N408" i="6"/>
  <c r="M408" i="6"/>
  <c r="M408" i="23" s="1"/>
  <c r="L408" i="6"/>
  <c r="K408" i="6"/>
  <c r="P408" i="23" s="1"/>
  <c r="R408" i="23" s="1"/>
  <c r="Z371" i="31" s="1"/>
  <c r="J408" i="6"/>
  <c r="J408" i="23" s="1"/>
  <c r="I408" i="6"/>
  <c r="Q408" i="23" s="1"/>
  <c r="H408" i="6"/>
  <c r="G408" i="6"/>
  <c r="F408" i="6"/>
  <c r="E408" i="6"/>
  <c r="E408" i="9" s="1"/>
  <c r="N407" i="6"/>
  <c r="M407" i="6"/>
  <c r="M407" i="23" s="1"/>
  <c r="L407" i="6"/>
  <c r="K407" i="6"/>
  <c r="J407" i="6"/>
  <c r="J407" i="23" s="1"/>
  <c r="I407" i="6"/>
  <c r="Q407" i="23" s="1"/>
  <c r="H407" i="6"/>
  <c r="G407" i="6"/>
  <c r="F407" i="6"/>
  <c r="E407" i="6"/>
  <c r="E407" i="9" s="1"/>
  <c r="N406" i="6"/>
  <c r="M406" i="6"/>
  <c r="M406" i="23" s="1"/>
  <c r="L406" i="6"/>
  <c r="K406" i="6"/>
  <c r="P406" i="23" s="1"/>
  <c r="R406" i="23" s="1"/>
  <c r="Z369" i="31" s="1"/>
  <c r="J406" i="6"/>
  <c r="J406" i="23" s="1"/>
  <c r="I406" i="6"/>
  <c r="Q406" i="23" s="1"/>
  <c r="H406" i="6"/>
  <c r="G406" i="6"/>
  <c r="F406" i="6"/>
  <c r="E406" i="6"/>
  <c r="E406" i="9" s="1"/>
  <c r="N405" i="6"/>
  <c r="N404" i="6"/>
  <c r="E404" i="12" s="1"/>
  <c r="M405" i="6"/>
  <c r="M405" i="23" s="1"/>
  <c r="M404" i="6"/>
  <c r="M404" i="23" s="1"/>
  <c r="L405" i="6"/>
  <c r="L404" i="6"/>
  <c r="F404" i="12" s="1"/>
  <c r="K405" i="6"/>
  <c r="K404" i="6"/>
  <c r="P404" i="23" s="1"/>
  <c r="J405" i="6"/>
  <c r="J405" i="23" s="1"/>
  <c r="J404" i="6"/>
  <c r="J404" i="23" s="1"/>
  <c r="I405" i="6"/>
  <c r="Q405" i="23" s="1"/>
  <c r="I404" i="6"/>
  <c r="Q404" i="23" s="1"/>
  <c r="H404" i="6"/>
  <c r="H405" i="6"/>
  <c r="G405" i="6"/>
  <c r="G404" i="6"/>
  <c r="F404" i="6"/>
  <c r="F405" i="6"/>
  <c r="E404" i="6"/>
  <c r="E404" i="9" s="1"/>
  <c r="E405" i="6"/>
  <c r="E405" i="9" s="1"/>
  <c r="N403" i="6"/>
  <c r="M403" i="6"/>
  <c r="M403" i="23" s="1"/>
  <c r="L403" i="6"/>
  <c r="K403" i="6"/>
  <c r="J403" i="6"/>
  <c r="J403" i="23" s="1"/>
  <c r="I403" i="6"/>
  <c r="Q403" i="23" s="1"/>
  <c r="H403" i="6"/>
  <c r="G403" i="6"/>
  <c r="F403" i="6"/>
  <c r="E403" i="6"/>
  <c r="E403" i="9" s="1"/>
  <c r="N402" i="6"/>
  <c r="N401" i="6"/>
  <c r="M402" i="6"/>
  <c r="M402" i="23" s="1"/>
  <c r="M401" i="6"/>
  <c r="M401" i="23" s="1"/>
  <c r="L402" i="6"/>
  <c r="L401" i="6"/>
  <c r="F401" i="12" s="1"/>
  <c r="K402" i="6"/>
  <c r="K401" i="6"/>
  <c r="J402" i="6"/>
  <c r="J402" i="23" s="1"/>
  <c r="J401" i="6"/>
  <c r="J401" i="23" s="1"/>
  <c r="I402" i="6"/>
  <c r="Q402" i="23" s="1"/>
  <c r="I401" i="6"/>
  <c r="Q401" i="23" s="1"/>
  <c r="H401" i="6"/>
  <c r="H402" i="6"/>
  <c r="G402" i="6"/>
  <c r="G401" i="6"/>
  <c r="F402" i="6"/>
  <c r="F401" i="6"/>
  <c r="E402" i="6"/>
  <c r="E402" i="9" s="1"/>
  <c r="E401" i="6"/>
  <c r="E401" i="9" s="1"/>
  <c r="N386" i="6"/>
  <c r="M386" i="6"/>
  <c r="M386" i="23" s="1"/>
  <c r="L386" i="6"/>
  <c r="K386" i="6"/>
  <c r="P386" i="23" s="1"/>
  <c r="R386" i="23" s="1"/>
  <c r="Z351" i="31" s="1"/>
  <c r="J386" i="6"/>
  <c r="J386" i="23" s="1"/>
  <c r="I386" i="6"/>
  <c r="Q386" i="23" s="1"/>
  <c r="H386" i="6"/>
  <c r="G386" i="6"/>
  <c r="F386" i="6"/>
  <c r="E386" i="6"/>
  <c r="E386" i="9" s="1"/>
  <c r="N385" i="6"/>
  <c r="M385" i="6"/>
  <c r="M385" i="23" s="1"/>
  <c r="L385" i="6"/>
  <c r="K385" i="6"/>
  <c r="J385" i="6"/>
  <c r="J385" i="23" s="1"/>
  <c r="I385" i="6"/>
  <c r="Q385" i="23" s="1"/>
  <c r="H385" i="6"/>
  <c r="G385" i="6"/>
  <c r="F385" i="6"/>
  <c r="E385" i="6"/>
  <c r="E385" i="9" s="1"/>
  <c r="N384" i="6"/>
  <c r="M384" i="6"/>
  <c r="M384" i="23" s="1"/>
  <c r="L384" i="6"/>
  <c r="K384" i="6"/>
  <c r="P384" i="23" s="1"/>
  <c r="R384" i="23" s="1"/>
  <c r="Z349" i="31" s="1"/>
  <c r="J384" i="6"/>
  <c r="J384" i="23" s="1"/>
  <c r="I384" i="6"/>
  <c r="Q384" i="23" s="1"/>
  <c r="H384" i="6"/>
  <c r="G383" i="6"/>
  <c r="G382" i="6"/>
  <c r="G384" i="6"/>
  <c r="F384" i="6"/>
  <c r="E384" i="6"/>
  <c r="E384" i="9" s="1"/>
  <c r="N383" i="6"/>
  <c r="N382" i="6"/>
  <c r="E382" i="12" s="1"/>
  <c r="M383" i="6"/>
  <c r="M383" i="23" s="1"/>
  <c r="M382" i="6"/>
  <c r="M382" i="23" s="1"/>
  <c r="L383" i="6"/>
  <c r="L382" i="6"/>
  <c r="F382" i="12" s="1"/>
  <c r="K383" i="6"/>
  <c r="K382" i="6"/>
  <c r="P382" i="23" s="1"/>
  <c r="J383" i="6"/>
  <c r="J383" i="23" s="1"/>
  <c r="J382" i="6"/>
  <c r="J382" i="23" s="1"/>
  <c r="I383" i="6"/>
  <c r="Q383" i="23" s="1"/>
  <c r="I382" i="6"/>
  <c r="Q382" i="23" s="1"/>
  <c r="H383" i="6"/>
  <c r="H382" i="6"/>
  <c r="F383" i="6"/>
  <c r="F382" i="6"/>
  <c r="E383" i="6"/>
  <c r="E383" i="9" s="1"/>
  <c r="E382" i="6"/>
  <c r="E382" i="9" s="1"/>
  <c r="N364" i="6"/>
  <c r="M364" i="6"/>
  <c r="M364" i="23" s="1"/>
  <c r="L364" i="6"/>
  <c r="K364" i="6"/>
  <c r="P364" i="23" s="1"/>
  <c r="J364" i="6"/>
  <c r="J364" i="23" s="1"/>
  <c r="I364" i="6"/>
  <c r="Q364" i="23" s="1"/>
  <c r="H364" i="6"/>
  <c r="G364" i="6"/>
  <c r="F364" i="6"/>
  <c r="E364" i="6"/>
  <c r="E364" i="9" s="1"/>
  <c r="N363" i="6"/>
  <c r="M362" i="6"/>
  <c r="M362" i="23" s="1"/>
  <c r="M363" i="6"/>
  <c r="M363" i="23" s="1"/>
  <c r="L363" i="6"/>
  <c r="K363" i="6"/>
  <c r="J363" i="6"/>
  <c r="J363" i="23" s="1"/>
  <c r="I363" i="6"/>
  <c r="Q363" i="23" s="1"/>
  <c r="H363" i="6"/>
  <c r="G363" i="6"/>
  <c r="F363" i="6"/>
  <c r="E363" i="6"/>
  <c r="E363" i="9" s="1"/>
  <c r="N362" i="6"/>
  <c r="E362" i="12" s="1"/>
  <c r="L362" i="6"/>
  <c r="K362" i="6"/>
  <c r="P362" i="23" s="1"/>
  <c r="J362" i="6"/>
  <c r="J362" i="23" s="1"/>
  <c r="I362" i="6"/>
  <c r="Q362" i="23" s="1"/>
  <c r="H362" i="6"/>
  <c r="G362" i="6"/>
  <c r="F362" i="6"/>
  <c r="E362" i="6"/>
  <c r="E362" i="9" s="1"/>
  <c r="N361" i="6"/>
  <c r="M361" i="6"/>
  <c r="M361" i="23" s="1"/>
  <c r="L361" i="6"/>
  <c r="K361" i="6"/>
  <c r="J361" i="6"/>
  <c r="J361" i="23" s="1"/>
  <c r="I361" i="6"/>
  <c r="Q361" i="23" s="1"/>
  <c r="H361" i="6"/>
  <c r="G361" i="6"/>
  <c r="F361" i="6"/>
  <c r="E361" i="6"/>
  <c r="E361" i="9" s="1"/>
  <c r="N360" i="6"/>
  <c r="M360" i="6"/>
  <c r="M360" i="23" s="1"/>
  <c r="L360" i="6"/>
  <c r="K360" i="6"/>
  <c r="P360" i="23" s="1"/>
  <c r="J360" i="6"/>
  <c r="J360" i="23" s="1"/>
  <c r="I360" i="6"/>
  <c r="Q360" i="23" s="1"/>
  <c r="H360" i="6"/>
  <c r="G360" i="6"/>
  <c r="F360" i="6"/>
  <c r="E360" i="6"/>
  <c r="E360" i="9" s="1"/>
  <c r="N359" i="6"/>
  <c r="M359" i="6"/>
  <c r="M359" i="23" s="1"/>
  <c r="L359" i="6"/>
  <c r="K359" i="6"/>
  <c r="J359" i="6"/>
  <c r="J359" i="23" s="1"/>
  <c r="I359" i="6"/>
  <c r="Q359" i="23" s="1"/>
  <c r="H359" i="6"/>
  <c r="G359" i="6"/>
  <c r="F359" i="6"/>
  <c r="E359" i="6"/>
  <c r="E359" i="9" s="1"/>
  <c r="N358" i="6"/>
  <c r="M358" i="6"/>
  <c r="M358" i="23" s="1"/>
  <c r="L358" i="6"/>
  <c r="K358" i="6"/>
  <c r="P358" i="23" s="1"/>
  <c r="J358" i="6"/>
  <c r="J358" i="23" s="1"/>
  <c r="I358" i="6"/>
  <c r="Q358" i="23" s="1"/>
  <c r="H358" i="6"/>
  <c r="G358" i="6"/>
  <c r="F358" i="6"/>
  <c r="E358" i="6"/>
  <c r="E358" i="9" s="1"/>
  <c r="N357" i="6"/>
  <c r="M357" i="6"/>
  <c r="M357" i="23" s="1"/>
  <c r="L357" i="6"/>
  <c r="L356" i="6"/>
  <c r="F354" i="12" s="1"/>
  <c r="K357" i="6"/>
  <c r="J357" i="6"/>
  <c r="J357" i="23" s="1"/>
  <c r="I357" i="6"/>
  <c r="Q357" i="23" s="1"/>
  <c r="H357" i="6"/>
  <c r="G357" i="6"/>
  <c r="F357" i="6"/>
  <c r="E357" i="6"/>
  <c r="E357" i="9" s="1"/>
  <c r="N342" i="6"/>
  <c r="E342" i="12" s="1"/>
  <c r="G342" i="12" s="1"/>
  <c r="I311" i="31" s="1"/>
  <c r="M342" i="6"/>
  <c r="M342" i="23" s="1"/>
  <c r="L342" i="6"/>
  <c r="F342" i="12" s="1"/>
  <c r="K342" i="6"/>
  <c r="J342" i="6"/>
  <c r="J342" i="23" s="1"/>
  <c r="I342" i="6"/>
  <c r="Q342" i="23" s="1"/>
  <c r="H342" i="6"/>
  <c r="G342" i="6"/>
  <c r="F342" i="6"/>
  <c r="E342" i="6"/>
  <c r="E342" i="9" s="1"/>
  <c r="N341" i="6"/>
  <c r="E341" i="12" s="1"/>
  <c r="M341" i="6"/>
  <c r="M341" i="23" s="1"/>
  <c r="L341" i="6"/>
  <c r="K341" i="6"/>
  <c r="J341" i="6"/>
  <c r="J341" i="23" s="1"/>
  <c r="I341" i="6"/>
  <c r="Q341" i="23" s="1"/>
  <c r="H341" i="6"/>
  <c r="G341" i="6"/>
  <c r="F341" i="6"/>
  <c r="E341" i="6"/>
  <c r="E341" i="9" s="1"/>
  <c r="N340" i="6"/>
  <c r="E340" i="12" s="1"/>
  <c r="G340" i="12" s="1"/>
  <c r="I309" i="31" s="1"/>
  <c r="M340" i="6"/>
  <c r="M340" i="23" s="1"/>
  <c r="L340" i="6"/>
  <c r="F340" i="12" s="1"/>
  <c r="K340" i="6"/>
  <c r="J340" i="6"/>
  <c r="J340" i="23" s="1"/>
  <c r="I340" i="6"/>
  <c r="Q340" i="23" s="1"/>
  <c r="H340" i="6"/>
  <c r="G340" i="6"/>
  <c r="F340" i="6"/>
  <c r="E340" i="6"/>
  <c r="E340" i="9" s="1"/>
  <c r="N339" i="6"/>
  <c r="M339" i="6"/>
  <c r="M339" i="23" s="1"/>
  <c r="L339" i="6"/>
  <c r="F339" i="12" s="1"/>
  <c r="K339" i="6"/>
  <c r="J339" i="6"/>
  <c r="J339" i="23" s="1"/>
  <c r="I339" i="6"/>
  <c r="Q339" i="23" s="1"/>
  <c r="H339" i="6"/>
  <c r="G339" i="6"/>
  <c r="F339" i="6"/>
  <c r="E339" i="6"/>
  <c r="E339" i="9" s="1"/>
  <c r="N338" i="6"/>
  <c r="E338" i="12" s="1"/>
  <c r="N337" i="6"/>
  <c r="M338" i="6"/>
  <c r="M338" i="23" s="1"/>
  <c r="M337" i="6"/>
  <c r="M337" i="23" s="1"/>
  <c r="L338" i="6"/>
  <c r="F338" i="12" s="1"/>
  <c r="L337" i="6"/>
  <c r="K338" i="6"/>
  <c r="P338" i="23" s="1"/>
  <c r="K337" i="6"/>
  <c r="J338" i="6"/>
  <c r="J338" i="23" s="1"/>
  <c r="J337" i="6"/>
  <c r="J337" i="23" s="1"/>
  <c r="I338" i="6"/>
  <c r="Q338" i="23" s="1"/>
  <c r="I337" i="6"/>
  <c r="Q337" i="23" s="1"/>
  <c r="H338" i="6"/>
  <c r="H337" i="6"/>
  <c r="G338" i="6"/>
  <c r="G337" i="6"/>
  <c r="F338" i="6"/>
  <c r="F337" i="6"/>
  <c r="E338" i="6"/>
  <c r="E338" i="9" s="1"/>
  <c r="E337" i="6"/>
  <c r="E337" i="9" s="1"/>
  <c r="N298" i="6"/>
  <c r="E298" i="12" s="1"/>
  <c r="G298" i="12" s="1"/>
  <c r="I271" i="31" s="1"/>
  <c r="M298" i="6"/>
  <c r="M298" i="23" s="1"/>
  <c r="L298" i="6"/>
  <c r="F298" i="12" s="1"/>
  <c r="K298" i="6"/>
  <c r="J298" i="6"/>
  <c r="J298" i="23" s="1"/>
  <c r="I298" i="6"/>
  <c r="Q298" i="23" s="1"/>
  <c r="H298" i="6"/>
  <c r="G298" i="6"/>
  <c r="F298" i="6"/>
  <c r="E298" i="6"/>
  <c r="E298" i="9" s="1"/>
  <c r="N297" i="6"/>
  <c r="M297" i="6"/>
  <c r="M297" i="23" s="1"/>
  <c r="L297" i="6"/>
  <c r="F297" i="12" s="1"/>
  <c r="K297" i="6"/>
  <c r="J297" i="6"/>
  <c r="J297" i="23" s="1"/>
  <c r="I297" i="6"/>
  <c r="Q297" i="23" s="1"/>
  <c r="H297" i="6"/>
  <c r="G297" i="6"/>
  <c r="F297" i="6"/>
  <c r="E297" i="6"/>
  <c r="E297" i="9" s="1"/>
  <c r="N296" i="6"/>
  <c r="E296" i="12" s="1"/>
  <c r="G296" i="12" s="1"/>
  <c r="I269" i="31" s="1"/>
  <c r="M296" i="6"/>
  <c r="M296" i="23" s="1"/>
  <c r="L296" i="6"/>
  <c r="F296" i="12" s="1"/>
  <c r="K296" i="6"/>
  <c r="J296" i="6"/>
  <c r="J296" i="23" s="1"/>
  <c r="I296" i="6"/>
  <c r="Q296" i="23" s="1"/>
  <c r="H296" i="6"/>
  <c r="G296" i="6"/>
  <c r="F296" i="6"/>
  <c r="E296" i="6"/>
  <c r="E296" i="9" s="1"/>
  <c r="N295" i="6"/>
  <c r="E295" i="12" s="1"/>
  <c r="M295" i="6"/>
  <c r="M295" i="23" s="1"/>
  <c r="L295" i="6"/>
  <c r="K295" i="6"/>
  <c r="J295" i="6"/>
  <c r="J295" i="23" s="1"/>
  <c r="I295" i="6"/>
  <c r="Q295" i="23" s="1"/>
  <c r="H295" i="6"/>
  <c r="G295" i="6"/>
  <c r="F295" i="6"/>
  <c r="E295" i="6"/>
  <c r="E295" i="9" s="1"/>
  <c r="Q294" i="6"/>
  <c r="E294" i="17" s="1"/>
  <c r="M267" i="31" s="1"/>
  <c r="N294" i="6"/>
  <c r="M294" i="6"/>
  <c r="M294" i="23" s="1"/>
  <c r="L294" i="6"/>
  <c r="K294" i="6"/>
  <c r="P294" i="23" s="1"/>
  <c r="R294" i="23" s="1"/>
  <c r="Z267" i="31" s="1"/>
  <c r="J294" i="6"/>
  <c r="J294" i="23" s="1"/>
  <c r="I294" i="6"/>
  <c r="Q294" i="23" s="1"/>
  <c r="H294" i="6"/>
  <c r="G294" i="6"/>
  <c r="F294" i="6"/>
  <c r="E294" i="6"/>
  <c r="E294" i="9" s="1"/>
  <c r="N293" i="6"/>
  <c r="M293" i="6"/>
  <c r="M293" i="23" s="1"/>
  <c r="L293" i="6"/>
  <c r="K293" i="6"/>
  <c r="J293" i="6"/>
  <c r="J293" i="23" s="1"/>
  <c r="I293" i="6"/>
  <c r="Q293" i="23" s="1"/>
  <c r="H293" i="6"/>
  <c r="G293" i="6"/>
  <c r="F293" i="6"/>
  <c r="E293" i="6"/>
  <c r="E293" i="9" s="1"/>
  <c r="N292" i="6"/>
  <c r="M292" i="6"/>
  <c r="M292" i="23" s="1"/>
  <c r="L292" i="6"/>
  <c r="K292" i="6"/>
  <c r="P292" i="23" s="1"/>
  <c r="R292" i="23" s="1"/>
  <c r="Z265" i="31" s="1"/>
  <c r="J292" i="6"/>
  <c r="J292" i="23" s="1"/>
  <c r="I292" i="6"/>
  <c r="Q292" i="23" s="1"/>
  <c r="H292" i="6"/>
  <c r="G292" i="6"/>
  <c r="F292" i="6"/>
  <c r="E292" i="6"/>
  <c r="E292" i="9" s="1"/>
  <c r="N291" i="6"/>
  <c r="M291" i="6"/>
  <c r="M291" i="23" s="1"/>
  <c r="L291" i="6"/>
  <c r="K291" i="6"/>
  <c r="J290" i="6"/>
  <c r="J290" i="23" s="1"/>
  <c r="J291" i="6"/>
  <c r="J291" i="23" s="1"/>
  <c r="I291" i="6"/>
  <c r="Q291" i="23" s="1"/>
  <c r="H291" i="6"/>
  <c r="G291" i="6"/>
  <c r="F291" i="6"/>
  <c r="E291" i="6"/>
  <c r="E291" i="9" s="1"/>
  <c r="N290" i="6"/>
  <c r="E290" i="12" s="1"/>
  <c r="M290" i="6"/>
  <c r="M290" i="23" s="1"/>
  <c r="L290" i="6"/>
  <c r="F290" i="12" s="1"/>
  <c r="K290" i="6"/>
  <c r="I290" i="6"/>
  <c r="Q290" i="23" s="1"/>
  <c r="H290" i="6"/>
  <c r="G290" i="6"/>
  <c r="F290" i="6"/>
  <c r="E290" i="6"/>
  <c r="E290" i="9" s="1"/>
  <c r="N289" i="6"/>
  <c r="M289" i="6"/>
  <c r="M289" i="23" s="1"/>
  <c r="L289" i="6"/>
  <c r="L288" i="6"/>
  <c r="F288" i="12" s="1"/>
  <c r="K289" i="6"/>
  <c r="J289" i="6"/>
  <c r="J289" i="23" s="1"/>
  <c r="I289" i="6"/>
  <c r="Q289" i="23" s="1"/>
  <c r="H289" i="6"/>
  <c r="G289" i="6"/>
  <c r="F289" i="6"/>
  <c r="E289" i="6"/>
  <c r="E289" i="9" s="1"/>
  <c r="N286" i="6"/>
  <c r="E286" i="12" s="1"/>
  <c r="N287" i="6"/>
  <c r="M286" i="6"/>
  <c r="M286" i="23" s="1"/>
  <c r="M287" i="6"/>
  <c r="M287" i="23" s="1"/>
  <c r="L287" i="6"/>
  <c r="K287" i="6"/>
  <c r="J287" i="6"/>
  <c r="J287" i="23" s="1"/>
  <c r="I287" i="6"/>
  <c r="Q287" i="23" s="1"/>
  <c r="H287" i="6"/>
  <c r="G287" i="6"/>
  <c r="F287" i="6"/>
  <c r="E287" i="6"/>
  <c r="E287" i="9" s="1"/>
  <c r="N285" i="6"/>
  <c r="E285" i="12" s="1"/>
  <c r="M285" i="6"/>
  <c r="M285" i="23" s="1"/>
  <c r="L286" i="6"/>
  <c r="F286" i="12" s="1"/>
  <c r="L285" i="6"/>
  <c r="K286" i="6"/>
  <c r="P286" i="23" s="1"/>
  <c r="K285" i="6"/>
  <c r="J286" i="6"/>
  <c r="J286" i="23" s="1"/>
  <c r="J285" i="6"/>
  <c r="J285" i="23" s="1"/>
  <c r="I286" i="6"/>
  <c r="Q286" i="23" s="1"/>
  <c r="I285" i="6"/>
  <c r="Q285" i="23" s="1"/>
  <c r="H286" i="6"/>
  <c r="H285" i="6"/>
  <c r="G286" i="6"/>
  <c r="G285" i="6"/>
  <c r="F286" i="6"/>
  <c r="F285" i="6"/>
  <c r="E286" i="6"/>
  <c r="E286" i="9" s="1"/>
  <c r="E285" i="6"/>
  <c r="E285" i="9" s="1"/>
  <c r="N276" i="6"/>
  <c r="E276" i="12" s="1"/>
  <c r="G276" i="12" s="1"/>
  <c r="I251" i="31" s="1"/>
  <c r="M276" i="6"/>
  <c r="M276" i="23" s="1"/>
  <c r="L276" i="6"/>
  <c r="F276" i="12" s="1"/>
  <c r="K276" i="6"/>
  <c r="J276" i="6"/>
  <c r="J276" i="23" s="1"/>
  <c r="I276" i="6"/>
  <c r="Q276" i="23" s="1"/>
  <c r="H276" i="6"/>
  <c r="G276" i="6"/>
  <c r="F276" i="6"/>
  <c r="E276" i="6"/>
  <c r="E276" i="9" s="1"/>
  <c r="N275" i="6"/>
  <c r="M275" i="6"/>
  <c r="M275" i="23" s="1"/>
  <c r="L275" i="6"/>
  <c r="K275" i="6"/>
  <c r="J275" i="6"/>
  <c r="J275" i="23" s="1"/>
  <c r="I275" i="6"/>
  <c r="Q275" i="23" s="1"/>
  <c r="H275" i="6"/>
  <c r="G275" i="6"/>
  <c r="F275" i="6"/>
  <c r="E275" i="6"/>
  <c r="E275" i="9" s="1"/>
  <c r="N274" i="6"/>
  <c r="E274" i="12" s="1"/>
  <c r="G274" i="12" s="1"/>
  <c r="I249" i="31" s="1"/>
  <c r="M274" i="6"/>
  <c r="M274" i="23" s="1"/>
  <c r="L274" i="6"/>
  <c r="F274" i="12" s="1"/>
  <c r="K274" i="6"/>
  <c r="J274" i="6"/>
  <c r="J274" i="23" s="1"/>
  <c r="I274" i="6"/>
  <c r="Q274" i="23" s="1"/>
  <c r="H274" i="6"/>
  <c r="G274" i="6"/>
  <c r="F274" i="6"/>
  <c r="E274" i="6"/>
  <c r="E274" i="9" s="1"/>
  <c r="N273" i="6"/>
  <c r="E273" i="12" s="1"/>
  <c r="M273" i="6"/>
  <c r="M273" i="23" s="1"/>
  <c r="L273" i="6"/>
  <c r="F273" i="12" s="1"/>
  <c r="K273" i="6"/>
  <c r="J273" i="6"/>
  <c r="J273" i="23" s="1"/>
  <c r="I273" i="6"/>
  <c r="Q273" i="23" s="1"/>
  <c r="H273" i="6"/>
  <c r="G273" i="6"/>
  <c r="F273" i="6"/>
  <c r="E273" i="6"/>
  <c r="E273" i="9" s="1"/>
  <c r="N272" i="6"/>
  <c r="E272" i="12" s="1"/>
  <c r="G272" i="12" s="1"/>
  <c r="I247" i="31" s="1"/>
  <c r="M272" i="6"/>
  <c r="M272" i="23" s="1"/>
  <c r="L272" i="6"/>
  <c r="F272" i="12" s="1"/>
  <c r="K272" i="6"/>
  <c r="J272" i="6"/>
  <c r="J272" i="23" s="1"/>
  <c r="I272" i="6"/>
  <c r="Q272" i="23" s="1"/>
  <c r="H272" i="6"/>
  <c r="G272" i="6"/>
  <c r="F272" i="6"/>
  <c r="E272" i="6"/>
  <c r="E272" i="9" s="1"/>
  <c r="N271" i="6"/>
  <c r="M271" i="6"/>
  <c r="M271" i="23" s="1"/>
  <c r="L271" i="6"/>
  <c r="K271" i="6"/>
  <c r="J271" i="6"/>
  <c r="J271" i="23" s="1"/>
  <c r="I271" i="6"/>
  <c r="Q271" i="23" s="1"/>
  <c r="H271" i="6"/>
  <c r="G271" i="6"/>
  <c r="F271" i="6"/>
  <c r="E271" i="6"/>
  <c r="E271" i="9" s="1"/>
  <c r="N270" i="6"/>
  <c r="E270" i="12" s="1"/>
  <c r="G270" i="12" s="1"/>
  <c r="I245" i="31" s="1"/>
  <c r="M270" i="6"/>
  <c r="M270" i="23" s="1"/>
  <c r="L270" i="6"/>
  <c r="F270" i="12" s="1"/>
  <c r="K270" i="6"/>
  <c r="J270" i="6"/>
  <c r="J270" i="23" s="1"/>
  <c r="I270" i="6"/>
  <c r="Q270" i="23" s="1"/>
  <c r="H270" i="6"/>
  <c r="G270" i="6"/>
  <c r="F270" i="6"/>
  <c r="E270" i="6"/>
  <c r="E270" i="9" s="1"/>
  <c r="N269" i="6"/>
  <c r="E269" i="12" s="1"/>
  <c r="M269" i="6"/>
  <c r="M269" i="23" s="1"/>
  <c r="L269" i="6"/>
  <c r="F269" i="12" s="1"/>
  <c r="K269" i="6"/>
  <c r="J269" i="6"/>
  <c r="J269" i="23" s="1"/>
  <c r="I269" i="6"/>
  <c r="Q269" i="23" s="1"/>
  <c r="H269" i="6"/>
  <c r="G269" i="6"/>
  <c r="F269" i="6"/>
  <c r="E269" i="6"/>
  <c r="E269" i="9" s="1"/>
  <c r="N268" i="6"/>
  <c r="E268" i="12" s="1"/>
  <c r="G268" i="12" s="1"/>
  <c r="I243" i="31" s="1"/>
  <c r="M268" i="6"/>
  <c r="M268" i="23" s="1"/>
  <c r="L268" i="6"/>
  <c r="F268" i="12" s="1"/>
  <c r="K268" i="6"/>
  <c r="J268" i="6"/>
  <c r="J268" i="23" s="1"/>
  <c r="I268" i="6"/>
  <c r="Q268" i="23" s="1"/>
  <c r="H268" i="6"/>
  <c r="G268" i="6"/>
  <c r="F268" i="6"/>
  <c r="E268" i="6"/>
  <c r="E268" i="9" s="1"/>
  <c r="N267" i="6"/>
  <c r="M267" i="6"/>
  <c r="M267" i="23" s="1"/>
  <c r="L267" i="6"/>
  <c r="L266" i="6"/>
  <c r="K267" i="6"/>
  <c r="J267" i="6"/>
  <c r="J267" i="23" s="1"/>
  <c r="I267" i="6"/>
  <c r="Q267" i="23" s="1"/>
  <c r="H267" i="6"/>
  <c r="G267" i="6"/>
  <c r="F267" i="6"/>
  <c r="E267" i="6"/>
  <c r="E267" i="9" s="1"/>
  <c r="W3" i="6"/>
  <c r="W4" i="6"/>
  <c r="W5" i="6"/>
  <c r="W6" i="6"/>
  <c r="W7" i="6"/>
  <c r="W8" i="6"/>
  <c r="W9" i="6"/>
  <c r="W10" i="6"/>
  <c r="W11" i="6"/>
  <c r="W12" i="6"/>
  <c r="W13" i="6"/>
  <c r="W49" i="6"/>
  <c r="W50" i="6"/>
  <c r="W51" i="6"/>
  <c r="W52" i="6"/>
  <c r="W53" i="6"/>
  <c r="W54" i="6"/>
  <c r="W55" i="6"/>
  <c r="W57" i="6"/>
  <c r="W58" i="6"/>
  <c r="W59" i="6"/>
  <c r="W61" i="6"/>
  <c r="W62" i="6"/>
  <c r="W63" i="6"/>
  <c r="W64" i="6"/>
  <c r="W65" i="6"/>
  <c r="W66" i="6"/>
  <c r="W90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211" i="6"/>
  <c r="W228" i="6"/>
  <c r="W229" i="6"/>
  <c r="W230" i="6"/>
  <c r="W231" i="6"/>
  <c r="W232" i="6"/>
  <c r="W256" i="6"/>
  <c r="W257" i="6"/>
  <c r="W258" i="6"/>
  <c r="W259" i="6"/>
  <c r="W260" i="6"/>
  <c r="W261" i="6"/>
  <c r="W262" i="6"/>
  <c r="W263" i="6"/>
  <c r="W264" i="6"/>
  <c r="W265" i="6"/>
  <c r="W268" i="6"/>
  <c r="W269" i="6"/>
  <c r="W270" i="6"/>
  <c r="W271" i="6"/>
  <c r="W272" i="6"/>
  <c r="W273" i="6"/>
  <c r="W274" i="6"/>
  <c r="W275" i="6"/>
  <c r="W276" i="6"/>
  <c r="W288" i="6"/>
  <c r="W289" i="6"/>
  <c r="W290" i="6"/>
  <c r="W291" i="6"/>
  <c r="W292" i="6"/>
  <c r="W293" i="6"/>
  <c r="W294" i="6"/>
  <c r="W295" i="6"/>
  <c r="W296" i="6"/>
  <c r="W297" i="6"/>
  <c r="W298" i="6"/>
  <c r="W349" i="6"/>
  <c r="W350" i="6"/>
  <c r="W351" i="6"/>
  <c r="W352" i="6"/>
  <c r="W353" i="6"/>
  <c r="W358" i="6"/>
  <c r="W359" i="6"/>
  <c r="W360" i="6"/>
  <c r="W361" i="6"/>
  <c r="W362" i="6"/>
  <c r="W363" i="6"/>
  <c r="W364" i="6"/>
  <c r="W366" i="6"/>
  <c r="W367" i="6"/>
  <c r="W368" i="6"/>
  <c r="W369" i="6"/>
  <c r="W370" i="6"/>
  <c r="W371" i="6"/>
  <c r="W372" i="6"/>
  <c r="W374" i="6"/>
  <c r="W375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453" i="6"/>
  <c r="W455" i="6"/>
  <c r="W456" i="6"/>
  <c r="W457" i="6"/>
  <c r="W458" i="6"/>
  <c r="W459" i="6"/>
  <c r="W460" i="6"/>
  <c r="W461" i="6"/>
  <c r="W462" i="6"/>
  <c r="W464" i="6"/>
  <c r="W465" i="6"/>
  <c r="W466" i="6"/>
  <c r="W467" i="6"/>
  <c r="W468" i="6"/>
  <c r="W469" i="6"/>
  <c r="W470" i="6"/>
  <c r="W471" i="6"/>
  <c r="W472" i="6"/>
  <c r="W473" i="6"/>
  <c r="W474" i="6"/>
  <c r="W558" i="6"/>
  <c r="W559" i="6"/>
  <c r="W560" i="6"/>
  <c r="W561" i="6"/>
  <c r="W629" i="6"/>
  <c r="W630" i="6"/>
  <c r="W631" i="6"/>
  <c r="W632" i="6"/>
  <c r="W633" i="6"/>
  <c r="W634" i="6"/>
  <c r="W635" i="6"/>
  <c r="W636" i="6"/>
  <c r="W637" i="6"/>
  <c r="W638" i="6"/>
  <c r="W639" i="6"/>
  <c r="W685" i="6"/>
  <c r="W686" i="6"/>
  <c r="W687" i="6"/>
  <c r="W688" i="6"/>
  <c r="W689" i="6"/>
  <c r="W690" i="6"/>
  <c r="W691" i="6"/>
  <c r="W692" i="6"/>
  <c r="W693" i="6"/>
  <c r="W718" i="6"/>
  <c r="W719" i="6"/>
  <c r="W720" i="6"/>
  <c r="W721" i="6"/>
  <c r="W722" i="6"/>
  <c r="W723" i="6"/>
  <c r="W724" i="6"/>
  <c r="W725" i="6"/>
  <c r="W726" i="6"/>
  <c r="W730" i="6"/>
  <c r="W731" i="6"/>
  <c r="W733" i="6"/>
  <c r="W734" i="6"/>
  <c r="W735" i="6"/>
  <c r="W736" i="6"/>
  <c r="W737" i="6"/>
  <c r="W738" i="6"/>
  <c r="W740" i="6"/>
  <c r="W741" i="6"/>
  <c r="W742" i="6"/>
  <c r="W743" i="6"/>
  <c r="W744" i="6"/>
  <c r="W745" i="6"/>
  <c r="W746" i="6"/>
  <c r="W747" i="6"/>
  <c r="W748" i="6"/>
  <c r="W749" i="6"/>
  <c r="W754" i="6"/>
  <c r="W755" i="6"/>
  <c r="W756" i="6"/>
  <c r="W757" i="6"/>
  <c r="W758" i="6"/>
  <c r="W759" i="6"/>
  <c r="W762" i="6"/>
  <c r="W763" i="6"/>
  <c r="W764" i="6"/>
  <c r="W765" i="6"/>
  <c r="W766" i="6"/>
  <c r="W767" i="6"/>
  <c r="W768" i="6"/>
  <c r="W769" i="6"/>
  <c r="W770" i="6"/>
  <c r="W771" i="6"/>
  <c r="W801" i="6"/>
  <c r="W802" i="6"/>
  <c r="W803" i="6"/>
  <c r="W804" i="6"/>
  <c r="W833" i="6"/>
  <c r="W834" i="6"/>
  <c r="W835" i="6"/>
  <c r="W836" i="6"/>
  <c r="W837" i="6"/>
  <c r="W843" i="6"/>
  <c r="W844" i="6"/>
  <c r="W845" i="6"/>
  <c r="W846" i="6"/>
  <c r="W847" i="6"/>
  <c r="W848" i="6"/>
  <c r="W861" i="6"/>
  <c r="W862" i="6"/>
  <c r="W863" i="6"/>
  <c r="W887" i="6"/>
  <c r="W888" i="6"/>
  <c r="W889" i="6"/>
  <c r="W890" i="6"/>
  <c r="W891" i="6"/>
  <c r="W892" i="6"/>
  <c r="W900" i="6"/>
  <c r="W901" i="6"/>
  <c r="W902" i="6"/>
  <c r="W903" i="6"/>
  <c r="W911" i="6"/>
  <c r="W912" i="6"/>
  <c r="W913" i="6"/>
  <c r="W914" i="6"/>
  <c r="W916" i="6"/>
  <c r="W917" i="6"/>
  <c r="W918" i="6"/>
  <c r="W919" i="6"/>
  <c r="W920" i="6"/>
  <c r="W921" i="6"/>
  <c r="W922" i="6"/>
  <c r="W923" i="6"/>
  <c r="W924" i="6"/>
  <c r="W925" i="6"/>
  <c r="W927" i="6"/>
  <c r="W928" i="6"/>
  <c r="W929" i="6"/>
  <c r="W930" i="6"/>
  <c r="W931" i="6"/>
  <c r="W932" i="6"/>
  <c r="W933" i="6"/>
  <c r="W934" i="6"/>
  <c r="W935" i="6"/>
  <c r="W936" i="6"/>
  <c r="W972" i="6"/>
  <c r="W973" i="6"/>
  <c r="W974" i="6"/>
  <c r="W975" i="6"/>
  <c r="W976" i="6"/>
  <c r="W977" i="6"/>
  <c r="W978" i="6"/>
  <c r="W979" i="6"/>
  <c r="W980" i="6"/>
  <c r="W1008" i="6"/>
  <c r="W1009" i="6"/>
  <c r="W1011" i="6"/>
  <c r="W1012" i="6"/>
  <c r="W1013" i="6"/>
  <c r="W1015" i="6"/>
  <c r="W1016" i="6"/>
  <c r="W1017" i="6"/>
  <c r="W1018" i="6"/>
  <c r="W1019" i="6"/>
  <c r="W1034" i="6"/>
  <c r="W1035" i="6"/>
  <c r="W1050" i="6"/>
  <c r="W1051" i="6"/>
  <c r="W1052" i="6"/>
  <c r="W1053" i="6"/>
  <c r="W1054" i="6"/>
  <c r="W1055" i="6"/>
  <c r="W1056" i="6"/>
  <c r="W1057" i="6"/>
  <c r="W1123" i="6"/>
  <c r="W1180" i="6"/>
  <c r="W1181" i="6"/>
  <c r="W1182" i="6"/>
  <c r="W1183" i="6"/>
  <c r="W1194" i="6"/>
  <c r="W1195" i="6"/>
  <c r="W1196" i="6"/>
  <c r="W1197" i="6"/>
  <c r="W1198" i="6"/>
  <c r="W1199" i="6"/>
  <c r="W1200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33" i="6"/>
  <c r="W1246" i="6"/>
  <c r="W1247" i="6"/>
  <c r="W1248" i="6"/>
  <c r="W1249" i="6"/>
  <c r="W1250" i="6"/>
  <c r="W1251" i="6"/>
  <c r="W1252" i="6"/>
  <c r="W1253" i="6"/>
  <c r="W1296" i="6"/>
  <c r="W1297" i="6"/>
  <c r="W1298" i="6"/>
  <c r="W1299" i="6"/>
  <c r="W1302" i="6"/>
  <c r="W1303" i="6"/>
  <c r="W1304" i="6"/>
  <c r="W1305" i="6"/>
  <c r="W1306" i="6"/>
  <c r="W1307" i="6"/>
  <c r="W1308" i="6"/>
  <c r="W1309" i="6"/>
  <c r="W1356" i="6"/>
  <c r="W1357" i="6"/>
  <c r="W1358" i="6"/>
  <c r="W1359" i="6"/>
  <c r="W1360" i="6"/>
  <c r="W1361" i="6"/>
  <c r="W1362" i="6"/>
  <c r="W1363" i="6"/>
  <c r="W1364" i="6"/>
  <c r="W1365" i="6"/>
  <c r="W1379" i="6"/>
  <c r="W1380" i="6"/>
  <c r="W1381" i="6"/>
  <c r="W1382" i="6"/>
  <c r="W1383" i="6"/>
  <c r="W1384" i="6"/>
  <c r="W1385" i="6"/>
  <c r="W1386" i="6"/>
  <c r="W1387" i="6"/>
  <c r="W1391" i="6"/>
  <c r="W1392" i="6"/>
  <c r="W1393" i="6"/>
  <c r="W1394" i="6"/>
  <c r="W1395" i="6"/>
  <c r="W1396" i="6"/>
  <c r="W1397" i="6"/>
  <c r="W1398" i="6"/>
  <c r="W1455" i="6"/>
  <c r="W1456" i="6"/>
  <c r="W1457" i="6"/>
  <c r="W1458" i="6"/>
  <c r="W1459" i="6"/>
  <c r="W1460" i="6"/>
  <c r="W1461" i="6"/>
  <c r="W1462" i="6"/>
  <c r="W1463" i="6"/>
  <c r="W1464" i="6"/>
  <c r="W1495" i="6"/>
  <c r="W1496" i="6"/>
  <c r="W1497" i="6"/>
  <c r="W1501" i="6"/>
  <c r="W1502" i="6"/>
  <c r="W1503" i="6"/>
  <c r="W1504" i="6"/>
  <c r="W1505" i="6"/>
  <c r="W1506" i="6"/>
  <c r="W1507" i="6"/>
  <c r="W1508" i="6"/>
  <c r="W1521" i="6"/>
  <c r="W1522" i="6"/>
  <c r="W1523" i="6"/>
  <c r="W1524" i="6"/>
  <c r="W1525" i="6"/>
  <c r="W1526" i="6"/>
  <c r="W1527" i="6"/>
  <c r="W1528" i="6"/>
  <c r="W1530" i="6"/>
  <c r="W1532" i="6"/>
  <c r="W1533" i="6"/>
  <c r="W1534" i="6"/>
  <c r="W1535" i="6"/>
  <c r="W1536" i="6"/>
  <c r="W1537" i="6"/>
  <c r="W1538" i="6"/>
  <c r="W1539" i="6"/>
  <c r="W1540" i="6"/>
  <c r="W1551" i="6"/>
  <c r="W1552" i="6"/>
  <c r="W1587" i="6"/>
  <c r="W1588" i="6"/>
  <c r="W1589" i="6"/>
  <c r="W2" i="6"/>
  <c r="N188" i="6"/>
  <c r="E188" i="12" s="1"/>
  <c r="M188" i="6"/>
  <c r="M188" i="23" s="1"/>
  <c r="L188" i="6"/>
  <c r="F188" i="12" s="1"/>
  <c r="K188" i="6"/>
  <c r="P188" i="23" s="1"/>
  <c r="J188" i="6"/>
  <c r="J188" i="23" s="1"/>
  <c r="I188" i="6"/>
  <c r="Q188" i="23" s="1"/>
  <c r="H188" i="6"/>
  <c r="G188" i="6"/>
  <c r="F188" i="6"/>
  <c r="E188" i="6"/>
  <c r="E188" i="9" s="1"/>
  <c r="N187" i="6"/>
  <c r="E187" i="12" s="1"/>
  <c r="G187" i="12" s="1"/>
  <c r="I170" i="31" s="1"/>
  <c r="M187" i="6"/>
  <c r="M187" i="23" s="1"/>
  <c r="L187" i="6"/>
  <c r="F187" i="12" s="1"/>
  <c r="K187" i="6"/>
  <c r="J187" i="6"/>
  <c r="J187" i="23" s="1"/>
  <c r="I187" i="6"/>
  <c r="Q187" i="23" s="1"/>
  <c r="H187" i="6"/>
  <c r="G187" i="6"/>
  <c r="F187" i="6"/>
  <c r="E187" i="6"/>
  <c r="E187" i="9" s="1"/>
  <c r="N186" i="6"/>
  <c r="E186" i="12" s="1"/>
  <c r="M186" i="6"/>
  <c r="M186" i="23" s="1"/>
  <c r="L186" i="6"/>
  <c r="K186" i="6"/>
  <c r="P186" i="23" s="1"/>
  <c r="J186" i="6"/>
  <c r="J186" i="23" s="1"/>
  <c r="I186" i="6"/>
  <c r="Q186" i="23" s="1"/>
  <c r="H186" i="6"/>
  <c r="G186" i="6"/>
  <c r="F186" i="6"/>
  <c r="E186" i="6"/>
  <c r="E186" i="9" s="1"/>
  <c r="N185" i="6"/>
  <c r="M185" i="6"/>
  <c r="M185" i="23" s="1"/>
  <c r="L185" i="6"/>
  <c r="F185" i="12" s="1"/>
  <c r="K185" i="6"/>
  <c r="J185" i="6"/>
  <c r="J185" i="23" s="1"/>
  <c r="I185" i="6"/>
  <c r="Q185" i="23" s="1"/>
  <c r="H185" i="6"/>
  <c r="G185" i="6"/>
  <c r="F185" i="6"/>
  <c r="E185" i="6"/>
  <c r="E185" i="9" s="1"/>
  <c r="N184" i="6"/>
  <c r="N183" i="6"/>
  <c r="M184" i="6"/>
  <c r="M184" i="23" s="1"/>
  <c r="M183" i="6"/>
  <c r="M183" i="23" s="1"/>
  <c r="L184" i="6"/>
  <c r="F184" i="12" s="1"/>
  <c r="L183" i="6"/>
  <c r="F183" i="12" s="1"/>
  <c r="K184" i="6"/>
  <c r="K183" i="6"/>
  <c r="J184" i="6"/>
  <c r="J184" i="23" s="1"/>
  <c r="J183" i="6"/>
  <c r="J183" i="23" s="1"/>
  <c r="I184" i="6"/>
  <c r="Q184" i="23" s="1"/>
  <c r="I183" i="6"/>
  <c r="Q183" i="23" s="1"/>
  <c r="H184" i="6"/>
  <c r="H183" i="6"/>
  <c r="G184" i="6"/>
  <c r="G183" i="6"/>
  <c r="F184" i="6"/>
  <c r="F183" i="6"/>
  <c r="E184" i="6"/>
  <c r="E183" i="6"/>
  <c r="N199" i="6"/>
  <c r="E199" i="12" s="1"/>
  <c r="M199" i="6"/>
  <c r="M199" i="23" s="1"/>
  <c r="L199" i="6"/>
  <c r="F199" i="12" s="1"/>
  <c r="K199" i="6"/>
  <c r="J199" i="6"/>
  <c r="J199" i="23" s="1"/>
  <c r="I199" i="6"/>
  <c r="Q199" i="23" s="1"/>
  <c r="H199" i="6"/>
  <c r="G199" i="6"/>
  <c r="F199" i="6"/>
  <c r="E199" i="6"/>
  <c r="E199" i="9" s="1"/>
  <c r="N198" i="6"/>
  <c r="E198" i="12" s="1"/>
  <c r="G198" i="12" s="1"/>
  <c r="I180" i="31" s="1"/>
  <c r="M198" i="6"/>
  <c r="M198" i="23" s="1"/>
  <c r="L198" i="6"/>
  <c r="F198" i="12" s="1"/>
  <c r="K198" i="6"/>
  <c r="P198" i="23" s="1"/>
  <c r="R198" i="23" s="1"/>
  <c r="Z180" i="31" s="1"/>
  <c r="J198" i="6"/>
  <c r="J198" i="23" s="1"/>
  <c r="I198" i="6"/>
  <c r="Q198" i="23" s="1"/>
  <c r="H198" i="6"/>
  <c r="G198" i="6"/>
  <c r="F198" i="6"/>
  <c r="E198" i="6"/>
  <c r="E198" i="9" s="1"/>
  <c r="N197" i="6"/>
  <c r="M197" i="6"/>
  <c r="M197" i="23" s="1"/>
  <c r="L197" i="6"/>
  <c r="F197" i="12" s="1"/>
  <c r="K197" i="6"/>
  <c r="J197" i="6"/>
  <c r="J197" i="23" s="1"/>
  <c r="I197" i="6"/>
  <c r="Q197" i="23" s="1"/>
  <c r="H197" i="6"/>
  <c r="G197" i="6"/>
  <c r="F197" i="6"/>
  <c r="E197" i="6"/>
  <c r="E197" i="9" s="1"/>
  <c r="N196" i="6"/>
  <c r="E196" i="12" s="1"/>
  <c r="G196" i="12" s="1"/>
  <c r="I178" i="31" s="1"/>
  <c r="M196" i="6"/>
  <c r="M196" i="23" s="1"/>
  <c r="L196" i="6"/>
  <c r="F196" i="12" s="1"/>
  <c r="K196" i="6"/>
  <c r="P196" i="23" s="1"/>
  <c r="R196" i="23" s="1"/>
  <c r="Z178" i="31" s="1"/>
  <c r="J196" i="6"/>
  <c r="J196" i="23" s="1"/>
  <c r="I196" i="6"/>
  <c r="Q196" i="23" s="1"/>
  <c r="H196" i="6"/>
  <c r="G196" i="6"/>
  <c r="F196" i="6"/>
  <c r="E196" i="6"/>
  <c r="E196" i="9" s="1"/>
  <c r="N195" i="6"/>
  <c r="E195" i="12" s="1"/>
  <c r="M195" i="6"/>
  <c r="M195" i="23" s="1"/>
  <c r="L195" i="6"/>
  <c r="K195" i="6"/>
  <c r="J195" i="6"/>
  <c r="J195" i="23" s="1"/>
  <c r="I195" i="6"/>
  <c r="Q195" i="23" s="1"/>
  <c r="H195" i="6"/>
  <c r="G195" i="6"/>
  <c r="F195" i="6"/>
  <c r="E195" i="6"/>
  <c r="E195" i="9" s="1"/>
  <c r="N194" i="6"/>
  <c r="E194" i="12" s="1"/>
  <c r="G194" i="12" s="1"/>
  <c r="I176" i="31" s="1"/>
  <c r="M194" i="6"/>
  <c r="M194" i="23" s="1"/>
  <c r="L194" i="6"/>
  <c r="F194" i="12" s="1"/>
  <c r="K194" i="6"/>
  <c r="P194" i="23" s="1"/>
  <c r="R194" i="23" s="1"/>
  <c r="Z176" i="31" s="1"/>
  <c r="J194" i="6"/>
  <c r="J194" i="23" s="1"/>
  <c r="I194" i="6"/>
  <c r="Q194" i="23" s="1"/>
  <c r="H194" i="6"/>
  <c r="G194" i="6"/>
  <c r="F194" i="6"/>
  <c r="E194" i="6"/>
  <c r="E194" i="9" s="1"/>
  <c r="N193" i="6"/>
  <c r="M193" i="6"/>
  <c r="M193" i="23" s="1"/>
  <c r="L193" i="6"/>
  <c r="F193" i="12" s="1"/>
  <c r="K193" i="6"/>
  <c r="J193" i="6"/>
  <c r="J193" i="23" s="1"/>
  <c r="I193" i="6"/>
  <c r="Q193" i="23" s="1"/>
  <c r="H193" i="6"/>
  <c r="G193" i="6"/>
  <c r="F193" i="6"/>
  <c r="E193" i="6"/>
  <c r="E193" i="9" s="1"/>
  <c r="N192" i="6"/>
  <c r="E192" i="12" s="1"/>
  <c r="G192" i="12" s="1"/>
  <c r="I174" i="31" s="1"/>
  <c r="M192" i="6"/>
  <c r="M192" i="23" s="1"/>
  <c r="L192" i="6"/>
  <c r="F192" i="12" s="1"/>
  <c r="K192" i="6"/>
  <c r="P192" i="23" s="1"/>
  <c r="R192" i="23" s="1"/>
  <c r="Z174" i="31" s="1"/>
  <c r="J192" i="6"/>
  <c r="J192" i="23" s="1"/>
  <c r="I192" i="6"/>
  <c r="Q192" i="23" s="1"/>
  <c r="H192" i="6"/>
  <c r="G192" i="6"/>
  <c r="F192" i="6"/>
  <c r="E192" i="6"/>
  <c r="E192" i="9" s="1"/>
  <c r="N191" i="6"/>
  <c r="E191" i="12" s="1"/>
  <c r="M191" i="6"/>
  <c r="M191" i="23" s="1"/>
  <c r="L191" i="6"/>
  <c r="F191" i="12" s="1"/>
  <c r="K191" i="6"/>
  <c r="J191" i="6"/>
  <c r="J191" i="23" s="1"/>
  <c r="I191" i="6"/>
  <c r="Q191" i="23" s="1"/>
  <c r="H191" i="6"/>
  <c r="G191" i="6"/>
  <c r="F191" i="6"/>
  <c r="E191" i="6"/>
  <c r="E191" i="9" s="1"/>
  <c r="N190" i="6"/>
  <c r="E190" i="12" s="1"/>
  <c r="G190" i="12" s="1"/>
  <c r="I172" i="31" s="1"/>
  <c r="M190" i="6"/>
  <c r="M190" i="23" s="1"/>
  <c r="L189" i="6"/>
  <c r="F189" i="12" s="1"/>
  <c r="L190" i="6"/>
  <c r="F190" i="12" s="1"/>
  <c r="K190" i="6"/>
  <c r="J190" i="6"/>
  <c r="J190" i="23" s="1"/>
  <c r="I190" i="6"/>
  <c r="Q190" i="23" s="1"/>
  <c r="H190" i="6"/>
  <c r="G190" i="6"/>
  <c r="F190" i="6"/>
  <c r="E190" i="6"/>
  <c r="E190" i="9" s="1"/>
  <c r="N210" i="6"/>
  <c r="M210" i="6"/>
  <c r="M210" i="23" s="1"/>
  <c r="L210" i="6"/>
  <c r="F210" i="12" s="1"/>
  <c r="K210" i="6"/>
  <c r="J210" i="6"/>
  <c r="J210" i="23" s="1"/>
  <c r="I210" i="6"/>
  <c r="Q210" i="23" s="1"/>
  <c r="H210" i="6"/>
  <c r="G210" i="6"/>
  <c r="F210" i="6"/>
  <c r="E210" i="6"/>
  <c r="E210" i="9" s="1"/>
  <c r="N209" i="6"/>
  <c r="E209" i="12" s="1"/>
  <c r="M209" i="6"/>
  <c r="M209" i="23" s="1"/>
  <c r="L209" i="6"/>
  <c r="F209" i="12" s="1"/>
  <c r="K209" i="6"/>
  <c r="J209" i="6"/>
  <c r="J209" i="23" s="1"/>
  <c r="I209" i="6"/>
  <c r="Q209" i="23" s="1"/>
  <c r="H209" i="6"/>
  <c r="G209" i="6"/>
  <c r="F209" i="6"/>
  <c r="E209" i="6"/>
  <c r="E209" i="9" s="1"/>
  <c r="N208" i="6"/>
  <c r="N207" i="6"/>
  <c r="M208" i="6"/>
  <c r="M208" i="23" s="1"/>
  <c r="M207" i="6"/>
  <c r="M207" i="23" s="1"/>
  <c r="L208" i="6"/>
  <c r="F208" i="12" s="1"/>
  <c r="L207" i="6"/>
  <c r="F207" i="12" s="1"/>
  <c r="K208" i="6"/>
  <c r="P208" i="23" s="1"/>
  <c r="K207" i="6"/>
  <c r="J208" i="6"/>
  <c r="J208" i="23" s="1"/>
  <c r="J207" i="6"/>
  <c r="J207" i="23" s="1"/>
  <c r="I208" i="6"/>
  <c r="Q208" i="23" s="1"/>
  <c r="I207" i="6"/>
  <c r="Q207" i="23" s="1"/>
  <c r="H208" i="6"/>
  <c r="H207" i="6"/>
  <c r="G208" i="6"/>
  <c r="G207" i="6"/>
  <c r="F208" i="6"/>
  <c r="F207" i="6"/>
  <c r="E208" i="6"/>
  <c r="E208" i="9" s="1"/>
  <c r="E207" i="6"/>
  <c r="E207" i="9" s="1"/>
  <c r="N206" i="6"/>
  <c r="M206" i="6"/>
  <c r="M206" i="23" s="1"/>
  <c r="L206" i="6"/>
  <c r="F206" i="12" s="1"/>
  <c r="K206" i="6"/>
  <c r="J206" i="6"/>
  <c r="J206" i="23" s="1"/>
  <c r="I206" i="6"/>
  <c r="Q206" i="23" s="1"/>
  <c r="H206" i="6"/>
  <c r="G205" i="6"/>
  <c r="G206" i="6"/>
  <c r="F206" i="6"/>
  <c r="E206" i="6"/>
  <c r="E206" i="9" s="1"/>
  <c r="N205" i="6"/>
  <c r="E205" i="12" s="1"/>
  <c r="M205" i="6"/>
  <c r="M205" i="23" s="1"/>
  <c r="L205" i="6"/>
  <c r="F205" i="12" s="1"/>
  <c r="K205" i="6"/>
  <c r="J205" i="6"/>
  <c r="J205" i="23" s="1"/>
  <c r="I205" i="6"/>
  <c r="Q205" i="23" s="1"/>
  <c r="H205" i="6"/>
  <c r="F205" i="6"/>
  <c r="E205" i="6"/>
  <c r="E205" i="9" s="1"/>
  <c r="N204" i="6"/>
  <c r="M204" i="6"/>
  <c r="M204" i="23" s="1"/>
  <c r="L204" i="6"/>
  <c r="F204" i="12" s="1"/>
  <c r="K204" i="6"/>
  <c r="J204" i="6"/>
  <c r="J204" i="23" s="1"/>
  <c r="I204" i="6"/>
  <c r="Q204" i="23" s="1"/>
  <c r="H204" i="6"/>
  <c r="G204" i="6"/>
  <c r="F204" i="6"/>
  <c r="E204" i="6"/>
  <c r="E204" i="9" s="1"/>
  <c r="N203" i="6"/>
  <c r="E203" i="12" s="1"/>
  <c r="M203" i="6"/>
  <c r="M203" i="23" s="1"/>
  <c r="L203" i="6"/>
  <c r="F203" i="12" s="1"/>
  <c r="K203" i="6"/>
  <c r="J203" i="6"/>
  <c r="J203" i="23" s="1"/>
  <c r="I203" i="6"/>
  <c r="Q203" i="23" s="1"/>
  <c r="H203" i="6"/>
  <c r="G203" i="6"/>
  <c r="F203" i="6"/>
  <c r="E203" i="6"/>
  <c r="E203" i="9" s="1"/>
  <c r="N202" i="6"/>
  <c r="M202" i="6"/>
  <c r="M202" i="23" s="1"/>
  <c r="L202" i="6"/>
  <c r="F202" i="12" s="1"/>
  <c r="K202" i="6"/>
  <c r="J202" i="6"/>
  <c r="J202" i="23" s="1"/>
  <c r="I202" i="6"/>
  <c r="Q202" i="23" s="1"/>
  <c r="H202" i="6"/>
  <c r="G202" i="6"/>
  <c r="F202" i="6"/>
  <c r="E202" i="6"/>
  <c r="E202" i="9" s="1"/>
  <c r="N201" i="6"/>
  <c r="E201" i="12" s="1"/>
  <c r="M201" i="6"/>
  <c r="M201" i="23" s="1"/>
  <c r="L200" i="6"/>
  <c r="F200" i="12" s="1"/>
  <c r="L201" i="6"/>
  <c r="F201" i="12" s="1"/>
  <c r="K201" i="6"/>
  <c r="J201" i="6"/>
  <c r="J201" i="23" s="1"/>
  <c r="I201" i="6"/>
  <c r="Q201" i="23" s="1"/>
  <c r="H201" i="6"/>
  <c r="G201" i="6"/>
  <c r="F201" i="6"/>
  <c r="E201" i="6"/>
  <c r="E201" i="9" s="1"/>
  <c r="N221" i="6"/>
  <c r="E221" i="12" s="1"/>
  <c r="G221" i="12" s="1"/>
  <c r="I201" i="31" s="1"/>
  <c r="M221" i="6"/>
  <c r="M221" i="23" s="1"/>
  <c r="L221" i="6"/>
  <c r="F221" i="12" s="1"/>
  <c r="K221" i="6"/>
  <c r="J221" i="6"/>
  <c r="J221" i="23" s="1"/>
  <c r="I221" i="6"/>
  <c r="Q221" i="23" s="1"/>
  <c r="H221" i="6"/>
  <c r="G221" i="6"/>
  <c r="F221" i="6"/>
  <c r="E221" i="6"/>
  <c r="E221" i="9" s="1"/>
  <c r="N220" i="6"/>
  <c r="E220" i="12" s="1"/>
  <c r="M220" i="6"/>
  <c r="M220" i="23" s="1"/>
  <c r="L220" i="6"/>
  <c r="F220" i="12" s="1"/>
  <c r="K220" i="6"/>
  <c r="P220" i="23" s="1"/>
  <c r="J220" i="6"/>
  <c r="J220" i="23" s="1"/>
  <c r="I220" i="6"/>
  <c r="Q220" i="23" s="1"/>
  <c r="H220" i="6"/>
  <c r="G220" i="6"/>
  <c r="F220" i="6"/>
  <c r="E220" i="6"/>
  <c r="E220" i="9" s="1"/>
  <c r="N219" i="6"/>
  <c r="E219" i="12" s="1"/>
  <c r="G219" i="12" s="1"/>
  <c r="I199" i="31" s="1"/>
  <c r="M219" i="6"/>
  <c r="M219" i="23" s="1"/>
  <c r="L219" i="6"/>
  <c r="F219" i="12" s="1"/>
  <c r="K219" i="6"/>
  <c r="J219" i="6"/>
  <c r="J219" i="23" s="1"/>
  <c r="I219" i="6"/>
  <c r="Q219" i="23" s="1"/>
  <c r="H219" i="6"/>
  <c r="G219" i="6"/>
  <c r="F219" i="6"/>
  <c r="E219" i="6"/>
  <c r="E219" i="9" s="1"/>
  <c r="N218" i="6"/>
  <c r="E218" i="12" s="1"/>
  <c r="M218" i="6"/>
  <c r="M218" i="23" s="1"/>
  <c r="L218" i="6"/>
  <c r="F218" i="12" s="1"/>
  <c r="K218" i="6"/>
  <c r="P218" i="23" s="1"/>
  <c r="J218" i="6"/>
  <c r="J218" i="23" s="1"/>
  <c r="I218" i="6"/>
  <c r="Q218" i="23" s="1"/>
  <c r="H218" i="6"/>
  <c r="G218" i="6"/>
  <c r="F218" i="6"/>
  <c r="E218" i="6"/>
  <c r="E218" i="9" s="1"/>
  <c r="N217" i="6"/>
  <c r="E217" i="12" s="1"/>
  <c r="G217" i="12" s="1"/>
  <c r="I197" i="31" s="1"/>
  <c r="M217" i="6"/>
  <c r="M217" i="23" s="1"/>
  <c r="L217" i="6"/>
  <c r="F217" i="12" s="1"/>
  <c r="K217" i="6"/>
  <c r="J217" i="6"/>
  <c r="J217" i="23" s="1"/>
  <c r="I217" i="6"/>
  <c r="Q217" i="23" s="1"/>
  <c r="H217" i="6"/>
  <c r="G217" i="6"/>
  <c r="F217" i="6"/>
  <c r="E217" i="6"/>
  <c r="E217" i="9" s="1"/>
  <c r="N216" i="6"/>
  <c r="E216" i="12" s="1"/>
  <c r="M216" i="6"/>
  <c r="M216" i="23" s="1"/>
  <c r="L216" i="6"/>
  <c r="F216" i="12" s="1"/>
  <c r="K216" i="6"/>
  <c r="P216" i="23" s="1"/>
  <c r="J216" i="6"/>
  <c r="J216" i="23" s="1"/>
  <c r="I216" i="6"/>
  <c r="Q216" i="23" s="1"/>
  <c r="H216" i="6"/>
  <c r="G216" i="6"/>
  <c r="F216" i="6"/>
  <c r="E216" i="6"/>
  <c r="E216" i="9" s="1"/>
  <c r="N215" i="6"/>
  <c r="N214" i="6"/>
  <c r="M215" i="6"/>
  <c r="M215" i="23" s="1"/>
  <c r="M214" i="6"/>
  <c r="M214" i="23" s="1"/>
  <c r="L215" i="6"/>
  <c r="F215" i="12" s="1"/>
  <c r="L214" i="6"/>
  <c r="F214" i="12" s="1"/>
  <c r="K215" i="6"/>
  <c r="K214" i="6"/>
  <c r="P214" i="23" s="1"/>
  <c r="J215" i="6"/>
  <c r="J215" i="23" s="1"/>
  <c r="J214" i="6"/>
  <c r="J214" i="23" s="1"/>
  <c r="I215" i="6"/>
  <c r="Q215" i="23" s="1"/>
  <c r="I214" i="6"/>
  <c r="Q214" i="23" s="1"/>
  <c r="H215" i="6"/>
  <c r="H214" i="6"/>
  <c r="G215" i="6"/>
  <c r="G214" i="6"/>
  <c r="F214" i="6"/>
  <c r="F215" i="6"/>
  <c r="E215" i="6"/>
  <c r="E215" i="9" s="1"/>
  <c r="E214" i="6"/>
  <c r="E214" i="9" s="1"/>
  <c r="L118" i="6"/>
  <c r="F118" i="12" s="1"/>
  <c r="H45" i="6"/>
  <c r="H44" i="6"/>
  <c r="H43" i="6"/>
  <c r="N132" i="6"/>
  <c r="E132" i="12" s="1"/>
  <c r="L132" i="6"/>
  <c r="K132" i="6"/>
  <c r="J132" i="6"/>
  <c r="J132" i="23" s="1"/>
  <c r="H132" i="6"/>
  <c r="G132" i="6"/>
  <c r="E132" i="6"/>
  <c r="L131" i="6"/>
  <c r="F131" i="12" s="1"/>
  <c r="K131" i="6"/>
  <c r="J131" i="6"/>
  <c r="J131" i="23" s="1"/>
  <c r="I131" i="6"/>
  <c r="Q131" i="23" s="1"/>
  <c r="H131" i="6"/>
  <c r="G131" i="6"/>
  <c r="F131" i="6"/>
  <c r="N130" i="6"/>
  <c r="E130" i="12" s="1"/>
  <c r="M130" i="6"/>
  <c r="M130" i="23" s="1"/>
  <c r="L130" i="6"/>
  <c r="K130" i="6"/>
  <c r="P130" i="23" s="1"/>
  <c r="J130" i="6"/>
  <c r="J130" i="23" s="1"/>
  <c r="I130" i="6"/>
  <c r="Q130" i="23" s="1"/>
  <c r="H130" i="6"/>
  <c r="G130" i="6"/>
  <c r="F130" i="6"/>
  <c r="N129" i="6"/>
  <c r="M129" i="6"/>
  <c r="M129" i="23" s="1"/>
  <c r="L129" i="6"/>
  <c r="F129" i="12" s="1"/>
  <c r="J129" i="6"/>
  <c r="I129" i="6"/>
  <c r="Q129" i="23" s="1"/>
  <c r="H129" i="6"/>
  <c r="G129" i="6"/>
  <c r="F129" i="6"/>
  <c r="N128" i="6"/>
  <c r="L128" i="6"/>
  <c r="F128" i="12" s="1"/>
  <c r="K128" i="6"/>
  <c r="J128" i="6"/>
  <c r="J128" i="23" s="1"/>
  <c r="I128" i="6"/>
  <c r="Q128" i="23" s="1"/>
  <c r="H128" i="6"/>
  <c r="G128" i="6"/>
  <c r="F128" i="6"/>
  <c r="N127" i="6"/>
  <c r="E127" i="12" s="1"/>
  <c r="G127" i="12" s="1"/>
  <c r="I115" i="31" s="1"/>
  <c r="M127" i="6"/>
  <c r="M127" i="23" s="1"/>
  <c r="L127" i="6"/>
  <c r="F127" i="12" s="1"/>
  <c r="K127" i="6"/>
  <c r="J127" i="6"/>
  <c r="J127" i="23" s="1"/>
  <c r="I127" i="6"/>
  <c r="Q127" i="23" s="1"/>
  <c r="H127" i="6"/>
  <c r="G127" i="6"/>
  <c r="F127" i="6"/>
  <c r="K126" i="6"/>
  <c r="J126" i="6"/>
  <c r="J126" i="23" s="1"/>
  <c r="I126" i="6"/>
  <c r="Q126" i="23" s="1"/>
  <c r="H126" i="6"/>
  <c r="G126" i="6"/>
  <c r="F126" i="6"/>
  <c r="J125" i="6"/>
  <c r="J125" i="23" s="1"/>
  <c r="I125" i="6"/>
  <c r="Q125" i="23" s="1"/>
  <c r="R125" i="23" s="1"/>
  <c r="Z113" i="31" s="1"/>
  <c r="H125" i="6"/>
  <c r="G125" i="6"/>
  <c r="F125" i="6"/>
  <c r="K124" i="6"/>
  <c r="J124" i="6"/>
  <c r="J124" i="23" s="1"/>
  <c r="I124" i="6"/>
  <c r="Q124" i="23" s="1"/>
  <c r="H124" i="6"/>
  <c r="G124" i="6"/>
  <c r="F124" i="6"/>
  <c r="E124" i="6"/>
  <c r="E124" i="9" s="1"/>
  <c r="N91" i="6"/>
  <c r="E91" i="12" s="1"/>
  <c r="M91" i="6"/>
  <c r="M91" i="23" s="1"/>
  <c r="L90" i="6"/>
  <c r="F90" i="12" s="1"/>
  <c r="L91" i="6"/>
  <c r="K91" i="6"/>
  <c r="J91" i="6"/>
  <c r="J91" i="23" s="1"/>
  <c r="I91" i="6"/>
  <c r="Q91" i="23" s="1"/>
  <c r="H91" i="6"/>
  <c r="G91" i="6"/>
  <c r="F91" i="6"/>
  <c r="E91" i="6"/>
  <c r="E91" i="9" s="1"/>
  <c r="N92" i="6"/>
  <c r="E92" i="12" s="1"/>
  <c r="M92" i="6"/>
  <c r="M92" i="23" s="1"/>
  <c r="L92" i="6"/>
  <c r="F92" i="12" s="1"/>
  <c r="K92" i="6"/>
  <c r="J92" i="6"/>
  <c r="J92" i="23" s="1"/>
  <c r="I92" i="6"/>
  <c r="Q92" i="23" s="1"/>
  <c r="H93" i="6"/>
  <c r="H92" i="6"/>
  <c r="G92" i="6"/>
  <c r="F92" i="6"/>
  <c r="E92" i="6"/>
  <c r="E92" i="9" s="1"/>
  <c r="N93" i="6"/>
  <c r="E93" i="12" s="1"/>
  <c r="G93" i="12" s="1"/>
  <c r="I84" i="31" s="1"/>
  <c r="M93" i="6"/>
  <c r="M93" i="23" s="1"/>
  <c r="L93" i="6"/>
  <c r="F93" i="12" s="1"/>
  <c r="K93" i="6"/>
  <c r="P93" i="23" s="1"/>
  <c r="R93" i="23" s="1"/>
  <c r="Z84" i="31" s="1"/>
  <c r="J93" i="6"/>
  <c r="J93" i="23" s="1"/>
  <c r="I93" i="6"/>
  <c r="Q93" i="23" s="1"/>
  <c r="G93" i="6"/>
  <c r="F93" i="6"/>
  <c r="E93" i="6"/>
  <c r="E93" i="9" s="1"/>
  <c r="N94" i="6"/>
  <c r="E94" i="12" s="1"/>
  <c r="N95" i="6"/>
  <c r="E95" i="12" s="1"/>
  <c r="M94" i="6"/>
  <c r="M94" i="23" s="1"/>
  <c r="M95" i="6"/>
  <c r="M95" i="23" s="1"/>
  <c r="L94" i="6"/>
  <c r="F94" i="12" s="1"/>
  <c r="K94" i="6"/>
  <c r="K95" i="6"/>
  <c r="P95" i="23" s="1"/>
  <c r="J94" i="6"/>
  <c r="J94" i="23" s="1"/>
  <c r="J95" i="6"/>
  <c r="J95" i="23" s="1"/>
  <c r="I94" i="6"/>
  <c r="Q94" i="23" s="1"/>
  <c r="I95" i="6"/>
  <c r="Q95" i="23" s="1"/>
  <c r="H94" i="6"/>
  <c r="H95" i="6"/>
  <c r="G94" i="6"/>
  <c r="G95" i="6"/>
  <c r="F94" i="6"/>
  <c r="F95" i="6"/>
  <c r="E94" i="6"/>
  <c r="E94" i="9" s="1"/>
  <c r="E95" i="6"/>
  <c r="E95" i="9" s="1"/>
  <c r="N166" i="6"/>
  <c r="E166" i="12" s="1"/>
  <c r="G166" i="12" s="1"/>
  <c r="I151" i="31" s="1"/>
  <c r="M166" i="6"/>
  <c r="M166" i="23" s="1"/>
  <c r="L166" i="6"/>
  <c r="F166" i="12" s="1"/>
  <c r="K166" i="6"/>
  <c r="P166" i="23" s="1"/>
  <c r="R166" i="23" s="1"/>
  <c r="Z151" i="31" s="1"/>
  <c r="J166" i="6"/>
  <c r="J166" i="23" s="1"/>
  <c r="I166" i="6"/>
  <c r="Q166" i="23" s="1"/>
  <c r="H166" i="6"/>
  <c r="G166" i="6"/>
  <c r="F166" i="6"/>
  <c r="E166" i="6"/>
  <c r="E166" i="9" s="1"/>
  <c r="N165" i="6"/>
  <c r="E165" i="12" s="1"/>
  <c r="M165" i="6"/>
  <c r="M165" i="23" s="1"/>
  <c r="L165" i="6"/>
  <c r="F165" i="12" s="1"/>
  <c r="K165" i="6"/>
  <c r="P165" i="23" s="1"/>
  <c r="J165" i="6"/>
  <c r="J165" i="23" s="1"/>
  <c r="I165" i="6"/>
  <c r="Q165" i="23" s="1"/>
  <c r="H165" i="6"/>
  <c r="G165" i="6"/>
  <c r="F165" i="6"/>
  <c r="E165" i="6"/>
  <c r="E165" i="9" s="1"/>
  <c r="N164" i="6"/>
  <c r="E164" i="12" s="1"/>
  <c r="G164" i="12" s="1"/>
  <c r="I149" i="31" s="1"/>
  <c r="M164" i="6"/>
  <c r="M164" i="23" s="1"/>
  <c r="L164" i="6"/>
  <c r="F164" i="12" s="1"/>
  <c r="K164" i="6"/>
  <c r="P164" i="23" s="1"/>
  <c r="R164" i="23" s="1"/>
  <c r="Z149" i="31" s="1"/>
  <c r="J164" i="6"/>
  <c r="J164" i="23" s="1"/>
  <c r="I164" i="6"/>
  <c r="Q164" i="23" s="1"/>
  <c r="H164" i="6"/>
  <c r="G164" i="6"/>
  <c r="F164" i="6"/>
  <c r="E164" i="6"/>
  <c r="E164" i="9" s="1"/>
  <c r="N163" i="6"/>
  <c r="E163" i="12" s="1"/>
  <c r="M163" i="6"/>
  <c r="M163" i="23" s="1"/>
  <c r="L163" i="6"/>
  <c r="F163" i="12" s="1"/>
  <c r="K162" i="6"/>
  <c r="P162" i="23" s="1"/>
  <c r="K163" i="6"/>
  <c r="J163" i="6"/>
  <c r="J163" i="23" s="1"/>
  <c r="I163" i="6"/>
  <c r="Q163" i="23" s="1"/>
  <c r="H163" i="6"/>
  <c r="G163" i="6"/>
  <c r="F163" i="6"/>
  <c r="E163" i="6"/>
  <c r="E163" i="9" s="1"/>
  <c r="N162" i="6"/>
  <c r="M162" i="6"/>
  <c r="M162" i="23" s="1"/>
  <c r="L162" i="6"/>
  <c r="F162" i="12" s="1"/>
  <c r="J162" i="6"/>
  <c r="J162" i="23" s="1"/>
  <c r="I162" i="6"/>
  <c r="Q162" i="23" s="1"/>
  <c r="H162" i="6"/>
  <c r="G162" i="6"/>
  <c r="F162" i="6"/>
  <c r="E162" i="6"/>
  <c r="E162" i="9" s="1"/>
  <c r="N161" i="6"/>
  <c r="M161" i="6"/>
  <c r="M161" i="23" s="1"/>
  <c r="L161" i="6"/>
  <c r="F161" i="12" s="1"/>
  <c r="K161" i="6"/>
  <c r="P161" i="23" s="1"/>
  <c r="J161" i="6"/>
  <c r="J161" i="23" s="1"/>
  <c r="I161" i="6"/>
  <c r="Q161" i="23" s="1"/>
  <c r="H161" i="6"/>
  <c r="G161" i="6"/>
  <c r="F161" i="6"/>
  <c r="E161" i="6"/>
  <c r="E161" i="9" s="1"/>
  <c r="N160" i="6"/>
  <c r="E160" i="12" s="1"/>
  <c r="G160" i="12" s="1"/>
  <c r="I145" i="31" s="1"/>
  <c r="M160" i="6"/>
  <c r="M160" i="23" s="1"/>
  <c r="L160" i="6"/>
  <c r="F160" i="12" s="1"/>
  <c r="K160" i="6"/>
  <c r="P160" i="23" s="1"/>
  <c r="R160" i="23" s="1"/>
  <c r="Z145" i="31" s="1"/>
  <c r="J160" i="6"/>
  <c r="J160" i="23" s="1"/>
  <c r="I160" i="6"/>
  <c r="Q160" i="23" s="1"/>
  <c r="H160" i="6"/>
  <c r="G160" i="6"/>
  <c r="F160" i="6"/>
  <c r="E160" i="6"/>
  <c r="E160" i="9" s="1"/>
  <c r="N159" i="6"/>
  <c r="E159" i="12" s="1"/>
  <c r="M159" i="6"/>
  <c r="M159" i="23" s="1"/>
  <c r="L159" i="6"/>
  <c r="F159" i="12" s="1"/>
  <c r="K159" i="6"/>
  <c r="J159" i="6"/>
  <c r="J159" i="23" s="1"/>
  <c r="I159" i="6"/>
  <c r="Q159" i="23" s="1"/>
  <c r="H159" i="6"/>
  <c r="G159" i="6"/>
  <c r="F159" i="6"/>
  <c r="E159" i="6"/>
  <c r="E159" i="9" s="1"/>
  <c r="N155" i="6"/>
  <c r="E155" i="12" s="1"/>
  <c r="G155" i="12" s="1"/>
  <c r="I141" i="31" s="1"/>
  <c r="M155" i="6"/>
  <c r="M155" i="23" s="1"/>
  <c r="L155" i="6"/>
  <c r="F155" i="12" s="1"/>
  <c r="K155" i="6"/>
  <c r="J155" i="6"/>
  <c r="J155" i="23" s="1"/>
  <c r="I155" i="6"/>
  <c r="Q155" i="23" s="1"/>
  <c r="H155" i="6"/>
  <c r="G155" i="6"/>
  <c r="F155" i="6"/>
  <c r="E155" i="6"/>
  <c r="E155" i="9" s="1"/>
  <c r="N144" i="6"/>
  <c r="E144" i="12" s="1"/>
  <c r="M144" i="6"/>
  <c r="M144" i="23" s="1"/>
  <c r="L144" i="6"/>
  <c r="F144" i="12" s="1"/>
  <c r="K144" i="6"/>
  <c r="P144" i="23" s="1"/>
  <c r="J144" i="6"/>
  <c r="J144" i="23" s="1"/>
  <c r="I144" i="6"/>
  <c r="Q144" i="23" s="1"/>
  <c r="H144" i="6"/>
  <c r="G144" i="6"/>
  <c r="F143" i="6"/>
  <c r="F144" i="6"/>
  <c r="E144" i="6"/>
  <c r="E144" i="9" s="1"/>
  <c r="N143" i="6"/>
  <c r="M143" i="6"/>
  <c r="M143" i="23" s="1"/>
  <c r="L143" i="6"/>
  <c r="F143" i="12" s="1"/>
  <c r="K143" i="6"/>
  <c r="J143" i="6"/>
  <c r="J143" i="23" s="1"/>
  <c r="I143" i="6"/>
  <c r="Q143" i="23" s="1"/>
  <c r="H143" i="6"/>
  <c r="G143" i="6"/>
  <c r="E143" i="6"/>
  <c r="E143" i="9" s="1"/>
  <c r="N142" i="6"/>
  <c r="E142" i="12" s="1"/>
  <c r="M142" i="6"/>
  <c r="M142" i="23" s="1"/>
  <c r="L142" i="6"/>
  <c r="F142" i="12" s="1"/>
  <c r="K142" i="6"/>
  <c r="P142" i="23" s="1"/>
  <c r="J142" i="6"/>
  <c r="J142" i="23" s="1"/>
  <c r="I142" i="6"/>
  <c r="Q142" i="23" s="1"/>
  <c r="H142" i="6"/>
  <c r="G142" i="6"/>
  <c r="F142" i="6"/>
  <c r="E142" i="6"/>
  <c r="E142" i="9" s="1"/>
  <c r="N141" i="6"/>
  <c r="E141" i="13" s="1"/>
  <c r="M141" i="6"/>
  <c r="M141" i="23" s="1"/>
  <c r="L141" i="6"/>
  <c r="F141" i="12" s="1"/>
  <c r="K141" i="6"/>
  <c r="J141" i="6"/>
  <c r="J141" i="23" s="1"/>
  <c r="I141" i="6"/>
  <c r="Q141" i="23" s="1"/>
  <c r="H141" i="6"/>
  <c r="G141" i="6"/>
  <c r="F141" i="6"/>
  <c r="E141" i="6"/>
  <c r="E141" i="9" s="1"/>
  <c r="N140" i="6"/>
  <c r="E140" i="12" s="1"/>
  <c r="M140" i="6"/>
  <c r="M140" i="23" s="1"/>
  <c r="L140" i="6"/>
  <c r="F140" i="12" s="1"/>
  <c r="K140" i="6"/>
  <c r="P140" i="23" s="1"/>
  <c r="J140" i="6"/>
  <c r="J140" i="23" s="1"/>
  <c r="I140" i="6"/>
  <c r="Q140" i="23" s="1"/>
  <c r="H140" i="6"/>
  <c r="G140" i="6"/>
  <c r="F140" i="6"/>
  <c r="E140" i="6"/>
  <c r="E140" i="9" s="1"/>
  <c r="N139" i="6"/>
  <c r="E139" i="12" s="1"/>
  <c r="G139" i="12" s="1"/>
  <c r="I126" i="31" s="1"/>
  <c r="M139" i="6"/>
  <c r="M139" i="23" s="1"/>
  <c r="L139" i="6"/>
  <c r="F139" i="12" s="1"/>
  <c r="K139" i="6"/>
  <c r="P139" i="23" s="1"/>
  <c r="R139" i="23" s="1"/>
  <c r="Z126" i="31" s="1"/>
  <c r="J139" i="6"/>
  <c r="J139" i="23" s="1"/>
  <c r="I139" i="6"/>
  <c r="Q139" i="23" s="1"/>
  <c r="H139" i="6"/>
  <c r="G139" i="6"/>
  <c r="F139" i="6"/>
  <c r="E139" i="6"/>
  <c r="E139" i="9" s="1"/>
  <c r="N138" i="6"/>
  <c r="E138" i="12" s="1"/>
  <c r="M138" i="6"/>
  <c r="M138" i="23" s="1"/>
  <c r="L138" i="6"/>
  <c r="F138" i="12" s="1"/>
  <c r="K138" i="6"/>
  <c r="P138" i="23" s="1"/>
  <c r="J138" i="6"/>
  <c r="J138" i="23" s="1"/>
  <c r="I138" i="6"/>
  <c r="Q138" i="23" s="1"/>
  <c r="H138" i="6"/>
  <c r="G138" i="6"/>
  <c r="F138" i="6"/>
  <c r="E138" i="6"/>
  <c r="E138" i="9" s="1"/>
  <c r="N137" i="6"/>
  <c r="E137" i="12" s="1"/>
  <c r="G137" i="12" s="1"/>
  <c r="I124" i="31" s="1"/>
  <c r="M137" i="6"/>
  <c r="M137" i="23" s="1"/>
  <c r="L137" i="6"/>
  <c r="F137" i="12" s="1"/>
  <c r="K137" i="6"/>
  <c r="J137" i="6"/>
  <c r="J137" i="23" s="1"/>
  <c r="I137" i="6"/>
  <c r="Q137" i="23" s="1"/>
  <c r="H137" i="6"/>
  <c r="G137" i="6"/>
  <c r="F137" i="6"/>
  <c r="E137" i="6"/>
  <c r="E137" i="9" s="1"/>
  <c r="N136" i="6"/>
  <c r="E136" i="12" s="1"/>
  <c r="M136" i="6"/>
  <c r="M136" i="23" s="1"/>
  <c r="L136" i="6"/>
  <c r="F136" i="12" s="1"/>
  <c r="K136" i="6"/>
  <c r="P136" i="23" s="1"/>
  <c r="J136" i="6"/>
  <c r="J136" i="23" s="1"/>
  <c r="I136" i="6"/>
  <c r="Q136" i="23" s="1"/>
  <c r="H136" i="6"/>
  <c r="G136" i="6"/>
  <c r="F136" i="6"/>
  <c r="E136" i="6"/>
  <c r="E136" i="9" s="1"/>
  <c r="N135" i="6"/>
  <c r="E135" i="12" s="1"/>
  <c r="G135" i="12" s="1"/>
  <c r="I122" i="31" s="1"/>
  <c r="M135" i="6"/>
  <c r="M135" i="23" s="1"/>
  <c r="L134" i="6"/>
  <c r="F134" i="12" s="1"/>
  <c r="L135" i="6"/>
  <c r="F135" i="12" s="1"/>
  <c r="K135" i="6"/>
  <c r="J135" i="6"/>
  <c r="J135" i="23" s="1"/>
  <c r="I135" i="6"/>
  <c r="Q135" i="23" s="1"/>
  <c r="H135" i="6"/>
  <c r="G135" i="6"/>
  <c r="F135" i="6"/>
  <c r="E135" i="6"/>
  <c r="E135" i="9" s="1"/>
  <c r="N122" i="6"/>
  <c r="E122" i="12" s="1"/>
  <c r="M122" i="6"/>
  <c r="M122" i="23" s="1"/>
  <c r="L122" i="6"/>
  <c r="K122" i="6"/>
  <c r="J122" i="6"/>
  <c r="J122" i="23" s="1"/>
  <c r="I122" i="6"/>
  <c r="Q122" i="23" s="1"/>
  <c r="H122" i="6"/>
  <c r="G122" i="6"/>
  <c r="F122" i="6"/>
  <c r="E122" i="6"/>
  <c r="E122" i="9" s="1"/>
  <c r="N121" i="6"/>
  <c r="M121" i="6"/>
  <c r="M121" i="23" s="1"/>
  <c r="L121" i="6"/>
  <c r="F121" i="12" s="1"/>
  <c r="K121" i="6"/>
  <c r="J121" i="6"/>
  <c r="J121" i="23" s="1"/>
  <c r="I121" i="6"/>
  <c r="Q121" i="23" s="1"/>
  <c r="H121" i="6"/>
  <c r="G121" i="6"/>
  <c r="F121" i="6"/>
  <c r="E121" i="6"/>
  <c r="E121" i="9" s="1"/>
  <c r="N120" i="6"/>
  <c r="M120" i="6"/>
  <c r="M120" i="23" s="1"/>
  <c r="L120" i="6"/>
  <c r="F120" i="12" s="1"/>
  <c r="K120" i="6"/>
  <c r="J120" i="6"/>
  <c r="J120" i="23" s="1"/>
  <c r="I120" i="6"/>
  <c r="Q120" i="23" s="1"/>
  <c r="H120" i="6"/>
  <c r="G120" i="6"/>
  <c r="F120" i="6"/>
  <c r="E120" i="6"/>
  <c r="E120" i="9" s="1"/>
  <c r="E119" i="6"/>
  <c r="E119" i="9" s="1"/>
  <c r="N119" i="6"/>
  <c r="E119" i="12" s="1"/>
  <c r="M119" i="6"/>
  <c r="M119" i="23" s="1"/>
  <c r="L119" i="6"/>
  <c r="F119" i="12" s="1"/>
  <c r="K119" i="6"/>
  <c r="P119" i="23" s="1"/>
  <c r="J119" i="6"/>
  <c r="J119" i="23" s="1"/>
  <c r="H119" i="6"/>
  <c r="I119" i="6"/>
  <c r="Q119" i="23" s="1"/>
  <c r="G119" i="6"/>
  <c r="F119" i="6"/>
  <c r="N118" i="6"/>
  <c r="E118" i="12" s="1"/>
  <c r="G118" i="12" s="1"/>
  <c r="I107" i="31" s="1"/>
  <c r="M118" i="6"/>
  <c r="M118" i="23" s="1"/>
  <c r="K118" i="6"/>
  <c r="J118" i="6"/>
  <c r="J118" i="23" s="1"/>
  <c r="I118" i="6"/>
  <c r="Q118" i="23" s="1"/>
  <c r="H118" i="6"/>
  <c r="G118" i="6"/>
  <c r="F118" i="6"/>
  <c r="E118" i="6"/>
  <c r="E118" i="9" s="1"/>
  <c r="F3" i="12"/>
  <c r="F4" i="12"/>
  <c r="F5" i="12"/>
  <c r="F6" i="12"/>
  <c r="F7" i="12"/>
  <c r="F8" i="12"/>
  <c r="F9" i="12"/>
  <c r="F10" i="12"/>
  <c r="F11" i="12"/>
  <c r="F12" i="12"/>
  <c r="F35" i="12"/>
  <c r="F36" i="12"/>
  <c r="F37" i="12"/>
  <c r="F38" i="12"/>
  <c r="F39" i="12"/>
  <c r="F40" i="12"/>
  <c r="F41" i="12"/>
  <c r="F42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91" i="12"/>
  <c r="F112" i="12"/>
  <c r="F113" i="12"/>
  <c r="F114" i="12"/>
  <c r="F115" i="12"/>
  <c r="F116" i="12"/>
  <c r="F117" i="12"/>
  <c r="F122" i="12"/>
  <c r="F123" i="12"/>
  <c r="F124" i="12"/>
  <c r="F125" i="12"/>
  <c r="F126" i="12"/>
  <c r="F130" i="12"/>
  <c r="F132" i="12"/>
  <c r="F133" i="12"/>
  <c r="F145" i="12"/>
  <c r="F146" i="12"/>
  <c r="F147" i="12"/>
  <c r="F148" i="12"/>
  <c r="F149" i="12"/>
  <c r="F150" i="12"/>
  <c r="F151" i="12"/>
  <c r="F152" i="12"/>
  <c r="F153" i="12"/>
  <c r="F154" i="12"/>
  <c r="F156" i="12"/>
  <c r="F157" i="12"/>
  <c r="F158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6" i="12"/>
  <c r="F195" i="12"/>
  <c r="F211" i="12"/>
  <c r="F212" i="12"/>
  <c r="F213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71" i="12"/>
  <c r="F275" i="12"/>
  <c r="F277" i="12"/>
  <c r="F278" i="12"/>
  <c r="F279" i="12"/>
  <c r="F280" i="12"/>
  <c r="F281" i="12"/>
  <c r="F282" i="12"/>
  <c r="F283" i="12"/>
  <c r="F284" i="12"/>
  <c r="F285" i="12"/>
  <c r="F287" i="12"/>
  <c r="F289" i="12"/>
  <c r="F291" i="12"/>
  <c r="F292" i="12"/>
  <c r="F293" i="12"/>
  <c r="F294" i="12"/>
  <c r="F295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41" i="12"/>
  <c r="F343" i="12"/>
  <c r="F344" i="12"/>
  <c r="F345" i="12"/>
  <c r="F346" i="12"/>
  <c r="F347" i="12"/>
  <c r="F348" i="12"/>
  <c r="F349" i="12"/>
  <c r="F350" i="12"/>
  <c r="F351" i="12"/>
  <c r="F352" i="12"/>
  <c r="F353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2" i="12"/>
  <c r="F403" i="12"/>
  <c r="F405" i="12"/>
  <c r="F406" i="12"/>
  <c r="F407" i="12"/>
  <c r="F408" i="12"/>
  <c r="F409" i="12"/>
  <c r="F410" i="12"/>
  <c r="F411" i="12"/>
  <c r="F413" i="12"/>
  <c r="F415" i="12"/>
  <c r="F416" i="12"/>
  <c r="F417" i="12"/>
  <c r="F418" i="12"/>
  <c r="F419" i="12"/>
  <c r="F420" i="12"/>
  <c r="F421" i="12"/>
  <c r="F422" i="12"/>
  <c r="F423" i="12"/>
  <c r="F425" i="12"/>
  <c r="F426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7" i="12"/>
  <c r="F448" i="12"/>
  <c r="F449" i="12"/>
  <c r="F450" i="12"/>
  <c r="F451" i="12"/>
  <c r="F452" i="12"/>
  <c r="F453" i="12"/>
  <c r="F456" i="12"/>
  <c r="F460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0" i="12"/>
  <c r="F1211" i="12"/>
  <c r="F1212" i="12"/>
  <c r="F1213" i="12"/>
  <c r="F1214" i="12"/>
  <c r="F1215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359" i="12"/>
  <c r="F1360" i="12"/>
  <c r="F1361" i="12"/>
  <c r="F1362" i="12"/>
  <c r="F1363" i="12"/>
  <c r="F1364" i="12"/>
  <c r="F1365" i="12"/>
  <c r="F1366" i="12"/>
  <c r="F1367" i="12"/>
  <c r="F1368" i="12"/>
  <c r="F1369" i="12"/>
  <c r="F1370" i="12"/>
  <c r="F1371" i="12"/>
  <c r="F1372" i="12"/>
  <c r="F1373" i="12"/>
  <c r="F1374" i="12"/>
  <c r="F1375" i="12"/>
  <c r="F1376" i="12"/>
  <c r="F1377" i="12"/>
  <c r="F1378" i="12"/>
  <c r="F1379" i="12"/>
  <c r="F1380" i="12"/>
  <c r="F1381" i="12"/>
  <c r="F1382" i="12"/>
  <c r="F1383" i="12"/>
  <c r="F1384" i="12"/>
  <c r="F1385" i="12"/>
  <c r="F1386" i="12"/>
  <c r="F1387" i="12"/>
  <c r="F1388" i="12"/>
  <c r="F1389" i="12"/>
  <c r="F1390" i="12"/>
  <c r="F1391" i="12"/>
  <c r="F1392" i="12"/>
  <c r="F1393" i="12"/>
  <c r="F1394" i="12"/>
  <c r="F1395" i="12"/>
  <c r="F1396" i="12"/>
  <c r="F1397" i="12"/>
  <c r="F1398" i="12"/>
  <c r="F1399" i="12"/>
  <c r="F1400" i="12"/>
  <c r="F1401" i="12"/>
  <c r="F1402" i="12"/>
  <c r="F1403" i="12"/>
  <c r="F1404" i="12"/>
  <c r="F1405" i="12"/>
  <c r="F1406" i="12"/>
  <c r="F1407" i="12"/>
  <c r="F1408" i="12"/>
  <c r="F1409" i="12"/>
  <c r="F1410" i="12"/>
  <c r="F1411" i="12"/>
  <c r="F1412" i="12"/>
  <c r="F1413" i="12"/>
  <c r="F1414" i="12"/>
  <c r="F1415" i="12"/>
  <c r="F1416" i="12"/>
  <c r="F1417" i="12"/>
  <c r="F1418" i="12"/>
  <c r="F1419" i="12"/>
  <c r="F1420" i="12"/>
  <c r="F1421" i="12"/>
  <c r="F1422" i="12"/>
  <c r="F1423" i="12"/>
  <c r="F1424" i="12"/>
  <c r="F1425" i="12"/>
  <c r="F1426" i="12"/>
  <c r="F1427" i="12"/>
  <c r="F1428" i="12"/>
  <c r="F1429" i="12"/>
  <c r="F1430" i="12"/>
  <c r="F1431" i="12"/>
  <c r="F1432" i="12"/>
  <c r="F1433" i="12"/>
  <c r="F1434" i="12"/>
  <c r="F1435" i="12"/>
  <c r="F1436" i="12"/>
  <c r="F1437" i="12"/>
  <c r="F1438" i="12"/>
  <c r="F1439" i="12"/>
  <c r="F1440" i="12"/>
  <c r="F1441" i="12"/>
  <c r="F1442" i="12"/>
  <c r="F1443" i="12"/>
  <c r="F1444" i="12"/>
  <c r="F1445" i="12"/>
  <c r="F1446" i="12"/>
  <c r="F1447" i="12"/>
  <c r="F1448" i="12"/>
  <c r="F1449" i="12"/>
  <c r="F1450" i="12"/>
  <c r="F1451" i="12"/>
  <c r="F1452" i="12"/>
  <c r="F1453" i="12"/>
  <c r="F1454" i="12"/>
  <c r="F1455" i="12"/>
  <c r="F1456" i="12"/>
  <c r="F1457" i="12"/>
  <c r="F1458" i="12"/>
  <c r="F1459" i="12"/>
  <c r="F1460" i="12"/>
  <c r="F1461" i="12"/>
  <c r="F1462" i="12"/>
  <c r="F1463" i="12"/>
  <c r="F1464" i="12"/>
  <c r="F1465" i="12"/>
  <c r="F1466" i="12"/>
  <c r="F1467" i="12"/>
  <c r="F1468" i="12"/>
  <c r="F1469" i="12"/>
  <c r="F1470" i="12"/>
  <c r="F1471" i="12"/>
  <c r="F1472" i="12"/>
  <c r="F1473" i="12"/>
  <c r="F1474" i="12"/>
  <c r="F1475" i="12"/>
  <c r="F1476" i="12"/>
  <c r="F1477" i="12"/>
  <c r="F1478" i="12"/>
  <c r="F1479" i="12"/>
  <c r="F1480" i="12"/>
  <c r="F1481" i="12"/>
  <c r="F1482" i="12"/>
  <c r="F1483" i="12"/>
  <c r="F1484" i="12"/>
  <c r="F1485" i="12"/>
  <c r="F1486" i="12"/>
  <c r="F1487" i="12"/>
  <c r="F1488" i="12"/>
  <c r="F1489" i="12"/>
  <c r="F1490" i="12"/>
  <c r="F1491" i="12"/>
  <c r="F1492" i="12"/>
  <c r="F1493" i="12"/>
  <c r="F1494" i="12"/>
  <c r="F1495" i="12"/>
  <c r="F1496" i="12"/>
  <c r="F1497" i="12"/>
  <c r="F1498" i="12"/>
  <c r="F1499" i="12"/>
  <c r="F1500" i="12"/>
  <c r="F1501" i="12"/>
  <c r="F1502" i="12"/>
  <c r="F1503" i="12"/>
  <c r="F1504" i="12"/>
  <c r="F1505" i="12"/>
  <c r="F1506" i="12"/>
  <c r="F1507" i="12"/>
  <c r="F1508" i="12"/>
  <c r="F1509" i="12"/>
  <c r="F1510" i="12"/>
  <c r="F1511" i="12"/>
  <c r="F1512" i="12"/>
  <c r="F1513" i="12"/>
  <c r="F1514" i="12"/>
  <c r="F1515" i="12"/>
  <c r="F1516" i="12"/>
  <c r="F1517" i="12"/>
  <c r="F1518" i="12"/>
  <c r="F1519" i="12"/>
  <c r="F1520" i="12"/>
  <c r="F1521" i="12"/>
  <c r="F1522" i="12"/>
  <c r="F1523" i="12"/>
  <c r="F1524" i="12"/>
  <c r="F1525" i="12"/>
  <c r="F1526" i="12"/>
  <c r="F1527" i="12"/>
  <c r="F1528" i="12"/>
  <c r="F1529" i="12"/>
  <c r="F1530" i="12"/>
  <c r="F1531" i="12"/>
  <c r="F1532" i="12"/>
  <c r="F1533" i="12"/>
  <c r="F1534" i="12"/>
  <c r="F1535" i="12"/>
  <c r="F1536" i="12"/>
  <c r="F1537" i="12"/>
  <c r="F1538" i="12"/>
  <c r="F1539" i="12"/>
  <c r="F1540" i="12"/>
  <c r="F1541" i="12"/>
  <c r="F1542" i="12"/>
  <c r="F1543" i="12"/>
  <c r="F1544" i="12"/>
  <c r="F1545" i="12"/>
  <c r="F1546" i="12"/>
  <c r="F1547" i="12"/>
  <c r="F1548" i="12"/>
  <c r="F1549" i="12"/>
  <c r="F1550" i="12"/>
  <c r="F1551" i="12"/>
  <c r="F1552" i="12"/>
  <c r="F1553" i="12"/>
  <c r="F1554" i="12"/>
  <c r="F1555" i="12"/>
  <c r="F1556" i="12"/>
  <c r="F1557" i="12"/>
  <c r="F1558" i="12"/>
  <c r="F1559" i="12"/>
  <c r="F1560" i="12"/>
  <c r="F1561" i="12"/>
  <c r="F1562" i="12"/>
  <c r="F1563" i="12"/>
  <c r="F1564" i="12"/>
  <c r="F1565" i="12"/>
  <c r="F1566" i="12"/>
  <c r="F1567" i="12"/>
  <c r="F1568" i="12"/>
  <c r="F1569" i="12"/>
  <c r="F1570" i="12"/>
  <c r="F1571" i="12"/>
  <c r="F1572" i="12"/>
  <c r="F1573" i="12"/>
  <c r="F1574" i="12"/>
  <c r="F1575" i="12"/>
  <c r="F1576" i="12"/>
  <c r="F1577" i="12"/>
  <c r="F1578" i="12"/>
  <c r="F1579" i="12"/>
  <c r="F1580" i="12"/>
  <c r="F1581" i="12"/>
  <c r="F1582" i="12"/>
  <c r="F1583" i="12"/>
  <c r="F1584" i="12"/>
  <c r="F1585" i="12"/>
  <c r="F1586" i="12"/>
  <c r="F1587" i="12"/>
  <c r="F1588" i="12"/>
  <c r="F1589" i="12"/>
  <c r="F1590" i="12"/>
  <c r="F1591" i="12"/>
  <c r="F1592" i="12"/>
  <c r="F1593" i="12"/>
  <c r="F1594" i="12"/>
  <c r="F1595" i="12"/>
  <c r="F1596" i="12"/>
  <c r="F1597" i="12"/>
  <c r="F1598" i="12"/>
  <c r="F1599" i="12"/>
  <c r="F1600" i="12"/>
  <c r="F1601" i="12"/>
  <c r="F1602" i="12"/>
  <c r="F1603" i="12"/>
  <c r="F1604" i="12"/>
  <c r="F1605" i="12"/>
  <c r="F1606" i="12"/>
  <c r="F1607" i="12"/>
  <c r="F1608" i="12"/>
  <c r="F1609" i="12"/>
  <c r="F1610" i="12"/>
  <c r="F1611" i="12"/>
  <c r="F1612" i="12"/>
  <c r="F1613" i="12"/>
  <c r="F1614" i="12"/>
  <c r="F1615" i="12"/>
  <c r="F1616" i="12"/>
  <c r="F1617" i="12"/>
  <c r="F1618" i="12"/>
  <c r="F1619" i="12"/>
  <c r="F1620" i="12"/>
  <c r="F1621" i="12"/>
  <c r="F1622" i="12"/>
  <c r="F1623" i="12"/>
  <c r="F1624" i="12"/>
  <c r="F1625" i="12"/>
  <c r="F1626" i="12"/>
  <c r="F1627" i="12"/>
  <c r="F1628" i="12"/>
  <c r="F1629" i="12"/>
  <c r="E3" i="12"/>
  <c r="G3" i="12" s="1"/>
  <c r="I2" i="31" s="1"/>
  <c r="E4" i="12"/>
  <c r="G4" i="12" s="1"/>
  <c r="I3" i="31" s="1"/>
  <c r="E5" i="12"/>
  <c r="G5" i="12" s="1"/>
  <c r="I4" i="31" s="1"/>
  <c r="E6" i="12"/>
  <c r="G6" i="12" s="1"/>
  <c r="I5" i="31" s="1"/>
  <c r="E7" i="12"/>
  <c r="G7" i="12" s="1"/>
  <c r="I6" i="31" s="1"/>
  <c r="E8" i="12"/>
  <c r="G8" i="12" s="1"/>
  <c r="I7" i="31" s="1"/>
  <c r="E9" i="12"/>
  <c r="G9" i="12" s="1"/>
  <c r="I8" i="31" s="1"/>
  <c r="E10" i="12"/>
  <c r="G10" i="12" s="1"/>
  <c r="I9" i="31" s="1"/>
  <c r="E11" i="12"/>
  <c r="G11" i="12" s="1"/>
  <c r="I10" i="31" s="1"/>
  <c r="E12" i="12"/>
  <c r="G12" i="12" s="1"/>
  <c r="I11" i="31" s="1"/>
  <c r="E13" i="12"/>
  <c r="E24" i="12"/>
  <c r="E35" i="12"/>
  <c r="G35" i="12" s="1"/>
  <c r="E36" i="12"/>
  <c r="G36" i="12" s="1"/>
  <c r="I32" i="31" s="1"/>
  <c r="E37" i="12"/>
  <c r="G37" i="12" s="1"/>
  <c r="I33" i="31" s="1"/>
  <c r="E38" i="12"/>
  <c r="G38" i="12" s="1"/>
  <c r="I34" i="31" s="1"/>
  <c r="E39" i="12"/>
  <c r="G39" i="12" s="1"/>
  <c r="I35" i="31" s="1"/>
  <c r="E40" i="12"/>
  <c r="G40" i="12" s="1"/>
  <c r="I36" i="31" s="1"/>
  <c r="E41" i="12"/>
  <c r="G41" i="12" s="1"/>
  <c r="I37" i="31" s="1"/>
  <c r="E42" i="12"/>
  <c r="G42" i="12" s="1"/>
  <c r="I38" i="31" s="1"/>
  <c r="E46" i="12"/>
  <c r="G46" i="12" s="1"/>
  <c r="E47" i="12"/>
  <c r="G47" i="12" s="1"/>
  <c r="I42" i="31" s="1"/>
  <c r="E48" i="12"/>
  <c r="G48" i="12" s="1"/>
  <c r="I43" i="31" s="1"/>
  <c r="E49" i="12"/>
  <c r="G49" i="12" s="1"/>
  <c r="I44" i="31" s="1"/>
  <c r="E50" i="12"/>
  <c r="G50" i="12" s="1"/>
  <c r="I45" i="31" s="1"/>
  <c r="E51" i="12"/>
  <c r="G51" i="12" s="1"/>
  <c r="I46" i="31" s="1"/>
  <c r="E52" i="12"/>
  <c r="G52" i="12" s="1"/>
  <c r="I47" i="31" s="1"/>
  <c r="E53" i="12"/>
  <c r="G53" i="12" s="1"/>
  <c r="I48" i="31" s="1"/>
  <c r="E54" i="12"/>
  <c r="G54" i="12" s="1"/>
  <c r="I49" i="31" s="1"/>
  <c r="E55" i="12"/>
  <c r="G55" i="12" s="1"/>
  <c r="I50" i="31" s="1"/>
  <c r="E56" i="12"/>
  <c r="G56" i="12" s="1"/>
  <c r="I51" i="31" s="1"/>
  <c r="E57" i="12"/>
  <c r="G57" i="12" s="1"/>
  <c r="E58" i="12"/>
  <c r="G58" i="12" s="1"/>
  <c r="I52" i="31" s="1"/>
  <c r="E68" i="12"/>
  <c r="E79" i="12"/>
  <c r="E90" i="12"/>
  <c r="G90" i="12" s="1"/>
  <c r="E101" i="12"/>
  <c r="E112" i="12"/>
  <c r="G112" i="12" s="1"/>
  <c r="E113" i="12"/>
  <c r="G113" i="12" s="1"/>
  <c r="I102" i="31" s="1"/>
  <c r="E114" i="12"/>
  <c r="G114" i="12" s="1"/>
  <c r="I103" i="31" s="1"/>
  <c r="E115" i="12"/>
  <c r="G115" i="12" s="1"/>
  <c r="I104" i="31" s="1"/>
  <c r="E116" i="12"/>
  <c r="G116" i="12" s="1"/>
  <c r="I105" i="31" s="1"/>
  <c r="E117" i="12"/>
  <c r="G117" i="12" s="1"/>
  <c r="I106" i="31" s="1"/>
  <c r="E123" i="12"/>
  <c r="G123" i="12" s="1"/>
  <c r="E124" i="12"/>
  <c r="G124" i="12" s="1"/>
  <c r="I112" i="31" s="1"/>
  <c r="E125" i="12"/>
  <c r="G125" i="12" s="1"/>
  <c r="I113" i="31" s="1"/>
  <c r="E126" i="12"/>
  <c r="G126" i="12" s="1"/>
  <c r="I114" i="31" s="1"/>
  <c r="E131" i="12"/>
  <c r="G131" i="12" s="1"/>
  <c r="I119" i="31" s="1"/>
  <c r="E133" i="12"/>
  <c r="G133" i="12" s="1"/>
  <c r="I121" i="31" s="1"/>
  <c r="E134" i="12"/>
  <c r="G134" i="12" s="1"/>
  <c r="E141" i="12"/>
  <c r="G141" i="12" s="1"/>
  <c r="I128" i="31" s="1"/>
  <c r="E145" i="12"/>
  <c r="G145" i="12" s="1"/>
  <c r="E146" i="12"/>
  <c r="G146" i="12" s="1"/>
  <c r="I132" i="31" s="1"/>
  <c r="E147" i="12"/>
  <c r="G147" i="12" s="1"/>
  <c r="I133" i="31" s="1"/>
  <c r="E148" i="12"/>
  <c r="G148" i="12" s="1"/>
  <c r="I134" i="31" s="1"/>
  <c r="E149" i="12"/>
  <c r="G149" i="12" s="1"/>
  <c r="I135" i="31" s="1"/>
  <c r="E150" i="12"/>
  <c r="G150" i="12" s="1"/>
  <c r="I136" i="31" s="1"/>
  <c r="E151" i="12"/>
  <c r="G151" i="12" s="1"/>
  <c r="I137" i="31" s="1"/>
  <c r="E152" i="12"/>
  <c r="G152" i="12" s="1"/>
  <c r="I138" i="31" s="1"/>
  <c r="E153" i="12"/>
  <c r="G153" i="12" s="1"/>
  <c r="I139" i="31" s="1"/>
  <c r="E154" i="12"/>
  <c r="G154" i="12" s="1"/>
  <c r="I140" i="31" s="1"/>
  <c r="E156" i="12"/>
  <c r="G156" i="12" s="1"/>
  <c r="E157" i="12"/>
  <c r="G157" i="12" s="1"/>
  <c r="I142" i="31" s="1"/>
  <c r="E158" i="12"/>
  <c r="G158" i="12" s="1"/>
  <c r="I143" i="31" s="1"/>
  <c r="E161" i="12"/>
  <c r="G161" i="12" s="1"/>
  <c r="I146" i="31" s="1"/>
  <c r="E167" i="12"/>
  <c r="G167" i="12" s="1"/>
  <c r="E168" i="12"/>
  <c r="G168" i="12" s="1"/>
  <c r="I152" i="31" s="1"/>
  <c r="E169" i="12"/>
  <c r="G169" i="12" s="1"/>
  <c r="I153" i="31" s="1"/>
  <c r="E170" i="12"/>
  <c r="G170" i="12" s="1"/>
  <c r="I154" i="31" s="1"/>
  <c r="E171" i="12"/>
  <c r="G171" i="12" s="1"/>
  <c r="I155" i="31" s="1"/>
  <c r="E172" i="12"/>
  <c r="G172" i="12" s="1"/>
  <c r="I156" i="31" s="1"/>
  <c r="E173" i="12"/>
  <c r="G173" i="12" s="1"/>
  <c r="I157" i="31" s="1"/>
  <c r="E174" i="12"/>
  <c r="G174" i="12" s="1"/>
  <c r="I158" i="31" s="1"/>
  <c r="E175" i="12"/>
  <c r="G175" i="12" s="1"/>
  <c r="I159" i="31" s="1"/>
  <c r="E176" i="12"/>
  <c r="G176" i="12" s="1"/>
  <c r="I160" i="31" s="1"/>
  <c r="E177" i="12"/>
  <c r="G177" i="12" s="1"/>
  <c r="I161" i="31" s="1"/>
  <c r="E178" i="12"/>
  <c r="G178" i="12" s="1"/>
  <c r="E179" i="12"/>
  <c r="G179" i="12" s="1"/>
  <c r="I162" i="31" s="1"/>
  <c r="E180" i="12"/>
  <c r="G180" i="12" s="1"/>
  <c r="I163" i="31" s="1"/>
  <c r="E181" i="12"/>
  <c r="G181" i="12" s="1"/>
  <c r="I164" i="31" s="1"/>
  <c r="E182" i="12"/>
  <c r="G182" i="12" s="1"/>
  <c r="I165" i="31" s="1"/>
  <c r="E185" i="12"/>
  <c r="G185" i="12" s="1"/>
  <c r="I168" i="31" s="1"/>
  <c r="E189" i="12"/>
  <c r="G189" i="12" s="1"/>
  <c r="E193" i="12"/>
  <c r="G193" i="12" s="1"/>
  <c r="I175" i="31" s="1"/>
  <c r="E197" i="12"/>
  <c r="G197" i="12" s="1"/>
  <c r="I179" i="31" s="1"/>
  <c r="E200" i="12"/>
  <c r="G200" i="12" s="1"/>
  <c r="E207" i="12"/>
  <c r="G207" i="12" s="1"/>
  <c r="I188" i="31" s="1"/>
  <c r="E211" i="12"/>
  <c r="G211" i="12" s="1"/>
  <c r="E212" i="12"/>
  <c r="G212" i="12" s="1"/>
  <c r="I192" i="31" s="1"/>
  <c r="E213" i="12"/>
  <c r="G213" i="12" s="1"/>
  <c r="I193" i="31" s="1"/>
  <c r="E215" i="12"/>
  <c r="G215" i="12" s="1"/>
  <c r="I195" i="31" s="1"/>
  <c r="E222" i="12"/>
  <c r="G222" i="12" s="1"/>
  <c r="E223" i="12"/>
  <c r="G223" i="12" s="1"/>
  <c r="I202" i="31" s="1"/>
  <c r="E224" i="12"/>
  <c r="G224" i="12" s="1"/>
  <c r="I203" i="31" s="1"/>
  <c r="E225" i="12"/>
  <c r="G225" i="12" s="1"/>
  <c r="I204" i="31" s="1"/>
  <c r="E226" i="12"/>
  <c r="G226" i="12" s="1"/>
  <c r="I205" i="31" s="1"/>
  <c r="E227" i="12"/>
  <c r="G227" i="12" s="1"/>
  <c r="I206" i="31" s="1"/>
  <c r="E228" i="12"/>
  <c r="G228" i="12" s="1"/>
  <c r="I207" i="31" s="1"/>
  <c r="E229" i="12"/>
  <c r="G229" i="12" s="1"/>
  <c r="I208" i="31" s="1"/>
  <c r="E230" i="12"/>
  <c r="G230" i="12" s="1"/>
  <c r="I209" i="31" s="1"/>
  <c r="E231" i="12"/>
  <c r="G231" i="12" s="1"/>
  <c r="I210" i="31" s="1"/>
  <c r="E232" i="12"/>
  <c r="G232" i="12" s="1"/>
  <c r="I211" i="31" s="1"/>
  <c r="E233" i="12"/>
  <c r="G233" i="12" s="1"/>
  <c r="E234" i="12"/>
  <c r="G234" i="12" s="1"/>
  <c r="I212" i="31" s="1"/>
  <c r="E235" i="12"/>
  <c r="G235" i="12" s="1"/>
  <c r="I213" i="31" s="1"/>
  <c r="E236" i="12"/>
  <c r="G236" i="12" s="1"/>
  <c r="I214" i="31" s="1"/>
  <c r="E237" i="12"/>
  <c r="G237" i="12" s="1"/>
  <c r="I215" i="31" s="1"/>
  <c r="E238" i="12"/>
  <c r="G238" i="12" s="1"/>
  <c r="I216" i="31" s="1"/>
  <c r="E239" i="12"/>
  <c r="G239" i="12" s="1"/>
  <c r="I217" i="31" s="1"/>
  <c r="E240" i="12"/>
  <c r="G240" i="12" s="1"/>
  <c r="I218" i="31" s="1"/>
  <c r="E241" i="12"/>
  <c r="G241" i="12" s="1"/>
  <c r="I219" i="31" s="1"/>
  <c r="E242" i="12"/>
  <c r="G242" i="12" s="1"/>
  <c r="I220" i="31" s="1"/>
  <c r="E243" i="12"/>
  <c r="G243" i="12" s="1"/>
  <c r="I221" i="31" s="1"/>
  <c r="E244" i="12"/>
  <c r="G244" i="12" s="1"/>
  <c r="E245" i="12"/>
  <c r="G245" i="12" s="1"/>
  <c r="I222" i="31" s="1"/>
  <c r="E246" i="12"/>
  <c r="G246" i="12" s="1"/>
  <c r="I223" i="31" s="1"/>
  <c r="E247" i="12"/>
  <c r="G247" i="12" s="1"/>
  <c r="I224" i="31" s="1"/>
  <c r="E248" i="12"/>
  <c r="G248" i="12" s="1"/>
  <c r="I225" i="31" s="1"/>
  <c r="E249" i="12"/>
  <c r="G249" i="12" s="1"/>
  <c r="I226" i="31" s="1"/>
  <c r="E250" i="12"/>
  <c r="G250" i="12" s="1"/>
  <c r="I227" i="31" s="1"/>
  <c r="E251" i="12"/>
  <c r="G251" i="12" s="1"/>
  <c r="I228" i="31" s="1"/>
  <c r="E252" i="12"/>
  <c r="G252" i="12" s="1"/>
  <c r="I229" i="31" s="1"/>
  <c r="E253" i="12"/>
  <c r="G253" i="12" s="1"/>
  <c r="I230" i="31" s="1"/>
  <c r="E254" i="12"/>
  <c r="G254" i="12" s="1"/>
  <c r="I231" i="31" s="1"/>
  <c r="E255" i="12"/>
  <c r="G255" i="12" s="1"/>
  <c r="E256" i="12"/>
  <c r="G256" i="12" s="1"/>
  <c r="I232" i="31" s="1"/>
  <c r="E257" i="12"/>
  <c r="G257" i="12" s="1"/>
  <c r="I233" i="31" s="1"/>
  <c r="E258" i="12"/>
  <c r="G258" i="12" s="1"/>
  <c r="I234" i="31" s="1"/>
  <c r="E259" i="12"/>
  <c r="G259" i="12" s="1"/>
  <c r="I235" i="31" s="1"/>
  <c r="E260" i="12"/>
  <c r="G260" i="12" s="1"/>
  <c r="I236" i="31" s="1"/>
  <c r="E261" i="12"/>
  <c r="G261" i="12" s="1"/>
  <c r="I237" i="31" s="1"/>
  <c r="E262" i="12"/>
  <c r="G262" i="12" s="1"/>
  <c r="I238" i="31" s="1"/>
  <c r="E263" i="12"/>
  <c r="G263" i="12" s="1"/>
  <c r="I239" i="31" s="1"/>
  <c r="E264" i="12"/>
  <c r="G264" i="12" s="1"/>
  <c r="I240" i="31" s="1"/>
  <c r="E265" i="12"/>
  <c r="G265" i="12" s="1"/>
  <c r="I241" i="31" s="1"/>
  <c r="E266" i="12"/>
  <c r="G266" i="12" s="1"/>
  <c r="E267" i="12"/>
  <c r="G267" i="12" s="1"/>
  <c r="I242" i="31" s="1"/>
  <c r="E271" i="12"/>
  <c r="G271" i="12" s="1"/>
  <c r="I246" i="31" s="1"/>
  <c r="E275" i="12"/>
  <c r="G275" i="12" s="1"/>
  <c r="I250" i="31" s="1"/>
  <c r="E277" i="12"/>
  <c r="G277" i="12" s="1"/>
  <c r="E278" i="12"/>
  <c r="G278" i="12" s="1"/>
  <c r="I252" i="31" s="1"/>
  <c r="E279" i="12"/>
  <c r="G279" i="12" s="1"/>
  <c r="I253" i="31" s="1"/>
  <c r="E280" i="12"/>
  <c r="G280" i="12" s="1"/>
  <c r="I254" i="31" s="1"/>
  <c r="E281" i="12"/>
  <c r="G281" i="12" s="1"/>
  <c r="I255" i="31" s="1"/>
  <c r="E282" i="12"/>
  <c r="G282" i="12" s="1"/>
  <c r="I256" i="31" s="1"/>
  <c r="E283" i="12"/>
  <c r="G283" i="12" s="1"/>
  <c r="I257" i="31" s="1"/>
  <c r="E284" i="12"/>
  <c r="G284" i="12" s="1"/>
  <c r="I258" i="31" s="1"/>
  <c r="E287" i="12"/>
  <c r="G287" i="12" s="1"/>
  <c r="I261" i="31" s="1"/>
  <c r="E288" i="12"/>
  <c r="G288" i="12" s="1"/>
  <c r="E289" i="12"/>
  <c r="G289" i="12" s="1"/>
  <c r="I262" i="31" s="1"/>
  <c r="E291" i="12"/>
  <c r="G291" i="12" s="1"/>
  <c r="I264" i="31" s="1"/>
  <c r="E292" i="12"/>
  <c r="G292" i="12" s="1"/>
  <c r="I265" i="31" s="1"/>
  <c r="E293" i="12"/>
  <c r="G293" i="12" s="1"/>
  <c r="I266" i="31" s="1"/>
  <c r="E294" i="12"/>
  <c r="G294" i="12" s="1"/>
  <c r="I267" i="31" s="1"/>
  <c r="E297" i="12"/>
  <c r="G297" i="12" s="1"/>
  <c r="I270" i="31" s="1"/>
  <c r="E299" i="12"/>
  <c r="G299" i="12" s="1"/>
  <c r="E300" i="12"/>
  <c r="G300" i="12" s="1"/>
  <c r="I272" i="31" s="1"/>
  <c r="E301" i="12"/>
  <c r="G301" i="12" s="1"/>
  <c r="I273" i="31" s="1"/>
  <c r="E302" i="12"/>
  <c r="G302" i="12" s="1"/>
  <c r="I274" i="31" s="1"/>
  <c r="E303" i="12"/>
  <c r="G303" i="12" s="1"/>
  <c r="I275" i="31" s="1"/>
  <c r="E304" i="12"/>
  <c r="G304" i="12" s="1"/>
  <c r="I276" i="31" s="1"/>
  <c r="E305" i="12"/>
  <c r="G305" i="12" s="1"/>
  <c r="I277" i="31" s="1"/>
  <c r="E306" i="12"/>
  <c r="G306" i="12" s="1"/>
  <c r="I278" i="31" s="1"/>
  <c r="E307" i="12"/>
  <c r="G307" i="12" s="1"/>
  <c r="I279" i="31" s="1"/>
  <c r="E308" i="12"/>
  <c r="G308" i="12" s="1"/>
  <c r="I280" i="31" s="1"/>
  <c r="E309" i="12"/>
  <c r="G309" i="12" s="1"/>
  <c r="I281" i="31" s="1"/>
  <c r="E310" i="12"/>
  <c r="G310" i="12" s="1"/>
  <c r="E311" i="12"/>
  <c r="G311" i="12" s="1"/>
  <c r="I282" i="31" s="1"/>
  <c r="E312" i="12"/>
  <c r="G312" i="12" s="1"/>
  <c r="I283" i="31" s="1"/>
  <c r="E313" i="12"/>
  <c r="G313" i="12" s="1"/>
  <c r="I284" i="31" s="1"/>
  <c r="E314" i="12"/>
  <c r="G314" i="12" s="1"/>
  <c r="I285" i="31" s="1"/>
  <c r="E315" i="12"/>
  <c r="G315" i="12" s="1"/>
  <c r="I286" i="31" s="1"/>
  <c r="E316" i="12"/>
  <c r="G316" i="12" s="1"/>
  <c r="I287" i="31" s="1"/>
  <c r="E317" i="12"/>
  <c r="G317" i="12" s="1"/>
  <c r="I288" i="31" s="1"/>
  <c r="E318" i="12"/>
  <c r="G318" i="12" s="1"/>
  <c r="I289" i="31" s="1"/>
  <c r="E319" i="12"/>
  <c r="G319" i="12" s="1"/>
  <c r="I290" i="31" s="1"/>
  <c r="E320" i="12"/>
  <c r="G320" i="12" s="1"/>
  <c r="I291" i="31" s="1"/>
  <c r="E321" i="12"/>
  <c r="G321" i="12" s="1"/>
  <c r="E322" i="12"/>
  <c r="G322" i="12" s="1"/>
  <c r="I292" i="31" s="1"/>
  <c r="E323" i="12"/>
  <c r="G323" i="12" s="1"/>
  <c r="I293" i="31" s="1"/>
  <c r="E324" i="12"/>
  <c r="G324" i="12" s="1"/>
  <c r="I294" i="31" s="1"/>
  <c r="E325" i="12"/>
  <c r="G325" i="12" s="1"/>
  <c r="I295" i="31" s="1"/>
  <c r="E326" i="12"/>
  <c r="G326" i="12" s="1"/>
  <c r="I296" i="31" s="1"/>
  <c r="E327" i="12"/>
  <c r="G327" i="12" s="1"/>
  <c r="I297" i="31" s="1"/>
  <c r="E328" i="12"/>
  <c r="G328" i="12" s="1"/>
  <c r="I298" i="31" s="1"/>
  <c r="E329" i="12"/>
  <c r="G329" i="12" s="1"/>
  <c r="I299" i="31" s="1"/>
  <c r="E330" i="12"/>
  <c r="G330" i="12" s="1"/>
  <c r="I300" i="31" s="1"/>
  <c r="E331" i="12"/>
  <c r="G331" i="12" s="1"/>
  <c r="I301" i="31" s="1"/>
  <c r="E332" i="12"/>
  <c r="G332" i="12" s="1"/>
  <c r="E333" i="12"/>
  <c r="G333" i="12" s="1"/>
  <c r="I302" i="31" s="1"/>
  <c r="E334" i="12"/>
  <c r="G334" i="12" s="1"/>
  <c r="I303" i="31" s="1"/>
  <c r="E335" i="12"/>
  <c r="G335" i="12" s="1"/>
  <c r="I304" i="31" s="1"/>
  <c r="E336" i="12"/>
  <c r="G336" i="12" s="1"/>
  <c r="I305" i="31" s="1"/>
  <c r="E337" i="12"/>
  <c r="G337" i="12" s="1"/>
  <c r="I306" i="31" s="1"/>
  <c r="E339" i="12"/>
  <c r="G339" i="12" s="1"/>
  <c r="I308" i="31" s="1"/>
  <c r="E343" i="12"/>
  <c r="G343" i="12" s="1"/>
  <c r="E344" i="12"/>
  <c r="G344" i="12" s="1"/>
  <c r="I312" i="31" s="1"/>
  <c r="E345" i="12"/>
  <c r="G345" i="12" s="1"/>
  <c r="I313" i="31" s="1"/>
  <c r="E346" i="12"/>
  <c r="G346" i="12" s="1"/>
  <c r="I314" i="31" s="1"/>
  <c r="E347" i="12"/>
  <c r="G347" i="12" s="1"/>
  <c r="I315" i="31" s="1"/>
  <c r="E348" i="12"/>
  <c r="G348" i="12" s="1"/>
  <c r="I316" i="31" s="1"/>
  <c r="E349" i="12"/>
  <c r="G349" i="12" s="1"/>
  <c r="I317" i="31" s="1"/>
  <c r="E350" i="12"/>
  <c r="G350" i="12" s="1"/>
  <c r="I318" i="31" s="1"/>
  <c r="E351" i="12"/>
  <c r="G351" i="12" s="1"/>
  <c r="I319" i="31" s="1"/>
  <c r="E352" i="12"/>
  <c r="G352" i="12" s="1"/>
  <c r="I320" i="31" s="1"/>
  <c r="E353" i="12"/>
  <c r="G353" i="12" s="1"/>
  <c r="I321" i="31" s="1"/>
  <c r="E354" i="12"/>
  <c r="G354" i="12" s="1"/>
  <c r="E355" i="12"/>
  <c r="G355" i="12" s="1"/>
  <c r="I322" i="31" s="1"/>
  <c r="E356" i="12"/>
  <c r="G356" i="12" s="1"/>
  <c r="I323" i="31" s="1"/>
  <c r="E357" i="12"/>
  <c r="G357" i="12" s="1"/>
  <c r="I324" i="31" s="1"/>
  <c r="E358" i="12"/>
  <c r="G358" i="12" s="1"/>
  <c r="I325" i="31" s="1"/>
  <c r="E359" i="12"/>
  <c r="G359" i="12" s="1"/>
  <c r="I326" i="31" s="1"/>
  <c r="E360" i="12"/>
  <c r="G360" i="12" s="1"/>
  <c r="I327" i="31" s="1"/>
  <c r="E361" i="12"/>
  <c r="G361" i="12" s="1"/>
  <c r="I328" i="31" s="1"/>
  <c r="E363" i="12"/>
  <c r="G363" i="12" s="1"/>
  <c r="I330" i="31" s="1"/>
  <c r="E364" i="12"/>
  <c r="G364" i="12" s="1"/>
  <c r="I331" i="31" s="1"/>
  <c r="E365" i="12"/>
  <c r="G365" i="12" s="1"/>
  <c r="E366" i="12"/>
  <c r="G366" i="12" s="1"/>
  <c r="I332" i="31" s="1"/>
  <c r="E367" i="12"/>
  <c r="G367" i="12" s="1"/>
  <c r="I333" i="31" s="1"/>
  <c r="E368" i="12"/>
  <c r="G368" i="12" s="1"/>
  <c r="I334" i="31" s="1"/>
  <c r="E369" i="12"/>
  <c r="G369" i="12" s="1"/>
  <c r="I335" i="31" s="1"/>
  <c r="E370" i="12"/>
  <c r="G370" i="12" s="1"/>
  <c r="I336" i="31" s="1"/>
  <c r="E371" i="12"/>
  <c r="G371" i="12" s="1"/>
  <c r="I337" i="31" s="1"/>
  <c r="E372" i="12"/>
  <c r="G372" i="12" s="1"/>
  <c r="I338" i="31" s="1"/>
  <c r="E373" i="12"/>
  <c r="G373" i="12" s="1"/>
  <c r="I339" i="31" s="1"/>
  <c r="E374" i="12"/>
  <c r="G374" i="12" s="1"/>
  <c r="I340" i="31" s="1"/>
  <c r="E375" i="12"/>
  <c r="G375" i="12" s="1"/>
  <c r="I341" i="31" s="1"/>
  <c r="E376" i="12"/>
  <c r="G376" i="12" s="1"/>
  <c r="E377" i="12"/>
  <c r="G377" i="12" s="1"/>
  <c r="I342" i="31" s="1"/>
  <c r="E378" i="12"/>
  <c r="G378" i="12" s="1"/>
  <c r="I343" i="31" s="1"/>
  <c r="E379" i="12"/>
  <c r="G379" i="12" s="1"/>
  <c r="I344" i="31" s="1"/>
  <c r="E380" i="12"/>
  <c r="G380" i="12" s="1"/>
  <c r="I345" i="31" s="1"/>
  <c r="E381" i="12"/>
  <c r="G381" i="12" s="1"/>
  <c r="I346" i="31" s="1"/>
  <c r="E383" i="12"/>
  <c r="G383" i="12" s="1"/>
  <c r="I348" i="31" s="1"/>
  <c r="E384" i="12"/>
  <c r="G384" i="12" s="1"/>
  <c r="I349" i="31" s="1"/>
  <c r="E385" i="12"/>
  <c r="G385" i="12" s="1"/>
  <c r="I350" i="31" s="1"/>
  <c r="E386" i="12"/>
  <c r="G386" i="12" s="1"/>
  <c r="I351" i="31" s="1"/>
  <c r="E387" i="12"/>
  <c r="G387" i="12" s="1"/>
  <c r="E388" i="12"/>
  <c r="G388" i="12" s="1"/>
  <c r="I352" i="31" s="1"/>
  <c r="E389" i="12"/>
  <c r="G389" i="12" s="1"/>
  <c r="I353" i="31" s="1"/>
  <c r="E390" i="12"/>
  <c r="G390" i="12" s="1"/>
  <c r="I354" i="31" s="1"/>
  <c r="E391" i="12"/>
  <c r="G391" i="12" s="1"/>
  <c r="I355" i="31" s="1"/>
  <c r="E392" i="12"/>
  <c r="G392" i="12" s="1"/>
  <c r="I356" i="31" s="1"/>
  <c r="E393" i="12"/>
  <c r="G393" i="12" s="1"/>
  <c r="I357" i="31" s="1"/>
  <c r="E394" i="12"/>
  <c r="G394" i="12" s="1"/>
  <c r="I358" i="31" s="1"/>
  <c r="E395" i="12"/>
  <c r="G395" i="12" s="1"/>
  <c r="I359" i="31" s="1"/>
  <c r="E396" i="12"/>
  <c r="G396" i="12" s="1"/>
  <c r="I360" i="31" s="1"/>
  <c r="E397" i="12"/>
  <c r="G397" i="12" s="1"/>
  <c r="I361" i="31" s="1"/>
  <c r="E398" i="12"/>
  <c r="G398" i="12" s="1"/>
  <c r="E399" i="12"/>
  <c r="G399" i="12" s="1"/>
  <c r="I362" i="31" s="1"/>
  <c r="E400" i="12"/>
  <c r="G400" i="12" s="1"/>
  <c r="I363" i="31" s="1"/>
  <c r="E401" i="12"/>
  <c r="G401" i="12" s="1"/>
  <c r="I364" i="31" s="1"/>
  <c r="E402" i="12"/>
  <c r="G402" i="12" s="1"/>
  <c r="I365" i="31" s="1"/>
  <c r="E403" i="12"/>
  <c r="G403" i="12" s="1"/>
  <c r="I366" i="31" s="1"/>
  <c r="E405" i="12"/>
  <c r="G405" i="12" s="1"/>
  <c r="I368" i="31" s="1"/>
  <c r="E406" i="12"/>
  <c r="G406" i="12" s="1"/>
  <c r="I369" i="31" s="1"/>
  <c r="E407" i="12"/>
  <c r="G407" i="12" s="1"/>
  <c r="I370" i="31" s="1"/>
  <c r="E408" i="12"/>
  <c r="G408" i="12" s="1"/>
  <c r="I371" i="31" s="1"/>
  <c r="E409" i="12"/>
  <c r="G409" i="12" s="1"/>
  <c r="E410" i="12"/>
  <c r="G410" i="12" s="1"/>
  <c r="I372" i="31" s="1"/>
  <c r="E411" i="12"/>
  <c r="G411" i="12" s="1"/>
  <c r="I373" i="31" s="1"/>
  <c r="E413" i="12"/>
  <c r="G413" i="12" s="1"/>
  <c r="I375" i="31" s="1"/>
  <c r="E415" i="12"/>
  <c r="G415" i="12" s="1"/>
  <c r="I377" i="31" s="1"/>
  <c r="E416" i="12"/>
  <c r="G416" i="12" s="1"/>
  <c r="I378" i="31" s="1"/>
  <c r="E417" i="12"/>
  <c r="G417" i="12" s="1"/>
  <c r="I379" i="31" s="1"/>
  <c r="E418" i="12"/>
  <c r="G418" i="12" s="1"/>
  <c r="I380" i="31" s="1"/>
  <c r="E419" i="12"/>
  <c r="G419" i="12" s="1"/>
  <c r="I381" i="31" s="1"/>
  <c r="E420" i="12"/>
  <c r="G420" i="12" s="1"/>
  <c r="E421" i="12"/>
  <c r="G421" i="12" s="1"/>
  <c r="I382" i="31" s="1"/>
  <c r="E422" i="12"/>
  <c r="G422" i="12" s="1"/>
  <c r="I383" i="31" s="1"/>
  <c r="E423" i="12"/>
  <c r="G423" i="12" s="1"/>
  <c r="I384" i="31" s="1"/>
  <c r="E425" i="12"/>
  <c r="G425" i="12" s="1"/>
  <c r="I386" i="31" s="1"/>
  <c r="E426" i="12"/>
  <c r="G426" i="12" s="1"/>
  <c r="I387" i="31" s="1"/>
  <c r="E427" i="12"/>
  <c r="G427" i="12" s="1"/>
  <c r="I388" i="31" s="1"/>
  <c r="E428" i="12"/>
  <c r="G428" i="12" s="1"/>
  <c r="I389" i="31" s="1"/>
  <c r="E429" i="12"/>
  <c r="G429" i="12" s="1"/>
  <c r="I390" i="31" s="1"/>
  <c r="E430" i="12"/>
  <c r="G430" i="12" s="1"/>
  <c r="I391" i="31" s="1"/>
  <c r="E431" i="12"/>
  <c r="G431" i="12" s="1"/>
  <c r="E432" i="12"/>
  <c r="G432" i="12" s="1"/>
  <c r="I392" i="31" s="1"/>
  <c r="E433" i="12"/>
  <c r="G433" i="12" s="1"/>
  <c r="I393" i="31" s="1"/>
  <c r="E434" i="12"/>
  <c r="G434" i="12" s="1"/>
  <c r="I394" i="31" s="1"/>
  <c r="E435" i="12"/>
  <c r="G435" i="12" s="1"/>
  <c r="I395" i="31" s="1"/>
  <c r="E436" i="12"/>
  <c r="G436" i="12" s="1"/>
  <c r="I396" i="31" s="1"/>
  <c r="E437" i="12"/>
  <c r="G437" i="12" s="1"/>
  <c r="I397" i="31" s="1"/>
  <c r="E438" i="12"/>
  <c r="G438" i="12" s="1"/>
  <c r="I398" i="31" s="1"/>
  <c r="E439" i="12"/>
  <c r="G439" i="12" s="1"/>
  <c r="I399" i="31" s="1"/>
  <c r="E440" i="12"/>
  <c r="G440" i="12" s="1"/>
  <c r="I400" i="31" s="1"/>
  <c r="E441" i="12"/>
  <c r="G441" i="12" s="1"/>
  <c r="I401" i="31" s="1"/>
  <c r="E442" i="12"/>
  <c r="G442" i="12" s="1"/>
  <c r="E443" i="12"/>
  <c r="G443" i="12" s="1"/>
  <c r="I402" i="31" s="1"/>
  <c r="E444" i="12"/>
  <c r="G444" i="12" s="1"/>
  <c r="I403" i="31" s="1"/>
  <c r="E445" i="12"/>
  <c r="G445" i="12" s="1"/>
  <c r="I404" i="31" s="1"/>
  <c r="E447" i="12"/>
  <c r="G447" i="12" s="1"/>
  <c r="I406" i="31" s="1"/>
  <c r="E448" i="12"/>
  <c r="G448" i="12" s="1"/>
  <c r="I407" i="31" s="1"/>
  <c r="E449" i="12"/>
  <c r="G449" i="12" s="1"/>
  <c r="I408" i="31" s="1"/>
  <c r="E450" i="12"/>
  <c r="G450" i="12" s="1"/>
  <c r="I409" i="31" s="1"/>
  <c r="E451" i="12"/>
  <c r="G451" i="12" s="1"/>
  <c r="I410" i="31" s="1"/>
  <c r="E452" i="12"/>
  <c r="G452" i="12" s="1"/>
  <c r="I411" i="31" s="1"/>
  <c r="E453" i="12"/>
  <c r="G453" i="12" s="1"/>
  <c r="E455" i="12"/>
  <c r="G455" i="12" s="1"/>
  <c r="I413" i="31" s="1"/>
  <c r="E459" i="12"/>
  <c r="G459" i="12" s="1"/>
  <c r="I417" i="31" s="1"/>
  <c r="E463" i="12"/>
  <c r="G463" i="12" s="1"/>
  <c r="I421" i="31" s="1"/>
  <c r="E464" i="12"/>
  <c r="G464" i="12" s="1"/>
  <c r="E465" i="12"/>
  <c r="G465" i="12" s="1"/>
  <c r="I422" i="31" s="1"/>
  <c r="E467" i="12"/>
  <c r="G467" i="12" s="1"/>
  <c r="I424" i="31" s="1"/>
  <c r="E468" i="12"/>
  <c r="G468" i="12" s="1"/>
  <c r="I425" i="31" s="1"/>
  <c r="E469" i="12"/>
  <c r="G469" i="12" s="1"/>
  <c r="I426" i="31" s="1"/>
  <c r="E470" i="12"/>
  <c r="G470" i="12" s="1"/>
  <c r="I427" i="31" s="1"/>
  <c r="E471" i="12"/>
  <c r="G471" i="12" s="1"/>
  <c r="I428" i="31" s="1"/>
  <c r="E472" i="12"/>
  <c r="G472" i="12" s="1"/>
  <c r="I429" i="31" s="1"/>
  <c r="E473" i="12"/>
  <c r="G473" i="12" s="1"/>
  <c r="I430" i="31" s="1"/>
  <c r="E474" i="12"/>
  <c r="G474" i="12" s="1"/>
  <c r="I431" i="31" s="1"/>
  <c r="E475" i="12"/>
  <c r="G475" i="12" s="1"/>
  <c r="E477" i="12"/>
  <c r="G477" i="12" s="1"/>
  <c r="I433" i="31" s="1"/>
  <c r="E478" i="12"/>
  <c r="G478" i="12" s="1"/>
  <c r="I434" i="31" s="1"/>
  <c r="E479" i="12"/>
  <c r="G479" i="12" s="1"/>
  <c r="I435" i="31" s="1"/>
  <c r="E480" i="12"/>
  <c r="G480" i="12" s="1"/>
  <c r="I436" i="31" s="1"/>
  <c r="E481" i="12"/>
  <c r="G481" i="12" s="1"/>
  <c r="I437" i="31" s="1"/>
  <c r="E482" i="12"/>
  <c r="G482" i="12" s="1"/>
  <c r="I438" i="31" s="1"/>
  <c r="E483" i="12"/>
  <c r="G483" i="12" s="1"/>
  <c r="I439" i="31" s="1"/>
  <c r="E484" i="12"/>
  <c r="G484" i="12" s="1"/>
  <c r="I440" i="31" s="1"/>
  <c r="E485" i="12"/>
  <c r="G485" i="12" s="1"/>
  <c r="I441" i="31" s="1"/>
  <c r="E486" i="12"/>
  <c r="G486" i="12" s="1"/>
  <c r="E487" i="12"/>
  <c r="G487" i="12" s="1"/>
  <c r="I442" i="31" s="1"/>
  <c r="E488" i="12"/>
  <c r="G488" i="12" s="1"/>
  <c r="I443" i="31" s="1"/>
  <c r="E489" i="12"/>
  <c r="G489" i="12" s="1"/>
  <c r="I444" i="31" s="1"/>
  <c r="E490" i="12"/>
  <c r="G490" i="12" s="1"/>
  <c r="I445" i="31" s="1"/>
  <c r="E491" i="12"/>
  <c r="G491" i="12" s="1"/>
  <c r="I446" i="31" s="1"/>
  <c r="E493" i="12"/>
  <c r="G493" i="12" s="1"/>
  <c r="I448" i="31" s="1"/>
  <c r="E495" i="12"/>
  <c r="G495" i="12" s="1"/>
  <c r="I450" i="31" s="1"/>
  <c r="E497" i="12"/>
  <c r="G497" i="12" s="1"/>
  <c r="E498" i="12"/>
  <c r="G498" i="12" s="1"/>
  <c r="I452" i="31" s="1"/>
  <c r="E499" i="12"/>
  <c r="G499" i="12" s="1"/>
  <c r="I453" i="31" s="1"/>
  <c r="E500" i="12"/>
  <c r="G500" i="12" s="1"/>
  <c r="I454" i="31" s="1"/>
  <c r="E501" i="12"/>
  <c r="G501" i="12" s="1"/>
  <c r="I455" i="31" s="1"/>
  <c r="E502" i="12"/>
  <c r="G502" i="12" s="1"/>
  <c r="I456" i="31" s="1"/>
  <c r="E503" i="12"/>
  <c r="G503" i="12" s="1"/>
  <c r="I457" i="31" s="1"/>
  <c r="E504" i="12"/>
  <c r="G504" i="12" s="1"/>
  <c r="I458" i="31" s="1"/>
  <c r="E505" i="12"/>
  <c r="G505" i="12" s="1"/>
  <c r="I459" i="31" s="1"/>
  <c r="E506" i="12"/>
  <c r="G506" i="12" s="1"/>
  <c r="I460" i="31" s="1"/>
  <c r="E507" i="12"/>
  <c r="G507" i="12" s="1"/>
  <c r="I461" i="31" s="1"/>
  <c r="E508" i="12"/>
  <c r="G508" i="12" s="1"/>
  <c r="E509" i="12"/>
  <c r="G509" i="12" s="1"/>
  <c r="I462" i="31" s="1"/>
  <c r="E510" i="12"/>
  <c r="G510" i="12" s="1"/>
  <c r="I463" i="31" s="1"/>
  <c r="E511" i="12"/>
  <c r="G511" i="12" s="1"/>
  <c r="I464" i="31" s="1"/>
  <c r="E512" i="12"/>
  <c r="G512" i="12" s="1"/>
  <c r="I465" i="31" s="1"/>
  <c r="E513" i="12"/>
  <c r="G513" i="12" s="1"/>
  <c r="I466" i="31" s="1"/>
  <c r="E514" i="12"/>
  <c r="G514" i="12" s="1"/>
  <c r="I467" i="31" s="1"/>
  <c r="E515" i="12"/>
  <c r="G515" i="12" s="1"/>
  <c r="I468" i="31" s="1"/>
  <c r="E516" i="12"/>
  <c r="G516" i="12" s="1"/>
  <c r="I469" i="31" s="1"/>
  <c r="E517" i="12"/>
  <c r="G517" i="12" s="1"/>
  <c r="I470" i="31" s="1"/>
  <c r="E518" i="12"/>
  <c r="G518" i="12" s="1"/>
  <c r="I471" i="31" s="1"/>
  <c r="E519" i="12"/>
  <c r="G519" i="12" s="1"/>
  <c r="E520" i="12"/>
  <c r="G520" i="12" s="1"/>
  <c r="I472" i="31" s="1"/>
  <c r="E521" i="12"/>
  <c r="G521" i="12" s="1"/>
  <c r="I473" i="31" s="1"/>
  <c r="E522" i="12"/>
  <c r="G522" i="12" s="1"/>
  <c r="I474" i="31" s="1"/>
  <c r="E523" i="12"/>
  <c r="G523" i="12" s="1"/>
  <c r="I475" i="31" s="1"/>
  <c r="E524" i="12"/>
  <c r="G524" i="12" s="1"/>
  <c r="I476" i="31" s="1"/>
  <c r="E525" i="12"/>
  <c r="G525" i="12" s="1"/>
  <c r="I477" i="31" s="1"/>
  <c r="E526" i="12"/>
  <c r="G526" i="12" s="1"/>
  <c r="I478" i="31" s="1"/>
  <c r="E527" i="12"/>
  <c r="G527" i="12" s="1"/>
  <c r="I479" i="31" s="1"/>
  <c r="E528" i="12"/>
  <c r="G528" i="12" s="1"/>
  <c r="I480" i="31" s="1"/>
  <c r="E529" i="12"/>
  <c r="G529" i="12" s="1"/>
  <c r="I481" i="31" s="1"/>
  <c r="E530" i="12"/>
  <c r="G530" i="12" s="1"/>
  <c r="E531" i="12"/>
  <c r="G531" i="12" s="1"/>
  <c r="I482" i="31" s="1"/>
  <c r="E532" i="12"/>
  <c r="G532" i="12" s="1"/>
  <c r="I483" i="31" s="1"/>
  <c r="E533" i="12"/>
  <c r="G533" i="12" s="1"/>
  <c r="I484" i="31" s="1"/>
  <c r="E534" i="12"/>
  <c r="G534" i="12" s="1"/>
  <c r="I485" i="31" s="1"/>
  <c r="E535" i="12"/>
  <c r="G535" i="12" s="1"/>
  <c r="I486" i="31" s="1"/>
  <c r="E536" i="12"/>
  <c r="G536" i="12" s="1"/>
  <c r="I487" i="31" s="1"/>
  <c r="E537" i="12"/>
  <c r="G537" i="12" s="1"/>
  <c r="I488" i="31" s="1"/>
  <c r="E538" i="12"/>
  <c r="G538" i="12" s="1"/>
  <c r="I489" i="31" s="1"/>
  <c r="E539" i="12"/>
  <c r="G539" i="12" s="1"/>
  <c r="I490" i="31" s="1"/>
  <c r="E540" i="12"/>
  <c r="G540" i="12" s="1"/>
  <c r="I491" i="31" s="1"/>
  <c r="E541" i="12"/>
  <c r="G541" i="12" s="1"/>
  <c r="E542" i="12"/>
  <c r="G542" i="12" s="1"/>
  <c r="I492" i="31" s="1"/>
  <c r="E543" i="12"/>
  <c r="G543" i="12" s="1"/>
  <c r="I493" i="31" s="1"/>
  <c r="E544" i="12"/>
  <c r="G544" i="12" s="1"/>
  <c r="I494" i="31" s="1"/>
  <c r="E545" i="12"/>
  <c r="G545" i="12" s="1"/>
  <c r="I495" i="31" s="1"/>
  <c r="E546" i="12"/>
  <c r="G546" i="12" s="1"/>
  <c r="I496" i="31" s="1"/>
  <c r="E547" i="12"/>
  <c r="G547" i="12" s="1"/>
  <c r="I497" i="31" s="1"/>
  <c r="E548" i="12"/>
  <c r="G548" i="12" s="1"/>
  <c r="I498" i="31" s="1"/>
  <c r="E549" i="12"/>
  <c r="G549" i="12" s="1"/>
  <c r="I499" i="31" s="1"/>
  <c r="E550" i="12"/>
  <c r="G550" i="12" s="1"/>
  <c r="I500" i="31" s="1"/>
  <c r="E551" i="12"/>
  <c r="G551" i="12" s="1"/>
  <c r="I501" i="31" s="1"/>
  <c r="E552" i="12"/>
  <c r="G552" i="12" s="1"/>
  <c r="E553" i="12"/>
  <c r="G553" i="12" s="1"/>
  <c r="I502" i="31" s="1"/>
  <c r="E554" i="12"/>
  <c r="G554" i="12" s="1"/>
  <c r="I503" i="31" s="1"/>
  <c r="E555" i="12"/>
  <c r="G555" i="12" s="1"/>
  <c r="I504" i="31" s="1"/>
  <c r="E556" i="12"/>
  <c r="G556" i="12" s="1"/>
  <c r="I505" i="31" s="1"/>
  <c r="E557" i="12"/>
  <c r="G557" i="12" s="1"/>
  <c r="I506" i="31" s="1"/>
  <c r="E558" i="12"/>
  <c r="G558" i="12" s="1"/>
  <c r="I507" i="31" s="1"/>
  <c r="E559" i="12"/>
  <c r="G559" i="12" s="1"/>
  <c r="I508" i="31" s="1"/>
  <c r="E560" i="12"/>
  <c r="G560" i="12" s="1"/>
  <c r="I509" i="31" s="1"/>
  <c r="E561" i="12"/>
  <c r="G561" i="12" s="1"/>
  <c r="I510" i="31" s="1"/>
  <c r="E562" i="12"/>
  <c r="G562" i="12" s="1"/>
  <c r="I511" i="31" s="1"/>
  <c r="E563" i="12"/>
  <c r="G563" i="12" s="1"/>
  <c r="E564" i="12"/>
  <c r="G564" i="12" s="1"/>
  <c r="I512" i="31" s="1"/>
  <c r="E565" i="12"/>
  <c r="G565" i="12" s="1"/>
  <c r="I513" i="31" s="1"/>
  <c r="E566" i="12"/>
  <c r="G566" i="12" s="1"/>
  <c r="I514" i="31" s="1"/>
  <c r="E567" i="12"/>
  <c r="G567" i="12" s="1"/>
  <c r="I515" i="31" s="1"/>
  <c r="E568" i="12"/>
  <c r="G568" i="12" s="1"/>
  <c r="I516" i="31" s="1"/>
  <c r="E569" i="12"/>
  <c r="G569" i="12" s="1"/>
  <c r="I517" i="31" s="1"/>
  <c r="E570" i="12"/>
  <c r="G570" i="12" s="1"/>
  <c r="I518" i="31" s="1"/>
  <c r="E571" i="12"/>
  <c r="G571" i="12" s="1"/>
  <c r="I519" i="31" s="1"/>
  <c r="E572" i="12"/>
  <c r="G572" i="12" s="1"/>
  <c r="I520" i="31" s="1"/>
  <c r="E573" i="12"/>
  <c r="G573" i="12" s="1"/>
  <c r="I521" i="31" s="1"/>
  <c r="E574" i="12"/>
  <c r="G574" i="12" s="1"/>
  <c r="E575" i="12"/>
  <c r="G575" i="12" s="1"/>
  <c r="I522" i="31" s="1"/>
  <c r="E576" i="12"/>
  <c r="G576" i="12" s="1"/>
  <c r="I523" i="31" s="1"/>
  <c r="E577" i="12"/>
  <c r="G577" i="12" s="1"/>
  <c r="I524" i="31" s="1"/>
  <c r="E578" i="12"/>
  <c r="G578" i="12" s="1"/>
  <c r="I525" i="31" s="1"/>
  <c r="E579" i="12"/>
  <c r="G579" i="12" s="1"/>
  <c r="I526" i="31" s="1"/>
  <c r="E580" i="12"/>
  <c r="G580" i="12" s="1"/>
  <c r="I527" i="31" s="1"/>
  <c r="E581" i="12"/>
  <c r="G581" i="12" s="1"/>
  <c r="I528" i="31" s="1"/>
  <c r="E582" i="12"/>
  <c r="G582" i="12" s="1"/>
  <c r="I529" i="31" s="1"/>
  <c r="E583" i="12"/>
  <c r="G583" i="12" s="1"/>
  <c r="I530" i="31" s="1"/>
  <c r="E584" i="12"/>
  <c r="G584" i="12" s="1"/>
  <c r="I531" i="31" s="1"/>
  <c r="E585" i="12"/>
  <c r="G585" i="12" s="1"/>
  <c r="E586" i="12"/>
  <c r="G586" i="12" s="1"/>
  <c r="I532" i="31" s="1"/>
  <c r="E587" i="12"/>
  <c r="G587" i="12" s="1"/>
  <c r="I533" i="31" s="1"/>
  <c r="E588" i="12"/>
  <c r="G588" i="12" s="1"/>
  <c r="I534" i="31" s="1"/>
  <c r="E589" i="12"/>
  <c r="G589" i="12" s="1"/>
  <c r="I535" i="31" s="1"/>
  <c r="E590" i="12"/>
  <c r="G590" i="12" s="1"/>
  <c r="I536" i="31" s="1"/>
  <c r="E591" i="12"/>
  <c r="G591" i="12" s="1"/>
  <c r="I537" i="31" s="1"/>
  <c r="E592" i="12"/>
  <c r="G592" i="12" s="1"/>
  <c r="I538" i="31" s="1"/>
  <c r="E593" i="12"/>
  <c r="G593" i="12" s="1"/>
  <c r="I539" i="31" s="1"/>
  <c r="E594" i="12"/>
  <c r="G594" i="12" s="1"/>
  <c r="I540" i="31" s="1"/>
  <c r="E595" i="12"/>
  <c r="G595" i="12" s="1"/>
  <c r="I541" i="31" s="1"/>
  <c r="E596" i="12"/>
  <c r="G596" i="12" s="1"/>
  <c r="E597" i="12"/>
  <c r="G597" i="12" s="1"/>
  <c r="I542" i="31" s="1"/>
  <c r="E598" i="12"/>
  <c r="G598" i="12" s="1"/>
  <c r="I543" i="31" s="1"/>
  <c r="E599" i="12"/>
  <c r="G599" i="12" s="1"/>
  <c r="I544" i="31" s="1"/>
  <c r="E600" i="12"/>
  <c r="G600" i="12" s="1"/>
  <c r="I545" i="31" s="1"/>
  <c r="E601" i="12"/>
  <c r="G601" i="12" s="1"/>
  <c r="I546" i="31" s="1"/>
  <c r="E602" i="12"/>
  <c r="G602" i="12" s="1"/>
  <c r="I547" i="31" s="1"/>
  <c r="E603" i="12"/>
  <c r="G603" i="12" s="1"/>
  <c r="I548" i="31" s="1"/>
  <c r="E604" i="12"/>
  <c r="G604" i="12" s="1"/>
  <c r="I549" i="31" s="1"/>
  <c r="E605" i="12"/>
  <c r="G605" i="12" s="1"/>
  <c r="I550" i="31" s="1"/>
  <c r="E606" i="12"/>
  <c r="G606" i="12" s="1"/>
  <c r="I551" i="31" s="1"/>
  <c r="E607" i="12"/>
  <c r="G607" i="12" s="1"/>
  <c r="E608" i="12"/>
  <c r="G608" i="12" s="1"/>
  <c r="I552" i="31" s="1"/>
  <c r="E609" i="12"/>
  <c r="G609" i="12" s="1"/>
  <c r="I553" i="31" s="1"/>
  <c r="E610" i="12"/>
  <c r="G610" i="12" s="1"/>
  <c r="I554" i="31" s="1"/>
  <c r="E611" i="12"/>
  <c r="G611" i="12" s="1"/>
  <c r="I555" i="31" s="1"/>
  <c r="E612" i="12"/>
  <c r="G612" i="12" s="1"/>
  <c r="I556" i="31" s="1"/>
  <c r="E613" i="12"/>
  <c r="G613" i="12" s="1"/>
  <c r="I557" i="31" s="1"/>
  <c r="E614" i="12"/>
  <c r="G614" i="12" s="1"/>
  <c r="I558" i="31" s="1"/>
  <c r="E615" i="12"/>
  <c r="G615" i="12" s="1"/>
  <c r="I559" i="31" s="1"/>
  <c r="E616" i="12"/>
  <c r="G616" i="12" s="1"/>
  <c r="I560" i="31" s="1"/>
  <c r="E617" i="12"/>
  <c r="G617" i="12" s="1"/>
  <c r="I561" i="31" s="1"/>
  <c r="E618" i="12"/>
  <c r="G618" i="12" s="1"/>
  <c r="E619" i="12"/>
  <c r="G619" i="12" s="1"/>
  <c r="I562" i="31" s="1"/>
  <c r="E620" i="12"/>
  <c r="G620" i="12" s="1"/>
  <c r="I563" i="31" s="1"/>
  <c r="E621" i="12"/>
  <c r="G621" i="12" s="1"/>
  <c r="I564" i="31" s="1"/>
  <c r="E622" i="12"/>
  <c r="G622" i="12" s="1"/>
  <c r="I565" i="31" s="1"/>
  <c r="E623" i="12"/>
  <c r="G623" i="12" s="1"/>
  <c r="I566" i="31" s="1"/>
  <c r="E624" i="12"/>
  <c r="G624" i="12" s="1"/>
  <c r="I567" i="31" s="1"/>
  <c r="E625" i="12"/>
  <c r="G625" i="12" s="1"/>
  <c r="I568" i="31" s="1"/>
  <c r="E626" i="12"/>
  <c r="G626" i="12" s="1"/>
  <c r="I569" i="31" s="1"/>
  <c r="E627" i="12"/>
  <c r="G627" i="12" s="1"/>
  <c r="I570" i="31" s="1"/>
  <c r="E628" i="12"/>
  <c r="G628" i="12" s="1"/>
  <c r="I571" i="31" s="1"/>
  <c r="E629" i="12"/>
  <c r="G629" i="12" s="1"/>
  <c r="E630" i="12"/>
  <c r="G630" i="12" s="1"/>
  <c r="I572" i="31" s="1"/>
  <c r="E631" i="12"/>
  <c r="G631" i="12" s="1"/>
  <c r="I573" i="31" s="1"/>
  <c r="E632" i="12"/>
  <c r="G632" i="12" s="1"/>
  <c r="I574" i="31" s="1"/>
  <c r="E633" i="12"/>
  <c r="G633" i="12" s="1"/>
  <c r="I575" i="31" s="1"/>
  <c r="E634" i="12"/>
  <c r="G634" i="12" s="1"/>
  <c r="I576" i="31" s="1"/>
  <c r="E635" i="12"/>
  <c r="G635" i="12" s="1"/>
  <c r="I577" i="31" s="1"/>
  <c r="E636" i="12"/>
  <c r="G636" i="12" s="1"/>
  <c r="I578" i="31" s="1"/>
  <c r="E637" i="12"/>
  <c r="G637" i="12" s="1"/>
  <c r="I579" i="31" s="1"/>
  <c r="E638" i="12"/>
  <c r="G638" i="12" s="1"/>
  <c r="I580" i="31" s="1"/>
  <c r="E639" i="12"/>
  <c r="G639" i="12" s="1"/>
  <c r="I581" i="31" s="1"/>
  <c r="E640" i="12"/>
  <c r="G640" i="12" s="1"/>
  <c r="E641" i="12"/>
  <c r="G641" i="12" s="1"/>
  <c r="I582" i="31" s="1"/>
  <c r="E642" i="12"/>
  <c r="G642" i="12" s="1"/>
  <c r="I583" i="31" s="1"/>
  <c r="E643" i="12"/>
  <c r="G643" i="12" s="1"/>
  <c r="I584" i="31" s="1"/>
  <c r="E644" i="12"/>
  <c r="G644" i="12" s="1"/>
  <c r="I585" i="31" s="1"/>
  <c r="E645" i="12"/>
  <c r="G645" i="12" s="1"/>
  <c r="I586" i="31" s="1"/>
  <c r="E646" i="12"/>
  <c r="G646" i="12" s="1"/>
  <c r="I587" i="31" s="1"/>
  <c r="E647" i="12"/>
  <c r="G647" i="12" s="1"/>
  <c r="I588" i="31" s="1"/>
  <c r="E648" i="12"/>
  <c r="G648" i="12" s="1"/>
  <c r="I589" i="31" s="1"/>
  <c r="E649" i="12"/>
  <c r="G649" i="12" s="1"/>
  <c r="I590" i="31" s="1"/>
  <c r="E650" i="12"/>
  <c r="G650" i="12" s="1"/>
  <c r="I591" i="31" s="1"/>
  <c r="E651" i="12"/>
  <c r="G651" i="12" s="1"/>
  <c r="E652" i="12"/>
  <c r="G652" i="12" s="1"/>
  <c r="I592" i="31" s="1"/>
  <c r="E653" i="12"/>
  <c r="G653" i="12" s="1"/>
  <c r="I593" i="31" s="1"/>
  <c r="E654" i="12"/>
  <c r="G654" i="12" s="1"/>
  <c r="I594" i="31" s="1"/>
  <c r="E655" i="12"/>
  <c r="G655" i="12" s="1"/>
  <c r="I595" i="31" s="1"/>
  <c r="E656" i="12"/>
  <c r="G656" i="12" s="1"/>
  <c r="I596" i="31" s="1"/>
  <c r="E657" i="12"/>
  <c r="G657" i="12" s="1"/>
  <c r="I597" i="31" s="1"/>
  <c r="E658" i="12"/>
  <c r="G658" i="12" s="1"/>
  <c r="I598" i="31" s="1"/>
  <c r="E659" i="12"/>
  <c r="G659" i="12" s="1"/>
  <c r="I599" i="31" s="1"/>
  <c r="E660" i="12"/>
  <c r="G660" i="12" s="1"/>
  <c r="I600" i="31" s="1"/>
  <c r="E661" i="12"/>
  <c r="G661" i="12" s="1"/>
  <c r="I601" i="31" s="1"/>
  <c r="E662" i="12"/>
  <c r="G662" i="12" s="1"/>
  <c r="E663" i="12"/>
  <c r="G663" i="12" s="1"/>
  <c r="I602" i="31" s="1"/>
  <c r="E664" i="12"/>
  <c r="G664" i="12" s="1"/>
  <c r="I603" i="31" s="1"/>
  <c r="E665" i="12"/>
  <c r="G665" i="12" s="1"/>
  <c r="I604" i="31" s="1"/>
  <c r="E666" i="12"/>
  <c r="G666" i="12" s="1"/>
  <c r="I605" i="31" s="1"/>
  <c r="E667" i="12"/>
  <c r="G667" i="12" s="1"/>
  <c r="I606" i="31" s="1"/>
  <c r="E668" i="12"/>
  <c r="G668" i="12" s="1"/>
  <c r="I607" i="31" s="1"/>
  <c r="E669" i="12"/>
  <c r="G669" i="12" s="1"/>
  <c r="I608" i="31" s="1"/>
  <c r="E670" i="12"/>
  <c r="G670" i="12" s="1"/>
  <c r="I609" i="31" s="1"/>
  <c r="E671" i="12"/>
  <c r="G671" i="12" s="1"/>
  <c r="I610" i="31" s="1"/>
  <c r="E672" i="12"/>
  <c r="G672" i="12" s="1"/>
  <c r="I611" i="31" s="1"/>
  <c r="E673" i="12"/>
  <c r="G673" i="12" s="1"/>
  <c r="E674" i="12"/>
  <c r="G674" i="12" s="1"/>
  <c r="I612" i="31" s="1"/>
  <c r="E675" i="12"/>
  <c r="G675" i="12" s="1"/>
  <c r="I613" i="31" s="1"/>
  <c r="E676" i="12"/>
  <c r="G676" i="12" s="1"/>
  <c r="I614" i="31" s="1"/>
  <c r="E677" i="12"/>
  <c r="G677" i="12" s="1"/>
  <c r="I615" i="31" s="1"/>
  <c r="E678" i="12"/>
  <c r="G678" i="12" s="1"/>
  <c r="I616" i="31" s="1"/>
  <c r="E679" i="12"/>
  <c r="G679" i="12" s="1"/>
  <c r="I617" i="31" s="1"/>
  <c r="E680" i="12"/>
  <c r="G680" i="12" s="1"/>
  <c r="I618" i="31" s="1"/>
  <c r="E681" i="12"/>
  <c r="G681" i="12" s="1"/>
  <c r="I619" i="31" s="1"/>
  <c r="E682" i="12"/>
  <c r="G682" i="12" s="1"/>
  <c r="I620" i="31" s="1"/>
  <c r="E683" i="12"/>
  <c r="G683" i="12" s="1"/>
  <c r="I621" i="31" s="1"/>
  <c r="E684" i="12"/>
  <c r="G684" i="12" s="1"/>
  <c r="E685" i="12"/>
  <c r="G685" i="12" s="1"/>
  <c r="I622" i="31" s="1"/>
  <c r="E686" i="12"/>
  <c r="G686" i="12" s="1"/>
  <c r="I623" i="31" s="1"/>
  <c r="E687" i="12"/>
  <c r="G687" i="12" s="1"/>
  <c r="I624" i="31" s="1"/>
  <c r="E688" i="12"/>
  <c r="G688" i="12" s="1"/>
  <c r="I625" i="31" s="1"/>
  <c r="E689" i="12"/>
  <c r="G689" i="12" s="1"/>
  <c r="I626" i="31" s="1"/>
  <c r="E690" i="12"/>
  <c r="G690" i="12" s="1"/>
  <c r="I627" i="31" s="1"/>
  <c r="E691" i="12"/>
  <c r="G691" i="12" s="1"/>
  <c r="I628" i="31" s="1"/>
  <c r="E692" i="12"/>
  <c r="G692" i="12" s="1"/>
  <c r="I629" i="31" s="1"/>
  <c r="E693" i="12"/>
  <c r="G693" i="12" s="1"/>
  <c r="I630" i="31" s="1"/>
  <c r="E694" i="12"/>
  <c r="G694" i="12" s="1"/>
  <c r="I631" i="31" s="1"/>
  <c r="E695" i="12"/>
  <c r="G695" i="12" s="1"/>
  <c r="E696" i="12"/>
  <c r="G696" i="12" s="1"/>
  <c r="I632" i="31" s="1"/>
  <c r="E697" i="12"/>
  <c r="G697" i="12" s="1"/>
  <c r="I633" i="31" s="1"/>
  <c r="E698" i="12"/>
  <c r="G698" i="12" s="1"/>
  <c r="I634" i="31" s="1"/>
  <c r="E699" i="12"/>
  <c r="G699" i="12" s="1"/>
  <c r="I635" i="31" s="1"/>
  <c r="E700" i="12"/>
  <c r="G700" i="12" s="1"/>
  <c r="I636" i="31" s="1"/>
  <c r="E701" i="12"/>
  <c r="G701" i="12" s="1"/>
  <c r="I637" i="31" s="1"/>
  <c r="E702" i="12"/>
  <c r="G702" i="12" s="1"/>
  <c r="I638" i="31" s="1"/>
  <c r="E703" i="12"/>
  <c r="G703" i="12" s="1"/>
  <c r="I639" i="31" s="1"/>
  <c r="E704" i="12"/>
  <c r="G704" i="12" s="1"/>
  <c r="I640" i="31" s="1"/>
  <c r="E705" i="12"/>
  <c r="G705" i="12" s="1"/>
  <c r="I641" i="31" s="1"/>
  <c r="E706" i="12"/>
  <c r="G706" i="12" s="1"/>
  <c r="E707" i="12"/>
  <c r="G707" i="12" s="1"/>
  <c r="I642" i="31" s="1"/>
  <c r="E708" i="12"/>
  <c r="G708" i="12" s="1"/>
  <c r="I643" i="31" s="1"/>
  <c r="E709" i="12"/>
  <c r="G709" i="12" s="1"/>
  <c r="I644" i="31" s="1"/>
  <c r="E710" i="12"/>
  <c r="G710" i="12" s="1"/>
  <c r="I645" i="31" s="1"/>
  <c r="E711" i="12"/>
  <c r="G711" i="12" s="1"/>
  <c r="I646" i="31" s="1"/>
  <c r="E712" i="12"/>
  <c r="G712" i="12" s="1"/>
  <c r="I647" i="31" s="1"/>
  <c r="E713" i="12"/>
  <c r="G713" i="12" s="1"/>
  <c r="I648" i="31" s="1"/>
  <c r="E714" i="12"/>
  <c r="G714" i="12" s="1"/>
  <c r="I649" i="31" s="1"/>
  <c r="E715" i="12"/>
  <c r="G715" i="12" s="1"/>
  <c r="I650" i="31" s="1"/>
  <c r="E716" i="12"/>
  <c r="G716" i="12" s="1"/>
  <c r="I651" i="31" s="1"/>
  <c r="E717" i="12"/>
  <c r="G717" i="12" s="1"/>
  <c r="E718" i="12"/>
  <c r="G718" i="12" s="1"/>
  <c r="I652" i="31" s="1"/>
  <c r="E719" i="12"/>
  <c r="G719" i="12" s="1"/>
  <c r="I653" i="31" s="1"/>
  <c r="E720" i="12"/>
  <c r="G720" i="12" s="1"/>
  <c r="I654" i="31" s="1"/>
  <c r="E721" i="12"/>
  <c r="G721" i="12" s="1"/>
  <c r="I655" i="31" s="1"/>
  <c r="E722" i="12"/>
  <c r="G722" i="12" s="1"/>
  <c r="I656" i="31" s="1"/>
  <c r="E723" i="12"/>
  <c r="G723" i="12" s="1"/>
  <c r="I657" i="31" s="1"/>
  <c r="E724" i="12"/>
  <c r="G724" i="12" s="1"/>
  <c r="I658" i="31" s="1"/>
  <c r="E725" i="12"/>
  <c r="G725" i="12" s="1"/>
  <c r="I659" i="31" s="1"/>
  <c r="E726" i="12"/>
  <c r="G726" i="12" s="1"/>
  <c r="I660" i="31" s="1"/>
  <c r="E727" i="12"/>
  <c r="G727" i="12" s="1"/>
  <c r="I661" i="31" s="1"/>
  <c r="E728" i="12"/>
  <c r="G728" i="12" s="1"/>
  <c r="E729" i="12"/>
  <c r="G729" i="12" s="1"/>
  <c r="I662" i="31" s="1"/>
  <c r="E730" i="12"/>
  <c r="G730" i="12" s="1"/>
  <c r="I663" i="31" s="1"/>
  <c r="E731" i="12"/>
  <c r="G731" i="12" s="1"/>
  <c r="I664" i="31" s="1"/>
  <c r="E732" i="12"/>
  <c r="G732" i="12" s="1"/>
  <c r="I665" i="31" s="1"/>
  <c r="E733" i="12"/>
  <c r="G733" i="12" s="1"/>
  <c r="I666" i="31" s="1"/>
  <c r="E734" i="12"/>
  <c r="G734" i="12" s="1"/>
  <c r="I667" i="31" s="1"/>
  <c r="E735" i="12"/>
  <c r="G735" i="12" s="1"/>
  <c r="I668" i="31" s="1"/>
  <c r="E736" i="12"/>
  <c r="G736" i="12" s="1"/>
  <c r="I669" i="31" s="1"/>
  <c r="E737" i="12"/>
  <c r="G737" i="12" s="1"/>
  <c r="I670" i="31" s="1"/>
  <c r="E738" i="12"/>
  <c r="G738" i="12" s="1"/>
  <c r="I671" i="31" s="1"/>
  <c r="E739" i="12"/>
  <c r="G739" i="12" s="1"/>
  <c r="E740" i="12"/>
  <c r="G740" i="12" s="1"/>
  <c r="I672" i="31" s="1"/>
  <c r="E741" i="12"/>
  <c r="G741" i="12" s="1"/>
  <c r="I673" i="31" s="1"/>
  <c r="E742" i="12"/>
  <c r="G742" i="12" s="1"/>
  <c r="I674" i="31" s="1"/>
  <c r="E743" i="12"/>
  <c r="G743" i="12" s="1"/>
  <c r="I675" i="31" s="1"/>
  <c r="E744" i="12"/>
  <c r="G744" i="12" s="1"/>
  <c r="I676" i="31" s="1"/>
  <c r="E745" i="12"/>
  <c r="G745" i="12" s="1"/>
  <c r="I677" i="31" s="1"/>
  <c r="E746" i="12"/>
  <c r="G746" i="12" s="1"/>
  <c r="I678" i="31" s="1"/>
  <c r="E747" i="12"/>
  <c r="G747" i="12" s="1"/>
  <c r="I679" i="31" s="1"/>
  <c r="E748" i="12"/>
  <c r="G748" i="12" s="1"/>
  <c r="I680" i="31" s="1"/>
  <c r="E749" i="12"/>
  <c r="G749" i="12" s="1"/>
  <c r="I681" i="31" s="1"/>
  <c r="E750" i="12"/>
  <c r="G750" i="12" s="1"/>
  <c r="E751" i="12"/>
  <c r="G751" i="12" s="1"/>
  <c r="I682" i="31" s="1"/>
  <c r="E752" i="12"/>
  <c r="G752" i="12" s="1"/>
  <c r="I683" i="31" s="1"/>
  <c r="E753" i="12"/>
  <c r="G753" i="12" s="1"/>
  <c r="I684" i="31" s="1"/>
  <c r="E754" i="12"/>
  <c r="G754" i="12" s="1"/>
  <c r="I685" i="31" s="1"/>
  <c r="E755" i="12"/>
  <c r="G755" i="12" s="1"/>
  <c r="I686" i="31" s="1"/>
  <c r="E756" i="12"/>
  <c r="G756" i="12" s="1"/>
  <c r="I687" i="31" s="1"/>
  <c r="E757" i="12"/>
  <c r="G757" i="12" s="1"/>
  <c r="I688" i="31" s="1"/>
  <c r="E758" i="12"/>
  <c r="G758" i="12" s="1"/>
  <c r="I689" i="31" s="1"/>
  <c r="E759" i="12"/>
  <c r="G759" i="12" s="1"/>
  <c r="I690" i="31" s="1"/>
  <c r="E760" i="12"/>
  <c r="G760" i="12" s="1"/>
  <c r="I691" i="31" s="1"/>
  <c r="E761" i="12"/>
  <c r="G761" i="12" s="1"/>
  <c r="E762" i="12"/>
  <c r="G762" i="12" s="1"/>
  <c r="I692" i="31" s="1"/>
  <c r="E763" i="12"/>
  <c r="G763" i="12" s="1"/>
  <c r="I693" i="31" s="1"/>
  <c r="E764" i="12"/>
  <c r="G764" i="12" s="1"/>
  <c r="I694" i="31" s="1"/>
  <c r="E765" i="12"/>
  <c r="G765" i="12" s="1"/>
  <c r="I695" i="31" s="1"/>
  <c r="E766" i="12"/>
  <c r="G766" i="12" s="1"/>
  <c r="I696" i="31" s="1"/>
  <c r="E767" i="12"/>
  <c r="G767" i="12" s="1"/>
  <c r="I697" i="31" s="1"/>
  <c r="E768" i="12"/>
  <c r="G768" i="12" s="1"/>
  <c r="I698" i="31" s="1"/>
  <c r="E769" i="12"/>
  <c r="G769" i="12" s="1"/>
  <c r="I699" i="31" s="1"/>
  <c r="E770" i="12"/>
  <c r="G770" i="12" s="1"/>
  <c r="I700" i="31" s="1"/>
  <c r="E771" i="12"/>
  <c r="G771" i="12" s="1"/>
  <c r="I701" i="31" s="1"/>
  <c r="E772" i="12"/>
  <c r="G772" i="12" s="1"/>
  <c r="E773" i="12"/>
  <c r="G773" i="12" s="1"/>
  <c r="I702" i="31" s="1"/>
  <c r="E774" i="12"/>
  <c r="G774" i="12" s="1"/>
  <c r="I703" i="31" s="1"/>
  <c r="E775" i="12"/>
  <c r="G775" i="12" s="1"/>
  <c r="I704" i="31" s="1"/>
  <c r="E776" i="12"/>
  <c r="G776" i="12" s="1"/>
  <c r="I705" i="31" s="1"/>
  <c r="E777" i="12"/>
  <c r="G777" i="12" s="1"/>
  <c r="I706" i="31" s="1"/>
  <c r="E778" i="12"/>
  <c r="G778" i="12" s="1"/>
  <c r="I707" i="31" s="1"/>
  <c r="E779" i="12"/>
  <c r="G779" i="12" s="1"/>
  <c r="I708" i="31" s="1"/>
  <c r="E780" i="12"/>
  <c r="G780" i="12" s="1"/>
  <c r="I709" i="31" s="1"/>
  <c r="E781" i="12"/>
  <c r="G781" i="12" s="1"/>
  <c r="I710" i="31" s="1"/>
  <c r="E782" i="12"/>
  <c r="G782" i="12" s="1"/>
  <c r="I711" i="31" s="1"/>
  <c r="E783" i="12"/>
  <c r="G783" i="12" s="1"/>
  <c r="E784" i="12"/>
  <c r="G784" i="12" s="1"/>
  <c r="I712" i="31" s="1"/>
  <c r="E785" i="12"/>
  <c r="G785" i="12" s="1"/>
  <c r="I713" i="31" s="1"/>
  <c r="E786" i="12"/>
  <c r="G786" i="12" s="1"/>
  <c r="I714" i="31" s="1"/>
  <c r="E787" i="12"/>
  <c r="G787" i="12" s="1"/>
  <c r="I715" i="31" s="1"/>
  <c r="E788" i="12"/>
  <c r="G788" i="12" s="1"/>
  <c r="I716" i="31" s="1"/>
  <c r="E789" i="12"/>
  <c r="G789" i="12" s="1"/>
  <c r="I717" i="31" s="1"/>
  <c r="E790" i="12"/>
  <c r="G790" i="12" s="1"/>
  <c r="I718" i="31" s="1"/>
  <c r="E791" i="12"/>
  <c r="G791" i="12" s="1"/>
  <c r="I719" i="31" s="1"/>
  <c r="E792" i="12"/>
  <c r="G792" i="12" s="1"/>
  <c r="I720" i="31" s="1"/>
  <c r="E793" i="12"/>
  <c r="G793" i="12" s="1"/>
  <c r="I721" i="31" s="1"/>
  <c r="E794" i="12"/>
  <c r="G794" i="12" s="1"/>
  <c r="E795" i="12"/>
  <c r="G795" i="12" s="1"/>
  <c r="I722" i="31" s="1"/>
  <c r="E796" i="12"/>
  <c r="G796" i="12" s="1"/>
  <c r="I723" i="31" s="1"/>
  <c r="E797" i="12"/>
  <c r="G797" i="12" s="1"/>
  <c r="I724" i="31" s="1"/>
  <c r="E798" i="12"/>
  <c r="G798" i="12" s="1"/>
  <c r="I725" i="31" s="1"/>
  <c r="E799" i="12"/>
  <c r="G799" i="12" s="1"/>
  <c r="I726" i="31" s="1"/>
  <c r="E800" i="12"/>
  <c r="G800" i="12" s="1"/>
  <c r="I727" i="31" s="1"/>
  <c r="E801" i="12"/>
  <c r="G801" i="12" s="1"/>
  <c r="I728" i="31" s="1"/>
  <c r="E802" i="12"/>
  <c r="G802" i="12" s="1"/>
  <c r="I729" i="31" s="1"/>
  <c r="E803" i="12"/>
  <c r="G803" i="12" s="1"/>
  <c r="I730" i="31" s="1"/>
  <c r="E804" i="12"/>
  <c r="G804" i="12" s="1"/>
  <c r="I731" i="31" s="1"/>
  <c r="E805" i="12"/>
  <c r="G805" i="12" s="1"/>
  <c r="E806" i="12"/>
  <c r="G806" i="12" s="1"/>
  <c r="I732" i="31" s="1"/>
  <c r="E807" i="12"/>
  <c r="G807" i="12" s="1"/>
  <c r="I733" i="31" s="1"/>
  <c r="E808" i="12"/>
  <c r="G808" i="12" s="1"/>
  <c r="I734" i="31" s="1"/>
  <c r="E809" i="12"/>
  <c r="G809" i="12" s="1"/>
  <c r="I735" i="31" s="1"/>
  <c r="E810" i="12"/>
  <c r="G810" i="12" s="1"/>
  <c r="I736" i="31" s="1"/>
  <c r="E811" i="12"/>
  <c r="G811" i="12" s="1"/>
  <c r="I737" i="31" s="1"/>
  <c r="E812" i="12"/>
  <c r="G812" i="12" s="1"/>
  <c r="I738" i="31" s="1"/>
  <c r="E813" i="12"/>
  <c r="G813" i="12" s="1"/>
  <c r="I739" i="31" s="1"/>
  <c r="E814" i="12"/>
  <c r="G814" i="12" s="1"/>
  <c r="I740" i="31" s="1"/>
  <c r="E815" i="12"/>
  <c r="G815" i="12" s="1"/>
  <c r="I741" i="31" s="1"/>
  <c r="E816" i="12"/>
  <c r="G816" i="12" s="1"/>
  <c r="E817" i="12"/>
  <c r="G817" i="12" s="1"/>
  <c r="I742" i="31" s="1"/>
  <c r="E818" i="12"/>
  <c r="G818" i="12" s="1"/>
  <c r="I743" i="31" s="1"/>
  <c r="E819" i="12"/>
  <c r="G819" i="12" s="1"/>
  <c r="I744" i="31" s="1"/>
  <c r="E820" i="12"/>
  <c r="G820" i="12" s="1"/>
  <c r="I745" i="31" s="1"/>
  <c r="E821" i="12"/>
  <c r="G821" i="12" s="1"/>
  <c r="I746" i="31" s="1"/>
  <c r="E822" i="12"/>
  <c r="G822" i="12" s="1"/>
  <c r="I747" i="31" s="1"/>
  <c r="E823" i="12"/>
  <c r="G823" i="12" s="1"/>
  <c r="I748" i="31" s="1"/>
  <c r="E824" i="12"/>
  <c r="G824" i="12" s="1"/>
  <c r="I749" i="31" s="1"/>
  <c r="E825" i="12"/>
  <c r="G825" i="12" s="1"/>
  <c r="I750" i="31" s="1"/>
  <c r="E826" i="12"/>
  <c r="G826" i="12" s="1"/>
  <c r="I751" i="31" s="1"/>
  <c r="E827" i="12"/>
  <c r="G827" i="12" s="1"/>
  <c r="E828" i="12"/>
  <c r="G828" i="12" s="1"/>
  <c r="I752" i="31" s="1"/>
  <c r="E829" i="12"/>
  <c r="G829" i="12" s="1"/>
  <c r="I753" i="31" s="1"/>
  <c r="E830" i="12"/>
  <c r="G830" i="12" s="1"/>
  <c r="I754" i="31" s="1"/>
  <c r="E831" i="12"/>
  <c r="G831" i="12" s="1"/>
  <c r="I755" i="31" s="1"/>
  <c r="E832" i="12"/>
  <c r="G832" i="12" s="1"/>
  <c r="I756" i="31" s="1"/>
  <c r="E833" i="12"/>
  <c r="G833" i="12" s="1"/>
  <c r="I757" i="31" s="1"/>
  <c r="E834" i="12"/>
  <c r="G834" i="12" s="1"/>
  <c r="I758" i="31" s="1"/>
  <c r="E835" i="12"/>
  <c r="G835" i="12" s="1"/>
  <c r="I759" i="31" s="1"/>
  <c r="E836" i="12"/>
  <c r="G836" i="12" s="1"/>
  <c r="I760" i="31" s="1"/>
  <c r="E837" i="12"/>
  <c r="G837" i="12" s="1"/>
  <c r="I761" i="31" s="1"/>
  <c r="E838" i="12"/>
  <c r="G838" i="12" s="1"/>
  <c r="E839" i="12"/>
  <c r="G839" i="12" s="1"/>
  <c r="I762" i="31" s="1"/>
  <c r="E840" i="12"/>
  <c r="G840" i="12" s="1"/>
  <c r="I763" i="31" s="1"/>
  <c r="E841" i="12"/>
  <c r="G841" i="12" s="1"/>
  <c r="I764" i="31" s="1"/>
  <c r="E842" i="12"/>
  <c r="G842" i="12" s="1"/>
  <c r="I765" i="31" s="1"/>
  <c r="E843" i="12"/>
  <c r="G843" i="12" s="1"/>
  <c r="I766" i="31" s="1"/>
  <c r="E844" i="12"/>
  <c r="G844" i="12" s="1"/>
  <c r="I767" i="31" s="1"/>
  <c r="E845" i="12"/>
  <c r="G845" i="12" s="1"/>
  <c r="I768" i="31" s="1"/>
  <c r="E846" i="12"/>
  <c r="G846" i="12" s="1"/>
  <c r="I769" i="31" s="1"/>
  <c r="E847" i="12"/>
  <c r="G847" i="12" s="1"/>
  <c r="I770" i="31" s="1"/>
  <c r="E848" i="12"/>
  <c r="G848" i="12" s="1"/>
  <c r="I771" i="31" s="1"/>
  <c r="E849" i="12"/>
  <c r="G849" i="12" s="1"/>
  <c r="E850" i="12"/>
  <c r="G850" i="12" s="1"/>
  <c r="I772" i="31" s="1"/>
  <c r="E851" i="12"/>
  <c r="G851" i="12" s="1"/>
  <c r="I773" i="31" s="1"/>
  <c r="E852" i="12"/>
  <c r="G852" i="12" s="1"/>
  <c r="I774" i="31" s="1"/>
  <c r="E853" i="12"/>
  <c r="G853" i="12" s="1"/>
  <c r="I775" i="31" s="1"/>
  <c r="E854" i="12"/>
  <c r="G854" i="12" s="1"/>
  <c r="I776" i="31" s="1"/>
  <c r="E855" i="12"/>
  <c r="G855" i="12" s="1"/>
  <c r="I777" i="31" s="1"/>
  <c r="E856" i="12"/>
  <c r="G856" i="12" s="1"/>
  <c r="I778" i="31" s="1"/>
  <c r="E857" i="12"/>
  <c r="G857" i="12" s="1"/>
  <c r="I779" i="31" s="1"/>
  <c r="E858" i="12"/>
  <c r="G858" i="12" s="1"/>
  <c r="I780" i="31" s="1"/>
  <c r="E859" i="12"/>
  <c r="G859" i="12" s="1"/>
  <c r="I781" i="31" s="1"/>
  <c r="E860" i="12"/>
  <c r="G860" i="12" s="1"/>
  <c r="E861" i="12"/>
  <c r="G861" i="12" s="1"/>
  <c r="I782" i="31" s="1"/>
  <c r="E862" i="12"/>
  <c r="G862" i="12" s="1"/>
  <c r="I783" i="31" s="1"/>
  <c r="E863" i="12"/>
  <c r="G863" i="12" s="1"/>
  <c r="I784" i="31" s="1"/>
  <c r="E864" i="12"/>
  <c r="G864" i="12" s="1"/>
  <c r="I785" i="31" s="1"/>
  <c r="E865" i="12"/>
  <c r="G865" i="12" s="1"/>
  <c r="I786" i="31" s="1"/>
  <c r="E866" i="12"/>
  <c r="G866" i="12" s="1"/>
  <c r="I787" i="31" s="1"/>
  <c r="E867" i="12"/>
  <c r="G867" i="12" s="1"/>
  <c r="I788" i="31" s="1"/>
  <c r="E868" i="12"/>
  <c r="G868" i="12" s="1"/>
  <c r="I789" i="31" s="1"/>
  <c r="E869" i="12"/>
  <c r="G869" i="12" s="1"/>
  <c r="I790" i="31" s="1"/>
  <c r="E870" i="12"/>
  <c r="G870" i="12" s="1"/>
  <c r="I791" i="31" s="1"/>
  <c r="E871" i="12"/>
  <c r="G871" i="12" s="1"/>
  <c r="E872" i="12"/>
  <c r="G872" i="12" s="1"/>
  <c r="I792" i="31" s="1"/>
  <c r="E873" i="12"/>
  <c r="G873" i="12" s="1"/>
  <c r="I793" i="31" s="1"/>
  <c r="E874" i="12"/>
  <c r="G874" i="12" s="1"/>
  <c r="I794" i="31" s="1"/>
  <c r="E875" i="12"/>
  <c r="G875" i="12" s="1"/>
  <c r="I795" i="31" s="1"/>
  <c r="E876" i="12"/>
  <c r="G876" i="12" s="1"/>
  <c r="I796" i="31" s="1"/>
  <c r="E877" i="12"/>
  <c r="G877" i="12" s="1"/>
  <c r="I797" i="31" s="1"/>
  <c r="E878" i="12"/>
  <c r="G878" i="12" s="1"/>
  <c r="I798" i="31" s="1"/>
  <c r="E879" i="12"/>
  <c r="G879" i="12" s="1"/>
  <c r="I799" i="31" s="1"/>
  <c r="E880" i="12"/>
  <c r="G880" i="12" s="1"/>
  <c r="I800" i="31" s="1"/>
  <c r="E881" i="12"/>
  <c r="G881" i="12" s="1"/>
  <c r="I801" i="31" s="1"/>
  <c r="E882" i="12"/>
  <c r="G882" i="12" s="1"/>
  <c r="E883" i="12"/>
  <c r="G883" i="12" s="1"/>
  <c r="I802" i="31" s="1"/>
  <c r="E884" i="12"/>
  <c r="G884" i="12" s="1"/>
  <c r="I803" i="31" s="1"/>
  <c r="E885" i="12"/>
  <c r="G885" i="12" s="1"/>
  <c r="I804" i="31" s="1"/>
  <c r="E886" i="12"/>
  <c r="G886" i="12" s="1"/>
  <c r="I805" i="31" s="1"/>
  <c r="E887" i="12"/>
  <c r="G887" i="12" s="1"/>
  <c r="I806" i="31" s="1"/>
  <c r="E888" i="12"/>
  <c r="G888" i="12" s="1"/>
  <c r="I807" i="31" s="1"/>
  <c r="E889" i="12"/>
  <c r="G889" i="12" s="1"/>
  <c r="I808" i="31" s="1"/>
  <c r="E890" i="12"/>
  <c r="G890" i="12" s="1"/>
  <c r="I809" i="31" s="1"/>
  <c r="E891" i="12"/>
  <c r="G891" i="12" s="1"/>
  <c r="I810" i="31" s="1"/>
  <c r="E892" i="12"/>
  <c r="G892" i="12" s="1"/>
  <c r="I811" i="31" s="1"/>
  <c r="E893" i="12"/>
  <c r="G893" i="12" s="1"/>
  <c r="E894" i="12"/>
  <c r="G894" i="12" s="1"/>
  <c r="I812" i="31" s="1"/>
  <c r="E895" i="12"/>
  <c r="G895" i="12" s="1"/>
  <c r="I813" i="31" s="1"/>
  <c r="E896" i="12"/>
  <c r="G896" i="12" s="1"/>
  <c r="I814" i="31" s="1"/>
  <c r="E897" i="12"/>
  <c r="G897" i="12" s="1"/>
  <c r="I815" i="31" s="1"/>
  <c r="E898" i="12"/>
  <c r="G898" i="12" s="1"/>
  <c r="I816" i="31" s="1"/>
  <c r="E899" i="12"/>
  <c r="G899" i="12" s="1"/>
  <c r="I817" i="31" s="1"/>
  <c r="E900" i="12"/>
  <c r="G900" i="12" s="1"/>
  <c r="I818" i="31" s="1"/>
  <c r="E901" i="12"/>
  <c r="G901" i="12" s="1"/>
  <c r="I819" i="31" s="1"/>
  <c r="E902" i="12"/>
  <c r="G902" i="12" s="1"/>
  <c r="I820" i="31" s="1"/>
  <c r="E903" i="12"/>
  <c r="G903" i="12" s="1"/>
  <c r="I821" i="31" s="1"/>
  <c r="E904" i="12"/>
  <c r="G904" i="12" s="1"/>
  <c r="E905" i="12"/>
  <c r="G905" i="12" s="1"/>
  <c r="I822" i="31" s="1"/>
  <c r="E906" i="12"/>
  <c r="G906" i="12" s="1"/>
  <c r="I823" i="31" s="1"/>
  <c r="E907" i="12"/>
  <c r="G907" i="12" s="1"/>
  <c r="I824" i="31" s="1"/>
  <c r="E908" i="12"/>
  <c r="G908" i="12" s="1"/>
  <c r="I825" i="31" s="1"/>
  <c r="E909" i="12"/>
  <c r="G909" i="12" s="1"/>
  <c r="I826" i="31" s="1"/>
  <c r="E910" i="12"/>
  <c r="G910" i="12" s="1"/>
  <c r="I827" i="31" s="1"/>
  <c r="E911" i="12"/>
  <c r="G911" i="12" s="1"/>
  <c r="I828" i="31" s="1"/>
  <c r="E912" i="12"/>
  <c r="G912" i="12" s="1"/>
  <c r="I829" i="31" s="1"/>
  <c r="E913" i="12"/>
  <c r="G913" i="12" s="1"/>
  <c r="I830" i="31" s="1"/>
  <c r="E914" i="12"/>
  <c r="G914" i="12" s="1"/>
  <c r="I831" i="31" s="1"/>
  <c r="E915" i="12"/>
  <c r="G915" i="12" s="1"/>
  <c r="E916" i="12"/>
  <c r="G916" i="12" s="1"/>
  <c r="I832" i="31" s="1"/>
  <c r="E917" i="12"/>
  <c r="G917" i="12" s="1"/>
  <c r="I833" i="31" s="1"/>
  <c r="E918" i="12"/>
  <c r="G918" i="12" s="1"/>
  <c r="I834" i="31" s="1"/>
  <c r="E919" i="12"/>
  <c r="G919" i="12" s="1"/>
  <c r="I835" i="31" s="1"/>
  <c r="E920" i="12"/>
  <c r="G920" i="12" s="1"/>
  <c r="I836" i="31" s="1"/>
  <c r="E921" i="12"/>
  <c r="G921" i="12" s="1"/>
  <c r="I837" i="31" s="1"/>
  <c r="E922" i="12"/>
  <c r="G922" i="12" s="1"/>
  <c r="I838" i="31" s="1"/>
  <c r="E923" i="12"/>
  <c r="G923" i="12" s="1"/>
  <c r="I839" i="31" s="1"/>
  <c r="E924" i="12"/>
  <c r="G924" i="12" s="1"/>
  <c r="I840" i="31" s="1"/>
  <c r="E925" i="12"/>
  <c r="G925" i="12" s="1"/>
  <c r="I841" i="31" s="1"/>
  <c r="E926" i="12"/>
  <c r="G926" i="12" s="1"/>
  <c r="E927" i="12"/>
  <c r="G927" i="12" s="1"/>
  <c r="I842" i="31" s="1"/>
  <c r="E928" i="12"/>
  <c r="G928" i="12" s="1"/>
  <c r="I843" i="31" s="1"/>
  <c r="E929" i="12"/>
  <c r="G929" i="12" s="1"/>
  <c r="I844" i="31" s="1"/>
  <c r="E930" i="12"/>
  <c r="G930" i="12" s="1"/>
  <c r="I845" i="31" s="1"/>
  <c r="E931" i="12"/>
  <c r="G931" i="12" s="1"/>
  <c r="I846" i="31" s="1"/>
  <c r="E932" i="12"/>
  <c r="G932" i="12" s="1"/>
  <c r="I847" i="31" s="1"/>
  <c r="E933" i="12"/>
  <c r="G933" i="12" s="1"/>
  <c r="I848" i="31" s="1"/>
  <c r="E934" i="12"/>
  <c r="G934" i="12" s="1"/>
  <c r="I849" i="31" s="1"/>
  <c r="E935" i="12"/>
  <c r="G935" i="12" s="1"/>
  <c r="I850" i="31" s="1"/>
  <c r="E936" i="12"/>
  <c r="G936" i="12" s="1"/>
  <c r="I851" i="31" s="1"/>
  <c r="E937" i="12"/>
  <c r="G937" i="12" s="1"/>
  <c r="E938" i="12"/>
  <c r="G938" i="12" s="1"/>
  <c r="I852" i="31" s="1"/>
  <c r="E939" i="12"/>
  <c r="G939" i="12" s="1"/>
  <c r="I853" i="31" s="1"/>
  <c r="E940" i="12"/>
  <c r="G940" i="12" s="1"/>
  <c r="I854" i="31" s="1"/>
  <c r="E941" i="12"/>
  <c r="G941" i="12" s="1"/>
  <c r="I855" i="31" s="1"/>
  <c r="E942" i="12"/>
  <c r="G942" i="12" s="1"/>
  <c r="I856" i="31" s="1"/>
  <c r="E943" i="12"/>
  <c r="G943" i="12" s="1"/>
  <c r="I857" i="31" s="1"/>
  <c r="E944" i="12"/>
  <c r="G944" i="12" s="1"/>
  <c r="I858" i="31" s="1"/>
  <c r="E945" i="12"/>
  <c r="G945" i="12" s="1"/>
  <c r="I859" i="31" s="1"/>
  <c r="E946" i="12"/>
  <c r="G946" i="12" s="1"/>
  <c r="I860" i="31" s="1"/>
  <c r="E947" i="12"/>
  <c r="G947" i="12" s="1"/>
  <c r="I861" i="31" s="1"/>
  <c r="E948" i="12"/>
  <c r="G948" i="12" s="1"/>
  <c r="E949" i="12"/>
  <c r="G949" i="12" s="1"/>
  <c r="I862" i="31" s="1"/>
  <c r="E950" i="12"/>
  <c r="G950" i="12" s="1"/>
  <c r="I863" i="31" s="1"/>
  <c r="E951" i="12"/>
  <c r="G951" i="12" s="1"/>
  <c r="I864" i="31" s="1"/>
  <c r="E952" i="12"/>
  <c r="G952" i="12" s="1"/>
  <c r="I865" i="31" s="1"/>
  <c r="E953" i="12"/>
  <c r="G953" i="12" s="1"/>
  <c r="I866" i="31" s="1"/>
  <c r="E954" i="12"/>
  <c r="G954" i="12" s="1"/>
  <c r="I867" i="31" s="1"/>
  <c r="E955" i="12"/>
  <c r="G955" i="12" s="1"/>
  <c r="I868" i="31" s="1"/>
  <c r="E956" i="12"/>
  <c r="G956" i="12" s="1"/>
  <c r="I869" i="31" s="1"/>
  <c r="E957" i="12"/>
  <c r="G957" i="12" s="1"/>
  <c r="I870" i="31" s="1"/>
  <c r="E958" i="12"/>
  <c r="G958" i="12" s="1"/>
  <c r="I871" i="31" s="1"/>
  <c r="E959" i="12"/>
  <c r="G959" i="12" s="1"/>
  <c r="E960" i="12"/>
  <c r="G960" i="12" s="1"/>
  <c r="I872" i="31" s="1"/>
  <c r="E961" i="12"/>
  <c r="G961" i="12" s="1"/>
  <c r="I873" i="31" s="1"/>
  <c r="E962" i="12"/>
  <c r="G962" i="12" s="1"/>
  <c r="I874" i="31" s="1"/>
  <c r="E963" i="12"/>
  <c r="G963" i="12" s="1"/>
  <c r="I875" i="31" s="1"/>
  <c r="E964" i="12"/>
  <c r="G964" i="12" s="1"/>
  <c r="I876" i="31" s="1"/>
  <c r="E965" i="12"/>
  <c r="G965" i="12" s="1"/>
  <c r="I877" i="31" s="1"/>
  <c r="E966" i="12"/>
  <c r="G966" i="12" s="1"/>
  <c r="I878" i="31" s="1"/>
  <c r="E967" i="12"/>
  <c r="G967" i="12" s="1"/>
  <c r="I879" i="31" s="1"/>
  <c r="E968" i="12"/>
  <c r="G968" i="12" s="1"/>
  <c r="I880" i="31" s="1"/>
  <c r="E969" i="12"/>
  <c r="G969" i="12" s="1"/>
  <c r="I881" i="31" s="1"/>
  <c r="E970" i="12"/>
  <c r="G970" i="12" s="1"/>
  <c r="E971" i="12"/>
  <c r="G971" i="12" s="1"/>
  <c r="I882" i="31" s="1"/>
  <c r="E972" i="12"/>
  <c r="G972" i="12" s="1"/>
  <c r="I883" i="31" s="1"/>
  <c r="E973" i="12"/>
  <c r="G973" i="12" s="1"/>
  <c r="I884" i="31" s="1"/>
  <c r="E974" i="12"/>
  <c r="G974" i="12" s="1"/>
  <c r="I885" i="31" s="1"/>
  <c r="E975" i="12"/>
  <c r="G975" i="12" s="1"/>
  <c r="I886" i="31" s="1"/>
  <c r="E976" i="12"/>
  <c r="G976" i="12" s="1"/>
  <c r="I887" i="31" s="1"/>
  <c r="E977" i="12"/>
  <c r="G977" i="12" s="1"/>
  <c r="I888" i="31" s="1"/>
  <c r="E978" i="12"/>
  <c r="G978" i="12" s="1"/>
  <c r="I889" i="31" s="1"/>
  <c r="E979" i="12"/>
  <c r="G979" i="12" s="1"/>
  <c r="I890" i="31" s="1"/>
  <c r="E980" i="12"/>
  <c r="G980" i="12" s="1"/>
  <c r="I891" i="31" s="1"/>
  <c r="E981" i="12"/>
  <c r="G981" i="12" s="1"/>
  <c r="E982" i="12"/>
  <c r="G982" i="12" s="1"/>
  <c r="I892" i="31" s="1"/>
  <c r="E983" i="12"/>
  <c r="G983" i="12" s="1"/>
  <c r="I893" i="31" s="1"/>
  <c r="E984" i="12"/>
  <c r="G984" i="12" s="1"/>
  <c r="I894" i="31" s="1"/>
  <c r="E985" i="12"/>
  <c r="G985" i="12" s="1"/>
  <c r="I895" i="31" s="1"/>
  <c r="E986" i="12"/>
  <c r="G986" i="12" s="1"/>
  <c r="I896" i="31" s="1"/>
  <c r="E987" i="12"/>
  <c r="G987" i="12" s="1"/>
  <c r="I897" i="31" s="1"/>
  <c r="E988" i="12"/>
  <c r="G988" i="12" s="1"/>
  <c r="I898" i="31" s="1"/>
  <c r="E989" i="12"/>
  <c r="G989" i="12" s="1"/>
  <c r="I899" i="31" s="1"/>
  <c r="E990" i="12"/>
  <c r="G990" i="12" s="1"/>
  <c r="I900" i="31" s="1"/>
  <c r="E991" i="12"/>
  <c r="G991" i="12" s="1"/>
  <c r="I901" i="31" s="1"/>
  <c r="E992" i="12"/>
  <c r="G992" i="12" s="1"/>
  <c r="E993" i="12"/>
  <c r="G993" i="12" s="1"/>
  <c r="I902" i="31" s="1"/>
  <c r="E994" i="12"/>
  <c r="G994" i="12" s="1"/>
  <c r="I903" i="31" s="1"/>
  <c r="E995" i="12"/>
  <c r="G995" i="12" s="1"/>
  <c r="I904" i="31" s="1"/>
  <c r="E996" i="12"/>
  <c r="G996" i="12" s="1"/>
  <c r="I905" i="31" s="1"/>
  <c r="E997" i="12"/>
  <c r="G997" i="12" s="1"/>
  <c r="I906" i="31" s="1"/>
  <c r="E998" i="12"/>
  <c r="G998" i="12" s="1"/>
  <c r="I907" i="31" s="1"/>
  <c r="E999" i="12"/>
  <c r="G999" i="12" s="1"/>
  <c r="I908" i="31" s="1"/>
  <c r="E1000" i="12"/>
  <c r="G1000" i="12" s="1"/>
  <c r="I909" i="31" s="1"/>
  <c r="E1001" i="12"/>
  <c r="G1001" i="12" s="1"/>
  <c r="I910" i="31" s="1"/>
  <c r="E1002" i="12"/>
  <c r="G1002" i="12" s="1"/>
  <c r="I911" i="31" s="1"/>
  <c r="E1003" i="12"/>
  <c r="G1003" i="12" s="1"/>
  <c r="E1004" i="12"/>
  <c r="G1004" i="12" s="1"/>
  <c r="I912" i="31" s="1"/>
  <c r="E1005" i="12"/>
  <c r="G1005" i="12" s="1"/>
  <c r="I913" i="31" s="1"/>
  <c r="E1006" i="12"/>
  <c r="G1006" i="12" s="1"/>
  <c r="I914" i="31" s="1"/>
  <c r="E1007" i="12"/>
  <c r="G1007" i="12" s="1"/>
  <c r="I915" i="31" s="1"/>
  <c r="E1008" i="12"/>
  <c r="G1008" i="12" s="1"/>
  <c r="I916" i="31" s="1"/>
  <c r="E1009" i="12"/>
  <c r="G1009" i="12" s="1"/>
  <c r="I917" i="31" s="1"/>
  <c r="E1010" i="12"/>
  <c r="G1010" i="12" s="1"/>
  <c r="I918" i="31" s="1"/>
  <c r="E1011" i="12"/>
  <c r="G1011" i="12" s="1"/>
  <c r="I919" i="31" s="1"/>
  <c r="E1012" i="12"/>
  <c r="G1012" i="12" s="1"/>
  <c r="I920" i="31" s="1"/>
  <c r="E1013" i="12"/>
  <c r="G1013" i="12" s="1"/>
  <c r="I921" i="31" s="1"/>
  <c r="E1014" i="12"/>
  <c r="G1014" i="12" s="1"/>
  <c r="E1015" i="12"/>
  <c r="G1015" i="12" s="1"/>
  <c r="I922" i="31" s="1"/>
  <c r="E1016" i="12"/>
  <c r="G1016" i="12" s="1"/>
  <c r="I923" i="31" s="1"/>
  <c r="E1017" i="12"/>
  <c r="G1017" i="12" s="1"/>
  <c r="I924" i="31" s="1"/>
  <c r="E1018" i="12"/>
  <c r="G1018" i="12" s="1"/>
  <c r="I925" i="31" s="1"/>
  <c r="E1019" i="12"/>
  <c r="G1019" i="12" s="1"/>
  <c r="I926" i="31" s="1"/>
  <c r="E1020" i="12"/>
  <c r="G1020" i="12" s="1"/>
  <c r="I927" i="31" s="1"/>
  <c r="E1021" i="12"/>
  <c r="G1021" i="12" s="1"/>
  <c r="I928" i="31" s="1"/>
  <c r="E1022" i="12"/>
  <c r="G1022" i="12" s="1"/>
  <c r="I929" i="31" s="1"/>
  <c r="E1023" i="12"/>
  <c r="G1023" i="12" s="1"/>
  <c r="I930" i="31" s="1"/>
  <c r="E1024" i="12"/>
  <c r="G1024" i="12" s="1"/>
  <c r="I931" i="31" s="1"/>
  <c r="E1025" i="12"/>
  <c r="G1025" i="12" s="1"/>
  <c r="E1026" i="12"/>
  <c r="G1026" i="12" s="1"/>
  <c r="I932" i="31" s="1"/>
  <c r="E1027" i="12"/>
  <c r="G1027" i="12" s="1"/>
  <c r="I933" i="31" s="1"/>
  <c r="E1028" i="12"/>
  <c r="G1028" i="12" s="1"/>
  <c r="I934" i="31" s="1"/>
  <c r="E1029" i="12"/>
  <c r="G1029" i="12" s="1"/>
  <c r="I935" i="31" s="1"/>
  <c r="E1030" i="12"/>
  <c r="G1030" i="12" s="1"/>
  <c r="I936" i="31" s="1"/>
  <c r="E1031" i="12"/>
  <c r="G1031" i="12" s="1"/>
  <c r="I937" i="31" s="1"/>
  <c r="E1032" i="12"/>
  <c r="G1032" i="12" s="1"/>
  <c r="I938" i="31" s="1"/>
  <c r="E1033" i="12"/>
  <c r="G1033" i="12" s="1"/>
  <c r="I939" i="31" s="1"/>
  <c r="E1034" i="12"/>
  <c r="G1034" i="12" s="1"/>
  <c r="I940" i="31" s="1"/>
  <c r="E1035" i="12"/>
  <c r="G1035" i="12" s="1"/>
  <c r="I941" i="31" s="1"/>
  <c r="E1036" i="12"/>
  <c r="G1036" i="12" s="1"/>
  <c r="E1037" i="12"/>
  <c r="G1037" i="12" s="1"/>
  <c r="I942" i="31" s="1"/>
  <c r="E1038" i="12"/>
  <c r="G1038" i="12" s="1"/>
  <c r="I943" i="31" s="1"/>
  <c r="E1039" i="12"/>
  <c r="G1039" i="12" s="1"/>
  <c r="I944" i="31" s="1"/>
  <c r="E1040" i="12"/>
  <c r="G1040" i="12" s="1"/>
  <c r="I945" i="31" s="1"/>
  <c r="E1041" i="12"/>
  <c r="G1041" i="12" s="1"/>
  <c r="I946" i="31" s="1"/>
  <c r="E1042" i="12"/>
  <c r="G1042" i="12" s="1"/>
  <c r="I947" i="31" s="1"/>
  <c r="E1043" i="12"/>
  <c r="G1043" i="12" s="1"/>
  <c r="I948" i="31" s="1"/>
  <c r="E1044" i="12"/>
  <c r="G1044" i="12" s="1"/>
  <c r="I949" i="31" s="1"/>
  <c r="E1045" i="12"/>
  <c r="G1045" i="12" s="1"/>
  <c r="I950" i="31" s="1"/>
  <c r="E1046" i="12"/>
  <c r="G1046" i="12" s="1"/>
  <c r="I951" i="31" s="1"/>
  <c r="E1047" i="12"/>
  <c r="G1047" i="12" s="1"/>
  <c r="E1048" i="12"/>
  <c r="G1048" i="12" s="1"/>
  <c r="I952" i="31" s="1"/>
  <c r="E1049" i="12"/>
  <c r="G1049" i="12" s="1"/>
  <c r="I953" i="31" s="1"/>
  <c r="E1050" i="12"/>
  <c r="G1050" i="12" s="1"/>
  <c r="I954" i="31" s="1"/>
  <c r="E1051" i="12"/>
  <c r="G1051" i="12" s="1"/>
  <c r="I955" i="31" s="1"/>
  <c r="E1052" i="12"/>
  <c r="G1052" i="12" s="1"/>
  <c r="I956" i="31" s="1"/>
  <c r="E1053" i="12"/>
  <c r="G1053" i="12" s="1"/>
  <c r="I957" i="31" s="1"/>
  <c r="E1054" i="12"/>
  <c r="G1054" i="12" s="1"/>
  <c r="I958" i="31" s="1"/>
  <c r="E1055" i="12"/>
  <c r="G1055" i="12" s="1"/>
  <c r="I959" i="31" s="1"/>
  <c r="E1056" i="12"/>
  <c r="G1056" i="12" s="1"/>
  <c r="I960" i="31" s="1"/>
  <c r="E1057" i="12"/>
  <c r="G1057" i="12" s="1"/>
  <c r="I961" i="31" s="1"/>
  <c r="E1058" i="12"/>
  <c r="G1058" i="12" s="1"/>
  <c r="E1059" i="12"/>
  <c r="G1059" i="12" s="1"/>
  <c r="I962" i="31" s="1"/>
  <c r="E1060" i="12"/>
  <c r="G1060" i="12" s="1"/>
  <c r="I963" i="31" s="1"/>
  <c r="E1061" i="12"/>
  <c r="G1061" i="12" s="1"/>
  <c r="I964" i="31" s="1"/>
  <c r="E1062" i="12"/>
  <c r="G1062" i="12" s="1"/>
  <c r="I965" i="31" s="1"/>
  <c r="E1063" i="12"/>
  <c r="G1063" i="12" s="1"/>
  <c r="I966" i="31" s="1"/>
  <c r="E1064" i="12"/>
  <c r="G1064" i="12" s="1"/>
  <c r="I967" i="31" s="1"/>
  <c r="E1065" i="12"/>
  <c r="G1065" i="12" s="1"/>
  <c r="I968" i="31" s="1"/>
  <c r="E1066" i="12"/>
  <c r="G1066" i="12" s="1"/>
  <c r="I969" i="31" s="1"/>
  <c r="E1067" i="12"/>
  <c r="G1067" i="12" s="1"/>
  <c r="I970" i="31" s="1"/>
  <c r="E1068" i="12"/>
  <c r="G1068" i="12" s="1"/>
  <c r="I971" i="31" s="1"/>
  <c r="E1069" i="12"/>
  <c r="G1069" i="12" s="1"/>
  <c r="E1070" i="12"/>
  <c r="G1070" i="12" s="1"/>
  <c r="I972" i="31" s="1"/>
  <c r="E1071" i="12"/>
  <c r="G1071" i="12" s="1"/>
  <c r="I973" i="31" s="1"/>
  <c r="E1072" i="12"/>
  <c r="G1072" i="12" s="1"/>
  <c r="I974" i="31" s="1"/>
  <c r="E1073" i="12"/>
  <c r="G1073" i="12" s="1"/>
  <c r="I975" i="31" s="1"/>
  <c r="E1074" i="12"/>
  <c r="G1074" i="12" s="1"/>
  <c r="I976" i="31" s="1"/>
  <c r="E1075" i="12"/>
  <c r="G1075" i="12" s="1"/>
  <c r="I977" i="31" s="1"/>
  <c r="E1076" i="12"/>
  <c r="G1076" i="12" s="1"/>
  <c r="I978" i="31" s="1"/>
  <c r="E1077" i="12"/>
  <c r="G1077" i="12" s="1"/>
  <c r="I979" i="31" s="1"/>
  <c r="E1078" i="12"/>
  <c r="G1078" i="12" s="1"/>
  <c r="I980" i="31" s="1"/>
  <c r="E1079" i="12"/>
  <c r="G1079" i="12" s="1"/>
  <c r="I981" i="31" s="1"/>
  <c r="E1080" i="12"/>
  <c r="G1080" i="12" s="1"/>
  <c r="E1081" i="12"/>
  <c r="G1081" i="12" s="1"/>
  <c r="I982" i="31" s="1"/>
  <c r="E1082" i="12"/>
  <c r="G1082" i="12" s="1"/>
  <c r="I983" i="31" s="1"/>
  <c r="E1083" i="12"/>
  <c r="G1083" i="12" s="1"/>
  <c r="I984" i="31" s="1"/>
  <c r="E1084" i="12"/>
  <c r="G1084" i="12" s="1"/>
  <c r="I985" i="31" s="1"/>
  <c r="E1085" i="12"/>
  <c r="G1085" i="12" s="1"/>
  <c r="I986" i="31" s="1"/>
  <c r="E1086" i="12"/>
  <c r="G1086" i="12" s="1"/>
  <c r="I987" i="31" s="1"/>
  <c r="E1087" i="12"/>
  <c r="G1087" i="12" s="1"/>
  <c r="I988" i="31" s="1"/>
  <c r="E1088" i="12"/>
  <c r="G1088" i="12" s="1"/>
  <c r="I989" i="31" s="1"/>
  <c r="E1089" i="12"/>
  <c r="G1089" i="12" s="1"/>
  <c r="I990" i="31" s="1"/>
  <c r="E1090" i="12"/>
  <c r="G1090" i="12" s="1"/>
  <c r="I991" i="31" s="1"/>
  <c r="E1091" i="12"/>
  <c r="G1091" i="12" s="1"/>
  <c r="E1092" i="12"/>
  <c r="G1092" i="12" s="1"/>
  <c r="I992" i="31" s="1"/>
  <c r="E1093" i="12"/>
  <c r="G1093" i="12" s="1"/>
  <c r="I993" i="31" s="1"/>
  <c r="E1094" i="12"/>
  <c r="G1094" i="12" s="1"/>
  <c r="I994" i="31" s="1"/>
  <c r="E1095" i="12"/>
  <c r="G1095" i="12" s="1"/>
  <c r="I995" i="31" s="1"/>
  <c r="E1096" i="12"/>
  <c r="G1096" i="12" s="1"/>
  <c r="I996" i="31" s="1"/>
  <c r="E1097" i="12"/>
  <c r="G1097" i="12" s="1"/>
  <c r="I997" i="31" s="1"/>
  <c r="E1098" i="12"/>
  <c r="G1098" i="12" s="1"/>
  <c r="I998" i="31" s="1"/>
  <c r="E1099" i="12"/>
  <c r="G1099" i="12" s="1"/>
  <c r="I999" i="31" s="1"/>
  <c r="E1100" i="12"/>
  <c r="G1100" i="12" s="1"/>
  <c r="I1000" i="31" s="1"/>
  <c r="E1101" i="12"/>
  <c r="G1101" i="12" s="1"/>
  <c r="I1001" i="31" s="1"/>
  <c r="E1102" i="12"/>
  <c r="G1102" i="12" s="1"/>
  <c r="E1103" i="12"/>
  <c r="G1103" i="12" s="1"/>
  <c r="I1002" i="31" s="1"/>
  <c r="E1104" i="12"/>
  <c r="G1104" i="12" s="1"/>
  <c r="I1003" i="31" s="1"/>
  <c r="E1105" i="12"/>
  <c r="G1105" i="12" s="1"/>
  <c r="I1004" i="31" s="1"/>
  <c r="E1106" i="12"/>
  <c r="G1106" i="12" s="1"/>
  <c r="I1005" i="31" s="1"/>
  <c r="E1107" i="12"/>
  <c r="G1107" i="12" s="1"/>
  <c r="I1006" i="31" s="1"/>
  <c r="E1108" i="12"/>
  <c r="G1108" i="12" s="1"/>
  <c r="I1007" i="31" s="1"/>
  <c r="E1109" i="12"/>
  <c r="G1109" i="12" s="1"/>
  <c r="I1008" i="31" s="1"/>
  <c r="E1110" i="12"/>
  <c r="G1110" i="12" s="1"/>
  <c r="I1009" i="31" s="1"/>
  <c r="E1111" i="12"/>
  <c r="G1111" i="12" s="1"/>
  <c r="I1010" i="31" s="1"/>
  <c r="E1112" i="12"/>
  <c r="G1112" i="12" s="1"/>
  <c r="I1011" i="31" s="1"/>
  <c r="E1113" i="12"/>
  <c r="G1113" i="12" s="1"/>
  <c r="E1114" i="12"/>
  <c r="G1114" i="12" s="1"/>
  <c r="I1012" i="31" s="1"/>
  <c r="E1115" i="12"/>
  <c r="G1115" i="12" s="1"/>
  <c r="I1013" i="31" s="1"/>
  <c r="E1116" i="12"/>
  <c r="G1116" i="12" s="1"/>
  <c r="I1014" i="31" s="1"/>
  <c r="E1117" i="12"/>
  <c r="G1117" i="12" s="1"/>
  <c r="I1015" i="31" s="1"/>
  <c r="E1118" i="12"/>
  <c r="G1118" i="12" s="1"/>
  <c r="I1016" i="31" s="1"/>
  <c r="E1119" i="12"/>
  <c r="G1119" i="12" s="1"/>
  <c r="I1017" i="31" s="1"/>
  <c r="E1120" i="12"/>
  <c r="G1120" i="12" s="1"/>
  <c r="I1018" i="31" s="1"/>
  <c r="E1121" i="12"/>
  <c r="G1121" i="12" s="1"/>
  <c r="I1019" i="31" s="1"/>
  <c r="E1122" i="12"/>
  <c r="G1122" i="12" s="1"/>
  <c r="I1020" i="31" s="1"/>
  <c r="E1123" i="12"/>
  <c r="G1123" i="12" s="1"/>
  <c r="I1021" i="31" s="1"/>
  <c r="E1124" i="12"/>
  <c r="G1124" i="12" s="1"/>
  <c r="E1125" i="12"/>
  <c r="G1125" i="12" s="1"/>
  <c r="I1022" i="31" s="1"/>
  <c r="E1126" i="12"/>
  <c r="G1126" i="12" s="1"/>
  <c r="I1023" i="31" s="1"/>
  <c r="E1127" i="12"/>
  <c r="G1127" i="12" s="1"/>
  <c r="I1024" i="31" s="1"/>
  <c r="E1128" i="12"/>
  <c r="G1128" i="12" s="1"/>
  <c r="I1025" i="31" s="1"/>
  <c r="E1129" i="12"/>
  <c r="G1129" i="12" s="1"/>
  <c r="I1026" i="31" s="1"/>
  <c r="E1130" i="12"/>
  <c r="G1130" i="12" s="1"/>
  <c r="I1027" i="31" s="1"/>
  <c r="E1131" i="12"/>
  <c r="G1131" i="12" s="1"/>
  <c r="I1028" i="31" s="1"/>
  <c r="E1132" i="12"/>
  <c r="G1132" i="12" s="1"/>
  <c r="I1029" i="31" s="1"/>
  <c r="E1133" i="12"/>
  <c r="G1133" i="12" s="1"/>
  <c r="I1030" i="31" s="1"/>
  <c r="E1134" i="12"/>
  <c r="G1134" i="12" s="1"/>
  <c r="I1031" i="31" s="1"/>
  <c r="E1135" i="12"/>
  <c r="G1135" i="12" s="1"/>
  <c r="E1136" i="12"/>
  <c r="G1136" i="12" s="1"/>
  <c r="I1032" i="31" s="1"/>
  <c r="E1137" i="12"/>
  <c r="G1137" i="12" s="1"/>
  <c r="I1033" i="31" s="1"/>
  <c r="E1138" i="12"/>
  <c r="G1138" i="12" s="1"/>
  <c r="I1034" i="31" s="1"/>
  <c r="E1139" i="12"/>
  <c r="G1139" i="12" s="1"/>
  <c r="I1035" i="31" s="1"/>
  <c r="E1140" i="12"/>
  <c r="G1140" i="12" s="1"/>
  <c r="I1036" i="31" s="1"/>
  <c r="E1141" i="12"/>
  <c r="G1141" i="12" s="1"/>
  <c r="I1037" i="31" s="1"/>
  <c r="E1142" i="12"/>
  <c r="G1142" i="12" s="1"/>
  <c r="I1038" i="31" s="1"/>
  <c r="E1143" i="12"/>
  <c r="G1143" i="12" s="1"/>
  <c r="I1039" i="31" s="1"/>
  <c r="E1144" i="12"/>
  <c r="G1144" i="12" s="1"/>
  <c r="I1040" i="31" s="1"/>
  <c r="E1145" i="12"/>
  <c r="G1145" i="12" s="1"/>
  <c r="I1041" i="31" s="1"/>
  <c r="E1146" i="12"/>
  <c r="G1146" i="12" s="1"/>
  <c r="E1147" i="12"/>
  <c r="G1147" i="12" s="1"/>
  <c r="I1042" i="31" s="1"/>
  <c r="E1148" i="12"/>
  <c r="G1148" i="12" s="1"/>
  <c r="I1043" i="31" s="1"/>
  <c r="E1149" i="12"/>
  <c r="G1149" i="12" s="1"/>
  <c r="I1044" i="31" s="1"/>
  <c r="E1150" i="12"/>
  <c r="G1150" i="12" s="1"/>
  <c r="I1045" i="31" s="1"/>
  <c r="E1151" i="12"/>
  <c r="G1151" i="12" s="1"/>
  <c r="I1046" i="31" s="1"/>
  <c r="E1152" i="12"/>
  <c r="G1152" i="12" s="1"/>
  <c r="I1047" i="31" s="1"/>
  <c r="E1153" i="12"/>
  <c r="G1153" i="12" s="1"/>
  <c r="I1048" i="31" s="1"/>
  <c r="E1154" i="12"/>
  <c r="G1154" i="12" s="1"/>
  <c r="I1049" i="31" s="1"/>
  <c r="E1155" i="12"/>
  <c r="G1155" i="12" s="1"/>
  <c r="I1050" i="31" s="1"/>
  <c r="E1156" i="12"/>
  <c r="G1156" i="12" s="1"/>
  <c r="I1051" i="31" s="1"/>
  <c r="E1157" i="12"/>
  <c r="G1157" i="12" s="1"/>
  <c r="E1158" i="12"/>
  <c r="G1158" i="12" s="1"/>
  <c r="I1052" i="31" s="1"/>
  <c r="E1159" i="12"/>
  <c r="G1159" i="12" s="1"/>
  <c r="I1053" i="31" s="1"/>
  <c r="E1160" i="12"/>
  <c r="G1160" i="12" s="1"/>
  <c r="I1054" i="31" s="1"/>
  <c r="E1161" i="12"/>
  <c r="G1161" i="12" s="1"/>
  <c r="I1055" i="31" s="1"/>
  <c r="E1162" i="12"/>
  <c r="G1162" i="12" s="1"/>
  <c r="I1056" i="31" s="1"/>
  <c r="E1163" i="12"/>
  <c r="G1163" i="12" s="1"/>
  <c r="I1057" i="31" s="1"/>
  <c r="E1164" i="12"/>
  <c r="G1164" i="12" s="1"/>
  <c r="I1058" i="31" s="1"/>
  <c r="E1165" i="12"/>
  <c r="G1165" i="12" s="1"/>
  <c r="I1059" i="31" s="1"/>
  <c r="E1166" i="12"/>
  <c r="G1166" i="12" s="1"/>
  <c r="I1060" i="31" s="1"/>
  <c r="E1167" i="12"/>
  <c r="G1167" i="12" s="1"/>
  <c r="I1061" i="31" s="1"/>
  <c r="E1168" i="12"/>
  <c r="G1168" i="12" s="1"/>
  <c r="E1169" i="12"/>
  <c r="G1169" i="12" s="1"/>
  <c r="I1062" i="31" s="1"/>
  <c r="E1170" i="12"/>
  <c r="G1170" i="12" s="1"/>
  <c r="I1063" i="31" s="1"/>
  <c r="E1171" i="12"/>
  <c r="G1171" i="12" s="1"/>
  <c r="I1064" i="31" s="1"/>
  <c r="E1172" i="12"/>
  <c r="G1172" i="12" s="1"/>
  <c r="I1065" i="31" s="1"/>
  <c r="E1173" i="12"/>
  <c r="G1173" i="12" s="1"/>
  <c r="I1066" i="31" s="1"/>
  <c r="E1174" i="12"/>
  <c r="G1174" i="12" s="1"/>
  <c r="I1067" i="31" s="1"/>
  <c r="E1175" i="12"/>
  <c r="G1175" i="12" s="1"/>
  <c r="I1068" i="31" s="1"/>
  <c r="E1176" i="12"/>
  <c r="G1176" i="12" s="1"/>
  <c r="I1069" i="31" s="1"/>
  <c r="E1177" i="12"/>
  <c r="G1177" i="12" s="1"/>
  <c r="I1070" i="31" s="1"/>
  <c r="E1178" i="12"/>
  <c r="G1178" i="12" s="1"/>
  <c r="I1071" i="31" s="1"/>
  <c r="E1179" i="12"/>
  <c r="G1179" i="12" s="1"/>
  <c r="E1180" i="12"/>
  <c r="G1180" i="12" s="1"/>
  <c r="I1072" i="31" s="1"/>
  <c r="E1181" i="12"/>
  <c r="G1181" i="12" s="1"/>
  <c r="I1073" i="31" s="1"/>
  <c r="E1182" i="12"/>
  <c r="G1182" i="12" s="1"/>
  <c r="I1074" i="31" s="1"/>
  <c r="E1183" i="12"/>
  <c r="G1183" i="12" s="1"/>
  <c r="I1075" i="31" s="1"/>
  <c r="E1184" i="12"/>
  <c r="G1184" i="12" s="1"/>
  <c r="I1076" i="31" s="1"/>
  <c r="E1185" i="12"/>
  <c r="G1185" i="12" s="1"/>
  <c r="I1077" i="31" s="1"/>
  <c r="E1186" i="12"/>
  <c r="G1186" i="12" s="1"/>
  <c r="I1078" i="31" s="1"/>
  <c r="E1187" i="12"/>
  <c r="G1187" i="12" s="1"/>
  <c r="I1079" i="31" s="1"/>
  <c r="E1188" i="12"/>
  <c r="G1188" i="12" s="1"/>
  <c r="I1080" i="31" s="1"/>
  <c r="E1189" i="12"/>
  <c r="G1189" i="12" s="1"/>
  <c r="I1081" i="31" s="1"/>
  <c r="E1190" i="12"/>
  <c r="G1190" i="12" s="1"/>
  <c r="E1191" i="12"/>
  <c r="G1191" i="12" s="1"/>
  <c r="I1082" i="31" s="1"/>
  <c r="E1192" i="12"/>
  <c r="G1192" i="12" s="1"/>
  <c r="I1083" i="31" s="1"/>
  <c r="E1193" i="12"/>
  <c r="G1193" i="12" s="1"/>
  <c r="I1084" i="31" s="1"/>
  <c r="E1194" i="12"/>
  <c r="G1194" i="12" s="1"/>
  <c r="I1085" i="31" s="1"/>
  <c r="E1195" i="12"/>
  <c r="G1195" i="12" s="1"/>
  <c r="I1086" i="31" s="1"/>
  <c r="E1196" i="12"/>
  <c r="G1196" i="12" s="1"/>
  <c r="I1087" i="31" s="1"/>
  <c r="E1197" i="12"/>
  <c r="G1197" i="12" s="1"/>
  <c r="I1088" i="31" s="1"/>
  <c r="E1198" i="12"/>
  <c r="G1198" i="12" s="1"/>
  <c r="I1089" i="31" s="1"/>
  <c r="E1199" i="12"/>
  <c r="G1199" i="12" s="1"/>
  <c r="I1090" i="31" s="1"/>
  <c r="E1200" i="12"/>
  <c r="G1200" i="12" s="1"/>
  <c r="I1091" i="31" s="1"/>
  <c r="E1201" i="12"/>
  <c r="G1201" i="12" s="1"/>
  <c r="E1202" i="12"/>
  <c r="G1202" i="12" s="1"/>
  <c r="I1092" i="31" s="1"/>
  <c r="E1203" i="12"/>
  <c r="G1203" i="12" s="1"/>
  <c r="I1093" i="31" s="1"/>
  <c r="E1204" i="12"/>
  <c r="G1204" i="12" s="1"/>
  <c r="I1094" i="31" s="1"/>
  <c r="E1205" i="12"/>
  <c r="G1205" i="12" s="1"/>
  <c r="I1095" i="31" s="1"/>
  <c r="E1206" i="12"/>
  <c r="G1206" i="12" s="1"/>
  <c r="I1096" i="31" s="1"/>
  <c r="E1207" i="12"/>
  <c r="G1207" i="12" s="1"/>
  <c r="I1097" i="31" s="1"/>
  <c r="E1208" i="12"/>
  <c r="G1208" i="12" s="1"/>
  <c r="I1098" i="31" s="1"/>
  <c r="E1209" i="12"/>
  <c r="G1209" i="12" s="1"/>
  <c r="I1099" i="31" s="1"/>
  <c r="E1210" i="12"/>
  <c r="G1210" i="12" s="1"/>
  <c r="I1100" i="31" s="1"/>
  <c r="E1211" i="12"/>
  <c r="G1211" i="12" s="1"/>
  <c r="I1101" i="31" s="1"/>
  <c r="E1212" i="12"/>
  <c r="G1212" i="12" s="1"/>
  <c r="E1213" i="12"/>
  <c r="G1213" i="12" s="1"/>
  <c r="I1102" i="31" s="1"/>
  <c r="E1214" i="12"/>
  <c r="G1214" i="12" s="1"/>
  <c r="I1103" i="31" s="1"/>
  <c r="E1215" i="12"/>
  <c r="G1215" i="12" s="1"/>
  <c r="I1104" i="31" s="1"/>
  <c r="E1216" i="12"/>
  <c r="G1216" i="12" s="1"/>
  <c r="I1105" i="31" s="1"/>
  <c r="E1217" i="12"/>
  <c r="G1217" i="12" s="1"/>
  <c r="I1106" i="31" s="1"/>
  <c r="E1218" i="12"/>
  <c r="G1218" i="12" s="1"/>
  <c r="I1107" i="31" s="1"/>
  <c r="E1219" i="12"/>
  <c r="G1219" i="12" s="1"/>
  <c r="I1108" i="31" s="1"/>
  <c r="E1220" i="12"/>
  <c r="G1220" i="12" s="1"/>
  <c r="I1109" i="31" s="1"/>
  <c r="E1221" i="12"/>
  <c r="G1221" i="12" s="1"/>
  <c r="I1110" i="31" s="1"/>
  <c r="E1222" i="12"/>
  <c r="G1222" i="12" s="1"/>
  <c r="I1111" i="31" s="1"/>
  <c r="E1223" i="12"/>
  <c r="G1223" i="12" s="1"/>
  <c r="E1224" i="12"/>
  <c r="G1224" i="12" s="1"/>
  <c r="I1112" i="31" s="1"/>
  <c r="E1225" i="12"/>
  <c r="G1225" i="12" s="1"/>
  <c r="I1113" i="31" s="1"/>
  <c r="E1226" i="12"/>
  <c r="G1226" i="12" s="1"/>
  <c r="I1114" i="31" s="1"/>
  <c r="E1227" i="12"/>
  <c r="G1227" i="12" s="1"/>
  <c r="I1115" i="31" s="1"/>
  <c r="E1228" i="12"/>
  <c r="G1228" i="12" s="1"/>
  <c r="I1116" i="31" s="1"/>
  <c r="E1229" i="12"/>
  <c r="G1229" i="12" s="1"/>
  <c r="I1117" i="31" s="1"/>
  <c r="E1230" i="12"/>
  <c r="G1230" i="12" s="1"/>
  <c r="I1118" i="31" s="1"/>
  <c r="E1231" i="12"/>
  <c r="G1231" i="12" s="1"/>
  <c r="I1119" i="31" s="1"/>
  <c r="E1232" i="12"/>
  <c r="G1232" i="12" s="1"/>
  <c r="I1120" i="31" s="1"/>
  <c r="E1233" i="12"/>
  <c r="G1233" i="12" s="1"/>
  <c r="I1121" i="31" s="1"/>
  <c r="E1234" i="12"/>
  <c r="G1234" i="12" s="1"/>
  <c r="E1235" i="12"/>
  <c r="G1235" i="12" s="1"/>
  <c r="I1122" i="31" s="1"/>
  <c r="E1236" i="12"/>
  <c r="G1236" i="12" s="1"/>
  <c r="I1123" i="31" s="1"/>
  <c r="E1237" i="12"/>
  <c r="G1237" i="12" s="1"/>
  <c r="I1124" i="31" s="1"/>
  <c r="E1238" i="12"/>
  <c r="G1238" i="12" s="1"/>
  <c r="I1125" i="31" s="1"/>
  <c r="E1239" i="12"/>
  <c r="G1239" i="12" s="1"/>
  <c r="I1126" i="31" s="1"/>
  <c r="E1240" i="12"/>
  <c r="G1240" i="12" s="1"/>
  <c r="I1127" i="31" s="1"/>
  <c r="E1241" i="12"/>
  <c r="G1241" i="12" s="1"/>
  <c r="I1128" i="31" s="1"/>
  <c r="E1242" i="12"/>
  <c r="G1242" i="12" s="1"/>
  <c r="I1129" i="31" s="1"/>
  <c r="E1243" i="12"/>
  <c r="G1243" i="12" s="1"/>
  <c r="I1130" i="31" s="1"/>
  <c r="E1244" i="12"/>
  <c r="G1244" i="12" s="1"/>
  <c r="I1131" i="31" s="1"/>
  <c r="E1245" i="12"/>
  <c r="G1245" i="12" s="1"/>
  <c r="E1246" i="12"/>
  <c r="G1246" i="12" s="1"/>
  <c r="I1132" i="31" s="1"/>
  <c r="E1247" i="12"/>
  <c r="G1247" i="12" s="1"/>
  <c r="I1133" i="31" s="1"/>
  <c r="E1248" i="12"/>
  <c r="G1248" i="12" s="1"/>
  <c r="I1134" i="31" s="1"/>
  <c r="E1249" i="12"/>
  <c r="G1249" i="12" s="1"/>
  <c r="I1135" i="31" s="1"/>
  <c r="E1250" i="12"/>
  <c r="G1250" i="12" s="1"/>
  <c r="I1136" i="31" s="1"/>
  <c r="E1251" i="12"/>
  <c r="G1251" i="12" s="1"/>
  <c r="I1137" i="31" s="1"/>
  <c r="E1252" i="12"/>
  <c r="G1252" i="12" s="1"/>
  <c r="I1138" i="31" s="1"/>
  <c r="E1253" i="12"/>
  <c r="G1253" i="12" s="1"/>
  <c r="I1139" i="31" s="1"/>
  <c r="E1254" i="12"/>
  <c r="G1254" i="12" s="1"/>
  <c r="I1140" i="31" s="1"/>
  <c r="E1255" i="12"/>
  <c r="G1255" i="12" s="1"/>
  <c r="I1141" i="31" s="1"/>
  <c r="E1256" i="12"/>
  <c r="G1256" i="12" s="1"/>
  <c r="E1257" i="12"/>
  <c r="G1257" i="12" s="1"/>
  <c r="I1142" i="31" s="1"/>
  <c r="E1258" i="12"/>
  <c r="G1258" i="12" s="1"/>
  <c r="I1143" i="31" s="1"/>
  <c r="E1259" i="12"/>
  <c r="G1259" i="12" s="1"/>
  <c r="I1144" i="31" s="1"/>
  <c r="E1260" i="12"/>
  <c r="G1260" i="12" s="1"/>
  <c r="I1145" i="31" s="1"/>
  <c r="E1261" i="12"/>
  <c r="G1261" i="12" s="1"/>
  <c r="I1146" i="31" s="1"/>
  <c r="E1262" i="12"/>
  <c r="G1262" i="12" s="1"/>
  <c r="I1147" i="31" s="1"/>
  <c r="E1263" i="12"/>
  <c r="G1263" i="12" s="1"/>
  <c r="I1148" i="31" s="1"/>
  <c r="E1264" i="12"/>
  <c r="G1264" i="12" s="1"/>
  <c r="I1149" i="31" s="1"/>
  <c r="E1265" i="12"/>
  <c r="G1265" i="12" s="1"/>
  <c r="I1150" i="31" s="1"/>
  <c r="E1266" i="12"/>
  <c r="G1266" i="12" s="1"/>
  <c r="I1151" i="31" s="1"/>
  <c r="E1267" i="12"/>
  <c r="G1267" i="12" s="1"/>
  <c r="E1268" i="12"/>
  <c r="G1268" i="12" s="1"/>
  <c r="I1152" i="31" s="1"/>
  <c r="E1269" i="12"/>
  <c r="G1269" i="12" s="1"/>
  <c r="I1153" i="31" s="1"/>
  <c r="E1270" i="12"/>
  <c r="G1270" i="12" s="1"/>
  <c r="I1154" i="31" s="1"/>
  <c r="E1271" i="12"/>
  <c r="G1271" i="12" s="1"/>
  <c r="I1155" i="31" s="1"/>
  <c r="E1272" i="12"/>
  <c r="G1272" i="12" s="1"/>
  <c r="I1156" i="31" s="1"/>
  <c r="E1273" i="12"/>
  <c r="G1273" i="12" s="1"/>
  <c r="I1157" i="31" s="1"/>
  <c r="E1274" i="12"/>
  <c r="G1274" i="12" s="1"/>
  <c r="I1158" i="31" s="1"/>
  <c r="E1275" i="12"/>
  <c r="G1275" i="12" s="1"/>
  <c r="I1159" i="31" s="1"/>
  <c r="E1276" i="12"/>
  <c r="G1276" i="12" s="1"/>
  <c r="I1160" i="31" s="1"/>
  <c r="E1277" i="12"/>
  <c r="G1277" i="12" s="1"/>
  <c r="I1161" i="31" s="1"/>
  <c r="E1278" i="12"/>
  <c r="G1278" i="12" s="1"/>
  <c r="E1279" i="12"/>
  <c r="G1279" i="12" s="1"/>
  <c r="I1162" i="31" s="1"/>
  <c r="E1280" i="12"/>
  <c r="G1280" i="12" s="1"/>
  <c r="I1163" i="31" s="1"/>
  <c r="E1281" i="12"/>
  <c r="G1281" i="12" s="1"/>
  <c r="I1164" i="31" s="1"/>
  <c r="E1282" i="12"/>
  <c r="G1282" i="12" s="1"/>
  <c r="I1165" i="31" s="1"/>
  <c r="E1283" i="12"/>
  <c r="G1283" i="12" s="1"/>
  <c r="I1166" i="31" s="1"/>
  <c r="E1284" i="12"/>
  <c r="G1284" i="12" s="1"/>
  <c r="I1167" i="31" s="1"/>
  <c r="E1285" i="12"/>
  <c r="G1285" i="12" s="1"/>
  <c r="I1168" i="31" s="1"/>
  <c r="E1286" i="12"/>
  <c r="G1286" i="12" s="1"/>
  <c r="I1169" i="31" s="1"/>
  <c r="E1287" i="12"/>
  <c r="G1287" i="12" s="1"/>
  <c r="I1170" i="31" s="1"/>
  <c r="E1288" i="12"/>
  <c r="G1288" i="12" s="1"/>
  <c r="I1171" i="31" s="1"/>
  <c r="E1289" i="12"/>
  <c r="G1289" i="12" s="1"/>
  <c r="E1290" i="12"/>
  <c r="G1290" i="12" s="1"/>
  <c r="I1172" i="31" s="1"/>
  <c r="E1291" i="12"/>
  <c r="G1291" i="12" s="1"/>
  <c r="I1173" i="31" s="1"/>
  <c r="E1292" i="12"/>
  <c r="G1292" i="12" s="1"/>
  <c r="I1174" i="31" s="1"/>
  <c r="E1293" i="12"/>
  <c r="G1293" i="12" s="1"/>
  <c r="I1175" i="31" s="1"/>
  <c r="E1294" i="12"/>
  <c r="G1294" i="12" s="1"/>
  <c r="I1176" i="31" s="1"/>
  <c r="E1295" i="12"/>
  <c r="G1295" i="12" s="1"/>
  <c r="I1177" i="31" s="1"/>
  <c r="E1296" i="12"/>
  <c r="G1296" i="12" s="1"/>
  <c r="I1178" i="31" s="1"/>
  <c r="E1297" i="12"/>
  <c r="G1297" i="12" s="1"/>
  <c r="I1179" i="31" s="1"/>
  <c r="E1298" i="12"/>
  <c r="G1298" i="12" s="1"/>
  <c r="I1180" i="31" s="1"/>
  <c r="E1299" i="12"/>
  <c r="G1299" i="12" s="1"/>
  <c r="I1181" i="31" s="1"/>
  <c r="E1300" i="12"/>
  <c r="G1300" i="12" s="1"/>
  <c r="E1301" i="12"/>
  <c r="G1301" i="12" s="1"/>
  <c r="I1182" i="31" s="1"/>
  <c r="E1302" i="12"/>
  <c r="G1302" i="12" s="1"/>
  <c r="I1183" i="31" s="1"/>
  <c r="E1303" i="12"/>
  <c r="G1303" i="12" s="1"/>
  <c r="I1184" i="31" s="1"/>
  <c r="E1304" i="12"/>
  <c r="G1304" i="12" s="1"/>
  <c r="I1185" i="31" s="1"/>
  <c r="E1305" i="12"/>
  <c r="G1305" i="12" s="1"/>
  <c r="I1186" i="31" s="1"/>
  <c r="E1306" i="12"/>
  <c r="G1306" i="12" s="1"/>
  <c r="I1187" i="31" s="1"/>
  <c r="E1307" i="12"/>
  <c r="G1307" i="12" s="1"/>
  <c r="I1188" i="31" s="1"/>
  <c r="E1308" i="12"/>
  <c r="G1308" i="12" s="1"/>
  <c r="I1189" i="31" s="1"/>
  <c r="E1309" i="12"/>
  <c r="G1309" i="12" s="1"/>
  <c r="I1190" i="31" s="1"/>
  <c r="E1310" i="12"/>
  <c r="G1310" i="12" s="1"/>
  <c r="I1191" i="31" s="1"/>
  <c r="E1311" i="12"/>
  <c r="G1311" i="12" s="1"/>
  <c r="E1312" i="12"/>
  <c r="G1312" i="12" s="1"/>
  <c r="I1192" i="31" s="1"/>
  <c r="E1313" i="12"/>
  <c r="G1313" i="12" s="1"/>
  <c r="I1193" i="31" s="1"/>
  <c r="E1314" i="12"/>
  <c r="G1314" i="12" s="1"/>
  <c r="I1194" i="31" s="1"/>
  <c r="E1315" i="12"/>
  <c r="G1315" i="12" s="1"/>
  <c r="I1195" i="31" s="1"/>
  <c r="E1316" i="12"/>
  <c r="G1316" i="12" s="1"/>
  <c r="I1196" i="31" s="1"/>
  <c r="E1317" i="12"/>
  <c r="G1317" i="12" s="1"/>
  <c r="I1197" i="31" s="1"/>
  <c r="E1318" i="12"/>
  <c r="G1318" i="12" s="1"/>
  <c r="I1198" i="31" s="1"/>
  <c r="E1319" i="12"/>
  <c r="G1319" i="12" s="1"/>
  <c r="I1199" i="31" s="1"/>
  <c r="E1320" i="12"/>
  <c r="G1320" i="12" s="1"/>
  <c r="I1200" i="31" s="1"/>
  <c r="E1321" i="12"/>
  <c r="G1321" i="12" s="1"/>
  <c r="I1201" i="31" s="1"/>
  <c r="E1322" i="12"/>
  <c r="G1322" i="12" s="1"/>
  <c r="E1323" i="12"/>
  <c r="G1323" i="12" s="1"/>
  <c r="I1202" i="31" s="1"/>
  <c r="E1324" i="12"/>
  <c r="G1324" i="12" s="1"/>
  <c r="I1203" i="31" s="1"/>
  <c r="E1325" i="12"/>
  <c r="G1325" i="12" s="1"/>
  <c r="I1204" i="31" s="1"/>
  <c r="E1326" i="12"/>
  <c r="G1326" i="12" s="1"/>
  <c r="I1205" i="31" s="1"/>
  <c r="E1327" i="12"/>
  <c r="G1327" i="12" s="1"/>
  <c r="I1206" i="31" s="1"/>
  <c r="E1328" i="12"/>
  <c r="G1328" i="12" s="1"/>
  <c r="I1207" i="31" s="1"/>
  <c r="E1329" i="12"/>
  <c r="G1329" i="12" s="1"/>
  <c r="I1208" i="31" s="1"/>
  <c r="E1330" i="12"/>
  <c r="G1330" i="12" s="1"/>
  <c r="I1209" i="31" s="1"/>
  <c r="E1331" i="12"/>
  <c r="G1331" i="12" s="1"/>
  <c r="I1210" i="31" s="1"/>
  <c r="E1332" i="12"/>
  <c r="G1332" i="12" s="1"/>
  <c r="I1211" i="31" s="1"/>
  <c r="E1333" i="12"/>
  <c r="G1333" i="12" s="1"/>
  <c r="E1334" i="12"/>
  <c r="G1334" i="12" s="1"/>
  <c r="I1212" i="31" s="1"/>
  <c r="E1335" i="12"/>
  <c r="G1335" i="12" s="1"/>
  <c r="I1213" i="31" s="1"/>
  <c r="E1336" i="12"/>
  <c r="G1336" i="12" s="1"/>
  <c r="I1214" i="31" s="1"/>
  <c r="E1337" i="12"/>
  <c r="G1337" i="12" s="1"/>
  <c r="I1215" i="31" s="1"/>
  <c r="E1338" i="12"/>
  <c r="G1338" i="12" s="1"/>
  <c r="I1216" i="31" s="1"/>
  <c r="E1339" i="12"/>
  <c r="G1339" i="12" s="1"/>
  <c r="I1217" i="31" s="1"/>
  <c r="E1340" i="12"/>
  <c r="G1340" i="12" s="1"/>
  <c r="I1218" i="31" s="1"/>
  <c r="E1341" i="12"/>
  <c r="G1341" i="12" s="1"/>
  <c r="I1219" i="31" s="1"/>
  <c r="E1342" i="12"/>
  <c r="G1342" i="12" s="1"/>
  <c r="I1220" i="31" s="1"/>
  <c r="E1343" i="12"/>
  <c r="G1343" i="12" s="1"/>
  <c r="I1221" i="31" s="1"/>
  <c r="E1344" i="12"/>
  <c r="G1344" i="12" s="1"/>
  <c r="E1345" i="12"/>
  <c r="G1345" i="12" s="1"/>
  <c r="I1222" i="31" s="1"/>
  <c r="E1346" i="12"/>
  <c r="G1346" i="12" s="1"/>
  <c r="I1223" i="31" s="1"/>
  <c r="E1347" i="12"/>
  <c r="G1347" i="12" s="1"/>
  <c r="I1224" i="31" s="1"/>
  <c r="E1348" i="12"/>
  <c r="G1348" i="12" s="1"/>
  <c r="I1225" i="31" s="1"/>
  <c r="E1349" i="12"/>
  <c r="G1349" i="12" s="1"/>
  <c r="I1226" i="31" s="1"/>
  <c r="E1350" i="12"/>
  <c r="G1350" i="12" s="1"/>
  <c r="I1227" i="31" s="1"/>
  <c r="E1351" i="12"/>
  <c r="G1351" i="12" s="1"/>
  <c r="I1228" i="31" s="1"/>
  <c r="E1352" i="12"/>
  <c r="G1352" i="12" s="1"/>
  <c r="I1229" i="31" s="1"/>
  <c r="E1353" i="12"/>
  <c r="G1353" i="12" s="1"/>
  <c r="I1230" i="31" s="1"/>
  <c r="E1354" i="12"/>
  <c r="G1354" i="12" s="1"/>
  <c r="I1231" i="31" s="1"/>
  <c r="E1355" i="12"/>
  <c r="G1355" i="12" s="1"/>
  <c r="E1356" i="12"/>
  <c r="G1356" i="12" s="1"/>
  <c r="I1232" i="31" s="1"/>
  <c r="E1357" i="12"/>
  <c r="G1357" i="12" s="1"/>
  <c r="I1233" i="31" s="1"/>
  <c r="E1358" i="12"/>
  <c r="G1358" i="12" s="1"/>
  <c r="I1234" i="31" s="1"/>
  <c r="E1359" i="12"/>
  <c r="G1359" i="12" s="1"/>
  <c r="I1235" i="31" s="1"/>
  <c r="E1360" i="12"/>
  <c r="G1360" i="12" s="1"/>
  <c r="I1236" i="31" s="1"/>
  <c r="E1361" i="12"/>
  <c r="G1361" i="12" s="1"/>
  <c r="I1237" i="31" s="1"/>
  <c r="E1362" i="12"/>
  <c r="G1362" i="12" s="1"/>
  <c r="I1238" i="31" s="1"/>
  <c r="E1363" i="12"/>
  <c r="G1363" i="12" s="1"/>
  <c r="I1239" i="31" s="1"/>
  <c r="E1364" i="12"/>
  <c r="G1364" i="12" s="1"/>
  <c r="I1240" i="31" s="1"/>
  <c r="E1365" i="12"/>
  <c r="G1365" i="12" s="1"/>
  <c r="I1241" i="31" s="1"/>
  <c r="E1366" i="12"/>
  <c r="G1366" i="12" s="1"/>
  <c r="E1367" i="12"/>
  <c r="G1367" i="12" s="1"/>
  <c r="I1242" i="31" s="1"/>
  <c r="E1368" i="12"/>
  <c r="G1368" i="12" s="1"/>
  <c r="I1243" i="31" s="1"/>
  <c r="E1369" i="12"/>
  <c r="G1369" i="12" s="1"/>
  <c r="I1244" i="31" s="1"/>
  <c r="E1370" i="12"/>
  <c r="G1370" i="12" s="1"/>
  <c r="I1245" i="31" s="1"/>
  <c r="E1371" i="12"/>
  <c r="G1371" i="12" s="1"/>
  <c r="I1246" i="31" s="1"/>
  <c r="E1372" i="12"/>
  <c r="G1372" i="12" s="1"/>
  <c r="I1247" i="31" s="1"/>
  <c r="E1373" i="12"/>
  <c r="G1373" i="12" s="1"/>
  <c r="I1248" i="31" s="1"/>
  <c r="E1374" i="12"/>
  <c r="G1374" i="12" s="1"/>
  <c r="I1249" i="31" s="1"/>
  <c r="E1375" i="12"/>
  <c r="G1375" i="12" s="1"/>
  <c r="I1250" i="31" s="1"/>
  <c r="E1376" i="12"/>
  <c r="G1376" i="12" s="1"/>
  <c r="I1251" i="31" s="1"/>
  <c r="E1377" i="12"/>
  <c r="G1377" i="12" s="1"/>
  <c r="E1378" i="12"/>
  <c r="G1378" i="12" s="1"/>
  <c r="I1252" i="31" s="1"/>
  <c r="E1379" i="12"/>
  <c r="G1379" i="12" s="1"/>
  <c r="I1253" i="31" s="1"/>
  <c r="E1380" i="12"/>
  <c r="G1380" i="12" s="1"/>
  <c r="I1254" i="31" s="1"/>
  <c r="E1381" i="12"/>
  <c r="G1381" i="12" s="1"/>
  <c r="I1255" i="31" s="1"/>
  <c r="E1382" i="12"/>
  <c r="G1382" i="12" s="1"/>
  <c r="I1256" i="31" s="1"/>
  <c r="E1383" i="12"/>
  <c r="G1383" i="12" s="1"/>
  <c r="I1257" i="31" s="1"/>
  <c r="E1384" i="12"/>
  <c r="G1384" i="12" s="1"/>
  <c r="I1258" i="31" s="1"/>
  <c r="E1385" i="12"/>
  <c r="G1385" i="12" s="1"/>
  <c r="I1259" i="31" s="1"/>
  <c r="E1386" i="12"/>
  <c r="G1386" i="12" s="1"/>
  <c r="I1260" i="31" s="1"/>
  <c r="E1387" i="12"/>
  <c r="G1387" i="12" s="1"/>
  <c r="I1261" i="31" s="1"/>
  <c r="E1388" i="12"/>
  <c r="G1388" i="12" s="1"/>
  <c r="E1389" i="12"/>
  <c r="G1389" i="12" s="1"/>
  <c r="I1262" i="31" s="1"/>
  <c r="E1390" i="12"/>
  <c r="G1390" i="12" s="1"/>
  <c r="I1263" i="31" s="1"/>
  <c r="E1391" i="12"/>
  <c r="G1391" i="12" s="1"/>
  <c r="I1264" i="31" s="1"/>
  <c r="E1392" i="12"/>
  <c r="G1392" i="12" s="1"/>
  <c r="I1265" i="31" s="1"/>
  <c r="E1393" i="12"/>
  <c r="G1393" i="12" s="1"/>
  <c r="I1266" i="31" s="1"/>
  <c r="E1394" i="12"/>
  <c r="G1394" i="12" s="1"/>
  <c r="I1267" i="31" s="1"/>
  <c r="E1395" i="12"/>
  <c r="G1395" i="12" s="1"/>
  <c r="I1268" i="31" s="1"/>
  <c r="E1396" i="12"/>
  <c r="G1396" i="12" s="1"/>
  <c r="I1269" i="31" s="1"/>
  <c r="E1397" i="12"/>
  <c r="G1397" i="12" s="1"/>
  <c r="I1270" i="31" s="1"/>
  <c r="E1398" i="12"/>
  <c r="G1398" i="12" s="1"/>
  <c r="I1271" i="31" s="1"/>
  <c r="E1399" i="12"/>
  <c r="G1399" i="12" s="1"/>
  <c r="E1400" i="12"/>
  <c r="G1400" i="12" s="1"/>
  <c r="I1272" i="31" s="1"/>
  <c r="E1401" i="12"/>
  <c r="G1401" i="12" s="1"/>
  <c r="I1273" i="31" s="1"/>
  <c r="E1402" i="12"/>
  <c r="G1402" i="12" s="1"/>
  <c r="I1274" i="31" s="1"/>
  <c r="E1403" i="12"/>
  <c r="G1403" i="12" s="1"/>
  <c r="I1275" i="31" s="1"/>
  <c r="E1404" i="12"/>
  <c r="G1404" i="12" s="1"/>
  <c r="I1276" i="31" s="1"/>
  <c r="E1405" i="12"/>
  <c r="G1405" i="12" s="1"/>
  <c r="I1277" i="31" s="1"/>
  <c r="E1406" i="12"/>
  <c r="G1406" i="12" s="1"/>
  <c r="I1278" i="31" s="1"/>
  <c r="E1407" i="12"/>
  <c r="G1407" i="12" s="1"/>
  <c r="I1279" i="31" s="1"/>
  <c r="E1408" i="12"/>
  <c r="G1408" i="12" s="1"/>
  <c r="I1280" i="31" s="1"/>
  <c r="E1409" i="12"/>
  <c r="G1409" i="12" s="1"/>
  <c r="I1281" i="31" s="1"/>
  <c r="E1410" i="12"/>
  <c r="G1410" i="12" s="1"/>
  <c r="E1411" i="12"/>
  <c r="G1411" i="12" s="1"/>
  <c r="I1282" i="31" s="1"/>
  <c r="E1412" i="12"/>
  <c r="G1412" i="12" s="1"/>
  <c r="I1283" i="31" s="1"/>
  <c r="E1413" i="12"/>
  <c r="G1413" i="12" s="1"/>
  <c r="I1284" i="31" s="1"/>
  <c r="E1414" i="12"/>
  <c r="G1414" i="12" s="1"/>
  <c r="I1285" i="31" s="1"/>
  <c r="E1415" i="12"/>
  <c r="G1415" i="12" s="1"/>
  <c r="I1286" i="31" s="1"/>
  <c r="E1416" i="12"/>
  <c r="G1416" i="12" s="1"/>
  <c r="I1287" i="31" s="1"/>
  <c r="E1417" i="12"/>
  <c r="G1417" i="12" s="1"/>
  <c r="I1288" i="31" s="1"/>
  <c r="E1418" i="12"/>
  <c r="G1418" i="12" s="1"/>
  <c r="I1289" i="31" s="1"/>
  <c r="E1419" i="12"/>
  <c r="G1419" i="12" s="1"/>
  <c r="I1290" i="31" s="1"/>
  <c r="E1420" i="12"/>
  <c r="G1420" i="12" s="1"/>
  <c r="I1291" i="31" s="1"/>
  <c r="E1421" i="12"/>
  <c r="G1421" i="12" s="1"/>
  <c r="E1422" i="12"/>
  <c r="G1422" i="12" s="1"/>
  <c r="I1292" i="31" s="1"/>
  <c r="E1423" i="12"/>
  <c r="G1423" i="12" s="1"/>
  <c r="I1293" i="31" s="1"/>
  <c r="E1424" i="12"/>
  <c r="G1424" i="12" s="1"/>
  <c r="I1294" i="31" s="1"/>
  <c r="E1425" i="12"/>
  <c r="G1425" i="12" s="1"/>
  <c r="I1295" i="31" s="1"/>
  <c r="E1426" i="12"/>
  <c r="G1426" i="12" s="1"/>
  <c r="I1296" i="31" s="1"/>
  <c r="E1427" i="12"/>
  <c r="G1427" i="12" s="1"/>
  <c r="I1297" i="31" s="1"/>
  <c r="E1428" i="12"/>
  <c r="G1428" i="12" s="1"/>
  <c r="I1298" i="31" s="1"/>
  <c r="E1429" i="12"/>
  <c r="G1429" i="12" s="1"/>
  <c r="I1299" i="31" s="1"/>
  <c r="E1430" i="12"/>
  <c r="G1430" i="12" s="1"/>
  <c r="I1300" i="31" s="1"/>
  <c r="E1431" i="12"/>
  <c r="G1431" i="12" s="1"/>
  <c r="I1301" i="31" s="1"/>
  <c r="E1432" i="12"/>
  <c r="G1432" i="12" s="1"/>
  <c r="E1433" i="12"/>
  <c r="G1433" i="12" s="1"/>
  <c r="I1302" i="31" s="1"/>
  <c r="E1434" i="12"/>
  <c r="G1434" i="12" s="1"/>
  <c r="I1303" i="31" s="1"/>
  <c r="E1435" i="12"/>
  <c r="G1435" i="12" s="1"/>
  <c r="I1304" i="31" s="1"/>
  <c r="E1436" i="12"/>
  <c r="G1436" i="12" s="1"/>
  <c r="I1305" i="31" s="1"/>
  <c r="E1437" i="12"/>
  <c r="G1437" i="12" s="1"/>
  <c r="I1306" i="31" s="1"/>
  <c r="E1438" i="12"/>
  <c r="G1438" i="12" s="1"/>
  <c r="I1307" i="31" s="1"/>
  <c r="E1439" i="12"/>
  <c r="G1439" i="12" s="1"/>
  <c r="I1308" i="31" s="1"/>
  <c r="E1440" i="12"/>
  <c r="G1440" i="12" s="1"/>
  <c r="I1309" i="31" s="1"/>
  <c r="E1441" i="12"/>
  <c r="G1441" i="12" s="1"/>
  <c r="I1310" i="31" s="1"/>
  <c r="E1442" i="12"/>
  <c r="G1442" i="12" s="1"/>
  <c r="I1311" i="31" s="1"/>
  <c r="E1443" i="12"/>
  <c r="G1443" i="12" s="1"/>
  <c r="E1444" i="12"/>
  <c r="G1444" i="12" s="1"/>
  <c r="I1312" i="31" s="1"/>
  <c r="E1445" i="12"/>
  <c r="G1445" i="12" s="1"/>
  <c r="I1313" i="31" s="1"/>
  <c r="E1446" i="12"/>
  <c r="G1446" i="12" s="1"/>
  <c r="I1314" i="31" s="1"/>
  <c r="E1447" i="12"/>
  <c r="G1447" i="12" s="1"/>
  <c r="I1315" i="31" s="1"/>
  <c r="E1448" i="12"/>
  <c r="G1448" i="12" s="1"/>
  <c r="I1316" i="31" s="1"/>
  <c r="E1449" i="12"/>
  <c r="G1449" i="12" s="1"/>
  <c r="I1317" i="31" s="1"/>
  <c r="E1450" i="12"/>
  <c r="G1450" i="12" s="1"/>
  <c r="I1318" i="31" s="1"/>
  <c r="E1451" i="12"/>
  <c r="G1451" i="12" s="1"/>
  <c r="I1319" i="31" s="1"/>
  <c r="E1452" i="12"/>
  <c r="G1452" i="12" s="1"/>
  <c r="I1320" i="31" s="1"/>
  <c r="E1453" i="12"/>
  <c r="G1453" i="12" s="1"/>
  <c r="I1321" i="31" s="1"/>
  <c r="E1454" i="12"/>
  <c r="G1454" i="12" s="1"/>
  <c r="E1455" i="12"/>
  <c r="G1455" i="12" s="1"/>
  <c r="I1322" i="31" s="1"/>
  <c r="E1456" i="12"/>
  <c r="G1456" i="12" s="1"/>
  <c r="I1323" i="31" s="1"/>
  <c r="E1457" i="12"/>
  <c r="G1457" i="12" s="1"/>
  <c r="I1324" i="31" s="1"/>
  <c r="E1458" i="12"/>
  <c r="G1458" i="12" s="1"/>
  <c r="I1325" i="31" s="1"/>
  <c r="E1459" i="12"/>
  <c r="G1459" i="12" s="1"/>
  <c r="I1326" i="31" s="1"/>
  <c r="E1460" i="12"/>
  <c r="G1460" i="12" s="1"/>
  <c r="I1327" i="31" s="1"/>
  <c r="E1461" i="12"/>
  <c r="G1461" i="12" s="1"/>
  <c r="I1328" i="31" s="1"/>
  <c r="E1462" i="12"/>
  <c r="G1462" i="12" s="1"/>
  <c r="I1329" i="31" s="1"/>
  <c r="E1463" i="12"/>
  <c r="G1463" i="12" s="1"/>
  <c r="I1330" i="31" s="1"/>
  <c r="E1464" i="12"/>
  <c r="G1464" i="12" s="1"/>
  <c r="I1331" i="31" s="1"/>
  <c r="E1465" i="12"/>
  <c r="G1465" i="12" s="1"/>
  <c r="E1466" i="12"/>
  <c r="G1466" i="12" s="1"/>
  <c r="I1332" i="31" s="1"/>
  <c r="E1467" i="12"/>
  <c r="G1467" i="12" s="1"/>
  <c r="I1333" i="31" s="1"/>
  <c r="E1468" i="12"/>
  <c r="G1468" i="12" s="1"/>
  <c r="I1334" i="31" s="1"/>
  <c r="E1469" i="12"/>
  <c r="G1469" i="12" s="1"/>
  <c r="I1335" i="31" s="1"/>
  <c r="E1470" i="12"/>
  <c r="G1470" i="12" s="1"/>
  <c r="I1336" i="31" s="1"/>
  <c r="E1471" i="12"/>
  <c r="G1471" i="12" s="1"/>
  <c r="I1337" i="31" s="1"/>
  <c r="E1472" i="12"/>
  <c r="G1472" i="12" s="1"/>
  <c r="I1338" i="31" s="1"/>
  <c r="E1473" i="12"/>
  <c r="G1473" i="12" s="1"/>
  <c r="I1339" i="31" s="1"/>
  <c r="E1474" i="12"/>
  <c r="G1474" i="12" s="1"/>
  <c r="I1340" i="31" s="1"/>
  <c r="E1475" i="12"/>
  <c r="G1475" i="12" s="1"/>
  <c r="I1341" i="31" s="1"/>
  <c r="E1476" i="12"/>
  <c r="G1476" i="12" s="1"/>
  <c r="E1477" i="12"/>
  <c r="G1477" i="12" s="1"/>
  <c r="I1342" i="31" s="1"/>
  <c r="E1478" i="12"/>
  <c r="G1478" i="12" s="1"/>
  <c r="I1343" i="31" s="1"/>
  <c r="E1479" i="12"/>
  <c r="G1479" i="12" s="1"/>
  <c r="I1344" i="31" s="1"/>
  <c r="E1480" i="12"/>
  <c r="G1480" i="12" s="1"/>
  <c r="I1345" i="31" s="1"/>
  <c r="E1481" i="12"/>
  <c r="G1481" i="12" s="1"/>
  <c r="I1346" i="31" s="1"/>
  <c r="E1482" i="12"/>
  <c r="G1482" i="12" s="1"/>
  <c r="I1347" i="31" s="1"/>
  <c r="E1483" i="12"/>
  <c r="G1483" i="12" s="1"/>
  <c r="I1348" i="31" s="1"/>
  <c r="E1484" i="12"/>
  <c r="G1484" i="12" s="1"/>
  <c r="I1349" i="31" s="1"/>
  <c r="E1485" i="12"/>
  <c r="G1485" i="12" s="1"/>
  <c r="I1350" i="31" s="1"/>
  <c r="E1486" i="12"/>
  <c r="G1486" i="12" s="1"/>
  <c r="I1351" i="31" s="1"/>
  <c r="E1487" i="12"/>
  <c r="G1487" i="12" s="1"/>
  <c r="E1488" i="12"/>
  <c r="G1488" i="12" s="1"/>
  <c r="I1352" i="31" s="1"/>
  <c r="E1489" i="12"/>
  <c r="G1489" i="12" s="1"/>
  <c r="I1353" i="31" s="1"/>
  <c r="E1490" i="12"/>
  <c r="G1490" i="12" s="1"/>
  <c r="I1354" i="31" s="1"/>
  <c r="E1491" i="12"/>
  <c r="G1491" i="12" s="1"/>
  <c r="I1355" i="31" s="1"/>
  <c r="E1492" i="12"/>
  <c r="G1492" i="12" s="1"/>
  <c r="I1356" i="31" s="1"/>
  <c r="E1493" i="12"/>
  <c r="G1493" i="12" s="1"/>
  <c r="I1357" i="31" s="1"/>
  <c r="E1494" i="12"/>
  <c r="G1494" i="12" s="1"/>
  <c r="I1358" i="31" s="1"/>
  <c r="E1495" i="12"/>
  <c r="G1495" i="12" s="1"/>
  <c r="I1359" i="31" s="1"/>
  <c r="E1496" i="12"/>
  <c r="G1496" i="12" s="1"/>
  <c r="I1360" i="31" s="1"/>
  <c r="E1497" i="12"/>
  <c r="G1497" i="12" s="1"/>
  <c r="I1361" i="31" s="1"/>
  <c r="E1498" i="12"/>
  <c r="G1498" i="12" s="1"/>
  <c r="E1499" i="12"/>
  <c r="G1499" i="12" s="1"/>
  <c r="I1362" i="31" s="1"/>
  <c r="E1500" i="12"/>
  <c r="G1500" i="12" s="1"/>
  <c r="I1363" i="31" s="1"/>
  <c r="E1501" i="12"/>
  <c r="G1501" i="12" s="1"/>
  <c r="I1364" i="31" s="1"/>
  <c r="E1502" i="12"/>
  <c r="G1502" i="12" s="1"/>
  <c r="I1365" i="31" s="1"/>
  <c r="E1503" i="12"/>
  <c r="G1503" i="12" s="1"/>
  <c r="I1366" i="31" s="1"/>
  <c r="E1504" i="12"/>
  <c r="G1504" i="12" s="1"/>
  <c r="I1367" i="31" s="1"/>
  <c r="E1505" i="12"/>
  <c r="G1505" i="12" s="1"/>
  <c r="I1368" i="31" s="1"/>
  <c r="E1506" i="12"/>
  <c r="G1506" i="12" s="1"/>
  <c r="I1369" i="31" s="1"/>
  <c r="E1507" i="12"/>
  <c r="G1507" i="12" s="1"/>
  <c r="I1370" i="31" s="1"/>
  <c r="E1508" i="12"/>
  <c r="G1508" i="12" s="1"/>
  <c r="I1371" i="31" s="1"/>
  <c r="E1509" i="12"/>
  <c r="G1509" i="12" s="1"/>
  <c r="E1510" i="12"/>
  <c r="G1510" i="12" s="1"/>
  <c r="I1372" i="31" s="1"/>
  <c r="E1511" i="12"/>
  <c r="G1511" i="12" s="1"/>
  <c r="I1373" i="31" s="1"/>
  <c r="E1512" i="12"/>
  <c r="G1512" i="12" s="1"/>
  <c r="I1374" i="31" s="1"/>
  <c r="E1513" i="12"/>
  <c r="G1513" i="12" s="1"/>
  <c r="I1375" i="31" s="1"/>
  <c r="E1514" i="12"/>
  <c r="G1514" i="12" s="1"/>
  <c r="I1376" i="31" s="1"/>
  <c r="E1515" i="12"/>
  <c r="G1515" i="12" s="1"/>
  <c r="I1377" i="31" s="1"/>
  <c r="E1516" i="12"/>
  <c r="G1516" i="12" s="1"/>
  <c r="I1378" i="31" s="1"/>
  <c r="E1517" i="12"/>
  <c r="G1517" i="12" s="1"/>
  <c r="I1379" i="31" s="1"/>
  <c r="E1518" i="12"/>
  <c r="G1518" i="12" s="1"/>
  <c r="I1380" i="31" s="1"/>
  <c r="E1519" i="12"/>
  <c r="G1519" i="12" s="1"/>
  <c r="I1381" i="31" s="1"/>
  <c r="E1520" i="12"/>
  <c r="G1520" i="12" s="1"/>
  <c r="E1521" i="12"/>
  <c r="G1521" i="12" s="1"/>
  <c r="I1382" i="31" s="1"/>
  <c r="E1522" i="12"/>
  <c r="G1522" i="12" s="1"/>
  <c r="I1383" i="31" s="1"/>
  <c r="E1523" i="12"/>
  <c r="G1523" i="12" s="1"/>
  <c r="I1384" i="31" s="1"/>
  <c r="E1524" i="12"/>
  <c r="G1524" i="12" s="1"/>
  <c r="I1385" i="31" s="1"/>
  <c r="E1525" i="12"/>
  <c r="G1525" i="12" s="1"/>
  <c r="I1386" i="31" s="1"/>
  <c r="E1526" i="12"/>
  <c r="G1526" i="12" s="1"/>
  <c r="I1387" i="31" s="1"/>
  <c r="E1527" i="12"/>
  <c r="G1527" i="12" s="1"/>
  <c r="I1388" i="31" s="1"/>
  <c r="E1528" i="12"/>
  <c r="G1528" i="12" s="1"/>
  <c r="I1389" i="31" s="1"/>
  <c r="E1529" i="12"/>
  <c r="G1529" i="12" s="1"/>
  <c r="I1390" i="31" s="1"/>
  <c r="E1530" i="12"/>
  <c r="G1530" i="12" s="1"/>
  <c r="I1391" i="31" s="1"/>
  <c r="E1531" i="12"/>
  <c r="G1531" i="12" s="1"/>
  <c r="E1532" i="12"/>
  <c r="G1532" i="12" s="1"/>
  <c r="I1392" i="31" s="1"/>
  <c r="E1533" i="12"/>
  <c r="G1533" i="12" s="1"/>
  <c r="I1393" i="31" s="1"/>
  <c r="E1534" i="12"/>
  <c r="G1534" i="12" s="1"/>
  <c r="I1394" i="31" s="1"/>
  <c r="E1535" i="12"/>
  <c r="G1535" i="12" s="1"/>
  <c r="I1395" i="31" s="1"/>
  <c r="E1536" i="12"/>
  <c r="G1536" i="12" s="1"/>
  <c r="I1396" i="31" s="1"/>
  <c r="E1537" i="12"/>
  <c r="G1537" i="12" s="1"/>
  <c r="I1397" i="31" s="1"/>
  <c r="E1538" i="12"/>
  <c r="G1538" i="12" s="1"/>
  <c r="I1398" i="31" s="1"/>
  <c r="E1539" i="12"/>
  <c r="G1539" i="12" s="1"/>
  <c r="I1399" i="31" s="1"/>
  <c r="E1540" i="12"/>
  <c r="G1540" i="12" s="1"/>
  <c r="I1400" i="31" s="1"/>
  <c r="E1541" i="12"/>
  <c r="G1541" i="12" s="1"/>
  <c r="I1401" i="31" s="1"/>
  <c r="E1542" i="12"/>
  <c r="G1542" i="12" s="1"/>
  <c r="E1543" i="12"/>
  <c r="G1543" i="12" s="1"/>
  <c r="I1402" i="31" s="1"/>
  <c r="E1544" i="12"/>
  <c r="G1544" i="12" s="1"/>
  <c r="I1403" i="31" s="1"/>
  <c r="E1545" i="12"/>
  <c r="G1545" i="12" s="1"/>
  <c r="I1404" i="31" s="1"/>
  <c r="E1546" i="12"/>
  <c r="G1546" i="12" s="1"/>
  <c r="I1405" i="31" s="1"/>
  <c r="E1547" i="12"/>
  <c r="G1547" i="12" s="1"/>
  <c r="I1406" i="31" s="1"/>
  <c r="E1548" i="12"/>
  <c r="G1548" i="12" s="1"/>
  <c r="I1407" i="31" s="1"/>
  <c r="E1549" i="12"/>
  <c r="G1549" i="12" s="1"/>
  <c r="I1408" i="31" s="1"/>
  <c r="E1550" i="12"/>
  <c r="G1550" i="12" s="1"/>
  <c r="I1409" i="31" s="1"/>
  <c r="E1551" i="12"/>
  <c r="G1551" i="12" s="1"/>
  <c r="I1410" i="31" s="1"/>
  <c r="E1552" i="12"/>
  <c r="G1552" i="12" s="1"/>
  <c r="I1411" i="31" s="1"/>
  <c r="E1553" i="12"/>
  <c r="G1553" i="12" s="1"/>
  <c r="E1554" i="12"/>
  <c r="G1554" i="12" s="1"/>
  <c r="I1412" i="31" s="1"/>
  <c r="E1555" i="12"/>
  <c r="G1555" i="12" s="1"/>
  <c r="I1413" i="31" s="1"/>
  <c r="E1556" i="12"/>
  <c r="G1556" i="12" s="1"/>
  <c r="I1414" i="31" s="1"/>
  <c r="E1557" i="12"/>
  <c r="G1557" i="12" s="1"/>
  <c r="I1415" i="31" s="1"/>
  <c r="E1558" i="12"/>
  <c r="G1558" i="12" s="1"/>
  <c r="I1416" i="31" s="1"/>
  <c r="E1559" i="12"/>
  <c r="G1559" i="12" s="1"/>
  <c r="I1417" i="31" s="1"/>
  <c r="E1560" i="12"/>
  <c r="G1560" i="12" s="1"/>
  <c r="I1418" i="31" s="1"/>
  <c r="E1561" i="12"/>
  <c r="G1561" i="12" s="1"/>
  <c r="I1419" i="31" s="1"/>
  <c r="E1562" i="12"/>
  <c r="G1562" i="12" s="1"/>
  <c r="I1420" i="31" s="1"/>
  <c r="E1563" i="12"/>
  <c r="G1563" i="12" s="1"/>
  <c r="I1421" i="31" s="1"/>
  <c r="E1564" i="12"/>
  <c r="G1564" i="12" s="1"/>
  <c r="E1565" i="12"/>
  <c r="G1565" i="12" s="1"/>
  <c r="I1422" i="31" s="1"/>
  <c r="E1566" i="12"/>
  <c r="G1566" i="12" s="1"/>
  <c r="I1423" i="31" s="1"/>
  <c r="E1567" i="12"/>
  <c r="G1567" i="12" s="1"/>
  <c r="I1424" i="31" s="1"/>
  <c r="E1568" i="12"/>
  <c r="G1568" i="12" s="1"/>
  <c r="I1425" i="31" s="1"/>
  <c r="E1569" i="12"/>
  <c r="G1569" i="12" s="1"/>
  <c r="I1426" i="31" s="1"/>
  <c r="E1570" i="12"/>
  <c r="G1570" i="12" s="1"/>
  <c r="I1427" i="31" s="1"/>
  <c r="E1571" i="12"/>
  <c r="G1571" i="12" s="1"/>
  <c r="I1428" i="31" s="1"/>
  <c r="E1572" i="12"/>
  <c r="G1572" i="12" s="1"/>
  <c r="I1429" i="31" s="1"/>
  <c r="E1573" i="12"/>
  <c r="G1573" i="12" s="1"/>
  <c r="I1430" i="31" s="1"/>
  <c r="E1574" i="12"/>
  <c r="G1574" i="12" s="1"/>
  <c r="I1431" i="31" s="1"/>
  <c r="E1575" i="12"/>
  <c r="G1575" i="12" s="1"/>
  <c r="E1576" i="12"/>
  <c r="G1576" i="12" s="1"/>
  <c r="I1432" i="31" s="1"/>
  <c r="E1577" i="12"/>
  <c r="G1577" i="12" s="1"/>
  <c r="I1433" i="31" s="1"/>
  <c r="E1578" i="12"/>
  <c r="G1578" i="12" s="1"/>
  <c r="I1434" i="31" s="1"/>
  <c r="E1579" i="12"/>
  <c r="G1579" i="12" s="1"/>
  <c r="I1435" i="31" s="1"/>
  <c r="E1580" i="12"/>
  <c r="G1580" i="12" s="1"/>
  <c r="I1436" i="31" s="1"/>
  <c r="E1581" i="12"/>
  <c r="G1581" i="12" s="1"/>
  <c r="I1437" i="31" s="1"/>
  <c r="E1582" i="12"/>
  <c r="G1582" i="12" s="1"/>
  <c r="I1438" i="31" s="1"/>
  <c r="E1583" i="12"/>
  <c r="G1583" i="12" s="1"/>
  <c r="I1439" i="31" s="1"/>
  <c r="E1584" i="12"/>
  <c r="G1584" i="12" s="1"/>
  <c r="I1440" i="31" s="1"/>
  <c r="E1585" i="12"/>
  <c r="G1585" i="12" s="1"/>
  <c r="I1441" i="31" s="1"/>
  <c r="E1586" i="12"/>
  <c r="G1586" i="12" s="1"/>
  <c r="E1587" i="12"/>
  <c r="G1587" i="12" s="1"/>
  <c r="I1442" i="31" s="1"/>
  <c r="E1588" i="12"/>
  <c r="G1588" i="12" s="1"/>
  <c r="I1443" i="31" s="1"/>
  <c r="E1589" i="12"/>
  <c r="G1589" i="12" s="1"/>
  <c r="I1444" i="31" s="1"/>
  <c r="E1590" i="12"/>
  <c r="G1590" i="12" s="1"/>
  <c r="I1445" i="31" s="1"/>
  <c r="E1591" i="12"/>
  <c r="G1591" i="12" s="1"/>
  <c r="I1446" i="31" s="1"/>
  <c r="E1592" i="12"/>
  <c r="G1592" i="12" s="1"/>
  <c r="I1447" i="31" s="1"/>
  <c r="E1593" i="12"/>
  <c r="G1593" i="12" s="1"/>
  <c r="I1448" i="31" s="1"/>
  <c r="E1594" i="12"/>
  <c r="G1594" i="12" s="1"/>
  <c r="I1449" i="31" s="1"/>
  <c r="E1595" i="12"/>
  <c r="G1595" i="12" s="1"/>
  <c r="I1450" i="31" s="1"/>
  <c r="E1596" i="12"/>
  <c r="G1596" i="12" s="1"/>
  <c r="I1451" i="31" s="1"/>
  <c r="E1597" i="12"/>
  <c r="G1597" i="12" s="1"/>
  <c r="E1598" i="12"/>
  <c r="G1598" i="12" s="1"/>
  <c r="I1452" i="31" s="1"/>
  <c r="E1599" i="12"/>
  <c r="G1599" i="12" s="1"/>
  <c r="I1453" i="31" s="1"/>
  <c r="E1600" i="12"/>
  <c r="G1600" i="12" s="1"/>
  <c r="I1454" i="31" s="1"/>
  <c r="E1601" i="12"/>
  <c r="G1601" i="12" s="1"/>
  <c r="I1455" i="31" s="1"/>
  <c r="E1602" i="12"/>
  <c r="G1602" i="12" s="1"/>
  <c r="I1456" i="31" s="1"/>
  <c r="E1603" i="12"/>
  <c r="G1603" i="12" s="1"/>
  <c r="I1457" i="31" s="1"/>
  <c r="E1604" i="12"/>
  <c r="G1604" i="12" s="1"/>
  <c r="I1458" i="31" s="1"/>
  <c r="E1605" i="12"/>
  <c r="G1605" i="12" s="1"/>
  <c r="I1459" i="31" s="1"/>
  <c r="E1606" i="12"/>
  <c r="G1606" i="12" s="1"/>
  <c r="I1460" i="31" s="1"/>
  <c r="E1607" i="12"/>
  <c r="G1607" i="12" s="1"/>
  <c r="I1461" i="31" s="1"/>
  <c r="E1608" i="12"/>
  <c r="G1608" i="12" s="1"/>
  <c r="E1609" i="12"/>
  <c r="G1609" i="12" s="1"/>
  <c r="I1462" i="31" s="1"/>
  <c r="E1610" i="12"/>
  <c r="G1610" i="12" s="1"/>
  <c r="I1463" i="31" s="1"/>
  <c r="E1611" i="12"/>
  <c r="G1611" i="12" s="1"/>
  <c r="I1464" i="31" s="1"/>
  <c r="E1612" i="12"/>
  <c r="G1612" i="12" s="1"/>
  <c r="I1465" i="31" s="1"/>
  <c r="E1613" i="12"/>
  <c r="G1613" i="12" s="1"/>
  <c r="I1466" i="31" s="1"/>
  <c r="E1614" i="12"/>
  <c r="G1614" i="12" s="1"/>
  <c r="I1467" i="31" s="1"/>
  <c r="E1615" i="12"/>
  <c r="G1615" i="12" s="1"/>
  <c r="I1468" i="31" s="1"/>
  <c r="E1616" i="12"/>
  <c r="G1616" i="12" s="1"/>
  <c r="I1469" i="31" s="1"/>
  <c r="E1617" i="12"/>
  <c r="G1617" i="12" s="1"/>
  <c r="I1470" i="31" s="1"/>
  <c r="E1618" i="12"/>
  <c r="G1618" i="12" s="1"/>
  <c r="I1471" i="31" s="1"/>
  <c r="E1619" i="12"/>
  <c r="G1619" i="12" s="1"/>
  <c r="E1620" i="12"/>
  <c r="G1620" i="12" s="1"/>
  <c r="I1472" i="31" s="1"/>
  <c r="E1621" i="12"/>
  <c r="G1621" i="12" s="1"/>
  <c r="I1473" i="31" s="1"/>
  <c r="E1622" i="12"/>
  <c r="G1622" i="12" s="1"/>
  <c r="I1474" i="31" s="1"/>
  <c r="E1623" i="12"/>
  <c r="G1623" i="12" s="1"/>
  <c r="I1475" i="31" s="1"/>
  <c r="E1624" i="12"/>
  <c r="G1624" i="12" s="1"/>
  <c r="I1476" i="31" s="1"/>
  <c r="E1625" i="12"/>
  <c r="G1625" i="12" s="1"/>
  <c r="I1477" i="31" s="1"/>
  <c r="E1626" i="12"/>
  <c r="G1626" i="12" s="1"/>
  <c r="I1478" i="31" s="1"/>
  <c r="E1627" i="12"/>
  <c r="G1627" i="12" s="1"/>
  <c r="I1479" i="31" s="1"/>
  <c r="E1628" i="12"/>
  <c r="G1628" i="12" s="1"/>
  <c r="I1480" i="31" s="1"/>
  <c r="E1629" i="12"/>
  <c r="G1629" i="12" s="1"/>
  <c r="I1481" i="31" s="1"/>
  <c r="F3" i="13"/>
  <c r="F4" i="13"/>
  <c r="F5" i="13"/>
  <c r="F6" i="13"/>
  <c r="F7" i="13"/>
  <c r="F8" i="13"/>
  <c r="F9" i="13"/>
  <c r="F10" i="13"/>
  <c r="F11" i="13"/>
  <c r="F12" i="13"/>
  <c r="F13" i="13"/>
  <c r="F24" i="13"/>
  <c r="F35" i="13"/>
  <c r="F36" i="13"/>
  <c r="F37" i="13"/>
  <c r="F38" i="13"/>
  <c r="F39" i="13"/>
  <c r="F40" i="13"/>
  <c r="F41" i="13"/>
  <c r="F42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68" i="13"/>
  <c r="F79" i="13"/>
  <c r="F90" i="13"/>
  <c r="F95" i="13"/>
  <c r="F101" i="13"/>
  <c r="F112" i="13"/>
  <c r="F113" i="13"/>
  <c r="F114" i="13"/>
  <c r="F115" i="13"/>
  <c r="F116" i="13"/>
  <c r="F117" i="13"/>
  <c r="F119" i="13"/>
  <c r="F123" i="13"/>
  <c r="F124" i="13"/>
  <c r="F133" i="13"/>
  <c r="F134" i="13"/>
  <c r="F145" i="13"/>
  <c r="F146" i="13"/>
  <c r="F147" i="13"/>
  <c r="F148" i="13"/>
  <c r="F149" i="13"/>
  <c r="F150" i="13"/>
  <c r="F151" i="13"/>
  <c r="F152" i="13"/>
  <c r="F153" i="13"/>
  <c r="F154" i="13"/>
  <c r="F156" i="13"/>
  <c r="F157" i="13"/>
  <c r="F158" i="13"/>
  <c r="F163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7" i="13"/>
  <c r="F189" i="13"/>
  <c r="F192" i="13"/>
  <c r="F200" i="13"/>
  <c r="F203" i="13"/>
  <c r="F205" i="13"/>
  <c r="F207" i="13"/>
  <c r="F209" i="13"/>
  <c r="F211" i="13"/>
  <c r="F212" i="13"/>
  <c r="F213" i="13"/>
  <c r="F219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6" i="13"/>
  <c r="F357" i="13"/>
  <c r="F358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2" i="13"/>
  <c r="F404" i="13"/>
  <c r="F405" i="13"/>
  <c r="F406" i="13"/>
  <c r="F409" i="13"/>
  <c r="F410" i="13"/>
  <c r="F411" i="13"/>
  <c r="F413" i="13"/>
  <c r="F415" i="13"/>
  <c r="F418" i="13"/>
  <c r="F420" i="13"/>
  <c r="F421" i="13"/>
  <c r="F422" i="13"/>
  <c r="F423" i="13"/>
  <c r="F425" i="13"/>
  <c r="F428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7" i="13"/>
  <c r="F449" i="13"/>
  <c r="F451" i="13"/>
  <c r="F453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8" i="13"/>
  <c r="F470" i="13"/>
  <c r="F472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F1319" i="13"/>
  <c r="F1320" i="13"/>
  <c r="F1321" i="13"/>
  <c r="F1322" i="13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F1337" i="13"/>
  <c r="F1338" i="13"/>
  <c r="F1339" i="13"/>
  <c r="F1340" i="13"/>
  <c r="F1341" i="13"/>
  <c r="F1342" i="13"/>
  <c r="F1343" i="13"/>
  <c r="F1344" i="13"/>
  <c r="F1345" i="13"/>
  <c r="F1346" i="13"/>
  <c r="F1347" i="13"/>
  <c r="F1348" i="13"/>
  <c r="F1349" i="13"/>
  <c r="F1350" i="13"/>
  <c r="F1351" i="13"/>
  <c r="F1352" i="13"/>
  <c r="F1353" i="13"/>
  <c r="F1354" i="13"/>
  <c r="F1355" i="13"/>
  <c r="F1356" i="13"/>
  <c r="F1357" i="13"/>
  <c r="F1358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1420" i="13"/>
  <c r="F1421" i="13"/>
  <c r="F1422" i="13"/>
  <c r="F1423" i="13"/>
  <c r="F1424" i="13"/>
  <c r="F1425" i="13"/>
  <c r="F1426" i="13"/>
  <c r="F1427" i="13"/>
  <c r="F1428" i="13"/>
  <c r="F1429" i="13"/>
  <c r="F1430" i="13"/>
  <c r="F1431" i="13"/>
  <c r="F1432" i="13"/>
  <c r="F1433" i="13"/>
  <c r="F1434" i="13"/>
  <c r="F1435" i="13"/>
  <c r="F1436" i="13"/>
  <c r="F1437" i="13"/>
  <c r="F1438" i="13"/>
  <c r="F1439" i="13"/>
  <c r="F1440" i="13"/>
  <c r="F1441" i="13"/>
  <c r="F1442" i="13"/>
  <c r="F1443" i="13"/>
  <c r="F1444" i="13"/>
  <c r="F1445" i="13"/>
  <c r="F1446" i="13"/>
  <c r="F1447" i="13"/>
  <c r="F1448" i="13"/>
  <c r="F1449" i="13"/>
  <c r="F1450" i="13"/>
  <c r="F1451" i="13"/>
  <c r="F1452" i="13"/>
  <c r="F1453" i="13"/>
  <c r="F1454" i="13"/>
  <c r="F1455" i="13"/>
  <c r="F1456" i="13"/>
  <c r="F1457" i="13"/>
  <c r="F1458" i="13"/>
  <c r="F1459" i="13"/>
  <c r="F1460" i="13"/>
  <c r="F1461" i="13"/>
  <c r="F1462" i="13"/>
  <c r="F1463" i="13"/>
  <c r="F1464" i="13"/>
  <c r="F1465" i="13"/>
  <c r="F1466" i="13"/>
  <c r="F1467" i="13"/>
  <c r="F1468" i="13"/>
  <c r="F1469" i="13"/>
  <c r="F1470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F1496" i="13"/>
  <c r="F1497" i="13"/>
  <c r="F1498" i="13"/>
  <c r="F1499" i="13"/>
  <c r="F1500" i="13"/>
  <c r="F1501" i="13"/>
  <c r="F1502" i="13"/>
  <c r="F1503" i="13"/>
  <c r="F1504" i="13"/>
  <c r="F1505" i="13"/>
  <c r="F1506" i="13"/>
  <c r="F1507" i="13"/>
  <c r="F1508" i="13"/>
  <c r="F1509" i="13"/>
  <c r="F1510" i="13"/>
  <c r="F1511" i="13"/>
  <c r="F1512" i="13"/>
  <c r="F1513" i="13"/>
  <c r="F1514" i="13"/>
  <c r="F1515" i="13"/>
  <c r="F1516" i="13"/>
  <c r="F1517" i="13"/>
  <c r="F1518" i="13"/>
  <c r="F1519" i="13"/>
  <c r="F1520" i="13"/>
  <c r="F1521" i="13"/>
  <c r="F1522" i="13"/>
  <c r="F1523" i="13"/>
  <c r="F1524" i="13"/>
  <c r="F1525" i="13"/>
  <c r="F1526" i="13"/>
  <c r="F1527" i="13"/>
  <c r="F1528" i="13"/>
  <c r="F1529" i="13"/>
  <c r="F1530" i="13"/>
  <c r="F1531" i="13"/>
  <c r="F1532" i="13"/>
  <c r="F1533" i="13"/>
  <c r="F1534" i="13"/>
  <c r="F1535" i="13"/>
  <c r="F1536" i="13"/>
  <c r="F1537" i="13"/>
  <c r="F1538" i="13"/>
  <c r="F1539" i="13"/>
  <c r="F1540" i="13"/>
  <c r="F1541" i="13"/>
  <c r="F1542" i="13"/>
  <c r="F1543" i="13"/>
  <c r="F1544" i="13"/>
  <c r="F1545" i="13"/>
  <c r="F1546" i="13"/>
  <c r="F1547" i="13"/>
  <c r="F1548" i="13"/>
  <c r="F1549" i="13"/>
  <c r="F1550" i="13"/>
  <c r="F1551" i="13"/>
  <c r="F1552" i="13"/>
  <c r="F1553" i="13"/>
  <c r="F1554" i="13"/>
  <c r="F1555" i="13"/>
  <c r="F1556" i="13"/>
  <c r="F1557" i="13"/>
  <c r="F1558" i="13"/>
  <c r="F1559" i="13"/>
  <c r="F1560" i="13"/>
  <c r="F1561" i="13"/>
  <c r="F1562" i="13"/>
  <c r="F1563" i="13"/>
  <c r="F1564" i="13"/>
  <c r="F1565" i="13"/>
  <c r="F1566" i="13"/>
  <c r="F1567" i="13"/>
  <c r="F1568" i="13"/>
  <c r="F1569" i="13"/>
  <c r="F1570" i="13"/>
  <c r="F1571" i="13"/>
  <c r="F1572" i="13"/>
  <c r="F1573" i="13"/>
  <c r="F1574" i="13"/>
  <c r="F1575" i="13"/>
  <c r="F1576" i="13"/>
  <c r="F1577" i="13"/>
  <c r="F1578" i="13"/>
  <c r="F1579" i="13"/>
  <c r="F1580" i="13"/>
  <c r="F1581" i="13"/>
  <c r="F1582" i="13"/>
  <c r="F1583" i="13"/>
  <c r="F1584" i="13"/>
  <c r="F1585" i="13"/>
  <c r="F1586" i="13"/>
  <c r="F1587" i="13"/>
  <c r="F1588" i="13"/>
  <c r="F1589" i="13"/>
  <c r="F1590" i="13"/>
  <c r="F1591" i="13"/>
  <c r="F1592" i="13"/>
  <c r="F1593" i="13"/>
  <c r="F1594" i="13"/>
  <c r="F1595" i="13"/>
  <c r="F1596" i="13"/>
  <c r="F1597" i="13"/>
  <c r="F1598" i="13"/>
  <c r="F1599" i="13"/>
  <c r="F1600" i="13"/>
  <c r="F1601" i="13"/>
  <c r="F1602" i="13"/>
  <c r="F1603" i="13"/>
  <c r="F1604" i="13"/>
  <c r="F1605" i="13"/>
  <c r="F1606" i="13"/>
  <c r="F1607" i="13"/>
  <c r="F1608" i="13"/>
  <c r="F1609" i="13"/>
  <c r="F1610" i="13"/>
  <c r="F1611" i="13"/>
  <c r="F1612" i="13"/>
  <c r="F1613" i="13"/>
  <c r="F1614" i="13"/>
  <c r="F1615" i="13"/>
  <c r="F1616" i="13"/>
  <c r="F1617" i="13"/>
  <c r="F1618" i="13"/>
  <c r="F1619" i="13"/>
  <c r="F1620" i="13"/>
  <c r="F1621" i="13"/>
  <c r="F1622" i="13"/>
  <c r="F1623" i="13"/>
  <c r="F1624" i="13"/>
  <c r="F1625" i="13"/>
  <c r="F1626" i="13"/>
  <c r="F1627" i="13"/>
  <c r="F1628" i="13"/>
  <c r="F1629" i="13"/>
  <c r="E3" i="13"/>
  <c r="G3" i="13" s="1"/>
  <c r="J2" i="31" s="1"/>
  <c r="E4" i="13"/>
  <c r="G4" i="13" s="1"/>
  <c r="J3" i="31" s="1"/>
  <c r="E5" i="13"/>
  <c r="G5" i="13" s="1"/>
  <c r="J4" i="31" s="1"/>
  <c r="E6" i="13"/>
  <c r="G6" i="13" s="1"/>
  <c r="J5" i="31" s="1"/>
  <c r="E7" i="13"/>
  <c r="G7" i="13" s="1"/>
  <c r="J6" i="31" s="1"/>
  <c r="E8" i="13"/>
  <c r="G8" i="13" s="1"/>
  <c r="J7" i="31" s="1"/>
  <c r="E9" i="13"/>
  <c r="G9" i="13" s="1"/>
  <c r="J8" i="31" s="1"/>
  <c r="E10" i="13"/>
  <c r="G10" i="13" s="1"/>
  <c r="J9" i="31" s="1"/>
  <c r="E11" i="13"/>
  <c r="G11" i="13" s="1"/>
  <c r="J10" i="31" s="1"/>
  <c r="E12" i="13"/>
  <c r="G12" i="13" s="1"/>
  <c r="J11" i="31" s="1"/>
  <c r="E13" i="13"/>
  <c r="G13" i="13" s="1"/>
  <c r="E24" i="13"/>
  <c r="G24" i="13" s="1"/>
  <c r="E35" i="13"/>
  <c r="G35" i="13" s="1"/>
  <c r="E36" i="13"/>
  <c r="G36" i="13" s="1"/>
  <c r="J32" i="31" s="1"/>
  <c r="E37" i="13"/>
  <c r="G37" i="13" s="1"/>
  <c r="J33" i="31" s="1"/>
  <c r="E38" i="13"/>
  <c r="G38" i="13" s="1"/>
  <c r="J34" i="31" s="1"/>
  <c r="E39" i="13"/>
  <c r="G39" i="13" s="1"/>
  <c r="J35" i="31" s="1"/>
  <c r="E40" i="13"/>
  <c r="G40" i="13" s="1"/>
  <c r="J36" i="31" s="1"/>
  <c r="E41" i="13"/>
  <c r="G41" i="13" s="1"/>
  <c r="J37" i="31" s="1"/>
  <c r="E42" i="13"/>
  <c r="G42" i="13" s="1"/>
  <c r="J38" i="31" s="1"/>
  <c r="E46" i="13"/>
  <c r="G46" i="13" s="1"/>
  <c r="E47" i="13"/>
  <c r="G47" i="13" s="1"/>
  <c r="J42" i="31" s="1"/>
  <c r="E48" i="13"/>
  <c r="G48" i="13" s="1"/>
  <c r="J43" i="31" s="1"/>
  <c r="E49" i="13"/>
  <c r="G49" i="13" s="1"/>
  <c r="J44" i="31" s="1"/>
  <c r="E50" i="13"/>
  <c r="G50" i="13" s="1"/>
  <c r="J45" i="31" s="1"/>
  <c r="E51" i="13"/>
  <c r="G51" i="13" s="1"/>
  <c r="J46" i="31" s="1"/>
  <c r="E52" i="13"/>
  <c r="G52" i="13" s="1"/>
  <c r="J47" i="31" s="1"/>
  <c r="E53" i="13"/>
  <c r="G53" i="13" s="1"/>
  <c r="J48" i="31" s="1"/>
  <c r="E54" i="13"/>
  <c r="G54" i="13" s="1"/>
  <c r="J49" i="31" s="1"/>
  <c r="E55" i="13"/>
  <c r="G55" i="13" s="1"/>
  <c r="J50" i="31" s="1"/>
  <c r="E56" i="13"/>
  <c r="G56" i="13" s="1"/>
  <c r="J51" i="31" s="1"/>
  <c r="E57" i="13"/>
  <c r="G57" i="13" s="1"/>
  <c r="E58" i="13"/>
  <c r="G58" i="13" s="1"/>
  <c r="J52" i="31" s="1"/>
  <c r="E68" i="13"/>
  <c r="G68" i="13" s="1"/>
  <c r="E79" i="13"/>
  <c r="G79" i="13" s="1"/>
  <c r="E90" i="13"/>
  <c r="G90" i="13" s="1"/>
  <c r="E93" i="13"/>
  <c r="E101" i="13"/>
  <c r="G101" i="13" s="1"/>
  <c r="E112" i="13"/>
  <c r="G112" i="13" s="1"/>
  <c r="E113" i="13"/>
  <c r="G113" i="13" s="1"/>
  <c r="J102" i="31" s="1"/>
  <c r="E114" i="13"/>
  <c r="G114" i="13" s="1"/>
  <c r="J103" i="31" s="1"/>
  <c r="E115" i="13"/>
  <c r="G115" i="13" s="1"/>
  <c r="J104" i="31" s="1"/>
  <c r="E116" i="13"/>
  <c r="G116" i="13" s="1"/>
  <c r="J105" i="31" s="1"/>
  <c r="E117" i="13"/>
  <c r="G117" i="13" s="1"/>
  <c r="J106" i="31" s="1"/>
  <c r="E119" i="13"/>
  <c r="G119" i="13" s="1"/>
  <c r="J108" i="31" s="1"/>
  <c r="E122" i="13"/>
  <c r="E123" i="13"/>
  <c r="G123" i="13" s="1"/>
  <c r="E124" i="13"/>
  <c r="G124" i="13" s="1"/>
  <c r="J112" i="31" s="1"/>
  <c r="E125" i="13"/>
  <c r="E126" i="13"/>
  <c r="E130" i="13"/>
  <c r="E131" i="13"/>
  <c r="E132" i="13"/>
  <c r="E133" i="13"/>
  <c r="G133" i="13" s="1"/>
  <c r="J121" i="31" s="1"/>
  <c r="E134" i="13"/>
  <c r="G134" i="13" s="1"/>
  <c r="E136" i="13"/>
  <c r="E138" i="13"/>
  <c r="E140" i="13"/>
  <c r="E142" i="13"/>
  <c r="E145" i="13"/>
  <c r="G145" i="13" s="1"/>
  <c r="E146" i="13"/>
  <c r="G146" i="13" s="1"/>
  <c r="J132" i="31" s="1"/>
  <c r="E147" i="13"/>
  <c r="G147" i="13" s="1"/>
  <c r="J133" i="31" s="1"/>
  <c r="E148" i="13"/>
  <c r="G148" i="13" s="1"/>
  <c r="J134" i="31" s="1"/>
  <c r="E149" i="13"/>
  <c r="G149" i="13" s="1"/>
  <c r="J135" i="31" s="1"/>
  <c r="E150" i="13"/>
  <c r="G150" i="13" s="1"/>
  <c r="J136" i="31" s="1"/>
  <c r="E151" i="13"/>
  <c r="G151" i="13" s="1"/>
  <c r="J137" i="31" s="1"/>
  <c r="E152" i="13"/>
  <c r="G152" i="13" s="1"/>
  <c r="J138" i="31" s="1"/>
  <c r="E153" i="13"/>
  <c r="G153" i="13" s="1"/>
  <c r="J139" i="31" s="1"/>
  <c r="E154" i="13"/>
  <c r="G154" i="13" s="1"/>
  <c r="J140" i="31" s="1"/>
  <c r="E155" i="13"/>
  <c r="E156" i="13"/>
  <c r="G156" i="13" s="1"/>
  <c r="E157" i="13"/>
  <c r="G157" i="13" s="1"/>
  <c r="J142" i="31" s="1"/>
  <c r="E158" i="13"/>
  <c r="G158" i="13" s="1"/>
  <c r="J143" i="31" s="1"/>
  <c r="E159" i="13"/>
  <c r="E161" i="13"/>
  <c r="E163" i="13"/>
  <c r="G163" i="13" s="1"/>
  <c r="J148" i="31" s="1"/>
  <c r="E165" i="13"/>
  <c r="E167" i="13"/>
  <c r="G167" i="13" s="1"/>
  <c r="E168" i="13"/>
  <c r="G168" i="13" s="1"/>
  <c r="J152" i="31" s="1"/>
  <c r="E169" i="13"/>
  <c r="G169" i="13" s="1"/>
  <c r="J153" i="31" s="1"/>
  <c r="E170" i="13"/>
  <c r="G170" i="13" s="1"/>
  <c r="J154" i="31" s="1"/>
  <c r="E171" i="13"/>
  <c r="G171" i="13" s="1"/>
  <c r="J155" i="31" s="1"/>
  <c r="E172" i="13"/>
  <c r="G172" i="13" s="1"/>
  <c r="J156" i="31" s="1"/>
  <c r="E173" i="13"/>
  <c r="G173" i="13" s="1"/>
  <c r="J157" i="31" s="1"/>
  <c r="E174" i="13"/>
  <c r="G174" i="13" s="1"/>
  <c r="J158" i="31" s="1"/>
  <c r="E175" i="13"/>
  <c r="G175" i="13" s="1"/>
  <c r="J159" i="31" s="1"/>
  <c r="E176" i="13"/>
  <c r="G176" i="13" s="1"/>
  <c r="J160" i="31" s="1"/>
  <c r="E177" i="13"/>
  <c r="G177" i="13" s="1"/>
  <c r="J161" i="31" s="1"/>
  <c r="E178" i="13"/>
  <c r="G178" i="13" s="1"/>
  <c r="E179" i="13"/>
  <c r="G179" i="13" s="1"/>
  <c r="J162" i="31" s="1"/>
  <c r="E180" i="13"/>
  <c r="G180" i="13" s="1"/>
  <c r="J163" i="31" s="1"/>
  <c r="E181" i="13"/>
  <c r="G181" i="13" s="1"/>
  <c r="J164" i="31" s="1"/>
  <c r="E182" i="13"/>
  <c r="G182" i="13" s="1"/>
  <c r="J165" i="31" s="1"/>
  <c r="E183" i="13"/>
  <c r="E184" i="13"/>
  <c r="E185" i="13"/>
  <c r="E186" i="13"/>
  <c r="E187" i="13"/>
  <c r="G187" i="13" s="1"/>
  <c r="J170" i="31" s="1"/>
  <c r="E188" i="13"/>
  <c r="E189" i="13"/>
  <c r="G189" i="13" s="1"/>
  <c r="E190" i="13"/>
  <c r="E191" i="13"/>
  <c r="E192" i="13"/>
  <c r="G192" i="13" s="1"/>
  <c r="J174" i="31" s="1"/>
  <c r="E193" i="13"/>
  <c r="E194" i="13"/>
  <c r="E195" i="13"/>
  <c r="E196" i="13"/>
  <c r="E197" i="13"/>
  <c r="E198" i="13"/>
  <c r="E199" i="13"/>
  <c r="E200" i="13"/>
  <c r="G200" i="13" s="1"/>
  <c r="E201" i="13"/>
  <c r="E203" i="13"/>
  <c r="G203" i="13" s="1"/>
  <c r="J184" i="31" s="1"/>
  <c r="E205" i="13"/>
  <c r="G205" i="13" s="1"/>
  <c r="J186" i="31" s="1"/>
  <c r="E207" i="13"/>
  <c r="G207" i="13" s="1"/>
  <c r="J188" i="31" s="1"/>
  <c r="E209" i="13"/>
  <c r="G209" i="13" s="1"/>
  <c r="J190" i="31" s="1"/>
  <c r="E211" i="13"/>
  <c r="G211" i="13" s="1"/>
  <c r="E212" i="13"/>
  <c r="G212" i="13" s="1"/>
  <c r="J192" i="31" s="1"/>
  <c r="E213" i="13"/>
  <c r="G213" i="13" s="1"/>
  <c r="J193" i="31" s="1"/>
  <c r="E215" i="13"/>
  <c r="E216" i="13"/>
  <c r="E217" i="13"/>
  <c r="E218" i="13"/>
  <c r="E219" i="13"/>
  <c r="G219" i="13" s="1"/>
  <c r="J199" i="31" s="1"/>
  <c r="E220" i="13"/>
  <c r="E221" i="13"/>
  <c r="E222" i="13"/>
  <c r="G222" i="13" s="1"/>
  <c r="E223" i="13"/>
  <c r="G223" i="13" s="1"/>
  <c r="J202" i="31" s="1"/>
  <c r="E224" i="13"/>
  <c r="G224" i="13" s="1"/>
  <c r="J203" i="31" s="1"/>
  <c r="E225" i="13"/>
  <c r="G225" i="13" s="1"/>
  <c r="J204" i="31" s="1"/>
  <c r="E226" i="13"/>
  <c r="G226" i="13" s="1"/>
  <c r="J205" i="31" s="1"/>
  <c r="E227" i="13"/>
  <c r="G227" i="13" s="1"/>
  <c r="J206" i="31" s="1"/>
  <c r="E228" i="13"/>
  <c r="G228" i="13" s="1"/>
  <c r="J207" i="31" s="1"/>
  <c r="E229" i="13"/>
  <c r="G229" i="13" s="1"/>
  <c r="J208" i="31" s="1"/>
  <c r="E230" i="13"/>
  <c r="G230" i="13" s="1"/>
  <c r="J209" i="31" s="1"/>
  <c r="E231" i="13"/>
  <c r="G231" i="13" s="1"/>
  <c r="J210" i="31" s="1"/>
  <c r="E232" i="13"/>
  <c r="G232" i="13" s="1"/>
  <c r="J211" i="31" s="1"/>
  <c r="E233" i="13"/>
  <c r="G233" i="13" s="1"/>
  <c r="E234" i="13"/>
  <c r="G234" i="13" s="1"/>
  <c r="J212" i="31" s="1"/>
  <c r="E235" i="13"/>
  <c r="G235" i="13" s="1"/>
  <c r="J213" i="31" s="1"/>
  <c r="E236" i="13"/>
  <c r="G236" i="13" s="1"/>
  <c r="J214" i="31" s="1"/>
  <c r="E237" i="13"/>
  <c r="G237" i="13" s="1"/>
  <c r="J215" i="31" s="1"/>
  <c r="E238" i="13"/>
  <c r="G238" i="13" s="1"/>
  <c r="J216" i="31" s="1"/>
  <c r="E239" i="13"/>
  <c r="G239" i="13" s="1"/>
  <c r="J217" i="31" s="1"/>
  <c r="E240" i="13"/>
  <c r="G240" i="13" s="1"/>
  <c r="J218" i="31" s="1"/>
  <c r="E241" i="13"/>
  <c r="G241" i="13" s="1"/>
  <c r="J219" i="31" s="1"/>
  <c r="E242" i="13"/>
  <c r="G242" i="13" s="1"/>
  <c r="J220" i="31" s="1"/>
  <c r="E243" i="13"/>
  <c r="G243" i="13" s="1"/>
  <c r="J221" i="31" s="1"/>
  <c r="E244" i="13"/>
  <c r="G244" i="13" s="1"/>
  <c r="E245" i="13"/>
  <c r="G245" i="13" s="1"/>
  <c r="J222" i="31" s="1"/>
  <c r="E246" i="13"/>
  <c r="G246" i="13" s="1"/>
  <c r="J223" i="31" s="1"/>
  <c r="E247" i="13"/>
  <c r="G247" i="13" s="1"/>
  <c r="J224" i="31" s="1"/>
  <c r="E248" i="13"/>
  <c r="G248" i="13" s="1"/>
  <c r="J225" i="31" s="1"/>
  <c r="E249" i="13"/>
  <c r="G249" i="13" s="1"/>
  <c r="J226" i="31" s="1"/>
  <c r="E250" i="13"/>
  <c r="G250" i="13" s="1"/>
  <c r="J227" i="31" s="1"/>
  <c r="E251" i="13"/>
  <c r="G251" i="13" s="1"/>
  <c r="J228" i="31" s="1"/>
  <c r="E252" i="13"/>
  <c r="G252" i="13" s="1"/>
  <c r="J229" i="31" s="1"/>
  <c r="E253" i="13"/>
  <c r="G253" i="13" s="1"/>
  <c r="J230" i="31" s="1"/>
  <c r="E254" i="13"/>
  <c r="G254" i="13" s="1"/>
  <c r="J231" i="31" s="1"/>
  <c r="E255" i="13"/>
  <c r="G255" i="13" s="1"/>
  <c r="E256" i="13"/>
  <c r="G256" i="13" s="1"/>
  <c r="J232" i="31" s="1"/>
  <c r="E257" i="13"/>
  <c r="G257" i="13" s="1"/>
  <c r="J233" i="31" s="1"/>
  <c r="E258" i="13"/>
  <c r="G258" i="13" s="1"/>
  <c r="J234" i="31" s="1"/>
  <c r="E259" i="13"/>
  <c r="G259" i="13" s="1"/>
  <c r="J235" i="31" s="1"/>
  <c r="E260" i="13"/>
  <c r="G260" i="13" s="1"/>
  <c r="J236" i="31" s="1"/>
  <c r="E261" i="13"/>
  <c r="G261" i="13" s="1"/>
  <c r="J237" i="31" s="1"/>
  <c r="E262" i="13"/>
  <c r="G262" i="13" s="1"/>
  <c r="J238" i="31" s="1"/>
  <c r="E263" i="13"/>
  <c r="G263" i="13" s="1"/>
  <c r="J239" i="31" s="1"/>
  <c r="E264" i="13"/>
  <c r="G264" i="13" s="1"/>
  <c r="J240" i="31" s="1"/>
  <c r="E265" i="13"/>
  <c r="G265" i="13" s="1"/>
  <c r="J241" i="31" s="1"/>
  <c r="E266" i="13"/>
  <c r="G266" i="13" s="1"/>
  <c r="E267" i="13"/>
  <c r="E269" i="13"/>
  <c r="G269" i="13" s="1"/>
  <c r="J244" i="31" s="1"/>
  <c r="E271" i="13"/>
  <c r="G271" i="13" s="1"/>
  <c r="J246" i="31" s="1"/>
  <c r="E273" i="13"/>
  <c r="G273" i="13" s="1"/>
  <c r="J248" i="31" s="1"/>
  <c r="E275" i="13"/>
  <c r="G275" i="13" s="1"/>
  <c r="J250" i="31" s="1"/>
  <c r="E277" i="13"/>
  <c r="G277" i="13" s="1"/>
  <c r="E278" i="13"/>
  <c r="G278" i="13" s="1"/>
  <c r="J252" i="31" s="1"/>
  <c r="E279" i="13"/>
  <c r="G279" i="13" s="1"/>
  <c r="J253" i="31" s="1"/>
  <c r="E280" i="13"/>
  <c r="G280" i="13" s="1"/>
  <c r="J254" i="31" s="1"/>
  <c r="E281" i="13"/>
  <c r="G281" i="13" s="1"/>
  <c r="J255" i="31" s="1"/>
  <c r="E282" i="13"/>
  <c r="G282" i="13" s="1"/>
  <c r="J256" i="31" s="1"/>
  <c r="E283" i="13"/>
  <c r="G283" i="13" s="1"/>
  <c r="J257" i="31" s="1"/>
  <c r="E284" i="13"/>
  <c r="G284" i="13" s="1"/>
  <c r="J258" i="31" s="1"/>
  <c r="E285" i="13"/>
  <c r="G285" i="13" s="1"/>
  <c r="J259" i="31" s="1"/>
  <c r="E287" i="13"/>
  <c r="G287" i="13" s="1"/>
  <c r="J261" i="31" s="1"/>
  <c r="E288" i="13"/>
  <c r="G288" i="13" s="1"/>
  <c r="E289" i="13"/>
  <c r="G289" i="13" s="1"/>
  <c r="J262" i="31" s="1"/>
  <c r="E291" i="13"/>
  <c r="G291" i="13" s="1"/>
  <c r="J264" i="31" s="1"/>
  <c r="E292" i="13"/>
  <c r="G292" i="13" s="1"/>
  <c r="J265" i="31" s="1"/>
  <c r="E293" i="13"/>
  <c r="E294" i="13"/>
  <c r="E295" i="13"/>
  <c r="G295" i="13" s="1"/>
  <c r="J268" i="31" s="1"/>
  <c r="E297" i="13"/>
  <c r="G297" i="13" s="1"/>
  <c r="J270" i="31" s="1"/>
  <c r="E299" i="13"/>
  <c r="G299" i="13" s="1"/>
  <c r="E300" i="13"/>
  <c r="G300" i="13" s="1"/>
  <c r="J272" i="31" s="1"/>
  <c r="E301" i="13"/>
  <c r="G301" i="13" s="1"/>
  <c r="J273" i="31" s="1"/>
  <c r="E302" i="13"/>
  <c r="G302" i="13" s="1"/>
  <c r="J274" i="31" s="1"/>
  <c r="E303" i="13"/>
  <c r="G303" i="13" s="1"/>
  <c r="J275" i="31" s="1"/>
  <c r="E304" i="13"/>
  <c r="G304" i="13" s="1"/>
  <c r="J276" i="31" s="1"/>
  <c r="E305" i="13"/>
  <c r="G305" i="13" s="1"/>
  <c r="J277" i="31" s="1"/>
  <c r="E306" i="13"/>
  <c r="G306" i="13" s="1"/>
  <c r="J278" i="31" s="1"/>
  <c r="E307" i="13"/>
  <c r="G307" i="13" s="1"/>
  <c r="J279" i="31" s="1"/>
  <c r="E308" i="13"/>
  <c r="G308" i="13" s="1"/>
  <c r="J280" i="31" s="1"/>
  <c r="E309" i="13"/>
  <c r="G309" i="13" s="1"/>
  <c r="J281" i="31" s="1"/>
  <c r="E310" i="13"/>
  <c r="G310" i="13" s="1"/>
  <c r="E311" i="13"/>
  <c r="G311" i="13" s="1"/>
  <c r="J282" i="31" s="1"/>
  <c r="E312" i="13"/>
  <c r="G312" i="13" s="1"/>
  <c r="J283" i="31" s="1"/>
  <c r="E313" i="13"/>
  <c r="G313" i="13" s="1"/>
  <c r="J284" i="31" s="1"/>
  <c r="E314" i="13"/>
  <c r="G314" i="13" s="1"/>
  <c r="J285" i="31" s="1"/>
  <c r="E315" i="13"/>
  <c r="G315" i="13" s="1"/>
  <c r="J286" i="31" s="1"/>
  <c r="E316" i="13"/>
  <c r="G316" i="13" s="1"/>
  <c r="J287" i="31" s="1"/>
  <c r="E317" i="13"/>
  <c r="G317" i="13" s="1"/>
  <c r="J288" i="31" s="1"/>
  <c r="E318" i="13"/>
  <c r="G318" i="13" s="1"/>
  <c r="J289" i="31" s="1"/>
  <c r="E319" i="13"/>
  <c r="G319" i="13" s="1"/>
  <c r="J290" i="31" s="1"/>
  <c r="E320" i="13"/>
  <c r="G320" i="13" s="1"/>
  <c r="J291" i="31" s="1"/>
  <c r="E321" i="13"/>
  <c r="G321" i="13" s="1"/>
  <c r="E322" i="13"/>
  <c r="G322" i="13" s="1"/>
  <c r="J292" i="31" s="1"/>
  <c r="E323" i="13"/>
  <c r="G323" i="13" s="1"/>
  <c r="J293" i="31" s="1"/>
  <c r="E324" i="13"/>
  <c r="G324" i="13" s="1"/>
  <c r="J294" i="31" s="1"/>
  <c r="E325" i="13"/>
  <c r="G325" i="13" s="1"/>
  <c r="J295" i="31" s="1"/>
  <c r="E326" i="13"/>
  <c r="G326" i="13" s="1"/>
  <c r="J296" i="31" s="1"/>
  <c r="E327" i="13"/>
  <c r="G327" i="13" s="1"/>
  <c r="J297" i="31" s="1"/>
  <c r="E328" i="13"/>
  <c r="G328" i="13" s="1"/>
  <c r="J298" i="31" s="1"/>
  <c r="E329" i="13"/>
  <c r="G329" i="13" s="1"/>
  <c r="J299" i="31" s="1"/>
  <c r="E330" i="13"/>
  <c r="G330" i="13" s="1"/>
  <c r="J300" i="31" s="1"/>
  <c r="E331" i="13"/>
  <c r="G331" i="13" s="1"/>
  <c r="J301" i="31" s="1"/>
  <c r="E332" i="13"/>
  <c r="G332" i="13" s="1"/>
  <c r="E333" i="13"/>
  <c r="G333" i="13" s="1"/>
  <c r="J302" i="31" s="1"/>
  <c r="E334" i="13"/>
  <c r="G334" i="13" s="1"/>
  <c r="J303" i="31" s="1"/>
  <c r="E335" i="13"/>
  <c r="G335" i="13" s="1"/>
  <c r="J304" i="31" s="1"/>
  <c r="E336" i="13"/>
  <c r="G336" i="13" s="1"/>
  <c r="J305" i="31" s="1"/>
  <c r="E337" i="13"/>
  <c r="G337" i="13" s="1"/>
  <c r="J306" i="31" s="1"/>
  <c r="E339" i="13"/>
  <c r="G339" i="13" s="1"/>
  <c r="J308" i="31" s="1"/>
  <c r="E341" i="13"/>
  <c r="G341" i="13" s="1"/>
  <c r="J310" i="31" s="1"/>
  <c r="E343" i="13"/>
  <c r="G343" i="13" s="1"/>
  <c r="E344" i="13"/>
  <c r="G344" i="13" s="1"/>
  <c r="J312" i="31" s="1"/>
  <c r="E345" i="13"/>
  <c r="G345" i="13" s="1"/>
  <c r="J313" i="31" s="1"/>
  <c r="E346" i="13"/>
  <c r="G346" i="13" s="1"/>
  <c r="J314" i="31" s="1"/>
  <c r="E347" i="13"/>
  <c r="G347" i="13" s="1"/>
  <c r="J315" i="31" s="1"/>
  <c r="E348" i="13"/>
  <c r="G348" i="13" s="1"/>
  <c r="J316" i="31" s="1"/>
  <c r="E349" i="13"/>
  <c r="G349" i="13" s="1"/>
  <c r="J317" i="31" s="1"/>
  <c r="E350" i="13"/>
  <c r="G350" i="13" s="1"/>
  <c r="J318" i="31" s="1"/>
  <c r="E351" i="13"/>
  <c r="G351" i="13" s="1"/>
  <c r="J319" i="31" s="1"/>
  <c r="E352" i="13"/>
  <c r="G352" i="13" s="1"/>
  <c r="J320" i="31" s="1"/>
  <c r="E353" i="13"/>
  <c r="G353" i="13" s="1"/>
  <c r="J321" i="31" s="1"/>
  <c r="E354" i="13"/>
  <c r="G354" i="13" s="1"/>
  <c r="E355" i="13"/>
  <c r="E356" i="13"/>
  <c r="G356" i="13" s="1"/>
  <c r="J323" i="31" s="1"/>
  <c r="E357" i="13"/>
  <c r="G357" i="13" s="1"/>
  <c r="J324" i="31" s="1"/>
  <c r="E358" i="13"/>
  <c r="G358" i="13" s="1"/>
  <c r="J325" i="31" s="1"/>
  <c r="E359" i="13"/>
  <c r="E360" i="13"/>
  <c r="E361" i="13"/>
  <c r="E363" i="13"/>
  <c r="G363" i="13" s="1"/>
  <c r="J330" i="31" s="1"/>
  <c r="E364" i="13"/>
  <c r="G364" i="13" s="1"/>
  <c r="J331" i="31" s="1"/>
  <c r="E365" i="13"/>
  <c r="G365" i="13" s="1"/>
  <c r="E366" i="13"/>
  <c r="G366" i="13" s="1"/>
  <c r="J332" i="31" s="1"/>
  <c r="E367" i="13"/>
  <c r="G367" i="13" s="1"/>
  <c r="J333" i="31" s="1"/>
  <c r="E368" i="13"/>
  <c r="G368" i="13" s="1"/>
  <c r="J334" i="31" s="1"/>
  <c r="E369" i="13"/>
  <c r="G369" i="13" s="1"/>
  <c r="J335" i="31" s="1"/>
  <c r="E370" i="13"/>
  <c r="G370" i="13" s="1"/>
  <c r="J336" i="31" s="1"/>
  <c r="E371" i="13"/>
  <c r="G371" i="13" s="1"/>
  <c r="J337" i="31" s="1"/>
  <c r="E372" i="13"/>
  <c r="G372" i="13" s="1"/>
  <c r="J338" i="31" s="1"/>
  <c r="E373" i="13"/>
  <c r="G373" i="13" s="1"/>
  <c r="J339" i="31" s="1"/>
  <c r="E374" i="13"/>
  <c r="G374" i="13" s="1"/>
  <c r="J340" i="31" s="1"/>
  <c r="E375" i="13"/>
  <c r="G375" i="13" s="1"/>
  <c r="J341" i="31" s="1"/>
  <c r="E376" i="13"/>
  <c r="G376" i="13" s="1"/>
  <c r="E377" i="13"/>
  <c r="G377" i="13" s="1"/>
  <c r="J342" i="31" s="1"/>
  <c r="E378" i="13"/>
  <c r="G378" i="13" s="1"/>
  <c r="J343" i="31" s="1"/>
  <c r="E379" i="13"/>
  <c r="G379" i="13" s="1"/>
  <c r="J344" i="31" s="1"/>
  <c r="E380" i="13"/>
  <c r="G380" i="13" s="1"/>
  <c r="J345" i="31" s="1"/>
  <c r="E381" i="13"/>
  <c r="G381" i="13" s="1"/>
  <c r="J346" i="31" s="1"/>
  <c r="E383" i="13"/>
  <c r="E384" i="13"/>
  <c r="E385" i="13"/>
  <c r="E386" i="13"/>
  <c r="G386" i="13" s="1"/>
  <c r="J351" i="31" s="1"/>
  <c r="E387" i="13"/>
  <c r="G387" i="13" s="1"/>
  <c r="E388" i="13"/>
  <c r="G388" i="13" s="1"/>
  <c r="J352" i="31" s="1"/>
  <c r="E389" i="13"/>
  <c r="G389" i="13" s="1"/>
  <c r="J353" i="31" s="1"/>
  <c r="E390" i="13"/>
  <c r="G390" i="13" s="1"/>
  <c r="J354" i="31" s="1"/>
  <c r="E391" i="13"/>
  <c r="G391" i="13" s="1"/>
  <c r="J355" i="31" s="1"/>
  <c r="E392" i="13"/>
  <c r="G392" i="13" s="1"/>
  <c r="J356" i="31" s="1"/>
  <c r="E393" i="13"/>
  <c r="G393" i="13" s="1"/>
  <c r="J357" i="31" s="1"/>
  <c r="E394" i="13"/>
  <c r="G394" i="13" s="1"/>
  <c r="J358" i="31" s="1"/>
  <c r="E395" i="13"/>
  <c r="G395" i="13" s="1"/>
  <c r="J359" i="31" s="1"/>
  <c r="E396" i="13"/>
  <c r="G396" i="13" s="1"/>
  <c r="J360" i="31" s="1"/>
  <c r="E397" i="13"/>
  <c r="G397" i="13" s="1"/>
  <c r="J361" i="31" s="1"/>
  <c r="E398" i="13"/>
  <c r="G398" i="13" s="1"/>
  <c r="E399" i="13"/>
  <c r="G399" i="13" s="1"/>
  <c r="J362" i="31" s="1"/>
  <c r="E400" i="13"/>
  <c r="G400" i="13" s="1"/>
  <c r="J363" i="31" s="1"/>
  <c r="E401" i="13"/>
  <c r="E402" i="13"/>
  <c r="G402" i="13" s="1"/>
  <c r="J365" i="31" s="1"/>
  <c r="E403" i="13"/>
  <c r="E405" i="13"/>
  <c r="G405" i="13" s="1"/>
  <c r="J368" i="31" s="1"/>
  <c r="E406" i="13"/>
  <c r="G406" i="13" s="1"/>
  <c r="J369" i="31" s="1"/>
  <c r="E407" i="13"/>
  <c r="E408" i="13"/>
  <c r="E409" i="13"/>
  <c r="G409" i="13" s="1"/>
  <c r="E410" i="13"/>
  <c r="G410" i="13" s="1"/>
  <c r="J372" i="31" s="1"/>
  <c r="E411" i="13"/>
  <c r="G411" i="13" s="1"/>
  <c r="J373" i="31" s="1"/>
  <c r="E413" i="13"/>
  <c r="G413" i="13" s="1"/>
  <c r="J375" i="31" s="1"/>
  <c r="E415" i="13"/>
  <c r="G415" i="13" s="1"/>
  <c r="J377" i="31" s="1"/>
  <c r="E416" i="13"/>
  <c r="E417" i="13"/>
  <c r="E418" i="13"/>
  <c r="G418" i="13" s="1"/>
  <c r="J380" i="31" s="1"/>
  <c r="E419" i="13"/>
  <c r="E420" i="13"/>
  <c r="G420" i="13" s="1"/>
  <c r="E421" i="13"/>
  <c r="G421" i="13" s="1"/>
  <c r="J382" i="31" s="1"/>
  <c r="E422" i="13"/>
  <c r="G422" i="13" s="1"/>
  <c r="J383" i="31" s="1"/>
  <c r="E423" i="13"/>
  <c r="G423" i="13" s="1"/>
  <c r="J384" i="31" s="1"/>
  <c r="E425" i="13"/>
  <c r="G425" i="13" s="1"/>
  <c r="J386" i="31" s="1"/>
  <c r="E426" i="13"/>
  <c r="E427" i="13"/>
  <c r="E428" i="13"/>
  <c r="G428" i="13" s="1"/>
  <c r="J389" i="31" s="1"/>
  <c r="E429" i="13"/>
  <c r="E430" i="13"/>
  <c r="E431" i="13"/>
  <c r="G431" i="13" s="1"/>
  <c r="E432" i="13"/>
  <c r="G432" i="13" s="1"/>
  <c r="J392" i="31" s="1"/>
  <c r="E433" i="13"/>
  <c r="G433" i="13" s="1"/>
  <c r="J393" i="31" s="1"/>
  <c r="E434" i="13"/>
  <c r="G434" i="13" s="1"/>
  <c r="J394" i="31" s="1"/>
  <c r="E435" i="13"/>
  <c r="G435" i="13" s="1"/>
  <c r="J395" i="31" s="1"/>
  <c r="E436" i="13"/>
  <c r="G436" i="13" s="1"/>
  <c r="J396" i="31" s="1"/>
  <c r="E437" i="13"/>
  <c r="G437" i="13" s="1"/>
  <c r="J397" i="31" s="1"/>
  <c r="E438" i="13"/>
  <c r="G438" i="13" s="1"/>
  <c r="J398" i="31" s="1"/>
  <c r="E439" i="13"/>
  <c r="G439" i="13" s="1"/>
  <c r="J399" i="31" s="1"/>
  <c r="E440" i="13"/>
  <c r="G440" i="13" s="1"/>
  <c r="J400" i="31" s="1"/>
  <c r="E441" i="13"/>
  <c r="G441" i="13" s="1"/>
  <c r="J401" i="31" s="1"/>
  <c r="E442" i="13"/>
  <c r="G442" i="13" s="1"/>
  <c r="E443" i="13"/>
  <c r="G443" i="13" s="1"/>
  <c r="J402" i="31" s="1"/>
  <c r="E444" i="13"/>
  <c r="G444" i="13" s="1"/>
  <c r="J403" i="31" s="1"/>
  <c r="E445" i="13"/>
  <c r="G445" i="13" s="1"/>
  <c r="J404" i="31" s="1"/>
  <c r="E447" i="13"/>
  <c r="G447" i="13" s="1"/>
  <c r="J406" i="31" s="1"/>
  <c r="E448" i="13"/>
  <c r="E449" i="13"/>
  <c r="G449" i="13" s="1"/>
  <c r="J408" i="31" s="1"/>
  <c r="E450" i="13"/>
  <c r="E451" i="13"/>
  <c r="G451" i="13" s="1"/>
  <c r="J410" i="31" s="1"/>
  <c r="E452" i="13"/>
  <c r="E453" i="13"/>
  <c r="G453" i="13" s="1"/>
  <c r="E455" i="13"/>
  <c r="G455" i="13" s="1"/>
  <c r="J413" i="31" s="1"/>
  <c r="E457" i="13"/>
  <c r="G457" i="13" s="1"/>
  <c r="J415" i="31" s="1"/>
  <c r="E459" i="13"/>
  <c r="G459" i="13" s="1"/>
  <c r="J417" i="31" s="1"/>
  <c r="E461" i="13"/>
  <c r="G461" i="13" s="1"/>
  <c r="J419" i="31" s="1"/>
  <c r="E463" i="13"/>
  <c r="G463" i="13" s="1"/>
  <c r="J421" i="31" s="1"/>
  <c r="E464" i="13"/>
  <c r="G464" i="13" s="1"/>
  <c r="E465" i="13"/>
  <c r="G465" i="13" s="1"/>
  <c r="J422" i="31" s="1"/>
  <c r="E467" i="13"/>
  <c r="E468" i="13"/>
  <c r="G468" i="13" s="1"/>
  <c r="J425" i="31" s="1"/>
  <c r="E469" i="13"/>
  <c r="E470" i="13"/>
  <c r="G470" i="13" s="1"/>
  <c r="J427" i="31" s="1"/>
  <c r="E471" i="13"/>
  <c r="E472" i="13"/>
  <c r="G472" i="13" s="1"/>
  <c r="J429" i="31" s="1"/>
  <c r="E473" i="13"/>
  <c r="E474" i="13"/>
  <c r="G474" i="13" s="1"/>
  <c r="J431" i="31" s="1"/>
  <c r="E475" i="13"/>
  <c r="G475" i="13" s="1"/>
  <c r="E477" i="13"/>
  <c r="G477" i="13" s="1"/>
  <c r="J433" i="31" s="1"/>
  <c r="E478" i="13"/>
  <c r="G478" i="13" s="1"/>
  <c r="J434" i="31" s="1"/>
  <c r="E479" i="13"/>
  <c r="G479" i="13" s="1"/>
  <c r="J435" i="31" s="1"/>
  <c r="E480" i="13"/>
  <c r="G480" i="13" s="1"/>
  <c r="J436" i="31" s="1"/>
  <c r="E481" i="13"/>
  <c r="G481" i="13" s="1"/>
  <c r="J437" i="31" s="1"/>
  <c r="E482" i="13"/>
  <c r="G482" i="13" s="1"/>
  <c r="J438" i="31" s="1"/>
  <c r="E483" i="13"/>
  <c r="G483" i="13" s="1"/>
  <c r="J439" i="31" s="1"/>
  <c r="E484" i="13"/>
  <c r="G484" i="13" s="1"/>
  <c r="J440" i="31" s="1"/>
  <c r="E485" i="13"/>
  <c r="G485" i="13" s="1"/>
  <c r="J441" i="31" s="1"/>
  <c r="E486" i="13"/>
  <c r="G486" i="13" s="1"/>
  <c r="E487" i="13"/>
  <c r="G487" i="13" s="1"/>
  <c r="J442" i="31" s="1"/>
  <c r="E488" i="13"/>
  <c r="G488" i="13" s="1"/>
  <c r="J443" i="31" s="1"/>
  <c r="E489" i="13"/>
  <c r="G489" i="13" s="1"/>
  <c r="J444" i="31" s="1"/>
  <c r="E490" i="13"/>
  <c r="G490" i="13" s="1"/>
  <c r="J445" i="31" s="1"/>
  <c r="E491" i="13"/>
  <c r="G491" i="13" s="1"/>
  <c r="J446" i="31" s="1"/>
  <c r="E493" i="13"/>
  <c r="G493" i="13" s="1"/>
  <c r="J448" i="31" s="1"/>
  <c r="E495" i="13"/>
  <c r="G495" i="13" s="1"/>
  <c r="J450" i="31" s="1"/>
  <c r="E497" i="13"/>
  <c r="G497" i="13" s="1"/>
  <c r="E498" i="13"/>
  <c r="G498" i="13" s="1"/>
  <c r="J452" i="31" s="1"/>
  <c r="E499" i="13"/>
  <c r="G499" i="13" s="1"/>
  <c r="J453" i="31" s="1"/>
  <c r="E500" i="13"/>
  <c r="G500" i="13" s="1"/>
  <c r="J454" i="31" s="1"/>
  <c r="E501" i="13"/>
  <c r="G501" i="13" s="1"/>
  <c r="J455" i="31" s="1"/>
  <c r="E502" i="13"/>
  <c r="G502" i="13" s="1"/>
  <c r="J456" i="31" s="1"/>
  <c r="E503" i="13"/>
  <c r="G503" i="13" s="1"/>
  <c r="J457" i="31" s="1"/>
  <c r="E504" i="13"/>
  <c r="G504" i="13" s="1"/>
  <c r="J458" i="31" s="1"/>
  <c r="E505" i="13"/>
  <c r="G505" i="13" s="1"/>
  <c r="J459" i="31" s="1"/>
  <c r="E506" i="13"/>
  <c r="G506" i="13" s="1"/>
  <c r="J460" i="31" s="1"/>
  <c r="E507" i="13"/>
  <c r="G507" i="13" s="1"/>
  <c r="J461" i="31" s="1"/>
  <c r="E508" i="13"/>
  <c r="G508" i="13" s="1"/>
  <c r="E509" i="13"/>
  <c r="G509" i="13" s="1"/>
  <c r="J462" i="31" s="1"/>
  <c r="E510" i="13"/>
  <c r="G510" i="13" s="1"/>
  <c r="J463" i="31" s="1"/>
  <c r="E511" i="13"/>
  <c r="G511" i="13" s="1"/>
  <c r="J464" i="31" s="1"/>
  <c r="E512" i="13"/>
  <c r="G512" i="13" s="1"/>
  <c r="J465" i="31" s="1"/>
  <c r="E513" i="13"/>
  <c r="G513" i="13" s="1"/>
  <c r="J466" i="31" s="1"/>
  <c r="E514" i="13"/>
  <c r="G514" i="13" s="1"/>
  <c r="J467" i="31" s="1"/>
  <c r="E515" i="13"/>
  <c r="G515" i="13" s="1"/>
  <c r="J468" i="31" s="1"/>
  <c r="E516" i="13"/>
  <c r="G516" i="13" s="1"/>
  <c r="J469" i="31" s="1"/>
  <c r="E517" i="13"/>
  <c r="G517" i="13" s="1"/>
  <c r="J470" i="31" s="1"/>
  <c r="E518" i="13"/>
  <c r="G518" i="13" s="1"/>
  <c r="J471" i="31" s="1"/>
  <c r="E519" i="13"/>
  <c r="G519" i="13" s="1"/>
  <c r="E520" i="13"/>
  <c r="G520" i="13" s="1"/>
  <c r="J472" i="31" s="1"/>
  <c r="E521" i="13"/>
  <c r="G521" i="13" s="1"/>
  <c r="J473" i="31" s="1"/>
  <c r="E522" i="13"/>
  <c r="G522" i="13" s="1"/>
  <c r="J474" i="31" s="1"/>
  <c r="E523" i="13"/>
  <c r="G523" i="13" s="1"/>
  <c r="J475" i="31" s="1"/>
  <c r="E524" i="13"/>
  <c r="G524" i="13" s="1"/>
  <c r="J476" i="31" s="1"/>
  <c r="E525" i="13"/>
  <c r="G525" i="13" s="1"/>
  <c r="J477" i="31" s="1"/>
  <c r="E526" i="13"/>
  <c r="G526" i="13" s="1"/>
  <c r="J478" i="31" s="1"/>
  <c r="E527" i="13"/>
  <c r="G527" i="13" s="1"/>
  <c r="J479" i="31" s="1"/>
  <c r="E528" i="13"/>
  <c r="G528" i="13" s="1"/>
  <c r="J480" i="31" s="1"/>
  <c r="E529" i="13"/>
  <c r="G529" i="13" s="1"/>
  <c r="J481" i="31" s="1"/>
  <c r="E530" i="13"/>
  <c r="G530" i="13" s="1"/>
  <c r="E531" i="13"/>
  <c r="G531" i="13" s="1"/>
  <c r="J482" i="31" s="1"/>
  <c r="E532" i="13"/>
  <c r="G532" i="13" s="1"/>
  <c r="J483" i="31" s="1"/>
  <c r="E533" i="13"/>
  <c r="G533" i="13" s="1"/>
  <c r="J484" i="31" s="1"/>
  <c r="E534" i="13"/>
  <c r="G534" i="13" s="1"/>
  <c r="J485" i="31" s="1"/>
  <c r="E535" i="13"/>
  <c r="G535" i="13" s="1"/>
  <c r="J486" i="31" s="1"/>
  <c r="E536" i="13"/>
  <c r="G536" i="13" s="1"/>
  <c r="J487" i="31" s="1"/>
  <c r="E537" i="13"/>
  <c r="G537" i="13" s="1"/>
  <c r="J488" i="31" s="1"/>
  <c r="E538" i="13"/>
  <c r="G538" i="13" s="1"/>
  <c r="J489" i="31" s="1"/>
  <c r="E539" i="13"/>
  <c r="G539" i="13" s="1"/>
  <c r="J490" i="31" s="1"/>
  <c r="E540" i="13"/>
  <c r="G540" i="13" s="1"/>
  <c r="J491" i="31" s="1"/>
  <c r="E541" i="13"/>
  <c r="G541" i="13" s="1"/>
  <c r="E542" i="13"/>
  <c r="G542" i="13" s="1"/>
  <c r="J492" i="31" s="1"/>
  <c r="E543" i="13"/>
  <c r="G543" i="13" s="1"/>
  <c r="J493" i="31" s="1"/>
  <c r="E544" i="13"/>
  <c r="G544" i="13" s="1"/>
  <c r="J494" i="31" s="1"/>
  <c r="E545" i="13"/>
  <c r="G545" i="13" s="1"/>
  <c r="J495" i="31" s="1"/>
  <c r="E546" i="13"/>
  <c r="G546" i="13" s="1"/>
  <c r="J496" i="31" s="1"/>
  <c r="E547" i="13"/>
  <c r="G547" i="13" s="1"/>
  <c r="J497" i="31" s="1"/>
  <c r="E548" i="13"/>
  <c r="G548" i="13" s="1"/>
  <c r="J498" i="31" s="1"/>
  <c r="E549" i="13"/>
  <c r="G549" i="13" s="1"/>
  <c r="J499" i="31" s="1"/>
  <c r="E550" i="13"/>
  <c r="G550" i="13" s="1"/>
  <c r="J500" i="31" s="1"/>
  <c r="E551" i="13"/>
  <c r="G551" i="13" s="1"/>
  <c r="J501" i="31" s="1"/>
  <c r="E552" i="13"/>
  <c r="G552" i="13" s="1"/>
  <c r="E553" i="13"/>
  <c r="G553" i="13" s="1"/>
  <c r="J502" i="31" s="1"/>
  <c r="E554" i="13"/>
  <c r="G554" i="13" s="1"/>
  <c r="J503" i="31" s="1"/>
  <c r="E555" i="13"/>
  <c r="G555" i="13" s="1"/>
  <c r="J504" i="31" s="1"/>
  <c r="E556" i="13"/>
  <c r="G556" i="13" s="1"/>
  <c r="J505" i="31" s="1"/>
  <c r="E557" i="13"/>
  <c r="G557" i="13" s="1"/>
  <c r="J506" i="31" s="1"/>
  <c r="E558" i="13"/>
  <c r="G558" i="13" s="1"/>
  <c r="J507" i="31" s="1"/>
  <c r="E559" i="13"/>
  <c r="G559" i="13" s="1"/>
  <c r="J508" i="31" s="1"/>
  <c r="E560" i="13"/>
  <c r="G560" i="13" s="1"/>
  <c r="J509" i="31" s="1"/>
  <c r="E561" i="13"/>
  <c r="G561" i="13" s="1"/>
  <c r="J510" i="31" s="1"/>
  <c r="E562" i="13"/>
  <c r="G562" i="13" s="1"/>
  <c r="J511" i="31" s="1"/>
  <c r="E563" i="13"/>
  <c r="G563" i="13" s="1"/>
  <c r="E564" i="13"/>
  <c r="G564" i="13" s="1"/>
  <c r="J512" i="31" s="1"/>
  <c r="E565" i="13"/>
  <c r="G565" i="13" s="1"/>
  <c r="J513" i="31" s="1"/>
  <c r="E566" i="13"/>
  <c r="G566" i="13" s="1"/>
  <c r="J514" i="31" s="1"/>
  <c r="E567" i="13"/>
  <c r="G567" i="13" s="1"/>
  <c r="J515" i="31" s="1"/>
  <c r="E568" i="13"/>
  <c r="G568" i="13" s="1"/>
  <c r="J516" i="31" s="1"/>
  <c r="E569" i="13"/>
  <c r="G569" i="13" s="1"/>
  <c r="J517" i="31" s="1"/>
  <c r="E570" i="13"/>
  <c r="G570" i="13" s="1"/>
  <c r="J518" i="31" s="1"/>
  <c r="E571" i="13"/>
  <c r="G571" i="13" s="1"/>
  <c r="J519" i="31" s="1"/>
  <c r="E572" i="13"/>
  <c r="G572" i="13" s="1"/>
  <c r="J520" i="31" s="1"/>
  <c r="E573" i="13"/>
  <c r="G573" i="13" s="1"/>
  <c r="J521" i="31" s="1"/>
  <c r="E574" i="13"/>
  <c r="G574" i="13" s="1"/>
  <c r="E575" i="13"/>
  <c r="G575" i="13" s="1"/>
  <c r="J522" i="31" s="1"/>
  <c r="E576" i="13"/>
  <c r="G576" i="13" s="1"/>
  <c r="J523" i="31" s="1"/>
  <c r="E577" i="13"/>
  <c r="G577" i="13" s="1"/>
  <c r="J524" i="31" s="1"/>
  <c r="E578" i="13"/>
  <c r="G578" i="13" s="1"/>
  <c r="J525" i="31" s="1"/>
  <c r="E579" i="13"/>
  <c r="G579" i="13" s="1"/>
  <c r="J526" i="31" s="1"/>
  <c r="E580" i="13"/>
  <c r="G580" i="13" s="1"/>
  <c r="J527" i="31" s="1"/>
  <c r="E581" i="13"/>
  <c r="G581" i="13" s="1"/>
  <c r="J528" i="31" s="1"/>
  <c r="E582" i="13"/>
  <c r="G582" i="13" s="1"/>
  <c r="J529" i="31" s="1"/>
  <c r="E583" i="13"/>
  <c r="G583" i="13" s="1"/>
  <c r="J530" i="31" s="1"/>
  <c r="E584" i="13"/>
  <c r="G584" i="13" s="1"/>
  <c r="J531" i="31" s="1"/>
  <c r="E585" i="13"/>
  <c r="G585" i="13" s="1"/>
  <c r="E586" i="13"/>
  <c r="G586" i="13" s="1"/>
  <c r="J532" i="31" s="1"/>
  <c r="E587" i="13"/>
  <c r="G587" i="13" s="1"/>
  <c r="J533" i="31" s="1"/>
  <c r="E588" i="13"/>
  <c r="G588" i="13" s="1"/>
  <c r="J534" i="31" s="1"/>
  <c r="E589" i="13"/>
  <c r="G589" i="13" s="1"/>
  <c r="J535" i="31" s="1"/>
  <c r="E590" i="13"/>
  <c r="G590" i="13" s="1"/>
  <c r="J536" i="31" s="1"/>
  <c r="E591" i="13"/>
  <c r="G591" i="13" s="1"/>
  <c r="J537" i="31" s="1"/>
  <c r="E592" i="13"/>
  <c r="G592" i="13" s="1"/>
  <c r="J538" i="31" s="1"/>
  <c r="E593" i="13"/>
  <c r="G593" i="13" s="1"/>
  <c r="J539" i="31" s="1"/>
  <c r="E594" i="13"/>
  <c r="G594" i="13" s="1"/>
  <c r="J540" i="31" s="1"/>
  <c r="E595" i="13"/>
  <c r="G595" i="13" s="1"/>
  <c r="J541" i="31" s="1"/>
  <c r="E596" i="13"/>
  <c r="G596" i="13" s="1"/>
  <c r="E597" i="13"/>
  <c r="G597" i="13" s="1"/>
  <c r="J542" i="31" s="1"/>
  <c r="E598" i="13"/>
  <c r="G598" i="13" s="1"/>
  <c r="J543" i="31" s="1"/>
  <c r="E599" i="13"/>
  <c r="G599" i="13" s="1"/>
  <c r="J544" i="31" s="1"/>
  <c r="E600" i="13"/>
  <c r="G600" i="13" s="1"/>
  <c r="J545" i="31" s="1"/>
  <c r="E601" i="13"/>
  <c r="G601" i="13" s="1"/>
  <c r="J546" i="31" s="1"/>
  <c r="E602" i="13"/>
  <c r="G602" i="13" s="1"/>
  <c r="J547" i="31" s="1"/>
  <c r="E603" i="13"/>
  <c r="G603" i="13" s="1"/>
  <c r="J548" i="31" s="1"/>
  <c r="E604" i="13"/>
  <c r="G604" i="13" s="1"/>
  <c r="J549" i="31" s="1"/>
  <c r="E605" i="13"/>
  <c r="G605" i="13" s="1"/>
  <c r="J550" i="31" s="1"/>
  <c r="E606" i="13"/>
  <c r="G606" i="13" s="1"/>
  <c r="J551" i="31" s="1"/>
  <c r="E607" i="13"/>
  <c r="G607" i="13" s="1"/>
  <c r="E608" i="13"/>
  <c r="G608" i="13" s="1"/>
  <c r="J552" i="31" s="1"/>
  <c r="E609" i="13"/>
  <c r="G609" i="13" s="1"/>
  <c r="J553" i="31" s="1"/>
  <c r="E610" i="13"/>
  <c r="G610" i="13" s="1"/>
  <c r="J554" i="31" s="1"/>
  <c r="E611" i="13"/>
  <c r="G611" i="13" s="1"/>
  <c r="J555" i="31" s="1"/>
  <c r="E612" i="13"/>
  <c r="G612" i="13" s="1"/>
  <c r="J556" i="31" s="1"/>
  <c r="E613" i="13"/>
  <c r="G613" i="13" s="1"/>
  <c r="J557" i="31" s="1"/>
  <c r="E614" i="13"/>
  <c r="G614" i="13" s="1"/>
  <c r="J558" i="31" s="1"/>
  <c r="E615" i="13"/>
  <c r="G615" i="13" s="1"/>
  <c r="J559" i="31" s="1"/>
  <c r="E616" i="13"/>
  <c r="G616" i="13" s="1"/>
  <c r="J560" i="31" s="1"/>
  <c r="E617" i="13"/>
  <c r="G617" i="13" s="1"/>
  <c r="J561" i="31" s="1"/>
  <c r="E618" i="13"/>
  <c r="G618" i="13" s="1"/>
  <c r="E619" i="13"/>
  <c r="G619" i="13" s="1"/>
  <c r="J562" i="31" s="1"/>
  <c r="E620" i="13"/>
  <c r="G620" i="13" s="1"/>
  <c r="J563" i="31" s="1"/>
  <c r="E621" i="13"/>
  <c r="G621" i="13" s="1"/>
  <c r="J564" i="31" s="1"/>
  <c r="E622" i="13"/>
  <c r="G622" i="13" s="1"/>
  <c r="J565" i="31" s="1"/>
  <c r="E623" i="13"/>
  <c r="G623" i="13" s="1"/>
  <c r="J566" i="31" s="1"/>
  <c r="E624" i="13"/>
  <c r="G624" i="13" s="1"/>
  <c r="J567" i="31" s="1"/>
  <c r="E625" i="13"/>
  <c r="G625" i="13" s="1"/>
  <c r="J568" i="31" s="1"/>
  <c r="E626" i="13"/>
  <c r="G626" i="13" s="1"/>
  <c r="J569" i="31" s="1"/>
  <c r="E627" i="13"/>
  <c r="G627" i="13" s="1"/>
  <c r="J570" i="31" s="1"/>
  <c r="E628" i="13"/>
  <c r="G628" i="13" s="1"/>
  <c r="J571" i="31" s="1"/>
  <c r="E629" i="13"/>
  <c r="G629" i="13" s="1"/>
  <c r="E630" i="13"/>
  <c r="G630" i="13" s="1"/>
  <c r="J572" i="31" s="1"/>
  <c r="E631" i="13"/>
  <c r="G631" i="13" s="1"/>
  <c r="J573" i="31" s="1"/>
  <c r="E632" i="13"/>
  <c r="G632" i="13" s="1"/>
  <c r="J574" i="31" s="1"/>
  <c r="E633" i="13"/>
  <c r="G633" i="13" s="1"/>
  <c r="J575" i="31" s="1"/>
  <c r="E634" i="13"/>
  <c r="G634" i="13" s="1"/>
  <c r="J576" i="31" s="1"/>
  <c r="E635" i="13"/>
  <c r="G635" i="13" s="1"/>
  <c r="J577" i="31" s="1"/>
  <c r="E636" i="13"/>
  <c r="G636" i="13" s="1"/>
  <c r="J578" i="31" s="1"/>
  <c r="E637" i="13"/>
  <c r="G637" i="13" s="1"/>
  <c r="J579" i="31" s="1"/>
  <c r="E638" i="13"/>
  <c r="G638" i="13" s="1"/>
  <c r="J580" i="31" s="1"/>
  <c r="E639" i="13"/>
  <c r="G639" i="13" s="1"/>
  <c r="J581" i="31" s="1"/>
  <c r="E640" i="13"/>
  <c r="G640" i="13" s="1"/>
  <c r="E641" i="13"/>
  <c r="G641" i="13" s="1"/>
  <c r="J582" i="31" s="1"/>
  <c r="E642" i="13"/>
  <c r="G642" i="13" s="1"/>
  <c r="J583" i="31" s="1"/>
  <c r="E643" i="13"/>
  <c r="G643" i="13" s="1"/>
  <c r="J584" i="31" s="1"/>
  <c r="E644" i="13"/>
  <c r="G644" i="13" s="1"/>
  <c r="J585" i="31" s="1"/>
  <c r="E645" i="13"/>
  <c r="G645" i="13" s="1"/>
  <c r="J586" i="31" s="1"/>
  <c r="E646" i="13"/>
  <c r="G646" i="13" s="1"/>
  <c r="J587" i="31" s="1"/>
  <c r="E647" i="13"/>
  <c r="G647" i="13" s="1"/>
  <c r="J588" i="31" s="1"/>
  <c r="E648" i="13"/>
  <c r="G648" i="13" s="1"/>
  <c r="J589" i="31" s="1"/>
  <c r="E649" i="13"/>
  <c r="G649" i="13" s="1"/>
  <c r="J590" i="31" s="1"/>
  <c r="E650" i="13"/>
  <c r="G650" i="13" s="1"/>
  <c r="J591" i="31" s="1"/>
  <c r="E651" i="13"/>
  <c r="G651" i="13" s="1"/>
  <c r="E652" i="13"/>
  <c r="G652" i="13" s="1"/>
  <c r="J592" i="31" s="1"/>
  <c r="E653" i="13"/>
  <c r="G653" i="13" s="1"/>
  <c r="J593" i="31" s="1"/>
  <c r="E654" i="13"/>
  <c r="G654" i="13" s="1"/>
  <c r="J594" i="31" s="1"/>
  <c r="E655" i="13"/>
  <c r="G655" i="13" s="1"/>
  <c r="J595" i="31" s="1"/>
  <c r="E656" i="13"/>
  <c r="G656" i="13" s="1"/>
  <c r="J596" i="31" s="1"/>
  <c r="E657" i="13"/>
  <c r="G657" i="13" s="1"/>
  <c r="J597" i="31" s="1"/>
  <c r="E658" i="13"/>
  <c r="G658" i="13" s="1"/>
  <c r="J598" i="31" s="1"/>
  <c r="E659" i="13"/>
  <c r="G659" i="13" s="1"/>
  <c r="J599" i="31" s="1"/>
  <c r="E660" i="13"/>
  <c r="G660" i="13" s="1"/>
  <c r="J600" i="31" s="1"/>
  <c r="E661" i="13"/>
  <c r="G661" i="13" s="1"/>
  <c r="J601" i="31" s="1"/>
  <c r="E662" i="13"/>
  <c r="G662" i="13" s="1"/>
  <c r="E663" i="13"/>
  <c r="G663" i="13" s="1"/>
  <c r="J602" i="31" s="1"/>
  <c r="E664" i="13"/>
  <c r="G664" i="13" s="1"/>
  <c r="J603" i="31" s="1"/>
  <c r="E665" i="13"/>
  <c r="G665" i="13" s="1"/>
  <c r="J604" i="31" s="1"/>
  <c r="E666" i="13"/>
  <c r="G666" i="13" s="1"/>
  <c r="J605" i="31" s="1"/>
  <c r="E667" i="13"/>
  <c r="G667" i="13" s="1"/>
  <c r="J606" i="31" s="1"/>
  <c r="E668" i="13"/>
  <c r="G668" i="13" s="1"/>
  <c r="J607" i="31" s="1"/>
  <c r="E669" i="13"/>
  <c r="G669" i="13" s="1"/>
  <c r="J608" i="31" s="1"/>
  <c r="E670" i="13"/>
  <c r="G670" i="13" s="1"/>
  <c r="J609" i="31" s="1"/>
  <c r="E671" i="13"/>
  <c r="G671" i="13" s="1"/>
  <c r="J610" i="31" s="1"/>
  <c r="E672" i="13"/>
  <c r="G672" i="13" s="1"/>
  <c r="J611" i="31" s="1"/>
  <c r="E673" i="13"/>
  <c r="G673" i="13" s="1"/>
  <c r="E674" i="13"/>
  <c r="G674" i="13" s="1"/>
  <c r="J612" i="31" s="1"/>
  <c r="E675" i="13"/>
  <c r="G675" i="13" s="1"/>
  <c r="J613" i="31" s="1"/>
  <c r="E676" i="13"/>
  <c r="G676" i="13" s="1"/>
  <c r="J614" i="31" s="1"/>
  <c r="E677" i="13"/>
  <c r="G677" i="13" s="1"/>
  <c r="J615" i="31" s="1"/>
  <c r="E678" i="13"/>
  <c r="G678" i="13" s="1"/>
  <c r="J616" i="31" s="1"/>
  <c r="E679" i="13"/>
  <c r="G679" i="13" s="1"/>
  <c r="J617" i="31" s="1"/>
  <c r="E680" i="13"/>
  <c r="G680" i="13" s="1"/>
  <c r="J618" i="31" s="1"/>
  <c r="E681" i="13"/>
  <c r="G681" i="13" s="1"/>
  <c r="J619" i="31" s="1"/>
  <c r="E682" i="13"/>
  <c r="G682" i="13" s="1"/>
  <c r="J620" i="31" s="1"/>
  <c r="E683" i="13"/>
  <c r="G683" i="13" s="1"/>
  <c r="J621" i="31" s="1"/>
  <c r="E684" i="13"/>
  <c r="G684" i="13" s="1"/>
  <c r="E685" i="13"/>
  <c r="G685" i="13" s="1"/>
  <c r="J622" i="31" s="1"/>
  <c r="E686" i="13"/>
  <c r="G686" i="13" s="1"/>
  <c r="J623" i="31" s="1"/>
  <c r="E687" i="13"/>
  <c r="G687" i="13" s="1"/>
  <c r="J624" i="31" s="1"/>
  <c r="E688" i="13"/>
  <c r="G688" i="13" s="1"/>
  <c r="J625" i="31" s="1"/>
  <c r="E689" i="13"/>
  <c r="G689" i="13" s="1"/>
  <c r="J626" i="31" s="1"/>
  <c r="E690" i="13"/>
  <c r="G690" i="13" s="1"/>
  <c r="J627" i="31" s="1"/>
  <c r="E691" i="13"/>
  <c r="G691" i="13" s="1"/>
  <c r="J628" i="31" s="1"/>
  <c r="E692" i="13"/>
  <c r="G692" i="13" s="1"/>
  <c r="J629" i="31" s="1"/>
  <c r="E693" i="13"/>
  <c r="G693" i="13" s="1"/>
  <c r="J630" i="31" s="1"/>
  <c r="E694" i="13"/>
  <c r="G694" i="13" s="1"/>
  <c r="J631" i="31" s="1"/>
  <c r="E695" i="13"/>
  <c r="G695" i="13" s="1"/>
  <c r="E696" i="13"/>
  <c r="G696" i="13" s="1"/>
  <c r="J632" i="31" s="1"/>
  <c r="E697" i="13"/>
  <c r="G697" i="13" s="1"/>
  <c r="J633" i="31" s="1"/>
  <c r="E698" i="13"/>
  <c r="G698" i="13" s="1"/>
  <c r="J634" i="31" s="1"/>
  <c r="E699" i="13"/>
  <c r="G699" i="13" s="1"/>
  <c r="J635" i="31" s="1"/>
  <c r="E700" i="13"/>
  <c r="G700" i="13" s="1"/>
  <c r="J636" i="31" s="1"/>
  <c r="E701" i="13"/>
  <c r="G701" i="13" s="1"/>
  <c r="J637" i="31" s="1"/>
  <c r="E702" i="13"/>
  <c r="G702" i="13" s="1"/>
  <c r="J638" i="31" s="1"/>
  <c r="E703" i="13"/>
  <c r="G703" i="13" s="1"/>
  <c r="J639" i="31" s="1"/>
  <c r="E704" i="13"/>
  <c r="G704" i="13" s="1"/>
  <c r="J640" i="31" s="1"/>
  <c r="E705" i="13"/>
  <c r="G705" i="13" s="1"/>
  <c r="J641" i="31" s="1"/>
  <c r="E706" i="13"/>
  <c r="G706" i="13" s="1"/>
  <c r="E707" i="13"/>
  <c r="G707" i="13" s="1"/>
  <c r="J642" i="31" s="1"/>
  <c r="E708" i="13"/>
  <c r="G708" i="13" s="1"/>
  <c r="J643" i="31" s="1"/>
  <c r="E709" i="13"/>
  <c r="G709" i="13" s="1"/>
  <c r="J644" i="31" s="1"/>
  <c r="E710" i="13"/>
  <c r="G710" i="13" s="1"/>
  <c r="J645" i="31" s="1"/>
  <c r="E711" i="13"/>
  <c r="G711" i="13" s="1"/>
  <c r="J646" i="31" s="1"/>
  <c r="E712" i="13"/>
  <c r="G712" i="13" s="1"/>
  <c r="J647" i="31" s="1"/>
  <c r="E713" i="13"/>
  <c r="G713" i="13" s="1"/>
  <c r="J648" i="31" s="1"/>
  <c r="E714" i="13"/>
  <c r="G714" i="13" s="1"/>
  <c r="J649" i="31" s="1"/>
  <c r="E715" i="13"/>
  <c r="G715" i="13" s="1"/>
  <c r="J650" i="31" s="1"/>
  <c r="E716" i="13"/>
  <c r="G716" i="13" s="1"/>
  <c r="J651" i="31" s="1"/>
  <c r="E717" i="13"/>
  <c r="G717" i="13" s="1"/>
  <c r="E718" i="13"/>
  <c r="G718" i="13" s="1"/>
  <c r="J652" i="31" s="1"/>
  <c r="E719" i="13"/>
  <c r="G719" i="13" s="1"/>
  <c r="J653" i="31" s="1"/>
  <c r="E720" i="13"/>
  <c r="G720" i="13" s="1"/>
  <c r="J654" i="31" s="1"/>
  <c r="E721" i="13"/>
  <c r="G721" i="13" s="1"/>
  <c r="J655" i="31" s="1"/>
  <c r="E722" i="13"/>
  <c r="G722" i="13" s="1"/>
  <c r="J656" i="31" s="1"/>
  <c r="E723" i="13"/>
  <c r="G723" i="13" s="1"/>
  <c r="J657" i="31" s="1"/>
  <c r="E724" i="13"/>
  <c r="G724" i="13" s="1"/>
  <c r="J658" i="31" s="1"/>
  <c r="E725" i="13"/>
  <c r="G725" i="13" s="1"/>
  <c r="J659" i="31" s="1"/>
  <c r="E726" i="13"/>
  <c r="G726" i="13" s="1"/>
  <c r="J660" i="31" s="1"/>
  <c r="E727" i="13"/>
  <c r="G727" i="13" s="1"/>
  <c r="J661" i="31" s="1"/>
  <c r="E728" i="13"/>
  <c r="G728" i="13" s="1"/>
  <c r="E729" i="13"/>
  <c r="G729" i="13" s="1"/>
  <c r="J662" i="31" s="1"/>
  <c r="E730" i="13"/>
  <c r="G730" i="13" s="1"/>
  <c r="J663" i="31" s="1"/>
  <c r="E731" i="13"/>
  <c r="G731" i="13" s="1"/>
  <c r="J664" i="31" s="1"/>
  <c r="E732" i="13"/>
  <c r="G732" i="13" s="1"/>
  <c r="J665" i="31" s="1"/>
  <c r="E733" i="13"/>
  <c r="G733" i="13" s="1"/>
  <c r="J666" i="31" s="1"/>
  <c r="E734" i="13"/>
  <c r="G734" i="13" s="1"/>
  <c r="J667" i="31" s="1"/>
  <c r="E735" i="13"/>
  <c r="G735" i="13" s="1"/>
  <c r="J668" i="31" s="1"/>
  <c r="E736" i="13"/>
  <c r="G736" i="13" s="1"/>
  <c r="J669" i="31" s="1"/>
  <c r="E737" i="13"/>
  <c r="G737" i="13" s="1"/>
  <c r="J670" i="31" s="1"/>
  <c r="E738" i="13"/>
  <c r="G738" i="13" s="1"/>
  <c r="J671" i="31" s="1"/>
  <c r="E739" i="13"/>
  <c r="G739" i="13" s="1"/>
  <c r="E740" i="13"/>
  <c r="G740" i="13" s="1"/>
  <c r="J672" i="31" s="1"/>
  <c r="E741" i="13"/>
  <c r="G741" i="13" s="1"/>
  <c r="J673" i="31" s="1"/>
  <c r="E742" i="13"/>
  <c r="G742" i="13" s="1"/>
  <c r="J674" i="31" s="1"/>
  <c r="E743" i="13"/>
  <c r="G743" i="13" s="1"/>
  <c r="J675" i="31" s="1"/>
  <c r="E744" i="13"/>
  <c r="G744" i="13" s="1"/>
  <c r="J676" i="31" s="1"/>
  <c r="E745" i="13"/>
  <c r="G745" i="13" s="1"/>
  <c r="J677" i="31" s="1"/>
  <c r="E746" i="13"/>
  <c r="G746" i="13" s="1"/>
  <c r="J678" i="31" s="1"/>
  <c r="E747" i="13"/>
  <c r="G747" i="13" s="1"/>
  <c r="J679" i="31" s="1"/>
  <c r="E748" i="13"/>
  <c r="G748" i="13" s="1"/>
  <c r="J680" i="31" s="1"/>
  <c r="E749" i="13"/>
  <c r="G749" i="13" s="1"/>
  <c r="J681" i="31" s="1"/>
  <c r="E750" i="13"/>
  <c r="G750" i="13" s="1"/>
  <c r="E751" i="13"/>
  <c r="G751" i="13" s="1"/>
  <c r="J682" i="31" s="1"/>
  <c r="E752" i="13"/>
  <c r="G752" i="13" s="1"/>
  <c r="J683" i="31" s="1"/>
  <c r="E753" i="13"/>
  <c r="G753" i="13" s="1"/>
  <c r="J684" i="31" s="1"/>
  <c r="E754" i="13"/>
  <c r="G754" i="13" s="1"/>
  <c r="J685" i="31" s="1"/>
  <c r="E755" i="13"/>
  <c r="G755" i="13" s="1"/>
  <c r="J686" i="31" s="1"/>
  <c r="E756" i="13"/>
  <c r="G756" i="13" s="1"/>
  <c r="J687" i="31" s="1"/>
  <c r="E757" i="13"/>
  <c r="G757" i="13" s="1"/>
  <c r="J688" i="31" s="1"/>
  <c r="E758" i="13"/>
  <c r="G758" i="13" s="1"/>
  <c r="J689" i="31" s="1"/>
  <c r="E759" i="13"/>
  <c r="G759" i="13" s="1"/>
  <c r="J690" i="31" s="1"/>
  <c r="E760" i="13"/>
  <c r="G760" i="13" s="1"/>
  <c r="J691" i="31" s="1"/>
  <c r="E761" i="13"/>
  <c r="G761" i="13" s="1"/>
  <c r="E762" i="13"/>
  <c r="G762" i="13" s="1"/>
  <c r="J692" i="31" s="1"/>
  <c r="E763" i="13"/>
  <c r="G763" i="13" s="1"/>
  <c r="J693" i="31" s="1"/>
  <c r="E764" i="13"/>
  <c r="G764" i="13" s="1"/>
  <c r="J694" i="31" s="1"/>
  <c r="E765" i="13"/>
  <c r="G765" i="13" s="1"/>
  <c r="J695" i="31" s="1"/>
  <c r="E766" i="13"/>
  <c r="G766" i="13" s="1"/>
  <c r="J696" i="31" s="1"/>
  <c r="E767" i="13"/>
  <c r="G767" i="13" s="1"/>
  <c r="J697" i="31" s="1"/>
  <c r="E768" i="13"/>
  <c r="G768" i="13" s="1"/>
  <c r="J698" i="31" s="1"/>
  <c r="E769" i="13"/>
  <c r="G769" i="13" s="1"/>
  <c r="J699" i="31" s="1"/>
  <c r="E770" i="13"/>
  <c r="G770" i="13" s="1"/>
  <c r="J700" i="31" s="1"/>
  <c r="E771" i="13"/>
  <c r="G771" i="13" s="1"/>
  <c r="J701" i="31" s="1"/>
  <c r="E772" i="13"/>
  <c r="G772" i="13" s="1"/>
  <c r="E773" i="13"/>
  <c r="G773" i="13" s="1"/>
  <c r="J702" i="31" s="1"/>
  <c r="E774" i="13"/>
  <c r="G774" i="13" s="1"/>
  <c r="J703" i="31" s="1"/>
  <c r="E775" i="13"/>
  <c r="G775" i="13" s="1"/>
  <c r="J704" i="31" s="1"/>
  <c r="E776" i="13"/>
  <c r="G776" i="13" s="1"/>
  <c r="J705" i="31" s="1"/>
  <c r="E777" i="13"/>
  <c r="G777" i="13" s="1"/>
  <c r="J706" i="31" s="1"/>
  <c r="E778" i="13"/>
  <c r="G778" i="13" s="1"/>
  <c r="J707" i="31" s="1"/>
  <c r="E779" i="13"/>
  <c r="G779" i="13" s="1"/>
  <c r="J708" i="31" s="1"/>
  <c r="E780" i="13"/>
  <c r="G780" i="13" s="1"/>
  <c r="J709" i="31" s="1"/>
  <c r="E781" i="13"/>
  <c r="G781" i="13" s="1"/>
  <c r="J710" i="31" s="1"/>
  <c r="E782" i="13"/>
  <c r="G782" i="13" s="1"/>
  <c r="J711" i="31" s="1"/>
  <c r="E783" i="13"/>
  <c r="G783" i="13" s="1"/>
  <c r="E784" i="13"/>
  <c r="G784" i="13" s="1"/>
  <c r="J712" i="31" s="1"/>
  <c r="E785" i="13"/>
  <c r="G785" i="13" s="1"/>
  <c r="J713" i="31" s="1"/>
  <c r="E786" i="13"/>
  <c r="G786" i="13" s="1"/>
  <c r="J714" i="31" s="1"/>
  <c r="E787" i="13"/>
  <c r="G787" i="13" s="1"/>
  <c r="J715" i="31" s="1"/>
  <c r="E788" i="13"/>
  <c r="G788" i="13" s="1"/>
  <c r="J716" i="31" s="1"/>
  <c r="E789" i="13"/>
  <c r="G789" i="13" s="1"/>
  <c r="J717" i="31" s="1"/>
  <c r="E790" i="13"/>
  <c r="G790" i="13" s="1"/>
  <c r="J718" i="31" s="1"/>
  <c r="E791" i="13"/>
  <c r="G791" i="13" s="1"/>
  <c r="J719" i="31" s="1"/>
  <c r="E792" i="13"/>
  <c r="G792" i="13" s="1"/>
  <c r="J720" i="31" s="1"/>
  <c r="E793" i="13"/>
  <c r="G793" i="13" s="1"/>
  <c r="J721" i="31" s="1"/>
  <c r="E794" i="13"/>
  <c r="G794" i="13" s="1"/>
  <c r="E795" i="13"/>
  <c r="G795" i="13" s="1"/>
  <c r="J722" i="31" s="1"/>
  <c r="E796" i="13"/>
  <c r="G796" i="13" s="1"/>
  <c r="J723" i="31" s="1"/>
  <c r="E797" i="13"/>
  <c r="G797" i="13" s="1"/>
  <c r="J724" i="31" s="1"/>
  <c r="E798" i="13"/>
  <c r="G798" i="13" s="1"/>
  <c r="J725" i="31" s="1"/>
  <c r="E799" i="13"/>
  <c r="G799" i="13" s="1"/>
  <c r="J726" i="31" s="1"/>
  <c r="E800" i="13"/>
  <c r="G800" i="13" s="1"/>
  <c r="J727" i="31" s="1"/>
  <c r="E801" i="13"/>
  <c r="G801" i="13" s="1"/>
  <c r="J728" i="31" s="1"/>
  <c r="E802" i="13"/>
  <c r="G802" i="13" s="1"/>
  <c r="J729" i="31" s="1"/>
  <c r="E803" i="13"/>
  <c r="G803" i="13" s="1"/>
  <c r="J730" i="31" s="1"/>
  <c r="E804" i="13"/>
  <c r="G804" i="13" s="1"/>
  <c r="J731" i="31" s="1"/>
  <c r="E805" i="13"/>
  <c r="G805" i="13" s="1"/>
  <c r="E806" i="13"/>
  <c r="G806" i="13" s="1"/>
  <c r="J732" i="31" s="1"/>
  <c r="E807" i="13"/>
  <c r="G807" i="13" s="1"/>
  <c r="J733" i="31" s="1"/>
  <c r="E808" i="13"/>
  <c r="G808" i="13" s="1"/>
  <c r="J734" i="31" s="1"/>
  <c r="E809" i="13"/>
  <c r="G809" i="13" s="1"/>
  <c r="J735" i="31" s="1"/>
  <c r="E810" i="13"/>
  <c r="G810" i="13" s="1"/>
  <c r="J736" i="31" s="1"/>
  <c r="E811" i="13"/>
  <c r="G811" i="13" s="1"/>
  <c r="J737" i="31" s="1"/>
  <c r="E812" i="13"/>
  <c r="G812" i="13" s="1"/>
  <c r="J738" i="31" s="1"/>
  <c r="E813" i="13"/>
  <c r="G813" i="13" s="1"/>
  <c r="J739" i="31" s="1"/>
  <c r="E814" i="13"/>
  <c r="G814" i="13" s="1"/>
  <c r="J740" i="31" s="1"/>
  <c r="E815" i="13"/>
  <c r="G815" i="13" s="1"/>
  <c r="J741" i="31" s="1"/>
  <c r="E816" i="13"/>
  <c r="G816" i="13" s="1"/>
  <c r="E817" i="13"/>
  <c r="G817" i="13" s="1"/>
  <c r="J742" i="31" s="1"/>
  <c r="E818" i="13"/>
  <c r="G818" i="13" s="1"/>
  <c r="J743" i="31" s="1"/>
  <c r="E819" i="13"/>
  <c r="G819" i="13" s="1"/>
  <c r="J744" i="31" s="1"/>
  <c r="E820" i="13"/>
  <c r="G820" i="13" s="1"/>
  <c r="J745" i="31" s="1"/>
  <c r="E821" i="13"/>
  <c r="G821" i="13" s="1"/>
  <c r="J746" i="31" s="1"/>
  <c r="E822" i="13"/>
  <c r="G822" i="13" s="1"/>
  <c r="J747" i="31" s="1"/>
  <c r="E823" i="13"/>
  <c r="G823" i="13" s="1"/>
  <c r="J748" i="31" s="1"/>
  <c r="E824" i="13"/>
  <c r="G824" i="13" s="1"/>
  <c r="J749" i="31" s="1"/>
  <c r="E825" i="13"/>
  <c r="G825" i="13" s="1"/>
  <c r="J750" i="31" s="1"/>
  <c r="E826" i="13"/>
  <c r="G826" i="13" s="1"/>
  <c r="J751" i="31" s="1"/>
  <c r="E827" i="13"/>
  <c r="G827" i="13" s="1"/>
  <c r="E828" i="13"/>
  <c r="G828" i="13" s="1"/>
  <c r="J752" i="31" s="1"/>
  <c r="E829" i="13"/>
  <c r="G829" i="13" s="1"/>
  <c r="J753" i="31" s="1"/>
  <c r="E830" i="13"/>
  <c r="G830" i="13" s="1"/>
  <c r="J754" i="31" s="1"/>
  <c r="E831" i="13"/>
  <c r="G831" i="13" s="1"/>
  <c r="J755" i="31" s="1"/>
  <c r="E832" i="13"/>
  <c r="G832" i="13" s="1"/>
  <c r="J756" i="31" s="1"/>
  <c r="E833" i="13"/>
  <c r="G833" i="13" s="1"/>
  <c r="J757" i="31" s="1"/>
  <c r="E834" i="13"/>
  <c r="G834" i="13" s="1"/>
  <c r="J758" i="31" s="1"/>
  <c r="E835" i="13"/>
  <c r="G835" i="13" s="1"/>
  <c r="J759" i="31" s="1"/>
  <c r="E836" i="13"/>
  <c r="G836" i="13" s="1"/>
  <c r="J760" i="31" s="1"/>
  <c r="E837" i="13"/>
  <c r="G837" i="13" s="1"/>
  <c r="J761" i="31" s="1"/>
  <c r="E838" i="13"/>
  <c r="G838" i="13" s="1"/>
  <c r="E839" i="13"/>
  <c r="G839" i="13" s="1"/>
  <c r="J762" i="31" s="1"/>
  <c r="E840" i="13"/>
  <c r="G840" i="13" s="1"/>
  <c r="J763" i="31" s="1"/>
  <c r="E841" i="13"/>
  <c r="G841" i="13" s="1"/>
  <c r="J764" i="31" s="1"/>
  <c r="E842" i="13"/>
  <c r="G842" i="13" s="1"/>
  <c r="J765" i="31" s="1"/>
  <c r="E843" i="13"/>
  <c r="G843" i="13" s="1"/>
  <c r="J766" i="31" s="1"/>
  <c r="E844" i="13"/>
  <c r="G844" i="13" s="1"/>
  <c r="J767" i="31" s="1"/>
  <c r="E845" i="13"/>
  <c r="G845" i="13" s="1"/>
  <c r="J768" i="31" s="1"/>
  <c r="E846" i="13"/>
  <c r="G846" i="13" s="1"/>
  <c r="J769" i="31" s="1"/>
  <c r="E847" i="13"/>
  <c r="G847" i="13" s="1"/>
  <c r="J770" i="31" s="1"/>
  <c r="E848" i="13"/>
  <c r="G848" i="13" s="1"/>
  <c r="J771" i="31" s="1"/>
  <c r="E849" i="13"/>
  <c r="G849" i="13" s="1"/>
  <c r="E850" i="13"/>
  <c r="G850" i="13" s="1"/>
  <c r="J772" i="31" s="1"/>
  <c r="E851" i="13"/>
  <c r="G851" i="13" s="1"/>
  <c r="J773" i="31" s="1"/>
  <c r="E852" i="13"/>
  <c r="G852" i="13" s="1"/>
  <c r="J774" i="31" s="1"/>
  <c r="E853" i="13"/>
  <c r="G853" i="13" s="1"/>
  <c r="J775" i="31" s="1"/>
  <c r="E854" i="13"/>
  <c r="G854" i="13" s="1"/>
  <c r="J776" i="31" s="1"/>
  <c r="E855" i="13"/>
  <c r="G855" i="13" s="1"/>
  <c r="J777" i="31" s="1"/>
  <c r="E856" i="13"/>
  <c r="G856" i="13" s="1"/>
  <c r="J778" i="31" s="1"/>
  <c r="E857" i="13"/>
  <c r="G857" i="13" s="1"/>
  <c r="J779" i="31" s="1"/>
  <c r="E858" i="13"/>
  <c r="G858" i="13" s="1"/>
  <c r="J780" i="31" s="1"/>
  <c r="E859" i="13"/>
  <c r="G859" i="13" s="1"/>
  <c r="J781" i="31" s="1"/>
  <c r="E860" i="13"/>
  <c r="G860" i="13" s="1"/>
  <c r="E861" i="13"/>
  <c r="G861" i="13" s="1"/>
  <c r="J782" i="31" s="1"/>
  <c r="E862" i="13"/>
  <c r="G862" i="13" s="1"/>
  <c r="J783" i="31" s="1"/>
  <c r="E863" i="13"/>
  <c r="G863" i="13" s="1"/>
  <c r="J784" i="31" s="1"/>
  <c r="E864" i="13"/>
  <c r="G864" i="13" s="1"/>
  <c r="J785" i="31" s="1"/>
  <c r="E865" i="13"/>
  <c r="G865" i="13" s="1"/>
  <c r="J786" i="31" s="1"/>
  <c r="E866" i="13"/>
  <c r="G866" i="13" s="1"/>
  <c r="J787" i="31" s="1"/>
  <c r="E867" i="13"/>
  <c r="G867" i="13" s="1"/>
  <c r="J788" i="31" s="1"/>
  <c r="E868" i="13"/>
  <c r="G868" i="13" s="1"/>
  <c r="J789" i="31" s="1"/>
  <c r="E869" i="13"/>
  <c r="G869" i="13" s="1"/>
  <c r="J790" i="31" s="1"/>
  <c r="E870" i="13"/>
  <c r="G870" i="13" s="1"/>
  <c r="J791" i="31" s="1"/>
  <c r="E871" i="13"/>
  <c r="G871" i="13" s="1"/>
  <c r="E872" i="13"/>
  <c r="G872" i="13" s="1"/>
  <c r="J792" i="31" s="1"/>
  <c r="E873" i="13"/>
  <c r="G873" i="13" s="1"/>
  <c r="J793" i="31" s="1"/>
  <c r="E874" i="13"/>
  <c r="G874" i="13" s="1"/>
  <c r="J794" i="31" s="1"/>
  <c r="E875" i="13"/>
  <c r="G875" i="13" s="1"/>
  <c r="J795" i="31" s="1"/>
  <c r="E876" i="13"/>
  <c r="G876" i="13" s="1"/>
  <c r="J796" i="31" s="1"/>
  <c r="E877" i="13"/>
  <c r="G877" i="13" s="1"/>
  <c r="J797" i="31" s="1"/>
  <c r="E878" i="13"/>
  <c r="G878" i="13" s="1"/>
  <c r="J798" i="31" s="1"/>
  <c r="E879" i="13"/>
  <c r="G879" i="13" s="1"/>
  <c r="J799" i="31" s="1"/>
  <c r="E880" i="13"/>
  <c r="G880" i="13" s="1"/>
  <c r="J800" i="31" s="1"/>
  <c r="E881" i="13"/>
  <c r="G881" i="13" s="1"/>
  <c r="J801" i="31" s="1"/>
  <c r="E882" i="13"/>
  <c r="G882" i="13" s="1"/>
  <c r="E883" i="13"/>
  <c r="G883" i="13" s="1"/>
  <c r="J802" i="31" s="1"/>
  <c r="E884" i="13"/>
  <c r="G884" i="13" s="1"/>
  <c r="J803" i="31" s="1"/>
  <c r="E885" i="13"/>
  <c r="G885" i="13" s="1"/>
  <c r="J804" i="31" s="1"/>
  <c r="E886" i="13"/>
  <c r="G886" i="13" s="1"/>
  <c r="J805" i="31" s="1"/>
  <c r="E887" i="13"/>
  <c r="G887" i="13" s="1"/>
  <c r="J806" i="31" s="1"/>
  <c r="E888" i="13"/>
  <c r="G888" i="13" s="1"/>
  <c r="J807" i="31" s="1"/>
  <c r="E889" i="13"/>
  <c r="G889" i="13" s="1"/>
  <c r="J808" i="31" s="1"/>
  <c r="E890" i="13"/>
  <c r="G890" i="13" s="1"/>
  <c r="J809" i="31" s="1"/>
  <c r="E891" i="13"/>
  <c r="G891" i="13" s="1"/>
  <c r="J810" i="31" s="1"/>
  <c r="E892" i="13"/>
  <c r="G892" i="13" s="1"/>
  <c r="J811" i="31" s="1"/>
  <c r="E893" i="13"/>
  <c r="G893" i="13" s="1"/>
  <c r="E894" i="13"/>
  <c r="G894" i="13" s="1"/>
  <c r="J812" i="31" s="1"/>
  <c r="E895" i="13"/>
  <c r="G895" i="13" s="1"/>
  <c r="J813" i="31" s="1"/>
  <c r="E896" i="13"/>
  <c r="G896" i="13" s="1"/>
  <c r="J814" i="31" s="1"/>
  <c r="E897" i="13"/>
  <c r="G897" i="13" s="1"/>
  <c r="J815" i="31" s="1"/>
  <c r="E898" i="13"/>
  <c r="G898" i="13" s="1"/>
  <c r="J816" i="31" s="1"/>
  <c r="E899" i="13"/>
  <c r="G899" i="13" s="1"/>
  <c r="J817" i="31" s="1"/>
  <c r="E900" i="13"/>
  <c r="G900" i="13" s="1"/>
  <c r="J818" i="31" s="1"/>
  <c r="E901" i="13"/>
  <c r="G901" i="13" s="1"/>
  <c r="J819" i="31" s="1"/>
  <c r="E902" i="13"/>
  <c r="G902" i="13" s="1"/>
  <c r="J820" i="31" s="1"/>
  <c r="E903" i="13"/>
  <c r="G903" i="13" s="1"/>
  <c r="J821" i="31" s="1"/>
  <c r="E904" i="13"/>
  <c r="G904" i="13" s="1"/>
  <c r="E905" i="13"/>
  <c r="G905" i="13" s="1"/>
  <c r="J822" i="31" s="1"/>
  <c r="E906" i="13"/>
  <c r="G906" i="13" s="1"/>
  <c r="J823" i="31" s="1"/>
  <c r="E907" i="13"/>
  <c r="G907" i="13" s="1"/>
  <c r="J824" i="31" s="1"/>
  <c r="E908" i="13"/>
  <c r="G908" i="13" s="1"/>
  <c r="J825" i="31" s="1"/>
  <c r="E909" i="13"/>
  <c r="G909" i="13" s="1"/>
  <c r="J826" i="31" s="1"/>
  <c r="E910" i="13"/>
  <c r="G910" i="13" s="1"/>
  <c r="J827" i="31" s="1"/>
  <c r="E911" i="13"/>
  <c r="G911" i="13" s="1"/>
  <c r="J828" i="31" s="1"/>
  <c r="E912" i="13"/>
  <c r="G912" i="13" s="1"/>
  <c r="J829" i="31" s="1"/>
  <c r="E913" i="13"/>
  <c r="G913" i="13" s="1"/>
  <c r="J830" i="31" s="1"/>
  <c r="E914" i="13"/>
  <c r="G914" i="13" s="1"/>
  <c r="J831" i="31" s="1"/>
  <c r="E915" i="13"/>
  <c r="G915" i="13" s="1"/>
  <c r="E916" i="13"/>
  <c r="G916" i="13" s="1"/>
  <c r="J832" i="31" s="1"/>
  <c r="E917" i="13"/>
  <c r="G917" i="13" s="1"/>
  <c r="J833" i="31" s="1"/>
  <c r="E918" i="13"/>
  <c r="G918" i="13" s="1"/>
  <c r="J834" i="31" s="1"/>
  <c r="E919" i="13"/>
  <c r="G919" i="13" s="1"/>
  <c r="J835" i="31" s="1"/>
  <c r="E920" i="13"/>
  <c r="G920" i="13" s="1"/>
  <c r="J836" i="31" s="1"/>
  <c r="E921" i="13"/>
  <c r="G921" i="13" s="1"/>
  <c r="J837" i="31" s="1"/>
  <c r="E922" i="13"/>
  <c r="G922" i="13" s="1"/>
  <c r="J838" i="31" s="1"/>
  <c r="E923" i="13"/>
  <c r="G923" i="13" s="1"/>
  <c r="J839" i="31" s="1"/>
  <c r="E924" i="13"/>
  <c r="G924" i="13" s="1"/>
  <c r="J840" i="31" s="1"/>
  <c r="E925" i="13"/>
  <c r="G925" i="13" s="1"/>
  <c r="J841" i="31" s="1"/>
  <c r="E926" i="13"/>
  <c r="G926" i="13" s="1"/>
  <c r="E927" i="13"/>
  <c r="G927" i="13" s="1"/>
  <c r="J842" i="31" s="1"/>
  <c r="E928" i="13"/>
  <c r="G928" i="13" s="1"/>
  <c r="J843" i="31" s="1"/>
  <c r="E929" i="13"/>
  <c r="G929" i="13" s="1"/>
  <c r="J844" i="31" s="1"/>
  <c r="E930" i="13"/>
  <c r="G930" i="13" s="1"/>
  <c r="J845" i="31" s="1"/>
  <c r="E931" i="13"/>
  <c r="G931" i="13" s="1"/>
  <c r="J846" i="31" s="1"/>
  <c r="E932" i="13"/>
  <c r="G932" i="13" s="1"/>
  <c r="J847" i="31" s="1"/>
  <c r="E933" i="13"/>
  <c r="G933" i="13" s="1"/>
  <c r="J848" i="31" s="1"/>
  <c r="E934" i="13"/>
  <c r="G934" i="13" s="1"/>
  <c r="J849" i="31" s="1"/>
  <c r="E935" i="13"/>
  <c r="G935" i="13" s="1"/>
  <c r="J850" i="31" s="1"/>
  <c r="E936" i="13"/>
  <c r="G936" i="13" s="1"/>
  <c r="J851" i="31" s="1"/>
  <c r="E937" i="13"/>
  <c r="G937" i="13" s="1"/>
  <c r="E938" i="13"/>
  <c r="G938" i="13" s="1"/>
  <c r="J852" i="31" s="1"/>
  <c r="E939" i="13"/>
  <c r="G939" i="13" s="1"/>
  <c r="J853" i="31" s="1"/>
  <c r="E940" i="13"/>
  <c r="G940" i="13" s="1"/>
  <c r="J854" i="31" s="1"/>
  <c r="E941" i="13"/>
  <c r="G941" i="13" s="1"/>
  <c r="J855" i="31" s="1"/>
  <c r="E942" i="13"/>
  <c r="G942" i="13" s="1"/>
  <c r="J856" i="31" s="1"/>
  <c r="E943" i="13"/>
  <c r="G943" i="13" s="1"/>
  <c r="J857" i="31" s="1"/>
  <c r="E944" i="13"/>
  <c r="G944" i="13" s="1"/>
  <c r="J858" i="31" s="1"/>
  <c r="E945" i="13"/>
  <c r="G945" i="13" s="1"/>
  <c r="J859" i="31" s="1"/>
  <c r="E946" i="13"/>
  <c r="G946" i="13" s="1"/>
  <c r="J860" i="31" s="1"/>
  <c r="E947" i="13"/>
  <c r="G947" i="13" s="1"/>
  <c r="J861" i="31" s="1"/>
  <c r="E948" i="13"/>
  <c r="G948" i="13" s="1"/>
  <c r="E949" i="13"/>
  <c r="G949" i="13" s="1"/>
  <c r="J862" i="31" s="1"/>
  <c r="E950" i="13"/>
  <c r="G950" i="13" s="1"/>
  <c r="J863" i="31" s="1"/>
  <c r="E951" i="13"/>
  <c r="G951" i="13" s="1"/>
  <c r="J864" i="31" s="1"/>
  <c r="E952" i="13"/>
  <c r="G952" i="13" s="1"/>
  <c r="J865" i="31" s="1"/>
  <c r="E953" i="13"/>
  <c r="G953" i="13" s="1"/>
  <c r="J866" i="31" s="1"/>
  <c r="E954" i="13"/>
  <c r="G954" i="13" s="1"/>
  <c r="J867" i="31" s="1"/>
  <c r="E955" i="13"/>
  <c r="G955" i="13" s="1"/>
  <c r="J868" i="31" s="1"/>
  <c r="E956" i="13"/>
  <c r="G956" i="13" s="1"/>
  <c r="J869" i="31" s="1"/>
  <c r="E957" i="13"/>
  <c r="G957" i="13" s="1"/>
  <c r="J870" i="31" s="1"/>
  <c r="E958" i="13"/>
  <c r="G958" i="13" s="1"/>
  <c r="J871" i="31" s="1"/>
  <c r="E959" i="13"/>
  <c r="G959" i="13" s="1"/>
  <c r="E960" i="13"/>
  <c r="G960" i="13" s="1"/>
  <c r="J872" i="31" s="1"/>
  <c r="E961" i="13"/>
  <c r="G961" i="13" s="1"/>
  <c r="J873" i="31" s="1"/>
  <c r="E962" i="13"/>
  <c r="G962" i="13" s="1"/>
  <c r="J874" i="31" s="1"/>
  <c r="E963" i="13"/>
  <c r="G963" i="13" s="1"/>
  <c r="J875" i="31" s="1"/>
  <c r="E964" i="13"/>
  <c r="G964" i="13" s="1"/>
  <c r="J876" i="31" s="1"/>
  <c r="E965" i="13"/>
  <c r="G965" i="13" s="1"/>
  <c r="J877" i="31" s="1"/>
  <c r="E966" i="13"/>
  <c r="G966" i="13" s="1"/>
  <c r="J878" i="31" s="1"/>
  <c r="E967" i="13"/>
  <c r="G967" i="13" s="1"/>
  <c r="J879" i="31" s="1"/>
  <c r="E968" i="13"/>
  <c r="G968" i="13" s="1"/>
  <c r="J880" i="31" s="1"/>
  <c r="E969" i="13"/>
  <c r="G969" i="13" s="1"/>
  <c r="J881" i="31" s="1"/>
  <c r="E970" i="13"/>
  <c r="G970" i="13" s="1"/>
  <c r="E971" i="13"/>
  <c r="G971" i="13" s="1"/>
  <c r="J882" i="31" s="1"/>
  <c r="E972" i="13"/>
  <c r="G972" i="13" s="1"/>
  <c r="J883" i="31" s="1"/>
  <c r="E973" i="13"/>
  <c r="G973" i="13" s="1"/>
  <c r="J884" i="31" s="1"/>
  <c r="E974" i="13"/>
  <c r="G974" i="13" s="1"/>
  <c r="J885" i="31" s="1"/>
  <c r="E975" i="13"/>
  <c r="G975" i="13" s="1"/>
  <c r="J886" i="31" s="1"/>
  <c r="E976" i="13"/>
  <c r="G976" i="13" s="1"/>
  <c r="J887" i="31" s="1"/>
  <c r="E977" i="13"/>
  <c r="G977" i="13" s="1"/>
  <c r="J888" i="31" s="1"/>
  <c r="E978" i="13"/>
  <c r="G978" i="13" s="1"/>
  <c r="J889" i="31" s="1"/>
  <c r="E979" i="13"/>
  <c r="G979" i="13" s="1"/>
  <c r="J890" i="31" s="1"/>
  <c r="E980" i="13"/>
  <c r="G980" i="13" s="1"/>
  <c r="J891" i="31" s="1"/>
  <c r="E981" i="13"/>
  <c r="G981" i="13" s="1"/>
  <c r="E982" i="13"/>
  <c r="G982" i="13" s="1"/>
  <c r="J892" i="31" s="1"/>
  <c r="E983" i="13"/>
  <c r="G983" i="13" s="1"/>
  <c r="J893" i="31" s="1"/>
  <c r="E984" i="13"/>
  <c r="G984" i="13" s="1"/>
  <c r="J894" i="31" s="1"/>
  <c r="E985" i="13"/>
  <c r="G985" i="13" s="1"/>
  <c r="J895" i="31" s="1"/>
  <c r="E986" i="13"/>
  <c r="G986" i="13" s="1"/>
  <c r="J896" i="31" s="1"/>
  <c r="E987" i="13"/>
  <c r="G987" i="13" s="1"/>
  <c r="J897" i="31" s="1"/>
  <c r="E988" i="13"/>
  <c r="G988" i="13" s="1"/>
  <c r="J898" i="31" s="1"/>
  <c r="E989" i="13"/>
  <c r="G989" i="13" s="1"/>
  <c r="J899" i="31" s="1"/>
  <c r="E990" i="13"/>
  <c r="G990" i="13" s="1"/>
  <c r="J900" i="31" s="1"/>
  <c r="E991" i="13"/>
  <c r="G991" i="13" s="1"/>
  <c r="J901" i="31" s="1"/>
  <c r="E992" i="13"/>
  <c r="G992" i="13" s="1"/>
  <c r="E993" i="13"/>
  <c r="G993" i="13" s="1"/>
  <c r="J902" i="31" s="1"/>
  <c r="E994" i="13"/>
  <c r="G994" i="13" s="1"/>
  <c r="J903" i="31" s="1"/>
  <c r="E995" i="13"/>
  <c r="G995" i="13" s="1"/>
  <c r="J904" i="31" s="1"/>
  <c r="E996" i="13"/>
  <c r="G996" i="13" s="1"/>
  <c r="J905" i="31" s="1"/>
  <c r="E997" i="13"/>
  <c r="G997" i="13" s="1"/>
  <c r="J906" i="31" s="1"/>
  <c r="E998" i="13"/>
  <c r="G998" i="13" s="1"/>
  <c r="J907" i="31" s="1"/>
  <c r="E999" i="13"/>
  <c r="G999" i="13" s="1"/>
  <c r="J908" i="31" s="1"/>
  <c r="E1000" i="13"/>
  <c r="G1000" i="13" s="1"/>
  <c r="J909" i="31" s="1"/>
  <c r="E1001" i="13"/>
  <c r="G1001" i="13" s="1"/>
  <c r="J910" i="31" s="1"/>
  <c r="E1002" i="13"/>
  <c r="G1002" i="13" s="1"/>
  <c r="J911" i="31" s="1"/>
  <c r="E1003" i="13"/>
  <c r="G1003" i="13" s="1"/>
  <c r="E1004" i="13"/>
  <c r="G1004" i="13" s="1"/>
  <c r="J912" i="31" s="1"/>
  <c r="E1005" i="13"/>
  <c r="G1005" i="13" s="1"/>
  <c r="J913" i="31" s="1"/>
  <c r="E1006" i="13"/>
  <c r="G1006" i="13" s="1"/>
  <c r="J914" i="31" s="1"/>
  <c r="E1007" i="13"/>
  <c r="G1007" i="13" s="1"/>
  <c r="J915" i="31" s="1"/>
  <c r="E1008" i="13"/>
  <c r="G1008" i="13" s="1"/>
  <c r="J916" i="31" s="1"/>
  <c r="E1009" i="13"/>
  <c r="G1009" i="13" s="1"/>
  <c r="J917" i="31" s="1"/>
  <c r="E1010" i="13"/>
  <c r="G1010" i="13" s="1"/>
  <c r="J918" i="31" s="1"/>
  <c r="E1011" i="13"/>
  <c r="G1011" i="13" s="1"/>
  <c r="J919" i="31" s="1"/>
  <c r="E1012" i="13"/>
  <c r="G1012" i="13" s="1"/>
  <c r="J920" i="31" s="1"/>
  <c r="E1013" i="13"/>
  <c r="G1013" i="13" s="1"/>
  <c r="J921" i="31" s="1"/>
  <c r="E1014" i="13"/>
  <c r="G1014" i="13" s="1"/>
  <c r="E1015" i="13"/>
  <c r="G1015" i="13" s="1"/>
  <c r="J922" i="31" s="1"/>
  <c r="E1016" i="13"/>
  <c r="G1016" i="13" s="1"/>
  <c r="J923" i="31" s="1"/>
  <c r="E1017" i="13"/>
  <c r="G1017" i="13" s="1"/>
  <c r="J924" i="31" s="1"/>
  <c r="E1018" i="13"/>
  <c r="G1018" i="13" s="1"/>
  <c r="J925" i="31" s="1"/>
  <c r="E1019" i="13"/>
  <c r="G1019" i="13" s="1"/>
  <c r="J926" i="31" s="1"/>
  <c r="E1020" i="13"/>
  <c r="G1020" i="13" s="1"/>
  <c r="J927" i="31" s="1"/>
  <c r="E1021" i="13"/>
  <c r="G1021" i="13" s="1"/>
  <c r="J928" i="31" s="1"/>
  <c r="E1022" i="13"/>
  <c r="G1022" i="13" s="1"/>
  <c r="J929" i="31" s="1"/>
  <c r="E1023" i="13"/>
  <c r="G1023" i="13" s="1"/>
  <c r="J930" i="31" s="1"/>
  <c r="E1024" i="13"/>
  <c r="G1024" i="13" s="1"/>
  <c r="J931" i="31" s="1"/>
  <c r="E1025" i="13"/>
  <c r="G1025" i="13" s="1"/>
  <c r="E1026" i="13"/>
  <c r="G1026" i="13" s="1"/>
  <c r="J932" i="31" s="1"/>
  <c r="E1027" i="13"/>
  <c r="G1027" i="13" s="1"/>
  <c r="J933" i="31" s="1"/>
  <c r="E1028" i="13"/>
  <c r="G1028" i="13" s="1"/>
  <c r="J934" i="31" s="1"/>
  <c r="E1029" i="13"/>
  <c r="G1029" i="13" s="1"/>
  <c r="J935" i="31" s="1"/>
  <c r="E1030" i="13"/>
  <c r="G1030" i="13" s="1"/>
  <c r="J936" i="31" s="1"/>
  <c r="E1031" i="13"/>
  <c r="G1031" i="13" s="1"/>
  <c r="J937" i="31" s="1"/>
  <c r="E1032" i="13"/>
  <c r="G1032" i="13" s="1"/>
  <c r="J938" i="31" s="1"/>
  <c r="E1033" i="13"/>
  <c r="G1033" i="13" s="1"/>
  <c r="J939" i="31" s="1"/>
  <c r="E1034" i="13"/>
  <c r="G1034" i="13" s="1"/>
  <c r="J940" i="31" s="1"/>
  <c r="E1035" i="13"/>
  <c r="G1035" i="13" s="1"/>
  <c r="J941" i="31" s="1"/>
  <c r="E1036" i="13"/>
  <c r="G1036" i="13" s="1"/>
  <c r="E1037" i="13"/>
  <c r="G1037" i="13" s="1"/>
  <c r="J942" i="31" s="1"/>
  <c r="E1038" i="13"/>
  <c r="G1038" i="13" s="1"/>
  <c r="J943" i="31" s="1"/>
  <c r="E1039" i="13"/>
  <c r="G1039" i="13" s="1"/>
  <c r="J944" i="31" s="1"/>
  <c r="E1040" i="13"/>
  <c r="G1040" i="13" s="1"/>
  <c r="J945" i="31" s="1"/>
  <c r="E1041" i="13"/>
  <c r="G1041" i="13" s="1"/>
  <c r="J946" i="31" s="1"/>
  <c r="E1042" i="13"/>
  <c r="G1042" i="13" s="1"/>
  <c r="J947" i="31" s="1"/>
  <c r="E1043" i="13"/>
  <c r="G1043" i="13" s="1"/>
  <c r="J948" i="31" s="1"/>
  <c r="E1044" i="13"/>
  <c r="G1044" i="13" s="1"/>
  <c r="J949" i="31" s="1"/>
  <c r="E1045" i="13"/>
  <c r="G1045" i="13" s="1"/>
  <c r="J950" i="31" s="1"/>
  <c r="E1046" i="13"/>
  <c r="G1046" i="13" s="1"/>
  <c r="J951" i="31" s="1"/>
  <c r="E1047" i="13"/>
  <c r="G1047" i="13" s="1"/>
  <c r="E1048" i="13"/>
  <c r="G1048" i="13" s="1"/>
  <c r="J952" i="31" s="1"/>
  <c r="E1049" i="13"/>
  <c r="G1049" i="13" s="1"/>
  <c r="J953" i="31" s="1"/>
  <c r="E1050" i="13"/>
  <c r="G1050" i="13" s="1"/>
  <c r="J954" i="31" s="1"/>
  <c r="E1051" i="13"/>
  <c r="G1051" i="13" s="1"/>
  <c r="J955" i="31" s="1"/>
  <c r="E1052" i="13"/>
  <c r="G1052" i="13" s="1"/>
  <c r="J956" i="31" s="1"/>
  <c r="E1053" i="13"/>
  <c r="G1053" i="13" s="1"/>
  <c r="J957" i="31" s="1"/>
  <c r="E1054" i="13"/>
  <c r="G1054" i="13" s="1"/>
  <c r="J958" i="31" s="1"/>
  <c r="E1055" i="13"/>
  <c r="G1055" i="13" s="1"/>
  <c r="J959" i="31" s="1"/>
  <c r="E1056" i="13"/>
  <c r="G1056" i="13" s="1"/>
  <c r="J960" i="31" s="1"/>
  <c r="E1057" i="13"/>
  <c r="G1057" i="13" s="1"/>
  <c r="J961" i="31" s="1"/>
  <c r="E1058" i="13"/>
  <c r="G1058" i="13" s="1"/>
  <c r="E1059" i="13"/>
  <c r="G1059" i="13" s="1"/>
  <c r="J962" i="31" s="1"/>
  <c r="E1060" i="13"/>
  <c r="G1060" i="13" s="1"/>
  <c r="J963" i="31" s="1"/>
  <c r="E1061" i="13"/>
  <c r="G1061" i="13" s="1"/>
  <c r="J964" i="31" s="1"/>
  <c r="E1062" i="13"/>
  <c r="G1062" i="13" s="1"/>
  <c r="J965" i="31" s="1"/>
  <c r="E1063" i="13"/>
  <c r="G1063" i="13" s="1"/>
  <c r="J966" i="31" s="1"/>
  <c r="E1064" i="13"/>
  <c r="G1064" i="13" s="1"/>
  <c r="J967" i="31" s="1"/>
  <c r="E1065" i="13"/>
  <c r="G1065" i="13" s="1"/>
  <c r="J968" i="31" s="1"/>
  <c r="E1066" i="13"/>
  <c r="G1066" i="13" s="1"/>
  <c r="J969" i="31" s="1"/>
  <c r="E1067" i="13"/>
  <c r="G1067" i="13" s="1"/>
  <c r="J970" i="31" s="1"/>
  <c r="E1068" i="13"/>
  <c r="G1068" i="13" s="1"/>
  <c r="J971" i="31" s="1"/>
  <c r="E1069" i="13"/>
  <c r="G1069" i="13" s="1"/>
  <c r="E1070" i="13"/>
  <c r="G1070" i="13" s="1"/>
  <c r="J972" i="31" s="1"/>
  <c r="E1071" i="13"/>
  <c r="G1071" i="13" s="1"/>
  <c r="J973" i="31" s="1"/>
  <c r="E1072" i="13"/>
  <c r="G1072" i="13" s="1"/>
  <c r="J974" i="31" s="1"/>
  <c r="E1073" i="13"/>
  <c r="G1073" i="13" s="1"/>
  <c r="J975" i="31" s="1"/>
  <c r="E1074" i="13"/>
  <c r="G1074" i="13" s="1"/>
  <c r="J976" i="31" s="1"/>
  <c r="E1075" i="13"/>
  <c r="G1075" i="13" s="1"/>
  <c r="J977" i="31" s="1"/>
  <c r="E1076" i="13"/>
  <c r="G1076" i="13" s="1"/>
  <c r="J978" i="31" s="1"/>
  <c r="E1077" i="13"/>
  <c r="G1077" i="13" s="1"/>
  <c r="J979" i="31" s="1"/>
  <c r="E1078" i="13"/>
  <c r="G1078" i="13" s="1"/>
  <c r="J980" i="31" s="1"/>
  <c r="E1079" i="13"/>
  <c r="G1079" i="13" s="1"/>
  <c r="J981" i="31" s="1"/>
  <c r="E1080" i="13"/>
  <c r="G1080" i="13" s="1"/>
  <c r="E1081" i="13"/>
  <c r="G1081" i="13" s="1"/>
  <c r="J982" i="31" s="1"/>
  <c r="E1082" i="13"/>
  <c r="G1082" i="13" s="1"/>
  <c r="J983" i="31" s="1"/>
  <c r="E1083" i="13"/>
  <c r="G1083" i="13" s="1"/>
  <c r="J984" i="31" s="1"/>
  <c r="E1084" i="13"/>
  <c r="G1084" i="13" s="1"/>
  <c r="J985" i="31" s="1"/>
  <c r="E1085" i="13"/>
  <c r="G1085" i="13" s="1"/>
  <c r="J986" i="31" s="1"/>
  <c r="E1086" i="13"/>
  <c r="G1086" i="13" s="1"/>
  <c r="J987" i="31" s="1"/>
  <c r="E1087" i="13"/>
  <c r="G1087" i="13" s="1"/>
  <c r="J988" i="31" s="1"/>
  <c r="E1088" i="13"/>
  <c r="G1088" i="13" s="1"/>
  <c r="J989" i="31" s="1"/>
  <c r="E1089" i="13"/>
  <c r="G1089" i="13" s="1"/>
  <c r="J990" i="31" s="1"/>
  <c r="E1090" i="13"/>
  <c r="G1090" i="13" s="1"/>
  <c r="J991" i="31" s="1"/>
  <c r="E1091" i="13"/>
  <c r="G1091" i="13" s="1"/>
  <c r="E1092" i="13"/>
  <c r="G1092" i="13" s="1"/>
  <c r="J992" i="31" s="1"/>
  <c r="E1093" i="13"/>
  <c r="G1093" i="13" s="1"/>
  <c r="J993" i="31" s="1"/>
  <c r="E1094" i="13"/>
  <c r="G1094" i="13" s="1"/>
  <c r="J994" i="31" s="1"/>
  <c r="E1095" i="13"/>
  <c r="G1095" i="13" s="1"/>
  <c r="J995" i="31" s="1"/>
  <c r="E1096" i="13"/>
  <c r="G1096" i="13" s="1"/>
  <c r="J996" i="31" s="1"/>
  <c r="E1097" i="13"/>
  <c r="G1097" i="13" s="1"/>
  <c r="J997" i="31" s="1"/>
  <c r="E1098" i="13"/>
  <c r="G1098" i="13" s="1"/>
  <c r="J998" i="31" s="1"/>
  <c r="E1099" i="13"/>
  <c r="G1099" i="13" s="1"/>
  <c r="J999" i="31" s="1"/>
  <c r="E1100" i="13"/>
  <c r="G1100" i="13" s="1"/>
  <c r="J1000" i="31" s="1"/>
  <c r="E1101" i="13"/>
  <c r="G1101" i="13" s="1"/>
  <c r="J1001" i="31" s="1"/>
  <c r="E1102" i="13"/>
  <c r="G1102" i="13" s="1"/>
  <c r="E1103" i="13"/>
  <c r="G1103" i="13" s="1"/>
  <c r="J1002" i="31" s="1"/>
  <c r="E1104" i="13"/>
  <c r="G1104" i="13" s="1"/>
  <c r="J1003" i="31" s="1"/>
  <c r="E1105" i="13"/>
  <c r="G1105" i="13" s="1"/>
  <c r="J1004" i="31" s="1"/>
  <c r="E1106" i="13"/>
  <c r="G1106" i="13" s="1"/>
  <c r="J1005" i="31" s="1"/>
  <c r="E1107" i="13"/>
  <c r="G1107" i="13" s="1"/>
  <c r="J1006" i="31" s="1"/>
  <c r="E1108" i="13"/>
  <c r="G1108" i="13" s="1"/>
  <c r="J1007" i="31" s="1"/>
  <c r="E1109" i="13"/>
  <c r="G1109" i="13" s="1"/>
  <c r="J1008" i="31" s="1"/>
  <c r="E1110" i="13"/>
  <c r="G1110" i="13" s="1"/>
  <c r="J1009" i="31" s="1"/>
  <c r="E1111" i="13"/>
  <c r="G1111" i="13" s="1"/>
  <c r="J1010" i="31" s="1"/>
  <c r="E1112" i="13"/>
  <c r="G1112" i="13" s="1"/>
  <c r="J1011" i="31" s="1"/>
  <c r="E1113" i="13"/>
  <c r="G1113" i="13" s="1"/>
  <c r="E1114" i="13"/>
  <c r="G1114" i="13" s="1"/>
  <c r="J1012" i="31" s="1"/>
  <c r="E1115" i="13"/>
  <c r="G1115" i="13" s="1"/>
  <c r="J1013" i="31" s="1"/>
  <c r="E1116" i="13"/>
  <c r="G1116" i="13" s="1"/>
  <c r="J1014" i="31" s="1"/>
  <c r="E1117" i="13"/>
  <c r="G1117" i="13" s="1"/>
  <c r="J1015" i="31" s="1"/>
  <c r="E1118" i="13"/>
  <c r="G1118" i="13" s="1"/>
  <c r="J1016" i="31" s="1"/>
  <c r="E1119" i="13"/>
  <c r="G1119" i="13" s="1"/>
  <c r="J1017" i="31" s="1"/>
  <c r="E1120" i="13"/>
  <c r="G1120" i="13" s="1"/>
  <c r="J1018" i="31" s="1"/>
  <c r="E1121" i="13"/>
  <c r="G1121" i="13" s="1"/>
  <c r="J1019" i="31" s="1"/>
  <c r="E1122" i="13"/>
  <c r="G1122" i="13" s="1"/>
  <c r="J1020" i="31" s="1"/>
  <c r="E1123" i="13"/>
  <c r="G1123" i="13" s="1"/>
  <c r="J1021" i="31" s="1"/>
  <c r="E1124" i="13"/>
  <c r="G1124" i="13" s="1"/>
  <c r="E1125" i="13"/>
  <c r="G1125" i="13" s="1"/>
  <c r="J1022" i="31" s="1"/>
  <c r="E1126" i="13"/>
  <c r="G1126" i="13" s="1"/>
  <c r="J1023" i="31" s="1"/>
  <c r="E1127" i="13"/>
  <c r="G1127" i="13" s="1"/>
  <c r="J1024" i="31" s="1"/>
  <c r="E1128" i="13"/>
  <c r="G1128" i="13" s="1"/>
  <c r="J1025" i="31" s="1"/>
  <c r="E1129" i="13"/>
  <c r="G1129" i="13" s="1"/>
  <c r="J1026" i="31" s="1"/>
  <c r="E1130" i="13"/>
  <c r="G1130" i="13" s="1"/>
  <c r="J1027" i="31" s="1"/>
  <c r="E1131" i="13"/>
  <c r="G1131" i="13" s="1"/>
  <c r="J1028" i="31" s="1"/>
  <c r="E1132" i="13"/>
  <c r="G1132" i="13" s="1"/>
  <c r="J1029" i="31" s="1"/>
  <c r="E1133" i="13"/>
  <c r="G1133" i="13" s="1"/>
  <c r="J1030" i="31" s="1"/>
  <c r="E1134" i="13"/>
  <c r="G1134" i="13" s="1"/>
  <c r="J1031" i="31" s="1"/>
  <c r="E1135" i="13"/>
  <c r="G1135" i="13" s="1"/>
  <c r="E1136" i="13"/>
  <c r="G1136" i="13" s="1"/>
  <c r="J1032" i="31" s="1"/>
  <c r="E1137" i="13"/>
  <c r="G1137" i="13" s="1"/>
  <c r="J1033" i="31" s="1"/>
  <c r="E1138" i="13"/>
  <c r="G1138" i="13" s="1"/>
  <c r="J1034" i="31" s="1"/>
  <c r="E1139" i="13"/>
  <c r="G1139" i="13" s="1"/>
  <c r="J1035" i="31" s="1"/>
  <c r="E1140" i="13"/>
  <c r="G1140" i="13" s="1"/>
  <c r="J1036" i="31" s="1"/>
  <c r="E1141" i="13"/>
  <c r="G1141" i="13" s="1"/>
  <c r="J1037" i="31" s="1"/>
  <c r="E1142" i="13"/>
  <c r="G1142" i="13" s="1"/>
  <c r="J1038" i="31" s="1"/>
  <c r="E1143" i="13"/>
  <c r="G1143" i="13" s="1"/>
  <c r="J1039" i="31" s="1"/>
  <c r="E1144" i="13"/>
  <c r="G1144" i="13" s="1"/>
  <c r="J1040" i="31" s="1"/>
  <c r="E1145" i="13"/>
  <c r="G1145" i="13" s="1"/>
  <c r="J1041" i="31" s="1"/>
  <c r="E1146" i="13"/>
  <c r="G1146" i="13" s="1"/>
  <c r="E1147" i="13"/>
  <c r="G1147" i="13" s="1"/>
  <c r="J1042" i="31" s="1"/>
  <c r="E1148" i="13"/>
  <c r="G1148" i="13" s="1"/>
  <c r="J1043" i="31" s="1"/>
  <c r="E1149" i="13"/>
  <c r="G1149" i="13" s="1"/>
  <c r="J1044" i="31" s="1"/>
  <c r="E1150" i="13"/>
  <c r="G1150" i="13" s="1"/>
  <c r="J1045" i="31" s="1"/>
  <c r="E1151" i="13"/>
  <c r="G1151" i="13" s="1"/>
  <c r="J1046" i="31" s="1"/>
  <c r="E1152" i="13"/>
  <c r="G1152" i="13" s="1"/>
  <c r="J1047" i="31" s="1"/>
  <c r="E1153" i="13"/>
  <c r="G1153" i="13" s="1"/>
  <c r="J1048" i="31" s="1"/>
  <c r="E1154" i="13"/>
  <c r="G1154" i="13" s="1"/>
  <c r="J1049" i="31" s="1"/>
  <c r="E1155" i="13"/>
  <c r="G1155" i="13" s="1"/>
  <c r="J1050" i="31" s="1"/>
  <c r="E1156" i="13"/>
  <c r="G1156" i="13" s="1"/>
  <c r="J1051" i="31" s="1"/>
  <c r="E1157" i="13"/>
  <c r="G1157" i="13" s="1"/>
  <c r="E1158" i="13"/>
  <c r="G1158" i="13" s="1"/>
  <c r="J1052" i="31" s="1"/>
  <c r="E1159" i="13"/>
  <c r="G1159" i="13" s="1"/>
  <c r="J1053" i="31" s="1"/>
  <c r="E1160" i="13"/>
  <c r="G1160" i="13" s="1"/>
  <c r="J1054" i="31" s="1"/>
  <c r="E1161" i="13"/>
  <c r="G1161" i="13" s="1"/>
  <c r="J1055" i="31" s="1"/>
  <c r="E1162" i="13"/>
  <c r="G1162" i="13" s="1"/>
  <c r="J1056" i="31" s="1"/>
  <c r="E1163" i="13"/>
  <c r="G1163" i="13" s="1"/>
  <c r="J1057" i="31" s="1"/>
  <c r="E1164" i="13"/>
  <c r="G1164" i="13" s="1"/>
  <c r="J1058" i="31" s="1"/>
  <c r="E1165" i="13"/>
  <c r="G1165" i="13" s="1"/>
  <c r="J1059" i="31" s="1"/>
  <c r="E1166" i="13"/>
  <c r="G1166" i="13" s="1"/>
  <c r="J1060" i="31" s="1"/>
  <c r="E1167" i="13"/>
  <c r="G1167" i="13" s="1"/>
  <c r="J1061" i="31" s="1"/>
  <c r="E1168" i="13"/>
  <c r="G1168" i="13" s="1"/>
  <c r="E1169" i="13"/>
  <c r="G1169" i="13" s="1"/>
  <c r="J1062" i="31" s="1"/>
  <c r="E1170" i="13"/>
  <c r="G1170" i="13" s="1"/>
  <c r="J1063" i="31" s="1"/>
  <c r="E1171" i="13"/>
  <c r="G1171" i="13" s="1"/>
  <c r="J1064" i="31" s="1"/>
  <c r="E1172" i="13"/>
  <c r="G1172" i="13" s="1"/>
  <c r="J1065" i="31" s="1"/>
  <c r="E1173" i="13"/>
  <c r="G1173" i="13" s="1"/>
  <c r="J1066" i="31" s="1"/>
  <c r="E1174" i="13"/>
  <c r="G1174" i="13" s="1"/>
  <c r="J1067" i="31" s="1"/>
  <c r="E1175" i="13"/>
  <c r="G1175" i="13" s="1"/>
  <c r="J1068" i="31" s="1"/>
  <c r="E1176" i="13"/>
  <c r="G1176" i="13" s="1"/>
  <c r="J1069" i="31" s="1"/>
  <c r="E1177" i="13"/>
  <c r="G1177" i="13" s="1"/>
  <c r="J1070" i="31" s="1"/>
  <c r="E1178" i="13"/>
  <c r="G1178" i="13" s="1"/>
  <c r="J1071" i="31" s="1"/>
  <c r="E1179" i="13"/>
  <c r="G1179" i="13" s="1"/>
  <c r="E1180" i="13"/>
  <c r="G1180" i="13" s="1"/>
  <c r="J1072" i="31" s="1"/>
  <c r="E1181" i="13"/>
  <c r="G1181" i="13" s="1"/>
  <c r="J1073" i="31" s="1"/>
  <c r="E1182" i="13"/>
  <c r="G1182" i="13" s="1"/>
  <c r="J1074" i="31" s="1"/>
  <c r="E1183" i="13"/>
  <c r="G1183" i="13" s="1"/>
  <c r="J1075" i="31" s="1"/>
  <c r="E1184" i="13"/>
  <c r="G1184" i="13" s="1"/>
  <c r="J1076" i="31" s="1"/>
  <c r="E1185" i="13"/>
  <c r="G1185" i="13" s="1"/>
  <c r="J1077" i="31" s="1"/>
  <c r="E1186" i="13"/>
  <c r="G1186" i="13" s="1"/>
  <c r="J1078" i="31" s="1"/>
  <c r="E1187" i="13"/>
  <c r="G1187" i="13" s="1"/>
  <c r="J1079" i="31" s="1"/>
  <c r="E1188" i="13"/>
  <c r="G1188" i="13" s="1"/>
  <c r="J1080" i="31" s="1"/>
  <c r="E1189" i="13"/>
  <c r="G1189" i="13" s="1"/>
  <c r="J1081" i="31" s="1"/>
  <c r="E1190" i="13"/>
  <c r="G1190" i="13" s="1"/>
  <c r="E1191" i="13"/>
  <c r="G1191" i="13" s="1"/>
  <c r="J1082" i="31" s="1"/>
  <c r="E1192" i="13"/>
  <c r="G1192" i="13" s="1"/>
  <c r="J1083" i="31" s="1"/>
  <c r="E1193" i="13"/>
  <c r="G1193" i="13" s="1"/>
  <c r="J1084" i="31" s="1"/>
  <c r="E1194" i="13"/>
  <c r="G1194" i="13" s="1"/>
  <c r="J1085" i="31" s="1"/>
  <c r="E1195" i="13"/>
  <c r="G1195" i="13" s="1"/>
  <c r="J1086" i="31" s="1"/>
  <c r="E1196" i="13"/>
  <c r="G1196" i="13" s="1"/>
  <c r="J1087" i="31" s="1"/>
  <c r="E1197" i="13"/>
  <c r="G1197" i="13" s="1"/>
  <c r="J1088" i="31" s="1"/>
  <c r="E1198" i="13"/>
  <c r="G1198" i="13" s="1"/>
  <c r="J1089" i="31" s="1"/>
  <c r="E1199" i="13"/>
  <c r="G1199" i="13" s="1"/>
  <c r="J1090" i="31" s="1"/>
  <c r="E1200" i="13"/>
  <c r="G1200" i="13" s="1"/>
  <c r="J1091" i="31" s="1"/>
  <c r="E1201" i="13"/>
  <c r="G1201" i="13" s="1"/>
  <c r="E1202" i="13"/>
  <c r="G1202" i="13" s="1"/>
  <c r="J1092" i="31" s="1"/>
  <c r="E1203" i="13"/>
  <c r="G1203" i="13" s="1"/>
  <c r="J1093" i="31" s="1"/>
  <c r="E1204" i="13"/>
  <c r="G1204" i="13" s="1"/>
  <c r="J1094" i="31" s="1"/>
  <c r="E1205" i="13"/>
  <c r="G1205" i="13" s="1"/>
  <c r="J1095" i="31" s="1"/>
  <c r="E1206" i="13"/>
  <c r="G1206" i="13" s="1"/>
  <c r="J1096" i="31" s="1"/>
  <c r="E1207" i="13"/>
  <c r="G1207" i="13" s="1"/>
  <c r="J1097" i="31" s="1"/>
  <c r="E1208" i="13"/>
  <c r="G1208" i="13" s="1"/>
  <c r="J1098" i="31" s="1"/>
  <c r="E1209" i="13"/>
  <c r="G1209" i="13" s="1"/>
  <c r="J1099" i="31" s="1"/>
  <c r="E1210" i="13"/>
  <c r="G1210" i="13" s="1"/>
  <c r="J1100" i="31" s="1"/>
  <c r="E1211" i="13"/>
  <c r="G1211" i="13" s="1"/>
  <c r="J1101" i="31" s="1"/>
  <c r="E1212" i="13"/>
  <c r="G1212" i="13" s="1"/>
  <c r="E1213" i="13"/>
  <c r="G1213" i="13" s="1"/>
  <c r="J1102" i="31" s="1"/>
  <c r="E1214" i="13"/>
  <c r="G1214" i="13" s="1"/>
  <c r="J1103" i="31" s="1"/>
  <c r="E1215" i="13"/>
  <c r="G1215" i="13" s="1"/>
  <c r="J1104" i="31" s="1"/>
  <c r="E1216" i="13"/>
  <c r="G1216" i="13" s="1"/>
  <c r="J1105" i="31" s="1"/>
  <c r="E1217" i="13"/>
  <c r="G1217" i="13" s="1"/>
  <c r="J1106" i="31" s="1"/>
  <c r="E1218" i="13"/>
  <c r="G1218" i="13" s="1"/>
  <c r="J1107" i="31" s="1"/>
  <c r="E1219" i="13"/>
  <c r="G1219" i="13" s="1"/>
  <c r="J1108" i="31" s="1"/>
  <c r="E1220" i="13"/>
  <c r="G1220" i="13" s="1"/>
  <c r="J1109" i="31" s="1"/>
  <c r="E1221" i="13"/>
  <c r="G1221" i="13" s="1"/>
  <c r="J1110" i="31" s="1"/>
  <c r="E1222" i="13"/>
  <c r="G1222" i="13" s="1"/>
  <c r="J1111" i="31" s="1"/>
  <c r="E1223" i="13"/>
  <c r="G1223" i="13" s="1"/>
  <c r="E1224" i="13"/>
  <c r="G1224" i="13" s="1"/>
  <c r="J1112" i="31" s="1"/>
  <c r="E1225" i="13"/>
  <c r="G1225" i="13" s="1"/>
  <c r="J1113" i="31" s="1"/>
  <c r="E1226" i="13"/>
  <c r="G1226" i="13" s="1"/>
  <c r="J1114" i="31" s="1"/>
  <c r="E1227" i="13"/>
  <c r="G1227" i="13" s="1"/>
  <c r="J1115" i="31" s="1"/>
  <c r="E1228" i="13"/>
  <c r="G1228" i="13" s="1"/>
  <c r="J1116" i="31" s="1"/>
  <c r="E1229" i="13"/>
  <c r="G1229" i="13" s="1"/>
  <c r="J1117" i="31" s="1"/>
  <c r="E1230" i="13"/>
  <c r="G1230" i="13" s="1"/>
  <c r="J1118" i="31" s="1"/>
  <c r="E1231" i="13"/>
  <c r="G1231" i="13" s="1"/>
  <c r="J1119" i="31" s="1"/>
  <c r="E1232" i="13"/>
  <c r="G1232" i="13" s="1"/>
  <c r="J1120" i="31" s="1"/>
  <c r="E1233" i="13"/>
  <c r="G1233" i="13" s="1"/>
  <c r="J1121" i="31" s="1"/>
  <c r="E1234" i="13"/>
  <c r="G1234" i="13" s="1"/>
  <c r="E1235" i="13"/>
  <c r="G1235" i="13" s="1"/>
  <c r="J1122" i="31" s="1"/>
  <c r="E1236" i="13"/>
  <c r="G1236" i="13" s="1"/>
  <c r="J1123" i="31" s="1"/>
  <c r="E1237" i="13"/>
  <c r="G1237" i="13" s="1"/>
  <c r="J1124" i="31" s="1"/>
  <c r="E1238" i="13"/>
  <c r="G1238" i="13" s="1"/>
  <c r="J1125" i="31" s="1"/>
  <c r="E1239" i="13"/>
  <c r="G1239" i="13" s="1"/>
  <c r="J1126" i="31" s="1"/>
  <c r="E1240" i="13"/>
  <c r="G1240" i="13" s="1"/>
  <c r="J1127" i="31" s="1"/>
  <c r="E1241" i="13"/>
  <c r="G1241" i="13" s="1"/>
  <c r="J1128" i="31" s="1"/>
  <c r="E1242" i="13"/>
  <c r="G1242" i="13" s="1"/>
  <c r="J1129" i="31" s="1"/>
  <c r="E1243" i="13"/>
  <c r="G1243" i="13" s="1"/>
  <c r="J1130" i="31" s="1"/>
  <c r="E1244" i="13"/>
  <c r="G1244" i="13" s="1"/>
  <c r="J1131" i="31" s="1"/>
  <c r="E1245" i="13"/>
  <c r="G1245" i="13" s="1"/>
  <c r="E1246" i="13"/>
  <c r="G1246" i="13" s="1"/>
  <c r="J1132" i="31" s="1"/>
  <c r="E1247" i="13"/>
  <c r="G1247" i="13" s="1"/>
  <c r="J1133" i="31" s="1"/>
  <c r="E1248" i="13"/>
  <c r="G1248" i="13" s="1"/>
  <c r="J1134" i="31" s="1"/>
  <c r="E1249" i="13"/>
  <c r="G1249" i="13" s="1"/>
  <c r="J1135" i="31" s="1"/>
  <c r="E1250" i="13"/>
  <c r="G1250" i="13" s="1"/>
  <c r="J1136" i="31" s="1"/>
  <c r="E1251" i="13"/>
  <c r="G1251" i="13" s="1"/>
  <c r="J1137" i="31" s="1"/>
  <c r="E1252" i="13"/>
  <c r="G1252" i="13" s="1"/>
  <c r="J1138" i="31" s="1"/>
  <c r="E1253" i="13"/>
  <c r="G1253" i="13" s="1"/>
  <c r="J1139" i="31" s="1"/>
  <c r="E1254" i="13"/>
  <c r="G1254" i="13" s="1"/>
  <c r="J1140" i="31" s="1"/>
  <c r="E1255" i="13"/>
  <c r="G1255" i="13" s="1"/>
  <c r="J1141" i="31" s="1"/>
  <c r="E1256" i="13"/>
  <c r="G1256" i="13" s="1"/>
  <c r="E1257" i="13"/>
  <c r="G1257" i="13" s="1"/>
  <c r="J1142" i="31" s="1"/>
  <c r="E1258" i="13"/>
  <c r="G1258" i="13" s="1"/>
  <c r="J1143" i="31" s="1"/>
  <c r="E1259" i="13"/>
  <c r="G1259" i="13" s="1"/>
  <c r="J1144" i="31" s="1"/>
  <c r="E1260" i="13"/>
  <c r="G1260" i="13" s="1"/>
  <c r="J1145" i="31" s="1"/>
  <c r="E1261" i="13"/>
  <c r="G1261" i="13" s="1"/>
  <c r="J1146" i="31" s="1"/>
  <c r="E1262" i="13"/>
  <c r="G1262" i="13" s="1"/>
  <c r="J1147" i="31" s="1"/>
  <c r="E1263" i="13"/>
  <c r="G1263" i="13" s="1"/>
  <c r="J1148" i="31" s="1"/>
  <c r="E1264" i="13"/>
  <c r="G1264" i="13" s="1"/>
  <c r="J1149" i="31" s="1"/>
  <c r="E1265" i="13"/>
  <c r="G1265" i="13" s="1"/>
  <c r="J1150" i="31" s="1"/>
  <c r="E1266" i="13"/>
  <c r="G1266" i="13" s="1"/>
  <c r="J1151" i="31" s="1"/>
  <c r="E1267" i="13"/>
  <c r="G1267" i="13" s="1"/>
  <c r="E1268" i="13"/>
  <c r="G1268" i="13" s="1"/>
  <c r="J1152" i="31" s="1"/>
  <c r="E1269" i="13"/>
  <c r="G1269" i="13" s="1"/>
  <c r="J1153" i="31" s="1"/>
  <c r="E1270" i="13"/>
  <c r="G1270" i="13" s="1"/>
  <c r="J1154" i="31" s="1"/>
  <c r="E1271" i="13"/>
  <c r="G1271" i="13" s="1"/>
  <c r="J1155" i="31" s="1"/>
  <c r="E1272" i="13"/>
  <c r="G1272" i="13" s="1"/>
  <c r="J1156" i="31" s="1"/>
  <c r="E1273" i="13"/>
  <c r="G1273" i="13" s="1"/>
  <c r="J1157" i="31" s="1"/>
  <c r="E1274" i="13"/>
  <c r="G1274" i="13" s="1"/>
  <c r="J1158" i="31" s="1"/>
  <c r="E1275" i="13"/>
  <c r="G1275" i="13" s="1"/>
  <c r="J1159" i="31" s="1"/>
  <c r="E1276" i="13"/>
  <c r="G1276" i="13" s="1"/>
  <c r="J1160" i="31" s="1"/>
  <c r="E1277" i="13"/>
  <c r="G1277" i="13" s="1"/>
  <c r="J1161" i="31" s="1"/>
  <c r="E1278" i="13"/>
  <c r="G1278" i="13" s="1"/>
  <c r="E1279" i="13"/>
  <c r="G1279" i="13" s="1"/>
  <c r="J1162" i="31" s="1"/>
  <c r="E1280" i="13"/>
  <c r="G1280" i="13" s="1"/>
  <c r="J1163" i="31" s="1"/>
  <c r="E1281" i="13"/>
  <c r="G1281" i="13" s="1"/>
  <c r="J1164" i="31" s="1"/>
  <c r="E1282" i="13"/>
  <c r="G1282" i="13" s="1"/>
  <c r="J1165" i="31" s="1"/>
  <c r="E1283" i="13"/>
  <c r="G1283" i="13" s="1"/>
  <c r="J1166" i="31" s="1"/>
  <c r="E1284" i="13"/>
  <c r="G1284" i="13" s="1"/>
  <c r="J1167" i="31" s="1"/>
  <c r="E1285" i="13"/>
  <c r="G1285" i="13" s="1"/>
  <c r="J1168" i="31" s="1"/>
  <c r="E1286" i="13"/>
  <c r="G1286" i="13" s="1"/>
  <c r="J1169" i="31" s="1"/>
  <c r="E1287" i="13"/>
  <c r="G1287" i="13" s="1"/>
  <c r="J1170" i="31" s="1"/>
  <c r="E1288" i="13"/>
  <c r="G1288" i="13" s="1"/>
  <c r="J1171" i="31" s="1"/>
  <c r="E1289" i="13"/>
  <c r="G1289" i="13" s="1"/>
  <c r="E1290" i="13"/>
  <c r="G1290" i="13" s="1"/>
  <c r="J1172" i="31" s="1"/>
  <c r="E1291" i="13"/>
  <c r="G1291" i="13" s="1"/>
  <c r="J1173" i="31" s="1"/>
  <c r="E1292" i="13"/>
  <c r="G1292" i="13" s="1"/>
  <c r="J1174" i="31" s="1"/>
  <c r="E1293" i="13"/>
  <c r="G1293" i="13" s="1"/>
  <c r="J1175" i="31" s="1"/>
  <c r="E1294" i="13"/>
  <c r="G1294" i="13" s="1"/>
  <c r="J1176" i="31" s="1"/>
  <c r="E1295" i="13"/>
  <c r="G1295" i="13" s="1"/>
  <c r="J1177" i="31" s="1"/>
  <c r="E1296" i="13"/>
  <c r="G1296" i="13" s="1"/>
  <c r="J1178" i="31" s="1"/>
  <c r="E1297" i="13"/>
  <c r="G1297" i="13" s="1"/>
  <c r="J1179" i="31" s="1"/>
  <c r="E1298" i="13"/>
  <c r="G1298" i="13" s="1"/>
  <c r="J1180" i="31" s="1"/>
  <c r="E1299" i="13"/>
  <c r="G1299" i="13" s="1"/>
  <c r="J1181" i="31" s="1"/>
  <c r="E1300" i="13"/>
  <c r="G1300" i="13" s="1"/>
  <c r="E1301" i="13"/>
  <c r="G1301" i="13" s="1"/>
  <c r="J1182" i="31" s="1"/>
  <c r="E1302" i="13"/>
  <c r="G1302" i="13" s="1"/>
  <c r="J1183" i="31" s="1"/>
  <c r="E1303" i="13"/>
  <c r="G1303" i="13" s="1"/>
  <c r="J1184" i="31" s="1"/>
  <c r="E1304" i="13"/>
  <c r="G1304" i="13" s="1"/>
  <c r="J1185" i="31" s="1"/>
  <c r="E1305" i="13"/>
  <c r="G1305" i="13" s="1"/>
  <c r="J1186" i="31" s="1"/>
  <c r="E1306" i="13"/>
  <c r="G1306" i="13" s="1"/>
  <c r="J1187" i="31" s="1"/>
  <c r="E1307" i="13"/>
  <c r="G1307" i="13" s="1"/>
  <c r="J1188" i="31" s="1"/>
  <c r="E1308" i="13"/>
  <c r="G1308" i="13" s="1"/>
  <c r="J1189" i="31" s="1"/>
  <c r="E1309" i="13"/>
  <c r="G1309" i="13" s="1"/>
  <c r="J1190" i="31" s="1"/>
  <c r="E1310" i="13"/>
  <c r="G1310" i="13" s="1"/>
  <c r="J1191" i="31" s="1"/>
  <c r="E1311" i="13"/>
  <c r="G1311" i="13" s="1"/>
  <c r="E1312" i="13"/>
  <c r="G1312" i="13" s="1"/>
  <c r="J1192" i="31" s="1"/>
  <c r="E1313" i="13"/>
  <c r="G1313" i="13" s="1"/>
  <c r="J1193" i="31" s="1"/>
  <c r="E1314" i="13"/>
  <c r="G1314" i="13" s="1"/>
  <c r="J1194" i="31" s="1"/>
  <c r="E1315" i="13"/>
  <c r="G1315" i="13" s="1"/>
  <c r="J1195" i="31" s="1"/>
  <c r="E1316" i="13"/>
  <c r="G1316" i="13" s="1"/>
  <c r="J1196" i="31" s="1"/>
  <c r="E1317" i="13"/>
  <c r="G1317" i="13" s="1"/>
  <c r="J1197" i="31" s="1"/>
  <c r="E1318" i="13"/>
  <c r="G1318" i="13" s="1"/>
  <c r="J1198" i="31" s="1"/>
  <c r="E1319" i="13"/>
  <c r="G1319" i="13" s="1"/>
  <c r="J1199" i="31" s="1"/>
  <c r="E1320" i="13"/>
  <c r="G1320" i="13" s="1"/>
  <c r="J1200" i="31" s="1"/>
  <c r="E1321" i="13"/>
  <c r="G1321" i="13" s="1"/>
  <c r="J1201" i="31" s="1"/>
  <c r="E1322" i="13"/>
  <c r="G1322" i="13" s="1"/>
  <c r="E1323" i="13"/>
  <c r="G1323" i="13" s="1"/>
  <c r="J1202" i="31" s="1"/>
  <c r="E1324" i="13"/>
  <c r="G1324" i="13" s="1"/>
  <c r="J1203" i="31" s="1"/>
  <c r="E1325" i="13"/>
  <c r="G1325" i="13" s="1"/>
  <c r="J1204" i="31" s="1"/>
  <c r="E1326" i="13"/>
  <c r="G1326" i="13" s="1"/>
  <c r="J1205" i="31" s="1"/>
  <c r="E1327" i="13"/>
  <c r="G1327" i="13" s="1"/>
  <c r="J1206" i="31" s="1"/>
  <c r="E1328" i="13"/>
  <c r="G1328" i="13" s="1"/>
  <c r="J1207" i="31" s="1"/>
  <c r="E1329" i="13"/>
  <c r="G1329" i="13" s="1"/>
  <c r="J1208" i="31" s="1"/>
  <c r="E1330" i="13"/>
  <c r="G1330" i="13" s="1"/>
  <c r="J1209" i="31" s="1"/>
  <c r="E1331" i="13"/>
  <c r="G1331" i="13" s="1"/>
  <c r="J1210" i="31" s="1"/>
  <c r="E1332" i="13"/>
  <c r="G1332" i="13" s="1"/>
  <c r="J1211" i="31" s="1"/>
  <c r="E1333" i="13"/>
  <c r="G1333" i="13" s="1"/>
  <c r="E1334" i="13"/>
  <c r="G1334" i="13" s="1"/>
  <c r="J1212" i="31" s="1"/>
  <c r="E1335" i="13"/>
  <c r="G1335" i="13" s="1"/>
  <c r="J1213" i="31" s="1"/>
  <c r="E1336" i="13"/>
  <c r="G1336" i="13" s="1"/>
  <c r="J1214" i="31" s="1"/>
  <c r="E1337" i="13"/>
  <c r="G1337" i="13" s="1"/>
  <c r="J1215" i="31" s="1"/>
  <c r="E1338" i="13"/>
  <c r="G1338" i="13" s="1"/>
  <c r="J1216" i="31" s="1"/>
  <c r="E1339" i="13"/>
  <c r="G1339" i="13" s="1"/>
  <c r="J1217" i="31" s="1"/>
  <c r="E1340" i="13"/>
  <c r="G1340" i="13" s="1"/>
  <c r="J1218" i="31" s="1"/>
  <c r="E1341" i="13"/>
  <c r="G1341" i="13" s="1"/>
  <c r="J1219" i="31" s="1"/>
  <c r="E1342" i="13"/>
  <c r="G1342" i="13" s="1"/>
  <c r="J1220" i="31" s="1"/>
  <c r="E1343" i="13"/>
  <c r="G1343" i="13" s="1"/>
  <c r="J1221" i="31" s="1"/>
  <c r="E1344" i="13"/>
  <c r="G1344" i="13" s="1"/>
  <c r="E1345" i="13"/>
  <c r="G1345" i="13" s="1"/>
  <c r="J1222" i="31" s="1"/>
  <c r="E1346" i="13"/>
  <c r="G1346" i="13" s="1"/>
  <c r="J1223" i="31" s="1"/>
  <c r="E1347" i="13"/>
  <c r="G1347" i="13" s="1"/>
  <c r="J1224" i="31" s="1"/>
  <c r="E1348" i="13"/>
  <c r="G1348" i="13" s="1"/>
  <c r="J1225" i="31" s="1"/>
  <c r="E1349" i="13"/>
  <c r="G1349" i="13" s="1"/>
  <c r="J1226" i="31" s="1"/>
  <c r="E1350" i="13"/>
  <c r="G1350" i="13" s="1"/>
  <c r="J1227" i="31" s="1"/>
  <c r="E1351" i="13"/>
  <c r="G1351" i="13" s="1"/>
  <c r="J1228" i="31" s="1"/>
  <c r="E1352" i="13"/>
  <c r="G1352" i="13" s="1"/>
  <c r="J1229" i="31" s="1"/>
  <c r="E1353" i="13"/>
  <c r="G1353" i="13" s="1"/>
  <c r="J1230" i="31" s="1"/>
  <c r="E1354" i="13"/>
  <c r="G1354" i="13" s="1"/>
  <c r="J1231" i="31" s="1"/>
  <c r="E1355" i="13"/>
  <c r="G1355" i="13" s="1"/>
  <c r="E1356" i="13"/>
  <c r="G1356" i="13" s="1"/>
  <c r="J1232" i="31" s="1"/>
  <c r="E1357" i="13"/>
  <c r="G1357" i="13" s="1"/>
  <c r="J1233" i="31" s="1"/>
  <c r="E1358" i="13"/>
  <c r="G1358" i="13" s="1"/>
  <c r="J1234" i="31" s="1"/>
  <c r="E1359" i="13"/>
  <c r="G1359" i="13" s="1"/>
  <c r="J1235" i="31" s="1"/>
  <c r="E1360" i="13"/>
  <c r="G1360" i="13" s="1"/>
  <c r="J1236" i="31" s="1"/>
  <c r="E1361" i="13"/>
  <c r="G1361" i="13" s="1"/>
  <c r="J1237" i="31" s="1"/>
  <c r="E1362" i="13"/>
  <c r="G1362" i="13" s="1"/>
  <c r="J1238" i="31" s="1"/>
  <c r="E1363" i="13"/>
  <c r="G1363" i="13" s="1"/>
  <c r="J1239" i="31" s="1"/>
  <c r="E1364" i="13"/>
  <c r="G1364" i="13" s="1"/>
  <c r="J1240" i="31" s="1"/>
  <c r="E1365" i="13"/>
  <c r="G1365" i="13" s="1"/>
  <c r="J1241" i="31" s="1"/>
  <c r="E1366" i="13"/>
  <c r="G1366" i="13" s="1"/>
  <c r="E1367" i="13"/>
  <c r="G1367" i="13" s="1"/>
  <c r="J1242" i="31" s="1"/>
  <c r="E1368" i="13"/>
  <c r="G1368" i="13" s="1"/>
  <c r="J1243" i="31" s="1"/>
  <c r="E1369" i="13"/>
  <c r="G1369" i="13" s="1"/>
  <c r="J1244" i="31" s="1"/>
  <c r="E1370" i="13"/>
  <c r="G1370" i="13" s="1"/>
  <c r="J1245" i="31" s="1"/>
  <c r="E1371" i="13"/>
  <c r="G1371" i="13" s="1"/>
  <c r="J1246" i="31" s="1"/>
  <c r="E1372" i="13"/>
  <c r="G1372" i="13" s="1"/>
  <c r="J1247" i="31" s="1"/>
  <c r="E1373" i="13"/>
  <c r="G1373" i="13" s="1"/>
  <c r="J1248" i="31" s="1"/>
  <c r="E1374" i="13"/>
  <c r="G1374" i="13" s="1"/>
  <c r="J1249" i="31" s="1"/>
  <c r="E1375" i="13"/>
  <c r="G1375" i="13" s="1"/>
  <c r="J1250" i="31" s="1"/>
  <c r="E1376" i="13"/>
  <c r="G1376" i="13" s="1"/>
  <c r="J1251" i="31" s="1"/>
  <c r="E1377" i="13"/>
  <c r="G1377" i="13" s="1"/>
  <c r="E1378" i="13"/>
  <c r="G1378" i="13" s="1"/>
  <c r="J1252" i="31" s="1"/>
  <c r="E1379" i="13"/>
  <c r="G1379" i="13" s="1"/>
  <c r="J1253" i="31" s="1"/>
  <c r="E1380" i="13"/>
  <c r="G1380" i="13" s="1"/>
  <c r="J1254" i="31" s="1"/>
  <c r="E1381" i="13"/>
  <c r="G1381" i="13" s="1"/>
  <c r="J1255" i="31" s="1"/>
  <c r="E1382" i="13"/>
  <c r="G1382" i="13" s="1"/>
  <c r="J1256" i="31" s="1"/>
  <c r="E1383" i="13"/>
  <c r="G1383" i="13" s="1"/>
  <c r="J1257" i="31" s="1"/>
  <c r="E1384" i="13"/>
  <c r="G1384" i="13" s="1"/>
  <c r="J1258" i="31" s="1"/>
  <c r="E1385" i="13"/>
  <c r="G1385" i="13" s="1"/>
  <c r="J1259" i="31" s="1"/>
  <c r="E1386" i="13"/>
  <c r="G1386" i="13" s="1"/>
  <c r="J1260" i="31" s="1"/>
  <c r="E1387" i="13"/>
  <c r="G1387" i="13" s="1"/>
  <c r="J1261" i="31" s="1"/>
  <c r="E1388" i="13"/>
  <c r="G1388" i="13" s="1"/>
  <c r="E1389" i="13"/>
  <c r="G1389" i="13" s="1"/>
  <c r="J1262" i="31" s="1"/>
  <c r="E1390" i="13"/>
  <c r="G1390" i="13" s="1"/>
  <c r="J1263" i="31" s="1"/>
  <c r="E1391" i="13"/>
  <c r="G1391" i="13" s="1"/>
  <c r="J1264" i="31" s="1"/>
  <c r="E1392" i="13"/>
  <c r="G1392" i="13" s="1"/>
  <c r="J1265" i="31" s="1"/>
  <c r="E1393" i="13"/>
  <c r="G1393" i="13" s="1"/>
  <c r="J1266" i="31" s="1"/>
  <c r="E1394" i="13"/>
  <c r="G1394" i="13" s="1"/>
  <c r="J1267" i="31" s="1"/>
  <c r="E1395" i="13"/>
  <c r="G1395" i="13" s="1"/>
  <c r="J1268" i="31" s="1"/>
  <c r="E1396" i="13"/>
  <c r="G1396" i="13" s="1"/>
  <c r="J1269" i="31" s="1"/>
  <c r="E1397" i="13"/>
  <c r="G1397" i="13" s="1"/>
  <c r="J1270" i="31" s="1"/>
  <c r="E1398" i="13"/>
  <c r="G1398" i="13" s="1"/>
  <c r="J1271" i="31" s="1"/>
  <c r="E1399" i="13"/>
  <c r="G1399" i="13" s="1"/>
  <c r="E1400" i="13"/>
  <c r="G1400" i="13" s="1"/>
  <c r="J1272" i="31" s="1"/>
  <c r="E1401" i="13"/>
  <c r="G1401" i="13" s="1"/>
  <c r="J1273" i="31" s="1"/>
  <c r="E1402" i="13"/>
  <c r="G1402" i="13" s="1"/>
  <c r="J1274" i="31" s="1"/>
  <c r="E1403" i="13"/>
  <c r="G1403" i="13" s="1"/>
  <c r="J1275" i="31" s="1"/>
  <c r="E1404" i="13"/>
  <c r="G1404" i="13" s="1"/>
  <c r="J1276" i="31" s="1"/>
  <c r="E1405" i="13"/>
  <c r="G1405" i="13" s="1"/>
  <c r="J1277" i="31" s="1"/>
  <c r="E1406" i="13"/>
  <c r="G1406" i="13" s="1"/>
  <c r="J1278" i="31" s="1"/>
  <c r="E1407" i="13"/>
  <c r="G1407" i="13" s="1"/>
  <c r="J1279" i="31" s="1"/>
  <c r="E1408" i="13"/>
  <c r="G1408" i="13" s="1"/>
  <c r="J1280" i="31" s="1"/>
  <c r="E1409" i="13"/>
  <c r="G1409" i="13" s="1"/>
  <c r="J1281" i="31" s="1"/>
  <c r="E1410" i="13"/>
  <c r="G1410" i="13" s="1"/>
  <c r="E1411" i="13"/>
  <c r="G1411" i="13" s="1"/>
  <c r="J1282" i="31" s="1"/>
  <c r="E1412" i="13"/>
  <c r="G1412" i="13" s="1"/>
  <c r="J1283" i="31" s="1"/>
  <c r="E1413" i="13"/>
  <c r="G1413" i="13" s="1"/>
  <c r="J1284" i="31" s="1"/>
  <c r="E1414" i="13"/>
  <c r="G1414" i="13" s="1"/>
  <c r="J1285" i="31" s="1"/>
  <c r="E1415" i="13"/>
  <c r="G1415" i="13" s="1"/>
  <c r="J1286" i="31" s="1"/>
  <c r="E1416" i="13"/>
  <c r="G1416" i="13" s="1"/>
  <c r="J1287" i="31" s="1"/>
  <c r="E1417" i="13"/>
  <c r="G1417" i="13" s="1"/>
  <c r="J1288" i="31" s="1"/>
  <c r="E1418" i="13"/>
  <c r="G1418" i="13" s="1"/>
  <c r="J1289" i="31" s="1"/>
  <c r="E1419" i="13"/>
  <c r="G1419" i="13" s="1"/>
  <c r="J1290" i="31" s="1"/>
  <c r="E1420" i="13"/>
  <c r="G1420" i="13" s="1"/>
  <c r="J1291" i="31" s="1"/>
  <c r="E1421" i="13"/>
  <c r="G1421" i="13" s="1"/>
  <c r="E1422" i="13"/>
  <c r="G1422" i="13" s="1"/>
  <c r="J1292" i="31" s="1"/>
  <c r="E1423" i="13"/>
  <c r="G1423" i="13" s="1"/>
  <c r="J1293" i="31" s="1"/>
  <c r="E1424" i="13"/>
  <c r="G1424" i="13" s="1"/>
  <c r="J1294" i="31" s="1"/>
  <c r="E1425" i="13"/>
  <c r="G1425" i="13" s="1"/>
  <c r="J1295" i="31" s="1"/>
  <c r="E1426" i="13"/>
  <c r="G1426" i="13" s="1"/>
  <c r="J1296" i="31" s="1"/>
  <c r="E1427" i="13"/>
  <c r="G1427" i="13" s="1"/>
  <c r="J1297" i="31" s="1"/>
  <c r="E1428" i="13"/>
  <c r="G1428" i="13" s="1"/>
  <c r="J1298" i="31" s="1"/>
  <c r="E1429" i="13"/>
  <c r="G1429" i="13" s="1"/>
  <c r="J1299" i="31" s="1"/>
  <c r="E1430" i="13"/>
  <c r="G1430" i="13" s="1"/>
  <c r="J1300" i="31" s="1"/>
  <c r="E1431" i="13"/>
  <c r="G1431" i="13" s="1"/>
  <c r="J1301" i="31" s="1"/>
  <c r="E1432" i="13"/>
  <c r="G1432" i="13" s="1"/>
  <c r="E1433" i="13"/>
  <c r="G1433" i="13" s="1"/>
  <c r="J1302" i="31" s="1"/>
  <c r="E1434" i="13"/>
  <c r="G1434" i="13" s="1"/>
  <c r="J1303" i="31" s="1"/>
  <c r="E1435" i="13"/>
  <c r="G1435" i="13" s="1"/>
  <c r="J1304" i="31" s="1"/>
  <c r="E1436" i="13"/>
  <c r="G1436" i="13" s="1"/>
  <c r="J1305" i="31" s="1"/>
  <c r="E1437" i="13"/>
  <c r="G1437" i="13" s="1"/>
  <c r="J1306" i="31" s="1"/>
  <c r="E1438" i="13"/>
  <c r="G1438" i="13" s="1"/>
  <c r="J1307" i="31" s="1"/>
  <c r="E1439" i="13"/>
  <c r="G1439" i="13" s="1"/>
  <c r="J1308" i="31" s="1"/>
  <c r="E1440" i="13"/>
  <c r="G1440" i="13" s="1"/>
  <c r="J1309" i="31" s="1"/>
  <c r="E1441" i="13"/>
  <c r="G1441" i="13" s="1"/>
  <c r="J1310" i="31" s="1"/>
  <c r="E1442" i="13"/>
  <c r="G1442" i="13" s="1"/>
  <c r="J1311" i="31" s="1"/>
  <c r="E1443" i="13"/>
  <c r="G1443" i="13" s="1"/>
  <c r="E1444" i="13"/>
  <c r="G1444" i="13" s="1"/>
  <c r="J1312" i="31" s="1"/>
  <c r="E1445" i="13"/>
  <c r="G1445" i="13" s="1"/>
  <c r="J1313" i="31" s="1"/>
  <c r="E1446" i="13"/>
  <c r="G1446" i="13" s="1"/>
  <c r="J1314" i="31" s="1"/>
  <c r="E1447" i="13"/>
  <c r="G1447" i="13" s="1"/>
  <c r="J1315" i="31" s="1"/>
  <c r="E1448" i="13"/>
  <c r="G1448" i="13" s="1"/>
  <c r="J1316" i="31" s="1"/>
  <c r="E1449" i="13"/>
  <c r="G1449" i="13" s="1"/>
  <c r="J1317" i="31" s="1"/>
  <c r="E1450" i="13"/>
  <c r="G1450" i="13" s="1"/>
  <c r="J1318" i="31" s="1"/>
  <c r="E1451" i="13"/>
  <c r="G1451" i="13" s="1"/>
  <c r="J1319" i="31" s="1"/>
  <c r="E1452" i="13"/>
  <c r="G1452" i="13" s="1"/>
  <c r="J1320" i="31" s="1"/>
  <c r="E1453" i="13"/>
  <c r="G1453" i="13" s="1"/>
  <c r="J1321" i="31" s="1"/>
  <c r="E1454" i="13"/>
  <c r="G1454" i="13" s="1"/>
  <c r="E1455" i="13"/>
  <c r="G1455" i="13" s="1"/>
  <c r="J1322" i="31" s="1"/>
  <c r="E1456" i="13"/>
  <c r="G1456" i="13" s="1"/>
  <c r="J1323" i="31" s="1"/>
  <c r="E1457" i="13"/>
  <c r="G1457" i="13" s="1"/>
  <c r="J1324" i="31" s="1"/>
  <c r="E1458" i="13"/>
  <c r="G1458" i="13" s="1"/>
  <c r="J1325" i="31" s="1"/>
  <c r="E1459" i="13"/>
  <c r="G1459" i="13" s="1"/>
  <c r="J1326" i="31" s="1"/>
  <c r="E1460" i="13"/>
  <c r="G1460" i="13" s="1"/>
  <c r="J1327" i="31" s="1"/>
  <c r="E1461" i="13"/>
  <c r="G1461" i="13" s="1"/>
  <c r="J1328" i="31" s="1"/>
  <c r="E1462" i="13"/>
  <c r="G1462" i="13" s="1"/>
  <c r="J1329" i="31" s="1"/>
  <c r="E1463" i="13"/>
  <c r="G1463" i="13" s="1"/>
  <c r="J1330" i="31" s="1"/>
  <c r="E1464" i="13"/>
  <c r="G1464" i="13" s="1"/>
  <c r="J1331" i="31" s="1"/>
  <c r="E1465" i="13"/>
  <c r="G1465" i="13" s="1"/>
  <c r="E1466" i="13"/>
  <c r="G1466" i="13" s="1"/>
  <c r="J1332" i="31" s="1"/>
  <c r="E1467" i="13"/>
  <c r="G1467" i="13" s="1"/>
  <c r="J1333" i="31" s="1"/>
  <c r="E1468" i="13"/>
  <c r="G1468" i="13" s="1"/>
  <c r="J1334" i="31" s="1"/>
  <c r="E1469" i="13"/>
  <c r="G1469" i="13" s="1"/>
  <c r="J1335" i="31" s="1"/>
  <c r="E1470" i="13"/>
  <c r="G1470" i="13" s="1"/>
  <c r="J1336" i="31" s="1"/>
  <c r="E1471" i="13"/>
  <c r="G1471" i="13" s="1"/>
  <c r="J1337" i="31" s="1"/>
  <c r="E1472" i="13"/>
  <c r="G1472" i="13" s="1"/>
  <c r="J1338" i="31" s="1"/>
  <c r="E1473" i="13"/>
  <c r="G1473" i="13" s="1"/>
  <c r="J1339" i="31" s="1"/>
  <c r="E1474" i="13"/>
  <c r="G1474" i="13" s="1"/>
  <c r="J1340" i="31" s="1"/>
  <c r="E1475" i="13"/>
  <c r="G1475" i="13" s="1"/>
  <c r="J1341" i="31" s="1"/>
  <c r="E1476" i="13"/>
  <c r="G1476" i="13" s="1"/>
  <c r="E1477" i="13"/>
  <c r="G1477" i="13" s="1"/>
  <c r="J1342" i="31" s="1"/>
  <c r="E1478" i="13"/>
  <c r="G1478" i="13" s="1"/>
  <c r="J1343" i="31" s="1"/>
  <c r="E1479" i="13"/>
  <c r="G1479" i="13" s="1"/>
  <c r="J1344" i="31" s="1"/>
  <c r="E1480" i="13"/>
  <c r="G1480" i="13" s="1"/>
  <c r="J1345" i="31" s="1"/>
  <c r="E1481" i="13"/>
  <c r="G1481" i="13" s="1"/>
  <c r="J1346" i="31" s="1"/>
  <c r="E1482" i="13"/>
  <c r="G1482" i="13" s="1"/>
  <c r="J1347" i="31" s="1"/>
  <c r="E1483" i="13"/>
  <c r="G1483" i="13" s="1"/>
  <c r="J1348" i="31" s="1"/>
  <c r="E1484" i="13"/>
  <c r="G1484" i="13" s="1"/>
  <c r="J1349" i="31" s="1"/>
  <c r="E1485" i="13"/>
  <c r="G1485" i="13" s="1"/>
  <c r="J1350" i="31" s="1"/>
  <c r="E1486" i="13"/>
  <c r="G1486" i="13" s="1"/>
  <c r="J1351" i="31" s="1"/>
  <c r="E1487" i="13"/>
  <c r="G1487" i="13" s="1"/>
  <c r="E1488" i="13"/>
  <c r="G1488" i="13" s="1"/>
  <c r="J1352" i="31" s="1"/>
  <c r="E1489" i="13"/>
  <c r="G1489" i="13" s="1"/>
  <c r="J1353" i="31" s="1"/>
  <c r="E1490" i="13"/>
  <c r="G1490" i="13" s="1"/>
  <c r="J1354" i="31" s="1"/>
  <c r="E1491" i="13"/>
  <c r="G1491" i="13" s="1"/>
  <c r="J1355" i="31" s="1"/>
  <c r="E1492" i="13"/>
  <c r="G1492" i="13" s="1"/>
  <c r="J1356" i="31" s="1"/>
  <c r="E1493" i="13"/>
  <c r="G1493" i="13" s="1"/>
  <c r="J1357" i="31" s="1"/>
  <c r="E1494" i="13"/>
  <c r="G1494" i="13" s="1"/>
  <c r="J1358" i="31" s="1"/>
  <c r="E1495" i="13"/>
  <c r="G1495" i="13" s="1"/>
  <c r="J1359" i="31" s="1"/>
  <c r="E1496" i="13"/>
  <c r="G1496" i="13" s="1"/>
  <c r="J1360" i="31" s="1"/>
  <c r="E1497" i="13"/>
  <c r="G1497" i="13" s="1"/>
  <c r="J1361" i="31" s="1"/>
  <c r="E1498" i="13"/>
  <c r="G1498" i="13" s="1"/>
  <c r="E1499" i="13"/>
  <c r="G1499" i="13" s="1"/>
  <c r="J1362" i="31" s="1"/>
  <c r="E1500" i="13"/>
  <c r="G1500" i="13" s="1"/>
  <c r="J1363" i="31" s="1"/>
  <c r="E1501" i="13"/>
  <c r="G1501" i="13" s="1"/>
  <c r="J1364" i="31" s="1"/>
  <c r="E1502" i="13"/>
  <c r="G1502" i="13" s="1"/>
  <c r="J1365" i="31" s="1"/>
  <c r="E1503" i="13"/>
  <c r="G1503" i="13" s="1"/>
  <c r="J1366" i="31" s="1"/>
  <c r="E1504" i="13"/>
  <c r="G1504" i="13" s="1"/>
  <c r="J1367" i="31" s="1"/>
  <c r="E1505" i="13"/>
  <c r="G1505" i="13" s="1"/>
  <c r="J1368" i="31" s="1"/>
  <c r="E1506" i="13"/>
  <c r="G1506" i="13" s="1"/>
  <c r="J1369" i="31" s="1"/>
  <c r="E1507" i="13"/>
  <c r="G1507" i="13" s="1"/>
  <c r="J1370" i="31" s="1"/>
  <c r="E1508" i="13"/>
  <c r="G1508" i="13" s="1"/>
  <c r="J1371" i="31" s="1"/>
  <c r="E1509" i="13"/>
  <c r="G1509" i="13" s="1"/>
  <c r="E1510" i="13"/>
  <c r="G1510" i="13" s="1"/>
  <c r="J1372" i="31" s="1"/>
  <c r="E1511" i="13"/>
  <c r="G1511" i="13" s="1"/>
  <c r="J1373" i="31" s="1"/>
  <c r="E1512" i="13"/>
  <c r="G1512" i="13" s="1"/>
  <c r="J1374" i="31" s="1"/>
  <c r="E1513" i="13"/>
  <c r="G1513" i="13" s="1"/>
  <c r="J1375" i="31" s="1"/>
  <c r="E1514" i="13"/>
  <c r="G1514" i="13" s="1"/>
  <c r="J1376" i="31" s="1"/>
  <c r="E1515" i="13"/>
  <c r="G1515" i="13" s="1"/>
  <c r="J1377" i="31" s="1"/>
  <c r="E1516" i="13"/>
  <c r="G1516" i="13" s="1"/>
  <c r="J1378" i="31" s="1"/>
  <c r="E1517" i="13"/>
  <c r="G1517" i="13" s="1"/>
  <c r="J1379" i="31" s="1"/>
  <c r="E1518" i="13"/>
  <c r="G1518" i="13" s="1"/>
  <c r="J1380" i="31" s="1"/>
  <c r="E1519" i="13"/>
  <c r="G1519" i="13" s="1"/>
  <c r="J1381" i="31" s="1"/>
  <c r="E1520" i="13"/>
  <c r="G1520" i="13" s="1"/>
  <c r="E1521" i="13"/>
  <c r="G1521" i="13" s="1"/>
  <c r="J1382" i="31" s="1"/>
  <c r="E1522" i="13"/>
  <c r="G1522" i="13" s="1"/>
  <c r="J1383" i="31" s="1"/>
  <c r="E1523" i="13"/>
  <c r="G1523" i="13" s="1"/>
  <c r="J1384" i="31" s="1"/>
  <c r="E1524" i="13"/>
  <c r="G1524" i="13" s="1"/>
  <c r="J1385" i="31" s="1"/>
  <c r="E1525" i="13"/>
  <c r="G1525" i="13" s="1"/>
  <c r="J1386" i="31" s="1"/>
  <c r="E1526" i="13"/>
  <c r="G1526" i="13" s="1"/>
  <c r="J1387" i="31" s="1"/>
  <c r="E1527" i="13"/>
  <c r="G1527" i="13" s="1"/>
  <c r="J1388" i="31" s="1"/>
  <c r="E1528" i="13"/>
  <c r="G1528" i="13" s="1"/>
  <c r="J1389" i="31" s="1"/>
  <c r="E1529" i="13"/>
  <c r="G1529" i="13" s="1"/>
  <c r="J1390" i="31" s="1"/>
  <c r="E1530" i="13"/>
  <c r="G1530" i="13" s="1"/>
  <c r="J1391" i="31" s="1"/>
  <c r="E1531" i="13"/>
  <c r="G1531" i="13" s="1"/>
  <c r="E1532" i="13"/>
  <c r="G1532" i="13" s="1"/>
  <c r="J1392" i="31" s="1"/>
  <c r="E1533" i="13"/>
  <c r="G1533" i="13" s="1"/>
  <c r="J1393" i="31" s="1"/>
  <c r="E1534" i="13"/>
  <c r="G1534" i="13" s="1"/>
  <c r="J1394" i="31" s="1"/>
  <c r="E1535" i="13"/>
  <c r="G1535" i="13" s="1"/>
  <c r="J1395" i="31" s="1"/>
  <c r="E1536" i="13"/>
  <c r="G1536" i="13" s="1"/>
  <c r="J1396" i="31" s="1"/>
  <c r="E1537" i="13"/>
  <c r="G1537" i="13" s="1"/>
  <c r="J1397" i="31" s="1"/>
  <c r="E1538" i="13"/>
  <c r="G1538" i="13" s="1"/>
  <c r="J1398" i="31" s="1"/>
  <c r="E1539" i="13"/>
  <c r="G1539" i="13" s="1"/>
  <c r="J1399" i="31" s="1"/>
  <c r="E1540" i="13"/>
  <c r="G1540" i="13" s="1"/>
  <c r="J1400" i="31" s="1"/>
  <c r="E1541" i="13"/>
  <c r="G1541" i="13" s="1"/>
  <c r="J1401" i="31" s="1"/>
  <c r="E1542" i="13"/>
  <c r="G1542" i="13" s="1"/>
  <c r="E1543" i="13"/>
  <c r="G1543" i="13" s="1"/>
  <c r="J1402" i="31" s="1"/>
  <c r="E1544" i="13"/>
  <c r="G1544" i="13" s="1"/>
  <c r="J1403" i="31" s="1"/>
  <c r="E1545" i="13"/>
  <c r="G1545" i="13" s="1"/>
  <c r="J1404" i="31" s="1"/>
  <c r="E1546" i="13"/>
  <c r="G1546" i="13" s="1"/>
  <c r="J1405" i="31" s="1"/>
  <c r="E1547" i="13"/>
  <c r="G1547" i="13" s="1"/>
  <c r="J1406" i="31" s="1"/>
  <c r="E1548" i="13"/>
  <c r="G1548" i="13" s="1"/>
  <c r="J1407" i="31" s="1"/>
  <c r="E1549" i="13"/>
  <c r="G1549" i="13" s="1"/>
  <c r="J1408" i="31" s="1"/>
  <c r="E1550" i="13"/>
  <c r="G1550" i="13" s="1"/>
  <c r="J1409" i="31" s="1"/>
  <c r="E1551" i="13"/>
  <c r="G1551" i="13" s="1"/>
  <c r="J1410" i="31" s="1"/>
  <c r="E1552" i="13"/>
  <c r="G1552" i="13" s="1"/>
  <c r="J1411" i="31" s="1"/>
  <c r="E1553" i="13"/>
  <c r="G1553" i="13" s="1"/>
  <c r="E1554" i="13"/>
  <c r="G1554" i="13" s="1"/>
  <c r="J1412" i="31" s="1"/>
  <c r="E1555" i="13"/>
  <c r="G1555" i="13" s="1"/>
  <c r="J1413" i="31" s="1"/>
  <c r="E1556" i="13"/>
  <c r="G1556" i="13" s="1"/>
  <c r="J1414" i="31" s="1"/>
  <c r="E1557" i="13"/>
  <c r="G1557" i="13" s="1"/>
  <c r="J1415" i="31" s="1"/>
  <c r="E1558" i="13"/>
  <c r="G1558" i="13" s="1"/>
  <c r="J1416" i="31" s="1"/>
  <c r="E1559" i="13"/>
  <c r="G1559" i="13" s="1"/>
  <c r="J1417" i="31" s="1"/>
  <c r="E1560" i="13"/>
  <c r="G1560" i="13" s="1"/>
  <c r="J1418" i="31" s="1"/>
  <c r="E1561" i="13"/>
  <c r="G1561" i="13" s="1"/>
  <c r="J1419" i="31" s="1"/>
  <c r="E1562" i="13"/>
  <c r="G1562" i="13" s="1"/>
  <c r="J1420" i="31" s="1"/>
  <c r="E1563" i="13"/>
  <c r="G1563" i="13" s="1"/>
  <c r="J1421" i="31" s="1"/>
  <c r="E1564" i="13"/>
  <c r="G1564" i="13" s="1"/>
  <c r="E1565" i="13"/>
  <c r="G1565" i="13" s="1"/>
  <c r="J1422" i="31" s="1"/>
  <c r="E1566" i="13"/>
  <c r="G1566" i="13" s="1"/>
  <c r="J1423" i="31" s="1"/>
  <c r="E1567" i="13"/>
  <c r="G1567" i="13" s="1"/>
  <c r="J1424" i="31" s="1"/>
  <c r="E1568" i="13"/>
  <c r="G1568" i="13" s="1"/>
  <c r="J1425" i="31" s="1"/>
  <c r="E1569" i="13"/>
  <c r="G1569" i="13" s="1"/>
  <c r="J1426" i="31" s="1"/>
  <c r="E1570" i="13"/>
  <c r="G1570" i="13" s="1"/>
  <c r="J1427" i="31" s="1"/>
  <c r="E1571" i="13"/>
  <c r="G1571" i="13" s="1"/>
  <c r="J1428" i="31" s="1"/>
  <c r="E1572" i="13"/>
  <c r="G1572" i="13" s="1"/>
  <c r="J1429" i="31" s="1"/>
  <c r="E1573" i="13"/>
  <c r="G1573" i="13" s="1"/>
  <c r="J1430" i="31" s="1"/>
  <c r="E1574" i="13"/>
  <c r="G1574" i="13" s="1"/>
  <c r="J1431" i="31" s="1"/>
  <c r="E1575" i="13"/>
  <c r="G1575" i="13" s="1"/>
  <c r="E1576" i="13"/>
  <c r="G1576" i="13" s="1"/>
  <c r="J1432" i="31" s="1"/>
  <c r="E1577" i="13"/>
  <c r="G1577" i="13" s="1"/>
  <c r="J1433" i="31" s="1"/>
  <c r="E1578" i="13"/>
  <c r="G1578" i="13" s="1"/>
  <c r="J1434" i="31" s="1"/>
  <c r="E1579" i="13"/>
  <c r="G1579" i="13" s="1"/>
  <c r="J1435" i="31" s="1"/>
  <c r="E1580" i="13"/>
  <c r="G1580" i="13" s="1"/>
  <c r="J1436" i="31" s="1"/>
  <c r="E1581" i="13"/>
  <c r="G1581" i="13" s="1"/>
  <c r="J1437" i="31" s="1"/>
  <c r="E1582" i="13"/>
  <c r="G1582" i="13" s="1"/>
  <c r="J1438" i="31" s="1"/>
  <c r="E1583" i="13"/>
  <c r="G1583" i="13" s="1"/>
  <c r="J1439" i="31" s="1"/>
  <c r="E1584" i="13"/>
  <c r="G1584" i="13" s="1"/>
  <c r="J1440" i="31" s="1"/>
  <c r="E1585" i="13"/>
  <c r="G1585" i="13" s="1"/>
  <c r="J1441" i="31" s="1"/>
  <c r="E1586" i="13"/>
  <c r="G1586" i="13" s="1"/>
  <c r="E1587" i="13"/>
  <c r="G1587" i="13" s="1"/>
  <c r="J1442" i="31" s="1"/>
  <c r="E1588" i="13"/>
  <c r="G1588" i="13" s="1"/>
  <c r="J1443" i="31" s="1"/>
  <c r="E1589" i="13"/>
  <c r="G1589" i="13" s="1"/>
  <c r="J1444" i="31" s="1"/>
  <c r="E1590" i="13"/>
  <c r="G1590" i="13" s="1"/>
  <c r="J1445" i="31" s="1"/>
  <c r="E1591" i="13"/>
  <c r="G1591" i="13" s="1"/>
  <c r="J1446" i="31" s="1"/>
  <c r="E1592" i="13"/>
  <c r="G1592" i="13" s="1"/>
  <c r="J1447" i="31" s="1"/>
  <c r="E1593" i="13"/>
  <c r="G1593" i="13" s="1"/>
  <c r="J1448" i="31" s="1"/>
  <c r="E1594" i="13"/>
  <c r="G1594" i="13" s="1"/>
  <c r="J1449" i="31" s="1"/>
  <c r="E1595" i="13"/>
  <c r="G1595" i="13" s="1"/>
  <c r="J1450" i="31" s="1"/>
  <c r="E1596" i="13"/>
  <c r="G1596" i="13" s="1"/>
  <c r="J1451" i="31" s="1"/>
  <c r="E1597" i="13"/>
  <c r="G1597" i="13" s="1"/>
  <c r="E1598" i="13"/>
  <c r="G1598" i="13" s="1"/>
  <c r="J1452" i="31" s="1"/>
  <c r="E1599" i="13"/>
  <c r="G1599" i="13" s="1"/>
  <c r="J1453" i="31" s="1"/>
  <c r="E1600" i="13"/>
  <c r="G1600" i="13" s="1"/>
  <c r="J1454" i="31" s="1"/>
  <c r="E1601" i="13"/>
  <c r="G1601" i="13" s="1"/>
  <c r="J1455" i="31" s="1"/>
  <c r="E1602" i="13"/>
  <c r="G1602" i="13" s="1"/>
  <c r="J1456" i="31" s="1"/>
  <c r="E1603" i="13"/>
  <c r="G1603" i="13" s="1"/>
  <c r="J1457" i="31" s="1"/>
  <c r="E1604" i="13"/>
  <c r="G1604" i="13" s="1"/>
  <c r="J1458" i="31" s="1"/>
  <c r="E1605" i="13"/>
  <c r="G1605" i="13" s="1"/>
  <c r="J1459" i="31" s="1"/>
  <c r="E1606" i="13"/>
  <c r="G1606" i="13" s="1"/>
  <c r="J1460" i="31" s="1"/>
  <c r="E1607" i="13"/>
  <c r="G1607" i="13" s="1"/>
  <c r="J1461" i="31" s="1"/>
  <c r="E1608" i="13"/>
  <c r="G1608" i="13" s="1"/>
  <c r="E1609" i="13"/>
  <c r="G1609" i="13" s="1"/>
  <c r="J1462" i="31" s="1"/>
  <c r="E1610" i="13"/>
  <c r="G1610" i="13" s="1"/>
  <c r="J1463" i="31" s="1"/>
  <c r="E1611" i="13"/>
  <c r="G1611" i="13" s="1"/>
  <c r="J1464" i="31" s="1"/>
  <c r="E1612" i="13"/>
  <c r="G1612" i="13" s="1"/>
  <c r="J1465" i="31" s="1"/>
  <c r="E1613" i="13"/>
  <c r="G1613" i="13" s="1"/>
  <c r="J1466" i="31" s="1"/>
  <c r="E1614" i="13"/>
  <c r="G1614" i="13" s="1"/>
  <c r="J1467" i="31" s="1"/>
  <c r="E1615" i="13"/>
  <c r="G1615" i="13" s="1"/>
  <c r="J1468" i="31" s="1"/>
  <c r="E1616" i="13"/>
  <c r="G1616" i="13" s="1"/>
  <c r="J1469" i="31" s="1"/>
  <c r="E1617" i="13"/>
  <c r="G1617" i="13" s="1"/>
  <c r="J1470" i="31" s="1"/>
  <c r="E1618" i="13"/>
  <c r="G1618" i="13" s="1"/>
  <c r="J1471" i="31" s="1"/>
  <c r="E1619" i="13"/>
  <c r="G1619" i="13" s="1"/>
  <c r="E1620" i="13"/>
  <c r="G1620" i="13" s="1"/>
  <c r="J1472" i="31" s="1"/>
  <c r="E1621" i="13"/>
  <c r="G1621" i="13" s="1"/>
  <c r="J1473" i="31" s="1"/>
  <c r="E1622" i="13"/>
  <c r="G1622" i="13" s="1"/>
  <c r="J1474" i="31" s="1"/>
  <c r="E1623" i="13"/>
  <c r="G1623" i="13" s="1"/>
  <c r="J1475" i="31" s="1"/>
  <c r="E1624" i="13"/>
  <c r="G1624" i="13" s="1"/>
  <c r="J1476" i="31" s="1"/>
  <c r="E1625" i="13"/>
  <c r="G1625" i="13" s="1"/>
  <c r="J1477" i="31" s="1"/>
  <c r="E1626" i="13"/>
  <c r="G1626" i="13" s="1"/>
  <c r="J1478" i="31" s="1"/>
  <c r="E1627" i="13"/>
  <c r="G1627" i="13" s="1"/>
  <c r="J1479" i="31" s="1"/>
  <c r="E1628" i="13"/>
  <c r="G1628" i="13" s="1"/>
  <c r="J1480" i="31" s="1"/>
  <c r="E1629" i="13"/>
  <c r="G1629" i="13" s="1"/>
  <c r="J1481" i="31" s="1"/>
  <c r="F3" i="14"/>
  <c r="F4" i="14"/>
  <c r="F5" i="14"/>
  <c r="F6" i="14"/>
  <c r="F7" i="14"/>
  <c r="F8" i="14"/>
  <c r="F9" i="14"/>
  <c r="F10" i="14"/>
  <c r="F11" i="14"/>
  <c r="F12" i="14"/>
  <c r="F13" i="14"/>
  <c r="F24" i="14"/>
  <c r="F35" i="14"/>
  <c r="F36" i="14"/>
  <c r="F37" i="14"/>
  <c r="F38" i="14"/>
  <c r="F39" i="14"/>
  <c r="F40" i="14"/>
  <c r="F41" i="14"/>
  <c r="F42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68" i="14"/>
  <c r="F79" i="14"/>
  <c r="F90" i="14"/>
  <c r="F91" i="14"/>
  <c r="F92" i="14"/>
  <c r="F94" i="14"/>
  <c r="F101" i="14"/>
  <c r="F112" i="14"/>
  <c r="F113" i="14"/>
  <c r="F114" i="14"/>
  <c r="F115" i="14"/>
  <c r="F116" i="14"/>
  <c r="F117" i="14"/>
  <c r="F118" i="14"/>
  <c r="F120" i="14"/>
  <c r="F121" i="14"/>
  <c r="F122" i="14"/>
  <c r="F123" i="14"/>
  <c r="F124" i="14"/>
  <c r="F125" i="14"/>
  <c r="F126" i="14"/>
  <c r="F127" i="14"/>
  <c r="F128" i="14"/>
  <c r="F131" i="14"/>
  <c r="F132" i="14"/>
  <c r="F133" i="14"/>
  <c r="F134" i="14"/>
  <c r="F135" i="14"/>
  <c r="F137" i="14"/>
  <c r="F141" i="14"/>
  <c r="F143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3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7" i="14"/>
  <c r="F189" i="14"/>
  <c r="F190" i="14"/>
  <c r="F191" i="14"/>
  <c r="F193" i="14"/>
  <c r="F195" i="14"/>
  <c r="F197" i="14"/>
  <c r="F199" i="14"/>
  <c r="F200" i="14"/>
  <c r="F201" i="14"/>
  <c r="F202" i="14"/>
  <c r="F203" i="14"/>
  <c r="F204" i="14"/>
  <c r="F205" i="14"/>
  <c r="F206" i="14"/>
  <c r="F207" i="14"/>
  <c r="F209" i="14"/>
  <c r="F210" i="14"/>
  <c r="F211" i="14"/>
  <c r="F212" i="14"/>
  <c r="F213" i="14"/>
  <c r="F215" i="14"/>
  <c r="F217" i="14"/>
  <c r="F219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7" i="14"/>
  <c r="F288" i="14"/>
  <c r="F289" i="14"/>
  <c r="F290" i="14"/>
  <c r="F291" i="14"/>
  <c r="F293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9" i="14"/>
  <c r="F361" i="14"/>
  <c r="F363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3" i="14"/>
  <c r="F385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5" i="14"/>
  <c r="F407" i="14"/>
  <c r="F409" i="14"/>
  <c r="F410" i="14"/>
  <c r="F411" i="14"/>
  <c r="F413" i="14"/>
  <c r="F415" i="14"/>
  <c r="F417" i="14"/>
  <c r="F419" i="14"/>
  <c r="F420" i="14"/>
  <c r="F421" i="14"/>
  <c r="F422" i="14"/>
  <c r="F423" i="14"/>
  <c r="F425" i="14"/>
  <c r="F427" i="14"/>
  <c r="F429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7" i="14"/>
  <c r="F449" i="14"/>
  <c r="F451" i="14"/>
  <c r="F453" i="14"/>
  <c r="F455" i="14"/>
  <c r="F456" i="14"/>
  <c r="F457" i="14"/>
  <c r="F458" i="14"/>
  <c r="F459" i="14"/>
  <c r="F460" i="14"/>
  <c r="F461" i="14"/>
  <c r="F462" i="14"/>
  <c r="F463" i="14"/>
  <c r="F464" i="14"/>
  <c r="F465" i="14"/>
  <c r="F467" i="14"/>
  <c r="F469" i="14"/>
  <c r="F471" i="14"/>
  <c r="F473" i="14"/>
  <c r="F475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1" i="14"/>
  <c r="F1512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E3" i="14"/>
  <c r="G3" i="14" s="1"/>
  <c r="K2" i="31" s="1"/>
  <c r="E4" i="14"/>
  <c r="G4" i="14" s="1"/>
  <c r="K3" i="31" s="1"/>
  <c r="E5" i="14"/>
  <c r="G5" i="14" s="1"/>
  <c r="K4" i="31" s="1"/>
  <c r="E6" i="14"/>
  <c r="G6" i="14" s="1"/>
  <c r="K5" i="31" s="1"/>
  <c r="E7" i="14"/>
  <c r="G7" i="14" s="1"/>
  <c r="K6" i="31" s="1"/>
  <c r="E8" i="14"/>
  <c r="G8" i="14" s="1"/>
  <c r="K7" i="31" s="1"/>
  <c r="E9" i="14"/>
  <c r="G9" i="14" s="1"/>
  <c r="K8" i="31" s="1"/>
  <c r="E10" i="14"/>
  <c r="G10" i="14" s="1"/>
  <c r="K9" i="31" s="1"/>
  <c r="E11" i="14"/>
  <c r="G11" i="14" s="1"/>
  <c r="K10" i="31" s="1"/>
  <c r="E12" i="14"/>
  <c r="G12" i="14" s="1"/>
  <c r="K11" i="31" s="1"/>
  <c r="E13" i="14"/>
  <c r="G13" i="14" s="1"/>
  <c r="E24" i="14"/>
  <c r="G24" i="14" s="1"/>
  <c r="E35" i="14"/>
  <c r="G35" i="14" s="1"/>
  <c r="E36" i="14"/>
  <c r="G36" i="14" s="1"/>
  <c r="K32" i="31" s="1"/>
  <c r="E37" i="14"/>
  <c r="G37" i="14" s="1"/>
  <c r="K33" i="31" s="1"/>
  <c r="E38" i="14"/>
  <c r="G38" i="14" s="1"/>
  <c r="K34" i="31" s="1"/>
  <c r="E39" i="14"/>
  <c r="G39" i="14" s="1"/>
  <c r="K35" i="31" s="1"/>
  <c r="E40" i="14"/>
  <c r="G40" i="14" s="1"/>
  <c r="K36" i="31" s="1"/>
  <c r="E41" i="14"/>
  <c r="G41" i="14" s="1"/>
  <c r="K37" i="31" s="1"/>
  <c r="E42" i="14"/>
  <c r="G42" i="14" s="1"/>
  <c r="K38" i="31" s="1"/>
  <c r="E46" i="14"/>
  <c r="G46" i="14" s="1"/>
  <c r="E47" i="14"/>
  <c r="G47" i="14" s="1"/>
  <c r="K42" i="31" s="1"/>
  <c r="E48" i="14"/>
  <c r="G48" i="14" s="1"/>
  <c r="K43" i="31" s="1"/>
  <c r="E49" i="14"/>
  <c r="G49" i="14" s="1"/>
  <c r="K44" i="31" s="1"/>
  <c r="E50" i="14"/>
  <c r="G50" i="14" s="1"/>
  <c r="K45" i="31" s="1"/>
  <c r="E51" i="14"/>
  <c r="G51" i="14" s="1"/>
  <c r="K46" i="31" s="1"/>
  <c r="E52" i="14"/>
  <c r="G52" i="14" s="1"/>
  <c r="K47" i="31" s="1"/>
  <c r="E53" i="14"/>
  <c r="G53" i="14" s="1"/>
  <c r="K48" i="31" s="1"/>
  <c r="E54" i="14"/>
  <c r="G54" i="14" s="1"/>
  <c r="K49" i="31" s="1"/>
  <c r="E55" i="14"/>
  <c r="G55" i="14" s="1"/>
  <c r="K50" i="31" s="1"/>
  <c r="E56" i="14"/>
  <c r="G56" i="14" s="1"/>
  <c r="K51" i="31" s="1"/>
  <c r="E57" i="14"/>
  <c r="G57" i="14" s="1"/>
  <c r="E58" i="14"/>
  <c r="G58" i="14" s="1"/>
  <c r="K52" i="31" s="1"/>
  <c r="E68" i="14"/>
  <c r="G68" i="14" s="1"/>
  <c r="E79" i="14"/>
  <c r="G79" i="14" s="1"/>
  <c r="E90" i="14"/>
  <c r="G90" i="14" s="1"/>
  <c r="E91" i="14"/>
  <c r="G91" i="14" s="1"/>
  <c r="K82" i="31" s="1"/>
  <c r="E92" i="14"/>
  <c r="G92" i="14" s="1"/>
  <c r="K83" i="31" s="1"/>
  <c r="E93" i="14"/>
  <c r="E94" i="14"/>
  <c r="G94" i="14" s="1"/>
  <c r="K85" i="31" s="1"/>
  <c r="E95" i="14"/>
  <c r="E101" i="14"/>
  <c r="G101" i="14" s="1"/>
  <c r="E112" i="14"/>
  <c r="G112" i="14" s="1"/>
  <c r="E113" i="14"/>
  <c r="G113" i="14" s="1"/>
  <c r="K102" i="31" s="1"/>
  <c r="E114" i="14"/>
  <c r="G114" i="14" s="1"/>
  <c r="K103" i="31" s="1"/>
  <c r="E115" i="14"/>
  <c r="G115" i="14" s="1"/>
  <c r="K104" i="31" s="1"/>
  <c r="E116" i="14"/>
  <c r="G116" i="14" s="1"/>
  <c r="K105" i="31" s="1"/>
  <c r="E117" i="14"/>
  <c r="G117" i="14" s="1"/>
  <c r="K106" i="31" s="1"/>
  <c r="E118" i="14"/>
  <c r="G118" i="14" s="1"/>
  <c r="K107" i="31" s="1"/>
  <c r="E119" i="14"/>
  <c r="E123" i="14"/>
  <c r="G123" i="14" s="1"/>
  <c r="E124" i="14"/>
  <c r="G124" i="14" s="1"/>
  <c r="K112" i="31" s="1"/>
  <c r="E125" i="14"/>
  <c r="G125" i="14" s="1"/>
  <c r="K113" i="31" s="1"/>
  <c r="E126" i="14"/>
  <c r="G126" i="14" s="1"/>
  <c r="K114" i="31" s="1"/>
  <c r="E127" i="14"/>
  <c r="G127" i="14" s="1"/>
  <c r="K115" i="31" s="1"/>
  <c r="E130" i="14"/>
  <c r="E131" i="14"/>
  <c r="G131" i="14" s="1"/>
  <c r="K119" i="31" s="1"/>
  <c r="E132" i="14"/>
  <c r="G132" i="14" s="1"/>
  <c r="K120" i="31" s="1"/>
  <c r="E133" i="14"/>
  <c r="G133" i="14" s="1"/>
  <c r="K121" i="31" s="1"/>
  <c r="E134" i="14"/>
  <c r="G134" i="14" s="1"/>
  <c r="E135" i="14"/>
  <c r="G135" i="14" s="1"/>
  <c r="K122" i="31" s="1"/>
  <c r="E136" i="14"/>
  <c r="E137" i="14"/>
  <c r="G137" i="14" s="1"/>
  <c r="K124" i="31" s="1"/>
  <c r="E138" i="14"/>
  <c r="E139" i="14"/>
  <c r="E140" i="14"/>
  <c r="E141" i="14"/>
  <c r="G141" i="14" s="1"/>
  <c r="K128" i="31" s="1"/>
  <c r="E142" i="14"/>
  <c r="E144" i="14"/>
  <c r="E145" i="14"/>
  <c r="G145" i="14" s="1"/>
  <c r="E146" i="14"/>
  <c r="G146" i="14" s="1"/>
  <c r="K132" i="31" s="1"/>
  <c r="E147" i="14"/>
  <c r="G147" i="14" s="1"/>
  <c r="K133" i="31" s="1"/>
  <c r="E148" i="14"/>
  <c r="G148" i="14" s="1"/>
  <c r="K134" i="31" s="1"/>
  <c r="E149" i="14"/>
  <c r="G149" i="14" s="1"/>
  <c r="K135" i="31" s="1"/>
  <c r="E150" i="14"/>
  <c r="G150" i="14" s="1"/>
  <c r="K136" i="31" s="1"/>
  <c r="E151" i="14"/>
  <c r="G151" i="14" s="1"/>
  <c r="K137" i="31" s="1"/>
  <c r="E152" i="14"/>
  <c r="G152" i="14" s="1"/>
  <c r="K138" i="31" s="1"/>
  <c r="E153" i="14"/>
  <c r="G153" i="14" s="1"/>
  <c r="K139" i="31" s="1"/>
  <c r="E154" i="14"/>
  <c r="G154" i="14" s="1"/>
  <c r="K140" i="31" s="1"/>
  <c r="E155" i="14"/>
  <c r="G155" i="14" s="1"/>
  <c r="K141" i="31" s="1"/>
  <c r="E156" i="14"/>
  <c r="G156" i="14" s="1"/>
  <c r="E157" i="14"/>
  <c r="G157" i="14" s="1"/>
  <c r="K142" i="31" s="1"/>
  <c r="E158" i="14"/>
  <c r="G158" i="14" s="1"/>
  <c r="K143" i="31" s="1"/>
  <c r="E159" i="14"/>
  <c r="G159" i="14" s="1"/>
  <c r="K144" i="31" s="1"/>
  <c r="E160" i="14"/>
  <c r="E161" i="14"/>
  <c r="E163" i="14"/>
  <c r="G163" i="14" s="1"/>
  <c r="K148" i="31" s="1"/>
  <c r="E164" i="14"/>
  <c r="E165" i="14"/>
  <c r="E166" i="14"/>
  <c r="E167" i="14"/>
  <c r="G167" i="14" s="1"/>
  <c r="E168" i="14"/>
  <c r="G168" i="14" s="1"/>
  <c r="K152" i="31" s="1"/>
  <c r="E169" i="14"/>
  <c r="G169" i="14" s="1"/>
  <c r="K153" i="31" s="1"/>
  <c r="E170" i="14"/>
  <c r="G170" i="14" s="1"/>
  <c r="K154" i="31" s="1"/>
  <c r="E171" i="14"/>
  <c r="G171" i="14" s="1"/>
  <c r="K155" i="31" s="1"/>
  <c r="E172" i="14"/>
  <c r="G172" i="14" s="1"/>
  <c r="K156" i="31" s="1"/>
  <c r="E173" i="14"/>
  <c r="G173" i="14" s="1"/>
  <c r="K157" i="31" s="1"/>
  <c r="E174" i="14"/>
  <c r="G174" i="14" s="1"/>
  <c r="K158" i="31" s="1"/>
  <c r="E175" i="14"/>
  <c r="G175" i="14" s="1"/>
  <c r="K159" i="31" s="1"/>
  <c r="E176" i="14"/>
  <c r="G176" i="14" s="1"/>
  <c r="K160" i="31" s="1"/>
  <c r="E177" i="14"/>
  <c r="G177" i="14" s="1"/>
  <c r="K161" i="31" s="1"/>
  <c r="E178" i="14"/>
  <c r="G178" i="14" s="1"/>
  <c r="E179" i="14"/>
  <c r="G179" i="14" s="1"/>
  <c r="K162" i="31" s="1"/>
  <c r="E180" i="14"/>
  <c r="G180" i="14" s="1"/>
  <c r="K163" i="31" s="1"/>
  <c r="E181" i="14"/>
  <c r="G181" i="14" s="1"/>
  <c r="K164" i="31" s="1"/>
  <c r="E182" i="14"/>
  <c r="G182" i="14" s="1"/>
  <c r="K165" i="31" s="1"/>
  <c r="E183" i="14"/>
  <c r="G183" i="14" s="1"/>
  <c r="K166" i="31" s="1"/>
  <c r="E184" i="14"/>
  <c r="G184" i="14" s="1"/>
  <c r="K167" i="31" s="1"/>
  <c r="E185" i="14"/>
  <c r="G185" i="14" s="1"/>
  <c r="K168" i="31" s="1"/>
  <c r="E186" i="14"/>
  <c r="E187" i="14"/>
  <c r="G187" i="14" s="1"/>
  <c r="K170" i="31" s="1"/>
  <c r="E188" i="14"/>
  <c r="E189" i="14"/>
  <c r="G189" i="14" s="1"/>
  <c r="E190" i="14"/>
  <c r="G190" i="14" s="1"/>
  <c r="K172" i="31" s="1"/>
  <c r="E191" i="14"/>
  <c r="G191" i="14" s="1"/>
  <c r="K173" i="31" s="1"/>
  <c r="E192" i="14"/>
  <c r="E193" i="14"/>
  <c r="G193" i="14" s="1"/>
  <c r="K175" i="31" s="1"/>
  <c r="E194" i="14"/>
  <c r="E195" i="14"/>
  <c r="G195" i="14" s="1"/>
  <c r="K177" i="31" s="1"/>
  <c r="E196" i="14"/>
  <c r="E197" i="14"/>
  <c r="G197" i="14" s="1"/>
  <c r="K179" i="31" s="1"/>
  <c r="E198" i="14"/>
  <c r="E199" i="14"/>
  <c r="G199" i="14" s="1"/>
  <c r="K181" i="31" s="1"/>
  <c r="E200" i="14"/>
  <c r="G200" i="14" s="1"/>
  <c r="E201" i="14"/>
  <c r="G201" i="14" s="1"/>
  <c r="K182" i="31" s="1"/>
  <c r="E203" i="14"/>
  <c r="G203" i="14" s="1"/>
  <c r="K184" i="31" s="1"/>
  <c r="E205" i="14"/>
  <c r="G205" i="14" s="1"/>
  <c r="K186" i="31" s="1"/>
  <c r="E207" i="14"/>
  <c r="G207" i="14" s="1"/>
  <c r="K188" i="31" s="1"/>
  <c r="E209" i="14"/>
  <c r="G209" i="14" s="1"/>
  <c r="K190" i="31" s="1"/>
  <c r="E211" i="14"/>
  <c r="G211" i="14" s="1"/>
  <c r="E212" i="14"/>
  <c r="G212" i="14" s="1"/>
  <c r="K192" i="31" s="1"/>
  <c r="E213" i="14"/>
  <c r="G213" i="14" s="1"/>
  <c r="K193" i="31" s="1"/>
  <c r="E215" i="14"/>
  <c r="G215" i="14" s="1"/>
  <c r="K195" i="31" s="1"/>
  <c r="E216" i="14"/>
  <c r="E217" i="14"/>
  <c r="G217" i="14" s="1"/>
  <c r="K197" i="31" s="1"/>
  <c r="E218" i="14"/>
  <c r="E219" i="14"/>
  <c r="G219" i="14" s="1"/>
  <c r="K199" i="31" s="1"/>
  <c r="E220" i="14"/>
  <c r="E221" i="14"/>
  <c r="G221" i="14" s="1"/>
  <c r="K201" i="31" s="1"/>
  <c r="E222" i="14"/>
  <c r="G222" i="14" s="1"/>
  <c r="E223" i="14"/>
  <c r="G223" i="14" s="1"/>
  <c r="K202" i="31" s="1"/>
  <c r="E224" i="14"/>
  <c r="G224" i="14" s="1"/>
  <c r="K203" i="31" s="1"/>
  <c r="E225" i="14"/>
  <c r="G225" i="14" s="1"/>
  <c r="K204" i="31" s="1"/>
  <c r="E226" i="14"/>
  <c r="G226" i="14" s="1"/>
  <c r="K205" i="31" s="1"/>
  <c r="E227" i="14"/>
  <c r="G227" i="14" s="1"/>
  <c r="K206" i="31" s="1"/>
  <c r="E228" i="14"/>
  <c r="G228" i="14" s="1"/>
  <c r="K207" i="31" s="1"/>
  <c r="E229" i="14"/>
  <c r="G229" i="14" s="1"/>
  <c r="K208" i="31" s="1"/>
  <c r="E230" i="14"/>
  <c r="G230" i="14" s="1"/>
  <c r="K209" i="31" s="1"/>
  <c r="E231" i="14"/>
  <c r="G231" i="14" s="1"/>
  <c r="K210" i="31" s="1"/>
  <c r="E232" i="14"/>
  <c r="G232" i="14" s="1"/>
  <c r="K211" i="31" s="1"/>
  <c r="E233" i="14"/>
  <c r="G233" i="14" s="1"/>
  <c r="E234" i="14"/>
  <c r="G234" i="14" s="1"/>
  <c r="K212" i="31" s="1"/>
  <c r="E235" i="14"/>
  <c r="G235" i="14" s="1"/>
  <c r="K213" i="31" s="1"/>
  <c r="E236" i="14"/>
  <c r="G236" i="14" s="1"/>
  <c r="K214" i="31" s="1"/>
  <c r="E237" i="14"/>
  <c r="G237" i="14" s="1"/>
  <c r="K215" i="31" s="1"/>
  <c r="E238" i="14"/>
  <c r="G238" i="14" s="1"/>
  <c r="K216" i="31" s="1"/>
  <c r="E239" i="14"/>
  <c r="G239" i="14" s="1"/>
  <c r="K217" i="31" s="1"/>
  <c r="E240" i="14"/>
  <c r="G240" i="14" s="1"/>
  <c r="K218" i="31" s="1"/>
  <c r="E241" i="14"/>
  <c r="G241" i="14" s="1"/>
  <c r="K219" i="31" s="1"/>
  <c r="E242" i="14"/>
  <c r="G242" i="14" s="1"/>
  <c r="K220" i="31" s="1"/>
  <c r="E243" i="14"/>
  <c r="G243" i="14" s="1"/>
  <c r="K221" i="31" s="1"/>
  <c r="E244" i="14"/>
  <c r="G244" i="14" s="1"/>
  <c r="E245" i="14"/>
  <c r="G245" i="14" s="1"/>
  <c r="K222" i="31" s="1"/>
  <c r="E246" i="14"/>
  <c r="G246" i="14" s="1"/>
  <c r="K223" i="31" s="1"/>
  <c r="E247" i="14"/>
  <c r="G247" i="14" s="1"/>
  <c r="K224" i="31" s="1"/>
  <c r="E248" i="14"/>
  <c r="G248" i="14" s="1"/>
  <c r="K225" i="31" s="1"/>
  <c r="E249" i="14"/>
  <c r="G249" i="14" s="1"/>
  <c r="K226" i="31" s="1"/>
  <c r="E250" i="14"/>
  <c r="G250" i="14" s="1"/>
  <c r="K227" i="31" s="1"/>
  <c r="E251" i="14"/>
  <c r="G251" i="14" s="1"/>
  <c r="K228" i="31" s="1"/>
  <c r="E252" i="14"/>
  <c r="G252" i="14" s="1"/>
  <c r="K229" i="31" s="1"/>
  <c r="E253" i="14"/>
  <c r="G253" i="14" s="1"/>
  <c r="K230" i="31" s="1"/>
  <c r="E254" i="14"/>
  <c r="G254" i="14" s="1"/>
  <c r="K231" i="31" s="1"/>
  <c r="E255" i="14"/>
  <c r="G255" i="14" s="1"/>
  <c r="E256" i="14"/>
  <c r="G256" i="14" s="1"/>
  <c r="K232" i="31" s="1"/>
  <c r="E257" i="14"/>
  <c r="G257" i="14" s="1"/>
  <c r="K233" i="31" s="1"/>
  <c r="E258" i="14"/>
  <c r="G258" i="14" s="1"/>
  <c r="K234" i="31" s="1"/>
  <c r="E259" i="14"/>
  <c r="G259" i="14" s="1"/>
  <c r="K235" i="31" s="1"/>
  <c r="E260" i="14"/>
  <c r="G260" i="14" s="1"/>
  <c r="K236" i="31" s="1"/>
  <c r="E261" i="14"/>
  <c r="G261" i="14" s="1"/>
  <c r="K237" i="31" s="1"/>
  <c r="E262" i="14"/>
  <c r="G262" i="14" s="1"/>
  <c r="K238" i="31" s="1"/>
  <c r="E263" i="14"/>
  <c r="G263" i="14" s="1"/>
  <c r="K239" i="31" s="1"/>
  <c r="E264" i="14"/>
  <c r="G264" i="14" s="1"/>
  <c r="K240" i="31" s="1"/>
  <c r="E265" i="14"/>
  <c r="G265" i="14" s="1"/>
  <c r="K241" i="31" s="1"/>
  <c r="E266" i="14"/>
  <c r="G266" i="14" s="1"/>
  <c r="E267" i="14"/>
  <c r="G267" i="14" s="1"/>
  <c r="K242" i="31" s="1"/>
  <c r="E269" i="14"/>
  <c r="G269" i="14" s="1"/>
  <c r="K244" i="31" s="1"/>
  <c r="E271" i="14"/>
  <c r="G271" i="14" s="1"/>
  <c r="K246" i="31" s="1"/>
  <c r="E273" i="14"/>
  <c r="G273" i="14" s="1"/>
  <c r="K248" i="31" s="1"/>
  <c r="E275" i="14"/>
  <c r="G275" i="14" s="1"/>
  <c r="K250" i="31" s="1"/>
  <c r="E277" i="14"/>
  <c r="G277" i="14" s="1"/>
  <c r="E278" i="14"/>
  <c r="G278" i="14" s="1"/>
  <c r="K252" i="31" s="1"/>
  <c r="E279" i="14"/>
  <c r="G279" i="14" s="1"/>
  <c r="K253" i="31" s="1"/>
  <c r="E280" i="14"/>
  <c r="G280" i="14" s="1"/>
  <c r="K254" i="31" s="1"/>
  <c r="E281" i="14"/>
  <c r="G281" i="14" s="1"/>
  <c r="K255" i="31" s="1"/>
  <c r="E282" i="14"/>
  <c r="G282" i="14" s="1"/>
  <c r="K256" i="31" s="1"/>
  <c r="E283" i="14"/>
  <c r="G283" i="14" s="1"/>
  <c r="K257" i="31" s="1"/>
  <c r="E284" i="14"/>
  <c r="G284" i="14" s="1"/>
  <c r="K258" i="31" s="1"/>
  <c r="E285" i="14"/>
  <c r="G285" i="14" s="1"/>
  <c r="K259" i="31" s="1"/>
  <c r="E287" i="14"/>
  <c r="G287" i="14" s="1"/>
  <c r="K261" i="31" s="1"/>
  <c r="E288" i="14"/>
  <c r="G288" i="14" s="1"/>
  <c r="E289" i="14"/>
  <c r="G289" i="14" s="1"/>
  <c r="K262" i="31" s="1"/>
  <c r="E291" i="14"/>
  <c r="G291" i="14" s="1"/>
  <c r="K264" i="31" s="1"/>
  <c r="E292" i="14"/>
  <c r="E293" i="14"/>
  <c r="G293" i="14" s="1"/>
  <c r="K266" i="31" s="1"/>
  <c r="E294" i="14"/>
  <c r="E295" i="14"/>
  <c r="G295" i="14" s="1"/>
  <c r="K268" i="31" s="1"/>
  <c r="E296" i="14"/>
  <c r="G296" i="14" s="1"/>
  <c r="K269" i="31" s="1"/>
  <c r="E297" i="14"/>
  <c r="G297" i="14" s="1"/>
  <c r="K270" i="31" s="1"/>
  <c r="E298" i="14"/>
  <c r="G298" i="14" s="1"/>
  <c r="K271" i="31" s="1"/>
  <c r="E299" i="14"/>
  <c r="G299" i="14" s="1"/>
  <c r="E300" i="14"/>
  <c r="G300" i="14" s="1"/>
  <c r="K272" i="31" s="1"/>
  <c r="E301" i="14"/>
  <c r="G301" i="14" s="1"/>
  <c r="K273" i="31" s="1"/>
  <c r="E302" i="14"/>
  <c r="G302" i="14" s="1"/>
  <c r="K274" i="31" s="1"/>
  <c r="E303" i="14"/>
  <c r="G303" i="14" s="1"/>
  <c r="K275" i="31" s="1"/>
  <c r="E304" i="14"/>
  <c r="G304" i="14" s="1"/>
  <c r="K276" i="31" s="1"/>
  <c r="E305" i="14"/>
  <c r="G305" i="14" s="1"/>
  <c r="K277" i="31" s="1"/>
  <c r="E306" i="14"/>
  <c r="G306" i="14" s="1"/>
  <c r="K278" i="31" s="1"/>
  <c r="E307" i="14"/>
  <c r="G307" i="14" s="1"/>
  <c r="K279" i="31" s="1"/>
  <c r="E308" i="14"/>
  <c r="G308" i="14" s="1"/>
  <c r="K280" i="31" s="1"/>
  <c r="E309" i="14"/>
  <c r="G309" i="14" s="1"/>
  <c r="K281" i="31" s="1"/>
  <c r="E310" i="14"/>
  <c r="G310" i="14" s="1"/>
  <c r="E311" i="14"/>
  <c r="G311" i="14" s="1"/>
  <c r="K282" i="31" s="1"/>
  <c r="E312" i="14"/>
  <c r="G312" i="14" s="1"/>
  <c r="K283" i="31" s="1"/>
  <c r="E313" i="14"/>
  <c r="G313" i="14" s="1"/>
  <c r="K284" i="31" s="1"/>
  <c r="E314" i="14"/>
  <c r="G314" i="14" s="1"/>
  <c r="K285" i="31" s="1"/>
  <c r="E315" i="14"/>
  <c r="G315" i="14" s="1"/>
  <c r="K286" i="31" s="1"/>
  <c r="E316" i="14"/>
  <c r="G316" i="14" s="1"/>
  <c r="K287" i="31" s="1"/>
  <c r="E317" i="14"/>
  <c r="G317" i="14" s="1"/>
  <c r="K288" i="31" s="1"/>
  <c r="E318" i="14"/>
  <c r="G318" i="14" s="1"/>
  <c r="K289" i="31" s="1"/>
  <c r="E319" i="14"/>
  <c r="G319" i="14" s="1"/>
  <c r="K290" i="31" s="1"/>
  <c r="E320" i="14"/>
  <c r="G320" i="14" s="1"/>
  <c r="K291" i="31" s="1"/>
  <c r="E321" i="14"/>
  <c r="G321" i="14" s="1"/>
  <c r="E322" i="14"/>
  <c r="G322" i="14" s="1"/>
  <c r="K292" i="31" s="1"/>
  <c r="E323" i="14"/>
  <c r="G323" i="14" s="1"/>
  <c r="K293" i="31" s="1"/>
  <c r="E324" i="14"/>
  <c r="G324" i="14" s="1"/>
  <c r="K294" i="31" s="1"/>
  <c r="E325" i="14"/>
  <c r="G325" i="14" s="1"/>
  <c r="K295" i="31" s="1"/>
  <c r="E326" i="14"/>
  <c r="G326" i="14" s="1"/>
  <c r="K296" i="31" s="1"/>
  <c r="E327" i="14"/>
  <c r="G327" i="14" s="1"/>
  <c r="K297" i="31" s="1"/>
  <c r="E328" i="14"/>
  <c r="G328" i="14" s="1"/>
  <c r="K298" i="31" s="1"/>
  <c r="E329" i="14"/>
  <c r="G329" i="14" s="1"/>
  <c r="K299" i="31" s="1"/>
  <c r="E330" i="14"/>
  <c r="G330" i="14" s="1"/>
  <c r="K300" i="31" s="1"/>
  <c r="E331" i="14"/>
  <c r="G331" i="14" s="1"/>
  <c r="K301" i="31" s="1"/>
  <c r="E332" i="14"/>
  <c r="G332" i="14" s="1"/>
  <c r="E333" i="14"/>
  <c r="G333" i="14" s="1"/>
  <c r="K302" i="31" s="1"/>
  <c r="E334" i="14"/>
  <c r="G334" i="14" s="1"/>
  <c r="K303" i="31" s="1"/>
  <c r="E335" i="14"/>
  <c r="G335" i="14" s="1"/>
  <c r="K304" i="31" s="1"/>
  <c r="E336" i="14"/>
  <c r="G336" i="14" s="1"/>
  <c r="K305" i="31" s="1"/>
  <c r="E337" i="14"/>
  <c r="G337" i="14" s="1"/>
  <c r="K306" i="31" s="1"/>
  <c r="E338" i="14"/>
  <c r="E339" i="14"/>
  <c r="G339" i="14" s="1"/>
  <c r="K308" i="31" s="1"/>
  <c r="E340" i="14"/>
  <c r="G340" i="14" s="1"/>
  <c r="K309" i="31" s="1"/>
  <c r="E341" i="14"/>
  <c r="G341" i="14" s="1"/>
  <c r="K310" i="31" s="1"/>
  <c r="E342" i="14"/>
  <c r="G342" i="14" s="1"/>
  <c r="K311" i="31" s="1"/>
  <c r="E343" i="14"/>
  <c r="G343" i="14" s="1"/>
  <c r="E344" i="14"/>
  <c r="G344" i="14" s="1"/>
  <c r="K312" i="31" s="1"/>
  <c r="E345" i="14"/>
  <c r="G345" i="14" s="1"/>
  <c r="K313" i="31" s="1"/>
  <c r="E346" i="14"/>
  <c r="G346" i="14" s="1"/>
  <c r="K314" i="31" s="1"/>
  <c r="E347" i="14"/>
  <c r="G347" i="14" s="1"/>
  <c r="K315" i="31" s="1"/>
  <c r="E348" i="14"/>
  <c r="G348" i="14" s="1"/>
  <c r="K316" i="31" s="1"/>
  <c r="E349" i="14"/>
  <c r="G349" i="14" s="1"/>
  <c r="K317" i="31" s="1"/>
  <c r="E350" i="14"/>
  <c r="G350" i="14" s="1"/>
  <c r="K318" i="31" s="1"/>
  <c r="E351" i="14"/>
  <c r="G351" i="14" s="1"/>
  <c r="K319" i="31" s="1"/>
  <c r="E352" i="14"/>
  <c r="G352" i="14" s="1"/>
  <c r="K320" i="31" s="1"/>
  <c r="E353" i="14"/>
  <c r="G353" i="14" s="1"/>
  <c r="K321" i="31" s="1"/>
  <c r="E354" i="14"/>
  <c r="G354" i="14" s="1"/>
  <c r="E355" i="14"/>
  <c r="G355" i="14" s="1"/>
  <c r="K322" i="31" s="1"/>
  <c r="E356" i="14"/>
  <c r="G356" i="14" s="1"/>
  <c r="K323" i="31" s="1"/>
  <c r="E357" i="14"/>
  <c r="G357" i="14" s="1"/>
  <c r="K324" i="31" s="1"/>
  <c r="E358" i="14"/>
  <c r="E359" i="14"/>
  <c r="G359" i="14" s="1"/>
  <c r="K326" i="31" s="1"/>
  <c r="E360" i="14"/>
  <c r="E361" i="14"/>
  <c r="G361" i="14" s="1"/>
  <c r="K328" i="31" s="1"/>
  <c r="E362" i="14"/>
  <c r="E363" i="14"/>
  <c r="G363" i="14" s="1"/>
  <c r="K330" i="31" s="1"/>
  <c r="E364" i="14"/>
  <c r="E365" i="14"/>
  <c r="G365" i="14" s="1"/>
  <c r="E366" i="14"/>
  <c r="G366" i="14" s="1"/>
  <c r="K332" i="31" s="1"/>
  <c r="E367" i="14"/>
  <c r="G367" i="14" s="1"/>
  <c r="K333" i="31" s="1"/>
  <c r="E368" i="14"/>
  <c r="G368" i="14" s="1"/>
  <c r="K334" i="31" s="1"/>
  <c r="E369" i="14"/>
  <c r="G369" i="14" s="1"/>
  <c r="K335" i="31" s="1"/>
  <c r="E370" i="14"/>
  <c r="G370" i="14" s="1"/>
  <c r="K336" i="31" s="1"/>
  <c r="E371" i="14"/>
  <c r="G371" i="14" s="1"/>
  <c r="K337" i="31" s="1"/>
  <c r="E372" i="14"/>
  <c r="G372" i="14" s="1"/>
  <c r="K338" i="31" s="1"/>
  <c r="E373" i="14"/>
  <c r="G373" i="14" s="1"/>
  <c r="K339" i="31" s="1"/>
  <c r="E374" i="14"/>
  <c r="G374" i="14" s="1"/>
  <c r="K340" i="31" s="1"/>
  <c r="E375" i="14"/>
  <c r="G375" i="14" s="1"/>
  <c r="K341" i="31" s="1"/>
  <c r="E376" i="14"/>
  <c r="G376" i="14" s="1"/>
  <c r="E377" i="14"/>
  <c r="G377" i="14" s="1"/>
  <c r="K342" i="31" s="1"/>
  <c r="E378" i="14"/>
  <c r="G378" i="14" s="1"/>
  <c r="K343" i="31" s="1"/>
  <c r="E379" i="14"/>
  <c r="G379" i="14" s="1"/>
  <c r="K344" i="31" s="1"/>
  <c r="E380" i="14"/>
  <c r="G380" i="14" s="1"/>
  <c r="K345" i="31" s="1"/>
  <c r="E381" i="14"/>
  <c r="G381" i="14" s="1"/>
  <c r="K346" i="31" s="1"/>
  <c r="E382" i="14"/>
  <c r="E383" i="14"/>
  <c r="G383" i="14" s="1"/>
  <c r="K348" i="31" s="1"/>
  <c r="E384" i="14"/>
  <c r="E385" i="14"/>
  <c r="G385" i="14" s="1"/>
  <c r="K350" i="31" s="1"/>
  <c r="E386" i="14"/>
  <c r="E387" i="14"/>
  <c r="G387" i="14" s="1"/>
  <c r="E388" i="14"/>
  <c r="G388" i="14" s="1"/>
  <c r="K352" i="31" s="1"/>
  <c r="E389" i="14"/>
  <c r="G389" i="14" s="1"/>
  <c r="K353" i="31" s="1"/>
  <c r="E390" i="14"/>
  <c r="G390" i="14" s="1"/>
  <c r="K354" i="31" s="1"/>
  <c r="E391" i="14"/>
  <c r="G391" i="14" s="1"/>
  <c r="K355" i="31" s="1"/>
  <c r="E392" i="14"/>
  <c r="G392" i="14" s="1"/>
  <c r="K356" i="31" s="1"/>
  <c r="E393" i="14"/>
  <c r="G393" i="14" s="1"/>
  <c r="K357" i="31" s="1"/>
  <c r="E394" i="14"/>
  <c r="G394" i="14" s="1"/>
  <c r="K358" i="31" s="1"/>
  <c r="E395" i="14"/>
  <c r="G395" i="14" s="1"/>
  <c r="K359" i="31" s="1"/>
  <c r="E396" i="14"/>
  <c r="G396" i="14" s="1"/>
  <c r="K360" i="31" s="1"/>
  <c r="E397" i="14"/>
  <c r="G397" i="14" s="1"/>
  <c r="K361" i="31" s="1"/>
  <c r="E398" i="14"/>
  <c r="G398" i="14" s="1"/>
  <c r="E399" i="14"/>
  <c r="G399" i="14" s="1"/>
  <c r="K362" i="31" s="1"/>
  <c r="E400" i="14"/>
  <c r="G400" i="14" s="1"/>
  <c r="K363" i="31" s="1"/>
  <c r="E401" i="14"/>
  <c r="G401" i="14" s="1"/>
  <c r="K364" i="31" s="1"/>
  <c r="E402" i="14"/>
  <c r="G402" i="14" s="1"/>
  <c r="K365" i="31" s="1"/>
  <c r="E403" i="14"/>
  <c r="G403" i="14" s="1"/>
  <c r="K366" i="31" s="1"/>
  <c r="E404" i="14"/>
  <c r="E405" i="14"/>
  <c r="G405" i="14" s="1"/>
  <c r="K368" i="31" s="1"/>
  <c r="E406" i="14"/>
  <c r="E407" i="14"/>
  <c r="G407" i="14" s="1"/>
  <c r="K370" i="31" s="1"/>
  <c r="E408" i="14"/>
  <c r="E409" i="14"/>
  <c r="G409" i="14" s="1"/>
  <c r="E410" i="14"/>
  <c r="G410" i="14" s="1"/>
  <c r="K372" i="31" s="1"/>
  <c r="E411" i="14"/>
  <c r="G411" i="14" s="1"/>
  <c r="K373" i="31" s="1"/>
  <c r="E412" i="14"/>
  <c r="E413" i="14"/>
  <c r="G413" i="14" s="1"/>
  <c r="K375" i="31" s="1"/>
  <c r="E414" i="14"/>
  <c r="E415" i="14"/>
  <c r="G415" i="14" s="1"/>
  <c r="K377" i="31" s="1"/>
  <c r="E416" i="14"/>
  <c r="E417" i="14"/>
  <c r="G417" i="14" s="1"/>
  <c r="K379" i="31" s="1"/>
  <c r="E418" i="14"/>
  <c r="E419" i="14"/>
  <c r="G419" i="14" s="1"/>
  <c r="K381" i="31" s="1"/>
  <c r="E420" i="14"/>
  <c r="G420" i="14" s="1"/>
  <c r="E421" i="14"/>
  <c r="G421" i="14" s="1"/>
  <c r="K382" i="31" s="1"/>
  <c r="E422" i="14"/>
  <c r="G422" i="14" s="1"/>
  <c r="K383" i="31" s="1"/>
  <c r="E423" i="14"/>
  <c r="G423" i="14" s="1"/>
  <c r="K384" i="31" s="1"/>
  <c r="E424" i="14"/>
  <c r="E425" i="14"/>
  <c r="G425" i="14" s="1"/>
  <c r="K386" i="31" s="1"/>
  <c r="E426" i="14"/>
  <c r="E427" i="14"/>
  <c r="G427" i="14" s="1"/>
  <c r="K388" i="31" s="1"/>
  <c r="E428" i="14"/>
  <c r="E429" i="14"/>
  <c r="G429" i="14" s="1"/>
  <c r="K390" i="31" s="1"/>
  <c r="E430" i="14"/>
  <c r="E431" i="14"/>
  <c r="G431" i="14" s="1"/>
  <c r="E432" i="14"/>
  <c r="G432" i="14" s="1"/>
  <c r="K392" i="31" s="1"/>
  <c r="E433" i="14"/>
  <c r="G433" i="14" s="1"/>
  <c r="K393" i="31" s="1"/>
  <c r="E434" i="14"/>
  <c r="G434" i="14" s="1"/>
  <c r="K394" i="31" s="1"/>
  <c r="E435" i="14"/>
  <c r="G435" i="14" s="1"/>
  <c r="K395" i="31" s="1"/>
  <c r="E436" i="14"/>
  <c r="G436" i="14" s="1"/>
  <c r="K396" i="31" s="1"/>
  <c r="E437" i="14"/>
  <c r="G437" i="14" s="1"/>
  <c r="K397" i="31" s="1"/>
  <c r="E438" i="14"/>
  <c r="G438" i="14" s="1"/>
  <c r="K398" i="31" s="1"/>
  <c r="E439" i="14"/>
  <c r="G439" i="14" s="1"/>
  <c r="K399" i="31" s="1"/>
  <c r="E440" i="14"/>
  <c r="G440" i="14" s="1"/>
  <c r="K400" i="31" s="1"/>
  <c r="E441" i="14"/>
  <c r="G441" i="14" s="1"/>
  <c r="K401" i="31" s="1"/>
  <c r="E442" i="14"/>
  <c r="G442" i="14" s="1"/>
  <c r="E443" i="14"/>
  <c r="G443" i="14" s="1"/>
  <c r="K402" i="31" s="1"/>
  <c r="E444" i="14"/>
  <c r="G444" i="14" s="1"/>
  <c r="K403" i="31" s="1"/>
  <c r="E445" i="14"/>
  <c r="G445" i="14" s="1"/>
  <c r="K404" i="31" s="1"/>
  <c r="E446" i="14"/>
  <c r="E447" i="14"/>
  <c r="G447" i="14" s="1"/>
  <c r="K406" i="31" s="1"/>
  <c r="E448" i="14"/>
  <c r="E449" i="14"/>
  <c r="G449" i="14" s="1"/>
  <c r="K408" i="31" s="1"/>
  <c r="E450" i="14"/>
  <c r="E451" i="14"/>
  <c r="G451" i="14" s="1"/>
  <c r="K410" i="31" s="1"/>
  <c r="E452" i="14"/>
  <c r="E453" i="14"/>
  <c r="G453" i="14" s="1"/>
  <c r="E454" i="14"/>
  <c r="E455" i="14"/>
  <c r="G455" i="14" s="1"/>
  <c r="K413" i="31" s="1"/>
  <c r="E456" i="14"/>
  <c r="G456" i="14" s="1"/>
  <c r="K414" i="31" s="1"/>
  <c r="E457" i="14"/>
  <c r="G457" i="14" s="1"/>
  <c r="K415" i="31" s="1"/>
  <c r="E458" i="14"/>
  <c r="G458" i="14" s="1"/>
  <c r="K416" i="31" s="1"/>
  <c r="E459" i="14"/>
  <c r="G459" i="14" s="1"/>
  <c r="K417" i="31" s="1"/>
  <c r="E460" i="14"/>
  <c r="G460" i="14" s="1"/>
  <c r="K418" i="31" s="1"/>
  <c r="E461" i="14"/>
  <c r="G461" i="14" s="1"/>
  <c r="K419" i="31" s="1"/>
  <c r="E462" i="14"/>
  <c r="G462" i="14" s="1"/>
  <c r="K420" i="31" s="1"/>
  <c r="E463" i="14"/>
  <c r="G463" i="14" s="1"/>
  <c r="K421" i="31" s="1"/>
  <c r="E464" i="14"/>
  <c r="G464" i="14" s="1"/>
  <c r="E465" i="14"/>
  <c r="G465" i="14" s="1"/>
  <c r="K422" i="31" s="1"/>
  <c r="E466" i="14"/>
  <c r="E467" i="14"/>
  <c r="G467" i="14" s="1"/>
  <c r="K424" i="31" s="1"/>
  <c r="E468" i="14"/>
  <c r="E469" i="14"/>
  <c r="G469" i="14" s="1"/>
  <c r="K426" i="31" s="1"/>
  <c r="E470" i="14"/>
  <c r="E471" i="14"/>
  <c r="G471" i="14" s="1"/>
  <c r="K428" i="31" s="1"/>
  <c r="E472" i="14"/>
  <c r="E473" i="14"/>
  <c r="G473" i="14" s="1"/>
  <c r="K430" i="31" s="1"/>
  <c r="E474" i="14"/>
  <c r="E475" i="14"/>
  <c r="G475" i="14" s="1"/>
  <c r="E476" i="14"/>
  <c r="E477" i="14"/>
  <c r="G477" i="14" s="1"/>
  <c r="K433" i="31" s="1"/>
  <c r="E478" i="14"/>
  <c r="G478" i="14" s="1"/>
  <c r="K434" i="31" s="1"/>
  <c r="E479" i="14"/>
  <c r="G479" i="14" s="1"/>
  <c r="K435" i="31" s="1"/>
  <c r="E480" i="14"/>
  <c r="G480" i="14" s="1"/>
  <c r="K436" i="31" s="1"/>
  <c r="E481" i="14"/>
  <c r="G481" i="14" s="1"/>
  <c r="K437" i="31" s="1"/>
  <c r="E482" i="14"/>
  <c r="G482" i="14" s="1"/>
  <c r="K438" i="31" s="1"/>
  <c r="E483" i="14"/>
  <c r="G483" i="14" s="1"/>
  <c r="K439" i="31" s="1"/>
  <c r="E484" i="14"/>
  <c r="G484" i="14" s="1"/>
  <c r="K440" i="31" s="1"/>
  <c r="E485" i="14"/>
  <c r="G485" i="14" s="1"/>
  <c r="K441" i="31" s="1"/>
  <c r="E486" i="14"/>
  <c r="G486" i="14" s="1"/>
  <c r="E487" i="14"/>
  <c r="G487" i="14" s="1"/>
  <c r="K442" i="31" s="1"/>
  <c r="E488" i="14"/>
  <c r="G488" i="14" s="1"/>
  <c r="K443" i="31" s="1"/>
  <c r="E489" i="14"/>
  <c r="G489" i="14" s="1"/>
  <c r="K444" i="31" s="1"/>
  <c r="E490" i="14"/>
  <c r="G490" i="14" s="1"/>
  <c r="K445" i="31" s="1"/>
  <c r="E491" i="14"/>
  <c r="G491" i="14" s="1"/>
  <c r="K446" i="31" s="1"/>
  <c r="E492" i="14"/>
  <c r="G492" i="14" s="1"/>
  <c r="K447" i="31" s="1"/>
  <c r="E493" i="14"/>
  <c r="G493" i="14" s="1"/>
  <c r="K448" i="31" s="1"/>
  <c r="E494" i="14"/>
  <c r="E495" i="14"/>
  <c r="G495" i="14" s="1"/>
  <c r="K450" i="31" s="1"/>
  <c r="E496" i="14"/>
  <c r="G496" i="14" s="1"/>
  <c r="K451" i="31" s="1"/>
  <c r="E497" i="14"/>
  <c r="G497" i="14" s="1"/>
  <c r="E498" i="14"/>
  <c r="G498" i="14" s="1"/>
  <c r="K452" i="31" s="1"/>
  <c r="E499" i="14"/>
  <c r="G499" i="14" s="1"/>
  <c r="K453" i="31" s="1"/>
  <c r="E500" i="14"/>
  <c r="G500" i="14" s="1"/>
  <c r="K454" i="31" s="1"/>
  <c r="E501" i="14"/>
  <c r="G501" i="14" s="1"/>
  <c r="K455" i="31" s="1"/>
  <c r="E502" i="14"/>
  <c r="G502" i="14" s="1"/>
  <c r="K456" i="31" s="1"/>
  <c r="E503" i="14"/>
  <c r="G503" i="14" s="1"/>
  <c r="K457" i="31" s="1"/>
  <c r="E504" i="14"/>
  <c r="G504" i="14" s="1"/>
  <c r="K458" i="31" s="1"/>
  <c r="E505" i="14"/>
  <c r="G505" i="14" s="1"/>
  <c r="K459" i="31" s="1"/>
  <c r="E506" i="14"/>
  <c r="G506" i="14" s="1"/>
  <c r="K460" i="31" s="1"/>
  <c r="E507" i="14"/>
  <c r="G507" i="14" s="1"/>
  <c r="K461" i="31" s="1"/>
  <c r="E508" i="14"/>
  <c r="G508" i="14" s="1"/>
  <c r="E509" i="14"/>
  <c r="G509" i="14" s="1"/>
  <c r="K462" i="31" s="1"/>
  <c r="E510" i="14"/>
  <c r="G510" i="14" s="1"/>
  <c r="K463" i="31" s="1"/>
  <c r="E511" i="14"/>
  <c r="G511" i="14" s="1"/>
  <c r="K464" i="31" s="1"/>
  <c r="E512" i="14"/>
  <c r="G512" i="14" s="1"/>
  <c r="K465" i="31" s="1"/>
  <c r="E513" i="14"/>
  <c r="G513" i="14" s="1"/>
  <c r="K466" i="31" s="1"/>
  <c r="E514" i="14"/>
  <c r="G514" i="14" s="1"/>
  <c r="K467" i="31" s="1"/>
  <c r="E515" i="14"/>
  <c r="G515" i="14" s="1"/>
  <c r="K468" i="31" s="1"/>
  <c r="E516" i="14"/>
  <c r="G516" i="14" s="1"/>
  <c r="K469" i="31" s="1"/>
  <c r="E517" i="14"/>
  <c r="G517" i="14" s="1"/>
  <c r="K470" i="31" s="1"/>
  <c r="E518" i="14"/>
  <c r="G518" i="14" s="1"/>
  <c r="K471" i="31" s="1"/>
  <c r="E519" i="14"/>
  <c r="G519" i="14" s="1"/>
  <c r="E520" i="14"/>
  <c r="G520" i="14" s="1"/>
  <c r="K472" i="31" s="1"/>
  <c r="E521" i="14"/>
  <c r="G521" i="14" s="1"/>
  <c r="K473" i="31" s="1"/>
  <c r="E522" i="14"/>
  <c r="G522" i="14" s="1"/>
  <c r="K474" i="31" s="1"/>
  <c r="E523" i="14"/>
  <c r="G523" i="14" s="1"/>
  <c r="K475" i="31" s="1"/>
  <c r="E524" i="14"/>
  <c r="G524" i="14" s="1"/>
  <c r="K476" i="31" s="1"/>
  <c r="E525" i="14"/>
  <c r="G525" i="14" s="1"/>
  <c r="K477" i="31" s="1"/>
  <c r="E526" i="14"/>
  <c r="G526" i="14" s="1"/>
  <c r="K478" i="31" s="1"/>
  <c r="E527" i="14"/>
  <c r="G527" i="14" s="1"/>
  <c r="K479" i="31" s="1"/>
  <c r="E528" i="14"/>
  <c r="G528" i="14" s="1"/>
  <c r="K480" i="31" s="1"/>
  <c r="E529" i="14"/>
  <c r="G529" i="14" s="1"/>
  <c r="K481" i="31" s="1"/>
  <c r="E530" i="14"/>
  <c r="G530" i="14" s="1"/>
  <c r="E531" i="14"/>
  <c r="G531" i="14" s="1"/>
  <c r="K482" i="31" s="1"/>
  <c r="E532" i="14"/>
  <c r="G532" i="14" s="1"/>
  <c r="K483" i="31" s="1"/>
  <c r="E533" i="14"/>
  <c r="G533" i="14" s="1"/>
  <c r="K484" i="31" s="1"/>
  <c r="E534" i="14"/>
  <c r="G534" i="14" s="1"/>
  <c r="K485" i="31" s="1"/>
  <c r="E535" i="14"/>
  <c r="G535" i="14" s="1"/>
  <c r="K486" i="31" s="1"/>
  <c r="E536" i="14"/>
  <c r="G536" i="14" s="1"/>
  <c r="K487" i="31" s="1"/>
  <c r="E537" i="14"/>
  <c r="G537" i="14" s="1"/>
  <c r="K488" i="31" s="1"/>
  <c r="E538" i="14"/>
  <c r="G538" i="14" s="1"/>
  <c r="K489" i="31" s="1"/>
  <c r="E539" i="14"/>
  <c r="G539" i="14" s="1"/>
  <c r="K490" i="31" s="1"/>
  <c r="E540" i="14"/>
  <c r="G540" i="14" s="1"/>
  <c r="K491" i="31" s="1"/>
  <c r="E541" i="14"/>
  <c r="G541" i="14" s="1"/>
  <c r="E542" i="14"/>
  <c r="G542" i="14" s="1"/>
  <c r="K492" i="31" s="1"/>
  <c r="E543" i="14"/>
  <c r="G543" i="14" s="1"/>
  <c r="K493" i="31" s="1"/>
  <c r="E544" i="14"/>
  <c r="G544" i="14" s="1"/>
  <c r="K494" i="31" s="1"/>
  <c r="E545" i="14"/>
  <c r="G545" i="14" s="1"/>
  <c r="K495" i="31" s="1"/>
  <c r="E546" i="14"/>
  <c r="G546" i="14" s="1"/>
  <c r="K496" i="31" s="1"/>
  <c r="E547" i="14"/>
  <c r="G547" i="14" s="1"/>
  <c r="K497" i="31" s="1"/>
  <c r="E548" i="14"/>
  <c r="G548" i="14" s="1"/>
  <c r="K498" i="31" s="1"/>
  <c r="E549" i="14"/>
  <c r="G549" i="14" s="1"/>
  <c r="K499" i="31" s="1"/>
  <c r="E550" i="14"/>
  <c r="G550" i="14" s="1"/>
  <c r="K500" i="31" s="1"/>
  <c r="E551" i="14"/>
  <c r="G551" i="14" s="1"/>
  <c r="K501" i="31" s="1"/>
  <c r="E552" i="14"/>
  <c r="G552" i="14" s="1"/>
  <c r="E553" i="14"/>
  <c r="G553" i="14" s="1"/>
  <c r="K502" i="31" s="1"/>
  <c r="E554" i="14"/>
  <c r="G554" i="14" s="1"/>
  <c r="K503" i="31" s="1"/>
  <c r="E555" i="14"/>
  <c r="G555" i="14" s="1"/>
  <c r="K504" i="31" s="1"/>
  <c r="E556" i="14"/>
  <c r="G556" i="14" s="1"/>
  <c r="K505" i="31" s="1"/>
  <c r="E557" i="14"/>
  <c r="G557" i="14" s="1"/>
  <c r="K506" i="31" s="1"/>
  <c r="E558" i="14"/>
  <c r="G558" i="14" s="1"/>
  <c r="K507" i="31" s="1"/>
  <c r="E559" i="14"/>
  <c r="G559" i="14" s="1"/>
  <c r="K508" i="31" s="1"/>
  <c r="E560" i="14"/>
  <c r="G560" i="14" s="1"/>
  <c r="K509" i="31" s="1"/>
  <c r="E561" i="14"/>
  <c r="G561" i="14" s="1"/>
  <c r="K510" i="31" s="1"/>
  <c r="E562" i="14"/>
  <c r="G562" i="14" s="1"/>
  <c r="K511" i="31" s="1"/>
  <c r="E563" i="14"/>
  <c r="G563" i="14" s="1"/>
  <c r="E564" i="14"/>
  <c r="G564" i="14" s="1"/>
  <c r="K512" i="31" s="1"/>
  <c r="E565" i="14"/>
  <c r="G565" i="14" s="1"/>
  <c r="K513" i="31" s="1"/>
  <c r="E566" i="14"/>
  <c r="G566" i="14" s="1"/>
  <c r="K514" i="31" s="1"/>
  <c r="E567" i="14"/>
  <c r="G567" i="14" s="1"/>
  <c r="K515" i="31" s="1"/>
  <c r="E568" i="14"/>
  <c r="G568" i="14" s="1"/>
  <c r="K516" i="31" s="1"/>
  <c r="E569" i="14"/>
  <c r="G569" i="14" s="1"/>
  <c r="K517" i="31" s="1"/>
  <c r="E570" i="14"/>
  <c r="G570" i="14" s="1"/>
  <c r="K518" i="31" s="1"/>
  <c r="E571" i="14"/>
  <c r="G571" i="14" s="1"/>
  <c r="K519" i="31" s="1"/>
  <c r="E572" i="14"/>
  <c r="G572" i="14" s="1"/>
  <c r="K520" i="31" s="1"/>
  <c r="E573" i="14"/>
  <c r="G573" i="14" s="1"/>
  <c r="K521" i="31" s="1"/>
  <c r="E574" i="14"/>
  <c r="G574" i="14" s="1"/>
  <c r="E575" i="14"/>
  <c r="G575" i="14" s="1"/>
  <c r="K522" i="31" s="1"/>
  <c r="E576" i="14"/>
  <c r="G576" i="14" s="1"/>
  <c r="K523" i="31" s="1"/>
  <c r="E577" i="14"/>
  <c r="G577" i="14" s="1"/>
  <c r="K524" i="31" s="1"/>
  <c r="E578" i="14"/>
  <c r="G578" i="14" s="1"/>
  <c r="K525" i="31" s="1"/>
  <c r="E579" i="14"/>
  <c r="G579" i="14" s="1"/>
  <c r="K526" i="31" s="1"/>
  <c r="E580" i="14"/>
  <c r="G580" i="14" s="1"/>
  <c r="K527" i="31" s="1"/>
  <c r="E581" i="14"/>
  <c r="G581" i="14" s="1"/>
  <c r="K528" i="31" s="1"/>
  <c r="E582" i="14"/>
  <c r="G582" i="14" s="1"/>
  <c r="K529" i="31" s="1"/>
  <c r="E583" i="14"/>
  <c r="G583" i="14" s="1"/>
  <c r="K530" i="31" s="1"/>
  <c r="E584" i="14"/>
  <c r="G584" i="14" s="1"/>
  <c r="K531" i="31" s="1"/>
  <c r="E585" i="14"/>
  <c r="G585" i="14" s="1"/>
  <c r="E586" i="14"/>
  <c r="G586" i="14" s="1"/>
  <c r="K532" i="31" s="1"/>
  <c r="E587" i="14"/>
  <c r="G587" i="14" s="1"/>
  <c r="K533" i="31" s="1"/>
  <c r="E588" i="14"/>
  <c r="G588" i="14" s="1"/>
  <c r="K534" i="31" s="1"/>
  <c r="E589" i="14"/>
  <c r="G589" i="14" s="1"/>
  <c r="K535" i="31" s="1"/>
  <c r="E590" i="14"/>
  <c r="G590" i="14" s="1"/>
  <c r="K536" i="31" s="1"/>
  <c r="E591" i="14"/>
  <c r="G591" i="14" s="1"/>
  <c r="K537" i="31" s="1"/>
  <c r="E592" i="14"/>
  <c r="G592" i="14" s="1"/>
  <c r="K538" i="31" s="1"/>
  <c r="E593" i="14"/>
  <c r="G593" i="14" s="1"/>
  <c r="K539" i="31" s="1"/>
  <c r="E594" i="14"/>
  <c r="G594" i="14" s="1"/>
  <c r="K540" i="31" s="1"/>
  <c r="E595" i="14"/>
  <c r="G595" i="14" s="1"/>
  <c r="K541" i="31" s="1"/>
  <c r="E596" i="14"/>
  <c r="G596" i="14" s="1"/>
  <c r="E597" i="14"/>
  <c r="G597" i="14" s="1"/>
  <c r="K542" i="31" s="1"/>
  <c r="E598" i="14"/>
  <c r="G598" i="14" s="1"/>
  <c r="K543" i="31" s="1"/>
  <c r="E599" i="14"/>
  <c r="G599" i="14" s="1"/>
  <c r="K544" i="31" s="1"/>
  <c r="E600" i="14"/>
  <c r="G600" i="14" s="1"/>
  <c r="K545" i="31" s="1"/>
  <c r="E601" i="14"/>
  <c r="G601" i="14" s="1"/>
  <c r="K546" i="31" s="1"/>
  <c r="E602" i="14"/>
  <c r="G602" i="14" s="1"/>
  <c r="K547" i="31" s="1"/>
  <c r="E603" i="14"/>
  <c r="G603" i="14" s="1"/>
  <c r="K548" i="31" s="1"/>
  <c r="E604" i="14"/>
  <c r="G604" i="14" s="1"/>
  <c r="K549" i="31" s="1"/>
  <c r="E605" i="14"/>
  <c r="G605" i="14" s="1"/>
  <c r="K550" i="31" s="1"/>
  <c r="E606" i="14"/>
  <c r="G606" i="14" s="1"/>
  <c r="K551" i="31" s="1"/>
  <c r="E607" i="14"/>
  <c r="G607" i="14" s="1"/>
  <c r="E608" i="14"/>
  <c r="G608" i="14" s="1"/>
  <c r="K552" i="31" s="1"/>
  <c r="E609" i="14"/>
  <c r="G609" i="14" s="1"/>
  <c r="K553" i="31" s="1"/>
  <c r="E610" i="14"/>
  <c r="G610" i="14" s="1"/>
  <c r="K554" i="31" s="1"/>
  <c r="E611" i="14"/>
  <c r="G611" i="14" s="1"/>
  <c r="K555" i="31" s="1"/>
  <c r="E612" i="14"/>
  <c r="G612" i="14" s="1"/>
  <c r="K556" i="31" s="1"/>
  <c r="E613" i="14"/>
  <c r="G613" i="14" s="1"/>
  <c r="K557" i="31" s="1"/>
  <c r="E614" i="14"/>
  <c r="G614" i="14" s="1"/>
  <c r="K558" i="31" s="1"/>
  <c r="E615" i="14"/>
  <c r="G615" i="14" s="1"/>
  <c r="K559" i="31" s="1"/>
  <c r="E616" i="14"/>
  <c r="G616" i="14" s="1"/>
  <c r="K560" i="31" s="1"/>
  <c r="E617" i="14"/>
  <c r="G617" i="14" s="1"/>
  <c r="K561" i="31" s="1"/>
  <c r="E618" i="14"/>
  <c r="G618" i="14" s="1"/>
  <c r="E619" i="14"/>
  <c r="G619" i="14" s="1"/>
  <c r="K562" i="31" s="1"/>
  <c r="E620" i="14"/>
  <c r="G620" i="14" s="1"/>
  <c r="K563" i="31" s="1"/>
  <c r="E621" i="14"/>
  <c r="G621" i="14" s="1"/>
  <c r="K564" i="31" s="1"/>
  <c r="E622" i="14"/>
  <c r="G622" i="14" s="1"/>
  <c r="K565" i="31" s="1"/>
  <c r="E623" i="14"/>
  <c r="G623" i="14" s="1"/>
  <c r="K566" i="31" s="1"/>
  <c r="E624" i="14"/>
  <c r="G624" i="14" s="1"/>
  <c r="K567" i="31" s="1"/>
  <c r="E625" i="14"/>
  <c r="G625" i="14" s="1"/>
  <c r="K568" i="31" s="1"/>
  <c r="E626" i="14"/>
  <c r="G626" i="14" s="1"/>
  <c r="K569" i="31" s="1"/>
  <c r="E627" i="14"/>
  <c r="G627" i="14" s="1"/>
  <c r="K570" i="31" s="1"/>
  <c r="E628" i="14"/>
  <c r="G628" i="14" s="1"/>
  <c r="K571" i="31" s="1"/>
  <c r="E629" i="14"/>
  <c r="G629" i="14" s="1"/>
  <c r="E630" i="14"/>
  <c r="G630" i="14" s="1"/>
  <c r="K572" i="31" s="1"/>
  <c r="E631" i="14"/>
  <c r="G631" i="14" s="1"/>
  <c r="K573" i="31" s="1"/>
  <c r="E632" i="14"/>
  <c r="G632" i="14" s="1"/>
  <c r="K574" i="31" s="1"/>
  <c r="E633" i="14"/>
  <c r="G633" i="14" s="1"/>
  <c r="K575" i="31" s="1"/>
  <c r="E634" i="14"/>
  <c r="G634" i="14" s="1"/>
  <c r="K576" i="31" s="1"/>
  <c r="E635" i="14"/>
  <c r="G635" i="14" s="1"/>
  <c r="K577" i="31" s="1"/>
  <c r="E636" i="14"/>
  <c r="G636" i="14" s="1"/>
  <c r="K578" i="31" s="1"/>
  <c r="E637" i="14"/>
  <c r="G637" i="14" s="1"/>
  <c r="K579" i="31" s="1"/>
  <c r="E638" i="14"/>
  <c r="G638" i="14" s="1"/>
  <c r="K580" i="31" s="1"/>
  <c r="E639" i="14"/>
  <c r="G639" i="14" s="1"/>
  <c r="K581" i="31" s="1"/>
  <c r="E640" i="14"/>
  <c r="G640" i="14" s="1"/>
  <c r="E641" i="14"/>
  <c r="G641" i="14" s="1"/>
  <c r="K582" i="31" s="1"/>
  <c r="E642" i="14"/>
  <c r="G642" i="14" s="1"/>
  <c r="K583" i="31" s="1"/>
  <c r="E643" i="14"/>
  <c r="G643" i="14" s="1"/>
  <c r="K584" i="31" s="1"/>
  <c r="E644" i="14"/>
  <c r="G644" i="14" s="1"/>
  <c r="K585" i="31" s="1"/>
  <c r="E645" i="14"/>
  <c r="G645" i="14" s="1"/>
  <c r="K586" i="31" s="1"/>
  <c r="E646" i="14"/>
  <c r="G646" i="14" s="1"/>
  <c r="K587" i="31" s="1"/>
  <c r="E647" i="14"/>
  <c r="G647" i="14" s="1"/>
  <c r="K588" i="31" s="1"/>
  <c r="E648" i="14"/>
  <c r="G648" i="14" s="1"/>
  <c r="K589" i="31" s="1"/>
  <c r="E649" i="14"/>
  <c r="G649" i="14" s="1"/>
  <c r="K590" i="31" s="1"/>
  <c r="E650" i="14"/>
  <c r="G650" i="14" s="1"/>
  <c r="K591" i="31" s="1"/>
  <c r="E651" i="14"/>
  <c r="G651" i="14" s="1"/>
  <c r="E652" i="14"/>
  <c r="G652" i="14" s="1"/>
  <c r="K592" i="31" s="1"/>
  <c r="E653" i="14"/>
  <c r="G653" i="14" s="1"/>
  <c r="K593" i="31" s="1"/>
  <c r="E654" i="14"/>
  <c r="G654" i="14" s="1"/>
  <c r="K594" i="31" s="1"/>
  <c r="E655" i="14"/>
  <c r="G655" i="14" s="1"/>
  <c r="K595" i="31" s="1"/>
  <c r="E656" i="14"/>
  <c r="G656" i="14" s="1"/>
  <c r="K596" i="31" s="1"/>
  <c r="E657" i="14"/>
  <c r="G657" i="14" s="1"/>
  <c r="K597" i="31" s="1"/>
  <c r="E658" i="14"/>
  <c r="G658" i="14" s="1"/>
  <c r="K598" i="31" s="1"/>
  <c r="E659" i="14"/>
  <c r="G659" i="14" s="1"/>
  <c r="K599" i="31" s="1"/>
  <c r="E660" i="14"/>
  <c r="G660" i="14" s="1"/>
  <c r="K600" i="31" s="1"/>
  <c r="E661" i="14"/>
  <c r="G661" i="14" s="1"/>
  <c r="K601" i="31" s="1"/>
  <c r="E662" i="14"/>
  <c r="G662" i="14" s="1"/>
  <c r="E663" i="14"/>
  <c r="G663" i="14" s="1"/>
  <c r="K602" i="31" s="1"/>
  <c r="E664" i="14"/>
  <c r="G664" i="14" s="1"/>
  <c r="K603" i="31" s="1"/>
  <c r="E665" i="14"/>
  <c r="G665" i="14" s="1"/>
  <c r="K604" i="31" s="1"/>
  <c r="E666" i="14"/>
  <c r="G666" i="14" s="1"/>
  <c r="K605" i="31" s="1"/>
  <c r="E667" i="14"/>
  <c r="G667" i="14" s="1"/>
  <c r="K606" i="31" s="1"/>
  <c r="E668" i="14"/>
  <c r="G668" i="14" s="1"/>
  <c r="K607" i="31" s="1"/>
  <c r="E669" i="14"/>
  <c r="G669" i="14" s="1"/>
  <c r="K608" i="31" s="1"/>
  <c r="E670" i="14"/>
  <c r="G670" i="14" s="1"/>
  <c r="K609" i="31" s="1"/>
  <c r="E671" i="14"/>
  <c r="G671" i="14" s="1"/>
  <c r="K610" i="31" s="1"/>
  <c r="E672" i="14"/>
  <c r="G672" i="14" s="1"/>
  <c r="K611" i="31" s="1"/>
  <c r="E673" i="14"/>
  <c r="G673" i="14" s="1"/>
  <c r="E674" i="14"/>
  <c r="G674" i="14" s="1"/>
  <c r="K612" i="31" s="1"/>
  <c r="E675" i="14"/>
  <c r="G675" i="14" s="1"/>
  <c r="K613" i="31" s="1"/>
  <c r="E676" i="14"/>
  <c r="G676" i="14" s="1"/>
  <c r="K614" i="31" s="1"/>
  <c r="E677" i="14"/>
  <c r="G677" i="14" s="1"/>
  <c r="K615" i="31" s="1"/>
  <c r="E678" i="14"/>
  <c r="G678" i="14" s="1"/>
  <c r="K616" i="31" s="1"/>
  <c r="E679" i="14"/>
  <c r="G679" i="14" s="1"/>
  <c r="K617" i="31" s="1"/>
  <c r="E680" i="14"/>
  <c r="G680" i="14" s="1"/>
  <c r="K618" i="31" s="1"/>
  <c r="E681" i="14"/>
  <c r="G681" i="14" s="1"/>
  <c r="K619" i="31" s="1"/>
  <c r="E682" i="14"/>
  <c r="G682" i="14" s="1"/>
  <c r="K620" i="31" s="1"/>
  <c r="E683" i="14"/>
  <c r="G683" i="14" s="1"/>
  <c r="K621" i="31" s="1"/>
  <c r="E684" i="14"/>
  <c r="G684" i="14" s="1"/>
  <c r="E685" i="14"/>
  <c r="G685" i="14" s="1"/>
  <c r="K622" i="31" s="1"/>
  <c r="E686" i="14"/>
  <c r="G686" i="14" s="1"/>
  <c r="K623" i="31" s="1"/>
  <c r="E687" i="14"/>
  <c r="G687" i="14" s="1"/>
  <c r="K624" i="31" s="1"/>
  <c r="E688" i="14"/>
  <c r="G688" i="14" s="1"/>
  <c r="K625" i="31" s="1"/>
  <c r="E689" i="14"/>
  <c r="G689" i="14" s="1"/>
  <c r="K626" i="31" s="1"/>
  <c r="E690" i="14"/>
  <c r="G690" i="14" s="1"/>
  <c r="K627" i="31" s="1"/>
  <c r="E691" i="14"/>
  <c r="G691" i="14" s="1"/>
  <c r="K628" i="31" s="1"/>
  <c r="E692" i="14"/>
  <c r="G692" i="14" s="1"/>
  <c r="K629" i="31" s="1"/>
  <c r="E693" i="14"/>
  <c r="G693" i="14" s="1"/>
  <c r="K630" i="31" s="1"/>
  <c r="E694" i="14"/>
  <c r="G694" i="14" s="1"/>
  <c r="K631" i="31" s="1"/>
  <c r="E695" i="14"/>
  <c r="G695" i="14" s="1"/>
  <c r="E696" i="14"/>
  <c r="G696" i="14" s="1"/>
  <c r="K632" i="31" s="1"/>
  <c r="E697" i="14"/>
  <c r="G697" i="14" s="1"/>
  <c r="K633" i="31" s="1"/>
  <c r="E698" i="14"/>
  <c r="G698" i="14" s="1"/>
  <c r="K634" i="31" s="1"/>
  <c r="E699" i="14"/>
  <c r="G699" i="14" s="1"/>
  <c r="K635" i="31" s="1"/>
  <c r="E700" i="14"/>
  <c r="G700" i="14" s="1"/>
  <c r="K636" i="31" s="1"/>
  <c r="E701" i="14"/>
  <c r="G701" i="14" s="1"/>
  <c r="K637" i="31" s="1"/>
  <c r="E702" i="14"/>
  <c r="G702" i="14" s="1"/>
  <c r="K638" i="31" s="1"/>
  <c r="E703" i="14"/>
  <c r="G703" i="14" s="1"/>
  <c r="K639" i="31" s="1"/>
  <c r="E704" i="14"/>
  <c r="G704" i="14" s="1"/>
  <c r="K640" i="31" s="1"/>
  <c r="E705" i="14"/>
  <c r="G705" i="14" s="1"/>
  <c r="K641" i="31" s="1"/>
  <c r="E706" i="14"/>
  <c r="G706" i="14" s="1"/>
  <c r="E707" i="14"/>
  <c r="G707" i="14" s="1"/>
  <c r="K642" i="31" s="1"/>
  <c r="E708" i="14"/>
  <c r="G708" i="14" s="1"/>
  <c r="K643" i="31" s="1"/>
  <c r="E709" i="14"/>
  <c r="G709" i="14" s="1"/>
  <c r="K644" i="31" s="1"/>
  <c r="E710" i="14"/>
  <c r="G710" i="14" s="1"/>
  <c r="K645" i="31" s="1"/>
  <c r="E711" i="14"/>
  <c r="G711" i="14" s="1"/>
  <c r="K646" i="31" s="1"/>
  <c r="E712" i="14"/>
  <c r="G712" i="14" s="1"/>
  <c r="K647" i="31" s="1"/>
  <c r="E713" i="14"/>
  <c r="G713" i="14" s="1"/>
  <c r="K648" i="31" s="1"/>
  <c r="E714" i="14"/>
  <c r="G714" i="14" s="1"/>
  <c r="K649" i="31" s="1"/>
  <c r="E715" i="14"/>
  <c r="G715" i="14" s="1"/>
  <c r="K650" i="31" s="1"/>
  <c r="E716" i="14"/>
  <c r="G716" i="14" s="1"/>
  <c r="K651" i="31" s="1"/>
  <c r="E717" i="14"/>
  <c r="G717" i="14" s="1"/>
  <c r="E718" i="14"/>
  <c r="G718" i="14" s="1"/>
  <c r="K652" i="31" s="1"/>
  <c r="E719" i="14"/>
  <c r="G719" i="14" s="1"/>
  <c r="K653" i="31" s="1"/>
  <c r="E720" i="14"/>
  <c r="G720" i="14" s="1"/>
  <c r="K654" i="31" s="1"/>
  <c r="E721" i="14"/>
  <c r="G721" i="14" s="1"/>
  <c r="K655" i="31" s="1"/>
  <c r="E722" i="14"/>
  <c r="G722" i="14" s="1"/>
  <c r="K656" i="31" s="1"/>
  <c r="E723" i="14"/>
  <c r="G723" i="14" s="1"/>
  <c r="K657" i="31" s="1"/>
  <c r="E724" i="14"/>
  <c r="G724" i="14" s="1"/>
  <c r="K658" i="31" s="1"/>
  <c r="E725" i="14"/>
  <c r="G725" i="14" s="1"/>
  <c r="K659" i="31" s="1"/>
  <c r="E726" i="14"/>
  <c r="G726" i="14" s="1"/>
  <c r="K660" i="31" s="1"/>
  <c r="E727" i="14"/>
  <c r="G727" i="14" s="1"/>
  <c r="K661" i="31" s="1"/>
  <c r="E728" i="14"/>
  <c r="G728" i="14" s="1"/>
  <c r="E729" i="14"/>
  <c r="G729" i="14" s="1"/>
  <c r="K662" i="31" s="1"/>
  <c r="E730" i="14"/>
  <c r="G730" i="14" s="1"/>
  <c r="K663" i="31" s="1"/>
  <c r="E731" i="14"/>
  <c r="G731" i="14" s="1"/>
  <c r="K664" i="31" s="1"/>
  <c r="E732" i="14"/>
  <c r="G732" i="14" s="1"/>
  <c r="K665" i="31" s="1"/>
  <c r="E733" i="14"/>
  <c r="G733" i="14" s="1"/>
  <c r="K666" i="31" s="1"/>
  <c r="E734" i="14"/>
  <c r="G734" i="14" s="1"/>
  <c r="K667" i="31" s="1"/>
  <c r="E735" i="14"/>
  <c r="G735" i="14" s="1"/>
  <c r="K668" i="31" s="1"/>
  <c r="E736" i="14"/>
  <c r="G736" i="14" s="1"/>
  <c r="K669" i="31" s="1"/>
  <c r="E737" i="14"/>
  <c r="G737" i="14" s="1"/>
  <c r="K670" i="31" s="1"/>
  <c r="E738" i="14"/>
  <c r="G738" i="14" s="1"/>
  <c r="K671" i="31" s="1"/>
  <c r="E739" i="14"/>
  <c r="G739" i="14" s="1"/>
  <c r="E740" i="14"/>
  <c r="G740" i="14" s="1"/>
  <c r="K672" i="31" s="1"/>
  <c r="E741" i="14"/>
  <c r="G741" i="14" s="1"/>
  <c r="K673" i="31" s="1"/>
  <c r="E742" i="14"/>
  <c r="G742" i="14" s="1"/>
  <c r="K674" i="31" s="1"/>
  <c r="E743" i="14"/>
  <c r="G743" i="14" s="1"/>
  <c r="K675" i="31" s="1"/>
  <c r="E744" i="14"/>
  <c r="G744" i="14" s="1"/>
  <c r="K676" i="31" s="1"/>
  <c r="E745" i="14"/>
  <c r="G745" i="14" s="1"/>
  <c r="K677" i="31" s="1"/>
  <c r="E746" i="14"/>
  <c r="G746" i="14" s="1"/>
  <c r="K678" i="31" s="1"/>
  <c r="E747" i="14"/>
  <c r="G747" i="14" s="1"/>
  <c r="K679" i="31" s="1"/>
  <c r="E748" i="14"/>
  <c r="G748" i="14" s="1"/>
  <c r="K680" i="31" s="1"/>
  <c r="E749" i="14"/>
  <c r="G749" i="14" s="1"/>
  <c r="K681" i="31" s="1"/>
  <c r="E750" i="14"/>
  <c r="G750" i="14" s="1"/>
  <c r="E751" i="14"/>
  <c r="G751" i="14" s="1"/>
  <c r="K682" i="31" s="1"/>
  <c r="E752" i="14"/>
  <c r="G752" i="14" s="1"/>
  <c r="K683" i="31" s="1"/>
  <c r="E753" i="14"/>
  <c r="G753" i="14" s="1"/>
  <c r="K684" i="31" s="1"/>
  <c r="E754" i="14"/>
  <c r="G754" i="14" s="1"/>
  <c r="K685" i="31" s="1"/>
  <c r="E755" i="14"/>
  <c r="G755" i="14" s="1"/>
  <c r="K686" i="31" s="1"/>
  <c r="E756" i="14"/>
  <c r="G756" i="14" s="1"/>
  <c r="K687" i="31" s="1"/>
  <c r="E757" i="14"/>
  <c r="G757" i="14" s="1"/>
  <c r="K688" i="31" s="1"/>
  <c r="E758" i="14"/>
  <c r="G758" i="14" s="1"/>
  <c r="K689" i="31" s="1"/>
  <c r="E759" i="14"/>
  <c r="G759" i="14" s="1"/>
  <c r="K690" i="31" s="1"/>
  <c r="E760" i="14"/>
  <c r="G760" i="14" s="1"/>
  <c r="K691" i="31" s="1"/>
  <c r="E761" i="14"/>
  <c r="G761" i="14" s="1"/>
  <c r="E762" i="14"/>
  <c r="G762" i="14" s="1"/>
  <c r="K692" i="31" s="1"/>
  <c r="E763" i="14"/>
  <c r="G763" i="14" s="1"/>
  <c r="K693" i="31" s="1"/>
  <c r="E764" i="14"/>
  <c r="G764" i="14" s="1"/>
  <c r="K694" i="31" s="1"/>
  <c r="E765" i="14"/>
  <c r="G765" i="14" s="1"/>
  <c r="K695" i="31" s="1"/>
  <c r="E766" i="14"/>
  <c r="G766" i="14" s="1"/>
  <c r="K696" i="31" s="1"/>
  <c r="E767" i="14"/>
  <c r="G767" i="14" s="1"/>
  <c r="K697" i="31" s="1"/>
  <c r="E768" i="14"/>
  <c r="G768" i="14" s="1"/>
  <c r="K698" i="31" s="1"/>
  <c r="E769" i="14"/>
  <c r="G769" i="14" s="1"/>
  <c r="K699" i="31" s="1"/>
  <c r="E770" i="14"/>
  <c r="G770" i="14" s="1"/>
  <c r="K700" i="31" s="1"/>
  <c r="E771" i="14"/>
  <c r="G771" i="14" s="1"/>
  <c r="K701" i="31" s="1"/>
  <c r="E772" i="14"/>
  <c r="G772" i="14" s="1"/>
  <c r="E773" i="14"/>
  <c r="G773" i="14" s="1"/>
  <c r="K702" i="31" s="1"/>
  <c r="E774" i="14"/>
  <c r="G774" i="14" s="1"/>
  <c r="K703" i="31" s="1"/>
  <c r="E775" i="14"/>
  <c r="G775" i="14" s="1"/>
  <c r="K704" i="31" s="1"/>
  <c r="E776" i="14"/>
  <c r="G776" i="14" s="1"/>
  <c r="K705" i="31" s="1"/>
  <c r="E777" i="14"/>
  <c r="G777" i="14" s="1"/>
  <c r="K706" i="31" s="1"/>
  <c r="E778" i="14"/>
  <c r="G778" i="14" s="1"/>
  <c r="K707" i="31" s="1"/>
  <c r="E779" i="14"/>
  <c r="G779" i="14" s="1"/>
  <c r="K708" i="31" s="1"/>
  <c r="E780" i="14"/>
  <c r="G780" i="14" s="1"/>
  <c r="K709" i="31" s="1"/>
  <c r="E781" i="14"/>
  <c r="G781" i="14" s="1"/>
  <c r="K710" i="31" s="1"/>
  <c r="E782" i="14"/>
  <c r="G782" i="14" s="1"/>
  <c r="K711" i="31" s="1"/>
  <c r="E783" i="14"/>
  <c r="G783" i="14" s="1"/>
  <c r="E784" i="14"/>
  <c r="G784" i="14" s="1"/>
  <c r="K712" i="31" s="1"/>
  <c r="E785" i="14"/>
  <c r="G785" i="14" s="1"/>
  <c r="K713" i="31" s="1"/>
  <c r="E786" i="14"/>
  <c r="G786" i="14" s="1"/>
  <c r="K714" i="31" s="1"/>
  <c r="E787" i="14"/>
  <c r="G787" i="14" s="1"/>
  <c r="K715" i="31" s="1"/>
  <c r="E788" i="14"/>
  <c r="G788" i="14" s="1"/>
  <c r="K716" i="31" s="1"/>
  <c r="E789" i="14"/>
  <c r="G789" i="14" s="1"/>
  <c r="K717" i="31" s="1"/>
  <c r="E790" i="14"/>
  <c r="G790" i="14" s="1"/>
  <c r="K718" i="31" s="1"/>
  <c r="E791" i="14"/>
  <c r="G791" i="14" s="1"/>
  <c r="K719" i="31" s="1"/>
  <c r="E792" i="14"/>
  <c r="G792" i="14" s="1"/>
  <c r="K720" i="31" s="1"/>
  <c r="E793" i="14"/>
  <c r="G793" i="14" s="1"/>
  <c r="K721" i="31" s="1"/>
  <c r="E794" i="14"/>
  <c r="G794" i="14" s="1"/>
  <c r="E795" i="14"/>
  <c r="G795" i="14" s="1"/>
  <c r="K722" i="31" s="1"/>
  <c r="E796" i="14"/>
  <c r="G796" i="14" s="1"/>
  <c r="K723" i="31" s="1"/>
  <c r="E797" i="14"/>
  <c r="G797" i="14" s="1"/>
  <c r="K724" i="31" s="1"/>
  <c r="E798" i="14"/>
  <c r="G798" i="14" s="1"/>
  <c r="K725" i="31" s="1"/>
  <c r="E799" i="14"/>
  <c r="G799" i="14" s="1"/>
  <c r="K726" i="31" s="1"/>
  <c r="E800" i="14"/>
  <c r="G800" i="14" s="1"/>
  <c r="K727" i="31" s="1"/>
  <c r="E801" i="14"/>
  <c r="G801" i="14" s="1"/>
  <c r="K728" i="31" s="1"/>
  <c r="E802" i="14"/>
  <c r="G802" i="14" s="1"/>
  <c r="K729" i="31" s="1"/>
  <c r="E803" i="14"/>
  <c r="G803" i="14" s="1"/>
  <c r="K730" i="31" s="1"/>
  <c r="E804" i="14"/>
  <c r="G804" i="14" s="1"/>
  <c r="K731" i="31" s="1"/>
  <c r="E805" i="14"/>
  <c r="G805" i="14" s="1"/>
  <c r="E806" i="14"/>
  <c r="G806" i="14" s="1"/>
  <c r="K732" i="31" s="1"/>
  <c r="E807" i="14"/>
  <c r="G807" i="14" s="1"/>
  <c r="K733" i="31" s="1"/>
  <c r="E808" i="14"/>
  <c r="G808" i="14" s="1"/>
  <c r="K734" i="31" s="1"/>
  <c r="E809" i="14"/>
  <c r="G809" i="14" s="1"/>
  <c r="K735" i="31" s="1"/>
  <c r="E810" i="14"/>
  <c r="G810" i="14" s="1"/>
  <c r="K736" i="31" s="1"/>
  <c r="E811" i="14"/>
  <c r="G811" i="14" s="1"/>
  <c r="K737" i="31" s="1"/>
  <c r="E812" i="14"/>
  <c r="G812" i="14" s="1"/>
  <c r="K738" i="31" s="1"/>
  <c r="E813" i="14"/>
  <c r="G813" i="14" s="1"/>
  <c r="K739" i="31" s="1"/>
  <c r="E814" i="14"/>
  <c r="G814" i="14" s="1"/>
  <c r="K740" i="31" s="1"/>
  <c r="E815" i="14"/>
  <c r="G815" i="14" s="1"/>
  <c r="K741" i="31" s="1"/>
  <c r="E816" i="14"/>
  <c r="G816" i="14" s="1"/>
  <c r="E817" i="14"/>
  <c r="G817" i="14" s="1"/>
  <c r="K742" i="31" s="1"/>
  <c r="E818" i="14"/>
  <c r="G818" i="14" s="1"/>
  <c r="K743" i="31" s="1"/>
  <c r="E819" i="14"/>
  <c r="G819" i="14" s="1"/>
  <c r="K744" i="31" s="1"/>
  <c r="E820" i="14"/>
  <c r="G820" i="14" s="1"/>
  <c r="K745" i="31" s="1"/>
  <c r="E821" i="14"/>
  <c r="G821" i="14" s="1"/>
  <c r="K746" i="31" s="1"/>
  <c r="E822" i="14"/>
  <c r="G822" i="14" s="1"/>
  <c r="K747" i="31" s="1"/>
  <c r="E823" i="14"/>
  <c r="G823" i="14" s="1"/>
  <c r="K748" i="31" s="1"/>
  <c r="E824" i="14"/>
  <c r="G824" i="14" s="1"/>
  <c r="K749" i="31" s="1"/>
  <c r="E825" i="14"/>
  <c r="G825" i="14" s="1"/>
  <c r="K750" i="31" s="1"/>
  <c r="E826" i="14"/>
  <c r="G826" i="14" s="1"/>
  <c r="K751" i="31" s="1"/>
  <c r="E827" i="14"/>
  <c r="G827" i="14" s="1"/>
  <c r="E828" i="14"/>
  <c r="G828" i="14" s="1"/>
  <c r="K752" i="31" s="1"/>
  <c r="E829" i="14"/>
  <c r="G829" i="14" s="1"/>
  <c r="K753" i="31" s="1"/>
  <c r="E830" i="14"/>
  <c r="G830" i="14" s="1"/>
  <c r="K754" i="31" s="1"/>
  <c r="E831" i="14"/>
  <c r="G831" i="14" s="1"/>
  <c r="K755" i="31" s="1"/>
  <c r="E832" i="14"/>
  <c r="G832" i="14" s="1"/>
  <c r="K756" i="31" s="1"/>
  <c r="E833" i="14"/>
  <c r="G833" i="14" s="1"/>
  <c r="K757" i="31" s="1"/>
  <c r="E834" i="14"/>
  <c r="G834" i="14" s="1"/>
  <c r="K758" i="31" s="1"/>
  <c r="E835" i="14"/>
  <c r="G835" i="14" s="1"/>
  <c r="K759" i="31" s="1"/>
  <c r="E836" i="14"/>
  <c r="G836" i="14" s="1"/>
  <c r="K760" i="31" s="1"/>
  <c r="E837" i="14"/>
  <c r="G837" i="14" s="1"/>
  <c r="K761" i="31" s="1"/>
  <c r="E838" i="14"/>
  <c r="G838" i="14" s="1"/>
  <c r="E839" i="14"/>
  <c r="G839" i="14" s="1"/>
  <c r="K762" i="31" s="1"/>
  <c r="E840" i="14"/>
  <c r="G840" i="14" s="1"/>
  <c r="K763" i="31" s="1"/>
  <c r="E841" i="14"/>
  <c r="G841" i="14" s="1"/>
  <c r="K764" i="31" s="1"/>
  <c r="E842" i="14"/>
  <c r="G842" i="14" s="1"/>
  <c r="K765" i="31" s="1"/>
  <c r="E843" i="14"/>
  <c r="G843" i="14" s="1"/>
  <c r="K766" i="31" s="1"/>
  <c r="E844" i="14"/>
  <c r="G844" i="14" s="1"/>
  <c r="K767" i="31" s="1"/>
  <c r="E845" i="14"/>
  <c r="G845" i="14" s="1"/>
  <c r="K768" i="31" s="1"/>
  <c r="E846" i="14"/>
  <c r="G846" i="14" s="1"/>
  <c r="K769" i="31" s="1"/>
  <c r="E847" i="14"/>
  <c r="G847" i="14" s="1"/>
  <c r="K770" i="31" s="1"/>
  <c r="E848" i="14"/>
  <c r="G848" i="14" s="1"/>
  <c r="K771" i="31" s="1"/>
  <c r="E849" i="14"/>
  <c r="G849" i="14" s="1"/>
  <c r="E850" i="14"/>
  <c r="G850" i="14" s="1"/>
  <c r="K772" i="31" s="1"/>
  <c r="E851" i="14"/>
  <c r="G851" i="14" s="1"/>
  <c r="K773" i="31" s="1"/>
  <c r="E852" i="14"/>
  <c r="G852" i="14" s="1"/>
  <c r="K774" i="31" s="1"/>
  <c r="E853" i="14"/>
  <c r="G853" i="14" s="1"/>
  <c r="K775" i="31" s="1"/>
  <c r="E854" i="14"/>
  <c r="G854" i="14" s="1"/>
  <c r="K776" i="31" s="1"/>
  <c r="E855" i="14"/>
  <c r="G855" i="14" s="1"/>
  <c r="K777" i="31" s="1"/>
  <c r="E856" i="14"/>
  <c r="G856" i="14" s="1"/>
  <c r="K778" i="31" s="1"/>
  <c r="E857" i="14"/>
  <c r="G857" i="14" s="1"/>
  <c r="K779" i="31" s="1"/>
  <c r="E858" i="14"/>
  <c r="G858" i="14" s="1"/>
  <c r="K780" i="31" s="1"/>
  <c r="E859" i="14"/>
  <c r="G859" i="14" s="1"/>
  <c r="K781" i="31" s="1"/>
  <c r="E860" i="14"/>
  <c r="G860" i="14" s="1"/>
  <c r="E861" i="14"/>
  <c r="G861" i="14" s="1"/>
  <c r="K782" i="31" s="1"/>
  <c r="E862" i="14"/>
  <c r="G862" i="14" s="1"/>
  <c r="K783" i="31" s="1"/>
  <c r="E863" i="14"/>
  <c r="G863" i="14" s="1"/>
  <c r="K784" i="31" s="1"/>
  <c r="E864" i="14"/>
  <c r="G864" i="14" s="1"/>
  <c r="K785" i="31" s="1"/>
  <c r="E865" i="14"/>
  <c r="G865" i="14" s="1"/>
  <c r="K786" i="31" s="1"/>
  <c r="E866" i="14"/>
  <c r="G866" i="14" s="1"/>
  <c r="K787" i="31" s="1"/>
  <c r="E867" i="14"/>
  <c r="G867" i="14" s="1"/>
  <c r="K788" i="31" s="1"/>
  <c r="E868" i="14"/>
  <c r="G868" i="14" s="1"/>
  <c r="K789" i="31" s="1"/>
  <c r="E869" i="14"/>
  <c r="G869" i="14" s="1"/>
  <c r="K790" i="31" s="1"/>
  <c r="E870" i="14"/>
  <c r="G870" i="14" s="1"/>
  <c r="K791" i="31" s="1"/>
  <c r="E871" i="14"/>
  <c r="G871" i="14" s="1"/>
  <c r="E872" i="14"/>
  <c r="G872" i="14" s="1"/>
  <c r="K792" i="31" s="1"/>
  <c r="E873" i="14"/>
  <c r="G873" i="14" s="1"/>
  <c r="K793" i="31" s="1"/>
  <c r="E874" i="14"/>
  <c r="G874" i="14" s="1"/>
  <c r="K794" i="31" s="1"/>
  <c r="E875" i="14"/>
  <c r="G875" i="14" s="1"/>
  <c r="K795" i="31" s="1"/>
  <c r="E876" i="14"/>
  <c r="G876" i="14" s="1"/>
  <c r="K796" i="31" s="1"/>
  <c r="E877" i="14"/>
  <c r="G877" i="14" s="1"/>
  <c r="K797" i="31" s="1"/>
  <c r="E878" i="14"/>
  <c r="G878" i="14" s="1"/>
  <c r="K798" i="31" s="1"/>
  <c r="E879" i="14"/>
  <c r="G879" i="14" s="1"/>
  <c r="K799" i="31" s="1"/>
  <c r="E880" i="14"/>
  <c r="G880" i="14" s="1"/>
  <c r="K800" i="31" s="1"/>
  <c r="E881" i="14"/>
  <c r="G881" i="14" s="1"/>
  <c r="K801" i="31" s="1"/>
  <c r="E882" i="14"/>
  <c r="G882" i="14" s="1"/>
  <c r="E883" i="14"/>
  <c r="G883" i="14" s="1"/>
  <c r="K802" i="31" s="1"/>
  <c r="E884" i="14"/>
  <c r="G884" i="14" s="1"/>
  <c r="K803" i="31" s="1"/>
  <c r="E885" i="14"/>
  <c r="G885" i="14" s="1"/>
  <c r="K804" i="31" s="1"/>
  <c r="E886" i="14"/>
  <c r="G886" i="14" s="1"/>
  <c r="K805" i="31" s="1"/>
  <c r="E887" i="14"/>
  <c r="G887" i="14" s="1"/>
  <c r="K806" i="31" s="1"/>
  <c r="E888" i="14"/>
  <c r="G888" i="14" s="1"/>
  <c r="K807" i="31" s="1"/>
  <c r="E889" i="14"/>
  <c r="G889" i="14" s="1"/>
  <c r="K808" i="31" s="1"/>
  <c r="E890" i="14"/>
  <c r="G890" i="14" s="1"/>
  <c r="K809" i="31" s="1"/>
  <c r="E891" i="14"/>
  <c r="G891" i="14" s="1"/>
  <c r="K810" i="31" s="1"/>
  <c r="E892" i="14"/>
  <c r="G892" i="14" s="1"/>
  <c r="K811" i="31" s="1"/>
  <c r="E893" i="14"/>
  <c r="G893" i="14" s="1"/>
  <c r="E894" i="14"/>
  <c r="G894" i="14" s="1"/>
  <c r="K812" i="31" s="1"/>
  <c r="E895" i="14"/>
  <c r="G895" i="14" s="1"/>
  <c r="K813" i="31" s="1"/>
  <c r="E896" i="14"/>
  <c r="G896" i="14" s="1"/>
  <c r="K814" i="31" s="1"/>
  <c r="E897" i="14"/>
  <c r="G897" i="14" s="1"/>
  <c r="K815" i="31" s="1"/>
  <c r="E898" i="14"/>
  <c r="G898" i="14" s="1"/>
  <c r="K816" i="31" s="1"/>
  <c r="E899" i="14"/>
  <c r="G899" i="14" s="1"/>
  <c r="K817" i="31" s="1"/>
  <c r="E900" i="14"/>
  <c r="G900" i="14" s="1"/>
  <c r="K818" i="31" s="1"/>
  <c r="E901" i="14"/>
  <c r="G901" i="14" s="1"/>
  <c r="K819" i="31" s="1"/>
  <c r="E902" i="14"/>
  <c r="G902" i="14" s="1"/>
  <c r="K820" i="31" s="1"/>
  <c r="E903" i="14"/>
  <c r="G903" i="14" s="1"/>
  <c r="K821" i="31" s="1"/>
  <c r="E904" i="14"/>
  <c r="G904" i="14" s="1"/>
  <c r="E905" i="14"/>
  <c r="G905" i="14" s="1"/>
  <c r="K822" i="31" s="1"/>
  <c r="E906" i="14"/>
  <c r="G906" i="14" s="1"/>
  <c r="K823" i="31" s="1"/>
  <c r="E907" i="14"/>
  <c r="G907" i="14" s="1"/>
  <c r="K824" i="31" s="1"/>
  <c r="E908" i="14"/>
  <c r="G908" i="14" s="1"/>
  <c r="K825" i="31" s="1"/>
  <c r="E909" i="14"/>
  <c r="G909" i="14" s="1"/>
  <c r="K826" i="31" s="1"/>
  <c r="E910" i="14"/>
  <c r="G910" i="14" s="1"/>
  <c r="K827" i="31" s="1"/>
  <c r="E911" i="14"/>
  <c r="G911" i="14" s="1"/>
  <c r="K828" i="31" s="1"/>
  <c r="E912" i="14"/>
  <c r="G912" i="14" s="1"/>
  <c r="K829" i="31" s="1"/>
  <c r="E913" i="14"/>
  <c r="G913" i="14" s="1"/>
  <c r="K830" i="31" s="1"/>
  <c r="E914" i="14"/>
  <c r="G914" i="14" s="1"/>
  <c r="K831" i="31" s="1"/>
  <c r="E915" i="14"/>
  <c r="G915" i="14" s="1"/>
  <c r="E916" i="14"/>
  <c r="G916" i="14" s="1"/>
  <c r="K832" i="31" s="1"/>
  <c r="E917" i="14"/>
  <c r="G917" i="14" s="1"/>
  <c r="K833" i="31" s="1"/>
  <c r="E918" i="14"/>
  <c r="G918" i="14" s="1"/>
  <c r="K834" i="31" s="1"/>
  <c r="E919" i="14"/>
  <c r="G919" i="14" s="1"/>
  <c r="K835" i="31" s="1"/>
  <c r="E920" i="14"/>
  <c r="G920" i="14" s="1"/>
  <c r="K836" i="31" s="1"/>
  <c r="E921" i="14"/>
  <c r="G921" i="14" s="1"/>
  <c r="K837" i="31" s="1"/>
  <c r="E922" i="14"/>
  <c r="G922" i="14" s="1"/>
  <c r="K838" i="31" s="1"/>
  <c r="E923" i="14"/>
  <c r="G923" i="14" s="1"/>
  <c r="K839" i="31" s="1"/>
  <c r="E924" i="14"/>
  <c r="G924" i="14" s="1"/>
  <c r="K840" i="31" s="1"/>
  <c r="E925" i="14"/>
  <c r="G925" i="14" s="1"/>
  <c r="K841" i="31" s="1"/>
  <c r="E926" i="14"/>
  <c r="G926" i="14" s="1"/>
  <c r="E927" i="14"/>
  <c r="G927" i="14" s="1"/>
  <c r="K842" i="31" s="1"/>
  <c r="E928" i="14"/>
  <c r="G928" i="14" s="1"/>
  <c r="K843" i="31" s="1"/>
  <c r="E929" i="14"/>
  <c r="G929" i="14" s="1"/>
  <c r="K844" i="31" s="1"/>
  <c r="E930" i="14"/>
  <c r="G930" i="14" s="1"/>
  <c r="K845" i="31" s="1"/>
  <c r="E931" i="14"/>
  <c r="G931" i="14" s="1"/>
  <c r="K846" i="31" s="1"/>
  <c r="E932" i="14"/>
  <c r="G932" i="14" s="1"/>
  <c r="K847" i="31" s="1"/>
  <c r="E933" i="14"/>
  <c r="G933" i="14" s="1"/>
  <c r="K848" i="31" s="1"/>
  <c r="E934" i="14"/>
  <c r="G934" i="14" s="1"/>
  <c r="K849" i="31" s="1"/>
  <c r="E935" i="14"/>
  <c r="G935" i="14" s="1"/>
  <c r="K850" i="31" s="1"/>
  <c r="E936" i="14"/>
  <c r="G936" i="14" s="1"/>
  <c r="K851" i="31" s="1"/>
  <c r="E937" i="14"/>
  <c r="G937" i="14" s="1"/>
  <c r="E938" i="14"/>
  <c r="G938" i="14" s="1"/>
  <c r="K852" i="31" s="1"/>
  <c r="E939" i="14"/>
  <c r="G939" i="14" s="1"/>
  <c r="K853" i="31" s="1"/>
  <c r="E940" i="14"/>
  <c r="G940" i="14" s="1"/>
  <c r="K854" i="31" s="1"/>
  <c r="E941" i="14"/>
  <c r="G941" i="14" s="1"/>
  <c r="K855" i="31" s="1"/>
  <c r="E942" i="14"/>
  <c r="G942" i="14" s="1"/>
  <c r="K856" i="31" s="1"/>
  <c r="E943" i="14"/>
  <c r="G943" i="14" s="1"/>
  <c r="K857" i="31" s="1"/>
  <c r="E944" i="14"/>
  <c r="G944" i="14" s="1"/>
  <c r="K858" i="31" s="1"/>
  <c r="E945" i="14"/>
  <c r="G945" i="14" s="1"/>
  <c r="K859" i="31" s="1"/>
  <c r="E946" i="14"/>
  <c r="G946" i="14" s="1"/>
  <c r="K860" i="31" s="1"/>
  <c r="E947" i="14"/>
  <c r="G947" i="14" s="1"/>
  <c r="K861" i="31" s="1"/>
  <c r="E948" i="14"/>
  <c r="G948" i="14" s="1"/>
  <c r="E949" i="14"/>
  <c r="G949" i="14" s="1"/>
  <c r="K862" i="31" s="1"/>
  <c r="E950" i="14"/>
  <c r="G950" i="14" s="1"/>
  <c r="K863" i="31" s="1"/>
  <c r="E951" i="14"/>
  <c r="G951" i="14" s="1"/>
  <c r="K864" i="31" s="1"/>
  <c r="E952" i="14"/>
  <c r="G952" i="14" s="1"/>
  <c r="K865" i="31" s="1"/>
  <c r="E953" i="14"/>
  <c r="G953" i="14" s="1"/>
  <c r="K866" i="31" s="1"/>
  <c r="E954" i="14"/>
  <c r="G954" i="14" s="1"/>
  <c r="K867" i="31" s="1"/>
  <c r="E955" i="14"/>
  <c r="G955" i="14" s="1"/>
  <c r="K868" i="31" s="1"/>
  <c r="E956" i="14"/>
  <c r="G956" i="14" s="1"/>
  <c r="K869" i="31" s="1"/>
  <c r="E957" i="14"/>
  <c r="G957" i="14" s="1"/>
  <c r="K870" i="31" s="1"/>
  <c r="E958" i="14"/>
  <c r="G958" i="14" s="1"/>
  <c r="K871" i="31" s="1"/>
  <c r="E959" i="14"/>
  <c r="G959" i="14" s="1"/>
  <c r="E960" i="14"/>
  <c r="G960" i="14" s="1"/>
  <c r="K872" i="31" s="1"/>
  <c r="E961" i="14"/>
  <c r="G961" i="14" s="1"/>
  <c r="K873" i="31" s="1"/>
  <c r="E962" i="14"/>
  <c r="G962" i="14" s="1"/>
  <c r="K874" i="31" s="1"/>
  <c r="E963" i="14"/>
  <c r="G963" i="14" s="1"/>
  <c r="K875" i="31" s="1"/>
  <c r="E964" i="14"/>
  <c r="G964" i="14" s="1"/>
  <c r="K876" i="31" s="1"/>
  <c r="E965" i="14"/>
  <c r="G965" i="14" s="1"/>
  <c r="K877" i="31" s="1"/>
  <c r="E966" i="14"/>
  <c r="G966" i="14" s="1"/>
  <c r="K878" i="31" s="1"/>
  <c r="E967" i="14"/>
  <c r="G967" i="14" s="1"/>
  <c r="K879" i="31" s="1"/>
  <c r="E968" i="14"/>
  <c r="G968" i="14" s="1"/>
  <c r="K880" i="31" s="1"/>
  <c r="E969" i="14"/>
  <c r="G969" i="14" s="1"/>
  <c r="K881" i="31" s="1"/>
  <c r="E970" i="14"/>
  <c r="G970" i="14" s="1"/>
  <c r="E971" i="14"/>
  <c r="G971" i="14" s="1"/>
  <c r="K882" i="31" s="1"/>
  <c r="E972" i="14"/>
  <c r="G972" i="14" s="1"/>
  <c r="K883" i="31" s="1"/>
  <c r="E973" i="14"/>
  <c r="G973" i="14" s="1"/>
  <c r="K884" i="31" s="1"/>
  <c r="E974" i="14"/>
  <c r="G974" i="14" s="1"/>
  <c r="K885" i="31" s="1"/>
  <c r="E975" i="14"/>
  <c r="G975" i="14" s="1"/>
  <c r="K886" i="31" s="1"/>
  <c r="E976" i="14"/>
  <c r="G976" i="14" s="1"/>
  <c r="K887" i="31" s="1"/>
  <c r="E977" i="14"/>
  <c r="G977" i="14" s="1"/>
  <c r="K888" i="31" s="1"/>
  <c r="E978" i="14"/>
  <c r="G978" i="14" s="1"/>
  <c r="K889" i="31" s="1"/>
  <c r="E979" i="14"/>
  <c r="G979" i="14" s="1"/>
  <c r="K890" i="31" s="1"/>
  <c r="E980" i="14"/>
  <c r="G980" i="14" s="1"/>
  <c r="K891" i="31" s="1"/>
  <c r="E981" i="14"/>
  <c r="G981" i="14" s="1"/>
  <c r="E982" i="14"/>
  <c r="G982" i="14" s="1"/>
  <c r="K892" i="31" s="1"/>
  <c r="E983" i="14"/>
  <c r="G983" i="14" s="1"/>
  <c r="K893" i="31" s="1"/>
  <c r="E984" i="14"/>
  <c r="G984" i="14" s="1"/>
  <c r="K894" i="31" s="1"/>
  <c r="E985" i="14"/>
  <c r="G985" i="14" s="1"/>
  <c r="K895" i="31" s="1"/>
  <c r="E986" i="14"/>
  <c r="G986" i="14" s="1"/>
  <c r="K896" i="31" s="1"/>
  <c r="E987" i="14"/>
  <c r="G987" i="14" s="1"/>
  <c r="K897" i="31" s="1"/>
  <c r="E988" i="14"/>
  <c r="G988" i="14" s="1"/>
  <c r="K898" i="31" s="1"/>
  <c r="E989" i="14"/>
  <c r="G989" i="14" s="1"/>
  <c r="K899" i="31" s="1"/>
  <c r="E990" i="14"/>
  <c r="G990" i="14" s="1"/>
  <c r="K900" i="31" s="1"/>
  <c r="E991" i="14"/>
  <c r="G991" i="14" s="1"/>
  <c r="K901" i="31" s="1"/>
  <c r="E992" i="14"/>
  <c r="G992" i="14" s="1"/>
  <c r="E993" i="14"/>
  <c r="G993" i="14" s="1"/>
  <c r="K902" i="31" s="1"/>
  <c r="E994" i="14"/>
  <c r="G994" i="14" s="1"/>
  <c r="K903" i="31" s="1"/>
  <c r="E995" i="14"/>
  <c r="G995" i="14" s="1"/>
  <c r="K904" i="31" s="1"/>
  <c r="E996" i="14"/>
  <c r="G996" i="14" s="1"/>
  <c r="K905" i="31" s="1"/>
  <c r="E997" i="14"/>
  <c r="G997" i="14" s="1"/>
  <c r="K906" i="31" s="1"/>
  <c r="E998" i="14"/>
  <c r="G998" i="14" s="1"/>
  <c r="K907" i="31" s="1"/>
  <c r="E999" i="14"/>
  <c r="G999" i="14" s="1"/>
  <c r="K908" i="31" s="1"/>
  <c r="E1000" i="14"/>
  <c r="G1000" i="14" s="1"/>
  <c r="K909" i="31" s="1"/>
  <c r="E1001" i="14"/>
  <c r="G1001" i="14" s="1"/>
  <c r="K910" i="31" s="1"/>
  <c r="E1002" i="14"/>
  <c r="G1002" i="14" s="1"/>
  <c r="K911" i="31" s="1"/>
  <c r="E1003" i="14"/>
  <c r="G1003" i="14" s="1"/>
  <c r="E1004" i="14"/>
  <c r="G1004" i="14" s="1"/>
  <c r="K912" i="31" s="1"/>
  <c r="E1005" i="14"/>
  <c r="G1005" i="14" s="1"/>
  <c r="K913" i="31" s="1"/>
  <c r="E1006" i="14"/>
  <c r="G1006" i="14" s="1"/>
  <c r="K914" i="31" s="1"/>
  <c r="E1007" i="14"/>
  <c r="G1007" i="14" s="1"/>
  <c r="K915" i="31" s="1"/>
  <c r="E1008" i="14"/>
  <c r="G1008" i="14" s="1"/>
  <c r="K916" i="31" s="1"/>
  <c r="E1009" i="14"/>
  <c r="G1009" i="14" s="1"/>
  <c r="K917" i="31" s="1"/>
  <c r="E1010" i="14"/>
  <c r="G1010" i="14" s="1"/>
  <c r="K918" i="31" s="1"/>
  <c r="E1011" i="14"/>
  <c r="G1011" i="14" s="1"/>
  <c r="K919" i="31" s="1"/>
  <c r="E1012" i="14"/>
  <c r="G1012" i="14" s="1"/>
  <c r="K920" i="31" s="1"/>
  <c r="E1013" i="14"/>
  <c r="G1013" i="14" s="1"/>
  <c r="K921" i="31" s="1"/>
  <c r="E1014" i="14"/>
  <c r="G1014" i="14" s="1"/>
  <c r="E1015" i="14"/>
  <c r="G1015" i="14" s="1"/>
  <c r="K922" i="31" s="1"/>
  <c r="E1016" i="14"/>
  <c r="G1016" i="14" s="1"/>
  <c r="K923" i="31" s="1"/>
  <c r="E1017" i="14"/>
  <c r="G1017" i="14" s="1"/>
  <c r="K924" i="31" s="1"/>
  <c r="E1018" i="14"/>
  <c r="G1018" i="14" s="1"/>
  <c r="K925" i="31" s="1"/>
  <c r="E1019" i="14"/>
  <c r="G1019" i="14" s="1"/>
  <c r="K926" i="31" s="1"/>
  <c r="E1020" i="14"/>
  <c r="G1020" i="14" s="1"/>
  <c r="K927" i="31" s="1"/>
  <c r="E1021" i="14"/>
  <c r="G1021" i="14" s="1"/>
  <c r="K928" i="31" s="1"/>
  <c r="E1022" i="14"/>
  <c r="G1022" i="14" s="1"/>
  <c r="K929" i="31" s="1"/>
  <c r="E1023" i="14"/>
  <c r="G1023" i="14" s="1"/>
  <c r="K930" i="31" s="1"/>
  <c r="E1024" i="14"/>
  <c r="G1024" i="14" s="1"/>
  <c r="K931" i="31" s="1"/>
  <c r="E1025" i="14"/>
  <c r="G1025" i="14" s="1"/>
  <c r="E1026" i="14"/>
  <c r="G1026" i="14" s="1"/>
  <c r="K932" i="31" s="1"/>
  <c r="E1027" i="14"/>
  <c r="G1027" i="14" s="1"/>
  <c r="K933" i="31" s="1"/>
  <c r="E1028" i="14"/>
  <c r="G1028" i="14" s="1"/>
  <c r="K934" i="31" s="1"/>
  <c r="E1029" i="14"/>
  <c r="G1029" i="14" s="1"/>
  <c r="K935" i="31" s="1"/>
  <c r="E1030" i="14"/>
  <c r="G1030" i="14" s="1"/>
  <c r="K936" i="31" s="1"/>
  <c r="E1031" i="14"/>
  <c r="G1031" i="14" s="1"/>
  <c r="K937" i="31" s="1"/>
  <c r="E1032" i="14"/>
  <c r="G1032" i="14" s="1"/>
  <c r="K938" i="31" s="1"/>
  <c r="E1033" i="14"/>
  <c r="G1033" i="14" s="1"/>
  <c r="K939" i="31" s="1"/>
  <c r="E1034" i="14"/>
  <c r="G1034" i="14" s="1"/>
  <c r="K940" i="31" s="1"/>
  <c r="E1035" i="14"/>
  <c r="G1035" i="14" s="1"/>
  <c r="K941" i="31" s="1"/>
  <c r="E1036" i="14"/>
  <c r="G1036" i="14" s="1"/>
  <c r="E1037" i="14"/>
  <c r="G1037" i="14" s="1"/>
  <c r="K942" i="31" s="1"/>
  <c r="E1038" i="14"/>
  <c r="G1038" i="14" s="1"/>
  <c r="K943" i="31" s="1"/>
  <c r="E1039" i="14"/>
  <c r="G1039" i="14" s="1"/>
  <c r="K944" i="31" s="1"/>
  <c r="E1040" i="14"/>
  <c r="G1040" i="14" s="1"/>
  <c r="K945" i="31" s="1"/>
  <c r="E1041" i="14"/>
  <c r="G1041" i="14" s="1"/>
  <c r="K946" i="31" s="1"/>
  <c r="E1042" i="14"/>
  <c r="G1042" i="14" s="1"/>
  <c r="K947" i="31" s="1"/>
  <c r="E1043" i="14"/>
  <c r="G1043" i="14" s="1"/>
  <c r="K948" i="31" s="1"/>
  <c r="E1044" i="14"/>
  <c r="G1044" i="14" s="1"/>
  <c r="K949" i="31" s="1"/>
  <c r="E1045" i="14"/>
  <c r="G1045" i="14" s="1"/>
  <c r="K950" i="31" s="1"/>
  <c r="E1046" i="14"/>
  <c r="G1046" i="14" s="1"/>
  <c r="K951" i="31" s="1"/>
  <c r="E1047" i="14"/>
  <c r="G1047" i="14" s="1"/>
  <c r="E1048" i="14"/>
  <c r="G1048" i="14" s="1"/>
  <c r="K952" i="31" s="1"/>
  <c r="E1049" i="14"/>
  <c r="G1049" i="14" s="1"/>
  <c r="K953" i="31" s="1"/>
  <c r="E1050" i="14"/>
  <c r="G1050" i="14" s="1"/>
  <c r="K954" i="31" s="1"/>
  <c r="E1051" i="14"/>
  <c r="G1051" i="14" s="1"/>
  <c r="K955" i="31" s="1"/>
  <c r="E1052" i="14"/>
  <c r="G1052" i="14" s="1"/>
  <c r="K956" i="31" s="1"/>
  <c r="E1053" i="14"/>
  <c r="G1053" i="14" s="1"/>
  <c r="K957" i="31" s="1"/>
  <c r="E1054" i="14"/>
  <c r="G1054" i="14" s="1"/>
  <c r="K958" i="31" s="1"/>
  <c r="E1055" i="14"/>
  <c r="G1055" i="14" s="1"/>
  <c r="K959" i="31" s="1"/>
  <c r="E1056" i="14"/>
  <c r="G1056" i="14" s="1"/>
  <c r="K960" i="31" s="1"/>
  <c r="E1057" i="14"/>
  <c r="G1057" i="14" s="1"/>
  <c r="K961" i="31" s="1"/>
  <c r="E1058" i="14"/>
  <c r="G1058" i="14" s="1"/>
  <c r="E1059" i="14"/>
  <c r="G1059" i="14" s="1"/>
  <c r="K962" i="31" s="1"/>
  <c r="E1060" i="14"/>
  <c r="G1060" i="14" s="1"/>
  <c r="K963" i="31" s="1"/>
  <c r="E1061" i="14"/>
  <c r="G1061" i="14" s="1"/>
  <c r="K964" i="31" s="1"/>
  <c r="E1062" i="14"/>
  <c r="G1062" i="14" s="1"/>
  <c r="K965" i="31" s="1"/>
  <c r="E1063" i="14"/>
  <c r="G1063" i="14" s="1"/>
  <c r="K966" i="31" s="1"/>
  <c r="E1064" i="14"/>
  <c r="G1064" i="14" s="1"/>
  <c r="K967" i="31" s="1"/>
  <c r="E1065" i="14"/>
  <c r="G1065" i="14" s="1"/>
  <c r="K968" i="31" s="1"/>
  <c r="E1066" i="14"/>
  <c r="G1066" i="14" s="1"/>
  <c r="K969" i="31" s="1"/>
  <c r="E1067" i="14"/>
  <c r="G1067" i="14" s="1"/>
  <c r="K970" i="31" s="1"/>
  <c r="E1068" i="14"/>
  <c r="G1068" i="14" s="1"/>
  <c r="K971" i="31" s="1"/>
  <c r="E1069" i="14"/>
  <c r="G1069" i="14" s="1"/>
  <c r="E1070" i="14"/>
  <c r="G1070" i="14" s="1"/>
  <c r="K972" i="31" s="1"/>
  <c r="E1071" i="14"/>
  <c r="G1071" i="14" s="1"/>
  <c r="K973" i="31" s="1"/>
  <c r="E1072" i="14"/>
  <c r="G1072" i="14" s="1"/>
  <c r="K974" i="31" s="1"/>
  <c r="E1073" i="14"/>
  <c r="G1073" i="14" s="1"/>
  <c r="K975" i="31" s="1"/>
  <c r="E1074" i="14"/>
  <c r="G1074" i="14" s="1"/>
  <c r="K976" i="31" s="1"/>
  <c r="E1075" i="14"/>
  <c r="G1075" i="14" s="1"/>
  <c r="K977" i="31" s="1"/>
  <c r="E1076" i="14"/>
  <c r="G1076" i="14" s="1"/>
  <c r="K978" i="31" s="1"/>
  <c r="E1077" i="14"/>
  <c r="G1077" i="14" s="1"/>
  <c r="K979" i="31" s="1"/>
  <c r="E1078" i="14"/>
  <c r="G1078" i="14" s="1"/>
  <c r="K980" i="31" s="1"/>
  <c r="E1079" i="14"/>
  <c r="G1079" i="14" s="1"/>
  <c r="K981" i="31" s="1"/>
  <c r="E1080" i="14"/>
  <c r="G1080" i="14" s="1"/>
  <c r="E1081" i="14"/>
  <c r="G1081" i="14" s="1"/>
  <c r="K982" i="31" s="1"/>
  <c r="E1082" i="14"/>
  <c r="G1082" i="14" s="1"/>
  <c r="K983" i="31" s="1"/>
  <c r="E1083" i="14"/>
  <c r="G1083" i="14" s="1"/>
  <c r="K984" i="31" s="1"/>
  <c r="E1084" i="14"/>
  <c r="G1084" i="14" s="1"/>
  <c r="K985" i="31" s="1"/>
  <c r="E1085" i="14"/>
  <c r="G1085" i="14" s="1"/>
  <c r="K986" i="31" s="1"/>
  <c r="E1086" i="14"/>
  <c r="G1086" i="14" s="1"/>
  <c r="K987" i="31" s="1"/>
  <c r="E1087" i="14"/>
  <c r="G1087" i="14" s="1"/>
  <c r="K988" i="31" s="1"/>
  <c r="E1088" i="14"/>
  <c r="G1088" i="14" s="1"/>
  <c r="K989" i="31" s="1"/>
  <c r="E1089" i="14"/>
  <c r="G1089" i="14" s="1"/>
  <c r="K990" i="31" s="1"/>
  <c r="E1090" i="14"/>
  <c r="G1090" i="14" s="1"/>
  <c r="K991" i="31" s="1"/>
  <c r="E1091" i="14"/>
  <c r="G1091" i="14" s="1"/>
  <c r="E1092" i="14"/>
  <c r="G1092" i="14" s="1"/>
  <c r="K992" i="31" s="1"/>
  <c r="E1093" i="14"/>
  <c r="G1093" i="14" s="1"/>
  <c r="K993" i="31" s="1"/>
  <c r="E1094" i="14"/>
  <c r="G1094" i="14" s="1"/>
  <c r="K994" i="31" s="1"/>
  <c r="E1095" i="14"/>
  <c r="G1095" i="14" s="1"/>
  <c r="K995" i="31" s="1"/>
  <c r="E1096" i="14"/>
  <c r="G1096" i="14" s="1"/>
  <c r="K996" i="31" s="1"/>
  <c r="E1097" i="14"/>
  <c r="G1097" i="14" s="1"/>
  <c r="K997" i="31" s="1"/>
  <c r="E1098" i="14"/>
  <c r="G1098" i="14" s="1"/>
  <c r="K998" i="31" s="1"/>
  <c r="E1099" i="14"/>
  <c r="G1099" i="14" s="1"/>
  <c r="K999" i="31" s="1"/>
  <c r="E1100" i="14"/>
  <c r="G1100" i="14" s="1"/>
  <c r="K1000" i="31" s="1"/>
  <c r="E1101" i="14"/>
  <c r="G1101" i="14" s="1"/>
  <c r="K1001" i="31" s="1"/>
  <c r="E1102" i="14"/>
  <c r="G1102" i="14" s="1"/>
  <c r="E1103" i="14"/>
  <c r="G1103" i="14" s="1"/>
  <c r="K1002" i="31" s="1"/>
  <c r="E1104" i="14"/>
  <c r="G1104" i="14" s="1"/>
  <c r="K1003" i="31" s="1"/>
  <c r="E1105" i="14"/>
  <c r="G1105" i="14" s="1"/>
  <c r="K1004" i="31" s="1"/>
  <c r="E1106" i="14"/>
  <c r="G1106" i="14" s="1"/>
  <c r="K1005" i="31" s="1"/>
  <c r="E1107" i="14"/>
  <c r="G1107" i="14" s="1"/>
  <c r="K1006" i="31" s="1"/>
  <c r="E1108" i="14"/>
  <c r="G1108" i="14" s="1"/>
  <c r="K1007" i="31" s="1"/>
  <c r="E1109" i="14"/>
  <c r="G1109" i="14" s="1"/>
  <c r="K1008" i="31" s="1"/>
  <c r="E1110" i="14"/>
  <c r="G1110" i="14" s="1"/>
  <c r="K1009" i="31" s="1"/>
  <c r="E1111" i="14"/>
  <c r="G1111" i="14" s="1"/>
  <c r="K1010" i="31" s="1"/>
  <c r="E1112" i="14"/>
  <c r="G1112" i="14" s="1"/>
  <c r="K1011" i="31" s="1"/>
  <c r="E1113" i="14"/>
  <c r="G1113" i="14" s="1"/>
  <c r="E1114" i="14"/>
  <c r="G1114" i="14" s="1"/>
  <c r="K1012" i="31" s="1"/>
  <c r="E1115" i="14"/>
  <c r="G1115" i="14" s="1"/>
  <c r="K1013" i="31" s="1"/>
  <c r="E1116" i="14"/>
  <c r="G1116" i="14" s="1"/>
  <c r="K1014" i="31" s="1"/>
  <c r="E1117" i="14"/>
  <c r="G1117" i="14" s="1"/>
  <c r="K1015" i="31" s="1"/>
  <c r="E1118" i="14"/>
  <c r="G1118" i="14" s="1"/>
  <c r="K1016" i="31" s="1"/>
  <c r="E1119" i="14"/>
  <c r="G1119" i="14" s="1"/>
  <c r="K1017" i="31" s="1"/>
  <c r="E1120" i="14"/>
  <c r="G1120" i="14" s="1"/>
  <c r="K1018" i="31" s="1"/>
  <c r="E1121" i="14"/>
  <c r="G1121" i="14" s="1"/>
  <c r="K1019" i="31" s="1"/>
  <c r="E1122" i="14"/>
  <c r="G1122" i="14" s="1"/>
  <c r="K1020" i="31" s="1"/>
  <c r="E1123" i="14"/>
  <c r="G1123" i="14" s="1"/>
  <c r="K1021" i="31" s="1"/>
  <c r="E1124" i="14"/>
  <c r="G1124" i="14" s="1"/>
  <c r="E1125" i="14"/>
  <c r="G1125" i="14" s="1"/>
  <c r="K1022" i="31" s="1"/>
  <c r="E1126" i="14"/>
  <c r="G1126" i="14" s="1"/>
  <c r="K1023" i="31" s="1"/>
  <c r="E1127" i="14"/>
  <c r="G1127" i="14" s="1"/>
  <c r="K1024" i="31" s="1"/>
  <c r="E1128" i="14"/>
  <c r="G1128" i="14" s="1"/>
  <c r="K1025" i="31" s="1"/>
  <c r="E1129" i="14"/>
  <c r="G1129" i="14" s="1"/>
  <c r="K1026" i="31" s="1"/>
  <c r="E1130" i="14"/>
  <c r="G1130" i="14" s="1"/>
  <c r="K1027" i="31" s="1"/>
  <c r="E1131" i="14"/>
  <c r="G1131" i="14" s="1"/>
  <c r="K1028" i="31" s="1"/>
  <c r="E1132" i="14"/>
  <c r="G1132" i="14" s="1"/>
  <c r="K1029" i="31" s="1"/>
  <c r="E1133" i="14"/>
  <c r="G1133" i="14" s="1"/>
  <c r="K1030" i="31" s="1"/>
  <c r="E1134" i="14"/>
  <c r="G1134" i="14" s="1"/>
  <c r="K1031" i="31" s="1"/>
  <c r="E1135" i="14"/>
  <c r="G1135" i="14" s="1"/>
  <c r="E1136" i="14"/>
  <c r="G1136" i="14" s="1"/>
  <c r="K1032" i="31" s="1"/>
  <c r="E1137" i="14"/>
  <c r="G1137" i="14" s="1"/>
  <c r="K1033" i="31" s="1"/>
  <c r="E1138" i="14"/>
  <c r="G1138" i="14" s="1"/>
  <c r="K1034" i="31" s="1"/>
  <c r="E1139" i="14"/>
  <c r="G1139" i="14" s="1"/>
  <c r="K1035" i="31" s="1"/>
  <c r="E1140" i="14"/>
  <c r="G1140" i="14" s="1"/>
  <c r="K1036" i="31" s="1"/>
  <c r="E1141" i="14"/>
  <c r="G1141" i="14" s="1"/>
  <c r="K1037" i="31" s="1"/>
  <c r="E1142" i="14"/>
  <c r="G1142" i="14" s="1"/>
  <c r="K1038" i="31" s="1"/>
  <c r="E1143" i="14"/>
  <c r="G1143" i="14" s="1"/>
  <c r="K1039" i="31" s="1"/>
  <c r="E1144" i="14"/>
  <c r="G1144" i="14" s="1"/>
  <c r="K1040" i="31" s="1"/>
  <c r="E1145" i="14"/>
  <c r="G1145" i="14" s="1"/>
  <c r="K1041" i="31" s="1"/>
  <c r="E1146" i="14"/>
  <c r="G1146" i="14" s="1"/>
  <c r="E1147" i="14"/>
  <c r="G1147" i="14" s="1"/>
  <c r="K1042" i="31" s="1"/>
  <c r="E1148" i="14"/>
  <c r="G1148" i="14" s="1"/>
  <c r="K1043" i="31" s="1"/>
  <c r="E1149" i="14"/>
  <c r="G1149" i="14" s="1"/>
  <c r="K1044" i="31" s="1"/>
  <c r="E1150" i="14"/>
  <c r="G1150" i="14" s="1"/>
  <c r="K1045" i="31" s="1"/>
  <c r="E1151" i="14"/>
  <c r="G1151" i="14" s="1"/>
  <c r="K1046" i="31" s="1"/>
  <c r="E1152" i="14"/>
  <c r="G1152" i="14" s="1"/>
  <c r="K1047" i="31" s="1"/>
  <c r="E1153" i="14"/>
  <c r="G1153" i="14" s="1"/>
  <c r="K1048" i="31" s="1"/>
  <c r="E1154" i="14"/>
  <c r="G1154" i="14" s="1"/>
  <c r="K1049" i="31" s="1"/>
  <c r="E1155" i="14"/>
  <c r="G1155" i="14" s="1"/>
  <c r="K1050" i="31" s="1"/>
  <c r="E1156" i="14"/>
  <c r="G1156" i="14" s="1"/>
  <c r="K1051" i="31" s="1"/>
  <c r="E1157" i="14"/>
  <c r="G1157" i="14" s="1"/>
  <c r="E1158" i="14"/>
  <c r="G1158" i="14" s="1"/>
  <c r="K1052" i="31" s="1"/>
  <c r="E1159" i="14"/>
  <c r="G1159" i="14" s="1"/>
  <c r="K1053" i="31" s="1"/>
  <c r="E1160" i="14"/>
  <c r="G1160" i="14" s="1"/>
  <c r="K1054" i="31" s="1"/>
  <c r="E1161" i="14"/>
  <c r="G1161" i="14" s="1"/>
  <c r="K1055" i="31" s="1"/>
  <c r="E1162" i="14"/>
  <c r="G1162" i="14" s="1"/>
  <c r="K1056" i="31" s="1"/>
  <c r="E1163" i="14"/>
  <c r="G1163" i="14" s="1"/>
  <c r="K1057" i="31" s="1"/>
  <c r="E1164" i="14"/>
  <c r="G1164" i="14" s="1"/>
  <c r="K1058" i="31" s="1"/>
  <c r="E1165" i="14"/>
  <c r="G1165" i="14" s="1"/>
  <c r="K1059" i="31" s="1"/>
  <c r="E1166" i="14"/>
  <c r="G1166" i="14" s="1"/>
  <c r="K1060" i="31" s="1"/>
  <c r="E1167" i="14"/>
  <c r="G1167" i="14" s="1"/>
  <c r="K1061" i="31" s="1"/>
  <c r="E1168" i="14"/>
  <c r="G1168" i="14" s="1"/>
  <c r="E1169" i="14"/>
  <c r="G1169" i="14" s="1"/>
  <c r="K1062" i="31" s="1"/>
  <c r="E1170" i="14"/>
  <c r="G1170" i="14" s="1"/>
  <c r="K1063" i="31" s="1"/>
  <c r="E1171" i="14"/>
  <c r="G1171" i="14" s="1"/>
  <c r="K1064" i="31" s="1"/>
  <c r="E1172" i="14"/>
  <c r="G1172" i="14" s="1"/>
  <c r="K1065" i="31" s="1"/>
  <c r="E1173" i="14"/>
  <c r="G1173" i="14" s="1"/>
  <c r="K1066" i="31" s="1"/>
  <c r="E1174" i="14"/>
  <c r="G1174" i="14" s="1"/>
  <c r="K1067" i="31" s="1"/>
  <c r="E1175" i="14"/>
  <c r="G1175" i="14" s="1"/>
  <c r="K1068" i="31" s="1"/>
  <c r="E1176" i="14"/>
  <c r="G1176" i="14" s="1"/>
  <c r="K1069" i="31" s="1"/>
  <c r="E1177" i="14"/>
  <c r="G1177" i="14" s="1"/>
  <c r="K1070" i="31" s="1"/>
  <c r="E1178" i="14"/>
  <c r="G1178" i="14" s="1"/>
  <c r="K1071" i="31" s="1"/>
  <c r="E1179" i="14"/>
  <c r="G1179" i="14" s="1"/>
  <c r="E1180" i="14"/>
  <c r="G1180" i="14" s="1"/>
  <c r="K1072" i="31" s="1"/>
  <c r="E1181" i="14"/>
  <c r="G1181" i="14" s="1"/>
  <c r="K1073" i="31" s="1"/>
  <c r="E1182" i="14"/>
  <c r="G1182" i="14" s="1"/>
  <c r="K1074" i="31" s="1"/>
  <c r="E1183" i="14"/>
  <c r="G1183" i="14" s="1"/>
  <c r="K1075" i="31" s="1"/>
  <c r="E1184" i="14"/>
  <c r="G1184" i="14" s="1"/>
  <c r="K1076" i="31" s="1"/>
  <c r="E1185" i="14"/>
  <c r="G1185" i="14" s="1"/>
  <c r="K1077" i="31" s="1"/>
  <c r="E1186" i="14"/>
  <c r="G1186" i="14" s="1"/>
  <c r="K1078" i="31" s="1"/>
  <c r="E1187" i="14"/>
  <c r="G1187" i="14" s="1"/>
  <c r="K1079" i="31" s="1"/>
  <c r="E1188" i="14"/>
  <c r="G1188" i="14" s="1"/>
  <c r="K1080" i="31" s="1"/>
  <c r="E1189" i="14"/>
  <c r="G1189" i="14" s="1"/>
  <c r="K1081" i="31" s="1"/>
  <c r="E1190" i="14"/>
  <c r="G1190" i="14" s="1"/>
  <c r="E1191" i="14"/>
  <c r="G1191" i="14" s="1"/>
  <c r="K1082" i="31" s="1"/>
  <c r="E1192" i="14"/>
  <c r="G1192" i="14" s="1"/>
  <c r="K1083" i="31" s="1"/>
  <c r="E1193" i="14"/>
  <c r="G1193" i="14" s="1"/>
  <c r="K1084" i="31" s="1"/>
  <c r="E1194" i="14"/>
  <c r="G1194" i="14" s="1"/>
  <c r="K1085" i="31" s="1"/>
  <c r="E1195" i="14"/>
  <c r="G1195" i="14" s="1"/>
  <c r="K1086" i="31" s="1"/>
  <c r="E1196" i="14"/>
  <c r="G1196" i="14" s="1"/>
  <c r="K1087" i="31" s="1"/>
  <c r="E1197" i="14"/>
  <c r="G1197" i="14" s="1"/>
  <c r="K1088" i="31" s="1"/>
  <c r="E1198" i="14"/>
  <c r="G1198" i="14" s="1"/>
  <c r="K1089" i="31" s="1"/>
  <c r="E1199" i="14"/>
  <c r="G1199" i="14" s="1"/>
  <c r="K1090" i="31" s="1"/>
  <c r="E1200" i="14"/>
  <c r="G1200" i="14" s="1"/>
  <c r="K1091" i="31" s="1"/>
  <c r="E1201" i="14"/>
  <c r="G1201" i="14" s="1"/>
  <c r="E1202" i="14"/>
  <c r="G1202" i="14" s="1"/>
  <c r="K1092" i="31" s="1"/>
  <c r="E1203" i="14"/>
  <c r="G1203" i="14" s="1"/>
  <c r="K1093" i="31" s="1"/>
  <c r="E1204" i="14"/>
  <c r="G1204" i="14" s="1"/>
  <c r="K1094" i="31" s="1"/>
  <c r="E1205" i="14"/>
  <c r="G1205" i="14" s="1"/>
  <c r="K1095" i="31" s="1"/>
  <c r="E1206" i="14"/>
  <c r="G1206" i="14" s="1"/>
  <c r="K1096" i="31" s="1"/>
  <c r="E1207" i="14"/>
  <c r="G1207" i="14" s="1"/>
  <c r="K1097" i="31" s="1"/>
  <c r="E1208" i="14"/>
  <c r="G1208" i="14" s="1"/>
  <c r="K1098" i="31" s="1"/>
  <c r="E1209" i="14"/>
  <c r="G1209" i="14" s="1"/>
  <c r="K1099" i="31" s="1"/>
  <c r="E1210" i="14"/>
  <c r="G1210" i="14" s="1"/>
  <c r="K1100" i="31" s="1"/>
  <c r="E1211" i="14"/>
  <c r="G1211" i="14" s="1"/>
  <c r="K1101" i="31" s="1"/>
  <c r="E1212" i="14"/>
  <c r="G1212" i="14" s="1"/>
  <c r="E1213" i="14"/>
  <c r="G1213" i="14" s="1"/>
  <c r="K1102" i="31" s="1"/>
  <c r="E1214" i="14"/>
  <c r="G1214" i="14" s="1"/>
  <c r="K1103" i="31" s="1"/>
  <c r="E1215" i="14"/>
  <c r="G1215" i="14" s="1"/>
  <c r="K1104" i="31" s="1"/>
  <c r="E1216" i="14"/>
  <c r="G1216" i="14" s="1"/>
  <c r="K1105" i="31" s="1"/>
  <c r="E1217" i="14"/>
  <c r="G1217" i="14" s="1"/>
  <c r="K1106" i="31" s="1"/>
  <c r="E1218" i="14"/>
  <c r="G1218" i="14" s="1"/>
  <c r="K1107" i="31" s="1"/>
  <c r="E1219" i="14"/>
  <c r="G1219" i="14" s="1"/>
  <c r="K1108" i="31" s="1"/>
  <c r="E1220" i="14"/>
  <c r="G1220" i="14" s="1"/>
  <c r="K1109" i="31" s="1"/>
  <c r="E1221" i="14"/>
  <c r="G1221" i="14" s="1"/>
  <c r="K1110" i="31" s="1"/>
  <c r="E1222" i="14"/>
  <c r="G1222" i="14" s="1"/>
  <c r="K1111" i="31" s="1"/>
  <c r="E1223" i="14"/>
  <c r="G1223" i="14" s="1"/>
  <c r="E1224" i="14"/>
  <c r="G1224" i="14" s="1"/>
  <c r="K1112" i="31" s="1"/>
  <c r="E1225" i="14"/>
  <c r="G1225" i="14" s="1"/>
  <c r="K1113" i="31" s="1"/>
  <c r="E1226" i="14"/>
  <c r="G1226" i="14" s="1"/>
  <c r="K1114" i="31" s="1"/>
  <c r="E1227" i="14"/>
  <c r="G1227" i="14" s="1"/>
  <c r="K1115" i="31" s="1"/>
  <c r="E1228" i="14"/>
  <c r="G1228" i="14" s="1"/>
  <c r="K1116" i="31" s="1"/>
  <c r="E1229" i="14"/>
  <c r="G1229" i="14" s="1"/>
  <c r="K1117" i="31" s="1"/>
  <c r="E1230" i="14"/>
  <c r="G1230" i="14" s="1"/>
  <c r="K1118" i="31" s="1"/>
  <c r="E1231" i="14"/>
  <c r="G1231" i="14" s="1"/>
  <c r="K1119" i="31" s="1"/>
  <c r="E1232" i="14"/>
  <c r="G1232" i="14" s="1"/>
  <c r="K1120" i="31" s="1"/>
  <c r="E1233" i="14"/>
  <c r="G1233" i="14" s="1"/>
  <c r="K1121" i="31" s="1"/>
  <c r="E1234" i="14"/>
  <c r="G1234" i="14" s="1"/>
  <c r="E1235" i="14"/>
  <c r="G1235" i="14" s="1"/>
  <c r="K1122" i="31" s="1"/>
  <c r="E1236" i="14"/>
  <c r="G1236" i="14" s="1"/>
  <c r="K1123" i="31" s="1"/>
  <c r="E1237" i="14"/>
  <c r="G1237" i="14" s="1"/>
  <c r="K1124" i="31" s="1"/>
  <c r="E1238" i="14"/>
  <c r="G1238" i="14" s="1"/>
  <c r="K1125" i="31" s="1"/>
  <c r="E1239" i="14"/>
  <c r="G1239" i="14" s="1"/>
  <c r="K1126" i="31" s="1"/>
  <c r="E1240" i="14"/>
  <c r="G1240" i="14" s="1"/>
  <c r="K1127" i="31" s="1"/>
  <c r="E1241" i="14"/>
  <c r="G1241" i="14" s="1"/>
  <c r="K1128" i="31" s="1"/>
  <c r="E1242" i="14"/>
  <c r="G1242" i="14" s="1"/>
  <c r="K1129" i="31" s="1"/>
  <c r="E1243" i="14"/>
  <c r="G1243" i="14" s="1"/>
  <c r="K1130" i="31" s="1"/>
  <c r="E1244" i="14"/>
  <c r="G1244" i="14" s="1"/>
  <c r="K1131" i="31" s="1"/>
  <c r="E1245" i="14"/>
  <c r="G1245" i="14" s="1"/>
  <c r="E1246" i="14"/>
  <c r="G1246" i="14" s="1"/>
  <c r="K1132" i="31" s="1"/>
  <c r="E1247" i="14"/>
  <c r="G1247" i="14" s="1"/>
  <c r="K1133" i="31" s="1"/>
  <c r="E1248" i="14"/>
  <c r="G1248" i="14" s="1"/>
  <c r="K1134" i="31" s="1"/>
  <c r="E1249" i="14"/>
  <c r="G1249" i="14" s="1"/>
  <c r="K1135" i="31" s="1"/>
  <c r="E1250" i="14"/>
  <c r="G1250" i="14" s="1"/>
  <c r="K1136" i="31" s="1"/>
  <c r="E1251" i="14"/>
  <c r="G1251" i="14" s="1"/>
  <c r="K1137" i="31" s="1"/>
  <c r="E1252" i="14"/>
  <c r="G1252" i="14" s="1"/>
  <c r="K1138" i="31" s="1"/>
  <c r="E1253" i="14"/>
  <c r="G1253" i="14" s="1"/>
  <c r="K1139" i="31" s="1"/>
  <c r="E1254" i="14"/>
  <c r="G1254" i="14" s="1"/>
  <c r="K1140" i="31" s="1"/>
  <c r="E1255" i="14"/>
  <c r="G1255" i="14" s="1"/>
  <c r="K1141" i="31" s="1"/>
  <c r="E1256" i="14"/>
  <c r="G1256" i="14" s="1"/>
  <c r="E1257" i="14"/>
  <c r="G1257" i="14" s="1"/>
  <c r="K1142" i="31" s="1"/>
  <c r="E1258" i="14"/>
  <c r="G1258" i="14" s="1"/>
  <c r="K1143" i="31" s="1"/>
  <c r="E1259" i="14"/>
  <c r="G1259" i="14" s="1"/>
  <c r="K1144" i="31" s="1"/>
  <c r="E1260" i="14"/>
  <c r="G1260" i="14" s="1"/>
  <c r="K1145" i="31" s="1"/>
  <c r="E1261" i="14"/>
  <c r="G1261" i="14" s="1"/>
  <c r="K1146" i="31" s="1"/>
  <c r="E1262" i="14"/>
  <c r="G1262" i="14" s="1"/>
  <c r="K1147" i="31" s="1"/>
  <c r="E1263" i="14"/>
  <c r="G1263" i="14" s="1"/>
  <c r="K1148" i="31" s="1"/>
  <c r="E1264" i="14"/>
  <c r="G1264" i="14" s="1"/>
  <c r="K1149" i="31" s="1"/>
  <c r="E1265" i="14"/>
  <c r="G1265" i="14" s="1"/>
  <c r="K1150" i="31" s="1"/>
  <c r="E1266" i="14"/>
  <c r="G1266" i="14" s="1"/>
  <c r="K1151" i="31" s="1"/>
  <c r="E1267" i="14"/>
  <c r="G1267" i="14" s="1"/>
  <c r="E1268" i="14"/>
  <c r="G1268" i="14" s="1"/>
  <c r="K1152" i="31" s="1"/>
  <c r="E1269" i="14"/>
  <c r="G1269" i="14" s="1"/>
  <c r="K1153" i="31" s="1"/>
  <c r="E1270" i="14"/>
  <c r="G1270" i="14" s="1"/>
  <c r="K1154" i="31" s="1"/>
  <c r="E1271" i="14"/>
  <c r="G1271" i="14" s="1"/>
  <c r="K1155" i="31" s="1"/>
  <c r="E1272" i="14"/>
  <c r="G1272" i="14" s="1"/>
  <c r="K1156" i="31" s="1"/>
  <c r="E1273" i="14"/>
  <c r="G1273" i="14" s="1"/>
  <c r="K1157" i="31" s="1"/>
  <c r="E1274" i="14"/>
  <c r="G1274" i="14" s="1"/>
  <c r="K1158" i="31" s="1"/>
  <c r="E1275" i="14"/>
  <c r="G1275" i="14" s="1"/>
  <c r="K1159" i="31" s="1"/>
  <c r="E1276" i="14"/>
  <c r="G1276" i="14" s="1"/>
  <c r="K1160" i="31" s="1"/>
  <c r="E1277" i="14"/>
  <c r="G1277" i="14" s="1"/>
  <c r="K1161" i="31" s="1"/>
  <c r="E1278" i="14"/>
  <c r="G1278" i="14" s="1"/>
  <c r="E1279" i="14"/>
  <c r="G1279" i="14" s="1"/>
  <c r="K1162" i="31" s="1"/>
  <c r="E1280" i="14"/>
  <c r="G1280" i="14" s="1"/>
  <c r="K1163" i="31" s="1"/>
  <c r="E1281" i="14"/>
  <c r="G1281" i="14" s="1"/>
  <c r="K1164" i="31" s="1"/>
  <c r="E1282" i="14"/>
  <c r="G1282" i="14" s="1"/>
  <c r="K1165" i="31" s="1"/>
  <c r="E1283" i="14"/>
  <c r="G1283" i="14" s="1"/>
  <c r="K1166" i="31" s="1"/>
  <c r="E1284" i="14"/>
  <c r="G1284" i="14" s="1"/>
  <c r="K1167" i="31" s="1"/>
  <c r="E1285" i="14"/>
  <c r="G1285" i="14" s="1"/>
  <c r="K1168" i="31" s="1"/>
  <c r="E1286" i="14"/>
  <c r="G1286" i="14" s="1"/>
  <c r="K1169" i="31" s="1"/>
  <c r="E1287" i="14"/>
  <c r="G1287" i="14" s="1"/>
  <c r="K1170" i="31" s="1"/>
  <c r="E1288" i="14"/>
  <c r="G1288" i="14" s="1"/>
  <c r="K1171" i="31" s="1"/>
  <c r="E1289" i="14"/>
  <c r="G1289" i="14" s="1"/>
  <c r="E1290" i="14"/>
  <c r="G1290" i="14" s="1"/>
  <c r="K1172" i="31" s="1"/>
  <c r="E1291" i="14"/>
  <c r="G1291" i="14" s="1"/>
  <c r="K1173" i="31" s="1"/>
  <c r="E1292" i="14"/>
  <c r="G1292" i="14" s="1"/>
  <c r="K1174" i="31" s="1"/>
  <c r="E1293" i="14"/>
  <c r="G1293" i="14" s="1"/>
  <c r="K1175" i="31" s="1"/>
  <c r="E1294" i="14"/>
  <c r="G1294" i="14" s="1"/>
  <c r="K1176" i="31" s="1"/>
  <c r="E1295" i="14"/>
  <c r="G1295" i="14" s="1"/>
  <c r="K1177" i="31" s="1"/>
  <c r="E1296" i="14"/>
  <c r="G1296" i="14" s="1"/>
  <c r="K1178" i="31" s="1"/>
  <c r="E1297" i="14"/>
  <c r="G1297" i="14" s="1"/>
  <c r="K1179" i="31" s="1"/>
  <c r="E1298" i="14"/>
  <c r="G1298" i="14" s="1"/>
  <c r="K1180" i="31" s="1"/>
  <c r="E1299" i="14"/>
  <c r="G1299" i="14" s="1"/>
  <c r="K1181" i="31" s="1"/>
  <c r="E1300" i="14"/>
  <c r="G1300" i="14" s="1"/>
  <c r="E1301" i="14"/>
  <c r="G1301" i="14" s="1"/>
  <c r="K1182" i="31" s="1"/>
  <c r="E1302" i="14"/>
  <c r="G1302" i="14" s="1"/>
  <c r="K1183" i="31" s="1"/>
  <c r="E1303" i="14"/>
  <c r="G1303" i="14" s="1"/>
  <c r="K1184" i="31" s="1"/>
  <c r="E1304" i="14"/>
  <c r="G1304" i="14" s="1"/>
  <c r="K1185" i="31" s="1"/>
  <c r="E1305" i="14"/>
  <c r="G1305" i="14" s="1"/>
  <c r="K1186" i="31" s="1"/>
  <c r="E1306" i="14"/>
  <c r="G1306" i="14" s="1"/>
  <c r="K1187" i="31" s="1"/>
  <c r="E1307" i="14"/>
  <c r="G1307" i="14" s="1"/>
  <c r="K1188" i="31" s="1"/>
  <c r="E1308" i="14"/>
  <c r="G1308" i="14" s="1"/>
  <c r="K1189" i="31" s="1"/>
  <c r="E1309" i="14"/>
  <c r="G1309" i="14" s="1"/>
  <c r="K1190" i="31" s="1"/>
  <c r="E1310" i="14"/>
  <c r="G1310" i="14" s="1"/>
  <c r="K1191" i="31" s="1"/>
  <c r="E1311" i="14"/>
  <c r="G1311" i="14" s="1"/>
  <c r="E1312" i="14"/>
  <c r="G1312" i="14" s="1"/>
  <c r="K1192" i="31" s="1"/>
  <c r="E1313" i="14"/>
  <c r="G1313" i="14" s="1"/>
  <c r="K1193" i="31" s="1"/>
  <c r="E1314" i="14"/>
  <c r="G1314" i="14" s="1"/>
  <c r="K1194" i="31" s="1"/>
  <c r="E1315" i="14"/>
  <c r="G1315" i="14" s="1"/>
  <c r="K1195" i="31" s="1"/>
  <c r="E1316" i="14"/>
  <c r="G1316" i="14" s="1"/>
  <c r="K1196" i="31" s="1"/>
  <c r="E1317" i="14"/>
  <c r="G1317" i="14" s="1"/>
  <c r="K1197" i="31" s="1"/>
  <c r="E1318" i="14"/>
  <c r="G1318" i="14" s="1"/>
  <c r="K1198" i="31" s="1"/>
  <c r="E1319" i="14"/>
  <c r="G1319" i="14" s="1"/>
  <c r="K1199" i="31" s="1"/>
  <c r="E1320" i="14"/>
  <c r="G1320" i="14" s="1"/>
  <c r="K1200" i="31" s="1"/>
  <c r="E1321" i="14"/>
  <c r="G1321" i="14" s="1"/>
  <c r="K1201" i="31" s="1"/>
  <c r="E1322" i="14"/>
  <c r="G1322" i="14" s="1"/>
  <c r="E1323" i="14"/>
  <c r="G1323" i="14" s="1"/>
  <c r="K1202" i="31" s="1"/>
  <c r="E1324" i="14"/>
  <c r="G1324" i="14" s="1"/>
  <c r="K1203" i="31" s="1"/>
  <c r="E1325" i="14"/>
  <c r="G1325" i="14" s="1"/>
  <c r="K1204" i="31" s="1"/>
  <c r="E1326" i="14"/>
  <c r="G1326" i="14" s="1"/>
  <c r="K1205" i="31" s="1"/>
  <c r="E1327" i="14"/>
  <c r="G1327" i="14" s="1"/>
  <c r="K1206" i="31" s="1"/>
  <c r="E1328" i="14"/>
  <c r="G1328" i="14" s="1"/>
  <c r="K1207" i="31" s="1"/>
  <c r="E1329" i="14"/>
  <c r="G1329" i="14" s="1"/>
  <c r="K1208" i="31" s="1"/>
  <c r="E1330" i="14"/>
  <c r="G1330" i="14" s="1"/>
  <c r="K1209" i="31" s="1"/>
  <c r="E1331" i="14"/>
  <c r="G1331" i="14" s="1"/>
  <c r="K1210" i="31" s="1"/>
  <c r="E1332" i="14"/>
  <c r="G1332" i="14" s="1"/>
  <c r="K1211" i="31" s="1"/>
  <c r="E1333" i="14"/>
  <c r="G1333" i="14" s="1"/>
  <c r="E1334" i="14"/>
  <c r="G1334" i="14" s="1"/>
  <c r="K1212" i="31" s="1"/>
  <c r="E1335" i="14"/>
  <c r="G1335" i="14" s="1"/>
  <c r="K1213" i="31" s="1"/>
  <c r="E1336" i="14"/>
  <c r="G1336" i="14" s="1"/>
  <c r="K1214" i="31" s="1"/>
  <c r="E1337" i="14"/>
  <c r="G1337" i="14" s="1"/>
  <c r="K1215" i="31" s="1"/>
  <c r="E1338" i="14"/>
  <c r="G1338" i="14" s="1"/>
  <c r="K1216" i="31" s="1"/>
  <c r="E1339" i="14"/>
  <c r="G1339" i="14" s="1"/>
  <c r="K1217" i="31" s="1"/>
  <c r="E1340" i="14"/>
  <c r="G1340" i="14" s="1"/>
  <c r="K1218" i="31" s="1"/>
  <c r="E1341" i="14"/>
  <c r="G1341" i="14" s="1"/>
  <c r="K1219" i="31" s="1"/>
  <c r="E1342" i="14"/>
  <c r="G1342" i="14" s="1"/>
  <c r="K1220" i="31" s="1"/>
  <c r="E1343" i="14"/>
  <c r="G1343" i="14" s="1"/>
  <c r="K1221" i="31" s="1"/>
  <c r="E1344" i="14"/>
  <c r="G1344" i="14" s="1"/>
  <c r="E1345" i="14"/>
  <c r="G1345" i="14" s="1"/>
  <c r="K1222" i="31" s="1"/>
  <c r="E1346" i="14"/>
  <c r="G1346" i="14" s="1"/>
  <c r="K1223" i="31" s="1"/>
  <c r="E1347" i="14"/>
  <c r="G1347" i="14" s="1"/>
  <c r="K1224" i="31" s="1"/>
  <c r="E1348" i="14"/>
  <c r="G1348" i="14" s="1"/>
  <c r="K1225" i="31" s="1"/>
  <c r="E1349" i="14"/>
  <c r="G1349" i="14" s="1"/>
  <c r="K1226" i="31" s="1"/>
  <c r="E1350" i="14"/>
  <c r="G1350" i="14" s="1"/>
  <c r="K1227" i="31" s="1"/>
  <c r="E1351" i="14"/>
  <c r="G1351" i="14" s="1"/>
  <c r="K1228" i="31" s="1"/>
  <c r="E1352" i="14"/>
  <c r="G1352" i="14" s="1"/>
  <c r="K1229" i="31" s="1"/>
  <c r="E1353" i="14"/>
  <c r="G1353" i="14" s="1"/>
  <c r="K1230" i="31" s="1"/>
  <c r="E1354" i="14"/>
  <c r="G1354" i="14" s="1"/>
  <c r="K1231" i="31" s="1"/>
  <c r="E1355" i="14"/>
  <c r="G1355" i="14" s="1"/>
  <c r="E1356" i="14"/>
  <c r="G1356" i="14" s="1"/>
  <c r="K1232" i="31" s="1"/>
  <c r="E1357" i="14"/>
  <c r="G1357" i="14" s="1"/>
  <c r="K1233" i="31" s="1"/>
  <c r="E1358" i="14"/>
  <c r="G1358" i="14" s="1"/>
  <c r="K1234" i="31" s="1"/>
  <c r="E1359" i="14"/>
  <c r="G1359" i="14" s="1"/>
  <c r="K1235" i="31" s="1"/>
  <c r="E1360" i="14"/>
  <c r="G1360" i="14" s="1"/>
  <c r="K1236" i="31" s="1"/>
  <c r="E1361" i="14"/>
  <c r="G1361" i="14" s="1"/>
  <c r="K1237" i="31" s="1"/>
  <c r="E1362" i="14"/>
  <c r="G1362" i="14" s="1"/>
  <c r="K1238" i="31" s="1"/>
  <c r="E1363" i="14"/>
  <c r="G1363" i="14" s="1"/>
  <c r="K1239" i="31" s="1"/>
  <c r="E1364" i="14"/>
  <c r="G1364" i="14" s="1"/>
  <c r="K1240" i="31" s="1"/>
  <c r="E1365" i="14"/>
  <c r="G1365" i="14" s="1"/>
  <c r="K1241" i="31" s="1"/>
  <c r="E1366" i="14"/>
  <c r="G1366" i="14" s="1"/>
  <c r="E1367" i="14"/>
  <c r="G1367" i="14" s="1"/>
  <c r="K1242" i="31" s="1"/>
  <c r="E1368" i="14"/>
  <c r="G1368" i="14" s="1"/>
  <c r="K1243" i="31" s="1"/>
  <c r="E1369" i="14"/>
  <c r="G1369" i="14" s="1"/>
  <c r="K1244" i="31" s="1"/>
  <c r="E1370" i="14"/>
  <c r="G1370" i="14" s="1"/>
  <c r="K1245" i="31" s="1"/>
  <c r="E1371" i="14"/>
  <c r="G1371" i="14" s="1"/>
  <c r="K1246" i="31" s="1"/>
  <c r="E1372" i="14"/>
  <c r="G1372" i="14" s="1"/>
  <c r="K1247" i="31" s="1"/>
  <c r="E1373" i="14"/>
  <c r="G1373" i="14" s="1"/>
  <c r="K1248" i="31" s="1"/>
  <c r="E1374" i="14"/>
  <c r="G1374" i="14" s="1"/>
  <c r="K1249" i="31" s="1"/>
  <c r="E1375" i="14"/>
  <c r="G1375" i="14" s="1"/>
  <c r="K1250" i="31" s="1"/>
  <c r="E1376" i="14"/>
  <c r="G1376" i="14" s="1"/>
  <c r="K1251" i="31" s="1"/>
  <c r="E1377" i="14"/>
  <c r="G1377" i="14" s="1"/>
  <c r="E1378" i="14"/>
  <c r="G1378" i="14" s="1"/>
  <c r="K1252" i="31" s="1"/>
  <c r="E1379" i="14"/>
  <c r="G1379" i="14" s="1"/>
  <c r="K1253" i="31" s="1"/>
  <c r="E1380" i="14"/>
  <c r="G1380" i="14" s="1"/>
  <c r="K1254" i="31" s="1"/>
  <c r="E1381" i="14"/>
  <c r="G1381" i="14" s="1"/>
  <c r="K1255" i="31" s="1"/>
  <c r="E1382" i="14"/>
  <c r="G1382" i="14" s="1"/>
  <c r="K1256" i="31" s="1"/>
  <c r="E1383" i="14"/>
  <c r="G1383" i="14" s="1"/>
  <c r="K1257" i="31" s="1"/>
  <c r="E1384" i="14"/>
  <c r="G1384" i="14" s="1"/>
  <c r="K1258" i="31" s="1"/>
  <c r="E1385" i="14"/>
  <c r="G1385" i="14" s="1"/>
  <c r="K1259" i="31" s="1"/>
  <c r="E1386" i="14"/>
  <c r="G1386" i="14" s="1"/>
  <c r="K1260" i="31" s="1"/>
  <c r="E1387" i="14"/>
  <c r="G1387" i="14" s="1"/>
  <c r="K1261" i="31" s="1"/>
  <c r="E1388" i="14"/>
  <c r="G1388" i="14" s="1"/>
  <c r="E1389" i="14"/>
  <c r="G1389" i="14" s="1"/>
  <c r="K1262" i="31" s="1"/>
  <c r="E1390" i="14"/>
  <c r="G1390" i="14" s="1"/>
  <c r="K1263" i="31" s="1"/>
  <c r="E1391" i="14"/>
  <c r="G1391" i="14" s="1"/>
  <c r="K1264" i="31" s="1"/>
  <c r="E1392" i="14"/>
  <c r="G1392" i="14" s="1"/>
  <c r="K1265" i="31" s="1"/>
  <c r="E1393" i="14"/>
  <c r="G1393" i="14" s="1"/>
  <c r="K1266" i="31" s="1"/>
  <c r="E1394" i="14"/>
  <c r="G1394" i="14" s="1"/>
  <c r="K1267" i="31" s="1"/>
  <c r="E1395" i="14"/>
  <c r="G1395" i="14" s="1"/>
  <c r="K1268" i="31" s="1"/>
  <c r="E1396" i="14"/>
  <c r="G1396" i="14" s="1"/>
  <c r="K1269" i="31" s="1"/>
  <c r="E1397" i="14"/>
  <c r="G1397" i="14" s="1"/>
  <c r="K1270" i="31" s="1"/>
  <c r="E1398" i="14"/>
  <c r="G1398" i="14" s="1"/>
  <c r="K1271" i="31" s="1"/>
  <c r="E1399" i="14"/>
  <c r="G1399" i="14" s="1"/>
  <c r="E1400" i="14"/>
  <c r="G1400" i="14" s="1"/>
  <c r="K1272" i="31" s="1"/>
  <c r="E1401" i="14"/>
  <c r="G1401" i="14" s="1"/>
  <c r="K1273" i="31" s="1"/>
  <c r="E1402" i="14"/>
  <c r="G1402" i="14" s="1"/>
  <c r="K1274" i="31" s="1"/>
  <c r="E1403" i="14"/>
  <c r="G1403" i="14" s="1"/>
  <c r="K1275" i="31" s="1"/>
  <c r="E1404" i="14"/>
  <c r="G1404" i="14" s="1"/>
  <c r="K1276" i="31" s="1"/>
  <c r="E1405" i="14"/>
  <c r="G1405" i="14" s="1"/>
  <c r="K1277" i="31" s="1"/>
  <c r="E1406" i="14"/>
  <c r="G1406" i="14" s="1"/>
  <c r="K1278" i="31" s="1"/>
  <c r="E1407" i="14"/>
  <c r="G1407" i="14" s="1"/>
  <c r="K1279" i="31" s="1"/>
  <c r="E1408" i="14"/>
  <c r="G1408" i="14" s="1"/>
  <c r="K1280" i="31" s="1"/>
  <c r="E1409" i="14"/>
  <c r="G1409" i="14" s="1"/>
  <c r="K1281" i="31" s="1"/>
  <c r="E1410" i="14"/>
  <c r="G1410" i="14" s="1"/>
  <c r="E1411" i="14"/>
  <c r="G1411" i="14" s="1"/>
  <c r="K1282" i="31" s="1"/>
  <c r="E1412" i="14"/>
  <c r="G1412" i="14" s="1"/>
  <c r="K1283" i="31" s="1"/>
  <c r="E1413" i="14"/>
  <c r="G1413" i="14" s="1"/>
  <c r="K1284" i="31" s="1"/>
  <c r="E1414" i="14"/>
  <c r="G1414" i="14" s="1"/>
  <c r="K1285" i="31" s="1"/>
  <c r="E1415" i="14"/>
  <c r="G1415" i="14" s="1"/>
  <c r="K1286" i="31" s="1"/>
  <c r="E1416" i="14"/>
  <c r="G1416" i="14" s="1"/>
  <c r="K1287" i="31" s="1"/>
  <c r="E1417" i="14"/>
  <c r="G1417" i="14" s="1"/>
  <c r="K1288" i="31" s="1"/>
  <c r="E1418" i="14"/>
  <c r="G1418" i="14" s="1"/>
  <c r="K1289" i="31" s="1"/>
  <c r="E1419" i="14"/>
  <c r="G1419" i="14" s="1"/>
  <c r="K1290" i="31" s="1"/>
  <c r="E1420" i="14"/>
  <c r="G1420" i="14" s="1"/>
  <c r="K1291" i="31" s="1"/>
  <c r="E1421" i="14"/>
  <c r="G1421" i="14" s="1"/>
  <c r="E1422" i="14"/>
  <c r="G1422" i="14" s="1"/>
  <c r="K1292" i="31" s="1"/>
  <c r="E1423" i="14"/>
  <c r="G1423" i="14" s="1"/>
  <c r="K1293" i="31" s="1"/>
  <c r="E1424" i="14"/>
  <c r="G1424" i="14" s="1"/>
  <c r="K1294" i="31" s="1"/>
  <c r="E1425" i="14"/>
  <c r="G1425" i="14" s="1"/>
  <c r="K1295" i="31" s="1"/>
  <c r="E1426" i="14"/>
  <c r="G1426" i="14" s="1"/>
  <c r="K1296" i="31" s="1"/>
  <c r="E1427" i="14"/>
  <c r="G1427" i="14" s="1"/>
  <c r="K1297" i="31" s="1"/>
  <c r="E1428" i="14"/>
  <c r="G1428" i="14" s="1"/>
  <c r="K1298" i="31" s="1"/>
  <c r="E1429" i="14"/>
  <c r="G1429" i="14" s="1"/>
  <c r="K1299" i="31" s="1"/>
  <c r="E1430" i="14"/>
  <c r="G1430" i="14" s="1"/>
  <c r="K1300" i="31" s="1"/>
  <c r="E1431" i="14"/>
  <c r="G1431" i="14" s="1"/>
  <c r="K1301" i="31" s="1"/>
  <c r="E1432" i="14"/>
  <c r="G1432" i="14" s="1"/>
  <c r="E1433" i="14"/>
  <c r="G1433" i="14" s="1"/>
  <c r="K1302" i="31" s="1"/>
  <c r="E1434" i="14"/>
  <c r="G1434" i="14" s="1"/>
  <c r="K1303" i="31" s="1"/>
  <c r="E1435" i="14"/>
  <c r="G1435" i="14" s="1"/>
  <c r="K1304" i="31" s="1"/>
  <c r="E1436" i="14"/>
  <c r="G1436" i="14" s="1"/>
  <c r="K1305" i="31" s="1"/>
  <c r="E1437" i="14"/>
  <c r="G1437" i="14" s="1"/>
  <c r="K1306" i="31" s="1"/>
  <c r="E1438" i="14"/>
  <c r="G1438" i="14" s="1"/>
  <c r="K1307" i="31" s="1"/>
  <c r="E1439" i="14"/>
  <c r="G1439" i="14" s="1"/>
  <c r="K1308" i="31" s="1"/>
  <c r="E1440" i="14"/>
  <c r="G1440" i="14" s="1"/>
  <c r="K1309" i="31" s="1"/>
  <c r="E1441" i="14"/>
  <c r="G1441" i="14" s="1"/>
  <c r="K1310" i="31" s="1"/>
  <c r="E1442" i="14"/>
  <c r="G1442" i="14" s="1"/>
  <c r="K1311" i="31" s="1"/>
  <c r="E1443" i="14"/>
  <c r="G1443" i="14" s="1"/>
  <c r="E1444" i="14"/>
  <c r="G1444" i="14" s="1"/>
  <c r="K1312" i="31" s="1"/>
  <c r="E1445" i="14"/>
  <c r="G1445" i="14" s="1"/>
  <c r="K1313" i="31" s="1"/>
  <c r="E1446" i="14"/>
  <c r="G1446" i="14" s="1"/>
  <c r="K1314" i="31" s="1"/>
  <c r="E1447" i="14"/>
  <c r="G1447" i="14" s="1"/>
  <c r="K1315" i="31" s="1"/>
  <c r="E1448" i="14"/>
  <c r="G1448" i="14" s="1"/>
  <c r="K1316" i="31" s="1"/>
  <c r="E1449" i="14"/>
  <c r="G1449" i="14" s="1"/>
  <c r="K1317" i="31" s="1"/>
  <c r="E1450" i="14"/>
  <c r="G1450" i="14" s="1"/>
  <c r="K1318" i="31" s="1"/>
  <c r="E1451" i="14"/>
  <c r="G1451" i="14" s="1"/>
  <c r="K1319" i="31" s="1"/>
  <c r="E1452" i="14"/>
  <c r="G1452" i="14" s="1"/>
  <c r="K1320" i="31" s="1"/>
  <c r="E1453" i="14"/>
  <c r="G1453" i="14" s="1"/>
  <c r="K1321" i="31" s="1"/>
  <c r="E1454" i="14"/>
  <c r="G1454" i="14" s="1"/>
  <c r="E1455" i="14"/>
  <c r="G1455" i="14" s="1"/>
  <c r="K1322" i="31" s="1"/>
  <c r="E1456" i="14"/>
  <c r="G1456" i="14" s="1"/>
  <c r="K1323" i="31" s="1"/>
  <c r="E1457" i="14"/>
  <c r="G1457" i="14" s="1"/>
  <c r="K1324" i="31" s="1"/>
  <c r="E1458" i="14"/>
  <c r="G1458" i="14" s="1"/>
  <c r="K1325" i="31" s="1"/>
  <c r="E1459" i="14"/>
  <c r="G1459" i="14" s="1"/>
  <c r="K1326" i="31" s="1"/>
  <c r="E1460" i="14"/>
  <c r="G1460" i="14" s="1"/>
  <c r="K1327" i="31" s="1"/>
  <c r="E1461" i="14"/>
  <c r="G1461" i="14" s="1"/>
  <c r="K1328" i="31" s="1"/>
  <c r="E1462" i="14"/>
  <c r="G1462" i="14" s="1"/>
  <c r="K1329" i="31" s="1"/>
  <c r="E1463" i="14"/>
  <c r="G1463" i="14" s="1"/>
  <c r="K1330" i="31" s="1"/>
  <c r="E1464" i="14"/>
  <c r="G1464" i="14" s="1"/>
  <c r="K1331" i="31" s="1"/>
  <c r="E1465" i="14"/>
  <c r="G1465" i="14" s="1"/>
  <c r="E1466" i="14"/>
  <c r="G1466" i="14" s="1"/>
  <c r="K1332" i="31" s="1"/>
  <c r="E1467" i="14"/>
  <c r="G1467" i="14" s="1"/>
  <c r="K1333" i="31" s="1"/>
  <c r="E1468" i="14"/>
  <c r="G1468" i="14" s="1"/>
  <c r="K1334" i="31" s="1"/>
  <c r="E1469" i="14"/>
  <c r="G1469" i="14" s="1"/>
  <c r="K1335" i="31" s="1"/>
  <c r="E1470" i="14"/>
  <c r="G1470" i="14" s="1"/>
  <c r="K1336" i="31" s="1"/>
  <c r="E1471" i="14"/>
  <c r="G1471" i="14" s="1"/>
  <c r="K1337" i="31" s="1"/>
  <c r="E1472" i="14"/>
  <c r="G1472" i="14" s="1"/>
  <c r="K1338" i="31" s="1"/>
  <c r="E1473" i="14"/>
  <c r="G1473" i="14" s="1"/>
  <c r="K1339" i="31" s="1"/>
  <c r="E1474" i="14"/>
  <c r="G1474" i="14" s="1"/>
  <c r="K1340" i="31" s="1"/>
  <c r="E1475" i="14"/>
  <c r="G1475" i="14" s="1"/>
  <c r="K1341" i="31" s="1"/>
  <c r="E1476" i="14"/>
  <c r="G1476" i="14" s="1"/>
  <c r="E1477" i="14"/>
  <c r="G1477" i="14" s="1"/>
  <c r="K1342" i="31" s="1"/>
  <c r="E1478" i="14"/>
  <c r="G1478" i="14" s="1"/>
  <c r="K1343" i="31" s="1"/>
  <c r="E1479" i="14"/>
  <c r="G1479" i="14" s="1"/>
  <c r="K1344" i="31" s="1"/>
  <c r="E1480" i="14"/>
  <c r="G1480" i="14" s="1"/>
  <c r="K1345" i="31" s="1"/>
  <c r="E1481" i="14"/>
  <c r="G1481" i="14" s="1"/>
  <c r="K1346" i="31" s="1"/>
  <c r="E1482" i="14"/>
  <c r="G1482" i="14" s="1"/>
  <c r="K1347" i="31" s="1"/>
  <c r="E1483" i="14"/>
  <c r="G1483" i="14" s="1"/>
  <c r="K1348" i="31" s="1"/>
  <c r="E1484" i="14"/>
  <c r="G1484" i="14" s="1"/>
  <c r="K1349" i="31" s="1"/>
  <c r="E1485" i="14"/>
  <c r="G1485" i="14" s="1"/>
  <c r="K1350" i="31" s="1"/>
  <c r="E1486" i="14"/>
  <c r="G1486" i="14" s="1"/>
  <c r="K1351" i="31" s="1"/>
  <c r="E1487" i="14"/>
  <c r="G1487" i="14" s="1"/>
  <c r="E1488" i="14"/>
  <c r="G1488" i="14" s="1"/>
  <c r="K1352" i="31" s="1"/>
  <c r="E1489" i="14"/>
  <c r="G1489" i="14" s="1"/>
  <c r="K1353" i="31" s="1"/>
  <c r="E1490" i="14"/>
  <c r="G1490" i="14" s="1"/>
  <c r="K1354" i="31" s="1"/>
  <c r="E1491" i="14"/>
  <c r="G1491" i="14" s="1"/>
  <c r="K1355" i="31" s="1"/>
  <c r="E1492" i="14"/>
  <c r="G1492" i="14" s="1"/>
  <c r="K1356" i="31" s="1"/>
  <c r="E1493" i="14"/>
  <c r="G1493" i="14" s="1"/>
  <c r="K1357" i="31" s="1"/>
  <c r="E1494" i="14"/>
  <c r="G1494" i="14" s="1"/>
  <c r="K1358" i="31" s="1"/>
  <c r="E1495" i="14"/>
  <c r="G1495" i="14" s="1"/>
  <c r="K1359" i="31" s="1"/>
  <c r="E1496" i="14"/>
  <c r="G1496" i="14" s="1"/>
  <c r="K1360" i="31" s="1"/>
  <c r="E1497" i="14"/>
  <c r="G1497" i="14" s="1"/>
  <c r="K1361" i="31" s="1"/>
  <c r="E1498" i="14"/>
  <c r="G1498" i="14" s="1"/>
  <c r="E1499" i="14"/>
  <c r="G1499" i="14" s="1"/>
  <c r="K1362" i="31" s="1"/>
  <c r="E1500" i="14"/>
  <c r="G1500" i="14" s="1"/>
  <c r="K1363" i="31" s="1"/>
  <c r="E1501" i="14"/>
  <c r="G1501" i="14" s="1"/>
  <c r="K1364" i="31" s="1"/>
  <c r="E1502" i="14"/>
  <c r="G1502" i="14" s="1"/>
  <c r="K1365" i="31" s="1"/>
  <c r="E1503" i="14"/>
  <c r="G1503" i="14" s="1"/>
  <c r="K1366" i="31" s="1"/>
  <c r="E1504" i="14"/>
  <c r="G1504" i="14" s="1"/>
  <c r="K1367" i="31" s="1"/>
  <c r="E1505" i="14"/>
  <c r="G1505" i="14" s="1"/>
  <c r="K1368" i="31" s="1"/>
  <c r="E1506" i="14"/>
  <c r="G1506" i="14" s="1"/>
  <c r="K1369" i="31" s="1"/>
  <c r="E1507" i="14"/>
  <c r="G1507" i="14" s="1"/>
  <c r="K1370" i="31" s="1"/>
  <c r="E1508" i="14"/>
  <c r="G1508" i="14" s="1"/>
  <c r="K1371" i="31" s="1"/>
  <c r="E1509" i="14"/>
  <c r="G1509" i="14" s="1"/>
  <c r="E1510" i="14"/>
  <c r="G1510" i="14" s="1"/>
  <c r="K1372" i="31" s="1"/>
  <c r="E1511" i="14"/>
  <c r="G1511" i="14" s="1"/>
  <c r="K1373" i="31" s="1"/>
  <c r="E1512" i="14"/>
  <c r="G1512" i="14" s="1"/>
  <c r="K1374" i="31" s="1"/>
  <c r="E1513" i="14"/>
  <c r="G1513" i="14" s="1"/>
  <c r="K1375" i="31" s="1"/>
  <c r="E1514" i="14"/>
  <c r="G1514" i="14" s="1"/>
  <c r="K1376" i="31" s="1"/>
  <c r="E1515" i="14"/>
  <c r="G1515" i="14" s="1"/>
  <c r="K1377" i="31" s="1"/>
  <c r="E1516" i="14"/>
  <c r="G1516" i="14" s="1"/>
  <c r="K1378" i="31" s="1"/>
  <c r="E1517" i="14"/>
  <c r="G1517" i="14" s="1"/>
  <c r="K1379" i="31" s="1"/>
  <c r="E1518" i="14"/>
  <c r="G1518" i="14" s="1"/>
  <c r="K1380" i="31" s="1"/>
  <c r="E1519" i="14"/>
  <c r="G1519" i="14" s="1"/>
  <c r="K1381" i="31" s="1"/>
  <c r="E1520" i="14"/>
  <c r="G1520" i="14" s="1"/>
  <c r="E1521" i="14"/>
  <c r="G1521" i="14" s="1"/>
  <c r="K1382" i="31" s="1"/>
  <c r="E1522" i="14"/>
  <c r="G1522" i="14" s="1"/>
  <c r="K1383" i="31" s="1"/>
  <c r="E1523" i="14"/>
  <c r="G1523" i="14" s="1"/>
  <c r="K1384" i="31" s="1"/>
  <c r="E1524" i="14"/>
  <c r="G1524" i="14" s="1"/>
  <c r="K1385" i="31" s="1"/>
  <c r="E1525" i="14"/>
  <c r="G1525" i="14" s="1"/>
  <c r="K1386" i="31" s="1"/>
  <c r="E1526" i="14"/>
  <c r="G1526" i="14" s="1"/>
  <c r="K1387" i="31" s="1"/>
  <c r="E1527" i="14"/>
  <c r="G1527" i="14" s="1"/>
  <c r="K1388" i="31" s="1"/>
  <c r="E1528" i="14"/>
  <c r="G1528" i="14" s="1"/>
  <c r="K1389" i="31" s="1"/>
  <c r="E1529" i="14"/>
  <c r="G1529" i="14" s="1"/>
  <c r="K1390" i="31" s="1"/>
  <c r="E1530" i="14"/>
  <c r="G1530" i="14" s="1"/>
  <c r="K1391" i="31" s="1"/>
  <c r="E1531" i="14"/>
  <c r="G1531" i="14" s="1"/>
  <c r="E1532" i="14"/>
  <c r="G1532" i="14" s="1"/>
  <c r="K1392" i="31" s="1"/>
  <c r="E1533" i="14"/>
  <c r="G1533" i="14" s="1"/>
  <c r="K1393" i="31" s="1"/>
  <c r="E1534" i="14"/>
  <c r="G1534" i="14" s="1"/>
  <c r="K1394" i="31" s="1"/>
  <c r="E1535" i="14"/>
  <c r="G1535" i="14" s="1"/>
  <c r="K1395" i="31" s="1"/>
  <c r="E1536" i="14"/>
  <c r="G1536" i="14" s="1"/>
  <c r="K1396" i="31" s="1"/>
  <c r="E1537" i="14"/>
  <c r="G1537" i="14" s="1"/>
  <c r="K1397" i="31" s="1"/>
  <c r="E1538" i="14"/>
  <c r="G1538" i="14" s="1"/>
  <c r="K1398" i="31" s="1"/>
  <c r="E1539" i="14"/>
  <c r="G1539" i="14" s="1"/>
  <c r="K1399" i="31" s="1"/>
  <c r="E1540" i="14"/>
  <c r="G1540" i="14" s="1"/>
  <c r="K1400" i="31" s="1"/>
  <c r="E1541" i="14"/>
  <c r="G1541" i="14" s="1"/>
  <c r="K1401" i="31" s="1"/>
  <c r="E1542" i="14"/>
  <c r="G1542" i="14" s="1"/>
  <c r="E1543" i="14"/>
  <c r="G1543" i="14" s="1"/>
  <c r="K1402" i="31" s="1"/>
  <c r="E1544" i="14"/>
  <c r="G1544" i="14" s="1"/>
  <c r="K1403" i="31" s="1"/>
  <c r="E1545" i="14"/>
  <c r="G1545" i="14" s="1"/>
  <c r="K1404" i="31" s="1"/>
  <c r="E1546" i="14"/>
  <c r="G1546" i="14" s="1"/>
  <c r="K1405" i="31" s="1"/>
  <c r="E1547" i="14"/>
  <c r="G1547" i="14" s="1"/>
  <c r="K1406" i="31" s="1"/>
  <c r="E1548" i="14"/>
  <c r="G1548" i="14" s="1"/>
  <c r="K1407" i="31" s="1"/>
  <c r="E1549" i="14"/>
  <c r="G1549" i="14" s="1"/>
  <c r="K1408" i="31" s="1"/>
  <c r="E1550" i="14"/>
  <c r="G1550" i="14" s="1"/>
  <c r="K1409" i="31" s="1"/>
  <c r="E1551" i="14"/>
  <c r="G1551" i="14" s="1"/>
  <c r="K1410" i="31" s="1"/>
  <c r="E1552" i="14"/>
  <c r="G1552" i="14" s="1"/>
  <c r="K1411" i="31" s="1"/>
  <c r="E1553" i="14"/>
  <c r="G1553" i="14" s="1"/>
  <c r="E1554" i="14"/>
  <c r="G1554" i="14" s="1"/>
  <c r="K1412" i="31" s="1"/>
  <c r="E1555" i="14"/>
  <c r="G1555" i="14" s="1"/>
  <c r="K1413" i="31" s="1"/>
  <c r="E1556" i="14"/>
  <c r="G1556" i="14" s="1"/>
  <c r="K1414" i="31" s="1"/>
  <c r="E1557" i="14"/>
  <c r="G1557" i="14" s="1"/>
  <c r="K1415" i="31" s="1"/>
  <c r="E1558" i="14"/>
  <c r="G1558" i="14" s="1"/>
  <c r="K1416" i="31" s="1"/>
  <c r="E1559" i="14"/>
  <c r="G1559" i="14" s="1"/>
  <c r="K1417" i="31" s="1"/>
  <c r="E1560" i="14"/>
  <c r="G1560" i="14" s="1"/>
  <c r="K1418" i="31" s="1"/>
  <c r="E1561" i="14"/>
  <c r="G1561" i="14" s="1"/>
  <c r="K1419" i="31" s="1"/>
  <c r="E1562" i="14"/>
  <c r="G1562" i="14" s="1"/>
  <c r="K1420" i="31" s="1"/>
  <c r="E1563" i="14"/>
  <c r="G1563" i="14" s="1"/>
  <c r="K1421" i="31" s="1"/>
  <c r="E1564" i="14"/>
  <c r="G1564" i="14" s="1"/>
  <c r="E1565" i="14"/>
  <c r="G1565" i="14" s="1"/>
  <c r="K1422" i="31" s="1"/>
  <c r="E1566" i="14"/>
  <c r="G1566" i="14" s="1"/>
  <c r="K1423" i="31" s="1"/>
  <c r="E1567" i="14"/>
  <c r="G1567" i="14" s="1"/>
  <c r="K1424" i="31" s="1"/>
  <c r="E1568" i="14"/>
  <c r="G1568" i="14" s="1"/>
  <c r="K1425" i="31" s="1"/>
  <c r="E1569" i="14"/>
  <c r="G1569" i="14" s="1"/>
  <c r="K1426" i="31" s="1"/>
  <c r="E1570" i="14"/>
  <c r="G1570" i="14" s="1"/>
  <c r="K1427" i="31" s="1"/>
  <c r="E1571" i="14"/>
  <c r="G1571" i="14" s="1"/>
  <c r="K1428" i="31" s="1"/>
  <c r="E1572" i="14"/>
  <c r="G1572" i="14" s="1"/>
  <c r="K1429" i="31" s="1"/>
  <c r="E1573" i="14"/>
  <c r="G1573" i="14" s="1"/>
  <c r="K1430" i="31" s="1"/>
  <c r="E1574" i="14"/>
  <c r="G1574" i="14" s="1"/>
  <c r="K1431" i="31" s="1"/>
  <c r="E1575" i="14"/>
  <c r="G1575" i="14" s="1"/>
  <c r="E1576" i="14"/>
  <c r="G1576" i="14" s="1"/>
  <c r="K1432" i="31" s="1"/>
  <c r="E1577" i="14"/>
  <c r="G1577" i="14" s="1"/>
  <c r="K1433" i="31" s="1"/>
  <c r="E1578" i="14"/>
  <c r="G1578" i="14" s="1"/>
  <c r="K1434" i="31" s="1"/>
  <c r="E1579" i="14"/>
  <c r="G1579" i="14" s="1"/>
  <c r="K1435" i="31" s="1"/>
  <c r="E1580" i="14"/>
  <c r="G1580" i="14" s="1"/>
  <c r="K1436" i="31" s="1"/>
  <c r="E1581" i="14"/>
  <c r="G1581" i="14" s="1"/>
  <c r="K1437" i="31" s="1"/>
  <c r="E1582" i="14"/>
  <c r="G1582" i="14" s="1"/>
  <c r="K1438" i="31" s="1"/>
  <c r="E1583" i="14"/>
  <c r="G1583" i="14" s="1"/>
  <c r="K1439" i="31" s="1"/>
  <c r="E1584" i="14"/>
  <c r="G1584" i="14" s="1"/>
  <c r="K1440" i="31" s="1"/>
  <c r="E1585" i="14"/>
  <c r="G1585" i="14" s="1"/>
  <c r="K1441" i="31" s="1"/>
  <c r="E1586" i="14"/>
  <c r="G1586" i="14" s="1"/>
  <c r="E1587" i="14"/>
  <c r="G1587" i="14" s="1"/>
  <c r="K1442" i="31" s="1"/>
  <c r="E1588" i="14"/>
  <c r="G1588" i="14" s="1"/>
  <c r="K1443" i="31" s="1"/>
  <c r="E1589" i="14"/>
  <c r="G1589" i="14" s="1"/>
  <c r="K1444" i="31" s="1"/>
  <c r="E1590" i="14"/>
  <c r="G1590" i="14" s="1"/>
  <c r="K1445" i="31" s="1"/>
  <c r="E1591" i="14"/>
  <c r="G1591" i="14" s="1"/>
  <c r="K1446" i="31" s="1"/>
  <c r="E1592" i="14"/>
  <c r="G1592" i="14" s="1"/>
  <c r="K1447" i="31" s="1"/>
  <c r="E1593" i="14"/>
  <c r="G1593" i="14" s="1"/>
  <c r="K1448" i="31" s="1"/>
  <c r="E1594" i="14"/>
  <c r="G1594" i="14" s="1"/>
  <c r="K1449" i="31" s="1"/>
  <c r="E1595" i="14"/>
  <c r="G1595" i="14" s="1"/>
  <c r="K1450" i="31" s="1"/>
  <c r="E1596" i="14"/>
  <c r="G1596" i="14" s="1"/>
  <c r="K1451" i="31" s="1"/>
  <c r="E1597" i="14"/>
  <c r="G1597" i="14" s="1"/>
  <c r="E1598" i="14"/>
  <c r="G1598" i="14" s="1"/>
  <c r="K1452" i="31" s="1"/>
  <c r="E1599" i="14"/>
  <c r="G1599" i="14" s="1"/>
  <c r="K1453" i="31" s="1"/>
  <c r="E1600" i="14"/>
  <c r="G1600" i="14" s="1"/>
  <c r="K1454" i="31" s="1"/>
  <c r="E1601" i="14"/>
  <c r="G1601" i="14" s="1"/>
  <c r="K1455" i="31" s="1"/>
  <c r="E1602" i="14"/>
  <c r="G1602" i="14" s="1"/>
  <c r="K1456" i="31" s="1"/>
  <c r="E1603" i="14"/>
  <c r="G1603" i="14" s="1"/>
  <c r="K1457" i="31" s="1"/>
  <c r="E1604" i="14"/>
  <c r="G1604" i="14" s="1"/>
  <c r="K1458" i="31" s="1"/>
  <c r="E1605" i="14"/>
  <c r="G1605" i="14" s="1"/>
  <c r="K1459" i="31" s="1"/>
  <c r="E1606" i="14"/>
  <c r="G1606" i="14" s="1"/>
  <c r="K1460" i="31" s="1"/>
  <c r="E1607" i="14"/>
  <c r="G1607" i="14" s="1"/>
  <c r="K1461" i="31" s="1"/>
  <c r="E1608" i="14"/>
  <c r="G1608" i="14" s="1"/>
  <c r="E1609" i="14"/>
  <c r="G1609" i="14" s="1"/>
  <c r="K1462" i="31" s="1"/>
  <c r="E1610" i="14"/>
  <c r="G1610" i="14" s="1"/>
  <c r="K1463" i="31" s="1"/>
  <c r="E1611" i="14"/>
  <c r="G1611" i="14" s="1"/>
  <c r="K1464" i="31" s="1"/>
  <c r="E1612" i="14"/>
  <c r="G1612" i="14" s="1"/>
  <c r="K1465" i="31" s="1"/>
  <c r="E1613" i="14"/>
  <c r="G1613" i="14" s="1"/>
  <c r="K1466" i="31" s="1"/>
  <c r="E1614" i="14"/>
  <c r="G1614" i="14" s="1"/>
  <c r="K1467" i="31" s="1"/>
  <c r="E1615" i="14"/>
  <c r="G1615" i="14" s="1"/>
  <c r="K1468" i="31" s="1"/>
  <c r="E1616" i="14"/>
  <c r="G1616" i="14" s="1"/>
  <c r="K1469" i="31" s="1"/>
  <c r="E1617" i="14"/>
  <c r="G1617" i="14" s="1"/>
  <c r="K1470" i="31" s="1"/>
  <c r="E1618" i="14"/>
  <c r="G1618" i="14" s="1"/>
  <c r="K1471" i="31" s="1"/>
  <c r="E1619" i="14"/>
  <c r="G1619" i="14" s="1"/>
  <c r="E1620" i="14"/>
  <c r="G1620" i="14" s="1"/>
  <c r="K1472" i="31" s="1"/>
  <c r="E1621" i="14"/>
  <c r="G1621" i="14" s="1"/>
  <c r="K1473" i="31" s="1"/>
  <c r="E1622" i="14"/>
  <c r="G1622" i="14" s="1"/>
  <c r="K1474" i="31" s="1"/>
  <c r="E1623" i="14"/>
  <c r="G1623" i="14" s="1"/>
  <c r="K1475" i="31" s="1"/>
  <c r="E1624" i="14"/>
  <c r="G1624" i="14" s="1"/>
  <c r="K1476" i="31" s="1"/>
  <c r="E1625" i="14"/>
  <c r="G1625" i="14" s="1"/>
  <c r="K1477" i="31" s="1"/>
  <c r="E1626" i="14"/>
  <c r="G1626" i="14" s="1"/>
  <c r="K1478" i="31" s="1"/>
  <c r="E1627" i="14"/>
  <c r="G1627" i="14" s="1"/>
  <c r="K1479" i="31" s="1"/>
  <c r="E1628" i="14"/>
  <c r="G1628" i="14" s="1"/>
  <c r="K1480" i="31" s="1"/>
  <c r="E1629" i="14"/>
  <c r="G1629" i="14" s="1"/>
  <c r="K1481" i="31" s="1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1541" i="15"/>
  <c r="F1542" i="15"/>
  <c r="F1543" i="15"/>
  <c r="F1544" i="15"/>
  <c r="F1545" i="15"/>
  <c r="F1546" i="15"/>
  <c r="F1547" i="15"/>
  <c r="F1548" i="15"/>
  <c r="F1549" i="15"/>
  <c r="F1550" i="15"/>
  <c r="F1551" i="15"/>
  <c r="F1552" i="15"/>
  <c r="F1553" i="15"/>
  <c r="F1554" i="15"/>
  <c r="F1555" i="15"/>
  <c r="F1556" i="15"/>
  <c r="F1557" i="15"/>
  <c r="F1558" i="15"/>
  <c r="F1559" i="15"/>
  <c r="F1560" i="15"/>
  <c r="F1561" i="15"/>
  <c r="F1562" i="15"/>
  <c r="F1563" i="15"/>
  <c r="F1564" i="15"/>
  <c r="F1565" i="15"/>
  <c r="F1566" i="15"/>
  <c r="F1567" i="15"/>
  <c r="F1568" i="15"/>
  <c r="F1569" i="15"/>
  <c r="F1570" i="15"/>
  <c r="F1571" i="15"/>
  <c r="F1572" i="15"/>
  <c r="F1573" i="15"/>
  <c r="F1574" i="15"/>
  <c r="F1575" i="15"/>
  <c r="F1576" i="15"/>
  <c r="F1577" i="15"/>
  <c r="F1578" i="15"/>
  <c r="F1579" i="15"/>
  <c r="F1580" i="15"/>
  <c r="F1581" i="15"/>
  <c r="F1582" i="15"/>
  <c r="F1583" i="15"/>
  <c r="F1584" i="15"/>
  <c r="F1585" i="15"/>
  <c r="F1586" i="15"/>
  <c r="F1587" i="15"/>
  <c r="F1588" i="15"/>
  <c r="F1589" i="15"/>
  <c r="F1590" i="15"/>
  <c r="F1591" i="15"/>
  <c r="F1592" i="15"/>
  <c r="F1593" i="15"/>
  <c r="F1594" i="15"/>
  <c r="F1595" i="15"/>
  <c r="F1596" i="15"/>
  <c r="F1597" i="15"/>
  <c r="F1598" i="15"/>
  <c r="F1599" i="15"/>
  <c r="F1600" i="15"/>
  <c r="F1601" i="15"/>
  <c r="F1602" i="15"/>
  <c r="F1603" i="15"/>
  <c r="F1604" i="15"/>
  <c r="F1605" i="15"/>
  <c r="F1606" i="15"/>
  <c r="F1607" i="15"/>
  <c r="F1608" i="15"/>
  <c r="F1609" i="15"/>
  <c r="F1610" i="15"/>
  <c r="F1611" i="15"/>
  <c r="F1612" i="15"/>
  <c r="F1613" i="15"/>
  <c r="F1614" i="15"/>
  <c r="F1615" i="15"/>
  <c r="F1616" i="15"/>
  <c r="F1617" i="15"/>
  <c r="F1618" i="15"/>
  <c r="F1619" i="15"/>
  <c r="F1620" i="15"/>
  <c r="F1621" i="15"/>
  <c r="F1622" i="15"/>
  <c r="F1623" i="15"/>
  <c r="F1624" i="15"/>
  <c r="F1625" i="15"/>
  <c r="F1626" i="15"/>
  <c r="F1627" i="15"/>
  <c r="F1628" i="15"/>
  <c r="F1629" i="15"/>
  <c r="E3" i="21"/>
  <c r="E4" i="21"/>
  <c r="E5" i="21"/>
  <c r="E6" i="21"/>
  <c r="E7" i="21"/>
  <c r="E8" i="21"/>
  <c r="E9" i="21"/>
  <c r="E10" i="21"/>
  <c r="E11" i="21"/>
  <c r="E12" i="21"/>
  <c r="E35" i="21"/>
  <c r="E36" i="21"/>
  <c r="E37" i="21"/>
  <c r="E38" i="21"/>
  <c r="E39" i="21"/>
  <c r="E40" i="21"/>
  <c r="E41" i="21"/>
  <c r="E42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90" i="21"/>
  <c r="E91" i="21"/>
  <c r="E92" i="21"/>
  <c r="E93" i="21"/>
  <c r="E94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E429" i="21"/>
  <c r="E430" i="21"/>
  <c r="E431" i="21"/>
  <c r="E432" i="21"/>
  <c r="E433" i="21"/>
  <c r="E434" i="21"/>
  <c r="E435" i="21"/>
  <c r="E436" i="21"/>
  <c r="E437" i="21"/>
  <c r="E438" i="21"/>
  <c r="E439" i="21"/>
  <c r="E440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E515" i="21"/>
  <c r="E516" i="21"/>
  <c r="E517" i="21"/>
  <c r="E518" i="21"/>
  <c r="E519" i="21"/>
  <c r="E520" i="21"/>
  <c r="E521" i="21"/>
  <c r="E522" i="21"/>
  <c r="E523" i="21"/>
  <c r="E524" i="21"/>
  <c r="E525" i="21"/>
  <c r="E526" i="21"/>
  <c r="E527" i="21"/>
  <c r="E528" i="21"/>
  <c r="E529" i="21"/>
  <c r="E530" i="21"/>
  <c r="E531" i="21"/>
  <c r="E532" i="21"/>
  <c r="E533" i="21"/>
  <c r="E534" i="21"/>
  <c r="E535" i="21"/>
  <c r="E536" i="21"/>
  <c r="E537" i="21"/>
  <c r="E538" i="21"/>
  <c r="E539" i="21"/>
  <c r="E540" i="21"/>
  <c r="E541" i="21"/>
  <c r="E542" i="21"/>
  <c r="E543" i="21"/>
  <c r="E544" i="21"/>
  <c r="E545" i="21"/>
  <c r="E546" i="21"/>
  <c r="E547" i="21"/>
  <c r="E548" i="21"/>
  <c r="E549" i="21"/>
  <c r="E550" i="21"/>
  <c r="E551" i="21"/>
  <c r="E552" i="21"/>
  <c r="E553" i="21"/>
  <c r="E554" i="21"/>
  <c r="E555" i="21"/>
  <c r="E556" i="21"/>
  <c r="E557" i="21"/>
  <c r="E558" i="21"/>
  <c r="E559" i="21"/>
  <c r="E560" i="21"/>
  <c r="E561" i="21"/>
  <c r="E562" i="21"/>
  <c r="E563" i="21"/>
  <c r="E564" i="21"/>
  <c r="E565" i="21"/>
  <c r="E566" i="21"/>
  <c r="E567" i="21"/>
  <c r="E568" i="21"/>
  <c r="E569" i="21"/>
  <c r="E570" i="21"/>
  <c r="E571" i="21"/>
  <c r="E572" i="21"/>
  <c r="E573" i="21"/>
  <c r="E574" i="21"/>
  <c r="E575" i="21"/>
  <c r="E576" i="21"/>
  <c r="E577" i="21"/>
  <c r="E578" i="21"/>
  <c r="E579" i="21"/>
  <c r="E580" i="21"/>
  <c r="E581" i="21"/>
  <c r="E582" i="21"/>
  <c r="E583" i="21"/>
  <c r="E584" i="21"/>
  <c r="E585" i="21"/>
  <c r="E586" i="21"/>
  <c r="E587" i="21"/>
  <c r="E588" i="21"/>
  <c r="E589" i="21"/>
  <c r="E590" i="21"/>
  <c r="E591" i="21"/>
  <c r="E592" i="21"/>
  <c r="E593" i="21"/>
  <c r="E594" i="21"/>
  <c r="E595" i="21"/>
  <c r="E596" i="21"/>
  <c r="E597" i="21"/>
  <c r="E598" i="21"/>
  <c r="E599" i="21"/>
  <c r="E600" i="21"/>
  <c r="E601" i="21"/>
  <c r="E602" i="21"/>
  <c r="E603" i="21"/>
  <c r="E604" i="21"/>
  <c r="E605" i="21"/>
  <c r="E606" i="21"/>
  <c r="E607" i="21"/>
  <c r="E608" i="21"/>
  <c r="E609" i="21"/>
  <c r="E610" i="21"/>
  <c r="E611" i="21"/>
  <c r="E612" i="21"/>
  <c r="E613" i="21"/>
  <c r="E614" i="21"/>
  <c r="E615" i="21"/>
  <c r="E616" i="21"/>
  <c r="E617" i="21"/>
  <c r="E618" i="21"/>
  <c r="E619" i="21"/>
  <c r="E620" i="21"/>
  <c r="E621" i="21"/>
  <c r="E622" i="21"/>
  <c r="E623" i="21"/>
  <c r="E624" i="21"/>
  <c r="E625" i="21"/>
  <c r="E626" i="21"/>
  <c r="E627" i="21"/>
  <c r="E628" i="21"/>
  <c r="E629" i="21"/>
  <c r="E630" i="21"/>
  <c r="E631" i="21"/>
  <c r="E632" i="21"/>
  <c r="E633" i="21"/>
  <c r="E634" i="21"/>
  <c r="E635" i="21"/>
  <c r="E636" i="21"/>
  <c r="E637" i="21"/>
  <c r="E638" i="21"/>
  <c r="E639" i="21"/>
  <c r="E640" i="21"/>
  <c r="E641" i="21"/>
  <c r="E642" i="21"/>
  <c r="E643" i="21"/>
  <c r="E644" i="21"/>
  <c r="E645" i="21"/>
  <c r="E646" i="21"/>
  <c r="E647" i="21"/>
  <c r="E648" i="21"/>
  <c r="E649" i="21"/>
  <c r="E650" i="21"/>
  <c r="E651" i="21"/>
  <c r="E652" i="21"/>
  <c r="E653" i="21"/>
  <c r="E654" i="21"/>
  <c r="E655" i="21"/>
  <c r="E656" i="21"/>
  <c r="E657" i="21"/>
  <c r="E658" i="21"/>
  <c r="E659" i="21"/>
  <c r="E660" i="21"/>
  <c r="E661" i="21"/>
  <c r="E662" i="21"/>
  <c r="E663" i="21"/>
  <c r="E664" i="21"/>
  <c r="E665" i="21"/>
  <c r="E666" i="21"/>
  <c r="E667" i="21"/>
  <c r="E668" i="21"/>
  <c r="E669" i="21"/>
  <c r="E670" i="21"/>
  <c r="E671" i="21"/>
  <c r="E672" i="21"/>
  <c r="E673" i="21"/>
  <c r="E674" i="21"/>
  <c r="E675" i="21"/>
  <c r="E676" i="21"/>
  <c r="E677" i="21"/>
  <c r="E678" i="21"/>
  <c r="E679" i="21"/>
  <c r="E680" i="21"/>
  <c r="E681" i="21"/>
  <c r="E682" i="21"/>
  <c r="E683" i="21"/>
  <c r="E684" i="21"/>
  <c r="E685" i="21"/>
  <c r="E686" i="21"/>
  <c r="E687" i="21"/>
  <c r="E688" i="21"/>
  <c r="E689" i="21"/>
  <c r="E690" i="21"/>
  <c r="E691" i="21"/>
  <c r="E692" i="21"/>
  <c r="E693" i="21"/>
  <c r="E694" i="21"/>
  <c r="E695" i="21"/>
  <c r="E696" i="21"/>
  <c r="E697" i="21"/>
  <c r="E698" i="21"/>
  <c r="E699" i="21"/>
  <c r="E700" i="21"/>
  <c r="E701" i="21"/>
  <c r="E702" i="21"/>
  <c r="E703" i="21"/>
  <c r="E704" i="21"/>
  <c r="E705" i="21"/>
  <c r="E706" i="21"/>
  <c r="E707" i="21"/>
  <c r="E708" i="21"/>
  <c r="E709" i="21"/>
  <c r="E710" i="21"/>
  <c r="E711" i="21"/>
  <c r="E712" i="21"/>
  <c r="E713" i="21"/>
  <c r="E714" i="21"/>
  <c r="E715" i="21"/>
  <c r="E716" i="21"/>
  <c r="E717" i="21"/>
  <c r="E718" i="21"/>
  <c r="E719" i="21"/>
  <c r="E720" i="21"/>
  <c r="E721" i="21"/>
  <c r="E722" i="21"/>
  <c r="E723" i="21"/>
  <c r="E724" i="21"/>
  <c r="E725" i="21"/>
  <c r="E726" i="21"/>
  <c r="E727" i="21"/>
  <c r="E728" i="21"/>
  <c r="E729" i="21"/>
  <c r="E730" i="21"/>
  <c r="E731" i="21"/>
  <c r="E732" i="21"/>
  <c r="E733" i="21"/>
  <c r="E734" i="21"/>
  <c r="E735" i="21"/>
  <c r="E736" i="21"/>
  <c r="E737" i="21"/>
  <c r="E738" i="21"/>
  <c r="E739" i="21"/>
  <c r="E740" i="21"/>
  <c r="E741" i="21"/>
  <c r="E742" i="21"/>
  <c r="E743" i="21"/>
  <c r="E744" i="21"/>
  <c r="E745" i="21"/>
  <c r="E746" i="21"/>
  <c r="E747" i="21"/>
  <c r="E748" i="21"/>
  <c r="E749" i="21"/>
  <c r="E750" i="21"/>
  <c r="E751" i="21"/>
  <c r="E752" i="21"/>
  <c r="E753" i="21"/>
  <c r="E754" i="21"/>
  <c r="E755" i="21"/>
  <c r="E756" i="21"/>
  <c r="E757" i="21"/>
  <c r="E758" i="21"/>
  <c r="E759" i="21"/>
  <c r="E760" i="21"/>
  <c r="E761" i="21"/>
  <c r="E762" i="21"/>
  <c r="E763" i="21"/>
  <c r="E764" i="21"/>
  <c r="E765" i="21"/>
  <c r="E766" i="21"/>
  <c r="E767" i="21"/>
  <c r="E768" i="21"/>
  <c r="E769" i="21"/>
  <c r="E770" i="21"/>
  <c r="E771" i="21"/>
  <c r="E772" i="21"/>
  <c r="E773" i="21"/>
  <c r="E774" i="21"/>
  <c r="E775" i="21"/>
  <c r="E776" i="21"/>
  <c r="E777" i="21"/>
  <c r="E778" i="21"/>
  <c r="E779" i="21"/>
  <c r="E780" i="21"/>
  <c r="E781" i="21"/>
  <c r="E782" i="21"/>
  <c r="E783" i="21"/>
  <c r="E784" i="21"/>
  <c r="E785" i="21"/>
  <c r="E786" i="21"/>
  <c r="E787" i="21"/>
  <c r="E788" i="21"/>
  <c r="E789" i="21"/>
  <c r="E790" i="21"/>
  <c r="E791" i="21"/>
  <c r="E792" i="21"/>
  <c r="E793" i="21"/>
  <c r="E794" i="21"/>
  <c r="E795" i="21"/>
  <c r="E796" i="21"/>
  <c r="E797" i="21"/>
  <c r="E798" i="21"/>
  <c r="E799" i="21"/>
  <c r="E800" i="21"/>
  <c r="E801" i="21"/>
  <c r="E802" i="21"/>
  <c r="E803" i="21"/>
  <c r="E804" i="21"/>
  <c r="E805" i="21"/>
  <c r="E806" i="21"/>
  <c r="E807" i="21"/>
  <c r="E808" i="21"/>
  <c r="E809" i="21"/>
  <c r="E810" i="21"/>
  <c r="E811" i="21"/>
  <c r="E812" i="21"/>
  <c r="E813" i="21"/>
  <c r="E814" i="21"/>
  <c r="E815" i="21"/>
  <c r="E816" i="21"/>
  <c r="E817" i="21"/>
  <c r="E818" i="21"/>
  <c r="E819" i="21"/>
  <c r="E820" i="21"/>
  <c r="E821" i="21"/>
  <c r="E822" i="21"/>
  <c r="E823" i="21"/>
  <c r="E824" i="21"/>
  <c r="E825" i="21"/>
  <c r="E826" i="21"/>
  <c r="E827" i="21"/>
  <c r="E828" i="21"/>
  <c r="E829" i="21"/>
  <c r="E830" i="21"/>
  <c r="E831" i="21"/>
  <c r="E832" i="21"/>
  <c r="E833" i="21"/>
  <c r="E834" i="21"/>
  <c r="E835" i="21"/>
  <c r="E836" i="21"/>
  <c r="E837" i="21"/>
  <c r="E838" i="21"/>
  <c r="E839" i="21"/>
  <c r="E840" i="21"/>
  <c r="E841" i="21"/>
  <c r="E842" i="21"/>
  <c r="E843" i="21"/>
  <c r="E844" i="21"/>
  <c r="E845" i="21"/>
  <c r="E846" i="21"/>
  <c r="E847" i="21"/>
  <c r="E848" i="21"/>
  <c r="E849" i="21"/>
  <c r="E850" i="21"/>
  <c r="E851" i="21"/>
  <c r="E852" i="21"/>
  <c r="E853" i="21"/>
  <c r="E854" i="21"/>
  <c r="E855" i="21"/>
  <c r="E856" i="21"/>
  <c r="E857" i="21"/>
  <c r="E858" i="21"/>
  <c r="E859" i="21"/>
  <c r="E860" i="21"/>
  <c r="E861" i="21"/>
  <c r="E862" i="21"/>
  <c r="E863" i="21"/>
  <c r="E864" i="21"/>
  <c r="E865" i="21"/>
  <c r="E866" i="21"/>
  <c r="E867" i="21"/>
  <c r="E868" i="21"/>
  <c r="E869" i="21"/>
  <c r="E870" i="21"/>
  <c r="E871" i="21"/>
  <c r="E872" i="21"/>
  <c r="E873" i="21"/>
  <c r="E874" i="21"/>
  <c r="E875" i="21"/>
  <c r="E876" i="21"/>
  <c r="E877" i="21"/>
  <c r="E878" i="21"/>
  <c r="E879" i="21"/>
  <c r="E880" i="21"/>
  <c r="E881" i="21"/>
  <c r="E882" i="21"/>
  <c r="E883" i="21"/>
  <c r="E884" i="21"/>
  <c r="E885" i="21"/>
  <c r="E886" i="21"/>
  <c r="E887" i="21"/>
  <c r="E888" i="21"/>
  <c r="E889" i="21"/>
  <c r="E890" i="21"/>
  <c r="E891" i="21"/>
  <c r="E892" i="21"/>
  <c r="E893" i="21"/>
  <c r="E894" i="21"/>
  <c r="E895" i="21"/>
  <c r="E896" i="21"/>
  <c r="E897" i="21"/>
  <c r="E898" i="21"/>
  <c r="E899" i="21"/>
  <c r="E900" i="21"/>
  <c r="E901" i="21"/>
  <c r="E902" i="21"/>
  <c r="E903" i="21"/>
  <c r="E904" i="21"/>
  <c r="E905" i="21"/>
  <c r="E906" i="21"/>
  <c r="E907" i="21"/>
  <c r="E908" i="21"/>
  <c r="E909" i="21"/>
  <c r="E910" i="21"/>
  <c r="E911" i="21"/>
  <c r="E912" i="21"/>
  <c r="E913" i="21"/>
  <c r="E914" i="21"/>
  <c r="E915" i="21"/>
  <c r="E916" i="21"/>
  <c r="E917" i="21"/>
  <c r="E918" i="21"/>
  <c r="E919" i="21"/>
  <c r="E920" i="21"/>
  <c r="E921" i="21"/>
  <c r="E922" i="21"/>
  <c r="E923" i="21"/>
  <c r="E924" i="21"/>
  <c r="E925" i="21"/>
  <c r="E926" i="21"/>
  <c r="E927" i="21"/>
  <c r="E928" i="21"/>
  <c r="E929" i="21"/>
  <c r="E930" i="21"/>
  <c r="E931" i="21"/>
  <c r="E932" i="21"/>
  <c r="E933" i="21"/>
  <c r="E934" i="21"/>
  <c r="E935" i="21"/>
  <c r="E936" i="21"/>
  <c r="E937" i="21"/>
  <c r="E938" i="21"/>
  <c r="E939" i="21"/>
  <c r="E940" i="21"/>
  <c r="E941" i="21"/>
  <c r="E942" i="21"/>
  <c r="E943" i="21"/>
  <c r="E944" i="21"/>
  <c r="E945" i="21"/>
  <c r="E946" i="21"/>
  <c r="E947" i="21"/>
  <c r="E948" i="21"/>
  <c r="E949" i="21"/>
  <c r="E950" i="21"/>
  <c r="E951" i="21"/>
  <c r="E952" i="21"/>
  <c r="E953" i="21"/>
  <c r="E954" i="21"/>
  <c r="E955" i="21"/>
  <c r="E956" i="21"/>
  <c r="E957" i="21"/>
  <c r="E958" i="21"/>
  <c r="E959" i="21"/>
  <c r="E960" i="21"/>
  <c r="E961" i="21"/>
  <c r="E962" i="21"/>
  <c r="E963" i="21"/>
  <c r="E964" i="21"/>
  <c r="E965" i="21"/>
  <c r="E966" i="21"/>
  <c r="E967" i="21"/>
  <c r="E968" i="21"/>
  <c r="E969" i="21"/>
  <c r="E970" i="21"/>
  <c r="E971" i="21"/>
  <c r="E972" i="21"/>
  <c r="E973" i="21"/>
  <c r="E974" i="21"/>
  <c r="E975" i="21"/>
  <c r="E976" i="21"/>
  <c r="E977" i="21"/>
  <c r="E978" i="21"/>
  <c r="E979" i="21"/>
  <c r="E980" i="21"/>
  <c r="E981" i="21"/>
  <c r="E982" i="21"/>
  <c r="E983" i="21"/>
  <c r="E984" i="21"/>
  <c r="E985" i="21"/>
  <c r="E986" i="21"/>
  <c r="E987" i="21"/>
  <c r="E988" i="21"/>
  <c r="E989" i="21"/>
  <c r="E990" i="21"/>
  <c r="E991" i="21"/>
  <c r="E992" i="21"/>
  <c r="E993" i="21"/>
  <c r="E994" i="21"/>
  <c r="E995" i="21"/>
  <c r="E996" i="21"/>
  <c r="E997" i="21"/>
  <c r="E998" i="21"/>
  <c r="E999" i="21"/>
  <c r="E1000" i="21"/>
  <c r="E1001" i="21"/>
  <c r="E1002" i="21"/>
  <c r="E1003" i="21"/>
  <c r="E1004" i="21"/>
  <c r="E1005" i="21"/>
  <c r="E1006" i="21"/>
  <c r="E1007" i="21"/>
  <c r="E1008" i="21"/>
  <c r="E1009" i="21"/>
  <c r="E1010" i="21"/>
  <c r="E1011" i="21"/>
  <c r="E1012" i="21"/>
  <c r="E1013" i="21"/>
  <c r="E1014" i="21"/>
  <c r="E1015" i="21"/>
  <c r="E1016" i="21"/>
  <c r="E1017" i="21"/>
  <c r="E1018" i="21"/>
  <c r="E1019" i="21"/>
  <c r="E1020" i="21"/>
  <c r="E1021" i="21"/>
  <c r="E1022" i="21"/>
  <c r="E1023" i="21"/>
  <c r="E1024" i="21"/>
  <c r="E1025" i="21"/>
  <c r="E1026" i="21"/>
  <c r="E1027" i="21"/>
  <c r="E1028" i="21"/>
  <c r="E1029" i="21"/>
  <c r="E1030" i="21"/>
  <c r="E1031" i="21"/>
  <c r="E1032" i="21"/>
  <c r="E1033" i="21"/>
  <c r="E1034" i="21"/>
  <c r="E1035" i="21"/>
  <c r="E1036" i="21"/>
  <c r="E1037" i="21"/>
  <c r="E1038" i="21"/>
  <c r="E1039" i="21"/>
  <c r="E1040" i="21"/>
  <c r="E1041" i="21"/>
  <c r="E1042" i="21"/>
  <c r="E1043" i="21"/>
  <c r="E1044" i="21"/>
  <c r="E1045" i="21"/>
  <c r="E1046" i="21"/>
  <c r="E1047" i="21"/>
  <c r="E1048" i="21"/>
  <c r="E1049" i="21"/>
  <c r="E1050" i="21"/>
  <c r="E1051" i="21"/>
  <c r="E1052" i="21"/>
  <c r="E1053" i="21"/>
  <c r="E1054" i="21"/>
  <c r="E1055" i="21"/>
  <c r="E1056" i="21"/>
  <c r="E1057" i="21"/>
  <c r="E1058" i="21"/>
  <c r="E1059" i="21"/>
  <c r="E1060" i="21"/>
  <c r="E1061" i="21"/>
  <c r="E1062" i="21"/>
  <c r="E1063" i="21"/>
  <c r="E1064" i="21"/>
  <c r="E1065" i="21"/>
  <c r="E1066" i="21"/>
  <c r="E1067" i="21"/>
  <c r="E1068" i="21"/>
  <c r="E1069" i="21"/>
  <c r="E1070" i="21"/>
  <c r="E1071" i="21"/>
  <c r="E1072" i="21"/>
  <c r="E1073" i="21"/>
  <c r="E1074" i="21"/>
  <c r="E1075" i="21"/>
  <c r="E1076" i="21"/>
  <c r="E1077" i="21"/>
  <c r="E1078" i="21"/>
  <c r="E1079" i="21"/>
  <c r="E1080" i="21"/>
  <c r="E1081" i="21"/>
  <c r="E1082" i="21"/>
  <c r="E1083" i="21"/>
  <c r="E1084" i="21"/>
  <c r="E1085" i="21"/>
  <c r="E1086" i="21"/>
  <c r="E1087" i="21"/>
  <c r="E1088" i="21"/>
  <c r="E1089" i="21"/>
  <c r="E1090" i="21"/>
  <c r="E1091" i="21"/>
  <c r="E1092" i="21"/>
  <c r="E1093" i="21"/>
  <c r="E1094" i="21"/>
  <c r="E1095" i="21"/>
  <c r="E1096" i="21"/>
  <c r="E1097" i="21"/>
  <c r="E1098" i="21"/>
  <c r="E1099" i="21"/>
  <c r="E1100" i="21"/>
  <c r="E1101" i="21"/>
  <c r="E1102" i="21"/>
  <c r="E1103" i="21"/>
  <c r="E1104" i="21"/>
  <c r="E1105" i="21"/>
  <c r="E1106" i="21"/>
  <c r="E1107" i="21"/>
  <c r="E1108" i="21"/>
  <c r="E1109" i="21"/>
  <c r="E1110" i="21"/>
  <c r="E1111" i="21"/>
  <c r="E1112" i="21"/>
  <c r="E1113" i="21"/>
  <c r="E1114" i="21"/>
  <c r="E1115" i="21"/>
  <c r="E1116" i="21"/>
  <c r="E1117" i="21"/>
  <c r="E1118" i="21"/>
  <c r="E1119" i="21"/>
  <c r="E1120" i="21"/>
  <c r="E1121" i="21"/>
  <c r="E1122" i="21"/>
  <c r="E1123" i="21"/>
  <c r="E1124" i="21"/>
  <c r="E1125" i="21"/>
  <c r="E1126" i="21"/>
  <c r="E1127" i="21"/>
  <c r="E1128" i="21"/>
  <c r="E1129" i="21"/>
  <c r="E1130" i="21"/>
  <c r="E1131" i="21"/>
  <c r="E1132" i="21"/>
  <c r="E1133" i="21"/>
  <c r="E1134" i="21"/>
  <c r="E1135" i="21"/>
  <c r="E1136" i="21"/>
  <c r="E1137" i="21"/>
  <c r="E1138" i="21"/>
  <c r="E1139" i="21"/>
  <c r="E1140" i="21"/>
  <c r="E1141" i="21"/>
  <c r="E1142" i="21"/>
  <c r="E1143" i="21"/>
  <c r="E1144" i="21"/>
  <c r="E1145" i="21"/>
  <c r="E1146" i="21"/>
  <c r="E1147" i="21"/>
  <c r="E1148" i="21"/>
  <c r="E1149" i="21"/>
  <c r="E1150" i="21"/>
  <c r="E1151" i="21"/>
  <c r="E1152" i="21"/>
  <c r="E1153" i="21"/>
  <c r="E1154" i="21"/>
  <c r="E1155" i="21"/>
  <c r="E1156" i="21"/>
  <c r="E1157" i="21"/>
  <c r="E1158" i="21"/>
  <c r="E1159" i="21"/>
  <c r="E1160" i="21"/>
  <c r="E1161" i="21"/>
  <c r="E1162" i="21"/>
  <c r="E1163" i="21"/>
  <c r="E1164" i="21"/>
  <c r="E1165" i="21"/>
  <c r="E1166" i="21"/>
  <c r="E1167" i="21"/>
  <c r="E1168" i="21"/>
  <c r="E1169" i="21"/>
  <c r="E1170" i="21"/>
  <c r="E1171" i="21"/>
  <c r="E1172" i="21"/>
  <c r="E1173" i="21"/>
  <c r="E1174" i="21"/>
  <c r="E1175" i="21"/>
  <c r="E1176" i="21"/>
  <c r="E1177" i="21"/>
  <c r="E1178" i="21"/>
  <c r="E1179" i="21"/>
  <c r="E1180" i="21"/>
  <c r="E1181" i="21"/>
  <c r="E1182" i="21"/>
  <c r="E1183" i="21"/>
  <c r="E1184" i="21"/>
  <c r="E1185" i="21"/>
  <c r="E1186" i="21"/>
  <c r="E1187" i="21"/>
  <c r="E1188" i="21"/>
  <c r="E1189" i="21"/>
  <c r="E1190" i="21"/>
  <c r="E1191" i="21"/>
  <c r="E1192" i="21"/>
  <c r="E1193" i="21"/>
  <c r="E1194" i="21"/>
  <c r="E1195" i="21"/>
  <c r="E1196" i="21"/>
  <c r="E1197" i="21"/>
  <c r="E1198" i="21"/>
  <c r="E1199" i="21"/>
  <c r="E1200" i="21"/>
  <c r="E1201" i="21"/>
  <c r="E1202" i="21"/>
  <c r="E1203" i="21"/>
  <c r="E1204" i="21"/>
  <c r="E1205" i="21"/>
  <c r="E1206" i="21"/>
  <c r="E1207" i="21"/>
  <c r="E1208" i="21"/>
  <c r="E1209" i="21"/>
  <c r="E1210" i="21"/>
  <c r="E1211" i="21"/>
  <c r="E1212" i="21"/>
  <c r="E1213" i="21"/>
  <c r="E1214" i="21"/>
  <c r="E1215" i="21"/>
  <c r="E1216" i="21"/>
  <c r="E1217" i="21"/>
  <c r="E1218" i="21"/>
  <c r="E1219" i="21"/>
  <c r="E1220" i="21"/>
  <c r="E1221" i="21"/>
  <c r="E1222" i="21"/>
  <c r="E1223" i="21"/>
  <c r="E1224" i="21"/>
  <c r="E1225" i="21"/>
  <c r="E1226" i="21"/>
  <c r="E1227" i="21"/>
  <c r="E1228" i="21"/>
  <c r="E1229" i="21"/>
  <c r="E1230" i="21"/>
  <c r="E1231" i="21"/>
  <c r="E1232" i="21"/>
  <c r="E1233" i="21"/>
  <c r="E1234" i="21"/>
  <c r="E1235" i="21"/>
  <c r="E1236" i="21"/>
  <c r="E1237" i="21"/>
  <c r="E1238" i="21"/>
  <c r="E1239" i="21"/>
  <c r="E1240" i="21"/>
  <c r="E1241" i="21"/>
  <c r="E1242" i="21"/>
  <c r="E1243" i="21"/>
  <c r="E1244" i="21"/>
  <c r="E1245" i="21"/>
  <c r="E1246" i="21"/>
  <c r="E1247" i="21"/>
  <c r="E1248" i="21"/>
  <c r="E1249" i="21"/>
  <c r="E1250" i="21"/>
  <c r="E1251" i="21"/>
  <c r="E1252" i="21"/>
  <c r="E1253" i="21"/>
  <c r="E1254" i="21"/>
  <c r="E1255" i="21"/>
  <c r="E1256" i="21"/>
  <c r="E1257" i="21"/>
  <c r="E1258" i="21"/>
  <c r="E1259" i="21"/>
  <c r="E1260" i="21"/>
  <c r="E1261" i="21"/>
  <c r="E1262" i="21"/>
  <c r="E1263" i="21"/>
  <c r="E1264" i="21"/>
  <c r="E1265" i="21"/>
  <c r="E1266" i="21"/>
  <c r="E1267" i="21"/>
  <c r="E1268" i="21"/>
  <c r="E1269" i="21"/>
  <c r="E1270" i="21"/>
  <c r="E1271" i="21"/>
  <c r="E1272" i="21"/>
  <c r="E1273" i="21"/>
  <c r="E1274" i="21"/>
  <c r="E1275" i="21"/>
  <c r="E1276" i="21"/>
  <c r="E1277" i="21"/>
  <c r="E1278" i="21"/>
  <c r="E1279" i="21"/>
  <c r="E1280" i="21"/>
  <c r="E1281" i="21"/>
  <c r="E1282" i="21"/>
  <c r="E1283" i="21"/>
  <c r="E1284" i="21"/>
  <c r="E1285" i="21"/>
  <c r="E1286" i="21"/>
  <c r="E1287" i="21"/>
  <c r="E1288" i="21"/>
  <c r="E1289" i="21"/>
  <c r="E1290" i="21"/>
  <c r="E1291" i="21"/>
  <c r="E1292" i="21"/>
  <c r="E1293" i="21"/>
  <c r="E1294" i="21"/>
  <c r="E1295" i="21"/>
  <c r="E1296" i="21"/>
  <c r="E1297" i="21"/>
  <c r="E1298" i="21"/>
  <c r="E1299" i="21"/>
  <c r="E1300" i="21"/>
  <c r="E1301" i="21"/>
  <c r="E1302" i="21"/>
  <c r="E1303" i="21"/>
  <c r="E1304" i="21"/>
  <c r="E1305" i="21"/>
  <c r="E1306" i="21"/>
  <c r="E1307" i="21"/>
  <c r="E1308" i="21"/>
  <c r="E1309" i="21"/>
  <c r="E1310" i="21"/>
  <c r="E1311" i="21"/>
  <c r="E1312" i="21"/>
  <c r="E1313" i="21"/>
  <c r="E1314" i="21"/>
  <c r="E1315" i="21"/>
  <c r="E1316" i="21"/>
  <c r="E1317" i="21"/>
  <c r="E1318" i="21"/>
  <c r="E1319" i="21"/>
  <c r="E1320" i="21"/>
  <c r="E1321" i="21"/>
  <c r="E1322" i="21"/>
  <c r="E1323" i="21"/>
  <c r="E1324" i="21"/>
  <c r="E1325" i="21"/>
  <c r="E1326" i="21"/>
  <c r="E1327" i="21"/>
  <c r="E1328" i="21"/>
  <c r="E1329" i="21"/>
  <c r="E1330" i="21"/>
  <c r="E1331" i="21"/>
  <c r="E1332" i="21"/>
  <c r="E1333" i="21"/>
  <c r="E1334" i="21"/>
  <c r="E1335" i="21"/>
  <c r="E1336" i="21"/>
  <c r="E1337" i="21"/>
  <c r="E1338" i="21"/>
  <c r="E1339" i="21"/>
  <c r="E1340" i="21"/>
  <c r="E1341" i="21"/>
  <c r="E1342" i="21"/>
  <c r="E1343" i="21"/>
  <c r="E1344" i="21"/>
  <c r="E1345" i="21"/>
  <c r="E1346" i="21"/>
  <c r="E1347" i="21"/>
  <c r="E1348" i="21"/>
  <c r="E1349" i="21"/>
  <c r="E1350" i="21"/>
  <c r="E1351" i="21"/>
  <c r="E1352" i="21"/>
  <c r="E1353" i="21"/>
  <c r="E1354" i="21"/>
  <c r="E1355" i="21"/>
  <c r="E1356" i="21"/>
  <c r="E1357" i="21"/>
  <c r="E1358" i="21"/>
  <c r="E1359" i="21"/>
  <c r="E1360" i="21"/>
  <c r="E1361" i="21"/>
  <c r="E1362" i="21"/>
  <c r="E1363" i="21"/>
  <c r="E1364" i="21"/>
  <c r="E1365" i="21"/>
  <c r="E1366" i="21"/>
  <c r="E1367" i="21"/>
  <c r="E1368" i="21"/>
  <c r="E1369" i="21"/>
  <c r="E1370" i="21"/>
  <c r="E1371" i="21"/>
  <c r="E1372" i="21"/>
  <c r="E1373" i="21"/>
  <c r="E1374" i="21"/>
  <c r="E1375" i="21"/>
  <c r="E1376" i="21"/>
  <c r="E1377" i="21"/>
  <c r="E1378" i="21"/>
  <c r="E1379" i="21"/>
  <c r="E1380" i="21"/>
  <c r="E1381" i="21"/>
  <c r="E1382" i="21"/>
  <c r="E1383" i="21"/>
  <c r="E1384" i="21"/>
  <c r="E1385" i="21"/>
  <c r="E1386" i="21"/>
  <c r="E1387" i="21"/>
  <c r="E1388" i="21"/>
  <c r="E1389" i="21"/>
  <c r="E1390" i="21"/>
  <c r="E1391" i="21"/>
  <c r="E1392" i="21"/>
  <c r="E1393" i="21"/>
  <c r="E1394" i="21"/>
  <c r="E1395" i="21"/>
  <c r="E1396" i="21"/>
  <c r="E1397" i="21"/>
  <c r="E1398" i="21"/>
  <c r="E1399" i="21"/>
  <c r="E1400" i="21"/>
  <c r="E1401" i="21"/>
  <c r="E1402" i="21"/>
  <c r="E1403" i="21"/>
  <c r="E1404" i="21"/>
  <c r="E1405" i="21"/>
  <c r="E1406" i="21"/>
  <c r="E1407" i="21"/>
  <c r="E1408" i="21"/>
  <c r="E1409" i="21"/>
  <c r="E1410" i="21"/>
  <c r="E1411" i="21"/>
  <c r="E1412" i="21"/>
  <c r="E1413" i="21"/>
  <c r="E1414" i="21"/>
  <c r="E1415" i="21"/>
  <c r="E1416" i="21"/>
  <c r="E1417" i="21"/>
  <c r="E1418" i="21"/>
  <c r="E1419" i="21"/>
  <c r="E1420" i="21"/>
  <c r="E1421" i="21"/>
  <c r="E1422" i="21"/>
  <c r="E1423" i="21"/>
  <c r="E1424" i="21"/>
  <c r="E1425" i="21"/>
  <c r="E1426" i="21"/>
  <c r="E1427" i="21"/>
  <c r="E1428" i="21"/>
  <c r="E1429" i="21"/>
  <c r="E1430" i="21"/>
  <c r="E1431" i="21"/>
  <c r="E1432" i="21"/>
  <c r="E1433" i="21"/>
  <c r="E1434" i="21"/>
  <c r="E1435" i="21"/>
  <c r="E1436" i="21"/>
  <c r="E1437" i="21"/>
  <c r="E1438" i="21"/>
  <c r="E1439" i="21"/>
  <c r="E1440" i="21"/>
  <c r="E1441" i="21"/>
  <c r="E1442" i="21"/>
  <c r="E1443" i="21"/>
  <c r="E1444" i="21"/>
  <c r="E1445" i="21"/>
  <c r="E1446" i="21"/>
  <c r="E1447" i="21"/>
  <c r="E1448" i="21"/>
  <c r="E1449" i="21"/>
  <c r="E1450" i="21"/>
  <c r="E1451" i="21"/>
  <c r="E1452" i="21"/>
  <c r="E1453" i="21"/>
  <c r="E1454" i="21"/>
  <c r="E1455" i="21"/>
  <c r="E1456" i="21"/>
  <c r="E1457" i="21"/>
  <c r="E1458" i="21"/>
  <c r="E1459" i="21"/>
  <c r="E1460" i="21"/>
  <c r="E1461" i="21"/>
  <c r="E1462" i="21"/>
  <c r="E1463" i="21"/>
  <c r="E1464" i="21"/>
  <c r="E1465" i="21"/>
  <c r="E1466" i="21"/>
  <c r="E1467" i="21"/>
  <c r="E1468" i="21"/>
  <c r="E1469" i="21"/>
  <c r="E1470" i="21"/>
  <c r="E1471" i="21"/>
  <c r="E1472" i="21"/>
  <c r="E1473" i="21"/>
  <c r="E1474" i="21"/>
  <c r="E1475" i="21"/>
  <c r="E1476" i="21"/>
  <c r="E1477" i="21"/>
  <c r="E1478" i="21"/>
  <c r="E1479" i="21"/>
  <c r="E1480" i="21"/>
  <c r="E1481" i="21"/>
  <c r="E1482" i="21"/>
  <c r="E1483" i="21"/>
  <c r="E1484" i="21"/>
  <c r="E1485" i="21"/>
  <c r="E1486" i="21"/>
  <c r="E1487" i="21"/>
  <c r="E1488" i="21"/>
  <c r="E1489" i="21"/>
  <c r="E1490" i="21"/>
  <c r="E1491" i="21"/>
  <c r="E1492" i="21"/>
  <c r="E1493" i="21"/>
  <c r="E1494" i="21"/>
  <c r="E1495" i="21"/>
  <c r="E1496" i="21"/>
  <c r="E1497" i="21"/>
  <c r="E1498" i="21"/>
  <c r="E1499" i="21"/>
  <c r="E1500" i="21"/>
  <c r="E1501" i="21"/>
  <c r="E1502" i="21"/>
  <c r="E1503" i="21"/>
  <c r="E1504" i="21"/>
  <c r="E1505" i="21"/>
  <c r="E1506" i="21"/>
  <c r="E1507" i="21"/>
  <c r="E1508" i="21"/>
  <c r="E1509" i="21"/>
  <c r="E1510" i="21"/>
  <c r="E1511" i="21"/>
  <c r="E1512" i="21"/>
  <c r="E1513" i="21"/>
  <c r="E1514" i="21"/>
  <c r="E1515" i="21"/>
  <c r="E1516" i="21"/>
  <c r="E1517" i="21"/>
  <c r="E1518" i="21"/>
  <c r="E1519" i="21"/>
  <c r="E1520" i="21"/>
  <c r="E1521" i="21"/>
  <c r="E1522" i="21"/>
  <c r="E1523" i="21"/>
  <c r="E1524" i="21"/>
  <c r="E1525" i="21"/>
  <c r="E1526" i="21"/>
  <c r="E1527" i="21"/>
  <c r="E1528" i="21"/>
  <c r="E1529" i="21"/>
  <c r="E1530" i="21"/>
  <c r="E1531" i="21"/>
  <c r="E1532" i="21"/>
  <c r="E1533" i="21"/>
  <c r="E1534" i="21"/>
  <c r="E1535" i="21"/>
  <c r="E1536" i="21"/>
  <c r="E1537" i="21"/>
  <c r="E1538" i="21"/>
  <c r="E1539" i="21"/>
  <c r="E1540" i="21"/>
  <c r="E1541" i="21"/>
  <c r="E1542" i="21"/>
  <c r="E1543" i="21"/>
  <c r="E1544" i="21"/>
  <c r="E1545" i="21"/>
  <c r="E1546" i="21"/>
  <c r="E1547" i="21"/>
  <c r="E1548" i="21"/>
  <c r="E1549" i="21"/>
  <c r="E1550" i="21"/>
  <c r="E1551" i="21"/>
  <c r="E1552" i="21"/>
  <c r="E1553" i="21"/>
  <c r="E1554" i="21"/>
  <c r="E1555" i="21"/>
  <c r="E1556" i="21"/>
  <c r="E1557" i="21"/>
  <c r="E1558" i="21"/>
  <c r="E1559" i="21"/>
  <c r="E1560" i="21"/>
  <c r="E1561" i="21"/>
  <c r="E1562" i="21"/>
  <c r="E1563" i="21"/>
  <c r="E1564" i="21"/>
  <c r="E1565" i="21"/>
  <c r="E1566" i="21"/>
  <c r="E1567" i="21"/>
  <c r="E1568" i="21"/>
  <c r="E1569" i="21"/>
  <c r="E1570" i="21"/>
  <c r="E1571" i="21"/>
  <c r="E1572" i="21"/>
  <c r="E1573" i="21"/>
  <c r="E1574" i="21"/>
  <c r="E1575" i="21"/>
  <c r="E1576" i="21"/>
  <c r="E1577" i="21"/>
  <c r="E1578" i="21"/>
  <c r="E1579" i="21"/>
  <c r="E1580" i="21"/>
  <c r="E1581" i="21"/>
  <c r="E1582" i="21"/>
  <c r="E1583" i="21"/>
  <c r="E1584" i="21"/>
  <c r="E1585" i="21"/>
  <c r="E1586" i="21"/>
  <c r="E1587" i="21"/>
  <c r="E1588" i="21"/>
  <c r="E1589" i="21"/>
  <c r="E1590" i="21"/>
  <c r="E1591" i="21"/>
  <c r="E1592" i="21"/>
  <c r="E1593" i="21"/>
  <c r="E1594" i="21"/>
  <c r="E1595" i="21"/>
  <c r="E1596" i="21"/>
  <c r="E1597" i="21"/>
  <c r="E1598" i="21"/>
  <c r="E1599" i="21"/>
  <c r="E1600" i="21"/>
  <c r="E1601" i="21"/>
  <c r="E1602" i="21"/>
  <c r="E1603" i="21"/>
  <c r="E1604" i="21"/>
  <c r="E1605" i="21"/>
  <c r="E1606" i="21"/>
  <c r="E1607" i="21"/>
  <c r="E1608" i="21"/>
  <c r="E1609" i="21"/>
  <c r="E1610" i="21"/>
  <c r="E1611" i="21"/>
  <c r="E1612" i="21"/>
  <c r="E1613" i="21"/>
  <c r="E1614" i="21"/>
  <c r="E1615" i="21"/>
  <c r="E1616" i="21"/>
  <c r="E1617" i="21"/>
  <c r="E1618" i="21"/>
  <c r="E1619" i="21"/>
  <c r="E1620" i="21"/>
  <c r="E1621" i="21"/>
  <c r="E1622" i="21"/>
  <c r="E1623" i="21"/>
  <c r="E1624" i="21"/>
  <c r="E1625" i="21"/>
  <c r="E1626" i="21"/>
  <c r="E1627" i="21"/>
  <c r="E1628" i="21"/>
  <c r="E1629" i="21"/>
  <c r="N45" i="6"/>
  <c r="M45" i="6"/>
  <c r="M45" i="23" s="1"/>
  <c r="L45" i="6"/>
  <c r="F45" i="12" s="1"/>
  <c r="K45" i="6"/>
  <c r="P45" i="23" s="1"/>
  <c r="J45" i="6"/>
  <c r="J45" i="23" s="1"/>
  <c r="I45" i="6"/>
  <c r="G45" i="6"/>
  <c r="F45" i="6"/>
  <c r="E45" i="6"/>
  <c r="E45" i="9" s="1"/>
  <c r="N44" i="6"/>
  <c r="N43" i="6"/>
  <c r="M44" i="6"/>
  <c r="M44" i="23" s="1"/>
  <c r="M43" i="6"/>
  <c r="M43" i="23" s="1"/>
  <c r="L44" i="6"/>
  <c r="F44" i="12" s="1"/>
  <c r="L43" i="6"/>
  <c r="F43" i="12" s="1"/>
  <c r="K43" i="6"/>
  <c r="P43" i="23" s="1"/>
  <c r="K44" i="6"/>
  <c r="P44" i="23" s="1"/>
  <c r="J44" i="6"/>
  <c r="J44" i="23" s="1"/>
  <c r="J43" i="6"/>
  <c r="J43" i="23" s="1"/>
  <c r="I44" i="6"/>
  <c r="I43" i="6"/>
  <c r="G44" i="6"/>
  <c r="G43" i="6"/>
  <c r="F43" i="6"/>
  <c r="F44" i="6"/>
  <c r="E43" i="6"/>
  <c r="E43" i="9" s="1"/>
  <c r="E44" i="6"/>
  <c r="E44" i="9" s="1"/>
  <c r="N34" i="6"/>
  <c r="M34" i="6"/>
  <c r="M34" i="23" s="1"/>
  <c r="L34" i="6"/>
  <c r="F34" i="12" s="1"/>
  <c r="K34" i="6"/>
  <c r="P34" i="23" s="1"/>
  <c r="J34" i="6"/>
  <c r="J34" i="23" s="1"/>
  <c r="I34" i="6"/>
  <c r="H34" i="6"/>
  <c r="G34" i="6"/>
  <c r="F34" i="6"/>
  <c r="E34" i="6"/>
  <c r="E34" i="9" s="1"/>
  <c r="N33" i="6"/>
  <c r="M33" i="6"/>
  <c r="M33" i="23" s="1"/>
  <c r="L33" i="6"/>
  <c r="F33" i="12" s="1"/>
  <c r="K33" i="6"/>
  <c r="P33" i="23" s="1"/>
  <c r="J33" i="6"/>
  <c r="J33" i="23" s="1"/>
  <c r="I33" i="6"/>
  <c r="H33" i="6"/>
  <c r="G33" i="6"/>
  <c r="F33" i="6"/>
  <c r="E33" i="6"/>
  <c r="E33" i="9" s="1"/>
  <c r="N32" i="6"/>
  <c r="M32" i="6"/>
  <c r="M32" i="23" s="1"/>
  <c r="L32" i="6"/>
  <c r="F32" i="12" s="1"/>
  <c r="K32" i="6"/>
  <c r="P32" i="23" s="1"/>
  <c r="J32" i="6"/>
  <c r="J32" i="23" s="1"/>
  <c r="I32" i="6"/>
  <c r="H32" i="6"/>
  <c r="G32" i="6"/>
  <c r="F32" i="6"/>
  <c r="E32" i="6"/>
  <c r="E32" i="9" s="1"/>
  <c r="N31" i="6"/>
  <c r="M31" i="6"/>
  <c r="M31" i="23" s="1"/>
  <c r="L31" i="6"/>
  <c r="F31" i="12" s="1"/>
  <c r="K31" i="6"/>
  <c r="P31" i="23" s="1"/>
  <c r="J31" i="6"/>
  <c r="J31" i="23" s="1"/>
  <c r="I31" i="6"/>
  <c r="H31" i="6"/>
  <c r="G31" i="6"/>
  <c r="F31" i="6"/>
  <c r="E31" i="6"/>
  <c r="E31" i="9" s="1"/>
  <c r="N30" i="6"/>
  <c r="M30" i="6"/>
  <c r="M30" i="23" s="1"/>
  <c r="L30" i="6"/>
  <c r="F30" i="12" s="1"/>
  <c r="K30" i="6"/>
  <c r="P30" i="23" s="1"/>
  <c r="J30" i="6"/>
  <c r="J30" i="23" s="1"/>
  <c r="I30" i="6"/>
  <c r="H30" i="6"/>
  <c r="G30" i="6"/>
  <c r="F30" i="6"/>
  <c r="E30" i="6"/>
  <c r="E30" i="9" s="1"/>
  <c r="N29" i="6"/>
  <c r="M29" i="6"/>
  <c r="M29" i="23" s="1"/>
  <c r="L29" i="6"/>
  <c r="F29" i="12" s="1"/>
  <c r="K29" i="6"/>
  <c r="P29" i="23" s="1"/>
  <c r="J29" i="6"/>
  <c r="J29" i="23" s="1"/>
  <c r="I29" i="6"/>
  <c r="H29" i="6"/>
  <c r="G29" i="6"/>
  <c r="F29" i="6"/>
  <c r="E29" i="6"/>
  <c r="E29" i="9" s="1"/>
  <c r="N28" i="6"/>
  <c r="M28" i="6"/>
  <c r="M28" i="23" s="1"/>
  <c r="L28" i="6"/>
  <c r="F28" i="12" s="1"/>
  <c r="K28" i="6"/>
  <c r="P28" i="23" s="1"/>
  <c r="J28" i="6"/>
  <c r="J28" i="23" s="1"/>
  <c r="I28" i="6"/>
  <c r="H28" i="6"/>
  <c r="G28" i="6"/>
  <c r="F28" i="6"/>
  <c r="E28" i="6"/>
  <c r="E28" i="9" s="1"/>
  <c r="N27" i="6"/>
  <c r="M27" i="6"/>
  <c r="M27" i="23" s="1"/>
  <c r="L27" i="6"/>
  <c r="F27" i="12" s="1"/>
  <c r="K27" i="6"/>
  <c r="P27" i="23" s="1"/>
  <c r="J27" i="6"/>
  <c r="J27" i="23" s="1"/>
  <c r="I27" i="6"/>
  <c r="H27" i="6"/>
  <c r="G27" i="6"/>
  <c r="F27" i="6"/>
  <c r="E27" i="6"/>
  <c r="E27" i="9" s="1"/>
  <c r="N26" i="6"/>
  <c r="M26" i="6"/>
  <c r="M26" i="23" s="1"/>
  <c r="L26" i="6"/>
  <c r="F26" i="12" s="1"/>
  <c r="K26" i="6"/>
  <c r="P26" i="23" s="1"/>
  <c r="J26" i="6"/>
  <c r="J26" i="23" s="1"/>
  <c r="I26" i="6"/>
  <c r="H26" i="6"/>
  <c r="G26" i="6"/>
  <c r="F26" i="6"/>
  <c r="E26" i="6"/>
  <c r="E26" i="9" s="1"/>
  <c r="N25" i="6"/>
  <c r="M25" i="6"/>
  <c r="M25" i="23" s="1"/>
  <c r="L24" i="6"/>
  <c r="F24" i="12" s="1"/>
  <c r="L25" i="6"/>
  <c r="F25" i="12" s="1"/>
  <c r="K25" i="6"/>
  <c r="P25" i="23" s="1"/>
  <c r="J25" i="6"/>
  <c r="J25" i="23" s="1"/>
  <c r="I25" i="6"/>
  <c r="H25" i="6"/>
  <c r="G25" i="6"/>
  <c r="F25" i="6"/>
  <c r="E25" i="6"/>
  <c r="E25" i="9" s="1"/>
  <c r="N111" i="6"/>
  <c r="M111" i="6"/>
  <c r="M111" i="23" s="1"/>
  <c r="L111" i="6"/>
  <c r="F111" i="12" s="1"/>
  <c r="K111" i="6"/>
  <c r="P111" i="23" s="1"/>
  <c r="J111" i="6"/>
  <c r="J111" i="23" s="1"/>
  <c r="I111" i="6"/>
  <c r="Q111" i="23" s="1"/>
  <c r="H111" i="6"/>
  <c r="G111" i="6"/>
  <c r="F111" i="6"/>
  <c r="E111" i="6"/>
  <c r="E111" i="9" s="1"/>
  <c r="N110" i="6"/>
  <c r="M110" i="6"/>
  <c r="M110" i="23" s="1"/>
  <c r="L110" i="6"/>
  <c r="F110" i="12" s="1"/>
  <c r="K110" i="6"/>
  <c r="P110" i="23" s="1"/>
  <c r="J110" i="6"/>
  <c r="J110" i="23" s="1"/>
  <c r="I110" i="6"/>
  <c r="H110" i="6"/>
  <c r="G110" i="6"/>
  <c r="F110" i="6"/>
  <c r="E110" i="6"/>
  <c r="E110" i="9" s="1"/>
  <c r="N109" i="6"/>
  <c r="M109" i="6"/>
  <c r="M109" i="23" s="1"/>
  <c r="L109" i="6"/>
  <c r="F109" i="12" s="1"/>
  <c r="K109" i="6"/>
  <c r="J109" i="6"/>
  <c r="J109" i="23" s="1"/>
  <c r="I109" i="6"/>
  <c r="H109" i="6"/>
  <c r="G109" i="6"/>
  <c r="F109" i="6"/>
  <c r="E109" i="6"/>
  <c r="E109" i="9" s="1"/>
  <c r="N108" i="6"/>
  <c r="M108" i="6"/>
  <c r="M108" i="23" s="1"/>
  <c r="L108" i="6"/>
  <c r="F108" i="12" s="1"/>
  <c r="K108" i="6"/>
  <c r="P108" i="23" s="1"/>
  <c r="J108" i="6"/>
  <c r="J108" i="23" s="1"/>
  <c r="I108" i="6"/>
  <c r="H108" i="6"/>
  <c r="G108" i="6"/>
  <c r="F108" i="6"/>
  <c r="E108" i="6"/>
  <c r="E108" i="9" s="1"/>
  <c r="N107" i="6"/>
  <c r="M107" i="6"/>
  <c r="M107" i="23" s="1"/>
  <c r="L107" i="6"/>
  <c r="F107" i="12" s="1"/>
  <c r="K107" i="6"/>
  <c r="P107" i="23" s="1"/>
  <c r="J107" i="6"/>
  <c r="J107" i="23" s="1"/>
  <c r="I107" i="6"/>
  <c r="Q107" i="23" s="1"/>
  <c r="H107" i="6"/>
  <c r="G107" i="6"/>
  <c r="F107" i="6"/>
  <c r="E107" i="6"/>
  <c r="E107" i="9" s="1"/>
  <c r="N106" i="6"/>
  <c r="M106" i="6"/>
  <c r="M106" i="23" s="1"/>
  <c r="L106" i="6"/>
  <c r="F106" i="12" s="1"/>
  <c r="K106" i="6"/>
  <c r="P106" i="23" s="1"/>
  <c r="J106" i="6"/>
  <c r="J106" i="23" s="1"/>
  <c r="I106" i="6"/>
  <c r="H106" i="6"/>
  <c r="G106" i="6"/>
  <c r="F106" i="6"/>
  <c r="E106" i="6"/>
  <c r="E106" i="9" s="1"/>
  <c r="N105" i="6"/>
  <c r="M105" i="6"/>
  <c r="M105" i="23" s="1"/>
  <c r="L105" i="6"/>
  <c r="F105" i="12" s="1"/>
  <c r="K105" i="6"/>
  <c r="J105" i="6"/>
  <c r="J105" i="23" s="1"/>
  <c r="I105" i="6"/>
  <c r="H105" i="6"/>
  <c r="G105" i="6"/>
  <c r="F105" i="6"/>
  <c r="E105" i="6"/>
  <c r="E105" i="9" s="1"/>
  <c r="E104" i="6"/>
  <c r="E104" i="9" s="1"/>
  <c r="F104" i="6"/>
  <c r="G104" i="6"/>
  <c r="H104" i="6"/>
  <c r="I104" i="6"/>
  <c r="J104" i="6"/>
  <c r="J104" i="23" s="1"/>
  <c r="K104" i="6"/>
  <c r="P104" i="23" s="1"/>
  <c r="L104" i="6"/>
  <c r="F104" i="12" s="1"/>
  <c r="M104" i="6"/>
  <c r="M104" i="23" s="1"/>
  <c r="N104" i="6"/>
  <c r="N103" i="6"/>
  <c r="M103" i="6"/>
  <c r="M103" i="23" s="1"/>
  <c r="L103" i="6"/>
  <c r="F103" i="12" s="1"/>
  <c r="K103" i="6"/>
  <c r="P103" i="23" s="1"/>
  <c r="J103" i="6"/>
  <c r="J103" i="23" s="1"/>
  <c r="I103" i="6"/>
  <c r="Q103" i="23" s="1"/>
  <c r="H103" i="6"/>
  <c r="G103" i="6"/>
  <c r="E103" i="6"/>
  <c r="E103" i="9" s="1"/>
  <c r="F103" i="6"/>
  <c r="N102" i="6"/>
  <c r="M102" i="6"/>
  <c r="M102" i="23" s="1"/>
  <c r="L102" i="6"/>
  <c r="F102" i="12" s="1"/>
  <c r="L101" i="6"/>
  <c r="F101" i="12" s="1"/>
  <c r="K102" i="6"/>
  <c r="P102" i="23" s="1"/>
  <c r="J102" i="6"/>
  <c r="J102" i="23" s="1"/>
  <c r="I102" i="6"/>
  <c r="H102" i="6"/>
  <c r="G102" i="6"/>
  <c r="F102" i="6"/>
  <c r="E102" i="6"/>
  <c r="E102" i="9" s="1"/>
  <c r="N100" i="6"/>
  <c r="M100" i="6"/>
  <c r="M100" i="23" s="1"/>
  <c r="L100" i="6"/>
  <c r="F100" i="12" s="1"/>
  <c r="K100" i="6"/>
  <c r="P100" i="23" s="1"/>
  <c r="J100" i="6"/>
  <c r="J100" i="23" s="1"/>
  <c r="I100" i="6"/>
  <c r="H100" i="6"/>
  <c r="G100" i="6"/>
  <c r="F100" i="6"/>
  <c r="E100" i="6"/>
  <c r="E100" i="9" s="1"/>
  <c r="N99" i="6"/>
  <c r="M99" i="6"/>
  <c r="M99" i="23" s="1"/>
  <c r="L99" i="6"/>
  <c r="F99" i="12" s="1"/>
  <c r="K99" i="6"/>
  <c r="P99" i="23" s="1"/>
  <c r="J99" i="6"/>
  <c r="J99" i="23" s="1"/>
  <c r="I99" i="6"/>
  <c r="Q99" i="23" s="1"/>
  <c r="H99" i="6"/>
  <c r="G99" i="6"/>
  <c r="F99" i="6"/>
  <c r="E99" i="6"/>
  <c r="E99" i="9" s="1"/>
  <c r="N98" i="6"/>
  <c r="M98" i="6"/>
  <c r="M98" i="23" s="1"/>
  <c r="L98" i="6"/>
  <c r="F98" i="12" s="1"/>
  <c r="K98" i="6"/>
  <c r="P98" i="23" s="1"/>
  <c r="J98" i="6"/>
  <c r="J98" i="23" s="1"/>
  <c r="I98" i="6"/>
  <c r="H98" i="6"/>
  <c r="G98" i="6"/>
  <c r="F98" i="6"/>
  <c r="E98" i="6"/>
  <c r="E98" i="9" s="1"/>
  <c r="N97" i="6"/>
  <c r="M97" i="6"/>
  <c r="M97" i="23" s="1"/>
  <c r="L97" i="6"/>
  <c r="F97" i="12" s="1"/>
  <c r="K97" i="6"/>
  <c r="P97" i="23" s="1"/>
  <c r="J97" i="6"/>
  <c r="J97" i="23" s="1"/>
  <c r="I97" i="6"/>
  <c r="H97" i="6"/>
  <c r="G97" i="6"/>
  <c r="F97" i="6"/>
  <c r="E97" i="6"/>
  <c r="E97" i="9" s="1"/>
  <c r="N96" i="6"/>
  <c r="M96" i="6"/>
  <c r="M96" i="23" s="1"/>
  <c r="L96" i="6"/>
  <c r="F96" i="12" s="1"/>
  <c r="K96" i="6"/>
  <c r="P96" i="23" s="1"/>
  <c r="J96" i="6"/>
  <c r="J96" i="23" s="1"/>
  <c r="I96" i="6"/>
  <c r="H96" i="6"/>
  <c r="G96" i="6"/>
  <c r="F96" i="6"/>
  <c r="E96" i="6"/>
  <c r="E96" i="9" s="1"/>
  <c r="L95" i="6"/>
  <c r="F95" i="12" s="1"/>
  <c r="N89" i="6"/>
  <c r="M89" i="6"/>
  <c r="M89" i="23" s="1"/>
  <c r="L89" i="6"/>
  <c r="F89" i="12" s="1"/>
  <c r="K89" i="6"/>
  <c r="P89" i="23" s="1"/>
  <c r="J89" i="6"/>
  <c r="J89" i="23" s="1"/>
  <c r="I89" i="6"/>
  <c r="Q89" i="23" s="1"/>
  <c r="H89" i="6"/>
  <c r="G89" i="6"/>
  <c r="F89" i="6"/>
  <c r="E89" i="6"/>
  <c r="E89" i="9" s="1"/>
  <c r="N88" i="6"/>
  <c r="M88" i="6"/>
  <c r="M88" i="23" s="1"/>
  <c r="L88" i="6"/>
  <c r="F88" i="12" s="1"/>
  <c r="K88" i="6"/>
  <c r="P88" i="23" s="1"/>
  <c r="J88" i="6"/>
  <c r="J88" i="23" s="1"/>
  <c r="I88" i="6"/>
  <c r="H88" i="6"/>
  <c r="G88" i="6"/>
  <c r="F88" i="6"/>
  <c r="E88" i="6"/>
  <c r="E88" i="9" s="1"/>
  <c r="N87" i="6"/>
  <c r="M87" i="6"/>
  <c r="M87" i="23" s="1"/>
  <c r="L87" i="6"/>
  <c r="F87" i="12" s="1"/>
  <c r="K87" i="6"/>
  <c r="P87" i="23" s="1"/>
  <c r="J87" i="6"/>
  <c r="J87" i="23" s="1"/>
  <c r="I87" i="6"/>
  <c r="H87" i="6"/>
  <c r="G87" i="6"/>
  <c r="F87" i="6"/>
  <c r="E87" i="6"/>
  <c r="E87" i="9" s="1"/>
  <c r="N86" i="6"/>
  <c r="M86" i="6"/>
  <c r="M86" i="23" s="1"/>
  <c r="L86" i="6"/>
  <c r="F86" i="12" s="1"/>
  <c r="K86" i="6"/>
  <c r="P86" i="23" s="1"/>
  <c r="J86" i="6"/>
  <c r="J86" i="23" s="1"/>
  <c r="I86" i="6"/>
  <c r="H86" i="6"/>
  <c r="G86" i="6"/>
  <c r="F86" i="6"/>
  <c r="E86" i="6"/>
  <c r="E86" i="9" s="1"/>
  <c r="N85" i="6"/>
  <c r="M85" i="6"/>
  <c r="M85" i="23" s="1"/>
  <c r="L85" i="6"/>
  <c r="F85" i="12" s="1"/>
  <c r="K85" i="6"/>
  <c r="P85" i="23" s="1"/>
  <c r="J85" i="6"/>
  <c r="J85" i="23" s="1"/>
  <c r="I85" i="6"/>
  <c r="Q85" i="23" s="1"/>
  <c r="H85" i="6"/>
  <c r="G85" i="6"/>
  <c r="F85" i="6"/>
  <c r="E85" i="6"/>
  <c r="E85" i="9" s="1"/>
  <c r="N84" i="6"/>
  <c r="M84" i="6"/>
  <c r="M84" i="23" s="1"/>
  <c r="L84" i="6"/>
  <c r="F84" i="12" s="1"/>
  <c r="K84" i="6"/>
  <c r="P84" i="23" s="1"/>
  <c r="J84" i="6"/>
  <c r="J84" i="23" s="1"/>
  <c r="I84" i="6"/>
  <c r="H84" i="6"/>
  <c r="G84" i="6"/>
  <c r="F84" i="6"/>
  <c r="E84" i="6"/>
  <c r="E84" i="9" s="1"/>
  <c r="N83" i="6"/>
  <c r="M83" i="6"/>
  <c r="M83" i="23" s="1"/>
  <c r="L83" i="6"/>
  <c r="F83" i="12" s="1"/>
  <c r="K83" i="6"/>
  <c r="P83" i="23" s="1"/>
  <c r="J83" i="6"/>
  <c r="J83" i="23" s="1"/>
  <c r="I83" i="6"/>
  <c r="H83" i="6"/>
  <c r="G83" i="6"/>
  <c r="F83" i="6"/>
  <c r="E83" i="6"/>
  <c r="E83" i="9" s="1"/>
  <c r="N82" i="6"/>
  <c r="M82" i="6"/>
  <c r="M82" i="23" s="1"/>
  <c r="L82" i="6"/>
  <c r="F82" i="12" s="1"/>
  <c r="K82" i="6"/>
  <c r="P82" i="23" s="1"/>
  <c r="J82" i="6"/>
  <c r="J82" i="23" s="1"/>
  <c r="I82" i="6"/>
  <c r="H82" i="6"/>
  <c r="G82" i="6"/>
  <c r="F82" i="6"/>
  <c r="E82" i="6"/>
  <c r="E82" i="9" s="1"/>
  <c r="N81" i="6"/>
  <c r="M81" i="6"/>
  <c r="M81" i="23" s="1"/>
  <c r="L81" i="6"/>
  <c r="F81" i="12" s="1"/>
  <c r="K81" i="6"/>
  <c r="P81" i="23" s="1"/>
  <c r="J81" i="6"/>
  <c r="J81" i="23" s="1"/>
  <c r="I81" i="6"/>
  <c r="Q81" i="23" s="1"/>
  <c r="H81" i="6"/>
  <c r="G81" i="6"/>
  <c r="F81" i="6"/>
  <c r="E81" i="6"/>
  <c r="E81" i="9" s="1"/>
  <c r="N80" i="6"/>
  <c r="M80" i="6"/>
  <c r="M80" i="23" s="1"/>
  <c r="L79" i="6"/>
  <c r="F79" i="12" s="1"/>
  <c r="L80" i="6"/>
  <c r="F80" i="12" s="1"/>
  <c r="K80" i="6"/>
  <c r="P80" i="23" s="1"/>
  <c r="J80" i="6"/>
  <c r="J80" i="23" s="1"/>
  <c r="I80" i="6"/>
  <c r="H80" i="6"/>
  <c r="G80" i="6"/>
  <c r="F80" i="6"/>
  <c r="E80" i="6"/>
  <c r="E80" i="9" s="1"/>
  <c r="N78" i="6"/>
  <c r="M78" i="6"/>
  <c r="M78" i="23" s="1"/>
  <c r="L78" i="6"/>
  <c r="F78" i="12" s="1"/>
  <c r="K78" i="6"/>
  <c r="P78" i="23" s="1"/>
  <c r="J78" i="6"/>
  <c r="J78" i="23" s="1"/>
  <c r="I78" i="6"/>
  <c r="H78" i="6"/>
  <c r="G78" i="6"/>
  <c r="F78" i="6"/>
  <c r="E78" i="6"/>
  <c r="E78" i="9" s="1"/>
  <c r="N77" i="6"/>
  <c r="M77" i="6"/>
  <c r="M77" i="23" s="1"/>
  <c r="L77" i="6"/>
  <c r="F77" i="12" s="1"/>
  <c r="K77" i="6"/>
  <c r="P77" i="23" s="1"/>
  <c r="J77" i="6"/>
  <c r="J77" i="23" s="1"/>
  <c r="I77" i="6"/>
  <c r="Q77" i="23" s="1"/>
  <c r="H77" i="6"/>
  <c r="G77" i="6"/>
  <c r="F77" i="6"/>
  <c r="E77" i="6"/>
  <c r="E77" i="9" s="1"/>
  <c r="N76" i="6"/>
  <c r="M76" i="6"/>
  <c r="M76" i="23" s="1"/>
  <c r="L76" i="6"/>
  <c r="F76" i="12" s="1"/>
  <c r="K76" i="6"/>
  <c r="P76" i="23" s="1"/>
  <c r="J76" i="6"/>
  <c r="J76" i="23" s="1"/>
  <c r="I76" i="6"/>
  <c r="H76" i="6"/>
  <c r="G76" i="6"/>
  <c r="F76" i="6"/>
  <c r="E76" i="6"/>
  <c r="E76" i="9" s="1"/>
  <c r="N75" i="6"/>
  <c r="M75" i="6"/>
  <c r="M75" i="23" s="1"/>
  <c r="L75" i="6"/>
  <c r="F75" i="12" s="1"/>
  <c r="K75" i="6"/>
  <c r="P75" i="23" s="1"/>
  <c r="J75" i="6"/>
  <c r="J75" i="23" s="1"/>
  <c r="I75" i="6"/>
  <c r="H75" i="6"/>
  <c r="G75" i="6"/>
  <c r="F75" i="6"/>
  <c r="E75" i="6"/>
  <c r="E75" i="9" s="1"/>
  <c r="N74" i="6"/>
  <c r="M74" i="6"/>
  <c r="M74" i="23" s="1"/>
  <c r="L74" i="6"/>
  <c r="F74" i="12" s="1"/>
  <c r="K74" i="6"/>
  <c r="P74" i="23" s="1"/>
  <c r="J74" i="6"/>
  <c r="J74" i="23" s="1"/>
  <c r="I74" i="6"/>
  <c r="H74" i="6"/>
  <c r="G74" i="6"/>
  <c r="F74" i="6"/>
  <c r="E74" i="6"/>
  <c r="E74" i="9" s="1"/>
  <c r="N73" i="6"/>
  <c r="M73" i="6"/>
  <c r="M73" i="23" s="1"/>
  <c r="L73" i="6"/>
  <c r="F73" i="12" s="1"/>
  <c r="K73" i="6"/>
  <c r="P73" i="23" s="1"/>
  <c r="J73" i="6"/>
  <c r="J73" i="23" s="1"/>
  <c r="I73" i="6"/>
  <c r="Q73" i="23" s="1"/>
  <c r="H73" i="6"/>
  <c r="G73" i="6"/>
  <c r="F73" i="6"/>
  <c r="E73" i="6"/>
  <c r="E73" i="9" s="1"/>
  <c r="N72" i="6"/>
  <c r="M72" i="6"/>
  <c r="M72" i="23" s="1"/>
  <c r="L72" i="6"/>
  <c r="F72" i="12" s="1"/>
  <c r="K72" i="6"/>
  <c r="P72" i="23" s="1"/>
  <c r="J72" i="6"/>
  <c r="J72" i="23" s="1"/>
  <c r="I72" i="6"/>
  <c r="H72" i="6"/>
  <c r="G72" i="6"/>
  <c r="F72" i="6"/>
  <c r="E72" i="6"/>
  <c r="E72" i="9" s="1"/>
  <c r="N71" i="6"/>
  <c r="M71" i="6"/>
  <c r="M71" i="23" s="1"/>
  <c r="L71" i="6"/>
  <c r="F71" i="12" s="1"/>
  <c r="K71" i="6"/>
  <c r="P71" i="23" s="1"/>
  <c r="J71" i="6"/>
  <c r="J71" i="23" s="1"/>
  <c r="I71" i="6"/>
  <c r="H71" i="6"/>
  <c r="G71" i="6"/>
  <c r="F71" i="6"/>
  <c r="E71" i="6"/>
  <c r="E71" i="9" s="1"/>
  <c r="N70" i="6"/>
  <c r="M70" i="6"/>
  <c r="M70" i="23" s="1"/>
  <c r="L70" i="6"/>
  <c r="F70" i="12" s="1"/>
  <c r="K70" i="6"/>
  <c r="P70" i="23" s="1"/>
  <c r="J70" i="6"/>
  <c r="J70" i="23" s="1"/>
  <c r="I70" i="6"/>
  <c r="H70" i="6"/>
  <c r="G70" i="6"/>
  <c r="F70" i="6"/>
  <c r="E70" i="6"/>
  <c r="E70" i="9" s="1"/>
  <c r="N69" i="6"/>
  <c r="M69" i="6"/>
  <c r="M69" i="23" s="1"/>
  <c r="L69" i="6"/>
  <c r="F69" i="12" s="1"/>
  <c r="L68" i="6"/>
  <c r="F68" i="12" s="1"/>
  <c r="K69" i="6"/>
  <c r="P69" i="23" s="1"/>
  <c r="J69" i="6"/>
  <c r="J69" i="23" s="1"/>
  <c r="I69" i="6"/>
  <c r="Q69" i="23" s="1"/>
  <c r="H69" i="6"/>
  <c r="G69" i="6"/>
  <c r="F69" i="6"/>
  <c r="E69" i="6"/>
  <c r="E69" i="9" s="1"/>
  <c r="M59" i="6"/>
  <c r="M59" i="23" s="1"/>
  <c r="N59" i="6"/>
  <c r="K59" i="6"/>
  <c r="P59" i="23" s="1"/>
  <c r="R59" i="23" s="1"/>
  <c r="Z53" i="31" s="1"/>
  <c r="J59" i="6"/>
  <c r="J59" i="23" s="1"/>
  <c r="I59" i="6"/>
  <c r="Q59" i="23" s="1"/>
  <c r="H59" i="6"/>
  <c r="G59" i="6"/>
  <c r="F59" i="6"/>
  <c r="E59" i="6"/>
  <c r="E59" i="9" s="1"/>
  <c r="N67" i="6"/>
  <c r="M67" i="6"/>
  <c r="M67" i="23" s="1"/>
  <c r="L67" i="6"/>
  <c r="F67" i="12" s="1"/>
  <c r="K67" i="6"/>
  <c r="P67" i="23" s="1"/>
  <c r="J67" i="6"/>
  <c r="J67" i="23" s="1"/>
  <c r="I67" i="6"/>
  <c r="Q67" i="23" s="1"/>
  <c r="H67" i="6"/>
  <c r="G67" i="6"/>
  <c r="F67" i="6"/>
  <c r="E67" i="6"/>
  <c r="E67" i="9" s="1"/>
  <c r="N66" i="6"/>
  <c r="M66" i="6"/>
  <c r="M66" i="23" s="1"/>
  <c r="L66" i="6"/>
  <c r="F66" i="12" s="1"/>
  <c r="K66" i="6"/>
  <c r="P66" i="23" s="1"/>
  <c r="J66" i="6"/>
  <c r="J66" i="23" s="1"/>
  <c r="I66" i="6"/>
  <c r="H66" i="6"/>
  <c r="G66" i="6"/>
  <c r="F66" i="6"/>
  <c r="E66" i="6"/>
  <c r="E66" i="9" s="1"/>
  <c r="N65" i="6"/>
  <c r="M65" i="6"/>
  <c r="M65" i="23" s="1"/>
  <c r="L65" i="6"/>
  <c r="F65" i="12" s="1"/>
  <c r="K65" i="6"/>
  <c r="P65" i="23" s="1"/>
  <c r="J65" i="6"/>
  <c r="J65" i="23" s="1"/>
  <c r="I65" i="6"/>
  <c r="H65" i="6"/>
  <c r="G65" i="6"/>
  <c r="F65" i="6"/>
  <c r="E65" i="6"/>
  <c r="E65" i="9" s="1"/>
  <c r="N64" i="6"/>
  <c r="M64" i="6"/>
  <c r="M64" i="23" s="1"/>
  <c r="L64" i="6"/>
  <c r="F64" i="12" s="1"/>
  <c r="K64" i="6"/>
  <c r="P64" i="23" s="1"/>
  <c r="J64" i="6"/>
  <c r="J64" i="23" s="1"/>
  <c r="I64" i="6"/>
  <c r="H64" i="6"/>
  <c r="G64" i="6"/>
  <c r="F64" i="6"/>
  <c r="E64" i="6"/>
  <c r="E64" i="9" s="1"/>
  <c r="N63" i="6"/>
  <c r="M63" i="6"/>
  <c r="M63" i="23" s="1"/>
  <c r="L63" i="6"/>
  <c r="F63" i="12" s="1"/>
  <c r="K63" i="6"/>
  <c r="P63" i="23" s="1"/>
  <c r="J63" i="6"/>
  <c r="J63" i="23" s="1"/>
  <c r="I63" i="6"/>
  <c r="Q63" i="23" s="1"/>
  <c r="H63" i="6"/>
  <c r="G63" i="6"/>
  <c r="F63" i="6"/>
  <c r="E63" i="6"/>
  <c r="E63" i="9" s="1"/>
  <c r="N62" i="6"/>
  <c r="M62" i="6"/>
  <c r="M62" i="23" s="1"/>
  <c r="L62" i="6"/>
  <c r="F62" i="12" s="1"/>
  <c r="K62" i="6"/>
  <c r="P62" i="23" s="1"/>
  <c r="J62" i="6"/>
  <c r="J62" i="23" s="1"/>
  <c r="I62" i="6"/>
  <c r="H62" i="6"/>
  <c r="G62" i="6"/>
  <c r="F62" i="6"/>
  <c r="E62" i="6"/>
  <c r="E62" i="9" s="1"/>
  <c r="N61" i="6"/>
  <c r="M61" i="6"/>
  <c r="M61" i="23" s="1"/>
  <c r="L61" i="6"/>
  <c r="F61" i="12" s="1"/>
  <c r="K61" i="6"/>
  <c r="P61" i="23" s="1"/>
  <c r="J61" i="6"/>
  <c r="J61" i="23" s="1"/>
  <c r="I61" i="6"/>
  <c r="H61" i="6"/>
  <c r="G61" i="6"/>
  <c r="F61" i="6"/>
  <c r="E61" i="6"/>
  <c r="E61" i="9" s="1"/>
  <c r="N60" i="6"/>
  <c r="M60" i="6"/>
  <c r="M60" i="23" s="1"/>
  <c r="L60" i="6"/>
  <c r="F60" i="12" s="1"/>
  <c r="L59" i="6"/>
  <c r="F59" i="12" s="1"/>
  <c r="K60" i="6"/>
  <c r="P60" i="23" s="1"/>
  <c r="J60" i="6"/>
  <c r="J60" i="23" s="1"/>
  <c r="I60" i="6"/>
  <c r="H60" i="6"/>
  <c r="G60" i="6"/>
  <c r="F60" i="6"/>
  <c r="E60" i="6"/>
  <c r="E60" i="9" s="1"/>
  <c r="E62" i="23" l="1"/>
  <c r="E62" i="8"/>
  <c r="F63" i="23"/>
  <c r="F63" i="8"/>
  <c r="E64" i="23"/>
  <c r="E64" i="8"/>
  <c r="F65" i="23"/>
  <c r="F65" i="8"/>
  <c r="E66" i="23"/>
  <c r="E66" i="8"/>
  <c r="F67" i="23"/>
  <c r="F67" i="8"/>
  <c r="E76" i="23"/>
  <c r="E76" i="8"/>
  <c r="F77" i="23"/>
  <c r="F77" i="8"/>
  <c r="E78" i="23"/>
  <c r="E78" i="8"/>
  <c r="F80" i="23"/>
  <c r="F80" i="8"/>
  <c r="H64" i="23"/>
  <c r="K64" i="23" s="1"/>
  <c r="N64" i="23" s="1"/>
  <c r="E64" i="20"/>
  <c r="U58" i="31" s="1"/>
  <c r="E65" i="10"/>
  <c r="Q65" i="23"/>
  <c r="E66" i="20"/>
  <c r="U60" i="31" s="1"/>
  <c r="H66" i="23"/>
  <c r="K66" i="23" s="1"/>
  <c r="N66" i="23" s="1"/>
  <c r="H59" i="23"/>
  <c r="K59" i="23" s="1"/>
  <c r="N59" i="23" s="1"/>
  <c r="E59" i="20"/>
  <c r="U53" i="31" s="1"/>
  <c r="E69" i="23"/>
  <c r="E69" i="8"/>
  <c r="H70" i="23"/>
  <c r="K70" i="23" s="1"/>
  <c r="N70" i="23" s="1"/>
  <c r="E70" i="20"/>
  <c r="U63" i="31" s="1"/>
  <c r="E71" i="10"/>
  <c r="Q71" i="23"/>
  <c r="H72" i="23"/>
  <c r="K72" i="23" s="1"/>
  <c r="N72" i="23" s="1"/>
  <c r="E72" i="20"/>
  <c r="U65" i="31" s="1"/>
  <c r="H74" i="23"/>
  <c r="K74" i="23" s="1"/>
  <c r="N74" i="23" s="1"/>
  <c r="E74" i="20"/>
  <c r="U67" i="31" s="1"/>
  <c r="E75" i="10"/>
  <c r="Q75" i="23"/>
  <c r="H76" i="23"/>
  <c r="K76" i="23" s="1"/>
  <c r="N76" i="23" s="1"/>
  <c r="E76" i="20"/>
  <c r="U69" i="31" s="1"/>
  <c r="E60" i="10"/>
  <c r="Q60" i="23"/>
  <c r="R60" i="23" s="1"/>
  <c r="Z54" i="31" s="1"/>
  <c r="E61" i="23"/>
  <c r="E61" i="8"/>
  <c r="F62" i="23"/>
  <c r="F62" i="8"/>
  <c r="E63" i="23"/>
  <c r="G63" i="23" s="1"/>
  <c r="E63" i="8"/>
  <c r="G63" i="8" s="1"/>
  <c r="E57" i="31" s="1"/>
  <c r="F64" i="23"/>
  <c r="F64" i="8"/>
  <c r="E65" i="23"/>
  <c r="G65" i="23" s="1"/>
  <c r="E65" i="8"/>
  <c r="G65" i="8" s="1"/>
  <c r="E59" i="31" s="1"/>
  <c r="F66" i="23"/>
  <c r="F66" i="8"/>
  <c r="E67" i="23"/>
  <c r="G67" i="23" s="1"/>
  <c r="E67" i="8"/>
  <c r="G67" i="8" s="1"/>
  <c r="E61" i="31" s="1"/>
  <c r="F59" i="23"/>
  <c r="F59" i="8"/>
  <c r="H69" i="23"/>
  <c r="K69" i="23" s="1"/>
  <c r="N69" i="23" s="1"/>
  <c r="O69" i="23" s="1"/>
  <c r="Y62" i="31" s="1"/>
  <c r="E69" i="20"/>
  <c r="U62" i="31" s="1"/>
  <c r="R69" i="23"/>
  <c r="Z62" i="31" s="1"/>
  <c r="F70" i="23"/>
  <c r="F70" i="8"/>
  <c r="E71" i="23"/>
  <c r="E71" i="8"/>
  <c r="F72" i="23"/>
  <c r="F72" i="8"/>
  <c r="E73" i="23"/>
  <c r="E73" i="8"/>
  <c r="F74" i="23"/>
  <c r="F74" i="8"/>
  <c r="E75" i="23"/>
  <c r="E75" i="8"/>
  <c r="F76" i="23"/>
  <c r="F76" i="8"/>
  <c r="E77" i="23"/>
  <c r="G77" i="23" s="1"/>
  <c r="E77" i="8"/>
  <c r="G77" i="8" s="1"/>
  <c r="E70" i="31" s="1"/>
  <c r="F78" i="23"/>
  <c r="F78" i="8"/>
  <c r="E80" i="23"/>
  <c r="G80" i="23" s="1"/>
  <c r="E80" i="8"/>
  <c r="G80" i="8" s="1"/>
  <c r="E72" i="31" s="1"/>
  <c r="H81" i="23"/>
  <c r="K81" i="23" s="1"/>
  <c r="N81" i="23" s="1"/>
  <c r="E81" i="20"/>
  <c r="U73" i="31" s="1"/>
  <c r="R81" i="23"/>
  <c r="Z73" i="31" s="1"/>
  <c r="E82" i="10"/>
  <c r="Q82" i="23"/>
  <c r="H83" i="23"/>
  <c r="K83" i="23" s="1"/>
  <c r="N83" i="23" s="1"/>
  <c r="E83" i="20"/>
  <c r="U75" i="31" s="1"/>
  <c r="E84" i="10"/>
  <c r="Q84" i="23"/>
  <c r="H85" i="23"/>
  <c r="K85" i="23" s="1"/>
  <c r="N85" i="23" s="1"/>
  <c r="E85" i="20"/>
  <c r="U77" i="31" s="1"/>
  <c r="R85" i="23"/>
  <c r="Z77" i="31" s="1"/>
  <c r="E86" i="10"/>
  <c r="Q86" i="23"/>
  <c r="H87" i="23"/>
  <c r="K87" i="23" s="1"/>
  <c r="N87" i="23" s="1"/>
  <c r="E87" i="20"/>
  <c r="U79" i="31" s="1"/>
  <c r="E88" i="10"/>
  <c r="Q88" i="23"/>
  <c r="H89" i="23"/>
  <c r="K89" i="23" s="1"/>
  <c r="N89" i="23" s="1"/>
  <c r="E89" i="20"/>
  <c r="U81" i="31" s="1"/>
  <c r="R89" i="23"/>
  <c r="Z81" i="31" s="1"/>
  <c r="F96" i="23"/>
  <c r="F96" i="8"/>
  <c r="E97" i="23"/>
  <c r="E97" i="8"/>
  <c r="F98" i="23"/>
  <c r="F98" i="8"/>
  <c r="E99" i="23"/>
  <c r="E99" i="8"/>
  <c r="F100" i="23"/>
  <c r="F100" i="8"/>
  <c r="E102" i="23"/>
  <c r="E102" i="8"/>
  <c r="H103" i="23"/>
  <c r="K103" i="23" s="1"/>
  <c r="N103" i="23" s="1"/>
  <c r="E103" i="20"/>
  <c r="U93" i="31" s="1"/>
  <c r="R103" i="23"/>
  <c r="Z93" i="31" s="1"/>
  <c r="E104" i="23"/>
  <c r="E104" i="8"/>
  <c r="H105" i="23"/>
  <c r="K105" i="23" s="1"/>
  <c r="N105" i="23" s="1"/>
  <c r="E105" i="20"/>
  <c r="U95" i="31" s="1"/>
  <c r="F105" i="11"/>
  <c r="P105" i="23"/>
  <c r="E106" i="10"/>
  <c r="Q106" i="23"/>
  <c r="H107" i="23"/>
  <c r="K107" i="23" s="1"/>
  <c r="N107" i="23" s="1"/>
  <c r="E107" i="20"/>
  <c r="U97" i="31" s="1"/>
  <c r="R107" i="23"/>
  <c r="Z97" i="31" s="1"/>
  <c r="E108" i="10"/>
  <c r="Q108" i="23"/>
  <c r="H109" i="23"/>
  <c r="K109" i="23" s="1"/>
  <c r="N109" i="23" s="1"/>
  <c r="E109" i="20"/>
  <c r="U99" i="31" s="1"/>
  <c r="F109" i="11"/>
  <c r="P109" i="23"/>
  <c r="E110" i="10"/>
  <c r="Q110" i="23"/>
  <c r="H111" i="23"/>
  <c r="K111" i="23" s="1"/>
  <c r="N111" i="23" s="1"/>
  <c r="E111" i="20"/>
  <c r="U101" i="31" s="1"/>
  <c r="R111" i="23"/>
  <c r="Z101" i="31" s="1"/>
  <c r="E25" i="10"/>
  <c r="Q25" i="23"/>
  <c r="E26" i="23"/>
  <c r="E26" i="8"/>
  <c r="F27" i="23"/>
  <c r="F27" i="8"/>
  <c r="E28" i="23"/>
  <c r="E28" i="8"/>
  <c r="F29" i="23"/>
  <c r="F29" i="8"/>
  <c r="E30" i="23"/>
  <c r="E30" i="8"/>
  <c r="F31" i="23"/>
  <c r="F31" i="8"/>
  <c r="E32" i="23"/>
  <c r="E32" i="8"/>
  <c r="F33" i="23"/>
  <c r="F33" i="8"/>
  <c r="E34" i="23"/>
  <c r="E34" i="8"/>
  <c r="E43" i="23"/>
  <c r="E43" i="8"/>
  <c r="E44" i="10"/>
  <c r="Q44" i="23"/>
  <c r="E45" i="23"/>
  <c r="E45" i="8"/>
  <c r="G24" i="12"/>
  <c r="F119" i="23"/>
  <c r="F119" i="8"/>
  <c r="E120" i="23"/>
  <c r="E120" i="8"/>
  <c r="F121" i="23"/>
  <c r="F121" i="8"/>
  <c r="E122" i="23"/>
  <c r="E122" i="8"/>
  <c r="G122" i="12"/>
  <c r="I111" i="31" s="1"/>
  <c r="F135" i="23"/>
  <c r="F135" i="8"/>
  <c r="H137" i="23"/>
  <c r="K137" i="23" s="1"/>
  <c r="N137" i="23" s="1"/>
  <c r="E137" i="20"/>
  <c r="U124" i="31" s="1"/>
  <c r="F137" i="11"/>
  <c r="P137" i="23"/>
  <c r="R137" i="23" s="1"/>
  <c r="Z124" i="31" s="1"/>
  <c r="H139" i="23"/>
  <c r="K139" i="23" s="1"/>
  <c r="N139" i="23" s="1"/>
  <c r="E139" i="20"/>
  <c r="U126" i="31" s="1"/>
  <c r="H141" i="23"/>
  <c r="K141" i="23" s="1"/>
  <c r="N141" i="23" s="1"/>
  <c r="E141" i="20"/>
  <c r="U128" i="31" s="1"/>
  <c r="F141" i="11"/>
  <c r="P141" i="23"/>
  <c r="R141" i="23" s="1"/>
  <c r="Z128" i="31" s="1"/>
  <c r="F143" i="23"/>
  <c r="F143" i="8"/>
  <c r="E144" i="23"/>
  <c r="E144" i="8"/>
  <c r="H155" i="23"/>
  <c r="K155" i="23" s="1"/>
  <c r="N155" i="23" s="1"/>
  <c r="E155" i="20"/>
  <c r="U141" i="31" s="1"/>
  <c r="F155" i="11"/>
  <c r="P155" i="23"/>
  <c r="R155" i="23" s="1"/>
  <c r="Z141" i="31" s="1"/>
  <c r="H160" i="23"/>
  <c r="K160" i="23" s="1"/>
  <c r="N160" i="23" s="1"/>
  <c r="E160" i="20"/>
  <c r="U145" i="31" s="1"/>
  <c r="H162" i="23"/>
  <c r="K162" i="23" s="1"/>
  <c r="N162" i="23" s="1"/>
  <c r="E162" i="20"/>
  <c r="U147" i="31" s="1"/>
  <c r="E163" i="23"/>
  <c r="E163" i="8"/>
  <c r="H164" i="23"/>
  <c r="K164" i="23" s="1"/>
  <c r="N164" i="23" s="1"/>
  <c r="E164" i="20"/>
  <c r="U149" i="31" s="1"/>
  <c r="H166" i="23"/>
  <c r="K166" i="23" s="1"/>
  <c r="N166" i="23" s="1"/>
  <c r="E166" i="20"/>
  <c r="U151" i="31" s="1"/>
  <c r="F95" i="10"/>
  <c r="H95" i="23"/>
  <c r="K95" i="23" s="1"/>
  <c r="N95" i="23" s="1"/>
  <c r="E95" i="20"/>
  <c r="U86" i="31" s="1"/>
  <c r="R95" i="23"/>
  <c r="Z86" i="31" s="1"/>
  <c r="E93" i="23"/>
  <c r="E93" i="8"/>
  <c r="G93" i="8" s="1"/>
  <c r="E84" i="31" s="1"/>
  <c r="F93" i="23"/>
  <c r="F93" i="8"/>
  <c r="E91" i="23"/>
  <c r="E91" i="8"/>
  <c r="F124" i="10"/>
  <c r="H124" i="23"/>
  <c r="K124" i="23" s="1"/>
  <c r="N124" i="23" s="1"/>
  <c r="O124" i="23" s="1"/>
  <c r="Y112" i="31" s="1"/>
  <c r="E124" i="20"/>
  <c r="U112" i="31" s="1"/>
  <c r="F124" i="11"/>
  <c r="P124" i="23"/>
  <c r="R124" i="23" s="1"/>
  <c r="Z112" i="31" s="1"/>
  <c r="F126" i="23"/>
  <c r="F126" i="8"/>
  <c r="E127" i="23"/>
  <c r="E127" i="8"/>
  <c r="F131" i="23"/>
  <c r="F131" i="8"/>
  <c r="F43" i="23"/>
  <c r="F43" i="8"/>
  <c r="E214" i="20"/>
  <c r="U194" i="31" s="1"/>
  <c r="H214" i="23"/>
  <c r="K214" i="23" s="1"/>
  <c r="N214" i="23" s="1"/>
  <c r="R214" i="23"/>
  <c r="Z194" i="31" s="1"/>
  <c r="O214" i="23"/>
  <c r="Y194" i="31" s="1"/>
  <c r="H217" i="23"/>
  <c r="K217" i="23" s="1"/>
  <c r="N217" i="23" s="1"/>
  <c r="E217" i="20"/>
  <c r="U197" i="31" s="1"/>
  <c r="F217" i="11"/>
  <c r="P217" i="23"/>
  <c r="R217" i="23" s="1"/>
  <c r="Z197" i="31" s="1"/>
  <c r="F219" i="10"/>
  <c r="H219" i="23"/>
  <c r="K219" i="23" s="1"/>
  <c r="N219" i="23" s="1"/>
  <c r="E219" i="20"/>
  <c r="U199" i="31" s="1"/>
  <c r="F219" i="11"/>
  <c r="P219" i="23"/>
  <c r="R219" i="23" s="1"/>
  <c r="Z199" i="31" s="1"/>
  <c r="H221" i="23"/>
  <c r="K221" i="23" s="1"/>
  <c r="N221" i="23" s="1"/>
  <c r="E221" i="20"/>
  <c r="U201" i="31" s="1"/>
  <c r="F221" i="11"/>
  <c r="P221" i="23"/>
  <c r="R221" i="23" s="1"/>
  <c r="Z201" i="31" s="1"/>
  <c r="E202" i="23"/>
  <c r="E202" i="8"/>
  <c r="F203" i="23"/>
  <c r="F203" i="8"/>
  <c r="E204" i="23"/>
  <c r="E204" i="8"/>
  <c r="H206" i="23"/>
  <c r="K206" i="23" s="1"/>
  <c r="N206" i="23" s="1"/>
  <c r="E206" i="20"/>
  <c r="U187" i="31" s="1"/>
  <c r="L206" i="23"/>
  <c r="X187" i="31" s="1"/>
  <c r="E208" i="23"/>
  <c r="G208" i="23" s="1"/>
  <c r="E208" i="8"/>
  <c r="F208" i="23"/>
  <c r="F208" i="8"/>
  <c r="F209" i="23"/>
  <c r="F209" i="8"/>
  <c r="E210" i="23"/>
  <c r="E210" i="8"/>
  <c r="F190" i="23"/>
  <c r="F190" i="8"/>
  <c r="F192" i="10"/>
  <c r="H192" i="23"/>
  <c r="K192" i="23" s="1"/>
  <c r="N192" i="23" s="1"/>
  <c r="E192" i="20"/>
  <c r="U174" i="31" s="1"/>
  <c r="H194" i="23"/>
  <c r="K194" i="23" s="1"/>
  <c r="N194" i="23" s="1"/>
  <c r="E194" i="20"/>
  <c r="U176" i="31" s="1"/>
  <c r="H196" i="23"/>
  <c r="K196" i="23" s="1"/>
  <c r="N196" i="23" s="1"/>
  <c r="E196" i="20"/>
  <c r="U178" i="31" s="1"/>
  <c r="H198" i="23"/>
  <c r="K198" i="23" s="1"/>
  <c r="N198" i="23" s="1"/>
  <c r="E198" i="20"/>
  <c r="U180" i="31" s="1"/>
  <c r="E183" i="23"/>
  <c r="G183" i="23" s="1"/>
  <c r="E183" i="8"/>
  <c r="G183" i="8" s="1"/>
  <c r="E166" i="31" s="1"/>
  <c r="F183" i="23"/>
  <c r="F183" i="8"/>
  <c r="H185" i="23"/>
  <c r="K185" i="23" s="1"/>
  <c r="N185" i="23" s="1"/>
  <c r="E185" i="20"/>
  <c r="U168" i="31" s="1"/>
  <c r="F185" i="11"/>
  <c r="P185" i="23"/>
  <c r="R185" i="23" s="1"/>
  <c r="Z168" i="31" s="1"/>
  <c r="F187" i="10"/>
  <c r="H187" i="23"/>
  <c r="K187" i="23" s="1"/>
  <c r="N187" i="23" s="1"/>
  <c r="E187" i="20"/>
  <c r="U170" i="31" s="1"/>
  <c r="F187" i="11"/>
  <c r="P187" i="23"/>
  <c r="R187" i="23" s="1"/>
  <c r="Z170" i="31" s="1"/>
  <c r="E267" i="23"/>
  <c r="E267" i="8"/>
  <c r="F268" i="10"/>
  <c r="H268" i="23"/>
  <c r="K268" i="23" s="1"/>
  <c r="N268" i="23" s="1"/>
  <c r="E268" i="20"/>
  <c r="U243" i="31" s="1"/>
  <c r="F268" i="11"/>
  <c r="P268" i="23"/>
  <c r="R268" i="23" s="1"/>
  <c r="Z243" i="31" s="1"/>
  <c r="F270" i="10"/>
  <c r="H270" i="23"/>
  <c r="K270" i="23" s="1"/>
  <c r="N270" i="23" s="1"/>
  <c r="E270" i="20"/>
  <c r="U245" i="31" s="1"/>
  <c r="F270" i="11"/>
  <c r="P270" i="23"/>
  <c r="R270" i="23" s="1"/>
  <c r="Z245" i="31" s="1"/>
  <c r="F272" i="10"/>
  <c r="H272" i="23"/>
  <c r="K272" i="23" s="1"/>
  <c r="N272" i="23" s="1"/>
  <c r="E272" i="20"/>
  <c r="U247" i="31" s="1"/>
  <c r="F272" i="11"/>
  <c r="P272" i="23"/>
  <c r="R272" i="23" s="1"/>
  <c r="Z247" i="31" s="1"/>
  <c r="F274" i="10"/>
  <c r="H274" i="23"/>
  <c r="K274" i="23" s="1"/>
  <c r="N274" i="23" s="1"/>
  <c r="E274" i="20"/>
  <c r="U249" i="31" s="1"/>
  <c r="F274" i="11"/>
  <c r="P274" i="23"/>
  <c r="R274" i="23" s="1"/>
  <c r="Z249" i="31" s="1"/>
  <c r="F276" i="10"/>
  <c r="H276" i="23"/>
  <c r="K276" i="23" s="1"/>
  <c r="N276" i="23" s="1"/>
  <c r="E276" i="20"/>
  <c r="U251" i="31" s="1"/>
  <c r="F276" i="11"/>
  <c r="P276" i="23"/>
  <c r="R276" i="23" s="1"/>
  <c r="Z251" i="31" s="1"/>
  <c r="F285" i="10"/>
  <c r="H285" i="23"/>
  <c r="K285" i="23" s="1"/>
  <c r="N285" i="23" s="1"/>
  <c r="E285" i="20"/>
  <c r="U259" i="31" s="1"/>
  <c r="F285" i="11"/>
  <c r="P285" i="23"/>
  <c r="R285" i="23" s="1"/>
  <c r="Z259" i="31" s="1"/>
  <c r="O285" i="23"/>
  <c r="Y259" i="31" s="1"/>
  <c r="F287" i="10"/>
  <c r="H287" i="23"/>
  <c r="K287" i="23" s="1"/>
  <c r="N287" i="23" s="1"/>
  <c r="E287" i="20"/>
  <c r="U261" i="31" s="1"/>
  <c r="F287" i="11"/>
  <c r="P287" i="23"/>
  <c r="R287" i="23" s="1"/>
  <c r="Z261" i="31" s="1"/>
  <c r="F289" i="10"/>
  <c r="H289" i="23"/>
  <c r="K289" i="23" s="1"/>
  <c r="N289" i="23" s="1"/>
  <c r="E289" i="20"/>
  <c r="U262" i="31" s="1"/>
  <c r="F289" i="11"/>
  <c r="P289" i="23"/>
  <c r="R289" i="23" s="1"/>
  <c r="Z262" i="31" s="1"/>
  <c r="F290" i="23"/>
  <c r="F290" i="8"/>
  <c r="F291" i="10"/>
  <c r="H291" i="23"/>
  <c r="K291" i="23" s="1"/>
  <c r="N291" i="23" s="1"/>
  <c r="E291" i="20"/>
  <c r="U264" i="31" s="1"/>
  <c r="F292" i="23"/>
  <c r="F292" i="8"/>
  <c r="E293" i="23"/>
  <c r="E293" i="8"/>
  <c r="F294" i="23"/>
  <c r="F294" i="8"/>
  <c r="F296" i="10"/>
  <c r="H296" i="23"/>
  <c r="K296" i="23" s="1"/>
  <c r="N296" i="23" s="1"/>
  <c r="E296" i="20"/>
  <c r="U269" i="31" s="1"/>
  <c r="F296" i="11"/>
  <c r="P296" i="23"/>
  <c r="R296" i="23" s="1"/>
  <c r="Z269" i="31" s="1"/>
  <c r="F298" i="10"/>
  <c r="H298" i="23"/>
  <c r="K298" i="23" s="1"/>
  <c r="N298" i="23" s="1"/>
  <c r="E298" i="20"/>
  <c r="U271" i="31" s="1"/>
  <c r="F298" i="11"/>
  <c r="P298" i="23"/>
  <c r="R298" i="23" s="1"/>
  <c r="Z271" i="31" s="1"/>
  <c r="F337" i="10"/>
  <c r="H337" i="23"/>
  <c r="K337" i="23" s="1"/>
  <c r="N337" i="23" s="1"/>
  <c r="E337" i="20"/>
  <c r="U306" i="31" s="1"/>
  <c r="F337" i="11"/>
  <c r="P337" i="23"/>
  <c r="R337" i="23" s="1"/>
  <c r="Z306" i="31" s="1"/>
  <c r="O337" i="23"/>
  <c r="Y306" i="31" s="1"/>
  <c r="F340" i="10"/>
  <c r="H340" i="23"/>
  <c r="K340" i="23" s="1"/>
  <c r="N340" i="23" s="1"/>
  <c r="E340" i="20"/>
  <c r="U309" i="31" s="1"/>
  <c r="F340" i="11"/>
  <c r="P340" i="23"/>
  <c r="R340" i="23" s="1"/>
  <c r="Z309" i="31" s="1"/>
  <c r="F342" i="10"/>
  <c r="H342" i="23"/>
  <c r="K342" i="23" s="1"/>
  <c r="N342" i="23" s="1"/>
  <c r="E342" i="20"/>
  <c r="U311" i="31" s="1"/>
  <c r="F342" i="11"/>
  <c r="P342" i="23"/>
  <c r="R342" i="23" s="1"/>
  <c r="Z311" i="31" s="1"/>
  <c r="E358" i="23"/>
  <c r="E358" i="8"/>
  <c r="F359" i="23"/>
  <c r="F359" i="8"/>
  <c r="E360" i="23"/>
  <c r="E360" i="8"/>
  <c r="F361" i="23"/>
  <c r="F361" i="8"/>
  <c r="E362" i="23"/>
  <c r="E362" i="8"/>
  <c r="E364" i="23"/>
  <c r="E364" i="8"/>
  <c r="E383" i="23"/>
  <c r="E383" i="8"/>
  <c r="F383" i="11"/>
  <c r="P383" i="23"/>
  <c r="R383" i="23" s="1"/>
  <c r="Z348" i="31" s="1"/>
  <c r="E384" i="23"/>
  <c r="G384" i="23" s="1"/>
  <c r="E384" i="8"/>
  <c r="F384" i="23"/>
  <c r="F384" i="8"/>
  <c r="E385" i="23"/>
  <c r="E385" i="8"/>
  <c r="F386" i="23"/>
  <c r="F386" i="8"/>
  <c r="F402" i="10"/>
  <c r="H402" i="23"/>
  <c r="K402" i="23" s="1"/>
  <c r="N402" i="23" s="1"/>
  <c r="E402" i="20"/>
  <c r="U365" i="31" s="1"/>
  <c r="F402" i="11"/>
  <c r="P402" i="23"/>
  <c r="R402" i="23" s="1"/>
  <c r="Z365" i="31" s="1"/>
  <c r="O402" i="23"/>
  <c r="Y365" i="31" s="1"/>
  <c r="E403" i="23"/>
  <c r="E403" i="8"/>
  <c r="E404" i="23"/>
  <c r="E404" i="8"/>
  <c r="G404" i="8" s="1"/>
  <c r="E367" i="31" s="1"/>
  <c r="F404" i="23"/>
  <c r="F404" i="8"/>
  <c r="F406" i="23"/>
  <c r="F406" i="8"/>
  <c r="E407" i="23"/>
  <c r="E407" i="8"/>
  <c r="F408" i="23"/>
  <c r="F408" i="8"/>
  <c r="F413" i="10"/>
  <c r="H413" i="23"/>
  <c r="K413" i="23" s="1"/>
  <c r="N413" i="23" s="1"/>
  <c r="E413" i="20"/>
  <c r="U375" i="31" s="1"/>
  <c r="F413" i="11"/>
  <c r="P413" i="23"/>
  <c r="R413" i="23" s="1"/>
  <c r="Z375" i="31" s="1"/>
  <c r="E414" i="23"/>
  <c r="E414" i="8"/>
  <c r="E416" i="23"/>
  <c r="E416" i="8"/>
  <c r="F417" i="23"/>
  <c r="F417" i="8"/>
  <c r="E418" i="23"/>
  <c r="E418" i="8"/>
  <c r="F419" i="23"/>
  <c r="F419" i="8"/>
  <c r="F436" i="10"/>
  <c r="H436" i="23"/>
  <c r="K436" i="23" s="1"/>
  <c r="N436" i="23" s="1"/>
  <c r="E436" i="20"/>
  <c r="U396" i="31" s="1"/>
  <c r="F436" i="11"/>
  <c r="P436" i="23"/>
  <c r="R436" i="23" s="1"/>
  <c r="Z396" i="31" s="1"/>
  <c r="O436" i="23"/>
  <c r="Y396" i="31" s="1"/>
  <c r="E437" i="23"/>
  <c r="E437" i="8"/>
  <c r="F438" i="23"/>
  <c r="F438" i="8"/>
  <c r="F439" i="10"/>
  <c r="H439" i="23"/>
  <c r="K439" i="23" s="1"/>
  <c r="N439" i="23" s="1"/>
  <c r="E439" i="20"/>
  <c r="U399" i="31" s="1"/>
  <c r="L439" i="23"/>
  <c r="X399" i="31" s="1"/>
  <c r="F440" i="23"/>
  <c r="F440" i="8"/>
  <c r="E441" i="23"/>
  <c r="E441" i="8"/>
  <c r="E447" i="23"/>
  <c r="E447" i="8"/>
  <c r="G447" i="8" s="1"/>
  <c r="E406" i="31" s="1"/>
  <c r="F447" i="23"/>
  <c r="F447" i="8"/>
  <c r="F448" i="23"/>
  <c r="F448" i="8"/>
  <c r="E449" i="23"/>
  <c r="E449" i="8"/>
  <c r="F450" i="23"/>
  <c r="F450" i="8"/>
  <c r="E451" i="23"/>
  <c r="E451" i="8"/>
  <c r="F452" i="23"/>
  <c r="F452" i="8"/>
  <c r="E454" i="23"/>
  <c r="E454" i="8"/>
  <c r="F455" i="10"/>
  <c r="H455" i="23"/>
  <c r="K455" i="23" s="1"/>
  <c r="N455" i="23" s="1"/>
  <c r="E455" i="20"/>
  <c r="U413" i="31" s="1"/>
  <c r="F455" i="11"/>
  <c r="P455" i="23"/>
  <c r="R455" i="23" s="1"/>
  <c r="Z413" i="31" s="1"/>
  <c r="F457" i="10"/>
  <c r="H457" i="23"/>
  <c r="K457" i="23" s="1"/>
  <c r="N457" i="23" s="1"/>
  <c r="E457" i="20"/>
  <c r="U415" i="31" s="1"/>
  <c r="F457" i="11"/>
  <c r="P457" i="23"/>
  <c r="R457" i="23" s="1"/>
  <c r="Z415" i="31" s="1"/>
  <c r="F459" i="10"/>
  <c r="H459" i="23"/>
  <c r="K459" i="23" s="1"/>
  <c r="N459" i="23" s="1"/>
  <c r="E459" i="20"/>
  <c r="U417" i="31" s="1"/>
  <c r="F459" i="11"/>
  <c r="P459" i="23"/>
  <c r="R459" i="23" s="1"/>
  <c r="Z417" i="31" s="1"/>
  <c r="F461" i="10"/>
  <c r="H461" i="23"/>
  <c r="K461" i="23" s="1"/>
  <c r="N461" i="23" s="1"/>
  <c r="E461" i="20"/>
  <c r="U419" i="31" s="1"/>
  <c r="F461" i="11"/>
  <c r="P461" i="23"/>
  <c r="R461" i="23" s="1"/>
  <c r="Z419" i="31" s="1"/>
  <c r="F463" i="10"/>
  <c r="H463" i="23"/>
  <c r="K463" i="23" s="1"/>
  <c r="N463" i="23" s="1"/>
  <c r="E463" i="20"/>
  <c r="U421" i="31" s="1"/>
  <c r="F463" i="11"/>
  <c r="P463" i="23"/>
  <c r="R463" i="23" s="1"/>
  <c r="Z421" i="31" s="1"/>
  <c r="F466" i="10"/>
  <c r="H466" i="23"/>
  <c r="K466" i="23" s="1"/>
  <c r="N466" i="23" s="1"/>
  <c r="E466" i="20"/>
  <c r="U423" i="31" s="1"/>
  <c r="E468" i="23"/>
  <c r="E468" i="8"/>
  <c r="F469" i="23"/>
  <c r="F469" i="8"/>
  <c r="E470" i="23"/>
  <c r="E470" i="8"/>
  <c r="F471" i="23"/>
  <c r="F471" i="8"/>
  <c r="E472" i="23"/>
  <c r="E472" i="8"/>
  <c r="F473" i="23"/>
  <c r="F473" i="8"/>
  <c r="E474" i="23"/>
  <c r="E474" i="8"/>
  <c r="F491" i="23"/>
  <c r="F491" i="8"/>
  <c r="F493" i="10"/>
  <c r="H493" i="23"/>
  <c r="K493" i="23" s="1"/>
  <c r="N493" i="23" s="1"/>
  <c r="E493" i="20"/>
  <c r="U448" i="31" s="1"/>
  <c r="E494" i="23"/>
  <c r="E494" i="8"/>
  <c r="F495" i="10"/>
  <c r="H495" i="23"/>
  <c r="K495" i="23" s="1"/>
  <c r="N495" i="23" s="1"/>
  <c r="E495" i="20"/>
  <c r="U450" i="31" s="1"/>
  <c r="F495" i="11"/>
  <c r="P495" i="23"/>
  <c r="R495" i="23" s="1"/>
  <c r="Z450" i="31" s="1"/>
  <c r="F500" i="10"/>
  <c r="H500" i="23"/>
  <c r="K500" i="23" s="1"/>
  <c r="N500" i="23" s="1"/>
  <c r="E500" i="20"/>
  <c r="U454" i="31" s="1"/>
  <c r="F500" i="11"/>
  <c r="P500" i="23"/>
  <c r="R500" i="23" s="1"/>
  <c r="Z454" i="31" s="1"/>
  <c r="F501" i="23"/>
  <c r="F501" i="8"/>
  <c r="F499" i="23"/>
  <c r="F499" i="8"/>
  <c r="F501" i="11"/>
  <c r="P501" i="23"/>
  <c r="R501" i="23" s="1"/>
  <c r="Z455" i="31" s="1"/>
  <c r="F503" i="10"/>
  <c r="H503" i="23"/>
  <c r="K503" i="23" s="1"/>
  <c r="N503" i="23" s="1"/>
  <c r="E503" i="20"/>
  <c r="U457" i="31" s="1"/>
  <c r="F503" i="11"/>
  <c r="P503" i="23"/>
  <c r="R503" i="23" s="1"/>
  <c r="Z457" i="31" s="1"/>
  <c r="F505" i="10"/>
  <c r="H505" i="23"/>
  <c r="K505" i="23" s="1"/>
  <c r="N505" i="23" s="1"/>
  <c r="E505" i="20"/>
  <c r="U459" i="31" s="1"/>
  <c r="F505" i="11"/>
  <c r="P505" i="23"/>
  <c r="R505" i="23" s="1"/>
  <c r="Z459" i="31" s="1"/>
  <c r="F507" i="10"/>
  <c r="H507" i="23"/>
  <c r="K507" i="23" s="1"/>
  <c r="N507" i="23" s="1"/>
  <c r="E507" i="20"/>
  <c r="U461" i="31" s="1"/>
  <c r="F507" i="11"/>
  <c r="P507" i="23"/>
  <c r="R507" i="23" s="1"/>
  <c r="Z461" i="31" s="1"/>
  <c r="E513" i="23"/>
  <c r="E513" i="8"/>
  <c r="F516" i="10"/>
  <c r="H516" i="23"/>
  <c r="K516" i="23" s="1"/>
  <c r="N516" i="23" s="1"/>
  <c r="O516" i="23" s="1"/>
  <c r="Y469" i="31" s="1"/>
  <c r="E516" i="20"/>
  <c r="U469" i="31" s="1"/>
  <c r="F517" i="10"/>
  <c r="H517" i="23"/>
  <c r="K517" i="23" s="1"/>
  <c r="N517" i="23" s="1"/>
  <c r="E517" i="20"/>
  <c r="U470" i="31" s="1"/>
  <c r="F517" i="11"/>
  <c r="P517" i="23"/>
  <c r="R517" i="23" s="1"/>
  <c r="Z470" i="31" s="1"/>
  <c r="F518" i="23"/>
  <c r="F518" i="8"/>
  <c r="F518" i="11"/>
  <c r="P518" i="23"/>
  <c r="R518" i="23" s="1"/>
  <c r="Z471" i="31" s="1"/>
  <c r="E133" i="23"/>
  <c r="G133" i="23" s="1"/>
  <c r="I133" i="23" s="1"/>
  <c r="E133" i="8"/>
  <c r="G133" i="8" s="1"/>
  <c r="E121" i="31" s="1"/>
  <c r="W684" i="31"/>
  <c r="S753" i="23"/>
  <c r="AA684" i="31" s="1"/>
  <c r="W620" i="31"/>
  <c r="S682" i="23"/>
  <c r="AA620" i="31" s="1"/>
  <c r="W705" i="31"/>
  <c r="S776" i="23"/>
  <c r="AA705" i="31" s="1"/>
  <c r="W656" i="31"/>
  <c r="S722" i="23"/>
  <c r="AA656" i="31" s="1"/>
  <c r="S738" i="23"/>
  <c r="AA671" i="31" s="1"/>
  <c r="W671" i="31"/>
  <c r="S556" i="6"/>
  <c r="Q505" i="31"/>
  <c r="E556" i="18"/>
  <c r="O505" i="31" s="1"/>
  <c r="W520" i="31"/>
  <c r="S572" i="23"/>
  <c r="AA520" i="31" s="1"/>
  <c r="W441" i="31"/>
  <c r="S485" i="23"/>
  <c r="AA441" i="31" s="1"/>
  <c r="W433" i="31"/>
  <c r="S477" i="23"/>
  <c r="AA433" i="31" s="1"/>
  <c r="W382" i="31"/>
  <c r="S421" i="23"/>
  <c r="AA382" i="31" s="1"/>
  <c r="W294" i="31"/>
  <c r="S324" i="23"/>
  <c r="AA294" i="31" s="1"/>
  <c r="W561" i="31"/>
  <c r="S617" i="23"/>
  <c r="AA561" i="31" s="1"/>
  <c r="W577" i="31"/>
  <c r="S635" i="23"/>
  <c r="AA577" i="31" s="1"/>
  <c r="W506" i="31"/>
  <c r="S557" i="23"/>
  <c r="AA506" i="31" s="1"/>
  <c r="W487" i="31"/>
  <c r="S536" i="23"/>
  <c r="AA487" i="31" s="1"/>
  <c r="G374" i="23"/>
  <c r="I374" i="23" s="1"/>
  <c r="L369" i="23"/>
  <c r="X335" i="31" s="1"/>
  <c r="L566" i="23"/>
  <c r="X514" i="31" s="1"/>
  <c r="I430" i="23"/>
  <c r="L424" i="23"/>
  <c r="X385" i="31" s="1"/>
  <c r="L328" i="23"/>
  <c r="X298" i="31" s="1"/>
  <c r="I174" i="23"/>
  <c r="L170" i="23"/>
  <c r="X154" i="31" s="1"/>
  <c r="L594" i="23"/>
  <c r="X540" i="31" s="1"/>
  <c r="L626" i="23"/>
  <c r="X569" i="31" s="1"/>
  <c r="I606" i="23"/>
  <c r="L637" i="23"/>
  <c r="X579" i="31" s="1"/>
  <c r="I561" i="23"/>
  <c r="G567" i="23"/>
  <c r="I567" i="23" s="1"/>
  <c r="W481" i="31"/>
  <c r="G476" i="8"/>
  <c r="E432" i="31" s="1"/>
  <c r="G425" i="23"/>
  <c r="I425" i="23" s="1"/>
  <c r="G171" i="23"/>
  <c r="I171" i="23" s="1"/>
  <c r="G593" i="8"/>
  <c r="E539" i="31" s="1"/>
  <c r="G638" i="23"/>
  <c r="I638" i="23" s="1"/>
  <c r="I636" i="23"/>
  <c r="G551" i="8"/>
  <c r="E501" i="31" s="1"/>
  <c r="I532" i="23"/>
  <c r="W590" i="31"/>
  <c r="S649" i="23"/>
  <c r="AA590" i="31" s="1"/>
  <c r="W655" i="31"/>
  <c r="S721" i="23"/>
  <c r="AA655" i="31" s="1"/>
  <c r="W691" i="31"/>
  <c r="S760" i="23"/>
  <c r="AA691" i="31" s="1"/>
  <c r="G47" i="10"/>
  <c r="G42" i="31" s="1"/>
  <c r="L584" i="23"/>
  <c r="X531" i="31" s="1"/>
  <c r="I579" i="23"/>
  <c r="L133" i="23"/>
  <c r="X121" i="31" s="1"/>
  <c r="G528" i="8"/>
  <c r="E480" i="31" s="1"/>
  <c r="I524" i="23"/>
  <c r="I622" i="23"/>
  <c r="L604" i="23"/>
  <c r="X549" i="31" s="1"/>
  <c r="S598" i="23"/>
  <c r="AA543" i="31" s="1"/>
  <c r="W543" i="31"/>
  <c r="I544" i="23"/>
  <c r="G370" i="8"/>
  <c r="E336" i="31" s="1"/>
  <c r="G525" i="23"/>
  <c r="I525" i="23" s="1"/>
  <c r="G327" i="23"/>
  <c r="I327" i="23" s="1"/>
  <c r="G173" i="8"/>
  <c r="E157" i="31" s="1"/>
  <c r="I169" i="23"/>
  <c r="G614" i="23"/>
  <c r="I614" i="23" s="1"/>
  <c r="G560" i="8"/>
  <c r="E509" i="31" s="1"/>
  <c r="G549" i="23"/>
  <c r="I549" i="23" s="1"/>
  <c r="W625" i="31"/>
  <c r="S688" i="23"/>
  <c r="AA625" i="31" s="1"/>
  <c r="W669" i="31"/>
  <c r="S736" i="23"/>
  <c r="AA669" i="31" s="1"/>
  <c r="S659" i="23"/>
  <c r="AA599" i="31" s="1"/>
  <c r="W599" i="31"/>
  <c r="W666" i="31"/>
  <c r="S733" i="23"/>
  <c r="AA666" i="31" s="1"/>
  <c r="W626" i="31"/>
  <c r="S689" i="23"/>
  <c r="AA626" i="31" s="1"/>
  <c r="S686" i="23"/>
  <c r="AA623" i="31" s="1"/>
  <c r="W623" i="31"/>
  <c r="L645" i="23"/>
  <c r="X586" i="31" s="1"/>
  <c r="I645" i="23"/>
  <c r="G584" i="10"/>
  <c r="G531" i="31" s="1"/>
  <c r="G581" i="10"/>
  <c r="G528" i="31" s="1"/>
  <c r="G579" i="10"/>
  <c r="G526" i="31" s="1"/>
  <c r="G367" i="8"/>
  <c r="E333" i="31" s="1"/>
  <c r="L573" i="23"/>
  <c r="X521" i="31" s="1"/>
  <c r="G520" i="23"/>
  <c r="I520" i="23" s="1"/>
  <c r="G484" i="8"/>
  <c r="E440" i="31" s="1"/>
  <c r="L482" i="23"/>
  <c r="X438" i="31" s="1"/>
  <c r="G478" i="23"/>
  <c r="I478" i="23" s="1"/>
  <c r="G394" i="23"/>
  <c r="I394" i="23" s="1"/>
  <c r="G392" i="8"/>
  <c r="E356" i="31" s="1"/>
  <c r="G616" i="23"/>
  <c r="I616" i="23" s="1"/>
  <c r="G612" i="8"/>
  <c r="E556" i="31" s="1"/>
  <c r="L610" i="23"/>
  <c r="X554" i="31" s="1"/>
  <c r="L597" i="23"/>
  <c r="X542" i="31" s="1"/>
  <c r="I597" i="23"/>
  <c r="G539" i="23"/>
  <c r="I539" i="23" s="1"/>
  <c r="G537" i="8"/>
  <c r="E488" i="31" s="1"/>
  <c r="L535" i="23"/>
  <c r="X486" i="31" s="1"/>
  <c r="G533" i="8"/>
  <c r="E484" i="31" s="1"/>
  <c r="L373" i="23"/>
  <c r="X339" i="31" s="1"/>
  <c r="G368" i="8"/>
  <c r="E334" i="31" s="1"/>
  <c r="G565" i="23"/>
  <c r="I565" i="23" s="1"/>
  <c r="G429" i="8"/>
  <c r="E390" i="31" s="1"/>
  <c r="L425" i="23"/>
  <c r="X386" i="31" s="1"/>
  <c r="L175" i="23"/>
  <c r="X159" i="31" s="1"/>
  <c r="G595" i="23"/>
  <c r="I595" i="23" s="1"/>
  <c r="G625" i="23"/>
  <c r="I625" i="23" s="1"/>
  <c r="G599" i="23"/>
  <c r="I599" i="23" s="1"/>
  <c r="S683" i="23"/>
  <c r="AA621" i="31" s="1"/>
  <c r="W602" i="31"/>
  <c r="S663" i="23"/>
  <c r="AA602" i="31" s="1"/>
  <c r="S666" i="23"/>
  <c r="AA605" i="31" s="1"/>
  <c r="L54" i="23"/>
  <c r="X49" i="31" s="1"/>
  <c r="G53" i="8"/>
  <c r="E48" i="31" s="1"/>
  <c r="G50" i="23"/>
  <c r="I50" i="23" s="1"/>
  <c r="G49" i="23"/>
  <c r="I49" i="23" s="1"/>
  <c r="S553" i="6"/>
  <c r="Q502" i="31"/>
  <c r="E553" i="18"/>
  <c r="O502" i="31" s="1"/>
  <c r="G582" i="23"/>
  <c r="I582" i="23" s="1"/>
  <c r="G578" i="23"/>
  <c r="I578" i="23" s="1"/>
  <c r="G523" i="23"/>
  <c r="I523" i="23" s="1"/>
  <c r="L427" i="23"/>
  <c r="X388" i="31" s="1"/>
  <c r="G331" i="8"/>
  <c r="E301" i="31" s="1"/>
  <c r="L327" i="23"/>
  <c r="X297" i="31" s="1"/>
  <c r="G601" i="23"/>
  <c r="I601" i="23" s="1"/>
  <c r="L558" i="23"/>
  <c r="X507" i="31" s="1"/>
  <c r="H60" i="23"/>
  <c r="K60" i="23" s="1"/>
  <c r="N60" i="23" s="1"/>
  <c r="E60" i="20"/>
  <c r="U54" i="31" s="1"/>
  <c r="F61" i="23"/>
  <c r="F61" i="8"/>
  <c r="L64" i="23"/>
  <c r="X58" i="31" s="1"/>
  <c r="L66" i="23"/>
  <c r="X60" i="31" s="1"/>
  <c r="E59" i="23"/>
  <c r="G59" i="23" s="1"/>
  <c r="I59" i="23" s="1"/>
  <c r="E59" i="8"/>
  <c r="G59" i="8" s="1"/>
  <c r="E53" i="31" s="1"/>
  <c r="E74" i="23"/>
  <c r="G74" i="23" s="1"/>
  <c r="I74" i="23" s="1"/>
  <c r="E74" i="8"/>
  <c r="G74" i="8" s="1"/>
  <c r="E67" i="31" s="1"/>
  <c r="O81" i="23"/>
  <c r="Y73" i="31" s="1"/>
  <c r="F60" i="23"/>
  <c r="F60" i="8"/>
  <c r="E61" i="10"/>
  <c r="Q61" i="23"/>
  <c r="H62" i="23"/>
  <c r="K62" i="23" s="1"/>
  <c r="N62" i="23" s="1"/>
  <c r="E62" i="20"/>
  <c r="U56" i="31" s="1"/>
  <c r="E60" i="23"/>
  <c r="G60" i="23" s="1"/>
  <c r="I60" i="23" s="1"/>
  <c r="E60" i="8"/>
  <c r="G60" i="8" s="1"/>
  <c r="E54" i="31" s="1"/>
  <c r="L60" i="23"/>
  <c r="X54" i="31" s="1"/>
  <c r="O60" i="23"/>
  <c r="Y54" i="31" s="1"/>
  <c r="H61" i="23"/>
  <c r="K61" i="23" s="1"/>
  <c r="N61" i="23" s="1"/>
  <c r="O61" i="23" s="1"/>
  <c r="Y55" i="31" s="1"/>
  <c r="E61" i="20"/>
  <c r="U55" i="31" s="1"/>
  <c r="R61" i="23"/>
  <c r="Z55" i="31" s="1"/>
  <c r="E62" i="10"/>
  <c r="Q62" i="23"/>
  <c r="R62" i="23" s="1"/>
  <c r="Z56" i="31" s="1"/>
  <c r="O62" i="23"/>
  <c r="Y56" i="31" s="1"/>
  <c r="H63" i="23"/>
  <c r="K63" i="23" s="1"/>
  <c r="N63" i="23" s="1"/>
  <c r="O63" i="23" s="1"/>
  <c r="Y57" i="31" s="1"/>
  <c r="E63" i="20"/>
  <c r="U57" i="31" s="1"/>
  <c r="R63" i="23"/>
  <c r="Z57" i="31" s="1"/>
  <c r="E64" i="10"/>
  <c r="Q64" i="23"/>
  <c r="R64" i="23" s="1"/>
  <c r="Z58" i="31" s="1"/>
  <c r="O64" i="23"/>
  <c r="Y58" i="31" s="1"/>
  <c r="H65" i="23"/>
  <c r="K65" i="23" s="1"/>
  <c r="N65" i="23" s="1"/>
  <c r="O65" i="23" s="1"/>
  <c r="Y59" i="31" s="1"/>
  <c r="E65" i="20"/>
  <c r="U59" i="31" s="1"/>
  <c r="R65" i="23"/>
  <c r="Z59" i="31" s="1"/>
  <c r="E66" i="10"/>
  <c r="Q66" i="23"/>
  <c r="R66" i="23" s="1"/>
  <c r="Z60" i="31" s="1"/>
  <c r="O66" i="23"/>
  <c r="Y60" i="31" s="1"/>
  <c r="H67" i="23"/>
  <c r="K67" i="23" s="1"/>
  <c r="N67" i="23" s="1"/>
  <c r="O67" i="23" s="1"/>
  <c r="Y61" i="31" s="1"/>
  <c r="E67" i="20"/>
  <c r="U61" i="31" s="1"/>
  <c r="R67" i="23"/>
  <c r="Z61" i="31" s="1"/>
  <c r="O59" i="23"/>
  <c r="Y53" i="31" s="1"/>
  <c r="F69" i="23"/>
  <c r="F69" i="8"/>
  <c r="E70" i="10"/>
  <c r="Q70" i="23"/>
  <c r="R70" i="23" s="1"/>
  <c r="Z63" i="31" s="1"/>
  <c r="O70" i="23"/>
  <c r="Y63" i="31" s="1"/>
  <c r="H71" i="23"/>
  <c r="K71" i="23" s="1"/>
  <c r="N71" i="23" s="1"/>
  <c r="O71" i="23" s="1"/>
  <c r="Y64" i="31" s="1"/>
  <c r="E71" i="20"/>
  <c r="U64" i="31" s="1"/>
  <c r="R71" i="23"/>
  <c r="Z64" i="31" s="1"/>
  <c r="E72" i="10"/>
  <c r="Q72" i="23"/>
  <c r="R72" i="23" s="1"/>
  <c r="Z65" i="31" s="1"/>
  <c r="O72" i="23"/>
  <c r="Y65" i="31" s="1"/>
  <c r="H73" i="23"/>
  <c r="K73" i="23" s="1"/>
  <c r="N73" i="23" s="1"/>
  <c r="O73" i="23" s="1"/>
  <c r="Y66" i="31" s="1"/>
  <c r="E73" i="20"/>
  <c r="U66" i="31" s="1"/>
  <c r="R73" i="23"/>
  <c r="Z66" i="31" s="1"/>
  <c r="E74" i="10"/>
  <c r="Q74" i="23"/>
  <c r="R74" i="23" s="1"/>
  <c r="Z67" i="31" s="1"/>
  <c r="O74" i="23"/>
  <c r="Y67" i="31" s="1"/>
  <c r="H75" i="23"/>
  <c r="K75" i="23" s="1"/>
  <c r="N75" i="23" s="1"/>
  <c r="O75" i="23" s="1"/>
  <c r="Y68" i="31" s="1"/>
  <c r="E75" i="20"/>
  <c r="U68" i="31" s="1"/>
  <c r="R75" i="23"/>
  <c r="Z68" i="31" s="1"/>
  <c r="E76" i="10"/>
  <c r="Q76" i="23"/>
  <c r="R76" i="23" s="1"/>
  <c r="Z69" i="31" s="1"/>
  <c r="O76" i="23"/>
  <c r="Y69" i="31" s="1"/>
  <c r="H77" i="23"/>
  <c r="K77" i="23" s="1"/>
  <c r="N77" i="23" s="1"/>
  <c r="O77" i="23" s="1"/>
  <c r="Y70" i="31" s="1"/>
  <c r="E77" i="20"/>
  <c r="U70" i="31" s="1"/>
  <c r="R77" i="23"/>
  <c r="Z70" i="31" s="1"/>
  <c r="E78" i="10"/>
  <c r="Q78" i="23"/>
  <c r="H80" i="23"/>
  <c r="K80" i="23" s="1"/>
  <c r="N80" i="23" s="1"/>
  <c r="O80" i="23" s="1"/>
  <c r="Y72" i="31" s="1"/>
  <c r="E80" i="20"/>
  <c r="U72" i="31" s="1"/>
  <c r="F81" i="23"/>
  <c r="F81" i="8"/>
  <c r="E82" i="23"/>
  <c r="E82" i="8"/>
  <c r="F83" i="23"/>
  <c r="F83" i="8"/>
  <c r="E84" i="23"/>
  <c r="E84" i="8"/>
  <c r="F85" i="23"/>
  <c r="F85" i="8"/>
  <c r="E86" i="23"/>
  <c r="E86" i="8"/>
  <c r="F87" i="23"/>
  <c r="F87" i="8"/>
  <c r="E88" i="23"/>
  <c r="E88" i="8"/>
  <c r="F89" i="23"/>
  <c r="F89" i="8"/>
  <c r="E96" i="10"/>
  <c r="Q96" i="23"/>
  <c r="H97" i="23"/>
  <c r="K97" i="23" s="1"/>
  <c r="N97" i="23" s="1"/>
  <c r="E97" i="20"/>
  <c r="U88" i="31" s="1"/>
  <c r="E98" i="10"/>
  <c r="Q98" i="23"/>
  <c r="H99" i="23"/>
  <c r="K99" i="23" s="1"/>
  <c r="N99" i="23" s="1"/>
  <c r="E99" i="20"/>
  <c r="U90" i="31" s="1"/>
  <c r="R99" i="23"/>
  <c r="Z90" i="31" s="1"/>
  <c r="E100" i="10"/>
  <c r="Q100" i="23"/>
  <c r="H102" i="23"/>
  <c r="K102" i="23" s="1"/>
  <c r="N102" i="23" s="1"/>
  <c r="O102" i="23" s="1"/>
  <c r="Y92" i="31" s="1"/>
  <c r="E102" i="20"/>
  <c r="U92" i="31" s="1"/>
  <c r="F103" i="23"/>
  <c r="F103" i="8"/>
  <c r="E104" i="10"/>
  <c r="Q104" i="23"/>
  <c r="F105" i="23"/>
  <c r="F105" i="8"/>
  <c r="E106" i="23"/>
  <c r="E106" i="8"/>
  <c r="F107" i="23"/>
  <c r="F107" i="8"/>
  <c r="E108" i="23"/>
  <c r="E108" i="8"/>
  <c r="F109" i="23"/>
  <c r="F109" i="8"/>
  <c r="E110" i="23"/>
  <c r="E110" i="8"/>
  <c r="F111" i="23"/>
  <c r="F111" i="8"/>
  <c r="E25" i="23"/>
  <c r="E25" i="8"/>
  <c r="H26" i="23"/>
  <c r="K26" i="23" s="1"/>
  <c r="N26" i="23" s="1"/>
  <c r="E26" i="20"/>
  <c r="U23" i="31" s="1"/>
  <c r="E27" i="10"/>
  <c r="Q27" i="23"/>
  <c r="H28" i="23"/>
  <c r="K28" i="23" s="1"/>
  <c r="N28" i="23" s="1"/>
  <c r="E28" i="20"/>
  <c r="U25" i="31" s="1"/>
  <c r="E29" i="10"/>
  <c r="Q29" i="23"/>
  <c r="H30" i="23"/>
  <c r="K30" i="23" s="1"/>
  <c r="N30" i="23" s="1"/>
  <c r="E30" i="20"/>
  <c r="U27" i="31" s="1"/>
  <c r="E31" i="10"/>
  <c r="Q31" i="23"/>
  <c r="H32" i="23"/>
  <c r="K32" i="23" s="1"/>
  <c r="N32" i="23" s="1"/>
  <c r="E32" i="20"/>
  <c r="U29" i="31" s="1"/>
  <c r="E33" i="10"/>
  <c r="Q33" i="23"/>
  <c r="E34" i="20"/>
  <c r="U31" i="31" s="1"/>
  <c r="H34" i="23"/>
  <c r="K34" i="23" s="1"/>
  <c r="N34" i="23" s="1"/>
  <c r="H43" i="23"/>
  <c r="K43" i="23" s="1"/>
  <c r="N43" i="23" s="1"/>
  <c r="E43" i="20"/>
  <c r="U39" i="31" s="1"/>
  <c r="L43" i="23"/>
  <c r="X39" i="31" s="1"/>
  <c r="H45" i="23"/>
  <c r="K45" i="23" s="1"/>
  <c r="N45" i="23" s="1"/>
  <c r="E45" i="20"/>
  <c r="U41" i="31" s="1"/>
  <c r="G79" i="12"/>
  <c r="E118" i="23"/>
  <c r="E118" i="8"/>
  <c r="E119" i="23"/>
  <c r="G119" i="23" s="1"/>
  <c r="E119" i="8"/>
  <c r="G119" i="8" s="1"/>
  <c r="E108" i="31" s="1"/>
  <c r="G119" i="12"/>
  <c r="I108" i="31" s="1"/>
  <c r="H120" i="23"/>
  <c r="K120" i="23" s="1"/>
  <c r="N120" i="23" s="1"/>
  <c r="E120" i="20"/>
  <c r="U109" i="31" s="1"/>
  <c r="F120" i="11"/>
  <c r="P120" i="23"/>
  <c r="R120" i="23" s="1"/>
  <c r="Z109" i="31" s="1"/>
  <c r="H122" i="23"/>
  <c r="K122" i="23" s="1"/>
  <c r="N122" i="23" s="1"/>
  <c r="E122" i="20"/>
  <c r="U111" i="31" s="1"/>
  <c r="F122" i="11"/>
  <c r="P122" i="23"/>
  <c r="R122" i="23" s="1"/>
  <c r="Z111" i="31" s="1"/>
  <c r="E136" i="23"/>
  <c r="E136" i="8"/>
  <c r="G136" i="12"/>
  <c r="I123" i="31" s="1"/>
  <c r="F137" i="23"/>
  <c r="F137" i="8"/>
  <c r="E138" i="23"/>
  <c r="E138" i="8"/>
  <c r="G138" i="12"/>
  <c r="I125" i="31" s="1"/>
  <c r="F139" i="23"/>
  <c r="F139" i="8"/>
  <c r="E140" i="23"/>
  <c r="E140" i="8"/>
  <c r="G140" i="12"/>
  <c r="I127" i="31" s="1"/>
  <c r="F141" i="23"/>
  <c r="F141" i="8"/>
  <c r="E142" i="23"/>
  <c r="E142" i="8"/>
  <c r="G142" i="12"/>
  <c r="I129" i="31" s="1"/>
  <c r="E143" i="23"/>
  <c r="G143" i="23" s="1"/>
  <c r="E143" i="8"/>
  <c r="G143" i="8" s="1"/>
  <c r="E130" i="31" s="1"/>
  <c r="G144" i="12"/>
  <c r="I131" i="31" s="1"/>
  <c r="F155" i="23"/>
  <c r="F155" i="8"/>
  <c r="E159" i="23"/>
  <c r="E159" i="8"/>
  <c r="G159" i="12"/>
  <c r="I144" i="31" s="1"/>
  <c r="F160" i="23"/>
  <c r="F160" i="8"/>
  <c r="E161" i="23"/>
  <c r="E161" i="8"/>
  <c r="F162" i="23"/>
  <c r="F162" i="8"/>
  <c r="O162" i="23"/>
  <c r="Y147" i="31" s="1"/>
  <c r="F163" i="10"/>
  <c r="H163" i="23"/>
  <c r="K163" i="23" s="1"/>
  <c r="N163" i="23" s="1"/>
  <c r="O163" i="23" s="1"/>
  <c r="Y148" i="31" s="1"/>
  <c r="E163" i="20"/>
  <c r="U148" i="31" s="1"/>
  <c r="F163" i="11"/>
  <c r="P163" i="23"/>
  <c r="R163" i="23" s="1"/>
  <c r="Z148" i="31" s="1"/>
  <c r="G163" i="12"/>
  <c r="I148" i="31" s="1"/>
  <c r="F164" i="23"/>
  <c r="F164" i="8"/>
  <c r="E165" i="23"/>
  <c r="E165" i="8"/>
  <c r="G165" i="12"/>
  <c r="I150" i="31" s="1"/>
  <c r="F166" i="23"/>
  <c r="F166" i="8"/>
  <c r="H94" i="23"/>
  <c r="K94" i="23" s="1"/>
  <c r="N94" i="23" s="1"/>
  <c r="O94" i="23" s="1"/>
  <c r="Y85" i="31" s="1"/>
  <c r="E94" i="20"/>
  <c r="U85" i="31" s="1"/>
  <c r="F94" i="11"/>
  <c r="P94" i="23"/>
  <c r="R94" i="23" s="1"/>
  <c r="Z85" i="31" s="1"/>
  <c r="G95" i="12"/>
  <c r="I86" i="31" s="1"/>
  <c r="H93" i="23"/>
  <c r="K93" i="23" s="1"/>
  <c r="N93" i="23" s="1"/>
  <c r="E93" i="20"/>
  <c r="U84" i="31" s="1"/>
  <c r="E92" i="23"/>
  <c r="E92" i="8"/>
  <c r="H91" i="23"/>
  <c r="K91" i="23" s="1"/>
  <c r="N91" i="23" s="1"/>
  <c r="O91" i="23" s="1"/>
  <c r="Y82" i="31" s="1"/>
  <c r="E91" i="20"/>
  <c r="U82" i="31" s="1"/>
  <c r="F91" i="11"/>
  <c r="P91" i="23"/>
  <c r="R91" i="23" s="1"/>
  <c r="Z82" i="31" s="1"/>
  <c r="G91" i="12"/>
  <c r="I82" i="31" s="1"/>
  <c r="F124" i="23"/>
  <c r="F124" i="8"/>
  <c r="E125" i="23"/>
  <c r="E125" i="8"/>
  <c r="H127" i="23"/>
  <c r="K127" i="23" s="1"/>
  <c r="N127" i="23" s="1"/>
  <c r="E127" i="20"/>
  <c r="U115" i="31" s="1"/>
  <c r="F127" i="11"/>
  <c r="P127" i="23"/>
  <c r="R127" i="23" s="1"/>
  <c r="Z115" i="31" s="1"/>
  <c r="E128" i="23"/>
  <c r="E128" i="8"/>
  <c r="E129" i="23"/>
  <c r="E129" i="8"/>
  <c r="K129" i="6"/>
  <c r="J129" i="23"/>
  <c r="E130" i="23"/>
  <c r="E130" i="8"/>
  <c r="G130" i="12"/>
  <c r="I118" i="31" s="1"/>
  <c r="F132" i="11"/>
  <c r="G132" i="11" s="1"/>
  <c r="H120" i="31" s="1"/>
  <c r="P132" i="23"/>
  <c r="R132" i="23" s="1"/>
  <c r="Z120" i="31" s="1"/>
  <c r="F44" i="23"/>
  <c r="F44" i="8"/>
  <c r="H215" i="23"/>
  <c r="K215" i="23" s="1"/>
  <c r="N215" i="23" s="1"/>
  <c r="E215" i="20"/>
  <c r="U195" i="31" s="1"/>
  <c r="F215" i="11"/>
  <c r="P215" i="23"/>
  <c r="R215" i="23" s="1"/>
  <c r="Z195" i="31" s="1"/>
  <c r="O215" i="23"/>
  <c r="Y195" i="31" s="1"/>
  <c r="E216" i="23"/>
  <c r="E216" i="8"/>
  <c r="G216" i="12"/>
  <c r="I196" i="31" s="1"/>
  <c r="F217" i="23"/>
  <c r="F217" i="8"/>
  <c r="E218" i="23"/>
  <c r="E218" i="8"/>
  <c r="G218" i="12"/>
  <c r="I198" i="31" s="1"/>
  <c r="F219" i="23"/>
  <c r="F219" i="8"/>
  <c r="E220" i="23"/>
  <c r="E220" i="8"/>
  <c r="G220" i="12"/>
  <c r="I200" i="31" s="1"/>
  <c r="F221" i="23"/>
  <c r="F221" i="8"/>
  <c r="E201" i="23"/>
  <c r="E201" i="8"/>
  <c r="H202" i="23"/>
  <c r="K202" i="23" s="1"/>
  <c r="N202" i="23" s="1"/>
  <c r="E202" i="20"/>
  <c r="U183" i="31" s="1"/>
  <c r="F202" i="11"/>
  <c r="P202" i="23"/>
  <c r="R202" i="23" s="1"/>
  <c r="Z183" i="31" s="1"/>
  <c r="H204" i="23"/>
  <c r="K204" i="23" s="1"/>
  <c r="N204" i="23" s="1"/>
  <c r="E204" i="20"/>
  <c r="U185" i="31" s="1"/>
  <c r="F204" i="11"/>
  <c r="P204" i="23"/>
  <c r="R204" i="23" s="1"/>
  <c r="Z185" i="31" s="1"/>
  <c r="G205" i="12"/>
  <c r="I186" i="31" s="1"/>
  <c r="F205" i="10"/>
  <c r="H205" i="23"/>
  <c r="K205" i="23" s="1"/>
  <c r="N205" i="23" s="1"/>
  <c r="O205" i="23" s="1"/>
  <c r="Y186" i="31" s="1"/>
  <c r="E205" i="20"/>
  <c r="U186" i="31" s="1"/>
  <c r="F206" i="11"/>
  <c r="P206" i="23"/>
  <c r="R206" i="23" s="1"/>
  <c r="Z187" i="31" s="1"/>
  <c r="F207" i="10"/>
  <c r="H207" i="23"/>
  <c r="K207" i="23" s="1"/>
  <c r="N207" i="23" s="1"/>
  <c r="E207" i="20"/>
  <c r="U188" i="31" s="1"/>
  <c r="F207" i="11"/>
  <c r="P207" i="23"/>
  <c r="R207" i="23" s="1"/>
  <c r="Z188" i="31" s="1"/>
  <c r="O207" i="23"/>
  <c r="Y188" i="31" s="1"/>
  <c r="E210" i="20"/>
  <c r="U191" i="31" s="1"/>
  <c r="H210" i="23"/>
  <c r="K210" i="23" s="1"/>
  <c r="N210" i="23" s="1"/>
  <c r="F210" i="11"/>
  <c r="P210" i="23"/>
  <c r="R210" i="23" s="1"/>
  <c r="Z191" i="31" s="1"/>
  <c r="E191" i="23"/>
  <c r="E191" i="8"/>
  <c r="G191" i="12"/>
  <c r="I173" i="31" s="1"/>
  <c r="F192" i="23"/>
  <c r="F192" i="8"/>
  <c r="E193" i="23"/>
  <c r="E193" i="8"/>
  <c r="F194" i="23"/>
  <c r="F194" i="8"/>
  <c r="E195" i="23"/>
  <c r="E195" i="8"/>
  <c r="G195" i="12"/>
  <c r="I177" i="31" s="1"/>
  <c r="F196" i="23"/>
  <c r="F196" i="8"/>
  <c r="E197" i="23"/>
  <c r="E197" i="8"/>
  <c r="F198" i="23"/>
  <c r="F198" i="8"/>
  <c r="E199" i="23"/>
  <c r="E199" i="8"/>
  <c r="G199" i="12"/>
  <c r="I181" i="31" s="1"/>
  <c r="E184" i="23"/>
  <c r="G184" i="23" s="1"/>
  <c r="E184" i="8"/>
  <c r="F184" i="23"/>
  <c r="F184" i="8"/>
  <c r="F185" i="23"/>
  <c r="F185" i="8"/>
  <c r="E186" i="23"/>
  <c r="E186" i="8"/>
  <c r="G186" i="12"/>
  <c r="I169" i="31" s="1"/>
  <c r="F187" i="23"/>
  <c r="F187" i="8"/>
  <c r="E188" i="23"/>
  <c r="E188" i="8"/>
  <c r="G188" i="12"/>
  <c r="I171" i="31" s="1"/>
  <c r="H267" i="23"/>
  <c r="K267" i="23" s="1"/>
  <c r="N267" i="23" s="1"/>
  <c r="O267" i="23" s="1"/>
  <c r="Y242" i="31" s="1"/>
  <c r="E267" i="20"/>
  <c r="U242" i="31" s="1"/>
  <c r="F267" i="11"/>
  <c r="P267" i="23"/>
  <c r="R267" i="23" s="1"/>
  <c r="Z242" i="31" s="1"/>
  <c r="F268" i="23"/>
  <c r="F268" i="8"/>
  <c r="E269" i="23"/>
  <c r="E269" i="8"/>
  <c r="G269" i="12"/>
  <c r="I244" i="31" s="1"/>
  <c r="F270" i="23"/>
  <c r="F270" i="8"/>
  <c r="E271" i="23"/>
  <c r="E271" i="8"/>
  <c r="F272" i="23"/>
  <c r="F272" i="8"/>
  <c r="E273" i="23"/>
  <c r="E273" i="8"/>
  <c r="G273" i="12"/>
  <c r="I248" i="31" s="1"/>
  <c r="F274" i="23"/>
  <c r="F274" i="8"/>
  <c r="E275" i="23"/>
  <c r="E275" i="8"/>
  <c r="F276" i="23"/>
  <c r="F276" i="8"/>
  <c r="F286" i="10"/>
  <c r="H286" i="23"/>
  <c r="K286" i="23" s="1"/>
  <c r="N286" i="23" s="1"/>
  <c r="E286" i="20"/>
  <c r="U260" i="31" s="1"/>
  <c r="R286" i="23"/>
  <c r="Z260" i="31" s="1"/>
  <c r="G285" i="12"/>
  <c r="I259" i="31" s="1"/>
  <c r="F287" i="23"/>
  <c r="F287" i="8"/>
  <c r="G286" i="12"/>
  <c r="I260" i="31" s="1"/>
  <c r="F289" i="23"/>
  <c r="F289" i="8"/>
  <c r="G290" i="12"/>
  <c r="I263" i="31" s="1"/>
  <c r="F291" i="23"/>
  <c r="F291" i="8"/>
  <c r="F291" i="11"/>
  <c r="P291" i="23"/>
  <c r="R291" i="23" s="1"/>
  <c r="Z264" i="31" s="1"/>
  <c r="H293" i="23"/>
  <c r="K293" i="23" s="1"/>
  <c r="N293" i="23" s="1"/>
  <c r="E293" i="20"/>
  <c r="U266" i="31" s="1"/>
  <c r="F293" i="11"/>
  <c r="P293" i="23"/>
  <c r="R293" i="23" s="1"/>
  <c r="Z266" i="31" s="1"/>
  <c r="E295" i="23"/>
  <c r="E295" i="8"/>
  <c r="G295" i="12"/>
  <c r="I268" i="31" s="1"/>
  <c r="F296" i="23"/>
  <c r="F296" i="8"/>
  <c r="E297" i="23"/>
  <c r="E297" i="8"/>
  <c r="F298" i="23"/>
  <c r="F298" i="8"/>
  <c r="H338" i="23"/>
  <c r="K338" i="23" s="1"/>
  <c r="N338" i="23" s="1"/>
  <c r="E338" i="20"/>
  <c r="U307" i="31" s="1"/>
  <c r="R338" i="23"/>
  <c r="Z307" i="31" s="1"/>
  <c r="O338" i="23"/>
  <c r="Y307" i="31" s="1"/>
  <c r="E339" i="23"/>
  <c r="E339" i="8"/>
  <c r="F340" i="23"/>
  <c r="F340" i="8"/>
  <c r="E341" i="23"/>
  <c r="E341" i="8"/>
  <c r="G341" i="12"/>
  <c r="I310" i="31" s="1"/>
  <c r="F342" i="23"/>
  <c r="F342" i="8"/>
  <c r="E357" i="23"/>
  <c r="E357" i="8"/>
  <c r="F358" i="10"/>
  <c r="H358" i="23"/>
  <c r="K358" i="23" s="1"/>
  <c r="N358" i="23" s="1"/>
  <c r="E358" i="20"/>
  <c r="U325" i="31" s="1"/>
  <c r="R358" i="23"/>
  <c r="Z325" i="31" s="1"/>
  <c r="H360" i="23"/>
  <c r="K360" i="23" s="1"/>
  <c r="N360" i="23" s="1"/>
  <c r="E360" i="20"/>
  <c r="U327" i="31" s="1"/>
  <c r="R360" i="23"/>
  <c r="Z327" i="31" s="1"/>
  <c r="F362" i="10"/>
  <c r="H362" i="23"/>
  <c r="K362" i="23" s="1"/>
  <c r="N362" i="23" s="1"/>
  <c r="E362" i="20"/>
  <c r="U329" i="31" s="1"/>
  <c r="R362" i="23"/>
  <c r="Z329" i="31" s="1"/>
  <c r="E363" i="23"/>
  <c r="E363" i="8"/>
  <c r="O362" i="23"/>
  <c r="Y329" i="31" s="1"/>
  <c r="F364" i="10"/>
  <c r="H364" i="23"/>
  <c r="K364" i="23" s="1"/>
  <c r="N364" i="23" s="1"/>
  <c r="E364" i="20"/>
  <c r="U331" i="31" s="1"/>
  <c r="R364" i="23"/>
  <c r="Z331" i="31" s="1"/>
  <c r="F382" i="23"/>
  <c r="F382" i="8"/>
  <c r="G382" i="12"/>
  <c r="I347" i="31" s="1"/>
  <c r="H384" i="23"/>
  <c r="K384" i="23" s="1"/>
  <c r="N384" i="23" s="1"/>
  <c r="E384" i="20"/>
  <c r="U349" i="31" s="1"/>
  <c r="O384" i="23"/>
  <c r="Y349" i="31" s="1"/>
  <c r="H385" i="23"/>
  <c r="K385" i="23" s="1"/>
  <c r="N385" i="23" s="1"/>
  <c r="E385" i="20"/>
  <c r="U350" i="31" s="1"/>
  <c r="F385" i="11"/>
  <c r="P385" i="23"/>
  <c r="R385" i="23" s="1"/>
  <c r="Z350" i="31" s="1"/>
  <c r="E401" i="23"/>
  <c r="E401" i="8"/>
  <c r="F402" i="23"/>
  <c r="F402" i="8"/>
  <c r="H403" i="23"/>
  <c r="K403" i="23" s="1"/>
  <c r="N403" i="23" s="1"/>
  <c r="E403" i="20"/>
  <c r="U366" i="31" s="1"/>
  <c r="F403" i="11"/>
  <c r="P403" i="23"/>
  <c r="R403" i="23" s="1"/>
  <c r="Z366" i="31" s="1"/>
  <c r="F404" i="10"/>
  <c r="H404" i="23"/>
  <c r="K404" i="23" s="1"/>
  <c r="N404" i="23" s="1"/>
  <c r="E404" i="20"/>
  <c r="U367" i="31" s="1"/>
  <c r="R404" i="23"/>
  <c r="Z367" i="31" s="1"/>
  <c r="O404" i="23"/>
  <c r="Y367" i="31" s="1"/>
  <c r="H407" i="23"/>
  <c r="K407" i="23" s="1"/>
  <c r="N407" i="23" s="1"/>
  <c r="E407" i="20"/>
  <c r="U370" i="31" s="1"/>
  <c r="F407" i="11"/>
  <c r="P407" i="23"/>
  <c r="R407" i="23" s="1"/>
  <c r="Z370" i="31" s="1"/>
  <c r="E413" i="23"/>
  <c r="E413" i="8"/>
  <c r="F412" i="23"/>
  <c r="F412" i="8"/>
  <c r="G412" i="12"/>
  <c r="I374" i="31" s="1"/>
  <c r="H414" i="23"/>
  <c r="K414" i="23" s="1"/>
  <c r="N414" i="23" s="1"/>
  <c r="E414" i="20"/>
  <c r="U376" i="31" s="1"/>
  <c r="E415" i="23"/>
  <c r="E415" i="8"/>
  <c r="H416" i="23"/>
  <c r="K416" i="23" s="1"/>
  <c r="N416" i="23" s="1"/>
  <c r="E416" i="20"/>
  <c r="U378" i="31" s="1"/>
  <c r="R416" i="23"/>
  <c r="Z378" i="31" s="1"/>
  <c r="F418" i="10"/>
  <c r="E418" i="20"/>
  <c r="U380" i="31" s="1"/>
  <c r="H418" i="23"/>
  <c r="K418" i="23" s="1"/>
  <c r="N418" i="23" s="1"/>
  <c r="R418" i="23"/>
  <c r="Z380" i="31" s="1"/>
  <c r="E435" i="23"/>
  <c r="G435" i="23" s="1"/>
  <c r="E435" i="8"/>
  <c r="F435" i="23"/>
  <c r="F435" i="8"/>
  <c r="G424" i="12"/>
  <c r="I385" i="31" s="1"/>
  <c r="H437" i="23"/>
  <c r="K437" i="23" s="1"/>
  <c r="N437" i="23" s="1"/>
  <c r="E437" i="20"/>
  <c r="U397" i="31" s="1"/>
  <c r="R437" i="23"/>
  <c r="Z397" i="31" s="1"/>
  <c r="F439" i="23"/>
  <c r="F439" i="8"/>
  <c r="H441" i="23"/>
  <c r="K441" i="23" s="1"/>
  <c r="N441" i="23" s="1"/>
  <c r="E441" i="20"/>
  <c r="U401" i="31" s="1"/>
  <c r="R441" i="23"/>
  <c r="Z401" i="31" s="1"/>
  <c r="H446" i="23"/>
  <c r="K446" i="23" s="1"/>
  <c r="N446" i="23" s="1"/>
  <c r="O446" i="23" s="1"/>
  <c r="Y405" i="31" s="1"/>
  <c r="E446" i="20"/>
  <c r="U405" i="31" s="1"/>
  <c r="R446" i="23"/>
  <c r="Z405" i="31" s="1"/>
  <c r="F449" i="10"/>
  <c r="H449" i="23"/>
  <c r="K449" i="23" s="1"/>
  <c r="N449" i="23" s="1"/>
  <c r="E449" i="20"/>
  <c r="U408" i="31" s="1"/>
  <c r="F449" i="11"/>
  <c r="P449" i="23"/>
  <c r="R449" i="23" s="1"/>
  <c r="Z408" i="31" s="1"/>
  <c r="F451" i="10"/>
  <c r="H451" i="23"/>
  <c r="K451" i="23" s="1"/>
  <c r="N451" i="23" s="1"/>
  <c r="E451" i="20"/>
  <c r="U410" i="31" s="1"/>
  <c r="F451" i="11"/>
  <c r="P451" i="23"/>
  <c r="R451" i="23" s="1"/>
  <c r="Z410" i="31" s="1"/>
  <c r="H454" i="23"/>
  <c r="K454" i="23" s="1"/>
  <c r="N454" i="23" s="1"/>
  <c r="O454" i="23" s="1"/>
  <c r="Y412" i="31" s="1"/>
  <c r="E454" i="20"/>
  <c r="U412" i="31" s="1"/>
  <c r="R454" i="23"/>
  <c r="Z412" i="31" s="1"/>
  <c r="G454" i="12"/>
  <c r="I412" i="31" s="1"/>
  <c r="F455" i="23"/>
  <c r="F455" i="8"/>
  <c r="E456" i="23"/>
  <c r="E456" i="8"/>
  <c r="G456" i="12"/>
  <c r="I414" i="31" s="1"/>
  <c r="F457" i="23"/>
  <c r="F457" i="8"/>
  <c r="E458" i="23"/>
  <c r="E458" i="8"/>
  <c r="G458" i="12"/>
  <c r="I416" i="31" s="1"/>
  <c r="F459" i="23"/>
  <c r="F459" i="8"/>
  <c r="E460" i="23"/>
  <c r="E460" i="8"/>
  <c r="G460" i="12"/>
  <c r="I418" i="31" s="1"/>
  <c r="F461" i="23"/>
  <c r="F461" i="8"/>
  <c r="E462" i="23"/>
  <c r="E462" i="8"/>
  <c r="G462" i="12"/>
  <c r="I420" i="31" s="1"/>
  <c r="F463" i="23"/>
  <c r="F463" i="8"/>
  <c r="E465" i="23"/>
  <c r="E465" i="8"/>
  <c r="F465" i="11"/>
  <c r="P465" i="23"/>
  <c r="R465" i="23" s="1"/>
  <c r="Z422" i="31" s="1"/>
  <c r="F466" i="23"/>
  <c r="F466" i="8"/>
  <c r="E467" i="23"/>
  <c r="E467" i="8"/>
  <c r="F468" i="10"/>
  <c r="H468" i="23"/>
  <c r="K468" i="23" s="1"/>
  <c r="N468" i="23" s="1"/>
  <c r="E468" i="20"/>
  <c r="U425" i="31" s="1"/>
  <c r="R468" i="23"/>
  <c r="Z425" i="31" s="1"/>
  <c r="F470" i="10"/>
  <c r="H470" i="23"/>
  <c r="K470" i="23" s="1"/>
  <c r="N470" i="23" s="1"/>
  <c r="E470" i="20"/>
  <c r="U427" i="31" s="1"/>
  <c r="R470" i="23"/>
  <c r="Z427" i="31" s="1"/>
  <c r="F472" i="10"/>
  <c r="H472" i="23"/>
  <c r="K472" i="23" s="1"/>
  <c r="N472" i="23" s="1"/>
  <c r="E472" i="20"/>
  <c r="U429" i="31" s="1"/>
  <c r="R472" i="23"/>
  <c r="Z429" i="31" s="1"/>
  <c r="F474" i="10"/>
  <c r="H474" i="23"/>
  <c r="K474" i="23" s="1"/>
  <c r="N474" i="23" s="1"/>
  <c r="E474" i="20"/>
  <c r="U431" i="31" s="1"/>
  <c r="R474" i="23"/>
  <c r="Z431" i="31" s="1"/>
  <c r="E492" i="23"/>
  <c r="E492" i="8"/>
  <c r="G492" i="12"/>
  <c r="I447" i="31" s="1"/>
  <c r="F493" i="23"/>
  <c r="F493" i="8"/>
  <c r="O493" i="23"/>
  <c r="Y448" i="31" s="1"/>
  <c r="F494" i="10"/>
  <c r="H494" i="23"/>
  <c r="K494" i="23" s="1"/>
  <c r="N494" i="23" s="1"/>
  <c r="O494" i="23" s="1"/>
  <c r="Y449" i="31" s="1"/>
  <c r="E494" i="20"/>
  <c r="U449" i="31" s="1"/>
  <c r="R494" i="23"/>
  <c r="Z449" i="31" s="1"/>
  <c r="G494" i="12"/>
  <c r="I449" i="31" s="1"/>
  <c r="F495" i="23"/>
  <c r="F495" i="8"/>
  <c r="E496" i="23"/>
  <c r="E496" i="8"/>
  <c r="G496" i="12"/>
  <c r="I451" i="31" s="1"/>
  <c r="F500" i="23"/>
  <c r="F500" i="8"/>
  <c r="E502" i="23"/>
  <c r="E502" i="8"/>
  <c r="F503" i="23"/>
  <c r="F503" i="8"/>
  <c r="E504" i="23"/>
  <c r="E504" i="8"/>
  <c r="F505" i="23"/>
  <c r="F505" i="8"/>
  <c r="E506" i="23"/>
  <c r="E506" i="8"/>
  <c r="F507" i="23"/>
  <c r="F507" i="8"/>
  <c r="E514" i="23"/>
  <c r="E514" i="8"/>
  <c r="F513" i="10"/>
  <c r="H513" i="23"/>
  <c r="K513" i="23" s="1"/>
  <c r="N513" i="23" s="1"/>
  <c r="E513" i="20"/>
  <c r="U466" i="31" s="1"/>
  <c r="F513" i="11"/>
  <c r="P513" i="23"/>
  <c r="R513" i="23" s="1"/>
  <c r="Z466" i="31" s="1"/>
  <c r="E515" i="23"/>
  <c r="E515" i="8"/>
  <c r="F517" i="23"/>
  <c r="F517" i="8"/>
  <c r="F516" i="11"/>
  <c r="P516" i="23"/>
  <c r="R516" i="23" s="1"/>
  <c r="Z469" i="31" s="1"/>
  <c r="F516" i="23"/>
  <c r="F516" i="8"/>
  <c r="S694" i="23"/>
  <c r="AA631" i="31" s="1"/>
  <c r="W631" i="31"/>
  <c r="W607" i="31"/>
  <c r="S668" i="23"/>
  <c r="AA607" i="31" s="1"/>
  <c r="S730" i="23"/>
  <c r="AA663" i="31" s="1"/>
  <c r="W663" i="31"/>
  <c r="W516" i="31"/>
  <c r="S568" i="23"/>
  <c r="AA516" i="31" s="1"/>
  <c r="G564" i="23"/>
  <c r="I564" i="23" s="1"/>
  <c r="S483" i="23"/>
  <c r="AA439" i="31" s="1"/>
  <c r="W439" i="31"/>
  <c r="S395" i="23"/>
  <c r="AA359" i="31" s="1"/>
  <c r="W359" i="31"/>
  <c r="G168" i="23"/>
  <c r="I168" i="23" s="1"/>
  <c r="W538" i="31"/>
  <c r="S592" i="23"/>
  <c r="AA538" i="31" s="1"/>
  <c r="W559" i="31"/>
  <c r="S615" i="23"/>
  <c r="AA559" i="31" s="1"/>
  <c r="W557" i="31"/>
  <c r="S613" i="23"/>
  <c r="AA557" i="31" s="1"/>
  <c r="I375" i="23"/>
  <c r="I371" i="23"/>
  <c r="L570" i="23"/>
  <c r="X518" i="31" s="1"/>
  <c r="L524" i="23"/>
  <c r="X476" i="31" s="1"/>
  <c r="I428" i="23"/>
  <c r="L422" i="23"/>
  <c r="X383" i="31" s="1"/>
  <c r="L391" i="23"/>
  <c r="X355" i="31" s="1"/>
  <c r="R389" i="23"/>
  <c r="Z353" i="31" s="1"/>
  <c r="I330" i="23"/>
  <c r="L326" i="23"/>
  <c r="X296" i="31" s="1"/>
  <c r="L176" i="23"/>
  <c r="X160" i="31" s="1"/>
  <c r="I172" i="23"/>
  <c r="I628" i="23"/>
  <c r="L624" i="23"/>
  <c r="X567" i="31" s="1"/>
  <c r="L602" i="23"/>
  <c r="X547" i="31" s="1"/>
  <c r="I639" i="23"/>
  <c r="L550" i="23"/>
  <c r="X500" i="31" s="1"/>
  <c r="G372" i="8"/>
  <c r="E338" i="31" s="1"/>
  <c r="W473" i="31"/>
  <c r="G476" i="23"/>
  <c r="I476" i="23" s="1"/>
  <c r="G593" i="23"/>
  <c r="I593" i="23" s="1"/>
  <c r="G551" i="23"/>
  <c r="I551" i="23" s="1"/>
  <c r="G547" i="8"/>
  <c r="E497" i="31" s="1"/>
  <c r="S535" i="23"/>
  <c r="AA486" i="31" s="1"/>
  <c r="W486" i="31"/>
  <c r="W606" i="31"/>
  <c r="S667" i="23"/>
  <c r="AA606" i="31" s="1"/>
  <c r="W616" i="31"/>
  <c r="S678" i="23"/>
  <c r="AA616" i="31" s="1"/>
  <c r="W706" i="31"/>
  <c r="S777" i="23"/>
  <c r="AA706" i="31" s="1"/>
  <c r="G646" i="23"/>
  <c r="I646" i="23" s="1"/>
  <c r="G52" i="8"/>
  <c r="E47" i="31" s="1"/>
  <c r="S555" i="6"/>
  <c r="Q504" i="31"/>
  <c r="E555" i="18"/>
  <c r="O504" i="31" s="1"/>
  <c r="L581" i="23"/>
  <c r="X528" i="31" s="1"/>
  <c r="G528" i="23"/>
  <c r="I528" i="23" s="1"/>
  <c r="I522" i="23"/>
  <c r="G624" i="8"/>
  <c r="E567" i="31" s="1"/>
  <c r="L606" i="23"/>
  <c r="X551" i="31" s="1"/>
  <c r="G602" i="8"/>
  <c r="E547" i="31" s="1"/>
  <c r="L639" i="23"/>
  <c r="X581" i="31" s="1"/>
  <c r="L559" i="23"/>
  <c r="X508" i="31" s="1"/>
  <c r="G550" i="8"/>
  <c r="E500" i="31" s="1"/>
  <c r="L548" i="23"/>
  <c r="X498" i="31" s="1"/>
  <c r="G370" i="23"/>
  <c r="I370" i="23" s="1"/>
  <c r="G173" i="23"/>
  <c r="I173" i="23" s="1"/>
  <c r="G560" i="23"/>
  <c r="I560" i="23" s="1"/>
  <c r="W629" i="31"/>
  <c r="S692" i="23"/>
  <c r="AA629" i="31" s="1"/>
  <c r="W619" i="31"/>
  <c r="S681" i="23"/>
  <c r="AA619" i="31" s="1"/>
  <c r="W709" i="31"/>
  <c r="S780" i="23"/>
  <c r="AA709" i="31" s="1"/>
  <c r="S754" i="23"/>
  <c r="AA685" i="31" s="1"/>
  <c r="L647" i="23"/>
  <c r="X588" i="31" s="1"/>
  <c r="S554" i="6"/>
  <c r="Q503" i="31"/>
  <c r="E554" i="18"/>
  <c r="O503" i="31" s="1"/>
  <c r="G577" i="10"/>
  <c r="G524" i="31" s="1"/>
  <c r="G367" i="23"/>
  <c r="I367" i="23" s="1"/>
  <c r="G573" i="8"/>
  <c r="E521" i="31" s="1"/>
  <c r="L571" i="23"/>
  <c r="X519" i="31" s="1"/>
  <c r="L569" i="23"/>
  <c r="X517" i="31" s="1"/>
  <c r="G484" i="23"/>
  <c r="I484" i="23" s="1"/>
  <c r="G482" i="8"/>
  <c r="E438" i="31" s="1"/>
  <c r="L480" i="23"/>
  <c r="X436" i="31" s="1"/>
  <c r="L396" i="23"/>
  <c r="X360" i="31" s="1"/>
  <c r="G392" i="23"/>
  <c r="I392" i="23" s="1"/>
  <c r="G612" i="23"/>
  <c r="I612" i="23" s="1"/>
  <c r="G610" i="8"/>
  <c r="E554" i="31" s="1"/>
  <c r="L542" i="23"/>
  <c r="X492" i="31" s="1"/>
  <c r="G537" i="23"/>
  <c r="I537" i="23" s="1"/>
  <c r="L533" i="23"/>
  <c r="X484" i="31" s="1"/>
  <c r="G533" i="23"/>
  <c r="I533" i="23" s="1"/>
  <c r="G368" i="23"/>
  <c r="I368" i="23" s="1"/>
  <c r="G570" i="8"/>
  <c r="E518" i="31" s="1"/>
  <c r="G527" i="8"/>
  <c r="E479" i="31" s="1"/>
  <c r="L525" i="23"/>
  <c r="X477" i="31" s="1"/>
  <c r="G429" i="23"/>
  <c r="I429" i="23" s="1"/>
  <c r="G423" i="8"/>
  <c r="E384" i="31" s="1"/>
  <c r="L331" i="23"/>
  <c r="X301" i="31" s="1"/>
  <c r="I325" i="23"/>
  <c r="G627" i="8"/>
  <c r="E570" i="31" s="1"/>
  <c r="L623" i="23"/>
  <c r="X566" i="31" s="1"/>
  <c r="L560" i="23"/>
  <c r="X509" i="31" s="1"/>
  <c r="S773" i="23"/>
  <c r="AA702" i="31" s="1"/>
  <c r="S714" i="23"/>
  <c r="AA649" i="31" s="1"/>
  <c r="S774" i="23"/>
  <c r="AA703" i="31" s="1"/>
  <c r="W703" i="31"/>
  <c r="S648" i="23"/>
  <c r="AA589" i="31" s="1"/>
  <c r="L55" i="23"/>
  <c r="X50" i="31" s="1"/>
  <c r="G54" i="8"/>
  <c r="E49" i="31" s="1"/>
  <c r="G53" i="23"/>
  <c r="I53" i="23" s="1"/>
  <c r="L47" i="23"/>
  <c r="X42" i="31" s="1"/>
  <c r="I47" i="23"/>
  <c r="L583" i="23"/>
  <c r="X530" i="31" s="1"/>
  <c r="L490" i="23"/>
  <c r="X445" i="31" s="1"/>
  <c r="L567" i="23"/>
  <c r="X515" i="31" s="1"/>
  <c r="G331" i="23"/>
  <c r="I331" i="23" s="1"/>
  <c r="G175" i="8"/>
  <c r="E159" i="31" s="1"/>
  <c r="L173" i="23"/>
  <c r="X157" i="31" s="1"/>
  <c r="G608" i="8"/>
  <c r="E552" i="31" s="1"/>
  <c r="L627" i="23"/>
  <c r="X570" i="31" s="1"/>
  <c r="G545" i="8"/>
  <c r="E495" i="31" s="1"/>
  <c r="L62" i="23"/>
  <c r="X56" i="31" s="1"/>
  <c r="E70" i="23"/>
  <c r="G70" i="23" s="1"/>
  <c r="I70" i="23" s="1"/>
  <c r="E70" i="8"/>
  <c r="G70" i="8" s="1"/>
  <c r="E63" i="31" s="1"/>
  <c r="F73" i="23"/>
  <c r="F73" i="8"/>
  <c r="R82" i="23"/>
  <c r="Z74" i="31" s="1"/>
  <c r="E83" i="10"/>
  <c r="Q83" i="23"/>
  <c r="R83" i="23" s="1"/>
  <c r="Z75" i="31" s="1"/>
  <c r="O83" i="23"/>
  <c r="Y75" i="31" s="1"/>
  <c r="H84" i="23"/>
  <c r="K84" i="23" s="1"/>
  <c r="N84" i="23" s="1"/>
  <c r="O84" i="23" s="1"/>
  <c r="Y76" i="31" s="1"/>
  <c r="E84" i="20"/>
  <c r="U76" i="31" s="1"/>
  <c r="R84" i="23"/>
  <c r="Z76" i="31" s="1"/>
  <c r="O85" i="23"/>
  <c r="Y77" i="31" s="1"/>
  <c r="H86" i="23"/>
  <c r="K86" i="23" s="1"/>
  <c r="N86" i="23" s="1"/>
  <c r="O86" i="23" s="1"/>
  <c r="Y78" i="31" s="1"/>
  <c r="E86" i="20"/>
  <c r="U78" i="31" s="1"/>
  <c r="R86" i="23"/>
  <c r="Z78" i="31" s="1"/>
  <c r="E87" i="10"/>
  <c r="Q87" i="23"/>
  <c r="R87" i="23" s="1"/>
  <c r="Z79" i="31" s="1"/>
  <c r="O87" i="23"/>
  <c r="Y79" i="31" s="1"/>
  <c r="H88" i="23"/>
  <c r="K88" i="23" s="1"/>
  <c r="N88" i="23" s="1"/>
  <c r="O88" i="23" s="1"/>
  <c r="Y80" i="31" s="1"/>
  <c r="E88" i="20"/>
  <c r="U80" i="31" s="1"/>
  <c r="R88" i="23"/>
  <c r="Z80" i="31" s="1"/>
  <c r="O89" i="23"/>
  <c r="Y81" i="31" s="1"/>
  <c r="E96" i="23"/>
  <c r="G96" i="23" s="1"/>
  <c r="E96" i="8"/>
  <c r="G96" i="8" s="1"/>
  <c r="E87" i="31" s="1"/>
  <c r="F97" i="23"/>
  <c r="F97" i="8"/>
  <c r="E98" i="23"/>
  <c r="G98" i="23" s="1"/>
  <c r="E98" i="8"/>
  <c r="G98" i="8" s="1"/>
  <c r="E89" i="31" s="1"/>
  <c r="F99" i="23"/>
  <c r="F99" i="8"/>
  <c r="E100" i="23"/>
  <c r="G100" i="23" s="1"/>
  <c r="E100" i="8"/>
  <c r="G100" i="8" s="1"/>
  <c r="E91" i="31" s="1"/>
  <c r="F102" i="23"/>
  <c r="F102" i="8"/>
  <c r="E103" i="23"/>
  <c r="G103" i="23" s="1"/>
  <c r="I103" i="23" s="1"/>
  <c r="E103" i="8"/>
  <c r="G103" i="8" s="1"/>
  <c r="E93" i="31" s="1"/>
  <c r="O103" i="23"/>
  <c r="Y93" i="31" s="1"/>
  <c r="F104" i="23"/>
  <c r="F104" i="8"/>
  <c r="E105" i="10"/>
  <c r="Q105" i="23"/>
  <c r="O105" i="23"/>
  <c r="Y95" i="31" s="1"/>
  <c r="H106" i="23"/>
  <c r="K106" i="23" s="1"/>
  <c r="N106" i="23" s="1"/>
  <c r="O106" i="23" s="1"/>
  <c r="Y96" i="31" s="1"/>
  <c r="E106" i="20"/>
  <c r="U96" i="31" s="1"/>
  <c r="R106" i="23"/>
  <c r="Z96" i="31" s="1"/>
  <c r="O107" i="23"/>
  <c r="Y97" i="31" s="1"/>
  <c r="H108" i="23"/>
  <c r="K108" i="23" s="1"/>
  <c r="N108" i="23" s="1"/>
  <c r="O108" i="23" s="1"/>
  <c r="Y98" i="31" s="1"/>
  <c r="E108" i="20"/>
  <c r="U98" i="31" s="1"/>
  <c r="R108" i="23"/>
  <c r="Z98" i="31" s="1"/>
  <c r="E109" i="10"/>
  <c r="Q109" i="23"/>
  <c r="O109" i="23"/>
  <c r="Y99" i="31" s="1"/>
  <c r="H110" i="23"/>
  <c r="K110" i="23" s="1"/>
  <c r="N110" i="23" s="1"/>
  <c r="O110" i="23" s="1"/>
  <c r="Y100" i="31" s="1"/>
  <c r="E110" i="20"/>
  <c r="U100" i="31" s="1"/>
  <c r="R110" i="23"/>
  <c r="Z100" i="31" s="1"/>
  <c r="O111" i="23"/>
  <c r="Y101" i="31" s="1"/>
  <c r="H25" i="23"/>
  <c r="K25" i="23" s="1"/>
  <c r="N25" i="23" s="1"/>
  <c r="O25" i="23" s="1"/>
  <c r="Y22" i="31" s="1"/>
  <c r="E25" i="20"/>
  <c r="U22" i="31" s="1"/>
  <c r="R25" i="23"/>
  <c r="Z22" i="31" s="1"/>
  <c r="F26" i="23"/>
  <c r="F26" i="8"/>
  <c r="E27" i="23"/>
  <c r="G27" i="23" s="1"/>
  <c r="E27" i="8"/>
  <c r="G27" i="8" s="1"/>
  <c r="E24" i="31" s="1"/>
  <c r="F28" i="23"/>
  <c r="F28" i="8"/>
  <c r="E29" i="23"/>
  <c r="G29" i="23" s="1"/>
  <c r="E29" i="8"/>
  <c r="G29" i="8" s="1"/>
  <c r="E26" i="31" s="1"/>
  <c r="F30" i="23"/>
  <c r="F30" i="8"/>
  <c r="E31" i="23"/>
  <c r="G31" i="23" s="1"/>
  <c r="E31" i="8"/>
  <c r="G31" i="8" s="1"/>
  <c r="E28" i="31" s="1"/>
  <c r="F32" i="23"/>
  <c r="F32" i="8"/>
  <c r="E33" i="23"/>
  <c r="G33" i="23" s="1"/>
  <c r="E33" i="8"/>
  <c r="G33" i="8" s="1"/>
  <c r="E30" i="31" s="1"/>
  <c r="F34" i="23"/>
  <c r="F34" i="8"/>
  <c r="H44" i="23"/>
  <c r="K44" i="23" s="1"/>
  <c r="N44" i="23" s="1"/>
  <c r="O44" i="23" s="1"/>
  <c r="Y40" i="31" s="1"/>
  <c r="E44" i="20"/>
  <c r="U40" i="31" s="1"/>
  <c r="L44" i="23"/>
  <c r="X40" i="31" s="1"/>
  <c r="E45" i="10"/>
  <c r="Q45" i="23"/>
  <c r="R45" i="23" s="1"/>
  <c r="Z41" i="31" s="1"/>
  <c r="O45" i="23"/>
  <c r="Y41" i="31" s="1"/>
  <c r="G68" i="12"/>
  <c r="H118" i="23"/>
  <c r="K118" i="23" s="1"/>
  <c r="N118" i="23" s="1"/>
  <c r="E118" i="20"/>
  <c r="U107" i="31" s="1"/>
  <c r="F118" i="11"/>
  <c r="P118" i="23"/>
  <c r="R118" i="23" s="1"/>
  <c r="Z107" i="31" s="1"/>
  <c r="F119" i="10"/>
  <c r="H119" i="23"/>
  <c r="K119" i="23" s="1"/>
  <c r="N119" i="23" s="1"/>
  <c r="O119" i="23" s="1"/>
  <c r="Y108" i="31" s="1"/>
  <c r="E119" i="20"/>
  <c r="U108" i="31" s="1"/>
  <c r="R119" i="23"/>
  <c r="Z108" i="31" s="1"/>
  <c r="F120" i="23"/>
  <c r="F120" i="8"/>
  <c r="E121" i="23"/>
  <c r="G121" i="23" s="1"/>
  <c r="E121" i="8"/>
  <c r="G121" i="8" s="1"/>
  <c r="E110" i="31" s="1"/>
  <c r="F122" i="23"/>
  <c r="F122" i="8"/>
  <c r="E135" i="23"/>
  <c r="G135" i="23" s="1"/>
  <c r="E135" i="8"/>
  <c r="G135" i="8" s="1"/>
  <c r="E122" i="31" s="1"/>
  <c r="H136" i="23"/>
  <c r="K136" i="23" s="1"/>
  <c r="N136" i="23" s="1"/>
  <c r="O136" i="23" s="1"/>
  <c r="Y123" i="31" s="1"/>
  <c r="E136" i="20"/>
  <c r="U123" i="31" s="1"/>
  <c r="R136" i="23"/>
  <c r="Z123" i="31" s="1"/>
  <c r="O137" i="23"/>
  <c r="Y124" i="31" s="1"/>
  <c r="H138" i="23"/>
  <c r="K138" i="23" s="1"/>
  <c r="N138" i="23" s="1"/>
  <c r="O138" i="23" s="1"/>
  <c r="Y125" i="31" s="1"/>
  <c r="E138" i="20"/>
  <c r="U125" i="31" s="1"/>
  <c r="R138" i="23"/>
  <c r="Z125" i="31" s="1"/>
  <c r="O139" i="23"/>
  <c r="Y126" i="31" s="1"/>
  <c r="H140" i="23"/>
  <c r="K140" i="23" s="1"/>
  <c r="N140" i="23" s="1"/>
  <c r="O140" i="23" s="1"/>
  <c r="Y127" i="31" s="1"/>
  <c r="E140" i="20"/>
  <c r="U127" i="31" s="1"/>
  <c r="R140" i="23"/>
  <c r="Z127" i="31" s="1"/>
  <c r="O141" i="23"/>
  <c r="Y128" i="31" s="1"/>
  <c r="E142" i="20"/>
  <c r="U129" i="31" s="1"/>
  <c r="H142" i="23"/>
  <c r="K142" i="23" s="1"/>
  <c r="N142" i="23" s="1"/>
  <c r="O142" i="23" s="1"/>
  <c r="Y129" i="31" s="1"/>
  <c r="R142" i="23"/>
  <c r="Z129" i="31" s="1"/>
  <c r="H144" i="23"/>
  <c r="K144" i="23" s="1"/>
  <c r="N144" i="23" s="1"/>
  <c r="O144" i="23" s="1"/>
  <c r="Y131" i="31" s="1"/>
  <c r="E144" i="20"/>
  <c r="U131" i="31" s="1"/>
  <c r="R144" i="23"/>
  <c r="Z131" i="31" s="1"/>
  <c r="O155" i="23"/>
  <c r="Y141" i="31" s="1"/>
  <c r="H159" i="23"/>
  <c r="K159" i="23" s="1"/>
  <c r="N159" i="23" s="1"/>
  <c r="O159" i="23" s="1"/>
  <c r="Y144" i="31" s="1"/>
  <c r="E159" i="20"/>
  <c r="U144" i="31" s="1"/>
  <c r="F159" i="11"/>
  <c r="P159" i="23"/>
  <c r="R159" i="23" s="1"/>
  <c r="Z144" i="31" s="1"/>
  <c r="O160" i="23"/>
  <c r="Y145" i="31" s="1"/>
  <c r="H161" i="23"/>
  <c r="K161" i="23" s="1"/>
  <c r="N161" i="23" s="1"/>
  <c r="O161" i="23" s="1"/>
  <c r="Y146" i="31" s="1"/>
  <c r="E161" i="20"/>
  <c r="U146" i="31" s="1"/>
  <c r="R161" i="23"/>
  <c r="Z146" i="31" s="1"/>
  <c r="F163" i="23"/>
  <c r="F163" i="8"/>
  <c r="R162" i="23"/>
  <c r="Z147" i="31" s="1"/>
  <c r="O164" i="23"/>
  <c r="Y149" i="31" s="1"/>
  <c r="H165" i="23"/>
  <c r="K165" i="23" s="1"/>
  <c r="N165" i="23" s="1"/>
  <c r="O165" i="23" s="1"/>
  <c r="Y150" i="31" s="1"/>
  <c r="E165" i="20"/>
  <c r="U150" i="31" s="1"/>
  <c r="R165" i="23"/>
  <c r="Z150" i="31" s="1"/>
  <c r="O166" i="23"/>
  <c r="Y151" i="31" s="1"/>
  <c r="E95" i="23"/>
  <c r="G95" i="23" s="1"/>
  <c r="I95" i="23" s="1"/>
  <c r="E95" i="8"/>
  <c r="F95" i="23"/>
  <c r="F95" i="8"/>
  <c r="L95" i="23"/>
  <c r="X86" i="31" s="1"/>
  <c r="G94" i="12"/>
  <c r="I85" i="31" s="1"/>
  <c r="O93" i="23"/>
  <c r="Y84" i="31" s="1"/>
  <c r="H92" i="23"/>
  <c r="K92" i="23" s="1"/>
  <c r="N92" i="23" s="1"/>
  <c r="O92" i="23" s="1"/>
  <c r="Y83" i="31" s="1"/>
  <c r="E92" i="20"/>
  <c r="U83" i="31" s="1"/>
  <c r="G92" i="12"/>
  <c r="I83" i="31" s="1"/>
  <c r="F91" i="23"/>
  <c r="F91" i="8"/>
  <c r="H125" i="23"/>
  <c r="K125" i="23" s="1"/>
  <c r="N125" i="23" s="1"/>
  <c r="O125" i="23" s="1"/>
  <c r="Y113" i="31" s="1"/>
  <c r="E125" i="20"/>
  <c r="U113" i="31" s="1"/>
  <c r="E126" i="23"/>
  <c r="G126" i="23" s="1"/>
  <c r="E126" i="8"/>
  <c r="G126" i="8" s="1"/>
  <c r="E114" i="31" s="1"/>
  <c r="F127" i="23"/>
  <c r="F127" i="8"/>
  <c r="H128" i="23"/>
  <c r="K128" i="23" s="1"/>
  <c r="N128" i="23" s="1"/>
  <c r="O128" i="23" s="1"/>
  <c r="Y116" i="31" s="1"/>
  <c r="E128" i="20"/>
  <c r="U116" i="31" s="1"/>
  <c r="F128" i="11"/>
  <c r="P128" i="23"/>
  <c r="R128" i="23" s="1"/>
  <c r="Z116" i="31" s="1"/>
  <c r="H129" i="23"/>
  <c r="K129" i="23" s="1"/>
  <c r="N129" i="23" s="1"/>
  <c r="E129" i="20"/>
  <c r="U117" i="31" s="1"/>
  <c r="H130" i="23"/>
  <c r="K130" i="23" s="1"/>
  <c r="N130" i="23" s="1"/>
  <c r="O130" i="23" s="1"/>
  <c r="Y118" i="31" s="1"/>
  <c r="E130" i="20"/>
  <c r="U118" i="31" s="1"/>
  <c r="R130" i="23"/>
  <c r="Z118" i="31" s="1"/>
  <c r="E131" i="23"/>
  <c r="G131" i="23" s="1"/>
  <c r="E131" i="8"/>
  <c r="G131" i="8" s="1"/>
  <c r="E119" i="31" s="1"/>
  <c r="H132" i="23"/>
  <c r="K132" i="23" s="1"/>
  <c r="N132" i="23" s="1"/>
  <c r="O132" i="23" s="1"/>
  <c r="Y120" i="31" s="1"/>
  <c r="E132" i="20"/>
  <c r="U120" i="31" s="1"/>
  <c r="F45" i="23"/>
  <c r="F45" i="8"/>
  <c r="E215" i="23"/>
  <c r="E215" i="8"/>
  <c r="F214" i="23"/>
  <c r="F214" i="8"/>
  <c r="L214" i="23"/>
  <c r="X194" i="31" s="1"/>
  <c r="H216" i="23"/>
  <c r="K216" i="23" s="1"/>
  <c r="N216" i="23" s="1"/>
  <c r="O216" i="23" s="1"/>
  <c r="Y196" i="31" s="1"/>
  <c r="E216" i="20"/>
  <c r="U196" i="31" s="1"/>
  <c r="R216" i="23"/>
  <c r="Z196" i="31" s="1"/>
  <c r="O217" i="23"/>
  <c r="Y197" i="31" s="1"/>
  <c r="H218" i="23"/>
  <c r="K218" i="23" s="1"/>
  <c r="N218" i="23" s="1"/>
  <c r="O218" i="23" s="1"/>
  <c r="Y198" i="31" s="1"/>
  <c r="E218" i="20"/>
  <c r="U198" i="31" s="1"/>
  <c r="R218" i="23"/>
  <c r="Z198" i="31" s="1"/>
  <c r="O219" i="23"/>
  <c r="Y199" i="31" s="1"/>
  <c r="H220" i="23"/>
  <c r="K220" i="23" s="1"/>
  <c r="N220" i="23" s="1"/>
  <c r="O220" i="23" s="1"/>
  <c r="Y200" i="31" s="1"/>
  <c r="E220" i="20"/>
  <c r="U200" i="31" s="1"/>
  <c r="R220" i="23"/>
  <c r="Z200" i="31" s="1"/>
  <c r="O221" i="23"/>
  <c r="Y201" i="31" s="1"/>
  <c r="H201" i="23"/>
  <c r="K201" i="23" s="1"/>
  <c r="N201" i="23" s="1"/>
  <c r="O201" i="23" s="1"/>
  <c r="Y182" i="31" s="1"/>
  <c r="E201" i="20"/>
  <c r="U182" i="31" s="1"/>
  <c r="F201" i="11"/>
  <c r="P201" i="23"/>
  <c r="R201" i="23" s="1"/>
  <c r="Z182" i="31" s="1"/>
  <c r="G201" i="12"/>
  <c r="I182" i="31" s="1"/>
  <c r="F202" i="23"/>
  <c r="F202" i="8"/>
  <c r="E203" i="23"/>
  <c r="G203" i="23" s="1"/>
  <c r="E203" i="8"/>
  <c r="G203" i="8" s="1"/>
  <c r="E184" i="31" s="1"/>
  <c r="G203" i="12"/>
  <c r="I184" i="31" s="1"/>
  <c r="F204" i="23"/>
  <c r="F204" i="8"/>
  <c r="E205" i="23"/>
  <c r="E205" i="8"/>
  <c r="F205" i="11"/>
  <c r="P205" i="23"/>
  <c r="R205" i="23" s="1"/>
  <c r="Z186" i="31" s="1"/>
  <c r="F206" i="23"/>
  <c r="F206" i="8"/>
  <c r="H208" i="23"/>
  <c r="K208" i="23" s="1"/>
  <c r="N208" i="23" s="1"/>
  <c r="E208" i="20"/>
  <c r="U189" i="31" s="1"/>
  <c r="R208" i="23"/>
  <c r="Z189" i="31" s="1"/>
  <c r="O208" i="23"/>
  <c r="Y189" i="31" s="1"/>
  <c r="E209" i="23"/>
  <c r="G209" i="23" s="1"/>
  <c r="E209" i="8"/>
  <c r="G209" i="8" s="1"/>
  <c r="E190" i="31" s="1"/>
  <c r="G209" i="12"/>
  <c r="I190" i="31" s="1"/>
  <c r="F210" i="23"/>
  <c r="F210" i="8"/>
  <c r="E190" i="23"/>
  <c r="G190" i="23" s="1"/>
  <c r="E190" i="8"/>
  <c r="G190" i="8" s="1"/>
  <c r="E172" i="31" s="1"/>
  <c r="H191" i="23"/>
  <c r="K191" i="23" s="1"/>
  <c r="N191" i="23" s="1"/>
  <c r="O191" i="23" s="1"/>
  <c r="Y173" i="31" s="1"/>
  <c r="E191" i="20"/>
  <c r="U173" i="31" s="1"/>
  <c r="F191" i="11"/>
  <c r="P191" i="23"/>
  <c r="R191" i="23" s="1"/>
  <c r="Z173" i="31" s="1"/>
  <c r="O192" i="23"/>
  <c r="Y174" i="31" s="1"/>
  <c r="H193" i="23"/>
  <c r="K193" i="23" s="1"/>
  <c r="N193" i="23" s="1"/>
  <c r="O193" i="23" s="1"/>
  <c r="Y175" i="31" s="1"/>
  <c r="E193" i="20"/>
  <c r="U175" i="31" s="1"/>
  <c r="F193" i="11"/>
  <c r="P193" i="23"/>
  <c r="R193" i="23" s="1"/>
  <c r="Z175" i="31" s="1"/>
  <c r="O194" i="23"/>
  <c r="Y176" i="31" s="1"/>
  <c r="H195" i="23"/>
  <c r="K195" i="23" s="1"/>
  <c r="N195" i="23" s="1"/>
  <c r="O195" i="23" s="1"/>
  <c r="Y177" i="31" s="1"/>
  <c r="E195" i="20"/>
  <c r="U177" i="31" s="1"/>
  <c r="F195" i="11"/>
  <c r="P195" i="23"/>
  <c r="R195" i="23" s="1"/>
  <c r="Z177" i="31" s="1"/>
  <c r="O196" i="23"/>
  <c r="Y178" i="31" s="1"/>
  <c r="H197" i="23"/>
  <c r="K197" i="23" s="1"/>
  <c r="N197" i="23" s="1"/>
  <c r="O197" i="23" s="1"/>
  <c r="Y179" i="31" s="1"/>
  <c r="E197" i="20"/>
  <c r="U179" i="31" s="1"/>
  <c r="F197" i="11"/>
  <c r="P197" i="23"/>
  <c r="R197" i="23" s="1"/>
  <c r="Z179" i="31" s="1"/>
  <c r="O198" i="23"/>
  <c r="Y180" i="31" s="1"/>
  <c r="H199" i="23"/>
  <c r="K199" i="23" s="1"/>
  <c r="N199" i="23" s="1"/>
  <c r="O199" i="23" s="1"/>
  <c r="Y181" i="31" s="1"/>
  <c r="E199" i="20"/>
  <c r="U181" i="31" s="1"/>
  <c r="F199" i="11"/>
  <c r="P199" i="23"/>
  <c r="R199" i="23" s="1"/>
  <c r="Z181" i="31" s="1"/>
  <c r="H183" i="23"/>
  <c r="K183" i="23" s="1"/>
  <c r="N183" i="23" s="1"/>
  <c r="E183" i="20"/>
  <c r="U166" i="31" s="1"/>
  <c r="F183" i="11"/>
  <c r="P183" i="23"/>
  <c r="R183" i="23" s="1"/>
  <c r="Z166" i="31" s="1"/>
  <c r="O183" i="23"/>
  <c r="Y166" i="31" s="1"/>
  <c r="O185" i="23"/>
  <c r="Y168" i="31" s="1"/>
  <c r="H186" i="23"/>
  <c r="K186" i="23" s="1"/>
  <c r="N186" i="23" s="1"/>
  <c r="O186" i="23" s="1"/>
  <c r="Y169" i="31" s="1"/>
  <c r="E186" i="20"/>
  <c r="U169" i="31" s="1"/>
  <c r="R186" i="23"/>
  <c r="Z169" i="31" s="1"/>
  <c r="O187" i="23"/>
  <c r="Y170" i="31" s="1"/>
  <c r="H188" i="23"/>
  <c r="K188" i="23" s="1"/>
  <c r="N188" i="23" s="1"/>
  <c r="O188" i="23" s="1"/>
  <c r="Y171" i="31" s="1"/>
  <c r="E188" i="20"/>
  <c r="U171" i="31" s="1"/>
  <c r="R188" i="23"/>
  <c r="Z171" i="31" s="1"/>
  <c r="F267" i="23"/>
  <c r="F267" i="8"/>
  <c r="O268" i="23"/>
  <c r="Y243" i="31" s="1"/>
  <c r="F269" i="10"/>
  <c r="H269" i="23"/>
  <c r="K269" i="23" s="1"/>
  <c r="N269" i="23" s="1"/>
  <c r="O269" i="23" s="1"/>
  <c r="Y244" i="31" s="1"/>
  <c r="E269" i="20"/>
  <c r="U244" i="31" s="1"/>
  <c r="F269" i="11"/>
  <c r="P269" i="23"/>
  <c r="R269" i="23" s="1"/>
  <c r="Z244" i="31" s="1"/>
  <c r="O270" i="23"/>
  <c r="Y245" i="31" s="1"/>
  <c r="F271" i="10"/>
  <c r="H271" i="23"/>
  <c r="K271" i="23" s="1"/>
  <c r="N271" i="23" s="1"/>
  <c r="O271" i="23" s="1"/>
  <c r="Y246" i="31" s="1"/>
  <c r="E271" i="20"/>
  <c r="U246" i="31" s="1"/>
  <c r="F271" i="11"/>
  <c r="P271" i="23"/>
  <c r="R271" i="23" s="1"/>
  <c r="Z246" i="31" s="1"/>
  <c r="O272" i="23"/>
  <c r="Y247" i="31" s="1"/>
  <c r="F273" i="10"/>
  <c r="H273" i="23"/>
  <c r="K273" i="23" s="1"/>
  <c r="N273" i="23" s="1"/>
  <c r="O273" i="23" s="1"/>
  <c r="Y248" i="31" s="1"/>
  <c r="E273" i="20"/>
  <c r="U248" i="31" s="1"/>
  <c r="F273" i="11"/>
  <c r="P273" i="23"/>
  <c r="R273" i="23" s="1"/>
  <c r="Z248" i="31" s="1"/>
  <c r="O274" i="23"/>
  <c r="Y249" i="31" s="1"/>
  <c r="F275" i="10"/>
  <c r="H275" i="23"/>
  <c r="K275" i="23" s="1"/>
  <c r="N275" i="23" s="1"/>
  <c r="O275" i="23" s="1"/>
  <c r="Y250" i="31" s="1"/>
  <c r="E275" i="20"/>
  <c r="U250" i="31" s="1"/>
  <c r="F275" i="11"/>
  <c r="P275" i="23"/>
  <c r="R275" i="23" s="1"/>
  <c r="Z250" i="31" s="1"/>
  <c r="O276" i="23"/>
  <c r="Y251" i="31" s="1"/>
  <c r="E285" i="23"/>
  <c r="G285" i="23" s="1"/>
  <c r="I285" i="23" s="1"/>
  <c r="E285" i="8"/>
  <c r="G285" i="8" s="1"/>
  <c r="E259" i="31" s="1"/>
  <c r="F285" i="23"/>
  <c r="F285" i="8"/>
  <c r="L285" i="23"/>
  <c r="X259" i="31" s="1"/>
  <c r="O287" i="23"/>
  <c r="Y261" i="31" s="1"/>
  <c r="E290" i="23"/>
  <c r="G290" i="23" s="1"/>
  <c r="E290" i="8"/>
  <c r="G290" i="8" s="1"/>
  <c r="E263" i="31" s="1"/>
  <c r="F290" i="11"/>
  <c r="P290" i="23"/>
  <c r="R290" i="23" s="1"/>
  <c r="Z263" i="31" s="1"/>
  <c r="E292" i="23"/>
  <c r="G292" i="23" s="1"/>
  <c r="E292" i="8"/>
  <c r="G292" i="8" s="1"/>
  <c r="E265" i="31" s="1"/>
  <c r="F293" i="23"/>
  <c r="F293" i="8"/>
  <c r="E294" i="23"/>
  <c r="G294" i="23" s="1"/>
  <c r="E294" i="8"/>
  <c r="G294" i="8" s="1"/>
  <c r="E267" i="31" s="1"/>
  <c r="F295" i="10"/>
  <c r="H295" i="23"/>
  <c r="K295" i="23" s="1"/>
  <c r="N295" i="23" s="1"/>
  <c r="O295" i="23" s="1"/>
  <c r="Y268" i="31" s="1"/>
  <c r="E295" i="20"/>
  <c r="U268" i="31" s="1"/>
  <c r="F295" i="11"/>
  <c r="P295" i="23"/>
  <c r="R295" i="23" s="1"/>
  <c r="Z268" i="31" s="1"/>
  <c r="O296" i="23"/>
  <c r="Y269" i="31" s="1"/>
  <c r="F297" i="10"/>
  <c r="H297" i="23"/>
  <c r="K297" i="23" s="1"/>
  <c r="N297" i="23" s="1"/>
  <c r="O297" i="23" s="1"/>
  <c r="Y270" i="31" s="1"/>
  <c r="E297" i="20"/>
  <c r="U270" i="31" s="1"/>
  <c r="F297" i="11"/>
  <c r="P297" i="23"/>
  <c r="R297" i="23" s="1"/>
  <c r="Z270" i="31" s="1"/>
  <c r="O298" i="23"/>
  <c r="Y271" i="31" s="1"/>
  <c r="E337" i="23"/>
  <c r="E337" i="8"/>
  <c r="G337" i="8" s="1"/>
  <c r="E306" i="31" s="1"/>
  <c r="F337" i="23"/>
  <c r="F337" i="8"/>
  <c r="L337" i="23"/>
  <c r="X306" i="31" s="1"/>
  <c r="F339" i="10"/>
  <c r="H339" i="23"/>
  <c r="K339" i="23" s="1"/>
  <c r="N339" i="23" s="1"/>
  <c r="O339" i="23" s="1"/>
  <c r="Y308" i="31" s="1"/>
  <c r="E339" i="20"/>
  <c r="U308" i="31" s="1"/>
  <c r="F339" i="11"/>
  <c r="P339" i="23"/>
  <c r="R339" i="23" s="1"/>
  <c r="Z308" i="31" s="1"/>
  <c r="O340" i="23"/>
  <c r="Y309" i="31" s="1"/>
  <c r="F341" i="10"/>
  <c r="H341" i="23"/>
  <c r="K341" i="23" s="1"/>
  <c r="N341" i="23" s="1"/>
  <c r="O341" i="23" s="1"/>
  <c r="Y310" i="31" s="1"/>
  <c r="E341" i="20"/>
  <c r="U310" i="31" s="1"/>
  <c r="F341" i="11"/>
  <c r="P341" i="23"/>
  <c r="R341" i="23" s="1"/>
  <c r="Z310" i="31" s="1"/>
  <c r="O342" i="23"/>
  <c r="Y311" i="31" s="1"/>
  <c r="F357" i="10"/>
  <c r="H357" i="23"/>
  <c r="K357" i="23" s="1"/>
  <c r="N357" i="23" s="1"/>
  <c r="O357" i="23" s="1"/>
  <c r="Y324" i="31" s="1"/>
  <c r="E357" i="20"/>
  <c r="U324" i="31" s="1"/>
  <c r="F357" i="11"/>
  <c r="P357" i="23"/>
  <c r="R357" i="23" s="1"/>
  <c r="Z324" i="31" s="1"/>
  <c r="F358" i="23"/>
  <c r="F358" i="8"/>
  <c r="E359" i="23"/>
  <c r="G359" i="23" s="1"/>
  <c r="E359" i="8"/>
  <c r="G359" i="8" s="1"/>
  <c r="E326" i="31" s="1"/>
  <c r="F360" i="23"/>
  <c r="F360" i="8"/>
  <c r="E361" i="23"/>
  <c r="G361" i="23" s="1"/>
  <c r="E361" i="8"/>
  <c r="G361" i="8" s="1"/>
  <c r="E328" i="31" s="1"/>
  <c r="F362" i="23"/>
  <c r="F362" i="8"/>
  <c r="F363" i="10"/>
  <c r="H363" i="23"/>
  <c r="K363" i="23" s="1"/>
  <c r="N363" i="23" s="1"/>
  <c r="O363" i="23" s="1"/>
  <c r="Y330" i="31" s="1"/>
  <c r="E363" i="20"/>
  <c r="U330" i="31" s="1"/>
  <c r="F363" i="11"/>
  <c r="P363" i="23"/>
  <c r="R363" i="23" s="1"/>
  <c r="Z330" i="31" s="1"/>
  <c r="F364" i="23"/>
  <c r="F364" i="8"/>
  <c r="F383" i="23"/>
  <c r="F383" i="8"/>
  <c r="F382" i="10"/>
  <c r="E382" i="20"/>
  <c r="U347" i="31" s="1"/>
  <c r="H382" i="23"/>
  <c r="K382" i="23" s="1"/>
  <c r="N382" i="23" s="1"/>
  <c r="L384" i="23"/>
  <c r="X349" i="31" s="1"/>
  <c r="F385" i="23"/>
  <c r="F385" i="8"/>
  <c r="E386" i="23"/>
  <c r="G386" i="23" s="1"/>
  <c r="E386" i="8"/>
  <c r="G386" i="8" s="1"/>
  <c r="E351" i="31" s="1"/>
  <c r="E402" i="23"/>
  <c r="G402" i="23" s="1"/>
  <c r="I402" i="23" s="1"/>
  <c r="E402" i="8"/>
  <c r="G402" i="8" s="1"/>
  <c r="E365" i="31" s="1"/>
  <c r="F401" i="23"/>
  <c r="F401" i="8"/>
  <c r="L402" i="23"/>
  <c r="X365" i="31" s="1"/>
  <c r="F403" i="23"/>
  <c r="F403" i="8"/>
  <c r="F405" i="10"/>
  <c r="H405" i="23"/>
  <c r="K405" i="23" s="1"/>
  <c r="N405" i="23" s="1"/>
  <c r="E405" i="20"/>
  <c r="U368" i="31" s="1"/>
  <c r="F405" i="11"/>
  <c r="P405" i="23"/>
  <c r="R405" i="23" s="1"/>
  <c r="Z368" i="31" s="1"/>
  <c r="O405" i="23"/>
  <c r="Y368" i="31" s="1"/>
  <c r="E406" i="23"/>
  <c r="G406" i="23" s="1"/>
  <c r="E406" i="8"/>
  <c r="G406" i="8" s="1"/>
  <c r="E369" i="31" s="1"/>
  <c r="F407" i="23"/>
  <c r="F407" i="8"/>
  <c r="E408" i="23"/>
  <c r="G408" i="23" s="1"/>
  <c r="E408" i="8"/>
  <c r="G408" i="8" s="1"/>
  <c r="E371" i="31" s="1"/>
  <c r="E412" i="23"/>
  <c r="G412" i="23" s="1"/>
  <c r="E412" i="8"/>
  <c r="G412" i="8" s="1"/>
  <c r="E374" i="31" s="1"/>
  <c r="F413" i="23"/>
  <c r="F413" i="8"/>
  <c r="L413" i="23"/>
  <c r="X375" i="31" s="1"/>
  <c r="F414" i="23"/>
  <c r="F414" i="8"/>
  <c r="O414" i="23"/>
  <c r="Y376" i="31" s="1"/>
  <c r="F415" i="10"/>
  <c r="H415" i="23"/>
  <c r="K415" i="23" s="1"/>
  <c r="N415" i="23" s="1"/>
  <c r="O415" i="23" s="1"/>
  <c r="Y377" i="31" s="1"/>
  <c r="E415" i="20"/>
  <c r="U377" i="31" s="1"/>
  <c r="F415" i="11"/>
  <c r="P415" i="23"/>
  <c r="R415" i="23" s="1"/>
  <c r="Z377" i="31" s="1"/>
  <c r="F416" i="23"/>
  <c r="F416" i="8"/>
  <c r="E417" i="23"/>
  <c r="G417" i="23" s="1"/>
  <c r="E417" i="8"/>
  <c r="G417" i="8" s="1"/>
  <c r="E379" i="31" s="1"/>
  <c r="F418" i="23"/>
  <c r="F418" i="8"/>
  <c r="E419" i="23"/>
  <c r="G419" i="23" s="1"/>
  <c r="E419" i="8"/>
  <c r="G419" i="8" s="1"/>
  <c r="E381" i="31" s="1"/>
  <c r="E436" i="23"/>
  <c r="G436" i="23" s="1"/>
  <c r="I436" i="23" s="1"/>
  <c r="E436" i="8"/>
  <c r="G436" i="8" s="1"/>
  <c r="E396" i="31" s="1"/>
  <c r="F436" i="23"/>
  <c r="F436" i="8"/>
  <c r="L436" i="23"/>
  <c r="X396" i="31" s="1"/>
  <c r="F437" i="23"/>
  <c r="F437" i="8"/>
  <c r="E438" i="23"/>
  <c r="G438" i="23" s="1"/>
  <c r="E438" i="8"/>
  <c r="G438" i="8" s="1"/>
  <c r="E398" i="31" s="1"/>
  <c r="F438" i="11"/>
  <c r="P438" i="23"/>
  <c r="R438" i="23" s="1"/>
  <c r="Z398" i="31" s="1"/>
  <c r="E440" i="23"/>
  <c r="G440" i="23" s="1"/>
  <c r="E440" i="8"/>
  <c r="G440" i="8" s="1"/>
  <c r="E400" i="31" s="1"/>
  <c r="F441" i="23"/>
  <c r="F441" i="8"/>
  <c r="E446" i="23"/>
  <c r="E446" i="8"/>
  <c r="F447" i="10"/>
  <c r="H447" i="23"/>
  <c r="K447" i="23" s="1"/>
  <c r="N447" i="23" s="1"/>
  <c r="E447" i="20"/>
  <c r="U406" i="31" s="1"/>
  <c r="F447" i="11"/>
  <c r="P447" i="23"/>
  <c r="R447" i="23" s="1"/>
  <c r="Z406" i="31" s="1"/>
  <c r="O447" i="23"/>
  <c r="Y406" i="31" s="1"/>
  <c r="E448" i="23"/>
  <c r="G448" i="23" s="1"/>
  <c r="E448" i="8"/>
  <c r="G448" i="8" s="1"/>
  <c r="E407" i="31" s="1"/>
  <c r="F449" i="23"/>
  <c r="F449" i="8"/>
  <c r="E450" i="23"/>
  <c r="G450" i="23" s="1"/>
  <c r="E450" i="8"/>
  <c r="G450" i="8" s="1"/>
  <c r="E409" i="31" s="1"/>
  <c r="F451" i="23"/>
  <c r="F451" i="8"/>
  <c r="E452" i="23"/>
  <c r="G452" i="23" s="1"/>
  <c r="E452" i="8"/>
  <c r="G452" i="8" s="1"/>
  <c r="E411" i="31" s="1"/>
  <c r="F454" i="23"/>
  <c r="F454" i="8"/>
  <c r="O455" i="23"/>
  <c r="Y413" i="31" s="1"/>
  <c r="F456" i="10"/>
  <c r="H456" i="23"/>
  <c r="K456" i="23" s="1"/>
  <c r="N456" i="23" s="1"/>
  <c r="O456" i="23" s="1"/>
  <c r="Y414" i="31" s="1"/>
  <c r="E456" i="20"/>
  <c r="U414" i="31" s="1"/>
  <c r="F456" i="11"/>
  <c r="P456" i="23"/>
  <c r="R456" i="23" s="1"/>
  <c r="Z414" i="31" s="1"/>
  <c r="O457" i="23"/>
  <c r="Y415" i="31" s="1"/>
  <c r="F458" i="10"/>
  <c r="H458" i="23"/>
  <c r="K458" i="23" s="1"/>
  <c r="N458" i="23" s="1"/>
  <c r="O458" i="23" s="1"/>
  <c r="Y416" i="31" s="1"/>
  <c r="E458" i="20"/>
  <c r="U416" i="31" s="1"/>
  <c r="F458" i="11"/>
  <c r="P458" i="23"/>
  <c r="R458" i="23" s="1"/>
  <c r="Z416" i="31" s="1"/>
  <c r="O459" i="23"/>
  <c r="Y417" i="31" s="1"/>
  <c r="F460" i="10"/>
  <c r="H460" i="23"/>
  <c r="K460" i="23" s="1"/>
  <c r="N460" i="23" s="1"/>
  <c r="O460" i="23" s="1"/>
  <c r="Y418" i="31" s="1"/>
  <c r="E460" i="20"/>
  <c r="U418" i="31" s="1"/>
  <c r="F460" i="11"/>
  <c r="P460" i="23"/>
  <c r="R460" i="23" s="1"/>
  <c r="Z418" i="31" s="1"/>
  <c r="O461" i="23"/>
  <c r="Y419" i="31" s="1"/>
  <c r="F462" i="10"/>
  <c r="H462" i="23"/>
  <c r="K462" i="23" s="1"/>
  <c r="N462" i="23" s="1"/>
  <c r="O462" i="23" s="1"/>
  <c r="Y420" i="31" s="1"/>
  <c r="E462" i="20"/>
  <c r="U420" i="31" s="1"/>
  <c r="F462" i="11"/>
  <c r="P462" i="23"/>
  <c r="R462" i="23" s="1"/>
  <c r="Z420" i="31" s="1"/>
  <c r="O463" i="23"/>
  <c r="Y421" i="31" s="1"/>
  <c r="F465" i="10"/>
  <c r="H465" i="23"/>
  <c r="K465" i="23" s="1"/>
  <c r="N465" i="23" s="1"/>
  <c r="O465" i="23" s="1"/>
  <c r="Y422" i="31" s="1"/>
  <c r="E465" i="20"/>
  <c r="U422" i="31" s="1"/>
  <c r="O466" i="23"/>
  <c r="Y423" i="31" s="1"/>
  <c r="H467" i="23"/>
  <c r="K467" i="23" s="1"/>
  <c r="N467" i="23" s="1"/>
  <c r="O467" i="23" s="1"/>
  <c r="Y424" i="31" s="1"/>
  <c r="E467" i="20"/>
  <c r="U424" i="31" s="1"/>
  <c r="F467" i="11"/>
  <c r="P467" i="23"/>
  <c r="R467" i="23" s="1"/>
  <c r="Z424" i="31" s="1"/>
  <c r="F468" i="23"/>
  <c r="F468" i="8"/>
  <c r="E469" i="23"/>
  <c r="G469" i="23" s="1"/>
  <c r="E469" i="8"/>
  <c r="G469" i="8" s="1"/>
  <c r="E426" i="31" s="1"/>
  <c r="F470" i="23"/>
  <c r="F470" i="8"/>
  <c r="E471" i="23"/>
  <c r="G471" i="23" s="1"/>
  <c r="E471" i="8"/>
  <c r="G471" i="8" s="1"/>
  <c r="E428" i="31" s="1"/>
  <c r="F472" i="23"/>
  <c r="F472" i="8"/>
  <c r="E473" i="23"/>
  <c r="G473" i="23" s="1"/>
  <c r="E473" i="8"/>
  <c r="G473" i="8" s="1"/>
  <c r="E430" i="31" s="1"/>
  <c r="F474" i="23"/>
  <c r="F474" i="8"/>
  <c r="E491" i="23"/>
  <c r="G491" i="23" s="1"/>
  <c r="E491" i="8"/>
  <c r="G491" i="8" s="1"/>
  <c r="E446" i="31" s="1"/>
  <c r="F492" i="10"/>
  <c r="H492" i="23"/>
  <c r="K492" i="23" s="1"/>
  <c r="N492" i="23" s="1"/>
  <c r="O492" i="23" s="1"/>
  <c r="Y447" i="31" s="1"/>
  <c r="E492" i="20"/>
  <c r="U447" i="31" s="1"/>
  <c r="F492" i="11"/>
  <c r="P492" i="23"/>
  <c r="R492" i="23" s="1"/>
  <c r="Z447" i="31" s="1"/>
  <c r="F494" i="23"/>
  <c r="F494" i="8"/>
  <c r="F493" i="11"/>
  <c r="P493" i="23"/>
  <c r="R493" i="23" s="1"/>
  <c r="Z448" i="31" s="1"/>
  <c r="O495" i="23"/>
  <c r="Y450" i="31" s="1"/>
  <c r="F496" i="10"/>
  <c r="H496" i="23"/>
  <c r="K496" i="23" s="1"/>
  <c r="N496" i="23" s="1"/>
  <c r="O496" i="23" s="1"/>
  <c r="Y451" i="31" s="1"/>
  <c r="E496" i="20"/>
  <c r="U451" i="31" s="1"/>
  <c r="F496" i="11"/>
  <c r="P496" i="23"/>
  <c r="R496" i="23" s="1"/>
  <c r="Z451" i="31" s="1"/>
  <c r="E501" i="23"/>
  <c r="G501" i="23" s="1"/>
  <c r="E501" i="8"/>
  <c r="G501" i="8" s="1"/>
  <c r="E455" i="31" s="1"/>
  <c r="E499" i="23"/>
  <c r="G499" i="23" s="1"/>
  <c r="E499" i="8"/>
  <c r="G499" i="8" s="1"/>
  <c r="E453" i="31" s="1"/>
  <c r="F502" i="10"/>
  <c r="H502" i="23"/>
  <c r="K502" i="23" s="1"/>
  <c r="N502" i="23" s="1"/>
  <c r="O502" i="23" s="1"/>
  <c r="Y456" i="31" s="1"/>
  <c r="E502" i="20"/>
  <c r="U456" i="31" s="1"/>
  <c r="F502" i="11"/>
  <c r="P502" i="23"/>
  <c r="R502" i="23" s="1"/>
  <c r="Z456" i="31" s="1"/>
  <c r="O503" i="23"/>
  <c r="Y457" i="31" s="1"/>
  <c r="F504" i="10"/>
  <c r="H504" i="23"/>
  <c r="K504" i="23" s="1"/>
  <c r="N504" i="23" s="1"/>
  <c r="O504" i="23" s="1"/>
  <c r="Y458" i="31" s="1"/>
  <c r="E504" i="20"/>
  <c r="U458" i="31" s="1"/>
  <c r="F504" i="11"/>
  <c r="P504" i="23"/>
  <c r="R504" i="23" s="1"/>
  <c r="Z458" i="31" s="1"/>
  <c r="O505" i="23"/>
  <c r="Y459" i="31" s="1"/>
  <c r="F506" i="10"/>
  <c r="E506" i="20"/>
  <c r="U460" i="31" s="1"/>
  <c r="H506" i="23"/>
  <c r="K506" i="23" s="1"/>
  <c r="N506" i="23" s="1"/>
  <c r="O506" i="23" s="1"/>
  <c r="Y460" i="31" s="1"/>
  <c r="F506" i="11"/>
  <c r="P506" i="23"/>
  <c r="R506" i="23" s="1"/>
  <c r="Z460" i="31" s="1"/>
  <c r="O507" i="23"/>
  <c r="Y461" i="31" s="1"/>
  <c r="F514" i="10"/>
  <c r="H514" i="23"/>
  <c r="K514" i="23" s="1"/>
  <c r="N514" i="23" s="1"/>
  <c r="O514" i="23" s="1"/>
  <c r="Y467" i="31" s="1"/>
  <c r="E514" i="20"/>
  <c r="U467" i="31" s="1"/>
  <c r="F514" i="11"/>
  <c r="P514" i="23"/>
  <c r="R514" i="23" s="1"/>
  <c r="Z467" i="31" s="1"/>
  <c r="F513" i="23"/>
  <c r="F513" i="8"/>
  <c r="O513" i="23"/>
  <c r="Y466" i="31" s="1"/>
  <c r="F515" i="10"/>
  <c r="H515" i="23"/>
  <c r="K515" i="23" s="1"/>
  <c r="N515" i="23" s="1"/>
  <c r="O515" i="23" s="1"/>
  <c r="Y468" i="31" s="1"/>
  <c r="E515" i="20"/>
  <c r="U468" i="31" s="1"/>
  <c r="F515" i="11"/>
  <c r="P515" i="23"/>
  <c r="R515" i="23" s="1"/>
  <c r="Z468" i="31" s="1"/>
  <c r="L516" i="23"/>
  <c r="X469" i="31" s="1"/>
  <c r="E518" i="23"/>
  <c r="G518" i="23" s="1"/>
  <c r="E518" i="8"/>
  <c r="G518" i="8" s="1"/>
  <c r="E471" i="31" s="1"/>
  <c r="G389" i="9"/>
  <c r="F353" i="31" s="1"/>
  <c r="G390" i="9"/>
  <c r="F354" i="31" s="1"/>
  <c r="W688" i="31"/>
  <c r="S757" i="23"/>
  <c r="AA688" i="31" s="1"/>
  <c r="S552" i="6"/>
  <c r="T552" i="6" s="1"/>
  <c r="E552" i="18"/>
  <c r="G577" i="8"/>
  <c r="E524" i="31" s="1"/>
  <c r="W437" i="31"/>
  <c r="S481" i="23"/>
  <c r="AA437" i="31" s="1"/>
  <c r="W357" i="31"/>
  <c r="S393" i="23"/>
  <c r="AA357" i="31" s="1"/>
  <c r="W555" i="31"/>
  <c r="S611" i="23"/>
  <c r="AA555" i="31" s="1"/>
  <c r="W491" i="31"/>
  <c r="S540" i="23"/>
  <c r="AA491" i="31" s="1"/>
  <c r="G534" i="8"/>
  <c r="E485" i="31" s="1"/>
  <c r="I369" i="23"/>
  <c r="I566" i="23"/>
  <c r="I526" i="23"/>
  <c r="L430" i="23"/>
  <c r="X391" i="31" s="1"/>
  <c r="I424" i="23"/>
  <c r="I328" i="23"/>
  <c r="L174" i="23"/>
  <c r="X158" i="31" s="1"/>
  <c r="I170" i="23"/>
  <c r="I594" i="23"/>
  <c r="L622" i="23"/>
  <c r="X565" i="31" s="1"/>
  <c r="I604" i="23"/>
  <c r="L600" i="23"/>
  <c r="X545" i="31" s="1"/>
  <c r="I559" i="23"/>
  <c r="L544" i="23"/>
  <c r="X494" i="31" s="1"/>
  <c r="G372" i="23"/>
  <c r="I372" i="23" s="1"/>
  <c r="G427" i="8"/>
  <c r="E388" i="31" s="1"/>
  <c r="G547" i="23"/>
  <c r="I547" i="23" s="1"/>
  <c r="S778" i="23"/>
  <c r="AA707" i="31" s="1"/>
  <c r="W707" i="31"/>
  <c r="W609" i="31"/>
  <c r="S670" i="23"/>
  <c r="AA609" i="31" s="1"/>
  <c r="W659" i="31"/>
  <c r="S725" i="23"/>
  <c r="AA659" i="31" s="1"/>
  <c r="W624" i="31"/>
  <c r="S687" i="23"/>
  <c r="AA624" i="31" s="1"/>
  <c r="G52" i="23"/>
  <c r="I52" i="23" s="1"/>
  <c r="I584" i="23"/>
  <c r="L579" i="23"/>
  <c r="X526" i="31" s="1"/>
  <c r="G576" i="8"/>
  <c r="E523" i="31" s="1"/>
  <c r="G646" i="11"/>
  <c r="H587" i="31" s="1"/>
  <c r="L526" i="23"/>
  <c r="X478" i="31" s="1"/>
  <c r="G626" i="23"/>
  <c r="I626" i="23" s="1"/>
  <c r="G624" i="23"/>
  <c r="I624" i="23" s="1"/>
  <c r="G602" i="23"/>
  <c r="I602" i="23" s="1"/>
  <c r="I600" i="23"/>
  <c r="G550" i="23"/>
  <c r="I550" i="23" s="1"/>
  <c r="L546" i="23"/>
  <c r="X496" i="31" s="1"/>
  <c r="L565" i="23"/>
  <c r="X513" i="31" s="1"/>
  <c r="L389" i="23"/>
  <c r="X353" i="31" s="1"/>
  <c r="G603" i="8"/>
  <c r="E548" i="31" s="1"/>
  <c r="G543" i="8"/>
  <c r="E493" i="31" s="1"/>
  <c r="W608" i="31"/>
  <c r="S669" i="23"/>
  <c r="AA608" i="31" s="1"/>
  <c r="W687" i="31"/>
  <c r="S756" i="23"/>
  <c r="AA687" i="31" s="1"/>
  <c r="W611" i="31"/>
  <c r="S672" i="23"/>
  <c r="AA611" i="31" s="1"/>
  <c r="W653" i="31"/>
  <c r="S719" i="23"/>
  <c r="AA653" i="31" s="1"/>
  <c r="W658" i="31"/>
  <c r="S724" i="23"/>
  <c r="AA658" i="31" s="1"/>
  <c r="S734" i="23"/>
  <c r="AA667" i="31" s="1"/>
  <c r="W667" i="31"/>
  <c r="W628" i="31"/>
  <c r="S691" i="23"/>
  <c r="AA628" i="31" s="1"/>
  <c r="G647" i="8"/>
  <c r="E588" i="31" s="1"/>
  <c r="G51" i="8"/>
  <c r="E46" i="31" s="1"/>
  <c r="L48" i="23"/>
  <c r="X43" i="31" s="1"/>
  <c r="G48" i="23"/>
  <c r="I48" i="23" s="1"/>
  <c r="G133" i="10"/>
  <c r="G121" i="31" s="1"/>
  <c r="L374" i="23"/>
  <c r="X340" i="31" s="1"/>
  <c r="G573" i="23"/>
  <c r="I573" i="23" s="1"/>
  <c r="G571" i="8"/>
  <c r="E519" i="31" s="1"/>
  <c r="G569" i="8"/>
  <c r="E517" i="31" s="1"/>
  <c r="L520" i="23"/>
  <c r="X472" i="31" s="1"/>
  <c r="G482" i="23"/>
  <c r="I482" i="23" s="1"/>
  <c r="G480" i="8"/>
  <c r="E436" i="31" s="1"/>
  <c r="L478" i="23"/>
  <c r="X434" i="31" s="1"/>
  <c r="G396" i="8"/>
  <c r="E360" i="31" s="1"/>
  <c r="L394" i="23"/>
  <c r="X358" i="31" s="1"/>
  <c r="L616" i="23"/>
  <c r="X560" i="31" s="1"/>
  <c r="G610" i="23"/>
  <c r="I610" i="23" s="1"/>
  <c r="G621" i="8"/>
  <c r="E564" i="31" s="1"/>
  <c r="G542" i="8"/>
  <c r="E492" i="31" s="1"/>
  <c r="L539" i="23"/>
  <c r="X490" i="31" s="1"/>
  <c r="G580" i="8"/>
  <c r="E527" i="31" s="1"/>
  <c r="G570" i="23"/>
  <c r="I570" i="23" s="1"/>
  <c r="G527" i="23"/>
  <c r="I527" i="23" s="1"/>
  <c r="G423" i="23"/>
  <c r="I423" i="23" s="1"/>
  <c r="G177" i="8"/>
  <c r="E161" i="31" s="1"/>
  <c r="L614" i="23"/>
  <c r="X558" i="31" s="1"/>
  <c r="G627" i="23"/>
  <c r="I627" i="23" s="1"/>
  <c r="L605" i="23"/>
  <c r="X550" i="31" s="1"/>
  <c r="L547" i="23"/>
  <c r="X497" i="31" s="1"/>
  <c r="L532" i="23"/>
  <c r="X483" i="31" s="1"/>
  <c r="S723" i="23"/>
  <c r="AA657" i="31" s="1"/>
  <c r="G55" i="8"/>
  <c r="E50" i="31" s="1"/>
  <c r="G54" i="23"/>
  <c r="I54" i="23" s="1"/>
  <c r="L50" i="23"/>
  <c r="X45" i="31" s="1"/>
  <c r="L49" i="23"/>
  <c r="X44" i="31" s="1"/>
  <c r="S557" i="6"/>
  <c r="Q506" i="31"/>
  <c r="E557" i="18"/>
  <c r="O506" i="31" s="1"/>
  <c r="G583" i="8"/>
  <c r="E530" i="31" s="1"/>
  <c r="L582" i="23"/>
  <c r="X529" i="31" s="1"/>
  <c r="L578" i="23"/>
  <c r="X525" i="31" s="1"/>
  <c r="L372" i="23"/>
  <c r="X338" i="31" s="1"/>
  <c r="L529" i="23"/>
  <c r="X481" i="31" s="1"/>
  <c r="G329" i="8"/>
  <c r="E299" i="31" s="1"/>
  <c r="G175" i="23"/>
  <c r="I175" i="23" s="1"/>
  <c r="L595" i="23"/>
  <c r="X541" i="31" s="1"/>
  <c r="G608" i="23"/>
  <c r="I608" i="23" s="1"/>
  <c r="L603" i="23"/>
  <c r="X548" i="31" s="1"/>
  <c r="L636" i="23"/>
  <c r="X578" i="31" s="1"/>
  <c r="G545" i="23"/>
  <c r="I545" i="23" s="1"/>
  <c r="L59" i="23"/>
  <c r="X53" i="31" s="1"/>
  <c r="L70" i="23"/>
  <c r="X63" i="31" s="1"/>
  <c r="F71" i="23"/>
  <c r="F71" i="8"/>
  <c r="E72" i="23"/>
  <c r="G72" i="23" s="1"/>
  <c r="I72" i="23" s="1"/>
  <c r="E72" i="8"/>
  <c r="G72" i="8" s="1"/>
  <c r="E65" i="31" s="1"/>
  <c r="L74" i="23"/>
  <c r="X67" i="31" s="1"/>
  <c r="F75" i="23"/>
  <c r="F75" i="8"/>
  <c r="H82" i="23"/>
  <c r="K82" i="23" s="1"/>
  <c r="N82" i="23" s="1"/>
  <c r="O82" i="23" s="1"/>
  <c r="Y74" i="31" s="1"/>
  <c r="E82" i="20"/>
  <c r="U74" i="31" s="1"/>
  <c r="H78" i="23"/>
  <c r="K78" i="23" s="1"/>
  <c r="N78" i="23" s="1"/>
  <c r="O78" i="23" s="1"/>
  <c r="Y71" i="31" s="1"/>
  <c r="E78" i="20"/>
  <c r="U71" i="31" s="1"/>
  <c r="R78" i="23"/>
  <c r="Z71" i="31" s="1"/>
  <c r="E80" i="10"/>
  <c r="Q80" i="23"/>
  <c r="R80" i="23" s="1"/>
  <c r="Z72" i="31" s="1"/>
  <c r="E81" i="23"/>
  <c r="G81" i="23" s="1"/>
  <c r="I81" i="23" s="1"/>
  <c r="E81" i="8"/>
  <c r="G81" i="8" s="1"/>
  <c r="E73" i="31" s="1"/>
  <c r="L81" i="23"/>
  <c r="X73" i="31" s="1"/>
  <c r="F82" i="23"/>
  <c r="F82" i="8"/>
  <c r="E83" i="23"/>
  <c r="G83" i="23" s="1"/>
  <c r="I83" i="23" s="1"/>
  <c r="E83" i="8"/>
  <c r="G83" i="8" s="1"/>
  <c r="E75" i="31" s="1"/>
  <c r="L83" i="23"/>
  <c r="X75" i="31" s="1"/>
  <c r="F84" i="23"/>
  <c r="F84" i="8"/>
  <c r="E85" i="23"/>
  <c r="G85" i="23" s="1"/>
  <c r="I85" i="23" s="1"/>
  <c r="E85" i="8"/>
  <c r="G85" i="8" s="1"/>
  <c r="E77" i="31" s="1"/>
  <c r="L85" i="23"/>
  <c r="X77" i="31" s="1"/>
  <c r="F86" i="23"/>
  <c r="F86" i="8"/>
  <c r="E87" i="23"/>
  <c r="G87" i="23" s="1"/>
  <c r="I87" i="23" s="1"/>
  <c r="E87" i="8"/>
  <c r="G87" i="8" s="1"/>
  <c r="E79" i="31" s="1"/>
  <c r="L87" i="23"/>
  <c r="X79" i="31" s="1"/>
  <c r="F88" i="23"/>
  <c r="F88" i="8"/>
  <c r="E89" i="23"/>
  <c r="G89" i="23" s="1"/>
  <c r="I89" i="23" s="1"/>
  <c r="E89" i="8"/>
  <c r="G89" i="8" s="1"/>
  <c r="E81" i="31" s="1"/>
  <c r="L89" i="23"/>
  <c r="X81" i="31" s="1"/>
  <c r="H96" i="23"/>
  <c r="K96" i="23" s="1"/>
  <c r="N96" i="23" s="1"/>
  <c r="O96" i="23" s="1"/>
  <c r="Y87" i="31" s="1"/>
  <c r="E96" i="20"/>
  <c r="U87" i="31" s="1"/>
  <c r="R96" i="23"/>
  <c r="Z87" i="31" s="1"/>
  <c r="E97" i="10"/>
  <c r="Q97" i="23"/>
  <c r="R97" i="23" s="1"/>
  <c r="Z88" i="31" s="1"/>
  <c r="O97" i="23"/>
  <c r="Y88" i="31" s="1"/>
  <c r="H98" i="23"/>
  <c r="K98" i="23" s="1"/>
  <c r="N98" i="23" s="1"/>
  <c r="O98" i="23" s="1"/>
  <c r="Y89" i="31" s="1"/>
  <c r="E98" i="20"/>
  <c r="U89" i="31" s="1"/>
  <c r="R98" i="23"/>
  <c r="Z89" i="31" s="1"/>
  <c r="O99" i="23"/>
  <c r="Y90" i="31" s="1"/>
  <c r="H100" i="23"/>
  <c r="K100" i="23" s="1"/>
  <c r="N100" i="23" s="1"/>
  <c r="O100" i="23" s="1"/>
  <c r="Y91" i="31" s="1"/>
  <c r="E100" i="20"/>
  <c r="U91" i="31" s="1"/>
  <c r="R100" i="23"/>
  <c r="Z91" i="31" s="1"/>
  <c r="E102" i="10"/>
  <c r="Q102" i="23"/>
  <c r="R102" i="23" s="1"/>
  <c r="Z92" i="31" s="1"/>
  <c r="L103" i="23"/>
  <c r="X93" i="31" s="1"/>
  <c r="R104" i="23"/>
  <c r="Z94" i="31" s="1"/>
  <c r="H104" i="23"/>
  <c r="K104" i="23" s="1"/>
  <c r="N104" i="23" s="1"/>
  <c r="O104" i="23" s="1"/>
  <c r="Y94" i="31" s="1"/>
  <c r="E104" i="20"/>
  <c r="U94" i="31" s="1"/>
  <c r="E105" i="23"/>
  <c r="G105" i="23" s="1"/>
  <c r="I105" i="23" s="1"/>
  <c r="E105" i="8"/>
  <c r="G105" i="8" s="1"/>
  <c r="E95" i="31" s="1"/>
  <c r="L105" i="23"/>
  <c r="X95" i="31" s="1"/>
  <c r="F106" i="23"/>
  <c r="F106" i="8"/>
  <c r="E107" i="23"/>
  <c r="G107" i="23" s="1"/>
  <c r="I107" i="23" s="1"/>
  <c r="E107" i="8"/>
  <c r="G107" i="8" s="1"/>
  <c r="E97" i="31" s="1"/>
  <c r="L107" i="23"/>
  <c r="X97" i="31" s="1"/>
  <c r="F108" i="23"/>
  <c r="F108" i="8"/>
  <c r="E109" i="23"/>
  <c r="G109" i="23" s="1"/>
  <c r="I109" i="23" s="1"/>
  <c r="E109" i="8"/>
  <c r="G109" i="8" s="1"/>
  <c r="E99" i="31" s="1"/>
  <c r="L109" i="23"/>
  <c r="X99" i="31" s="1"/>
  <c r="F110" i="23"/>
  <c r="F110" i="8"/>
  <c r="E111" i="23"/>
  <c r="G111" i="23" s="1"/>
  <c r="I111" i="23" s="1"/>
  <c r="E111" i="8"/>
  <c r="G111" i="8" s="1"/>
  <c r="E101" i="31" s="1"/>
  <c r="L111" i="23"/>
  <c r="X101" i="31" s="1"/>
  <c r="F25" i="23"/>
  <c r="F25" i="8"/>
  <c r="E26" i="10"/>
  <c r="Q26" i="23"/>
  <c r="R26" i="23" s="1"/>
  <c r="Z23" i="31" s="1"/>
  <c r="O26" i="23"/>
  <c r="Y23" i="31" s="1"/>
  <c r="H27" i="23"/>
  <c r="K27" i="23" s="1"/>
  <c r="N27" i="23" s="1"/>
  <c r="O27" i="23" s="1"/>
  <c r="Y24" i="31" s="1"/>
  <c r="E27" i="20"/>
  <c r="U24" i="31" s="1"/>
  <c r="R27" i="23"/>
  <c r="Z24" i="31" s="1"/>
  <c r="E28" i="10"/>
  <c r="Q28" i="23"/>
  <c r="R28" i="23" s="1"/>
  <c r="Z25" i="31" s="1"/>
  <c r="O28" i="23"/>
  <c r="Y25" i="31" s="1"/>
  <c r="H29" i="23"/>
  <c r="K29" i="23" s="1"/>
  <c r="N29" i="23" s="1"/>
  <c r="O29" i="23" s="1"/>
  <c r="Y26" i="31" s="1"/>
  <c r="E29" i="20"/>
  <c r="U26" i="31" s="1"/>
  <c r="R29" i="23"/>
  <c r="Z26" i="31" s="1"/>
  <c r="E30" i="10"/>
  <c r="Q30" i="23"/>
  <c r="R30" i="23" s="1"/>
  <c r="Z27" i="31" s="1"/>
  <c r="O30" i="23"/>
  <c r="Y27" i="31" s="1"/>
  <c r="H31" i="23"/>
  <c r="K31" i="23" s="1"/>
  <c r="N31" i="23" s="1"/>
  <c r="O31" i="23" s="1"/>
  <c r="Y28" i="31" s="1"/>
  <c r="E31" i="20"/>
  <c r="U28" i="31" s="1"/>
  <c r="R31" i="23"/>
  <c r="Z28" i="31" s="1"/>
  <c r="E32" i="10"/>
  <c r="Q32" i="23"/>
  <c r="R32" i="23" s="1"/>
  <c r="Z29" i="31" s="1"/>
  <c r="O32" i="23"/>
  <c r="Y29" i="31" s="1"/>
  <c r="H33" i="23"/>
  <c r="K33" i="23" s="1"/>
  <c r="N33" i="23" s="1"/>
  <c r="O33" i="23" s="1"/>
  <c r="Y30" i="31" s="1"/>
  <c r="E33" i="20"/>
  <c r="U30" i="31" s="1"/>
  <c r="R33" i="23"/>
  <c r="Z30" i="31" s="1"/>
  <c r="E34" i="10"/>
  <c r="Q34" i="23"/>
  <c r="R34" i="23" s="1"/>
  <c r="Z31" i="31" s="1"/>
  <c r="O34" i="23"/>
  <c r="Y31" i="31" s="1"/>
  <c r="E44" i="23"/>
  <c r="G44" i="23" s="1"/>
  <c r="I44" i="23" s="1"/>
  <c r="E44" i="8"/>
  <c r="G44" i="8" s="1"/>
  <c r="E40" i="31" s="1"/>
  <c r="E43" i="10"/>
  <c r="Q43" i="23"/>
  <c r="R43" i="23" s="1"/>
  <c r="Z39" i="31" s="1"/>
  <c r="R44" i="23"/>
  <c r="Z40" i="31" s="1"/>
  <c r="O43" i="23"/>
  <c r="Y39" i="31" s="1"/>
  <c r="L45" i="23"/>
  <c r="X41" i="31" s="1"/>
  <c r="G101" i="12"/>
  <c r="F118" i="23"/>
  <c r="F118" i="8"/>
  <c r="O118" i="23"/>
  <c r="Y107" i="31" s="1"/>
  <c r="O120" i="23"/>
  <c r="Y109" i="31" s="1"/>
  <c r="H121" i="23"/>
  <c r="K121" i="23" s="1"/>
  <c r="N121" i="23" s="1"/>
  <c r="O121" i="23" s="1"/>
  <c r="Y110" i="31" s="1"/>
  <c r="E121" i="20"/>
  <c r="U110" i="31" s="1"/>
  <c r="F121" i="11"/>
  <c r="P121" i="23"/>
  <c r="R121" i="23" s="1"/>
  <c r="Z110" i="31" s="1"/>
  <c r="O122" i="23"/>
  <c r="Y111" i="31" s="1"/>
  <c r="H135" i="23"/>
  <c r="K135" i="23" s="1"/>
  <c r="N135" i="23" s="1"/>
  <c r="O135" i="23" s="1"/>
  <c r="Y122" i="31" s="1"/>
  <c r="E135" i="20"/>
  <c r="U122" i="31" s="1"/>
  <c r="F135" i="11"/>
  <c r="P135" i="23"/>
  <c r="R135" i="23" s="1"/>
  <c r="Z122" i="31" s="1"/>
  <c r="F136" i="23"/>
  <c r="F136" i="8"/>
  <c r="E137" i="23"/>
  <c r="G137" i="23" s="1"/>
  <c r="I137" i="23" s="1"/>
  <c r="E137" i="8"/>
  <c r="G137" i="8" s="1"/>
  <c r="E124" i="31" s="1"/>
  <c r="L137" i="23"/>
  <c r="X124" i="31" s="1"/>
  <c r="F138" i="23"/>
  <c r="F138" i="8"/>
  <c r="E139" i="23"/>
  <c r="G139" i="23" s="1"/>
  <c r="I139" i="23" s="1"/>
  <c r="E139" i="8"/>
  <c r="G139" i="8" s="1"/>
  <c r="E126" i="31" s="1"/>
  <c r="L139" i="23"/>
  <c r="X126" i="31" s="1"/>
  <c r="F140" i="23"/>
  <c r="F140" i="8"/>
  <c r="E141" i="23"/>
  <c r="G141" i="23" s="1"/>
  <c r="I141" i="23" s="1"/>
  <c r="E141" i="8"/>
  <c r="G141" i="8" s="1"/>
  <c r="E128" i="31" s="1"/>
  <c r="L141" i="23"/>
  <c r="X128" i="31" s="1"/>
  <c r="F142" i="23"/>
  <c r="F142" i="8"/>
  <c r="H143" i="23"/>
  <c r="K143" i="23" s="1"/>
  <c r="N143" i="23" s="1"/>
  <c r="O143" i="23" s="1"/>
  <c r="Y130" i="31" s="1"/>
  <c r="E143" i="20"/>
  <c r="U130" i="31" s="1"/>
  <c r="F143" i="11"/>
  <c r="P143" i="23"/>
  <c r="R143" i="23" s="1"/>
  <c r="Z130" i="31" s="1"/>
  <c r="F144" i="23"/>
  <c r="F144" i="8"/>
  <c r="E155" i="23"/>
  <c r="G155" i="23" s="1"/>
  <c r="I155" i="23" s="1"/>
  <c r="E155" i="8"/>
  <c r="G155" i="8" s="1"/>
  <c r="E141" i="31" s="1"/>
  <c r="L155" i="23"/>
  <c r="X141" i="31" s="1"/>
  <c r="F159" i="23"/>
  <c r="F159" i="8"/>
  <c r="E160" i="23"/>
  <c r="G160" i="23" s="1"/>
  <c r="I160" i="23" s="1"/>
  <c r="E160" i="8"/>
  <c r="G160" i="8" s="1"/>
  <c r="E145" i="31" s="1"/>
  <c r="L160" i="23"/>
  <c r="X145" i="31" s="1"/>
  <c r="F161" i="23"/>
  <c r="F161" i="8"/>
  <c r="E162" i="23"/>
  <c r="G162" i="23" s="1"/>
  <c r="I162" i="23" s="1"/>
  <c r="E162" i="8"/>
  <c r="G162" i="8" s="1"/>
  <c r="E147" i="31" s="1"/>
  <c r="L162" i="23"/>
  <c r="X147" i="31" s="1"/>
  <c r="E164" i="23"/>
  <c r="G164" i="23" s="1"/>
  <c r="I164" i="23" s="1"/>
  <c r="E164" i="8"/>
  <c r="G164" i="8" s="1"/>
  <c r="E149" i="31" s="1"/>
  <c r="L164" i="23"/>
  <c r="X149" i="31" s="1"/>
  <c r="F165" i="23"/>
  <c r="F165" i="8"/>
  <c r="E166" i="23"/>
  <c r="G166" i="23" s="1"/>
  <c r="I166" i="23" s="1"/>
  <c r="E166" i="8"/>
  <c r="G166" i="8" s="1"/>
  <c r="E151" i="31" s="1"/>
  <c r="L166" i="23"/>
  <c r="X151" i="31" s="1"/>
  <c r="E94" i="23"/>
  <c r="E94" i="8"/>
  <c r="G94" i="8" s="1"/>
  <c r="E85" i="31" s="1"/>
  <c r="F94" i="23"/>
  <c r="F94" i="8"/>
  <c r="L94" i="23"/>
  <c r="X85" i="31" s="1"/>
  <c r="O95" i="23"/>
  <c r="Y86" i="31" s="1"/>
  <c r="L93" i="23"/>
  <c r="X84" i="31" s="1"/>
  <c r="F92" i="23"/>
  <c r="F92" i="8"/>
  <c r="F92" i="11"/>
  <c r="P92" i="23"/>
  <c r="R92" i="23" s="1"/>
  <c r="Z83" i="31" s="1"/>
  <c r="E124" i="23"/>
  <c r="G124" i="23" s="1"/>
  <c r="I124" i="23" s="1"/>
  <c r="E124" i="8"/>
  <c r="G124" i="8" s="1"/>
  <c r="E112" i="31" s="1"/>
  <c r="L124" i="23"/>
  <c r="X112" i="31" s="1"/>
  <c r="F125" i="23"/>
  <c r="F125" i="8"/>
  <c r="H126" i="23"/>
  <c r="K126" i="23" s="1"/>
  <c r="N126" i="23" s="1"/>
  <c r="O126" i="23" s="1"/>
  <c r="Y114" i="31" s="1"/>
  <c r="E126" i="20"/>
  <c r="U114" i="31" s="1"/>
  <c r="F126" i="11"/>
  <c r="P126" i="23"/>
  <c r="R126" i="23" s="1"/>
  <c r="Z114" i="31" s="1"/>
  <c r="O127" i="23"/>
  <c r="Y115" i="31" s="1"/>
  <c r="F128" i="23"/>
  <c r="F128" i="8"/>
  <c r="F129" i="23"/>
  <c r="F129" i="8"/>
  <c r="O129" i="23"/>
  <c r="Y117" i="31" s="1"/>
  <c r="F130" i="23"/>
  <c r="F130" i="8"/>
  <c r="H131" i="23"/>
  <c r="K131" i="23" s="1"/>
  <c r="N131" i="23" s="1"/>
  <c r="O131" i="23" s="1"/>
  <c r="Y119" i="31" s="1"/>
  <c r="E131" i="20"/>
  <c r="U119" i="31" s="1"/>
  <c r="F131" i="11"/>
  <c r="P131" i="23"/>
  <c r="R131" i="23" s="1"/>
  <c r="Z119" i="31" s="1"/>
  <c r="F132" i="23"/>
  <c r="F132" i="8"/>
  <c r="G132" i="12"/>
  <c r="I120" i="31" s="1"/>
  <c r="E214" i="23"/>
  <c r="G214" i="23" s="1"/>
  <c r="I214" i="23" s="1"/>
  <c r="E214" i="8"/>
  <c r="G214" i="8" s="1"/>
  <c r="E194" i="31" s="1"/>
  <c r="F215" i="23"/>
  <c r="F215" i="8"/>
  <c r="L215" i="23"/>
  <c r="X195" i="31" s="1"/>
  <c r="F216" i="23"/>
  <c r="F216" i="8"/>
  <c r="E217" i="23"/>
  <c r="G217" i="23" s="1"/>
  <c r="I217" i="23" s="1"/>
  <c r="E217" i="8"/>
  <c r="G217" i="8" s="1"/>
  <c r="E197" i="31" s="1"/>
  <c r="L217" i="23"/>
  <c r="X197" i="31" s="1"/>
  <c r="F218" i="23"/>
  <c r="F218" i="8"/>
  <c r="E219" i="23"/>
  <c r="G219" i="23" s="1"/>
  <c r="I219" i="23" s="1"/>
  <c r="E219" i="8"/>
  <c r="G219" i="8" s="1"/>
  <c r="E199" i="31" s="1"/>
  <c r="L219" i="23"/>
  <c r="X199" i="31" s="1"/>
  <c r="F220" i="23"/>
  <c r="F220" i="8"/>
  <c r="E221" i="23"/>
  <c r="G221" i="23" s="1"/>
  <c r="I221" i="23" s="1"/>
  <c r="E221" i="8"/>
  <c r="G221" i="8" s="1"/>
  <c r="E201" i="31" s="1"/>
  <c r="L221" i="23"/>
  <c r="X201" i="31" s="1"/>
  <c r="F201" i="23"/>
  <c r="F201" i="8"/>
  <c r="O202" i="23"/>
  <c r="Y183" i="31" s="1"/>
  <c r="F203" i="10"/>
  <c r="H203" i="23"/>
  <c r="K203" i="23" s="1"/>
  <c r="N203" i="23" s="1"/>
  <c r="O203" i="23" s="1"/>
  <c r="Y184" i="31" s="1"/>
  <c r="E203" i="20"/>
  <c r="U184" i="31" s="1"/>
  <c r="F203" i="11"/>
  <c r="P203" i="23"/>
  <c r="R203" i="23" s="1"/>
  <c r="Z184" i="31" s="1"/>
  <c r="O204" i="23"/>
  <c r="Y185" i="31" s="1"/>
  <c r="F205" i="23"/>
  <c r="F205" i="8"/>
  <c r="E206" i="23"/>
  <c r="G206" i="23" s="1"/>
  <c r="I206" i="23" s="1"/>
  <c r="E206" i="8"/>
  <c r="G206" i="8" s="1"/>
  <c r="E187" i="31" s="1"/>
  <c r="O206" i="23"/>
  <c r="Y187" i="31" s="1"/>
  <c r="E207" i="23"/>
  <c r="G207" i="23" s="1"/>
  <c r="I207" i="23" s="1"/>
  <c r="E207" i="8"/>
  <c r="G207" i="8" s="1"/>
  <c r="E188" i="31" s="1"/>
  <c r="F207" i="23"/>
  <c r="F207" i="8"/>
  <c r="L207" i="23"/>
  <c r="X188" i="31" s="1"/>
  <c r="F209" i="10"/>
  <c r="H209" i="23"/>
  <c r="K209" i="23" s="1"/>
  <c r="N209" i="23" s="1"/>
  <c r="O209" i="23" s="1"/>
  <c r="Y190" i="31" s="1"/>
  <c r="E209" i="20"/>
  <c r="U190" i="31" s="1"/>
  <c r="F209" i="11"/>
  <c r="P209" i="23"/>
  <c r="R209" i="23" s="1"/>
  <c r="Z190" i="31" s="1"/>
  <c r="O210" i="23"/>
  <c r="Y191" i="31" s="1"/>
  <c r="H190" i="23"/>
  <c r="K190" i="23" s="1"/>
  <c r="N190" i="23" s="1"/>
  <c r="O190" i="23" s="1"/>
  <c r="Y172" i="31" s="1"/>
  <c r="E190" i="20"/>
  <c r="U172" i="31" s="1"/>
  <c r="F190" i="11"/>
  <c r="P190" i="23"/>
  <c r="R190" i="23" s="1"/>
  <c r="Z172" i="31" s="1"/>
  <c r="F191" i="23"/>
  <c r="F191" i="8"/>
  <c r="E192" i="23"/>
  <c r="G192" i="23" s="1"/>
  <c r="I192" i="23" s="1"/>
  <c r="E192" i="8"/>
  <c r="G192" i="8" s="1"/>
  <c r="E174" i="31" s="1"/>
  <c r="L192" i="23"/>
  <c r="X174" i="31" s="1"/>
  <c r="F193" i="23"/>
  <c r="F193" i="8"/>
  <c r="E194" i="23"/>
  <c r="G194" i="23" s="1"/>
  <c r="I194" i="23" s="1"/>
  <c r="E194" i="8"/>
  <c r="G194" i="8" s="1"/>
  <c r="E176" i="31" s="1"/>
  <c r="L194" i="23"/>
  <c r="X176" i="31" s="1"/>
  <c r="F195" i="23"/>
  <c r="F195" i="8"/>
  <c r="E196" i="23"/>
  <c r="G196" i="23" s="1"/>
  <c r="I196" i="23" s="1"/>
  <c r="E196" i="8"/>
  <c r="G196" i="8" s="1"/>
  <c r="E178" i="31" s="1"/>
  <c r="L196" i="23"/>
  <c r="X178" i="31" s="1"/>
  <c r="F197" i="23"/>
  <c r="F197" i="8"/>
  <c r="E198" i="23"/>
  <c r="G198" i="23" s="1"/>
  <c r="I198" i="23" s="1"/>
  <c r="E198" i="8"/>
  <c r="G198" i="8" s="1"/>
  <c r="E180" i="31" s="1"/>
  <c r="L198" i="23"/>
  <c r="X180" i="31" s="1"/>
  <c r="F199" i="23"/>
  <c r="F199" i="8"/>
  <c r="H184" i="23"/>
  <c r="K184" i="23" s="1"/>
  <c r="N184" i="23" s="1"/>
  <c r="E184" i="20"/>
  <c r="U167" i="31" s="1"/>
  <c r="F184" i="11"/>
  <c r="P184" i="23"/>
  <c r="R184" i="23" s="1"/>
  <c r="Z167" i="31" s="1"/>
  <c r="O184" i="23"/>
  <c r="Y167" i="31" s="1"/>
  <c r="E185" i="23"/>
  <c r="G185" i="23" s="1"/>
  <c r="I185" i="23" s="1"/>
  <c r="E185" i="8"/>
  <c r="G185" i="8" s="1"/>
  <c r="E168" i="31" s="1"/>
  <c r="L185" i="23"/>
  <c r="X168" i="31" s="1"/>
  <c r="F186" i="23"/>
  <c r="F186" i="8"/>
  <c r="E187" i="23"/>
  <c r="G187" i="23" s="1"/>
  <c r="I187" i="23" s="1"/>
  <c r="E187" i="8"/>
  <c r="G187" i="8" s="1"/>
  <c r="E170" i="31" s="1"/>
  <c r="L187" i="23"/>
  <c r="X170" i="31" s="1"/>
  <c r="F188" i="23"/>
  <c r="F188" i="8"/>
  <c r="E268" i="23"/>
  <c r="G268" i="23" s="1"/>
  <c r="I268" i="23" s="1"/>
  <c r="E268" i="8"/>
  <c r="G268" i="8" s="1"/>
  <c r="E243" i="31" s="1"/>
  <c r="L268" i="23"/>
  <c r="X243" i="31" s="1"/>
  <c r="F269" i="23"/>
  <c r="F269" i="8"/>
  <c r="E270" i="23"/>
  <c r="G270" i="23" s="1"/>
  <c r="I270" i="23" s="1"/>
  <c r="E270" i="8"/>
  <c r="G270" i="8" s="1"/>
  <c r="E245" i="31" s="1"/>
  <c r="L270" i="23"/>
  <c r="X245" i="31" s="1"/>
  <c r="F271" i="23"/>
  <c r="F271" i="8"/>
  <c r="E272" i="23"/>
  <c r="G272" i="23" s="1"/>
  <c r="I272" i="23" s="1"/>
  <c r="E272" i="8"/>
  <c r="G272" i="8" s="1"/>
  <c r="E247" i="31" s="1"/>
  <c r="L272" i="23"/>
  <c r="X247" i="31" s="1"/>
  <c r="F273" i="23"/>
  <c r="F273" i="8"/>
  <c r="E274" i="23"/>
  <c r="G274" i="23" s="1"/>
  <c r="I274" i="23" s="1"/>
  <c r="E274" i="8"/>
  <c r="G274" i="8" s="1"/>
  <c r="E249" i="31" s="1"/>
  <c r="L274" i="23"/>
  <c r="X249" i="31" s="1"/>
  <c r="F275" i="23"/>
  <c r="F275" i="8"/>
  <c r="E276" i="23"/>
  <c r="G276" i="23" s="1"/>
  <c r="I276" i="23" s="1"/>
  <c r="E276" i="8"/>
  <c r="G276" i="8" s="1"/>
  <c r="E251" i="31" s="1"/>
  <c r="L276" i="23"/>
  <c r="X251" i="31" s="1"/>
  <c r="E286" i="23"/>
  <c r="G286" i="23" s="1"/>
  <c r="I286" i="23" s="1"/>
  <c r="E286" i="8"/>
  <c r="F286" i="23"/>
  <c r="F286" i="8"/>
  <c r="L286" i="23"/>
  <c r="X260" i="31" s="1"/>
  <c r="E287" i="23"/>
  <c r="G287" i="23" s="1"/>
  <c r="I287" i="23" s="1"/>
  <c r="E287" i="8"/>
  <c r="G287" i="8" s="1"/>
  <c r="E261" i="31" s="1"/>
  <c r="L287" i="23"/>
  <c r="X261" i="31" s="1"/>
  <c r="O286" i="23"/>
  <c r="Y260" i="31" s="1"/>
  <c r="E289" i="23"/>
  <c r="G289" i="23" s="1"/>
  <c r="I289" i="23" s="1"/>
  <c r="E289" i="8"/>
  <c r="G289" i="8" s="1"/>
  <c r="E262" i="31" s="1"/>
  <c r="L289" i="23"/>
  <c r="X262" i="31" s="1"/>
  <c r="O289" i="23"/>
  <c r="Y262" i="31" s="1"/>
  <c r="F290" i="10"/>
  <c r="H290" i="23"/>
  <c r="K290" i="23" s="1"/>
  <c r="N290" i="23" s="1"/>
  <c r="O290" i="23" s="1"/>
  <c r="Y263" i="31" s="1"/>
  <c r="E290" i="20"/>
  <c r="U263" i="31" s="1"/>
  <c r="E291" i="23"/>
  <c r="G291" i="23" s="1"/>
  <c r="I291" i="23" s="1"/>
  <c r="E291" i="8"/>
  <c r="G291" i="8" s="1"/>
  <c r="E264" i="31" s="1"/>
  <c r="L291" i="23"/>
  <c r="X264" i="31" s="1"/>
  <c r="O291" i="23"/>
  <c r="Y264" i="31" s="1"/>
  <c r="F292" i="10"/>
  <c r="H292" i="23"/>
  <c r="K292" i="23" s="1"/>
  <c r="N292" i="23" s="1"/>
  <c r="O292" i="23" s="1"/>
  <c r="Y265" i="31" s="1"/>
  <c r="E292" i="20"/>
  <c r="U265" i="31" s="1"/>
  <c r="O293" i="23"/>
  <c r="Y266" i="31" s="1"/>
  <c r="H294" i="23"/>
  <c r="K294" i="23" s="1"/>
  <c r="N294" i="23" s="1"/>
  <c r="O294" i="23" s="1"/>
  <c r="Y267" i="31" s="1"/>
  <c r="E294" i="20"/>
  <c r="U267" i="31" s="1"/>
  <c r="F295" i="23"/>
  <c r="F295" i="8"/>
  <c r="E296" i="23"/>
  <c r="G296" i="23" s="1"/>
  <c r="I296" i="23" s="1"/>
  <c r="E296" i="8"/>
  <c r="G296" i="8" s="1"/>
  <c r="E269" i="31" s="1"/>
  <c r="L296" i="23"/>
  <c r="X269" i="31" s="1"/>
  <c r="F297" i="23"/>
  <c r="F297" i="8"/>
  <c r="E298" i="23"/>
  <c r="G298" i="23" s="1"/>
  <c r="I298" i="23" s="1"/>
  <c r="E298" i="8"/>
  <c r="G298" i="8" s="1"/>
  <c r="E271" i="31" s="1"/>
  <c r="L298" i="23"/>
  <c r="X271" i="31" s="1"/>
  <c r="E338" i="23"/>
  <c r="E338" i="8"/>
  <c r="G338" i="8" s="1"/>
  <c r="E307" i="31" s="1"/>
  <c r="F338" i="23"/>
  <c r="F338" i="8"/>
  <c r="L338" i="23"/>
  <c r="X307" i="31" s="1"/>
  <c r="G338" i="12"/>
  <c r="I307" i="31" s="1"/>
  <c r="F339" i="23"/>
  <c r="F339" i="8"/>
  <c r="E340" i="23"/>
  <c r="G340" i="23" s="1"/>
  <c r="I340" i="23" s="1"/>
  <c r="E340" i="8"/>
  <c r="G340" i="8" s="1"/>
  <c r="E309" i="31" s="1"/>
  <c r="L340" i="23"/>
  <c r="X309" i="31" s="1"/>
  <c r="F341" i="23"/>
  <c r="F341" i="8"/>
  <c r="E342" i="23"/>
  <c r="G342" i="23" s="1"/>
  <c r="I342" i="23" s="1"/>
  <c r="E342" i="8"/>
  <c r="G342" i="8" s="1"/>
  <c r="E311" i="31" s="1"/>
  <c r="L342" i="23"/>
  <c r="X311" i="31" s="1"/>
  <c r="F357" i="23"/>
  <c r="F357" i="8"/>
  <c r="O358" i="23"/>
  <c r="Y325" i="31" s="1"/>
  <c r="H359" i="23"/>
  <c r="K359" i="23" s="1"/>
  <c r="N359" i="23" s="1"/>
  <c r="O359" i="23" s="1"/>
  <c r="Y326" i="31" s="1"/>
  <c r="E359" i="20"/>
  <c r="U326" i="31" s="1"/>
  <c r="F359" i="11"/>
  <c r="P359" i="23"/>
  <c r="R359" i="23" s="1"/>
  <c r="Z326" i="31" s="1"/>
  <c r="O360" i="23"/>
  <c r="Y327" i="31" s="1"/>
  <c r="H361" i="23"/>
  <c r="K361" i="23" s="1"/>
  <c r="N361" i="23" s="1"/>
  <c r="O361" i="23" s="1"/>
  <c r="Y328" i="31" s="1"/>
  <c r="E361" i="20"/>
  <c r="U328" i="31" s="1"/>
  <c r="F361" i="11"/>
  <c r="P361" i="23"/>
  <c r="R361" i="23" s="1"/>
  <c r="Z328" i="31" s="1"/>
  <c r="G362" i="12"/>
  <c r="I329" i="31" s="1"/>
  <c r="F363" i="23"/>
  <c r="F363" i="8"/>
  <c r="O364" i="23"/>
  <c r="Y331" i="31" s="1"/>
  <c r="E382" i="23"/>
  <c r="G382" i="23" s="1"/>
  <c r="I382" i="23" s="1"/>
  <c r="E382" i="8"/>
  <c r="G382" i="8" s="1"/>
  <c r="E347" i="31" s="1"/>
  <c r="R382" i="23"/>
  <c r="Z347" i="31" s="1"/>
  <c r="O382" i="23"/>
  <c r="Y347" i="31" s="1"/>
  <c r="H383" i="23"/>
  <c r="K383" i="23" s="1"/>
  <c r="N383" i="23" s="1"/>
  <c r="O383" i="23" s="1"/>
  <c r="Y348" i="31" s="1"/>
  <c r="E383" i="20"/>
  <c r="U348" i="31" s="1"/>
  <c r="O385" i="23"/>
  <c r="Y350" i="31" s="1"/>
  <c r="F386" i="10"/>
  <c r="H386" i="23"/>
  <c r="K386" i="23" s="1"/>
  <c r="N386" i="23" s="1"/>
  <c r="O386" i="23" s="1"/>
  <c r="Y351" i="31" s="1"/>
  <c r="E386" i="20"/>
  <c r="U351" i="31" s="1"/>
  <c r="H401" i="23"/>
  <c r="K401" i="23" s="1"/>
  <c r="N401" i="23" s="1"/>
  <c r="E401" i="20"/>
  <c r="U364" i="31" s="1"/>
  <c r="F401" i="11"/>
  <c r="P401" i="23"/>
  <c r="R401" i="23" s="1"/>
  <c r="Z364" i="31" s="1"/>
  <c r="O401" i="23"/>
  <c r="Y364" i="31" s="1"/>
  <c r="O403" i="23"/>
  <c r="Y366" i="31" s="1"/>
  <c r="E405" i="23"/>
  <c r="E405" i="8"/>
  <c r="F405" i="23"/>
  <c r="F405" i="8"/>
  <c r="L404" i="23"/>
  <c r="X367" i="31" s="1"/>
  <c r="G404" i="12"/>
  <c r="I367" i="31" s="1"/>
  <c r="F406" i="10"/>
  <c r="H406" i="23"/>
  <c r="K406" i="23" s="1"/>
  <c r="N406" i="23" s="1"/>
  <c r="O406" i="23" s="1"/>
  <c r="Y369" i="31" s="1"/>
  <c r="E406" i="20"/>
  <c r="U369" i="31" s="1"/>
  <c r="O407" i="23"/>
  <c r="Y370" i="31" s="1"/>
  <c r="H408" i="23"/>
  <c r="K408" i="23" s="1"/>
  <c r="N408" i="23" s="1"/>
  <c r="O408" i="23" s="1"/>
  <c r="Y371" i="31" s="1"/>
  <c r="E408" i="20"/>
  <c r="U371" i="31" s="1"/>
  <c r="H412" i="23"/>
  <c r="K412" i="23" s="1"/>
  <c r="N412" i="23" s="1"/>
  <c r="O412" i="23" s="1"/>
  <c r="Y374" i="31" s="1"/>
  <c r="E412" i="20"/>
  <c r="U374" i="31" s="1"/>
  <c r="R412" i="23"/>
  <c r="Z374" i="31" s="1"/>
  <c r="O413" i="23"/>
  <c r="Y375" i="31" s="1"/>
  <c r="F415" i="23"/>
  <c r="F415" i="8"/>
  <c r="R414" i="23"/>
  <c r="Z376" i="31" s="1"/>
  <c r="O416" i="23"/>
  <c r="Y378" i="31" s="1"/>
  <c r="H417" i="23"/>
  <c r="K417" i="23" s="1"/>
  <c r="N417" i="23" s="1"/>
  <c r="O417" i="23" s="1"/>
  <c r="Y379" i="31" s="1"/>
  <c r="E417" i="20"/>
  <c r="U379" i="31" s="1"/>
  <c r="F417" i="11"/>
  <c r="P417" i="23"/>
  <c r="R417" i="23" s="1"/>
  <c r="Z379" i="31" s="1"/>
  <c r="O418" i="23"/>
  <c r="Y380" i="31" s="1"/>
  <c r="H419" i="23"/>
  <c r="K419" i="23" s="1"/>
  <c r="N419" i="23" s="1"/>
  <c r="O419" i="23" s="1"/>
  <c r="Y381" i="31" s="1"/>
  <c r="E419" i="20"/>
  <c r="U381" i="31" s="1"/>
  <c r="F419" i="11"/>
  <c r="P419" i="23"/>
  <c r="R419" i="23" s="1"/>
  <c r="Z381" i="31" s="1"/>
  <c r="H435" i="23"/>
  <c r="K435" i="23" s="1"/>
  <c r="N435" i="23" s="1"/>
  <c r="E435" i="20"/>
  <c r="U395" i="31" s="1"/>
  <c r="R435" i="23"/>
  <c r="Z395" i="31" s="1"/>
  <c r="O435" i="23"/>
  <c r="Y395" i="31" s="1"/>
  <c r="O437" i="23"/>
  <c r="Y397" i="31" s="1"/>
  <c r="H438" i="23"/>
  <c r="K438" i="23" s="1"/>
  <c r="N438" i="23" s="1"/>
  <c r="O438" i="23" s="1"/>
  <c r="Y398" i="31" s="1"/>
  <c r="E438" i="20"/>
  <c r="U398" i="31" s="1"/>
  <c r="E439" i="23"/>
  <c r="G439" i="23" s="1"/>
  <c r="I439" i="23" s="1"/>
  <c r="E439" i="8"/>
  <c r="G439" i="8" s="1"/>
  <c r="E399" i="31" s="1"/>
  <c r="O439" i="23"/>
  <c r="Y399" i="31" s="1"/>
  <c r="H440" i="23"/>
  <c r="K440" i="23" s="1"/>
  <c r="N440" i="23" s="1"/>
  <c r="O440" i="23" s="1"/>
  <c r="Y400" i="31" s="1"/>
  <c r="E440" i="20"/>
  <c r="U400" i="31" s="1"/>
  <c r="F440" i="11"/>
  <c r="P440" i="23"/>
  <c r="R440" i="23" s="1"/>
  <c r="Z400" i="31" s="1"/>
  <c r="O441" i="23"/>
  <c r="Y401" i="31" s="1"/>
  <c r="F446" i="23"/>
  <c r="F446" i="8"/>
  <c r="L446" i="23"/>
  <c r="X405" i="31" s="1"/>
  <c r="G446" i="12"/>
  <c r="I405" i="31" s="1"/>
  <c r="H448" i="23"/>
  <c r="K448" i="23" s="1"/>
  <c r="N448" i="23" s="1"/>
  <c r="O448" i="23" s="1"/>
  <c r="Y407" i="31" s="1"/>
  <c r="E448" i="20"/>
  <c r="U407" i="31" s="1"/>
  <c r="O449" i="23"/>
  <c r="Y408" i="31" s="1"/>
  <c r="H450" i="23"/>
  <c r="K450" i="23" s="1"/>
  <c r="N450" i="23" s="1"/>
  <c r="O450" i="23" s="1"/>
  <c r="Y409" i="31" s="1"/>
  <c r="E450" i="20"/>
  <c r="U409" i="31" s="1"/>
  <c r="O451" i="23"/>
  <c r="Y410" i="31" s="1"/>
  <c r="H452" i="23"/>
  <c r="K452" i="23" s="1"/>
  <c r="N452" i="23" s="1"/>
  <c r="O452" i="23" s="1"/>
  <c r="Y411" i="31" s="1"/>
  <c r="E452" i="20"/>
  <c r="U411" i="31" s="1"/>
  <c r="E455" i="23"/>
  <c r="G455" i="23" s="1"/>
  <c r="I455" i="23" s="1"/>
  <c r="E455" i="8"/>
  <c r="G455" i="8" s="1"/>
  <c r="E413" i="31" s="1"/>
  <c r="L455" i="23"/>
  <c r="X413" i="31" s="1"/>
  <c r="F456" i="23"/>
  <c r="F456" i="8"/>
  <c r="E457" i="23"/>
  <c r="G457" i="23" s="1"/>
  <c r="I457" i="23" s="1"/>
  <c r="E457" i="8"/>
  <c r="G457" i="8" s="1"/>
  <c r="E415" i="31" s="1"/>
  <c r="L457" i="23"/>
  <c r="X415" i="31" s="1"/>
  <c r="F458" i="23"/>
  <c r="F458" i="8"/>
  <c r="E459" i="23"/>
  <c r="G459" i="23" s="1"/>
  <c r="I459" i="23" s="1"/>
  <c r="E459" i="8"/>
  <c r="G459" i="8" s="1"/>
  <c r="E417" i="31" s="1"/>
  <c r="L459" i="23"/>
  <c r="X417" i="31" s="1"/>
  <c r="F460" i="23"/>
  <c r="F460" i="8"/>
  <c r="E461" i="23"/>
  <c r="G461" i="23" s="1"/>
  <c r="I461" i="23" s="1"/>
  <c r="E461" i="8"/>
  <c r="G461" i="8" s="1"/>
  <c r="E419" i="31" s="1"/>
  <c r="L461" i="23"/>
  <c r="X419" i="31" s="1"/>
  <c r="F462" i="23"/>
  <c r="F462" i="8"/>
  <c r="E463" i="23"/>
  <c r="G463" i="23" s="1"/>
  <c r="I463" i="23" s="1"/>
  <c r="E463" i="8"/>
  <c r="G463" i="8" s="1"/>
  <c r="E421" i="31" s="1"/>
  <c r="L463" i="23"/>
  <c r="X421" i="31" s="1"/>
  <c r="F465" i="23"/>
  <c r="F465" i="8"/>
  <c r="E466" i="23"/>
  <c r="G466" i="23" s="1"/>
  <c r="I466" i="23" s="1"/>
  <c r="E466" i="8"/>
  <c r="G466" i="8" s="1"/>
  <c r="E423" i="31" s="1"/>
  <c r="G466" i="12"/>
  <c r="I423" i="31" s="1"/>
  <c r="F467" i="23"/>
  <c r="F467" i="8"/>
  <c r="O468" i="23"/>
  <c r="Y425" i="31" s="1"/>
  <c r="H469" i="23"/>
  <c r="K469" i="23" s="1"/>
  <c r="N469" i="23" s="1"/>
  <c r="O469" i="23" s="1"/>
  <c r="Y426" i="31" s="1"/>
  <c r="E469" i="20"/>
  <c r="U426" i="31" s="1"/>
  <c r="F469" i="11"/>
  <c r="P469" i="23"/>
  <c r="R469" i="23" s="1"/>
  <c r="Z426" i="31" s="1"/>
  <c r="O470" i="23"/>
  <c r="Y427" i="31" s="1"/>
  <c r="H471" i="23"/>
  <c r="K471" i="23" s="1"/>
  <c r="N471" i="23" s="1"/>
  <c r="O471" i="23" s="1"/>
  <c r="Y428" i="31" s="1"/>
  <c r="E471" i="20"/>
  <c r="U428" i="31" s="1"/>
  <c r="F471" i="11"/>
  <c r="P471" i="23"/>
  <c r="R471" i="23" s="1"/>
  <c r="Z428" i="31" s="1"/>
  <c r="O472" i="23"/>
  <c r="Y429" i="31" s="1"/>
  <c r="H473" i="23"/>
  <c r="K473" i="23" s="1"/>
  <c r="N473" i="23" s="1"/>
  <c r="O473" i="23" s="1"/>
  <c r="Y430" i="31" s="1"/>
  <c r="E473" i="20"/>
  <c r="U430" i="31" s="1"/>
  <c r="F473" i="11"/>
  <c r="P473" i="23"/>
  <c r="R473" i="23" s="1"/>
  <c r="Z430" i="31" s="1"/>
  <c r="O474" i="23"/>
  <c r="Y431" i="31" s="1"/>
  <c r="F491" i="10"/>
  <c r="H491" i="23"/>
  <c r="K491" i="23" s="1"/>
  <c r="N491" i="23" s="1"/>
  <c r="O491" i="23" s="1"/>
  <c r="Y446" i="31" s="1"/>
  <c r="E491" i="20"/>
  <c r="U446" i="31" s="1"/>
  <c r="G476" i="12"/>
  <c r="I432" i="31" s="1"/>
  <c r="F492" i="23"/>
  <c r="F492" i="8"/>
  <c r="E493" i="23"/>
  <c r="G493" i="23" s="1"/>
  <c r="I493" i="23" s="1"/>
  <c r="E493" i="8"/>
  <c r="G493" i="8" s="1"/>
  <c r="E448" i="31" s="1"/>
  <c r="L493" i="23"/>
  <c r="X448" i="31" s="1"/>
  <c r="E495" i="23"/>
  <c r="G495" i="23" s="1"/>
  <c r="I495" i="23" s="1"/>
  <c r="E495" i="8"/>
  <c r="G495" i="8" s="1"/>
  <c r="E450" i="31" s="1"/>
  <c r="L495" i="23"/>
  <c r="X450" i="31" s="1"/>
  <c r="F496" i="23"/>
  <c r="F496" i="8"/>
  <c r="E500" i="23"/>
  <c r="G500" i="23" s="1"/>
  <c r="I500" i="23" s="1"/>
  <c r="E500" i="8"/>
  <c r="G500" i="8" s="1"/>
  <c r="E454" i="31" s="1"/>
  <c r="L500" i="23"/>
  <c r="X454" i="31" s="1"/>
  <c r="O500" i="23"/>
  <c r="Y454" i="31" s="1"/>
  <c r="F501" i="10"/>
  <c r="H501" i="23"/>
  <c r="K501" i="23" s="1"/>
  <c r="N501" i="23" s="1"/>
  <c r="O501" i="23" s="1"/>
  <c r="Y455" i="31" s="1"/>
  <c r="E501" i="20"/>
  <c r="U455" i="31" s="1"/>
  <c r="F499" i="10"/>
  <c r="H499" i="23"/>
  <c r="K499" i="23" s="1"/>
  <c r="N499" i="23" s="1"/>
  <c r="O499" i="23" s="1"/>
  <c r="Y453" i="31" s="1"/>
  <c r="E499" i="20"/>
  <c r="U453" i="31" s="1"/>
  <c r="F499" i="11"/>
  <c r="P499" i="23"/>
  <c r="R499" i="23" s="1"/>
  <c r="Z453" i="31" s="1"/>
  <c r="F502" i="23"/>
  <c r="F502" i="8"/>
  <c r="E503" i="23"/>
  <c r="G503" i="23" s="1"/>
  <c r="I503" i="23" s="1"/>
  <c r="E503" i="8"/>
  <c r="G503" i="8" s="1"/>
  <c r="E457" i="31" s="1"/>
  <c r="L503" i="23"/>
  <c r="X457" i="31" s="1"/>
  <c r="F504" i="23"/>
  <c r="F504" i="8"/>
  <c r="E505" i="23"/>
  <c r="G505" i="23" s="1"/>
  <c r="I505" i="23" s="1"/>
  <c r="E505" i="8"/>
  <c r="G505" i="8" s="1"/>
  <c r="E459" i="31" s="1"/>
  <c r="L505" i="23"/>
  <c r="X459" i="31" s="1"/>
  <c r="F506" i="23"/>
  <c r="F506" i="8"/>
  <c r="E507" i="23"/>
  <c r="G507" i="23" s="1"/>
  <c r="I507" i="23" s="1"/>
  <c r="E507" i="8"/>
  <c r="G507" i="8" s="1"/>
  <c r="E461" i="31" s="1"/>
  <c r="L507" i="23"/>
  <c r="X461" i="31" s="1"/>
  <c r="F514" i="23"/>
  <c r="F514" i="8"/>
  <c r="F515" i="23"/>
  <c r="F515" i="8"/>
  <c r="E516" i="23"/>
  <c r="G516" i="23" s="1"/>
  <c r="I516" i="23" s="1"/>
  <c r="E516" i="8"/>
  <c r="G516" i="8" s="1"/>
  <c r="E469" i="31" s="1"/>
  <c r="E517" i="23"/>
  <c r="G517" i="23" s="1"/>
  <c r="I517" i="23" s="1"/>
  <c r="E517" i="8"/>
  <c r="G517" i="8" s="1"/>
  <c r="E470" i="31" s="1"/>
  <c r="L517" i="23"/>
  <c r="X470" i="31" s="1"/>
  <c r="O517" i="23"/>
  <c r="Y470" i="31" s="1"/>
  <c r="F518" i="10"/>
  <c r="H518" i="23"/>
  <c r="K518" i="23" s="1"/>
  <c r="N518" i="23" s="1"/>
  <c r="O518" i="23" s="1"/>
  <c r="Y471" i="31" s="1"/>
  <c r="E518" i="20"/>
  <c r="U471" i="31" s="1"/>
  <c r="L518" i="23"/>
  <c r="X471" i="31" s="1"/>
  <c r="E356" i="23"/>
  <c r="G356" i="23" s="1"/>
  <c r="I356" i="23" s="1"/>
  <c r="E356" i="8"/>
  <c r="G356" i="8" s="1"/>
  <c r="E323" i="31" s="1"/>
  <c r="E389" i="23"/>
  <c r="G389" i="23" s="1"/>
  <c r="I389" i="23" s="1"/>
  <c r="E389" i="8"/>
  <c r="G389" i="8" s="1"/>
  <c r="E353" i="31" s="1"/>
  <c r="E390" i="23"/>
  <c r="G390" i="23" s="1"/>
  <c r="I390" i="23" s="1"/>
  <c r="E390" i="8"/>
  <c r="G390" i="8" s="1"/>
  <c r="E354" i="31" s="1"/>
  <c r="W622" i="31"/>
  <c r="S685" i="23"/>
  <c r="AA622" i="31" s="1"/>
  <c r="W665" i="31"/>
  <c r="S732" i="23"/>
  <c r="AA665" i="31" s="1"/>
  <c r="W660" i="31"/>
  <c r="S726" i="23"/>
  <c r="AA660" i="31" s="1"/>
  <c r="W617" i="31"/>
  <c r="S679" i="23"/>
  <c r="AA617" i="31" s="1"/>
  <c r="W670" i="31"/>
  <c r="S737" i="23"/>
  <c r="AA670" i="31" s="1"/>
  <c r="W627" i="31"/>
  <c r="S690" i="23"/>
  <c r="AA627" i="31" s="1"/>
  <c r="W524" i="31"/>
  <c r="S577" i="23"/>
  <c r="AA524" i="31" s="1"/>
  <c r="W445" i="31"/>
  <c r="S490" i="23"/>
  <c r="AA445" i="31" s="1"/>
  <c r="W339" i="31"/>
  <c r="S373" i="23"/>
  <c r="AA339" i="31" s="1"/>
  <c r="W332" i="31"/>
  <c r="S366" i="23"/>
  <c r="AA332" i="31" s="1"/>
  <c r="W435" i="31"/>
  <c r="S479" i="23"/>
  <c r="AA435" i="31" s="1"/>
  <c r="W387" i="31"/>
  <c r="S426" i="23"/>
  <c r="AA387" i="31" s="1"/>
  <c r="W553" i="31"/>
  <c r="S609" i="23"/>
  <c r="AA553" i="31" s="1"/>
  <c r="S562" i="23"/>
  <c r="AA511" i="31" s="1"/>
  <c r="W511" i="31"/>
  <c r="W489" i="31"/>
  <c r="S538" i="23"/>
  <c r="AA489" i="31" s="1"/>
  <c r="W485" i="31"/>
  <c r="S534" i="23"/>
  <c r="AA485" i="31" s="1"/>
  <c r="L375" i="23"/>
  <c r="X341" i="31" s="1"/>
  <c r="L371" i="23"/>
  <c r="X337" i="31" s="1"/>
  <c r="L428" i="23"/>
  <c r="X389" i="31" s="1"/>
  <c r="I422" i="23"/>
  <c r="I391" i="23"/>
  <c r="L330" i="23"/>
  <c r="X300" i="31" s="1"/>
  <c r="I326" i="23"/>
  <c r="I176" i="23"/>
  <c r="L172" i="23"/>
  <c r="X156" i="31" s="1"/>
  <c r="L628" i="23"/>
  <c r="X571" i="31" s="1"/>
  <c r="I548" i="23"/>
  <c r="I546" i="23"/>
  <c r="G427" i="23"/>
  <c r="I427" i="23" s="1"/>
  <c r="G425" i="8"/>
  <c r="E386" i="31" s="1"/>
  <c r="L169" i="23"/>
  <c r="X153" i="31" s="1"/>
  <c r="S623" i="23"/>
  <c r="AA566" i="31" s="1"/>
  <c r="W566" i="31"/>
  <c r="S605" i="23"/>
  <c r="AA550" i="31" s="1"/>
  <c r="W550" i="31"/>
  <c r="I558" i="23"/>
  <c r="S755" i="23"/>
  <c r="AA686" i="31" s="1"/>
  <c r="W686" i="31"/>
  <c r="W664" i="31"/>
  <c r="S731" i="23"/>
  <c r="AA664" i="31" s="1"/>
  <c r="W651" i="31"/>
  <c r="S716" i="23"/>
  <c r="AA651" i="31" s="1"/>
  <c r="I581" i="23"/>
  <c r="W523" i="31"/>
  <c r="S576" i="23"/>
  <c r="AA523" i="31" s="1"/>
  <c r="L528" i="23"/>
  <c r="X480" i="31" s="1"/>
  <c r="L522" i="23"/>
  <c r="X474" i="31" s="1"/>
  <c r="I637" i="23"/>
  <c r="G525" i="8"/>
  <c r="E477" i="31" s="1"/>
  <c r="G327" i="8"/>
  <c r="E297" i="31" s="1"/>
  <c r="L325" i="23"/>
  <c r="X295" i="31" s="1"/>
  <c r="G614" i="8"/>
  <c r="E558" i="31" s="1"/>
  <c r="G603" i="23"/>
  <c r="I603" i="23" s="1"/>
  <c r="G549" i="8"/>
  <c r="E499" i="31" s="1"/>
  <c r="G543" i="23"/>
  <c r="I543" i="23" s="1"/>
  <c r="W615" i="31"/>
  <c r="S677" i="23"/>
  <c r="AA615" i="31" s="1"/>
  <c r="W601" i="31"/>
  <c r="S661" i="23"/>
  <c r="AA601" i="31" s="1"/>
  <c r="W654" i="31"/>
  <c r="S720" i="23"/>
  <c r="AA654" i="31" s="1"/>
  <c r="G647" i="23"/>
  <c r="I647" i="23" s="1"/>
  <c r="G645" i="8"/>
  <c r="E586" i="31" s="1"/>
  <c r="L51" i="23"/>
  <c r="X46" i="31" s="1"/>
  <c r="G51" i="23"/>
  <c r="I51" i="23" s="1"/>
  <c r="G52" i="11"/>
  <c r="H47" i="31" s="1"/>
  <c r="L367" i="23"/>
  <c r="X333" i="31" s="1"/>
  <c r="G571" i="23"/>
  <c r="I571" i="23" s="1"/>
  <c r="G569" i="23"/>
  <c r="I569" i="23" s="1"/>
  <c r="G520" i="8"/>
  <c r="E472" i="31" s="1"/>
  <c r="L484" i="23"/>
  <c r="X440" i="31" s="1"/>
  <c r="G480" i="23"/>
  <c r="I480" i="23" s="1"/>
  <c r="G478" i="8"/>
  <c r="E434" i="31" s="1"/>
  <c r="G396" i="23"/>
  <c r="I396" i="23" s="1"/>
  <c r="G394" i="8"/>
  <c r="E358" i="31" s="1"/>
  <c r="L392" i="23"/>
  <c r="X356" i="31" s="1"/>
  <c r="G616" i="8"/>
  <c r="E560" i="31" s="1"/>
  <c r="L612" i="23"/>
  <c r="X556" i="31" s="1"/>
  <c r="L621" i="23"/>
  <c r="X564" i="31" s="1"/>
  <c r="I621" i="23"/>
  <c r="L561" i="23"/>
  <c r="X510" i="31" s="1"/>
  <c r="G542" i="23"/>
  <c r="I542" i="23" s="1"/>
  <c r="G539" i="8"/>
  <c r="E490" i="31" s="1"/>
  <c r="L537" i="23"/>
  <c r="X488" i="31" s="1"/>
  <c r="G580" i="23"/>
  <c r="I580" i="23" s="1"/>
  <c r="L370" i="23"/>
  <c r="X336" i="31" s="1"/>
  <c r="G565" i="8"/>
  <c r="E513" i="31" s="1"/>
  <c r="G177" i="23"/>
  <c r="I177" i="23" s="1"/>
  <c r="G595" i="8"/>
  <c r="E541" i="31" s="1"/>
  <c r="L593" i="23"/>
  <c r="X539" i="31" s="1"/>
  <c r="G625" i="8"/>
  <c r="E568" i="31" s="1"/>
  <c r="G599" i="8"/>
  <c r="E544" i="31" s="1"/>
  <c r="S671" i="23"/>
  <c r="AA610" i="31" s="1"/>
  <c r="S735" i="23"/>
  <c r="AA668" i="31" s="1"/>
  <c r="S782" i="23"/>
  <c r="AA711" i="31" s="1"/>
  <c r="W711" i="31"/>
  <c r="G647" i="10"/>
  <c r="G588" i="31" s="1"/>
  <c r="G55" i="23"/>
  <c r="I55" i="23" s="1"/>
  <c r="L53" i="23"/>
  <c r="X48" i="31" s="1"/>
  <c r="G50" i="8"/>
  <c r="E45" i="31" s="1"/>
  <c r="G49" i="8"/>
  <c r="E44" i="31" s="1"/>
  <c r="G583" i="23"/>
  <c r="I583" i="23" s="1"/>
  <c r="G582" i="8"/>
  <c r="E529" i="31" s="1"/>
  <c r="L580" i="23"/>
  <c r="X527" i="31" s="1"/>
  <c r="G578" i="8"/>
  <c r="E525" i="31" s="1"/>
  <c r="L356" i="23"/>
  <c r="X323" i="31" s="1"/>
  <c r="G523" i="8"/>
  <c r="E475" i="31" s="1"/>
  <c r="L521" i="23"/>
  <c r="X473" i="31" s="1"/>
  <c r="G329" i="23"/>
  <c r="I329" i="23" s="1"/>
  <c r="G601" i="8"/>
  <c r="E546" i="31" s="1"/>
  <c r="L543" i="23"/>
  <c r="X493" i="31" s="1"/>
  <c r="F62" i="13"/>
  <c r="F62" i="10"/>
  <c r="E63" i="11"/>
  <c r="E63" i="10"/>
  <c r="F65" i="13"/>
  <c r="F65" i="10"/>
  <c r="F66" i="13"/>
  <c r="F66" i="10"/>
  <c r="E67" i="11"/>
  <c r="E67" i="10"/>
  <c r="F59" i="13"/>
  <c r="F59" i="10"/>
  <c r="F72" i="13"/>
  <c r="F72" i="10"/>
  <c r="F73" i="13"/>
  <c r="F73" i="10"/>
  <c r="F75" i="13"/>
  <c r="F75" i="10"/>
  <c r="F76" i="13"/>
  <c r="F76" i="10"/>
  <c r="E77" i="11"/>
  <c r="E77" i="10"/>
  <c r="F78" i="13"/>
  <c r="F78" i="10"/>
  <c r="F88" i="9"/>
  <c r="G88" i="9" s="1"/>
  <c r="F80" i="31" s="1"/>
  <c r="F96" i="13"/>
  <c r="F96" i="10"/>
  <c r="F97" i="13"/>
  <c r="F97" i="10"/>
  <c r="F99" i="13"/>
  <c r="F99" i="10"/>
  <c r="F100" i="13"/>
  <c r="F100" i="10"/>
  <c r="F104" i="13"/>
  <c r="F104" i="10"/>
  <c r="F107" i="9"/>
  <c r="G107" i="9" s="1"/>
  <c r="F97" i="31" s="1"/>
  <c r="F108" i="9"/>
  <c r="G108" i="9" s="1"/>
  <c r="F98" i="31" s="1"/>
  <c r="F109" i="9"/>
  <c r="G109" i="9" s="1"/>
  <c r="F99" i="31" s="1"/>
  <c r="F110" i="9"/>
  <c r="G110" i="9" s="1"/>
  <c r="F100" i="31" s="1"/>
  <c r="F111" i="9"/>
  <c r="G111" i="9" s="1"/>
  <c r="F101" i="31" s="1"/>
  <c r="F25" i="9"/>
  <c r="G25" i="9" s="1"/>
  <c r="F22" i="31" s="1"/>
  <c r="F27" i="13"/>
  <c r="F27" i="10"/>
  <c r="F30" i="13"/>
  <c r="F30" i="10"/>
  <c r="F31" i="13"/>
  <c r="F31" i="10"/>
  <c r="F32" i="13"/>
  <c r="F32" i="10"/>
  <c r="F33" i="13"/>
  <c r="F33" i="10"/>
  <c r="F43" i="13"/>
  <c r="F43" i="10"/>
  <c r="F118" i="13"/>
  <c r="F118" i="10"/>
  <c r="E118" i="11"/>
  <c r="G118" i="11" s="1"/>
  <c r="H107" i="31" s="1"/>
  <c r="E118" i="10"/>
  <c r="E119" i="11"/>
  <c r="E119" i="10"/>
  <c r="G119" i="10" s="1"/>
  <c r="G108" i="31" s="1"/>
  <c r="F120" i="13"/>
  <c r="F120" i="10"/>
  <c r="E120" i="11"/>
  <c r="G120" i="11" s="1"/>
  <c r="H109" i="31" s="1"/>
  <c r="E120" i="10"/>
  <c r="G120" i="10" s="1"/>
  <c r="G109" i="31" s="1"/>
  <c r="F121" i="13"/>
  <c r="F121" i="10"/>
  <c r="E121" i="11"/>
  <c r="G121" i="11" s="1"/>
  <c r="H110" i="31" s="1"/>
  <c r="E121" i="10"/>
  <c r="G121" i="10" s="1"/>
  <c r="G110" i="31" s="1"/>
  <c r="F122" i="13"/>
  <c r="G122" i="13" s="1"/>
  <c r="J111" i="31" s="1"/>
  <c r="F122" i="10"/>
  <c r="E122" i="11"/>
  <c r="G122" i="11" s="1"/>
  <c r="H111" i="31" s="1"/>
  <c r="E122" i="10"/>
  <c r="G122" i="10" s="1"/>
  <c r="G111" i="31" s="1"/>
  <c r="F135" i="13"/>
  <c r="F135" i="10"/>
  <c r="E135" i="11"/>
  <c r="G135" i="11" s="1"/>
  <c r="H122" i="31" s="1"/>
  <c r="E135" i="10"/>
  <c r="G135" i="10" s="1"/>
  <c r="G122" i="31" s="1"/>
  <c r="F136" i="9"/>
  <c r="G136" i="9" s="1"/>
  <c r="F123" i="31" s="1"/>
  <c r="F137" i="9"/>
  <c r="G137" i="9" s="1"/>
  <c r="F124" i="31" s="1"/>
  <c r="F138" i="9"/>
  <c r="G138" i="9" s="1"/>
  <c r="F125" i="31" s="1"/>
  <c r="F139" i="9"/>
  <c r="G139" i="9" s="1"/>
  <c r="F126" i="31" s="1"/>
  <c r="F140" i="9"/>
  <c r="G140" i="9" s="1"/>
  <c r="F127" i="31" s="1"/>
  <c r="F141" i="9"/>
  <c r="G141" i="9" s="1"/>
  <c r="F128" i="31" s="1"/>
  <c r="F142" i="9"/>
  <c r="G142" i="9" s="1"/>
  <c r="F129" i="31" s="1"/>
  <c r="F143" i="13"/>
  <c r="F143" i="10"/>
  <c r="E143" i="11"/>
  <c r="G143" i="11" s="1"/>
  <c r="H130" i="31" s="1"/>
  <c r="E143" i="10"/>
  <c r="G143" i="10" s="1"/>
  <c r="G130" i="31" s="1"/>
  <c r="F144" i="9"/>
  <c r="G144" i="9" s="1"/>
  <c r="F131" i="31" s="1"/>
  <c r="F155" i="9"/>
  <c r="G155" i="9" s="1"/>
  <c r="F141" i="31" s="1"/>
  <c r="F159" i="9"/>
  <c r="G159" i="9" s="1"/>
  <c r="F144" i="31" s="1"/>
  <c r="F160" i="9"/>
  <c r="G160" i="9" s="1"/>
  <c r="F145" i="31" s="1"/>
  <c r="F161" i="9"/>
  <c r="G161" i="9" s="1"/>
  <c r="F146" i="31" s="1"/>
  <c r="F162" i="9"/>
  <c r="G162" i="9" s="1"/>
  <c r="F147" i="31" s="1"/>
  <c r="E163" i="11"/>
  <c r="G163" i="11" s="1"/>
  <c r="H148" i="31" s="1"/>
  <c r="E163" i="10"/>
  <c r="G163" i="10" s="1"/>
  <c r="G148" i="31" s="1"/>
  <c r="F164" i="9"/>
  <c r="G164" i="9" s="1"/>
  <c r="F149" i="31" s="1"/>
  <c r="F165" i="9"/>
  <c r="G165" i="9" s="1"/>
  <c r="F150" i="31" s="1"/>
  <c r="F166" i="9"/>
  <c r="G166" i="9" s="1"/>
  <c r="F151" i="31" s="1"/>
  <c r="F94" i="13"/>
  <c r="F94" i="10"/>
  <c r="F94" i="9"/>
  <c r="G94" i="9" s="1"/>
  <c r="F85" i="31" s="1"/>
  <c r="E94" i="11"/>
  <c r="G94" i="11" s="1"/>
  <c r="H85" i="31" s="1"/>
  <c r="E94" i="10"/>
  <c r="F93" i="13"/>
  <c r="G93" i="13" s="1"/>
  <c r="J84" i="31" s="1"/>
  <c r="F93" i="10"/>
  <c r="F92" i="9"/>
  <c r="G92" i="9" s="1"/>
  <c r="F83" i="31" s="1"/>
  <c r="E92" i="11"/>
  <c r="G92" i="11" s="1"/>
  <c r="H83" i="31" s="1"/>
  <c r="E92" i="10"/>
  <c r="F91" i="13"/>
  <c r="F91" i="10"/>
  <c r="E91" i="11"/>
  <c r="G91" i="11" s="1"/>
  <c r="H82" i="31" s="1"/>
  <c r="E91" i="10"/>
  <c r="G91" i="10" s="1"/>
  <c r="G82" i="31" s="1"/>
  <c r="F124" i="9"/>
  <c r="G124" i="9" s="1"/>
  <c r="F112" i="31" s="1"/>
  <c r="F125" i="9"/>
  <c r="G125" i="9" s="1"/>
  <c r="F113" i="31" s="1"/>
  <c r="F126" i="13"/>
  <c r="G126" i="13" s="1"/>
  <c r="J114" i="31" s="1"/>
  <c r="F126" i="10"/>
  <c r="E126" i="11"/>
  <c r="G126" i="11" s="1"/>
  <c r="H114" i="31" s="1"/>
  <c r="E126" i="10"/>
  <c r="F127" i="13"/>
  <c r="F127" i="10"/>
  <c r="E127" i="11"/>
  <c r="G127" i="11" s="1"/>
  <c r="H115" i="31" s="1"/>
  <c r="E127" i="10"/>
  <c r="F128" i="9"/>
  <c r="G128" i="9" s="1"/>
  <c r="F116" i="31" s="1"/>
  <c r="F129" i="9"/>
  <c r="G129" i="9" s="1"/>
  <c r="F117" i="31" s="1"/>
  <c r="F130" i="9"/>
  <c r="G130" i="9" s="1"/>
  <c r="F118" i="31" s="1"/>
  <c r="F131" i="13"/>
  <c r="G131" i="13" s="1"/>
  <c r="J119" i="31" s="1"/>
  <c r="F131" i="10"/>
  <c r="E131" i="11"/>
  <c r="G131" i="11" s="1"/>
  <c r="H119" i="31" s="1"/>
  <c r="E131" i="10"/>
  <c r="F132" i="6"/>
  <c r="E132" i="9"/>
  <c r="F132" i="9"/>
  <c r="F44" i="9"/>
  <c r="G44" i="9" s="1"/>
  <c r="F40" i="31" s="1"/>
  <c r="F215" i="13"/>
  <c r="G215" i="13" s="1"/>
  <c r="J195" i="31" s="1"/>
  <c r="F215" i="10"/>
  <c r="F215" i="9"/>
  <c r="G215" i="9" s="1"/>
  <c r="F195" i="31" s="1"/>
  <c r="E215" i="11"/>
  <c r="G215" i="11" s="1"/>
  <c r="H195" i="31" s="1"/>
  <c r="E215" i="10"/>
  <c r="F216" i="9"/>
  <c r="G216" i="9" s="1"/>
  <c r="F196" i="31" s="1"/>
  <c r="F217" i="9"/>
  <c r="G217" i="9" s="1"/>
  <c r="F197" i="31" s="1"/>
  <c r="F218" i="9"/>
  <c r="G218" i="9" s="1"/>
  <c r="F198" i="31" s="1"/>
  <c r="F219" i="9"/>
  <c r="G219" i="9" s="1"/>
  <c r="F199" i="31" s="1"/>
  <c r="F220" i="9"/>
  <c r="G220" i="9" s="1"/>
  <c r="F200" i="31" s="1"/>
  <c r="F221" i="9"/>
  <c r="G221" i="9" s="1"/>
  <c r="F201" i="31" s="1"/>
  <c r="F201" i="9"/>
  <c r="G201" i="9" s="1"/>
  <c r="F182" i="31" s="1"/>
  <c r="F202" i="13"/>
  <c r="F202" i="10"/>
  <c r="E202" i="11"/>
  <c r="G202" i="11" s="1"/>
  <c r="H183" i="31" s="1"/>
  <c r="E202" i="10"/>
  <c r="E203" i="11"/>
  <c r="G203" i="11" s="1"/>
  <c r="H184" i="31" s="1"/>
  <c r="E203" i="10"/>
  <c r="G203" i="10" s="1"/>
  <c r="G184" i="31" s="1"/>
  <c r="F204" i="13"/>
  <c r="F204" i="10"/>
  <c r="E204" i="11"/>
  <c r="G204" i="11" s="1"/>
  <c r="H185" i="31" s="1"/>
  <c r="E204" i="10"/>
  <c r="G204" i="10" s="1"/>
  <c r="G185" i="31" s="1"/>
  <c r="F205" i="9"/>
  <c r="G205" i="9" s="1"/>
  <c r="F186" i="31" s="1"/>
  <c r="E206" i="11"/>
  <c r="G206" i="11" s="1"/>
  <c r="H187" i="31" s="1"/>
  <c r="E206" i="10"/>
  <c r="F207" i="9"/>
  <c r="G207" i="9" s="1"/>
  <c r="F188" i="31" s="1"/>
  <c r="E207" i="11"/>
  <c r="G207" i="11" s="1"/>
  <c r="H188" i="31" s="1"/>
  <c r="E207" i="10"/>
  <c r="G207" i="10" s="1"/>
  <c r="G188" i="31" s="1"/>
  <c r="E209" i="11"/>
  <c r="G209" i="11" s="1"/>
  <c r="H190" i="31" s="1"/>
  <c r="E209" i="10"/>
  <c r="G209" i="10" s="1"/>
  <c r="G190" i="31" s="1"/>
  <c r="F210" i="13"/>
  <c r="F210" i="10"/>
  <c r="E210" i="11"/>
  <c r="G210" i="11" s="1"/>
  <c r="H191" i="31" s="1"/>
  <c r="E210" i="10"/>
  <c r="G210" i="10" s="1"/>
  <c r="G191" i="31" s="1"/>
  <c r="F190" i="13"/>
  <c r="G190" i="13" s="1"/>
  <c r="J172" i="31" s="1"/>
  <c r="F190" i="10"/>
  <c r="E190" i="11"/>
  <c r="G190" i="11" s="1"/>
  <c r="H172" i="31" s="1"/>
  <c r="E190" i="10"/>
  <c r="G190" i="10" s="1"/>
  <c r="G172" i="31" s="1"/>
  <c r="F191" i="9"/>
  <c r="G191" i="9" s="1"/>
  <c r="F173" i="31" s="1"/>
  <c r="F192" i="9"/>
  <c r="G192" i="9" s="1"/>
  <c r="F174" i="31" s="1"/>
  <c r="F193" i="9"/>
  <c r="G193" i="9" s="1"/>
  <c r="F175" i="31" s="1"/>
  <c r="F194" i="9"/>
  <c r="G194" i="9" s="1"/>
  <c r="F176" i="31" s="1"/>
  <c r="F195" i="9"/>
  <c r="G195" i="9" s="1"/>
  <c r="F177" i="31" s="1"/>
  <c r="F196" i="9"/>
  <c r="G196" i="9" s="1"/>
  <c r="F178" i="31" s="1"/>
  <c r="F197" i="9"/>
  <c r="G197" i="9" s="1"/>
  <c r="F179" i="31" s="1"/>
  <c r="F198" i="9"/>
  <c r="G198" i="9" s="1"/>
  <c r="F180" i="31" s="1"/>
  <c r="F199" i="9"/>
  <c r="G199" i="9" s="1"/>
  <c r="F181" i="31" s="1"/>
  <c r="E184" i="12"/>
  <c r="G184" i="12" s="1"/>
  <c r="I167" i="31" s="1"/>
  <c r="E184" i="9"/>
  <c r="G184" i="9" s="1"/>
  <c r="F167" i="31" s="1"/>
  <c r="F184" i="13"/>
  <c r="G184" i="13" s="1"/>
  <c r="J167" i="31" s="1"/>
  <c r="F184" i="10"/>
  <c r="F184" i="9"/>
  <c r="E184" i="11"/>
  <c r="G184" i="11" s="1"/>
  <c r="H167" i="31" s="1"/>
  <c r="E184" i="10"/>
  <c r="G184" i="10" s="1"/>
  <c r="G167" i="31" s="1"/>
  <c r="F185" i="9"/>
  <c r="G185" i="9" s="1"/>
  <c r="F168" i="31" s="1"/>
  <c r="F186" i="9"/>
  <c r="G186" i="9" s="1"/>
  <c r="F169" i="31" s="1"/>
  <c r="F187" i="9"/>
  <c r="G187" i="9" s="1"/>
  <c r="F170" i="31" s="1"/>
  <c r="F188" i="9"/>
  <c r="G188" i="9" s="1"/>
  <c r="F171" i="31" s="1"/>
  <c r="F267" i="13"/>
  <c r="G267" i="13" s="1"/>
  <c r="J242" i="31" s="1"/>
  <c r="F267" i="10"/>
  <c r="E267" i="11"/>
  <c r="G267" i="11" s="1"/>
  <c r="H242" i="31" s="1"/>
  <c r="E267" i="10"/>
  <c r="G267" i="10" s="1"/>
  <c r="G242" i="31" s="1"/>
  <c r="F268" i="9"/>
  <c r="G268" i="9" s="1"/>
  <c r="F243" i="31" s="1"/>
  <c r="F269" i="9"/>
  <c r="G269" i="9" s="1"/>
  <c r="F244" i="31" s="1"/>
  <c r="F270" i="9"/>
  <c r="G270" i="9" s="1"/>
  <c r="F245" i="31" s="1"/>
  <c r="F271" i="9"/>
  <c r="G271" i="9" s="1"/>
  <c r="F246" i="31" s="1"/>
  <c r="F272" i="9"/>
  <c r="G272" i="9" s="1"/>
  <c r="F247" i="31" s="1"/>
  <c r="F273" i="9"/>
  <c r="G273" i="9" s="1"/>
  <c r="F248" i="31" s="1"/>
  <c r="F274" i="9"/>
  <c r="G274" i="9" s="1"/>
  <c r="F249" i="31" s="1"/>
  <c r="F275" i="9"/>
  <c r="G275" i="9" s="1"/>
  <c r="F250" i="31" s="1"/>
  <c r="F276" i="9"/>
  <c r="G276" i="9" s="1"/>
  <c r="F251" i="31" s="1"/>
  <c r="F286" i="9"/>
  <c r="G286" i="9" s="1"/>
  <c r="F260" i="31" s="1"/>
  <c r="E286" i="11"/>
  <c r="E286" i="10"/>
  <c r="G286" i="10" s="1"/>
  <c r="G260" i="31" s="1"/>
  <c r="F287" i="9"/>
  <c r="G287" i="9" s="1"/>
  <c r="F261" i="31" s="1"/>
  <c r="F289" i="9"/>
  <c r="G289" i="9" s="1"/>
  <c r="F262" i="31" s="1"/>
  <c r="E290" i="11"/>
  <c r="G290" i="11" s="1"/>
  <c r="H263" i="31" s="1"/>
  <c r="E290" i="10"/>
  <c r="G290" i="10" s="1"/>
  <c r="G263" i="31" s="1"/>
  <c r="F291" i="9"/>
  <c r="G291" i="9" s="1"/>
  <c r="F264" i="31" s="1"/>
  <c r="E292" i="11"/>
  <c r="E292" i="10"/>
  <c r="G292" i="10" s="1"/>
  <c r="G265" i="31" s="1"/>
  <c r="F293" i="13"/>
  <c r="G293" i="13" s="1"/>
  <c r="J266" i="31" s="1"/>
  <c r="F293" i="10"/>
  <c r="E293" i="11"/>
  <c r="G293" i="11" s="1"/>
  <c r="H266" i="31" s="1"/>
  <c r="E293" i="10"/>
  <c r="F294" i="13"/>
  <c r="G294" i="13" s="1"/>
  <c r="J267" i="31" s="1"/>
  <c r="F294" i="10"/>
  <c r="E294" i="11"/>
  <c r="E294" i="10"/>
  <c r="F295" i="9"/>
  <c r="G295" i="9" s="1"/>
  <c r="F268" i="31" s="1"/>
  <c r="F296" i="9"/>
  <c r="G296" i="9" s="1"/>
  <c r="F269" i="31" s="1"/>
  <c r="F297" i="9"/>
  <c r="G297" i="9" s="1"/>
  <c r="F270" i="31" s="1"/>
  <c r="F298" i="9"/>
  <c r="G298" i="9" s="1"/>
  <c r="F271" i="31" s="1"/>
  <c r="F338" i="13"/>
  <c r="F338" i="10"/>
  <c r="F338" i="9"/>
  <c r="G338" i="9" s="1"/>
  <c r="F307" i="31" s="1"/>
  <c r="E338" i="11"/>
  <c r="E338" i="10"/>
  <c r="G338" i="10" s="1"/>
  <c r="G307" i="31" s="1"/>
  <c r="F339" i="9"/>
  <c r="G339" i="9" s="1"/>
  <c r="F308" i="31" s="1"/>
  <c r="F340" i="9"/>
  <c r="G340" i="9" s="1"/>
  <c r="F309" i="31" s="1"/>
  <c r="F341" i="9"/>
  <c r="G341" i="9" s="1"/>
  <c r="F310" i="31" s="1"/>
  <c r="F342" i="9"/>
  <c r="G342" i="9" s="1"/>
  <c r="F311" i="31" s="1"/>
  <c r="F357" i="9"/>
  <c r="G357" i="9" s="1"/>
  <c r="F324" i="31" s="1"/>
  <c r="E358" i="11"/>
  <c r="E358" i="10"/>
  <c r="G358" i="10" s="1"/>
  <c r="G325" i="31" s="1"/>
  <c r="F359" i="13"/>
  <c r="G359" i="13" s="1"/>
  <c r="J326" i="31" s="1"/>
  <c r="F359" i="10"/>
  <c r="E359" i="11"/>
  <c r="G359" i="11" s="1"/>
  <c r="H326" i="31" s="1"/>
  <c r="E359" i="10"/>
  <c r="F360" i="13"/>
  <c r="G360" i="13" s="1"/>
  <c r="J327" i="31" s="1"/>
  <c r="F360" i="10"/>
  <c r="E360" i="11"/>
  <c r="E360" i="10"/>
  <c r="F361" i="13"/>
  <c r="G361" i="13" s="1"/>
  <c r="J328" i="31" s="1"/>
  <c r="F361" i="10"/>
  <c r="E361" i="11"/>
  <c r="G361" i="11" s="1"/>
  <c r="H328" i="31" s="1"/>
  <c r="E361" i="10"/>
  <c r="E362" i="11"/>
  <c r="E362" i="10"/>
  <c r="G362" i="10" s="1"/>
  <c r="G329" i="31" s="1"/>
  <c r="F363" i="9"/>
  <c r="G363" i="9" s="1"/>
  <c r="F330" i="31" s="1"/>
  <c r="E364" i="11"/>
  <c r="E364" i="10"/>
  <c r="G364" i="10" s="1"/>
  <c r="G331" i="31" s="1"/>
  <c r="F382" i="9"/>
  <c r="G382" i="9" s="1"/>
  <c r="F347" i="31" s="1"/>
  <c r="E382" i="11"/>
  <c r="E382" i="10"/>
  <c r="G382" i="10" s="1"/>
  <c r="G347" i="31" s="1"/>
  <c r="F384" i="13"/>
  <c r="G384" i="13" s="1"/>
  <c r="J349" i="31" s="1"/>
  <c r="F384" i="10"/>
  <c r="F383" i="13"/>
  <c r="G383" i="13" s="1"/>
  <c r="J348" i="31" s="1"/>
  <c r="F383" i="10"/>
  <c r="E384" i="11"/>
  <c r="E384" i="10"/>
  <c r="G384" i="10" s="1"/>
  <c r="G349" i="31" s="1"/>
  <c r="F385" i="13"/>
  <c r="G385" i="13" s="1"/>
  <c r="J350" i="31" s="1"/>
  <c r="F385" i="10"/>
  <c r="E385" i="11"/>
  <c r="G385" i="11" s="1"/>
  <c r="H350" i="31" s="1"/>
  <c r="E385" i="10"/>
  <c r="G385" i="10" s="1"/>
  <c r="G350" i="31" s="1"/>
  <c r="E386" i="11"/>
  <c r="E386" i="10"/>
  <c r="G386" i="10" s="1"/>
  <c r="G351" i="31" s="1"/>
  <c r="F401" i="13"/>
  <c r="G401" i="13" s="1"/>
  <c r="J364" i="31" s="1"/>
  <c r="F401" i="10"/>
  <c r="F402" i="9"/>
  <c r="G402" i="9" s="1"/>
  <c r="F365" i="31" s="1"/>
  <c r="E401" i="11"/>
  <c r="G401" i="11" s="1"/>
  <c r="H364" i="31" s="1"/>
  <c r="E401" i="10"/>
  <c r="G401" i="10" s="1"/>
  <c r="G364" i="31" s="1"/>
  <c r="F403" i="13"/>
  <c r="G403" i="13" s="1"/>
  <c r="J366" i="31" s="1"/>
  <c r="F403" i="10"/>
  <c r="E403" i="11"/>
  <c r="G403" i="11" s="1"/>
  <c r="H366" i="31" s="1"/>
  <c r="E403" i="10"/>
  <c r="G403" i="10" s="1"/>
  <c r="G366" i="31" s="1"/>
  <c r="F405" i="9"/>
  <c r="G405" i="9" s="1"/>
  <c r="F368" i="31" s="1"/>
  <c r="E404" i="11"/>
  <c r="E404" i="10"/>
  <c r="G404" i="10" s="1"/>
  <c r="G367" i="31" s="1"/>
  <c r="E406" i="11"/>
  <c r="E406" i="10"/>
  <c r="G406" i="10" s="1"/>
  <c r="G369" i="31" s="1"/>
  <c r="F407" i="13"/>
  <c r="G407" i="13" s="1"/>
  <c r="J370" i="31" s="1"/>
  <c r="F407" i="10"/>
  <c r="E407" i="11"/>
  <c r="G407" i="11" s="1"/>
  <c r="H370" i="31" s="1"/>
  <c r="E407" i="10"/>
  <c r="G407" i="10" s="1"/>
  <c r="G370" i="31" s="1"/>
  <c r="F408" i="13"/>
  <c r="G408" i="13" s="1"/>
  <c r="J371" i="31" s="1"/>
  <c r="F408" i="10"/>
  <c r="E408" i="11"/>
  <c r="E408" i="10"/>
  <c r="G408" i="10" s="1"/>
  <c r="G371" i="31" s="1"/>
  <c r="F412" i="13"/>
  <c r="F412" i="10"/>
  <c r="F412" i="9"/>
  <c r="G412" i="9" s="1"/>
  <c r="F374" i="31" s="1"/>
  <c r="E412" i="11"/>
  <c r="E412" i="10"/>
  <c r="F414" i="13"/>
  <c r="F414" i="10"/>
  <c r="E414" i="11"/>
  <c r="E414" i="10"/>
  <c r="F415" i="9"/>
  <c r="G415" i="9" s="1"/>
  <c r="F377" i="31" s="1"/>
  <c r="F416" i="13"/>
  <c r="G416" i="13" s="1"/>
  <c r="J378" i="31" s="1"/>
  <c r="F416" i="10"/>
  <c r="E416" i="11"/>
  <c r="E416" i="10"/>
  <c r="F417" i="13"/>
  <c r="G417" i="13" s="1"/>
  <c r="J379" i="31" s="1"/>
  <c r="F417" i="10"/>
  <c r="E417" i="11"/>
  <c r="G417" i="11" s="1"/>
  <c r="H379" i="31" s="1"/>
  <c r="E417" i="10"/>
  <c r="E418" i="11"/>
  <c r="E418" i="10"/>
  <c r="G418" i="10" s="1"/>
  <c r="G380" i="31" s="1"/>
  <c r="F419" i="13"/>
  <c r="G419" i="13" s="1"/>
  <c r="J381" i="31" s="1"/>
  <c r="F419" i="10"/>
  <c r="E419" i="11"/>
  <c r="G419" i="11" s="1"/>
  <c r="H381" i="31" s="1"/>
  <c r="E419" i="10"/>
  <c r="G419" i="10" s="1"/>
  <c r="G381" i="31" s="1"/>
  <c r="F424" i="13"/>
  <c r="F435" i="10"/>
  <c r="F435" i="9"/>
  <c r="G435" i="9" s="1"/>
  <c r="F395" i="31" s="1"/>
  <c r="E435" i="11"/>
  <c r="E435" i="10"/>
  <c r="F426" i="13"/>
  <c r="G426" i="13" s="1"/>
  <c r="J387" i="31" s="1"/>
  <c r="F437" i="10"/>
  <c r="E437" i="11"/>
  <c r="E437" i="10"/>
  <c r="F427" i="13"/>
  <c r="G427" i="13" s="1"/>
  <c r="J388" i="31" s="1"/>
  <c r="F438" i="10"/>
  <c r="F439" i="9"/>
  <c r="G439" i="9" s="1"/>
  <c r="F399" i="31" s="1"/>
  <c r="E438" i="11"/>
  <c r="G438" i="11" s="1"/>
  <c r="H398" i="31" s="1"/>
  <c r="E438" i="10"/>
  <c r="F429" i="13"/>
  <c r="G429" i="13" s="1"/>
  <c r="J390" i="31" s="1"/>
  <c r="F440" i="10"/>
  <c r="E440" i="11"/>
  <c r="G440" i="11" s="1"/>
  <c r="H400" i="31" s="1"/>
  <c r="E440" i="10"/>
  <c r="F430" i="13"/>
  <c r="G430" i="13" s="1"/>
  <c r="J391" i="31" s="1"/>
  <c r="F441" i="10"/>
  <c r="E441" i="11"/>
  <c r="E441" i="10"/>
  <c r="F446" i="13"/>
  <c r="F446" i="10"/>
  <c r="F446" i="9"/>
  <c r="G446" i="9" s="1"/>
  <c r="F405" i="31" s="1"/>
  <c r="E446" i="11"/>
  <c r="E446" i="10"/>
  <c r="G446" i="10" s="1"/>
  <c r="G405" i="31" s="1"/>
  <c r="F448" i="13"/>
  <c r="G448" i="13" s="1"/>
  <c r="J407" i="31" s="1"/>
  <c r="F448" i="10"/>
  <c r="E448" i="11"/>
  <c r="E448" i="10"/>
  <c r="G448" i="10" s="1"/>
  <c r="G407" i="31" s="1"/>
  <c r="E449" i="11"/>
  <c r="G449" i="11" s="1"/>
  <c r="H408" i="31" s="1"/>
  <c r="E449" i="10"/>
  <c r="G449" i="10" s="1"/>
  <c r="G408" i="31" s="1"/>
  <c r="F450" i="13"/>
  <c r="G450" i="13" s="1"/>
  <c r="J409" i="31" s="1"/>
  <c r="F450" i="10"/>
  <c r="E450" i="11"/>
  <c r="E450" i="10"/>
  <c r="E451" i="11"/>
  <c r="G451" i="11" s="1"/>
  <c r="H410" i="31" s="1"/>
  <c r="E451" i="10"/>
  <c r="G451" i="10" s="1"/>
  <c r="G410" i="31" s="1"/>
  <c r="F452" i="13"/>
  <c r="G452" i="13" s="1"/>
  <c r="J411" i="31" s="1"/>
  <c r="F452" i="10"/>
  <c r="E452" i="11"/>
  <c r="E452" i="10"/>
  <c r="G452" i="10" s="1"/>
  <c r="G411" i="31" s="1"/>
  <c r="F454" i="13"/>
  <c r="F454" i="10"/>
  <c r="E454" i="11"/>
  <c r="E454" i="10"/>
  <c r="G454" i="10" s="1"/>
  <c r="G412" i="31" s="1"/>
  <c r="F455" i="9"/>
  <c r="G455" i="9" s="1"/>
  <c r="F413" i="31" s="1"/>
  <c r="F456" i="9"/>
  <c r="G456" i="9" s="1"/>
  <c r="F414" i="31" s="1"/>
  <c r="F457" i="9"/>
  <c r="G457" i="9" s="1"/>
  <c r="F415" i="31" s="1"/>
  <c r="F458" i="9"/>
  <c r="G458" i="9" s="1"/>
  <c r="F416" i="31" s="1"/>
  <c r="F459" i="9"/>
  <c r="G459" i="9" s="1"/>
  <c r="F417" i="31" s="1"/>
  <c r="F460" i="9"/>
  <c r="G460" i="9" s="1"/>
  <c r="F418" i="31" s="1"/>
  <c r="F461" i="9"/>
  <c r="G461" i="9" s="1"/>
  <c r="F419" i="31" s="1"/>
  <c r="F462" i="9"/>
  <c r="G462" i="9" s="1"/>
  <c r="F420" i="31" s="1"/>
  <c r="F463" i="9"/>
  <c r="G463" i="9" s="1"/>
  <c r="F421" i="31" s="1"/>
  <c r="F465" i="9"/>
  <c r="G465" i="9" s="1"/>
  <c r="F422" i="31" s="1"/>
  <c r="F466" i="9"/>
  <c r="G466" i="9" s="1"/>
  <c r="F423" i="31" s="1"/>
  <c r="E465" i="11"/>
  <c r="G465" i="11" s="1"/>
  <c r="H422" i="31" s="1"/>
  <c r="E465" i="10"/>
  <c r="G465" i="10" s="1"/>
  <c r="G422" i="31" s="1"/>
  <c r="F467" i="9"/>
  <c r="G467" i="9" s="1"/>
  <c r="F424" i="31" s="1"/>
  <c r="E468" i="11"/>
  <c r="E468" i="10"/>
  <c r="G468" i="10" s="1"/>
  <c r="G425" i="31" s="1"/>
  <c r="F469" i="13"/>
  <c r="G469" i="13" s="1"/>
  <c r="J426" i="31" s="1"/>
  <c r="F469" i="10"/>
  <c r="E469" i="11"/>
  <c r="G469" i="11" s="1"/>
  <c r="H426" i="31" s="1"/>
  <c r="E469" i="10"/>
  <c r="G469" i="10" s="1"/>
  <c r="G426" i="31" s="1"/>
  <c r="E470" i="11"/>
  <c r="E470" i="10"/>
  <c r="G470" i="10" s="1"/>
  <c r="G427" i="31" s="1"/>
  <c r="F471" i="13"/>
  <c r="G471" i="13" s="1"/>
  <c r="J428" i="31" s="1"/>
  <c r="F471" i="10"/>
  <c r="E471" i="11"/>
  <c r="G471" i="11" s="1"/>
  <c r="H428" i="31" s="1"/>
  <c r="E471" i="10"/>
  <c r="E472" i="11"/>
  <c r="E472" i="10"/>
  <c r="G472" i="10" s="1"/>
  <c r="G429" i="31" s="1"/>
  <c r="F473" i="13"/>
  <c r="G473" i="13" s="1"/>
  <c r="J430" i="31" s="1"/>
  <c r="F473" i="10"/>
  <c r="E473" i="11"/>
  <c r="G473" i="11" s="1"/>
  <c r="H430" i="31" s="1"/>
  <c r="E473" i="10"/>
  <c r="G473" i="10" s="1"/>
  <c r="G430" i="31" s="1"/>
  <c r="E474" i="11"/>
  <c r="E474" i="10"/>
  <c r="G474" i="10" s="1"/>
  <c r="G431" i="31" s="1"/>
  <c r="E491" i="11"/>
  <c r="E491" i="10"/>
  <c r="G491" i="10" s="1"/>
  <c r="G446" i="31" s="1"/>
  <c r="F492" i="9"/>
  <c r="G492" i="9" s="1"/>
  <c r="F447" i="31" s="1"/>
  <c r="F493" i="9"/>
  <c r="G493" i="9" s="1"/>
  <c r="F448" i="31" s="1"/>
  <c r="E494" i="11"/>
  <c r="E494" i="10"/>
  <c r="G494" i="10" s="1"/>
  <c r="G449" i="31" s="1"/>
  <c r="F495" i="9"/>
  <c r="G495" i="9" s="1"/>
  <c r="F450" i="31" s="1"/>
  <c r="F496" i="9"/>
  <c r="G496" i="9" s="1"/>
  <c r="F451" i="31" s="1"/>
  <c r="F500" i="9"/>
  <c r="G500" i="9" s="1"/>
  <c r="F454" i="31" s="1"/>
  <c r="E499" i="11"/>
  <c r="G499" i="11" s="1"/>
  <c r="H453" i="31" s="1"/>
  <c r="E499" i="10"/>
  <c r="G499" i="10" s="1"/>
  <c r="G453" i="31" s="1"/>
  <c r="F502" i="9"/>
  <c r="G502" i="9" s="1"/>
  <c r="F456" i="31" s="1"/>
  <c r="F503" i="9"/>
  <c r="G503" i="9" s="1"/>
  <c r="F457" i="31" s="1"/>
  <c r="F504" i="9"/>
  <c r="G504" i="9" s="1"/>
  <c r="F458" i="31" s="1"/>
  <c r="F505" i="9"/>
  <c r="G505" i="9" s="1"/>
  <c r="F459" i="31" s="1"/>
  <c r="F506" i="9"/>
  <c r="G506" i="9" s="1"/>
  <c r="F460" i="31" s="1"/>
  <c r="F507" i="9"/>
  <c r="G507" i="9" s="1"/>
  <c r="F461" i="31" s="1"/>
  <c r="F514" i="9"/>
  <c r="G514" i="9" s="1"/>
  <c r="F467" i="31" s="1"/>
  <c r="E513" i="11"/>
  <c r="G513" i="11" s="1"/>
  <c r="H466" i="31" s="1"/>
  <c r="E513" i="10"/>
  <c r="G513" i="10" s="1"/>
  <c r="G466" i="31" s="1"/>
  <c r="F515" i="9"/>
  <c r="G515" i="9" s="1"/>
  <c r="F468" i="31" s="1"/>
  <c r="E516" i="11"/>
  <c r="G516" i="11" s="1"/>
  <c r="H469" i="31" s="1"/>
  <c r="E516" i="10"/>
  <c r="G516" i="10" s="1"/>
  <c r="G469" i="31" s="1"/>
  <c r="F517" i="9"/>
  <c r="G517" i="9" s="1"/>
  <c r="F470" i="31" s="1"/>
  <c r="F516" i="9"/>
  <c r="G516" i="9" s="1"/>
  <c r="F469" i="31" s="1"/>
  <c r="E389" i="11"/>
  <c r="G389" i="11" s="1"/>
  <c r="H353" i="31" s="1"/>
  <c r="E389" i="10"/>
  <c r="G389" i="10" s="1"/>
  <c r="G353" i="31" s="1"/>
  <c r="F60" i="9"/>
  <c r="G60" i="9" s="1"/>
  <c r="F54" i="31" s="1"/>
  <c r="F61" i="13"/>
  <c r="F61" i="10"/>
  <c r="F63" i="13"/>
  <c r="F63" i="10"/>
  <c r="F64" i="13"/>
  <c r="F64" i="10"/>
  <c r="F67" i="13"/>
  <c r="F67" i="10"/>
  <c r="E59" i="11"/>
  <c r="E59" i="10"/>
  <c r="G59" i="10" s="1"/>
  <c r="G53" i="31" s="1"/>
  <c r="F69" i="9"/>
  <c r="G69" i="9" s="1"/>
  <c r="F62" i="31" s="1"/>
  <c r="F70" i="13"/>
  <c r="F70" i="10"/>
  <c r="F71" i="13"/>
  <c r="F71" i="10"/>
  <c r="E73" i="11"/>
  <c r="E73" i="10"/>
  <c r="G73" i="10" s="1"/>
  <c r="G66" i="31" s="1"/>
  <c r="F74" i="13"/>
  <c r="F74" i="10"/>
  <c r="F77" i="13"/>
  <c r="F77" i="10"/>
  <c r="F80" i="13"/>
  <c r="F80" i="10"/>
  <c r="F81" i="9"/>
  <c r="G81" i="9" s="1"/>
  <c r="F73" i="31" s="1"/>
  <c r="F82" i="9"/>
  <c r="G82" i="9" s="1"/>
  <c r="F74" i="31" s="1"/>
  <c r="F83" i="9"/>
  <c r="G83" i="9" s="1"/>
  <c r="F75" i="31" s="1"/>
  <c r="F84" i="9"/>
  <c r="G84" i="9" s="1"/>
  <c r="F76" i="31" s="1"/>
  <c r="F85" i="9"/>
  <c r="G85" i="9" s="1"/>
  <c r="F77" i="31" s="1"/>
  <c r="F86" i="9"/>
  <c r="G86" i="9" s="1"/>
  <c r="F78" i="31" s="1"/>
  <c r="F87" i="9"/>
  <c r="G87" i="9" s="1"/>
  <c r="F79" i="31" s="1"/>
  <c r="F89" i="9"/>
  <c r="G89" i="9" s="1"/>
  <c r="F81" i="31" s="1"/>
  <c r="F98" i="13"/>
  <c r="F98" i="10"/>
  <c r="E99" i="11"/>
  <c r="E99" i="10"/>
  <c r="G99" i="10" s="1"/>
  <c r="G90" i="31" s="1"/>
  <c r="F102" i="13"/>
  <c r="F102" i="10"/>
  <c r="F103" i="9"/>
  <c r="G103" i="9" s="1"/>
  <c r="F93" i="31" s="1"/>
  <c r="F105" i="9"/>
  <c r="G105" i="9" s="1"/>
  <c r="F95" i="31" s="1"/>
  <c r="F106" i="9"/>
  <c r="G106" i="9" s="1"/>
  <c r="F96" i="31" s="1"/>
  <c r="F26" i="13"/>
  <c r="F26" i="10"/>
  <c r="F28" i="13"/>
  <c r="F28" i="10"/>
  <c r="F29" i="13"/>
  <c r="F29" i="10"/>
  <c r="F34" i="13"/>
  <c r="F34" i="10"/>
  <c r="F60" i="13"/>
  <c r="F60" i="10"/>
  <c r="F61" i="9"/>
  <c r="G61" i="9" s="1"/>
  <c r="F55" i="31" s="1"/>
  <c r="F62" i="9"/>
  <c r="G62" i="9" s="1"/>
  <c r="F56" i="31" s="1"/>
  <c r="F63" i="9"/>
  <c r="G63" i="9" s="1"/>
  <c r="F57" i="31" s="1"/>
  <c r="F64" i="9"/>
  <c r="G64" i="9" s="1"/>
  <c r="F58" i="31" s="1"/>
  <c r="F65" i="9"/>
  <c r="G65" i="9" s="1"/>
  <c r="F59" i="31" s="1"/>
  <c r="F66" i="9"/>
  <c r="G66" i="9" s="1"/>
  <c r="F60" i="31" s="1"/>
  <c r="F67" i="9"/>
  <c r="G67" i="9" s="1"/>
  <c r="F61" i="31" s="1"/>
  <c r="F59" i="9"/>
  <c r="G59" i="9" s="1"/>
  <c r="F53" i="31" s="1"/>
  <c r="F69" i="13"/>
  <c r="F69" i="10"/>
  <c r="E69" i="11"/>
  <c r="E69" i="10"/>
  <c r="F70" i="9"/>
  <c r="G70" i="9" s="1"/>
  <c r="F63" i="31" s="1"/>
  <c r="F71" i="9"/>
  <c r="G71" i="9" s="1"/>
  <c r="F64" i="31" s="1"/>
  <c r="F72" i="9"/>
  <c r="G72" i="9" s="1"/>
  <c r="F65" i="31" s="1"/>
  <c r="F73" i="9"/>
  <c r="G73" i="9" s="1"/>
  <c r="F66" i="31" s="1"/>
  <c r="F74" i="9"/>
  <c r="G74" i="9" s="1"/>
  <c r="F67" i="31" s="1"/>
  <c r="F75" i="9"/>
  <c r="G75" i="9" s="1"/>
  <c r="F68" i="31" s="1"/>
  <c r="F76" i="9"/>
  <c r="G76" i="9" s="1"/>
  <c r="F69" i="31" s="1"/>
  <c r="F77" i="9"/>
  <c r="G77" i="9" s="1"/>
  <c r="F70" i="31" s="1"/>
  <c r="F78" i="9"/>
  <c r="G78" i="9" s="1"/>
  <c r="F71" i="31" s="1"/>
  <c r="F80" i="9"/>
  <c r="G80" i="9" s="1"/>
  <c r="F72" i="31" s="1"/>
  <c r="F81" i="13"/>
  <c r="F81" i="10"/>
  <c r="E81" i="11"/>
  <c r="E81" i="10"/>
  <c r="G81" i="10" s="1"/>
  <c r="G73" i="31" s="1"/>
  <c r="F82" i="13"/>
  <c r="F82" i="10"/>
  <c r="F83" i="13"/>
  <c r="F83" i="10"/>
  <c r="F84" i="13"/>
  <c r="F84" i="10"/>
  <c r="F85" i="13"/>
  <c r="F85" i="10"/>
  <c r="E85" i="11"/>
  <c r="E85" i="10"/>
  <c r="F86" i="13"/>
  <c r="F86" i="10"/>
  <c r="F87" i="13"/>
  <c r="F87" i="10"/>
  <c r="F88" i="13"/>
  <c r="F88" i="10"/>
  <c r="F89" i="13"/>
  <c r="F89" i="10"/>
  <c r="E89" i="11"/>
  <c r="E89" i="10"/>
  <c r="G89" i="10" s="1"/>
  <c r="G81" i="31" s="1"/>
  <c r="F96" i="9"/>
  <c r="G96" i="9" s="1"/>
  <c r="F87" i="31" s="1"/>
  <c r="F97" i="9"/>
  <c r="G97" i="9" s="1"/>
  <c r="F88" i="31" s="1"/>
  <c r="F98" i="9"/>
  <c r="G98" i="9" s="1"/>
  <c r="F89" i="31" s="1"/>
  <c r="F99" i="9"/>
  <c r="G99" i="9" s="1"/>
  <c r="F90" i="31" s="1"/>
  <c r="F100" i="9"/>
  <c r="G100" i="9" s="1"/>
  <c r="F91" i="31" s="1"/>
  <c r="F102" i="9"/>
  <c r="G102" i="9" s="1"/>
  <c r="F92" i="31" s="1"/>
  <c r="F103" i="13"/>
  <c r="F103" i="10"/>
  <c r="E103" i="11"/>
  <c r="E103" i="10"/>
  <c r="F104" i="9"/>
  <c r="G104" i="9" s="1"/>
  <c r="F94" i="31" s="1"/>
  <c r="F105" i="13"/>
  <c r="F105" i="10"/>
  <c r="F106" i="13"/>
  <c r="F106" i="10"/>
  <c r="F107" i="13"/>
  <c r="F107" i="10"/>
  <c r="E107" i="11"/>
  <c r="E107" i="10"/>
  <c r="F108" i="13"/>
  <c r="F108" i="10"/>
  <c r="F109" i="13"/>
  <c r="F109" i="10"/>
  <c r="F110" i="13"/>
  <c r="F110" i="10"/>
  <c r="F111" i="13"/>
  <c r="F111" i="10"/>
  <c r="E111" i="11"/>
  <c r="E111" i="10"/>
  <c r="G111" i="10" s="1"/>
  <c r="G101" i="31" s="1"/>
  <c r="F25" i="13"/>
  <c r="F25" i="10"/>
  <c r="F26" i="9"/>
  <c r="G26" i="9" s="1"/>
  <c r="F23" i="31" s="1"/>
  <c r="F27" i="9"/>
  <c r="G27" i="9" s="1"/>
  <c r="F24" i="31" s="1"/>
  <c r="F28" i="9"/>
  <c r="G28" i="9" s="1"/>
  <c r="F25" i="31" s="1"/>
  <c r="F29" i="9"/>
  <c r="G29" i="9" s="1"/>
  <c r="F26" i="31" s="1"/>
  <c r="F30" i="9"/>
  <c r="G30" i="9" s="1"/>
  <c r="F27" i="31" s="1"/>
  <c r="F31" i="9"/>
  <c r="G31" i="9" s="1"/>
  <c r="F28" i="31" s="1"/>
  <c r="F32" i="9"/>
  <c r="G32" i="9" s="1"/>
  <c r="F29" i="31" s="1"/>
  <c r="F33" i="9"/>
  <c r="G33" i="9" s="1"/>
  <c r="F30" i="31" s="1"/>
  <c r="F34" i="9"/>
  <c r="G34" i="9" s="1"/>
  <c r="F31" i="31" s="1"/>
  <c r="F44" i="13"/>
  <c r="F44" i="10"/>
  <c r="F45" i="13"/>
  <c r="F45" i="10"/>
  <c r="F118" i="9"/>
  <c r="G118" i="9" s="1"/>
  <c r="F107" i="31" s="1"/>
  <c r="F119" i="9"/>
  <c r="G119" i="9" s="1"/>
  <c r="F108" i="31" s="1"/>
  <c r="F120" i="9"/>
  <c r="G120" i="9" s="1"/>
  <c r="F109" i="31" s="1"/>
  <c r="F121" i="9"/>
  <c r="G121" i="9" s="1"/>
  <c r="F110" i="31" s="1"/>
  <c r="F122" i="9"/>
  <c r="G122" i="9" s="1"/>
  <c r="F111" i="31" s="1"/>
  <c r="F135" i="9"/>
  <c r="G135" i="9" s="1"/>
  <c r="F122" i="31" s="1"/>
  <c r="F136" i="13"/>
  <c r="G136" i="13" s="1"/>
  <c r="J123" i="31" s="1"/>
  <c r="F136" i="10"/>
  <c r="E136" i="11"/>
  <c r="E136" i="10"/>
  <c r="F137" i="13"/>
  <c r="F137" i="10"/>
  <c r="E137" i="11"/>
  <c r="G137" i="11" s="1"/>
  <c r="H124" i="31" s="1"/>
  <c r="E137" i="10"/>
  <c r="F138" i="13"/>
  <c r="G138" i="13" s="1"/>
  <c r="J125" i="31" s="1"/>
  <c r="F138" i="10"/>
  <c r="E138" i="11"/>
  <c r="E138" i="10"/>
  <c r="F139" i="13"/>
  <c r="F139" i="10"/>
  <c r="E139" i="11"/>
  <c r="E139" i="10"/>
  <c r="F140" i="13"/>
  <c r="G140" i="13" s="1"/>
  <c r="J127" i="31" s="1"/>
  <c r="F140" i="10"/>
  <c r="E140" i="11"/>
  <c r="E140" i="10"/>
  <c r="F141" i="13"/>
  <c r="G141" i="13" s="1"/>
  <c r="J128" i="31" s="1"/>
  <c r="F141" i="10"/>
  <c r="E141" i="11"/>
  <c r="G141" i="11" s="1"/>
  <c r="H128" i="31" s="1"/>
  <c r="E141" i="10"/>
  <c r="F142" i="13"/>
  <c r="G142" i="13" s="1"/>
  <c r="J129" i="31" s="1"/>
  <c r="F142" i="10"/>
  <c r="E142" i="11"/>
  <c r="E142" i="10"/>
  <c r="F143" i="9"/>
  <c r="G143" i="9" s="1"/>
  <c r="F130" i="31" s="1"/>
  <c r="F144" i="13"/>
  <c r="F144" i="10"/>
  <c r="E144" i="11"/>
  <c r="E144" i="10"/>
  <c r="F155" i="13"/>
  <c r="G155" i="13" s="1"/>
  <c r="J141" i="31" s="1"/>
  <c r="F155" i="10"/>
  <c r="E155" i="11"/>
  <c r="G155" i="11" s="1"/>
  <c r="H141" i="31" s="1"/>
  <c r="E155" i="10"/>
  <c r="F159" i="13"/>
  <c r="G159" i="13" s="1"/>
  <c r="J144" i="31" s="1"/>
  <c r="F159" i="10"/>
  <c r="E159" i="11"/>
  <c r="G159" i="11" s="1"/>
  <c r="H144" i="31" s="1"/>
  <c r="E159" i="10"/>
  <c r="F160" i="13"/>
  <c r="F160" i="10"/>
  <c r="E160" i="11"/>
  <c r="E160" i="10"/>
  <c r="F161" i="13"/>
  <c r="G161" i="13" s="1"/>
  <c r="J146" i="31" s="1"/>
  <c r="F161" i="10"/>
  <c r="E161" i="11"/>
  <c r="E161" i="10"/>
  <c r="F162" i="13"/>
  <c r="F162" i="10"/>
  <c r="E162" i="11"/>
  <c r="E162" i="10"/>
  <c r="F163" i="9"/>
  <c r="G163" i="9" s="1"/>
  <c r="F148" i="31" s="1"/>
  <c r="F164" i="13"/>
  <c r="F164" i="10"/>
  <c r="E164" i="11"/>
  <c r="E164" i="10"/>
  <c r="G164" i="10" s="1"/>
  <c r="G149" i="31" s="1"/>
  <c r="F165" i="13"/>
  <c r="G165" i="13" s="1"/>
  <c r="J150" i="31" s="1"/>
  <c r="F165" i="10"/>
  <c r="E165" i="11"/>
  <c r="E165" i="10"/>
  <c r="G165" i="10" s="1"/>
  <c r="G150" i="31" s="1"/>
  <c r="F166" i="13"/>
  <c r="F166" i="10"/>
  <c r="E166" i="11"/>
  <c r="E166" i="10"/>
  <c r="G166" i="10" s="1"/>
  <c r="G151" i="31" s="1"/>
  <c r="F95" i="9"/>
  <c r="G95" i="9" s="1"/>
  <c r="F86" i="31" s="1"/>
  <c r="E95" i="11"/>
  <c r="E95" i="10"/>
  <c r="G95" i="10" s="1"/>
  <c r="G86" i="31" s="1"/>
  <c r="E93" i="11"/>
  <c r="E93" i="10"/>
  <c r="G93" i="10" s="1"/>
  <c r="G84" i="31" s="1"/>
  <c r="F92" i="13"/>
  <c r="F92" i="10"/>
  <c r="F93" i="9"/>
  <c r="G93" i="9" s="1"/>
  <c r="F84" i="31" s="1"/>
  <c r="F91" i="9"/>
  <c r="G91" i="9" s="1"/>
  <c r="F82" i="31" s="1"/>
  <c r="E124" i="11"/>
  <c r="G124" i="11" s="1"/>
  <c r="H112" i="31" s="1"/>
  <c r="E124" i="10"/>
  <c r="G124" i="10" s="1"/>
  <c r="G112" i="31" s="1"/>
  <c r="F125" i="13"/>
  <c r="G125" i="13" s="1"/>
  <c r="J113" i="31" s="1"/>
  <c r="F125" i="10"/>
  <c r="E125" i="11"/>
  <c r="G125" i="11" s="1"/>
  <c r="H113" i="31" s="1"/>
  <c r="E125" i="10"/>
  <c r="F126" i="9"/>
  <c r="G126" i="9" s="1"/>
  <c r="F114" i="31" s="1"/>
  <c r="F127" i="9"/>
  <c r="G127" i="9" s="1"/>
  <c r="F115" i="31" s="1"/>
  <c r="F128" i="13"/>
  <c r="F128" i="10"/>
  <c r="E128" i="11"/>
  <c r="G128" i="11" s="1"/>
  <c r="H116" i="31" s="1"/>
  <c r="E128" i="10"/>
  <c r="G128" i="10" s="1"/>
  <c r="G116" i="31" s="1"/>
  <c r="F129" i="13"/>
  <c r="F129" i="10"/>
  <c r="E129" i="11"/>
  <c r="E129" i="10"/>
  <c r="G129" i="10" s="1"/>
  <c r="G117" i="31" s="1"/>
  <c r="F130" i="13"/>
  <c r="G130" i="13" s="1"/>
  <c r="J118" i="31" s="1"/>
  <c r="F130" i="10"/>
  <c r="E130" i="11"/>
  <c r="E130" i="10"/>
  <c r="G130" i="10" s="1"/>
  <c r="G118" i="31" s="1"/>
  <c r="F131" i="9"/>
  <c r="G131" i="9" s="1"/>
  <c r="F119" i="31" s="1"/>
  <c r="F132" i="13"/>
  <c r="G132" i="13" s="1"/>
  <c r="J120" i="31" s="1"/>
  <c r="F132" i="10"/>
  <c r="G132" i="10" s="1"/>
  <c r="G120" i="31" s="1"/>
  <c r="F43" i="9"/>
  <c r="G43" i="9" s="1"/>
  <c r="F39" i="31" s="1"/>
  <c r="F45" i="9"/>
  <c r="G45" i="9" s="1"/>
  <c r="F41" i="31" s="1"/>
  <c r="F214" i="13"/>
  <c r="F214" i="10"/>
  <c r="F214" i="9"/>
  <c r="G214" i="9" s="1"/>
  <c r="F194" i="31" s="1"/>
  <c r="E214" i="11"/>
  <c r="E214" i="10"/>
  <c r="F216" i="13"/>
  <c r="G216" i="13" s="1"/>
  <c r="J196" i="31" s="1"/>
  <c r="F216" i="10"/>
  <c r="E216" i="11"/>
  <c r="E216" i="10"/>
  <c r="F217" i="13"/>
  <c r="G217" i="13" s="1"/>
  <c r="J197" i="31" s="1"/>
  <c r="F217" i="10"/>
  <c r="E217" i="11"/>
  <c r="G217" i="11" s="1"/>
  <c r="H197" i="31" s="1"/>
  <c r="E217" i="10"/>
  <c r="F218" i="13"/>
  <c r="G218" i="13" s="1"/>
  <c r="J198" i="31" s="1"/>
  <c r="F218" i="10"/>
  <c r="E218" i="11"/>
  <c r="E218" i="10"/>
  <c r="E219" i="11"/>
  <c r="G219" i="11" s="1"/>
  <c r="H199" i="31" s="1"/>
  <c r="E219" i="10"/>
  <c r="G219" i="10" s="1"/>
  <c r="G199" i="31" s="1"/>
  <c r="F220" i="13"/>
  <c r="G220" i="13" s="1"/>
  <c r="J200" i="31" s="1"/>
  <c r="F220" i="10"/>
  <c r="E220" i="11"/>
  <c r="E220" i="10"/>
  <c r="G220" i="10" s="1"/>
  <c r="G200" i="31" s="1"/>
  <c r="F221" i="13"/>
  <c r="G221" i="13" s="1"/>
  <c r="J201" i="31" s="1"/>
  <c r="F221" i="10"/>
  <c r="E221" i="11"/>
  <c r="G221" i="11" s="1"/>
  <c r="H201" i="31" s="1"/>
  <c r="E221" i="10"/>
  <c r="G221" i="10" s="1"/>
  <c r="G201" i="31" s="1"/>
  <c r="F201" i="13"/>
  <c r="G201" i="13" s="1"/>
  <c r="J182" i="31" s="1"/>
  <c r="F201" i="10"/>
  <c r="E201" i="11"/>
  <c r="G201" i="11" s="1"/>
  <c r="H182" i="31" s="1"/>
  <c r="E201" i="10"/>
  <c r="G201" i="10" s="1"/>
  <c r="G182" i="31" s="1"/>
  <c r="F202" i="9"/>
  <c r="G202" i="9" s="1"/>
  <c r="F183" i="31" s="1"/>
  <c r="F203" i="9"/>
  <c r="G203" i="9" s="1"/>
  <c r="F184" i="31" s="1"/>
  <c r="F204" i="9"/>
  <c r="G204" i="9" s="1"/>
  <c r="F185" i="31" s="1"/>
  <c r="E205" i="11"/>
  <c r="G205" i="11" s="1"/>
  <c r="H186" i="31" s="1"/>
  <c r="E205" i="10"/>
  <c r="G205" i="10" s="1"/>
  <c r="G186" i="31" s="1"/>
  <c r="F206" i="13"/>
  <c r="F206" i="10"/>
  <c r="F206" i="9"/>
  <c r="G206" i="9" s="1"/>
  <c r="F187" i="31" s="1"/>
  <c r="F208" i="13"/>
  <c r="F208" i="10"/>
  <c r="F208" i="9"/>
  <c r="G208" i="9" s="1"/>
  <c r="F189" i="31" s="1"/>
  <c r="E208" i="11"/>
  <c r="E208" i="10"/>
  <c r="F209" i="9"/>
  <c r="G209" i="9" s="1"/>
  <c r="F190" i="31" s="1"/>
  <c r="F210" i="9"/>
  <c r="G210" i="9" s="1"/>
  <c r="F191" i="31" s="1"/>
  <c r="F190" i="9"/>
  <c r="G190" i="9" s="1"/>
  <c r="F172" i="31" s="1"/>
  <c r="F191" i="13"/>
  <c r="G191" i="13" s="1"/>
  <c r="J173" i="31" s="1"/>
  <c r="F191" i="10"/>
  <c r="E191" i="11"/>
  <c r="G191" i="11" s="1"/>
  <c r="H173" i="31" s="1"/>
  <c r="E191" i="10"/>
  <c r="G191" i="10" s="1"/>
  <c r="G173" i="31" s="1"/>
  <c r="E192" i="11"/>
  <c r="E192" i="10"/>
  <c r="G192" i="10" s="1"/>
  <c r="G174" i="31" s="1"/>
  <c r="F193" i="13"/>
  <c r="G193" i="13" s="1"/>
  <c r="J175" i="31" s="1"/>
  <c r="F193" i="10"/>
  <c r="E193" i="11"/>
  <c r="G193" i="11" s="1"/>
  <c r="H175" i="31" s="1"/>
  <c r="E193" i="10"/>
  <c r="F194" i="13"/>
  <c r="G194" i="13" s="1"/>
  <c r="J176" i="31" s="1"/>
  <c r="F194" i="10"/>
  <c r="E194" i="11"/>
  <c r="E194" i="10"/>
  <c r="F195" i="13"/>
  <c r="G195" i="13" s="1"/>
  <c r="J177" i="31" s="1"/>
  <c r="F195" i="10"/>
  <c r="E195" i="11"/>
  <c r="G195" i="11" s="1"/>
  <c r="H177" i="31" s="1"/>
  <c r="E195" i="10"/>
  <c r="F196" i="13"/>
  <c r="G196" i="13" s="1"/>
  <c r="J178" i="31" s="1"/>
  <c r="F196" i="10"/>
  <c r="E196" i="11"/>
  <c r="E196" i="10"/>
  <c r="F197" i="13"/>
  <c r="G197" i="13" s="1"/>
  <c r="J179" i="31" s="1"/>
  <c r="F197" i="10"/>
  <c r="E197" i="11"/>
  <c r="G197" i="11" s="1"/>
  <c r="H179" i="31" s="1"/>
  <c r="E197" i="10"/>
  <c r="F198" i="13"/>
  <c r="G198" i="13" s="1"/>
  <c r="J180" i="31" s="1"/>
  <c r="F198" i="10"/>
  <c r="E198" i="11"/>
  <c r="E198" i="10"/>
  <c r="F199" i="13"/>
  <c r="G199" i="13" s="1"/>
  <c r="J181" i="31" s="1"/>
  <c r="F199" i="10"/>
  <c r="E199" i="11"/>
  <c r="G199" i="11" s="1"/>
  <c r="H181" i="31" s="1"/>
  <c r="E199" i="10"/>
  <c r="E183" i="12"/>
  <c r="G183" i="12" s="1"/>
  <c r="I166" i="31" s="1"/>
  <c r="E183" i="9"/>
  <c r="F183" i="13"/>
  <c r="G183" i="13" s="1"/>
  <c r="J166" i="31" s="1"/>
  <c r="F183" i="10"/>
  <c r="F183" i="9"/>
  <c r="E183" i="11"/>
  <c r="G183" i="11" s="1"/>
  <c r="H166" i="31" s="1"/>
  <c r="E183" i="10"/>
  <c r="F185" i="13"/>
  <c r="G185" i="13" s="1"/>
  <c r="J168" i="31" s="1"/>
  <c r="F185" i="10"/>
  <c r="E185" i="11"/>
  <c r="G185" i="11" s="1"/>
  <c r="H168" i="31" s="1"/>
  <c r="E185" i="10"/>
  <c r="F186" i="13"/>
  <c r="G186" i="13" s="1"/>
  <c r="J169" i="31" s="1"/>
  <c r="F186" i="10"/>
  <c r="E186" i="11"/>
  <c r="E186" i="10"/>
  <c r="E187" i="11"/>
  <c r="G187" i="11" s="1"/>
  <c r="H170" i="31" s="1"/>
  <c r="E187" i="10"/>
  <c r="G187" i="10" s="1"/>
  <c r="G170" i="31" s="1"/>
  <c r="F188" i="13"/>
  <c r="G188" i="13" s="1"/>
  <c r="J171" i="31" s="1"/>
  <c r="F188" i="10"/>
  <c r="E188" i="11"/>
  <c r="E188" i="10"/>
  <c r="G188" i="10" s="1"/>
  <c r="G171" i="31" s="1"/>
  <c r="F267" i="9"/>
  <c r="G267" i="9" s="1"/>
  <c r="F242" i="31" s="1"/>
  <c r="E268" i="11"/>
  <c r="G268" i="11" s="1"/>
  <c r="H243" i="31" s="1"/>
  <c r="E268" i="10"/>
  <c r="G268" i="10" s="1"/>
  <c r="G243" i="31" s="1"/>
  <c r="E269" i="11"/>
  <c r="G269" i="11" s="1"/>
  <c r="H244" i="31" s="1"/>
  <c r="E269" i="10"/>
  <c r="G269" i="10" s="1"/>
  <c r="G244" i="31" s="1"/>
  <c r="E270" i="11"/>
  <c r="G270" i="11" s="1"/>
  <c r="H245" i="31" s="1"/>
  <c r="E270" i="10"/>
  <c r="G270" i="10" s="1"/>
  <c r="G245" i="31" s="1"/>
  <c r="E271" i="11"/>
  <c r="G271" i="11" s="1"/>
  <c r="H246" i="31" s="1"/>
  <c r="E271" i="10"/>
  <c r="G271" i="10" s="1"/>
  <c r="G246" i="31" s="1"/>
  <c r="E272" i="11"/>
  <c r="G272" i="11" s="1"/>
  <c r="H247" i="31" s="1"/>
  <c r="E272" i="10"/>
  <c r="G272" i="10" s="1"/>
  <c r="G247" i="31" s="1"/>
  <c r="E273" i="11"/>
  <c r="G273" i="11" s="1"/>
  <c r="H248" i="31" s="1"/>
  <c r="E273" i="10"/>
  <c r="G273" i="10" s="1"/>
  <c r="G248" i="31" s="1"/>
  <c r="E274" i="11"/>
  <c r="G274" i="11" s="1"/>
  <c r="H249" i="31" s="1"/>
  <c r="E274" i="10"/>
  <c r="G274" i="10" s="1"/>
  <c r="G249" i="31" s="1"/>
  <c r="E275" i="11"/>
  <c r="G275" i="11" s="1"/>
  <c r="H250" i="31" s="1"/>
  <c r="E275" i="10"/>
  <c r="G275" i="10" s="1"/>
  <c r="G250" i="31" s="1"/>
  <c r="E276" i="11"/>
  <c r="G276" i="11" s="1"/>
  <c r="H251" i="31" s="1"/>
  <c r="E276" i="10"/>
  <c r="G276" i="10" s="1"/>
  <c r="G251" i="31" s="1"/>
  <c r="F285" i="9"/>
  <c r="G285" i="9" s="1"/>
  <c r="F259" i="31" s="1"/>
  <c r="E285" i="11"/>
  <c r="G285" i="11" s="1"/>
  <c r="H259" i="31" s="1"/>
  <c r="E285" i="10"/>
  <c r="G285" i="10" s="1"/>
  <c r="G259" i="31" s="1"/>
  <c r="E287" i="11"/>
  <c r="G287" i="11" s="1"/>
  <c r="H261" i="31" s="1"/>
  <c r="E287" i="10"/>
  <c r="G287" i="10" s="1"/>
  <c r="G261" i="31" s="1"/>
  <c r="E289" i="11"/>
  <c r="G289" i="11" s="1"/>
  <c r="H262" i="31" s="1"/>
  <c r="E289" i="10"/>
  <c r="G289" i="10" s="1"/>
  <c r="G262" i="31" s="1"/>
  <c r="F290" i="9"/>
  <c r="G290" i="9" s="1"/>
  <c r="F263" i="31" s="1"/>
  <c r="E291" i="11"/>
  <c r="G291" i="11" s="1"/>
  <c r="H264" i="31" s="1"/>
  <c r="E291" i="10"/>
  <c r="G291" i="10" s="1"/>
  <c r="G264" i="31" s="1"/>
  <c r="F292" i="9"/>
  <c r="G292" i="9" s="1"/>
  <c r="F265" i="31" s="1"/>
  <c r="F293" i="9"/>
  <c r="G293" i="9" s="1"/>
  <c r="F266" i="31" s="1"/>
  <c r="F294" i="9"/>
  <c r="G294" i="9" s="1"/>
  <c r="F267" i="31" s="1"/>
  <c r="E295" i="11"/>
  <c r="G295" i="11" s="1"/>
  <c r="H268" i="31" s="1"/>
  <c r="E295" i="10"/>
  <c r="G295" i="10" s="1"/>
  <c r="G268" i="31" s="1"/>
  <c r="E296" i="11"/>
  <c r="G296" i="11" s="1"/>
  <c r="H269" i="31" s="1"/>
  <c r="E296" i="10"/>
  <c r="G296" i="10" s="1"/>
  <c r="G269" i="31" s="1"/>
  <c r="E297" i="11"/>
  <c r="G297" i="11" s="1"/>
  <c r="H270" i="31" s="1"/>
  <c r="E297" i="10"/>
  <c r="G297" i="10" s="1"/>
  <c r="G270" i="31" s="1"/>
  <c r="E298" i="11"/>
  <c r="G298" i="11" s="1"/>
  <c r="H271" i="31" s="1"/>
  <c r="E298" i="10"/>
  <c r="G298" i="10" s="1"/>
  <c r="G271" i="31" s="1"/>
  <c r="F337" i="9"/>
  <c r="G337" i="9" s="1"/>
  <c r="F306" i="31" s="1"/>
  <c r="E337" i="11"/>
  <c r="G337" i="11" s="1"/>
  <c r="H306" i="31" s="1"/>
  <c r="E337" i="10"/>
  <c r="G337" i="10" s="1"/>
  <c r="G306" i="31" s="1"/>
  <c r="E339" i="11"/>
  <c r="G339" i="11" s="1"/>
  <c r="H308" i="31" s="1"/>
  <c r="E339" i="10"/>
  <c r="G339" i="10" s="1"/>
  <c r="G308" i="31" s="1"/>
  <c r="E340" i="11"/>
  <c r="G340" i="11" s="1"/>
  <c r="H309" i="31" s="1"/>
  <c r="E340" i="10"/>
  <c r="G340" i="10" s="1"/>
  <c r="G309" i="31" s="1"/>
  <c r="E341" i="11"/>
  <c r="G341" i="11" s="1"/>
  <c r="H310" i="31" s="1"/>
  <c r="E341" i="10"/>
  <c r="G341" i="10" s="1"/>
  <c r="G310" i="31" s="1"/>
  <c r="E342" i="11"/>
  <c r="G342" i="11" s="1"/>
  <c r="H311" i="31" s="1"/>
  <c r="E342" i="10"/>
  <c r="G342" i="10" s="1"/>
  <c r="G311" i="31" s="1"/>
  <c r="E357" i="11"/>
  <c r="G357" i="11" s="1"/>
  <c r="H324" i="31" s="1"/>
  <c r="E357" i="10"/>
  <c r="G357" i="10" s="1"/>
  <c r="G324" i="31" s="1"/>
  <c r="F358" i="9"/>
  <c r="G358" i="9" s="1"/>
  <c r="F325" i="31" s="1"/>
  <c r="F359" i="9"/>
  <c r="G359" i="9" s="1"/>
  <c r="F326" i="31" s="1"/>
  <c r="F360" i="9"/>
  <c r="G360" i="9" s="1"/>
  <c r="F327" i="31" s="1"/>
  <c r="F361" i="9"/>
  <c r="G361" i="9" s="1"/>
  <c r="F328" i="31" s="1"/>
  <c r="F362" i="9"/>
  <c r="G362" i="9" s="1"/>
  <c r="F329" i="31" s="1"/>
  <c r="E363" i="11"/>
  <c r="G363" i="11" s="1"/>
  <c r="H330" i="31" s="1"/>
  <c r="E363" i="10"/>
  <c r="G363" i="10" s="1"/>
  <c r="G330" i="31" s="1"/>
  <c r="F364" i="9"/>
  <c r="G364" i="9" s="1"/>
  <c r="F331" i="31" s="1"/>
  <c r="F383" i="9"/>
  <c r="G383" i="9" s="1"/>
  <c r="F348" i="31" s="1"/>
  <c r="E383" i="11"/>
  <c r="G383" i="11" s="1"/>
  <c r="H348" i="31" s="1"/>
  <c r="E383" i="10"/>
  <c r="G383" i="10" s="1"/>
  <c r="G348" i="31" s="1"/>
  <c r="F384" i="9"/>
  <c r="G384" i="9" s="1"/>
  <c r="F349" i="31" s="1"/>
  <c r="F385" i="9"/>
  <c r="G385" i="9" s="1"/>
  <c r="F350" i="31" s="1"/>
  <c r="F386" i="9"/>
  <c r="G386" i="9" s="1"/>
  <c r="F351" i="31" s="1"/>
  <c r="F401" i="9"/>
  <c r="G401" i="9" s="1"/>
  <c r="F364" i="31" s="1"/>
  <c r="E402" i="11"/>
  <c r="G402" i="11" s="1"/>
  <c r="H365" i="31" s="1"/>
  <c r="E402" i="10"/>
  <c r="G402" i="10" s="1"/>
  <c r="G365" i="31" s="1"/>
  <c r="F403" i="9"/>
  <c r="G403" i="9" s="1"/>
  <c r="F366" i="31" s="1"/>
  <c r="F404" i="9"/>
  <c r="G404" i="9" s="1"/>
  <c r="F367" i="31" s="1"/>
  <c r="E405" i="11"/>
  <c r="G405" i="11" s="1"/>
  <c r="H368" i="31" s="1"/>
  <c r="E405" i="10"/>
  <c r="G405" i="10" s="1"/>
  <c r="G368" i="31" s="1"/>
  <c r="F406" i="9"/>
  <c r="G406" i="9" s="1"/>
  <c r="F369" i="31" s="1"/>
  <c r="F407" i="9"/>
  <c r="G407" i="9" s="1"/>
  <c r="F370" i="31" s="1"/>
  <c r="F408" i="9"/>
  <c r="G408" i="9" s="1"/>
  <c r="F371" i="31" s="1"/>
  <c r="F413" i="9"/>
  <c r="G413" i="9" s="1"/>
  <c r="F375" i="31" s="1"/>
  <c r="E413" i="11"/>
  <c r="G413" i="11" s="1"/>
  <c r="H375" i="31" s="1"/>
  <c r="E413" i="10"/>
  <c r="G413" i="10" s="1"/>
  <c r="G375" i="31" s="1"/>
  <c r="F414" i="9"/>
  <c r="G414" i="9" s="1"/>
  <c r="F376" i="31" s="1"/>
  <c r="E415" i="11"/>
  <c r="G415" i="11" s="1"/>
  <c r="H377" i="31" s="1"/>
  <c r="E415" i="10"/>
  <c r="G415" i="10" s="1"/>
  <c r="G377" i="31" s="1"/>
  <c r="F416" i="9"/>
  <c r="G416" i="9" s="1"/>
  <c r="F378" i="31" s="1"/>
  <c r="F417" i="9"/>
  <c r="G417" i="9" s="1"/>
  <c r="F379" i="31" s="1"/>
  <c r="F418" i="9"/>
  <c r="G418" i="9" s="1"/>
  <c r="F380" i="31" s="1"/>
  <c r="F419" i="9"/>
  <c r="G419" i="9" s="1"/>
  <c r="F381" i="31" s="1"/>
  <c r="F436" i="9"/>
  <c r="G436" i="9" s="1"/>
  <c r="F396" i="31" s="1"/>
  <c r="E436" i="11"/>
  <c r="G436" i="11" s="1"/>
  <c r="H396" i="31" s="1"/>
  <c r="E436" i="10"/>
  <c r="G436" i="10" s="1"/>
  <c r="G396" i="31" s="1"/>
  <c r="F437" i="9"/>
  <c r="G437" i="9" s="1"/>
  <c r="F397" i="31" s="1"/>
  <c r="F438" i="9"/>
  <c r="G438" i="9" s="1"/>
  <c r="F398" i="31" s="1"/>
  <c r="E439" i="11"/>
  <c r="E439" i="10"/>
  <c r="G439" i="10" s="1"/>
  <c r="G399" i="31" s="1"/>
  <c r="F440" i="9"/>
  <c r="G440" i="9" s="1"/>
  <c r="F400" i="31" s="1"/>
  <c r="F441" i="9"/>
  <c r="G441" i="9" s="1"/>
  <c r="F401" i="31" s="1"/>
  <c r="F447" i="9"/>
  <c r="G447" i="9" s="1"/>
  <c r="F406" i="31" s="1"/>
  <c r="E447" i="11"/>
  <c r="G447" i="11" s="1"/>
  <c r="H406" i="31" s="1"/>
  <c r="E447" i="10"/>
  <c r="G447" i="10" s="1"/>
  <c r="G406" i="31" s="1"/>
  <c r="F448" i="9"/>
  <c r="G448" i="9" s="1"/>
  <c r="F407" i="31" s="1"/>
  <c r="F449" i="9"/>
  <c r="G449" i="9" s="1"/>
  <c r="F408" i="31" s="1"/>
  <c r="F450" i="9"/>
  <c r="G450" i="9" s="1"/>
  <c r="F409" i="31" s="1"/>
  <c r="F451" i="9"/>
  <c r="G451" i="9" s="1"/>
  <c r="F410" i="31" s="1"/>
  <c r="F452" i="9"/>
  <c r="G452" i="9" s="1"/>
  <c r="F411" i="31" s="1"/>
  <c r="F454" i="9"/>
  <c r="G454" i="9" s="1"/>
  <c r="F412" i="31" s="1"/>
  <c r="E455" i="11"/>
  <c r="G455" i="11" s="1"/>
  <c r="H413" i="31" s="1"/>
  <c r="E455" i="10"/>
  <c r="G455" i="10" s="1"/>
  <c r="G413" i="31" s="1"/>
  <c r="E456" i="11"/>
  <c r="G456" i="11" s="1"/>
  <c r="H414" i="31" s="1"/>
  <c r="E456" i="10"/>
  <c r="G456" i="10" s="1"/>
  <c r="G414" i="31" s="1"/>
  <c r="E457" i="11"/>
  <c r="G457" i="11" s="1"/>
  <c r="H415" i="31" s="1"/>
  <c r="E457" i="10"/>
  <c r="G457" i="10" s="1"/>
  <c r="G415" i="31" s="1"/>
  <c r="E458" i="11"/>
  <c r="G458" i="11" s="1"/>
  <c r="H416" i="31" s="1"/>
  <c r="E458" i="10"/>
  <c r="G458" i="10" s="1"/>
  <c r="G416" i="31" s="1"/>
  <c r="E459" i="11"/>
  <c r="G459" i="11" s="1"/>
  <c r="H417" i="31" s="1"/>
  <c r="E459" i="10"/>
  <c r="G459" i="10" s="1"/>
  <c r="G417" i="31" s="1"/>
  <c r="E460" i="11"/>
  <c r="G460" i="11" s="1"/>
  <c r="H418" i="31" s="1"/>
  <c r="E460" i="10"/>
  <c r="G460" i="10" s="1"/>
  <c r="G418" i="31" s="1"/>
  <c r="E461" i="11"/>
  <c r="G461" i="11" s="1"/>
  <c r="H419" i="31" s="1"/>
  <c r="E461" i="10"/>
  <c r="G461" i="10" s="1"/>
  <c r="G419" i="31" s="1"/>
  <c r="E462" i="11"/>
  <c r="G462" i="11" s="1"/>
  <c r="H420" i="31" s="1"/>
  <c r="E462" i="10"/>
  <c r="G462" i="10" s="1"/>
  <c r="G420" i="31" s="1"/>
  <c r="E463" i="11"/>
  <c r="G463" i="11" s="1"/>
  <c r="H421" i="31" s="1"/>
  <c r="E463" i="10"/>
  <c r="G463" i="10" s="1"/>
  <c r="G421" i="31" s="1"/>
  <c r="E466" i="11"/>
  <c r="E466" i="10"/>
  <c r="G466" i="10" s="1"/>
  <c r="G423" i="31" s="1"/>
  <c r="F467" i="13"/>
  <c r="G467" i="13" s="1"/>
  <c r="J424" i="31" s="1"/>
  <c r="F467" i="10"/>
  <c r="E467" i="11"/>
  <c r="G467" i="11" s="1"/>
  <c r="H424" i="31" s="1"/>
  <c r="E467" i="10"/>
  <c r="G467" i="10" s="1"/>
  <c r="G424" i="31" s="1"/>
  <c r="F468" i="9"/>
  <c r="G468" i="9" s="1"/>
  <c r="F425" i="31" s="1"/>
  <c r="F469" i="9"/>
  <c r="G469" i="9" s="1"/>
  <c r="F426" i="31" s="1"/>
  <c r="F470" i="9"/>
  <c r="G470" i="9" s="1"/>
  <c r="F427" i="31" s="1"/>
  <c r="F471" i="9"/>
  <c r="G471" i="9" s="1"/>
  <c r="F428" i="31" s="1"/>
  <c r="F472" i="9"/>
  <c r="G472" i="9" s="1"/>
  <c r="F429" i="31" s="1"/>
  <c r="F473" i="9"/>
  <c r="G473" i="9" s="1"/>
  <c r="F430" i="31" s="1"/>
  <c r="F474" i="9"/>
  <c r="G474" i="9" s="1"/>
  <c r="F431" i="31" s="1"/>
  <c r="F491" i="9"/>
  <c r="G491" i="9" s="1"/>
  <c r="F446" i="31" s="1"/>
  <c r="E492" i="11"/>
  <c r="G492" i="11" s="1"/>
  <c r="H447" i="31" s="1"/>
  <c r="E492" i="10"/>
  <c r="G492" i="10" s="1"/>
  <c r="G447" i="31" s="1"/>
  <c r="E493" i="11"/>
  <c r="G493" i="11" s="1"/>
  <c r="H448" i="31" s="1"/>
  <c r="E493" i="10"/>
  <c r="G493" i="10" s="1"/>
  <c r="G448" i="31" s="1"/>
  <c r="F494" i="9"/>
  <c r="G494" i="9" s="1"/>
  <c r="F449" i="31" s="1"/>
  <c r="E495" i="11"/>
  <c r="G495" i="11" s="1"/>
  <c r="H450" i="31" s="1"/>
  <c r="E495" i="10"/>
  <c r="G495" i="10" s="1"/>
  <c r="G450" i="31" s="1"/>
  <c r="E496" i="11"/>
  <c r="G496" i="11" s="1"/>
  <c r="H451" i="31" s="1"/>
  <c r="E496" i="10"/>
  <c r="G496" i="10" s="1"/>
  <c r="G451" i="31" s="1"/>
  <c r="E500" i="11"/>
  <c r="G500" i="11" s="1"/>
  <c r="H454" i="31" s="1"/>
  <c r="E500" i="10"/>
  <c r="G500" i="10" s="1"/>
  <c r="G454" i="31" s="1"/>
  <c r="F501" i="9"/>
  <c r="G501" i="9" s="1"/>
  <c r="F455" i="31" s="1"/>
  <c r="F499" i="9"/>
  <c r="G499" i="9" s="1"/>
  <c r="F453" i="31" s="1"/>
  <c r="E501" i="11"/>
  <c r="G501" i="11" s="1"/>
  <c r="H455" i="31" s="1"/>
  <c r="E501" i="10"/>
  <c r="G501" i="10" s="1"/>
  <c r="G455" i="31" s="1"/>
  <c r="E502" i="11"/>
  <c r="G502" i="11" s="1"/>
  <c r="H456" i="31" s="1"/>
  <c r="E502" i="10"/>
  <c r="G502" i="10" s="1"/>
  <c r="G456" i="31" s="1"/>
  <c r="E503" i="11"/>
  <c r="G503" i="11" s="1"/>
  <c r="H457" i="31" s="1"/>
  <c r="E503" i="10"/>
  <c r="G503" i="10" s="1"/>
  <c r="G457" i="31" s="1"/>
  <c r="E504" i="11"/>
  <c r="G504" i="11" s="1"/>
  <c r="H458" i="31" s="1"/>
  <c r="E504" i="10"/>
  <c r="G504" i="10" s="1"/>
  <c r="G458" i="31" s="1"/>
  <c r="E505" i="11"/>
  <c r="G505" i="11" s="1"/>
  <c r="H459" i="31" s="1"/>
  <c r="E505" i="10"/>
  <c r="G505" i="10" s="1"/>
  <c r="G459" i="31" s="1"/>
  <c r="E506" i="11"/>
  <c r="G506" i="11" s="1"/>
  <c r="H460" i="31" s="1"/>
  <c r="E506" i="10"/>
  <c r="G506" i="10" s="1"/>
  <c r="G460" i="31" s="1"/>
  <c r="E507" i="11"/>
  <c r="G507" i="11" s="1"/>
  <c r="H461" i="31" s="1"/>
  <c r="E507" i="10"/>
  <c r="G507" i="10" s="1"/>
  <c r="G461" i="31" s="1"/>
  <c r="E514" i="11"/>
  <c r="G514" i="11" s="1"/>
  <c r="H467" i="31" s="1"/>
  <c r="E514" i="10"/>
  <c r="G514" i="10" s="1"/>
  <c r="G467" i="31" s="1"/>
  <c r="F513" i="9"/>
  <c r="G513" i="9" s="1"/>
  <c r="F466" i="31" s="1"/>
  <c r="E515" i="11"/>
  <c r="G515" i="11" s="1"/>
  <c r="H468" i="31" s="1"/>
  <c r="E515" i="10"/>
  <c r="G515" i="10" s="1"/>
  <c r="G468" i="31" s="1"/>
  <c r="E517" i="11"/>
  <c r="G517" i="11" s="1"/>
  <c r="H470" i="31" s="1"/>
  <c r="E517" i="10"/>
  <c r="G517" i="10" s="1"/>
  <c r="G470" i="31" s="1"/>
  <c r="F518" i="9"/>
  <c r="G518" i="9" s="1"/>
  <c r="F471" i="31" s="1"/>
  <c r="E518" i="11"/>
  <c r="G518" i="11" s="1"/>
  <c r="H471" i="31" s="1"/>
  <c r="E518" i="10"/>
  <c r="G518" i="10" s="1"/>
  <c r="G471" i="31" s="1"/>
  <c r="F1628" i="21"/>
  <c r="V1480" i="31" s="1"/>
  <c r="F1626" i="21"/>
  <c r="V1478" i="31" s="1"/>
  <c r="F1624" i="21"/>
  <c r="V1476" i="31" s="1"/>
  <c r="F1622" i="21"/>
  <c r="V1474" i="31" s="1"/>
  <c r="F1620" i="21"/>
  <c r="V1472" i="31" s="1"/>
  <c r="F1618" i="21"/>
  <c r="V1471" i="31" s="1"/>
  <c r="F1616" i="21"/>
  <c r="V1469" i="31" s="1"/>
  <c r="F1614" i="21"/>
  <c r="V1467" i="31" s="1"/>
  <c r="F1612" i="21"/>
  <c r="V1465" i="31" s="1"/>
  <c r="F1610" i="21"/>
  <c r="V1463" i="31" s="1"/>
  <c r="F1608" i="21"/>
  <c r="F1606" i="21"/>
  <c r="V1460" i="31" s="1"/>
  <c r="F1604" i="21"/>
  <c r="V1458" i="31" s="1"/>
  <c r="F1602" i="21"/>
  <c r="V1456" i="31" s="1"/>
  <c r="F1600" i="21"/>
  <c r="V1454" i="31" s="1"/>
  <c r="F1598" i="21"/>
  <c r="V1452" i="31" s="1"/>
  <c r="F1596" i="21"/>
  <c r="V1451" i="31" s="1"/>
  <c r="F1594" i="21"/>
  <c r="V1449" i="31" s="1"/>
  <c r="F1592" i="21"/>
  <c r="V1447" i="31" s="1"/>
  <c r="F1590" i="21"/>
  <c r="V1445" i="31" s="1"/>
  <c r="F1588" i="21"/>
  <c r="V1443" i="31" s="1"/>
  <c r="F1586" i="21"/>
  <c r="F1584" i="21"/>
  <c r="V1440" i="31" s="1"/>
  <c r="F1582" i="21"/>
  <c r="V1438" i="31" s="1"/>
  <c r="F1580" i="21"/>
  <c r="V1436" i="31" s="1"/>
  <c r="F1578" i="21"/>
  <c r="V1434" i="31" s="1"/>
  <c r="F1576" i="21"/>
  <c r="V1432" i="31" s="1"/>
  <c r="F1574" i="21"/>
  <c r="V1431" i="31" s="1"/>
  <c r="F1572" i="21"/>
  <c r="V1429" i="31" s="1"/>
  <c r="F1570" i="21"/>
  <c r="V1427" i="31" s="1"/>
  <c r="F1568" i="21"/>
  <c r="V1425" i="31" s="1"/>
  <c r="F1566" i="21"/>
  <c r="V1423" i="31" s="1"/>
  <c r="F1564" i="21"/>
  <c r="F1562" i="21"/>
  <c r="V1420" i="31" s="1"/>
  <c r="F1560" i="21"/>
  <c r="V1418" i="31" s="1"/>
  <c r="F1558" i="21"/>
  <c r="V1416" i="31" s="1"/>
  <c r="F1556" i="21"/>
  <c r="V1414" i="31" s="1"/>
  <c r="F1554" i="21"/>
  <c r="V1412" i="31" s="1"/>
  <c r="F1552" i="21"/>
  <c r="V1411" i="31" s="1"/>
  <c r="F1550" i="21"/>
  <c r="V1409" i="31" s="1"/>
  <c r="F1548" i="21"/>
  <c r="V1407" i="31" s="1"/>
  <c r="F1546" i="21"/>
  <c r="V1405" i="31" s="1"/>
  <c r="F1544" i="21"/>
  <c r="V1403" i="31" s="1"/>
  <c r="F1542" i="21"/>
  <c r="F1540" i="21"/>
  <c r="V1400" i="31" s="1"/>
  <c r="F1538" i="21"/>
  <c r="V1398" i="31" s="1"/>
  <c r="F1536" i="21"/>
  <c r="V1396" i="31" s="1"/>
  <c r="F1534" i="21"/>
  <c r="V1394" i="31" s="1"/>
  <c r="F1532" i="21"/>
  <c r="V1392" i="31" s="1"/>
  <c r="F1530" i="21"/>
  <c r="V1391" i="31" s="1"/>
  <c r="F1528" i="21"/>
  <c r="V1389" i="31" s="1"/>
  <c r="F1526" i="21"/>
  <c r="V1387" i="31" s="1"/>
  <c r="F1524" i="21"/>
  <c r="V1385" i="31" s="1"/>
  <c r="F1522" i="21"/>
  <c r="V1383" i="31" s="1"/>
  <c r="F1520" i="21"/>
  <c r="F1518" i="21"/>
  <c r="V1380" i="31" s="1"/>
  <c r="F1516" i="21"/>
  <c r="V1378" i="31" s="1"/>
  <c r="F1514" i="21"/>
  <c r="V1376" i="31" s="1"/>
  <c r="F1512" i="21"/>
  <c r="V1374" i="31" s="1"/>
  <c r="F1510" i="21"/>
  <c r="V1372" i="31" s="1"/>
  <c r="F1508" i="21"/>
  <c r="V1371" i="31" s="1"/>
  <c r="F1506" i="21"/>
  <c r="V1369" i="31" s="1"/>
  <c r="F1504" i="21"/>
  <c r="V1367" i="31" s="1"/>
  <c r="F1502" i="21"/>
  <c r="V1365" i="31" s="1"/>
  <c r="F1500" i="21"/>
  <c r="V1363" i="31" s="1"/>
  <c r="F1498" i="21"/>
  <c r="F1496" i="21"/>
  <c r="V1360" i="31" s="1"/>
  <c r="F1494" i="21"/>
  <c r="V1358" i="31" s="1"/>
  <c r="F1492" i="21"/>
  <c r="V1356" i="31" s="1"/>
  <c r="F1490" i="21"/>
  <c r="V1354" i="31" s="1"/>
  <c r="F1488" i="21"/>
  <c r="V1352" i="31" s="1"/>
  <c r="F1486" i="21"/>
  <c r="V1351" i="31" s="1"/>
  <c r="F1484" i="21"/>
  <c r="V1349" i="31" s="1"/>
  <c r="F1482" i="21"/>
  <c r="V1347" i="31" s="1"/>
  <c r="F1480" i="21"/>
  <c r="V1345" i="31" s="1"/>
  <c r="F1478" i="21"/>
  <c r="V1343" i="31" s="1"/>
  <c r="F1476" i="21"/>
  <c r="F1474" i="21"/>
  <c r="V1340" i="31" s="1"/>
  <c r="F1472" i="21"/>
  <c r="V1338" i="31" s="1"/>
  <c r="F1470" i="21"/>
  <c r="V1336" i="31" s="1"/>
  <c r="F1468" i="21"/>
  <c r="V1334" i="31" s="1"/>
  <c r="F1466" i="21"/>
  <c r="V1332" i="31" s="1"/>
  <c r="F1464" i="21"/>
  <c r="V1331" i="31" s="1"/>
  <c r="F1462" i="21"/>
  <c r="V1329" i="31" s="1"/>
  <c r="F1460" i="21"/>
  <c r="V1327" i="31" s="1"/>
  <c r="F1458" i="21"/>
  <c r="V1325" i="31" s="1"/>
  <c r="F1456" i="21"/>
  <c r="V1323" i="31" s="1"/>
  <c r="F1454" i="21"/>
  <c r="F1452" i="21"/>
  <c r="V1320" i="31" s="1"/>
  <c r="F1450" i="21"/>
  <c r="V1318" i="31" s="1"/>
  <c r="F1448" i="21"/>
  <c r="V1316" i="31" s="1"/>
  <c r="F1446" i="21"/>
  <c r="V1314" i="31" s="1"/>
  <c r="F1444" i="21"/>
  <c r="V1312" i="31" s="1"/>
  <c r="F1442" i="21"/>
  <c r="V1311" i="31" s="1"/>
  <c r="F1440" i="21"/>
  <c r="V1309" i="31" s="1"/>
  <c r="F1438" i="21"/>
  <c r="V1307" i="31" s="1"/>
  <c r="F1436" i="21"/>
  <c r="V1305" i="31" s="1"/>
  <c r="F1434" i="21"/>
  <c r="V1303" i="31" s="1"/>
  <c r="F1432" i="21"/>
  <c r="F1430" i="21"/>
  <c r="V1300" i="31" s="1"/>
  <c r="F1428" i="21"/>
  <c r="V1298" i="31" s="1"/>
  <c r="F1426" i="21"/>
  <c r="V1296" i="31" s="1"/>
  <c r="F1424" i="21"/>
  <c r="V1294" i="31" s="1"/>
  <c r="F1422" i="21"/>
  <c r="V1292" i="31" s="1"/>
  <c r="F1420" i="21"/>
  <c r="V1291" i="31" s="1"/>
  <c r="F1418" i="21"/>
  <c r="V1289" i="31" s="1"/>
  <c r="F1416" i="21"/>
  <c r="V1287" i="31" s="1"/>
  <c r="F1414" i="21"/>
  <c r="V1285" i="31" s="1"/>
  <c r="F1412" i="21"/>
  <c r="V1283" i="31" s="1"/>
  <c r="F1410" i="21"/>
  <c r="F1408" i="21"/>
  <c r="V1280" i="31" s="1"/>
  <c r="F1406" i="21"/>
  <c r="V1278" i="31" s="1"/>
  <c r="F1404" i="21"/>
  <c r="V1276" i="31" s="1"/>
  <c r="F1402" i="21"/>
  <c r="V1274" i="31" s="1"/>
  <c r="F1400" i="21"/>
  <c r="V1272" i="31" s="1"/>
  <c r="F1398" i="21"/>
  <c r="V1271" i="31" s="1"/>
  <c r="F1396" i="21"/>
  <c r="V1269" i="31" s="1"/>
  <c r="F1394" i="21"/>
  <c r="V1267" i="31" s="1"/>
  <c r="F1392" i="21"/>
  <c r="V1265" i="31" s="1"/>
  <c r="F1390" i="21"/>
  <c r="V1263" i="31" s="1"/>
  <c r="F1388" i="21"/>
  <c r="F1386" i="21"/>
  <c r="V1260" i="31" s="1"/>
  <c r="F1384" i="21"/>
  <c r="V1258" i="31" s="1"/>
  <c r="F1382" i="21"/>
  <c r="V1256" i="31" s="1"/>
  <c r="F1380" i="21"/>
  <c r="V1254" i="31" s="1"/>
  <c r="F1378" i="21"/>
  <c r="V1252" i="31" s="1"/>
  <c r="F1376" i="21"/>
  <c r="V1251" i="31" s="1"/>
  <c r="F1374" i="21"/>
  <c r="V1249" i="31" s="1"/>
  <c r="F1372" i="21"/>
  <c r="V1247" i="31" s="1"/>
  <c r="F1370" i="21"/>
  <c r="V1245" i="31" s="1"/>
  <c r="F1368" i="21"/>
  <c r="V1243" i="31" s="1"/>
  <c r="F1366" i="21"/>
  <c r="F1364" i="21"/>
  <c r="V1240" i="31" s="1"/>
  <c r="F1362" i="21"/>
  <c r="V1238" i="31" s="1"/>
  <c r="F1360" i="21"/>
  <c r="V1236" i="31" s="1"/>
  <c r="F1358" i="21"/>
  <c r="V1234" i="31" s="1"/>
  <c r="F1356" i="21"/>
  <c r="V1232" i="31" s="1"/>
  <c r="F1354" i="21"/>
  <c r="V1231" i="31" s="1"/>
  <c r="F1352" i="21"/>
  <c r="V1229" i="31" s="1"/>
  <c r="F1350" i="21"/>
  <c r="V1227" i="31" s="1"/>
  <c r="F1348" i="21"/>
  <c r="V1225" i="31" s="1"/>
  <c r="F1346" i="21"/>
  <c r="V1223" i="31" s="1"/>
  <c r="F1344" i="21"/>
  <c r="F1342" i="21"/>
  <c r="V1220" i="31" s="1"/>
  <c r="F1340" i="21"/>
  <c r="V1218" i="31" s="1"/>
  <c r="F1338" i="21"/>
  <c r="V1216" i="31" s="1"/>
  <c r="F1336" i="21"/>
  <c r="V1214" i="31" s="1"/>
  <c r="F1334" i="21"/>
  <c r="V1212" i="31" s="1"/>
  <c r="F1332" i="21"/>
  <c r="V1211" i="31" s="1"/>
  <c r="F1330" i="21"/>
  <c r="V1209" i="31" s="1"/>
  <c r="F1328" i="21"/>
  <c r="V1207" i="31" s="1"/>
  <c r="F1326" i="21"/>
  <c r="V1205" i="31" s="1"/>
  <c r="F1324" i="21"/>
  <c r="V1203" i="31" s="1"/>
  <c r="F1322" i="21"/>
  <c r="F1320" i="21"/>
  <c r="V1200" i="31" s="1"/>
  <c r="F1318" i="21"/>
  <c r="V1198" i="31" s="1"/>
  <c r="F1316" i="21"/>
  <c r="V1196" i="31" s="1"/>
  <c r="F1314" i="21"/>
  <c r="V1194" i="31" s="1"/>
  <c r="F1312" i="21"/>
  <c r="V1192" i="31" s="1"/>
  <c r="F1310" i="21"/>
  <c r="V1191" i="31" s="1"/>
  <c r="F1308" i="21"/>
  <c r="V1189" i="31" s="1"/>
  <c r="F1306" i="21"/>
  <c r="V1187" i="31" s="1"/>
  <c r="F1304" i="21"/>
  <c r="V1185" i="31" s="1"/>
  <c r="F1302" i="21"/>
  <c r="V1183" i="31" s="1"/>
  <c r="F1300" i="21"/>
  <c r="F1298" i="21"/>
  <c r="V1180" i="31" s="1"/>
  <c r="F1296" i="21"/>
  <c r="V1178" i="31" s="1"/>
  <c r="F1294" i="21"/>
  <c r="V1176" i="31" s="1"/>
  <c r="F1292" i="21"/>
  <c r="V1174" i="31" s="1"/>
  <c r="F1290" i="21"/>
  <c r="V1172" i="31" s="1"/>
  <c r="F1288" i="21"/>
  <c r="V1171" i="31" s="1"/>
  <c r="F1286" i="21"/>
  <c r="V1169" i="31" s="1"/>
  <c r="F1284" i="21"/>
  <c r="V1167" i="31" s="1"/>
  <c r="F1282" i="21"/>
  <c r="V1165" i="31" s="1"/>
  <c r="F1280" i="21"/>
  <c r="V1163" i="31" s="1"/>
  <c r="F1278" i="21"/>
  <c r="F1276" i="21"/>
  <c r="V1160" i="31" s="1"/>
  <c r="F1274" i="21"/>
  <c r="V1158" i="31" s="1"/>
  <c r="F1272" i="21"/>
  <c r="V1156" i="31" s="1"/>
  <c r="F1270" i="21"/>
  <c r="V1154" i="31" s="1"/>
  <c r="F1268" i="21"/>
  <c r="V1152" i="31" s="1"/>
  <c r="F1266" i="21"/>
  <c r="V1151" i="31" s="1"/>
  <c r="F1264" i="21"/>
  <c r="V1149" i="31" s="1"/>
  <c r="F1262" i="21"/>
  <c r="V1147" i="31" s="1"/>
  <c r="F1260" i="21"/>
  <c r="V1145" i="31" s="1"/>
  <c r="F1258" i="21"/>
  <c r="V1143" i="31" s="1"/>
  <c r="F1256" i="21"/>
  <c r="F1254" i="21"/>
  <c r="V1140" i="31" s="1"/>
  <c r="F1252" i="21"/>
  <c r="V1138" i="31" s="1"/>
  <c r="F1250" i="21"/>
  <c r="V1136" i="31" s="1"/>
  <c r="F1248" i="21"/>
  <c r="V1134" i="31" s="1"/>
  <c r="F1246" i="21"/>
  <c r="V1132" i="31" s="1"/>
  <c r="F1244" i="21"/>
  <c r="V1131" i="31" s="1"/>
  <c r="F1242" i="21"/>
  <c r="V1129" i="31" s="1"/>
  <c r="F1240" i="21"/>
  <c r="V1127" i="31" s="1"/>
  <c r="F1238" i="21"/>
  <c r="V1125" i="31" s="1"/>
  <c r="F1236" i="21"/>
  <c r="V1123" i="31" s="1"/>
  <c r="F1234" i="21"/>
  <c r="F1232" i="21"/>
  <c r="V1120" i="31" s="1"/>
  <c r="F1230" i="21"/>
  <c r="V1118" i="31" s="1"/>
  <c r="F1228" i="21"/>
  <c r="V1116" i="31" s="1"/>
  <c r="F1226" i="21"/>
  <c r="V1114" i="31" s="1"/>
  <c r="F1224" i="21"/>
  <c r="V1112" i="31" s="1"/>
  <c r="F1222" i="21"/>
  <c r="V1111" i="31" s="1"/>
  <c r="F1220" i="21"/>
  <c r="V1109" i="31" s="1"/>
  <c r="F1218" i="21"/>
  <c r="V1107" i="31" s="1"/>
  <c r="F1216" i="21"/>
  <c r="V1105" i="31" s="1"/>
  <c r="F1214" i="21"/>
  <c r="V1103" i="31" s="1"/>
  <c r="F1212" i="21"/>
  <c r="F1210" i="21"/>
  <c r="V1100" i="31" s="1"/>
  <c r="F1208" i="21"/>
  <c r="V1098" i="31" s="1"/>
  <c r="F1206" i="21"/>
  <c r="V1096" i="31" s="1"/>
  <c r="F1204" i="21"/>
  <c r="V1094" i="31" s="1"/>
  <c r="F1202" i="21"/>
  <c r="V1092" i="31" s="1"/>
  <c r="F1200" i="21"/>
  <c r="V1091" i="31" s="1"/>
  <c r="F1198" i="21"/>
  <c r="V1089" i="31" s="1"/>
  <c r="F1196" i="21"/>
  <c r="V1087" i="31" s="1"/>
  <c r="F1194" i="21"/>
  <c r="V1085" i="31" s="1"/>
  <c r="F1192" i="21"/>
  <c r="V1083" i="31" s="1"/>
  <c r="F1190" i="21"/>
  <c r="F1188" i="21"/>
  <c r="V1080" i="31" s="1"/>
  <c r="F1186" i="21"/>
  <c r="V1078" i="31" s="1"/>
  <c r="F1184" i="21"/>
  <c r="V1076" i="31" s="1"/>
  <c r="F1182" i="21"/>
  <c r="V1074" i="31" s="1"/>
  <c r="F1180" i="21"/>
  <c r="V1072" i="31" s="1"/>
  <c r="F1178" i="21"/>
  <c r="V1071" i="31" s="1"/>
  <c r="F1176" i="21"/>
  <c r="V1069" i="31" s="1"/>
  <c r="F1174" i="21"/>
  <c r="V1067" i="31" s="1"/>
  <c r="F1172" i="21"/>
  <c r="V1065" i="31" s="1"/>
  <c r="F1170" i="21"/>
  <c r="V1063" i="31" s="1"/>
  <c r="F1168" i="21"/>
  <c r="F1166" i="21"/>
  <c r="V1060" i="31" s="1"/>
  <c r="F1164" i="21"/>
  <c r="V1058" i="31" s="1"/>
  <c r="F1162" i="21"/>
  <c r="V1056" i="31" s="1"/>
  <c r="F1160" i="21"/>
  <c r="V1054" i="31" s="1"/>
  <c r="F1158" i="21"/>
  <c r="V1052" i="31" s="1"/>
  <c r="F1156" i="21"/>
  <c r="V1051" i="31" s="1"/>
  <c r="F1154" i="21"/>
  <c r="V1049" i="31" s="1"/>
  <c r="F1152" i="21"/>
  <c r="V1047" i="31" s="1"/>
  <c r="F1150" i="21"/>
  <c r="V1045" i="31" s="1"/>
  <c r="F1148" i="21"/>
  <c r="V1043" i="31" s="1"/>
  <c r="F1146" i="21"/>
  <c r="F1144" i="21"/>
  <c r="V1040" i="31" s="1"/>
  <c r="F1142" i="21"/>
  <c r="V1038" i="31" s="1"/>
  <c r="F1140" i="21"/>
  <c r="V1036" i="31" s="1"/>
  <c r="F1138" i="21"/>
  <c r="V1034" i="31" s="1"/>
  <c r="F1136" i="21"/>
  <c r="V1032" i="31" s="1"/>
  <c r="F1134" i="21"/>
  <c r="V1031" i="31" s="1"/>
  <c r="F1132" i="21"/>
  <c r="V1029" i="31" s="1"/>
  <c r="F1130" i="21"/>
  <c r="V1027" i="31" s="1"/>
  <c r="F1128" i="21"/>
  <c r="V1025" i="31" s="1"/>
  <c r="F1126" i="21"/>
  <c r="V1023" i="31" s="1"/>
  <c r="F1124" i="21"/>
  <c r="F1122" i="21"/>
  <c r="V1020" i="31" s="1"/>
  <c r="F1120" i="21"/>
  <c r="V1018" i="31" s="1"/>
  <c r="F1118" i="21"/>
  <c r="V1016" i="31" s="1"/>
  <c r="F1116" i="21"/>
  <c r="V1014" i="31" s="1"/>
  <c r="F1114" i="21"/>
  <c r="V1012" i="31" s="1"/>
  <c r="F1112" i="21"/>
  <c r="V1011" i="31" s="1"/>
  <c r="F1110" i="21"/>
  <c r="V1009" i="31" s="1"/>
  <c r="F1108" i="21"/>
  <c r="V1007" i="31" s="1"/>
  <c r="F1106" i="21"/>
  <c r="V1005" i="31" s="1"/>
  <c r="F1104" i="21"/>
  <c r="V1003" i="31" s="1"/>
  <c r="F1102" i="21"/>
  <c r="F1100" i="21"/>
  <c r="V1000" i="31" s="1"/>
  <c r="F1098" i="21"/>
  <c r="V998" i="31" s="1"/>
  <c r="F1096" i="21"/>
  <c r="V996" i="31" s="1"/>
  <c r="F1094" i="21"/>
  <c r="V994" i="31" s="1"/>
  <c r="F1092" i="21"/>
  <c r="V992" i="31" s="1"/>
  <c r="F1090" i="21"/>
  <c r="V991" i="31" s="1"/>
  <c r="F1088" i="21"/>
  <c r="V989" i="31" s="1"/>
  <c r="F1086" i="21"/>
  <c r="V987" i="31" s="1"/>
  <c r="F1084" i="21"/>
  <c r="V985" i="31" s="1"/>
  <c r="F1082" i="21"/>
  <c r="V983" i="31" s="1"/>
  <c r="F1080" i="21"/>
  <c r="F1078" i="21"/>
  <c r="V980" i="31" s="1"/>
  <c r="F1076" i="21"/>
  <c r="V978" i="31" s="1"/>
  <c r="F1074" i="21"/>
  <c r="V976" i="31" s="1"/>
  <c r="F1072" i="21"/>
  <c r="V974" i="31" s="1"/>
  <c r="F1070" i="21"/>
  <c r="V972" i="31" s="1"/>
  <c r="F1068" i="21"/>
  <c r="V971" i="31" s="1"/>
  <c r="F1066" i="21"/>
  <c r="V969" i="31" s="1"/>
  <c r="F1064" i="21"/>
  <c r="V967" i="31" s="1"/>
  <c r="F1062" i="21"/>
  <c r="V965" i="31" s="1"/>
  <c r="F1058" i="21"/>
  <c r="F1056" i="21"/>
  <c r="V960" i="31" s="1"/>
  <c r="F1054" i="21"/>
  <c r="V958" i="31" s="1"/>
  <c r="F1052" i="21"/>
  <c r="V956" i="31" s="1"/>
  <c r="F1050" i="21"/>
  <c r="V954" i="31" s="1"/>
  <c r="F1048" i="21"/>
  <c r="V952" i="31" s="1"/>
  <c r="F1044" i="21"/>
  <c r="V949" i="31" s="1"/>
  <c r="F1040" i="21"/>
  <c r="V945" i="31" s="1"/>
  <c r="F1038" i="21"/>
  <c r="V943" i="31" s="1"/>
  <c r="F1036" i="21"/>
  <c r="F1034" i="21"/>
  <c r="V940" i="31" s="1"/>
  <c r="F1030" i="21"/>
  <c r="V936" i="31" s="1"/>
  <c r="F1028" i="21"/>
  <c r="V934" i="31" s="1"/>
  <c r="F1026" i="21"/>
  <c r="V932" i="31" s="1"/>
  <c r="F1024" i="21"/>
  <c r="V931" i="31" s="1"/>
  <c r="F1022" i="21"/>
  <c r="V929" i="31" s="1"/>
  <c r="F1020" i="21"/>
  <c r="V927" i="31" s="1"/>
  <c r="F1018" i="21"/>
  <c r="V925" i="31" s="1"/>
  <c r="F1016" i="21"/>
  <c r="V923" i="31" s="1"/>
  <c r="F1014" i="21"/>
  <c r="F1012" i="21"/>
  <c r="V920" i="31" s="1"/>
  <c r="F1010" i="21"/>
  <c r="V918" i="31" s="1"/>
  <c r="F1008" i="21"/>
  <c r="V916" i="31" s="1"/>
  <c r="F1006" i="21"/>
  <c r="V914" i="31" s="1"/>
  <c r="F1004" i="21"/>
  <c r="V912" i="31" s="1"/>
  <c r="F1002" i="21"/>
  <c r="V911" i="31" s="1"/>
  <c r="F1000" i="21"/>
  <c r="V909" i="31" s="1"/>
  <c r="F998" i="21"/>
  <c r="V907" i="31" s="1"/>
  <c r="F994" i="21"/>
  <c r="V903" i="31" s="1"/>
  <c r="F990" i="21"/>
  <c r="V900" i="31" s="1"/>
  <c r="F988" i="21"/>
  <c r="V898" i="31" s="1"/>
  <c r="F984" i="21"/>
  <c r="V894" i="31" s="1"/>
  <c r="F980" i="21"/>
  <c r="V891" i="31" s="1"/>
  <c r="F978" i="21"/>
  <c r="V889" i="31" s="1"/>
  <c r="F976" i="21"/>
  <c r="V887" i="31" s="1"/>
  <c r="F974" i="21"/>
  <c r="V885" i="31" s="1"/>
  <c r="F972" i="21"/>
  <c r="V883" i="31" s="1"/>
  <c r="F970" i="21"/>
  <c r="F968" i="21"/>
  <c r="V880" i="31" s="1"/>
  <c r="F966" i="21"/>
  <c r="V878" i="31" s="1"/>
  <c r="F964" i="21"/>
  <c r="V876" i="31" s="1"/>
  <c r="F962" i="21"/>
  <c r="V874" i="31" s="1"/>
  <c r="F960" i="21"/>
  <c r="V872" i="31" s="1"/>
  <c r="F958" i="21"/>
  <c r="V871" i="31" s="1"/>
  <c r="F956" i="21"/>
  <c r="V869" i="31" s="1"/>
  <c r="F954" i="21"/>
  <c r="V867" i="31" s="1"/>
  <c r="F952" i="21"/>
  <c r="V865" i="31" s="1"/>
  <c r="F950" i="21"/>
  <c r="V863" i="31" s="1"/>
  <c r="F948" i="21"/>
  <c r="F946" i="21"/>
  <c r="V860" i="31" s="1"/>
  <c r="F944" i="21"/>
  <c r="V858" i="31" s="1"/>
  <c r="F942" i="21"/>
  <c r="V856" i="31" s="1"/>
  <c r="F940" i="21"/>
  <c r="V854" i="31" s="1"/>
  <c r="F938" i="21"/>
  <c r="V852" i="31" s="1"/>
  <c r="F936" i="21"/>
  <c r="V851" i="31" s="1"/>
  <c r="F934" i="21"/>
  <c r="V849" i="31" s="1"/>
  <c r="F932" i="21"/>
  <c r="V847" i="31" s="1"/>
  <c r="F930" i="21"/>
  <c r="V845" i="31" s="1"/>
  <c r="F926" i="21"/>
  <c r="F924" i="21"/>
  <c r="V840" i="31" s="1"/>
  <c r="F922" i="21"/>
  <c r="V838" i="31" s="1"/>
  <c r="F920" i="21"/>
  <c r="V836" i="31" s="1"/>
  <c r="F918" i="21"/>
  <c r="V834" i="31" s="1"/>
  <c r="F916" i="21"/>
  <c r="V832" i="31" s="1"/>
  <c r="F914" i="21"/>
  <c r="V831" i="31" s="1"/>
  <c r="F912" i="21"/>
  <c r="V829" i="31" s="1"/>
  <c r="F910" i="21"/>
  <c r="V827" i="31" s="1"/>
  <c r="F908" i="21"/>
  <c r="V825" i="31" s="1"/>
  <c r="F906" i="21"/>
  <c r="V823" i="31" s="1"/>
  <c r="F904" i="21"/>
  <c r="F902" i="21"/>
  <c r="V820" i="31" s="1"/>
  <c r="F900" i="21"/>
  <c r="V818" i="31" s="1"/>
  <c r="F898" i="21"/>
  <c r="V816" i="31" s="1"/>
  <c r="F896" i="21"/>
  <c r="V814" i="31" s="1"/>
  <c r="F894" i="21"/>
  <c r="V812" i="31" s="1"/>
  <c r="F892" i="21"/>
  <c r="V811" i="31" s="1"/>
  <c r="F890" i="21"/>
  <c r="V809" i="31" s="1"/>
  <c r="F888" i="21"/>
  <c r="V807" i="31" s="1"/>
  <c r="F886" i="21"/>
  <c r="V805" i="31" s="1"/>
  <c r="F884" i="21"/>
  <c r="V803" i="31" s="1"/>
  <c r="F882" i="21"/>
  <c r="F880" i="21"/>
  <c r="V800" i="31" s="1"/>
  <c r="F878" i="21"/>
  <c r="V798" i="31" s="1"/>
  <c r="F876" i="21"/>
  <c r="V796" i="31" s="1"/>
  <c r="F874" i="21"/>
  <c r="V794" i="31" s="1"/>
  <c r="F872" i="21"/>
  <c r="V792" i="31" s="1"/>
  <c r="F870" i="21"/>
  <c r="V791" i="31" s="1"/>
  <c r="F868" i="21"/>
  <c r="V789" i="31" s="1"/>
  <c r="F866" i="21"/>
  <c r="V787" i="31" s="1"/>
  <c r="F864" i="21"/>
  <c r="V785" i="31" s="1"/>
  <c r="F862" i="21"/>
  <c r="V783" i="31" s="1"/>
  <c r="F860" i="21"/>
  <c r="F858" i="21"/>
  <c r="V780" i="31" s="1"/>
  <c r="F856" i="21"/>
  <c r="V778" i="31" s="1"/>
  <c r="F854" i="21"/>
  <c r="V776" i="31" s="1"/>
  <c r="F852" i="21"/>
  <c r="V774" i="31" s="1"/>
  <c r="F850" i="21"/>
  <c r="V772" i="31" s="1"/>
  <c r="F848" i="21"/>
  <c r="V771" i="31" s="1"/>
  <c r="F846" i="21"/>
  <c r="V769" i="31" s="1"/>
  <c r="F842" i="21"/>
  <c r="V765" i="31" s="1"/>
  <c r="F840" i="21"/>
  <c r="V763" i="31" s="1"/>
  <c r="F838" i="21"/>
  <c r="F836" i="21"/>
  <c r="V760" i="31" s="1"/>
  <c r="F834" i="21"/>
  <c r="V758" i="31" s="1"/>
  <c r="F832" i="21"/>
  <c r="V756" i="31" s="1"/>
  <c r="F830" i="21"/>
  <c r="V754" i="31" s="1"/>
  <c r="F828" i="21"/>
  <c r="V752" i="31" s="1"/>
  <c r="F826" i="21"/>
  <c r="V751" i="31" s="1"/>
  <c r="F824" i="21"/>
  <c r="V749" i="31" s="1"/>
  <c r="F822" i="21"/>
  <c r="V747" i="31" s="1"/>
  <c r="F820" i="21"/>
  <c r="V745" i="31" s="1"/>
  <c r="F818" i="21"/>
  <c r="V743" i="31" s="1"/>
  <c r="F816" i="21"/>
  <c r="F814" i="21"/>
  <c r="V740" i="31" s="1"/>
  <c r="F812" i="21"/>
  <c r="V738" i="31" s="1"/>
  <c r="F810" i="21"/>
  <c r="V736" i="31" s="1"/>
  <c r="F808" i="21"/>
  <c r="V734" i="31" s="1"/>
  <c r="F806" i="21"/>
  <c r="V732" i="31" s="1"/>
  <c r="F804" i="21"/>
  <c r="V731" i="31" s="1"/>
  <c r="F802" i="21"/>
  <c r="V729" i="31" s="1"/>
  <c r="F800" i="21"/>
  <c r="V727" i="31" s="1"/>
  <c r="F798" i="21"/>
  <c r="V725" i="31" s="1"/>
  <c r="F796" i="21"/>
  <c r="V723" i="31" s="1"/>
  <c r="F794" i="21"/>
  <c r="F792" i="21"/>
  <c r="V720" i="31" s="1"/>
  <c r="F790" i="21"/>
  <c r="V718" i="31" s="1"/>
  <c r="F788" i="21"/>
  <c r="V716" i="31" s="1"/>
  <c r="F786" i="21"/>
  <c r="V714" i="31" s="1"/>
  <c r="F784" i="21"/>
  <c r="V712" i="31" s="1"/>
  <c r="F782" i="21"/>
  <c r="V711" i="31" s="1"/>
  <c r="F780" i="21"/>
  <c r="V709" i="31" s="1"/>
  <c r="F778" i="21"/>
  <c r="V707" i="31" s="1"/>
  <c r="F776" i="21"/>
  <c r="V705" i="31" s="1"/>
  <c r="F774" i="21"/>
  <c r="V703" i="31" s="1"/>
  <c r="F772" i="21"/>
  <c r="F770" i="21"/>
  <c r="V700" i="31" s="1"/>
  <c r="F768" i="21"/>
  <c r="V698" i="31" s="1"/>
  <c r="F766" i="21"/>
  <c r="V696" i="31" s="1"/>
  <c r="F764" i="21"/>
  <c r="V694" i="31" s="1"/>
  <c r="F760" i="21"/>
  <c r="V691" i="31" s="1"/>
  <c r="F758" i="21"/>
  <c r="V689" i="31" s="1"/>
  <c r="F756" i="21"/>
  <c r="V687" i="31" s="1"/>
  <c r="F754" i="21"/>
  <c r="V685" i="31" s="1"/>
  <c r="F752" i="21"/>
  <c r="V683" i="31" s="1"/>
  <c r="F750" i="21"/>
  <c r="F748" i="21"/>
  <c r="V680" i="31" s="1"/>
  <c r="F746" i="21"/>
  <c r="V678" i="31" s="1"/>
  <c r="F744" i="21"/>
  <c r="V676" i="31" s="1"/>
  <c r="F742" i="21"/>
  <c r="V674" i="31" s="1"/>
  <c r="F740" i="21"/>
  <c r="V672" i="31" s="1"/>
  <c r="F738" i="21"/>
  <c r="V671" i="31" s="1"/>
  <c r="F736" i="21"/>
  <c r="V669" i="31" s="1"/>
  <c r="F734" i="21"/>
  <c r="V667" i="31" s="1"/>
  <c r="F732" i="21"/>
  <c r="V665" i="31" s="1"/>
  <c r="F730" i="21"/>
  <c r="V663" i="31" s="1"/>
  <c r="F728" i="21"/>
  <c r="F726" i="21"/>
  <c r="V660" i="31" s="1"/>
  <c r="F724" i="21"/>
  <c r="V658" i="31" s="1"/>
  <c r="F722" i="21"/>
  <c r="V656" i="31" s="1"/>
  <c r="F720" i="21"/>
  <c r="V654" i="31" s="1"/>
  <c r="F718" i="21"/>
  <c r="V652" i="31" s="1"/>
  <c r="F716" i="21"/>
  <c r="V651" i="31" s="1"/>
  <c r="F714" i="21"/>
  <c r="V649" i="31" s="1"/>
  <c r="F712" i="21"/>
  <c r="V647" i="31" s="1"/>
  <c r="F710" i="21"/>
  <c r="V645" i="31" s="1"/>
  <c r="F708" i="21"/>
  <c r="V643" i="31" s="1"/>
  <c r="F706" i="21"/>
  <c r="F704" i="21"/>
  <c r="V640" i="31" s="1"/>
  <c r="F702" i="21"/>
  <c r="V638" i="31" s="1"/>
  <c r="F700" i="21"/>
  <c r="V636" i="31" s="1"/>
  <c r="F698" i="21"/>
  <c r="V634" i="31" s="1"/>
  <c r="F696" i="21"/>
  <c r="V632" i="31" s="1"/>
  <c r="F694" i="21"/>
  <c r="V631" i="31" s="1"/>
  <c r="F692" i="21"/>
  <c r="V629" i="31" s="1"/>
  <c r="F690" i="21"/>
  <c r="V627" i="31" s="1"/>
  <c r="F688" i="21"/>
  <c r="V625" i="31" s="1"/>
  <c r="F686" i="21"/>
  <c r="V623" i="31" s="1"/>
  <c r="F684" i="21"/>
  <c r="F682" i="21"/>
  <c r="V620" i="31" s="1"/>
  <c r="F680" i="21"/>
  <c r="V618" i="31" s="1"/>
  <c r="F678" i="21"/>
  <c r="V616" i="31" s="1"/>
  <c r="F676" i="21"/>
  <c r="V614" i="31" s="1"/>
  <c r="F674" i="21"/>
  <c r="V612" i="31" s="1"/>
  <c r="F672" i="21"/>
  <c r="V611" i="31" s="1"/>
  <c r="F670" i="21"/>
  <c r="V609" i="31" s="1"/>
  <c r="F668" i="21"/>
  <c r="V607" i="31" s="1"/>
  <c r="F666" i="21"/>
  <c r="V605" i="31" s="1"/>
  <c r="F664" i="21"/>
  <c r="V603" i="31" s="1"/>
  <c r="F662" i="21"/>
  <c r="F660" i="21"/>
  <c r="V600" i="31" s="1"/>
  <c r="F658" i="21"/>
  <c r="V598" i="31" s="1"/>
  <c r="F656" i="21"/>
  <c r="V596" i="31" s="1"/>
  <c r="F654" i="21"/>
  <c r="V594" i="31" s="1"/>
  <c r="F652" i="21"/>
  <c r="V592" i="31" s="1"/>
  <c r="F650" i="21"/>
  <c r="V591" i="31" s="1"/>
  <c r="F648" i="21"/>
  <c r="V589" i="31" s="1"/>
  <c r="F646" i="21"/>
  <c r="V587" i="31" s="1"/>
  <c r="F644" i="21"/>
  <c r="V585" i="31" s="1"/>
  <c r="F642" i="21"/>
  <c r="V583" i="31" s="1"/>
  <c r="F640" i="21"/>
  <c r="F638" i="21"/>
  <c r="V580" i="31" s="1"/>
  <c r="F636" i="21"/>
  <c r="V578" i="31" s="1"/>
  <c r="F634" i="21"/>
  <c r="V576" i="31" s="1"/>
  <c r="F632" i="21"/>
  <c r="V574" i="31" s="1"/>
  <c r="F630" i="21"/>
  <c r="V572" i="31" s="1"/>
  <c r="F628" i="21"/>
  <c r="V571" i="31" s="1"/>
  <c r="F626" i="21"/>
  <c r="V569" i="31" s="1"/>
  <c r="F624" i="21"/>
  <c r="V567" i="31" s="1"/>
  <c r="F622" i="21"/>
  <c r="V565" i="31" s="1"/>
  <c r="F620" i="21"/>
  <c r="V563" i="31" s="1"/>
  <c r="F618" i="21"/>
  <c r="F616" i="21"/>
  <c r="V560" i="31" s="1"/>
  <c r="F614" i="21"/>
  <c r="V558" i="31" s="1"/>
  <c r="F612" i="21"/>
  <c r="V556" i="31" s="1"/>
  <c r="F610" i="21"/>
  <c r="V554" i="31" s="1"/>
  <c r="F608" i="21"/>
  <c r="V552" i="31" s="1"/>
  <c r="F606" i="21"/>
  <c r="V551" i="31" s="1"/>
  <c r="F604" i="21"/>
  <c r="V549" i="31" s="1"/>
  <c r="F602" i="21"/>
  <c r="V547" i="31" s="1"/>
  <c r="F600" i="21"/>
  <c r="V545" i="31" s="1"/>
  <c r="F598" i="21"/>
  <c r="V543" i="31" s="1"/>
  <c r="F596" i="21"/>
  <c r="F594" i="21"/>
  <c r="V540" i="31" s="1"/>
  <c r="F592" i="21"/>
  <c r="V538" i="31" s="1"/>
  <c r="F590" i="21"/>
  <c r="V536" i="31" s="1"/>
  <c r="F588" i="21"/>
  <c r="V534" i="31" s="1"/>
  <c r="F586" i="21"/>
  <c r="V532" i="31" s="1"/>
  <c r="F584" i="21"/>
  <c r="V531" i="31" s="1"/>
  <c r="F582" i="21"/>
  <c r="V529" i="31" s="1"/>
  <c r="F580" i="21"/>
  <c r="V527" i="31" s="1"/>
  <c r="F578" i="21"/>
  <c r="V525" i="31" s="1"/>
  <c r="F576" i="21"/>
  <c r="V523" i="31" s="1"/>
  <c r="F574" i="21"/>
  <c r="F572" i="21"/>
  <c r="V520" i="31" s="1"/>
  <c r="F570" i="21"/>
  <c r="V518" i="31" s="1"/>
  <c r="F568" i="21"/>
  <c r="V516" i="31" s="1"/>
  <c r="F566" i="21"/>
  <c r="V514" i="31" s="1"/>
  <c r="F564" i="21"/>
  <c r="V512" i="31" s="1"/>
  <c r="F562" i="21"/>
  <c r="V511" i="31" s="1"/>
  <c r="F560" i="21"/>
  <c r="V509" i="31" s="1"/>
  <c r="F558" i="21"/>
  <c r="V507" i="31" s="1"/>
  <c r="F556" i="21"/>
  <c r="V505" i="31" s="1"/>
  <c r="F554" i="21"/>
  <c r="V503" i="31" s="1"/>
  <c r="F552" i="21"/>
  <c r="F550" i="21"/>
  <c r="V500" i="31" s="1"/>
  <c r="F548" i="21"/>
  <c r="V498" i="31" s="1"/>
  <c r="F546" i="21"/>
  <c r="V496" i="31" s="1"/>
  <c r="F544" i="21"/>
  <c r="V494" i="31" s="1"/>
  <c r="F542" i="21"/>
  <c r="V492" i="31" s="1"/>
  <c r="F540" i="21"/>
  <c r="V491" i="31" s="1"/>
  <c r="F538" i="21"/>
  <c r="V489" i="31" s="1"/>
  <c r="F536" i="21"/>
  <c r="V487" i="31" s="1"/>
  <c r="F534" i="21"/>
  <c r="V485" i="31" s="1"/>
  <c r="F532" i="21"/>
  <c r="V483" i="31" s="1"/>
  <c r="F530" i="21"/>
  <c r="F528" i="21"/>
  <c r="V480" i="31" s="1"/>
  <c r="F526" i="21"/>
  <c r="V478" i="31" s="1"/>
  <c r="F524" i="21"/>
  <c r="V476" i="31" s="1"/>
  <c r="F522" i="21"/>
  <c r="V474" i="31" s="1"/>
  <c r="F520" i="21"/>
  <c r="V472" i="31" s="1"/>
  <c r="F518" i="21"/>
  <c r="V471" i="31" s="1"/>
  <c r="F516" i="21"/>
  <c r="V469" i="31" s="1"/>
  <c r="F514" i="21"/>
  <c r="V467" i="31" s="1"/>
  <c r="F512" i="21"/>
  <c r="V465" i="31" s="1"/>
  <c r="F510" i="21"/>
  <c r="V463" i="31" s="1"/>
  <c r="F508" i="21"/>
  <c r="F506" i="21"/>
  <c r="V460" i="31" s="1"/>
  <c r="F504" i="21"/>
  <c r="V458" i="31" s="1"/>
  <c r="F502" i="21"/>
  <c r="V456" i="31" s="1"/>
  <c r="F500" i="21"/>
  <c r="V454" i="31" s="1"/>
  <c r="F498" i="21"/>
  <c r="V452" i="31" s="1"/>
  <c r="F496" i="21"/>
  <c r="V451" i="31" s="1"/>
  <c r="F494" i="21"/>
  <c r="V449" i="31" s="1"/>
  <c r="F492" i="21"/>
  <c r="V447" i="31" s="1"/>
  <c r="F490" i="21"/>
  <c r="V445" i="31" s="1"/>
  <c r="F488" i="21"/>
  <c r="V443" i="31" s="1"/>
  <c r="F486" i="21"/>
  <c r="F484" i="21"/>
  <c r="V440" i="31" s="1"/>
  <c r="F482" i="21"/>
  <c r="V438" i="31" s="1"/>
  <c r="F480" i="21"/>
  <c r="V436" i="31" s="1"/>
  <c r="F478" i="21"/>
  <c r="V434" i="31" s="1"/>
  <c r="F476" i="21"/>
  <c r="V432" i="31" s="1"/>
  <c r="F474" i="21"/>
  <c r="V431" i="31" s="1"/>
  <c r="F472" i="21"/>
  <c r="V429" i="31" s="1"/>
  <c r="F470" i="21"/>
  <c r="V427" i="31" s="1"/>
  <c r="F468" i="21"/>
  <c r="V425" i="31" s="1"/>
  <c r="F466" i="21"/>
  <c r="V423" i="31" s="1"/>
  <c r="F464" i="21"/>
  <c r="F462" i="21"/>
  <c r="V420" i="31" s="1"/>
  <c r="F460" i="21"/>
  <c r="V418" i="31" s="1"/>
  <c r="F458" i="21"/>
  <c r="V416" i="31" s="1"/>
  <c r="F456" i="21"/>
  <c r="V414" i="31" s="1"/>
  <c r="F454" i="21"/>
  <c r="V412" i="31" s="1"/>
  <c r="F452" i="21"/>
  <c r="V411" i="31" s="1"/>
  <c r="F450" i="21"/>
  <c r="V409" i="31" s="1"/>
  <c r="F448" i="21"/>
  <c r="V407" i="31" s="1"/>
  <c r="F446" i="21"/>
  <c r="V405" i="31" s="1"/>
  <c r="F444" i="21"/>
  <c r="V403" i="31" s="1"/>
  <c r="F442" i="21"/>
  <c r="F440" i="21"/>
  <c r="V400" i="31" s="1"/>
  <c r="F438" i="21"/>
  <c r="V398" i="31" s="1"/>
  <c r="F436" i="21"/>
  <c r="V396" i="31" s="1"/>
  <c r="F434" i="21"/>
  <c r="V394" i="31" s="1"/>
  <c r="F432" i="21"/>
  <c r="V392" i="31" s="1"/>
  <c r="F430" i="21"/>
  <c r="V391" i="31" s="1"/>
  <c r="F428" i="21"/>
  <c r="V389" i="31" s="1"/>
  <c r="F426" i="21"/>
  <c r="V387" i="31" s="1"/>
  <c r="F424" i="21"/>
  <c r="V385" i="31" s="1"/>
  <c r="F422" i="21"/>
  <c r="V383" i="31" s="1"/>
  <c r="F420" i="21"/>
  <c r="F418" i="21"/>
  <c r="V380" i="31" s="1"/>
  <c r="F416" i="21"/>
  <c r="V378" i="31" s="1"/>
  <c r="F414" i="21"/>
  <c r="V376" i="31" s="1"/>
  <c r="F412" i="21"/>
  <c r="V374" i="31" s="1"/>
  <c r="F410" i="21"/>
  <c r="V372" i="31" s="1"/>
  <c r="F408" i="21"/>
  <c r="V371" i="31" s="1"/>
  <c r="F406" i="21"/>
  <c r="V369" i="31" s="1"/>
  <c r="F404" i="21"/>
  <c r="V367" i="31" s="1"/>
  <c r="F402" i="21"/>
  <c r="V365" i="31" s="1"/>
  <c r="F400" i="21"/>
  <c r="V363" i="31" s="1"/>
  <c r="F398" i="21"/>
  <c r="F396" i="21"/>
  <c r="V360" i="31" s="1"/>
  <c r="F394" i="21"/>
  <c r="V358" i="31" s="1"/>
  <c r="F392" i="21"/>
  <c r="V356" i="31" s="1"/>
  <c r="F390" i="21"/>
  <c r="V354" i="31" s="1"/>
  <c r="F388" i="21"/>
  <c r="V352" i="31" s="1"/>
  <c r="F386" i="21"/>
  <c r="V351" i="31" s="1"/>
  <c r="F384" i="21"/>
  <c r="V349" i="31" s="1"/>
  <c r="F382" i="21"/>
  <c r="V347" i="31" s="1"/>
  <c r="F380" i="21"/>
  <c r="V345" i="31" s="1"/>
  <c r="F378" i="21"/>
  <c r="V343" i="31" s="1"/>
  <c r="F376" i="21"/>
  <c r="F374" i="21"/>
  <c r="V340" i="31" s="1"/>
  <c r="F372" i="21"/>
  <c r="V338" i="31" s="1"/>
  <c r="F370" i="21"/>
  <c r="V336" i="31" s="1"/>
  <c r="F368" i="21"/>
  <c r="V334" i="31" s="1"/>
  <c r="F366" i="21"/>
  <c r="V332" i="31" s="1"/>
  <c r="F364" i="21"/>
  <c r="V331" i="31" s="1"/>
  <c r="F362" i="21"/>
  <c r="V329" i="31" s="1"/>
  <c r="F360" i="21"/>
  <c r="V327" i="31" s="1"/>
  <c r="F358" i="21"/>
  <c r="V325" i="31" s="1"/>
  <c r="F356" i="21"/>
  <c r="V323" i="31" s="1"/>
  <c r="F354" i="21"/>
  <c r="F352" i="21"/>
  <c r="V320" i="31" s="1"/>
  <c r="F350" i="21"/>
  <c r="V318" i="31" s="1"/>
  <c r="F348" i="21"/>
  <c r="V316" i="31" s="1"/>
  <c r="F346" i="21"/>
  <c r="V314" i="31" s="1"/>
  <c r="F344" i="21"/>
  <c r="V312" i="31" s="1"/>
  <c r="F342" i="21"/>
  <c r="V311" i="31" s="1"/>
  <c r="F340" i="21"/>
  <c r="V309" i="31" s="1"/>
  <c r="F338" i="21"/>
  <c r="V307" i="31" s="1"/>
  <c r="F336" i="21"/>
  <c r="V305" i="31" s="1"/>
  <c r="F334" i="21"/>
  <c r="V303" i="31" s="1"/>
  <c r="F332" i="21"/>
  <c r="F330" i="21"/>
  <c r="V300" i="31" s="1"/>
  <c r="F328" i="21"/>
  <c r="V298" i="31" s="1"/>
  <c r="F326" i="21"/>
  <c r="V296" i="31" s="1"/>
  <c r="F324" i="21"/>
  <c r="V294" i="31" s="1"/>
  <c r="F322" i="21"/>
  <c r="V292" i="31" s="1"/>
  <c r="F320" i="21"/>
  <c r="V291" i="31" s="1"/>
  <c r="F318" i="21"/>
  <c r="V289" i="31" s="1"/>
  <c r="F316" i="21"/>
  <c r="V287" i="31" s="1"/>
  <c r="F314" i="21"/>
  <c r="V285" i="31" s="1"/>
  <c r="F312" i="21"/>
  <c r="V283" i="31" s="1"/>
  <c r="F310" i="21"/>
  <c r="F308" i="21"/>
  <c r="V280" i="31" s="1"/>
  <c r="F306" i="21"/>
  <c r="V278" i="31" s="1"/>
  <c r="F304" i="21"/>
  <c r="V276" i="31" s="1"/>
  <c r="F302" i="21"/>
  <c r="V274" i="31" s="1"/>
  <c r="F300" i="21"/>
  <c r="V272" i="31" s="1"/>
  <c r="F298" i="21"/>
  <c r="V271" i="31" s="1"/>
  <c r="F296" i="21"/>
  <c r="V269" i="31" s="1"/>
  <c r="F294" i="21"/>
  <c r="V267" i="31" s="1"/>
  <c r="F292" i="21"/>
  <c r="V265" i="31" s="1"/>
  <c r="F290" i="21"/>
  <c r="V263" i="31" s="1"/>
  <c r="F288" i="21"/>
  <c r="F286" i="21"/>
  <c r="V260" i="31" s="1"/>
  <c r="F284" i="21"/>
  <c r="V258" i="31" s="1"/>
  <c r="F282" i="21"/>
  <c r="V256" i="31" s="1"/>
  <c r="F280" i="21"/>
  <c r="V254" i="31" s="1"/>
  <c r="F278" i="21"/>
  <c r="V252" i="31" s="1"/>
  <c r="F276" i="21"/>
  <c r="V251" i="31" s="1"/>
  <c r="F274" i="21"/>
  <c r="V249" i="31" s="1"/>
  <c r="F272" i="21"/>
  <c r="V247" i="31" s="1"/>
  <c r="F270" i="21"/>
  <c r="V245" i="31" s="1"/>
  <c r="F268" i="21"/>
  <c r="V243" i="31" s="1"/>
  <c r="F266" i="21"/>
  <c r="F264" i="21"/>
  <c r="V240" i="31" s="1"/>
  <c r="F262" i="21"/>
  <c r="V238" i="31" s="1"/>
  <c r="F260" i="21"/>
  <c r="V236" i="31" s="1"/>
  <c r="F258" i="21"/>
  <c r="V234" i="31" s="1"/>
  <c r="F256" i="21"/>
  <c r="V232" i="31" s="1"/>
  <c r="F254" i="21"/>
  <c r="V231" i="31" s="1"/>
  <c r="F252" i="21"/>
  <c r="V229" i="31" s="1"/>
  <c r="F250" i="21"/>
  <c r="V227" i="31" s="1"/>
  <c r="F248" i="21"/>
  <c r="V225" i="31" s="1"/>
  <c r="F246" i="21"/>
  <c r="V223" i="31" s="1"/>
  <c r="F244" i="21"/>
  <c r="F242" i="21"/>
  <c r="V220" i="31" s="1"/>
  <c r="F240" i="21"/>
  <c r="V218" i="31" s="1"/>
  <c r="F238" i="21"/>
  <c r="V216" i="31" s="1"/>
  <c r="F236" i="21"/>
  <c r="V214" i="31" s="1"/>
  <c r="F234" i="21"/>
  <c r="V212" i="31" s="1"/>
  <c r="F232" i="21"/>
  <c r="V211" i="31" s="1"/>
  <c r="F230" i="21"/>
  <c r="V209" i="31" s="1"/>
  <c r="F228" i="21"/>
  <c r="V207" i="31" s="1"/>
  <c r="F226" i="21"/>
  <c r="V205" i="31" s="1"/>
  <c r="F224" i="21"/>
  <c r="V203" i="31" s="1"/>
  <c r="F222" i="21"/>
  <c r="F220" i="21"/>
  <c r="V200" i="31" s="1"/>
  <c r="F218" i="21"/>
  <c r="V198" i="31" s="1"/>
  <c r="F216" i="21"/>
  <c r="V196" i="31" s="1"/>
  <c r="F214" i="21"/>
  <c r="V194" i="31" s="1"/>
  <c r="F212" i="21"/>
  <c r="V192" i="31" s="1"/>
  <c r="F210" i="21"/>
  <c r="V191" i="31" s="1"/>
  <c r="F208" i="21"/>
  <c r="V189" i="31" s="1"/>
  <c r="F206" i="21"/>
  <c r="V187" i="31" s="1"/>
  <c r="F204" i="21"/>
  <c r="V185" i="31" s="1"/>
  <c r="F202" i="21"/>
  <c r="V183" i="31" s="1"/>
  <c r="F200" i="21"/>
  <c r="F198" i="21"/>
  <c r="V180" i="31" s="1"/>
  <c r="F196" i="21"/>
  <c r="V178" i="31" s="1"/>
  <c r="F194" i="21"/>
  <c r="V176" i="31" s="1"/>
  <c r="F192" i="21"/>
  <c r="V174" i="31" s="1"/>
  <c r="F190" i="21"/>
  <c r="V172" i="31" s="1"/>
  <c r="F188" i="21"/>
  <c r="V171" i="31" s="1"/>
  <c r="F186" i="21"/>
  <c r="V169" i="31" s="1"/>
  <c r="F184" i="21"/>
  <c r="V167" i="31" s="1"/>
  <c r="F182" i="21"/>
  <c r="V165" i="31" s="1"/>
  <c r="F180" i="21"/>
  <c r="V163" i="31" s="1"/>
  <c r="F178" i="21"/>
  <c r="F176" i="21"/>
  <c r="V160" i="31" s="1"/>
  <c r="F174" i="21"/>
  <c r="V158" i="31" s="1"/>
  <c r="F172" i="21"/>
  <c r="V156" i="31" s="1"/>
  <c r="F170" i="21"/>
  <c r="V154" i="31" s="1"/>
  <c r="F168" i="21"/>
  <c r="V152" i="31" s="1"/>
  <c r="F166" i="21"/>
  <c r="V151" i="31" s="1"/>
  <c r="F164" i="21"/>
  <c r="V149" i="31" s="1"/>
  <c r="F162" i="21"/>
  <c r="V147" i="31" s="1"/>
  <c r="F160" i="21"/>
  <c r="V145" i="31" s="1"/>
  <c r="F158" i="21"/>
  <c r="V143" i="31" s="1"/>
  <c r="F156" i="21"/>
  <c r="F154" i="21"/>
  <c r="V140" i="31" s="1"/>
  <c r="F152" i="21"/>
  <c r="V138" i="31" s="1"/>
  <c r="F150" i="21"/>
  <c r="V136" i="31" s="1"/>
  <c r="F148" i="21"/>
  <c r="V134" i="31" s="1"/>
  <c r="F146" i="21"/>
  <c r="V132" i="31" s="1"/>
  <c r="F144" i="21"/>
  <c r="V131" i="31" s="1"/>
  <c r="F142" i="21"/>
  <c r="V129" i="31" s="1"/>
  <c r="F140" i="21"/>
  <c r="V127" i="31" s="1"/>
  <c r="F138" i="21"/>
  <c r="V125" i="31" s="1"/>
  <c r="F136" i="21"/>
  <c r="V123" i="31" s="1"/>
  <c r="F134" i="21"/>
  <c r="F132" i="21"/>
  <c r="V120" i="31" s="1"/>
  <c r="F130" i="21"/>
  <c r="V118" i="31" s="1"/>
  <c r="F128" i="21"/>
  <c r="V116" i="31" s="1"/>
  <c r="F126" i="21"/>
  <c r="V114" i="31" s="1"/>
  <c r="F124" i="21"/>
  <c r="V112" i="31" s="1"/>
  <c r="F122" i="21"/>
  <c r="V111" i="31" s="1"/>
  <c r="F120" i="21"/>
  <c r="V109" i="31" s="1"/>
  <c r="F118" i="21"/>
  <c r="V107" i="31" s="1"/>
  <c r="F116" i="21"/>
  <c r="V105" i="31" s="1"/>
  <c r="F114" i="21"/>
  <c r="V103" i="31" s="1"/>
  <c r="F93" i="21"/>
  <c r="V84" i="31" s="1"/>
  <c r="F91" i="21"/>
  <c r="V82" i="31" s="1"/>
  <c r="F58" i="21"/>
  <c r="V52" i="31" s="1"/>
  <c r="F56" i="21"/>
  <c r="V51" i="31" s="1"/>
  <c r="F54" i="21"/>
  <c r="V49" i="31" s="1"/>
  <c r="F52" i="21"/>
  <c r="V47" i="31" s="1"/>
  <c r="F50" i="21"/>
  <c r="V45" i="31" s="1"/>
  <c r="F48" i="21"/>
  <c r="V43" i="31" s="1"/>
  <c r="F41" i="21"/>
  <c r="V37" i="31" s="1"/>
  <c r="F39" i="21"/>
  <c r="V35" i="31" s="1"/>
  <c r="F37" i="21"/>
  <c r="V33" i="31" s="1"/>
  <c r="F11" i="21"/>
  <c r="V10" i="31" s="1"/>
  <c r="F9" i="21"/>
  <c r="V8" i="31" s="1"/>
  <c r="F7" i="21"/>
  <c r="V6" i="31" s="1"/>
  <c r="F5" i="21"/>
  <c r="V4" i="31" s="1"/>
  <c r="F844" i="21"/>
  <c r="V767" i="31" s="1"/>
  <c r="F762" i="21"/>
  <c r="V692" i="31" s="1"/>
  <c r="F1060" i="21"/>
  <c r="V963" i="31" s="1"/>
  <c r="F1042" i="21"/>
  <c r="V947" i="31" s="1"/>
  <c r="F1046" i="21"/>
  <c r="V951" i="31" s="1"/>
  <c r="F1032" i="21"/>
  <c r="V938" i="31" s="1"/>
  <c r="F996" i="21"/>
  <c r="V905" i="31" s="1"/>
  <c r="F992" i="21"/>
  <c r="F986" i="21"/>
  <c r="V896" i="31" s="1"/>
  <c r="F982" i="21"/>
  <c r="V892" i="31" s="1"/>
  <c r="F153" i="21"/>
  <c r="V139" i="31" s="1"/>
  <c r="F151" i="21"/>
  <c r="V137" i="31" s="1"/>
  <c r="F149" i="21"/>
  <c r="V135" i="31" s="1"/>
  <c r="F147" i="21"/>
  <c r="V133" i="31" s="1"/>
  <c r="F145" i="21"/>
  <c r="F141" i="21"/>
  <c r="V128" i="31" s="1"/>
  <c r="F139" i="21"/>
  <c r="V126" i="31" s="1"/>
  <c r="F119" i="21"/>
  <c r="V108" i="31" s="1"/>
  <c r="F117" i="21"/>
  <c r="V106" i="31" s="1"/>
  <c r="F115" i="21"/>
  <c r="V104" i="31" s="1"/>
  <c r="F113" i="21"/>
  <c r="V102" i="31" s="1"/>
  <c r="F92" i="21"/>
  <c r="V83" i="31" s="1"/>
  <c r="F38" i="21"/>
  <c r="V34" i="31" s="1"/>
  <c r="F4" i="21"/>
  <c r="V3" i="31" s="1"/>
  <c r="F1629" i="21"/>
  <c r="V1481" i="31" s="1"/>
  <c r="F1627" i="21"/>
  <c r="V1479" i="31" s="1"/>
  <c r="F1625" i="21"/>
  <c r="V1477" i="31" s="1"/>
  <c r="F1623" i="21"/>
  <c r="V1475" i="31" s="1"/>
  <c r="F1621" i="21"/>
  <c r="V1473" i="31" s="1"/>
  <c r="F1619" i="21"/>
  <c r="F1617" i="21"/>
  <c r="V1470" i="31" s="1"/>
  <c r="F1615" i="21"/>
  <c r="V1468" i="31" s="1"/>
  <c r="F1613" i="21"/>
  <c r="V1466" i="31" s="1"/>
  <c r="F1611" i="21"/>
  <c r="V1464" i="31" s="1"/>
  <c r="F1609" i="21"/>
  <c r="V1462" i="31" s="1"/>
  <c r="F1607" i="21"/>
  <c r="V1461" i="31" s="1"/>
  <c r="F1605" i="21"/>
  <c r="V1459" i="31" s="1"/>
  <c r="F1603" i="21"/>
  <c r="V1457" i="31" s="1"/>
  <c r="F1601" i="21"/>
  <c r="V1455" i="31" s="1"/>
  <c r="F1599" i="21"/>
  <c r="V1453" i="31" s="1"/>
  <c r="F1597" i="21"/>
  <c r="F1595" i="21"/>
  <c r="V1450" i="31" s="1"/>
  <c r="F1593" i="21"/>
  <c r="V1448" i="31" s="1"/>
  <c r="F1591" i="21"/>
  <c r="V1446" i="31" s="1"/>
  <c r="F1589" i="21"/>
  <c r="V1444" i="31" s="1"/>
  <c r="F1587" i="21"/>
  <c r="V1442" i="31" s="1"/>
  <c r="F1585" i="21"/>
  <c r="V1441" i="31" s="1"/>
  <c r="F1583" i="21"/>
  <c r="V1439" i="31" s="1"/>
  <c r="F1581" i="21"/>
  <c r="V1437" i="31" s="1"/>
  <c r="F1579" i="21"/>
  <c r="V1435" i="31" s="1"/>
  <c r="F1577" i="21"/>
  <c r="V1433" i="31" s="1"/>
  <c r="F1575" i="21"/>
  <c r="F1573" i="21"/>
  <c r="V1430" i="31" s="1"/>
  <c r="F1571" i="21"/>
  <c r="V1428" i="31" s="1"/>
  <c r="F1569" i="21"/>
  <c r="V1426" i="31" s="1"/>
  <c r="F1567" i="21"/>
  <c r="V1424" i="31" s="1"/>
  <c r="F1565" i="21"/>
  <c r="V1422" i="31" s="1"/>
  <c r="F1563" i="21"/>
  <c r="V1421" i="31" s="1"/>
  <c r="F1561" i="21"/>
  <c r="V1419" i="31" s="1"/>
  <c r="F1559" i="21"/>
  <c r="V1417" i="31" s="1"/>
  <c r="F1557" i="21"/>
  <c r="V1415" i="31" s="1"/>
  <c r="F1555" i="21"/>
  <c r="V1413" i="31" s="1"/>
  <c r="F1553" i="21"/>
  <c r="F1551" i="21"/>
  <c r="V1410" i="31" s="1"/>
  <c r="F1549" i="21"/>
  <c r="V1408" i="31" s="1"/>
  <c r="F1547" i="21"/>
  <c r="V1406" i="31" s="1"/>
  <c r="F1545" i="21"/>
  <c r="V1404" i="31" s="1"/>
  <c r="F1543" i="21"/>
  <c r="V1402" i="31" s="1"/>
  <c r="F1541" i="21"/>
  <c r="V1401" i="31" s="1"/>
  <c r="F1539" i="21"/>
  <c r="V1399" i="31" s="1"/>
  <c r="F1537" i="21"/>
  <c r="V1397" i="31" s="1"/>
  <c r="F1535" i="21"/>
  <c r="V1395" i="31" s="1"/>
  <c r="F1533" i="21"/>
  <c r="V1393" i="31" s="1"/>
  <c r="F1531" i="21"/>
  <c r="F1529" i="21"/>
  <c r="V1390" i="31" s="1"/>
  <c r="F1527" i="21"/>
  <c r="V1388" i="31" s="1"/>
  <c r="F1525" i="21"/>
  <c r="V1386" i="31" s="1"/>
  <c r="F1523" i="21"/>
  <c r="V1384" i="31" s="1"/>
  <c r="F1521" i="21"/>
  <c r="V1382" i="31" s="1"/>
  <c r="F1519" i="21"/>
  <c r="V1381" i="31" s="1"/>
  <c r="F1517" i="21"/>
  <c r="V1379" i="31" s="1"/>
  <c r="F1515" i="21"/>
  <c r="V1377" i="31" s="1"/>
  <c r="F1513" i="21"/>
  <c r="V1375" i="31" s="1"/>
  <c r="F1511" i="21"/>
  <c r="V1373" i="31" s="1"/>
  <c r="F1509" i="21"/>
  <c r="F1507" i="21"/>
  <c r="V1370" i="31" s="1"/>
  <c r="F1505" i="21"/>
  <c r="V1368" i="31" s="1"/>
  <c r="F1503" i="21"/>
  <c r="V1366" i="31" s="1"/>
  <c r="F1501" i="21"/>
  <c r="V1364" i="31" s="1"/>
  <c r="F1499" i="21"/>
  <c r="V1362" i="31" s="1"/>
  <c r="F1497" i="21"/>
  <c r="V1361" i="31" s="1"/>
  <c r="F1495" i="21"/>
  <c r="V1359" i="31" s="1"/>
  <c r="F1493" i="21"/>
  <c r="V1357" i="31" s="1"/>
  <c r="F1491" i="21"/>
  <c r="V1355" i="31" s="1"/>
  <c r="F1489" i="21"/>
  <c r="V1353" i="31" s="1"/>
  <c r="F1487" i="21"/>
  <c r="F1485" i="21"/>
  <c r="V1350" i="31" s="1"/>
  <c r="F1483" i="21"/>
  <c r="V1348" i="31" s="1"/>
  <c r="F1481" i="21"/>
  <c r="V1346" i="31" s="1"/>
  <c r="F1479" i="21"/>
  <c r="V1344" i="31" s="1"/>
  <c r="F1477" i="21"/>
  <c r="V1342" i="31" s="1"/>
  <c r="F1475" i="21"/>
  <c r="V1341" i="31" s="1"/>
  <c r="F1473" i="21"/>
  <c r="V1339" i="31" s="1"/>
  <c r="F1471" i="21"/>
  <c r="V1337" i="31" s="1"/>
  <c r="F1469" i="21"/>
  <c r="V1335" i="31" s="1"/>
  <c r="F1467" i="21"/>
  <c r="V1333" i="31" s="1"/>
  <c r="F1465" i="21"/>
  <c r="F1463" i="21"/>
  <c r="V1330" i="31" s="1"/>
  <c r="F1461" i="21"/>
  <c r="V1328" i="31" s="1"/>
  <c r="F1459" i="21"/>
  <c r="V1326" i="31" s="1"/>
  <c r="F1457" i="21"/>
  <c r="V1324" i="31" s="1"/>
  <c r="F1455" i="21"/>
  <c r="V1322" i="31" s="1"/>
  <c r="F1453" i="21"/>
  <c r="V1321" i="31" s="1"/>
  <c r="F1451" i="21"/>
  <c r="V1319" i="31" s="1"/>
  <c r="F1449" i="21"/>
  <c r="V1317" i="31" s="1"/>
  <c r="F1447" i="21"/>
  <c r="V1315" i="31" s="1"/>
  <c r="F1445" i="21"/>
  <c r="V1313" i="31" s="1"/>
  <c r="F1443" i="21"/>
  <c r="F1441" i="21"/>
  <c r="V1310" i="31" s="1"/>
  <c r="F1439" i="21"/>
  <c r="V1308" i="31" s="1"/>
  <c r="F1437" i="21"/>
  <c r="V1306" i="31" s="1"/>
  <c r="F1435" i="21"/>
  <c r="V1304" i="31" s="1"/>
  <c r="F1433" i="21"/>
  <c r="V1302" i="31" s="1"/>
  <c r="F1431" i="21"/>
  <c r="V1301" i="31" s="1"/>
  <c r="F1429" i="21"/>
  <c r="V1299" i="31" s="1"/>
  <c r="F1427" i="21"/>
  <c r="V1297" i="31" s="1"/>
  <c r="F1425" i="21"/>
  <c r="V1295" i="31" s="1"/>
  <c r="F1423" i="21"/>
  <c r="V1293" i="31" s="1"/>
  <c r="F1421" i="21"/>
  <c r="F1419" i="21"/>
  <c r="V1290" i="31" s="1"/>
  <c r="F1417" i="21"/>
  <c r="V1288" i="31" s="1"/>
  <c r="F1415" i="21"/>
  <c r="V1286" i="31" s="1"/>
  <c r="F1413" i="21"/>
  <c r="V1284" i="31" s="1"/>
  <c r="F1411" i="21"/>
  <c r="V1282" i="31" s="1"/>
  <c r="F1409" i="21"/>
  <c r="V1281" i="31" s="1"/>
  <c r="F1407" i="21"/>
  <c r="V1279" i="31" s="1"/>
  <c r="F1405" i="21"/>
  <c r="V1277" i="31" s="1"/>
  <c r="F1403" i="21"/>
  <c r="V1275" i="31" s="1"/>
  <c r="F1401" i="21"/>
  <c r="V1273" i="31" s="1"/>
  <c r="F1399" i="21"/>
  <c r="F1397" i="21"/>
  <c r="V1270" i="31" s="1"/>
  <c r="F1395" i="21"/>
  <c r="V1268" i="31" s="1"/>
  <c r="F1393" i="21"/>
  <c r="V1266" i="31" s="1"/>
  <c r="F1391" i="21"/>
  <c r="V1264" i="31" s="1"/>
  <c r="F1389" i="21"/>
  <c r="V1262" i="31" s="1"/>
  <c r="F1387" i="21"/>
  <c r="V1261" i="31" s="1"/>
  <c r="F1385" i="21"/>
  <c r="V1259" i="31" s="1"/>
  <c r="F1383" i="21"/>
  <c r="V1257" i="31" s="1"/>
  <c r="F1381" i="21"/>
  <c r="V1255" i="31" s="1"/>
  <c r="F1379" i="21"/>
  <c r="V1253" i="31" s="1"/>
  <c r="F1377" i="21"/>
  <c r="F1375" i="21"/>
  <c r="V1250" i="31" s="1"/>
  <c r="F1373" i="21"/>
  <c r="V1248" i="31" s="1"/>
  <c r="F1371" i="21"/>
  <c r="V1246" i="31" s="1"/>
  <c r="F1369" i="21"/>
  <c r="V1244" i="31" s="1"/>
  <c r="F1367" i="21"/>
  <c r="V1242" i="31" s="1"/>
  <c r="F1365" i="21"/>
  <c r="V1241" i="31" s="1"/>
  <c r="F1363" i="21"/>
  <c r="V1239" i="31" s="1"/>
  <c r="F1361" i="21"/>
  <c r="V1237" i="31" s="1"/>
  <c r="F1359" i="21"/>
  <c r="V1235" i="31" s="1"/>
  <c r="F1357" i="21"/>
  <c r="V1233" i="31" s="1"/>
  <c r="F1355" i="21"/>
  <c r="F1353" i="21"/>
  <c r="V1230" i="31" s="1"/>
  <c r="F1351" i="21"/>
  <c r="V1228" i="31" s="1"/>
  <c r="F1349" i="21"/>
  <c r="V1226" i="31" s="1"/>
  <c r="F1347" i="21"/>
  <c r="V1224" i="31" s="1"/>
  <c r="F1345" i="21"/>
  <c r="V1222" i="31" s="1"/>
  <c r="F1343" i="21"/>
  <c r="V1221" i="31" s="1"/>
  <c r="F1341" i="21"/>
  <c r="V1219" i="31" s="1"/>
  <c r="F1339" i="21"/>
  <c r="V1217" i="31" s="1"/>
  <c r="F1337" i="21"/>
  <c r="V1215" i="31" s="1"/>
  <c r="F1335" i="21"/>
  <c r="V1213" i="31" s="1"/>
  <c r="F1333" i="21"/>
  <c r="F1331" i="21"/>
  <c r="V1210" i="31" s="1"/>
  <c r="F1329" i="21"/>
  <c r="V1208" i="31" s="1"/>
  <c r="F1327" i="21"/>
  <c r="V1206" i="31" s="1"/>
  <c r="F1325" i="21"/>
  <c r="V1204" i="31" s="1"/>
  <c r="F1323" i="21"/>
  <c r="V1202" i="31" s="1"/>
  <c r="F1321" i="21"/>
  <c r="V1201" i="31" s="1"/>
  <c r="F1319" i="21"/>
  <c r="V1199" i="31" s="1"/>
  <c r="F1317" i="21"/>
  <c r="V1197" i="31" s="1"/>
  <c r="F1315" i="21"/>
  <c r="V1195" i="31" s="1"/>
  <c r="F1313" i="21"/>
  <c r="V1193" i="31" s="1"/>
  <c r="F1311" i="21"/>
  <c r="F1309" i="21"/>
  <c r="V1190" i="31" s="1"/>
  <c r="F1307" i="21"/>
  <c r="V1188" i="31" s="1"/>
  <c r="F1305" i="21"/>
  <c r="V1186" i="31" s="1"/>
  <c r="F1303" i="21"/>
  <c r="V1184" i="31" s="1"/>
  <c r="F1301" i="21"/>
  <c r="V1182" i="31" s="1"/>
  <c r="F1299" i="21"/>
  <c r="V1181" i="31" s="1"/>
  <c r="F1297" i="21"/>
  <c r="V1179" i="31" s="1"/>
  <c r="F1295" i="21"/>
  <c r="V1177" i="31" s="1"/>
  <c r="F1293" i="21"/>
  <c r="V1175" i="31" s="1"/>
  <c r="F1291" i="21"/>
  <c r="V1173" i="31" s="1"/>
  <c r="F1289" i="21"/>
  <c r="F1287" i="21"/>
  <c r="V1170" i="31" s="1"/>
  <c r="F1285" i="21"/>
  <c r="V1168" i="31" s="1"/>
  <c r="F1283" i="21"/>
  <c r="V1166" i="31" s="1"/>
  <c r="F1281" i="21"/>
  <c r="V1164" i="31" s="1"/>
  <c r="F1279" i="21"/>
  <c r="V1162" i="31" s="1"/>
  <c r="F1277" i="21"/>
  <c r="V1161" i="31" s="1"/>
  <c r="F1275" i="21"/>
  <c r="V1159" i="31" s="1"/>
  <c r="F1273" i="21"/>
  <c r="V1157" i="31" s="1"/>
  <c r="F1271" i="21"/>
  <c r="V1155" i="31" s="1"/>
  <c r="F1269" i="21"/>
  <c r="V1153" i="31" s="1"/>
  <c r="F1267" i="21"/>
  <c r="F1265" i="21"/>
  <c r="V1150" i="31" s="1"/>
  <c r="F1263" i="21"/>
  <c r="V1148" i="31" s="1"/>
  <c r="F1261" i="21"/>
  <c r="V1146" i="31" s="1"/>
  <c r="F1259" i="21"/>
  <c r="V1144" i="31" s="1"/>
  <c r="F1257" i="21"/>
  <c r="V1142" i="31" s="1"/>
  <c r="F1255" i="21"/>
  <c r="V1141" i="31" s="1"/>
  <c r="F1253" i="21"/>
  <c r="V1139" i="31" s="1"/>
  <c r="F1251" i="21"/>
  <c r="V1137" i="31" s="1"/>
  <c r="F1249" i="21"/>
  <c r="V1135" i="31" s="1"/>
  <c r="F1247" i="21"/>
  <c r="V1133" i="31" s="1"/>
  <c r="F1245" i="21"/>
  <c r="F1243" i="21"/>
  <c r="V1130" i="31" s="1"/>
  <c r="F1241" i="21"/>
  <c r="V1128" i="31" s="1"/>
  <c r="F1239" i="21"/>
  <c r="V1126" i="31" s="1"/>
  <c r="F1237" i="21"/>
  <c r="V1124" i="31" s="1"/>
  <c r="F1235" i="21"/>
  <c r="V1122" i="31" s="1"/>
  <c r="F1233" i="21"/>
  <c r="V1121" i="31" s="1"/>
  <c r="F1231" i="21"/>
  <c r="V1119" i="31" s="1"/>
  <c r="F1229" i="21"/>
  <c r="V1117" i="31" s="1"/>
  <c r="F1227" i="21"/>
  <c r="V1115" i="31" s="1"/>
  <c r="F1225" i="21"/>
  <c r="V1113" i="31" s="1"/>
  <c r="F1223" i="21"/>
  <c r="F1221" i="21"/>
  <c r="V1110" i="31" s="1"/>
  <c r="F1219" i="21"/>
  <c r="V1108" i="31" s="1"/>
  <c r="F1217" i="21"/>
  <c r="V1106" i="31" s="1"/>
  <c r="F1215" i="21"/>
  <c r="V1104" i="31" s="1"/>
  <c r="F1213" i="21"/>
  <c r="V1102" i="31" s="1"/>
  <c r="F1211" i="21"/>
  <c r="V1101" i="31" s="1"/>
  <c r="F1209" i="21"/>
  <c r="V1099" i="31" s="1"/>
  <c r="F1207" i="21"/>
  <c r="V1097" i="31" s="1"/>
  <c r="F1205" i="21"/>
  <c r="V1095" i="31" s="1"/>
  <c r="F1203" i="21"/>
  <c r="V1093" i="31" s="1"/>
  <c r="F1201" i="21"/>
  <c r="F1199" i="21"/>
  <c r="V1090" i="31" s="1"/>
  <c r="F1197" i="21"/>
  <c r="V1088" i="31" s="1"/>
  <c r="F1195" i="21"/>
  <c r="V1086" i="31" s="1"/>
  <c r="F1193" i="21"/>
  <c r="V1084" i="31" s="1"/>
  <c r="F1191" i="21"/>
  <c r="V1082" i="31" s="1"/>
  <c r="F1189" i="21"/>
  <c r="V1081" i="31" s="1"/>
  <c r="F1187" i="21"/>
  <c r="V1079" i="31" s="1"/>
  <c r="F1185" i="21"/>
  <c r="V1077" i="31" s="1"/>
  <c r="F1183" i="21"/>
  <c r="V1075" i="31" s="1"/>
  <c r="F1181" i="21"/>
  <c r="V1073" i="31" s="1"/>
  <c r="F1179" i="21"/>
  <c r="F1177" i="21"/>
  <c r="V1070" i="31" s="1"/>
  <c r="F1175" i="21"/>
  <c r="V1068" i="31" s="1"/>
  <c r="F1173" i="21"/>
  <c r="V1066" i="31" s="1"/>
  <c r="F1171" i="21"/>
  <c r="V1064" i="31" s="1"/>
  <c r="F1169" i="21"/>
  <c r="V1062" i="31" s="1"/>
  <c r="F1167" i="21"/>
  <c r="V1061" i="31" s="1"/>
  <c r="F1165" i="21"/>
  <c r="V1059" i="31" s="1"/>
  <c r="F1163" i="21"/>
  <c r="V1057" i="31" s="1"/>
  <c r="F1161" i="21"/>
  <c r="V1055" i="31" s="1"/>
  <c r="F1159" i="21"/>
  <c r="V1053" i="31" s="1"/>
  <c r="F1157" i="21"/>
  <c r="F1155" i="21"/>
  <c r="V1050" i="31" s="1"/>
  <c r="F1153" i="21"/>
  <c r="V1048" i="31" s="1"/>
  <c r="F1151" i="21"/>
  <c r="V1046" i="31" s="1"/>
  <c r="F1149" i="21"/>
  <c r="V1044" i="31" s="1"/>
  <c r="F1147" i="21"/>
  <c r="V1042" i="31" s="1"/>
  <c r="F1145" i="21"/>
  <c r="V1041" i="31" s="1"/>
  <c r="F1143" i="21"/>
  <c r="V1039" i="31" s="1"/>
  <c r="F1141" i="21"/>
  <c r="V1037" i="31" s="1"/>
  <c r="F1139" i="21"/>
  <c r="V1035" i="31" s="1"/>
  <c r="F1137" i="21"/>
  <c r="V1033" i="31" s="1"/>
  <c r="F1135" i="21"/>
  <c r="F1133" i="21"/>
  <c r="V1030" i="31" s="1"/>
  <c r="F1131" i="21"/>
  <c r="V1028" i="31" s="1"/>
  <c r="F1129" i="21"/>
  <c r="V1026" i="31" s="1"/>
  <c r="F1127" i="21"/>
  <c r="V1024" i="31" s="1"/>
  <c r="F1125" i="21"/>
  <c r="V1022" i="31" s="1"/>
  <c r="F1123" i="21"/>
  <c r="V1021" i="31" s="1"/>
  <c r="F1121" i="21"/>
  <c r="V1019" i="31" s="1"/>
  <c r="F1119" i="21"/>
  <c r="V1017" i="31" s="1"/>
  <c r="F1117" i="21"/>
  <c r="V1015" i="31" s="1"/>
  <c r="F1115" i="21"/>
  <c r="V1013" i="31" s="1"/>
  <c r="F1113" i="21"/>
  <c r="F1111" i="21"/>
  <c r="V1010" i="31" s="1"/>
  <c r="F1109" i="21"/>
  <c r="V1008" i="31" s="1"/>
  <c r="F1107" i="21"/>
  <c r="V1006" i="31" s="1"/>
  <c r="F1105" i="21"/>
  <c r="V1004" i="31" s="1"/>
  <c r="F1103" i="21"/>
  <c r="V1002" i="31" s="1"/>
  <c r="F1101" i="21"/>
  <c r="V1001" i="31" s="1"/>
  <c r="F1099" i="21"/>
  <c r="V999" i="31" s="1"/>
  <c r="F1097" i="21"/>
  <c r="V997" i="31" s="1"/>
  <c r="F1095" i="21"/>
  <c r="V995" i="31" s="1"/>
  <c r="F1093" i="21"/>
  <c r="V993" i="31" s="1"/>
  <c r="F1091" i="21"/>
  <c r="F1089" i="21"/>
  <c r="V990" i="31" s="1"/>
  <c r="F1087" i="21"/>
  <c r="V988" i="31" s="1"/>
  <c r="F1085" i="21"/>
  <c r="V986" i="31" s="1"/>
  <c r="F1083" i="21"/>
  <c r="V984" i="31" s="1"/>
  <c r="F1081" i="21"/>
  <c r="V982" i="31" s="1"/>
  <c r="F1079" i="21"/>
  <c r="V981" i="31" s="1"/>
  <c r="F1077" i="21"/>
  <c r="V979" i="31" s="1"/>
  <c r="F1075" i="21"/>
  <c r="V977" i="31" s="1"/>
  <c r="F1073" i="21"/>
  <c r="V975" i="31" s="1"/>
  <c r="F1071" i="21"/>
  <c r="V973" i="31" s="1"/>
  <c r="F1069" i="21"/>
  <c r="F1067" i="21"/>
  <c r="V970" i="31" s="1"/>
  <c r="F1065" i="21"/>
  <c r="V968" i="31" s="1"/>
  <c r="F1063" i="21"/>
  <c r="V966" i="31" s="1"/>
  <c r="F1061" i="21"/>
  <c r="V964" i="31" s="1"/>
  <c r="F1059" i="21"/>
  <c r="V962" i="31" s="1"/>
  <c r="F1057" i="21"/>
  <c r="V961" i="31" s="1"/>
  <c r="F1055" i="21"/>
  <c r="V959" i="31" s="1"/>
  <c r="F1053" i="21"/>
  <c r="V957" i="31" s="1"/>
  <c r="F1051" i="21"/>
  <c r="V955" i="31" s="1"/>
  <c r="F1049" i="21"/>
  <c r="V953" i="31" s="1"/>
  <c r="F1047" i="21"/>
  <c r="F1045" i="21"/>
  <c r="V950" i="31" s="1"/>
  <c r="F1043" i="21"/>
  <c r="V948" i="31" s="1"/>
  <c r="F1041" i="21"/>
  <c r="V946" i="31" s="1"/>
  <c r="F1039" i="21"/>
  <c r="V944" i="31" s="1"/>
  <c r="F1037" i="21"/>
  <c r="V942" i="31" s="1"/>
  <c r="F1035" i="21"/>
  <c r="V941" i="31" s="1"/>
  <c r="F1033" i="21"/>
  <c r="V939" i="31" s="1"/>
  <c r="F1031" i="21"/>
  <c r="V937" i="31" s="1"/>
  <c r="F1029" i="21"/>
  <c r="V935" i="31" s="1"/>
  <c r="F1027" i="21"/>
  <c r="V933" i="31" s="1"/>
  <c r="F1025" i="21"/>
  <c r="F1023" i="21"/>
  <c r="V930" i="31" s="1"/>
  <c r="F1021" i="21"/>
  <c r="V928" i="31" s="1"/>
  <c r="F1019" i="21"/>
  <c r="V926" i="31" s="1"/>
  <c r="F1017" i="21"/>
  <c r="V924" i="31" s="1"/>
  <c r="F1015" i="21"/>
  <c r="V922" i="31" s="1"/>
  <c r="F1013" i="21"/>
  <c r="V921" i="31" s="1"/>
  <c r="F1011" i="21"/>
  <c r="V919" i="31" s="1"/>
  <c r="F1009" i="21"/>
  <c r="V917" i="31" s="1"/>
  <c r="F1007" i="21"/>
  <c r="V915" i="31" s="1"/>
  <c r="F1005" i="21"/>
  <c r="V913" i="31" s="1"/>
  <c r="F1003" i="21"/>
  <c r="F1001" i="21"/>
  <c r="V910" i="31" s="1"/>
  <c r="F999" i="21"/>
  <c r="V908" i="31" s="1"/>
  <c r="F997" i="21"/>
  <c r="V906" i="31" s="1"/>
  <c r="F995" i="21"/>
  <c r="V904" i="31" s="1"/>
  <c r="F993" i="21"/>
  <c r="V902" i="31" s="1"/>
  <c r="F991" i="21"/>
  <c r="V901" i="31" s="1"/>
  <c r="F989" i="21"/>
  <c r="V899" i="31" s="1"/>
  <c r="F987" i="21"/>
  <c r="V897" i="31" s="1"/>
  <c r="F985" i="21"/>
  <c r="V895" i="31" s="1"/>
  <c r="F983" i="21"/>
  <c r="V893" i="31" s="1"/>
  <c r="F981" i="21"/>
  <c r="F979" i="21"/>
  <c r="V890" i="31" s="1"/>
  <c r="F977" i="21"/>
  <c r="V888" i="31" s="1"/>
  <c r="F975" i="21"/>
  <c r="V886" i="31" s="1"/>
  <c r="F973" i="21"/>
  <c r="V884" i="31" s="1"/>
  <c r="F971" i="21"/>
  <c r="V882" i="31" s="1"/>
  <c r="F969" i="21"/>
  <c r="V881" i="31" s="1"/>
  <c r="F967" i="21"/>
  <c r="V879" i="31" s="1"/>
  <c r="F965" i="21"/>
  <c r="V877" i="31" s="1"/>
  <c r="F963" i="21"/>
  <c r="V875" i="31" s="1"/>
  <c r="F961" i="21"/>
  <c r="V873" i="31" s="1"/>
  <c r="F959" i="21"/>
  <c r="F957" i="21"/>
  <c r="V870" i="31" s="1"/>
  <c r="F955" i="21"/>
  <c r="V868" i="31" s="1"/>
  <c r="F953" i="21"/>
  <c r="V866" i="31" s="1"/>
  <c r="F951" i="21"/>
  <c r="V864" i="31" s="1"/>
  <c r="F949" i="21"/>
  <c r="V862" i="31" s="1"/>
  <c r="F947" i="21"/>
  <c r="V861" i="31" s="1"/>
  <c r="F945" i="21"/>
  <c r="V859" i="31" s="1"/>
  <c r="F943" i="21"/>
  <c r="V857" i="31" s="1"/>
  <c r="F941" i="21"/>
  <c r="V855" i="31" s="1"/>
  <c r="F939" i="21"/>
  <c r="V853" i="31" s="1"/>
  <c r="F937" i="21"/>
  <c r="F935" i="21"/>
  <c r="V850" i="31" s="1"/>
  <c r="F933" i="21"/>
  <c r="V848" i="31" s="1"/>
  <c r="F931" i="21"/>
  <c r="V846" i="31" s="1"/>
  <c r="F927" i="21"/>
  <c r="V842" i="31" s="1"/>
  <c r="F925" i="21"/>
  <c r="V841" i="31" s="1"/>
  <c r="F923" i="21"/>
  <c r="V839" i="31" s="1"/>
  <c r="F921" i="21"/>
  <c r="V837" i="31" s="1"/>
  <c r="F919" i="21"/>
  <c r="V835" i="31" s="1"/>
  <c r="F917" i="21"/>
  <c r="V833" i="31" s="1"/>
  <c r="F915" i="21"/>
  <c r="F913" i="21"/>
  <c r="V830" i="31" s="1"/>
  <c r="F911" i="21"/>
  <c r="V828" i="31" s="1"/>
  <c r="F909" i="21"/>
  <c r="V826" i="31" s="1"/>
  <c r="F907" i="21"/>
  <c r="V824" i="31" s="1"/>
  <c r="F905" i="21"/>
  <c r="V822" i="31" s="1"/>
  <c r="F903" i="21"/>
  <c r="V821" i="31" s="1"/>
  <c r="F901" i="21"/>
  <c r="V819" i="31" s="1"/>
  <c r="F899" i="21"/>
  <c r="V817" i="31" s="1"/>
  <c r="F897" i="21"/>
  <c r="V815" i="31" s="1"/>
  <c r="F895" i="21"/>
  <c r="V813" i="31" s="1"/>
  <c r="F893" i="21"/>
  <c r="F891" i="21"/>
  <c r="V810" i="31" s="1"/>
  <c r="F889" i="21"/>
  <c r="V808" i="31" s="1"/>
  <c r="F887" i="21"/>
  <c r="V806" i="31" s="1"/>
  <c r="F885" i="21"/>
  <c r="V804" i="31" s="1"/>
  <c r="F883" i="21"/>
  <c r="V802" i="31" s="1"/>
  <c r="F881" i="21"/>
  <c r="V801" i="31" s="1"/>
  <c r="F879" i="21"/>
  <c r="V799" i="31" s="1"/>
  <c r="F877" i="21"/>
  <c r="V797" i="31" s="1"/>
  <c r="F875" i="21"/>
  <c r="V795" i="31" s="1"/>
  <c r="F873" i="21"/>
  <c r="V793" i="31" s="1"/>
  <c r="F871" i="21"/>
  <c r="F869" i="21"/>
  <c r="V790" i="31" s="1"/>
  <c r="F867" i="21"/>
  <c r="V788" i="31" s="1"/>
  <c r="F865" i="21"/>
  <c r="V786" i="31" s="1"/>
  <c r="F863" i="21"/>
  <c r="V784" i="31" s="1"/>
  <c r="F861" i="21"/>
  <c r="V782" i="31" s="1"/>
  <c r="F859" i="21"/>
  <c r="V781" i="31" s="1"/>
  <c r="F857" i="21"/>
  <c r="V779" i="31" s="1"/>
  <c r="F855" i="21"/>
  <c r="V777" i="31" s="1"/>
  <c r="F853" i="21"/>
  <c r="V775" i="31" s="1"/>
  <c r="F851" i="21"/>
  <c r="V773" i="31" s="1"/>
  <c r="F849" i="21"/>
  <c r="F847" i="21"/>
  <c r="V770" i="31" s="1"/>
  <c r="F845" i="21"/>
  <c r="V768" i="31" s="1"/>
  <c r="F843" i="21"/>
  <c r="V766" i="31" s="1"/>
  <c r="F841" i="21"/>
  <c r="V764" i="31" s="1"/>
  <c r="F839" i="21"/>
  <c r="V762" i="31" s="1"/>
  <c r="F837" i="21"/>
  <c r="V761" i="31" s="1"/>
  <c r="F835" i="21"/>
  <c r="V759" i="31" s="1"/>
  <c r="F833" i="21"/>
  <c r="V757" i="31" s="1"/>
  <c r="F831" i="21"/>
  <c r="V755" i="31" s="1"/>
  <c r="F829" i="21"/>
  <c r="V753" i="31" s="1"/>
  <c r="F827" i="21"/>
  <c r="F825" i="21"/>
  <c r="V750" i="31" s="1"/>
  <c r="F823" i="21"/>
  <c r="V748" i="31" s="1"/>
  <c r="F821" i="21"/>
  <c r="V746" i="31" s="1"/>
  <c r="F819" i="21"/>
  <c r="V744" i="31" s="1"/>
  <c r="F817" i="21"/>
  <c r="V742" i="31" s="1"/>
  <c r="F815" i="21"/>
  <c r="V741" i="31" s="1"/>
  <c r="F813" i="21"/>
  <c r="V739" i="31" s="1"/>
  <c r="F811" i="21"/>
  <c r="V737" i="31" s="1"/>
  <c r="F809" i="21"/>
  <c r="V735" i="31" s="1"/>
  <c r="F807" i="21"/>
  <c r="V733" i="31" s="1"/>
  <c r="F805" i="21"/>
  <c r="F803" i="21"/>
  <c r="V730" i="31" s="1"/>
  <c r="F801" i="21"/>
  <c r="V728" i="31" s="1"/>
  <c r="F799" i="21"/>
  <c r="V726" i="31" s="1"/>
  <c r="F797" i="21"/>
  <c r="V724" i="31" s="1"/>
  <c r="F795" i="21"/>
  <c r="V722" i="31" s="1"/>
  <c r="F793" i="21"/>
  <c r="V721" i="31" s="1"/>
  <c r="F791" i="21"/>
  <c r="V719" i="31" s="1"/>
  <c r="F789" i="21"/>
  <c r="V717" i="31" s="1"/>
  <c r="F787" i="21"/>
  <c r="V715" i="31" s="1"/>
  <c r="F785" i="21"/>
  <c r="V713" i="31" s="1"/>
  <c r="F783" i="21"/>
  <c r="F781" i="21"/>
  <c r="V710" i="31" s="1"/>
  <c r="F779" i="21"/>
  <c r="V708" i="31" s="1"/>
  <c r="F777" i="21"/>
  <c r="V706" i="31" s="1"/>
  <c r="F775" i="21"/>
  <c r="V704" i="31" s="1"/>
  <c r="F773" i="21"/>
  <c r="V702" i="31" s="1"/>
  <c r="F771" i="21"/>
  <c r="V701" i="31" s="1"/>
  <c r="F769" i="21"/>
  <c r="V699" i="31" s="1"/>
  <c r="F767" i="21"/>
  <c r="V697" i="31" s="1"/>
  <c r="F765" i="21"/>
  <c r="V695" i="31" s="1"/>
  <c r="F763" i="21"/>
  <c r="V693" i="31" s="1"/>
  <c r="F761" i="21"/>
  <c r="F759" i="21"/>
  <c r="V690" i="31" s="1"/>
  <c r="F757" i="21"/>
  <c r="V688" i="31" s="1"/>
  <c r="F755" i="21"/>
  <c r="V686" i="31" s="1"/>
  <c r="F753" i="21"/>
  <c r="V684" i="31" s="1"/>
  <c r="F751" i="21"/>
  <c r="V682" i="31" s="1"/>
  <c r="F749" i="21"/>
  <c r="V681" i="31" s="1"/>
  <c r="F747" i="21"/>
  <c r="V679" i="31" s="1"/>
  <c r="F745" i="21"/>
  <c r="V677" i="31" s="1"/>
  <c r="F743" i="21"/>
  <c r="V675" i="31" s="1"/>
  <c r="F741" i="21"/>
  <c r="V673" i="31" s="1"/>
  <c r="F739" i="21"/>
  <c r="F737" i="21"/>
  <c r="V670" i="31" s="1"/>
  <c r="F735" i="21"/>
  <c r="V668" i="31" s="1"/>
  <c r="F733" i="21"/>
  <c r="V666" i="31" s="1"/>
  <c r="F731" i="21"/>
  <c r="V664" i="31" s="1"/>
  <c r="F729" i="21"/>
  <c r="V662" i="31" s="1"/>
  <c r="F727" i="21"/>
  <c r="V661" i="31" s="1"/>
  <c r="F725" i="21"/>
  <c r="V659" i="31" s="1"/>
  <c r="F723" i="21"/>
  <c r="V657" i="31" s="1"/>
  <c r="F721" i="21"/>
  <c r="V655" i="31" s="1"/>
  <c r="F719" i="21"/>
  <c r="V653" i="31" s="1"/>
  <c r="F717" i="21"/>
  <c r="F715" i="21"/>
  <c r="V650" i="31" s="1"/>
  <c r="F713" i="21"/>
  <c r="V648" i="31" s="1"/>
  <c r="F711" i="21"/>
  <c r="V646" i="31" s="1"/>
  <c r="F709" i="21"/>
  <c r="V644" i="31" s="1"/>
  <c r="F707" i="21"/>
  <c r="V642" i="31" s="1"/>
  <c r="F705" i="21"/>
  <c r="V641" i="31" s="1"/>
  <c r="F703" i="21"/>
  <c r="V639" i="31" s="1"/>
  <c r="F701" i="21"/>
  <c r="V637" i="31" s="1"/>
  <c r="F699" i="21"/>
  <c r="V635" i="31" s="1"/>
  <c r="F697" i="21"/>
  <c r="V633" i="31" s="1"/>
  <c r="F695" i="21"/>
  <c r="F693" i="21"/>
  <c r="V630" i="31" s="1"/>
  <c r="F691" i="21"/>
  <c r="V628" i="31" s="1"/>
  <c r="F689" i="21"/>
  <c r="V626" i="31" s="1"/>
  <c r="F687" i="21"/>
  <c r="V624" i="31" s="1"/>
  <c r="F685" i="21"/>
  <c r="V622" i="31" s="1"/>
  <c r="F683" i="21"/>
  <c r="V621" i="31" s="1"/>
  <c r="F681" i="21"/>
  <c r="V619" i="31" s="1"/>
  <c r="F679" i="21"/>
  <c r="V617" i="31" s="1"/>
  <c r="F677" i="21"/>
  <c r="V615" i="31" s="1"/>
  <c r="F675" i="21"/>
  <c r="V613" i="31" s="1"/>
  <c r="F673" i="21"/>
  <c r="F671" i="21"/>
  <c r="V610" i="31" s="1"/>
  <c r="F669" i="21"/>
  <c r="V608" i="31" s="1"/>
  <c r="F667" i="21"/>
  <c r="V606" i="31" s="1"/>
  <c r="F665" i="21"/>
  <c r="V604" i="31" s="1"/>
  <c r="F663" i="21"/>
  <c r="V602" i="31" s="1"/>
  <c r="F661" i="21"/>
  <c r="V601" i="31" s="1"/>
  <c r="F659" i="21"/>
  <c r="V599" i="31" s="1"/>
  <c r="F657" i="21"/>
  <c r="V597" i="31" s="1"/>
  <c r="F655" i="21"/>
  <c r="V595" i="31" s="1"/>
  <c r="F653" i="21"/>
  <c r="V593" i="31" s="1"/>
  <c r="F651" i="21"/>
  <c r="F649" i="21"/>
  <c r="V590" i="31" s="1"/>
  <c r="F647" i="21"/>
  <c r="V588" i="31" s="1"/>
  <c r="F645" i="21"/>
  <c r="V586" i="31" s="1"/>
  <c r="F643" i="21"/>
  <c r="V584" i="31" s="1"/>
  <c r="F641" i="21"/>
  <c r="V582" i="31" s="1"/>
  <c r="F639" i="21"/>
  <c r="V581" i="31" s="1"/>
  <c r="F637" i="21"/>
  <c r="V579" i="31" s="1"/>
  <c r="F635" i="21"/>
  <c r="V577" i="31" s="1"/>
  <c r="F633" i="21"/>
  <c r="V575" i="31" s="1"/>
  <c r="F631" i="21"/>
  <c r="V573" i="31" s="1"/>
  <c r="F629" i="21"/>
  <c r="F627" i="21"/>
  <c r="V570" i="31" s="1"/>
  <c r="F625" i="21"/>
  <c r="V568" i="31" s="1"/>
  <c r="F623" i="21"/>
  <c r="V566" i="31" s="1"/>
  <c r="F621" i="21"/>
  <c r="V564" i="31" s="1"/>
  <c r="F619" i="21"/>
  <c r="V562" i="31" s="1"/>
  <c r="F617" i="21"/>
  <c r="V561" i="31" s="1"/>
  <c r="F615" i="21"/>
  <c r="V559" i="31" s="1"/>
  <c r="F613" i="21"/>
  <c r="V557" i="31" s="1"/>
  <c r="F611" i="21"/>
  <c r="V555" i="31" s="1"/>
  <c r="F609" i="21"/>
  <c r="V553" i="31" s="1"/>
  <c r="F607" i="21"/>
  <c r="F605" i="21"/>
  <c r="V550" i="31" s="1"/>
  <c r="F603" i="21"/>
  <c r="V548" i="31" s="1"/>
  <c r="F601" i="21"/>
  <c r="V546" i="31" s="1"/>
  <c r="F599" i="21"/>
  <c r="V544" i="31" s="1"/>
  <c r="F597" i="21"/>
  <c r="V542" i="31" s="1"/>
  <c r="F595" i="21"/>
  <c r="V541" i="31" s="1"/>
  <c r="F593" i="21"/>
  <c r="V539" i="31" s="1"/>
  <c r="F591" i="21"/>
  <c r="V537" i="31" s="1"/>
  <c r="F589" i="21"/>
  <c r="V535" i="31" s="1"/>
  <c r="F587" i="21"/>
  <c r="V533" i="31" s="1"/>
  <c r="F585" i="21"/>
  <c r="F583" i="21"/>
  <c r="V530" i="31" s="1"/>
  <c r="F581" i="21"/>
  <c r="V528" i="31" s="1"/>
  <c r="F579" i="21"/>
  <c r="V526" i="31" s="1"/>
  <c r="F577" i="21"/>
  <c r="V524" i="31" s="1"/>
  <c r="F575" i="21"/>
  <c r="V522" i="31" s="1"/>
  <c r="F573" i="21"/>
  <c r="V521" i="31" s="1"/>
  <c r="F571" i="21"/>
  <c r="V519" i="31" s="1"/>
  <c r="F569" i="21"/>
  <c r="V517" i="31" s="1"/>
  <c r="F567" i="21"/>
  <c r="V515" i="31" s="1"/>
  <c r="F565" i="21"/>
  <c r="V513" i="31" s="1"/>
  <c r="F563" i="21"/>
  <c r="F561" i="21"/>
  <c r="V510" i="31" s="1"/>
  <c r="F559" i="21"/>
  <c r="V508" i="31" s="1"/>
  <c r="F557" i="21"/>
  <c r="V506" i="31" s="1"/>
  <c r="F555" i="21"/>
  <c r="V504" i="31" s="1"/>
  <c r="F553" i="21"/>
  <c r="V502" i="31" s="1"/>
  <c r="F551" i="21"/>
  <c r="V501" i="31" s="1"/>
  <c r="F549" i="21"/>
  <c r="V499" i="31" s="1"/>
  <c r="F547" i="21"/>
  <c r="V497" i="31" s="1"/>
  <c r="F545" i="21"/>
  <c r="V495" i="31" s="1"/>
  <c r="F543" i="21"/>
  <c r="V493" i="31" s="1"/>
  <c r="F541" i="21"/>
  <c r="F539" i="21"/>
  <c r="V490" i="31" s="1"/>
  <c r="F537" i="21"/>
  <c r="V488" i="31" s="1"/>
  <c r="F535" i="21"/>
  <c r="V486" i="31" s="1"/>
  <c r="F533" i="21"/>
  <c r="V484" i="31" s="1"/>
  <c r="F531" i="21"/>
  <c r="V482" i="31" s="1"/>
  <c r="F529" i="21"/>
  <c r="V481" i="31" s="1"/>
  <c r="F527" i="21"/>
  <c r="V479" i="31" s="1"/>
  <c r="F525" i="21"/>
  <c r="V477" i="31" s="1"/>
  <c r="F523" i="21"/>
  <c r="V475" i="31" s="1"/>
  <c r="F521" i="21"/>
  <c r="V473" i="31" s="1"/>
  <c r="F519" i="21"/>
  <c r="F517" i="21"/>
  <c r="V470" i="31" s="1"/>
  <c r="F515" i="21"/>
  <c r="V468" i="31" s="1"/>
  <c r="F513" i="21"/>
  <c r="V466" i="31" s="1"/>
  <c r="F511" i="21"/>
  <c r="V464" i="31" s="1"/>
  <c r="F509" i="21"/>
  <c r="V462" i="31" s="1"/>
  <c r="F507" i="21"/>
  <c r="V461" i="31" s="1"/>
  <c r="F505" i="21"/>
  <c r="V459" i="31" s="1"/>
  <c r="F503" i="21"/>
  <c r="V457" i="31" s="1"/>
  <c r="F501" i="21"/>
  <c r="V455" i="31" s="1"/>
  <c r="F499" i="21"/>
  <c r="V453" i="31" s="1"/>
  <c r="F497" i="21"/>
  <c r="F495" i="21"/>
  <c r="V450" i="31" s="1"/>
  <c r="F493" i="21"/>
  <c r="V448" i="31" s="1"/>
  <c r="F491" i="21"/>
  <c r="V446" i="31" s="1"/>
  <c r="F489" i="21"/>
  <c r="V444" i="31" s="1"/>
  <c r="F487" i="21"/>
  <c r="V442" i="31" s="1"/>
  <c r="F485" i="21"/>
  <c r="V441" i="31" s="1"/>
  <c r="F483" i="21"/>
  <c r="V439" i="31" s="1"/>
  <c r="F481" i="21"/>
  <c r="V437" i="31" s="1"/>
  <c r="F479" i="21"/>
  <c r="V435" i="31" s="1"/>
  <c r="F477" i="21"/>
  <c r="V433" i="31" s="1"/>
  <c r="F475" i="21"/>
  <c r="F473" i="21"/>
  <c r="V430" i="31" s="1"/>
  <c r="F471" i="21"/>
  <c r="V428" i="31" s="1"/>
  <c r="F469" i="21"/>
  <c r="V426" i="31" s="1"/>
  <c r="F467" i="21"/>
  <c r="V424" i="31" s="1"/>
  <c r="F465" i="21"/>
  <c r="V422" i="31" s="1"/>
  <c r="F463" i="21"/>
  <c r="V421" i="31" s="1"/>
  <c r="F461" i="21"/>
  <c r="V419" i="31" s="1"/>
  <c r="F459" i="21"/>
  <c r="V417" i="31" s="1"/>
  <c r="F457" i="21"/>
  <c r="V415" i="31" s="1"/>
  <c r="F455" i="21"/>
  <c r="V413" i="31" s="1"/>
  <c r="F453" i="21"/>
  <c r="F451" i="21"/>
  <c r="V410" i="31" s="1"/>
  <c r="F449" i="21"/>
  <c r="V408" i="31" s="1"/>
  <c r="F447" i="21"/>
  <c r="V406" i="31" s="1"/>
  <c r="F445" i="21"/>
  <c r="V404" i="31" s="1"/>
  <c r="F443" i="21"/>
  <c r="V402" i="31" s="1"/>
  <c r="F441" i="21"/>
  <c r="V401" i="31" s="1"/>
  <c r="F439" i="21"/>
  <c r="V399" i="31" s="1"/>
  <c r="F437" i="21"/>
  <c r="V397" i="31" s="1"/>
  <c r="F435" i="21"/>
  <c r="V395" i="31" s="1"/>
  <c r="F433" i="21"/>
  <c r="V393" i="31" s="1"/>
  <c r="F431" i="21"/>
  <c r="F429" i="21"/>
  <c r="V390" i="31" s="1"/>
  <c r="F427" i="21"/>
  <c r="V388" i="31" s="1"/>
  <c r="F425" i="21"/>
  <c r="V386" i="31" s="1"/>
  <c r="F423" i="21"/>
  <c r="V384" i="31" s="1"/>
  <c r="F421" i="21"/>
  <c r="V382" i="31" s="1"/>
  <c r="F419" i="21"/>
  <c r="V381" i="31" s="1"/>
  <c r="F417" i="21"/>
  <c r="V379" i="31" s="1"/>
  <c r="F415" i="21"/>
  <c r="V377" i="31" s="1"/>
  <c r="F413" i="21"/>
  <c r="V375" i="31" s="1"/>
  <c r="F411" i="21"/>
  <c r="V373" i="31" s="1"/>
  <c r="F409" i="21"/>
  <c r="F407" i="21"/>
  <c r="V370" i="31" s="1"/>
  <c r="F405" i="21"/>
  <c r="V368" i="31" s="1"/>
  <c r="F403" i="21"/>
  <c r="V366" i="31" s="1"/>
  <c r="F401" i="21"/>
  <c r="V364" i="31" s="1"/>
  <c r="F399" i="21"/>
  <c r="V362" i="31" s="1"/>
  <c r="F397" i="21"/>
  <c r="V361" i="31" s="1"/>
  <c r="F395" i="21"/>
  <c r="V359" i="31" s="1"/>
  <c r="F393" i="21"/>
  <c r="V357" i="31" s="1"/>
  <c r="F391" i="21"/>
  <c r="V355" i="31" s="1"/>
  <c r="F389" i="21"/>
  <c r="V353" i="31" s="1"/>
  <c r="F387" i="21"/>
  <c r="F385" i="21"/>
  <c r="V350" i="31" s="1"/>
  <c r="F383" i="21"/>
  <c r="V348" i="31" s="1"/>
  <c r="F381" i="21"/>
  <c r="V346" i="31" s="1"/>
  <c r="F379" i="21"/>
  <c r="V344" i="31" s="1"/>
  <c r="F377" i="21"/>
  <c r="V342" i="31" s="1"/>
  <c r="F375" i="21"/>
  <c r="V341" i="31" s="1"/>
  <c r="F373" i="21"/>
  <c r="V339" i="31" s="1"/>
  <c r="F371" i="21"/>
  <c r="V337" i="31" s="1"/>
  <c r="F369" i="21"/>
  <c r="V335" i="31" s="1"/>
  <c r="F367" i="21"/>
  <c r="V333" i="31" s="1"/>
  <c r="F365" i="21"/>
  <c r="F363" i="21"/>
  <c r="V330" i="31" s="1"/>
  <c r="F361" i="21"/>
  <c r="V328" i="31" s="1"/>
  <c r="F359" i="21"/>
  <c r="V326" i="31" s="1"/>
  <c r="F357" i="21"/>
  <c r="V324" i="31" s="1"/>
  <c r="F355" i="21"/>
  <c r="V322" i="31" s="1"/>
  <c r="F353" i="21"/>
  <c r="V321" i="31" s="1"/>
  <c r="F351" i="21"/>
  <c r="V319" i="31" s="1"/>
  <c r="F349" i="21"/>
  <c r="V317" i="31" s="1"/>
  <c r="F347" i="21"/>
  <c r="V315" i="31" s="1"/>
  <c r="F345" i="21"/>
  <c r="V313" i="31" s="1"/>
  <c r="F343" i="21"/>
  <c r="F341" i="21"/>
  <c r="V310" i="31" s="1"/>
  <c r="F339" i="21"/>
  <c r="V308" i="31" s="1"/>
  <c r="F337" i="21"/>
  <c r="V306" i="31" s="1"/>
  <c r="F335" i="21"/>
  <c r="V304" i="31" s="1"/>
  <c r="F333" i="21"/>
  <c r="V302" i="31" s="1"/>
  <c r="F331" i="21"/>
  <c r="V301" i="31" s="1"/>
  <c r="F329" i="21"/>
  <c r="V299" i="31" s="1"/>
  <c r="F327" i="21"/>
  <c r="V297" i="31" s="1"/>
  <c r="F325" i="21"/>
  <c r="V295" i="31" s="1"/>
  <c r="F323" i="21"/>
  <c r="V293" i="31" s="1"/>
  <c r="F321" i="21"/>
  <c r="F319" i="21"/>
  <c r="V290" i="31" s="1"/>
  <c r="F317" i="21"/>
  <c r="V288" i="31" s="1"/>
  <c r="F315" i="21"/>
  <c r="V286" i="31" s="1"/>
  <c r="F313" i="21"/>
  <c r="V284" i="31" s="1"/>
  <c r="F311" i="21"/>
  <c r="V282" i="31" s="1"/>
  <c r="F309" i="21"/>
  <c r="V281" i="31" s="1"/>
  <c r="F307" i="21"/>
  <c r="V279" i="31" s="1"/>
  <c r="F305" i="21"/>
  <c r="V277" i="31" s="1"/>
  <c r="F303" i="21"/>
  <c r="V275" i="31" s="1"/>
  <c r="F301" i="21"/>
  <c r="V273" i="31" s="1"/>
  <c r="F299" i="21"/>
  <c r="F297" i="21"/>
  <c r="V270" i="31" s="1"/>
  <c r="F295" i="21"/>
  <c r="V268" i="31" s="1"/>
  <c r="F293" i="21"/>
  <c r="V266" i="31" s="1"/>
  <c r="F291" i="21"/>
  <c r="V264" i="31" s="1"/>
  <c r="F289" i="21"/>
  <c r="V262" i="31" s="1"/>
  <c r="F287" i="21"/>
  <c r="V261" i="31" s="1"/>
  <c r="F285" i="21"/>
  <c r="V259" i="31" s="1"/>
  <c r="F283" i="21"/>
  <c r="V257" i="31" s="1"/>
  <c r="F281" i="21"/>
  <c r="V255" i="31" s="1"/>
  <c r="F279" i="21"/>
  <c r="V253" i="31" s="1"/>
  <c r="F277" i="21"/>
  <c r="F275" i="21"/>
  <c r="V250" i="31" s="1"/>
  <c r="F273" i="21"/>
  <c r="V248" i="31" s="1"/>
  <c r="F271" i="21"/>
  <c r="V246" i="31" s="1"/>
  <c r="F269" i="21"/>
  <c r="V244" i="31" s="1"/>
  <c r="F267" i="21"/>
  <c r="V242" i="31" s="1"/>
  <c r="F265" i="21"/>
  <c r="V241" i="31" s="1"/>
  <c r="F263" i="21"/>
  <c r="V239" i="31" s="1"/>
  <c r="F261" i="21"/>
  <c r="V237" i="31" s="1"/>
  <c r="F259" i="21"/>
  <c r="V235" i="31" s="1"/>
  <c r="F257" i="21"/>
  <c r="V233" i="31" s="1"/>
  <c r="F255" i="21"/>
  <c r="F253" i="21"/>
  <c r="V230" i="31" s="1"/>
  <c r="F251" i="21"/>
  <c r="V228" i="31" s="1"/>
  <c r="F249" i="21"/>
  <c r="V226" i="31" s="1"/>
  <c r="F247" i="21"/>
  <c r="V224" i="31" s="1"/>
  <c r="F245" i="21"/>
  <c r="V222" i="31" s="1"/>
  <c r="F243" i="21"/>
  <c r="V221" i="31" s="1"/>
  <c r="F241" i="21"/>
  <c r="V219" i="31" s="1"/>
  <c r="F239" i="21"/>
  <c r="V217" i="31" s="1"/>
  <c r="F237" i="21"/>
  <c r="V215" i="31" s="1"/>
  <c r="F235" i="21"/>
  <c r="V213" i="31" s="1"/>
  <c r="F233" i="21"/>
  <c r="F231" i="21"/>
  <c r="V210" i="31" s="1"/>
  <c r="F229" i="21"/>
  <c r="V208" i="31" s="1"/>
  <c r="F227" i="21"/>
  <c r="V206" i="31" s="1"/>
  <c r="F225" i="21"/>
  <c r="V204" i="31" s="1"/>
  <c r="F223" i="21"/>
  <c r="V202" i="31" s="1"/>
  <c r="F221" i="21"/>
  <c r="V201" i="31" s="1"/>
  <c r="F219" i="21"/>
  <c r="V199" i="31" s="1"/>
  <c r="F217" i="21"/>
  <c r="V197" i="31" s="1"/>
  <c r="F215" i="21"/>
  <c r="V195" i="31" s="1"/>
  <c r="F213" i="21"/>
  <c r="V193" i="31" s="1"/>
  <c r="F211" i="21"/>
  <c r="F209" i="21"/>
  <c r="V190" i="31" s="1"/>
  <c r="F207" i="21"/>
  <c r="V188" i="31" s="1"/>
  <c r="F205" i="21"/>
  <c r="V186" i="31" s="1"/>
  <c r="F203" i="21"/>
  <c r="V184" i="31" s="1"/>
  <c r="F201" i="21"/>
  <c r="V182" i="31" s="1"/>
  <c r="F199" i="21"/>
  <c r="V181" i="31" s="1"/>
  <c r="F197" i="21"/>
  <c r="V179" i="31" s="1"/>
  <c r="F195" i="21"/>
  <c r="V177" i="31" s="1"/>
  <c r="F193" i="21"/>
  <c r="V175" i="31" s="1"/>
  <c r="F191" i="21"/>
  <c r="V173" i="31" s="1"/>
  <c r="F189" i="21"/>
  <c r="F187" i="21"/>
  <c r="V170" i="31" s="1"/>
  <c r="F185" i="21"/>
  <c r="V168" i="31" s="1"/>
  <c r="F183" i="21"/>
  <c r="V166" i="31" s="1"/>
  <c r="F181" i="21"/>
  <c r="V164" i="31" s="1"/>
  <c r="F179" i="21"/>
  <c r="V162" i="31" s="1"/>
  <c r="F177" i="21"/>
  <c r="V161" i="31" s="1"/>
  <c r="F175" i="21"/>
  <c r="V159" i="31" s="1"/>
  <c r="F173" i="21"/>
  <c r="V157" i="31" s="1"/>
  <c r="F171" i="21"/>
  <c r="V155" i="31" s="1"/>
  <c r="F169" i="21"/>
  <c r="V153" i="31" s="1"/>
  <c r="F167" i="21"/>
  <c r="F165" i="21"/>
  <c r="V150" i="31" s="1"/>
  <c r="F163" i="21"/>
  <c r="V148" i="31" s="1"/>
  <c r="F161" i="21"/>
  <c r="V146" i="31" s="1"/>
  <c r="F159" i="21"/>
  <c r="V144" i="31" s="1"/>
  <c r="F157" i="21"/>
  <c r="V142" i="31" s="1"/>
  <c r="F155" i="21"/>
  <c r="V141" i="31" s="1"/>
  <c r="F143" i="21"/>
  <c r="V130" i="31" s="1"/>
  <c r="F137" i="21"/>
  <c r="V124" i="31" s="1"/>
  <c r="F135" i="21"/>
  <c r="V122" i="31" s="1"/>
  <c r="F133" i="21"/>
  <c r="V121" i="31" s="1"/>
  <c r="F131" i="21"/>
  <c r="V119" i="31" s="1"/>
  <c r="F129" i="21"/>
  <c r="V117" i="31" s="1"/>
  <c r="F127" i="21"/>
  <c r="V115" i="31" s="1"/>
  <c r="F125" i="21"/>
  <c r="V113" i="31" s="1"/>
  <c r="F123" i="21"/>
  <c r="F121" i="21"/>
  <c r="V110" i="31" s="1"/>
  <c r="F94" i="21"/>
  <c r="V85" i="31" s="1"/>
  <c r="F57" i="21"/>
  <c r="F55" i="21"/>
  <c r="V50" i="31" s="1"/>
  <c r="F53" i="21"/>
  <c r="V48" i="31" s="1"/>
  <c r="F51" i="21"/>
  <c r="V46" i="31" s="1"/>
  <c r="F49" i="21"/>
  <c r="V44" i="31" s="1"/>
  <c r="F47" i="21"/>
  <c r="V42" i="31" s="1"/>
  <c r="F42" i="21"/>
  <c r="V38" i="31" s="1"/>
  <c r="F40" i="21"/>
  <c r="V36" i="31" s="1"/>
  <c r="F36" i="21"/>
  <c r="V32" i="31" s="1"/>
  <c r="F12" i="21"/>
  <c r="V11" i="31" s="1"/>
  <c r="F10" i="21"/>
  <c r="V9" i="31" s="1"/>
  <c r="F8" i="21"/>
  <c r="V7" i="31" s="1"/>
  <c r="F6" i="21"/>
  <c r="V5" i="31" s="1"/>
  <c r="F928" i="21"/>
  <c r="V843" i="31" s="1"/>
  <c r="F929" i="21"/>
  <c r="V844" i="31" s="1"/>
  <c r="E61" i="11"/>
  <c r="F61" i="14"/>
  <c r="F61" i="11"/>
  <c r="E64" i="11"/>
  <c r="G64" i="11" s="1"/>
  <c r="H58" i="31" s="1"/>
  <c r="F64" i="14"/>
  <c r="F64" i="11"/>
  <c r="F70" i="14"/>
  <c r="F70" i="11"/>
  <c r="E71" i="11"/>
  <c r="F71" i="14"/>
  <c r="F71" i="11"/>
  <c r="F74" i="14"/>
  <c r="F74" i="11"/>
  <c r="E75" i="11"/>
  <c r="F75" i="14"/>
  <c r="F75" i="11"/>
  <c r="F77" i="14"/>
  <c r="F77" i="11"/>
  <c r="F80" i="14"/>
  <c r="F80" i="11"/>
  <c r="E97" i="11"/>
  <c r="F97" i="14"/>
  <c r="F97" i="11"/>
  <c r="E102" i="11"/>
  <c r="G102" i="11" s="1"/>
  <c r="H92" i="31" s="1"/>
  <c r="F102" i="14"/>
  <c r="F102" i="11"/>
  <c r="E104" i="11"/>
  <c r="G104" i="11" s="1"/>
  <c r="H94" i="31" s="1"/>
  <c r="E105" i="11"/>
  <c r="G105" i="11" s="1"/>
  <c r="H95" i="31" s="1"/>
  <c r="E106" i="11"/>
  <c r="F106" i="14"/>
  <c r="F106" i="11"/>
  <c r="F107" i="14"/>
  <c r="F107" i="11"/>
  <c r="E108" i="11"/>
  <c r="F108" i="14"/>
  <c r="F108" i="11"/>
  <c r="E109" i="11"/>
  <c r="G109" i="11" s="1"/>
  <c r="H99" i="31" s="1"/>
  <c r="E110" i="11"/>
  <c r="F110" i="14"/>
  <c r="F110" i="11"/>
  <c r="F111" i="14"/>
  <c r="F111" i="11"/>
  <c r="E25" i="11"/>
  <c r="G25" i="11" s="1"/>
  <c r="H22" i="31" s="1"/>
  <c r="F25" i="14"/>
  <c r="F25" i="11"/>
  <c r="E43" i="11"/>
  <c r="F44" i="14"/>
  <c r="F44" i="11"/>
  <c r="E62" i="11"/>
  <c r="F62" i="14"/>
  <c r="F62" i="11"/>
  <c r="F63" i="14"/>
  <c r="F63" i="11"/>
  <c r="E65" i="11"/>
  <c r="F65" i="14"/>
  <c r="F65" i="11"/>
  <c r="E66" i="11"/>
  <c r="F66" i="14"/>
  <c r="F66" i="11"/>
  <c r="F67" i="14"/>
  <c r="F67" i="11"/>
  <c r="F59" i="14"/>
  <c r="F59" i="11"/>
  <c r="E70" i="11"/>
  <c r="G70" i="11" s="1"/>
  <c r="H63" i="31" s="1"/>
  <c r="E72" i="11"/>
  <c r="F72" i="14"/>
  <c r="F72" i="11"/>
  <c r="F73" i="14"/>
  <c r="F73" i="11"/>
  <c r="E74" i="11"/>
  <c r="G74" i="11" s="1"/>
  <c r="H67" i="31" s="1"/>
  <c r="E76" i="11"/>
  <c r="G76" i="11" s="1"/>
  <c r="H69" i="31" s="1"/>
  <c r="F76" i="14"/>
  <c r="F76" i="11"/>
  <c r="E78" i="11"/>
  <c r="F78" i="14"/>
  <c r="F78" i="11"/>
  <c r="E80" i="11"/>
  <c r="E96" i="11"/>
  <c r="F96" i="14"/>
  <c r="F96" i="11"/>
  <c r="E98" i="11"/>
  <c r="F98" i="14"/>
  <c r="F98" i="11"/>
  <c r="F99" i="14"/>
  <c r="F99" i="11"/>
  <c r="E100" i="11"/>
  <c r="F100" i="14"/>
  <c r="F100" i="11"/>
  <c r="F104" i="14"/>
  <c r="F104" i="11"/>
  <c r="E60" i="11"/>
  <c r="G60" i="11" s="1"/>
  <c r="H54" i="31" s="1"/>
  <c r="F60" i="14"/>
  <c r="F60" i="11"/>
  <c r="F69" i="14"/>
  <c r="F69" i="11"/>
  <c r="F81" i="14"/>
  <c r="F81" i="11"/>
  <c r="E82" i="11"/>
  <c r="F82" i="14"/>
  <c r="F82" i="11"/>
  <c r="E83" i="11"/>
  <c r="F83" i="14"/>
  <c r="F83" i="11"/>
  <c r="E84" i="11"/>
  <c r="G84" i="11" s="1"/>
  <c r="H76" i="31" s="1"/>
  <c r="F84" i="14"/>
  <c r="F84" i="11"/>
  <c r="F85" i="14"/>
  <c r="F85" i="11"/>
  <c r="E86" i="11"/>
  <c r="F86" i="14"/>
  <c r="F86" i="11"/>
  <c r="E87" i="11"/>
  <c r="G87" i="11" s="1"/>
  <c r="H79" i="31" s="1"/>
  <c r="F87" i="14"/>
  <c r="F87" i="11"/>
  <c r="E88" i="11"/>
  <c r="G88" i="11" s="1"/>
  <c r="H80" i="31" s="1"/>
  <c r="F88" i="14"/>
  <c r="F88" i="11"/>
  <c r="F89" i="14"/>
  <c r="F89" i="11"/>
  <c r="F103" i="14"/>
  <c r="F103" i="11"/>
  <c r="E26" i="11"/>
  <c r="F26" i="14"/>
  <c r="F26" i="11"/>
  <c r="E27" i="11"/>
  <c r="F27" i="14"/>
  <c r="F27" i="11"/>
  <c r="E28" i="11"/>
  <c r="G28" i="11" s="1"/>
  <c r="H25" i="31" s="1"/>
  <c r="F28" i="14"/>
  <c r="F28" i="11"/>
  <c r="E29" i="11"/>
  <c r="G29" i="11" s="1"/>
  <c r="H26" i="31" s="1"/>
  <c r="F29" i="14"/>
  <c r="F29" i="11"/>
  <c r="E30" i="11"/>
  <c r="F30" i="14"/>
  <c r="F30" i="11"/>
  <c r="E31" i="11"/>
  <c r="F31" i="14"/>
  <c r="F31" i="11"/>
  <c r="E32" i="11"/>
  <c r="G32" i="11" s="1"/>
  <c r="H29" i="31" s="1"/>
  <c r="F32" i="14"/>
  <c r="F32" i="11"/>
  <c r="E33" i="11"/>
  <c r="G33" i="11" s="1"/>
  <c r="H30" i="31" s="1"/>
  <c r="F33" i="14"/>
  <c r="F33" i="11"/>
  <c r="E34" i="11"/>
  <c r="F34" i="14"/>
  <c r="F34" i="11"/>
  <c r="E44" i="11"/>
  <c r="F43" i="14"/>
  <c r="F43" i="11"/>
  <c r="E45" i="11"/>
  <c r="G45" i="11" s="1"/>
  <c r="H41" i="31" s="1"/>
  <c r="F45" i="14"/>
  <c r="F45" i="11"/>
  <c r="F119" i="14"/>
  <c r="G119" i="14" s="1"/>
  <c r="K108" i="31" s="1"/>
  <c r="F119" i="11"/>
  <c r="F136" i="14"/>
  <c r="G136" i="14" s="1"/>
  <c r="K123" i="31" s="1"/>
  <c r="F136" i="11"/>
  <c r="F138" i="14"/>
  <c r="G138" i="14" s="1"/>
  <c r="K125" i="31" s="1"/>
  <c r="F138" i="11"/>
  <c r="F139" i="14"/>
  <c r="G139" i="14" s="1"/>
  <c r="K126" i="31" s="1"/>
  <c r="F139" i="11"/>
  <c r="F140" i="14"/>
  <c r="G140" i="14" s="1"/>
  <c r="K127" i="31" s="1"/>
  <c r="F140" i="11"/>
  <c r="F142" i="14"/>
  <c r="G142" i="14" s="1"/>
  <c r="K129" i="31" s="1"/>
  <c r="F142" i="11"/>
  <c r="F144" i="14"/>
  <c r="G144" i="14" s="1"/>
  <c r="K131" i="31" s="1"/>
  <c r="F144" i="11"/>
  <c r="F160" i="14"/>
  <c r="G160" i="14" s="1"/>
  <c r="K145" i="31" s="1"/>
  <c r="F160" i="11"/>
  <c r="F161" i="14"/>
  <c r="G161" i="14" s="1"/>
  <c r="K146" i="31" s="1"/>
  <c r="F161" i="11"/>
  <c r="F162" i="14"/>
  <c r="F162" i="11"/>
  <c r="F164" i="14"/>
  <c r="G164" i="14" s="1"/>
  <c r="K149" i="31" s="1"/>
  <c r="F164" i="11"/>
  <c r="F165" i="14"/>
  <c r="G165" i="14" s="1"/>
  <c r="K150" i="31" s="1"/>
  <c r="F165" i="11"/>
  <c r="F166" i="14"/>
  <c r="G166" i="14" s="1"/>
  <c r="K151" i="31" s="1"/>
  <c r="F166" i="11"/>
  <c r="F95" i="14"/>
  <c r="G95" i="14" s="1"/>
  <c r="K86" i="31" s="1"/>
  <c r="F95" i="11"/>
  <c r="F93" i="14"/>
  <c r="G93" i="14" s="1"/>
  <c r="K84" i="31" s="1"/>
  <c r="F93" i="11"/>
  <c r="F130" i="14"/>
  <c r="G130" i="14" s="1"/>
  <c r="K118" i="31" s="1"/>
  <c r="F130" i="11"/>
  <c r="F214" i="14"/>
  <c r="F214" i="11"/>
  <c r="F216" i="14"/>
  <c r="G216" i="14" s="1"/>
  <c r="K196" i="31" s="1"/>
  <c r="F216" i="11"/>
  <c r="F218" i="14"/>
  <c r="G218" i="14" s="1"/>
  <c r="K198" i="31" s="1"/>
  <c r="F218" i="11"/>
  <c r="F220" i="14"/>
  <c r="G220" i="14" s="1"/>
  <c r="K200" i="31" s="1"/>
  <c r="F220" i="11"/>
  <c r="F208" i="14"/>
  <c r="F208" i="11"/>
  <c r="F192" i="14"/>
  <c r="G192" i="14" s="1"/>
  <c r="K174" i="31" s="1"/>
  <c r="F192" i="11"/>
  <c r="F194" i="14"/>
  <c r="G194" i="14" s="1"/>
  <c r="K176" i="31" s="1"/>
  <c r="F194" i="11"/>
  <c r="F196" i="14"/>
  <c r="G196" i="14" s="1"/>
  <c r="K178" i="31" s="1"/>
  <c r="F196" i="11"/>
  <c r="F198" i="14"/>
  <c r="G198" i="14" s="1"/>
  <c r="K180" i="31" s="1"/>
  <c r="F198" i="11"/>
  <c r="F186" i="14"/>
  <c r="G186" i="14" s="1"/>
  <c r="K169" i="31" s="1"/>
  <c r="F186" i="11"/>
  <c r="F188" i="14"/>
  <c r="G188" i="14" s="1"/>
  <c r="K171" i="31" s="1"/>
  <c r="F188" i="11"/>
  <c r="F286" i="14"/>
  <c r="F286" i="11"/>
  <c r="F292" i="14"/>
  <c r="G292" i="14" s="1"/>
  <c r="K265" i="31" s="1"/>
  <c r="F292" i="11"/>
  <c r="F294" i="14"/>
  <c r="G294" i="14" s="1"/>
  <c r="K267" i="31" s="1"/>
  <c r="F294" i="11"/>
  <c r="F338" i="14"/>
  <c r="G338" i="14" s="1"/>
  <c r="K307" i="31" s="1"/>
  <c r="F338" i="11"/>
  <c r="F355" i="13"/>
  <c r="G355" i="13" s="1"/>
  <c r="J322" i="31" s="1"/>
  <c r="F358" i="14"/>
  <c r="G358" i="14" s="1"/>
  <c r="K325" i="31" s="1"/>
  <c r="F358" i="11"/>
  <c r="F360" i="14"/>
  <c r="G360" i="14" s="1"/>
  <c r="K327" i="31" s="1"/>
  <c r="F360" i="11"/>
  <c r="F362" i="14"/>
  <c r="G362" i="14" s="1"/>
  <c r="K329" i="31" s="1"/>
  <c r="F362" i="11"/>
  <c r="F364" i="14"/>
  <c r="G364" i="14" s="1"/>
  <c r="K331" i="31" s="1"/>
  <c r="F364" i="11"/>
  <c r="F382" i="14"/>
  <c r="G382" i="14" s="1"/>
  <c r="K347" i="31" s="1"/>
  <c r="F382" i="11"/>
  <c r="F384" i="14"/>
  <c r="G384" i="14" s="1"/>
  <c r="K349" i="31" s="1"/>
  <c r="F384" i="11"/>
  <c r="F386" i="14"/>
  <c r="G386" i="14" s="1"/>
  <c r="K351" i="31" s="1"/>
  <c r="F386" i="11"/>
  <c r="F404" i="14"/>
  <c r="G404" i="14" s="1"/>
  <c r="K367" i="31" s="1"/>
  <c r="F404" i="11"/>
  <c r="F406" i="14"/>
  <c r="G406" i="14" s="1"/>
  <c r="K369" i="31" s="1"/>
  <c r="F406" i="11"/>
  <c r="F408" i="14"/>
  <c r="G408" i="14" s="1"/>
  <c r="K371" i="31" s="1"/>
  <c r="F408" i="11"/>
  <c r="F412" i="14"/>
  <c r="G412" i="14" s="1"/>
  <c r="K374" i="31" s="1"/>
  <c r="F412" i="11"/>
  <c r="F414" i="14"/>
  <c r="G414" i="14" s="1"/>
  <c r="K376" i="31" s="1"/>
  <c r="F414" i="11"/>
  <c r="F416" i="14"/>
  <c r="G416" i="14" s="1"/>
  <c r="K378" i="31" s="1"/>
  <c r="F416" i="11"/>
  <c r="F418" i="14"/>
  <c r="G418" i="14" s="1"/>
  <c r="K380" i="31" s="1"/>
  <c r="F418" i="11"/>
  <c r="F424" i="14"/>
  <c r="G424" i="14" s="1"/>
  <c r="K385" i="31" s="1"/>
  <c r="F435" i="11"/>
  <c r="F426" i="14"/>
  <c r="G426" i="14" s="1"/>
  <c r="K387" i="31" s="1"/>
  <c r="F437" i="11"/>
  <c r="F428" i="14"/>
  <c r="G428" i="14" s="1"/>
  <c r="K389" i="31" s="1"/>
  <c r="F439" i="11"/>
  <c r="F430" i="14"/>
  <c r="G430" i="14" s="1"/>
  <c r="K391" i="31" s="1"/>
  <c r="F441" i="11"/>
  <c r="F446" i="14"/>
  <c r="G446" i="14" s="1"/>
  <c r="K405" i="31" s="1"/>
  <c r="F446" i="11"/>
  <c r="F448" i="14"/>
  <c r="G448" i="14" s="1"/>
  <c r="K407" i="31" s="1"/>
  <c r="F448" i="11"/>
  <c r="F450" i="14"/>
  <c r="G450" i="14" s="1"/>
  <c r="K409" i="31" s="1"/>
  <c r="F450" i="11"/>
  <c r="F452" i="14"/>
  <c r="G452" i="14" s="1"/>
  <c r="K411" i="31" s="1"/>
  <c r="F452" i="11"/>
  <c r="F454" i="14"/>
  <c r="G454" i="14" s="1"/>
  <c r="K412" i="31" s="1"/>
  <c r="F454" i="11"/>
  <c r="F466" i="14"/>
  <c r="G466" i="14" s="1"/>
  <c r="K423" i="31" s="1"/>
  <c r="F466" i="11"/>
  <c r="F468" i="14"/>
  <c r="G468" i="14" s="1"/>
  <c r="K425" i="31" s="1"/>
  <c r="F468" i="11"/>
  <c r="F470" i="14"/>
  <c r="G470" i="14" s="1"/>
  <c r="K427" i="31" s="1"/>
  <c r="F470" i="11"/>
  <c r="F472" i="14"/>
  <c r="G472" i="14" s="1"/>
  <c r="K429" i="31" s="1"/>
  <c r="F472" i="11"/>
  <c r="F474" i="14"/>
  <c r="G474" i="14" s="1"/>
  <c r="K431" i="31" s="1"/>
  <c r="F474" i="11"/>
  <c r="F476" i="14"/>
  <c r="G476" i="14" s="1"/>
  <c r="K432" i="31" s="1"/>
  <c r="F491" i="11"/>
  <c r="F494" i="14"/>
  <c r="G494" i="14" s="1"/>
  <c r="K449" i="31" s="1"/>
  <c r="F494" i="11"/>
  <c r="E120" i="12"/>
  <c r="G120" i="12" s="1"/>
  <c r="I109" i="31" s="1"/>
  <c r="E120" i="13"/>
  <c r="G120" i="13" s="1"/>
  <c r="J109" i="31" s="1"/>
  <c r="E121" i="12"/>
  <c r="G121" i="12" s="1"/>
  <c r="I110" i="31" s="1"/>
  <c r="E121" i="14"/>
  <c r="G121" i="14" s="1"/>
  <c r="K110" i="31" s="1"/>
  <c r="E143" i="12"/>
  <c r="G143" i="12" s="1"/>
  <c r="I130" i="31" s="1"/>
  <c r="E143" i="14"/>
  <c r="G143" i="14" s="1"/>
  <c r="K130" i="31" s="1"/>
  <c r="E162" i="12"/>
  <c r="G162" i="12" s="1"/>
  <c r="I147" i="31" s="1"/>
  <c r="E162" i="13"/>
  <c r="G162" i="13" s="1"/>
  <c r="J147" i="31" s="1"/>
  <c r="E128" i="12"/>
  <c r="G128" i="12" s="1"/>
  <c r="I116" i="31" s="1"/>
  <c r="E128" i="13"/>
  <c r="G128" i="13" s="1"/>
  <c r="J116" i="31" s="1"/>
  <c r="E129" i="12"/>
  <c r="G129" i="12" s="1"/>
  <c r="I117" i="31" s="1"/>
  <c r="E129" i="14"/>
  <c r="E214" i="13"/>
  <c r="G214" i="13" s="1"/>
  <c r="J194" i="31" s="1"/>
  <c r="E214" i="14"/>
  <c r="G214" i="14" s="1"/>
  <c r="K194" i="31" s="1"/>
  <c r="E202" i="13"/>
  <c r="G202" i="13" s="1"/>
  <c r="J183" i="31" s="1"/>
  <c r="E202" i="14"/>
  <c r="G202" i="14" s="1"/>
  <c r="K183" i="31" s="1"/>
  <c r="E204" i="12"/>
  <c r="G204" i="12" s="1"/>
  <c r="I185" i="31" s="1"/>
  <c r="E204" i="13"/>
  <c r="G204" i="13" s="1"/>
  <c r="J185" i="31" s="1"/>
  <c r="E204" i="14"/>
  <c r="G204" i="14" s="1"/>
  <c r="K185" i="31" s="1"/>
  <c r="E206" i="12"/>
  <c r="G206" i="12" s="1"/>
  <c r="I187" i="31" s="1"/>
  <c r="E206" i="13"/>
  <c r="G206" i="13" s="1"/>
  <c r="J187" i="31" s="1"/>
  <c r="E206" i="14"/>
  <c r="G206" i="14" s="1"/>
  <c r="K187" i="31" s="1"/>
  <c r="E208" i="12"/>
  <c r="G208" i="12" s="1"/>
  <c r="I189" i="31" s="1"/>
  <c r="E208" i="13"/>
  <c r="G208" i="13" s="1"/>
  <c r="J189" i="31" s="1"/>
  <c r="E208" i="14"/>
  <c r="E210" i="13"/>
  <c r="G210" i="13" s="1"/>
  <c r="J191" i="31" s="1"/>
  <c r="E210" i="14"/>
  <c r="G210" i="14" s="1"/>
  <c r="K191" i="31" s="1"/>
  <c r="E214" i="12"/>
  <c r="G214" i="12" s="1"/>
  <c r="I194" i="31" s="1"/>
  <c r="E210" i="12"/>
  <c r="G210" i="12" s="1"/>
  <c r="I191" i="31" s="1"/>
  <c r="E202" i="12"/>
  <c r="G202" i="12" s="1"/>
  <c r="I183" i="31" s="1"/>
  <c r="E290" i="14"/>
  <c r="G290" i="14" s="1"/>
  <c r="K263" i="31" s="1"/>
  <c r="E286" i="14"/>
  <c r="G286" i="14" s="1"/>
  <c r="K260" i="31" s="1"/>
  <c r="E276" i="14"/>
  <c r="G276" i="14" s="1"/>
  <c r="K251" i="31" s="1"/>
  <c r="E274" i="14"/>
  <c r="G274" i="14" s="1"/>
  <c r="K249" i="31" s="1"/>
  <c r="E272" i="14"/>
  <c r="G272" i="14" s="1"/>
  <c r="K247" i="31" s="1"/>
  <c r="E270" i="14"/>
  <c r="G270" i="14" s="1"/>
  <c r="K245" i="31" s="1"/>
  <c r="E268" i="14"/>
  <c r="G268" i="14" s="1"/>
  <c r="K243" i="31" s="1"/>
  <c r="E496" i="13"/>
  <c r="G496" i="13" s="1"/>
  <c r="J451" i="31" s="1"/>
  <c r="E494" i="13"/>
  <c r="G494" i="13" s="1"/>
  <c r="J449" i="31" s="1"/>
  <c r="E492" i="13"/>
  <c r="G492" i="13" s="1"/>
  <c r="J447" i="31" s="1"/>
  <c r="E476" i="13"/>
  <c r="G476" i="13" s="1"/>
  <c r="J432" i="31" s="1"/>
  <c r="E466" i="13"/>
  <c r="G466" i="13" s="1"/>
  <c r="J423" i="31" s="1"/>
  <c r="E462" i="13"/>
  <c r="G462" i="13" s="1"/>
  <c r="J420" i="31" s="1"/>
  <c r="E460" i="13"/>
  <c r="G460" i="13" s="1"/>
  <c r="J418" i="31" s="1"/>
  <c r="E458" i="13"/>
  <c r="G458" i="13" s="1"/>
  <c r="J416" i="31" s="1"/>
  <c r="E456" i="13"/>
  <c r="G456" i="13" s="1"/>
  <c r="J414" i="31" s="1"/>
  <c r="E454" i="13"/>
  <c r="G454" i="13" s="1"/>
  <c r="J412" i="31" s="1"/>
  <c r="E446" i="13"/>
  <c r="G446" i="13" s="1"/>
  <c r="J405" i="31" s="1"/>
  <c r="E424" i="13"/>
  <c r="G424" i="13" s="1"/>
  <c r="J385" i="31" s="1"/>
  <c r="E414" i="13"/>
  <c r="G414" i="13" s="1"/>
  <c r="J376" i="31" s="1"/>
  <c r="E412" i="13"/>
  <c r="G412" i="13" s="1"/>
  <c r="J374" i="31" s="1"/>
  <c r="E404" i="13"/>
  <c r="G404" i="13" s="1"/>
  <c r="J367" i="31" s="1"/>
  <c r="E382" i="13"/>
  <c r="G382" i="13" s="1"/>
  <c r="J347" i="31" s="1"/>
  <c r="E362" i="13"/>
  <c r="G362" i="13" s="1"/>
  <c r="J329" i="31" s="1"/>
  <c r="E342" i="13"/>
  <c r="G342" i="13" s="1"/>
  <c r="J311" i="31" s="1"/>
  <c r="E340" i="13"/>
  <c r="G340" i="13" s="1"/>
  <c r="J309" i="31" s="1"/>
  <c r="E338" i="13"/>
  <c r="G338" i="13" s="1"/>
  <c r="J307" i="31" s="1"/>
  <c r="E298" i="13"/>
  <c r="G298" i="13" s="1"/>
  <c r="J271" i="31" s="1"/>
  <c r="E296" i="13"/>
  <c r="G296" i="13" s="1"/>
  <c r="J269" i="31" s="1"/>
  <c r="E290" i="13"/>
  <c r="G290" i="13" s="1"/>
  <c r="J263" i="31" s="1"/>
  <c r="E286" i="13"/>
  <c r="G286" i="13" s="1"/>
  <c r="J260" i="31" s="1"/>
  <c r="E276" i="13"/>
  <c r="G276" i="13" s="1"/>
  <c r="J251" i="31" s="1"/>
  <c r="E274" i="13"/>
  <c r="G274" i="13" s="1"/>
  <c r="J249" i="31" s="1"/>
  <c r="E272" i="13"/>
  <c r="G272" i="13" s="1"/>
  <c r="J247" i="31" s="1"/>
  <c r="E270" i="13"/>
  <c r="G270" i="13" s="1"/>
  <c r="J245" i="31" s="1"/>
  <c r="E268" i="13"/>
  <c r="G268" i="13" s="1"/>
  <c r="J243" i="31" s="1"/>
  <c r="E166" i="13"/>
  <c r="G166" i="13" s="1"/>
  <c r="J151" i="31" s="1"/>
  <c r="E164" i="13"/>
  <c r="G164" i="13" s="1"/>
  <c r="J149" i="31" s="1"/>
  <c r="E160" i="13"/>
  <c r="G160" i="13" s="1"/>
  <c r="J145" i="31" s="1"/>
  <c r="E144" i="13"/>
  <c r="G144" i="13" s="1"/>
  <c r="J131" i="31" s="1"/>
  <c r="E139" i="13"/>
  <c r="G139" i="13" s="1"/>
  <c r="J126" i="31" s="1"/>
  <c r="E137" i="13"/>
  <c r="G137" i="13" s="1"/>
  <c r="J124" i="31" s="1"/>
  <c r="E135" i="13"/>
  <c r="G135" i="13" s="1"/>
  <c r="J122" i="31" s="1"/>
  <c r="E118" i="13"/>
  <c r="G118" i="13" s="1"/>
  <c r="J107" i="31" s="1"/>
  <c r="E95" i="13"/>
  <c r="G95" i="13" s="1"/>
  <c r="J86" i="31" s="1"/>
  <c r="E91" i="13"/>
  <c r="G91" i="13" s="1"/>
  <c r="J82" i="31" s="1"/>
  <c r="E162" i="14"/>
  <c r="G162" i="14" s="1"/>
  <c r="K147" i="31" s="1"/>
  <c r="E128" i="14"/>
  <c r="G128" i="14" s="1"/>
  <c r="K116" i="31" s="1"/>
  <c r="E122" i="14"/>
  <c r="G122" i="14" s="1"/>
  <c r="K111" i="31" s="1"/>
  <c r="E120" i="14"/>
  <c r="G120" i="14" s="1"/>
  <c r="K109" i="31" s="1"/>
  <c r="E143" i="13"/>
  <c r="G143" i="13" s="1"/>
  <c r="J130" i="31" s="1"/>
  <c r="E129" i="13"/>
  <c r="G129" i="13" s="1"/>
  <c r="J117" i="31" s="1"/>
  <c r="E127" i="13"/>
  <c r="G127" i="13" s="1"/>
  <c r="J115" i="31" s="1"/>
  <c r="E121" i="13"/>
  <c r="G121" i="13" s="1"/>
  <c r="J110" i="31" s="1"/>
  <c r="E94" i="13"/>
  <c r="G94" i="13" s="1"/>
  <c r="J85" i="31" s="1"/>
  <c r="E92" i="13"/>
  <c r="G92" i="13" s="1"/>
  <c r="J83" i="31" s="1"/>
  <c r="F105" i="14"/>
  <c r="F109" i="14"/>
  <c r="F129" i="14"/>
  <c r="E80" i="12"/>
  <c r="G80" i="12" s="1"/>
  <c r="I72" i="31" s="1"/>
  <c r="E80" i="13"/>
  <c r="G80" i="13" s="1"/>
  <c r="J72" i="31" s="1"/>
  <c r="E80" i="14"/>
  <c r="E83" i="12"/>
  <c r="G83" i="12" s="1"/>
  <c r="I75" i="31" s="1"/>
  <c r="E83" i="13"/>
  <c r="G83" i="13" s="1"/>
  <c r="J75" i="31" s="1"/>
  <c r="E83" i="14"/>
  <c r="G83" i="14" s="1"/>
  <c r="K75" i="31" s="1"/>
  <c r="E84" i="12"/>
  <c r="G84" i="12" s="1"/>
  <c r="I76" i="31" s="1"/>
  <c r="E84" i="13"/>
  <c r="G84" i="13" s="1"/>
  <c r="J76" i="31" s="1"/>
  <c r="E84" i="14"/>
  <c r="G84" i="14" s="1"/>
  <c r="K76" i="31" s="1"/>
  <c r="E85" i="12"/>
  <c r="G85" i="12" s="1"/>
  <c r="I77" i="31" s="1"/>
  <c r="E85" i="13"/>
  <c r="G85" i="13" s="1"/>
  <c r="J77" i="31" s="1"/>
  <c r="E85" i="14"/>
  <c r="E86" i="12"/>
  <c r="G86" i="12" s="1"/>
  <c r="I78" i="31" s="1"/>
  <c r="E86" i="13"/>
  <c r="G86" i="13" s="1"/>
  <c r="J78" i="31" s="1"/>
  <c r="E86" i="14"/>
  <c r="G86" i="14" s="1"/>
  <c r="K78" i="31" s="1"/>
  <c r="E88" i="12"/>
  <c r="G88" i="12" s="1"/>
  <c r="I80" i="31" s="1"/>
  <c r="E88" i="13"/>
  <c r="G88" i="13" s="1"/>
  <c r="J80" i="31" s="1"/>
  <c r="E88" i="14"/>
  <c r="G88" i="14" s="1"/>
  <c r="K80" i="31" s="1"/>
  <c r="E103" i="12"/>
  <c r="G103" i="12" s="1"/>
  <c r="I93" i="31" s="1"/>
  <c r="E103" i="13"/>
  <c r="G103" i="13" s="1"/>
  <c r="J93" i="31" s="1"/>
  <c r="E103" i="14"/>
  <c r="G103" i="14" s="1"/>
  <c r="K93" i="31" s="1"/>
  <c r="E105" i="12"/>
  <c r="G105" i="12" s="1"/>
  <c r="I95" i="31" s="1"/>
  <c r="E105" i="13"/>
  <c r="G105" i="13" s="1"/>
  <c r="J95" i="31" s="1"/>
  <c r="E105" i="14"/>
  <c r="E106" i="12"/>
  <c r="G106" i="12" s="1"/>
  <c r="I96" i="31" s="1"/>
  <c r="E106" i="13"/>
  <c r="G106" i="13" s="1"/>
  <c r="J96" i="31" s="1"/>
  <c r="E106" i="14"/>
  <c r="G106" i="14" s="1"/>
  <c r="K96" i="31" s="1"/>
  <c r="E107" i="12"/>
  <c r="G107" i="12" s="1"/>
  <c r="I97" i="31" s="1"/>
  <c r="E107" i="13"/>
  <c r="G107" i="13" s="1"/>
  <c r="J97" i="31" s="1"/>
  <c r="E107" i="14"/>
  <c r="G107" i="14" s="1"/>
  <c r="K97" i="31" s="1"/>
  <c r="E108" i="12"/>
  <c r="G108" i="12" s="1"/>
  <c r="I98" i="31" s="1"/>
  <c r="E108" i="13"/>
  <c r="G108" i="13" s="1"/>
  <c r="J98" i="31" s="1"/>
  <c r="E108" i="14"/>
  <c r="G108" i="14" s="1"/>
  <c r="K98" i="31" s="1"/>
  <c r="E109" i="12"/>
  <c r="G109" i="12" s="1"/>
  <c r="I99" i="31" s="1"/>
  <c r="E109" i="13"/>
  <c r="G109" i="13" s="1"/>
  <c r="J99" i="31" s="1"/>
  <c r="E109" i="14"/>
  <c r="G109" i="14" s="1"/>
  <c r="K99" i="31" s="1"/>
  <c r="E110" i="12"/>
  <c r="G110" i="12" s="1"/>
  <c r="I100" i="31" s="1"/>
  <c r="E110" i="13"/>
  <c r="G110" i="13" s="1"/>
  <c r="J100" i="31" s="1"/>
  <c r="E110" i="14"/>
  <c r="E111" i="12"/>
  <c r="G111" i="12" s="1"/>
  <c r="I101" i="31" s="1"/>
  <c r="E111" i="13"/>
  <c r="G111" i="13" s="1"/>
  <c r="J101" i="31" s="1"/>
  <c r="E111" i="14"/>
  <c r="G111" i="14" s="1"/>
  <c r="K101" i="31" s="1"/>
  <c r="E44" i="12"/>
  <c r="G44" i="12" s="1"/>
  <c r="I40" i="31" s="1"/>
  <c r="E44" i="13"/>
  <c r="G44" i="13" s="1"/>
  <c r="J40" i="31" s="1"/>
  <c r="E44" i="14"/>
  <c r="G44" i="14" s="1"/>
  <c r="K40" i="31" s="1"/>
  <c r="E111" i="21"/>
  <c r="E109" i="21"/>
  <c r="E107" i="21"/>
  <c r="E105" i="21"/>
  <c r="E103" i="21"/>
  <c r="E101" i="21"/>
  <c r="E99" i="21"/>
  <c r="E97" i="21"/>
  <c r="E95" i="21"/>
  <c r="F95" i="21" s="1"/>
  <c r="V86" i="31" s="1"/>
  <c r="E89" i="21"/>
  <c r="E87" i="21"/>
  <c r="E85" i="21"/>
  <c r="E83" i="21"/>
  <c r="E81" i="21"/>
  <c r="E79" i="21"/>
  <c r="E77" i="21"/>
  <c r="E75" i="21"/>
  <c r="E73" i="21"/>
  <c r="E71" i="21"/>
  <c r="E69" i="21"/>
  <c r="E67" i="21"/>
  <c r="E65" i="21"/>
  <c r="E63" i="21"/>
  <c r="E61" i="21"/>
  <c r="E59" i="21"/>
  <c r="F59" i="21" s="1"/>
  <c r="V53" i="31" s="1"/>
  <c r="E45" i="21"/>
  <c r="E43" i="21"/>
  <c r="F43" i="21" s="1"/>
  <c r="V39" i="31" s="1"/>
  <c r="E33" i="21"/>
  <c r="E31" i="21"/>
  <c r="E29" i="21"/>
  <c r="E27" i="21"/>
  <c r="E25" i="21"/>
  <c r="E81" i="12"/>
  <c r="G81" i="12" s="1"/>
  <c r="I73" i="31" s="1"/>
  <c r="E81" i="13"/>
  <c r="G81" i="13" s="1"/>
  <c r="J73" i="31" s="1"/>
  <c r="E81" i="14"/>
  <c r="E82" i="12"/>
  <c r="G82" i="12" s="1"/>
  <c r="I74" i="31" s="1"/>
  <c r="E82" i="13"/>
  <c r="G82" i="13" s="1"/>
  <c r="J74" i="31" s="1"/>
  <c r="E82" i="14"/>
  <c r="E87" i="12"/>
  <c r="G87" i="12" s="1"/>
  <c r="I79" i="31" s="1"/>
  <c r="E87" i="13"/>
  <c r="G87" i="13" s="1"/>
  <c r="J79" i="31" s="1"/>
  <c r="E87" i="14"/>
  <c r="G87" i="14" s="1"/>
  <c r="K79" i="31" s="1"/>
  <c r="E89" i="12"/>
  <c r="G89" i="12" s="1"/>
  <c r="I81" i="31" s="1"/>
  <c r="E89" i="13"/>
  <c r="G89" i="13" s="1"/>
  <c r="J81" i="31" s="1"/>
  <c r="E89" i="14"/>
  <c r="G89" i="14" s="1"/>
  <c r="K81" i="31" s="1"/>
  <c r="E102" i="12"/>
  <c r="G102" i="12" s="1"/>
  <c r="I92" i="31" s="1"/>
  <c r="E102" i="13"/>
  <c r="G102" i="13" s="1"/>
  <c r="J92" i="31" s="1"/>
  <c r="E102" i="14"/>
  <c r="G102" i="14" s="1"/>
  <c r="K92" i="31" s="1"/>
  <c r="E60" i="12"/>
  <c r="G60" i="12" s="1"/>
  <c r="I54" i="31" s="1"/>
  <c r="E60" i="13"/>
  <c r="G60" i="13" s="1"/>
  <c r="J54" i="31" s="1"/>
  <c r="E60" i="14"/>
  <c r="E61" i="12"/>
  <c r="G61" i="12" s="1"/>
  <c r="I55" i="31" s="1"/>
  <c r="E61" i="13"/>
  <c r="G61" i="13" s="1"/>
  <c r="J55" i="31" s="1"/>
  <c r="E61" i="14"/>
  <c r="G61" i="14" s="1"/>
  <c r="K55" i="31" s="1"/>
  <c r="E62" i="12"/>
  <c r="G62" i="12" s="1"/>
  <c r="I56" i="31" s="1"/>
  <c r="E62" i="13"/>
  <c r="G62" i="13" s="1"/>
  <c r="J56" i="31" s="1"/>
  <c r="E62" i="14"/>
  <c r="G62" i="14" s="1"/>
  <c r="K56" i="31" s="1"/>
  <c r="E63" i="12"/>
  <c r="G63" i="12" s="1"/>
  <c r="I57" i="31" s="1"/>
  <c r="E63" i="13"/>
  <c r="G63" i="13" s="1"/>
  <c r="J57" i="31" s="1"/>
  <c r="E63" i="14"/>
  <c r="G63" i="14" s="1"/>
  <c r="K57" i="31" s="1"/>
  <c r="E64" i="12"/>
  <c r="G64" i="12" s="1"/>
  <c r="I58" i="31" s="1"/>
  <c r="E64" i="13"/>
  <c r="G64" i="13" s="1"/>
  <c r="J58" i="31" s="1"/>
  <c r="E64" i="14"/>
  <c r="G64" i="14" s="1"/>
  <c r="K58" i="31" s="1"/>
  <c r="E65" i="12"/>
  <c r="G65" i="12" s="1"/>
  <c r="I59" i="31" s="1"/>
  <c r="E65" i="13"/>
  <c r="G65" i="13" s="1"/>
  <c r="J59" i="31" s="1"/>
  <c r="E65" i="14"/>
  <c r="E66" i="12"/>
  <c r="G66" i="12" s="1"/>
  <c r="I60" i="31" s="1"/>
  <c r="E66" i="13"/>
  <c r="G66" i="13" s="1"/>
  <c r="J60" i="31" s="1"/>
  <c r="E66" i="14"/>
  <c r="G66" i="14" s="1"/>
  <c r="K60" i="31" s="1"/>
  <c r="E67" i="12"/>
  <c r="G67" i="12" s="1"/>
  <c r="I61" i="31" s="1"/>
  <c r="E67" i="13"/>
  <c r="G67" i="13" s="1"/>
  <c r="J61" i="31" s="1"/>
  <c r="E67" i="14"/>
  <c r="G67" i="14" s="1"/>
  <c r="K61" i="31" s="1"/>
  <c r="E59" i="12"/>
  <c r="G59" i="12" s="1"/>
  <c r="I53" i="31" s="1"/>
  <c r="E59" i="13"/>
  <c r="G59" i="13" s="1"/>
  <c r="J53" i="31" s="1"/>
  <c r="E59" i="14"/>
  <c r="G59" i="14" s="1"/>
  <c r="K53" i="31" s="1"/>
  <c r="E69" i="12"/>
  <c r="G69" i="12" s="1"/>
  <c r="I62" i="31" s="1"/>
  <c r="E69" i="13"/>
  <c r="G69" i="13" s="1"/>
  <c r="J62" i="31" s="1"/>
  <c r="E69" i="14"/>
  <c r="G69" i="14" s="1"/>
  <c r="K62" i="31" s="1"/>
  <c r="E70" i="12"/>
  <c r="G70" i="12" s="1"/>
  <c r="I63" i="31" s="1"/>
  <c r="E70" i="13"/>
  <c r="G70" i="13" s="1"/>
  <c r="J63" i="31" s="1"/>
  <c r="E70" i="14"/>
  <c r="G70" i="14" s="1"/>
  <c r="K63" i="31" s="1"/>
  <c r="E71" i="12"/>
  <c r="G71" i="12" s="1"/>
  <c r="I64" i="31" s="1"/>
  <c r="E71" i="13"/>
  <c r="G71" i="13" s="1"/>
  <c r="J64" i="31" s="1"/>
  <c r="E71" i="14"/>
  <c r="G71" i="14" s="1"/>
  <c r="K64" i="31" s="1"/>
  <c r="E72" i="12"/>
  <c r="G72" i="12" s="1"/>
  <c r="I65" i="31" s="1"/>
  <c r="E72" i="13"/>
  <c r="G72" i="13" s="1"/>
  <c r="J65" i="31" s="1"/>
  <c r="E72" i="14"/>
  <c r="G72" i="14" s="1"/>
  <c r="K65" i="31" s="1"/>
  <c r="E73" i="12"/>
  <c r="G73" i="12" s="1"/>
  <c r="I66" i="31" s="1"/>
  <c r="E73" i="13"/>
  <c r="G73" i="13" s="1"/>
  <c r="J66" i="31" s="1"/>
  <c r="E73" i="14"/>
  <c r="G73" i="14" s="1"/>
  <c r="K66" i="31" s="1"/>
  <c r="E74" i="12"/>
  <c r="G74" i="12" s="1"/>
  <c r="I67" i="31" s="1"/>
  <c r="E74" i="13"/>
  <c r="G74" i="13" s="1"/>
  <c r="J67" i="31" s="1"/>
  <c r="E74" i="14"/>
  <c r="G74" i="14" s="1"/>
  <c r="K67" i="31" s="1"/>
  <c r="E75" i="12"/>
  <c r="G75" i="12" s="1"/>
  <c r="I68" i="31" s="1"/>
  <c r="E75" i="13"/>
  <c r="G75" i="13" s="1"/>
  <c r="J68" i="31" s="1"/>
  <c r="E75" i="14"/>
  <c r="E76" i="12"/>
  <c r="G76" i="12" s="1"/>
  <c r="I69" i="31" s="1"/>
  <c r="E76" i="13"/>
  <c r="G76" i="13" s="1"/>
  <c r="J69" i="31" s="1"/>
  <c r="E76" i="14"/>
  <c r="G76" i="14" s="1"/>
  <c r="K69" i="31" s="1"/>
  <c r="E77" i="12"/>
  <c r="G77" i="12" s="1"/>
  <c r="I70" i="31" s="1"/>
  <c r="E77" i="13"/>
  <c r="G77" i="13" s="1"/>
  <c r="J70" i="31" s="1"/>
  <c r="E77" i="14"/>
  <c r="G77" i="14" s="1"/>
  <c r="K70" i="31" s="1"/>
  <c r="E78" i="12"/>
  <c r="G78" i="12" s="1"/>
  <c r="I71" i="31" s="1"/>
  <c r="E78" i="13"/>
  <c r="G78" i="13" s="1"/>
  <c r="J71" i="31" s="1"/>
  <c r="E78" i="14"/>
  <c r="G78" i="14" s="1"/>
  <c r="K71" i="31" s="1"/>
  <c r="E96" i="12"/>
  <c r="G96" i="12" s="1"/>
  <c r="I87" i="31" s="1"/>
  <c r="E96" i="13"/>
  <c r="G96" i="13" s="1"/>
  <c r="J87" i="31" s="1"/>
  <c r="E96" i="14"/>
  <c r="E97" i="12"/>
  <c r="G97" i="12" s="1"/>
  <c r="I88" i="31" s="1"/>
  <c r="E97" i="13"/>
  <c r="G97" i="13" s="1"/>
  <c r="J88" i="31" s="1"/>
  <c r="E97" i="14"/>
  <c r="G97" i="14" s="1"/>
  <c r="K88" i="31" s="1"/>
  <c r="E98" i="12"/>
  <c r="G98" i="12" s="1"/>
  <c r="I89" i="31" s="1"/>
  <c r="E98" i="13"/>
  <c r="G98" i="13" s="1"/>
  <c r="J89" i="31" s="1"/>
  <c r="E98" i="14"/>
  <c r="G98" i="14" s="1"/>
  <c r="K89" i="31" s="1"/>
  <c r="E99" i="12"/>
  <c r="G99" i="12" s="1"/>
  <c r="I90" i="31" s="1"/>
  <c r="E99" i="13"/>
  <c r="G99" i="13" s="1"/>
  <c r="J90" i="31" s="1"/>
  <c r="E99" i="14"/>
  <c r="G99" i="14" s="1"/>
  <c r="K90" i="31" s="1"/>
  <c r="E100" i="12"/>
  <c r="G100" i="12" s="1"/>
  <c r="I91" i="31" s="1"/>
  <c r="E100" i="13"/>
  <c r="G100" i="13" s="1"/>
  <c r="J91" i="31" s="1"/>
  <c r="E100" i="14"/>
  <c r="E104" i="12"/>
  <c r="G104" i="12" s="1"/>
  <c r="I94" i="31" s="1"/>
  <c r="E104" i="13"/>
  <c r="G104" i="13" s="1"/>
  <c r="J94" i="31" s="1"/>
  <c r="E104" i="14"/>
  <c r="G104" i="14" s="1"/>
  <c r="K94" i="31" s="1"/>
  <c r="E25" i="12"/>
  <c r="G25" i="12" s="1"/>
  <c r="I22" i="31" s="1"/>
  <c r="E25" i="13"/>
  <c r="G25" i="13" s="1"/>
  <c r="J22" i="31" s="1"/>
  <c r="E25" i="14"/>
  <c r="G25" i="14" s="1"/>
  <c r="K22" i="31" s="1"/>
  <c r="E26" i="12"/>
  <c r="G26" i="12" s="1"/>
  <c r="I23" i="31" s="1"/>
  <c r="E26" i="13"/>
  <c r="G26" i="13" s="1"/>
  <c r="J23" i="31" s="1"/>
  <c r="E26" i="14"/>
  <c r="G26" i="14" s="1"/>
  <c r="K23" i="31" s="1"/>
  <c r="E27" i="12"/>
  <c r="G27" i="12" s="1"/>
  <c r="I24" i="31" s="1"/>
  <c r="E27" i="13"/>
  <c r="G27" i="13" s="1"/>
  <c r="J24" i="31" s="1"/>
  <c r="E27" i="14"/>
  <c r="G27" i="14" s="1"/>
  <c r="K24" i="31" s="1"/>
  <c r="E28" i="12"/>
  <c r="G28" i="12" s="1"/>
  <c r="I25" i="31" s="1"/>
  <c r="E28" i="13"/>
  <c r="G28" i="13" s="1"/>
  <c r="J25" i="31" s="1"/>
  <c r="E28" i="14"/>
  <c r="G28" i="14" s="1"/>
  <c r="K25" i="31" s="1"/>
  <c r="E29" i="12"/>
  <c r="G29" i="12" s="1"/>
  <c r="I26" i="31" s="1"/>
  <c r="E29" i="13"/>
  <c r="G29" i="13" s="1"/>
  <c r="J26" i="31" s="1"/>
  <c r="E29" i="14"/>
  <c r="G29" i="14" s="1"/>
  <c r="K26" i="31" s="1"/>
  <c r="E30" i="12"/>
  <c r="G30" i="12" s="1"/>
  <c r="I27" i="31" s="1"/>
  <c r="E30" i="13"/>
  <c r="G30" i="13" s="1"/>
  <c r="J27" i="31" s="1"/>
  <c r="E30" i="14"/>
  <c r="G30" i="14" s="1"/>
  <c r="K27" i="31" s="1"/>
  <c r="E31" i="12"/>
  <c r="G31" i="12" s="1"/>
  <c r="I28" i="31" s="1"/>
  <c r="E31" i="13"/>
  <c r="G31" i="13" s="1"/>
  <c r="J28" i="31" s="1"/>
  <c r="E31" i="14"/>
  <c r="G31" i="14" s="1"/>
  <c r="K28" i="31" s="1"/>
  <c r="E32" i="12"/>
  <c r="G32" i="12" s="1"/>
  <c r="I29" i="31" s="1"/>
  <c r="E32" i="13"/>
  <c r="G32" i="13" s="1"/>
  <c r="J29" i="31" s="1"/>
  <c r="E32" i="14"/>
  <c r="G32" i="14" s="1"/>
  <c r="K29" i="31" s="1"/>
  <c r="E33" i="12"/>
  <c r="G33" i="12" s="1"/>
  <c r="I30" i="31" s="1"/>
  <c r="E33" i="13"/>
  <c r="G33" i="13" s="1"/>
  <c r="J30" i="31" s="1"/>
  <c r="E33" i="14"/>
  <c r="G33" i="14" s="1"/>
  <c r="K30" i="31" s="1"/>
  <c r="E34" i="12"/>
  <c r="G34" i="12" s="1"/>
  <c r="I31" i="31" s="1"/>
  <c r="E34" i="13"/>
  <c r="G34" i="13" s="1"/>
  <c r="J31" i="31" s="1"/>
  <c r="E34" i="14"/>
  <c r="G34" i="14" s="1"/>
  <c r="K31" i="31" s="1"/>
  <c r="E43" i="12"/>
  <c r="G43" i="12" s="1"/>
  <c r="I39" i="31" s="1"/>
  <c r="E43" i="13"/>
  <c r="G43" i="13" s="1"/>
  <c r="J39" i="31" s="1"/>
  <c r="E43" i="14"/>
  <c r="G43" i="14" s="1"/>
  <c r="K39" i="31" s="1"/>
  <c r="E45" i="12"/>
  <c r="G45" i="12" s="1"/>
  <c r="I41" i="31" s="1"/>
  <c r="E45" i="13"/>
  <c r="G45" i="13" s="1"/>
  <c r="J41" i="31" s="1"/>
  <c r="E45" i="14"/>
  <c r="G45" i="14" s="1"/>
  <c r="K41" i="31" s="1"/>
  <c r="E110" i="21"/>
  <c r="E108" i="21"/>
  <c r="E106" i="21"/>
  <c r="E104" i="21"/>
  <c r="E102" i="21"/>
  <c r="E100" i="21"/>
  <c r="E98" i="21"/>
  <c r="E96" i="21"/>
  <c r="E88" i="21"/>
  <c r="E86" i="21"/>
  <c r="E84" i="21"/>
  <c r="E82" i="21"/>
  <c r="E80" i="21"/>
  <c r="E78" i="21"/>
  <c r="E76" i="21"/>
  <c r="E74" i="21"/>
  <c r="E72" i="21"/>
  <c r="E70" i="21"/>
  <c r="E68" i="21"/>
  <c r="E66" i="21"/>
  <c r="E64" i="21"/>
  <c r="E62" i="21"/>
  <c r="E60" i="21"/>
  <c r="E44" i="21"/>
  <c r="E34" i="21"/>
  <c r="E32" i="21"/>
  <c r="E30" i="21"/>
  <c r="E28" i="21"/>
  <c r="E26" i="21"/>
  <c r="E24" i="21"/>
  <c r="N23" i="6"/>
  <c r="M23" i="6"/>
  <c r="M23" i="23" s="1"/>
  <c r="L23" i="6"/>
  <c r="K23" i="6"/>
  <c r="J23" i="6"/>
  <c r="J23" i="23" s="1"/>
  <c r="I23" i="6"/>
  <c r="Q23" i="23" s="1"/>
  <c r="H23" i="6"/>
  <c r="G23" i="6"/>
  <c r="F23" i="6"/>
  <c r="E23" i="6"/>
  <c r="E23" i="9" s="1"/>
  <c r="N22" i="6"/>
  <c r="M22" i="6"/>
  <c r="M22" i="23" s="1"/>
  <c r="L22" i="6"/>
  <c r="K22" i="6"/>
  <c r="J22" i="6"/>
  <c r="J22" i="23" s="1"/>
  <c r="I22" i="6"/>
  <c r="Q22" i="23" s="1"/>
  <c r="H22" i="6"/>
  <c r="G22" i="6"/>
  <c r="F22" i="6"/>
  <c r="E22" i="6"/>
  <c r="E22" i="9" s="1"/>
  <c r="N21" i="6"/>
  <c r="M21" i="6"/>
  <c r="M21" i="23" s="1"/>
  <c r="L21" i="6"/>
  <c r="K21" i="6"/>
  <c r="J21" i="6"/>
  <c r="J21" i="23" s="1"/>
  <c r="I21" i="6"/>
  <c r="Q21" i="23" s="1"/>
  <c r="H21" i="6"/>
  <c r="G21" i="6"/>
  <c r="F21" i="6"/>
  <c r="E21" i="6"/>
  <c r="E21" i="9" s="1"/>
  <c r="N20" i="6"/>
  <c r="M20" i="6"/>
  <c r="M20" i="23" s="1"/>
  <c r="F23" i="11" l="1"/>
  <c r="P23" i="23"/>
  <c r="R23" i="23" s="1"/>
  <c r="Z21" i="31" s="1"/>
  <c r="F21" i="23"/>
  <c r="F21" i="8"/>
  <c r="E22" i="23"/>
  <c r="E22" i="8"/>
  <c r="F23" i="23"/>
  <c r="F23" i="8"/>
  <c r="G100" i="14"/>
  <c r="K91" i="31" s="1"/>
  <c r="G96" i="14"/>
  <c r="K87" i="31" s="1"/>
  <c r="G75" i="14"/>
  <c r="K68" i="31" s="1"/>
  <c r="G81" i="14"/>
  <c r="K73" i="31" s="1"/>
  <c r="G105" i="14"/>
  <c r="K95" i="31" s="1"/>
  <c r="G85" i="14"/>
  <c r="K77" i="31" s="1"/>
  <c r="G208" i="14"/>
  <c r="K189" i="31" s="1"/>
  <c r="G34" i="11"/>
  <c r="H31" i="31" s="1"/>
  <c r="G30" i="11"/>
  <c r="H27" i="31" s="1"/>
  <c r="G26" i="11"/>
  <c r="H23" i="31" s="1"/>
  <c r="G82" i="11"/>
  <c r="H74" i="31" s="1"/>
  <c r="G100" i="11"/>
  <c r="H91" i="31" s="1"/>
  <c r="G96" i="11"/>
  <c r="H87" i="31" s="1"/>
  <c r="G78" i="11"/>
  <c r="H71" i="31" s="1"/>
  <c r="G65" i="11"/>
  <c r="H59" i="31" s="1"/>
  <c r="G43" i="11"/>
  <c r="H39" i="31" s="1"/>
  <c r="G110" i="11"/>
  <c r="H100" i="31" s="1"/>
  <c r="G108" i="11"/>
  <c r="H98" i="31" s="1"/>
  <c r="G75" i="11"/>
  <c r="H68" i="31" s="1"/>
  <c r="G466" i="11"/>
  <c r="H423" i="31" s="1"/>
  <c r="G220" i="11"/>
  <c r="H200" i="31" s="1"/>
  <c r="G130" i="11"/>
  <c r="H118" i="31" s="1"/>
  <c r="G93" i="11"/>
  <c r="H84" i="31" s="1"/>
  <c r="G111" i="11"/>
  <c r="H101" i="31" s="1"/>
  <c r="G73" i="11"/>
  <c r="H66" i="31" s="1"/>
  <c r="G418" i="11"/>
  <c r="H380" i="31" s="1"/>
  <c r="G408" i="11"/>
  <c r="H371" i="31" s="1"/>
  <c r="G406" i="11"/>
  <c r="H369" i="31" s="1"/>
  <c r="G384" i="11"/>
  <c r="H349" i="31" s="1"/>
  <c r="G362" i="11"/>
  <c r="H329" i="31" s="1"/>
  <c r="G132" i="9"/>
  <c r="F120" i="31" s="1"/>
  <c r="G94" i="10"/>
  <c r="G85" i="31" s="1"/>
  <c r="G119" i="11"/>
  <c r="H108" i="31" s="1"/>
  <c r="G77" i="10"/>
  <c r="G70" i="31" s="1"/>
  <c r="G67" i="10"/>
  <c r="G61" i="31" s="1"/>
  <c r="W299" i="31"/>
  <c r="S329" i="23"/>
  <c r="AA299" i="31" s="1"/>
  <c r="W527" i="31"/>
  <c r="S580" i="23"/>
  <c r="AA527" i="31" s="1"/>
  <c r="W517" i="31"/>
  <c r="S569" i="23"/>
  <c r="AA517" i="31" s="1"/>
  <c r="W46" i="31"/>
  <c r="S51" i="23"/>
  <c r="AA46" i="31" s="1"/>
  <c r="W548" i="31"/>
  <c r="S603" i="23"/>
  <c r="AA548" i="31" s="1"/>
  <c r="W388" i="31"/>
  <c r="S427" i="23"/>
  <c r="AA388" i="31" s="1"/>
  <c r="W355" i="31"/>
  <c r="S391" i="23"/>
  <c r="AA355" i="31" s="1"/>
  <c r="W353" i="31"/>
  <c r="S389" i="23"/>
  <c r="AA353" i="31" s="1"/>
  <c r="W469" i="31"/>
  <c r="S516" i="23"/>
  <c r="AA469" i="31" s="1"/>
  <c r="W461" i="31"/>
  <c r="S507" i="23"/>
  <c r="AA461" i="31" s="1"/>
  <c r="W417" i="31"/>
  <c r="S459" i="23"/>
  <c r="AA417" i="31" s="1"/>
  <c r="W247" i="31"/>
  <c r="S272" i="23"/>
  <c r="AA247" i="31" s="1"/>
  <c r="W170" i="31"/>
  <c r="S187" i="23"/>
  <c r="AA170" i="31" s="1"/>
  <c r="W178" i="31"/>
  <c r="S196" i="23"/>
  <c r="AA178" i="31" s="1"/>
  <c r="W188" i="31"/>
  <c r="S207" i="23"/>
  <c r="AA188" i="31" s="1"/>
  <c r="S219" i="23"/>
  <c r="AA199" i="31" s="1"/>
  <c r="W199" i="31"/>
  <c r="W194" i="31"/>
  <c r="S214" i="23"/>
  <c r="AA194" i="31" s="1"/>
  <c r="W112" i="31"/>
  <c r="S124" i="23"/>
  <c r="AA112" i="31" s="1"/>
  <c r="S166" i="23"/>
  <c r="AA151" i="31" s="1"/>
  <c r="W151" i="31"/>
  <c r="W128" i="31"/>
  <c r="S141" i="23"/>
  <c r="AA128" i="31" s="1"/>
  <c r="W40" i="31"/>
  <c r="S44" i="23"/>
  <c r="AA40" i="31" s="1"/>
  <c r="G28" i="10"/>
  <c r="G25" i="31" s="1"/>
  <c r="W95" i="31"/>
  <c r="W77" i="31"/>
  <c r="S85" i="23"/>
  <c r="AA77" i="31" s="1"/>
  <c r="G80" i="10"/>
  <c r="G72" i="31" s="1"/>
  <c r="W495" i="31"/>
  <c r="S545" i="23"/>
  <c r="AA495" i="31" s="1"/>
  <c r="S570" i="23"/>
  <c r="AA518" i="31" s="1"/>
  <c r="W518" i="31"/>
  <c r="W567" i="31"/>
  <c r="S624" i="23"/>
  <c r="AA567" i="31" s="1"/>
  <c r="W497" i="31"/>
  <c r="S547" i="23"/>
  <c r="AA497" i="31" s="1"/>
  <c r="W508" i="31"/>
  <c r="S559" i="23"/>
  <c r="AA508" i="31" s="1"/>
  <c r="W540" i="31"/>
  <c r="S594" i="23"/>
  <c r="AA540" i="31" s="1"/>
  <c r="W385" i="31"/>
  <c r="S424" i="23"/>
  <c r="AA385" i="31" s="1"/>
  <c r="W335" i="31"/>
  <c r="S369" i="23"/>
  <c r="AA335" i="31" s="1"/>
  <c r="E552" i="19"/>
  <c r="U552" i="6"/>
  <c r="I499" i="23"/>
  <c r="I491" i="23"/>
  <c r="L471" i="23"/>
  <c r="X428" i="31" s="1"/>
  <c r="L450" i="23"/>
  <c r="X409" i="31" s="1"/>
  <c r="I440" i="23"/>
  <c r="W396" i="31"/>
  <c r="S436" i="23"/>
  <c r="AA396" i="31" s="1"/>
  <c r="I417" i="23"/>
  <c r="L408" i="23"/>
  <c r="X371" i="31" s="1"/>
  <c r="I386" i="23"/>
  <c r="L361" i="23"/>
  <c r="X328" i="31" s="1"/>
  <c r="L294" i="23"/>
  <c r="X267" i="31" s="1"/>
  <c r="I290" i="23"/>
  <c r="W259" i="31"/>
  <c r="S285" i="23"/>
  <c r="AA259" i="31" s="1"/>
  <c r="G205" i="8"/>
  <c r="E186" i="31" s="1"/>
  <c r="I135" i="23"/>
  <c r="I31" i="23"/>
  <c r="L27" i="23"/>
  <c r="X24" i="31" s="1"/>
  <c r="L100" i="23"/>
  <c r="X91" i="31" s="1"/>
  <c r="I96" i="23"/>
  <c r="G87" i="10"/>
  <c r="G79" i="31" s="1"/>
  <c r="G83" i="10"/>
  <c r="G75" i="31" s="1"/>
  <c r="L78" i="23"/>
  <c r="X71" i="31" s="1"/>
  <c r="S70" i="23"/>
  <c r="AA63" i="31" s="1"/>
  <c r="W63" i="31"/>
  <c r="W301" i="31"/>
  <c r="S331" i="23"/>
  <c r="AA301" i="31" s="1"/>
  <c r="W42" i="31"/>
  <c r="S47" i="23"/>
  <c r="AA42" i="31" s="1"/>
  <c r="S429" i="23"/>
  <c r="AA390" i="31" s="1"/>
  <c r="W390" i="31"/>
  <c r="W334" i="31"/>
  <c r="S368" i="23"/>
  <c r="AA334" i="31" s="1"/>
  <c r="W509" i="31"/>
  <c r="S560" i="23"/>
  <c r="AA509" i="31" s="1"/>
  <c r="W539" i="31"/>
  <c r="S593" i="23"/>
  <c r="AA539" i="31" s="1"/>
  <c r="W337" i="31"/>
  <c r="S371" i="23"/>
  <c r="AA337" i="31" s="1"/>
  <c r="W152" i="31"/>
  <c r="S168" i="23"/>
  <c r="AA152" i="31" s="1"/>
  <c r="G514" i="23"/>
  <c r="I514" i="23" s="1"/>
  <c r="G506" i="8"/>
  <c r="E460" i="31" s="1"/>
  <c r="L504" i="23"/>
  <c r="X458" i="31" s="1"/>
  <c r="G492" i="8"/>
  <c r="E447" i="31" s="1"/>
  <c r="G467" i="23"/>
  <c r="I467" i="23" s="1"/>
  <c r="G462" i="23"/>
  <c r="I462" i="23" s="1"/>
  <c r="L460" i="23"/>
  <c r="X418" i="31" s="1"/>
  <c r="G458" i="23"/>
  <c r="I458" i="23" s="1"/>
  <c r="L456" i="23"/>
  <c r="X414" i="31" s="1"/>
  <c r="L415" i="23"/>
  <c r="X377" i="31" s="1"/>
  <c r="G401" i="8"/>
  <c r="E364" i="31" s="1"/>
  <c r="L382" i="23"/>
  <c r="X347" i="31" s="1"/>
  <c r="L357" i="23"/>
  <c r="X324" i="31" s="1"/>
  <c r="G341" i="23"/>
  <c r="I341" i="23" s="1"/>
  <c r="G339" i="8"/>
  <c r="E308" i="31" s="1"/>
  <c r="G295" i="8"/>
  <c r="E268" i="31" s="1"/>
  <c r="G273" i="8"/>
  <c r="E248" i="31" s="1"/>
  <c r="L271" i="23"/>
  <c r="X246" i="31" s="1"/>
  <c r="G269" i="23"/>
  <c r="I269" i="23" s="1"/>
  <c r="L188" i="23"/>
  <c r="X171" i="31" s="1"/>
  <c r="G186" i="23"/>
  <c r="I186" i="23" s="1"/>
  <c r="G197" i="23"/>
  <c r="I197" i="23" s="1"/>
  <c r="L195" i="23"/>
  <c r="X177" i="31" s="1"/>
  <c r="G191" i="8"/>
  <c r="E173" i="31" s="1"/>
  <c r="G201" i="8"/>
  <c r="E182" i="31" s="1"/>
  <c r="G218" i="8"/>
  <c r="E198" i="31" s="1"/>
  <c r="G130" i="8"/>
  <c r="E118" i="31" s="1"/>
  <c r="G129" i="8"/>
  <c r="E117" i="31" s="1"/>
  <c r="G128" i="23"/>
  <c r="I128" i="23" s="1"/>
  <c r="G92" i="8"/>
  <c r="E83" i="31" s="1"/>
  <c r="G161" i="8"/>
  <c r="E146" i="31" s="1"/>
  <c r="L142" i="23"/>
  <c r="X129" i="31" s="1"/>
  <c r="G140" i="23"/>
  <c r="I140" i="23" s="1"/>
  <c r="L138" i="23"/>
  <c r="X125" i="31" s="1"/>
  <c r="G136" i="23"/>
  <c r="I136" i="23" s="1"/>
  <c r="L118" i="23"/>
  <c r="X107" i="31" s="1"/>
  <c r="G33" i="10"/>
  <c r="G30" i="31" s="1"/>
  <c r="G25" i="8"/>
  <c r="E22" i="31" s="1"/>
  <c r="L110" i="23"/>
  <c r="X100" i="31" s="1"/>
  <c r="G106" i="23"/>
  <c r="I106" i="23" s="1"/>
  <c r="G96" i="10"/>
  <c r="G87" i="31" s="1"/>
  <c r="L88" i="23"/>
  <c r="X80" i="31" s="1"/>
  <c r="G84" i="23"/>
  <c r="I84" i="23" s="1"/>
  <c r="G82" i="8"/>
  <c r="E74" i="31" s="1"/>
  <c r="G76" i="10"/>
  <c r="G69" i="31" s="1"/>
  <c r="G66" i="10"/>
  <c r="G60" i="31" s="1"/>
  <c r="W525" i="31"/>
  <c r="S578" i="23"/>
  <c r="AA525" i="31" s="1"/>
  <c r="T553" i="6"/>
  <c r="R502" i="31"/>
  <c r="S394" i="23"/>
  <c r="AA358" i="31" s="1"/>
  <c r="W358" i="31"/>
  <c r="W472" i="31"/>
  <c r="S520" i="23"/>
  <c r="AA472" i="31" s="1"/>
  <c r="W499" i="31"/>
  <c r="S549" i="23"/>
  <c r="AA499" i="31" s="1"/>
  <c r="W494" i="31"/>
  <c r="S544" i="23"/>
  <c r="AA494" i="31" s="1"/>
  <c r="W565" i="31"/>
  <c r="S622" i="23"/>
  <c r="AA565" i="31" s="1"/>
  <c r="W526" i="31"/>
  <c r="S579" i="23"/>
  <c r="AA526" i="31" s="1"/>
  <c r="W580" i="31"/>
  <c r="S638" i="23"/>
  <c r="AA580" i="31" s="1"/>
  <c r="W510" i="31"/>
  <c r="S561" i="23"/>
  <c r="AA510" i="31" s="1"/>
  <c r="W340" i="31"/>
  <c r="S374" i="23"/>
  <c r="AA340" i="31" s="1"/>
  <c r="G494" i="23"/>
  <c r="I494" i="23" s="1"/>
  <c r="L474" i="23"/>
  <c r="X431" i="31" s="1"/>
  <c r="G470" i="23"/>
  <c r="I470" i="23" s="1"/>
  <c r="G468" i="8"/>
  <c r="E425" i="31" s="1"/>
  <c r="L465" i="23"/>
  <c r="X422" i="31" s="1"/>
  <c r="L454" i="23"/>
  <c r="X412" i="31" s="1"/>
  <c r="G449" i="23"/>
  <c r="I449" i="23" s="1"/>
  <c r="L441" i="23"/>
  <c r="X401" i="31" s="1"/>
  <c r="L437" i="23"/>
  <c r="X397" i="31" s="1"/>
  <c r="L418" i="23"/>
  <c r="X380" i="31" s="1"/>
  <c r="G403" i="8"/>
  <c r="E366" i="31" s="1"/>
  <c r="G385" i="8"/>
  <c r="E350" i="31" s="1"/>
  <c r="G384" i="8"/>
  <c r="E349" i="31" s="1"/>
  <c r="G364" i="8"/>
  <c r="E331" i="31" s="1"/>
  <c r="L362" i="23"/>
  <c r="X329" i="31" s="1"/>
  <c r="G358" i="23"/>
  <c r="I358" i="23" s="1"/>
  <c r="G293" i="8"/>
  <c r="E266" i="31" s="1"/>
  <c r="L290" i="23"/>
  <c r="X263" i="31" s="1"/>
  <c r="G267" i="23"/>
  <c r="I267" i="23" s="1"/>
  <c r="L210" i="23"/>
  <c r="X191" i="31" s="1"/>
  <c r="G208" i="8"/>
  <c r="E189" i="31" s="1"/>
  <c r="G204" i="23"/>
  <c r="I204" i="23" s="1"/>
  <c r="G202" i="8"/>
  <c r="E183" i="31" s="1"/>
  <c r="L91" i="23"/>
  <c r="X82" i="31" s="1"/>
  <c r="G122" i="23"/>
  <c r="I122" i="23" s="1"/>
  <c r="G120" i="8"/>
  <c r="E109" i="31" s="1"/>
  <c r="G45" i="23"/>
  <c r="I45" i="23" s="1"/>
  <c r="G44" i="10"/>
  <c r="G40" i="31" s="1"/>
  <c r="G34" i="8"/>
  <c r="E31" i="31" s="1"/>
  <c r="L32" i="23"/>
  <c r="X29" i="31" s="1"/>
  <c r="G28" i="23"/>
  <c r="I28" i="23" s="1"/>
  <c r="G26" i="8"/>
  <c r="E23" i="31" s="1"/>
  <c r="R109" i="23"/>
  <c r="Z99" i="31" s="1"/>
  <c r="G104" i="23"/>
  <c r="I104" i="23" s="1"/>
  <c r="G102" i="23"/>
  <c r="I102" i="23" s="1"/>
  <c r="G99" i="8"/>
  <c r="E90" i="31" s="1"/>
  <c r="L97" i="23"/>
  <c r="X88" i="31" s="1"/>
  <c r="G84" i="10"/>
  <c r="G76" i="31" s="1"/>
  <c r="I77" i="23"/>
  <c r="G75" i="8"/>
  <c r="E68" i="31" s="1"/>
  <c r="L73" i="23"/>
  <c r="X66" i="31" s="1"/>
  <c r="L65" i="23"/>
  <c r="X59" i="31" s="1"/>
  <c r="G61" i="23"/>
  <c r="I61" i="23" s="1"/>
  <c r="G78" i="23"/>
  <c r="I78" i="23" s="1"/>
  <c r="G76" i="8"/>
  <c r="E69" i="31" s="1"/>
  <c r="F21" i="11"/>
  <c r="P21" i="23"/>
  <c r="R21" i="23" s="1"/>
  <c r="Z19" i="31" s="1"/>
  <c r="F23" i="10"/>
  <c r="H23" i="23"/>
  <c r="K23" i="23" s="1"/>
  <c r="N23" i="23" s="1"/>
  <c r="O23" i="23" s="1"/>
  <c r="Y21" i="31" s="1"/>
  <c r="E23" i="20"/>
  <c r="U21" i="31" s="1"/>
  <c r="F22" i="10"/>
  <c r="E22" i="20"/>
  <c r="U20" i="31" s="1"/>
  <c r="H22" i="23"/>
  <c r="K22" i="23" s="1"/>
  <c r="N22" i="23" s="1"/>
  <c r="F22" i="11"/>
  <c r="P22" i="23"/>
  <c r="R22" i="23" s="1"/>
  <c r="Z20" i="31" s="1"/>
  <c r="G60" i="14"/>
  <c r="K54" i="31" s="1"/>
  <c r="G82" i="14"/>
  <c r="K74" i="31" s="1"/>
  <c r="G110" i="14"/>
  <c r="K100" i="31" s="1"/>
  <c r="G80" i="14"/>
  <c r="K72" i="31" s="1"/>
  <c r="G129" i="14"/>
  <c r="K117" i="31" s="1"/>
  <c r="G44" i="11"/>
  <c r="H40" i="31" s="1"/>
  <c r="G31" i="11"/>
  <c r="H28" i="31" s="1"/>
  <c r="G27" i="11"/>
  <c r="H24" i="31" s="1"/>
  <c r="G86" i="11"/>
  <c r="H78" i="31" s="1"/>
  <c r="G83" i="11"/>
  <c r="H75" i="31" s="1"/>
  <c r="G98" i="11"/>
  <c r="H89" i="31" s="1"/>
  <c r="G80" i="11"/>
  <c r="H72" i="31" s="1"/>
  <c r="G72" i="11"/>
  <c r="H65" i="31" s="1"/>
  <c r="G66" i="11"/>
  <c r="H60" i="31" s="1"/>
  <c r="G62" i="11"/>
  <c r="H56" i="31" s="1"/>
  <c r="G106" i="11"/>
  <c r="H96" i="31" s="1"/>
  <c r="G97" i="11"/>
  <c r="H88" i="31" s="1"/>
  <c r="G71" i="11"/>
  <c r="H64" i="31" s="1"/>
  <c r="G61" i="11"/>
  <c r="H55" i="31" s="1"/>
  <c r="G188" i="11"/>
  <c r="H171" i="31" s="1"/>
  <c r="G199" i="10"/>
  <c r="G181" i="31" s="1"/>
  <c r="G198" i="10"/>
  <c r="G180" i="31" s="1"/>
  <c r="G197" i="10"/>
  <c r="G179" i="31" s="1"/>
  <c r="G196" i="10"/>
  <c r="G178" i="31" s="1"/>
  <c r="G195" i="10"/>
  <c r="G177" i="31" s="1"/>
  <c r="G194" i="10"/>
  <c r="G176" i="31" s="1"/>
  <c r="G193" i="10"/>
  <c r="G175" i="31" s="1"/>
  <c r="G218" i="10"/>
  <c r="G198" i="31" s="1"/>
  <c r="G217" i="10"/>
  <c r="G197" i="31" s="1"/>
  <c r="G216" i="10"/>
  <c r="G196" i="31" s="1"/>
  <c r="G214" i="10"/>
  <c r="G194" i="31" s="1"/>
  <c r="G125" i="10"/>
  <c r="G113" i="31" s="1"/>
  <c r="G166" i="11"/>
  <c r="H151" i="31" s="1"/>
  <c r="G165" i="11"/>
  <c r="H150" i="31" s="1"/>
  <c r="G164" i="11"/>
  <c r="H149" i="31" s="1"/>
  <c r="G162" i="10"/>
  <c r="G147" i="31" s="1"/>
  <c r="G161" i="10"/>
  <c r="G146" i="31" s="1"/>
  <c r="G160" i="10"/>
  <c r="G145" i="31" s="1"/>
  <c r="G159" i="10"/>
  <c r="G144" i="31" s="1"/>
  <c r="G155" i="10"/>
  <c r="G141" i="31" s="1"/>
  <c r="G144" i="10"/>
  <c r="G131" i="31" s="1"/>
  <c r="G107" i="10"/>
  <c r="G97" i="31" s="1"/>
  <c r="G89" i="11"/>
  <c r="H81" i="31" s="1"/>
  <c r="G81" i="11"/>
  <c r="H73" i="31" s="1"/>
  <c r="G494" i="11"/>
  <c r="H449" i="31" s="1"/>
  <c r="G491" i="11"/>
  <c r="H446" i="31" s="1"/>
  <c r="G472" i="11"/>
  <c r="H429" i="31" s="1"/>
  <c r="G468" i="11"/>
  <c r="H425" i="31" s="1"/>
  <c r="G454" i="11"/>
  <c r="H412" i="31" s="1"/>
  <c r="G452" i="11"/>
  <c r="H411" i="31" s="1"/>
  <c r="G448" i="11"/>
  <c r="H407" i="31" s="1"/>
  <c r="G446" i="11"/>
  <c r="H405" i="31" s="1"/>
  <c r="G441" i="10"/>
  <c r="G401" i="31" s="1"/>
  <c r="G440" i="10"/>
  <c r="G400" i="31" s="1"/>
  <c r="G438" i="10"/>
  <c r="G398" i="31" s="1"/>
  <c r="G417" i="10"/>
  <c r="G379" i="31" s="1"/>
  <c r="G416" i="10"/>
  <c r="G378" i="31" s="1"/>
  <c r="G364" i="11"/>
  <c r="H331" i="31" s="1"/>
  <c r="G361" i="10"/>
  <c r="G328" i="31" s="1"/>
  <c r="G360" i="10"/>
  <c r="G327" i="31" s="1"/>
  <c r="G359" i="10"/>
  <c r="G326" i="31" s="1"/>
  <c r="G338" i="11"/>
  <c r="H307" i="31" s="1"/>
  <c r="G294" i="10"/>
  <c r="G267" i="31" s="1"/>
  <c r="G293" i="10"/>
  <c r="G266" i="31" s="1"/>
  <c r="G286" i="11"/>
  <c r="H260" i="31" s="1"/>
  <c r="G206" i="10"/>
  <c r="G187" i="31" s="1"/>
  <c r="G215" i="10"/>
  <c r="G195" i="31" s="1"/>
  <c r="E132" i="23"/>
  <c r="G132" i="23" s="1"/>
  <c r="I132" i="23" s="1"/>
  <c r="E132" i="8"/>
  <c r="G132" i="8" s="1"/>
  <c r="E120" i="31" s="1"/>
  <c r="G127" i="10"/>
  <c r="G115" i="31" s="1"/>
  <c r="G126" i="10"/>
  <c r="G114" i="31" s="1"/>
  <c r="G118" i="10"/>
  <c r="G107" i="31" s="1"/>
  <c r="G77" i="11"/>
  <c r="H70" i="31" s="1"/>
  <c r="G67" i="11"/>
  <c r="H61" i="31" s="1"/>
  <c r="W161" i="31"/>
  <c r="S177" i="23"/>
  <c r="AA161" i="31" s="1"/>
  <c r="W564" i="31"/>
  <c r="S621" i="23"/>
  <c r="AA564" i="31" s="1"/>
  <c r="W436" i="31"/>
  <c r="S480" i="23"/>
  <c r="AA436" i="31" s="1"/>
  <c r="S571" i="23"/>
  <c r="AA519" i="31" s="1"/>
  <c r="W519" i="31"/>
  <c r="W579" i="31"/>
  <c r="S637" i="23"/>
  <c r="AA579" i="31" s="1"/>
  <c r="W507" i="31"/>
  <c r="S558" i="23"/>
  <c r="AA507" i="31" s="1"/>
  <c r="W496" i="31"/>
  <c r="S546" i="23"/>
  <c r="AA496" i="31" s="1"/>
  <c r="W160" i="31"/>
  <c r="S176" i="23"/>
  <c r="AA160" i="31" s="1"/>
  <c r="S422" i="23"/>
  <c r="AA383" i="31" s="1"/>
  <c r="W383" i="31"/>
  <c r="W459" i="31"/>
  <c r="S505" i="23"/>
  <c r="AA459" i="31" s="1"/>
  <c r="L501" i="23"/>
  <c r="X455" i="31" s="1"/>
  <c r="S500" i="23"/>
  <c r="AA454" i="31" s="1"/>
  <c r="W454" i="31"/>
  <c r="W423" i="31"/>
  <c r="W415" i="31"/>
  <c r="S457" i="23"/>
  <c r="AA415" i="31" s="1"/>
  <c r="G405" i="8"/>
  <c r="E368" i="31" s="1"/>
  <c r="S342" i="23"/>
  <c r="AA311" i="31" s="1"/>
  <c r="W311" i="31"/>
  <c r="S298" i="23"/>
  <c r="AA271" i="31" s="1"/>
  <c r="W271" i="31"/>
  <c r="W245" i="31"/>
  <c r="S270" i="23"/>
  <c r="AA245" i="31" s="1"/>
  <c r="W168" i="31"/>
  <c r="S185" i="23"/>
  <c r="AA168" i="31" s="1"/>
  <c r="W176" i="31"/>
  <c r="S194" i="23"/>
  <c r="AA176" i="31" s="1"/>
  <c r="W197" i="31"/>
  <c r="S217" i="23"/>
  <c r="AA197" i="31" s="1"/>
  <c r="G94" i="23"/>
  <c r="I94" i="23" s="1"/>
  <c r="W149" i="31"/>
  <c r="S164" i="23"/>
  <c r="AA149" i="31" s="1"/>
  <c r="W147" i="31"/>
  <c r="S162" i="23"/>
  <c r="AA147" i="31" s="1"/>
  <c r="W126" i="31"/>
  <c r="S139" i="23"/>
  <c r="AA126" i="31" s="1"/>
  <c r="G30" i="10"/>
  <c r="G27" i="31" s="1"/>
  <c r="W101" i="31"/>
  <c r="S111" i="23"/>
  <c r="AA101" i="31" s="1"/>
  <c r="W75" i="31"/>
  <c r="S83" i="23"/>
  <c r="AA75" i="31" s="1"/>
  <c r="W159" i="31"/>
  <c r="S175" i="23"/>
  <c r="AA159" i="31" s="1"/>
  <c r="W49" i="31"/>
  <c r="S54" i="23"/>
  <c r="AA49" i="31" s="1"/>
  <c r="W554" i="31"/>
  <c r="S610" i="23"/>
  <c r="AA554" i="31" s="1"/>
  <c r="W500" i="31"/>
  <c r="S550" i="23"/>
  <c r="AA500" i="31" s="1"/>
  <c r="W569" i="31"/>
  <c r="S626" i="23"/>
  <c r="AA569" i="31" s="1"/>
  <c r="W154" i="31"/>
  <c r="S170" i="23"/>
  <c r="AA154" i="31" s="1"/>
  <c r="I473" i="23"/>
  <c r="L469" i="23"/>
  <c r="X426" i="31" s="1"/>
  <c r="I452" i="23"/>
  <c r="L448" i="23"/>
  <c r="X407" i="31" s="1"/>
  <c r="I438" i="23"/>
  <c r="L419" i="23"/>
  <c r="X381" i="31" s="1"/>
  <c r="L406" i="23"/>
  <c r="X369" i="31" s="1"/>
  <c r="W365" i="31"/>
  <c r="S402" i="23"/>
  <c r="AA365" i="31" s="1"/>
  <c r="L359" i="23"/>
  <c r="X326" i="31" s="1"/>
  <c r="G337" i="23"/>
  <c r="I337" i="23" s="1"/>
  <c r="L292" i="23"/>
  <c r="X265" i="31" s="1"/>
  <c r="L190" i="23"/>
  <c r="X172" i="31" s="1"/>
  <c r="I209" i="23"/>
  <c r="G205" i="23"/>
  <c r="I205" i="23" s="1"/>
  <c r="L203" i="23"/>
  <c r="X184" i="31" s="1"/>
  <c r="G215" i="8"/>
  <c r="E195" i="31" s="1"/>
  <c r="I131" i="23"/>
  <c r="L126" i="23"/>
  <c r="X114" i="31" s="1"/>
  <c r="L143" i="23"/>
  <c r="X130" i="31" s="1"/>
  <c r="I121" i="23"/>
  <c r="L33" i="23"/>
  <c r="X30" i="31" s="1"/>
  <c r="I29" i="23"/>
  <c r="W93" i="31"/>
  <c r="S103" i="23"/>
  <c r="AA93" i="31" s="1"/>
  <c r="L98" i="23"/>
  <c r="X89" i="31" s="1"/>
  <c r="W295" i="31"/>
  <c r="S325" i="23"/>
  <c r="AA295" i="31" s="1"/>
  <c r="W484" i="31"/>
  <c r="S533" i="23"/>
  <c r="AA484" i="31" s="1"/>
  <c r="W157" i="31"/>
  <c r="S173" i="23"/>
  <c r="AA157" i="31" s="1"/>
  <c r="W587" i="31"/>
  <c r="S646" i="23"/>
  <c r="AA587" i="31" s="1"/>
  <c r="W432" i="31"/>
  <c r="S476" i="23"/>
  <c r="AA432" i="31" s="1"/>
  <c r="W571" i="31"/>
  <c r="S628" i="23"/>
  <c r="AA571" i="31" s="1"/>
  <c r="W300" i="31"/>
  <c r="S330" i="23"/>
  <c r="AA300" i="31" s="1"/>
  <c r="W389" i="31"/>
  <c r="S428" i="23"/>
  <c r="AA389" i="31" s="1"/>
  <c r="W341" i="31"/>
  <c r="S375" i="23"/>
  <c r="AA341" i="31" s="1"/>
  <c r="W512" i="31"/>
  <c r="S564" i="23"/>
  <c r="AA512" i="31" s="1"/>
  <c r="L515" i="23"/>
  <c r="X468" i="31" s="1"/>
  <c r="G506" i="23"/>
  <c r="I506" i="23" s="1"/>
  <c r="G504" i="8"/>
  <c r="E458" i="31" s="1"/>
  <c r="L502" i="23"/>
  <c r="X456" i="31" s="1"/>
  <c r="L496" i="23"/>
  <c r="X451" i="31" s="1"/>
  <c r="G492" i="23"/>
  <c r="I492" i="23" s="1"/>
  <c r="G465" i="8"/>
  <c r="E422" i="31" s="1"/>
  <c r="G460" i="8"/>
  <c r="E418" i="31" s="1"/>
  <c r="G456" i="8"/>
  <c r="E414" i="31" s="1"/>
  <c r="L438" i="23"/>
  <c r="X398" i="31" s="1"/>
  <c r="G415" i="8"/>
  <c r="E377" i="31" s="1"/>
  <c r="G413" i="8"/>
  <c r="E375" i="31" s="1"/>
  <c r="L401" i="23"/>
  <c r="X364" i="31" s="1"/>
  <c r="G401" i="23"/>
  <c r="I401" i="23" s="1"/>
  <c r="L363" i="23"/>
  <c r="X330" i="31" s="1"/>
  <c r="G357" i="8"/>
  <c r="E324" i="31" s="1"/>
  <c r="G339" i="23"/>
  <c r="I339" i="23" s="1"/>
  <c r="L297" i="23"/>
  <c r="X270" i="31" s="1"/>
  <c r="G295" i="23"/>
  <c r="I295" i="23" s="1"/>
  <c r="L275" i="23"/>
  <c r="X250" i="31" s="1"/>
  <c r="G273" i="23"/>
  <c r="I273" i="23" s="1"/>
  <c r="G271" i="8"/>
  <c r="E246" i="31" s="1"/>
  <c r="G188" i="8"/>
  <c r="E171" i="31" s="1"/>
  <c r="L199" i="23"/>
  <c r="X181" i="31" s="1"/>
  <c r="G195" i="8"/>
  <c r="E177" i="31" s="1"/>
  <c r="L193" i="23"/>
  <c r="X175" i="31" s="1"/>
  <c r="G191" i="23"/>
  <c r="I191" i="23" s="1"/>
  <c r="G201" i="23"/>
  <c r="I201" i="23" s="1"/>
  <c r="L220" i="23"/>
  <c r="X200" i="31" s="1"/>
  <c r="G218" i="23"/>
  <c r="I218" i="23" s="1"/>
  <c r="L216" i="23"/>
  <c r="X196" i="31" s="1"/>
  <c r="G130" i="23"/>
  <c r="I130" i="23" s="1"/>
  <c r="G129" i="23"/>
  <c r="I129" i="23" s="1"/>
  <c r="L125" i="23"/>
  <c r="X113" i="31" s="1"/>
  <c r="G92" i="23"/>
  <c r="I92" i="23" s="1"/>
  <c r="L165" i="23"/>
  <c r="X150" i="31" s="1"/>
  <c r="G161" i="23"/>
  <c r="I161" i="23" s="1"/>
  <c r="L159" i="23"/>
  <c r="X144" i="31" s="1"/>
  <c r="I143" i="23"/>
  <c r="G142" i="8"/>
  <c r="E129" i="31" s="1"/>
  <c r="G138" i="8"/>
  <c r="E125" i="31" s="1"/>
  <c r="L119" i="23"/>
  <c r="X108" i="31" s="1"/>
  <c r="G118" i="8"/>
  <c r="E107" i="31" s="1"/>
  <c r="G27" i="10"/>
  <c r="G24" i="31" s="1"/>
  <c r="G25" i="23"/>
  <c r="I25" i="23" s="1"/>
  <c r="G110" i="8"/>
  <c r="E100" i="31" s="1"/>
  <c r="L108" i="23"/>
  <c r="X98" i="31" s="1"/>
  <c r="G104" i="10"/>
  <c r="G94" i="31" s="1"/>
  <c r="G98" i="10"/>
  <c r="G89" i="31" s="1"/>
  <c r="G88" i="8"/>
  <c r="E80" i="31" s="1"/>
  <c r="L86" i="23"/>
  <c r="X78" i="31" s="1"/>
  <c r="G82" i="23"/>
  <c r="I82" i="23" s="1"/>
  <c r="G78" i="10"/>
  <c r="G71" i="31" s="1"/>
  <c r="G70" i="10"/>
  <c r="G63" i="31" s="1"/>
  <c r="W67" i="31"/>
  <c r="S74" i="23"/>
  <c r="AA67" i="31" s="1"/>
  <c r="W529" i="31"/>
  <c r="S582" i="23"/>
  <c r="AA529" i="31" s="1"/>
  <c r="W44" i="31"/>
  <c r="S49" i="23"/>
  <c r="AA44" i="31" s="1"/>
  <c r="W544" i="31"/>
  <c r="S599" i="23"/>
  <c r="AA544" i="31" s="1"/>
  <c r="W490" i="31"/>
  <c r="S539" i="23"/>
  <c r="AA490" i="31" s="1"/>
  <c r="W434" i="31"/>
  <c r="S478" i="23"/>
  <c r="AA434" i="31" s="1"/>
  <c r="W297" i="31"/>
  <c r="S327" i="23"/>
  <c r="AA297" i="31" s="1"/>
  <c r="W476" i="31"/>
  <c r="S524" i="23"/>
  <c r="AA476" i="31" s="1"/>
  <c r="W483" i="31"/>
  <c r="S532" i="23"/>
  <c r="AA483" i="31" s="1"/>
  <c r="S529" i="23"/>
  <c r="AA481" i="31" s="1"/>
  <c r="S430" i="23"/>
  <c r="AA391" i="31" s="1"/>
  <c r="W391" i="31"/>
  <c r="T556" i="6"/>
  <c r="R505" i="31"/>
  <c r="W121" i="31"/>
  <c r="S133" i="23"/>
  <c r="AA121" i="31" s="1"/>
  <c r="L513" i="23"/>
  <c r="X466" i="31" s="1"/>
  <c r="G474" i="8"/>
  <c r="E431" i="31" s="1"/>
  <c r="L472" i="23"/>
  <c r="X429" i="31" s="1"/>
  <c r="G468" i="23"/>
  <c r="I468" i="23" s="1"/>
  <c r="G454" i="8"/>
  <c r="E412" i="31" s="1"/>
  <c r="L451" i="23"/>
  <c r="X410" i="31" s="1"/>
  <c r="G441" i="8"/>
  <c r="E401" i="31" s="1"/>
  <c r="G437" i="8"/>
  <c r="E397" i="31" s="1"/>
  <c r="G418" i="8"/>
  <c r="E380" i="31" s="1"/>
  <c r="L416" i="23"/>
  <c r="X378" i="31" s="1"/>
  <c r="L414" i="23"/>
  <c r="X376" i="31" s="1"/>
  <c r="L407" i="23"/>
  <c r="X370" i="31" s="1"/>
  <c r="G403" i="23"/>
  <c r="I403" i="23" s="1"/>
  <c r="G385" i="23"/>
  <c r="I385" i="23" s="1"/>
  <c r="I384" i="23"/>
  <c r="G383" i="8"/>
  <c r="E348" i="31" s="1"/>
  <c r="G364" i="23"/>
  <c r="I364" i="23" s="1"/>
  <c r="G362" i="8"/>
  <c r="E329" i="31" s="1"/>
  <c r="L360" i="23"/>
  <c r="X327" i="31" s="1"/>
  <c r="G293" i="23"/>
  <c r="I293" i="23" s="1"/>
  <c r="G210" i="8"/>
  <c r="E191" i="31" s="1"/>
  <c r="L208" i="23"/>
  <c r="X189" i="31" s="1"/>
  <c r="I208" i="23"/>
  <c r="G202" i="23"/>
  <c r="I202" i="23" s="1"/>
  <c r="L132" i="23"/>
  <c r="X120" i="31" s="1"/>
  <c r="L127" i="23"/>
  <c r="X115" i="31" s="1"/>
  <c r="G91" i="8"/>
  <c r="E82" i="31" s="1"/>
  <c r="L163" i="23"/>
  <c r="X148" i="31" s="1"/>
  <c r="G144" i="8"/>
  <c r="E131" i="31" s="1"/>
  <c r="G120" i="23"/>
  <c r="I120" i="23" s="1"/>
  <c r="G43" i="8"/>
  <c r="E39" i="31" s="1"/>
  <c r="G34" i="23"/>
  <c r="I34" i="23" s="1"/>
  <c r="G32" i="8"/>
  <c r="E29" i="31" s="1"/>
  <c r="L30" i="23"/>
  <c r="X27" i="31" s="1"/>
  <c r="G26" i="23"/>
  <c r="I26" i="23" s="1"/>
  <c r="G106" i="10"/>
  <c r="G96" i="31" s="1"/>
  <c r="L104" i="23"/>
  <c r="X94" i="31" s="1"/>
  <c r="G99" i="23"/>
  <c r="I99" i="23" s="1"/>
  <c r="G97" i="8"/>
  <c r="E88" i="31" s="1"/>
  <c r="G86" i="10"/>
  <c r="G78" i="31" s="1"/>
  <c r="L80" i="23"/>
  <c r="X72" i="31" s="1"/>
  <c r="G75" i="23"/>
  <c r="I75" i="23" s="1"/>
  <c r="G73" i="8"/>
  <c r="E66" i="31" s="1"/>
  <c r="L71" i="23"/>
  <c r="X64" i="31" s="1"/>
  <c r="I67" i="23"/>
  <c r="L63" i="23"/>
  <c r="X57" i="31" s="1"/>
  <c r="L69" i="23"/>
  <c r="X62" i="31" s="1"/>
  <c r="G65" i="10"/>
  <c r="G59" i="31" s="1"/>
  <c r="G76" i="23"/>
  <c r="I76" i="23" s="1"/>
  <c r="G66" i="8"/>
  <c r="E60" i="31" s="1"/>
  <c r="G64" i="8"/>
  <c r="E58" i="31" s="1"/>
  <c r="G62" i="8"/>
  <c r="E56" i="31" s="1"/>
  <c r="F21" i="10"/>
  <c r="H21" i="23"/>
  <c r="K21" i="23" s="1"/>
  <c r="N21" i="23" s="1"/>
  <c r="O21" i="23" s="1"/>
  <c r="Y19" i="31" s="1"/>
  <c r="E21" i="20"/>
  <c r="U19" i="31" s="1"/>
  <c r="O22" i="23"/>
  <c r="Y20" i="31" s="1"/>
  <c r="E21" i="23"/>
  <c r="G21" i="23" s="1"/>
  <c r="I21" i="23" s="1"/>
  <c r="E21" i="8"/>
  <c r="G21" i="8" s="1"/>
  <c r="E19" i="31" s="1"/>
  <c r="L21" i="23"/>
  <c r="X19" i="31" s="1"/>
  <c r="F22" i="23"/>
  <c r="F22" i="8"/>
  <c r="E23" i="23"/>
  <c r="G23" i="23" s="1"/>
  <c r="I23" i="23" s="1"/>
  <c r="E23" i="8"/>
  <c r="G23" i="8" s="1"/>
  <c r="E21" i="31" s="1"/>
  <c r="L23" i="23"/>
  <c r="X21" i="31" s="1"/>
  <c r="G65" i="14"/>
  <c r="K59" i="31" s="1"/>
  <c r="G186" i="10"/>
  <c r="G169" i="31" s="1"/>
  <c r="G185" i="10"/>
  <c r="G168" i="31" s="1"/>
  <c r="G183" i="10"/>
  <c r="G166" i="31" s="1"/>
  <c r="G198" i="11"/>
  <c r="H180" i="31" s="1"/>
  <c r="G196" i="11"/>
  <c r="H178" i="31" s="1"/>
  <c r="G194" i="11"/>
  <c r="H176" i="31" s="1"/>
  <c r="G192" i="11"/>
  <c r="H174" i="31" s="1"/>
  <c r="G208" i="10"/>
  <c r="G189" i="31" s="1"/>
  <c r="G218" i="11"/>
  <c r="H198" i="31" s="1"/>
  <c r="G216" i="11"/>
  <c r="H196" i="31" s="1"/>
  <c r="G214" i="11"/>
  <c r="H194" i="31" s="1"/>
  <c r="G95" i="11"/>
  <c r="H86" i="31" s="1"/>
  <c r="G162" i="11"/>
  <c r="H147" i="31" s="1"/>
  <c r="G161" i="11"/>
  <c r="H146" i="31" s="1"/>
  <c r="G160" i="11"/>
  <c r="H145" i="31" s="1"/>
  <c r="G144" i="11"/>
  <c r="H131" i="31" s="1"/>
  <c r="G142" i="10"/>
  <c r="G129" i="31" s="1"/>
  <c r="G141" i="10"/>
  <c r="G128" i="31" s="1"/>
  <c r="G140" i="10"/>
  <c r="G127" i="31" s="1"/>
  <c r="G139" i="10"/>
  <c r="G126" i="31" s="1"/>
  <c r="G138" i="10"/>
  <c r="G125" i="31" s="1"/>
  <c r="G137" i="10"/>
  <c r="G124" i="31" s="1"/>
  <c r="G136" i="10"/>
  <c r="G123" i="31" s="1"/>
  <c r="G107" i="11"/>
  <c r="H97" i="31" s="1"/>
  <c r="G103" i="10"/>
  <c r="G93" i="31" s="1"/>
  <c r="G85" i="10"/>
  <c r="G77" i="31" s="1"/>
  <c r="G69" i="10"/>
  <c r="G62" i="31" s="1"/>
  <c r="G99" i="11"/>
  <c r="H90" i="31" s="1"/>
  <c r="G471" i="10"/>
  <c r="G428" i="31" s="1"/>
  <c r="G450" i="10"/>
  <c r="G409" i="31" s="1"/>
  <c r="G441" i="11"/>
  <c r="H401" i="31" s="1"/>
  <c r="G437" i="10"/>
  <c r="G397" i="31" s="1"/>
  <c r="G435" i="10"/>
  <c r="G395" i="31" s="1"/>
  <c r="G416" i="11"/>
  <c r="H378" i="31" s="1"/>
  <c r="G414" i="10"/>
  <c r="G376" i="31" s="1"/>
  <c r="G412" i="10"/>
  <c r="G374" i="31" s="1"/>
  <c r="G404" i="11"/>
  <c r="H367" i="31" s="1"/>
  <c r="G386" i="11"/>
  <c r="H351" i="31" s="1"/>
  <c r="G382" i="11"/>
  <c r="H347" i="31" s="1"/>
  <c r="G360" i="11"/>
  <c r="H327" i="31" s="1"/>
  <c r="G358" i="11"/>
  <c r="H325" i="31" s="1"/>
  <c r="G294" i="11"/>
  <c r="H267" i="31" s="1"/>
  <c r="G292" i="11"/>
  <c r="H265" i="31" s="1"/>
  <c r="G202" i="10"/>
  <c r="G183" i="31" s="1"/>
  <c r="G131" i="10"/>
  <c r="G119" i="31" s="1"/>
  <c r="G63" i="10"/>
  <c r="G57" i="31" s="1"/>
  <c r="W493" i="31"/>
  <c r="S543" i="23"/>
  <c r="AA493" i="31" s="1"/>
  <c r="W528" i="31"/>
  <c r="S581" i="23"/>
  <c r="AA528" i="31" s="1"/>
  <c r="W498" i="31"/>
  <c r="S548" i="23"/>
  <c r="AA498" i="31" s="1"/>
  <c r="W296" i="31"/>
  <c r="S326" i="23"/>
  <c r="AA296" i="31" s="1"/>
  <c r="W354" i="31"/>
  <c r="S390" i="23"/>
  <c r="AA354" i="31" s="1"/>
  <c r="W323" i="31"/>
  <c r="S356" i="23"/>
  <c r="AA323" i="31" s="1"/>
  <c r="W470" i="31"/>
  <c r="S517" i="23"/>
  <c r="AA470" i="31" s="1"/>
  <c r="W457" i="31"/>
  <c r="S503" i="23"/>
  <c r="AA457" i="31" s="1"/>
  <c r="W450" i="31"/>
  <c r="S495" i="23"/>
  <c r="AA450" i="31" s="1"/>
  <c r="W448" i="31"/>
  <c r="S493" i="23"/>
  <c r="AA448" i="31" s="1"/>
  <c r="W421" i="31"/>
  <c r="S463" i="23"/>
  <c r="AA421" i="31" s="1"/>
  <c r="W413" i="31"/>
  <c r="S455" i="23"/>
  <c r="AA413" i="31" s="1"/>
  <c r="G405" i="23"/>
  <c r="I405" i="23" s="1"/>
  <c r="W347" i="31"/>
  <c r="S382" i="23"/>
  <c r="AA347" i="31" s="1"/>
  <c r="W309" i="31"/>
  <c r="S340" i="23"/>
  <c r="AA309" i="31" s="1"/>
  <c r="G338" i="23"/>
  <c r="I338" i="23" s="1"/>
  <c r="W269" i="31"/>
  <c r="S296" i="23"/>
  <c r="AA269" i="31" s="1"/>
  <c r="W262" i="31"/>
  <c r="S289" i="23"/>
  <c r="AA262" i="31" s="1"/>
  <c r="W261" i="31"/>
  <c r="S287" i="23"/>
  <c r="AA261" i="31" s="1"/>
  <c r="G286" i="8"/>
  <c r="E260" i="31" s="1"/>
  <c r="W251" i="31"/>
  <c r="S276" i="23"/>
  <c r="AA251" i="31" s="1"/>
  <c r="W243" i="31"/>
  <c r="S268" i="23"/>
  <c r="AA243" i="31" s="1"/>
  <c r="W174" i="31"/>
  <c r="S192" i="23"/>
  <c r="AA174" i="31" s="1"/>
  <c r="W145" i="31"/>
  <c r="S160" i="23"/>
  <c r="AA145" i="31" s="1"/>
  <c r="W124" i="31"/>
  <c r="S137" i="23"/>
  <c r="AA124" i="31" s="1"/>
  <c r="G43" i="10"/>
  <c r="G39" i="31" s="1"/>
  <c r="G32" i="10"/>
  <c r="G29" i="31" s="1"/>
  <c r="W99" i="31"/>
  <c r="S109" i="23"/>
  <c r="AA99" i="31" s="1"/>
  <c r="W81" i="31"/>
  <c r="S89" i="23"/>
  <c r="AA81" i="31" s="1"/>
  <c r="W73" i="31"/>
  <c r="S81" i="23"/>
  <c r="AA73" i="31" s="1"/>
  <c r="T557" i="6"/>
  <c r="R506" i="31"/>
  <c r="W384" i="31"/>
  <c r="S423" i="23"/>
  <c r="AA384" i="31" s="1"/>
  <c r="W43" i="31"/>
  <c r="S48" i="23"/>
  <c r="AA43" i="31" s="1"/>
  <c r="W545" i="31"/>
  <c r="S600" i="23"/>
  <c r="AA545" i="31" s="1"/>
  <c r="W531" i="31"/>
  <c r="S584" i="23"/>
  <c r="AA531" i="31" s="1"/>
  <c r="W338" i="31"/>
  <c r="S372" i="23"/>
  <c r="AA338" i="31" s="1"/>
  <c r="W549" i="31"/>
  <c r="S604" i="23"/>
  <c r="AA549" i="31" s="1"/>
  <c r="W478" i="31"/>
  <c r="S526" i="23"/>
  <c r="AA478" i="31" s="1"/>
  <c r="L499" i="23"/>
  <c r="X453" i="31" s="1"/>
  <c r="I501" i="23"/>
  <c r="L491" i="23"/>
  <c r="X446" i="31" s="1"/>
  <c r="I471" i="23"/>
  <c r="I450" i="23"/>
  <c r="G446" i="8"/>
  <c r="E405" i="31" s="1"/>
  <c r="L440" i="23"/>
  <c r="X400" i="31" s="1"/>
  <c r="L417" i="23"/>
  <c r="X379" i="31" s="1"/>
  <c r="I408" i="23"/>
  <c r="L386" i="23"/>
  <c r="X351" i="31" s="1"/>
  <c r="I361" i="23"/>
  <c r="I294" i="23"/>
  <c r="G215" i="23"/>
  <c r="I215" i="23" s="1"/>
  <c r="L92" i="23"/>
  <c r="X83" i="31" s="1"/>
  <c r="G95" i="8"/>
  <c r="E86" i="31" s="1"/>
  <c r="L135" i="23"/>
  <c r="X122" i="31" s="1"/>
  <c r="G45" i="10"/>
  <c r="G41" i="31" s="1"/>
  <c r="L31" i="23"/>
  <c r="X28" i="31" s="1"/>
  <c r="I27" i="23"/>
  <c r="I100" i="23"/>
  <c r="L96" i="23"/>
  <c r="X87" i="31" s="1"/>
  <c r="W48" i="31"/>
  <c r="S53" i="23"/>
  <c r="AA48" i="31" s="1"/>
  <c r="W556" i="31"/>
  <c r="S612" i="23"/>
  <c r="AA556" i="31" s="1"/>
  <c r="W336" i="31"/>
  <c r="S370" i="23"/>
  <c r="AA336" i="31" s="1"/>
  <c r="W474" i="31"/>
  <c r="S522" i="23"/>
  <c r="AA474" i="31" s="1"/>
  <c r="S521" i="23"/>
  <c r="AA473" i="31" s="1"/>
  <c r="W581" i="31"/>
  <c r="S639" i="23"/>
  <c r="AA581" i="31" s="1"/>
  <c r="W156" i="31"/>
  <c r="S172" i="23"/>
  <c r="AA156" i="31" s="1"/>
  <c r="G515" i="8"/>
  <c r="E468" i="31" s="1"/>
  <c r="L514" i="23"/>
  <c r="X467" i="31" s="1"/>
  <c r="G504" i="23"/>
  <c r="I504" i="23" s="1"/>
  <c r="G502" i="8"/>
  <c r="E456" i="31" s="1"/>
  <c r="G496" i="8"/>
  <c r="E451" i="31" s="1"/>
  <c r="L467" i="23"/>
  <c r="X424" i="31" s="1"/>
  <c r="G465" i="23"/>
  <c r="I465" i="23" s="1"/>
  <c r="L462" i="23"/>
  <c r="X420" i="31" s="1"/>
  <c r="G460" i="23"/>
  <c r="I460" i="23" s="1"/>
  <c r="L458" i="23"/>
  <c r="X416" i="31" s="1"/>
  <c r="G456" i="23"/>
  <c r="I456" i="23" s="1"/>
  <c r="G435" i="8"/>
  <c r="E395" i="31" s="1"/>
  <c r="G415" i="23"/>
  <c r="I415" i="23" s="1"/>
  <c r="L412" i="23"/>
  <c r="X374" i="31" s="1"/>
  <c r="G413" i="23"/>
  <c r="I413" i="23" s="1"/>
  <c r="G363" i="8"/>
  <c r="E330" i="31" s="1"/>
  <c r="G357" i="23"/>
  <c r="I357" i="23" s="1"/>
  <c r="L341" i="23"/>
  <c r="X310" i="31" s="1"/>
  <c r="G297" i="8"/>
  <c r="E270" i="31" s="1"/>
  <c r="G275" i="8"/>
  <c r="E250" i="31" s="1"/>
  <c r="G271" i="23"/>
  <c r="I271" i="23" s="1"/>
  <c r="L269" i="23"/>
  <c r="X244" i="31" s="1"/>
  <c r="G188" i="23"/>
  <c r="I188" i="23" s="1"/>
  <c r="L186" i="23"/>
  <c r="X169" i="31" s="1"/>
  <c r="G184" i="8"/>
  <c r="E167" i="31" s="1"/>
  <c r="G199" i="8"/>
  <c r="E181" i="31" s="1"/>
  <c r="L197" i="23"/>
  <c r="X179" i="31" s="1"/>
  <c r="G195" i="23"/>
  <c r="I195" i="23" s="1"/>
  <c r="G193" i="8"/>
  <c r="E175" i="31" s="1"/>
  <c r="L205" i="23"/>
  <c r="X186" i="31" s="1"/>
  <c r="G220" i="8"/>
  <c r="E200" i="31" s="1"/>
  <c r="G216" i="8"/>
  <c r="E196" i="31" s="1"/>
  <c r="L129" i="23"/>
  <c r="X117" i="31" s="1"/>
  <c r="L128" i="23"/>
  <c r="X116" i="31" s="1"/>
  <c r="G125" i="8"/>
  <c r="E113" i="31" s="1"/>
  <c r="G165" i="8"/>
  <c r="E150" i="31" s="1"/>
  <c r="G159" i="8"/>
  <c r="E144" i="31" s="1"/>
  <c r="G142" i="23"/>
  <c r="I142" i="23" s="1"/>
  <c r="L140" i="23"/>
  <c r="X127" i="31" s="1"/>
  <c r="G138" i="23"/>
  <c r="I138" i="23" s="1"/>
  <c r="L136" i="23"/>
  <c r="X123" i="31" s="1"/>
  <c r="G118" i="23"/>
  <c r="I118" i="23" s="1"/>
  <c r="G29" i="10"/>
  <c r="G26" i="31" s="1"/>
  <c r="G110" i="23"/>
  <c r="I110" i="23" s="1"/>
  <c r="G108" i="8"/>
  <c r="E98" i="31" s="1"/>
  <c r="L106" i="23"/>
  <c r="X96" i="31" s="1"/>
  <c r="G100" i="10"/>
  <c r="G91" i="31" s="1"/>
  <c r="G88" i="23"/>
  <c r="I88" i="23" s="1"/>
  <c r="G86" i="8"/>
  <c r="E78" i="31" s="1"/>
  <c r="L84" i="23"/>
  <c r="X76" i="31" s="1"/>
  <c r="G72" i="10"/>
  <c r="G65" i="31" s="1"/>
  <c r="G62" i="10"/>
  <c r="G56" i="31" s="1"/>
  <c r="W54" i="31"/>
  <c r="S60" i="23"/>
  <c r="AA54" i="31" s="1"/>
  <c r="W45" i="31"/>
  <c r="S50" i="23"/>
  <c r="AA45" i="31" s="1"/>
  <c r="W568" i="31"/>
  <c r="S625" i="23"/>
  <c r="AA568" i="31" s="1"/>
  <c r="W542" i="31"/>
  <c r="S597" i="23"/>
  <c r="AA542" i="31" s="1"/>
  <c r="W560" i="31"/>
  <c r="S616" i="23"/>
  <c r="AA560" i="31" s="1"/>
  <c r="W586" i="31"/>
  <c r="S645" i="23"/>
  <c r="AA586" i="31" s="1"/>
  <c r="W558" i="31"/>
  <c r="S614" i="23"/>
  <c r="AA558" i="31" s="1"/>
  <c r="W477" i="31"/>
  <c r="S525" i="23"/>
  <c r="AA477" i="31" s="1"/>
  <c r="W155" i="31"/>
  <c r="S171" i="23"/>
  <c r="AA155" i="31" s="1"/>
  <c r="S606" i="23"/>
  <c r="AA551" i="31" s="1"/>
  <c r="W551" i="31"/>
  <c r="W158" i="31"/>
  <c r="S174" i="23"/>
  <c r="AA158" i="31" s="1"/>
  <c r="G513" i="8"/>
  <c r="E466" i="31" s="1"/>
  <c r="L494" i="23"/>
  <c r="X449" i="31" s="1"/>
  <c r="G474" i="23"/>
  <c r="I474" i="23" s="1"/>
  <c r="G472" i="8"/>
  <c r="E429" i="31" s="1"/>
  <c r="L470" i="23"/>
  <c r="X427" i="31" s="1"/>
  <c r="G454" i="23"/>
  <c r="I454" i="23" s="1"/>
  <c r="G451" i="8"/>
  <c r="E410" i="31" s="1"/>
  <c r="L449" i="23"/>
  <c r="X408" i="31" s="1"/>
  <c r="G441" i="23"/>
  <c r="I441" i="23" s="1"/>
  <c r="G437" i="23"/>
  <c r="I437" i="23" s="1"/>
  <c r="G418" i="23"/>
  <c r="I418" i="23" s="1"/>
  <c r="G416" i="8"/>
  <c r="E378" i="31" s="1"/>
  <c r="G414" i="8"/>
  <c r="E376" i="31" s="1"/>
  <c r="G407" i="8"/>
  <c r="E370" i="31" s="1"/>
  <c r="L405" i="23"/>
  <c r="X368" i="31" s="1"/>
  <c r="G404" i="23"/>
  <c r="I404" i="23" s="1"/>
  <c r="G383" i="23"/>
  <c r="I383" i="23" s="1"/>
  <c r="G362" i="23"/>
  <c r="I362" i="23" s="1"/>
  <c r="G360" i="8"/>
  <c r="E327" i="31" s="1"/>
  <c r="L358" i="23"/>
  <c r="X325" i="31" s="1"/>
  <c r="L267" i="23"/>
  <c r="X242" i="31" s="1"/>
  <c r="L183" i="23"/>
  <c r="X166" i="31" s="1"/>
  <c r="I183" i="23"/>
  <c r="G210" i="23"/>
  <c r="I210" i="23" s="1"/>
  <c r="L204" i="23"/>
  <c r="X185" i="31" s="1"/>
  <c r="G127" i="8"/>
  <c r="E115" i="31" s="1"/>
  <c r="G91" i="23"/>
  <c r="I91" i="23" s="1"/>
  <c r="G163" i="8"/>
  <c r="E148" i="31" s="1"/>
  <c r="G144" i="23"/>
  <c r="I144" i="23" s="1"/>
  <c r="L122" i="23"/>
  <c r="X111" i="31" s="1"/>
  <c r="G43" i="23"/>
  <c r="I43" i="23" s="1"/>
  <c r="G32" i="23"/>
  <c r="I32" i="23" s="1"/>
  <c r="G30" i="8"/>
  <c r="E27" i="31" s="1"/>
  <c r="L28" i="23"/>
  <c r="X25" i="31" s="1"/>
  <c r="G110" i="10"/>
  <c r="G100" i="31" s="1"/>
  <c r="G108" i="10"/>
  <c r="G98" i="31" s="1"/>
  <c r="L102" i="23"/>
  <c r="X92" i="31" s="1"/>
  <c r="G97" i="23"/>
  <c r="I97" i="23" s="1"/>
  <c r="G88" i="10"/>
  <c r="G80" i="31" s="1"/>
  <c r="L77" i="23"/>
  <c r="X70" i="31" s="1"/>
  <c r="G73" i="23"/>
  <c r="I73" i="23" s="1"/>
  <c r="G71" i="8"/>
  <c r="E64" i="31" s="1"/>
  <c r="I65" i="23"/>
  <c r="L61" i="23"/>
  <c r="X55" i="31" s="1"/>
  <c r="G60" i="10"/>
  <c r="G54" i="31" s="1"/>
  <c r="G69" i="8"/>
  <c r="E62" i="31" s="1"/>
  <c r="L72" i="23"/>
  <c r="X65" i="31" s="1"/>
  <c r="G66" i="23"/>
  <c r="I66" i="23" s="1"/>
  <c r="G64" i="23"/>
  <c r="I64" i="23" s="1"/>
  <c r="G62" i="23"/>
  <c r="I62" i="23" s="1"/>
  <c r="G439" i="11"/>
  <c r="H399" i="31" s="1"/>
  <c r="G186" i="11"/>
  <c r="H169" i="31" s="1"/>
  <c r="G183" i="9"/>
  <c r="F166" i="31" s="1"/>
  <c r="G208" i="11"/>
  <c r="H189" i="31" s="1"/>
  <c r="G142" i="11"/>
  <c r="H129" i="31" s="1"/>
  <c r="G140" i="11"/>
  <c r="H127" i="31" s="1"/>
  <c r="G139" i="11"/>
  <c r="H126" i="31" s="1"/>
  <c r="G138" i="11"/>
  <c r="H125" i="31" s="1"/>
  <c r="G136" i="11"/>
  <c r="H123" i="31" s="1"/>
  <c r="G103" i="11"/>
  <c r="H93" i="31" s="1"/>
  <c r="G85" i="11"/>
  <c r="H77" i="31" s="1"/>
  <c r="G69" i="11"/>
  <c r="H62" i="31" s="1"/>
  <c r="G59" i="11"/>
  <c r="H53" i="31" s="1"/>
  <c r="G474" i="11"/>
  <c r="H431" i="31" s="1"/>
  <c r="G470" i="11"/>
  <c r="H427" i="31" s="1"/>
  <c r="G450" i="11"/>
  <c r="H409" i="31" s="1"/>
  <c r="G437" i="11"/>
  <c r="H397" i="31" s="1"/>
  <c r="G435" i="11"/>
  <c r="H395" i="31" s="1"/>
  <c r="G414" i="11"/>
  <c r="H376" i="31" s="1"/>
  <c r="G412" i="11"/>
  <c r="H374" i="31" s="1"/>
  <c r="G92" i="10"/>
  <c r="G83" i="31" s="1"/>
  <c r="G63" i="11"/>
  <c r="H57" i="31" s="1"/>
  <c r="W530" i="31"/>
  <c r="S583" i="23"/>
  <c r="AA530" i="31" s="1"/>
  <c r="W50" i="31"/>
  <c r="S55" i="23"/>
  <c r="AA50" i="31" s="1"/>
  <c r="W492" i="31"/>
  <c r="S542" i="23"/>
  <c r="AA492" i="31" s="1"/>
  <c r="W360" i="31"/>
  <c r="S396" i="23"/>
  <c r="AA360" i="31" s="1"/>
  <c r="W588" i="31"/>
  <c r="S647" i="23"/>
  <c r="AA588" i="31" s="1"/>
  <c r="W419" i="31"/>
  <c r="S461" i="23"/>
  <c r="AA419" i="31" s="1"/>
  <c r="W399" i="31"/>
  <c r="S439" i="23"/>
  <c r="AA399" i="31" s="1"/>
  <c r="W264" i="31"/>
  <c r="S291" i="23"/>
  <c r="AA264" i="31" s="1"/>
  <c r="W260" i="31"/>
  <c r="S286" i="23"/>
  <c r="AA260" i="31" s="1"/>
  <c r="W249" i="31"/>
  <c r="S274" i="23"/>
  <c r="AA249" i="31" s="1"/>
  <c r="W180" i="31"/>
  <c r="S198" i="23"/>
  <c r="AA180" i="31" s="1"/>
  <c r="W187" i="31"/>
  <c r="S206" i="23"/>
  <c r="AA187" i="31" s="1"/>
  <c r="W201" i="31"/>
  <c r="S221" i="23"/>
  <c r="AA201" i="31" s="1"/>
  <c r="W141" i="31"/>
  <c r="S155" i="23"/>
  <c r="AA141" i="31" s="1"/>
  <c r="G34" i="10"/>
  <c r="G31" i="31" s="1"/>
  <c r="G26" i="10"/>
  <c r="G23" i="31" s="1"/>
  <c r="W97" i="31"/>
  <c r="S107" i="23"/>
  <c r="AA97" i="31" s="1"/>
  <c r="G102" i="10"/>
  <c r="G92" i="31" s="1"/>
  <c r="G97" i="10"/>
  <c r="G88" i="31" s="1"/>
  <c r="W79" i="31"/>
  <c r="S87" i="23"/>
  <c r="AA79" i="31" s="1"/>
  <c r="W65" i="31"/>
  <c r="S72" i="23"/>
  <c r="AA65" i="31" s="1"/>
  <c r="W552" i="31"/>
  <c r="S608" i="23"/>
  <c r="AA552" i="31" s="1"/>
  <c r="W570" i="31"/>
  <c r="S627" i="23"/>
  <c r="AA570" i="31" s="1"/>
  <c r="W479" i="31"/>
  <c r="S527" i="23"/>
  <c r="AA479" i="31" s="1"/>
  <c r="S482" i="23"/>
  <c r="AA438" i="31" s="1"/>
  <c r="W438" i="31"/>
  <c r="W521" i="31"/>
  <c r="S573" i="23"/>
  <c r="AA521" i="31" s="1"/>
  <c r="W547" i="31"/>
  <c r="S602" i="23"/>
  <c r="AA547" i="31" s="1"/>
  <c r="W47" i="31"/>
  <c r="S52" i="23"/>
  <c r="AA47" i="31" s="1"/>
  <c r="W298" i="31"/>
  <c r="S328" i="23"/>
  <c r="AA298" i="31" s="1"/>
  <c r="W514" i="31"/>
  <c r="S566" i="23"/>
  <c r="AA514" i="31" s="1"/>
  <c r="I518" i="23"/>
  <c r="L473" i="23"/>
  <c r="X430" i="31" s="1"/>
  <c r="I469" i="23"/>
  <c r="L452" i="23"/>
  <c r="X411" i="31" s="1"/>
  <c r="I448" i="23"/>
  <c r="G446" i="23"/>
  <c r="I446" i="23" s="1"/>
  <c r="I419" i="23"/>
  <c r="I412" i="23"/>
  <c r="I406" i="23"/>
  <c r="L383" i="23"/>
  <c r="X348" i="31" s="1"/>
  <c r="I359" i="23"/>
  <c r="I292" i="23"/>
  <c r="I190" i="23"/>
  <c r="L209" i="23"/>
  <c r="X190" i="31" s="1"/>
  <c r="I203" i="23"/>
  <c r="L131" i="23"/>
  <c r="X119" i="31" s="1"/>
  <c r="I126" i="23"/>
  <c r="S95" i="23"/>
  <c r="AA86" i="31" s="1"/>
  <c r="W86" i="31"/>
  <c r="L121" i="23"/>
  <c r="X110" i="31" s="1"/>
  <c r="I33" i="23"/>
  <c r="L29" i="23"/>
  <c r="X26" i="31" s="1"/>
  <c r="G109" i="10"/>
  <c r="G99" i="31" s="1"/>
  <c r="G105" i="10"/>
  <c r="G95" i="31" s="1"/>
  <c r="I98" i="23"/>
  <c r="W488" i="31"/>
  <c r="S537" i="23"/>
  <c r="AA488" i="31" s="1"/>
  <c r="W356" i="31"/>
  <c r="S392" i="23"/>
  <c r="AA356" i="31" s="1"/>
  <c r="W440" i="31"/>
  <c r="S484" i="23"/>
  <c r="AA440" i="31" s="1"/>
  <c r="W333" i="31"/>
  <c r="S367" i="23"/>
  <c r="AA333" i="31" s="1"/>
  <c r="T554" i="6"/>
  <c r="R503" i="31"/>
  <c r="W480" i="31"/>
  <c r="S528" i="23"/>
  <c r="AA480" i="31" s="1"/>
  <c r="T555" i="6"/>
  <c r="R504" i="31"/>
  <c r="W501" i="31"/>
  <c r="S551" i="23"/>
  <c r="AA501" i="31" s="1"/>
  <c r="G515" i="23"/>
  <c r="I515" i="23" s="1"/>
  <c r="G514" i="8"/>
  <c r="E467" i="31" s="1"/>
  <c r="L506" i="23"/>
  <c r="X460" i="31" s="1"/>
  <c r="G502" i="23"/>
  <c r="I502" i="23" s="1"/>
  <c r="G496" i="23"/>
  <c r="I496" i="23" s="1"/>
  <c r="L492" i="23"/>
  <c r="X447" i="31" s="1"/>
  <c r="G467" i="8"/>
  <c r="E424" i="31" s="1"/>
  <c r="G462" i="8"/>
  <c r="E420" i="31" s="1"/>
  <c r="G458" i="8"/>
  <c r="E416" i="31" s="1"/>
  <c r="L435" i="23"/>
  <c r="X395" i="31" s="1"/>
  <c r="I435" i="23"/>
  <c r="G363" i="23"/>
  <c r="I363" i="23" s="1"/>
  <c r="G341" i="8"/>
  <c r="E310" i="31" s="1"/>
  <c r="L339" i="23"/>
  <c r="X308" i="31" s="1"/>
  <c r="G297" i="23"/>
  <c r="I297" i="23" s="1"/>
  <c r="L295" i="23"/>
  <c r="X268" i="31" s="1"/>
  <c r="G275" i="23"/>
  <c r="I275" i="23" s="1"/>
  <c r="L273" i="23"/>
  <c r="X248" i="31" s="1"/>
  <c r="G269" i="8"/>
  <c r="E244" i="31" s="1"/>
  <c r="G186" i="8"/>
  <c r="E169" i="31" s="1"/>
  <c r="L184" i="23"/>
  <c r="X167" i="31" s="1"/>
  <c r="I184" i="23"/>
  <c r="G199" i="23"/>
  <c r="I199" i="23" s="1"/>
  <c r="G197" i="8"/>
  <c r="E179" i="31" s="1"/>
  <c r="G193" i="23"/>
  <c r="I193" i="23" s="1"/>
  <c r="L191" i="23"/>
  <c r="X173" i="31" s="1"/>
  <c r="L201" i="23"/>
  <c r="X182" i="31" s="1"/>
  <c r="G220" i="23"/>
  <c r="I220" i="23" s="1"/>
  <c r="L218" i="23"/>
  <c r="X198" i="31" s="1"/>
  <c r="G216" i="23"/>
  <c r="I216" i="23" s="1"/>
  <c r="L130" i="23"/>
  <c r="X118" i="31" s="1"/>
  <c r="F129" i="11"/>
  <c r="G129" i="11" s="1"/>
  <c r="H117" i="31" s="1"/>
  <c r="P129" i="23"/>
  <c r="R129" i="23" s="1"/>
  <c r="Z117" i="31" s="1"/>
  <c r="G128" i="8"/>
  <c r="E116" i="31" s="1"/>
  <c r="G125" i="23"/>
  <c r="I125" i="23" s="1"/>
  <c r="G165" i="23"/>
  <c r="I165" i="23" s="1"/>
  <c r="L161" i="23"/>
  <c r="X146" i="31" s="1"/>
  <c r="G159" i="23"/>
  <c r="I159" i="23" s="1"/>
  <c r="L144" i="23"/>
  <c r="X131" i="31" s="1"/>
  <c r="G140" i="8"/>
  <c r="E127" i="31" s="1"/>
  <c r="G136" i="8"/>
  <c r="E123" i="31" s="1"/>
  <c r="I119" i="23"/>
  <c r="G31" i="10"/>
  <c r="G28" i="31" s="1"/>
  <c r="L25" i="23"/>
  <c r="X22" i="31" s="1"/>
  <c r="G108" i="23"/>
  <c r="I108" i="23" s="1"/>
  <c r="G106" i="8"/>
  <c r="E96" i="31" s="1"/>
  <c r="G86" i="23"/>
  <c r="I86" i="23" s="1"/>
  <c r="G84" i="8"/>
  <c r="E76" i="31" s="1"/>
  <c r="L82" i="23"/>
  <c r="X74" i="31" s="1"/>
  <c r="G74" i="10"/>
  <c r="G67" i="31" s="1"/>
  <c r="G64" i="10"/>
  <c r="G58" i="31" s="1"/>
  <c r="G61" i="10"/>
  <c r="G55" i="31" s="1"/>
  <c r="W53" i="31"/>
  <c r="S59" i="23"/>
  <c r="AA53" i="31" s="1"/>
  <c r="W546" i="31"/>
  <c r="S601" i="23"/>
  <c r="AA546" i="31" s="1"/>
  <c r="W475" i="31"/>
  <c r="S523" i="23"/>
  <c r="AA475" i="31" s="1"/>
  <c r="W541" i="31"/>
  <c r="S595" i="23"/>
  <c r="AA541" i="31" s="1"/>
  <c r="W513" i="31"/>
  <c r="S565" i="23"/>
  <c r="AA513" i="31" s="1"/>
  <c r="W153" i="31"/>
  <c r="S169" i="23"/>
  <c r="AA153" i="31" s="1"/>
  <c r="W578" i="31"/>
  <c r="S636" i="23"/>
  <c r="AA578" i="31" s="1"/>
  <c r="W386" i="31"/>
  <c r="S425" i="23"/>
  <c r="AA386" i="31" s="1"/>
  <c r="W515" i="31"/>
  <c r="S567" i="23"/>
  <c r="AA515" i="31" s="1"/>
  <c r="G513" i="23"/>
  <c r="I513" i="23" s="1"/>
  <c r="G494" i="8"/>
  <c r="E449" i="31" s="1"/>
  <c r="G472" i="23"/>
  <c r="I472" i="23" s="1"/>
  <c r="G470" i="8"/>
  <c r="E427" i="31" s="1"/>
  <c r="L468" i="23"/>
  <c r="X425" i="31" s="1"/>
  <c r="L466" i="23"/>
  <c r="X423" i="31" s="1"/>
  <c r="G451" i="23"/>
  <c r="I451" i="23" s="1"/>
  <c r="G449" i="8"/>
  <c r="E408" i="31" s="1"/>
  <c r="L447" i="23"/>
  <c r="X406" i="31" s="1"/>
  <c r="G447" i="23"/>
  <c r="I447" i="23" s="1"/>
  <c r="G416" i="23"/>
  <c r="I416" i="23" s="1"/>
  <c r="G414" i="23"/>
  <c r="I414" i="23" s="1"/>
  <c r="G407" i="23"/>
  <c r="I407" i="23" s="1"/>
  <c r="L403" i="23"/>
  <c r="X366" i="31" s="1"/>
  <c r="L385" i="23"/>
  <c r="X350" i="31" s="1"/>
  <c r="L364" i="23"/>
  <c r="X331" i="31" s="1"/>
  <c r="G360" i="23"/>
  <c r="I360" i="23" s="1"/>
  <c r="G358" i="8"/>
  <c r="E325" i="31" s="1"/>
  <c r="L293" i="23"/>
  <c r="X266" i="31" s="1"/>
  <c r="G267" i="8"/>
  <c r="E242" i="31" s="1"/>
  <c r="G204" i="8"/>
  <c r="E185" i="31" s="1"/>
  <c r="L202" i="23"/>
  <c r="X183" i="31" s="1"/>
  <c r="G127" i="23"/>
  <c r="I127" i="23" s="1"/>
  <c r="G93" i="23"/>
  <c r="I93" i="23" s="1"/>
  <c r="G163" i="23"/>
  <c r="I163" i="23" s="1"/>
  <c r="G122" i="8"/>
  <c r="E111" i="31" s="1"/>
  <c r="L120" i="23"/>
  <c r="X109" i="31" s="1"/>
  <c r="G45" i="8"/>
  <c r="E41" i="31" s="1"/>
  <c r="L34" i="23"/>
  <c r="X31" i="31" s="1"/>
  <c r="G30" i="23"/>
  <c r="I30" i="23" s="1"/>
  <c r="G28" i="8"/>
  <c r="E25" i="31" s="1"/>
  <c r="L26" i="23"/>
  <c r="X23" i="31" s="1"/>
  <c r="G25" i="10"/>
  <c r="G22" i="31" s="1"/>
  <c r="R105" i="23"/>
  <c r="Z95" i="31" s="1"/>
  <c r="G104" i="8"/>
  <c r="E94" i="31" s="1"/>
  <c r="G102" i="8"/>
  <c r="E92" i="31" s="1"/>
  <c r="L99" i="23"/>
  <c r="X90" i="31" s="1"/>
  <c r="G82" i="10"/>
  <c r="G74" i="31" s="1"/>
  <c r="I80" i="23"/>
  <c r="L75" i="23"/>
  <c r="X68" i="31" s="1"/>
  <c r="G71" i="23"/>
  <c r="I71" i="23" s="1"/>
  <c r="L67" i="23"/>
  <c r="X61" i="31" s="1"/>
  <c r="I63" i="23"/>
  <c r="G61" i="8"/>
  <c r="E55" i="31" s="1"/>
  <c r="G75" i="10"/>
  <c r="G68" i="31" s="1"/>
  <c r="G71" i="10"/>
  <c r="G64" i="31" s="1"/>
  <c r="G69" i="23"/>
  <c r="I69" i="23" s="1"/>
  <c r="G78" i="8"/>
  <c r="E71" i="31" s="1"/>
  <c r="L76" i="23"/>
  <c r="X69" i="31" s="1"/>
  <c r="F62" i="21"/>
  <c r="V56" i="31" s="1"/>
  <c r="F66" i="21"/>
  <c r="V60" i="31" s="1"/>
  <c r="F70" i="21"/>
  <c r="V63" i="31" s="1"/>
  <c r="F74" i="21"/>
  <c r="V67" i="31" s="1"/>
  <c r="F78" i="21"/>
  <c r="V71" i="31" s="1"/>
  <c r="F82" i="21"/>
  <c r="V74" i="31" s="1"/>
  <c r="F86" i="21"/>
  <c r="V78" i="31" s="1"/>
  <c r="F60" i="21"/>
  <c r="V54" i="31" s="1"/>
  <c r="F64" i="21"/>
  <c r="V58" i="31" s="1"/>
  <c r="F68" i="21"/>
  <c r="F72" i="21"/>
  <c r="V65" i="31" s="1"/>
  <c r="F76" i="21"/>
  <c r="V69" i="31" s="1"/>
  <c r="F80" i="21"/>
  <c r="V72" i="31" s="1"/>
  <c r="F84" i="21"/>
  <c r="V76" i="31" s="1"/>
  <c r="F88" i="21"/>
  <c r="V80" i="31" s="1"/>
  <c r="F26" i="21"/>
  <c r="V23" i="31" s="1"/>
  <c r="F30" i="21"/>
  <c r="V27" i="31" s="1"/>
  <c r="F34" i="21"/>
  <c r="V31" i="31" s="1"/>
  <c r="F98" i="21"/>
  <c r="V89" i="31" s="1"/>
  <c r="F102" i="21"/>
  <c r="V92" i="31" s="1"/>
  <c r="F106" i="21"/>
  <c r="V96" i="31" s="1"/>
  <c r="F110" i="21"/>
  <c r="V100" i="31" s="1"/>
  <c r="E21" i="11"/>
  <c r="G21" i="11" s="1"/>
  <c r="H19" i="31" s="1"/>
  <c r="E21" i="10"/>
  <c r="G21" i="10" s="1"/>
  <c r="G19" i="31" s="1"/>
  <c r="E23" i="11"/>
  <c r="G23" i="11" s="1"/>
  <c r="H21" i="31" s="1"/>
  <c r="E23" i="10"/>
  <c r="G23" i="10" s="1"/>
  <c r="G21" i="31" s="1"/>
  <c r="F21" i="9"/>
  <c r="G21" i="9" s="1"/>
  <c r="F19" i="31" s="1"/>
  <c r="F22" i="9"/>
  <c r="G22" i="9" s="1"/>
  <c r="F20" i="31" s="1"/>
  <c r="F23" i="9"/>
  <c r="G23" i="9" s="1"/>
  <c r="F21" i="31" s="1"/>
  <c r="E22" i="11"/>
  <c r="G22" i="11" s="1"/>
  <c r="H20" i="31" s="1"/>
  <c r="E22" i="10"/>
  <c r="G22" i="10" s="1"/>
  <c r="G20" i="31" s="1"/>
  <c r="F28" i="21"/>
  <c r="V25" i="31" s="1"/>
  <c r="F32" i="21"/>
  <c r="V29" i="31" s="1"/>
  <c r="F44" i="21"/>
  <c r="V40" i="31" s="1"/>
  <c r="F96" i="21"/>
  <c r="V87" i="31" s="1"/>
  <c r="F100" i="21"/>
  <c r="V91" i="31" s="1"/>
  <c r="F104" i="21"/>
  <c r="V94" i="31" s="1"/>
  <c r="F108" i="21"/>
  <c r="V98" i="31" s="1"/>
  <c r="F25" i="21"/>
  <c r="V22" i="31" s="1"/>
  <c r="F29" i="21"/>
  <c r="V26" i="31" s="1"/>
  <c r="F33" i="21"/>
  <c r="V30" i="31" s="1"/>
  <c r="F45" i="21"/>
  <c r="V41" i="31" s="1"/>
  <c r="F61" i="21"/>
  <c r="V55" i="31" s="1"/>
  <c r="F65" i="21"/>
  <c r="V59" i="31" s="1"/>
  <c r="F69" i="21"/>
  <c r="V62" i="31" s="1"/>
  <c r="F73" i="21"/>
  <c r="V66" i="31" s="1"/>
  <c r="F77" i="21"/>
  <c r="V70" i="31" s="1"/>
  <c r="F81" i="21"/>
  <c r="V73" i="31" s="1"/>
  <c r="F85" i="21"/>
  <c r="V77" i="31" s="1"/>
  <c r="F89" i="21"/>
  <c r="V81" i="31" s="1"/>
  <c r="F97" i="21"/>
  <c r="V88" i="31" s="1"/>
  <c r="F101" i="21"/>
  <c r="F105" i="21"/>
  <c r="V95" i="31" s="1"/>
  <c r="F109" i="21"/>
  <c r="V99" i="31" s="1"/>
  <c r="F90" i="21"/>
  <c r="F46" i="21"/>
  <c r="F27" i="21"/>
  <c r="V24" i="31" s="1"/>
  <c r="F31" i="21"/>
  <c r="V28" i="31" s="1"/>
  <c r="F63" i="21"/>
  <c r="V57" i="31" s="1"/>
  <c r="F67" i="21"/>
  <c r="V61" i="31" s="1"/>
  <c r="F71" i="21"/>
  <c r="V64" i="31" s="1"/>
  <c r="F75" i="21"/>
  <c r="V68" i="31" s="1"/>
  <c r="F79" i="21"/>
  <c r="F83" i="21"/>
  <c r="V75" i="31" s="1"/>
  <c r="F87" i="21"/>
  <c r="V79" i="31" s="1"/>
  <c r="F99" i="21"/>
  <c r="V90" i="31" s="1"/>
  <c r="F103" i="21"/>
  <c r="V93" i="31" s="1"/>
  <c r="F107" i="21"/>
  <c r="V97" i="31" s="1"/>
  <c r="F111" i="21"/>
  <c r="V101" i="31" s="1"/>
  <c r="F112" i="21"/>
  <c r="F21" i="12"/>
  <c r="E21" i="21"/>
  <c r="E21" i="12"/>
  <c r="G21" i="12" s="1"/>
  <c r="I19" i="31" s="1"/>
  <c r="E21" i="13"/>
  <c r="E21" i="14"/>
  <c r="E22" i="12"/>
  <c r="E22" i="13"/>
  <c r="G22" i="13" s="1"/>
  <c r="J20" i="31" s="1"/>
  <c r="E22" i="14"/>
  <c r="F21" i="13"/>
  <c r="F21" i="14"/>
  <c r="F22" i="13"/>
  <c r="F22" i="14"/>
  <c r="F23" i="13"/>
  <c r="F23" i="14"/>
  <c r="E20" i="12"/>
  <c r="E20" i="13"/>
  <c r="E20" i="14"/>
  <c r="F22" i="12"/>
  <c r="E22" i="21"/>
  <c r="F23" i="12"/>
  <c r="E23" i="21"/>
  <c r="E23" i="12"/>
  <c r="G23" i="12" s="1"/>
  <c r="I21" i="31" s="1"/>
  <c r="E23" i="13"/>
  <c r="G23" i="13" s="1"/>
  <c r="J21" i="31" s="1"/>
  <c r="E23" i="14"/>
  <c r="L20" i="6"/>
  <c r="K20" i="6"/>
  <c r="J20" i="6"/>
  <c r="J20" i="23" s="1"/>
  <c r="I20" i="6"/>
  <c r="Q20" i="23" s="1"/>
  <c r="H20" i="6"/>
  <c r="G20" i="6"/>
  <c r="F20" i="6"/>
  <c r="E20" i="6"/>
  <c r="E20" i="9" s="1"/>
  <c r="N19" i="6"/>
  <c r="M19" i="6"/>
  <c r="M19" i="23" s="1"/>
  <c r="L19" i="6"/>
  <c r="K19" i="6"/>
  <c r="J19" i="6"/>
  <c r="J19" i="23" s="1"/>
  <c r="I19" i="6"/>
  <c r="Q19" i="23" s="1"/>
  <c r="H19" i="6"/>
  <c r="G19" i="6"/>
  <c r="F19" i="6"/>
  <c r="E19" i="6"/>
  <c r="E19" i="9" s="1"/>
  <c r="N18" i="6"/>
  <c r="M18" i="6"/>
  <c r="M18" i="23" s="1"/>
  <c r="L18" i="6"/>
  <c r="K18" i="6"/>
  <c r="J18" i="6"/>
  <c r="J18" i="23" s="1"/>
  <c r="I18" i="6"/>
  <c r="Q18" i="23" s="1"/>
  <c r="H18" i="6"/>
  <c r="G18" i="6"/>
  <c r="F18" i="6"/>
  <c r="E18" i="6"/>
  <c r="E18" i="9" s="1"/>
  <c r="N17" i="6"/>
  <c r="M17" i="6"/>
  <c r="M17" i="23" s="1"/>
  <c r="L17" i="6"/>
  <c r="K17" i="6"/>
  <c r="J17" i="6"/>
  <c r="J17" i="23" s="1"/>
  <c r="I17" i="6"/>
  <c r="Q17" i="23" s="1"/>
  <c r="H17" i="6"/>
  <c r="G17" i="6"/>
  <c r="F17" i="6"/>
  <c r="E17" i="6"/>
  <c r="E17" i="9" s="1"/>
  <c r="N16" i="6"/>
  <c r="M16" i="6"/>
  <c r="M16" i="23" s="1"/>
  <c r="L16" i="6"/>
  <c r="K16" i="6"/>
  <c r="J16" i="6"/>
  <c r="J16" i="23" s="1"/>
  <c r="I16" i="6"/>
  <c r="Q16" i="23" s="1"/>
  <c r="H16" i="6"/>
  <c r="G16" i="6"/>
  <c r="F16" i="6"/>
  <c r="E16" i="6"/>
  <c r="E16" i="9" s="1"/>
  <c r="N15" i="6"/>
  <c r="M15" i="6"/>
  <c r="M15" i="23" s="1"/>
  <c r="L15" i="6"/>
  <c r="K15" i="6"/>
  <c r="J15" i="6"/>
  <c r="J15" i="23" s="1"/>
  <c r="I15" i="6"/>
  <c r="Q15" i="23" s="1"/>
  <c r="H15" i="6"/>
  <c r="G15" i="6"/>
  <c r="F15" i="6"/>
  <c r="E15" i="6"/>
  <c r="E15" i="9" s="1"/>
  <c r="W27" i="31" l="1"/>
  <c r="S30" i="23"/>
  <c r="AA27" i="31" s="1"/>
  <c r="S447" i="23"/>
  <c r="AA406" i="31" s="1"/>
  <c r="W406" i="31"/>
  <c r="W150" i="31"/>
  <c r="S165" i="23"/>
  <c r="AA150" i="31" s="1"/>
  <c r="W200" i="31"/>
  <c r="S220" i="23"/>
  <c r="AA200" i="31" s="1"/>
  <c r="W330" i="31"/>
  <c r="S363" i="23"/>
  <c r="AA330" i="31" s="1"/>
  <c r="W456" i="31"/>
  <c r="S502" i="23"/>
  <c r="AA456" i="31" s="1"/>
  <c r="W89" i="31"/>
  <c r="S98" i="23"/>
  <c r="AA89" i="31" s="1"/>
  <c r="W30" i="31"/>
  <c r="S33" i="23"/>
  <c r="AA30" i="31" s="1"/>
  <c r="W114" i="31"/>
  <c r="S126" i="23"/>
  <c r="AA114" i="31" s="1"/>
  <c r="W172" i="31"/>
  <c r="S190" i="23"/>
  <c r="AA172" i="31" s="1"/>
  <c r="W369" i="31"/>
  <c r="S406" i="23"/>
  <c r="AA369" i="31" s="1"/>
  <c r="W407" i="31"/>
  <c r="S448" i="23"/>
  <c r="AA407" i="31" s="1"/>
  <c r="S518" i="23"/>
  <c r="AA471" i="31" s="1"/>
  <c r="W471" i="31"/>
  <c r="W58" i="31"/>
  <c r="S64" i="23"/>
  <c r="AA58" i="31" s="1"/>
  <c r="W66" i="31"/>
  <c r="S73" i="23"/>
  <c r="AA66" i="31" s="1"/>
  <c r="W131" i="31"/>
  <c r="S144" i="23"/>
  <c r="AA131" i="31" s="1"/>
  <c r="W348" i="31"/>
  <c r="S383" i="23"/>
  <c r="AA348" i="31" s="1"/>
  <c r="W401" i="31"/>
  <c r="S441" i="23"/>
  <c r="AA401" i="31" s="1"/>
  <c r="W171" i="31"/>
  <c r="S188" i="23"/>
  <c r="AA171" i="31" s="1"/>
  <c r="W375" i="31"/>
  <c r="S413" i="23"/>
  <c r="AA375" i="31" s="1"/>
  <c r="W414" i="31"/>
  <c r="S456" i="23"/>
  <c r="AA414" i="31" s="1"/>
  <c r="W422" i="31"/>
  <c r="S465" i="23"/>
  <c r="AA422" i="31" s="1"/>
  <c r="W458" i="31"/>
  <c r="S504" i="23"/>
  <c r="AA458" i="31" s="1"/>
  <c r="W195" i="31"/>
  <c r="S215" i="23"/>
  <c r="AA195" i="31" s="1"/>
  <c r="W371" i="31"/>
  <c r="S408" i="23"/>
  <c r="AA371" i="31" s="1"/>
  <c r="W409" i="31"/>
  <c r="S450" i="23"/>
  <c r="AA409" i="31" s="1"/>
  <c r="E557" i="19"/>
  <c r="U557" i="6"/>
  <c r="S26" i="23"/>
  <c r="AA23" i="31" s="1"/>
  <c r="W23" i="31"/>
  <c r="W189" i="31"/>
  <c r="S208" i="23"/>
  <c r="AA189" i="31" s="1"/>
  <c r="W349" i="31"/>
  <c r="S384" i="23"/>
  <c r="AA349" i="31" s="1"/>
  <c r="S218" i="23"/>
  <c r="AA198" i="31" s="1"/>
  <c r="W198" i="31"/>
  <c r="W364" i="31"/>
  <c r="S401" i="23"/>
  <c r="AA364" i="31" s="1"/>
  <c r="W447" i="31"/>
  <c r="S492" i="23"/>
  <c r="AA447" i="31" s="1"/>
  <c r="W460" i="31"/>
  <c r="S506" i="23"/>
  <c r="AA460" i="31" s="1"/>
  <c r="S466" i="23"/>
  <c r="AA423" i="31" s="1"/>
  <c r="W94" i="31"/>
  <c r="S104" i="23"/>
  <c r="AA94" i="31" s="1"/>
  <c r="W185" i="31"/>
  <c r="S204" i="23"/>
  <c r="AA185" i="31" s="1"/>
  <c r="W179" i="31"/>
  <c r="S197" i="23"/>
  <c r="AA179" i="31" s="1"/>
  <c r="W310" i="31"/>
  <c r="S341" i="23"/>
  <c r="AA310" i="31" s="1"/>
  <c r="W420" i="31"/>
  <c r="S462" i="23"/>
  <c r="AA420" i="31" s="1"/>
  <c r="W379" i="31"/>
  <c r="S417" i="23"/>
  <c r="AA379" i="31" s="1"/>
  <c r="V552" i="6"/>
  <c r="E552" i="26"/>
  <c r="L22" i="23"/>
  <c r="X20" i="31" s="1"/>
  <c r="E16" i="23"/>
  <c r="E16" i="8"/>
  <c r="F18" i="10"/>
  <c r="H18" i="23"/>
  <c r="K18" i="23" s="1"/>
  <c r="N18" i="23" s="1"/>
  <c r="E18" i="20"/>
  <c r="U16" i="31" s="1"/>
  <c r="F20" i="11"/>
  <c r="P20" i="23"/>
  <c r="R20" i="23" s="1"/>
  <c r="Z18" i="31" s="1"/>
  <c r="G22" i="12"/>
  <c r="I20" i="31" s="1"/>
  <c r="W64" i="31"/>
  <c r="S71" i="23"/>
  <c r="AA64" i="31" s="1"/>
  <c r="W148" i="31"/>
  <c r="S163" i="23"/>
  <c r="AA148" i="31" s="1"/>
  <c r="W327" i="31"/>
  <c r="S360" i="23"/>
  <c r="AA327" i="31" s="1"/>
  <c r="W370" i="31"/>
  <c r="S407" i="23"/>
  <c r="AA370" i="31" s="1"/>
  <c r="W466" i="31"/>
  <c r="S513" i="23"/>
  <c r="AA466" i="31" s="1"/>
  <c r="W78" i="31"/>
  <c r="S86" i="23"/>
  <c r="AA78" i="31" s="1"/>
  <c r="W113" i="31"/>
  <c r="S125" i="23"/>
  <c r="AA113" i="31" s="1"/>
  <c r="W181" i="31"/>
  <c r="S199" i="23"/>
  <c r="AA181" i="31" s="1"/>
  <c r="W270" i="31"/>
  <c r="S297" i="23"/>
  <c r="AA270" i="31" s="1"/>
  <c r="W395" i="31"/>
  <c r="S435" i="23"/>
  <c r="AA395" i="31" s="1"/>
  <c r="W265" i="31"/>
  <c r="S292" i="23"/>
  <c r="AA265" i="31" s="1"/>
  <c r="W374" i="31"/>
  <c r="S412" i="23"/>
  <c r="AA374" i="31" s="1"/>
  <c r="W60" i="31"/>
  <c r="S66" i="23"/>
  <c r="AA60" i="31" s="1"/>
  <c r="W29" i="31"/>
  <c r="S32" i="23"/>
  <c r="AA29" i="31" s="1"/>
  <c r="S210" i="23"/>
  <c r="AA191" i="31" s="1"/>
  <c r="W191" i="31"/>
  <c r="W367" i="31"/>
  <c r="S404" i="23"/>
  <c r="AA367" i="31" s="1"/>
  <c r="W107" i="31"/>
  <c r="S118" i="23"/>
  <c r="AA107" i="31" s="1"/>
  <c r="W129" i="31"/>
  <c r="S142" i="23"/>
  <c r="AA129" i="31" s="1"/>
  <c r="W91" i="31"/>
  <c r="S100" i="23"/>
  <c r="AA91" i="31" s="1"/>
  <c r="W267" i="31"/>
  <c r="S294" i="23"/>
  <c r="AA267" i="31" s="1"/>
  <c r="W428" i="31"/>
  <c r="S471" i="23"/>
  <c r="AA428" i="31" s="1"/>
  <c r="W21" i="31"/>
  <c r="S23" i="23"/>
  <c r="AA21" i="31" s="1"/>
  <c r="W68" i="31"/>
  <c r="S75" i="23"/>
  <c r="AA68" i="31" s="1"/>
  <c r="W90" i="31"/>
  <c r="S99" i="23"/>
  <c r="AA90" i="31" s="1"/>
  <c r="W109" i="31"/>
  <c r="S120" i="23"/>
  <c r="AA109" i="31" s="1"/>
  <c r="W350" i="31"/>
  <c r="S385" i="23"/>
  <c r="AA350" i="31" s="1"/>
  <c r="W22" i="31"/>
  <c r="S25" i="23"/>
  <c r="AA22" i="31" s="1"/>
  <c r="W146" i="31"/>
  <c r="S161" i="23"/>
  <c r="AA146" i="31" s="1"/>
  <c r="W117" i="31"/>
  <c r="S129" i="23"/>
  <c r="AA117" i="31" s="1"/>
  <c r="W248" i="31"/>
  <c r="S273" i="23"/>
  <c r="AA248" i="31" s="1"/>
  <c r="W308" i="31"/>
  <c r="S339" i="23"/>
  <c r="AA308" i="31" s="1"/>
  <c r="W26" i="31"/>
  <c r="S29" i="23"/>
  <c r="AA26" i="31" s="1"/>
  <c r="W186" i="31"/>
  <c r="S205" i="23"/>
  <c r="AA186" i="31" s="1"/>
  <c r="W306" i="31"/>
  <c r="S337" i="23"/>
  <c r="AA306" i="31" s="1"/>
  <c r="W411" i="31"/>
  <c r="S452" i="23"/>
  <c r="AA411" i="31" s="1"/>
  <c r="S122" i="23"/>
  <c r="AA111" i="31" s="1"/>
  <c r="W111" i="31"/>
  <c r="W449" i="31"/>
  <c r="S494" i="23"/>
  <c r="AA449" i="31" s="1"/>
  <c r="E553" i="19"/>
  <c r="U553" i="6"/>
  <c r="W127" i="31"/>
  <c r="S140" i="23"/>
  <c r="AA127" i="31" s="1"/>
  <c r="W116" i="31"/>
  <c r="S128" i="23"/>
  <c r="AA116" i="31" s="1"/>
  <c r="W169" i="31"/>
  <c r="S186" i="23"/>
  <c r="AA169" i="31" s="1"/>
  <c r="W424" i="31"/>
  <c r="S467" i="23"/>
  <c r="AA424" i="31" s="1"/>
  <c r="W467" i="31"/>
  <c r="S514" i="23"/>
  <c r="AA467" i="31" s="1"/>
  <c r="S105" i="23"/>
  <c r="AA95" i="31" s="1"/>
  <c r="G22" i="8"/>
  <c r="E20" i="31" s="1"/>
  <c r="F17" i="23"/>
  <c r="F17" i="8"/>
  <c r="E18" i="23"/>
  <c r="E18" i="8"/>
  <c r="F19" i="23"/>
  <c r="F19" i="8"/>
  <c r="E20" i="23"/>
  <c r="E20" i="8"/>
  <c r="F18" i="11"/>
  <c r="P18" i="23"/>
  <c r="R18" i="23" s="1"/>
  <c r="Z16" i="31" s="1"/>
  <c r="W84" i="31"/>
  <c r="S93" i="23"/>
  <c r="AA84" i="31" s="1"/>
  <c r="W376" i="31"/>
  <c r="S414" i="23"/>
  <c r="AA376" i="31" s="1"/>
  <c r="W108" i="31"/>
  <c r="S119" i="23"/>
  <c r="AA108" i="31" s="1"/>
  <c r="W144" i="31"/>
  <c r="S159" i="23"/>
  <c r="AA144" i="31" s="1"/>
  <c r="W196" i="31"/>
  <c r="S216" i="23"/>
  <c r="AA196" i="31" s="1"/>
  <c r="W167" i="31"/>
  <c r="S184" i="23"/>
  <c r="AA167" i="31" s="1"/>
  <c r="W184" i="31"/>
  <c r="S203" i="23"/>
  <c r="AA184" i="31" s="1"/>
  <c r="S359" i="23"/>
  <c r="AA326" i="31" s="1"/>
  <c r="W326" i="31"/>
  <c r="W381" i="31"/>
  <c r="S419" i="23"/>
  <c r="AA381" i="31" s="1"/>
  <c r="W426" i="31"/>
  <c r="S469" i="23"/>
  <c r="AA426" i="31" s="1"/>
  <c r="W59" i="31"/>
  <c r="S65" i="23"/>
  <c r="AA59" i="31" s="1"/>
  <c r="S43" i="23"/>
  <c r="AA39" i="31" s="1"/>
  <c r="W39" i="31"/>
  <c r="W82" i="31"/>
  <c r="S91" i="23"/>
  <c r="AA82" i="31" s="1"/>
  <c r="S183" i="23"/>
  <c r="AA166" i="31" s="1"/>
  <c r="W166" i="31"/>
  <c r="W380" i="31"/>
  <c r="S418" i="23"/>
  <c r="AA380" i="31" s="1"/>
  <c r="S474" i="23"/>
  <c r="AA431" i="31" s="1"/>
  <c r="W431" i="31"/>
  <c r="S271" i="23"/>
  <c r="AA246" i="31" s="1"/>
  <c r="W246" i="31"/>
  <c r="W324" i="31"/>
  <c r="S357" i="23"/>
  <c r="AA324" i="31" s="1"/>
  <c r="W377" i="31"/>
  <c r="S415" i="23"/>
  <c r="AA377" i="31" s="1"/>
  <c r="W418" i="31"/>
  <c r="S460" i="23"/>
  <c r="AA418" i="31" s="1"/>
  <c r="W24" i="31"/>
  <c r="S27" i="23"/>
  <c r="AA24" i="31" s="1"/>
  <c r="W328" i="31"/>
  <c r="S361" i="23"/>
  <c r="AA328" i="31" s="1"/>
  <c r="W307" i="31"/>
  <c r="S338" i="23"/>
  <c r="AA307" i="31" s="1"/>
  <c r="W19" i="31"/>
  <c r="S21" i="23"/>
  <c r="AA19" i="31" s="1"/>
  <c r="W69" i="31"/>
  <c r="S76" i="23"/>
  <c r="AA69" i="31" s="1"/>
  <c r="W61" i="31"/>
  <c r="S67" i="23"/>
  <c r="AA61" i="31" s="1"/>
  <c r="W331" i="31"/>
  <c r="S364" i="23"/>
  <c r="AA331" i="31" s="1"/>
  <c r="W366" i="31"/>
  <c r="S403" i="23"/>
  <c r="AA366" i="31" s="1"/>
  <c r="E556" i="19"/>
  <c r="U556" i="6"/>
  <c r="W74" i="31"/>
  <c r="S82" i="23"/>
  <c r="AA74" i="31" s="1"/>
  <c r="S130" i="23"/>
  <c r="AA118" i="31" s="1"/>
  <c r="W118" i="31"/>
  <c r="W182" i="31"/>
  <c r="S201" i="23"/>
  <c r="AA182" i="31" s="1"/>
  <c r="S131" i="23"/>
  <c r="AA119" i="31" s="1"/>
  <c r="W119" i="31"/>
  <c r="W190" i="31"/>
  <c r="S209" i="23"/>
  <c r="AA190" i="31" s="1"/>
  <c r="W120" i="31"/>
  <c r="S132" i="23"/>
  <c r="AA120" i="31" s="1"/>
  <c r="S78" i="23"/>
  <c r="AA71" i="31" s="1"/>
  <c r="W71" i="31"/>
  <c r="W325" i="31"/>
  <c r="S358" i="23"/>
  <c r="AA325" i="31" s="1"/>
  <c r="W96" i="31"/>
  <c r="S106" i="23"/>
  <c r="AA96" i="31" s="1"/>
  <c r="W416" i="31"/>
  <c r="S458" i="23"/>
  <c r="AA416" i="31" s="1"/>
  <c r="W28" i="31"/>
  <c r="S31" i="23"/>
  <c r="AA28" i="31" s="1"/>
  <c r="S386" i="23"/>
  <c r="AA351" i="31" s="1"/>
  <c r="W351" i="31"/>
  <c r="W446" i="31"/>
  <c r="S491" i="23"/>
  <c r="AA446" i="31" s="1"/>
  <c r="G22" i="23"/>
  <c r="I22" i="23" s="1"/>
  <c r="F15" i="23"/>
  <c r="F15" i="8"/>
  <c r="O15" i="23"/>
  <c r="Y13" i="31" s="1"/>
  <c r="F16" i="10"/>
  <c r="H16" i="23"/>
  <c r="K16" i="23" s="1"/>
  <c r="N16" i="23" s="1"/>
  <c r="E16" i="20"/>
  <c r="U14" i="31" s="1"/>
  <c r="F16" i="11"/>
  <c r="P16" i="23"/>
  <c r="R16" i="23" s="1"/>
  <c r="Z14" i="31" s="1"/>
  <c r="O19" i="23"/>
  <c r="Y17" i="31" s="1"/>
  <c r="F20" i="10"/>
  <c r="H20" i="23"/>
  <c r="K20" i="23" s="1"/>
  <c r="N20" i="23" s="1"/>
  <c r="O20" i="23" s="1"/>
  <c r="Y18" i="31" s="1"/>
  <c r="E20" i="20"/>
  <c r="U18" i="31" s="1"/>
  <c r="E15" i="23"/>
  <c r="G15" i="23" s="1"/>
  <c r="I15" i="23" s="1"/>
  <c r="E15" i="8"/>
  <c r="G15" i="8" s="1"/>
  <c r="E13" i="31" s="1"/>
  <c r="L15" i="23"/>
  <c r="X13" i="31" s="1"/>
  <c r="F16" i="23"/>
  <c r="F16" i="8"/>
  <c r="E17" i="23"/>
  <c r="G17" i="23" s="1"/>
  <c r="E17" i="8"/>
  <c r="G17" i="8" s="1"/>
  <c r="E15" i="31" s="1"/>
  <c r="F18" i="23"/>
  <c r="F18" i="8"/>
  <c r="E19" i="23"/>
  <c r="G19" i="23" s="1"/>
  <c r="E19" i="8"/>
  <c r="G19" i="8" s="1"/>
  <c r="E17" i="31" s="1"/>
  <c r="L19" i="23"/>
  <c r="X17" i="31" s="1"/>
  <c r="F20" i="23"/>
  <c r="F20" i="8"/>
  <c r="F23" i="21"/>
  <c r="V21" i="31" s="1"/>
  <c r="G21" i="14"/>
  <c r="K19" i="31" s="1"/>
  <c r="F15" i="10"/>
  <c r="H15" i="23"/>
  <c r="K15" i="23" s="1"/>
  <c r="N15" i="23" s="1"/>
  <c r="E15" i="20"/>
  <c r="U13" i="31" s="1"/>
  <c r="F15" i="11"/>
  <c r="P15" i="23"/>
  <c r="R15" i="23" s="1"/>
  <c r="Z13" i="31" s="1"/>
  <c r="O16" i="23"/>
  <c r="Y14" i="31" s="1"/>
  <c r="F17" i="10"/>
  <c r="H17" i="23"/>
  <c r="K17" i="23" s="1"/>
  <c r="N17" i="23" s="1"/>
  <c r="O17" i="23" s="1"/>
  <c r="Y15" i="31" s="1"/>
  <c r="E17" i="20"/>
  <c r="U15" i="31" s="1"/>
  <c r="F17" i="11"/>
  <c r="P17" i="23"/>
  <c r="R17" i="23" s="1"/>
  <c r="Z15" i="31" s="1"/>
  <c r="O18" i="23"/>
  <c r="Y16" i="31" s="1"/>
  <c r="F19" i="10"/>
  <c r="H19" i="23"/>
  <c r="K19" i="23" s="1"/>
  <c r="N19" i="23" s="1"/>
  <c r="E19" i="20"/>
  <c r="U17" i="31" s="1"/>
  <c r="F19" i="11"/>
  <c r="P19" i="23"/>
  <c r="R19" i="23" s="1"/>
  <c r="Z17" i="31" s="1"/>
  <c r="G23" i="14"/>
  <c r="K21" i="31" s="1"/>
  <c r="G22" i="14"/>
  <c r="K20" i="31" s="1"/>
  <c r="G21" i="13"/>
  <c r="J19" i="31" s="1"/>
  <c r="W62" i="31"/>
  <c r="S69" i="23"/>
  <c r="AA62" i="31" s="1"/>
  <c r="W57" i="31"/>
  <c r="S63" i="23"/>
  <c r="AA57" i="31" s="1"/>
  <c r="W72" i="31"/>
  <c r="S80" i="23"/>
  <c r="AA72" i="31" s="1"/>
  <c r="W115" i="31"/>
  <c r="S127" i="23"/>
  <c r="AA115" i="31" s="1"/>
  <c r="W378" i="31"/>
  <c r="S416" i="23"/>
  <c r="AA378" i="31" s="1"/>
  <c r="W410" i="31"/>
  <c r="S451" i="23"/>
  <c r="AA410" i="31" s="1"/>
  <c r="W429" i="31"/>
  <c r="S472" i="23"/>
  <c r="AA429" i="31" s="1"/>
  <c r="W98" i="31"/>
  <c r="S108" i="23"/>
  <c r="AA98" i="31" s="1"/>
  <c r="W175" i="31"/>
  <c r="S193" i="23"/>
  <c r="AA175" i="31" s="1"/>
  <c r="W250" i="31"/>
  <c r="S275" i="23"/>
  <c r="AA250" i="31" s="1"/>
  <c r="W451" i="31"/>
  <c r="S496" i="23"/>
  <c r="AA451" i="31" s="1"/>
  <c r="W468" i="31"/>
  <c r="S515" i="23"/>
  <c r="AA468" i="31" s="1"/>
  <c r="E555" i="19"/>
  <c r="U555" i="6"/>
  <c r="E554" i="19"/>
  <c r="U554" i="6"/>
  <c r="W405" i="31"/>
  <c r="S446" i="23"/>
  <c r="AA405" i="31" s="1"/>
  <c r="W56" i="31"/>
  <c r="S62" i="23"/>
  <c r="AA56" i="31" s="1"/>
  <c r="W88" i="31"/>
  <c r="S97" i="23"/>
  <c r="AA88" i="31" s="1"/>
  <c r="W329" i="31"/>
  <c r="S362" i="23"/>
  <c r="AA329" i="31" s="1"/>
  <c r="W397" i="31"/>
  <c r="S437" i="23"/>
  <c r="AA397" i="31" s="1"/>
  <c r="W412" i="31"/>
  <c r="S454" i="23"/>
  <c r="AA412" i="31" s="1"/>
  <c r="W80" i="31"/>
  <c r="S88" i="23"/>
  <c r="AA80" i="31" s="1"/>
  <c r="W100" i="31"/>
  <c r="S110" i="23"/>
  <c r="AA100" i="31" s="1"/>
  <c r="W125" i="31"/>
  <c r="S138" i="23"/>
  <c r="AA125" i="31" s="1"/>
  <c r="W177" i="31"/>
  <c r="S195" i="23"/>
  <c r="AA177" i="31" s="1"/>
  <c r="W455" i="31"/>
  <c r="S501" i="23"/>
  <c r="AA455" i="31" s="1"/>
  <c r="W368" i="31"/>
  <c r="S405" i="23"/>
  <c r="AA368" i="31" s="1"/>
  <c r="S34" i="23"/>
  <c r="AA31" i="31" s="1"/>
  <c r="W31" i="31"/>
  <c r="S202" i="23"/>
  <c r="AA183" i="31" s="1"/>
  <c r="W183" i="31"/>
  <c r="W266" i="31"/>
  <c r="S293" i="23"/>
  <c r="AA266" i="31" s="1"/>
  <c r="W425" i="31"/>
  <c r="S468" i="23"/>
  <c r="AA425" i="31" s="1"/>
  <c r="W130" i="31"/>
  <c r="S143" i="23"/>
  <c r="AA130" i="31" s="1"/>
  <c r="W83" i="31"/>
  <c r="S92" i="23"/>
  <c r="AA83" i="31" s="1"/>
  <c r="W173" i="31"/>
  <c r="S191" i="23"/>
  <c r="AA173" i="31" s="1"/>
  <c r="W268" i="31"/>
  <c r="S295" i="23"/>
  <c r="AA268" i="31" s="1"/>
  <c r="W110" i="31"/>
  <c r="S121" i="23"/>
  <c r="AA110" i="31" s="1"/>
  <c r="W398" i="31"/>
  <c r="S438" i="23"/>
  <c r="AA398" i="31" s="1"/>
  <c r="W430" i="31"/>
  <c r="S473" i="23"/>
  <c r="AA430" i="31" s="1"/>
  <c r="W85" i="31"/>
  <c r="S94" i="23"/>
  <c r="AA85" i="31" s="1"/>
  <c r="W55" i="31"/>
  <c r="S61" i="23"/>
  <c r="AA55" i="31" s="1"/>
  <c r="S77" i="23"/>
  <c r="AA70" i="31" s="1"/>
  <c r="W70" i="31"/>
  <c r="W92" i="31"/>
  <c r="S102" i="23"/>
  <c r="AA92" i="31" s="1"/>
  <c r="W25" i="31"/>
  <c r="S28" i="23"/>
  <c r="AA25" i="31" s="1"/>
  <c r="W41" i="31"/>
  <c r="S45" i="23"/>
  <c r="AA41" i="31" s="1"/>
  <c r="W242" i="31"/>
  <c r="S267" i="23"/>
  <c r="AA242" i="31" s="1"/>
  <c r="W408" i="31"/>
  <c r="S449" i="23"/>
  <c r="AA408" i="31" s="1"/>
  <c r="W427" i="31"/>
  <c r="S470" i="23"/>
  <c r="AA427" i="31" s="1"/>
  <c r="W76" i="31"/>
  <c r="S84" i="23"/>
  <c r="AA76" i="31" s="1"/>
  <c r="W123" i="31"/>
  <c r="S136" i="23"/>
  <c r="AA123" i="31" s="1"/>
  <c r="W244" i="31"/>
  <c r="S269" i="23"/>
  <c r="AA244" i="31" s="1"/>
  <c r="W87" i="31"/>
  <c r="S96" i="23"/>
  <c r="AA87" i="31" s="1"/>
  <c r="W122" i="31"/>
  <c r="S135" i="23"/>
  <c r="AA122" i="31" s="1"/>
  <c r="S290" i="23"/>
  <c r="AA263" i="31" s="1"/>
  <c r="W263" i="31"/>
  <c r="W400" i="31"/>
  <c r="S440" i="23"/>
  <c r="AA400" i="31" s="1"/>
  <c r="W453" i="31"/>
  <c r="S499" i="23"/>
  <c r="AA453" i="31" s="1"/>
  <c r="E16" i="11"/>
  <c r="G16" i="11" s="1"/>
  <c r="H14" i="31" s="1"/>
  <c r="E16" i="10"/>
  <c r="G16" i="10" s="1"/>
  <c r="G14" i="31" s="1"/>
  <c r="E17" i="11"/>
  <c r="G17" i="11" s="1"/>
  <c r="H15" i="31" s="1"/>
  <c r="E17" i="10"/>
  <c r="G17" i="10" s="1"/>
  <c r="G15" i="31" s="1"/>
  <c r="E18" i="11"/>
  <c r="G18" i="11" s="1"/>
  <c r="H16" i="31" s="1"/>
  <c r="E18" i="10"/>
  <c r="G18" i="10" s="1"/>
  <c r="G16" i="31" s="1"/>
  <c r="E20" i="11"/>
  <c r="G20" i="11" s="1"/>
  <c r="H18" i="31" s="1"/>
  <c r="E20" i="10"/>
  <c r="G20" i="10" s="1"/>
  <c r="G18" i="31" s="1"/>
  <c r="E15" i="11"/>
  <c r="G15" i="11" s="1"/>
  <c r="H13" i="31" s="1"/>
  <c r="E15" i="10"/>
  <c r="G15" i="10" s="1"/>
  <c r="G13" i="31" s="1"/>
  <c r="E19" i="11"/>
  <c r="G19" i="11" s="1"/>
  <c r="H17" i="31" s="1"/>
  <c r="E19" i="10"/>
  <c r="G19" i="10" s="1"/>
  <c r="G17" i="31" s="1"/>
  <c r="F15" i="9"/>
  <c r="G15" i="9" s="1"/>
  <c r="F13" i="31" s="1"/>
  <c r="F16" i="9"/>
  <c r="G16" i="9" s="1"/>
  <c r="F14" i="31" s="1"/>
  <c r="F17" i="9"/>
  <c r="G17" i="9" s="1"/>
  <c r="F15" i="31" s="1"/>
  <c r="F18" i="9"/>
  <c r="G18" i="9" s="1"/>
  <c r="F16" i="31" s="1"/>
  <c r="F19" i="9"/>
  <c r="G19" i="9" s="1"/>
  <c r="F17" i="31" s="1"/>
  <c r="F20" i="9"/>
  <c r="G20" i="9" s="1"/>
  <c r="F18" i="31" s="1"/>
  <c r="F22" i="21"/>
  <c r="V20" i="31" s="1"/>
  <c r="F24" i="21"/>
  <c r="F15" i="12"/>
  <c r="E15" i="21"/>
  <c r="E15" i="12"/>
  <c r="G15" i="12" s="1"/>
  <c r="I13" i="31" s="1"/>
  <c r="E15" i="13"/>
  <c r="E15" i="14"/>
  <c r="F16" i="12"/>
  <c r="E16" i="21"/>
  <c r="E16" i="12"/>
  <c r="G16" i="12" s="1"/>
  <c r="I14" i="31" s="1"/>
  <c r="E16" i="13"/>
  <c r="E16" i="14"/>
  <c r="F17" i="12"/>
  <c r="E17" i="21"/>
  <c r="E17" i="12"/>
  <c r="E17" i="13"/>
  <c r="E17" i="14"/>
  <c r="G17" i="14" s="1"/>
  <c r="K15" i="31" s="1"/>
  <c r="F19" i="12"/>
  <c r="E19" i="21"/>
  <c r="E19" i="12"/>
  <c r="E19" i="13"/>
  <c r="E19" i="14"/>
  <c r="G19" i="14" s="1"/>
  <c r="K17" i="31" s="1"/>
  <c r="F18" i="12"/>
  <c r="E18" i="21"/>
  <c r="E18" i="12"/>
  <c r="G18" i="12" s="1"/>
  <c r="I16" i="31" s="1"/>
  <c r="E18" i="13"/>
  <c r="G18" i="13" s="1"/>
  <c r="J16" i="31" s="1"/>
  <c r="E18" i="14"/>
  <c r="F20" i="12"/>
  <c r="G20" i="12" s="1"/>
  <c r="I18" i="31" s="1"/>
  <c r="E20" i="21"/>
  <c r="F15" i="13"/>
  <c r="F15" i="14"/>
  <c r="F16" i="13"/>
  <c r="F16" i="14"/>
  <c r="F17" i="13"/>
  <c r="F17" i="14"/>
  <c r="F18" i="13"/>
  <c r="F18" i="14"/>
  <c r="F19" i="13"/>
  <c r="F19" i="14"/>
  <c r="F20" i="13"/>
  <c r="G20" i="13" s="1"/>
  <c r="J18" i="31" s="1"/>
  <c r="F20" i="14"/>
  <c r="G20" i="14" s="1"/>
  <c r="K18" i="31" s="1"/>
  <c r="L13" i="6"/>
  <c r="N14" i="6"/>
  <c r="M14" i="6"/>
  <c r="M14" i="23" s="1"/>
  <c r="L14" i="6"/>
  <c r="K14" i="6"/>
  <c r="J14" i="6"/>
  <c r="J14" i="23" s="1"/>
  <c r="I14" i="6"/>
  <c r="Q14" i="23" s="1"/>
  <c r="H14" i="6"/>
  <c r="G14" i="6"/>
  <c r="F14" i="6"/>
  <c r="E14" i="6"/>
  <c r="E14" i="9" s="1"/>
  <c r="Q2" i="23"/>
  <c r="P2" i="23"/>
  <c r="M2" i="23"/>
  <c r="J2" i="23"/>
  <c r="H2" i="23"/>
  <c r="K2" i="23" s="1"/>
  <c r="N2" i="23" s="1"/>
  <c r="F2" i="23"/>
  <c r="E2" i="23"/>
  <c r="E2" i="21"/>
  <c r="F2" i="21" s="1"/>
  <c r="E2" i="20"/>
  <c r="E2" i="19"/>
  <c r="E2" i="18"/>
  <c r="E2" i="17"/>
  <c r="F2" i="15"/>
  <c r="F2" i="14"/>
  <c r="E2" i="14"/>
  <c r="F2" i="13"/>
  <c r="E2" i="13"/>
  <c r="F2" i="12"/>
  <c r="E2" i="12"/>
  <c r="F2" i="11"/>
  <c r="E2" i="11"/>
  <c r="F2" i="10"/>
  <c r="E2" i="10"/>
  <c r="E2" i="9"/>
  <c r="F2" i="9"/>
  <c r="F2" i="8"/>
  <c r="E2" i="8"/>
  <c r="G19" i="13" l="1"/>
  <c r="J17" i="31" s="1"/>
  <c r="W13" i="31"/>
  <c r="S15" i="23"/>
  <c r="AA13" i="31" s="1"/>
  <c r="G16" i="8"/>
  <c r="E14" i="31" s="1"/>
  <c r="E552" i="28"/>
  <c r="W552" i="6"/>
  <c r="X552" i="6" s="1"/>
  <c r="E552" i="29" s="1"/>
  <c r="V557" i="6"/>
  <c r="E557" i="26"/>
  <c r="N506" i="31" s="1"/>
  <c r="F14" i="10"/>
  <c r="H14" i="23"/>
  <c r="K14" i="23" s="1"/>
  <c r="N14" i="23" s="1"/>
  <c r="E14" i="20"/>
  <c r="U12" i="31" s="1"/>
  <c r="F14" i="23"/>
  <c r="F14" i="8"/>
  <c r="F18" i="21"/>
  <c r="V16" i="31" s="1"/>
  <c r="G17" i="13"/>
  <c r="J15" i="31" s="1"/>
  <c r="V555" i="6"/>
  <c r="E555" i="26"/>
  <c r="N504" i="31" s="1"/>
  <c r="L17" i="23"/>
  <c r="X15" i="31" s="1"/>
  <c r="G16" i="23"/>
  <c r="I16" i="23" s="1"/>
  <c r="F14" i="11"/>
  <c r="P14" i="23"/>
  <c r="R14" i="23" s="1"/>
  <c r="Z12" i="31" s="1"/>
  <c r="O14" i="23"/>
  <c r="Y12" i="31" s="1"/>
  <c r="G19" i="12"/>
  <c r="I17" i="31" s="1"/>
  <c r="G16" i="14"/>
  <c r="K14" i="31" s="1"/>
  <c r="E14" i="23"/>
  <c r="E14" i="8"/>
  <c r="G14" i="8" s="1"/>
  <c r="E12" i="31" s="1"/>
  <c r="L14" i="23"/>
  <c r="X12" i="31" s="1"/>
  <c r="G18" i="14"/>
  <c r="K16" i="31" s="1"/>
  <c r="G17" i="12"/>
  <c r="I15" i="31" s="1"/>
  <c r="G16" i="13"/>
  <c r="J14" i="31" s="1"/>
  <c r="G15" i="14"/>
  <c r="K13" i="31" s="1"/>
  <c r="I19" i="23"/>
  <c r="V556" i="6"/>
  <c r="E556" i="26"/>
  <c r="N505" i="31" s="1"/>
  <c r="G20" i="8"/>
  <c r="E18" i="31" s="1"/>
  <c r="G18" i="8"/>
  <c r="E16" i="31" s="1"/>
  <c r="L16" i="23"/>
  <c r="X14" i="31" s="1"/>
  <c r="G15" i="13"/>
  <c r="J13" i="31" s="1"/>
  <c r="V554" i="6"/>
  <c r="E554" i="26"/>
  <c r="N503" i="31" s="1"/>
  <c r="I17" i="23"/>
  <c r="W20" i="31"/>
  <c r="S22" i="23"/>
  <c r="AA20" i="31" s="1"/>
  <c r="G20" i="23"/>
  <c r="I20" i="23" s="1"/>
  <c r="G18" i="23"/>
  <c r="I18" i="23" s="1"/>
  <c r="V553" i="6"/>
  <c r="E553" i="26"/>
  <c r="N502" i="31" s="1"/>
  <c r="L18" i="23"/>
  <c r="X16" i="31" s="1"/>
  <c r="L20" i="23"/>
  <c r="X18" i="31" s="1"/>
  <c r="F14" i="9"/>
  <c r="G14" i="9" s="1"/>
  <c r="F12" i="31" s="1"/>
  <c r="F20" i="21"/>
  <c r="V18" i="31" s="1"/>
  <c r="E14" i="11"/>
  <c r="G14" i="11" s="1"/>
  <c r="H12" i="31" s="1"/>
  <c r="E14" i="10"/>
  <c r="G14" i="10" s="1"/>
  <c r="G12" i="31" s="1"/>
  <c r="F16" i="21"/>
  <c r="V14" i="31" s="1"/>
  <c r="F17" i="21"/>
  <c r="V15" i="31" s="1"/>
  <c r="F19" i="21"/>
  <c r="V17" i="31" s="1"/>
  <c r="F3" i="21"/>
  <c r="V2" i="31" s="1"/>
  <c r="F21" i="21"/>
  <c r="V19" i="31" s="1"/>
  <c r="G2" i="9"/>
  <c r="L2" i="23"/>
  <c r="R2" i="23"/>
  <c r="F13" i="12"/>
  <c r="G13" i="12" s="1"/>
  <c r="E13" i="21"/>
  <c r="F13" i="21" s="1"/>
  <c r="F14" i="13"/>
  <c r="F14" i="14"/>
  <c r="G2" i="8"/>
  <c r="G2" i="10"/>
  <c r="G2" i="11"/>
  <c r="G2" i="12"/>
  <c r="G2" i="13"/>
  <c r="G2" i="14"/>
  <c r="G2" i="23"/>
  <c r="I2" i="23" s="1"/>
  <c r="O2" i="23"/>
  <c r="F14" i="12"/>
  <c r="E14" i="21"/>
  <c r="F14" i="21" s="1"/>
  <c r="V12" i="31" s="1"/>
  <c r="E14" i="12"/>
  <c r="G14" i="12" s="1"/>
  <c r="I12" i="31" s="1"/>
  <c r="E14" i="13"/>
  <c r="E14" i="14"/>
  <c r="G14" i="14" s="1"/>
  <c r="K12" i="31" s="1"/>
  <c r="W14" i="31" l="1"/>
  <c r="S16" i="23"/>
  <c r="AA14" i="31" s="1"/>
  <c r="E553" i="28"/>
  <c r="W553" i="6"/>
  <c r="X553" i="6" s="1"/>
  <c r="E553" i="29" s="1"/>
  <c r="T502" i="31" s="1"/>
  <c r="E557" i="28"/>
  <c r="W557" i="6"/>
  <c r="X557" i="6" s="1"/>
  <c r="E557" i="29" s="1"/>
  <c r="T506" i="31" s="1"/>
  <c r="E554" i="28"/>
  <c r="W554" i="6"/>
  <c r="X554" i="6" s="1"/>
  <c r="E554" i="29" s="1"/>
  <c r="T503" i="31" s="1"/>
  <c r="G14" i="13"/>
  <c r="J12" i="31" s="1"/>
  <c r="W16" i="31"/>
  <c r="S18" i="23"/>
  <c r="AA16" i="31" s="1"/>
  <c r="W15" i="31"/>
  <c r="S17" i="23"/>
  <c r="AA15" i="31" s="1"/>
  <c r="E556" i="28"/>
  <c r="W556" i="6"/>
  <c r="X556" i="6" s="1"/>
  <c r="E556" i="29" s="1"/>
  <c r="T505" i="31" s="1"/>
  <c r="G14" i="23"/>
  <c r="I14" i="23" s="1"/>
  <c r="W18" i="31"/>
  <c r="S20" i="23"/>
  <c r="AA18" i="31" s="1"/>
  <c r="W17" i="31"/>
  <c r="S19" i="23"/>
  <c r="AA17" i="31" s="1"/>
  <c r="E555" i="28"/>
  <c r="W555" i="6"/>
  <c r="X555" i="6" s="1"/>
  <c r="E555" i="29" s="1"/>
  <c r="T504" i="31" s="1"/>
  <c r="F15" i="21"/>
  <c r="V13" i="31" s="1"/>
  <c r="S2" i="23"/>
  <c r="W12" i="31" l="1"/>
  <c r="S14" i="23"/>
  <c r="AA12" i="31" s="1"/>
  <c r="P503" i="31"/>
  <c r="S503" i="31"/>
  <c r="P502" i="31"/>
  <c r="S502" i="31"/>
  <c r="S505" i="31"/>
  <c r="P505" i="31"/>
  <c r="P504" i="31"/>
  <c r="S504" i="31"/>
  <c r="P506" i="31"/>
  <c r="S506" i="31"/>
</calcChain>
</file>

<file path=xl/sharedStrings.xml><?xml version="1.0" encoding="utf-8"?>
<sst xmlns="http://schemas.openxmlformats.org/spreadsheetml/2006/main" count="6560" uniqueCount="365">
  <si>
    <t>No</t>
  </si>
  <si>
    <t>Nama Perusahaan</t>
  </si>
  <si>
    <t>PT AIA Financial</t>
  </si>
  <si>
    <t>PT Asuransi Allianz Life Indonesia</t>
  </si>
  <si>
    <t>Asuransi Jiwa Bersama Bumiputera 1912</t>
  </si>
  <si>
    <t>PT Avrist Assurance</t>
  </si>
  <si>
    <t>PT Axa Financial Indonesia</t>
  </si>
  <si>
    <t>PT Axa Mandiri Financial Services</t>
  </si>
  <si>
    <t>PT Asuransi Jiwa BCA</t>
  </si>
  <si>
    <t>PT BNI Life Insurance</t>
  </si>
  <si>
    <t>PT Central Asia Financial</t>
  </si>
  <si>
    <t>PT Asuransi Jiwa Central Asia Raya</t>
  </si>
  <si>
    <t>PT Equity Life Indonesia</t>
  </si>
  <si>
    <t>PT Asuransi Jiwa Generali Indonesia</t>
  </si>
  <si>
    <t>PT Great Eastern Life Indonesia</t>
  </si>
  <si>
    <t>PT Hanwha Life Insurance Indonesia</t>
  </si>
  <si>
    <t>PT Lippo Life Assurance</t>
  </si>
  <si>
    <t>PT MNC Life Assurance</t>
  </si>
  <si>
    <t>PT Asuransi Jiwa Manulife Indonesia</t>
  </si>
  <si>
    <t>PT Asuransi Jiwa Astra</t>
  </si>
  <si>
    <t>PT Asuransi BRI Life</t>
  </si>
  <si>
    <t>PT Asuransi Ciputra Indonesia</t>
  </si>
  <si>
    <t>PT Asuransi Jiwa SeaInsure</t>
  </si>
  <si>
    <t>PT Asuransi Jiwa IFG</t>
  </si>
  <si>
    <t>PT Asuransi Jiwa Inhealth Indonesia</t>
  </si>
  <si>
    <t>PT Asuransi Jiwa Nasional</t>
  </si>
  <si>
    <t>PT MSIG Life Insurance Indonesia Tbk</t>
  </si>
  <si>
    <t>PT Asuransi Jiwa Starinvestama</t>
  </si>
  <si>
    <t>PT Asuransi Jiwa Taspen</t>
  </si>
  <si>
    <t>PT Asuransi Simas Jiwa</t>
  </si>
  <si>
    <t>PT Bhinneka Life Indonesia</t>
  </si>
  <si>
    <t>PT Capital Life Indonesia</t>
  </si>
  <si>
    <t>PT China Life Insurance Indonesia</t>
  </si>
  <si>
    <t>PT Chubb Life Insurance Indonesia</t>
  </si>
  <si>
    <t>PT FWD Insurance Indonesia</t>
  </si>
  <si>
    <t>PT Heksa Solution Insurance</t>
  </si>
  <si>
    <t>PT Indolife Pensiontama</t>
  </si>
  <si>
    <t>PT PFI Mega Life Insurance</t>
  </si>
  <si>
    <t>PT Pacific Life Insurance</t>
  </si>
  <si>
    <t>PT Panin Dai-ichi Life</t>
  </si>
  <si>
    <t>PT Sun Life Financial Indonesia</t>
  </si>
  <si>
    <t>PT Victoria Alife Indonesia</t>
  </si>
  <si>
    <t>PT Asuransi Jiwa Teguh Pelita Pelindung</t>
  </si>
  <si>
    <t>PT Prudential Life Assurance</t>
  </si>
  <si>
    <t>PT Asuransi Jiwa Reliance Indonesia</t>
  </si>
  <si>
    <t>PT Asuransi Jiwa Sequis Financial</t>
  </si>
  <si>
    <t>PT Asuransi Jiwa Sequis Life</t>
  </si>
  <si>
    <t>PT Tokio Marine Life Insurance Indonesia</t>
  </si>
  <si>
    <t>PT Perta Life Insurance</t>
  </si>
  <si>
    <t>PT Zurich Topas Life</t>
  </si>
  <si>
    <t>PT Asuransi Jiwa Syariah Kitabisa</t>
  </si>
  <si>
    <t>PT Asuransi Jiwa Syariah Jasa Mitra Abadi</t>
  </si>
  <si>
    <t>PT Asuransi Jiwa Syariah AL AMIN</t>
  </si>
  <si>
    <t>PT Asuransi Jiwa Syariah Bumiputera</t>
  </si>
  <si>
    <t>PT Capital Life syariah</t>
  </si>
  <si>
    <t>PT Asuransi Takaful Keluarga</t>
  </si>
  <si>
    <t>PT Asuransi Allianz Life Syariah Indonesia</t>
  </si>
  <si>
    <t>PT Asuransi Jiwa Manulife Indonesia Syariah</t>
  </si>
  <si>
    <t>Keterangan</t>
  </si>
  <si>
    <t>PT AIG Insurance Indonesia</t>
  </si>
  <si>
    <t>PT Asuransi Asei Indonesia</t>
  </si>
  <si>
    <t>PT Asuransi Allianz Utama Indonesia</t>
  </si>
  <si>
    <t>PT Asuransi Artarindo</t>
  </si>
  <si>
    <t>PT Arthagraha General Insurance</t>
  </si>
  <si>
    <t>PT Asuransi Astra Buana</t>
  </si>
  <si>
    <t>PT Avrist General Insurance</t>
  </si>
  <si>
    <t>PT Asuransi Umum BCA</t>
  </si>
  <si>
    <t>PT Asuransi Bangun Askrida</t>
  </si>
  <si>
    <t>PT Asuransi Bhakti Bhayangkara</t>
  </si>
  <si>
    <t>PT Asuransi Bina Dana Arta Tbk</t>
  </si>
  <si>
    <t>PT Asuransi Binagriya Upakara</t>
  </si>
  <si>
    <t>PT Asuransi Bintang Tbk</t>
  </si>
  <si>
    <t>PT Bosowa Asuransi</t>
  </si>
  <si>
    <t>PT Asuransi Buana Independent</t>
  </si>
  <si>
    <t>PT Asuransi Umum Bumiputera Muda 1967</t>
  </si>
  <si>
    <t>PT Asuransi Cakrawala Proteksi Indonesia</t>
  </si>
  <si>
    <t>PT Asuransi Central Asia</t>
  </si>
  <si>
    <t>PT China Taiping Insurance Indonesia</t>
  </si>
  <si>
    <t>PT Citra International Underwriters</t>
  </si>
  <si>
    <t>PT Asuransi Dayin Mitra Tbk</t>
  </si>
  <si>
    <t>PT Asuransi Eka Lloyd Jaya</t>
  </si>
  <si>
    <t>PT Asuransi FPG Indonesia</t>
  </si>
  <si>
    <t>PT Asuransi Harta Aman Pratama Tbk</t>
  </si>
  <si>
    <t>PT Asuransi Intra Asia</t>
  </si>
  <si>
    <t>PT Asuransi Jasa Tania Tbk</t>
  </si>
  <si>
    <t>PT Sunday Insurance Indonesia</t>
  </si>
  <si>
    <t>PT Lippo General Insurance Tbk</t>
  </si>
  <si>
    <t>PT MNC Asuransi Indonesia</t>
  </si>
  <si>
    <t>PT Asuransi MSIG Indonesia</t>
  </si>
  <si>
    <t>PT AXA Insurance Indonesia</t>
  </si>
  <si>
    <t>PT Asuransi Umum Seainsure</t>
  </si>
  <si>
    <t>PT Asuransi Umum Mega</t>
  </si>
  <si>
    <t>PT Meritz Korindo Insurance</t>
  </si>
  <si>
    <t>PT Asuransi Mitra Pelindung Mustika</t>
  </si>
  <si>
    <t>PT Asuransi Multi Artha Guna Tbk</t>
  </si>
  <si>
    <t>PT Zurich Asuransi Indonesia, Tbk</t>
  </si>
  <si>
    <t>PT Asuransi Candi Utama</t>
  </si>
  <si>
    <t>PT Asuransi Etiqa Internasional Indonesia</t>
  </si>
  <si>
    <t>PT Asuransi Jasa Indonesia</t>
  </si>
  <si>
    <t>PT Asuransi Jasaraharja Putera</t>
  </si>
  <si>
    <t>PT Asuransi Kredit Indonesia</t>
  </si>
  <si>
    <t>PT Asuransi Maximus Graha Persada Tbk</t>
  </si>
  <si>
    <t>PT Asuransi Perisai Listrik Nasional</t>
  </si>
  <si>
    <t>PT Asuransi Sahabat Artha Proteksi</t>
  </si>
  <si>
    <t>PT Asuransi Simas Insurtech</t>
  </si>
  <si>
    <t>PT Asuransi Total Bersama</t>
  </si>
  <si>
    <t>PT Asuransi Tugu Pratama Indonesia Tbk</t>
  </si>
  <si>
    <t>PT Asuransi Umum Videi</t>
  </si>
  <si>
    <t>PT BRI Asuransi Indonesia</t>
  </si>
  <si>
    <t>PT Chubb General Insurance Indonesia</t>
  </si>
  <si>
    <t>PT Great Eastern General Insurance Indonesia</t>
  </si>
  <si>
    <t>PT Kookmin Best Insurance Indonesia</t>
  </si>
  <si>
    <t>PT Malacca Trust Wuwungan Insurance Tbk</t>
  </si>
  <si>
    <t>PT Pan Pacific Insurance</t>
  </si>
  <si>
    <t>PT Asuransi Raksa Pratikara</t>
  </si>
  <si>
    <t>PT Asuransi Rama Satria Wibawa</t>
  </si>
  <si>
    <t>PT Asuransi Ramayana Tbk.</t>
  </si>
  <si>
    <t>PT Asuransi Reliance Indonesia</t>
  </si>
  <si>
    <t>PT Asuransi Samsung Tugu</t>
  </si>
  <si>
    <t>PT Asuransi Digital Bersama Tbk.</t>
  </si>
  <si>
    <t>PT Asuransi Sinar Mas</t>
  </si>
  <si>
    <t>PT Sompo Insurance Indonesia</t>
  </si>
  <si>
    <t>PT Asuransi Staco Mandiri</t>
  </si>
  <si>
    <t>PT Asuransi Sumit Oto</t>
  </si>
  <si>
    <t>PT Asuransi Tokio Marine Indonesia</t>
  </si>
  <si>
    <t>PT Asuransi Tri Pakarta</t>
  </si>
  <si>
    <t>PT Victoria Insurance Tbk</t>
  </si>
  <si>
    <t>PT Asuransi Wahana Tata</t>
  </si>
  <si>
    <t>PT Asuransi Untuk Semua</t>
  </si>
  <si>
    <t>PT Asuransi Kerugian Jasa Raharja</t>
  </si>
  <si>
    <t>PT Asuransi Chubb Syariah Indonesia</t>
  </si>
  <si>
    <t>PT Asuransi Askrida Syariah</t>
  </si>
  <si>
    <t>PT Asuransi Jasindo Syariah</t>
  </si>
  <si>
    <t>PT Zurich General Takaful Indonesia</t>
  </si>
  <si>
    <t xml:space="preserve">PT Asuransi Sonwelis Takaful </t>
  </si>
  <si>
    <t>PT Asuransi Takaful Umum</t>
  </si>
  <si>
    <t>PT Maskapai Reasuransi Indonesia Tbk.</t>
  </si>
  <si>
    <t>PT Reasuransi Indonesia Utama (Persero)</t>
  </si>
  <si>
    <t>PT Reasuransi Nusantara Makmur</t>
  </si>
  <si>
    <t>PT Reasuransi Maipark Indonesia</t>
  </si>
  <si>
    <t>PT Reasuransi Nasional Indonesia</t>
  </si>
  <si>
    <t>PT Tugu Reasuransi Indonesia</t>
  </si>
  <si>
    <t>PT Indoperkasa Suksesjaya Reasuransi</t>
  </si>
  <si>
    <t>PT Orion Reasuransi Indonesia</t>
  </si>
  <si>
    <t>PT Reasuransi Syariah Indonesia</t>
  </si>
  <si>
    <t>PT ASABRI (Persero)</t>
  </si>
  <si>
    <t>PT TASPEN (PERSERO)</t>
  </si>
  <si>
    <t>BPJS Kesehatan</t>
  </si>
  <si>
    <t>BPJS Ketenagakerjaan</t>
  </si>
  <si>
    <t>PT Asuransi Syariah Keluarga Indonesia</t>
  </si>
  <si>
    <t>PT Prudential Sharia Life Assurance</t>
  </si>
  <si>
    <t>Sub Sektor</t>
  </si>
  <si>
    <t>Tahun</t>
  </si>
  <si>
    <t>Asuransi Jiwa</t>
  </si>
  <si>
    <t>Asuransi Umum</t>
  </si>
  <si>
    <t>Reasuransi</t>
  </si>
  <si>
    <t>Asuransi Wajib</t>
  </si>
  <si>
    <t>Asuransi Sosial</t>
  </si>
  <si>
    <t>Aktiva Lancar</t>
  </si>
  <si>
    <t>Kas</t>
  </si>
  <si>
    <t>Total Aset</t>
  </si>
  <si>
    <t>Hutang Lancar</t>
  </si>
  <si>
    <t>Total Ekuitas</t>
  </si>
  <si>
    <t>Pendapatan</t>
  </si>
  <si>
    <t>Total Hutang</t>
  </si>
  <si>
    <t>Laba Bersih</t>
  </si>
  <si>
    <t>Jumlah Komisaris Independen</t>
  </si>
  <si>
    <t>Jumlah Dewan Komisaris</t>
  </si>
  <si>
    <t>Jumlah Dewan Komisaris dan Dewan Direksi</t>
  </si>
  <si>
    <t>Current Ratio</t>
  </si>
  <si>
    <t>Cash Ratio</t>
  </si>
  <si>
    <t>Debt to Equity Ratio</t>
  </si>
  <si>
    <t>Debt to Asset Ratio</t>
  </si>
  <si>
    <t>Total Pendapatan</t>
  </si>
  <si>
    <t>Net Profit Margin</t>
  </si>
  <si>
    <t>Retun on Asset</t>
  </si>
  <si>
    <t>Retun on Equity</t>
  </si>
  <si>
    <t>Persentase Kepemilikan Terbesar</t>
  </si>
  <si>
    <t>Jumlah Dewan Komisaris dan Jumlah Dewan Direksi</t>
  </si>
  <si>
    <t>Aset Lancar</t>
  </si>
  <si>
    <t>Working Capital</t>
  </si>
  <si>
    <t>X1</t>
  </si>
  <si>
    <t>Saldo Laba</t>
  </si>
  <si>
    <t>Laba Di Tahan</t>
  </si>
  <si>
    <t>X2</t>
  </si>
  <si>
    <t>EBIT</t>
  </si>
  <si>
    <t>X3</t>
  </si>
  <si>
    <t>X4</t>
  </si>
  <si>
    <t>Z-Score</t>
  </si>
  <si>
    <t>Keterangan Data</t>
  </si>
  <si>
    <t>Website Tidak Dapat Diakses</t>
  </si>
  <si>
    <t>AIA International Limited</t>
  </si>
  <si>
    <t>PT Ciputra Internasional</t>
  </si>
  <si>
    <t>Aviva International Holding dan PT Astra International</t>
  </si>
  <si>
    <t>PT Astra International dan PT Sedaya Multi Investama</t>
  </si>
  <si>
    <t>PT BCA Sekuritas</t>
  </si>
  <si>
    <t>Generali Asia N.V.</t>
  </si>
  <si>
    <t>Allianz Asia Pacific &amp; Africa GmbH</t>
  </si>
  <si>
    <t>PT Bahana Pembinaan Usaha Indonesia</t>
  </si>
  <si>
    <t>The Manufacturers Life Insurance Company</t>
  </si>
  <si>
    <t>Manulife Financial Asia Limited</t>
  </si>
  <si>
    <t>PT Nasional Investiondo Perkasa</t>
  </si>
  <si>
    <t>Berdiri Tahun 2017</t>
  </si>
  <si>
    <t>Berdiri Tahun 2024</t>
  </si>
  <si>
    <t>PT Bank Mandiri</t>
  </si>
  <si>
    <t xml:space="preserve"> </t>
  </si>
  <si>
    <t>PT Transpacific Mutualcapita</t>
  </si>
  <si>
    <t>PT Sequis</t>
  </si>
  <si>
    <t>PT Pool Advista Indonesia</t>
  </si>
  <si>
    <t>PT Wahana Mandiri Sentosa</t>
  </si>
  <si>
    <t xml:space="preserve">Persentase Kepemilikan oleh Komisaris dan Direksi </t>
  </si>
  <si>
    <t>BoC Education [Bachelor + (2 x Master) + (2 x MBA) + (3 x PhD)]</t>
  </si>
  <si>
    <t>TMT Education (Dewan Komisaris)</t>
  </si>
  <si>
    <t>PT Taspen</t>
  </si>
  <si>
    <t>Alatief Corporation</t>
  </si>
  <si>
    <t>PT Sinarmas Multiartha dan PT Asuransi Sinarmas</t>
  </si>
  <si>
    <t>PT Asuransi Sinarmas</t>
  </si>
  <si>
    <t>AXA Asia</t>
  </si>
  <si>
    <t>PT Capital Global Financial</t>
  </si>
  <si>
    <t>China Life Insurance (Overseas) Company Limited</t>
  </si>
  <si>
    <t>PT Equity Development Investment</t>
  </si>
  <si>
    <t xml:space="preserve">FWD Group Financial Services </t>
  </si>
  <si>
    <t>The Great Eastern Life Assurance Co. Ltd. Singapura</t>
  </si>
  <si>
    <t>Hanwa Life Insurance</t>
  </si>
  <si>
    <t>PT Lintas Sejahtera Langgeng dan PT Cakra Intan Sakti</t>
  </si>
  <si>
    <t>PT Lippo General Insurance</t>
  </si>
  <si>
    <t>PT MNC Kapital Indonesia</t>
  </si>
  <si>
    <t>PT Pacific Strategic Invesco</t>
  </si>
  <si>
    <t>PT Panin Internasional</t>
  </si>
  <si>
    <t>Dana Pensiun Pertamina</t>
  </si>
  <si>
    <t>Zurich Insurance Company</t>
  </si>
  <si>
    <t>Sun Life Assurance Company of Canada</t>
  </si>
  <si>
    <t>PT Victoria Investama</t>
  </si>
  <si>
    <t>Tokio Marine&amp; Nichido Fire Insurance</t>
  </si>
  <si>
    <t>PT Prundential Life Assurance</t>
  </si>
  <si>
    <t>PT Reliance Capital Management</t>
  </si>
  <si>
    <t>PT Bina Asetanusa</t>
  </si>
  <si>
    <t>PT Inigo Global Capital</t>
  </si>
  <si>
    <t>ACE INA International Holdings</t>
  </si>
  <si>
    <t>CHUBB INA International Holdings</t>
  </si>
  <si>
    <t>PT Bumi Narendo Mukti</t>
  </si>
  <si>
    <t>PT Sinar Mas Multiartha &amp; Mitsui Sumitomo Insurance</t>
  </si>
  <si>
    <t>Mitsui Sumitomo Insurance</t>
  </si>
  <si>
    <t>PT Mega Corpora</t>
  </si>
  <si>
    <t>PT Bank Negara Indonesia</t>
  </si>
  <si>
    <t>TMT Education (Dewan Direksi) [Bachelor + (2 x Master) + (2 x MBA) + (3 x PhD)]</t>
  </si>
  <si>
    <t>Jumlah Dewan Direksi</t>
  </si>
  <si>
    <t>PT Bhineka Mandiri Utama</t>
  </si>
  <si>
    <t>Prudential Corporation Holdings</t>
  </si>
  <si>
    <t>PT Bank Rakyat Indonesia</t>
  </si>
  <si>
    <t>AIG Asia Pacific Insurance</t>
  </si>
  <si>
    <t>PT Harapan Sinar Sejahtera</t>
  </si>
  <si>
    <t>PT Budiman Kencana Lestari &amp; PT Surya Husada Investment</t>
  </si>
  <si>
    <t>TMT Education (Dewan Direksi)</t>
  </si>
  <si>
    <t>PT Reasuransi Indonesia Utama</t>
  </si>
  <si>
    <t>PT Sedaya Multi Investama</t>
  </si>
  <si>
    <t>Yayasan Kesejahteraan Pegawai dan Dana Pensiun Bank P{embangunan Daerah</t>
  </si>
  <si>
    <t>Yayasan Brata Bhakti</t>
  </si>
  <si>
    <t>Yayawan Kesejahteraan Pegawai PT Bank Tabungan Negara</t>
  </si>
  <si>
    <t>Siang Hadi Widjaja</t>
  </si>
  <si>
    <t>PT Scorpio Capital</t>
  </si>
  <si>
    <t>PT Candi Kapitalindo Utama</t>
  </si>
  <si>
    <t>PT Trans Pasific Mutal Capita</t>
  </si>
  <si>
    <t>Etiqa International Holdings</t>
  </si>
  <si>
    <t>PT  Sinar Mas Multifinance</t>
  </si>
  <si>
    <t>Samsung Fire &amp; Marine Insurance</t>
  </si>
  <si>
    <t>PT Asian International Investindo</t>
  </si>
  <si>
    <t>Leonard Berly Wennas</t>
  </si>
  <si>
    <t>Golden Eight Group Limited</t>
  </si>
  <si>
    <t>PT Intra Asia Corpora</t>
  </si>
  <si>
    <t>Dana Pensiun Perkebunan</t>
  </si>
  <si>
    <t>PT Jasa Raharja</t>
  </si>
  <si>
    <t>Tingkat Pertumbuhan</t>
  </si>
  <si>
    <t>Website tidak ditemukan</t>
  </si>
  <si>
    <t>PT Mitra Pinasthika Mustika</t>
  </si>
  <si>
    <t>MSIG Holdings (Asia)</t>
  </si>
  <si>
    <t>Roger Yeh</t>
  </si>
  <si>
    <t>Muhammad Rafid Andika</t>
  </si>
  <si>
    <t>Yogeshlal M. Vaswani</t>
  </si>
  <si>
    <t>Djajus Adisaputro</t>
  </si>
  <si>
    <t>Adi Wibowo Adisaputro</t>
  </si>
  <si>
    <t>Amthoni Salim</t>
  </si>
  <si>
    <t>Syahril</t>
  </si>
  <si>
    <t>Dana Pensiun Bank Mandiri Dua</t>
  </si>
  <si>
    <t>PT Capitol Investasi Indonesia</t>
  </si>
  <si>
    <t>PT Summit Investment Indonesia</t>
  </si>
  <si>
    <t>Lainnya</t>
  </si>
  <si>
    <t>Yayasan Dana Pensiun Bank BNI</t>
  </si>
  <si>
    <t>PT Bank Central Asia</t>
  </si>
  <si>
    <t>AJB Bumiputera 1912</t>
  </si>
  <si>
    <t>PT Piramida Bangun Citra</t>
  </si>
  <si>
    <t>Cleosent Randing</t>
  </si>
  <si>
    <t>PT Pakarti Yoga</t>
  </si>
  <si>
    <t>PT Bosowo Kapital</t>
  </si>
  <si>
    <t>China Taiping Insurance Holdings Company Limited</t>
  </si>
  <si>
    <t>71158*1e6</t>
  </si>
  <si>
    <t>PT Nusalaras Lestari</t>
  </si>
  <si>
    <t>Merits Fire &amp; Marine Insurance</t>
  </si>
  <si>
    <t>PT Bakti Nusa Bangsa dan PT Bakti Nusa Jayasentosa</t>
  </si>
  <si>
    <t>Masyarakat</t>
  </si>
  <si>
    <t>Orion Sedaya Indonesia</t>
  </si>
  <si>
    <t>Negara Republik Indonesia</t>
  </si>
  <si>
    <t>PT Tugu Pratama Interindo</t>
  </si>
  <si>
    <t>Laporan tidak tersedia</t>
  </si>
  <si>
    <t>KSK Group Berhad</t>
  </si>
  <si>
    <t>Sompo Japan Nipponkoa Insurance</t>
  </si>
  <si>
    <t>Sompo International Holdings</t>
  </si>
  <si>
    <t>PT Batavia Prima Investama</t>
  </si>
  <si>
    <t>PT Batavia Prosperindo International</t>
  </si>
  <si>
    <t>PT Prima Eksekutif</t>
  </si>
  <si>
    <t>PT Wahana Mandiri Sentosa Cemerlang</t>
  </si>
  <si>
    <t>PT Pertamina</t>
  </si>
  <si>
    <t>Tokio Marine Asia</t>
  </si>
  <si>
    <t>PT Srihana Utama</t>
  </si>
  <si>
    <t>PT Paninvest</t>
  </si>
  <si>
    <t>Fairfax Asia</t>
  </si>
  <si>
    <t>Yayasan Pendidikan dan Kesejahteraan PT PLN</t>
  </si>
  <si>
    <t>Dana Pensiun PT PLN</t>
  </si>
  <si>
    <t>Dana Pensiun Bank Rakyat Indonesia</t>
  </si>
  <si>
    <t>QBE Insurance (International) Limited</t>
  </si>
  <si>
    <t>QBE Asia Pacific Holdings Limited</t>
  </si>
  <si>
    <t>Great Eastern General Insurance Limited</t>
  </si>
  <si>
    <t>PT Inti Anugrah Pratama</t>
  </si>
  <si>
    <t>PT Hanhwa Life Insurance Indonesia</t>
  </si>
  <si>
    <t>PT Multikem Suplindo</t>
  </si>
  <si>
    <t>Barclays Bank PLC</t>
  </si>
  <si>
    <t>Bank of Singapore LTD</t>
  </si>
  <si>
    <t>Oona Indonesia PTE</t>
  </si>
  <si>
    <t>PT Adicahya Bintang Semesta</t>
  </si>
  <si>
    <t>PT Sinar Mas Multiartha</t>
  </si>
  <si>
    <t>PT Zurich Asuransi Indonesia</t>
  </si>
  <si>
    <t>PT Syarikat Takaful Indonesia</t>
  </si>
  <si>
    <t>KSPS BMT UGT Sidogiri</t>
  </si>
  <si>
    <t>Dana Pensiun Perhutani</t>
  </si>
  <si>
    <t>Kospin Jasa</t>
  </si>
  <si>
    <t>PT Bumiputera Sembilan Belas Dua Belas</t>
  </si>
  <si>
    <t>PT Angdy Putra Hidayah</t>
  </si>
  <si>
    <t>Koperasi Simpan Pinjam Jasa</t>
  </si>
  <si>
    <t>Suranto Tarunasastra</t>
  </si>
  <si>
    <t>Pemerintah Indonesia</t>
  </si>
  <si>
    <t>Current_Ratio</t>
  </si>
  <si>
    <t>Sub_Sektor</t>
  </si>
  <si>
    <t>Nama_Perusahaan</t>
  </si>
  <si>
    <t>Cash_Ratio</t>
  </si>
  <si>
    <t>DAR</t>
  </si>
  <si>
    <t>DER</t>
  </si>
  <si>
    <t>NPM</t>
  </si>
  <si>
    <t>ROA</t>
  </si>
  <si>
    <t>ROE</t>
  </si>
  <si>
    <t>Kepemilikan_Mayoritas</t>
  </si>
  <si>
    <t>Komisaris_Independen</t>
  </si>
  <si>
    <t>BoC_Education</t>
  </si>
  <si>
    <t>BoC_Size</t>
  </si>
  <si>
    <t>Insider_Ownership</t>
  </si>
  <si>
    <t>TMT_Education_DK</t>
  </si>
  <si>
    <t>TMT_Education_DD</t>
  </si>
  <si>
    <t>Total_Asset</t>
  </si>
  <si>
    <t>Pertumbuhan_Revenue</t>
  </si>
  <si>
    <t>Z_Score</t>
  </si>
  <si>
    <t>TMT_Size_DK</t>
  </si>
  <si>
    <t>TMT_Size_DD</t>
  </si>
  <si>
    <t>Z_Score_X1</t>
  </si>
  <si>
    <t>Z_Score_X2</t>
  </si>
  <si>
    <t>Z_Score_X3</t>
  </si>
  <si>
    <t>Z_Score_X4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</si>
</sst>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%"/>
    <numFmt numFmtId="167" formatCode="_-* #,##0.000_-;\-* #,##0.000_-;_-* &quot;-&quot;??_-;_-@_-"/>
    <numFmt numFmtId="168" formatCode="_-* #,##0.0000_-;\-* #,##0.0000_-;_-* &quot;-&quot;??_-;_-@_-"/>
    <numFmt numFmtId="169" formatCode="_-* #,##0.00000_-;\-* #,##0.00000_-;_-* &quot;-&quot;??_-;_-@_-"/>
    <numFmt numFmtId="170" formatCode="_-* #,##0.0000_-;\-* #,##0.0000_-;_-* &quot;-&quot;??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43" fontId="2" fillId="0" borderId="0" xfId="1" applyFont="1" applyFill="1" applyAlignment="1">
      <alignment horizontal="center"/>
    </xf>
    <xf numFmtId="43" fontId="0" fillId="0" borderId="0" xfId="1" applyFont="1" applyFill="1"/>
    <xf numFmtId="164" fontId="2" fillId="0" borderId="0" xfId="1" applyNumberFormat="1" applyFont="1" applyFill="1" applyAlignment="1">
      <alignment horizontal="center"/>
    </xf>
    <xf numFmtId="164" fontId="0" fillId="0" borderId="0" xfId="1" applyNumberFormat="1" applyFont="1" applyFill="1"/>
    <xf numFmtId="165" fontId="2" fillId="0" borderId="0" xfId="1" applyNumberFormat="1" applyFont="1" applyFill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Fill="1" applyBorder="1"/>
    <xf numFmtId="43" fontId="0" fillId="0" borderId="1" xfId="1" applyFont="1" applyFill="1" applyBorder="1"/>
    <xf numFmtId="164" fontId="0" fillId="2" borderId="0" xfId="1" applyNumberFormat="1" applyFont="1" applyFill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166" fontId="0" fillId="0" borderId="0" xfId="2" applyNumberFormat="1" applyFont="1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0" fillId="3" borderId="0" xfId="1" applyNumberFormat="1" applyFont="1" applyFill="1" applyAlignment="1">
      <alignment horizontal="center" vertical="center"/>
    </xf>
    <xf numFmtId="0" fontId="0" fillId="3" borderId="0" xfId="0" applyFill="1"/>
    <xf numFmtId="164" fontId="2" fillId="0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0" fontId="2" fillId="0" borderId="1" xfId="2" applyNumberFormat="1" applyFont="1" applyFill="1" applyBorder="1" applyAlignment="1">
      <alignment horizontal="center" vertical="center"/>
    </xf>
    <xf numFmtId="166" fontId="2" fillId="0" borderId="1" xfId="2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166" fontId="0" fillId="3" borderId="1" xfId="2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/>
    <xf numFmtId="43" fontId="0" fillId="3" borderId="1" xfId="1" applyFont="1" applyFill="1" applyBorder="1"/>
    <xf numFmtId="43" fontId="3" fillId="3" borderId="0" xfId="1" applyFont="1" applyFill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10" fontId="2" fillId="0" borderId="0" xfId="2" applyNumberFormat="1" applyFont="1" applyFill="1" applyAlignment="1">
      <alignment horizontal="center" vertical="center"/>
    </xf>
    <xf numFmtId="10" fontId="0" fillId="0" borderId="0" xfId="2" applyNumberFormat="1" applyFont="1" applyFill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66" fontId="0" fillId="4" borderId="1" xfId="2" applyNumberFormat="1" applyFont="1" applyFill="1" applyBorder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  <xf numFmtId="43" fontId="3" fillId="4" borderId="1" xfId="1" applyFont="1" applyFill="1" applyBorder="1" applyAlignment="1">
      <alignment horizontal="center" vertical="center"/>
    </xf>
    <xf numFmtId="164" fontId="3" fillId="4" borderId="0" xfId="1" applyNumberFormat="1" applyFont="1" applyFill="1" applyAlignment="1">
      <alignment horizontal="center" vertical="center"/>
    </xf>
    <xf numFmtId="10" fontId="0" fillId="4" borderId="1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164" fontId="4" fillId="4" borderId="1" xfId="1" applyNumberFormat="1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0" xfId="0" applyFill="1"/>
    <xf numFmtId="10" fontId="3" fillId="5" borderId="1" xfId="2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166" fontId="0" fillId="5" borderId="1" xfId="2" applyNumberFormat="1" applyFont="1" applyFill="1" applyBorder="1" applyAlignment="1">
      <alignment horizontal="center" vertical="center"/>
    </xf>
    <xf numFmtId="164" fontId="0" fillId="5" borderId="0" xfId="1" applyNumberFormat="1" applyFont="1" applyFill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0" xfId="0" applyFill="1"/>
    <xf numFmtId="0" fontId="4" fillId="3" borderId="1" xfId="0" applyFont="1" applyFill="1" applyBorder="1"/>
    <xf numFmtId="0" fontId="1" fillId="4" borderId="1" xfId="0" applyFont="1" applyFill="1" applyBorder="1" applyAlignment="1">
      <alignment horizontal="left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0" xfId="0" applyFill="1"/>
    <xf numFmtId="164" fontId="0" fillId="7" borderId="0" xfId="1" applyNumberFormat="1" applyFont="1" applyFill="1" applyAlignment="1">
      <alignment horizontal="center" vertical="center"/>
    </xf>
    <xf numFmtId="10" fontId="3" fillId="7" borderId="1" xfId="2" applyNumberFormat="1" applyFont="1" applyFill="1" applyBorder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 vertical="center"/>
    </xf>
    <xf numFmtId="166" fontId="0" fillId="7" borderId="1" xfId="2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167" fontId="0" fillId="0" borderId="0" xfId="1" applyNumberFormat="1" applyFont="1" applyFill="1"/>
    <xf numFmtId="168" fontId="0" fillId="0" borderId="0" xfId="1" applyNumberFormat="1" applyFont="1" applyFill="1"/>
    <xf numFmtId="169" fontId="0" fillId="0" borderId="0" xfId="1" applyNumberFormat="1" applyFont="1" applyFill="1"/>
    <xf numFmtId="169" fontId="2" fillId="0" borderId="1" xfId="1" applyNumberFormat="1" applyFont="1" applyFill="1" applyBorder="1" applyAlignment="1">
      <alignment horizontal="center"/>
    </xf>
    <xf numFmtId="168" fontId="2" fillId="0" borderId="1" xfId="1" applyNumberFormat="1" applyFont="1" applyFill="1" applyBorder="1" applyAlignment="1">
      <alignment horizontal="center"/>
    </xf>
    <xf numFmtId="169" fontId="0" fillId="0" borderId="1" xfId="1" applyNumberFormat="1" applyFont="1" applyFill="1" applyBorder="1"/>
    <xf numFmtId="168" fontId="0" fillId="0" borderId="1" xfId="1" applyNumberFormat="1" applyFont="1" applyFill="1" applyBorder="1"/>
    <xf numFmtId="168" fontId="0" fillId="0" borderId="0" xfId="0" applyNumberFormat="1"/>
    <xf numFmtId="17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D41-5F7C-4E7D-B271-42FDFA0E8954}">
  <sheetPr codeName="Sheet2"/>
  <dimension ref="A1:Y1048576"/>
  <sheetViews>
    <sheetView zoomScale="80" zoomScaleNormal="8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O406" sqref="O406"/>
    </sheetView>
  </sheetViews>
  <sheetFormatPr defaultColWidth="9.109375" defaultRowHeight="15" customHeight="1" x14ac:dyDescent="0.3"/>
  <cols>
    <col min="1" max="1" width="3.88671875" customWidth="1"/>
    <col min="2" max="2" width="4.5546875" style="8" bestFit="1" customWidth="1"/>
    <col min="3" max="3" width="16.44140625" customWidth="1"/>
    <col min="4" max="4" width="6.5546875" style="8" bestFit="1" customWidth="1"/>
    <col min="5" max="5" width="21.33203125" style="10" customWidth="1"/>
    <col min="6" max="6" width="24.33203125" style="10" customWidth="1"/>
    <col min="7" max="7" width="23.33203125" style="10" customWidth="1"/>
    <col min="8" max="8" width="23" style="10" customWidth="1"/>
    <col min="9" max="9" width="26.6640625" style="10" customWidth="1"/>
    <col min="10" max="10" width="21.6640625" style="10" customWidth="1"/>
    <col min="11" max="11" width="22.33203125" style="10" customWidth="1"/>
    <col min="12" max="12" width="25.44140625" style="26" customWidth="1"/>
    <col min="13" max="13" width="19.5546875" style="10" customWidth="1"/>
    <col min="14" max="14" width="21.109375" style="10" customWidth="1"/>
    <col min="15" max="15" width="31.6640625" style="27" bestFit="1" customWidth="1"/>
    <col min="16" max="16" width="53.109375" style="17" bestFit="1" customWidth="1"/>
    <col min="17" max="17" width="29.6640625" style="10" bestFit="1" customWidth="1"/>
    <col min="18" max="18" width="25" style="10" bestFit="1" customWidth="1"/>
    <col min="19" max="19" width="25" style="10" customWidth="1"/>
    <col min="20" max="20" width="42.5546875" style="10" bestFit="1" customWidth="1"/>
    <col min="21" max="21" width="49.5546875" style="28" bestFit="1" customWidth="1"/>
    <col min="22" max="22" width="59.6640625" style="10" bestFit="1" customWidth="1"/>
    <col min="23" max="23" width="33.109375" style="10" bestFit="1" customWidth="1"/>
    <col min="24" max="24" width="72.44140625" style="10" customWidth="1"/>
    <col min="25" max="25" width="27.88671875" style="8" bestFit="1" customWidth="1"/>
  </cols>
  <sheetData>
    <row r="1" spans="1:25" s="6" customFormat="1" ht="15" customHeight="1" x14ac:dyDescent="0.3">
      <c r="A1" s="18"/>
      <c r="B1" s="19" t="s">
        <v>0</v>
      </c>
      <c r="C1" s="18" t="s">
        <v>1</v>
      </c>
      <c r="D1" s="19" t="s">
        <v>152</v>
      </c>
      <c r="E1" s="32" t="s">
        <v>159</v>
      </c>
      <c r="F1" s="32" t="s">
        <v>158</v>
      </c>
      <c r="G1" s="32" t="s">
        <v>160</v>
      </c>
      <c r="H1" s="32" t="s">
        <v>161</v>
      </c>
      <c r="I1" s="32" t="s">
        <v>164</v>
      </c>
      <c r="J1" s="32" t="s">
        <v>182</v>
      </c>
      <c r="K1" s="32" t="s">
        <v>162</v>
      </c>
      <c r="L1" s="33" t="s">
        <v>163</v>
      </c>
      <c r="M1" s="32" t="s">
        <v>185</v>
      </c>
      <c r="N1" s="32" t="s">
        <v>165</v>
      </c>
      <c r="O1" s="34" t="s">
        <v>177</v>
      </c>
      <c r="P1" s="32" t="s">
        <v>58</v>
      </c>
      <c r="Q1" s="32" t="s">
        <v>166</v>
      </c>
      <c r="R1" s="32" t="s">
        <v>167</v>
      </c>
      <c r="S1" s="32" t="s">
        <v>246</v>
      </c>
      <c r="T1" s="32" t="s">
        <v>168</v>
      </c>
      <c r="U1" s="35" t="s">
        <v>210</v>
      </c>
      <c r="V1" s="32" t="s">
        <v>211</v>
      </c>
      <c r="W1" s="32" t="s">
        <v>212</v>
      </c>
      <c r="X1" s="32" t="s">
        <v>245</v>
      </c>
      <c r="Y1" s="19" t="s">
        <v>189</v>
      </c>
    </row>
    <row r="2" spans="1:25" s="31" customFormat="1" ht="15" customHeight="1" x14ac:dyDescent="0.3">
      <c r="A2" s="36" t="s">
        <v>153</v>
      </c>
      <c r="B2" s="37">
        <v>1</v>
      </c>
      <c r="C2" s="29" t="s">
        <v>4</v>
      </c>
      <c r="D2" s="37">
        <v>2014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0</v>
      </c>
      <c r="K2" s="38">
        <v>0</v>
      </c>
      <c r="L2" s="38">
        <v>0</v>
      </c>
      <c r="M2" s="38">
        <v>0</v>
      </c>
      <c r="N2" s="38">
        <v>0</v>
      </c>
      <c r="O2" s="39">
        <v>0</v>
      </c>
      <c r="P2" s="40">
        <v>0</v>
      </c>
      <c r="Q2" s="38">
        <v>0</v>
      </c>
      <c r="R2" s="38">
        <v>0</v>
      </c>
      <c r="S2" s="38"/>
      <c r="T2" s="38">
        <v>0</v>
      </c>
      <c r="U2" s="41">
        <v>0</v>
      </c>
      <c r="V2" s="38">
        <v>0</v>
      </c>
      <c r="W2" s="38">
        <f t="shared" ref="W2:W13" si="0">V2</f>
        <v>0</v>
      </c>
      <c r="X2" s="38">
        <v>0</v>
      </c>
      <c r="Y2" s="37" t="s">
        <v>190</v>
      </c>
    </row>
    <row r="3" spans="1:25" s="31" customFormat="1" ht="15" customHeight="1" x14ac:dyDescent="0.3">
      <c r="A3" s="36"/>
      <c r="B3" s="37"/>
      <c r="C3" s="29"/>
      <c r="D3" s="37">
        <v>2015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9">
        <v>0</v>
      </c>
      <c r="P3" s="40">
        <v>0</v>
      </c>
      <c r="Q3" s="38">
        <v>0</v>
      </c>
      <c r="R3" s="38">
        <v>0</v>
      </c>
      <c r="S3" s="38"/>
      <c r="T3" s="38">
        <v>0</v>
      </c>
      <c r="U3" s="41">
        <v>0</v>
      </c>
      <c r="V3" s="38">
        <v>0</v>
      </c>
      <c r="W3" s="38">
        <f t="shared" si="0"/>
        <v>0</v>
      </c>
      <c r="X3" s="38">
        <v>0</v>
      </c>
      <c r="Y3" s="37"/>
    </row>
    <row r="4" spans="1:25" s="31" customFormat="1" ht="15" customHeight="1" x14ac:dyDescent="0.3">
      <c r="A4" s="36"/>
      <c r="B4" s="37"/>
      <c r="C4" s="29"/>
      <c r="D4" s="37">
        <v>2016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9">
        <v>0</v>
      </c>
      <c r="P4" s="40">
        <v>0</v>
      </c>
      <c r="Q4" s="38">
        <v>0</v>
      </c>
      <c r="R4" s="38">
        <v>0</v>
      </c>
      <c r="S4" s="38"/>
      <c r="T4" s="38">
        <v>0</v>
      </c>
      <c r="U4" s="41">
        <v>0</v>
      </c>
      <c r="V4" s="38">
        <v>0</v>
      </c>
      <c r="W4" s="38">
        <f t="shared" si="0"/>
        <v>0</v>
      </c>
      <c r="X4" s="38">
        <v>0</v>
      </c>
      <c r="Y4" s="37"/>
    </row>
    <row r="5" spans="1:25" s="31" customFormat="1" ht="15" customHeight="1" x14ac:dyDescent="0.3">
      <c r="A5" s="36"/>
      <c r="B5" s="37"/>
      <c r="C5" s="29"/>
      <c r="D5" s="37">
        <v>2017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9">
        <v>0</v>
      </c>
      <c r="P5" s="40">
        <v>0</v>
      </c>
      <c r="Q5" s="38">
        <v>0</v>
      </c>
      <c r="R5" s="38">
        <v>0</v>
      </c>
      <c r="S5" s="38"/>
      <c r="T5" s="38">
        <v>0</v>
      </c>
      <c r="U5" s="41">
        <v>0</v>
      </c>
      <c r="V5" s="38">
        <v>0</v>
      </c>
      <c r="W5" s="38">
        <f t="shared" si="0"/>
        <v>0</v>
      </c>
      <c r="X5" s="38">
        <v>0</v>
      </c>
      <c r="Y5" s="37"/>
    </row>
    <row r="6" spans="1:25" s="31" customFormat="1" ht="15" customHeight="1" x14ac:dyDescent="0.3">
      <c r="A6" s="36"/>
      <c r="B6" s="37"/>
      <c r="C6" s="29"/>
      <c r="D6" s="37">
        <v>2018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9">
        <v>0</v>
      </c>
      <c r="P6" s="40">
        <v>0</v>
      </c>
      <c r="Q6" s="38">
        <v>0</v>
      </c>
      <c r="R6" s="38">
        <v>0</v>
      </c>
      <c r="S6" s="38"/>
      <c r="T6" s="38">
        <v>0</v>
      </c>
      <c r="U6" s="41">
        <v>0</v>
      </c>
      <c r="V6" s="38">
        <v>0</v>
      </c>
      <c r="W6" s="38">
        <f t="shared" si="0"/>
        <v>0</v>
      </c>
      <c r="X6" s="38">
        <v>0</v>
      </c>
      <c r="Y6" s="37"/>
    </row>
    <row r="7" spans="1:25" s="31" customFormat="1" ht="15" customHeight="1" x14ac:dyDescent="0.3">
      <c r="A7" s="36"/>
      <c r="B7" s="37"/>
      <c r="C7" s="29"/>
      <c r="D7" s="37">
        <v>2019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9">
        <v>0</v>
      </c>
      <c r="P7" s="40">
        <v>0</v>
      </c>
      <c r="Q7" s="38">
        <v>0</v>
      </c>
      <c r="R7" s="38">
        <v>0</v>
      </c>
      <c r="S7" s="38"/>
      <c r="T7" s="38">
        <v>0</v>
      </c>
      <c r="U7" s="41">
        <v>0</v>
      </c>
      <c r="V7" s="38">
        <v>0</v>
      </c>
      <c r="W7" s="38">
        <f t="shared" si="0"/>
        <v>0</v>
      </c>
      <c r="X7" s="38">
        <v>0</v>
      </c>
      <c r="Y7" s="37"/>
    </row>
    <row r="8" spans="1:25" s="31" customFormat="1" ht="15" customHeight="1" x14ac:dyDescent="0.3">
      <c r="A8" s="36"/>
      <c r="B8" s="37"/>
      <c r="C8" s="29"/>
      <c r="D8" s="37">
        <v>2020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9">
        <v>0</v>
      </c>
      <c r="P8" s="40">
        <v>0</v>
      </c>
      <c r="Q8" s="38">
        <v>0</v>
      </c>
      <c r="R8" s="38">
        <v>0</v>
      </c>
      <c r="S8" s="38"/>
      <c r="T8" s="38">
        <v>0</v>
      </c>
      <c r="U8" s="41">
        <v>0</v>
      </c>
      <c r="V8" s="38">
        <v>0</v>
      </c>
      <c r="W8" s="38">
        <f t="shared" si="0"/>
        <v>0</v>
      </c>
      <c r="X8" s="38">
        <v>0</v>
      </c>
      <c r="Y8" s="37"/>
    </row>
    <row r="9" spans="1:25" s="31" customFormat="1" ht="15" customHeight="1" x14ac:dyDescent="0.3">
      <c r="A9" s="36"/>
      <c r="B9" s="37"/>
      <c r="C9" s="29"/>
      <c r="D9" s="37">
        <v>2021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9">
        <v>0</v>
      </c>
      <c r="P9" s="40">
        <v>0</v>
      </c>
      <c r="Q9" s="38">
        <v>0</v>
      </c>
      <c r="R9" s="38">
        <v>0</v>
      </c>
      <c r="S9" s="38"/>
      <c r="T9" s="38">
        <v>0</v>
      </c>
      <c r="U9" s="41">
        <v>0</v>
      </c>
      <c r="V9" s="38">
        <v>0</v>
      </c>
      <c r="W9" s="38">
        <f t="shared" si="0"/>
        <v>0</v>
      </c>
      <c r="X9" s="38">
        <v>0</v>
      </c>
      <c r="Y9" s="37"/>
    </row>
    <row r="10" spans="1:25" s="31" customFormat="1" ht="15" customHeight="1" x14ac:dyDescent="0.3">
      <c r="A10" s="36"/>
      <c r="B10" s="37"/>
      <c r="C10" s="29"/>
      <c r="D10" s="37">
        <v>2022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9">
        <v>0</v>
      </c>
      <c r="P10" s="40">
        <v>0</v>
      </c>
      <c r="Q10" s="38">
        <v>0</v>
      </c>
      <c r="R10" s="38">
        <v>0</v>
      </c>
      <c r="S10" s="38"/>
      <c r="T10" s="38">
        <v>0</v>
      </c>
      <c r="U10" s="41">
        <v>0</v>
      </c>
      <c r="V10" s="38">
        <v>0</v>
      </c>
      <c r="W10" s="38">
        <f t="shared" si="0"/>
        <v>0</v>
      </c>
      <c r="X10" s="38">
        <v>0</v>
      </c>
      <c r="Y10" s="37"/>
    </row>
    <row r="11" spans="1:25" s="31" customFormat="1" ht="15" customHeight="1" x14ac:dyDescent="0.3">
      <c r="A11" s="36"/>
      <c r="B11" s="37"/>
      <c r="C11" s="29"/>
      <c r="D11" s="37">
        <v>2023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9">
        <v>0</v>
      </c>
      <c r="P11" s="40">
        <v>0</v>
      </c>
      <c r="Q11" s="38">
        <v>0</v>
      </c>
      <c r="R11" s="38">
        <v>0</v>
      </c>
      <c r="S11" s="38"/>
      <c r="T11" s="38">
        <v>0</v>
      </c>
      <c r="U11" s="41">
        <v>0</v>
      </c>
      <c r="V11" s="38">
        <v>0</v>
      </c>
      <c r="W11" s="38">
        <f t="shared" si="0"/>
        <v>0</v>
      </c>
      <c r="X11" s="38">
        <v>0</v>
      </c>
      <c r="Y11" s="37"/>
    </row>
    <row r="12" spans="1:25" s="31" customFormat="1" ht="15" customHeight="1" x14ac:dyDescent="0.3">
      <c r="A12" s="36"/>
      <c r="B12" s="37"/>
      <c r="C12" s="29"/>
      <c r="D12" s="37">
        <v>2024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9">
        <v>0</v>
      </c>
      <c r="P12" s="40">
        <v>0</v>
      </c>
      <c r="Q12" s="38">
        <v>0</v>
      </c>
      <c r="R12" s="38">
        <v>0</v>
      </c>
      <c r="S12" s="38"/>
      <c r="T12" s="38">
        <v>0</v>
      </c>
      <c r="U12" s="41">
        <v>0</v>
      </c>
      <c r="V12" s="38">
        <v>0</v>
      </c>
      <c r="W12" s="38">
        <f t="shared" si="0"/>
        <v>0</v>
      </c>
      <c r="X12" s="38">
        <v>0</v>
      </c>
      <c r="Y12" s="37"/>
    </row>
    <row r="13" spans="1:25" s="31" customFormat="1" ht="15" customHeight="1" x14ac:dyDescent="0.3">
      <c r="A13" s="36"/>
      <c r="B13" s="37">
        <v>2</v>
      </c>
      <c r="C13" s="29" t="s">
        <v>2</v>
      </c>
      <c r="D13" s="37">
        <v>2014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f>11948691*1000000</f>
        <v>11948691000000</v>
      </c>
      <c r="M13" s="38">
        <v>0</v>
      </c>
      <c r="N13" s="38">
        <v>0</v>
      </c>
      <c r="O13" s="39">
        <v>0</v>
      </c>
      <c r="P13" s="40">
        <v>0</v>
      </c>
      <c r="Q13" s="38">
        <v>0</v>
      </c>
      <c r="R13" s="38">
        <v>0</v>
      </c>
      <c r="S13" s="38"/>
      <c r="T13" s="38">
        <v>0</v>
      </c>
      <c r="U13" s="41">
        <v>0</v>
      </c>
      <c r="V13" s="38">
        <v>0</v>
      </c>
      <c r="W13" s="38">
        <f t="shared" si="0"/>
        <v>0</v>
      </c>
      <c r="X13" s="38"/>
      <c r="Y13" s="37"/>
    </row>
    <row r="14" spans="1:25" s="31" customFormat="1" ht="15" customHeight="1" x14ac:dyDescent="0.3">
      <c r="A14" s="36"/>
      <c r="B14" s="37"/>
      <c r="C14" s="29"/>
      <c r="D14" s="37">
        <v>2015</v>
      </c>
      <c r="E14" s="38">
        <f>322334*1000000</f>
        <v>322334000000</v>
      </c>
      <c r="F14" s="38">
        <f>(1650409-423263-273144-2863)*1000000</f>
        <v>951139000000</v>
      </c>
      <c r="G14" s="38">
        <f>31860954*1000000</f>
        <v>31860954000000</v>
      </c>
      <c r="H14" s="38">
        <f>1833519*1000000</f>
        <v>1833519000000</v>
      </c>
      <c r="I14" s="38">
        <f>25291701*1000000</f>
        <v>25291701000000</v>
      </c>
      <c r="J14" s="38">
        <f>5786895*1000000</f>
        <v>5786895000000</v>
      </c>
      <c r="K14" s="38">
        <f>6569253*1000000</f>
        <v>6569253000000</v>
      </c>
      <c r="L14" s="38">
        <f>8985907*1000000</f>
        <v>8985907000000</v>
      </c>
      <c r="M14" s="38">
        <f>1649123*1000000</f>
        <v>1649123000000</v>
      </c>
      <c r="N14" s="38">
        <f>848437*1000000</f>
        <v>848437000000</v>
      </c>
      <c r="O14" s="39">
        <v>0.8</v>
      </c>
      <c r="P14" s="40" t="s">
        <v>191</v>
      </c>
      <c r="Q14" s="38">
        <v>2</v>
      </c>
      <c r="R14" s="38">
        <v>4</v>
      </c>
      <c r="S14" s="38">
        <v>5</v>
      </c>
      <c r="T14" s="38">
        <f>S14+R14</f>
        <v>9</v>
      </c>
      <c r="U14" s="42">
        <v>0</v>
      </c>
      <c r="V14" s="38">
        <v>0</v>
      </c>
      <c r="W14" s="38">
        <v>0</v>
      </c>
      <c r="X14" s="38">
        <v>0</v>
      </c>
      <c r="Y14" s="37"/>
    </row>
    <row r="15" spans="1:25" s="31" customFormat="1" ht="15" customHeight="1" x14ac:dyDescent="0.3">
      <c r="A15" s="36"/>
      <c r="B15" s="37"/>
      <c r="C15" s="29"/>
      <c r="D15" s="37">
        <v>2016</v>
      </c>
      <c r="E15" s="38">
        <f>383884*1000000</f>
        <v>383884000000</v>
      </c>
      <c r="F15" s="38">
        <f>(1714053-378107-214642-2511)*1000000</f>
        <v>1118793000000</v>
      </c>
      <c r="G15" s="38">
        <f>35767906*1000000</f>
        <v>35767906000000</v>
      </c>
      <c r="H15" s="38">
        <f>2103474*1000000</f>
        <v>2103474000000</v>
      </c>
      <c r="I15" s="38">
        <f>28001542*1000000</f>
        <v>28001542000000</v>
      </c>
      <c r="J15" s="38">
        <f>6850440*1000000</f>
        <v>6850440000000</v>
      </c>
      <c r="K15" s="38">
        <f>7766364*1000000</f>
        <v>7766364000000</v>
      </c>
      <c r="L15" s="38">
        <f>13264521*1000000</f>
        <v>13264521000000</v>
      </c>
      <c r="M15" s="38">
        <f>1034240*1000000</f>
        <v>1034240000000</v>
      </c>
      <c r="N15" s="38">
        <f>1197111*1000000</f>
        <v>1197111000000</v>
      </c>
      <c r="O15" s="39">
        <v>0.8</v>
      </c>
      <c r="P15" s="40" t="s">
        <v>191</v>
      </c>
      <c r="Q15" s="38">
        <v>2</v>
      </c>
      <c r="R15" s="38">
        <v>4</v>
      </c>
      <c r="S15" s="38">
        <v>5</v>
      </c>
      <c r="T15" s="38">
        <f t="shared" ref="T15:T23" si="1">S15+R15</f>
        <v>9</v>
      </c>
      <c r="U15" s="42">
        <v>0</v>
      </c>
      <c r="V15" s="38">
        <v>0</v>
      </c>
      <c r="W15" s="38">
        <v>0</v>
      </c>
      <c r="X15" s="38">
        <v>0</v>
      </c>
      <c r="Y15" s="37"/>
    </row>
    <row r="16" spans="1:25" s="31" customFormat="1" ht="15" customHeight="1" x14ac:dyDescent="0.3">
      <c r="A16" s="36"/>
      <c r="B16" s="37"/>
      <c r="C16" s="29"/>
      <c r="D16" s="37">
        <v>2017</v>
      </c>
      <c r="E16" s="38">
        <f>461296*1000000</f>
        <v>461296000000</v>
      </c>
      <c r="F16" s="38">
        <f>(2647963-1137872-205000-15613-2158)*1000000</f>
        <v>1287320000000</v>
      </c>
      <c r="G16" s="38">
        <f>44937292*1000000</f>
        <v>44937292000000</v>
      </c>
      <c r="H16" s="38">
        <f>3116639*1000000</f>
        <v>3116639000000</v>
      </c>
      <c r="I16" s="38">
        <f>34375378*1000000</f>
        <v>34375378000000</v>
      </c>
      <c r="J16" s="38">
        <f>7239986*1000000</f>
        <v>7239986000000</v>
      </c>
      <c r="K16" s="38">
        <f>10561914*1000000</f>
        <v>10561914000000</v>
      </c>
      <c r="L16" s="38">
        <f>15523134*1000000</f>
        <v>15523134000000</v>
      </c>
      <c r="M16" s="38">
        <f>542068*1000000</f>
        <v>542068000000</v>
      </c>
      <c r="N16" s="38">
        <f>1562417*1000000</f>
        <v>1562417000000</v>
      </c>
      <c r="O16" s="39">
        <v>0.95</v>
      </c>
      <c r="P16" s="40" t="s">
        <v>191</v>
      </c>
      <c r="Q16" s="38">
        <v>2</v>
      </c>
      <c r="R16" s="38">
        <v>4</v>
      </c>
      <c r="S16" s="38">
        <v>5</v>
      </c>
      <c r="T16" s="38">
        <f t="shared" si="1"/>
        <v>9</v>
      </c>
      <c r="U16" s="42">
        <v>0</v>
      </c>
      <c r="V16" s="38">
        <v>0</v>
      </c>
      <c r="W16" s="38">
        <v>0</v>
      </c>
      <c r="X16" s="38">
        <v>0</v>
      </c>
      <c r="Y16" s="37"/>
    </row>
    <row r="17" spans="1:25" s="31" customFormat="1" ht="15" customHeight="1" x14ac:dyDescent="0.3">
      <c r="A17" s="36"/>
      <c r="B17" s="37"/>
      <c r="C17" s="29"/>
      <c r="D17" s="37">
        <v>2018</v>
      </c>
      <c r="E17" s="38">
        <f>718593*1000000</f>
        <v>718593000000</v>
      </c>
      <c r="F17" s="38">
        <f>(3478638-1737464-222358-7146-1858)*1000000</f>
        <v>1509812000000</v>
      </c>
      <c r="G17" s="38">
        <f>46562563*1000000</f>
        <v>46562563000000</v>
      </c>
      <c r="H17" s="38">
        <f>3329580*1000000</f>
        <v>3329580000000</v>
      </c>
      <c r="I17" s="38">
        <f>35535336*1000000</f>
        <v>35535336000000</v>
      </c>
      <c r="J17" s="38">
        <f>8566661*1000000</f>
        <v>8566661000000</v>
      </c>
      <c r="K17" s="38">
        <f>11027227*1000000</f>
        <v>11027227000000</v>
      </c>
      <c r="L17" s="38">
        <f>12786352*1000000</f>
        <v>12786352000000</v>
      </c>
      <c r="M17" s="38">
        <f>2150147*1000000</f>
        <v>2150147000000</v>
      </c>
      <c r="N17" s="38">
        <f>1065313*1000000</f>
        <v>1065313000000</v>
      </c>
      <c r="O17" s="39">
        <v>0.95</v>
      </c>
      <c r="P17" s="40" t="s">
        <v>191</v>
      </c>
      <c r="Q17" s="38">
        <v>2</v>
      </c>
      <c r="R17" s="38">
        <v>4</v>
      </c>
      <c r="S17" s="38">
        <v>5</v>
      </c>
      <c r="T17" s="38">
        <f t="shared" si="1"/>
        <v>9</v>
      </c>
      <c r="U17" s="42">
        <v>0</v>
      </c>
      <c r="V17" s="38">
        <v>0</v>
      </c>
      <c r="W17" s="38">
        <v>0</v>
      </c>
      <c r="X17" s="38">
        <v>0</v>
      </c>
      <c r="Y17" s="37"/>
    </row>
    <row r="18" spans="1:25" s="31" customFormat="1" ht="15" customHeight="1" x14ac:dyDescent="0.3">
      <c r="A18" s="36"/>
      <c r="B18" s="37"/>
      <c r="C18" s="29"/>
      <c r="D18" s="37">
        <v>2019</v>
      </c>
      <c r="E18" s="38">
        <f>1028736*1000000</f>
        <v>1028736000000</v>
      </c>
      <c r="F18" s="38">
        <f>(5436824-3135551-275043-4811-1597)*1000000</f>
        <v>2019822000000</v>
      </c>
      <c r="G18" s="38">
        <f>50043024*1000000</f>
        <v>50043024000000</v>
      </c>
      <c r="H18" s="38">
        <f>3399335*1000000</f>
        <v>3399335000000</v>
      </c>
      <c r="I18" s="38">
        <f>38172435*1000000</f>
        <v>38172435000000</v>
      </c>
      <c r="J18" s="38">
        <f>7904525*1000000</f>
        <v>7904525000000</v>
      </c>
      <c r="K18" s="38">
        <f>11870589*1000000</f>
        <v>11870589000000</v>
      </c>
      <c r="L18" s="38">
        <f>15545577*1000000</f>
        <v>15545577000000</v>
      </c>
      <c r="M18" s="38">
        <f>449893*1000000</f>
        <v>449893000000</v>
      </c>
      <c r="N18" s="38">
        <f>2104310*1000000</f>
        <v>2104310000000</v>
      </c>
      <c r="O18" s="39">
        <v>0.94989999999999997</v>
      </c>
      <c r="P18" s="40" t="s">
        <v>191</v>
      </c>
      <c r="Q18" s="38">
        <v>2</v>
      </c>
      <c r="R18" s="38">
        <v>4</v>
      </c>
      <c r="S18" s="38">
        <v>4</v>
      </c>
      <c r="T18" s="38">
        <f t="shared" si="1"/>
        <v>8</v>
      </c>
      <c r="U18" s="42">
        <v>0</v>
      </c>
      <c r="V18" s="38">
        <v>0</v>
      </c>
      <c r="W18" s="38">
        <v>0</v>
      </c>
      <c r="X18" s="38">
        <v>0</v>
      </c>
      <c r="Y18" s="37"/>
    </row>
    <row r="19" spans="1:25" s="31" customFormat="1" ht="15" customHeight="1" x14ac:dyDescent="0.3">
      <c r="A19" s="36"/>
      <c r="B19" s="37"/>
      <c r="C19" s="29"/>
      <c r="D19" s="37">
        <v>2020</v>
      </c>
      <c r="E19" s="38">
        <f>1275183*1000000</f>
        <v>1275183000000</v>
      </c>
      <c r="F19" s="38">
        <f>(7128145-4572994-363789-454-1336)*1000000</f>
        <v>2189572000000</v>
      </c>
      <c r="G19" s="38">
        <f>53134780*1000000</f>
        <v>53134780000000</v>
      </c>
      <c r="H19" s="38">
        <f>3640926*1000000</f>
        <v>3640926000000</v>
      </c>
      <c r="I19" s="38">
        <f>41373205*1000000</f>
        <v>41373205000000</v>
      </c>
      <c r="J19" s="38">
        <f>7057134*1000000</f>
        <v>7057134000000</v>
      </c>
      <c r="K19" s="38">
        <f>11761575*1000000</f>
        <v>11761575000000</v>
      </c>
      <c r="L19" s="38">
        <f>15658951*1000000</f>
        <v>15658951000000</v>
      </c>
      <c r="M19" s="38">
        <f>718592*1000000</f>
        <v>718592000000</v>
      </c>
      <c r="N19" s="38">
        <f>(-410562)*1000000</f>
        <v>-410562000000</v>
      </c>
      <c r="O19" s="39">
        <v>0.94989999999999997</v>
      </c>
      <c r="P19" s="40" t="s">
        <v>191</v>
      </c>
      <c r="Q19" s="38">
        <v>2</v>
      </c>
      <c r="R19" s="38">
        <v>4</v>
      </c>
      <c r="S19" s="38">
        <v>4</v>
      </c>
      <c r="T19" s="38">
        <f t="shared" si="1"/>
        <v>8</v>
      </c>
      <c r="U19" s="42">
        <v>0</v>
      </c>
      <c r="V19" s="38">
        <v>0</v>
      </c>
      <c r="W19" s="38">
        <v>0</v>
      </c>
      <c r="X19" s="38">
        <v>0</v>
      </c>
      <c r="Y19" s="37"/>
    </row>
    <row r="20" spans="1:25" s="31" customFormat="1" ht="15" customHeight="1" x14ac:dyDescent="0.3">
      <c r="A20" s="36"/>
      <c r="B20" s="37"/>
      <c r="C20" s="29"/>
      <c r="D20" s="37">
        <v>2021</v>
      </c>
      <c r="E20" s="38">
        <f>1225179*1000000</f>
        <v>1225179000000</v>
      </c>
      <c r="F20" s="38">
        <f>(5404009-2571985-498366-384-1074)*1000000</f>
        <v>2332200000000</v>
      </c>
      <c r="G20" s="38">
        <f>52330016*1000000</f>
        <v>52330016000000</v>
      </c>
      <c r="H20" s="38">
        <f>3465695*1000000</f>
        <v>3465695000000</v>
      </c>
      <c r="I20" s="38">
        <f>40473683*1000000</f>
        <v>40473683000000</v>
      </c>
      <c r="J20" s="38">
        <f>6523045*1000000</f>
        <v>6523045000000</v>
      </c>
      <c r="K20" s="38">
        <f>11856333*1000000</f>
        <v>11856333000000</v>
      </c>
      <c r="L20" s="38">
        <f>15671921*1000000</f>
        <v>15671921000000</v>
      </c>
      <c r="M20" s="38">
        <f>1143810*1000000</f>
        <v>1143810000000</v>
      </c>
      <c r="N20" s="38">
        <f>-586757*1000000</f>
        <v>-586757000000</v>
      </c>
      <c r="O20" s="39">
        <v>0.94989999999999997</v>
      </c>
      <c r="P20" s="40" t="s">
        <v>191</v>
      </c>
      <c r="Q20" s="38">
        <v>1</v>
      </c>
      <c r="R20" s="38">
        <v>3</v>
      </c>
      <c r="S20" s="38">
        <v>4</v>
      </c>
      <c r="T20" s="38">
        <f t="shared" si="1"/>
        <v>7</v>
      </c>
      <c r="U20" s="42">
        <v>0</v>
      </c>
      <c r="V20" s="38">
        <v>0</v>
      </c>
      <c r="W20" s="38">
        <v>0</v>
      </c>
      <c r="X20" s="38">
        <v>0</v>
      </c>
      <c r="Y20" s="37"/>
    </row>
    <row r="21" spans="1:25" s="31" customFormat="1" ht="15" customHeight="1" x14ac:dyDescent="0.3">
      <c r="A21" s="36"/>
      <c r="B21" s="37"/>
      <c r="C21" s="29"/>
      <c r="D21" s="37">
        <v>2022</v>
      </c>
      <c r="E21" s="38">
        <f>1379712*1000000</f>
        <v>1379712000000</v>
      </c>
      <c r="F21" s="38">
        <f>(5171825-2010624-605983-376-905)*1000000</f>
        <v>2553937000000</v>
      </c>
      <c r="G21" s="38">
        <f>44912325*1000000</f>
        <v>44912325000000</v>
      </c>
      <c r="H21" s="38">
        <f>3771309*1000000</f>
        <v>3771309000000</v>
      </c>
      <c r="I21" s="38">
        <f>36682436*1000000</f>
        <v>36682436000000</v>
      </c>
      <c r="J21" s="38">
        <f>5603024*1000000</f>
        <v>5603024000000</v>
      </c>
      <c r="K21" s="38">
        <f>8229889*1000000</f>
        <v>8229889000000</v>
      </c>
      <c r="L21" s="38">
        <f>11948182*1000000</f>
        <v>11948182000000</v>
      </c>
      <c r="M21" s="38">
        <f>2655031*1000000</f>
        <v>2655031000000</v>
      </c>
      <c r="N21" s="38">
        <f>-785208*1000000</f>
        <v>-785208000000</v>
      </c>
      <c r="O21" s="39">
        <v>0.94989999999999997</v>
      </c>
      <c r="P21" s="40" t="s">
        <v>191</v>
      </c>
      <c r="Q21" s="38">
        <v>1</v>
      </c>
      <c r="R21" s="38">
        <v>3</v>
      </c>
      <c r="S21" s="38">
        <v>4</v>
      </c>
      <c r="T21" s="38">
        <f t="shared" si="1"/>
        <v>7</v>
      </c>
      <c r="U21" s="42">
        <v>0</v>
      </c>
      <c r="V21" s="38">
        <v>0</v>
      </c>
      <c r="W21" s="38">
        <v>0</v>
      </c>
      <c r="X21" s="38">
        <v>0</v>
      </c>
      <c r="Y21" s="37"/>
    </row>
    <row r="22" spans="1:25" s="31" customFormat="1" ht="15" customHeight="1" x14ac:dyDescent="0.3">
      <c r="A22" s="36"/>
      <c r="B22" s="37"/>
      <c r="C22" s="29"/>
      <c r="D22" s="37">
        <v>2023</v>
      </c>
      <c r="E22" s="38">
        <f>841975*1000000</f>
        <v>841975000000</v>
      </c>
      <c r="F22" s="38">
        <f>(4935701-1917920-799475-802)*1000000</f>
        <v>2217504000000</v>
      </c>
      <c r="G22" s="38">
        <f>41785302*1000000</f>
        <v>41785302000000</v>
      </c>
      <c r="H22" s="38">
        <f>3324784*1000000</f>
        <v>3324784000000</v>
      </c>
      <c r="I22" s="38">
        <f>33736676*1000000</f>
        <v>33736676000000</v>
      </c>
      <c r="J22" s="38">
        <f>6019271*1000000</f>
        <v>6019271000000</v>
      </c>
      <c r="K22" s="38">
        <f>8048626*1000000</f>
        <v>8048626000000</v>
      </c>
      <c r="L22" s="38">
        <f>12931853*1000000</f>
        <v>12931853000000</v>
      </c>
      <c r="M22" s="38">
        <f>1674911*1000000</f>
        <v>1674911000000</v>
      </c>
      <c r="N22" s="38">
        <f>876769*1000000</f>
        <v>876769000000</v>
      </c>
      <c r="O22" s="39">
        <v>0.94989999999999997</v>
      </c>
      <c r="P22" s="40" t="s">
        <v>191</v>
      </c>
      <c r="Q22" s="38">
        <v>2</v>
      </c>
      <c r="R22" s="38">
        <v>4</v>
      </c>
      <c r="S22" s="38">
        <v>5</v>
      </c>
      <c r="T22" s="38">
        <f t="shared" si="1"/>
        <v>9</v>
      </c>
      <c r="U22" s="42">
        <v>0</v>
      </c>
      <c r="V22" s="38">
        <v>0</v>
      </c>
      <c r="W22" s="38">
        <v>0</v>
      </c>
      <c r="X22" s="38">
        <v>0</v>
      </c>
      <c r="Y22" s="37"/>
    </row>
    <row r="23" spans="1:25" s="31" customFormat="1" ht="15" customHeight="1" x14ac:dyDescent="0.3">
      <c r="A23" s="36"/>
      <c r="B23" s="37"/>
      <c r="C23" s="29"/>
      <c r="D23" s="37">
        <v>2024</v>
      </c>
      <c r="E23" s="38">
        <f>1063869*1000000</f>
        <v>1063869000000</v>
      </c>
      <c r="F23" s="38">
        <f>(5779370-2783963-760527-699)*1000000</f>
        <v>2234181000000</v>
      </c>
      <c r="G23" s="38">
        <f>39899482*1000000</f>
        <v>39899482000000</v>
      </c>
      <c r="H23" s="38">
        <f>2965577*1000000</f>
        <v>2965577000000</v>
      </c>
      <c r="I23" s="38">
        <f>30987181*1000000</f>
        <v>30987181000000</v>
      </c>
      <c r="J23" s="38">
        <f>7306046*1000000</f>
        <v>7306046000000</v>
      </c>
      <c r="K23" s="38">
        <f>8912301*1000000</f>
        <v>8912301000000</v>
      </c>
      <c r="L23" s="38">
        <f>10095098*1000000</f>
        <v>10095098000000</v>
      </c>
      <c r="M23" s="38">
        <f>1789193*1000000</f>
        <v>1789193000000</v>
      </c>
      <c r="N23" s="38">
        <f>1419919*1000000</f>
        <v>1419919000000</v>
      </c>
      <c r="O23" s="39">
        <v>0.94989999999999997</v>
      </c>
      <c r="P23" s="40" t="s">
        <v>191</v>
      </c>
      <c r="Q23" s="38">
        <v>1</v>
      </c>
      <c r="R23" s="38">
        <v>3</v>
      </c>
      <c r="S23" s="38">
        <v>5</v>
      </c>
      <c r="T23" s="38">
        <f t="shared" si="1"/>
        <v>8</v>
      </c>
      <c r="U23" s="42">
        <v>0</v>
      </c>
      <c r="V23" s="38">
        <v>0</v>
      </c>
      <c r="W23" s="38">
        <v>0</v>
      </c>
      <c r="X23" s="38">
        <v>0</v>
      </c>
      <c r="Y23" s="37"/>
    </row>
    <row r="24" spans="1:25" s="31" customFormat="1" ht="15" customHeight="1" x14ac:dyDescent="0.3">
      <c r="A24" s="36"/>
      <c r="B24" s="37">
        <v>3</v>
      </c>
      <c r="C24" s="29" t="s">
        <v>3</v>
      </c>
      <c r="D24" s="37">
        <v>2014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f>12354658*1000000</f>
        <v>12354658000000</v>
      </c>
      <c r="M24" s="38">
        <v>0</v>
      </c>
      <c r="N24" s="38">
        <v>0</v>
      </c>
      <c r="O24" s="39">
        <v>0</v>
      </c>
      <c r="P24" s="40">
        <v>0</v>
      </c>
      <c r="Q24" s="38">
        <v>0</v>
      </c>
      <c r="R24" s="38">
        <v>0</v>
      </c>
      <c r="S24" s="38"/>
      <c r="T24" s="38">
        <v>0</v>
      </c>
      <c r="U24" s="41">
        <v>0</v>
      </c>
      <c r="V24" s="38"/>
      <c r="W24" s="38">
        <f>V24</f>
        <v>0</v>
      </c>
      <c r="X24" s="38"/>
      <c r="Y24" s="37"/>
    </row>
    <row r="25" spans="1:25" s="31" customFormat="1" ht="15" customHeight="1" x14ac:dyDescent="0.3">
      <c r="A25" s="36"/>
      <c r="B25" s="37"/>
      <c r="C25" s="29"/>
      <c r="D25" s="37">
        <v>2015</v>
      </c>
      <c r="E25" s="38">
        <f>459323*1000000</f>
        <v>459323000000</v>
      </c>
      <c r="F25" s="38">
        <f>(459323+26775+202537)*1000000</f>
        <v>688635000000</v>
      </c>
      <c r="G25" s="38">
        <f>27635118*1000000</f>
        <v>27635118000000</v>
      </c>
      <c r="H25" s="38">
        <f>(114268+204780+18994+18963+308951)*1000000</f>
        <v>665956000000</v>
      </c>
      <c r="I25" s="38">
        <f>22909265*1000000</f>
        <v>22909265000000</v>
      </c>
      <c r="J25" s="38">
        <f>3103856*1000000</f>
        <v>3103856000000</v>
      </c>
      <c r="K25" s="38">
        <f>4355995*1000000</f>
        <v>4355995000000</v>
      </c>
      <c r="L25" s="38">
        <f>8593467*1000000</f>
        <v>8593467000000</v>
      </c>
      <c r="M25" s="38">
        <f>903774*1000000</f>
        <v>903774000000</v>
      </c>
      <c r="N25" s="38">
        <f>806099*1000000</f>
        <v>806099000000</v>
      </c>
      <c r="O25" s="39">
        <v>0.99760000000000004</v>
      </c>
      <c r="P25" s="40" t="s">
        <v>197</v>
      </c>
      <c r="Q25" s="38">
        <v>2</v>
      </c>
      <c r="R25" s="38">
        <v>3</v>
      </c>
      <c r="S25" s="38">
        <v>4</v>
      </c>
      <c r="T25" s="38">
        <f>R25+S25</f>
        <v>7</v>
      </c>
      <c r="U25" s="42">
        <v>0</v>
      </c>
      <c r="V25" s="38">
        <v>0</v>
      </c>
      <c r="W25" s="38">
        <f t="shared" ref="W25:W34" si="2">V25</f>
        <v>0</v>
      </c>
      <c r="X25" s="38">
        <v>0</v>
      </c>
      <c r="Y25" s="37"/>
    </row>
    <row r="26" spans="1:25" s="31" customFormat="1" ht="15" customHeight="1" x14ac:dyDescent="0.3">
      <c r="A26" s="36"/>
      <c r="B26" s="37"/>
      <c r="C26" s="29"/>
      <c r="D26" s="37">
        <v>2016</v>
      </c>
      <c r="E26" s="38">
        <f>541939*1000000</f>
        <v>541939000000</v>
      </c>
      <c r="F26" s="38">
        <f>(541939+29637+365907)*1000000</f>
        <v>937483000000</v>
      </c>
      <c r="G26" s="38">
        <f>30294789*1000000</f>
        <v>30294789000000</v>
      </c>
      <c r="H26" s="38">
        <f>(111313+264934+97766+479554)*1000000</f>
        <v>953567000000</v>
      </c>
      <c r="I26" s="38">
        <f>24436046*1000000</f>
        <v>24436046000000</v>
      </c>
      <c r="J26" s="38">
        <f>3996502*1000000</f>
        <v>3996502000000</v>
      </c>
      <c r="K26" s="38">
        <f>5381290*1000000</f>
        <v>5381290000000</v>
      </c>
      <c r="L26" s="38">
        <f>11372680*1000000</f>
        <v>11372680000000</v>
      </c>
      <c r="M26" s="38">
        <f>905890*1000000</f>
        <v>905890000000</v>
      </c>
      <c r="N26" s="38">
        <f>899890*1000000</f>
        <v>899890000000</v>
      </c>
      <c r="O26" s="39">
        <v>0.99760000000000004</v>
      </c>
      <c r="P26" s="40" t="s">
        <v>197</v>
      </c>
      <c r="Q26" s="38">
        <v>2</v>
      </c>
      <c r="R26" s="38">
        <v>3</v>
      </c>
      <c r="S26" s="38">
        <v>4</v>
      </c>
      <c r="T26" s="38">
        <f t="shared" ref="T26:T34" si="3">R26+S26</f>
        <v>7</v>
      </c>
      <c r="U26" s="42">
        <v>0</v>
      </c>
      <c r="V26" s="38">
        <v>0</v>
      </c>
      <c r="W26" s="38">
        <f t="shared" si="2"/>
        <v>0</v>
      </c>
      <c r="X26" s="38">
        <v>0</v>
      </c>
      <c r="Y26" s="37"/>
    </row>
    <row r="27" spans="1:25" s="31" customFormat="1" ht="15" customHeight="1" x14ac:dyDescent="0.3">
      <c r="A27" s="36"/>
      <c r="B27" s="37"/>
      <c r="C27" s="29"/>
      <c r="D27" s="37">
        <v>2017</v>
      </c>
      <c r="E27" s="38">
        <f>400675*1000000</f>
        <v>400675000000</v>
      </c>
      <c r="F27" s="38">
        <f>(400675+10953+750970)*1000000</f>
        <v>1162598000000</v>
      </c>
      <c r="G27" s="38">
        <f>35751863*1000000</f>
        <v>35751863000000</v>
      </c>
      <c r="H27" s="38">
        <f>(111504+364624+29852+738671)*1000000</f>
        <v>1244651000000</v>
      </c>
      <c r="I27" s="38">
        <f>27527468*1000000</f>
        <v>27527468000000</v>
      </c>
      <c r="J27" s="38">
        <f>4311634*1000000</f>
        <v>4311634000000</v>
      </c>
      <c r="K27" s="38">
        <f>6030989*1000000</f>
        <v>6030989000000</v>
      </c>
      <c r="L27" s="38">
        <f>13302120*1000000</f>
        <v>13302120000000</v>
      </c>
      <c r="M27" s="38">
        <f>329564*1000000</f>
        <v>329564000000</v>
      </c>
      <c r="N27" s="38">
        <f>649699*1000000</f>
        <v>649699000000</v>
      </c>
      <c r="O27" s="39">
        <v>0.99760000000000004</v>
      </c>
      <c r="P27" s="40" t="s">
        <v>197</v>
      </c>
      <c r="Q27" s="38">
        <v>2</v>
      </c>
      <c r="R27" s="38">
        <v>4</v>
      </c>
      <c r="S27" s="38">
        <v>5</v>
      </c>
      <c r="T27" s="38">
        <f t="shared" si="3"/>
        <v>9</v>
      </c>
      <c r="U27" s="42">
        <v>0</v>
      </c>
      <c r="V27" s="38">
        <v>0</v>
      </c>
      <c r="W27" s="38">
        <f t="shared" si="2"/>
        <v>0</v>
      </c>
      <c r="X27" s="38">
        <v>0</v>
      </c>
      <c r="Y27" s="37"/>
    </row>
    <row r="28" spans="1:25" s="31" customFormat="1" ht="15" customHeight="1" x14ac:dyDescent="0.3">
      <c r="A28" s="36"/>
      <c r="B28" s="37"/>
      <c r="C28" s="29"/>
      <c r="D28" s="37">
        <v>2018</v>
      </c>
      <c r="E28" s="38">
        <f>445074*1000000</f>
        <v>445074000000</v>
      </c>
      <c r="F28" s="38">
        <f>(445074+8503+985111)*1000000</f>
        <v>1438688000000</v>
      </c>
      <c r="G28" s="38">
        <f>35266933*1000000</f>
        <v>35266933000000</v>
      </c>
      <c r="H28" s="38">
        <f>(123243+422315+186769+73+847856)*1000000</f>
        <v>1580256000000</v>
      </c>
      <c r="I28" s="38">
        <f>27304202*1000000</f>
        <v>27304202000000</v>
      </c>
      <c r="J28" s="38">
        <f>4737672*1000000</f>
        <v>4737672000000</v>
      </c>
      <c r="K28" s="38">
        <f>5768100*1000000</f>
        <v>5768100000000</v>
      </c>
      <c r="L28" s="38">
        <f>10531156*1000000</f>
        <v>10531156000000</v>
      </c>
      <c r="M28" s="38">
        <f>899975*1000000</f>
        <v>899975000000</v>
      </c>
      <c r="N28" s="38">
        <f>137111*1000000</f>
        <v>137111000000</v>
      </c>
      <c r="O28" s="39">
        <v>0.99760000000000004</v>
      </c>
      <c r="P28" s="40" t="s">
        <v>197</v>
      </c>
      <c r="Q28" s="38">
        <v>2</v>
      </c>
      <c r="R28" s="38">
        <v>3</v>
      </c>
      <c r="S28" s="38">
        <v>6</v>
      </c>
      <c r="T28" s="38">
        <f t="shared" si="3"/>
        <v>9</v>
      </c>
      <c r="U28" s="42">
        <v>0</v>
      </c>
      <c r="V28" s="38">
        <v>0</v>
      </c>
      <c r="W28" s="38">
        <f t="shared" si="2"/>
        <v>0</v>
      </c>
      <c r="X28" s="38">
        <v>0</v>
      </c>
      <c r="Y28" s="37"/>
    </row>
    <row r="29" spans="1:25" s="31" customFormat="1" ht="15" customHeight="1" x14ac:dyDescent="0.3">
      <c r="A29" s="36"/>
      <c r="B29" s="37"/>
      <c r="C29" s="29"/>
      <c r="D29" s="37">
        <v>2019</v>
      </c>
      <c r="E29" s="38">
        <f>593701*1000000</f>
        <v>593701000000</v>
      </c>
      <c r="F29" s="38">
        <f>(593701+586967+794491)*1000000</f>
        <v>1975159000000</v>
      </c>
      <c r="G29" s="38">
        <f>38345233*1000000</f>
        <v>38345233000000</v>
      </c>
      <c r="H29" s="38">
        <f>(50269+421228+177272+70491+572518)*1000000</f>
        <v>1291778000000</v>
      </c>
      <c r="I29" s="38">
        <f>29736010*1000000</f>
        <v>29736010000000</v>
      </c>
      <c r="J29" s="38">
        <f>5161928*1000000</f>
        <v>5161928000000</v>
      </c>
      <c r="K29" s="38">
        <f>6511324*1000000</f>
        <v>6511324000000</v>
      </c>
      <c r="L29" s="38">
        <f>15153459*1000000</f>
        <v>15153459000000</v>
      </c>
      <c r="M29" s="38">
        <f>1526889*1000000</f>
        <v>1526889000000</v>
      </c>
      <c r="N29" s="38">
        <f>1493224*1000000</f>
        <v>1493224000000</v>
      </c>
      <c r="O29" s="39">
        <v>0.99760000000000004</v>
      </c>
      <c r="P29" s="40" t="s">
        <v>197</v>
      </c>
      <c r="Q29" s="38">
        <v>2</v>
      </c>
      <c r="R29" s="38">
        <v>3</v>
      </c>
      <c r="S29" s="38">
        <v>6</v>
      </c>
      <c r="T29" s="38">
        <f t="shared" si="3"/>
        <v>9</v>
      </c>
      <c r="U29" s="42">
        <v>0</v>
      </c>
      <c r="V29" s="38">
        <v>0</v>
      </c>
      <c r="W29" s="38">
        <f t="shared" si="2"/>
        <v>0</v>
      </c>
      <c r="X29" s="38">
        <v>0</v>
      </c>
      <c r="Y29" s="37"/>
    </row>
    <row r="30" spans="1:25" s="31" customFormat="1" ht="15" customHeight="1" x14ac:dyDescent="0.3">
      <c r="A30" s="36"/>
      <c r="B30" s="37"/>
      <c r="C30" s="29"/>
      <c r="D30" s="37">
        <v>2020</v>
      </c>
      <c r="E30" s="38">
        <f>757656*1000000</f>
        <v>757656000000</v>
      </c>
      <c r="F30" s="38">
        <f>(757656+912739+874268)*1000000</f>
        <v>2544663000000</v>
      </c>
      <c r="G30" s="38">
        <f>41166712*1000000</f>
        <v>41166712000000</v>
      </c>
      <c r="H30" s="38">
        <f>(50367+650691+134806+97681+509680)*1000000</f>
        <v>1443225000000</v>
      </c>
      <c r="I30" s="38">
        <f>31830554*1000000</f>
        <v>31830554000000</v>
      </c>
      <c r="J30" s="38">
        <f>5998414*1000000</f>
        <v>5998414000000</v>
      </c>
      <c r="K30" s="38">
        <f>7090980*1000000</f>
        <v>7090980000000</v>
      </c>
      <c r="L30" s="38">
        <f>18812789*1000000</f>
        <v>18812789000000</v>
      </c>
      <c r="M30" s="38">
        <f>1691295*1000000</f>
        <v>1691295000000</v>
      </c>
      <c r="N30" s="38">
        <f>1129656*1000000</f>
        <v>1129656000000</v>
      </c>
      <c r="O30" s="39">
        <v>0.99760000000000004</v>
      </c>
      <c r="P30" s="40" t="s">
        <v>197</v>
      </c>
      <c r="Q30" s="38">
        <v>2</v>
      </c>
      <c r="R30" s="38">
        <v>3</v>
      </c>
      <c r="S30" s="38">
        <v>6</v>
      </c>
      <c r="T30" s="38">
        <f t="shared" si="3"/>
        <v>9</v>
      </c>
      <c r="U30" s="42">
        <v>0</v>
      </c>
      <c r="V30" s="38">
        <f>3+(2*1)+(2*0)+(3*1)</f>
        <v>8</v>
      </c>
      <c r="W30" s="38">
        <f t="shared" si="2"/>
        <v>8</v>
      </c>
      <c r="X30" s="38">
        <f>6+(2*4)</f>
        <v>14</v>
      </c>
      <c r="Y30" s="37"/>
    </row>
    <row r="31" spans="1:25" s="31" customFormat="1" ht="15" customHeight="1" x14ac:dyDescent="0.3">
      <c r="A31" s="36"/>
      <c r="B31" s="37"/>
      <c r="C31" s="29"/>
      <c r="D31" s="37">
        <v>2021</v>
      </c>
      <c r="E31" s="38">
        <f>781493*1000000</f>
        <v>781493000000</v>
      </c>
      <c r="F31" s="38">
        <f>(781493+1075393+994241)*1000000</f>
        <v>2851127000000</v>
      </c>
      <c r="G31" s="38">
        <f>42808931*1000000</f>
        <v>42808931000000</v>
      </c>
      <c r="H31" s="38">
        <f>(87103+679306+83026+1367+689159)*1000000</f>
        <v>1539961000000</v>
      </c>
      <c r="I31" s="38">
        <f>33849131*1000000</f>
        <v>33849131000000</v>
      </c>
      <c r="J31" s="38">
        <f>5949541*1000000</f>
        <v>5949541000000</v>
      </c>
      <c r="K31" s="38">
        <f>6945025*1000000</f>
        <v>6945025000000</v>
      </c>
      <c r="L31" s="38">
        <f>20725660*1000000</f>
        <v>20725660000000</v>
      </c>
      <c r="M31" s="38">
        <f>561475*1000000</f>
        <v>561475000000</v>
      </c>
      <c r="N31" s="38">
        <f>404045*1000000</f>
        <v>404045000000</v>
      </c>
      <c r="O31" s="39">
        <v>0.99760000000000004</v>
      </c>
      <c r="P31" s="40" t="s">
        <v>197</v>
      </c>
      <c r="Q31" s="38">
        <v>2</v>
      </c>
      <c r="R31" s="38">
        <v>4</v>
      </c>
      <c r="S31" s="38">
        <v>5</v>
      </c>
      <c r="T31" s="38">
        <f t="shared" si="3"/>
        <v>9</v>
      </c>
      <c r="U31" s="42">
        <v>0</v>
      </c>
      <c r="V31" s="38">
        <f>4+(2*1)+(2*0)+(3*1)</f>
        <v>9</v>
      </c>
      <c r="W31" s="38">
        <f t="shared" si="2"/>
        <v>9</v>
      </c>
      <c r="X31" s="38">
        <f>5+(2*3)</f>
        <v>11</v>
      </c>
      <c r="Y31" s="37"/>
    </row>
    <row r="32" spans="1:25" s="31" customFormat="1" ht="15" customHeight="1" x14ac:dyDescent="0.3">
      <c r="A32" s="36"/>
      <c r="B32" s="37"/>
      <c r="C32" s="29"/>
      <c r="D32" s="37">
        <v>2022</v>
      </c>
      <c r="E32" s="38">
        <f>917912*1000000</f>
        <v>917912000000</v>
      </c>
      <c r="F32" s="38">
        <f>(917912+1432787+1061310)*1000000</f>
        <v>3412009000000</v>
      </c>
      <c r="G32" s="38">
        <f>41194961*1000000</f>
        <v>41194961000000</v>
      </c>
      <c r="H32" s="38">
        <f>(54342+607177+117687+2986+1539088)*1000000</f>
        <v>2321280000000</v>
      </c>
      <c r="I32" s="38">
        <f>32037270*1000000</f>
        <v>32037270000000</v>
      </c>
      <c r="J32" s="38">
        <f>6757463*1000000</f>
        <v>6757463000000</v>
      </c>
      <c r="K32" s="38">
        <f>7208812*1000000</f>
        <v>7208812000000</v>
      </c>
      <c r="L32" s="38">
        <f>14203983*1000000</f>
        <v>14203983000000</v>
      </c>
      <c r="M32" s="38">
        <f>597200*1000000</f>
        <v>597200000000</v>
      </c>
      <c r="N32" s="38">
        <f>107318*1000000</f>
        <v>107318000000</v>
      </c>
      <c r="O32" s="39">
        <v>0.99760000000000004</v>
      </c>
      <c r="P32" s="40" t="s">
        <v>197</v>
      </c>
      <c r="Q32" s="38">
        <v>2</v>
      </c>
      <c r="R32" s="38">
        <v>3</v>
      </c>
      <c r="S32" s="38">
        <v>4</v>
      </c>
      <c r="T32" s="38">
        <f t="shared" si="3"/>
        <v>7</v>
      </c>
      <c r="U32" s="42">
        <v>0</v>
      </c>
      <c r="V32" s="38">
        <f>3+(2*1)+(3*1)</f>
        <v>8</v>
      </c>
      <c r="W32" s="38">
        <f t="shared" si="2"/>
        <v>8</v>
      </c>
      <c r="X32" s="38">
        <f>4+(2*2)</f>
        <v>8</v>
      </c>
      <c r="Y32" s="37"/>
    </row>
    <row r="33" spans="1:25" s="31" customFormat="1" ht="15" customHeight="1" x14ac:dyDescent="0.3">
      <c r="A33" s="36"/>
      <c r="B33" s="37"/>
      <c r="C33" s="29"/>
      <c r="D33" s="37">
        <v>2023</v>
      </c>
      <c r="E33" s="38">
        <f>1253189*1000000</f>
        <v>1253189000000</v>
      </c>
      <c r="F33" s="38">
        <f>(1253189+1054946+1251808)*1000000</f>
        <v>3559943000000</v>
      </c>
      <c r="G33" s="38">
        <f>40147448*1000000</f>
        <v>40147448000000</v>
      </c>
      <c r="H33" s="38">
        <f>(50113+742554+60377+193361+1535406)*1000000</f>
        <v>2581811000000</v>
      </c>
      <c r="I33" s="38">
        <f>31712785*1000000</f>
        <v>31712785000000</v>
      </c>
      <c r="J33" s="38">
        <f>6154142*1000000</f>
        <v>6154142000000</v>
      </c>
      <c r="K33" s="38">
        <f>6640072*1000000</f>
        <v>6640072000000</v>
      </c>
      <c r="L33" s="38">
        <f>17375945*1000000</f>
        <v>17375945000000</v>
      </c>
      <c r="M33" s="38">
        <f>372376*1000000</f>
        <v>372376000000</v>
      </c>
      <c r="N33" s="38">
        <f>481260*1000000</f>
        <v>481260000000</v>
      </c>
      <c r="O33" s="39">
        <v>0.99760000000000004</v>
      </c>
      <c r="P33" s="40" t="s">
        <v>197</v>
      </c>
      <c r="Q33" s="38">
        <v>2</v>
      </c>
      <c r="R33" s="38">
        <v>4</v>
      </c>
      <c r="S33" s="38">
        <v>4</v>
      </c>
      <c r="T33" s="38">
        <f t="shared" si="3"/>
        <v>8</v>
      </c>
      <c r="U33" s="42">
        <v>0</v>
      </c>
      <c r="V33" s="38">
        <f>3+(2*1)+(3*1)</f>
        <v>8</v>
      </c>
      <c r="W33" s="38">
        <f t="shared" si="2"/>
        <v>8</v>
      </c>
      <c r="X33" s="38">
        <f>4+(2*2)+(2*1)</f>
        <v>10</v>
      </c>
      <c r="Y33" s="37"/>
    </row>
    <row r="34" spans="1:25" s="31" customFormat="1" ht="15" customHeight="1" x14ac:dyDescent="0.3">
      <c r="A34" s="36"/>
      <c r="B34" s="37"/>
      <c r="C34" s="29"/>
      <c r="D34" s="37">
        <v>2024</v>
      </c>
      <c r="E34" s="38">
        <f>1400159*1000000</f>
        <v>1400159000000</v>
      </c>
      <c r="F34" s="38">
        <f>(1400159+565832+619462)*1000000</f>
        <v>2585453000000</v>
      </c>
      <c r="G34" s="38">
        <f>39131978*1000000</f>
        <v>39131978000000</v>
      </c>
      <c r="H34" s="38">
        <f>(74394+717562+214968+7499+1720606)*1000000</f>
        <v>2735029000000</v>
      </c>
      <c r="I34" s="38">
        <f>30372565*1000000</f>
        <v>30372565000000</v>
      </c>
      <c r="J34" s="38">
        <f>6934793*1000000</f>
        <v>6934793000000</v>
      </c>
      <c r="K34" s="38">
        <f>7301939*1000000</f>
        <v>7301939000000</v>
      </c>
      <c r="L34" s="38">
        <f>18185132*1000000</f>
        <v>18185132000000</v>
      </c>
      <c r="M34" s="38">
        <f>1242464*1000000</f>
        <v>1242464000000</v>
      </c>
      <c r="N34" s="38">
        <f>961867*1000000</f>
        <v>961867000000</v>
      </c>
      <c r="O34" s="39">
        <v>0.99760000000000004</v>
      </c>
      <c r="P34" s="40" t="s">
        <v>197</v>
      </c>
      <c r="Q34" s="38">
        <v>2</v>
      </c>
      <c r="R34" s="38">
        <v>4</v>
      </c>
      <c r="S34" s="38">
        <v>3</v>
      </c>
      <c r="T34" s="38">
        <f t="shared" si="3"/>
        <v>7</v>
      </c>
      <c r="U34" s="42">
        <v>0</v>
      </c>
      <c r="V34" s="38">
        <f>3+(2*1)+(3*1)</f>
        <v>8</v>
      </c>
      <c r="W34" s="38">
        <f t="shared" si="2"/>
        <v>8</v>
      </c>
      <c r="X34" s="38">
        <f>2+(2*1)+(2*1)</f>
        <v>6</v>
      </c>
      <c r="Y34" s="37"/>
    </row>
    <row r="35" spans="1:25" s="31" customFormat="1" ht="15" customHeight="1" x14ac:dyDescent="0.3">
      <c r="A35" s="36"/>
      <c r="B35" s="37">
        <v>4</v>
      </c>
      <c r="C35" s="45" t="s">
        <v>56</v>
      </c>
      <c r="D35" s="37">
        <v>2014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9">
        <v>0</v>
      </c>
      <c r="P35" s="40">
        <v>0</v>
      </c>
      <c r="Q35" s="38">
        <v>0</v>
      </c>
      <c r="R35" s="38">
        <v>0</v>
      </c>
      <c r="S35" s="38"/>
      <c r="T35" s="38">
        <v>0</v>
      </c>
      <c r="U35" s="41">
        <v>0</v>
      </c>
      <c r="V35" s="38">
        <v>0</v>
      </c>
      <c r="W35" s="38">
        <v>0</v>
      </c>
      <c r="X35" s="38">
        <v>0</v>
      </c>
      <c r="Y35" s="37"/>
    </row>
    <row r="36" spans="1:25" s="31" customFormat="1" ht="15" customHeight="1" x14ac:dyDescent="0.3">
      <c r="A36" s="36"/>
      <c r="B36" s="37"/>
      <c r="C36" s="45"/>
      <c r="D36" s="37">
        <v>2015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9">
        <v>0</v>
      </c>
      <c r="P36" s="40">
        <v>0</v>
      </c>
      <c r="Q36" s="38">
        <v>0</v>
      </c>
      <c r="R36" s="38">
        <v>0</v>
      </c>
      <c r="S36" s="38"/>
      <c r="T36" s="38">
        <v>0</v>
      </c>
      <c r="U36" s="41">
        <v>0</v>
      </c>
      <c r="V36" s="38">
        <v>0</v>
      </c>
      <c r="W36" s="38">
        <v>0</v>
      </c>
      <c r="X36" s="38">
        <v>0</v>
      </c>
      <c r="Y36" s="37"/>
    </row>
    <row r="37" spans="1:25" s="31" customFormat="1" ht="15" customHeight="1" x14ac:dyDescent="0.3">
      <c r="A37" s="36"/>
      <c r="B37" s="37"/>
      <c r="C37" s="45"/>
      <c r="D37" s="37">
        <v>2016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9">
        <v>0</v>
      </c>
      <c r="P37" s="40">
        <v>0</v>
      </c>
      <c r="Q37" s="38">
        <v>0</v>
      </c>
      <c r="R37" s="38">
        <v>0</v>
      </c>
      <c r="S37" s="38"/>
      <c r="T37" s="38">
        <v>0</v>
      </c>
      <c r="U37" s="41">
        <v>0</v>
      </c>
      <c r="V37" s="38">
        <v>0</v>
      </c>
      <c r="W37" s="38">
        <v>0</v>
      </c>
      <c r="X37" s="38">
        <v>0</v>
      </c>
      <c r="Y37" s="37"/>
    </row>
    <row r="38" spans="1:25" s="31" customFormat="1" ht="15" customHeight="1" x14ac:dyDescent="0.3">
      <c r="A38" s="36"/>
      <c r="B38" s="37"/>
      <c r="C38" s="45"/>
      <c r="D38" s="37">
        <v>2017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9">
        <v>0</v>
      </c>
      <c r="P38" s="40">
        <v>0</v>
      </c>
      <c r="Q38" s="38">
        <v>0</v>
      </c>
      <c r="R38" s="38">
        <v>0</v>
      </c>
      <c r="S38" s="38"/>
      <c r="T38" s="38">
        <v>0</v>
      </c>
      <c r="U38" s="41">
        <v>0</v>
      </c>
      <c r="V38" s="38">
        <v>0</v>
      </c>
      <c r="W38" s="38">
        <v>0</v>
      </c>
      <c r="X38" s="38">
        <v>0</v>
      </c>
      <c r="Y38" s="37"/>
    </row>
    <row r="39" spans="1:25" s="31" customFormat="1" ht="15" customHeight="1" x14ac:dyDescent="0.3">
      <c r="A39" s="36"/>
      <c r="B39" s="37"/>
      <c r="C39" s="45"/>
      <c r="D39" s="37">
        <v>2018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9">
        <v>0</v>
      </c>
      <c r="P39" s="40">
        <v>0</v>
      </c>
      <c r="Q39" s="38">
        <v>0</v>
      </c>
      <c r="R39" s="38">
        <v>0</v>
      </c>
      <c r="S39" s="38"/>
      <c r="T39" s="38">
        <v>0</v>
      </c>
      <c r="U39" s="41">
        <v>0</v>
      </c>
      <c r="V39" s="38">
        <v>0</v>
      </c>
      <c r="W39" s="38">
        <v>0</v>
      </c>
      <c r="X39" s="38">
        <v>0</v>
      </c>
      <c r="Y39" s="37"/>
    </row>
    <row r="40" spans="1:25" s="31" customFormat="1" ht="15" customHeight="1" x14ac:dyDescent="0.3">
      <c r="A40" s="36"/>
      <c r="B40" s="37"/>
      <c r="C40" s="45"/>
      <c r="D40" s="37">
        <v>2019</v>
      </c>
      <c r="E40" s="38">
        <v>0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9">
        <v>0</v>
      </c>
      <c r="P40" s="40">
        <v>0</v>
      </c>
      <c r="Q40" s="38">
        <v>0</v>
      </c>
      <c r="R40" s="38">
        <v>0</v>
      </c>
      <c r="S40" s="38"/>
      <c r="T40" s="38">
        <v>0</v>
      </c>
      <c r="U40" s="41">
        <v>0</v>
      </c>
      <c r="V40" s="38">
        <v>0</v>
      </c>
      <c r="W40" s="38">
        <v>0</v>
      </c>
      <c r="X40" s="38">
        <v>0</v>
      </c>
      <c r="Y40" s="37"/>
    </row>
    <row r="41" spans="1:25" s="31" customFormat="1" ht="15" customHeight="1" x14ac:dyDescent="0.3">
      <c r="A41" s="36"/>
      <c r="B41" s="37"/>
      <c r="C41" s="45"/>
      <c r="D41" s="37">
        <v>2020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9">
        <v>0</v>
      </c>
      <c r="P41" s="40">
        <v>0</v>
      </c>
      <c r="Q41" s="38">
        <v>0</v>
      </c>
      <c r="R41" s="38">
        <v>0</v>
      </c>
      <c r="S41" s="38"/>
      <c r="T41" s="38">
        <v>0</v>
      </c>
      <c r="U41" s="41">
        <v>0</v>
      </c>
      <c r="V41" s="38">
        <v>0</v>
      </c>
      <c r="W41" s="38">
        <v>0</v>
      </c>
      <c r="X41" s="38">
        <v>0</v>
      </c>
      <c r="Y41" s="37"/>
    </row>
    <row r="42" spans="1:25" s="31" customFormat="1" ht="15" customHeight="1" x14ac:dyDescent="0.3">
      <c r="A42" s="36"/>
      <c r="B42" s="37"/>
      <c r="C42" s="45"/>
      <c r="D42" s="37">
        <v>2021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9">
        <v>0</v>
      </c>
      <c r="P42" s="40">
        <v>0</v>
      </c>
      <c r="Q42" s="38">
        <v>0</v>
      </c>
      <c r="R42" s="38">
        <v>0</v>
      </c>
      <c r="S42" s="38"/>
      <c r="T42" s="38">
        <v>0</v>
      </c>
      <c r="U42" s="41">
        <v>0</v>
      </c>
      <c r="V42" s="38">
        <v>0</v>
      </c>
      <c r="W42" s="38">
        <v>0</v>
      </c>
      <c r="X42" s="38">
        <v>0</v>
      </c>
      <c r="Y42" s="37"/>
    </row>
    <row r="43" spans="1:25" s="31" customFormat="1" ht="15" customHeight="1" x14ac:dyDescent="0.3">
      <c r="A43" s="36"/>
      <c r="B43" s="37"/>
      <c r="C43" s="45"/>
      <c r="D43" s="37">
        <v>2022</v>
      </c>
      <c r="E43" s="38">
        <f>172936*1000000</f>
        <v>172936000000</v>
      </c>
      <c r="F43" s="38">
        <f>(172936+178309+38650+20813)*1000000</f>
        <v>410708000000</v>
      </c>
      <c r="G43" s="38">
        <f>4337827*1000000</f>
        <v>4337827000000</v>
      </c>
      <c r="H43" s="38">
        <f>(7536+508644)*1000000</f>
        <v>516180000000</v>
      </c>
      <c r="I43" s="38">
        <f>891833*1000000</f>
        <v>891833000000</v>
      </c>
      <c r="J43" s="38">
        <f>-184*1000000</f>
        <v>-184000000</v>
      </c>
      <c r="K43" s="38">
        <f>(100000+1426413-29114+184)*1000000</f>
        <v>1497483000000</v>
      </c>
      <c r="L43" s="38">
        <f>1070003*1000000</f>
        <v>1070003000000</v>
      </c>
      <c r="M43" s="38">
        <f>382608*1000000</f>
        <v>382608000000</v>
      </c>
      <c r="N43" s="38">
        <f>382661*1000000</f>
        <v>382661000000</v>
      </c>
      <c r="O43" s="39">
        <v>0</v>
      </c>
      <c r="P43" s="40">
        <v>0</v>
      </c>
      <c r="Q43" s="38">
        <v>0</v>
      </c>
      <c r="R43" s="38">
        <v>0</v>
      </c>
      <c r="S43" s="38"/>
      <c r="T43" s="38">
        <v>0</v>
      </c>
      <c r="U43" s="41">
        <v>0</v>
      </c>
      <c r="V43" s="38">
        <v>0</v>
      </c>
      <c r="W43" s="38">
        <v>0</v>
      </c>
      <c r="X43" s="38">
        <v>0</v>
      </c>
      <c r="Y43" s="37"/>
    </row>
    <row r="44" spans="1:25" s="31" customFormat="1" ht="15" customHeight="1" x14ac:dyDescent="0.3">
      <c r="A44" s="36"/>
      <c r="B44" s="37"/>
      <c r="C44" s="45"/>
      <c r="D44" s="37">
        <v>2023</v>
      </c>
      <c r="E44" s="38">
        <f>206081*1000000</f>
        <v>206081000000</v>
      </c>
      <c r="F44" s="38">
        <f>(206081+125610+267394+13404)*1000000</f>
        <v>612489000000</v>
      </c>
      <c r="G44" s="38">
        <f>3620310*1000000</f>
        <v>3620310000000</v>
      </c>
      <c r="H44" s="38">
        <f>(45570+175470+211743)*1000000</f>
        <v>432783000000</v>
      </c>
      <c r="I44" s="38">
        <f>867595*1000000</f>
        <v>867595000000</v>
      </c>
      <c r="J44" s="38">
        <f>-22950*1000000</f>
        <v>-22950000000</v>
      </c>
      <c r="K44" s="38">
        <f>(100000+838900-3726+22950)*1000000</f>
        <v>958124000000</v>
      </c>
      <c r="L44" s="38">
        <f>1217667*1000000</f>
        <v>1217667000000</v>
      </c>
      <c r="M44" s="38">
        <f>221160*1000000</f>
        <v>221160000000</v>
      </c>
      <c r="N44" s="38">
        <f>232895*1000000</f>
        <v>232895000000</v>
      </c>
      <c r="O44" s="39">
        <v>0.99990000000000001</v>
      </c>
      <c r="P44" s="40" t="s">
        <v>3</v>
      </c>
      <c r="Q44" s="38">
        <v>2</v>
      </c>
      <c r="R44" s="38">
        <v>3</v>
      </c>
      <c r="S44" s="38">
        <v>3</v>
      </c>
      <c r="T44" s="38">
        <f>S44+R44</f>
        <v>6</v>
      </c>
      <c r="U44" s="42">
        <v>0</v>
      </c>
      <c r="V44" s="38">
        <v>0</v>
      </c>
      <c r="W44" s="38">
        <v>0</v>
      </c>
      <c r="X44" s="38">
        <v>0</v>
      </c>
      <c r="Y44" s="37"/>
    </row>
    <row r="45" spans="1:25" s="31" customFormat="1" ht="15" customHeight="1" x14ac:dyDescent="0.3">
      <c r="A45" s="36"/>
      <c r="B45" s="37"/>
      <c r="C45" s="45"/>
      <c r="D45" s="37">
        <v>2024</v>
      </c>
      <c r="E45" s="38">
        <f>160128*1000000</f>
        <v>160128000000</v>
      </c>
      <c r="F45" s="38">
        <f>(160128+46432+65350+20442)*1000000</f>
        <v>292352000000</v>
      </c>
      <c r="G45" s="38">
        <f>3339322*1000000</f>
        <v>3339322000000</v>
      </c>
      <c r="H45" s="38">
        <f>(36644+334134)*1000000</f>
        <v>370778000000</v>
      </c>
      <c r="I45" s="38">
        <f>913660*1000000</f>
        <v>913660000000</v>
      </c>
      <c r="J45" s="38">
        <f>65665*1000000</f>
        <v>65665000000</v>
      </c>
      <c r="K45" s="38">
        <f>(100000+808430-5907+65665)*1000000</f>
        <v>968188000000</v>
      </c>
      <c r="L45" s="38">
        <f>1130418*1000000</f>
        <v>1130418000000</v>
      </c>
      <c r="M45" s="38">
        <f>69939*1000000</f>
        <v>69939000000</v>
      </c>
      <c r="N45" s="38">
        <f>58584*1000000</f>
        <v>58584000000</v>
      </c>
      <c r="O45" s="39">
        <v>0.99</v>
      </c>
      <c r="P45" s="40" t="s">
        <v>3</v>
      </c>
      <c r="Q45" s="38">
        <v>2</v>
      </c>
      <c r="R45" s="38">
        <v>3</v>
      </c>
      <c r="S45" s="38">
        <v>3</v>
      </c>
      <c r="T45" s="38">
        <f>S45+R45</f>
        <v>6</v>
      </c>
      <c r="U45" s="42">
        <v>0</v>
      </c>
      <c r="V45" s="38">
        <v>0</v>
      </c>
      <c r="W45" s="38">
        <v>0</v>
      </c>
      <c r="X45" s="38">
        <v>0</v>
      </c>
      <c r="Y45" s="37"/>
    </row>
    <row r="46" spans="1:25" s="31" customFormat="1" ht="15" customHeight="1" x14ac:dyDescent="0.3">
      <c r="A46" s="36"/>
      <c r="B46" s="37">
        <v>5</v>
      </c>
      <c r="C46" s="29" t="s">
        <v>20</v>
      </c>
      <c r="D46" s="37">
        <v>2014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7"/>
    </row>
    <row r="47" spans="1:25" s="31" customFormat="1" ht="15" customHeight="1" x14ac:dyDescent="0.3">
      <c r="A47" s="36"/>
      <c r="B47" s="37"/>
      <c r="C47" s="29"/>
      <c r="D47" s="37">
        <v>2015</v>
      </c>
      <c r="E47" s="38">
        <f>31270004*1000</f>
        <v>31270004000</v>
      </c>
      <c r="F47" s="38">
        <f>(31270004+77490113+45534291+259061313+7743719+13551301+33711049)*1000</f>
        <v>468361790000</v>
      </c>
      <c r="G47" s="38">
        <f>4933308738*1000</f>
        <v>4933308738000</v>
      </c>
      <c r="H47" s="38">
        <f>(34595124+7506146+55379253+1025192+32338508+81747961)*1000</f>
        <v>212592184000</v>
      </c>
      <c r="I47" s="38">
        <f>3608103108*1000</f>
        <v>3608103108000</v>
      </c>
      <c r="J47" s="38">
        <f>(612198897+567512452)*1000</f>
        <v>1179711349000</v>
      </c>
      <c r="K47" s="38">
        <f>4933308738*1000</f>
        <v>4933308738000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7"/>
    </row>
    <row r="48" spans="1:25" s="31" customFormat="1" ht="15" customHeight="1" x14ac:dyDescent="0.3">
      <c r="A48" s="36"/>
      <c r="B48" s="37"/>
      <c r="C48" s="29"/>
      <c r="D48" s="37">
        <v>2016</v>
      </c>
      <c r="E48" s="38">
        <f>47737525*1000</f>
        <v>47737525000</v>
      </c>
      <c r="F48" s="38">
        <f>(47737535+26372725+53428744+231858058+6175234+12572361+13315384)*1000</f>
        <v>391460041000</v>
      </c>
      <c r="G48" s="38">
        <f>6176329027*1000</f>
        <v>6176329027000</v>
      </c>
      <c r="H48" s="38">
        <f>(10800635+7379785+1164024+1685837+48804757+62931273)*1000</f>
        <v>132766311000</v>
      </c>
      <c r="I48" s="38">
        <f>4512591084*1000</f>
        <v>4512591084000</v>
      </c>
      <c r="J48" s="38">
        <f>(612198897+781533993)*1000</f>
        <v>1393732890000</v>
      </c>
      <c r="K48" s="38">
        <f>6176329027*1000</f>
        <v>6176329027000</v>
      </c>
      <c r="L48" s="38">
        <f>3542155857*1000</f>
        <v>3542155857000</v>
      </c>
      <c r="M48" s="38">
        <f>205478355*1000</f>
        <v>205478355000</v>
      </c>
      <c r="N48" s="38">
        <f>331486312*1000</f>
        <v>331486312000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7"/>
    </row>
    <row r="49" spans="1:25" s="31" customFormat="1" ht="15" customHeight="1" x14ac:dyDescent="0.3">
      <c r="A49" s="36"/>
      <c r="B49" s="37"/>
      <c r="C49" s="29"/>
      <c r="D49" s="37">
        <v>2017</v>
      </c>
      <c r="E49" s="38">
        <f>51803533*1000</f>
        <v>51803533000</v>
      </c>
      <c r="F49" s="38">
        <f>(51803533+20464954+64353745+269187118+7213610+55814574+14868375)*1000</f>
        <v>483705909000</v>
      </c>
      <c r="G49" s="30">
        <f>8162691116*1000</f>
        <v>8162691116000</v>
      </c>
      <c r="H49" s="38">
        <f>(20665270+14209189+1155193+1042740+50202928+82905755)*1000</f>
        <v>170181075000</v>
      </c>
      <c r="I49" s="30">
        <f>5984418466*1000</f>
        <v>5984418466000</v>
      </c>
      <c r="J49" s="38">
        <f>(794117206+891417232)*1000</f>
        <v>1685534438000</v>
      </c>
      <c r="K49" s="38">
        <f>2104006591*1000</f>
        <v>2104006591000</v>
      </c>
      <c r="L49" s="38">
        <f>4403365381*1000</f>
        <v>4403365381000</v>
      </c>
      <c r="M49" s="38">
        <f>355529117*1000</f>
        <v>355529117000</v>
      </c>
      <c r="N49" s="38">
        <f>538226085*1000</f>
        <v>538226085000</v>
      </c>
      <c r="O49" s="39">
        <v>0.91</v>
      </c>
      <c r="P49" s="40" t="s">
        <v>249</v>
      </c>
      <c r="Q49" s="38">
        <v>3</v>
      </c>
      <c r="R49" s="38">
        <v>5</v>
      </c>
      <c r="S49" s="38">
        <v>6</v>
      </c>
      <c r="T49" s="38">
        <f>SUM(R49:S49)</f>
        <v>11</v>
      </c>
      <c r="U49" s="42">
        <v>0</v>
      </c>
      <c r="V49" s="38">
        <f>5+(2*4)</f>
        <v>13</v>
      </c>
      <c r="W49" s="38">
        <f t="shared" ref="W49:W55" si="4">V49</f>
        <v>13</v>
      </c>
      <c r="X49" s="38">
        <f>6+(2*4)+(3*1)</f>
        <v>17</v>
      </c>
      <c r="Y49" s="37"/>
    </row>
    <row r="50" spans="1:25" s="31" customFormat="1" ht="15" customHeight="1" x14ac:dyDescent="0.3">
      <c r="A50" s="36"/>
      <c r="B50" s="37"/>
      <c r="C50" s="29"/>
      <c r="D50" s="37">
        <v>2018</v>
      </c>
      <c r="E50" s="38">
        <f>61423379*1000</f>
        <v>61423379000</v>
      </c>
      <c r="F50" s="38">
        <f>(61423379+29031114+77407721+311731510+5113655+69301022+10037283)*1000</f>
        <v>564045684000</v>
      </c>
      <c r="G50" s="38">
        <f>9356504263*1000</f>
        <v>9356504263000</v>
      </c>
      <c r="H50" s="38">
        <f>(31530041+8801561+71869450+1119625+29546320+219912207)*1000</f>
        <v>362779204000</v>
      </c>
      <c r="I50" s="38">
        <f>7033564683*1000</f>
        <v>7033564683000</v>
      </c>
      <c r="J50" s="38">
        <f>(958227519+1163594728)*1000</f>
        <v>2121822247000</v>
      </c>
      <c r="K50" s="38">
        <f>2231804990*1000</f>
        <v>2231804990000</v>
      </c>
      <c r="L50" s="38">
        <f>4872269263*1000</f>
        <v>4872269263000</v>
      </c>
      <c r="M50" s="38">
        <f>784108783*1000</f>
        <v>784108783000</v>
      </c>
      <c r="N50" s="38">
        <f>291908712*1000</f>
        <v>291908712000</v>
      </c>
      <c r="O50" s="39">
        <v>0.91</v>
      </c>
      <c r="P50" s="40" t="s">
        <v>249</v>
      </c>
      <c r="Q50" s="38">
        <v>2</v>
      </c>
      <c r="R50" s="38">
        <v>5</v>
      </c>
      <c r="S50" s="38">
        <v>6</v>
      </c>
      <c r="T50" s="38">
        <f t="shared" ref="T50:T55" si="5">SUM(R50:S50)</f>
        <v>11</v>
      </c>
      <c r="U50" s="42">
        <v>0</v>
      </c>
      <c r="V50" s="38">
        <f>5+(2*4)</f>
        <v>13</v>
      </c>
      <c r="W50" s="38">
        <f t="shared" si="4"/>
        <v>13</v>
      </c>
      <c r="X50" s="38">
        <f>6+(2*5)</f>
        <v>16</v>
      </c>
      <c r="Y50" s="37"/>
    </row>
    <row r="51" spans="1:25" s="31" customFormat="1" ht="15" customHeight="1" x14ac:dyDescent="0.3">
      <c r="A51" s="36"/>
      <c r="B51" s="37"/>
      <c r="C51" s="29"/>
      <c r="D51" s="37">
        <v>2019</v>
      </c>
      <c r="E51" s="38">
        <f>68265*1000000</f>
        <v>68265000000</v>
      </c>
      <c r="F51" s="38">
        <f>(68265+42754+83633+247698+9216+38704+16436)*1000000</f>
        <v>506706000000</v>
      </c>
      <c r="G51" s="38">
        <f>11084971*1000000</f>
        <v>11084971000000</v>
      </c>
      <c r="H51" s="38">
        <f>(37557+15699+22200+1016+70306+175303)*1000000</f>
        <v>322081000000</v>
      </c>
      <c r="I51" s="38">
        <f>8407279*1000000</f>
        <v>8407279000000</v>
      </c>
      <c r="J51" s="38">
        <f>(1438546+886463)*1000000</f>
        <v>2325009000000</v>
      </c>
      <c r="K51" s="38">
        <f>2563929*1000000</f>
        <v>2563929000000</v>
      </c>
      <c r="L51" s="38">
        <f>5671048*1000000</f>
        <v>5671048000000</v>
      </c>
      <c r="M51" s="38">
        <f>336198*1000000</f>
        <v>336198000000</v>
      </c>
      <c r="N51" s="38">
        <f>452204*1000000</f>
        <v>452204000000</v>
      </c>
      <c r="O51" s="39">
        <v>0.91010000000000002</v>
      </c>
      <c r="P51" s="40" t="s">
        <v>249</v>
      </c>
      <c r="Q51" s="38">
        <v>3</v>
      </c>
      <c r="R51" s="38">
        <v>6</v>
      </c>
      <c r="S51" s="38">
        <v>6</v>
      </c>
      <c r="T51" s="38">
        <f t="shared" si="5"/>
        <v>12</v>
      </c>
      <c r="U51" s="42">
        <v>0</v>
      </c>
      <c r="V51" s="38">
        <f>6+(2*5)</f>
        <v>16</v>
      </c>
      <c r="W51" s="38">
        <f t="shared" si="4"/>
        <v>16</v>
      </c>
      <c r="X51" s="38">
        <f>6+(2*5)</f>
        <v>16</v>
      </c>
      <c r="Y51" s="37"/>
    </row>
    <row r="52" spans="1:25" s="31" customFormat="1" ht="15" customHeight="1" x14ac:dyDescent="0.3">
      <c r="A52" s="36"/>
      <c r="B52" s="37"/>
      <c r="C52" s="29"/>
      <c r="D52" s="37">
        <v>2020</v>
      </c>
      <c r="E52" s="38">
        <f>95700*1000000</f>
        <v>95700000000</v>
      </c>
      <c r="F52" s="38">
        <f>(95700+49055+93216+333507+11770+128853+11039)*1000000</f>
        <v>723140000000</v>
      </c>
      <c r="G52" s="38">
        <f>13044264*1000000</f>
        <v>13044264000000</v>
      </c>
      <c r="H52" s="38">
        <f>(21171+1730+2826+990+45871+182754)*1000000</f>
        <v>255342000000</v>
      </c>
      <c r="I52" s="38">
        <f>10081934*1000000</f>
        <v>10081934000000</v>
      </c>
      <c r="J52" s="38">
        <f>(1761813+625586)*1000000</f>
        <v>2387399000000</v>
      </c>
      <c r="K52" s="38">
        <f>2794003*1000000</f>
        <v>2794003000000</v>
      </c>
      <c r="L52" s="38">
        <f>6379851*1000000</f>
        <v>6379851000000</v>
      </c>
      <c r="M52" s="38">
        <f>53150*1000000</f>
        <v>53150000000</v>
      </c>
      <c r="N52" s="38">
        <f>230074*1000000</f>
        <v>230074000000</v>
      </c>
      <c r="O52" s="39">
        <v>0.91010000000000002</v>
      </c>
      <c r="P52" s="40" t="s">
        <v>249</v>
      </c>
      <c r="Q52" s="38">
        <v>2</v>
      </c>
      <c r="R52" s="38">
        <v>4</v>
      </c>
      <c r="S52" s="38">
        <v>4</v>
      </c>
      <c r="T52" s="38">
        <f t="shared" si="5"/>
        <v>8</v>
      </c>
      <c r="U52" s="42">
        <v>0</v>
      </c>
      <c r="V52" s="38">
        <f>4+(2*4)</f>
        <v>12</v>
      </c>
      <c r="W52" s="38">
        <f t="shared" si="4"/>
        <v>12</v>
      </c>
      <c r="X52" s="38">
        <f>4+(2*3)</f>
        <v>10</v>
      </c>
      <c r="Y52" s="37"/>
    </row>
    <row r="53" spans="1:25" s="31" customFormat="1" ht="15" customHeight="1" x14ac:dyDescent="0.3">
      <c r="A53" s="36"/>
      <c r="B53" s="37"/>
      <c r="C53" s="29"/>
      <c r="D53" s="37">
        <v>2021</v>
      </c>
      <c r="E53" s="38">
        <f>79576*1000000</f>
        <v>79576000000</v>
      </c>
      <c r="F53" s="38">
        <f>(79576+50250+97444+443441+40888+121624+15238)*1000000</f>
        <v>848461000000</v>
      </c>
      <c r="G53" s="38">
        <f>18260736*1000000</f>
        <v>18260736000000</v>
      </c>
      <c r="H53" s="38">
        <f>(49991+535+4980+1214+80034+809405)*1000000</f>
        <v>946159000000</v>
      </c>
      <c r="I53" s="38">
        <f>11381796*1000000</f>
        <v>11381796000000</v>
      </c>
      <c r="J53" s="38">
        <f>(1761813+775625)*1000000</f>
        <v>2537438000000</v>
      </c>
      <c r="K53" s="38">
        <f>6683102*1000000</f>
        <v>6683102000000</v>
      </c>
      <c r="L53" s="38">
        <f>7264440*1000000</f>
        <v>7264440000000</v>
      </c>
      <c r="M53" s="38">
        <f>130173*1000000</f>
        <v>130173000000</v>
      </c>
      <c r="N53" s="38">
        <f>39099*1000000</f>
        <v>39099000000</v>
      </c>
      <c r="O53" s="39">
        <v>0.63829999999999998</v>
      </c>
      <c r="P53" s="40" t="s">
        <v>249</v>
      </c>
      <c r="Q53" s="38">
        <v>4</v>
      </c>
      <c r="R53" s="38">
        <v>6</v>
      </c>
      <c r="S53" s="38">
        <v>8</v>
      </c>
      <c r="T53" s="38">
        <f t="shared" si="5"/>
        <v>14</v>
      </c>
      <c r="U53" s="42">
        <v>0</v>
      </c>
      <c r="V53" s="38">
        <f>6+(2*4)</f>
        <v>14</v>
      </c>
      <c r="W53" s="38">
        <f t="shared" si="4"/>
        <v>14</v>
      </c>
      <c r="X53" s="38">
        <f>8+(2*6)</f>
        <v>20</v>
      </c>
      <c r="Y53" s="37"/>
    </row>
    <row r="54" spans="1:25" s="31" customFormat="1" ht="15" customHeight="1" x14ac:dyDescent="0.3">
      <c r="A54" s="36"/>
      <c r="B54" s="37"/>
      <c r="C54" s="29"/>
      <c r="D54" s="37">
        <v>2022</v>
      </c>
      <c r="E54" s="38">
        <f>65266*1000000</f>
        <v>65266000000</v>
      </c>
      <c r="F54" s="38">
        <f>(65266+85330+148528+808664+26750+81336+23992)*1000000</f>
        <v>1239866000000</v>
      </c>
      <c r="G54" s="38">
        <f>21494817*1000000</f>
        <v>21494817000000</v>
      </c>
      <c r="H54" s="38">
        <f>(361051+345+10662+1104+131183+73534)*1000000</f>
        <v>577879000000</v>
      </c>
      <c r="I54" s="38">
        <f>13552263*1000000</f>
        <v>13552263000000</v>
      </c>
      <c r="J54" s="38">
        <f>(1761813+1089871)*1000000</f>
        <v>2851684000000</v>
      </c>
      <c r="K54" s="38">
        <f>7706566*1000000</f>
        <v>7706566000000</v>
      </c>
      <c r="L54" s="38">
        <f>9141344*1000000</f>
        <v>9141344000000</v>
      </c>
      <c r="M54" s="38">
        <f>385371*1000000</f>
        <v>385371000000</v>
      </c>
      <c r="N54" s="38">
        <f>283472*1000000</f>
        <v>283472000000</v>
      </c>
      <c r="O54" s="39">
        <v>0.59019999999999995</v>
      </c>
      <c r="P54" s="40" t="s">
        <v>249</v>
      </c>
      <c r="Q54" s="38">
        <v>3</v>
      </c>
      <c r="R54" s="38">
        <v>5</v>
      </c>
      <c r="S54" s="38">
        <v>5</v>
      </c>
      <c r="T54" s="38">
        <f t="shared" si="5"/>
        <v>10</v>
      </c>
      <c r="U54" s="42">
        <v>0</v>
      </c>
      <c r="V54" s="38">
        <f>5+(2*3)</f>
        <v>11</v>
      </c>
      <c r="W54" s="38">
        <f t="shared" si="4"/>
        <v>11</v>
      </c>
      <c r="X54" s="38">
        <f>5+(2*3)</f>
        <v>11</v>
      </c>
      <c r="Y54" s="37"/>
    </row>
    <row r="55" spans="1:25" s="31" customFormat="1" ht="15" customHeight="1" x14ac:dyDescent="0.3">
      <c r="A55" s="36"/>
      <c r="B55" s="37"/>
      <c r="C55" s="29"/>
      <c r="D55" s="37">
        <v>2023</v>
      </c>
      <c r="E55" s="38">
        <f>66255*1000000</f>
        <v>66255000000</v>
      </c>
      <c r="F55" s="38">
        <f>(66255+79543+189806+324161+5847+135720+29940)*1000000</f>
        <v>831272000000</v>
      </c>
      <c r="G55" s="38">
        <f>23552167*1000000</f>
        <v>23552167000000</v>
      </c>
      <c r="H55" s="38">
        <f>(39484+1139+4803+1002+176528+95578)*1000000</f>
        <v>318534000000</v>
      </c>
      <c r="I55" s="38">
        <f>14172581*1000000</f>
        <v>14172581000000</v>
      </c>
      <c r="J55" s="38">
        <f>(1761813+1624979)*1000000</f>
        <v>3386792000000</v>
      </c>
      <c r="K55" s="38">
        <f>9111525*1000000</f>
        <v>9111525000000</v>
      </c>
      <c r="L55" s="38">
        <f>9194450*1000000</f>
        <v>9194450000000</v>
      </c>
      <c r="M55" s="38">
        <f>618387*1000000</f>
        <v>618387000000</v>
      </c>
      <c r="N55" s="38">
        <f>634959*1000000</f>
        <v>634959000000</v>
      </c>
      <c r="O55" s="39">
        <v>0.54769999999999996</v>
      </c>
      <c r="P55" s="40" t="s">
        <v>249</v>
      </c>
      <c r="Q55" s="38">
        <v>3</v>
      </c>
      <c r="R55" s="38">
        <v>5</v>
      </c>
      <c r="S55" s="38">
        <v>5</v>
      </c>
      <c r="T55" s="38">
        <f t="shared" si="5"/>
        <v>10</v>
      </c>
      <c r="U55" s="42">
        <v>0</v>
      </c>
      <c r="V55" s="38">
        <f>5+(2*3)+(3*1)</f>
        <v>14</v>
      </c>
      <c r="W55" s="38">
        <f t="shared" si="4"/>
        <v>14</v>
      </c>
      <c r="X55" s="38">
        <f>5+(2*4)</f>
        <v>13</v>
      </c>
      <c r="Y55" s="37"/>
    </row>
    <row r="56" spans="1:25" s="31" customFormat="1" ht="15" customHeight="1" x14ac:dyDescent="0.3">
      <c r="A56" s="36"/>
      <c r="B56" s="37"/>
      <c r="C56" s="29"/>
      <c r="D56" s="37">
        <v>2024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7"/>
    </row>
    <row r="57" spans="1:25" s="31" customFormat="1" ht="15" customHeight="1" x14ac:dyDescent="0.3">
      <c r="A57" s="36"/>
      <c r="B57" s="37">
        <v>6</v>
      </c>
      <c r="C57" s="29" t="s">
        <v>21</v>
      </c>
      <c r="D57" s="37">
        <v>2014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9">
        <v>0</v>
      </c>
      <c r="P57" s="40">
        <v>0</v>
      </c>
      <c r="Q57" s="38">
        <v>0</v>
      </c>
      <c r="R57" s="38">
        <v>0</v>
      </c>
      <c r="S57" s="38"/>
      <c r="T57" s="38">
        <v>0</v>
      </c>
      <c r="U57" s="41">
        <v>0</v>
      </c>
      <c r="V57" s="38"/>
      <c r="W57" s="38">
        <f t="shared" ref="W57:W66" si="6">V57</f>
        <v>0</v>
      </c>
      <c r="X57" s="38"/>
      <c r="Y57" s="37"/>
    </row>
    <row r="58" spans="1:25" s="31" customFormat="1" ht="15" customHeight="1" x14ac:dyDescent="0.3">
      <c r="A58" s="36"/>
      <c r="B58" s="37"/>
      <c r="C58" s="29"/>
      <c r="D58" s="37">
        <v>2015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9">
        <v>0</v>
      </c>
      <c r="P58" s="40">
        <v>0</v>
      </c>
      <c r="Q58" s="38">
        <v>0</v>
      </c>
      <c r="R58" s="38">
        <v>0</v>
      </c>
      <c r="S58" s="38"/>
      <c r="T58" s="38">
        <v>0</v>
      </c>
      <c r="U58" s="41">
        <v>0</v>
      </c>
      <c r="V58" s="38"/>
      <c r="W58" s="38">
        <f t="shared" si="6"/>
        <v>0</v>
      </c>
      <c r="X58" s="38"/>
      <c r="Y58" s="37"/>
    </row>
    <row r="59" spans="1:25" s="31" customFormat="1" ht="15" customHeight="1" x14ac:dyDescent="0.3">
      <c r="A59" s="36"/>
      <c r="B59" s="37"/>
      <c r="C59" s="29"/>
      <c r="D59" s="37">
        <v>2016</v>
      </c>
      <c r="E59" s="38">
        <f>7117*1000000</f>
        <v>7117000000</v>
      </c>
      <c r="F59" s="38">
        <f>(8507-9-1382)*1000000</f>
        <v>7116000000</v>
      </c>
      <c r="G59" s="38">
        <f>98507*1000000</f>
        <v>98507000000</v>
      </c>
      <c r="H59" s="38">
        <f>3417*1000000</f>
        <v>3417000000</v>
      </c>
      <c r="I59" s="38">
        <f>3417*1000000</f>
        <v>3417000000</v>
      </c>
      <c r="J59" s="38">
        <f>-4909*1000000</f>
        <v>-4909000000</v>
      </c>
      <c r="K59" s="38">
        <f>95091*1000000</f>
        <v>95091000000</v>
      </c>
      <c r="L59" s="38">
        <f>3041*1000000</f>
        <v>3041000000</v>
      </c>
      <c r="M59" s="38">
        <f>-4909*1000000</f>
        <v>-4909000000</v>
      </c>
      <c r="N59" s="38">
        <f>-4909*1000000</f>
        <v>-4909000000</v>
      </c>
      <c r="O59" s="39">
        <v>0</v>
      </c>
      <c r="P59" s="40">
        <v>0</v>
      </c>
      <c r="Q59" s="38">
        <v>0</v>
      </c>
      <c r="R59" s="38">
        <v>0</v>
      </c>
      <c r="S59" s="38"/>
      <c r="T59" s="38">
        <v>0</v>
      </c>
      <c r="U59" s="41">
        <v>0</v>
      </c>
      <c r="V59" s="38"/>
      <c r="W59" s="38">
        <f t="shared" si="6"/>
        <v>0</v>
      </c>
      <c r="X59" s="38"/>
      <c r="Y59" s="37"/>
    </row>
    <row r="60" spans="1:25" s="31" customFormat="1" ht="15" customHeight="1" x14ac:dyDescent="0.3">
      <c r="A60" s="36"/>
      <c r="B60" s="37"/>
      <c r="C60" s="29"/>
      <c r="D60" s="37">
        <v>2017</v>
      </c>
      <c r="E60" s="38">
        <f>5273*1000000</f>
        <v>5273000000</v>
      </c>
      <c r="F60" s="38">
        <f>(16686-3395-5091)*1000000</f>
        <v>8200000000</v>
      </c>
      <c r="G60" s="38">
        <f>116479*1000000</f>
        <v>116479000000</v>
      </c>
      <c r="H60" s="38">
        <f>7335*1000000</f>
        <v>7335000000</v>
      </c>
      <c r="I60" s="38">
        <f>11160*1000000</f>
        <v>11160000000</v>
      </c>
      <c r="J60" s="38">
        <f>(-25649)*1000000</f>
        <v>-25649000000</v>
      </c>
      <c r="K60" s="38">
        <f>105319*1000000</f>
        <v>105319000000</v>
      </c>
      <c r="L60" s="38">
        <f>13468*1000000</f>
        <v>13468000000</v>
      </c>
      <c r="M60" s="38">
        <f>-20740*1000000</f>
        <v>-20740000000</v>
      </c>
      <c r="N60" s="38">
        <f>-19772*1000000</f>
        <v>-19772000000</v>
      </c>
      <c r="O60" s="39">
        <v>0.6</v>
      </c>
      <c r="P60" s="40" t="s">
        <v>192</v>
      </c>
      <c r="Q60" s="38">
        <v>2</v>
      </c>
      <c r="R60" s="38">
        <v>4</v>
      </c>
      <c r="S60" s="38">
        <v>3</v>
      </c>
      <c r="T60" s="38">
        <v>7</v>
      </c>
      <c r="U60" s="42">
        <v>0</v>
      </c>
      <c r="V60" s="38">
        <f t="shared" ref="V60:V66" si="7">4+(2*1)+(2*3)</f>
        <v>12</v>
      </c>
      <c r="W60" s="38">
        <f t="shared" si="6"/>
        <v>12</v>
      </c>
      <c r="X60" s="38">
        <f t="shared" ref="X60:X67" si="8">3+(2*2)</f>
        <v>7</v>
      </c>
      <c r="Y60" s="37"/>
    </row>
    <row r="61" spans="1:25" s="31" customFormat="1" ht="15" customHeight="1" x14ac:dyDescent="0.3">
      <c r="A61" s="36"/>
      <c r="B61" s="37"/>
      <c r="C61" s="29"/>
      <c r="D61" s="37">
        <v>2018</v>
      </c>
      <c r="E61" s="38">
        <f>9389*1000000</f>
        <v>9389000000</v>
      </c>
      <c r="F61" s="38">
        <f>(33970-4086-7331)*1000000</f>
        <v>22553000000</v>
      </c>
      <c r="G61" s="38">
        <f>152680*1000000</f>
        <v>152680000000</v>
      </c>
      <c r="H61" s="38">
        <f>15989*1000000</f>
        <v>15989000000</v>
      </c>
      <c r="I61" s="38">
        <f>50492*1000000</f>
        <v>50492000000</v>
      </c>
      <c r="J61" s="38">
        <f>-76064*1000000</f>
        <v>-76064000000</v>
      </c>
      <c r="K61" s="38">
        <f>102188*1000000</f>
        <v>102188000000</v>
      </c>
      <c r="L61" s="38">
        <f>59888*1000000</f>
        <v>59888000000</v>
      </c>
      <c r="M61" s="38">
        <f>-50414*1000000</f>
        <v>-50414000000</v>
      </c>
      <c r="N61" s="38">
        <f>-43131*1000000</f>
        <v>-43131000000</v>
      </c>
      <c r="O61" s="39">
        <v>0.6</v>
      </c>
      <c r="P61" s="40" t="s">
        <v>192</v>
      </c>
      <c r="Q61" s="38">
        <v>2</v>
      </c>
      <c r="R61" s="38">
        <v>4</v>
      </c>
      <c r="S61" s="38">
        <v>3</v>
      </c>
      <c r="T61" s="38">
        <v>7</v>
      </c>
      <c r="U61" s="42">
        <v>0</v>
      </c>
      <c r="V61" s="38">
        <f t="shared" si="7"/>
        <v>12</v>
      </c>
      <c r="W61" s="38">
        <f t="shared" si="6"/>
        <v>12</v>
      </c>
      <c r="X61" s="38">
        <f t="shared" si="8"/>
        <v>7</v>
      </c>
      <c r="Y61" s="37"/>
    </row>
    <row r="62" spans="1:25" s="31" customFormat="1" ht="15" customHeight="1" x14ac:dyDescent="0.3">
      <c r="A62" s="36"/>
      <c r="B62" s="37"/>
      <c r="C62" s="29"/>
      <c r="D62" s="37">
        <v>2019</v>
      </c>
      <c r="E62" s="38">
        <f>9265*1000000</f>
        <v>9265000000</v>
      </c>
      <c r="F62" s="38">
        <f>(44980-1188-9522)*1000000</f>
        <v>34270000000</v>
      </c>
      <c r="G62" s="38">
        <f>214472*1000000</f>
        <v>214472000000</v>
      </c>
      <c r="H62" s="38">
        <f>14816*1000000</f>
        <v>14816000000</v>
      </c>
      <c r="I62" s="38">
        <f>87535*1000000</f>
        <v>87535000000</v>
      </c>
      <c r="J62" s="38">
        <f>-119946*1000000</f>
        <v>-119946000000</v>
      </c>
      <c r="K62" s="38">
        <f>126937*1000000</f>
        <v>126937000000</v>
      </c>
      <c r="L62" s="38">
        <f>104287*1000000</f>
        <v>104287000000</v>
      </c>
      <c r="M62" s="38">
        <f>-43882*1000000</f>
        <v>-43882000000</v>
      </c>
      <c r="N62" s="38">
        <f>-45250*1000000</f>
        <v>-45250000000</v>
      </c>
      <c r="O62" s="39">
        <v>0.6</v>
      </c>
      <c r="P62" s="40" t="s">
        <v>192</v>
      </c>
      <c r="Q62" s="38">
        <v>2</v>
      </c>
      <c r="R62" s="38">
        <v>4</v>
      </c>
      <c r="S62" s="38">
        <v>3</v>
      </c>
      <c r="T62" s="38">
        <v>7</v>
      </c>
      <c r="U62" s="42">
        <v>0</v>
      </c>
      <c r="V62" s="38">
        <f t="shared" si="7"/>
        <v>12</v>
      </c>
      <c r="W62" s="38">
        <f t="shared" si="6"/>
        <v>12</v>
      </c>
      <c r="X62" s="38">
        <f t="shared" si="8"/>
        <v>7</v>
      </c>
      <c r="Y62" s="37"/>
    </row>
    <row r="63" spans="1:25" s="31" customFormat="1" ht="15" customHeight="1" x14ac:dyDescent="0.3">
      <c r="A63" s="36"/>
      <c r="B63" s="37"/>
      <c r="C63" s="29"/>
      <c r="D63" s="37">
        <v>2020</v>
      </c>
      <c r="E63" s="38">
        <f>24303*1000000</f>
        <v>24303000000</v>
      </c>
      <c r="F63" s="38">
        <f>(68459-1680-9470)*1000000</f>
        <v>57309000000</v>
      </c>
      <c r="G63" s="38">
        <f>278255*1000000</f>
        <v>278255000000</v>
      </c>
      <c r="H63" s="38">
        <f>14810*1000000</f>
        <v>14810000000</v>
      </c>
      <c r="I63" s="38">
        <f>138272*1000000</f>
        <v>138272000000</v>
      </c>
      <c r="J63" s="38">
        <f>-172440*1000000</f>
        <v>-172440000000</v>
      </c>
      <c r="K63" s="38">
        <f>139982*1000000</f>
        <v>139982000000</v>
      </c>
      <c r="L63" s="38">
        <f>110130*1000000</f>
        <v>110130000000</v>
      </c>
      <c r="M63" s="38">
        <f>-52425*1000000</f>
        <v>-52425000000</v>
      </c>
      <c r="N63" s="38">
        <f>-36955*1000000</f>
        <v>-36955000000</v>
      </c>
      <c r="O63" s="39">
        <v>0.6</v>
      </c>
      <c r="P63" s="40" t="s">
        <v>192</v>
      </c>
      <c r="Q63" s="38">
        <v>2</v>
      </c>
      <c r="R63" s="38">
        <v>4</v>
      </c>
      <c r="S63" s="38">
        <v>3</v>
      </c>
      <c r="T63" s="38">
        <v>7</v>
      </c>
      <c r="U63" s="42">
        <v>0</v>
      </c>
      <c r="V63" s="38">
        <f t="shared" si="7"/>
        <v>12</v>
      </c>
      <c r="W63" s="38">
        <f t="shared" si="6"/>
        <v>12</v>
      </c>
      <c r="X63" s="38">
        <f t="shared" si="8"/>
        <v>7</v>
      </c>
      <c r="Y63" s="37"/>
    </row>
    <row r="64" spans="1:25" s="31" customFormat="1" ht="15" customHeight="1" x14ac:dyDescent="0.3">
      <c r="A64" s="36"/>
      <c r="B64" s="37"/>
      <c r="C64" s="29"/>
      <c r="D64" s="37">
        <v>2021</v>
      </c>
      <c r="E64" s="38">
        <f>33236*1000000</f>
        <v>33236000000</v>
      </c>
      <c r="F64" s="38">
        <f>(111713-2859-7544)*1000000</f>
        <v>101310000000</v>
      </c>
      <c r="G64" s="38">
        <f>384372*1000000</f>
        <v>384372000000</v>
      </c>
      <c r="H64" s="38">
        <f>33110*1000000</f>
        <v>33110000000</v>
      </c>
      <c r="I64" s="38">
        <f>252304*1000000</f>
        <v>252304000000</v>
      </c>
      <c r="J64" s="38">
        <f>-222576*1000000</f>
        <v>-222576000000</v>
      </c>
      <c r="K64" s="38">
        <f>132068*1000000</f>
        <v>132068000000</v>
      </c>
      <c r="L64" s="38">
        <f>244885*1000000</f>
        <v>244885000000</v>
      </c>
      <c r="M64" s="38">
        <f>-50077*1000000</f>
        <v>-50077000000</v>
      </c>
      <c r="N64" s="38">
        <f>-52914*1000000</f>
        <v>-52914000000</v>
      </c>
      <c r="O64" s="39">
        <v>0.6</v>
      </c>
      <c r="P64" s="40" t="s">
        <v>192</v>
      </c>
      <c r="Q64" s="38">
        <v>2</v>
      </c>
      <c r="R64" s="38">
        <v>4</v>
      </c>
      <c r="S64" s="38">
        <v>3</v>
      </c>
      <c r="T64" s="38">
        <v>7</v>
      </c>
      <c r="U64" s="42">
        <v>0</v>
      </c>
      <c r="V64" s="38">
        <f t="shared" si="7"/>
        <v>12</v>
      </c>
      <c r="W64" s="38">
        <f t="shared" si="6"/>
        <v>12</v>
      </c>
      <c r="X64" s="38">
        <f t="shared" si="8"/>
        <v>7</v>
      </c>
      <c r="Y64" s="37"/>
    </row>
    <row r="65" spans="1:25" s="31" customFormat="1" ht="15" customHeight="1" x14ac:dyDescent="0.3">
      <c r="A65" s="36"/>
      <c r="B65" s="37"/>
      <c r="C65" s="29"/>
      <c r="D65" s="37">
        <v>2022</v>
      </c>
      <c r="E65" s="38">
        <f>29813*1000000</f>
        <v>29813000000</v>
      </c>
      <c r="F65" s="38">
        <f>(105275-2276-4916)*1000000</f>
        <v>98083000000</v>
      </c>
      <c r="G65" s="38">
        <f>517439*1000000</f>
        <v>517439000000</v>
      </c>
      <c r="H65" s="38">
        <f>40437*1000000</f>
        <v>40437000000</v>
      </c>
      <c r="I65" s="38">
        <f>359910*1000000</f>
        <v>359910000000</v>
      </c>
      <c r="J65" s="38">
        <f>-217970*1000000</f>
        <v>-217970000000</v>
      </c>
      <c r="K65" s="38">
        <f>157529*1000000</f>
        <v>157529000000</v>
      </c>
      <c r="L65" s="38">
        <f>334681*1000000</f>
        <v>334681000000</v>
      </c>
      <c r="M65" s="38">
        <f>4803*1000000</f>
        <v>4803000000</v>
      </c>
      <c r="N65" s="38">
        <f>460*1000000</f>
        <v>460000000</v>
      </c>
      <c r="O65" s="39">
        <v>0.6</v>
      </c>
      <c r="P65" s="40" t="s">
        <v>192</v>
      </c>
      <c r="Q65" s="38">
        <v>2</v>
      </c>
      <c r="R65" s="38">
        <v>4</v>
      </c>
      <c r="S65" s="38">
        <v>3</v>
      </c>
      <c r="T65" s="38">
        <v>7</v>
      </c>
      <c r="U65" s="42">
        <v>0</v>
      </c>
      <c r="V65" s="38">
        <f t="shared" si="7"/>
        <v>12</v>
      </c>
      <c r="W65" s="38">
        <f t="shared" si="6"/>
        <v>12</v>
      </c>
      <c r="X65" s="38">
        <f t="shared" si="8"/>
        <v>7</v>
      </c>
      <c r="Y65" s="37"/>
    </row>
    <row r="66" spans="1:25" s="31" customFormat="1" ht="15" customHeight="1" x14ac:dyDescent="0.3">
      <c r="A66" s="36"/>
      <c r="B66" s="37"/>
      <c r="C66" s="29"/>
      <c r="D66" s="37">
        <v>2023</v>
      </c>
      <c r="E66" s="38">
        <f>39592*1000000</f>
        <v>39592000000</v>
      </c>
      <c r="F66" s="38">
        <f>(166451-2872-6699)*1000000</f>
        <v>156880000000</v>
      </c>
      <c r="G66" s="38">
        <f>714057*1000000</f>
        <v>714057000000</v>
      </c>
      <c r="H66" s="38">
        <f>58468*1000000</f>
        <v>58468000000</v>
      </c>
      <c r="I66" s="38">
        <f>548082*1000000</f>
        <v>548082000000</v>
      </c>
      <c r="J66" s="38">
        <f>-204285*1000000</f>
        <v>-204285000000</v>
      </c>
      <c r="K66" s="38">
        <f>165975*1000000</f>
        <v>165975000000</v>
      </c>
      <c r="L66" s="38">
        <f>467731*1000000</f>
        <v>467731000000</v>
      </c>
      <c r="M66" s="38">
        <f>14009*1000000</f>
        <v>14009000000</v>
      </c>
      <c r="N66" s="38">
        <f>8447*1000000</f>
        <v>8447000000</v>
      </c>
      <c r="O66" s="39">
        <v>0.6</v>
      </c>
      <c r="P66" s="40" t="s">
        <v>192</v>
      </c>
      <c r="Q66" s="38">
        <v>2</v>
      </c>
      <c r="R66" s="38">
        <v>4</v>
      </c>
      <c r="S66" s="38">
        <v>3</v>
      </c>
      <c r="T66" s="38">
        <v>7</v>
      </c>
      <c r="U66" s="42">
        <v>0</v>
      </c>
      <c r="V66" s="38">
        <f t="shared" si="7"/>
        <v>12</v>
      </c>
      <c r="W66" s="38">
        <f t="shared" si="6"/>
        <v>12</v>
      </c>
      <c r="X66" s="38">
        <f t="shared" si="8"/>
        <v>7</v>
      </c>
      <c r="Y66" s="37"/>
    </row>
    <row r="67" spans="1:25" s="31" customFormat="1" ht="15" customHeight="1" x14ac:dyDescent="0.3">
      <c r="A67" s="36"/>
      <c r="B67" s="37"/>
      <c r="C67" s="29"/>
      <c r="D67" s="37">
        <v>2024</v>
      </c>
      <c r="E67" s="38">
        <f>42438*1000000</f>
        <v>42438000000</v>
      </c>
      <c r="F67" s="38">
        <f>(180662-7520-5902)*1000000</f>
        <v>167240000000</v>
      </c>
      <c r="G67" s="38">
        <f>997332*1000000</f>
        <v>997332000000</v>
      </c>
      <c r="H67" s="38">
        <f>70006*1000000</f>
        <v>70006000000</v>
      </c>
      <c r="I67" s="38">
        <f>796246*1000000</f>
        <v>796246000000</v>
      </c>
      <c r="J67" s="38">
        <f>-164910*1000000</f>
        <v>-164910000000</v>
      </c>
      <c r="K67" s="38">
        <f>201086*1000000</f>
        <v>201086000000</v>
      </c>
      <c r="L67" s="38">
        <f>587025*1000000</f>
        <v>587025000000</v>
      </c>
      <c r="M67" s="38">
        <f>39668*1000000</f>
        <v>39668000000</v>
      </c>
      <c r="N67" s="38">
        <f>35110*1000000</f>
        <v>35110000000</v>
      </c>
      <c r="O67" s="39">
        <v>0.6</v>
      </c>
      <c r="P67" s="40" t="s">
        <v>192</v>
      </c>
      <c r="Q67" s="38">
        <v>2</v>
      </c>
      <c r="R67" s="38">
        <v>3</v>
      </c>
      <c r="S67" s="38">
        <v>3</v>
      </c>
      <c r="T67" s="38">
        <v>6</v>
      </c>
      <c r="U67" s="42">
        <v>0</v>
      </c>
      <c r="V67" s="38">
        <f>3+(2*2)</f>
        <v>7</v>
      </c>
      <c r="W67" s="38">
        <f>3+(2*2)</f>
        <v>7</v>
      </c>
      <c r="X67" s="38">
        <f t="shared" si="8"/>
        <v>7</v>
      </c>
      <c r="Y67" s="37"/>
    </row>
    <row r="68" spans="1:25" s="31" customFormat="1" ht="15" customHeight="1" x14ac:dyDescent="0.3">
      <c r="A68" s="36"/>
      <c r="B68" s="37">
        <v>7</v>
      </c>
      <c r="C68" s="29" t="s">
        <v>19</v>
      </c>
      <c r="D68" s="37">
        <v>2014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f>613328*1000000</f>
        <v>613328000000</v>
      </c>
      <c r="M68" s="38">
        <v>0</v>
      </c>
      <c r="N68" s="38">
        <v>0</v>
      </c>
      <c r="O68" s="39">
        <v>0</v>
      </c>
      <c r="P68" s="40">
        <v>0</v>
      </c>
      <c r="Q68" s="38">
        <v>0</v>
      </c>
      <c r="R68" s="38">
        <v>0</v>
      </c>
      <c r="S68" s="38"/>
      <c r="T68" s="38">
        <v>0</v>
      </c>
      <c r="U68" s="41">
        <v>0</v>
      </c>
      <c r="V68" s="38">
        <v>0</v>
      </c>
      <c r="W68" s="38">
        <f>V68</f>
        <v>0</v>
      </c>
      <c r="X68" s="38">
        <v>0</v>
      </c>
      <c r="Y68" s="37"/>
    </row>
    <row r="69" spans="1:25" s="31" customFormat="1" ht="15" customHeight="1" x14ac:dyDescent="0.3">
      <c r="A69" s="36"/>
      <c r="B69" s="37"/>
      <c r="C69" s="29"/>
      <c r="D69" s="37">
        <v>2015</v>
      </c>
      <c r="E69" s="38">
        <f>187589*1000000</f>
        <v>187589000000</v>
      </c>
      <c r="F69" s="38">
        <f>(642650-318280-75938)*1000000</f>
        <v>248432000000</v>
      </c>
      <c r="G69" s="38">
        <f>1899837*1000000</f>
        <v>1899837000000</v>
      </c>
      <c r="H69" s="38">
        <f>323188*1000000</f>
        <v>323188000000</v>
      </c>
      <c r="I69" s="38">
        <f>1364281*1000000</f>
        <v>1364281000000</v>
      </c>
      <c r="J69" s="38">
        <f>-325409*1000000</f>
        <v>-325409000000</v>
      </c>
      <c r="K69" s="38">
        <f>535556*1000000</f>
        <v>535556000000</v>
      </c>
      <c r="L69" s="38">
        <f>1310956*1000000</f>
        <v>1310956000000</v>
      </c>
      <c r="M69" s="38">
        <f>-178757*1000000</f>
        <v>-178757000000</v>
      </c>
      <c r="N69" s="38">
        <f>-177698*1000000</f>
        <v>-177698000000</v>
      </c>
      <c r="O69" s="39">
        <v>0.5</v>
      </c>
      <c r="P69" s="40" t="s">
        <v>193</v>
      </c>
      <c r="Q69" s="38">
        <v>2</v>
      </c>
      <c r="R69" s="38">
        <v>4</v>
      </c>
      <c r="S69" s="38">
        <v>6</v>
      </c>
      <c r="T69" s="38">
        <f>R69+S69</f>
        <v>10</v>
      </c>
      <c r="U69" s="42">
        <v>0</v>
      </c>
      <c r="V69" s="38">
        <v>0</v>
      </c>
      <c r="W69" s="38">
        <f t="shared" ref="W69:W78" si="9">V69</f>
        <v>0</v>
      </c>
      <c r="X69" s="38">
        <v>0</v>
      </c>
      <c r="Y69" s="37"/>
    </row>
    <row r="70" spans="1:25" s="31" customFormat="1" ht="15" customHeight="1" x14ac:dyDescent="0.3">
      <c r="A70" s="36"/>
      <c r="B70" s="37"/>
      <c r="C70" s="29"/>
      <c r="D70" s="37">
        <v>2016</v>
      </c>
      <c r="E70" s="38">
        <f>584373*1000000</f>
        <v>584373000000</v>
      </c>
      <c r="F70" s="38">
        <f>(1007870-285037-68295)*1000000</f>
        <v>654538000000</v>
      </c>
      <c r="G70" s="38">
        <f>3802688*1000000</f>
        <v>3802688000000</v>
      </c>
      <c r="H70" s="38">
        <f>406803*1000000</f>
        <v>406803000000</v>
      </c>
      <c r="I70" s="38">
        <f>2965233*1000000</f>
        <v>2965233000000</v>
      </c>
      <c r="J70" s="38">
        <f>-601347*1000000</f>
        <v>-601347000000</v>
      </c>
      <c r="K70" s="38">
        <f>837455*1000000</f>
        <v>837455000000</v>
      </c>
      <c r="L70" s="38">
        <f>2981581*1000000</f>
        <v>2981581000000</v>
      </c>
      <c r="M70" s="38">
        <f>-270279*1000000</f>
        <v>-270279000000</v>
      </c>
      <c r="N70" s="38">
        <f>-268101*1000000</f>
        <v>-268101000000</v>
      </c>
      <c r="O70" s="39">
        <v>0.5</v>
      </c>
      <c r="P70" s="40" t="s">
        <v>193</v>
      </c>
      <c r="Q70" s="38">
        <v>2</v>
      </c>
      <c r="R70" s="38">
        <v>4</v>
      </c>
      <c r="S70" s="38">
        <v>5</v>
      </c>
      <c r="T70" s="38">
        <f t="shared" ref="T70:T78" si="10">R70+S70</f>
        <v>9</v>
      </c>
      <c r="U70" s="42">
        <v>0</v>
      </c>
      <c r="V70" s="38">
        <v>0</v>
      </c>
      <c r="W70" s="38">
        <f t="shared" si="9"/>
        <v>0</v>
      </c>
      <c r="X70" s="38">
        <v>0</v>
      </c>
      <c r="Y70" s="37"/>
    </row>
    <row r="71" spans="1:25" s="31" customFormat="1" ht="15" customHeight="1" x14ac:dyDescent="0.3">
      <c r="A71" s="36"/>
      <c r="B71" s="37"/>
      <c r="C71" s="29"/>
      <c r="D71" s="37">
        <v>2017</v>
      </c>
      <c r="E71" s="38">
        <f>589034*1000000</f>
        <v>589034000000</v>
      </c>
      <c r="F71" s="38">
        <f>(992884-256361-51436)*1000000</f>
        <v>685087000000</v>
      </c>
      <c r="G71" s="38">
        <f>4315435*1000000</f>
        <v>4315435000000</v>
      </c>
      <c r="H71" s="38">
        <f>364804*1000000</f>
        <v>364804000000</v>
      </c>
      <c r="I71" s="38">
        <f>3703552*1000000</f>
        <v>3703552000000</v>
      </c>
      <c r="J71" s="38">
        <f>-829401*1000000</f>
        <v>-829401000000</v>
      </c>
      <c r="K71" s="38">
        <f>611883*1000000</f>
        <v>611883000000</v>
      </c>
      <c r="L71" s="38">
        <f>3796659*1000000</f>
        <v>3796659000000</v>
      </c>
      <c r="M71" s="38">
        <f>-238633*1000000</f>
        <v>-238633000000</v>
      </c>
      <c r="N71" s="38">
        <f>-255572*1000000</f>
        <v>-255572000000</v>
      </c>
      <c r="O71" s="39">
        <v>0.5</v>
      </c>
      <c r="P71" s="40" t="s">
        <v>193</v>
      </c>
      <c r="Q71" s="38">
        <v>2</v>
      </c>
      <c r="R71" s="38">
        <v>4</v>
      </c>
      <c r="S71" s="38">
        <v>4</v>
      </c>
      <c r="T71" s="38">
        <f t="shared" si="10"/>
        <v>8</v>
      </c>
      <c r="U71" s="42">
        <v>0</v>
      </c>
      <c r="V71" s="38">
        <v>0</v>
      </c>
      <c r="W71" s="38">
        <f t="shared" si="9"/>
        <v>0</v>
      </c>
      <c r="X71" s="38">
        <v>0</v>
      </c>
      <c r="Y71" s="37"/>
    </row>
    <row r="72" spans="1:25" s="31" customFormat="1" ht="15" customHeight="1" x14ac:dyDescent="0.3">
      <c r="A72" s="36"/>
      <c r="B72" s="37"/>
      <c r="C72" s="29"/>
      <c r="D72" s="37">
        <v>2018</v>
      </c>
      <c r="E72" s="38">
        <f>805555*1000000</f>
        <v>805555000000</v>
      </c>
      <c r="F72" s="38">
        <f>(1257516-247254-53193)*1000000</f>
        <v>957069000000</v>
      </c>
      <c r="G72" s="38">
        <f>5004717*1000000</f>
        <v>5004717000000</v>
      </c>
      <c r="H72" s="38">
        <f>381609*1000000</f>
        <v>381609000000</v>
      </c>
      <c r="I72" s="38">
        <f>4569886*1000000</f>
        <v>4569886000000</v>
      </c>
      <c r="J72" s="38">
        <f>-996164*1000000</f>
        <v>-996164000000</v>
      </c>
      <c r="K72" s="38">
        <f>434830*1000000</f>
        <v>434830000000</v>
      </c>
      <c r="L72" s="38">
        <f>3611633*1000000</f>
        <v>3611633000000</v>
      </c>
      <c r="M72" s="38">
        <f>-171898*1000000</f>
        <v>-171898000000</v>
      </c>
      <c r="N72" s="38">
        <f>-177053*1000000</f>
        <v>-177053000000</v>
      </c>
      <c r="O72" s="39">
        <v>0.5</v>
      </c>
      <c r="P72" s="40" t="s">
        <v>193</v>
      </c>
      <c r="Q72" s="38">
        <v>2</v>
      </c>
      <c r="R72" s="38">
        <v>4</v>
      </c>
      <c r="S72" s="38">
        <v>4</v>
      </c>
      <c r="T72" s="38">
        <f t="shared" si="10"/>
        <v>8</v>
      </c>
      <c r="U72" s="42">
        <v>0</v>
      </c>
      <c r="V72" s="38">
        <v>0</v>
      </c>
      <c r="W72" s="38">
        <f t="shared" si="9"/>
        <v>0</v>
      </c>
      <c r="X72" s="38">
        <v>0</v>
      </c>
      <c r="Y72" s="37"/>
    </row>
    <row r="73" spans="1:25" s="31" customFormat="1" ht="15" customHeight="1" x14ac:dyDescent="0.3">
      <c r="A73" s="36"/>
      <c r="B73" s="37"/>
      <c r="C73" s="29"/>
      <c r="D73" s="37">
        <v>2019</v>
      </c>
      <c r="E73" s="38">
        <f>601357*1000000</f>
        <v>601357000000</v>
      </c>
      <c r="F73" s="38">
        <f>(1112969-247719-48991)*1000000</f>
        <v>816259000000</v>
      </c>
      <c r="G73" s="38">
        <f>5901298*1000000</f>
        <v>5901298000000</v>
      </c>
      <c r="H73" s="38">
        <f>397846*1000000</f>
        <v>397846000000</v>
      </c>
      <c r="I73" s="38">
        <f>5043700*1000000</f>
        <v>5043700000000</v>
      </c>
      <c r="J73" s="38">
        <f>-1078931*1000000</f>
        <v>-1078931000000</v>
      </c>
      <c r="K73" s="38">
        <f>857598*1000000</f>
        <v>857598000000</v>
      </c>
      <c r="L73" s="38">
        <f>3346426*1000000</f>
        <v>3346426000000</v>
      </c>
      <c r="M73" s="38">
        <f>-85388*1000000</f>
        <v>-85388000000</v>
      </c>
      <c r="N73" s="38">
        <f>-77232*1000000</f>
        <v>-77232000000</v>
      </c>
      <c r="O73" s="39">
        <v>0.5</v>
      </c>
      <c r="P73" s="40" t="s">
        <v>193</v>
      </c>
      <c r="Q73" s="38">
        <v>2</v>
      </c>
      <c r="R73" s="38">
        <v>4</v>
      </c>
      <c r="S73" s="38">
        <v>6</v>
      </c>
      <c r="T73" s="38">
        <f t="shared" si="10"/>
        <v>10</v>
      </c>
      <c r="U73" s="42">
        <v>0</v>
      </c>
      <c r="V73" s="38">
        <v>0</v>
      </c>
      <c r="W73" s="38">
        <f t="shared" si="9"/>
        <v>0</v>
      </c>
      <c r="X73" s="38">
        <v>0</v>
      </c>
      <c r="Y73" s="37"/>
    </row>
    <row r="74" spans="1:25" s="31" customFormat="1" ht="15" customHeight="1" x14ac:dyDescent="0.3">
      <c r="A74" s="36"/>
      <c r="B74" s="37"/>
      <c r="C74" s="29"/>
      <c r="D74" s="37">
        <v>2020</v>
      </c>
      <c r="E74" s="38">
        <f>588417*1000000</f>
        <v>588417000000</v>
      </c>
      <c r="F74" s="38">
        <f>(1141065-309351-44975)*1000000</f>
        <v>786739000000</v>
      </c>
      <c r="G74" s="38">
        <f>6587066*1000000</f>
        <v>6587066000000</v>
      </c>
      <c r="H74" s="38">
        <f>582749*1000000</f>
        <v>582749000000</v>
      </c>
      <c r="I74" s="38">
        <f>5746720*1000000</f>
        <v>5746720000000</v>
      </c>
      <c r="J74" s="38">
        <f>-1110095*1000000</f>
        <v>-1110095000000</v>
      </c>
      <c r="K74" s="38">
        <f>840112*1000000</f>
        <v>840112000000</v>
      </c>
      <c r="L74" s="38">
        <f>3645793*1000000</f>
        <v>3645793000000</v>
      </c>
      <c r="M74" s="38">
        <f>-32278*1000000</f>
        <v>-32278000000</v>
      </c>
      <c r="N74" s="38">
        <f>-16497*1000000</f>
        <v>-16497000000</v>
      </c>
      <c r="O74" s="39">
        <v>0.49990000000000001</v>
      </c>
      <c r="P74" s="40" t="s">
        <v>194</v>
      </c>
      <c r="Q74" s="38">
        <v>2</v>
      </c>
      <c r="R74" s="38">
        <v>4</v>
      </c>
      <c r="S74" s="38">
        <v>4</v>
      </c>
      <c r="T74" s="38">
        <f t="shared" si="10"/>
        <v>8</v>
      </c>
      <c r="U74" s="42">
        <v>0</v>
      </c>
      <c r="V74" s="38">
        <v>0</v>
      </c>
      <c r="W74" s="38">
        <f t="shared" si="9"/>
        <v>0</v>
      </c>
      <c r="X74" s="38">
        <v>0</v>
      </c>
      <c r="Y74" s="37"/>
    </row>
    <row r="75" spans="1:25" s="31" customFormat="1" ht="15" customHeight="1" x14ac:dyDescent="0.3">
      <c r="A75" s="36"/>
      <c r="B75" s="37"/>
      <c r="C75" s="29"/>
      <c r="D75" s="37">
        <v>2021</v>
      </c>
      <c r="E75" s="38">
        <f>453748*1000000</f>
        <v>453748000000</v>
      </c>
      <c r="F75" s="38">
        <f>(1047115-242581-28401)*1000000</f>
        <v>776133000000</v>
      </c>
      <c r="G75" s="38">
        <f>7092935*1000000</f>
        <v>7092935000000</v>
      </c>
      <c r="H75" s="38">
        <f>386504*1000000</f>
        <v>386504000000</v>
      </c>
      <c r="I75" s="38">
        <f>6266517*1000000</f>
        <v>6266517000000</v>
      </c>
      <c r="J75" s="38">
        <f>-1112228*1000000</f>
        <v>-1112228000000</v>
      </c>
      <c r="K75" s="38">
        <f>826251*1000000</f>
        <v>826251000000</v>
      </c>
      <c r="L75" s="38">
        <f>5769733*1000000</f>
        <v>5769733000000</v>
      </c>
      <c r="M75" s="38">
        <f>-20542*1000000</f>
        <v>-20542000000</v>
      </c>
      <c r="N75" s="38">
        <f>-13860*1000000</f>
        <v>-13860000000</v>
      </c>
      <c r="O75" s="39">
        <v>0.49990000000000001</v>
      </c>
      <c r="P75" s="40" t="s">
        <v>194</v>
      </c>
      <c r="Q75" s="38">
        <v>2</v>
      </c>
      <c r="R75" s="38">
        <v>4</v>
      </c>
      <c r="S75" s="38">
        <v>4</v>
      </c>
      <c r="T75" s="38">
        <f t="shared" si="10"/>
        <v>8</v>
      </c>
      <c r="U75" s="42">
        <v>0</v>
      </c>
      <c r="V75" s="38">
        <v>0</v>
      </c>
      <c r="W75" s="38">
        <f t="shared" si="9"/>
        <v>0</v>
      </c>
      <c r="X75" s="38">
        <v>0</v>
      </c>
      <c r="Y75" s="37"/>
    </row>
    <row r="76" spans="1:25" s="31" customFormat="1" ht="15" customHeight="1" x14ac:dyDescent="0.3">
      <c r="A76" s="36"/>
      <c r="B76" s="37"/>
      <c r="C76" s="29"/>
      <c r="D76" s="37">
        <v>2022</v>
      </c>
      <c r="E76" s="38">
        <f>554809*1000000</f>
        <v>554809000000</v>
      </c>
      <c r="F76" s="38">
        <f>(1303496-390829-23546)*1000000</f>
        <v>889121000000</v>
      </c>
      <c r="G76" s="38">
        <f>7345755*1000000</f>
        <v>7345755000000</v>
      </c>
      <c r="H76" s="38">
        <f>673005*1000000</f>
        <v>673005000000</v>
      </c>
      <c r="I76" s="38">
        <f>6661879*1000000</f>
        <v>6661879000000</v>
      </c>
      <c r="J76" s="38">
        <f>-1245204*1000000</f>
        <v>-1245204000000</v>
      </c>
      <c r="K76" s="38">
        <f>683137*1000000</f>
        <v>683137000000</v>
      </c>
      <c r="L76" s="38">
        <f>5918222*1000000</f>
        <v>5918222000000</v>
      </c>
      <c r="M76" s="38">
        <f>-132881*1000000</f>
        <v>-132881000000</v>
      </c>
      <c r="N76" s="38">
        <f>-143113*1000000</f>
        <v>-143113000000</v>
      </c>
      <c r="O76" s="39">
        <v>0.49990000000000001</v>
      </c>
      <c r="P76" s="40" t="s">
        <v>194</v>
      </c>
      <c r="Q76" s="38">
        <v>2</v>
      </c>
      <c r="R76" s="38">
        <v>4</v>
      </c>
      <c r="S76" s="38">
        <v>5</v>
      </c>
      <c r="T76" s="38">
        <f t="shared" si="10"/>
        <v>9</v>
      </c>
      <c r="U76" s="42">
        <v>0</v>
      </c>
      <c r="V76" s="38">
        <f>4+(2*2)+(2*1)</f>
        <v>10</v>
      </c>
      <c r="W76" s="38">
        <f t="shared" si="9"/>
        <v>10</v>
      </c>
      <c r="X76" s="38">
        <f>5+(2*2)+(2*1)</f>
        <v>11</v>
      </c>
      <c r="Y76" s="37"/>
    </row>
    <row r="77" spans="1:25" s="31" customFormat="1" ht="15" customHeight="1" x14ac:dyDescent="0.3">
      <c r="A77" s="36"/>
      <c r="B77" s="37"/>
      <c r="C77" s="29"/>
      <c r="D77" s="37">
        <v>2023</v>
      </c>
      <c r="E77" s="38">
        <f>347200*1000000</f>
        <v>347200000000</v>
      </c>
      <c r="F77" s="38">
        <f>(1180449-520755-17148)*1000000</f>
        <v>642546000000</v>
      </c>
      <c r="G77" s="38">
        <f>7501061*1000000</f>
        <v>7501061000000</v>
      </c>
      <c r="H77" s="38">
        <f>840770*1000000</f>
        <v>840770000000</v>
      </c>
      <c r="I77" s="38">
        <f>6800327*1000000</f>
        <v>6800327000000</v>
      </c>
      <c r="J77" s="38">
        <f>-1230033*1000000</f>
        <v>-1230033000000</v>
      </c>
      <c r="K77" s="38">
        <f>699090*1000000</f>
        <v>699090000000</v>
      </c>
      <c r="L77" s="38">
        <f>6350888*1000000</f>
        <v>6350888000000</v>
      </c>
      <c r="M77" s="38">
        <f>1174*1000000</f>
        <v>1174000000</v>
      </c>
      <c r="N77" s="38">
        <f>15952*1000000</f>
        <v>15952000000</v>
      </c>
      <c r="O77" s="39">
        <v>0.49990000000000001</v>
      </c>
      <c r="P77" s="40" t="s">
        <v>194</v>
      </c>
      <c r="Q77" s="38">
        <v>2</v>
      </c>
      <c r="R77" s="38">
        <v>4</v>
      </c>
      <c r="S77" s="38">
        <v>5</v>
      </c>
      <c r="T77" s="38">
        <f t="shared" si="10"/>
        <v>9</v>
      </c>
      <c r="U77" s="42">
        <v>0</v>
      </c>
      <c r="V77" s="38">
        <v>0</v>
      </c>
      <c r="W77" s="38">
        <f t="shared" si="9"/>
        <v>0</v>
      </c>
      <c r="X77" s="38">
        <v>0</v>
      </c>
      <c r="Y77" s="37"/>
    </row>
    <row r="78" spans="1:25" s="31" customFormat="1" ht="15" customHeight="1" x14ac:dyDescent="0.3">
      <c r="A78" s="36"/>
      <c r="B78" s="37"/>
      <c r="C78" s="29"/>
      <c r="D78" s="37">
        <v>2024</v>
      </c>
      <c r="E78" s="38">
        <f>295483*1000000</f>
        <v>295483000000</v>
      </c>
      <c r="F78" s="38">
        <f>(744665-158615-20046)*1000000</f>
        <v>566004000000</v>
      </c>
      <c r="G78" s="38">
        <f>6806055*1000000</f>
        <v>6806055000000</v>
      </c>
      <c r="H78" s="38">
        <f>701500*1000000</f>
        <v>701500000000</v>
      </c>
      <c r="I78" s="38">
        <f>6056599*1000000</f>
        <v>6056599000000</v>
      </c>
      <c r="J78" s="38">
        <f>-1167798*1000000</f>
        <v>-1167798000000</v>
      </c>
      <c r="K78" s="38">
        <f>748206*1000000</f>
        <v>748206000000</v>
      </c>
      <c r="L78" s="38">
        <f>5855479*1000000</f>
        <v>5855479000000</v>
      </c>
      <c r="M78" s="38">
        <f>61283*1000000</f>
        <v>61283000000</v>
      </c>
      <c r="N78" s="38">
        <f>49115*1000000</f>
        <v>49115000000</v>
      </c>
      <c r="O78" s="39">
        <v>0.49990000000000001</v>
      </c>
      <c r="P78" s="40" t="s">
        <v>194</v>
      </c>
      <c r="Q78" s="38">
        <v>2</v>
      </c>
      <c r="R78" s="38">
        <v>4</v>
      </c>
      <c r="S78" s="38">
        <v>5</v>
      </c>
      <c r="T78" s="38">
        <f t="shared" si="10"/>
        <v>9</v>
      </c>
      <c r="U78" s="42">
        <v>0</v>
      </c>
      <c r="V78" s="38">
        <v>0</v>
      </c>
      <c r="W78" s="38">
        <f t="shared" si="9"/>
        <v>0</v>
      </c>
      <c r="X78" s="38">
        <v>0</v>
      </c>
      <c r="Y78" s="37"/>
    </row>
    <row r="79" spans="1:25" s="31" customFormat="1" ht="15" customHeight="1" x14ac:dyDescent="0.3">
      <c r="A79" s="36"/>
      <c r="B79" s="37">
        <v>8</v>
      </c>
      <c r="C79" s="29" t="s">
        <v>8</v>
      </c>
      <c r="D79" s="37">
        <v>2014</v>
      </c>
      <c r="E79" s="38"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f>17340*1000000</f>
        <v>17340000000</v>
      </c>
      <c r="M79" s="38">
        <v>0</v>
      </c>
      <c r="N79" s="38">
        <v>0</v>
      </c>
      <c r="O79" s="39">
        <v>0</v>
      </c>
      <c r="P79" s="40">
        <v>0</v>
      </c>
      <c r="Q79" s="38">
        <v>0</v>
      </c>
      <c r="R79" s="38">
        <v>0</v>
      </c>
      <c r="S79" s="38"/>
      <c r="T79" s="38">
        <v>0</v>
      </c>
      <c r="U79" s="41">
        <v>0</v>
      </c>
      <c r="V79" s="38">
        <v>0</v>
      </c>
      <c r="W79" s="38">
        <v>0</v>
      </c>
      <c r="X79" s="38">
        <v>0</v>
      </c>
      <c r="Y79" s="37"/>
    </row>
    <row r="80" spans="1:25" s="31" customFormat="1" ht="15" customHeight="1" x14ac:dyDescent="0.3">
      <c r="A80" s="36"/>
      <c r="B80" s="37"/>
      <c r="C80" s="29"/>
      <c r="D80" s="37">
        <v>2015</v>
      </c>
      <c r="E80" s="38">
        <f>10832*1000000</f>
        <v>10832000000</v>
      </c>
      <c r="F80" s="38">
        <f>(78282-43592-7624-8516)*1000000</f>
        <v>18550000000</v>
      </c>
      <c r="G80" s="38">
        <f>281282*1000000</f>
        <v>281282000000</v>
      </c>
      <c r="H80" s="38">
        <f>15519*1000000</f>
        <v>15519000000</v>
      </c>
      <c r="I80" s="38">
        <f>52698*1000000</f>
        <v>52698000000</v>
      </c>
      <c r="J80" s="38">
        <f>-31416*1000000</f>
        <v>-31416000000</v>
      </c>
      <c r="K80" s="38">
        <f>228584*1000000</f>
        <v>228584000000</v>
      </c>
      <c r="L80" s="38">
        <f>108628*1000000</f>
        <v>108628000000</v>
      </c>
      <c r="M80" s="38">
        <f>-41004*1000000</f>
        <v>-41004000000</v>
      </c>
      <c r="N80" s="38">
        <f>-27031*1000000</f>
        <v>-27031000000</v>
      </c>
      <c r="O80" s="39">
        <v>0.99990000000000001</v>
      </c>
      <c r="P80" s="40" t="s">
        <v>195</v>
      </c>
      <c r="Q80" s="38">
        <v>2</v>
      </c>
      <c r="R80" s="38">
        <v>4</v>
      </c>
      <c r="S80" s="38"/>
      <c r="T80" s="38">
        <v>8</v>
      </c>
      <c r="U80" s="42">
        <v>0</v>
      </c>
      <c r="V80" s="38">
        <v>0</v>
      </c>
      <c r="W80" s="38">
        <v>0</v>
      </c>
      <c r="X80" s="38">
        <v>0</v>
      </c>
      <c r="Y80" s="37"/>
    </row>
    <row r="81" spans="1:25" s="31" customFormat="1" ht="15" customHeight="1" x14ac:dyDescent="0.3">
      <c r="A81" s="36"/>
      <c r="B81" s="37"/>
      <c r="C81" s="29"/>
      <c r="D81" s="37">
        <v>2016</v>
      </c>
      <c r="E81" s="38">
        <f>9355*1000000</f>
        <v>9355000000</v>
      </c>
      <c r="F81" s="38">
        <f>(121639-59065-5251-7727)*1000000</f>
        <v>49596000000</v>
      </c>
      <c r="G81" s="38">
        <f>385447*1000000</f>
        <v>385447000000</v>
      </c>
      <c r="H81" s="38">
        <f>44397*1000000</f>
        <v>44397000000</v>
      </c>
      <c r="I81" s="38">
        <f>181020*1000000</f>
        <v>181020000000</v>
      </c>
      <c r="J81" s="38">
        <f>-54891*1000000</f>
        <v>-54891000000</v>
      </c>
      <c r="K81" s="38">
        <f>204426*1000000</f>
        <v>204426000000</v>
      </c>
      <c r="L81" s="38">
        <f>289387*1000000</f>
        <v>289387000000</v>
      </c>
      <c r="M81" s="38">
        <f>-37138*1000000</f>
        <v>-37138000000</v>
      </c>
      <c r="N81" s="38">
        <f>-24158*1000000</f>
        <v>-24158000000</v>
      </c>
      <c r="O81" s="39">
        <v>0.99990000000000001</v>
      </c>
      <c r="P81" s="40" t="s">
        <v>195</v>
      </c>
      <c r="Q81" s="38">
        <v>1</v>
      </c>
      <c r="R81" s="38">
        <v>3</v>
      </c>
      <c r="S81" s="38"/>
      <c r="T81" s="38">
        <v>7</v>
      </c>
      <c r="U81" s="42">
        <v>0</v>
      </c>
      <c r="V81" s="38">
        <v>0</v>
      </c>
      <c r="W81" s="38">
        <v>0</v>
      </c>
      <c r="X81" s="38">
        <v>0</v>
      </c>
      <c r="Y81" s="37"/>
    </row>
    <row r="82" spans="1:25" s="31" customFormat="1" ht="15" customHeight="1" x14ac:dyDescent="0.3">
      <c r="A82" s="36"/>
      <c r="B82" s="37"/>
      <c r="C82" s="29"/>
      <c r="D82" s="37">
        <v>2017</v>
      </c>
      <c r="E82" s="38">
        <f>9023*1000000</f>
        <v>9023000000</v>
      </c>
      <c r="F82" s="38">
        <f>(151743-57503-8093)*1000000</f>
        <v>86147000000</v>
      </c>
      <c r="G82" s="38">
        <f>842122*1000000</f>
        <v>842122000000</v>
      </c>
      <c r="H82" s="38">
        <f>96254*1000000</f>
        <v>96254000000</v>
      </c>
      <c r="I82" s="38">
        <f>375260*1000000</f>
        <v>375260000000</v>
      </c>
      <c r="J82" s="38">
        <f>-98219*1000000</f>
        <v>-98219000000</v>
      </c>
      <c r="K82" s="38">
        <f>466862*1000000</f>
        <v>466862000000</v>
      </c>
      <c r="L82" s="38">
        <f>445563*1000000</f>
        <v>445563000000</v>
      </c>
      <c r="M82" s="38">
        <f>-58814*1000000</f>
        <v>-58814000000</v>
      </c>
      <c r="N82" s="38">
        <f>-37565*1000000</f>
        <v>-37565000000</v>
      </c>
      <c r="O82" s="39">
        <v>0.9</v>
      </c>
      <c r="P82" s="40" t="s">
        <v>195</v>
      </c>
      <c r="Q82" s="38">
        <v>0</v>
      </c>
      <c r="R82" s="38">
        <v>4</v>
      </c>
      <c r="S82" s="38"/>
      <c r="T82" s="38">
        <v>7</v>
      </c>
      <c r="U82" s="42">
        <v>0</v>
      </c>
      <c r="V82" s="38">
        <v>0</v>
      </c>
      <c r="W82" s="38">
        <v>0</v>
      </c>
      <c r="X82" s="38">
        <v>0</v>
      </c>
      <c r="Y82" s="37"/>
    </row>
    <row r="83" spans="1:25" s="31" customFormat="1" ht="15" customHeight="1" x14ac:dyDescent="0.3">
      <c r="A83" s="36"/>
      <c r="B83" s="37"/>
      <c r="C83" s="29"/>
      <c r="D83" s="37">
        <v>2018</v>
      </c>
      <c r="E83" s="38">
        <f>2165*1000000</f>
        <v>2165000000</v>
      </c>
      <c r="F83" s="38">
        <f>(80317-20217-3466)*1000000</f>
        <v>56634000000</v>
      </c>
      <c r="G83" s="38">
        <f>902876*1000000</f>
        <v>902876000000</v>
      </c>
      <c r="H83" s="38">
        <f>62173*1000000</f>
        <v>62173000000</v>
      </c>
      <c r="I83" s="38">
        <f>514818*1000000</f>
        <v>514818000000</v>
      </c>
      <c r="J83" s="38">
        <f>-166505*1000000</f>
        <v>-166505000000</v>
      </c>
      <c r="K83" s="38">
        <f>388058*1000000</f>
        <v>388058000000</v>
      </c>
      <c r="L83" s="38">
        <f>585605*1000000</f>
        <v>585605000000</v>
      </c>
      <c r="M83" s="38">
        <f>-25377*1000000</f>
        <v>-25377000000</v>
      </c>
      <c r="N83" s="38">
        <f>-78803*1000000</f>
        <v>-78803000000</v>
      </c>
      <c r="O83" s="39">
        <v>0.9</v>
      </c>
      <c r="P83" s="40" t="s">
        <v>195</v>
      </c>
      <c r="Q83" s="38">
        <v>0</v>
      </c>
      <c r="R83" s="38">
        <v>4</v>
      </c>
      <c r="S83" s="38"/>
      <c r="T83" s="38">
        <v>7</v>
      </c>
      <c r="U83" s="42">
        <v>0</v>
      </c>
      <c r="V83" s="38">
        <v>0</v>
      </c>
      <c r="W83" s="38">
        <v>0</v>
      </c>
      <c r="X83" s="38">
        <v>0</v>
      </c>
      <c r="Y83" s="37"/>
    </row>
    <row r="84" spans="1:25" s="31" customFormat="1" ht="15" customHeight="1" x14ac:dyDescent="0.3">
      <c r="A84" s="36"/>
      <c r="B84" s="37"/>
      <c r="C84" s="29"/>
      <c r="D84" s="37">
        <v>2019</v>
      </c>
      <c r="E84" s="38">
        <f>5650*1000000</f>
        <v>5650000000</v>
      </c>
      <c r="F84" s="38">
        <f>(111186-18737-6693)*1000000</f>
        <v>85756000000</v>
      </c>
      <c r="G84" s="38">
        <f>1154689*1000000</f>
        <v>1154689000000</v>
      </c>
      <c r="H84" s="38">
        <f>76452*1000000</f>
        <v>76452000000</v>
      </c>
      <c r="I84" s="38">
        <f>753776*1000000</f>
        <v>753776000000</v>
      </c>
      <c r="J84" s="38">
        <f>-169045*1000000</f>
        <v>-169045000000</v>
      </c>
      <c r="K84" s="38">
        <f>400913*1000000</f>
        <v>400913000000</v>
      </c>
      <c r="L84" s="38">
        <f>800269*1000000</f>
        <v>800269000000</v>
      </c>
      <c r="M84" s="38">
        <f>-3158*1000000</f>
        <v>-3158000000</v>
      </c>
      <c r="N84" s="38">
        <f>12855*1000000</f>
        <v>12855000000</v>
      </c>
      <c r="O84" s="39">
        <v>0.9</v>
      </c>
      <c r="P84" s="40" t="s">
        <v>195</v>
      </c>
      <c r="Q84" s="38">
        <v>0</v>
      </c>
      <c r="R84" s="38">
        <v>4</v>
      </c>
      <c r="S84" s="38"/>
      <c r="T84" s="38">
        <v>7</v>
      </c>
      <c r="U84" s="42">
        <v>0</v>
      </c>
      <c r="V84" s="38">
        <v>0</v>
      </c>
      <c r="W84" s="38">
        <v>0</v>
      </c>
      <c r="X84" s="38">
        <v>0</v>
      </c>
      <c r="Y84" s="37"/>
    </row>
    <row r="85" spans="1:25" s="31" customFormat="1" ht="15" customHeight="1" x14ac:dyDescent="0.3">
      <c r="A85" s="36"/>
      <c r="B85" s="37"/>
      <c r="C85" s="29"/>
      <c r="D85" s="37">
        <v>2020</v>
      </c>
      <c r="E85" s="38">
        <f>13881*1000000</f>
        <v>13881000000</v>
      </c>
      <c r="F85" s="38">
        <f>(179911-36903-8086)*1000000</f>
        <v>134922000000</v>
      </c>
      <c r="G85" s="38">
        <f>1467896*1000000</f>
        <v>1467896000000</v>
      </c>
      <c r="H85" s="38">
        <f>89869*1000000</f>
        <v>89869000000</v>
      </c>
      <c r="I85" s="38">
        <f>975453*1000000</f>
        <v>975453000000</v>
      </c>
      <c r="J85" s="38">
        <f>-99137*1000000</f>
        <v>-99137000000</v>
      </c>
      <c r="K85" s="38">
        <f>492443*1000000</f>
        <v>492443000000</v>
      </c>
      <c r="L85" s="38">
        <f>991129*1000000</f>
        <v>991129000000</v>
      </c>
      <c r="M85" s="38">
        <f>69848*1000000</f>
        <v>69848000000</v>
      </c>
      <c r="N85" s="38">
        <f>91530*1000000</f>
        <v>91530000000</v>
      </c>
      <c r="O85" s="39">
        <v>0.9</v>
      </c>
      <c r="P85" s="40" t="s">
        <v>195</v>
      </c>
      <c r="Q85" s="38">
        <v>0</v>
      </c>
      <c r="R85" s="38">
        <v>4</v>
      </c>
      <c r="S85" s="38"/>
      <c r="T85" s="38">
        <v>8</v>
      </c>
      <c r="U85" s="42">
        <v>0</v>
      </c>
      <c r="V85" s="38">
        <v>0</v>
      </c>
      <c r="W85" s="38">
        <v>0</v>
      </c>
      <c r="X85" s="38">
        <v>0</v>
      </c>
      <c r="Y85" s="37"/>
    </row>
    <row r="86" spans="1:25" s="31" customFormat="1" ht="15" customHeight="1" x14ac:dyDescent="0.3">
      <c r="A86" s="36"/>
      <c r="B86" s="37"/>
      <c r="C86" s="29"/>
      <c r="D86" s="37">
        <v>2021</v>
      </c>
      <c r="E86" s="38">
        <f>2873*1000000</f>
        <v>2873000000</v>
      </c>
      <c r="F86" s="38">
        <f>(408826-70546-18011)*1000000</f>
        <v>320269000000</v>
      </c>
      <c r="G86" s="38">
        <f>1930213*1000000</f>
        <v>1930213000000</v>
      </c>
      <c r="H86" s="38">
        <f>84761*1000000</f>
        <v>84761000000</v>
      </c>
      <c r="I86" s="38">
        <f>1397617*1000000</f>
        <v>1397617000000</v>
      </c>
      <c r="J86" s="38">
        <f>-61258*1000000</f>
        <v>-61258000000</v>
      </c>
      <c r="K86" s="38">
        <f>532596*1000000</f>
        <v>532596000000</v>
      </c>
      <c r="L86" s="38">
        <f>1316137*1000000</f>
        <v>1316137000000</v>
      </c>
      <c r="M86" s="38">
        <f>17594*1000000</f>
        <v>17594000000</v>
      </c>
      <c r="N86" s="38">
        <f>40152*1000000</f>
        <v>40152000000</v>
      </c>
      <c r="O86" s="39">
        <v>0.9</v>
      </c>
      <c r="P86" s="40" t="s">
        <v>195</v>
      </c>
      <c r="Q86" s="38">
        <v>2</v>
      </c>
      <c r="R86" s="38">
        <v>4</v>
      </c>
      <c r="S86" s="38"/>
      <c r="T86" s="38">
        <v>9</v>
      </c>
      <c r="U86" s="42">
        <v>0</v>
      </c>
      <c r="V86" s="38">
        <v>0</v>
      </c>
      <c r="W86" s="38">
        <v>0</v>
      </c>
      <c r="X86" s="38">
        <v>0</v>
      </c>
      <c r="Y86" s="37"/>
    </row>
    <row r="87" spans="1:25" s="31" customFormat="1" ht="15" customHeight="1" x14ac:dyDescent="0.3">
      <c r="A87" s="36"/>
      <c r="B87" s="37"/>
      <c r="C87" s="29"/>
      <c r="D87" s="37">
        <v>2022</v>
      </c>
      <c r="E87" s="38">
        <f>7230*1000000</f>
        <v>7230000000</v>
      </c>
      <c r="F87" s="38">
        <f>(306869-63245-15644)*1000000</f>
        <v>227980000000</v>
      </c>
      <c r="G87" s="38">
        <f>2347921*1000000</f>
        <v>2347921000000</v>
      </c>
      <c r="H87" s="38">
        <f>117537*1000000</f>
        <v>117537000000</v>
      </c>
      <c r="I87" s="38">
        <f>1688561*1000000</f>
        <v>1688561000000</v>
      </c>
      <c r="J87" s="38">
        <f>-2661*1000000</f>
        <v>-2661000000</v>
      </c>
      <c r="K87" s="38">
        <f>659360*1000000</f>
        <v>659360000000</v>
      </c>
      <c r="L87" s="38">
        <f>1382687*1000000</f>
        <v>1382687000000</v>
      </c>
      <c r="M87" s="38">
        <f>54204*1000000</f>
        <v>54204000000</v>
      </c>
      <c r="N87" s="38">
        <f>51764*1000000</f>
        <v>51764000000</v>
      </c>
      <c r="O87" s="39">
        <v>0.9</v>
      </c>
      <c r="P87" s="40" t="s">
        <v>195</v>
      </c>
      <c r="Q87" s="38">
        <v>2</v>
      </c>
      <c r="R87" s="38">
        <v>4</v>
      </c>
      <c r="S87" s="38"/>
      <c r="T87" s="38">
        <v>8</v>
      </c>
      <c r="U87" s="42">
        <v>0</v>
      </c>
      <c r="V87" s="38">
        <v>0</v>
      </c>
      <c r="W87" s="38">
        <v>0</v>
      </c>
      <c r="X87" s="38">
        <v>0</v>
      </c>
      <c r="Y87" s="37"/>
    </row>
    <row r="88" spans="1:25" s="31" customFormat="1" ht="15" customHeight="1" x14ac:dyDescent="0.3">
      <c r="A88" s="36"/>
      <c r="B88" s="37"/>
      <c r="C88" s="29"/>
      <c r="D88" s="37">
        <v>2023</v>
      </c>
      <c r="E88" s="38">
        <f>3676*1000000</f>
        <v>3676000000</v>
      </c>
      <c r="F88" s="38">
        <f>(352759-93495-15477)*1000000</f>
        <v>243787000000</v>
      </c>
      <c r="G88" s="38">
        <f>2878724*1000000</f>
        <v>2878724000000</v>
      </c>
      <c r="H88" s="38">
        <f>132809*1000000</f>
        <v>132809000000</v>
      </c>
      <c r="I88" s="38">
        <f>2148138*1000000</f>
        <v>2148138000000</v>
      </c>
      <c r="J88" s="38">
        <f>76793*1000000</f>
        <v>76793000000</v>
      </c>
      <c r="K88" s="38">
        <f>730586*1000000</f>
        <v>730586000000</v>
      </c>
      <c r="L88" s="38">
        <f>1576409*1000000</f>
        <v>1576409000000</v>
      </c>
      <c r="M88" s="38">
        <f>69991*1000000</f>
        <v>69991000000</v>
      </c>
      <c r="N88" s="38">
        <f>71227*1000000</f>
        <v>71227000000</v>
      </c>
      <c r="O88" s="39">
        <v>0.9</v>
      </c>
      <c r="P88" s="40" t="s">
        <v>195</v>
      </c>
      <c r="Q88" s="38">
        <v>2</v>
      </c>
      <c r="R88" s="38">
        <v>4</v>
      </c>
      <c r="S88" s="38"/>
      <c r="T88" s="38">
        <v>8</v>
      </c>
      <c r="U88" s="42">
        <v>0</v>
      </c>
      <c r="V88" s="38">
        <v>0</v>
      </c>
      <c r="W88" s="38">
        <v>0</v>
      </c>
      <c r="X88" s="38">
        <v>0</v>
      </c>
      <c r="Y88" s="37"/>
    </row>
    <row r="89" spans="1:25" s="31" customFormat="1" ht="15" customHeight="1" x14ac:dyDescent="0.3">
      <c r="A89" s="36"/>
      <c r="B89" s="37"/>
      <c r="C89" s="29"/>
      <c r="D89" s="37">
        <v>2024</v>
      </c>
      <c r="E89" s="38">
        <f>2728*1000000</f>
        <v>2728000000</v>
      </c>
      <c r="F89" s="38">
        <f>(334411-92892-15578)*1000000</f>
        <v>225941000000</v>
      </c>
      <c r="G89" s="38">
        <f>3339666*1000000</f>
        <v>3339666000000</v>
      </c>
      <c r="H89" s="38">
        <f>97813*1000000</f>
        <v>97813000000</v>
      </c>
      <c r="I89" s="38">
        <f>2525508*1000000</f>
        <v>2525508000000</v>
      </c>
      <c r="J89" s="38">
        <f>170342*1000000</f>
        <v>170342000000</v>
      </c>
      <c r="K89" s="38">
        <f>814158*1000000</f>
        <v>814158000000</v>
      </c>
      <c r="L89" s="38">
        <f>1481484*1000000</f>
        <v>1481484000000</v>
      </c>
      <c r="M89" s="38">
        <f>90398*1000000</f>
        <v>90398000000</v>
      </c>
      <c r="N89" s="38">
        <f>83571*1000000</f>
        <v>83571000000</v>
      </c>
      <c r="O89" s="39">
        <v>0.9</v>
      </c>
      <c r="P89" s="40" t="s">
        <v>195</v>
      </c>
      <c r="Q89" s="38">
        <v>2</v>
      </c>
      <c r="R89" s="38">
        <v>4</v>
      </c>
      <c r="S89" s="38"/>
      <c r="T89" s="38">
        <v>8</v>
      </c>
      <c r="U89" s="42">
        <v>0</v>
      </c>
      <c r="V89" s="38">
        <v>0</v>
      </c>
      <c r="W89" s="38">
        <v>0</v>
      </c>
      <c r="X89" s="38">
        <v>0</v>
      </c>
      <c r="Y89" s="37"/>
    </row>
    <row r="90" spans="1:25" s="31" customFormat="1" ht="15" customHeight="1" x14ac:dyDescent="0.3">
      <c r="A90" s="36"/>
      <c r="B90" s="37">
        <v>9</v>
      </c>
      <c r="C90" s="29" t="s">
        <v>11</v>
      </c>
      <c r="D90" s="37">
        <v>2014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f>1111447*1000000</f>
        <v>1111447000000</v>
      </c>
      <c r="M90" s="38">
        <v>0</v>
      </c>
      <c r="N90" s="38">
        <v>0</v>
      </c>
      <c r="O90" s="39">
        <v>0</v>
      </c>
      <c r="P90" s="40">
        <v>0</v>
      </c>
      <c r="Q90" s="38">
        <v>0</v>
      </c>
      <c r="R90" s="38">
        <v>0</v>
      </c>
      <c r="S90" s="38"/>
      <c r="T90" s="38">
        <v>0</v>
      </c>
      <c r="U90" s="41">
        <v>0</v>
      </c>
      <c r="V90" s="38"/>
      <c r="W90" s="38">
        <f>V90</f>
        <v>0</v>
      </c>
      <c r="X90" s="38"/>
      <c r="Y90" s="37"/>
    </row>
    <row r="91" spans="1:25" s="31" customFormat="1" ht="15" customHeight="1" x14ac:dyDescent="0.3">
      <c r="A91" s="36"/>
      <c r="B91" s="37"/>
      <c r="C91" s="29"/>
      <c r="D91" s="37">
        <v>2015</v>
      </c>
      <c r="E91" s="38">
        <f>9150*1000000</f>
        <v>9150000000</v>
      </c>
      <c r="F91" s="38">
        <f>176774*1000000</f>
        <v>176774000000</v>
      </c>
      <c r="G91" s="38">
        <f>4598462*1000000</f>
        <v>4598462000000</v>
      </c>
      <c r="H91" s="38">
        <f>(10450+15847+2039+33708)*1000000</f>
        <v>62044000000</v>
      </c>
      <c r="I91" s="38">
        <f>2852326*1000000</f>
        <v>2852326000000</v>
      </c>
      <c r="J91" s="38">
        <f>664287*1000000</f>
        <v>664287000000</v>
      </c>
      <c r="K91" s="38">
        <f>1729967*1000000</f>
        <v>1729967000000</v>
      </c>
      <c r="L91" s="38">
        <f>1157281*1000000</f>
        <v>1157281000000</v>
      </c>
      <c r="M91" s="38">
        <f>50463*1000000</f>
        <v>50463000000</v>
      </c>
      <c r="N91" s="38">
        <f>-187450*1000000</f>
        <v>-187450000000</v>
      </c>
      <c r="O91" s="39">
        <v>0.99990000000000001</v>
      </c>
      <c r="P91" s="40" t="s">
        <v>76</v>
      </c>
      <c r="Q91" s="38">
        <v>2</v>
      </c>
      <c r="R91" s="38">
        <v>4</v>
      </c>
      <c r="S91" s="38"/>
      <c r="T91" s="38">
        <v>6</v>
      </c>
      <c r="U91" s="42">
        <f>0.00001</f>
        <v>1.0000000000000001E-5</v>
      </c>
      <c r="V91" s="38">
        <v>0</v>
      </c>
      <c r="W91" s="38">
        <v>0</v>
      </c>
      <c r="X91" s="38">
        <v>0</v>
      </c>
      <c r="Y91" s="37"/>
    </row>
    <row r="92" spans="1:25" s="31" customFormat="1" ht="15" customHeight="1" x14ac:dyDescent="0.3">
      <c r="A92" s="36"/>
      <c r="B92" s="37"/>
      <c r="C92" s="29"/>
      <c r="D92" s="37">
        <v>2016</v>
      </c>
      <c r="E92" s="38">
        <f>99955*1000000</f>
        <v>99955000000</v>
      </c>
      <c r="F92" s="38">
        <f>(9995+31616+27408+25381+14880+14880+21185)*1000000</f>
        <v>145345000000</v>
      </c>
      <c r="G92" s="38">
        <f>5298273*1000000</f>
        <v>5298273000000</v>
      </c>
      <c r="H92" s="38">
        <f>374125*1000000</f>
        <v>374125000000</v>
      </c>
      <c r="I92" s="38">
        <f>3397124*1000000</f>
        <v>3397124000000</v>
      </c>
      <c r="J92" s="38">
        <f>853948*1000000</f>
        <v>853948000000</v>
      </c>
      <c r="K92" s="38">
        <f>1901149*1000000</f>
        <v>1901149000000</v>
      </c>
      <c r="L92" s="38">
        <f>1932573*1000000</f>
        <v>1932573000000</v>
      </c>
      <c r="M92" s="38">
        <f>222436*1000000</f>
        <v>222436000000</v>
      </c>
      <c r="N92" s="38">
        <f>201331*1000000</f>
        <v>201331000000</v>
      </c>
      <c r="O92" s="39">
        <v>0.99</v>
      </c>
      <c r="P92" s="40" t="s">
        <v>76</v>
      </c>
      <c r="Q92" s="38">
        <v>2</v>
      </c>
      <c r="R92" s="38">
        <v>4</v>
      </c>
      <c r="S92" s="38"/>
      <c r="T92" s="38">
        <v>7</v>
      </c>
      <c r="U92" s="42">
        <f>0.00001</f>
        <v>1.0000000000000001E-5</v>
      </c>
      <c r="V92" s="38">
        <v>0</v>
      </c>
      <c r="W92" s="38">
        <v>0</v>
      </c>
      <c r="X92" s="38">
        <v>0</v>
      </c>
      <c r="Y92" s="37"/>
    </row>
    <row r="93" spans="1:25" s="31" customFormat="1" ht="15" customHeight="1" x14ac:dyDescent="0.3">
      <c r="A93" s="36"/>
      <c r="B93" s="37"/>
      <c r="C93" s="29"/>
      <c r="D93" s="37">
        <v>2017</v>
      </c>
      <c r="E93" s="38">
        <f>19011*1000000</f>
        <v>19011000000</v>
      </c>
      <c r="F93" s="38">
        <f>(19011+46933+31668+22628+7034+24585)*1000000</f>
        <v>151859000000</v>
      </c>
      <c r="G93" s="38">
        <f>5618666*1000000</f>
        <v>5618666000000</v>
      </c>
      <c r="H93" s="38">
        <f>403817*1000000</f>
        <v>403817000000</v>
      </c>
      <c r="I93" s="38">
        <f>4348556*1000000</f>
        <v>4348556000000</v>
      </c>
      <c r="J93" s="38">
        <f>1098328*1000000</f>
        <v>1098328000000</v>
      </c>
      <c r="K93" s="38">
        <f>1270110*1000000</f>
        <v>1270110000000</v>
      </c>
      <c r="L93" s="38">
        <f>2584123*1000000</f>
        <v>2584123000000</v>
      </c>
      <c r="M93" s="38">
        <f>285079*1000000</f>
        <v>285079000000</v>
      </c>
      <c r="N93" s="38">
        <f>-590339*1000000</f>
        <v>-590339000000</v>
      </c>
      <c r="O93" s="39">
        <v>0.99</v>
      </c>
      <c r="P93" s="40" t="s">
        <v>76</v>
      </c>
      <c r="Q93" s="38">
        <v>2</v>
      </c>
      <c r="R93" s="38">
        <v>4</v>
      </c>
      <c r="S93" s="38"/>
      <c r="T93" s="38">
        <v>7</v>
      </c>
      <c r="U93" s="42">
        <f t="shared" ref="U93:U100" si="11">0.00001</f>
        <v>1.0000000000000001E-5</v>
      </c>
      <c r="V93" s="38">
        <v>0</v>
      </c>
      <c r="W93" s="38">
        <v>0</v>
      </c>
      <c r="X93" s="38">
        <v>0</v>
      </c>
      <c r="Y93" s="37"/>
    </row>
    <row r="94" spans="1:25" s="31" customFormat="1" ht="15" customHeight="1" x14ac:dyDescent="0.3">
      <c r="A94" s="36"/>
      <c r="B94" s="37"/>
      <c r="C94" s="29"/>
      <c r="D94" s="37">
        <v>2018</v>
      </c>
      <c r="E94" s="38">
        <f>14894*1000000</f>
        <v>14894000000</v>
      </c>
      <c r="F94" s="38">
        <f>(14894+33021+30709+25017+7034+27263)*1000000</f>
        <v>137938000000</v>
      </c>
      <c r="G94" s="38">
        <f>6696353*1000000</f>
        <v>6696353000000</v>
      </c>
      <c r="H94" s="38">
        <f>446855*1000000</f>
        <v>446855000000</v>
      </c>
      <c r="I94" s="38">
        <f>5300406*1000000</f>
        <v>5300406000000</v>
      </c>
      <c r="J94" s="38">
        <f>1164789*1000000</f>
        <v>1164789000000</v>
      </c>
      <c r="K94" s="38">
        <f>6696353*1000000</f>
        <v>6696353000000</v>
      </c>
      <c r="L94" s="38">
        <f>2626306*1000000</f>
        <v>2626306000000</v>
      </c>
      <c r="M94" s="38">
        <f>116022*1000000</f>
        <v>116022000000</v>
      </c>
      <c r="N94" s="38">
        <f>175397*1000000</f>
        <v>175397000000</v>
      </c>
      <c r="O94" s="39">
        <v>0.99</v>
      </c>
      <c r="P94" s="40" t="s">
        <v>76</v>
      </c>
      <c r="Q94" s="38">
        <v>2</v>
      </c>
      <c r="R94" s="38">
        <v>4</v>
      </c>
      <c r="S94" s="38"/>
      <c r="T94" s="38">
        <v>7</v>
      </c>
      <c r="U94" s="42">
        <f t="shared" si="11"/>
        <v>1.0000000000000001E-5</v>
      </c>
      <c r="V94" s="38">
        <v>0</v>
      </c>
      <c r="W94" s="38">
        <v>0</v>
      </c>
      <c r="X94" s="38">
        <v>0</v>
      </c>
      <c r="Y94" s="37"/>
    </row>
    <row r="95" spans="1:25" s="31" customFormat="1" ht="15" customHeight="1" x14ac:dyDescent="0.3">
      <c r="A95" s="36"/>
      <c r="B95" s="37"/>
      <c r="C95" s="29"/>
      <c r="D95" s="37">
        <v>2019</v>
      </c>
      <c r="E95" s="38">
        <f>13047*1000000</f>
        <v>13047000000</v>
      </c>
      <c r="F95" s="38">
        <f>(13047+22984+33663+26021+7034+27263)*1000000</f>
        <v>130012000000</v>
      </c>
      <c r="G95" s="38">
        <f>8158087*1000000</f>
        <v>8158087000000</v>
      </c>
      <c r="H95" s="38">
        <f>410765*1000000</f>
        <v>410765000000</v>
      </c>
      <c r="I95" s="38">
        <f>6383523*1000000</f>
        <v>6383523000000</v>
      </c>
      <c r="J95" s="38">
        <f>1347007*1000000</f>
        <v>1347007000000</v>
      </c>
      <c r="K95" s="38">
        <f>8158087*1000000</f>
        <v>8158087000000</v>
      </c>
      <c r="L95" s="38">
        <f>3015912*1000000</f>
        <v>3015912000000</v>
      </c>
      <c r="M95" s="38">
        <f>199761*1000000</f>
        <v>199761000000</v>
      </c>
      <c r="N95" s="38">
        <f>396160*1000000</f>
        <v>396160000000</v>
      </c>
      <c r="O95" s="39">
        <v>0.99</v>
      </c>
      <c r="P95" s="40" t="s">
        <v>76</v>
      </c>
      <c r="Q95" s="38">
        <v>2</v>
      </c>
      <c r="R95" s="38">
        <v>4</v>
      </c>
      <c r="S95" s="38"/>
      <c r="T95" s="38">
        <v>8</v>
      </c>
      <c r="U95" s="42">
        <f t="shared" si="11"/>
        <v>1.0000000000000001E-5</v>
      </c>
      <c r="V95" s="38">
        <v>0</v>
      </c>
      <c r="W95" s="38">
        <v>0</v>
      </c>
      <c r="X95" s="38">
        <v>0</v>
      </c>
      <c r="Y95" s="37"/>
    </row>
    <row r="96" spans="1:25" s="31" customFormat="1" ht="15" customHeight="1" x14ac:dyDescent="0.3">
      <c r="A96" s="36"/>
      <c r="B96" s="37"/>
      <c r="C96" s="29"/>
      <c r="D96" s="37">
        <v>2020</v>
      </c>
      <c r="E96" s="38">
        <f>17657*1000000</f>
        <v>17657000000</v>
      </c>
      <c r="F96" s="38">
        <f>(259309-42948-11604-62924)*1000000</f>
        <v>141833000000</v>
      </c>
      <c r="G96" s="38">
        <f>8569933*1000000</f>
        <v>8569933000000</v>
      </c>
      <c r="H96" s="38">
        <f>418551*1000000</f>
        <v>418551000000</v>
      </c>
      <c r="I96" s="38">
        <f>6749524*1000000</f>
        <v>6749524000000</v>
      </c>
      <c r="J96" s="38">
        <f>1562189*1000000</f>
        <v>1562189000000</v>
      </c>
      <c r="K96" s="38">
        <f>1820409*1000000</f>
        <v>1820409000000</v>
      </c>
      <c r="L96" s="38">
        <f>2727108*1000000</f>
        <v>2727108000000</v>
      </c>
      <c r="M96" s="38">
        <f>239948*1000000</f>
        <v>239948000000</v>
      </c>
      <c r="N96" s="38">
        <f>70612*1000000</f>
        <v>70612000000</v>
      </c>
      <c r="O96" s="39">
        <v>0.99</v>
      </c>
      <c r="P96" s="40" t="s">
        <v>76</v>
      </c>
      <c r="Q96" s="38">
        <v>2</v>
      </c>
      <c r="R96" s="38">
        <v>4</v>
      </c>
      <c r="S96" s="38"/>
      <c r="T96" s="38">
        <v>8</v>
      </c>
      <c r="U96" s="42">
        <f t="shared" si="11"/>
        <v>1.0000000000000001E-5</v>
      </c>
      <c r="V96" s="38">
        <v>0</v>
      </c>
      <c r="W96" s="38">
        <v>0</v>
      </c>
      <c r="X96" s="38">
        <v>0</v>
      </c>
      <c r="Y96" s="37"/>
    </row>
    <row r="97" spans="1:25" s="31" customFormat="1" ht="15" customHeight="1" x14ac:dyDescent="0.3">
      <c r="A97" s="36"/>
      <c r="B97" s="37"/>
      <c r="C97" s="29"/>
      <c r="D97" s="37">
        <v>2021</v>
      </c>
      <c r="E97" s="38">
        <f>12463*1000000</f>
        <v>12463000000</v>
      </c>
      <c r="F97" s="38">
        <f>(277746-31994-7385-65172)*1000000</f>
        <v>173195000000</v>
      </c>
      <c r="G97" s="38">
        <f>10111397*1000000</f>
        <v>10111397000000</v>
      </c>
      <c r="H97" s="38">
        <f>389107*1000000</f>
        <v>389107000000</v>
      </c>
      <c r="I97" s="38">
        <f>7169272*1000000</f>
        <v>7169272000000</v>
      </c>
      <c r="J97" s="38">
        <f>1710831*1000000</f>
        <v>1710831000000</v>
      </c>
      <c r="K97" s="38">
        <f>2942125*1000000</f>
        <v>2942125000000</v>
      </c>
      <c r="L97" s="38">
        <f>2794098*1000000</f>
        <v>2794098000000</v>
      </c>
      <c r="M97" s="38">
        <f>181449*1000000</f>
        <v>181449000000</v>
      </c>
      <c r="N97" s="38">
        <f>1154523*1000000</f>
        <v>1154523000000</v>
      </c>
      <c r="O97" s="39">
        <v>0.99</v>
      </c>
      <c r="P97" s="40" t="s">
        <v>76</v>
      </c>
      <c r="Q97" s="38">
        <v>2</v>
      </c>
      <c r="R97" s="38">
        <v>3</v>
      </c>
      <c r="S97" s="38"/>
      <c r="T97" s="38">
        <v>6</v>
      </c>
      <c r="U97" s="42">
        <f t="shared" si="11"/>
        <v>1.0000000000000001E-5</v>
      </c>
      <c r="V97" s="38">
        <v>0</v>
      </c>
      <c r="W97" s="38">
        <v>0</v>
      </c>
      <c r="X97" s="38">
        <v>0</v>
      </c>
      <c r="Y97" s="37"/>
    </row>
    <row r="98" spans="1:25" s="31" customFormat="1" ht="15" customHeight="1" x14ac:dyDescent="0.3">
      <c r="A98" s="36"/>
      <c r="B98" s="37"/>
      <c r="C98" s="29"/>
      <c r="D98" s="37">
        <v>2022</v>
      </c>
      <c r="E98" s="38">
        <f>31388*1000000</f>
        <v>31388000000</v>
      </c>
      <c r="F98" s="38">
        <f>(304682-20532-5619-60331)*1000000</f>
        <v>218200000000</v>
      </c>
      <c r="G98" s="38">
        <f>10357588*1000000</f>
        <v>10357588000000</v>
      </c>
      <c r="H98" s="38">
        <f>384877*1000000</f>
        <v>384877000000</v>
      </c>
      <c r="I98" s="38">
        <f>7279861*1000000</f>
        <v>7279861000000</v>
      </c>
      <c r="J98" s="38">
        <f>1889815*1000000</f>
        <v>1889815000000</v>
      </c>
      <c r="K98" s="38">
        <f>3077726*1000000</f>
        <v>3077726000000</v>
      </c>
      <c r="L98" s="38">
        <f>2587182*1000000</f>
        <v>2587182000000</v>
      </c>
      <c r="M98" s="38">
        <f>202189*1000000</f>
        <v>202189000000</v>
      </c>
      <c r="N98" s="38">
        <f>158806*1000000</f>
        <v>158806000000</v>
      </c>
      <c r="O98" s="39">
        <v>0.99</v>
      </c>
      <c r="P98" s="40" t="s">
        <v>76</v>
      </c>
      <c r="Q98" s="38">
        <v>2</v>
      </c>
      <c r="R98" s="38">
        <v>3</v>
      </c>
      <c r="S98" s="38"/>
      <c r="T98" s="38">
        <v>7</v>
      </c>
      <c r="U98" s="42">
        <f t="shared" si="11"/>
        <v>1.0000000000000001E-5</v>
      </c>
      <c r="V98" s="38">
        <v>0</v>
      </c>
      <c r="W98" s="38">
        <v>0</v>
      </c>
      <c r="X98" s="38">
        <v>0</v>
      </c>
      <c r="Y98" s="37"/>
    </row>
    <row r="99" spans="1:25" s="31" customFormat="1" ht="15" customHeight="1" x14ac:dyDescent="0.3">
      <c r="A99" s="36"/>
      <c r="B99" s="37"/>
      <c r="C99" s="29"/>
      <c r="D99" s="37">
        <v>2023</v>
      </c>
      <c r="E99" s="38">
        <f>14432*1000000</f>
        <v>14432000000</v>
      </c>
      <c r="F99" s="38">
        <f>(418686-22136-4442-55442)*1000000</f>
        <v>336666000000</v>
      </c>
      <c r="G99" s="38">
        <f>11033985*1000000</f>
        <v>11033985000000</v>
      </c>
      <c r="H99" s="38">
        <f>515004*1000000</f>
        <v>515004000000</v>
      </c>
      <c r="I99" s="38">
        <f>7874976*1000000</f>
        <v>7874976000000</v>
      </c>
      <c r="J99" s="38">
        <f>2067551*1000000</f>
        <v>2067551000000</v>
      </c>
      <c r="K99" s="38">
        <f>3159009*1000000</f>
        <v>3159009000000</v>
      </c>
      <c r="L99" s="38">
        <f>2996848*1000000</f>
        <v>2996848000000</v>
      </c>
      <c r="M99" s="38">
        <f>204143*1000000</f>
        <v>204143000000</v>
      </c>
      <c r="N99" s="38">
        <f>107690*1000000</f>
        <v>107690000000</v>
      </c>
      <c r="O99" s="39">
        <v>0.99</v>
      </c>
      <c r="P99" s="40" t="s">
        <v>76</v>
      </c>
      <c r="Q99" s="38">
        <v>2</v>
      </c>
      <c r="R99" s="38">
        <v>3</v>
      </c>
      <c r="S99" s="38"/>
      <c r="T99" s="38">
        <v>6</v>
      </c>
      <c r="U99" s="42">
        <f t="shared" si="11"/>
        <v>1.0000000000000001E-5</v>
      </c>
      <c r="V99" s="38">
        <v>0</v>
      </c>
      <c r="W99" s="38">
        <v>0</v>
      </c>
      <c r="X99" s="38">
        <v>0</v>
      </c>
      <c r="Y99" s="37"/>
    </row>
    <row r="100" spans="1:25" s="31" customFormat="1" ht="15" customHeight="1" x14ac:dyDescent="0.3">
      <c r="A100" s="36"/>
      <c r="B100" s="37"/>
      <c r="C100" s="29"/>
      <c r="D100" s="37">
        <v>2024</v>
      </c>
      <c r="E100" s="38">
        <f>65375*1000000</f>
        <v>65375000000</v>
      </c>
      <c r="F100" s="38">
        <f>(571434-31716-13827-56899)*1000000</f>
        <v>468992000000</v>
      </c>
      <c r="G100" s="38">
        <f>11181540*1000000</f>
        <v>11181540000000</v>
      </c>
      <c r="H100" s="38">
        <f>403540*1000000</f>
        <v>403540000000</v>
      </c>
      <c r="I100" s="38">
        <f>7771730*1000000</f>
        <v>7771730000000</v>
      </c>
      <c r="J100" s="38">
        <f>2276380*1000000</f>
        <v>2276380000000</v>
      </c>
      <c r="K100" s="38">
        <f>3409810*1000000</f>
        <v>3409810000000</v>
      </c>
      <c r="L100" s="38">
        <f>2435099*1000000</f>
        <v>2435099000000</v>
      </c>
      <c r="M100" s="38">
        <f>235293*1000000</f>
        <v>235293000000</v>
      </c>
      <c r="N100" s="38">
        <f>277265*1000000</f>
        <v>277265000000</v>
      </c>
      <c r="O100" s="39">
        <v>0.99</v>
      </c>
      <c r="P100" s="40" t="s">
        <v>76</v>
      </c>
      <c r="Q100" s="38">
        <v>2</v>
      </c>
      <c r="R100" s="38">
        <v>3</v>
      </c>
      <c r="S100" s="38"/>
      <c r="T100" s="38">
        <v>7</v>
      </c>
      <c r="U100" s="42">
        <f t="shared" si="11"/>
        <v>1.0000000000000001E-5</v>
      </c>
      <c r="V100" s="38">
        <v>0</v>
      </c>
      <c r="W100" s="38">
        <v>0</v>
      </c>
      <c r="X100" s="38">
        <v>0</v>
      </c>
      <c r="Y100" s="37"/>
    </row>
    <row r="101" spans="1:25" s="31" customFormat="1" ht="15" customHeight="1" x14ac:dyDescent="0.3">
      <c r="A101" s="36"/>
      <c r="B101" s="37">
        <v>10</v>
      </c>
      <c r="C101" s="29" t="s">
        <v>13</v>
      </c>
      <c r="D101" s="37">
        <v>2014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f>2037233*1000000</f>
        <v>2037233000000</v>
      </c>
      <c r="M101" s="38">
        <v>0</v>
      </c>
      <c r="N101" s="38">
        <v>0</v>
      </c>
      <c r="O101" s="39">
        <v>0</v>
      </c>
      <c r="P101" s="40">
        <v>0</v>
      </c>
      <c r="Q101" s="38">
        <v>0</v>
      </c>
      <c r="R101" s="38">
        <v>0</v>
      </c>
      <c r="S101" s="38"/>
      <c r="T101" s="38">
        <v>0</v>
      </c>
      <c r="U101" s="41">
        <v>0</v>
      </c>
      <c r="V101" s="38">
        <v>0</v>
      </c>
      <c r="W101" s="38">
        <v>0</v>
      </c>
      <c r="X101" s="38">
        <v>0</v>
      </c>
      <c r="Y101" s="37"/>
    </row>
    <row r="102" spans="1:25" s="31" customFormat="1" ht="15" customHeight="1" x14ac:dyDescent="0.3">
      <c r="A102" s="36"/>
      <c r="B102" s="37"/>
      <c r="C102" s="29"/>
      <c r="D102" s="37">
        <v>2015</v>
      </c>
      <c r="E102" s="38">
        <f>70831*1000000</f>
        <v>70831000000</v>
      </c>
      <c r="F102" s="38">
        <f>(70831+269560+2198+251325+2995+40277)*1000000</f>
        <v>637186000000</v>
      </c>
      <c r="G102" s="38">
        <f>4276820*1000000</f>
        <v>4276820000000</v>
      </c>
      <c r="H102" s="38">
        <f>(4373+37447+28784+227399+3122+106063+147103)*1000000</f>
        <v>554291000000</v>
      </c>
      <c r="I102" s="38">
        <f>3808764*1000000</f>
        <v>3808764000000</v>
      </c>
      <c r="J102" s="38">
        <f>-311346*1000000</f>
        <v>-311346000000</v>
      </c>
      <c r="K102" s="38">
        <f>468056*1000000</f>
        <v>468056000000</v>
      </c>
      <c r="L102" s="38">
        <f>1932086*1000000</f>
        <v>1932086000000</v>
      </c>
      <c r="M102" s="38">
        <f>-36259*1000000</f>
        <v>-36259000000</v>
      </c>
      <c r="N102" s="38">
        <f>-36816*1000000</f>
        <v>-36816000000</v>
      </c>
      <c r="O102" s="39">
        <v>0.9859</v>
      </c>
      <c r="P102" s="40" t="s">
        <v>196</v>
      </c>
      <c r="Q102" s="38">
        <v>2</v>
      </c>
      <c r="R102" s="38">
        <v>4</v>
      </c>
      <c r="S102" s="38"/>
      <c r="T102" s="38">
        <v>8</v>
      </c>
      <c r="U102" s="42">
        <v>0</v>
      </c>
      <c r="V102" s="38">
        <v>0</v>
      </c>
      <c r="W102" s="38">
        <v>0</v>
      </c>
      <c r="X102" s="38">
        <v>0</v>
      </c>
      <c r="Y102" s="37"/>
    </row>
    <row r="103" spans="1:25" s="31" customFormat="1" ht="15" customHeight="1" x14ac:dyDescent="0.3">
      <c r="A103" s="36"/>
      <c r="B103" s="37"/>
      <c r="C103" s="29"/>
      <c r="D103" s="37">
        <v>2016</v>
      </c>
      <c r="E103" s="38">
        <f>33914*1000000</f>
        <v>33914000000</v>
      </c>
      <c r="F103" s="38">
        <f>(33914+307473+5356+337124+12908+38661)*1000000</f>
        <v>735436000000</v>
      </c>
      <c r="G103" s="38">
        <f>5419377*1000000</f>
        <v>5419377000000</v>
      </c>
      <c r="H103" s="38">
        <f>(3280+54127+26784+214271+10411+186286+263280)*1000000</f>
        <v>758439000000</v>
      </c>
      <c r="I103" s="38">
        <f>4662827*1000000</f>
        <v>4662827000000</v>
      </c>
      <c r="J103" s="38">
        <f>-367751*1000000</f>
        <v>-367751000000</v>
      </c>
      <c r="K103" s="38">
        <f>756550*1000000</f>
        <v>756550000000</v>
      </c>
      <c r="L103" s="38">
        <f>2989563*1000000</f>
        <v>2989563000000</v>
      </c>
      <c r="M103" s="38">
        <f>-39756*1000000</f>
        <v>-39756000000</v>
      </c>
      <c r="N103" s="38">
        <f>-42161*1000000</f>
        <v>-42161000000</v>
      </c>
      <c r="O103" s="39">
        <v>0.98</v>
      </c>
      <c r="P103" s="40" t="s">
        <v>196</v>
      </c>
      <c r="Q103" s="38">
        <v>2</v>
      </c>
      <c r="R103" s="38">
        <v>3</v>
      </c>
      <c r="S103" s="38"/>
      <c r="T103" s="38">
        <v>7</v>
      </c>
      <c r="U103" s="42">
        <v>0</v>
      </c>
      <c r="V103" s="38">
        <v>0</v>
      </c>
      <c r="W103" s="38">
        <v>0</v>
      </c>
      <c r="X103" s="38">
        <v>0</v>
      </c>
      <c r="Y103" s="37"/>
    </row>
    <row r="104" spans="1:25" s="31" customFormat="1" ht="15" customHeight="1" x14ac:dyDescent="0.3">
      <c r="A104" s="36"/>
      <c r="B104" s="37"/>
      <c r="C104" s="29"/>
      <c r="D104" s="37">
        <v>2017</v>
      </c>
      <c r="E104" s="38">
        <f>117853*1000000</f>
        <v>117853000000</v>
      </c>
      <c r="F104" s="38">
        <f>(117853+375545+8605+492386+19684+44904)*1000000</f>
        <v>1058977000000</v>
      </c>
      <c r="G104" s="38">
        <f>6841389*1000000</f>
        <v>6841389000000</v>
      </c>
      <c r="H104" s="38">
        <f>(18328+96145+27184+319181+10409+173436+290636)*1000000</f>
        <v>935319000000</v>
      </c>
      <c r="I104" s="38">
        <f>5986467*1000000</f>
        <v>5986467000000</v>
      </c>
      <c r="J104" s="38">
        <f>-302130*1000000</f>
        <v>-302130000000</v>
      </c>
      <c r="K104" s="38">
        <f>854686*1000000</f>
        <v>854686000000</v>
      </c>
      <c r="L104" s="38">
        <f>3887694*1000000</f>
        <v>3887694000000</v>
      </c>
      <c r="M104" s="38">
        <f>76405*1000000</f>
        <v>76405000000</v>
      </c>
      <c r="N104" s="38">
        <f>86503*1000000</f>
        <v>86503000000</v>
      </c>
      <c r="O104" s="39">
        <v>0.98</v>
      </c>
      <c r="P104" s="40" t="s">
        <v>196</v>
      </c>
      <c r="Q104" s="38">
        <v>0</v>
      </c>
      <c r="R104" s="38">
        <v>3</v>
      </c>
      <c r="S104" s="38"/>
      <c r="T104" s="38">
        <v>7</v>
      </c>
      <c r="U104" s="42">
        <v>0</v>
      </c>
      <c r="V104" s="38">
        <v>0</v>
      </c>
      <c r="W104" s="38">
        <v>0</v>
      </c>
      <c r="X104" s="38">
        <v>0</v>
      </c>
      <c r="Y104" s="37"/>
    </row>
    <row r="105" spans="1:25" s="31" customFormat="1" ht="15" customHeight="1" x14ac:dyDescent="0.3">
      <c r="A105" s="36"/>
      <c r="B105" s="37"/>
      <c r="C105" s="29"/>
      <c r="D105" s="37">
        <v>2018</v>
      </c>
      <c r="E105" s="38">
        <f>87247*1000000</f>
        <v>87247000000</v>
      </c>
      <c r="F105" s="38">
        <f>(87247+355708+11371+529416+29898+57470)*1000000</f>
        <v>1071110000000</v>
      </c>
      <c r="G105" s="38">
        <f>6994875*1000000</f>
        <v>6994875000000</v>
      </c>
      <c r="H105" s="38">
        <f>(1804+139815+20273+304517+26243+217707+353360)*1000000</f>
        <v>1063719000000</v>
      </c>
      <c r="I105" s="38">
        <f>5972519*1000000</f>
        <v>5972519000000</v>
      </c>
      <c r="J105" s="38">
        <f>-114628*1000000</f>
        <v>-114628000000</v>
      </c>
      <c r="K105" s="38">
        <f>1016575*1000000</f>
        <v>1016575000000</v>
      </c>
      <c r="L105" s="38">
        <f>2980509*1000000</f>
        <v>2980509000000</v>
      </c>
      <c r="M105" s="38">
        <f>145375*1000000</f>
        <v>145375000000</v>
      </c>
      <c r="N105" s="38">
        <f xml:space="preserve"> 152236*1000000</f>
        <v>152236000000</v>
      </c>
      <c r="O105" s="39">
        <v>0.98</v>
      </c>
      <c r="P105" s="40" t="s">
        <v>196</v>
      </c>
      <c r="Q105" s="38">
        <v>0</v>
      </c>
      <c r="R105" s="38">
        <v>3</v>
      </c>
      <c r="S105" s="38"/>
      <c r="T105" s="38">
        <v>7</v>
      </c>
      <c r="U105" s="42">
        <v>0</v>
      </c>
      <c r="V105" s="38">
        <v>0</v>
      </c>
      <c r="W105" s="38">
        <v>0</v>
      </c>
      <c r="X105" s="38">
        <v>0</v>
      </c>
      <c r="Y105" s="37"/>
    </row>
    <row r="106" spans="1:25" s="31" customFormat="1" ht="15" customHeight="1" x14ac:dyDescent="0.3">
      <c r="A106" s="36"/>
      <c r="B106" s="37"/>
      <c r="C106" s="29"/>
      <c r="D106" s="37">
        <v>2019</v>
      </c>
      <c r="E106" s="38">
        <f>44205*1000000</f>
        <v>44205000000</v>
      </c>
      <c r="F106" s="38">
        <f>(44205+223655+15922+748772+57952+107786)*1000000</f>
        <v>1198292000000</v>
      </c>
      <c r="G106" s="38">
        <f>7060254*1000000</f>
        <v>7060254000000</v>
      </c>
      <c r="H106" s="38">
        <f>(3853+138413+44147+459624+18337+265661+353137)*1000000</f>
        <v>1283172000000</v>
      </c>
      <c r="I106" s="38">
        <f>5843491*1000000</f>
        <v>5843491000000</v>
      </c>
      <c r="J106" s="38">
        <f>17335*1000000</f>
        <v>17335000000</v>
      </c>
      <c r="K106" s="38">
        <f>1202982*1000000</f>
        <v>1202982000000</v>
      </c>
      <c r="L106" s="38">
        <f>2987343*1000000</f>
        <v>2987343000000</v>
      </c>
      <c r="M106" s="38">
        <f>181894*1000000</f>
        <v>181894000000</v>
      </c>
      <c r="N106" s="38">
        <f>178061*1000000</f>
        <v>178061000000</v>
      </c>
      <c r="O106" s="39">
        <v>0.98</v>
      </c>
      <c r="P106" s="40" t="s">
        <v>196</v>
      </c>
      <c r="Q106" s="38">
        <v>2</v>
      </c>
      <c r="R106" s="38">
        <v>3</v>
      </c>
      <c r="S106" s="38"/>
      <c r="T106" s="38">
        <v>8</v>
      </c>
      <c r="U106" s="42">
        <v>0</v>
      </c>
      <c r="V106" s="38">
        <v>0</v>
      </c>
      <c r="W106" s="38">
        <v>0</v>
      </c>
      <c r="X106" s="38">
        <v>0</v>
      </c>
      <c r="Y106" s="37"/>
    </row>
    <row r="107" spans="1:25" s="31" customFormat="1" ht="15" customHeight="1" x14ac:dyDescent="0.3">
      <c r="A107" s="36"/>
      <c r="B107" s="37"/>
      <c r="C107" s="29"/>
      <c r="D107" s="37">
        <v>2020</v>
      </c>
      <c r="E107" s="38">
        <f>44950*1000000</f>
        <v>44950000000</v>
      </c>
      <c r="F107" s="38">
        <f>(44950+182444+20382+629554+93674+82299)*1000000</f>
        <v>1053303000000</v>
      </c>
      <c r="G107" s="38">
        <f>7356577*1000000</f>
        <v>7356577000000</v>
      </c>
      <c r="H107" s="38">
        <f>(5071+152758+20157+381028+31510+282670+328670)*1000000</f>
        <v>1201864000000</v>
      </c>
      <c r="I107" s="38">
        <f>5855352*1000000</f>
        <v>5855352000000</v>
      </c>
      <c r="J107" s="38">
        <f>212013*1000000</f>
        <v>212013000000</v>
      </c>
      <c r="K107" s="38">
        <f>1479784*1000000</f>
        <v>1479784000000</v>
      </c>
      <c r="L107" s="38">
        <f>3009798*1000000</f>
        <v>3009798000000</v>
      </c>
      <c r="M107" s="38">
        <f>263582*1000000</f>
        <v>263582000000</v>
      </c>
      <c r="N107" s="38">
        <f>276804*1000000</f>
        <v>276804000000</v>
      </c>
      <c r="O107" s="39">
        <v>0.98</v>
      </c>
      <c r="P107" s="40" t="s">
        <v>196</v>
      </c>
      <c r="Q107" s="38">
        <v>2</v>
      </c>
      <c r="R107" s="38">
        <v>3</v>
      </c>
      <c r="S107" s="38"/>
      <c r="T107" s="38">
        <v>8</v>
      </c>
      <c r="U107" s="42">
        <v>0</v>
      </c>
      <c r="V107" s="38">
        <v>0</v>
      </c>
      <c r="W107" s="38">
        <v>0</v>
      </c>
      <c r="X107" s="38">
        <v>0</v>
      </c>
      <c r="Y107" s="37"/>
    </row>
    <row r="108" spans="1:25" s="31" customFormat="1" ht="15" customHeight="1" x14ac:dyDescent="0.3">
      <c r="A108" s="36"/>
      <c r="B108" s="37"/>
      <c r="C108" s="29"/>
      <c r="D108" s="37">
        <v>2021</v>
      </c>
      <c r="E108" s="38">
        <f>219753*1000000</f>
        <v>219753000000</v>
      </c>
      <c r="F108" s="38">
        <f>(219753+192474+23062+862072+91526+5280)*1000000</f>
        <v>1394167000000</v>
      </c>
      <c r="G108" s="38">
        <f>7322006*1000000</f>
        <v>7322006000000</v>
      </c>
      <c r="H108" s="38">
        <f>(5233+122903+38140+427378+8813+193784+270796)*1000000</f>
        <v>1067047000000</v>
      </c>
      <c r="I108" s="38">
        <f>5757070*1000000</f>
        <v>5757070000000</v>
      </c>
      <c r="J108" s="38">
        <f>277555*1000000</f>
        <v>277555000000</v>
      </c>
      <c r="K108" s="38">
        <f>1536586*1000000</f>
        <v>1536586000000</v>
      </c>
      <c r="L108" s="38">
        <f>3190574*1000000</f>
        <v>3190574000000</v>
      </c>
      <c r="M108" s="38">
        <f>51297*1000000</f>
        <v>51297000000</v>
      </c>
      <c r="N108" s="38">
        <f>50163*1000000</f>
        <v>50163000000</v>
      </c>
      <c r="O108" s="39">
        <v>0.98</v>
      </c>
      <c r="P108" s="40" t="s">
        <v>196</v>
      </c>
      <c r="Q108" s="38">
        <v>2</v>
      </c>
      <c r="R108" s="38">
        <v>3</v>
      </c>
      <c r="S108" s="38"/>
      <c r="T108" s="38">
        <v>8</v>
      </c>
      <c r="U108" s="42">
        <v>0</v>
      </c>
      <c r="V108" s="38">
        <v>0</v>
      </c>
      <c r="W108" s="38">
        <v>0</v>
      </c>
      <c r="X108" s="38">
        <v>0</v>
      </c>
      <c r="Y108" s="37"/>
    </row>
    <row r="109" spans="1:25" s="31" customFormat="1" ht="15" customHeight="1" x14ac:dyDescent="0.3">
      <c r="A109" s="36"/>
      <c r="B109" s="37"/>
      <c r="C109" s="29"/>
      <c r="D109" s="37">
        <v>2022</v>
      </c>
      <c r="E109" s="38">
        <f>199236*1000000</f>
        <v>199236000000</v>
      </c>
      <c r="F109" s="38">
        <f>(199236+166793+29355+490684+81563+9209)*1000000</f>
        <v>976840000000</v>
      </c>
      <c r="G109" s="38">
        <f>6140160*1000000</f>
        <v>6140160000000</v>
      </c>
      <c r="H109" s="38">
        <f>(6140+106324+60790+178239+11310+203598+236983)*1000000</f>
        <v>803384000000</v>
      </c>
      <c r="I109" s="38">
        <f>4591181*1000000</f>
        <v>4591181000000</v>
      </c>
      <c r="J109" s="38">
        <f>282700*1000000</f>
        <v>282700000000</v>
      </c>
      <c r="K109" s="38">
        <f>1509157*1000000</f>
        <v>1509157000000</v>
      </c>
      <c r="L109" s="38">
        <f>2164399*1000000</f>
        <v>2164399000000</v>
      </c>
      <c r="M109" s="38">
        <f>-16909*1000000</f>
        <v>-16909000000</v>
      </c>
      <c r="N109" s="38">
        <f>-36433*1000000</f>
        <v>-36433000000</v>
      </c>
      <c r="O109" s="39">
        <v>0.98</v>
      </c>
      <c r="P109" s="40" t="s">
        <v>196</v>
      </c>
      <c r="Q109" s="38">
        <v>2</v>
      </c>
      <c r="R109" s="38">
        <v>3</v>
      </c>
      <c r="S109" s="38"/>
      <c r="T109" s="38">
        <v>6</v>
      </c>
      <c r="U109" s="42">
        <v>0</v>
      </c>
      <c r="V109" s="38">
        <v>0</v>
      </c>
      <c r="W109" s="38">
        <v>0</v>
      </c>
      <c r="X109" s="38">
        <v>0</v>
      </c>
      <c r="Y109" s="37"/>
    </row>
    <row r="110" spans="1:25" s="31" customFormat="1" ht="15" customHeight="1" x14ac:dyDescent="0.3">
      <c r="A110" s="36"/>
      <c r="B110" s="37"/>
      <c r="C110" s="29"/>
      <c r="D110" s="37">
        <v>2023</v>
      </c>
      <c r="E110" s="38">
        <f>305311*1000000</f>
        <v>305311000000</v>
      </c>
      <c r="F110" s="38">
        <f>(305311+175806+32136+392215+80277+8728)*1000000</f>
        <v>994473000000</v>
      </c>
      <c r="G110" s="38">
        <f>6183771*1000000</f>
        <v>6183771000000</v>
      </c>
      <c r="H110" s="38">
        <f>(6205+133767+82480+195627+11388+225662+217272)*1000000</f>
        <v>872401000000</v>
      </c>
      <c r="I110" s="38">
        <f>4795308*1000000</f>
        <v>4795308000000</v>
      </c>
      <c r="J110" s="38">
        <f>102775*1000000</f>
        <v>102775000000</v>
      </c>
      <c r="K110" s="38">
        <f>1346152*1000000</f>
        <v>1346152000000</v>
      </c>
      <c r="L110" s="38">
        <f>3006032*1000000</f>
        <v>3006032000000</v>
      </c>
      <c r="M110" s="38">
        <f>-197266*1000000</f>
        <v>-197266000000</v>
      </c>
      <c r="N110" s="38">
        <f>-175615*1000000</f>
        <v>-175615000000</v>
      </c>
      <c r="O110" s="39">
        <v>0.98</v>
      </c>
      <c r="P110" s="40" t="s">
        <v>196</v>
      </c>
      <c r="Q110" s="38">
        <v>2</v>
      </c>
      <c r="R110" s="38">
        <v>3</v>
      </c>
      <c r="S110" s="38"/>
      <c r="T110" s="38">
        <v>6</v>
      </c>
      <c r="U110" s="42">
        <v>0</v>
      </c>
      <c r="V110" s="38">
        <v>0</v>
      </c>
      <c r="W110" s="38">
        <v>0</v>
      </c>
      <c r="X110" s="38">
        <v>0</v>
      </c>
      <c r="Y110" s="37"/>
    </row>
    <row r="111" spans="1:25" s="31" customFormat="1" ht="15" customHeight="1" x14ac:dyDescent="0.3">
      <c r="A111" s="36"/>
      <c r="B111" s="37"/>
      <c r="C111" s="29"/>
      <c r="D111" s="37">
        <v>2024</v>
      </c>
      <c r="E111" s="38">
        <f>300119*1000000</f>
        <v>300119000000</v>
      </c>
      <c r="F111" s="38">
        <f>(300119+130856+38108+310138+55822+8392)*1000000</f>
        <v>843435000000</v>
      </c>
      <c r="G111" s="38">
        <f>5946070*1000000</f>
        <v>5946070000000</v>
      </c>
      <c r="H111" s="38">
        <f>(4565+91771+69948+203183+1381+364735+139303)*1000000</f>
        <v>874886000000</v>
      </c>
      <c r="I111" s="38">
        <f>4725950*1000000</f>
        <v>4725950000000</v>
      </c>
      <c r="J111" s="38">
        <f>16039*1000000</f>
        <v>16039000000</v>
      </c>
      <c r="K111" s="38">
        <f>1172763*1000000</f>
        <v>1172763000000</v>
      </c>
      <c r="L111" s="38">
        <f>3109090*1000000</f>
        <v>3109090000000</v>
      </c>
      <c r="M111" s="38">
        <f>-133294*1000000</f>
        <v>-133294000000</v>
      </c>
      <c r="N111" s="38">
        <f>-181689*1000000</f>
        <v>-181689000000</v>
      </c>
      <c r="O111" s="39">
        <v>0.98</v>
      </c>
      <c r="P111" s="40" t="s">
        <v>196</v>
      </c>
      <c r="Q111" s="38">
        <v>2</v>
      </c>
      <c r="R111" s="38">
        <v>4</v>
      </c>
      <c r="S111" s="38"/>
      <c r="T111" s="38">
        <v>9</v>
      </c>
      <c r="U111" s="42">
        <v>0</v>
      </c>
      <c r="V111" s="38">
        <v>0</v>
      </c>
      <c r="W111" s="38">
        <v>0</v>
      </c>
      <c r="X111" s="38">
        <v>0</v>
      </c>
      <c r="Y111" s="37"/>
    </row>
    <row r="112" spans="1:25" s="31" customFormat="1" ht="15" customHeight="1" x14ac:dyDescent="0.3">
      <c r="A112" s="36"/>
      <c r="B112" s="37">
        <v>11</v>
      </c>
      <c r="C112" s="29" t="s">
        <v>23</v>
      </c>
      <c r="D112" s="37">
        <v>2014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9">
        <v>0</v>
      </c>
      <c r="P112" s="40">
        <v>0</v>
      </c>
      <c r="Q112" s="38">
        <v>0</v>
      </c>
      <c r="R112" s="38">
        <v>0</v>
      </c>
      <c r="S112" s="38"/>
      <c r="T112" s="38">
        <v>0</v>
      </c>
      <c r="U112" s="41">
        <v>0</v>
      </c>
      <c r="V112" s="38">
        <v>0</v>
      </c>
      <c r="W112" s="38">
        <f t="shared" ref="W112:W124" si="12">V112</f>
        <v>0</v>
      </c>
      <c r="X112" s="38">
        <v>0</v>
      </c>
      <c r="Y112" s="37"/>
    </row>
    <row r="113" spans="1:25" s="31" customFormat="1" ht="15" customHeight="1" x14ac:dyDescent="0.3">
      <c r="A113" s="36"/>
      <c r="B113" s="37"/>
      <c r="C113" s="29"/>
      <c r="D113" s="37">
        <v>2015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9">
        <v>0</v>
      </c>
      <c r="P113" s="40">
        <v>0</v>
      </c>
      <c r="Q113" s="38">
        <v>0</v>
      </c>
      <c r="R113" s="38">
        <v>0</v>
      </c>
      <c r="S113" s="38"/>
      <c r="T113" s="38">
        <v>0</v>
      </c>
      <c r="U113" s="41">
        <v>0</v>
      </c>
      <c r="V113" s="38">
        <v>0</v>
      </c>
      <c r="W113" s="38">
        <f t="shared" si="12"/>
        <v>0</v>
      </c>
      <c r="X113" s="38">
        <v>0</v>
      </c>
      <c r="Y113" s="37"/>
    </row>
    <row r="114" spans="1:25" s="31" customFormat="1" ht="15" customHeight="1" x14ac:dyDescent="0.3">
      <c r="A114" s="36"/>
      <c r="B114" s="37"/>
      <c r="C114" s="29"/>
      <c r="D114" s="37">
        <v>2016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9">
        <v>0</v>
      </c>
      <c r="P114" s="40">
        <v>0</v>
      </c>
      <c r="Q114" s="38">
        <v>0</v>
      </c>
      <c r="R114" s="38">
        <v>0</v>
      </c>
      <c r="S114" s="38"/>
      <c r="T114" s="38">
        <v>0</v>
      </c>
      <c r="U114" s="41">
        <v>0</v>
      </c>
      <c r="V114" s="38">
        <v>0</v>
      </c>
      <c r="W114" s="38">
        <f t="shared" si="12"/>
        <v>0</v>
      </c>
      <c r="X114" s="38">
        <v>0</v>
      </c>
      <c r="Y114" s="37"/>
    </row>
    <row r="115" spans="1:25" s="31" customFormat="1" ht="15" customHeight="1" x14ac:dyDescent="0.3">
      <c r="A115" s="36"/>
      <c r="B115" s="37"/>
      <c r="C115" s="29"/>
      <c r="D115" s="37">
        <v>2017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9">
        <v>0</v>
      </c>
      <c r="P115" s="40">
        <v>0</v>
      </c>
      <c r="Q115" s="38">
        <v>0</v>
      </c>
      <c r="R115" s="38">
        <v>0</v>
      </c>
      <c r="S115" s="38"/>
      <c r="T115" s="38">
        <v>0</v>
      </c>
      <c r="U115" s="41">
        <v>0</v>
      </c>
      <c r="V115" s="38">
        <v>0</v>
      </c>
      <c r="W115" s="38">
        <f t="shared" si="12"/>
        <v>0</v>
      </c>
      <c r="X115" s="38">
        <v>0</v>
      </c>
      <c r="Y115" s="37"/>
    </row>
    <row r="116" spans="1:25" s="31" customFormat="1" ht="15" customHeight="1" x14ac:dyDescent="0.3">
      <c r="A116" s="36"/>
      <c r="B116" s="37"/>
      <c r="C116" s="29"/>
      <c r="D116" s="37">
        <v>2018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9">
        <v>0</v>
      </c>
      <c r="P116" s="40">
        <v>0</v>
      </c>
      <c r="Q116" s="38">
        <v>0</v>
      </c>
      <c r="R116" s="38">
        <v>0</v>
      </c>
      <c r="S116" s="38"/>
      <c r="T116" s="38">
        <v>0</v>
      </c>
      <c r="U116" s="41">
        <v>0</v>
      </c>
      <c r="V116" s="38">
        <v>0</v>
      </c>
      <c r="W116" s="38">
        <f t="shared" si="12"/>
        <v>0</v>
      </c>
      <c r="X116" s="38">
        <v>0</v>
      </c>
      <c r="Y116" s="37"/>
    </row>
    <row r="117" spans="1:25" s="31" customFormat="1" ht="15" customHeight="1" x14ac:dyDescent="0.3">
      <c r="A117" s="36"/>
      <c r="B117" s="37"/>
      <c r="C117" s="29"/>
      <c r="D117" s="37">
        <v>2019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9">
        <v>0</v>
      </c>
      <c r="P117" s="40">
        <v>0</v>
      </c>
      <c r="Q117" s="38">
        <v>0</v>
      </c>
      <c r="R117" s="38">
        <v>0</v>
      </c>
      <c r="S117" s="38"/>
      <c r="T117" s="38">
        <v>0</v>
      </c>
      <c r="U117" s="41">
        <v>0</v>
      </c>
      <c r="V117" s="38">
        <v>0</v>
      </c>
      <c r="W117" s="38">
        <f t="shared" si="12"/>
        <v>0</v>
      </c>
      <c r="X117" s="38">
        <v>0</v>
      </c>
      <c r="Y117" s="37"/>
    </row>
    <row r="118" spans="1:25" s="31" customFormat="1" ht="15" customHeight="1" x14ac:dyDescent="0.3">
      <c r="A118" s="36"/>
      <c r="B118" s="37"/>
      <c r="C118" s="29"/>
      <c r="D118" s="37">
        <v>2020</v>
      </c>
      <c r="E118" s="38">
        <f>120198*1000000</f>
        <v>120198000000</v>
      </c>
      <c r="F118" s="38">
        <f>(120198+35)*1000000</f>
        <v>120233000000</v>
      </c>
      <c r="G118" s="38">
        <f>153511*1000000</f>
        <v>153511000000</v>
      </c>
      <c r="H118" s="38">
        <f>3784*1000000</f>
        <v>3784000000</v>
      </c>
      <c r="I118" s="38">
        <f>3784*1000000</f>
        <v>3784000000</v>
      </c>
      <c r="J118" s="38">
        <f>-273*1000000</f>
        <v>-273000000</v>
      </c>
      <c r="K118" s="38">
        <f>149727*1000000</f>
        <v>149727000000</v>
      </c>
      <c r="L118" s="38">
        <f>332820*1000</f>
        <v>332820000</v>
      </c>
      <c r="M118" s="38">
        <f>-273*1000000</f>
        <v>-273000000</v>
      </c>
      <c r="N118" s="38">
        <f>-273*1000000</f>
        <v>-273000000</v>
      </c>
      <c r="O118" s="39">
        <v>0.99990000000000001</v>
      </c>
      <c r="P118" s="40" t="s">
        <v>198</v>
      </c>
      <c r="Q118" s="38">
        <v>0</v>
      </c>
      <c r="R118" s="38">
        <v>1</v>
      </c>
      <c r="S118" s="38">
        <v>1</v>
      </c>
      <c r="T118" s="38">
        <f>R118+S118</f>
        <v>2</v>
      </c>
      <c r="U118" s="42">
        <v>0</v>
      </c>
      <c r="V118" s="38">
        <f>2+(2*2)</f>
        <v>6</v>
      </c>
      <c r="W118" s="38">
        <f t="shared" si="12"/>
        <v>6</v>
      </c>
      <c r="X118" s="38">
        <f>1+(2*1)</f>
        <v>3</v>
      </c>
      <c r="Y118" s="37"/>
    </row>
    <row r="119" spans="1:25" s="31" customFormat="1" ht="15" customHeight="1" x14ac:dyDescent="0.3">
      <c r="A119" s="36"/>
      <c r="B119" s="37"/>
      <c r="C119" s="29"/>
      <c r="D119" s="37">
        <v>2021</v>
      </c>
      <c r="E119" s="38">
        <f>7270832*1000000</f>
        <v>7270832000000</v>
      </c>
      <c r="F119" s="38">
        <f>(7270832+19+31251)*1000000</f>
        <v>7302102000000</v>
      </c>
      <c r="G119" s="38">
        <f>21046070*1000000</f>
        <v>21046070000000</v>
      </c>
      <c r="H119" s="38">
        <f>102752*1000000</f>
        <v>102752000000</v>
      </c>
      <c r="I119" s="38">
        <f>20060427*1000000</f>
        <v>20060427000000</v>
      </c>
      <c r="J119" s="38">
        <f>-94442*1000000</f>
        <v>-94442000000</v>
      </c>
      <c r="K119" s="38">
        <f>985643*1000000</f>
        <v>985643000000</v>
      </c>
      <c r="L119" s="38">
        <f>73807*1000000</f>
        <v>73807000000</v>
      </c>
      <c r="M119" s="38">
        <f>-95754*1000000</f>
        <v>-95754000000</v>
      </c>
      <c r="N119" s="38">
        <f>-98677*1000000</f>
        <v>-98677000000</v>
      </c>
      <c r="O119" s="39">
        <v>0.99990000000000001</v>
      </c>
      <c r="P119" s="40" t="s">
        <v>198</v>
      </c>
      <c r="Q119" s="38">
        <v>2</v>
      </c>
      <c r="R119" s="38">
        <v>3</v>
      </c>
      <c r="S119" s="38">
        <v>4</v>
      </c>
      <c r="T119" s="38">
        <f>R119+S119</f>
        <v>7</v>
      </c>
      <c r="U119" s="42">
        <v>0</v>
      </c>
      <c r="V119" s="38">
        <f>3+(2*1)+(2*1)+(3*1)</f>
        <v>10</v>
      </c>
      <c r="W119" s="38">
        <f t="shared" si="12"/>
        <v>10</v>
      </c>
      <c r="X119" s="38">
        <f>4+(2*2)+(2*1)+(2*1)</f>
        <v>12</v>
      </c>
      <c r="Y119" s="37"/>
    </row>
    <row r="120" spans="1:25" s="31" customFormat="1" ht="15" customHeight="1" x14ac:dyDescent="0.3">
      <c r="A120" s="36"/>
      <c r="B120" s="37"/>
      <c r="C120" s="29"/>
      <c r="D120" s="37">
        <v>2022</v>
      </c>
      <c r="E120" s="38">
        <f>818075*1000000</f>
        <v>818075000000</v>
      </c>
      <c r="F120" s="38">
        <f>(818075+7+282+117+452401)*1000000</f>
        <v>1270882000000</v>
      </c>
      <c r="G120" s="38">
        <f>30095971*1000000</f>
        <v>30095971000000</v>
      </c>
      <c r="H120" s="38">
        <f>661209*1000000</f>
        <v>661209000000</v>
      </c>
      <c r="I120" s="38">
        <f>27791846*1000000</f>
        <v>27791846000000</v>
      </c>
      <c r="J120" s="38">
        <f>31908*1000000</f>
        <v>31908000000</v>
      </c>
      <c r="K120" s="38">
        <f>2304125*1000000</f>
        <v>2304125000000</v>
      </c>
      <c r="L120" s="38">
        <f>2387320*1000000</f>
        <v>2387320000000</v>
      </c>
      <c r="M120" s="38">
        <f>128241*1000000</f>
        <v>128241000000</v>
      </c>
      <c r="N120" s="38">
        <f>-426136*1000000</f>
        <v>-426136000000</v>
      </c>
      <c r="O120" s="39">
        <v>0.99990000000000001</v>
      </c>
      <c r="P120" s="40" t="s">
        <v>198</v>
      </c>
      <c r="Q120" s="38">
        <v>2</v>
      </c>
      <c r="R120" s="38">
        <v>4</v>
      </c>
      <c r="S120" s="38">
        <v>7</v>
      </c>
      <c r="T120" s="38">
        <f>R120+S120</f>
        <v>11</v>
      </c>
      <c r="U120" s="42">
        <v>0</v>
      </c>
      <c r="V120" s="38">
        <f>2+(2*3)+(2*0)+(3*3)</f>
        <v>17</v>
      </c>
      <c r="W120" s="38">
        <f t="shared" si="12"/>
        <v>17</v>
      </c>
      <c r="X120" s="38">
        <f>6+(2*4)+(2*1)+(2*0)</f>
        <v>16</v>
      </c>
      <c r="Y120" s="37"/>
    </row>
    <row r="121" spans="1:25" s="31" customFormat="1" ht="15" customHeight="1" x14ac:dyDescent="0.3">
      <c r="A121" s="36"/>
      <c r="B121" s="37"/>
      <c r="C121" s="29"/>
      <c r="D121" s="37">
        <v>2023</v>
      </c>
      <c r="E121" s="38">
        <f>2292974*1000000</f>
        <v>2292974000000</v>
      </c>
      <c r="F121" s="38">
        <f>(2292974+297+475+214+435144)*1000000</f>
        <v>2729104000000</v>
      </c>
      <c r="G121" s="38">
        <f>33088034*1000000</f>
        <v>33088034000000</v>
      </c>
      <c r="H121" s="38">
        <f>1279533*1000000</f>
        <v>1279533000000</v>
      </c>
      <c r="I121" s="38">
        <f>30055304*1000000</f>
        <v>30055304000000</v>
      </c>
      <c r="J121" s="38">
        <f>-627610*1000000</f>
        <v>-627610000000</v>
      </c>
      <c r="K121" s="38">
        <f>3032730*1000000</f>
        <v>3032730000000</v>
      </c>
      <c r="L121" s="38">
        <f>2695259*1000000</f>
        <v>2695259000000</v>
      </c>
      <c r="M121" s="38">
        <f>-662039*1000000</f>
        <v>-662039000000</v>
      </c>
      <c r="N121" s="38">
        <f>-249408*1000000</f>
        <v>-249408000000</v>
      </c>
      <c r="O121" s="39">
        <v>0.99990000000000001</v>
      </c>
      <c r="P121" s="40" t="s">
        <v>198</v>
      </c>
      <c r="Q121" s="38">
        <v>3</v>
      </c>
      <c r="R121" s="38">
        <v>5</v>
      </c>
      <c r="S121" s="38">
        <v>7</v>
      </c>
      <c r="T121" s="38">
        <f>R121+S121</f>
        <v>12</v>
      </c>
      <c r="U121" s="42">
        <v>0</v>
      </c>
      <c r="V121" s="38">
        <f>4+(2*3)+(2*1)+(3*2)</f>
        <v>18</v>
      </c>
      <c r="W121" s="38">
        <f t="shared" si="12"/>
        <v>18</v>
      </c>
      <c r="X121" s="38">
        <f>7+(2*5)</f>
        <v>17</v>
      </c>
      <c r="Y121" s="37"/>
    </row>
    <row r="122" spans="1:25" s="31" customFormat="1" ht="15" customHeight="1" x14ac:dyDescent="0.3">
      <c r="A122" s="36"/>
      <c r="B122" s="37"/>
      <c r="C122" s="29"/>
      <c r="D122" s="37">
        <v>2024</v>
      </c>
      <c r="E122" s="38">
        <f>3341763*1000000</f>
        <v>3341763000000</v>
      </c>
      <c r="F122" s="38">
        <f>(3341763+52588+37234+220039+37029+444969)*1000000</f>
        <v>4133622000000</v>
      </c>
      <c r="G122" s="38">
        <f>34967966*1000000</f>
        <v>34967966000000</v>
      </c>
      <c r="H122" s="38">
        <f>753219*1000000</f>
        <v>753219000000</v>
      </c>
      <c r="I122" s="38">
        <f>30742842*1000000</f>
        <v>30742842000000</v>
      </c>
      <c r="J122" s="38">
        <f>-48433*1000000</f>
        <v>-48433000000</v>
      </c>
      <c r="K122" s="38">
        <f>4225124*1000000</f>
        <v>4225124000000</v>
      </c>
      <c r="L122" s="38">
        <f>7295227*1000000</f>
        <v>7295227000000</v>
      </c>
      <c r="M122" s="38">
        <f>-94851*1000000</f>
        <v>-94851000000</v>
      </c>
      <c r="N122" s="38">
        <f>-690672*1000000</f>
        <v>-690672000000</v>
      </c>
      <c r="O122" s="39">
        <v>0.99990000000000001</v>
      </c>
      <c r="P122" s="40" t="s">
        <v>198</v>
      </c>
      <c r="Q122" s="38">
        <v>0</v>
      </c>
      <c r="R122" s="38">
        <v>0</v>
      </c>
      <c r="S122" s="38">
        <v>0</v>
      </c>
      <c r="T122" s="38">
        <v>0</v>
      </c>
      <c r="U122" s="41">
        <v>0</v>
      </c>
      <c r="V122" s="38"/>
      <c r="W122" s="38">
        <f t="shared" si="12"/>
        <v>0</v>
      </c>
      <c r="X122" s="38">
        <v>0</v>
      </c>
      <c r="Y122" s="37"/>
    </row>
    <row r="123" spans="1:25" s="31" customFormat="1" ht="15" customHeight="1" x14ac:dyDescent="0.3">
      <c r="A123" s="36"/>
      <c r="B123" s="37">
        <v>12</v>
      </c>
      <c r="C123" s="29" t="s">
        <v>24</v>
      </c>
      <c r="D123" s="37">
        <v>2014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1400387532448</v>
      </c>
      <c r="M123" s="38">
        <v>0</v>
      </c>
      <c r="N123" s="38">
        <v>0</v>
      </c>
      <c r="O123" s="44">
        <v>0</v>
      </c>
      <c r="P123" s="38">
        <v>0</v>
      </c>
      <c r="Q123" s="38">
        <v>0</v>
      </c>
      <c r="R123" s="38">
        <v>0</v>
      </c>
      <c r="S123" s="38"/>
      <c r="T123" s="38">
        <v>0</v>
      </c>
      <c r="U123" s="42"/>
      <c r="V123" s="38"/>
      <c r="W123" s="38">
        <f t="shared" si="12"/>
        <v>0</v>
      </c>
      <c r="X123" s="38"/>
      <c r="Y123" s="37"/>
    </row>
    <row r="124" spans="1:25" s="31" customFormat="1" ht="15" customHeight="1" x14ac:dyDescent="0.3">
      <c r="A124" s="36"/>
      <c r="B124" s="37"/>
      <c r="C124" s="29"/>
      <c r="D124" s="37">
        <v>2015</v>
      </c>
      <c r="E124" s="38">
        <f>1006649227955</f>
        <v>1006649227955</v>
      </c>
      <c r="F124" s="38">
        <f>1006649227955+19127240020+104029274880+609088285053+6419798457+4881313048+25495451699+29508797864</f>
        <v>1805199388976</v>
      </c>
      <c r="G124" s="38">
        <f>1841695394740</f>
        <v>1841695394740</v>
      </c>
      <c r="H124" s="38">
        <f>2388300871+33778262380+55780299187+10865604404+36462881706+298591519</f>
        <v>139573940067</v>
      </c>
      <c r="I124" s="38">
        <f>538764300315</f>
        <v>538764300315</v>
      </c>
      <c r="J124" s="38">
        <f>145287080858+157644013567</f>
        <v>302931094425</v>
      </c>
      <c r="K124" s="38">
        <f>1302931094425</f>
        <v>1302931094425</v>
      </c>
      <c r="L124" s="38">
        <v>1431582504221</v>
      </c>
      <c r="M124" s="38">
        <v>211795357332</v>
      </c>
      <c r="N124" s="38">
        <v>154579903531</v>
      </c>
      <c r="O124" s="39">
        <v>0.8</v>
      </c>
      <c r="P124" s="40" t="s">
        <v>204</v>
      </c>
      <c r="Q124" s="38">
        <v>3</v>
      </c>
      <c r="R124" s="38">
        <v>5</v>
      </c>
      <c r="S124" s="38">
        <v>4</v>
      </c>
      <c r="T124" s="38">
        <f>S124+R124</f>
        <v>9</v>
      </c>
      <c r="U124" s="42">
        <v>0</v>
      </c>
      <c r="V124" s="38">
        <f>5+(2*3)+(2*0)+(3*2)</f>
        <v>17</v>
      </c>
      <c r="W124" s="38">
        <f t="shared" si="12"/>
        <v>17</v>
      </c>
      <c r="X124" s="38">
        <f>4+(2*3)</f>
        <v>10</v>
      </c>
      <c r="Y124" s="37"/>
    </row>
    <row r="125" spans="1:25" s="31" customFormat="1" ht="15" customHeight="1" x14ac:dyDescent="0.3">
      <c r="A125" s="36"/>
      <c r="B125" s="37"/>
      <c r="C125" s="29"/>
      <c r="D125" s="37">
        <v>2016</v>
      </c>
      <c r="E125" s="38">
        <v>1011852653131</v>
      </c>
      <c r="F125" s="38">
        <f>E125+34447240020+62842930803+823532744659+8626923893+1714836074+23586152298+21462535242+104377452983</f>
        <v>2092443469103</v>
      </c>
      <c r="G125" s="38">
        <f>2128604012037</f>
        <v>2128604012037</v>
      </c>
      <c r="H125" s="38">
        <f>26175959936+19216614158+94696313973+5698130667+49407702752+487048174</f>
        <v>195681769660</v>
      </c>
      <c r="I125" s="38">
        <f>742532507113</f>
        <v>742532507113</v>
      </c>
      <c r="J125" s="38">
        <f>172643540429+213427964495</f>
        <v>386071504924</v>
      </c>
      <c r="K125" s="38">
        <v>1386071504924</v>
      </c>
      <c r="L125" s="38">
        <v>1580786997174</v>
      </c>
      <c r="M125" s="38">
        <v>194741641066</v>
      </c>
      <c r="N125" s="38">
        <v>164216173247</v>
      </c>
      <c r="O125" s="39">
        <v>0.8</v>
      </c>
      <c r="P125" s="40" t="s">
        <v>204</v>
      </c>
      <c r="Q125" s="38">
        <v>2</v>
      </c>
      <c r="R125" s="38">
        <v>4</v>
      </c>
      <c r="S125" s="38">
        <v>4</v>
      </c>
      <c r="T125" s="38">
        <f t="shared" ref="T125:T133" si="13">S125+R125</f>
        <v>8</v>
      </c>
      <c r="U125" s="42">
        <v>0</v>
      </c>
      <c r="V125" s="38">
        <f>4+(2*2)+(2*1)</f>
        <v>10</v>
      </c>
      <c r="W125" s="38">
        <f t="shared" ref="W125:W133" si="14">V125</f>
        <v>10</v>
      </c>
      <c r="X125" s="38">
        <f>4+(2*2)</f>
        <v>8</v>
      </c>
      <c r="Y125" s="37"/>
    </row>
    <row r="126" spans="1:25" s="31" customFormat="1" ht="15" customHeight="1" x14ac:dyDescent="0.3">
      <c r="A126" s="36"/>
      <c r="B126" s="37"/>
      <c r="C126" s="29"/>
      <c r="D126" s="37">
        <v>2017</v>
      </c>
      <c r="E126" s="38">
        <v>646688275362</v>
      </c>
      <c r="F126" s="38">
        <f>E126+249740000000+86392479188+954055129983+10428767809+148339937402+26557787841+23984890296</f>
        <v>2146187267881</v>
      </c>
      <c r="G126" s="38">
        <f>2224965279992</f>
        <v>2224965279992</v>
      </c>
      <c r="H126" s="38">
        <f>5352548476+99446930658+3567448954+46073047264+1047342460</f>
        <v>155487317812</v>
      </c>
      <c r="I126" s="38">
        <f>780587185363</f>
        <v>780587185363</v>
      </c>
      <c r="J126" s="38">
        <f>200000000000+244378094629</f>
        <v>444378094629</v>
      </c>
      <c r="K126" s="38">
        <f>1444378094629</f>
        <v>1444378094629</v>
      </c>
      <c r="L126" s="38">
        <v>1838029364958</v>
      </c>
      <c r="M126" s="38">
        <v>215384180078</v>
      </c>
      <c r="N126" s="38">
        <v>193284467033</v>
      </c>
      <c r="O126" s="39">
        <v>0.8</v>
      </c>
      <c r="P126" s="40" t="s">
        <v>204</v>
      </c>
      <c r="Q126" s="38">
        <v>2</v>
      </c>
      <c r="R126" s="38">
        <v>3</v>
      </c>
      <c r="S126" s="38">
        <v>4</v>
      </c>
      <c r="T126" s="38">
        <f t="shared" si="13"/>
        <v>7</v>
      </c>
      <c r="U126" s="42">
        <v>0</v>
      </c>
      <c r="V126" s="38">
        <f>3+(2*3)</f>
        <v>9</v>
      </c>
      <c r="W126" s="38">
        <f t="shared" si="14"/>
        <v>9</v>
      </c>
      <c r="X126" s="38">
        <f>4+(2*2)</f>
        <v>8</v>
      </c>
      <c r="Y126" s="37"/>
    </row>
    <row r="127" spans="1:25" s="31" customFormat="1" ht="15" customHeight="1" x14ac:dyDescent="0.3">
      <c r="A127" s="36"/>
      <c r="B127" s="37"/>
      <c r="C127" s="29"/>
      <c r="D127" s="37">
        <v>2018</v>
      </c>
      <c r="E127" s="38">
        <v>921361725401</v>
      </c>
      <c r="F127" s="38">
        <f>E127+31170000000+112748786523+803618669131+9120735794+125410211671+36587259743+25747051254</f>
        <v>2065764439517</v>
      </c>
      <c r="G127" s="38">
        <f>2146354535548</f>
        <v>2146354535548</v>
      </c>
      <c r="H127" s="38">
        <f>2514959243+64692881794+16326886640+43168533220+1519882558</f>
        <v>128223143455</v>
      </c>
      <c r="I127" s="38">
        <f>800539947884</f>
        <v>800539947884</v>
      </c>
      <c r="J127" s="38">
        <f>(200*1000000000)+145814587664</f>
        <v>345814587664</v>
      </c>
      <c r="K127" s="38">
        <f>1345814587664</f>
        <v>1345814587664</v>
      </c>
      <c r="L127" s="38">
        <f>1847483535751</f>
        <v>1847483535751</v>
      </c>
      <c r="M127" s="38">
        <f>161346218416</f>
        <v>161346218416</v>
      </c>
      <c r="N127" s="38">
        <f>135792457955</f>
        <v>135792457955</v>
      </c>
      <c r="O127" s="39">
        <v>0.8</v>
      </c>
      <c r="P127" s="40" t="s">
        <v>204</v>
      </c>
      <c r="Q127" s="38">
        <v>2</v>
      </c>
      <c r="R127" s="38">
        <v>3</v>
      </c>
      <c r="S127" s="38">
        <v>4</v>
      </c>
      <c r="T127" s="38">
        <f t="shared" si="13"/>
        <v>7</v>
      </c>
      <c r="U127" s="42">
        <v>0</v>
      </c>
      <c r="V127" s="38">
        <f>3+(2*3)+(2*0)+(3*1)</f>
        <v>12</v>
      </c>
      <c r="W127" s="38">
        <f t="shared" si="14"/>
        <v>12</v>
      </c>
      <c r="X127" s="38">
        <f>4+(2*4)</f>
        <v>12</v>
      </c>
      <c r="Y127" s="37"/>
    </row>
    <row r="128" spans="1:25" s="31" customFormat="1" ht="15" customHeight="1" x14ac:dyDescent="0.3">
      <c r="A128" s="36"/>
      <c r="B128" s="37"/>
      <c r="C128" s="29"/>
      <c r="D128" s="37">
        <v>2019</v>
      </c>
      <c r="E128" s="38">
        <v>615590973246</v>
      </c>
      <c r="F128" s="38">
        <f>E128+154594498830+211220511731+885794034278+9636262843+105286297332+104487723502+33583704665</f>
        <v>2120194006427</v>
      </c>
      <c r="G128" s="38">
        <f>2200245923342</f>
        <v>2200245923342</v>
      </c>
      <c r="H128" s="38">
        <f>57951495155+12725796148+2542624087+49315664967+1883920297+1664739797</f>
        <v>126084240451</v>
      </c>
      <c r="I128" s="38">
        <f>883374854335</f>
        <v>883374854335</v>
      </c>
      <c r="J128" s="38">
        <f>(200*1000000000)+166871069077</f>
        <v>366871069077</v>
      </c>
      <c r="K128" s="38">
        <f>1316871069007</f>
        <v>1316871069007</v>
      </c>
      <c r="L128" s="38">
        <f>2137797806615</f>
        <v>2137797806615</v>
      </c>
      <c r="M128" s="38">
        <v>137648808115</v>
      </c>
      <c r="N128" s="38">
        <f>105930469594</f>
        <v>105930469594</v>
      </c>
      <c r="O128" s="39">
        <v>0.8</v>
      </c>
      <c r="P128" s="40" t="s">
        <v>204</v>
      </c>
      <c r="Q128" s="38">
        <v>1</v>
      </c>
      <c r="R128" s="38">
        <v>4</v>
      </c>
      <c r="S128" s="38">
        <v>5</v>
      </c>
      <c r="T128" s="38">
        <f t="shared" si="13"/>
        <v>9</v>
      </c>
      <c r="U128" s="42">
        <v>0</v>
      </c>
      <c r="V128" s="38">
        <f>4+(2*4)+(2*0)+(3*1)</f>
        <v>15</v>
      </c>
      <c r="W128" s="38">
        <f t="shared" si="14"/>
        <v>15</v>
      </c>
      <c r="X128" s="38">
        <f>5+(2*5)+(2*0)+(3*1)</f>
        <v>18</v>
      </c>
      <c r="Y128" s="37"/>
    </row>
    <row r="129" spans="1:25" s="31" customFormat="1" ht="15" customHeight="1" x14ac:dyDescent="0.3">
      <c r="A129" s="36"/>
      <c r="B129" s="37"/>
      <c r="C129" s="29"/>
      <c r="D129" s="37">
        <v>2020</v>
      </c>
      <c r="E129" s="38">
        <v>729239341748</v>
      </c>
      <c r="F129" s="38">
        <f>E129+160520000000+140919777050+868429564907+9826355363+90170440289+109647757075+20162895097</f>
        <v>2128916131529</v>
      </c>
      <c r="G129" s="38">
        <f>2254736989884</f>
        <v>2254736989884</v>
      </c>
      <c r="H129" s="38">
        <f>86355588636+32615654636+22366185535+19271492285+26125675033+17759614787+5721921883</f>
        <v>210216132795</v>
      </c>
      <c r="I129" s="38">
        <f>950707130160</f>
        <v>950707130160</v>
      </c>
      <c r="J129" s="38">
        <f>(200000000000)+104029859724</f>
        <v>304029859724</v>
      </c>
      <c r="K129" s="38">
        <f>J129+1000000000000</f>
        <v>1304029859724</v>
      </c>
      <c r="L129" s="38">
        <f>2247728825781</f>
        <v>2247728825781</v>
      </c>
      <c r="M129" s="38">
        <f>89514068429</f>
        <v>89514068429</v>
      </c>
      <c r="N129" s="38">
        <f>67107306581</f>
        <v>67107306581</v>
      </c>
      <c r="O129" s="39">
        <v>0.8</v>
      </c>
      <c r="P129" s="40" t="s">
        <v>204</v>
      </c>
      <c r="Q129" s="38">
        <v>3</v>
      </c>
      <c r="R129" s="38">
        <v>5</v>
      </c>
      <c r="S129" s="38">
        <v>5</v>
      </c>
      <c r="T129" s="38">
        <f t="shared" si="13"/>
        <v>10</v>
      </c>
      <c r="U129" s="42">
        <v>0</v>
      </c>
      <c r="V129" s="38">
        <f>5+(2*4)+(2*0)+(3*1)</f>
        <v>16</v>
      </c>
      <c r="W129" s="38">
        <f t="shared" si="14"/>
        <v>16</v>
      </c>
      <c r="X129" s="38">
        <f>5+(2*5)</f>
        <v>15</v>
      </c>
      <c r="Y129" s="37"/>
    </row>
    <row r="130" spans="1:25" s="31" customFormat="1" ht="15" customHeight="1" x14ac:dyDescent="0.3">
      <c r="A130" s="36"/>
      <c r="B130" s="37"/>
      <c r="C130" s="29"/>
      <c r="D130" s="37">
        <v>2021</v>
      </c>
      <c r="E130" s="38">
        <v>850764003592</v>
      </c>
      <c r="F130" s="38">
        <f>E130+158670000000+92117658430+1077938539404+10882087744+30069496467+82328114919+62131140655+15100549074</f>
        <v>2380001590285</v>
      </c>
      <c r="G130" s="38">
        <f>2524302538621</f>
        <v>2524302538621</v>
      </c>
      <c r="H130" s="38">
        <f>139755377505+20677150967+37477935427+790918528+19162185321+34761668683+206776593</f>
        <v>252832013024</v>
      </c>
      <c r="I130" s="38">
        <f>1156312746370</f>
        <v>1156312746370</v>
      </c>
      <c r="J130" s="38">
        <f>200000000000+167989792251</f>
        <v>367989792251</v>
      </c>
      <c r="K130" s="38">
        <f>2524302538621</f>
        <v>2524302538621</v>
      </c>
      <c r="L130" s="38">
        <f>2254505776391</f>
        <v>2254505776391</v>
      </c>
      <c r="M130" s="38">
        <f>165211873415</f>
        <v>165211873415</v>
      </c>
      <c r="N130" s="38">
        <f>132982977990</f>
        <v>132982977990</v>
      </c>
      <c r="O130" s="39">
        <v>0.8</v>
      </c>
      <c r="P130" s="40" t="s">
        <v>204</v>
      </c>
      <c r="Q130" s="38">
        <v>5</v>
      </c>
      <c r="R130" s="38">
        <v>7</v>
      </c>
      <c r="S130" s="38">
        <v>5</v>
      </c>
      <c r="T130" s="38">
        <f t="shared" si="13"/>
        <v>12</v>
      </c>
      <c r="U130" s="42">
        <v>0</v>
      </c>
      <c r="V130" s="38">
        <f>7+(2*6)+(2*0)+(3*3)</f>
        <v>28</v>
      </c>
      <c r="W130" s="38">
        <f t="shared" si="14"/>
        <v>28</v>
      </c>
      <c r="X130" s="38">
        <f>5+(2*5)</f>
        <v>15</v>
      </c>
      <c r="Y130" s="37"/>
    </row>
    <row r="131" spans="1:25" s="31" customFormat="1" ht="15" customHeight="1" x14ac:dyDescent="0.3">
      <c r="A131" s="36"/>
      <c r="B131" s="37"/>
      <c r="C131" s="29"/>
      <c r="D131" s="37">
        <v>2022</v>
      </c>
      <c r="E131" s="38">
        <v>903232945360</v>
      </c>
      <c r="F131" s="38">
        <f>E131+140821000000+144064807721+1018006573649+12622041857+12756305794+123567865200+46452425831+19954211776</f>
        <v>2421478177188</v>
      </c>
      <c r="G131" s="38">
        <f>2668916537113</f>
        <v>2668916537113</v>
      </c>
      <c r="H131" s="38">
        <f>123519090508+10698004420+20762341541+9807479565+31609303632+8498287083+61767839</f>
        <v>204956274588</v>
      </c>
      <c r="I131" s="38">
        <f>1229661186622</f>
        <v>1229661186622</v>
      </c>
      <c r="J131" s="38">
        <f>200000000000+186475173000</f>
        <v>386475173000</v>
      </c>
      <c r="K131" s="38">
        <f>1439255350491</f>
        <v>1439255350491</v>
      </c>
      <c r="L131" s="38">
        <f>2584816871951</f>
        <v>2584816871951</v>
      </c>
      <c r="M131" s="38">
        <v>190950930102</v>
      </c>
      <c r="N131" s="38">
        <v>145727158345</v>
      </c>
      <c r="O131" s="39">
        <v>0.8</v>
      </c>
      <c r="P131" s="40" t="s">
        <v>204</v>
      </c>
      <c r="Q131" s="38">
        <v>2</v>
      </c>
      <c r="R131" s="38">
        <v>4</v>
      </c>
      <c r="S131" s="38">
        <v>6</v>
      </c>
      <c r="T131" s="38">
        <f t="shared" si="13"/>
        <v>10</v>
      </c>
      <c r="U131" s="42">
        <v>0</v>
      </c>
      <c r="V131" s="38">
        <f>4+(2*4)+(2*0)+(3*2)</f>
        <v>18</v>
      </c>
      <c r="W131" s="38">
        <f t="shared" si="14"/>
        <v>18</v>
      </c>
      <c r="X131" s="38">
        <f>6+(2*6)</f>
        <v>18</v>
      </c>
      <c r="Y131" s="37"/>
    </row>
    <row r="132" spans="1:25" s="31" customFormat="1" ht="15" customHeight="1" x14ac:dyDescent="0.3">
      <c r="A132" s="36"/>
      <c r="B132" s="37"/>
      <c r="C132" s="29"/>
      <c r="D132" s="37">
        <v>2023</v>
      </c>
      <c r="E132" s="38">
        <f>928778792431</f>
        <v>928778792431</v>
      </c>
      <c r="F132" s="38">
        <f>E132+127801000000+128673679788+1338419008736+15420843216+78157484510+29842057285+32210517406</f>
        <v>2679303383372</v>
      </c>
      <c r="G132" s="38">
        <f>2823141641461</f>
        <v>2823141641461</v>
      </c>
      <c r="H132" s="38">
        <f>104265417032+16661984844+15467844634+10099557913+22246437164+6688987+1735806181</f>
        <v>170483736755</v>
      </c>
      <c r="I132" s="38">
        <v>1238114232857</v>
      </c>
      <c r="J132" s="38">
        <f>(200*1000000000)+340349174590</f>
        <v>540349174590</v>
      </c>
      <c r="K132" s="38">
        <f>1585027205340</f>
        <v>1585027205340</v>
      </c>
      <c r="L132" s="38">
        <f>2895933661725</f>
        <v>2895933661725</v>
      </c>
      <c r="M132" s="38">
        <v>214754096136</v>
      </c>
      <c r="N132" s="38">
        <f>174833158950</f>
        <v>174833158950</v>
      </c>
      <c r="O132" s="39">
        <v>0.8</v>
      </c>
      <c r="P132" s="40" t="s">
        <v>204</v>
      </c>
      <c r="Q132" s="38">
        <v>3</v>
      </c>
      <c r="R132" s="38">
        <v>5</v>
      </c>
      <c r="S132" s="38">
        <v>5</v>
      </c>
      <c r="T132" s="38">
        <f t="shared" si="13"/>
        <v>10</v>
      </c>
      <c r="U132" s="42">
        <v>0</v>
      </c>
      <c r="V132" s="38">
        <f>5+(2*3)+(2*0)+(3*2)</f>
        <v>17</v>
      </c>
      <c r="W132" s="38">
        <f t="shared" si="14"/>
        <v>17</v>
      </c>
      <c r="X132" s="38">
        <f>5+(2*5)</f>
        <v>15</v>
      </c>
      <c r="Y132" s="37"/>
    </row>
    <row r="133" spans="1:25" s="31" customFormat="1" ht="15" customHeight="1" x14ac:dyDescent="0.3">
      <c r="A133" s="36"/>
      <c r="B133" s="37"/>
      <c r="C133" s="29"/>
      <c r="D133" s="37">
        <v>2024</v>
      </c>
      <c r="E133" s="38">
        <f>1316364597807</f>
        <v>1316364597807</v>
      </c>
      <c r="F133" s="38">
        <f>(E133+171400000000+52357704294+1514162248855+13806914112+1800000000+218966720426+45639101033+35127085127)</f>
        <v>3369624371654</v>
      </c>
      <c r="G133" s="38">
        <f>3609299613555</f>
        <v>3609299613555</v>
      </c>
      <c r="H133" s="38">
        <f>111865485139+13381373694+9115210644+117638135512+21936724637+35794109349+5188596628</f>
        <v>314919635603</v>
      </c>
      <c r="I133" s="38">
        <f>2033279403618</f>
        <v>2033279403618</v>
      </c>
      <c r="J133" s="38">
        <f>200000000000+334815703057</f>
        <v>534815703057</v>
      </c>
      <c r="K133" s="38">
        <f>1576020209937</f>
        <v>1576020209937</v>
      </c>
      <c r="L133" s="38">
        <f>3777737267748</f>
        <v>3777737267748</v>
      </c>
      <c r="M133" s="38">
        <f>-21989306809</f>
        <v>-21989306809</v>
      </c>
      <c r="N133" s="38">
        <f>-9810672972</f>
        <v>-9810672972</v>
      </c>
      <c r="O133" s="44">
        <v>0.8</v>
      </c>
      <c r="P133" s="40" t="s">
        <v>204</v>
      </c>
      <c r="Q133" s="38">
        <v>4</v>
      </c>
      <c r="R133" s="38">
        <v>6</v>
      </c>
      <c r="S133" s="38">
        <v>6</v>
      </c>
      <c r="T133" s="38">
        <f t="shared" si="13"/>
        <v>12</v>
      </c>
      <c r="U133" s="42">
        <v>0</v>
      </c>
      <c r="V133" s="38">
        <f>6+(2*3)+(2*0)+(3*2)</f>
        <v>18</v>
      </c>
      <c r="W133" s="38">
        <f t="shared" si="14"/>
        <v>18</v>
      </c>
      <c r="X133" s="38">
        <f>6+(2*6)</f>
        <v>18</v>
      </c>
      <c r="Y133" s="37"/>
    </row>
    <row r="134" spans="1:25" s="31" customFormat="1" ht="15" customHeight="1" x14ac:dyDescent="0.3">
      <c r="A134" s="36"/>
      <c r="B134" s="37">
        <v>13</v>
      </c>
      <c r="C134" s="29" t="s">
        <v>18</v>
      </c>
      <c r="D134" s="37">
        <v>2014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f>11829123*1000000</f>
        <v>11829123000000</v>
      </c>
      <c r="M134" s="38">
        <v>0</v>
      </c>
      <c r="N134" s="38">
        <v>0</v>
      </c>
      <c r="O134" s="39">
        <v>0</v>
      </c>
      <c r="P134" s="40">
        <v>0</v>
      </c>
      <c r="Q134" s="38">
        <v>0</v>
      </c>
      <c r="R134" s="38">
        <v>0</v>
      </c>
      <c r="S134" s="38"/>
      <c r="T134" s="38">
        <v>0</v>
      </c>
      <c r="U134" s="41">
        <v>0</v>
      </c>
      <c r="V134" s="38"/>
      <c r="W134" s="38">
        <f t="shared" ref="W134:W188" si="15">V134</f>
        <v>0</v>
      </c>
      <c r="X134" s="38"/>
      <c r="Y134" s="37"/>
    </row>
    <row r="135" spans="1:25" s="31" customFormat="1" ht="15" customHeight="1" x14ac:dyDescent="0.3">
      <c r="A135" s="36"/>
      <c r="B135" s="37"/>
      <c r="C135" s="29"/>
      <c r="D135" s="37">
        <v>2015</v>
      </c>
      <c r="E135" s="38">
        <f>1122634*1000000</f>
        <v>1122634000000</v>
      </c>
      <c r="F135" s="38">
        <f>(1122634+219359+89227+350886+762700)*1000000</f>
        <v>2544806000000</v>
      </c>
      <c r="G135" s="38">
        <f>36751228*1000000</f>
        <v>36751228000000</v>
      </c>
      <c r="H135" s="38">
        <f>1669747*1000000</f>
        <v>1669747000000</v>
      </c>
      <c r="I135" s="38">
        <f>29253480*1000000</f>
        <v>29253480000000</v>
      </c>
      <c r="J135" s="38">
        <f>7139557*1000000</f>
        <v>7139557000000</v>
      </c>
      <c r="K135" s="38">
        <f>7497748*1000000</f>
        <v>7497748000000</v>
      </c>
      <c r="L135" s="38">
        <f>8649082*1000000</f>
        <v>8649082000000</v>
      </c>
      <c r="M135" s="38">
        <f>2087325*1000000</f>
        <v>2087325000000</v>
      </c>
      <c r="N135" s="38">
        <f>1206782*1000000</f>
        <v>1206782000000</v>
      </c>
      <c r="O135" s="39">
        <v>0.95</v>
      </c>
      <c r="P135" s="40" t="s">
        <v>199</v>
      </c>
      <c r="Q135" s="38">
        <v>1</v>
      </c>
      <c r="R135" s="38">
        <v>6</v>
      </c>
      <c r="S135" s="38"/>
      <c r="T135" s="38">
        <v>9</v>
      </c>
      <c r="U135" s="42">
        <v>0</v>
      </c>
      <c r="V135" s="38"/>
      <c r="W135" s="38">
        <f t="shared" si="15"/>
        <v>0</v>
      </c>
      <c r="X135" s="38"/>
      <c r="Y135" s="37"/>
    </row>
    <row r="136" spans="1:25" s="31" customFormat="1" ht="15" customHeight="1" x14ac:dyDescent="0.3">
      <c r="A136" s="36"/>
      <c r="B136" s="37"/>
      <c r="C136" s="29"/>
      <c r="D136" s="37">
        <v>2016</v>
      </c>
      <c r="E136" s="38">
        <f>142660*1000000</f>
        <v>142660000000</v>
      </c>
      <c r="F136" s="38">
        <f>(142660+197862+121795+353663+826214)*1000000</f>
        <v>1642194000000</v>
      </c>
      <c r="G136" s="38">
        <f>39719030*1000000</f>
        <v>39719030000000</v>
      </c>
      <c r="H136" s="38">
        <f>1889789*1000000</f>
        <v>1889789000000</v>
      </c>
      <c r="I136" s="38">
        <f>31692909*1000000</f>
        <v>31692909000000</v>
      </c>
      <c r="J136" s="38">
        <f>7074914*1000000</f>
        <v>7074914000000</v>
      </c>
      <c r="K136" s="38">
        <f>8026121*1000000</f>
        <v>8026121000000</v>
      </c>
      <c r="L136" s="38">
        <f>11757985*1000000</f>
        <v>11757985000000</v>
      </c>
      <c r="M136" s="38">
        <f>257827*1000000</f>
        <v>257827000000</v>
      </c>
      <c r="N136" s="38">
        <f>661706*1000000</f>
        <v>661706000000</v>
      </c>
      <c r="O136" s="39">
        <v>0.95</v>
      </c>
      <c r="P136" s="40" t="s">
        <v>199</v>
      </c>
      <c r="Q136" s="38">
        <v>2</v>
      </c>
      <c r="R136" s="38">
        <v>4</v>
      </c>
      <c r="S136" s="38"/>
      <c r="T136" s="38">
        <v>7</v>
      </c>
      <c r="U136" s="42">
        <v>0</v>
      </c>
      <c r="V136" s="38"/>
      <c r="W136" s="38">
        <f t="shared" si="15"/>
        <v>0</v>
      </c>
      <c r="X136" s="38"/>
      <c r="Y136" s="37"/>
    </row>
    <row r="137" spans="1:25" s="31" customFormat="1" ht="15" customHeight="1" x14ac:dyDescent="0.3">
      <c r="A137" s="36"/>
      <c r="B137" s="37"/>
      <c r="C137" s="29"/>
      <c r="D137" s="37">
        <v>2017</v>
      </c>
      <c r="E137" s="38">
        <f>193739*1000000</f>
        <v>193739000000</v>
      </c>
      <c r="F137" s="38">
        <f>(193739+190721+46845+3077+72541+356343)*1000000</f>
        <v>863266000000</v>
      </c>
      <c r="G137" s="38">
        <f>45637074*1000000</f>
        <v>45637074000000</v>
      </c>
      <c r="H137" s="38">
        <f>2186058*1000000</f>
        <v>2186058000000</v>
      </c>
      <c r="I137" s="38">
        <f>34773790*1000000</f>
        <v>34773790000000</v>
      </c>
      <c r="J137" s="38">
        <f>7775349*1000000</f>
        <v>7775349000000</v>
      </c>
      <c r="K137" s="38">
        <f>10863284*1000000</f>
        <v>10863284000000</v>
      </c>
      <c r="L137" s="38">
        <f>11967658*1000000</f>
        <v>11967658000000</v>
      </c>
      <c r="M137" s="38">
        <f>604664*1000000</f>
        <v>604664000000</v>
      </c>
      <c r="N137" s="38">
        <f>2550825*1000000</f>
        <v>2550825000000</v>
      </c>
      <c r="O137" s="39">
        <v>0.95</v>
      </c>
      <c r="P137" s="40" t="s">
        <v>199</v>
      </c>
      <c r="Q137" s="38">
        <v>2</v>
      </c>
      <c r="R137" s="38">
        <v>4</v>
      </c>
      <c r="S137" s="38"/>
      <c r="T137" s="38">
        <v>9</v>
      </c>
      <c r="U137" s="42">
        <v>0</v>
      </c>
      <c r="V137" s="38"/>
      <c r="W137" s="38">
        <f t="shared" si="15"/>
        <v>0</v>
      </c>
      <c r="X137" s="38"/>
      <c r="Y137" s="37"/>
    </row>
    <row r="138" spans="1:25" s="31" customFormat="1" ht="15" customHeight="1" x14ac:dyDescent="0.3">
      <c r="A138" s="36"/>
      <c r="B138" s="37"/>
      <c r="C138" s="29"/>
      <c r="D138" s="37">
        <v>2018</v>
      </c>
      <c r="E138" s="38">
        <f>148516*1000000</f>
        <v>148516000000</v>
      </c>
      <c r="F138" s="38">
        <f>(148516+172940+199780+3077+183494+404258)*1000000</f>
        <v>1112065000000</v>
      </c>
      <c r="G138" s="38">
        <f>45704853*1000000</f>
        <v>45704853000000</v>
      </c>
      <c r="H138" s="38">
        <f>2116088*1000000</f>
        <v>2116088000000</v>
      </c>
      <c r="I138" s="38">
        <f>34451064*1000000</f>
        <v>34451064000000</v>
      </c>
      <c r="J138" s="38">
        <f>10304834*1000000</f>
        <v>10304834000000</v>
      </c>
      <c r="K138" s="38">
        <f>11253789*1000000</f>
        <v>11253789000000</v>
      </c>
      <c r="L138" s="38">
        <f>11029850*1000000</f>
        <v>11029850000000</v>
      </c>
      <c r="M138" s="38">
        <f>3015531*1000000</f>
        <v>3015531000000</v>
      </c>
      <c r="N138" s="38">
        <f>655664*1000000</f>
        <v>655664000000</v>
      </c>
      <c r="O138" s="39">
        <v>0.95</v>
      </c>
      <c r="P138" s="40" t="s">
        <v>199</v>
      </c>
      <c r="Q138" s="38">
        <v>2</v>
      </c>
      <c r="R138" s="38">
        <v>4</v>
      </c>
      <c r="S138" s="38"/>
      <c r="T138" s="38">
        <v>10</v>
      </c>
      <c r="U138" s="42">
        <v>0</v>
      </c>
      <c r="V138" s="38"/>
      <c r="W138" s="38">
        <f t="shared" si="15"/>
        <v>0</v>
      </c>
      <c r="X138" s="38"/>
      <c r="Y138" s="37"/>
    </row>
    <row r="139" spans="1:25" s="31" customFormat="1" ht="15" customHeight="1" x14ac:dyDescent="0.3">
      <c r="A139" s="36"/>
      <c r="B139" s="37"/>
      <c r="C139" s="29"/>
      <c r="D139" s="37">
        <v>2019</v>
      </c>
      <c r="E139" s="38">
        <f>220929*1000000</f>
        <v>220929000000</v>
      </c>
      <c r="F139" s="38">
        <f>(220929+159080+348664+3077+276339+432327)*1000000</f>
        <v>1440416000000</v>
      </c>
      <c r="G139" s="38">
        <f>51009132*1000000</f>
        <v>51009132000000</v>
      </c>
      <c r="H139" s="38">
        <f>2514494*1000000</f>
        <v>2514494000000</v>
      </c>
      <c r="I139" s="38">
        <f>36916849*1000000</f>
        <v>36916849000000</v>
      </c>
      <c r="J139" s="38">
        <f>10833727*1000000</f>
        <v>10833727000000</v>
      </c>
      <c r="K139" s="38">
        <f>14092283*1000000</f>
        <v>14092283000000</v>
      </c>
      <c r="L139" s="38">
        <f>11257713*1000000</f>
        <v>11257713000000</v>
      </c>
      <c r="M139" s="38">
        <f>790333*1000000</f>
        <v>790333000000</v>
      </c>
      <c r="N139" s="38">
        <f>2838494*1000000</f>
        <v>2838494000000</v>
      </c>
      <c r="O139" s="39">
        <v>0.95</v>
      </c>
      <c r="P139" s="40" t="s">
        <v>199</v>
      </c>
      <c r="Q139" s="38">
        <v>2</v>
      </c>
      <c r="R139" s="38">
        <v>4</v>
      </c>
      <c r="S139" s="38"/>
      <c r="T139" s="38">
        <v>9</v>
      </c>
      <c r="U139" s="42">
        <v>0</v>
      </c>
      <c r="V139" s="38"/>
      <c r="W139" s="38">
        <f t="shared" si="15"/>
        <v>0</v>
      </c>
      <c r="X139" s="38"/>
      <c r="Y139" s="37"/>
    </row>
    <row r="140" spans="1:25" s="31" customFormat="1" ht="15" customHeight="1" x14ac:dyDescent="0.3">
      <c r="A140" s="36"/>
      <c r="B140" s="37"/>
      <c r="C140" s="29"/>
      <c r="D140" s="37">
        <v>2020</v>
      </c>
      <c r="E140" s="38">
        <f>824652*1000000</f>
        <v>824652000000</v>
      </c>
      <c r="F140" s="38">
        <f>(824652+204200+312972+386492+406209)*1000000</f>
        <v>2134525000000</v>
      </c>
      <c r="G140" s="38">
        <f>57279397*1000000</f>
        <v>57279397000000</v>
      </c>
      <c r="H140" s="38">
        <f>3170242*1000000</f>
        <v>3170242000000</v>
      </c>
      <c r="I140" s="38">
        <f>41705262*1000000</f>
        <v>41705262000000</v>
      </c>
      <c r="J140" s="38">
        <f>11714900*1000000</f>
        <v>11714900000000</v>
      </c>
      <c r="K140" s="38">
        <f>15574135*1000000</f>
        <v>15574135000000</v>
      </c>
      <c r="L140" s="38">
        <f>12505875*1000000</f>
        <v>12505875000000</v>
      </c>
      <c r="M140" s="38">
        <f>1107801*1000000</f>
        <v>1107801000000</v>
      </c>
      <c r="N140" s="38">
        <f>1490576*1000000</f>
        <v>1490576000000</v>
      </c>
      <c r="O140" s="39">
        <v>0.95</v>
      </c>
      <c r="P140" s="40" t="s">
        <v>200</v>
      </c>
      <c r="Q140" s="38">
        <v>2</v>
      </c>
      <c r="R140" s="38">
        <v>4</v>
      </c>
      <c r="S140" s="38"/>
      <c r="T140" s="38">
        <v>10</v>
      </c>
      <c r="U140" s="42">
        <v>0</v>
      </c>
      <c r="V140" s="38"/>
      <c r="W140" s="38">
        <f t="shared" si="15"/>
        <v>0</v>
      </c>
      <c r="X140" s="38"/>
      <c r="Y140" s="37"/>
    </row>
    <row r="141" spans="1:25" s="31" customFormat="1" ht="15" customHeight="1" x14ac:dyDescent="0.3">
      <c r="A141" s="36"/>
      <c r="B141" s="37"/>
      <c r="C141" s="29"/>
      <c r="D141" s="37">
        <v>2021</v>
      </c>
      <c r="E141" s="38">
        <f>387462*1000000</f>
        <v>387462000000</v>
      </c>
      <c r="F141" s="38">
        <f>(387462+219939+340011+490255+446674)*1000000</f>
        <v>1884341000000</v>
      </c>
      <c r="G141" s="38">
        <f>59794320*1000000</f>
        <v>59794320000000</v>
      </c>
      <c r="H141" s="38">
        <f>2952975*1000000</f>
        <v>2952975000000</v>
      </c>
      <c r="I141" s="38">
        <f>44511042*1000000</f>
        <v>44511042000000</v>
      </c>
      <c r="J141" s="38">
        <f>11564420*1000000</f>
        <v>11564420000000</v>
      </c>
      <c r="K141" s="38">
        <f>15283277*1000000</f>
        <v>15283277000000</v>
      </c>
      <c r="L141" s="38">
        <f>15641844*1000000</f>
        <v>15641844000000</v>
      </c>
      <c r="M141" s="38">
        <f>1463790*1000000</f>
        <v>1463790000000</v>
      </c>
      <c r="N141" s="38">
        <f>1136142*1000000</f>
        <v>1136142000000</v>
      </c>
      <c r="O141" s="39">
        <v>0.95</v>
      </c>
      <c r="P141" s="40" t="s">
        <v>200</v>
      </c>
      <c r="Q141" s="38">
        <v>2</v>
      </c>
      <c r="R141" s="38">
        <v>4</v>
      </c>
      <c r="S141" s="38"/>
      <c r="T141" s="38">
        <v>10</v>
      </c>
      <c r="U141" s="42">
        <v>0</v>
      </c>
      <c r="V141" s="38"/>
      <c r="W141" s="38">
        <f t="shared" si="15"/>
        <v>0</v>
      </c>
      <c r="X141" s="38"/>
      <c r="Y141" s="37"/>
    </row>
    <row r="142" spans="1:25" s="31" customFormat="1" ht="15" customHeight="1" x14ac:dyDescent="0.3">
      <c r="A142" s="36"/>
      <c r="B142" s="37"/>
      <c r="C142" s="29"/>
      <c r="D142" s="37">
        <v>2022</v>
      </c>
      <c r="E142" s="38">
        <f>481070*1000000</f>
        <v>481070000000</v>
      </c>
      <c r="F142" s="38">
        <f>(481070+304910+284325+680647+491757)*1000000</f>
        <v>2242709000000</v>
      </c>
      <c r="G142" s="38">
        <f>59078951*1000000</f>
        <v>59078951000000</v>
      </c>
      <c r="H142" s="38">
        <f>3343074*1000000</f>
        <v>3343074000000</v>
      </c>
      <c r="I142" s="38">
        <f>44294497*1000000</f>
        <v>44294497000000</v>
      </c>
      <c r="J142" s="38">
        <f>12118525*1000000</f>
        <v>12118525000000</v>
      </c>
      <c r="K142" s="38">
        <f>14784454*1000000</f>
        <v>14784454000000</v>
      </c>
      <c r="L142" s="38">
        <f>11832135*1000000</f>
        <v>11832135000000</v>
      </c>
      <c r="M142" s="38">
        <f>1618988*1000000</f>
        <v>1618988000000</v>
      </c>
      <c r="N142" s="38">
        <f>423400*1000000</f>
        <v>423400000000</v>
      </c>
      <c r="O142" s="39">
        <v>0.95</v>
      </c>
      <c r="P142" s="40" t="s">
        <v>200</v>
      </c>
      <c r="Q142" s="38">
        <v>2</v>
      </c>
      <c r="R142" s="38">
        <v>4</v>
      </c>
      <c r="S142" s="38"/>
      <c r="T142" s="38">
        <v>9</v>
      </c>
      <c r="U142" s="42">
        <v>0</v>
      </c>
      <c r="V142" s="38"/>
      <c r="W142" s="38">
        <f t="shared" si="15"/>
        <v>0</v>
      </c>
      <c r="X142" s="38"/>
      <c r="Y142" s="37"/>
    </row>
    <row r="143" spans="1:25" s="31" customFormat="1" ht="15" customHeight="1" x14ac:dyDescent="0.3">
      <c r="A143" s="36"/>
      <c r="B143" s="37"/>
      <c r="C143" s="29"/>
      <c r="D143" s="37">
        <v>2023</v>
      </c>
      <c r="E143" s="38">
        <f>703003*1000000</f>
        <v>703003000000</v>
      </c>
      <c r="F143" s="38">
        <f>(703003+347800+246249+648196+530811)*1000000</f>
        <v>2476059000000</v>
      </c>
      <c r="G143" s="38">
        <f>62274577*1000000</f>
        <v>62274577000000</v>
      </c>
      <c r="H143" s="38">
        <f>4202144*1000000</f>
        <v>4202144000000</v>
      </c>
      <c r="I143" s="38">
        <f>47176200*1000000</f>
        <v>47176200000000</v>
      </c>
      <c r="J143" s="38">
        <f>11559527*1000000</f>
        <v>11559527000000</v>
      </c>
      <c r="K143" s="38">
        <f>15098377*1000000</f>
        <v>15098377000000</v>
      </c>
      <c r="L143" s="38">
        <f>13679103*1000000</f>
        <v>13679103000000</v>
      </c>
      <c r="M143" s="38">
        <f>587317*1000000</f>
        <v>587317000000</v>
      </c>
      <c r="N143" s="38">
        <f>1284071*1000000</f>
        <v>1284071000000</v>
      </c>
      <c r="O143" s="39">
        <v>0.95</v>
      </c>
      <c r="P143" s="40" t="s">
        <v>200</v>
      </c>
      <c r="Q143" s="38">
        <v>2</v>
      </c>
      <c r="R143" s="38">
        <v>4</v>
      </c>
      <c r="S143" s="38"/>
      <c r="T143" s="38">
        <v>9</v>
      </c>
      <c r="U143" s="42">
        <v>0</v>
      </c>
      <c r="V143" s="38"/>
      <c r="W143" s="38">
        <f t="shared" si="15"/>
        <v>0</v>
      </c>
      <c r="X143" s="38"/>
      <c r="Y143" s="37"/>
    </row>
    <row r="144" spans="1:25" s="31" customFormat="1" ht="15" customHeight="1" x14ac:dyDescent="0.3">
      <c r="A144" s="36"/>
      <c r="B144" s="37"/>
      <c r="C144" s="29"/>
      <c r="D144" s="37">
        <v>2024</v>
      </c>
      <c r="E144" s="38">
        <f>1059886*1000000</f>
        <v>1059886000000</v>
      </c>
      <c r="F144" s="38">
        <f>(1059886+399221+181703+614466+570398)*1000000</f>
        <v>2825674000000</v>
      </c>
      <c r="G144" s="38">
        <f>61973362*1000000</f>
        <v>61973362000000</v>
      </c>
      <c r="H144" s="38">
        <f>4478469*1000000</f>
        <v>4478469000000</v>
      </c>
      <c r="I144" s="38">
        <f>46335611*1000000</f>
        <v>46335611000000</v>
      </c>
      <c r="J144" s="38">
        <f>12658859*1000000</f>
        <v>12658859000000</v>
      </c>
      <c r="K144" s="38">
        <f>15637751*1000000</f>
        <v>15637751000000</v>
      </c>
      <c r="L144" s="38">
        <f>12880538*1000000</f>
        <v>12880538000000</v>
      </c>
      <c r="M144" s="38">
        <f>2011008*1000000</f>
        <v>2011008000000</v>
      </c>
      <c r="N144" s="38">
        <f>1280096*1000000</f>
        <v>1280096000000</v>
      </c>
      <c r="O144" s="39">
        <v>0.95</v>
      </c>
      <c r="P144" s="40"/>
      <c r="Q144" s="38">
        <v>2</v>
      </c>
      <c r="R144" s="38">
        <v>4</v>
      </c>
      <c r="S144" s="38"/>
      <c r="T144" s="38">
        <v>9</v>
      </c>
      <c r="U144" s="42">
        <v>0</v>
      </c>
      <c r="V144" s="38"/>
      <c r="W144" s="38">
        <f t="shared" si="15"/>
        <v>0</v>
      </c>
      <c r="X144" s="38"/>
      <c r="Y144" s="37"/>
    </row>
    <row r="145" spans="1:25" s="31" customFormat="1" ht="15" customHeight="1" x14ac:dyDescent="0.3">
      <c r="A145" s="36"/>
      <c r="B145" s="37">
        <v>14</v>
      </c>
      <c r="C145" s="45" t="s">
        <v>57</v>
      </c>
      <c r="D145" s="37">
        <v>2014</v>
      </c>
      <c r="E145" s="38"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48">
        <v>0</v>
      </c>
      <c r="P145" s="40">
        <v>0</v>
      </c>
      <c r="Q145" s="38">
        <v>0</v>
      </c>
      <c r="R145" s="38">
        <v>0</v>
      </c>
      <c r="S145" s="38"/>
      <c r="T145" s="38">
        <v>0</v>
      </c>
      <c r="U145" s="41">
        <v>0</v>
      </c>
      <c r="V145" s="38"/>
      <c r="W145" s="38">
        <f t="shared" si="15"/>
        <v>0</v>
      </c>
      <c r="X145" s="38"/>
      <c r="Y145" s="37" t="s">
        <v>203</v>
      </c>
    </row>
    <row r="146" spans="1:25" s="31" customFormat="1" ht="15" customHeight="1" x14ac:dyDescent="0.3">
      <c r="A146" s="36"/>
      <c r="B146" s="37"/>
      <c r="C146" s="45"/>
      <c r="D146" s="37">
        <v>2015</v>
      </c>
      <c r="E146" s="38">
        <v>0</v>
      </c>
      <c r="F146" s="38">
        <v>0</v>
      </c>
      <c r="G146" s="38">
        <v>0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9">
        <v>0</v>
      </c>
      <c r="P146" s="40">
        <v>0</v>
      </c>
      <c r="Q146" s="38">
        <v>0</v>
      </c>
      <c r="R146" s="38">
        <v>0</v>
      </c>
      <c r="S146" s="38"/>
      <c r="T146" s="38">
        <v>0</v>
      </c>
      <c r="U146" s="41">
        <v>0</v>
      </c>
      <c r="V146" s="38"/>
      <c r="W146" s="38">
        <f t="shared" si="15"/>
        <v>0</v>
      </c>
      <c r="X146" s="38"/>
      <c r="Y146" s="37"/>
    </row>
    <row r="147" spans="1:25" s="31" customFormat="1" ht="15" customHeight="1" x14ac:dyDescent="0.3">
      <c r="A147" s="36"/>
      <c r="B147" s="37"/>
      <c r="C147" s="45"/>
      <c r="D147" s="37">
        <v>2016</v>
      </c>
      <c r="E147" s="38">
        <v>0</v>
      </c>
      <c r="F147" s="38">
        <v>0</v>
      </c>
      <c r="G147" s="38">
        <v>0</v>
      </c>
      <c r="H147" s="38">
        <v>0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0</v>
      </c>
      <c r="O147" s="39">
        <v>0</v>
      </c>
      <c r="P147" s="40">
        <v>0</v>
      </c>
      <c r="Q147" s="38">
        <v>0</v>
      </c>
      <c r="R147" s="38">
        <v>0</v>
      </c>
      <c r="S147" s="38"/>
      <c r="T147" s="38">
        <v>0</v>
      </c>
      <c r="U147" s="41">
        <v>0</v>
      </c>
      <c r="V147" s="38"/>
      <c r="W147" s="38">
        <f t="shared" si="15"/>
        <v>0</v>
      </c>
      <c r="X147" s="38"/>
      <c r="Y147" s="37"/>
    </row>
    <row r="148" spans="1:25" s="31" customFormat="1" ht="15" customHeight="1" x14ac:dyDescent="0.3">
      <c r="A148" s="36"/>
      <c r="B148" s="37"/>
      <c r="C148" s="45"/>
      <c r="D148" s="37">
        <v>2017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9">
        <v>0</v>
      </c>
      <c r="P148" s="40">
        <v>0</v>
      </c>
      <c r="Q148" s="38">
        <v>0</v>
      </c>
      <c r="R148" s="38">
        <v>0</v>
      </c>
      <c r="S148" s="38"/>
      <c r="T148" s="38">
        <v>0</v>
      </c>
      <c r="U148" s="41">
        <v>0</v>
      </c>
      <c r="V148" s="38"/>
      <c r="W148" s="38">
        <f t="shared" si="15"/>
        <v>0</v>
      </c>
      <c r="X148" s="38"/>
      <c r="Y148" s="37"/>
    </row>
    <row r="149" spans="1:25" s="31" customFormat="1" ht="15" customHeight="1" x14ac:dyDescent="0.3">
      <c r="A149" s="36"/>
      <c r="B149" s="37"/>
      <c r="C149" s="45"/>
      <c r="D149" s="37">
        <v>2018</v>
      </c>
      <c r="E149" s="38">
        <v>0</v>
      </c>
      <c r="F149" s="38">
        <v>0</v>
      </c>
      <c r="G149" s="38">
        <v>0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9">
        <v>0</v>
      </c>
      <c r="P149" s="40">
        <v>0</v>
      </c>
      <c r="Q149" s="38">
        <v>0</v>
      </c>
      <c r="R149" s="38">
        <v>0</v>
      </c>
      <c r="S149" s="38"/>
      <c r="T149" s="38">
        <v>0</v>
      </c>
      <c r="U149" s="41">
        <v>0</v>
      </c>
      <c r="V149" s="38"/>
      <c r="W149" s="38">
        <f t="shared" si="15"/>
        <v>0</v>
      </c>
      <c r="X149" s="38"/>
      <c r="Y149" s="37"/>
    </row>
    <row r="150" spans="1:25" s="31" customFormat="1" ht="15" customHeight="1" x14ac:dyDescent="0.3">
      <c r="A150" s="36"/>
      <c r="B150" s="37"/>
      <c r="C150" s="45"/>
      <c r="D150" s="37">
        <v>2019</v>
      </c>
      <c r="E150" s="38">
        <v>0</v>
      </c>
      <c r="F150" s="38">
        <v>0</v>
      </c>
      <c r="G150" s="38">
        <v>0</v>
      </c>
      <c r="H150" s="38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38">
        <v>0</v>
      </c>
      <c r="O150" s="39">
        <v>0</v>
      </c>
      <c r="P150" s="40">
        <v>0</v>
      </c>
      <c r="Q150" s="38">
        <v>0</v>
      </c>
      <c r="R150" s="38">
        <v>0</v>
      </c>
      <c r="S150" s="38"/>
      <c r="T150" s="38">
        <v>0</v>
      </c>
      <c r="U150" s="41">
        <v>0</v>
      </c>
      <c r="V150" s="38"/>
      <c r="W150" s="38">
        <f t="shared" si="15"/>
        <v>0</v>
      </c>
      <c r="X150" s="38"/>
      <c r="Y150" s="37"/>
    </row>
    <row r="151" spans="1:25" s="31" customFormat="1" ht="15" customHeight="1" x14ac:dyDescent="0.3">
      <c r="A151" s="36"/>
      <c r="B151" s="37"/>
      <c r="C151" s="45"/>
      <c r="D151" s="37">
        <v>2020</v>
      </c>
      <c r="E151" s="38">
        <v>0</v>
      </c>
      <c r="F151" s="38">
        <v>0</v>
      </c>
      <c r="G151" s="38">
        <v>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9">
        <v>0</v>
      </c>
      <c r="P151" s="40">
        <v>0</v>
      </c>
      <c r="Q151" s="38">
        <v>0</v>
      </c>
      <c r="R151" s="38">
        <v>0</v>
      </c>
      <c r="S151" s="38"/>
      <c r="T151" s="38">
        <v>0</v>
      </c>
      <c r="U151" s="41">
        <v>0</v>
      </c>
      <c r="V151" s="38"/>
      <c r="W151" s="38">
        <f t="shared" si="15"/>
        <v>0</v>
      </c>
      <c r="X151" s="38"/>
      <c r="Y151" s="37"/>
    </row>
    <row r="152" spans="1:25" s="31" customFormat="1" ht="15" customHeight="1" x14ac:dyDescent="0.3">
      <c r="A152" s="36"/>
      <c r="B152" s="37"/>
      <c r="C152" s="45"/>
      <c r="D152" s="37">
        <v>2021</v>
      </c>
      <c r="E152" s="38">
        <v>0</v>
      </c>
      <c r="F152" s="38">
        <v>0</v>
      </c>
      <c r="G152" s="38">
        <v>0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9">
        <v>0</v>
      </c>
      <c r="P152" s="40">
        <v>0</v>
      </c>
      <c r="Q152" s="38">
        <v>0</v>
      </c>
      <c r="R152" s="38">
        <v>0</v>
      </c>
      <c r="S152" s="38"/>
      <c r="T152" s="38">
        <v>0</v>
      </c>
      <c r="U152" s="41">
        <v>0</v>
      </c>
      <c r="V152" s="38"/>
      <c r="W152" s="38">
        <f t="shared" si="15"/>
        <v>0</v>
      </c>
      <c r="X152" s="38"/>
      <c r="Y152" s="37"/>
    </row>
    <row r="153" spans="1:25" s="31" customFormat="1" ht="15" customHeight="1" x14ac:dyDescent="0.3">
      <c r="A153" s="36"/>
      <c r="B153" s="37"/>
      <c r="C153" s="45"/>
      <c r="D153" s="37">
        <v>2022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9">
        <v>0</v>
      </c>
      <c r="P153" s="40">
        <v>0</v>
      </c>
      <c r="Q153" s="38">
        <v>0</v>
      </c>
      <c r="R153" s="38">
        <v>0</v>
      </c>
      <c r="S153" s="38"/>
      <c r="T153" s="38">
        <v>0</v>
      </c>
      <c r="U153" s="41">
        <v>0</v>
      </c>
      <c r="V153" s="38"/>
      <c r="W153" s="38">
        <f t="shared" si="15"/>
        <v>0</v>
      </c>
      <c r="X153" s="38"/>
      <c r="Y153" s="37"/>
    </row>
    <row r="154" spans="1:25" s="31" customFormat="1" ht="15" customHeight="1" x14ac:dyDescent="0.3">
      <c r="A154" s="36"/>
      <c r="B154" s="37"/>
      <c r="C154" s="45"/>
      <c r="D154" s="37">
        <v>2023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9">
        <v>0</v>
      </c>
      <c r="P154" s="40">
        <v>0</v>
      </c>
      <c r="Q154" s="38">
        <v>0</v>
      </c>
      <c r="R154" s="38">
        <v>0</v>
      </c>
      <c r="S154" s="38"/>
      <c r="T154" s="38">
        <v>0</v>
      </c>
      <c r="U154" s="41">
        <v>0</v>
      </c>
      <c r="V154" s="38"/>
      <c r="W154" s="38">
        <f t="shared" si="15"/>
        <v>0</v>
      </c>
      <c r="X154" s="38"/>
      <c r="Y154" s="37"/>
    </row>
    <row r="155" spans="1:25" s="31" customFormat="1" ht="15" customHeight="1" x14ac:dyDescent="0.3">
      <c r="A155" s="36"/>
      <c r="B155" s="37"/>
      <c r="C155" s="45"/>
      <c r="D155" s="37">
        <v>2024</v>
      </c>
      <c r="E155" s="38">
        <f>62404*1000000</f>
        <v>62404000000</v>
      </c>
      <c r="F155" s="38">
        <f>(62404+2624+67727+13001+3720)*1000000</f>
        <v>149476000000</v>
      </c>
      <c r="G155" s="38">
        <f>1272836*1000000</f>
        <v>1272836000000</v>
      </c>
      <c r="H155" s="38">
        <f>(2613+46484+2018+45345)*1000000</f>
        <v>96460000000</v>
      </c>
      <c r="I155" s="38">
        <f>(2613+46484+2018+45345+28081+6439+7331+2605+28459)*1000000</f>
        <v>169375000000</v>
      </c>
      <c r="J155" s="38">
        <f>3064*1000000</f>
        <v>3064000000</v>
      </c>
      <c r="K155" s="38">
        <f>(339023+247+3064)*1000000</f>
        <v>342334000000</v>
      </c>
      <c r="L155" s="38">
        <f>66464*1000000</f>
        <v>66464000000</v>
      </c>
      <c r="M155" s="38">
        <f>6563*1000000</f>
        <v>6563000000</v>
      </c>
      <c r="N155" s="38">
        <f>3278*1000000</f>
        <v>3278000000</v>
      </c>
      <c r="O155" s="39">
        <v>0.99</v>
      </c>
      <c r="P155" s="40" t="s">
        <v>18</v>
      </c>
      <c r="Q155" s="38">
        <v>2</v>
      </c>
      <c r="R155" s="38">
        <v>3</v>
      </c>
      <c r="S155" s="38"/>
      <c r="T155" s="38">
        <v>6</v>
      </c>
      <c r="U155" s="42">
        <v>0</v>
      </c>
      <c r="V155" s="38"/>
      <c r="W155" s="38">
        <f t="shared" si="15"/>
        <v>0</v>
      </c>
      <c r="X155" s="38"/>
      <c r="Y155" s="37"/>
    </row>
    <row r="156" spans="1:25" s="31" customFormat="1" ht="15" customHeight="1" x14ac:dyDescent="0.3">
      <c r="A156" s="36"/>
      <c r="B156" s="37">
        <v>15</v>
      </c>
      <c r="C156" s="29" t="s">
        <v>25</v>
      </c>
      <c r="D156" s="37">
        <v>2014</v>
      </c>
      <c r="E156" s="46">
        <v>0</v>
      </c>
      <c r="F156" s="46">
        <v>0</v>
      </c>
      <c r="G156" s="46">
        <v>0</v>
      </c>
      <c r="H156" s="46">
        <v>0</v>
      </c>
      <c r="I156" s="46">
        <v>0</v>
      </c>
      <c r="J156" s="46">
        <v>0</v>
      </c>
      <c r="K156" s="46">
        <v>0</v>
      </c>
      <c r="L156" s="46">
        <v>0</v>
      </c>
      <c r="M156" s="46">
        <v>0</v>
      </c>
      <c r="N156" s="46">
        <v>0</v>
      </c>
      <c r="O156" s="48">
        <v>0</v>
      </c>
      <c r="P156" s="40">
        <v>0</v>
      </c>
      <c r="Q156" s="46">
        <v>0</v>
      </c>
      <c r="R156" s="46">
        <v>0</v>
      </c>
      <c r="S156" s="46"/>
      <c r="T156" s="46">
        <v>0</v>
      </c>
      <c r="U156" s="47">
        <v>0</v>
      </c>
      <c r="V156" s="46"/>
      <c r="W156" s="38">
        <f t="shared" si="15"/>
        <v>0</v>
      </c>
      <c r="X156" s="46"/>
      <c r="Y156" s="37" t="s">
        <v>202</v>
      </c>
    </row>
    <row r="157" spans="1:25" s="31" customFormat="1" ht="15" customHeight="1" x14ac:dyDescent="0.3">
      <c r="A157" s="36"/>
      <c r="B157" s="37"/>
      <c r="C157" s="29"/>
      <c r="D157" s="37">
        <v>2015</v>
      </c>
      <c r="E157" s="46">
        <v>0</v>
      </c>
      <c r="F157" s="46">
        <v>0</v>
      </c>
      <c r="G157" s="46">
        <v>0</v>
      </c>
      <c r="H157" s="46">
        <v>0</v>
      </c>
      <c r="I157" s="46">
        <v>0</v>
      </c>
      <c r="J157" s="46">
        <v>0</v>
      </c>
      <c r="K157" s="46">
        <v>0</v>
      </c>
      <c r="L157" s="46">
        <v>0</v>
      </c>
      <c r="M157" s="46">
        <v>0</v>
      </c>
      <c r="N157" s="46">
        <v>0</v>
      </c>
      <c r="O157" s="39">
        <v>0</v>
      </c>
      <c r="P157" s="40">
        <v>0</v>
      </c>
      <c r="Q157" s="46">
        <v>0</v>
      </c>
      <c r="R157" s="46">
        <v>0</v>
      </c>
      <c r="S157" s="46"/>
      <c r="T157" s="46">
        <v>0</v>
      </c>
      <c r="U157" s="47">
        <v>0</v>
      </c>
      <c r="V157" s="46"/>
      <c r="W157" s="38">
        <f t="shared" si="15"/>
        <v>0</v>
      </c>
      <c r="X157" s="46"/>
      <c r="Y157" s="37"/>
    </row>
    <row r="158" spans="1:25" s="31" customFormat="1" ht="15" customHeight="1" x14ac:dyDescent="0.3">
      <c r="A158" s="36"/>
      <c r="B158" s="37"/>
      <c r="C158" s="29"/>
      <c r="D158" s="37">
        <v>2016</v>
      </c>
      <c r="E158" s="46">
        <v>0</v>
      </c>
      <c r="F158" s="46">
        <v>0</v>
      </c>
      <c r="G158" s="46">
        <v>0</v>
      </c>
      <c r="H158" s="46">
        <v>0</v>
      </c>
      <c r="I158" s="46">
        <v>0</v>
      </c>
      <c r="J158" s="46">
        <v>0</v>
      </c>
      <c r="K158" s="46">
        <v>0</v>
      </c>
      <c r="L158" s="46">
        <v>0</v>
      </c>
      <c r="M158" s="46">
        <v>0</v>
      </c>
      <c r="N158" s="46">
        <v>0</v>
      </c>
      <c r="O158" s="39">
        <v>0</v>
      </c>
      <c r="P158" s="40">
        <v>0</v>
      </c>
      <c r="Q158" s="46">
        <v>0</v>
      </c>
      <c r="R158" s="46">
        <v>0</v>
      </c>
      <c r="S158" s="46"/>
      <c r="T158" s="46">
        <v>0</v>
      </c>
      <c r="U158" s="47">
        <v>0</v>
      </c>
      <c r="V158" s="46"/>
      <c r="W158" s="38">
        <f t="shared" si="15"/>
        <v>0</v>
      </c>
      <c r="X158" s="46"/>
      <c r="Y158" s="37"/>
    </row>
    <row r="159" spans="1:25" s="31" customFormat="1" ht="15" customHeight="1" x14ac:dyDescent="0.3">
      <c r="A159" s="36"/>
      <c r="B159" s="37"/>
      <c r="C159" s="29"/>
      <c r="D159" s="37">
        <v>2017</v>
      </c>
      <c r="E159" s="38">
        <f>962*1000000</f>
        <v>962000000</v>
      </c>
      <c r="F159" s="38">
        <f>(962+12528.57+9783.97+527.07)*1000000</f>
        <v>23801610000</v>
      </c>
      <c r="G159" s="38">
        <f>202382.38*1000000</f>
        <v>202382380000</v>
      </c>
      <c r="H159" s="38">
        <f>19628.41*1000000</f>
        <v>19628410000</v>
      </c>
      <c r="I159" s="38">
        <f>46880.84*1000000</f>
        <v>46880840000</v>
      </c>
      <c r="J159" s="38">
        <f>501.54*1000000</f>
        <v>501540000</v>
      </c>
      <c r="K159" s="38">
        <f>155501.54*1000000</f>
        <v>155501540000</v>
      </c>
      <c r="L159" s="38">
        <f>25110.39*1000000</f>
        <v>25110390000</v>
      </c>
      <c r="M159" s="38">
        <f>452.96*1000000</f>
        <v>452960000</v>
      </c>
      <c r="N159" s="38">
        <f>501.54*1000000</f>
        <v>501540000</v>
      </c>
      <c r="O159" s="39">
        <v>0</v>
      </c>
      <c r="P159" s="40">
        <v>0</v>
      </c>
      <c r="Q159" s="38">
        <v>0</v>
      </c>
      <c r="R159" s="38">
        <v>0</v>
      </c>
      <c r="S159" s="38"/>
      <c r="T159" s="38">
        <v>0</v>
      </c>
      <c r="U159" s="41">
        <v>0</v>
      </c>
      <c r="V159" s="38"/>
      <c r="W159" s="38">
        <f t="shared" si="15"/>
        <v>0</v>
      </c>
      <c r="X159" s="38"/>
      <c r="Y159" s="37"/>
    </row>
    <row r="160" spans="1:25" s="31" customFormat="1" ht="15" customHeight="1" x14ac:dyDescent="0.3">
      <c r="A160" s="36"/>
      <c r="B160" s="37"/>
      <c r="C160" s="29"/>
      <c r="D160" s="37">
        <v>2018</v>
      </c>
      <c r="E160" s="38">
        <f>6170.29*1000000</f>
        <v>6170290000</v>
      </c>
      <c r="F160" s="38">
        <f>(6170.29+31814.05+31814.08+3282.03+482.43)*1000000</f>
        <v>73562879999.999985</v>
      </c>
      <c r="G160" s="38">
        <f>237879.5*1000000</f>
        <v>237879500000</v>
      </c>
      <c r="H160" s="38">
        <f>15510.57*1000000</f>
        <v>15510570000</v>
      </c>
      <c r="I160" s="38">
        <f>80917.56*1000000</f>
        <v>80917560000</v>
      </c>
      <c r="J160" s="38">
        <f>1895.37*1000000</f>
        <v>1895370000</v>
      </c>
      <c r="K160" s="38">
        <f>156961.94*1000000</f>
        <v>156961940000</v>
      </c>
      <c r="L160" s="38">
        <f>50628.93*1000000</f>
        <v>50628930000</v>
      </c>
      <c r="M160" s="38">
        <f>1334.05*1000000</f>
        <v>1334050000</v>
      </c>
      <c r="N160" s="38">
        <f>1460.4*1000000</f>
        <v>1460400000</v>
      </c>
      <c r="O160" s="39">
        <v>0.99</v>
      </c>
      <c r="P160" s="40" t="s">
        <v>201</v>
      </c>
      <c r="Q160" s="38">
        <v>2</v>
      </c>
      <c r="R160" s="38">
        <v>3</v>
      </c>
      <c r="S160" s="38"/>
      <c r="T160" s="38">
        <v>6</v>
      </c>
      <c r="U160" s="42">
        <v>0</v>
      </c>
      <c r="V160" s="38"/>
      <c r="W160" s="38">
        <f t="shared" si="15"/>
        <v>0</v>
      </c>
      <c r="X160" s="38"/>
      <c r="Y160" s="37"/>
    </row>
    <row r="161" spans="1:25" s="31" customFormat="1" ht="15" customHeight="1" x14ac:dyDescent="0.3">
      <c r="A161" s="36"/>
      <c r="B161" s="37"/>
      <c r="C161" s="29"/>
      <c r="D161" s="37">
        <v>2019</v>
      </c>
      <c r="E161" s="38">
        <f>4984.62*1000000</f>
        <v>4984620000</v>
      </c>
      <c r="F161" s="38">
        <f>(4984.62+12991.25+33459.14+8611.18+481.17)*1000000</f>
        <v>60527359999.999992</v>
      </c>
      <c r="G161" s="38">
        <f>254091.99*1000000</f>
        <v>254091990000</v>
      </c>
      <c r="H161" s="38">
        <f>18574.37*1000000</f>
        <v>18574370000</v>
      </c>
      <c r="I161" s="38">
        <f>91675.33*1000000</f>
        <v>91675330000</v>
      </c>
      <c r="J161" s="38">
        <f>4465.41*1000000</f>
        <v>4465410000</v>
      </c>
      <c r="K161" s="38">
        <f>162416.66*1000000</f>
        <v>162416660000</v>
      </c>
      <c r="L161" s="38">
        <f>63371.11*1000000</f>
        <v>63371110000</v>
      </c>
      <c r="M161" s="38">
        <f>2407.93*1000000</f>
        <v>2407930000</v>
      </c>
      <c r="N161" s="38">
        <f>5454.72*1000000</f>
        <v>5454720000</v>
      </c>
      <c r="O161" s="39">
        <v>0.99</v>
      </c>
      <c r="P161" s="40" t="s">
        <v>201</v>
      </c>
      <c r="Q161" s="38">
        <v>2</v>
      </c>
      <c r="R161" s="38">
        <v>3</v>
      </c>
      <c r="S161" s="38"/>
      <c r="T161" s="38">
        <v>6</v>
      </c>
      <c r="U161" s="42">
        <v>0</v>
      </c>
      <c r="V161" s="38"/>
      <c r="W161" s="38">
        <f t="shared" si="15"/>
        <v>0</v>
      </c>
      <c r="X161" s="38"/>
      <c r="Y161" s="37"/>
    </row>
    <row r="162" spans="1:25" s="31" customFormat="1" ht="15" customHeight="1" x14ac:dyDescent="0.3">
      <c r="A162" s="36"/>
      <c r="B162" s="37"/>
      <c r="C162" s="29"/>
      <c r="D162" s="37">
        <v>2020</v>
      </c>
      <c r="E162" s="38">
        <f>1720.94*1000000</f>
        <v>1720940000</v>
      </c>
      <c r="F162" s="38">
        <f>(1720.94+17762.18+42093.55+24268.4+451.03)*1000000</f>
        <v>86296100000</v>
      </c>
      <c r="G162" s="38">
        <f>297990*1000000</f>
        <v>297990000000</v>
      </c>
      <c r="H162" s="38">
        <f>37122.65*1000000</f>
        <v>37122650000</v>
      </c>
      <c r="I162" s="38">
        <f>132187.84*1000000</f>
        <v>132187840000</v>
      </c>
      <c r="J162" s="38">
        <f>11884.11*1000000</f>
        <v>11884110000</v>
      </c>
      <c r="K162" s="38">
        <f>165802.16*1000000</f>
        <v>165802160000</v>
      </c>
      <c r="L162" s="38">
        <f>85058.94*1000000</f>
        <v>85058940000</v>
      </c>
      <c r="M162" s="38">
        <f>7273.43*1000000</f>
        <v>7273430000</v>
      </c>
      <c r="N162" s="38">
        <f>3385.5*1000000</f>
        <v>3385500000</v>
      </c>
      <c r="O162" s="39">
        <v>0.99</v>
      </c>
      <c r="P162" s="40" t="s">
        <v>201</v>
      </c>
      <c r="Q162" s="38">
        <v>2</v>
      </c>
      <c r="R162" s="38">
        <v>3</v>
      </c>
      <c r="S162" s="38"/>
      <c r="T162" s="38">
        <v>6</v>
      </c>
      <c r="U162" s="42">
        <v>0</v>
      </c>
      <c r="V162" s="38"/>
      <c r="W162" s="38">
        <f t="shared" si="15"/>
        <v>0</v>
      </c>
      <c r="X162" s="38"/>
      <c r="Y162" s="37"/>
    </row>
    <row r="163" spans="1:25" s="31" customFormat="1" ht="15" customHeight="1" x14ac:dyDescent="0.3">
      <c r="A163" s="36"/>
      <c r="B163" s="37"/>
      <c r="C163" s="29"/>
      <c r="D163" s="37">
        <v>2021</v>
      </c>
      <c r="E163" s="38">
        <f>3039.94*1000000</f>
        <v>3039940000</v>
      </c>
      <c r="F163" s="38">
        <f>(3039.94+8453.39+52882.87+49095.9+659.58)*1000000</f>
        <v>114131680000</v>
      </c>
      <c r="G163" s="38">
        <f>374138.51*1000000</f>
        <v>374138510000</v>
      </c>
      <c r="H163" s="38">
        <f>67823.74*1000000</f>
        <v>67823740000.000008</v>
      </c>
      <c r="I163" s="38">
        <f>196304.73*1000000</f>
        <v>196304730000</v>
      </c>
      <c r="J163" s="38">
        <f>13176.93*1000000</f>
        <v>13176930000</v>
      </c>
      <c r="K163" s="38">
        <f>177833.77*1000000</f>
        <v>177833770000</v>
      </c>
      <c r="L163" s="38">
        <f>107419.4*1000000</f>
        <v>107419400000</v>
      </c>
      <c r="M163" s="38">
        <f>1139.34*1000000</f>
        <v>1139340000</v>
      </c>
      <c r="N163" s="38">
        <f>12031.62*1000000</f>
        <v>12031620000</v>
      </c>
      <c r="O163" s="39">
        <v>0.99</v>
      </c>
      <c r="P163" s="40" t="s">
        <v>201</v>
      </c>
      <c r="Q163" s="38">
        <v>1</v>
      </c>
      <c r="R163" s="38">
        <v>2</v>
      </c>
      <c r="S163" s="38"/>
      <c r="T163" s="38">
        <v>5</v>
      </c>
      <c r="U163" s="42">
        <v>0</v>
      </c>
      <c r="V163" s="38"/>
      <c r="W163" s="38">
        <f t="shared" si="15"/>
        <v>0</v>
      </c>
      <c r="X163" s="38"/>
      <c r="Y163" s="37"/>
    </row>
    <row r="164" spans="1:25" s="31" customFormat="1" ht="15" customHeight="1" x14ac:dyDescent="0.3">
      <c r="A164" s="36"/>
      <c r="B164" s="37"/>
      <c r="C164" s="29"/>
      <c r="D164" s="37">
        <v>2022</v>
      </c>
      <c r="E164" s="38">
        <f>1903.35*1000000</f>
        <v>1903350000</v>
      </c>
      <c r="F164" s="38">
        <f>(1903.35+13309.22+62167.07+42915.1+615.99)*1000000</f>
        <v>120910730000</v>
      </c>
      <c r="G164" s="38">
        <f>431376.86*1000000</f>
        <v>431376860000</v>
      </c>
      <c r="H164" s="38">
        <f>76907.39*1000000</f>
        <v>76907390000</v>
      </c>
      <c r="I164" s="38">
        <f>244381.78*1000000</f>
        <v>244381780000</v>
      </c>
      <c r="J164" s="38">
        <f>24005.18*1000000</f>
        <v>24005180000</v>
      </c>
      <c r="K164" s="38">
        <f>186995.08*1000000</f>
        <v>186995080000</v>
      </c>
      <c r="L164" s="38">
        <f>166943.71*1000000</f>
        <v>166943710000</v>
      </c>
      <c r="M164" s="38">
        <f>10747.66*1000000</f>
        <v>10747660000</v>
      </c>
      <c r="N164" s="38">
        <f>9161.3*1000000</f>
        <v>9161300000</v>
      </c>
      <c r="O164" s="39">
        <v>0.99</v>
      </c>
      <c r="P164" s="40" t="s">
        <v>201</v>
      </c>
      <c r="Q164" s="38">
        <v>2</v>
      </c>
      <c r="R164" s="38">
        <v>3</v>
      </c>
      <c r="S164" s="38"/>
      <c r="T164" s="38">
        <v>6</v>
      </c>
      <c r="U164" s="42">
        <v>0</v>
      </c>
      <c r="V164" s="38"/>
      <c r="W164" s="38">
        <f t="shared" si="15"/>
        <v>0</v>
      </c>
      <c r="X164" s="38"/>
      <c r="Y164" s="37"/>
    </row>
    <row r="165" spans="1:25" s="31" customFormat="1" ht="15" customHeight="1" x14ac:dyDescent="0.3">
      <c r="A165" s="36"/>
      <c r="B165" s="37"/>
      <c r="C165" s="29"/>
      <c r="D165" s="37">
        <v>2023</v>
      </c>
      <c r="E165" s="38">
        <f>4327.16*1000000</f>
        <v>4327160000</v>
      </c>
      <c r="F165" s="38">
        <f>(4324.16+15794.38+59249.76+71325.14+626.64)*1000000</f>
        <v>151320080000.00003</v>
      </c>
      <c r="G165" s="38">
        <f>507970.77*1000000</f>
        <v>507970770000</v>
      </c>
      <c r="H165" s="38">
        <f>93604.73*1000000</f>
        <v>93604730000</v>
      </c>
      <c r="I165" s="38">
        <f>315087.26*1000000</f>
        <v>315087260000</v>
      </c>
      <c r="J165" s="38">
        <f>27276.09*1000000</f>
        <v>27276090000</v>
      </c>
      <c r="K165" s="38">
        <f>192883.51*1000000</f>
        <v>192883510000</v>
      </c>
      <c r="L165" s="38">
        <f>187754.62*1000000</f>
        <v>187754620000</v>
      </c>
      <c r="M165" s="38">
        <f>3119.45*1000000</f>
        <v>3119450000</v>
      </c>
      <c r="N165" s="38">
        <f>5888.43*1000000</f>
        <v>5888430000</v>
      </c>
      <c r="O165" s="39">
        <v>0.99</v>
      </c>
      <c r="P165" s="40" t="s">
        <v>201</v>
      </c>
      <c r="Q165" s="38">
        <v>2</v>
      </c>
      <c r="R165" s="38">
        <v>3</v>
      </c>
      <c r="S165" s="38"/>
      <c r="T165" s="38">
        <v>6</v>
      </c>
      <c r="U165" s="42">
        <v>0</v>
      </c>
      <c r="V165" s="38"/>
      <c r="W165" s="38">
        <f t="shared" si="15"/>
        <v>0</v>
      </c>
      <c r="X165" s="38"/>
      <c r="Y165" s="37"/>
    </row>
    <row r="166" spans="1:25" s="31" customFormat="1" ht="15" customHeight="1" x14ac:dyDescent="0.3">
      <c r="A166" s="36"/>
      <c r="B166" s="37"/>
      <c r="C166" s="29"/>
      <c r="D166" s="37">
        <v>2024</v>
      </c>
      <c r="E166" s="38">
        <f>5451.66*1000000</f>
        <v>5451660000</v>
      </c>
      <c r="F166" s="38">
        <f>(5451.66+6824.55+42050.17+54399.32+1340.17)*1000000</f>
        <v>110065870000</v>
      </c>
      <c r="G166" s="38">
        <f>516246.82*1000000</f>
        <v>516246820000</v>
      </c>
      <c r="H166" s="38">
        <f>41858.56*1000000</f>
        <v>41858560000</v>
      </c>
      <c r="I166" s="38">
        <f>329716.81*1000000</f>
        <v>329716810000</v>
      </c>
      <c r="J166" s="38">
        <f>40212.38*1000000</f>
        <v>40212380000</v>
      </c>
      <c r="K166" s="38">
        <f>186530.01*1000000</f>
        <v>186530010000</v>
      </c>
      <c r="L166" s="38">
        <f>318804.32*1000000</f>
        <v>318804320000</v>
      </c>
      <c r="M166" s="38">
        <f>12746.87*1000000</f>
        <v>12746870000</v>
      </c>
      <c r="N166" s="38">
        <f>-6353.51*1000000</f>
        <v>-6353510000</v>
      </c>
      <c r="O166" s="39">
        <v>0.99</v>
      </c>
      <c r="P166" s="40" t="s">
        <v>201</v>
      </c>
      <c r="Q166" s="38">
        <v>2</v>
      </c>
      <c r="R166" s="38">
        <v>3</v>
      </c>
      <c r="S166" s="38"/>
      <c r="T166" s="38">
        <v>6</v>
      </c>
      <c r="U166" s="42">
        <v>0</v>
      </c>
      <c r="V166" s="38"/>
      <c r="W166" s="38">
        <f t="shared" si="15"/>
        <v>0</v>
      </c>
      <c r="X166" s="38"/>
      <c r="Y166" s="37"/>
    </row>
    <row r="167" spans="1:25" s="31" customFormat="1" ht="15" customHeight="1" x14ac:dyDescent="0.3">
      <c r="A167" s="36"/>
      <c r="B167" s="37">
        <v>16</v>
      </c>
      <c r="C167" s="29" t="s">
        <v>44</v>
      </c>
      <c r="D167" s="37">
        <v>2014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48">
        <v>0</v>
      </c>
      <c r="P167" s="40">
        <v>0</v>
      </c>
      <c r="Q167" s="38">
        <v>0</v>
      </c>
      <c r="R167" s="38">
        <v>0</v>
      </c>
      <c r="S167" s="38"/>
      <c r="T167" s="38">
        <v>0</v>
      </c>
      <c r="U167" s="42"/>
      <c r="V167" s="38"/>
      <c r="W167" s="38">
        <f t="shared" si="15"/>
        <v>0</v>
      </c>
      <c r="X167" s="38"/>
      <c r="Y167" s="37"/>
    </row>
    <row r="168" spans="1:25" s="31" customFormat="1" ht="15" customHeight="1" x14ac:dyDescent="0.3">
      <c r="A168" s="36"/>
      <c r="B168" s="37"/>
      <c r="C168" s="29"/>
      <c r="D168" s="37">
        <v>2015</v>
      </c>
      <c r="E168" s="38">
        <f>1975.55*1000000</f>
        <v>1975550000</v>
      </c>
      <c r="F168" s="38">
        <f>(1975.55+83375.36+135587.76+1507.06)*1000000</f>
        <v>222445730000</v>
      </c>
      <c r="G168" s="38">
        <f>362414.13*1000000</f>
        <v>362414130000</v>
      </c>
      <c r="H168" s="38">
        <f>54659.89*1000000</f>
        <v>54659890000</v>
      </c>
      <c r="I168" s="38">
        <f>227086.41*1000000</f>
        <v>227086410000</v>
      </c>
      <c r="J168" s="38">
        <f>35327.72*1000000</f>
        <v>35327720000</v>
      </c>
      <c r="K168" s="38">
        <f>135327.72*1000000</f>
        <v>135327720000</v>
      </c>
      <c r="L168" s="38">
        <f>75007.47*1000000</f>
        <v>75007470000</v>
      </c>
      <c r="M168" s="38">
        <f>16283.56*1000000</f>
        <v>16283560000</v>
      </c>
      <c r="N168" s="38">
        <f>14252.74*1000000</f>
        <v>14252740000</v>
      </c>
      <c r="O168" s="39">
        <v>0.99</v>
      </c>
      <c r="P168" s="40" t="s">
        <v>235</v>
      </c>
      <c r="Q168" s="38">
        <v>1</v>
      </c>
      <c r="R168" s="38">
        <v>3</v>
      </c>
      <c r="S168" s="38">
        <v>3</v>
      </c>
      <c r="T168" s="38">
        <f t="shared" ref="T168:T177" si="16">S168+R168</f>
        <v>6</v>
      </c>
      <c r="U168" s="42">
        <v>0</v>
      </c>
      <c r="V168" s="38">
        <v>0</v>
      </c>
      <c r="W168" s="38">
        <f t="shared" si="15"/>
        <v>0</v>
      </c>
      <c r="X168" s="38">
        <f>3</f>
        <v>3</v>
      </c>
      <c r="Y168" s="37"/>
    </row>
    <row r="169" spans="1:25" s="31" customFormat="1" ht="15" customHeight="1" x14ac:dyDescent="0.3">
      <c r="A169" s="36"/>
      <c r="B169" s="37"/>
      <c r="C169" s="29"/>
      <c r="D169" s="37">
        <v>2016</v>
      </c>
      <c r="E169" s="38">
        <f>2490.79*1000000</f>
        <v>2490790000</v>
      </c>
      <c r="F169" s="38">
        <f>(2490.79+120653.75+176661.05+3860.68)*1000000</f>
        <v>303666269999.99994</v>
      </c>
      <c r="G169" s="38">
        <f>436068.36*1000000</f>
        <v>436068360000</v>
      </c>
      <c r="H169" s="38">
        <f>22064.12*1000000</f>
        <v>22064120000</v>
      </c>
      <c r="I169" s="38">
        <f>279549.57*1000000</f>
        <v>279549570000</v>
      </c>
      <c r="J169" s="38">
        <f>56518.79*1000000</f>
        <v>56518790000</v>
      </c>
      <c r="K169" s="38">
        <f>156518.79*1000000</f>
        <v>156518790000</v>
      </c>
      <c r="L169" s="38">
        <f>131553.03*1000000</f>
        <v>131553030000</v>
      </c>
      <c r="M169" s="38">
        <f>27979.34*1000000</f>
        <v>27979340000</v>
      </c>
      <c r="N169" s="38">
        <f>21191.07*1000000</f>
        <v>21191070000</v>
      </c>
      <c r="O169" s="39">
        <v>0.99</v>
      </c>
      <c r="P169" s="40" t="s">
        <v>235</v>
      </c>
      <c r="Q169" s="38">
        <v>1</v>
      </c>
      <c r="R169" s="38">
        <v>2</v>
      </c>
      <c r="S169" s="38">
        <v>4</v>
      </c>
      <c r="T169" s="38">
        <f t="shared" si="16"/>
        <v>6</v>
      </c>
      <c r="U169" s="42">
        <v>0</v>
      </c>
      <c r="V169" s="38">
        <v>0</v>
      </c>
      <c r="W169" s="38">
        <f t="shared" si="15"/>
        <v>0</v>
      </c>
      <c r="X169" s="38">
        <f>4</f>
        <v>4</v>
      </c>
      <c r="Y169" s="37"/>
    </row>
    <row r="170" spans="1:25" s="31" customFormat="1" ht="15" customHeight="1" x14ac:dyDescent="0.3">
      <c r="A170" s="36"/>
      <c r="B170" s="37"/>
      <c r="C170" s="29"/>
      <c r="D170" s="37">
        <v>2017</v>
      </c>
      <c r="E170" s="38">
        <f>823.03*1000000</f>
        <v>823030000</v>
      </c>
      <c r="F170" s="38">
        <f>(823.03+295371.05+309915.14+5174)*1000000</f>
        <v>611283220000</v>
      </c>
      <c r="G170" s="38">
        <f>754337.47*1000000</f>
        <v>754337470000</v>
      </c>
      <c r="H170" s="38">
        <f>179961.29*1000000</f>
        <v>179961290000</v>
      </c>
      <c r="I170" s="38">
        <f>571241.15*1000000</f>
        <v>571241150000</v>
      </c>
      <c r="J170" s="38">
        <f>83096.33*1000000</f>
        <v>83096330000</v>
      </c>
      <c r="K170" s="38">
        <f>183096.33*1000000</f>
        <v>183096330000</v>
      </c>
      <c r="L170" s="38">
        <f>168896.7*1000000</f>
        <v>168896700000</v>
      </c>
      <c r="M170" s="38">
        <f>33393.04*1000000</f>
        <v>33393040000</v>
      </c>
      <c r="N170" s="38">
        <f>26577.54*1000000</f>
        <v>26577540000</v>
      </c>
      <c r="O170" s="39">
        <v>0.99</v>
      </c>
      <c r="P170" s="40" t="s">
        <v>235</v>
      </c>
      <c r="Q170" s="38">
        <v>2</v>
      </c>
      <c r="R170" s="38">
        <v>3</v>
      </c>
      <c r="S170" s="38">
        <v>4</v>
      </c>
      <c r="T170" s="38">
        <f t="shared" si="16"/>
        <v>7</v>
      </c>
      <c r="U170" s="42">
        <v>0</v>
      </c>
      <c r="V170" s="38">
        <v>0</v>
      </c>
      <c r="W170" s="38">
        <f t="shared" si="15"/>
        <v>0</v>
      </c>
      <c r="X170" s="38">
        <f>4</f>
        <v>4</v>
      </c>
      <c r="Y170" s="37"/>
    </row>
    <row r="171" spans="1:25" s="31" customFormat="1" ht="15" customHeight="1" x14ac:dyDescent="0.3">
      <c r="A171" s="36"/>
      <c r="B171" s="37"/>
      <c r="C171" s="29"/>
      <c r="D171" s="37">
        <v>2018</v>
      </c>
      <c r="E171" s="38">
        <f>766.13*1000000</f>
        <v>766130000</v>
      </c>
      <c r="F171" s="38">
        <f>(766.13+167934+336208.48+151772.56+4510.77)*1000000</f>
        <v>661191940000</v>
      </c>
      <c r="G171" s="38">
        <f>831082.53*1000000</f>
        <v>831082530000</v>
      </c>
      <c r="H171" s="38">
        <f>281331.34*1000000</f>
        <v>281331340000</v>
      </c>
      <c r="I171" s="38">
        <f>725535.11*1000000</f>
        <v>725535110000</v>
      </c>
      <c r="J171" s="38">
        <f>8727.53*1000000</f>
        <v>8727530000</v>
      </c>
      <c r="K171" s="38">
        <f>105550.42*1000000</f>
        <v>105550420000</v>
      </c>
      <c r="L171" s="38">
        <f>153681.64*1000000</f>
        <v>153681640000</v>
      </c>
      <c r="M171" s="38">
        <f>-74862.67*1000000</f>
        <v>-74862670000</v>
      </c>
      <c r="N171" s="38">
        <f>-77545.91*1000000</f>
        <v>-77545910000</v>
      </c>
      <c r="O171" s="39">
        <v>0.99</v>
      </c>
      <c r="P171" s="40" t="s">
        <v>235</v>
      </c>
      <c r="Q171" s="38">
        <v>3</v>
      </c>
      <c r="R171" s="38">
        <v>4</v>
      </c>
      <c r="S171" s="38">
        <v>4</v>
      </c>
      <c r="T171" s="38">
        <f t="shared" si="16"/>
        <v>8</v>
      </c>
      <c r="U171" s="42">
        <v>0</v>
      </c>
      <c r="V171" s="38">
        <v>0</v>
      </c>
      <c r="W171" s="38">
        <f t="shared" si="15"/>
        <v>0</v>
      </c>
      <c r="X171" s="38">
        <f>4</f>
        <v>4</v>
      </c>
      <c r="Y171" s="37"/>
    </row>
    <row r="172" spans="1:25" s="31" customFormat="1" ht="15" customHeight="1" x14ac:dyDescent="0.3">
      <c r="A172" s="36"/>
      <c r="B172" s="37"/>
      <c r="C172" s="29"/>
      <c r="D172" s="37">
        <v>2019</v>
      </c>
      <c r="E172" s="38">
        <f>12258.79*1000000</f>
        <v>12258790000</v>
      </c>
      <c r="F172" s="38">
        <f>(12258.79+122397.22+368883.88+113874.55+705.32+5944.11)*1000000</f>
        <v>624063870000</v>
      </c>
      <c r="G172" s="38">
        <f>805109.39*1000000</f>
        <v>805109390000</v>
      </c>
      <c r="H172" s="38">
        <f>153488.6*1000000</f>
        <v>153488600000</v>
      </c>
      <c r="I172" s="38">
        <f>646463.1*1000000</f>
        <v>646463100000</v>
      </c>
      <c r="J172" s="38">
        <f>9563.2*1000000</f>
        <v>9563200000</v>
      </c>
      <c r="K172" s="38">
        <f>158646.3*1000000</f>
        <v>158646300000</v>
      </c>
      <c r="L172" s="38">
        <f>112147.02*1000000</f>
        <v>112147020000</v>
      </c>
      <c r="M172" s="38">
        <f>3200.9*1000000</f>
        <v>3200900000</v>
      </c>
      <c r="N172" s="38">
        <f>6309.71*1000000</f>
        <v>6309710000</v>
      </c>
      <c r="O172" s="39">
        <v>0.99</v>
      </c>
      <c r="P172" s="40" t="s">
        <v>235</v>
      </c>
      <c r="Q172" s="38">
        <v>2</v>
      </c>
      <c r="R172" s="38">
        <v>4</v>
      </c>
      <c r="S172" s="38">
        <v>2</v>
      </c>
      <c r="T172" s="38">
        <f t="shared" si="16"/>
        <v>6</v>
      </c>
      <c r="U172" s="42">
        <v>0</v>
      </c>
      <c r="V172" s="38">
        <v>0</v>
      </c>
      <c r="W172" s="38">
        <f t="shared" si="15"/>
        <v>0</v>
      </c>
      <c r="X172" s="38">
        <f>2</f>
        <v>2</v>
      </c>
      <c r="Y172" s="37"/>
    </row>
    <row r="173" spans="1:25" s="31" customFormat="1" ht="15" customHeight="1" x14ac:dyDescent="0.3">
      <c r="A173" s="36"/>
      <c r="B173" s="37"/>
      <c r="C173" s="29"/>
      <c r="D173" s="37">
        <v>2020</v>
      </c>
      <c r="E173" s="38">
        <f>16478.44*1000000</f>
        <v>16478439999.999998</v>
      </c>
      <c r="F173" s="38">
        <f>(16478.44+240916.89+431482.98+89369.64+4441.45)*1000000</f>
        <v>782689400000</v>
      </c>
      <c r="G173" s="38">
        <f>972655.01*1000000</f>
        <v>972655010000</v>
      </c>
      <c r="H173" s="38">
        <f>233719.54*1000000</f>
        <v>233719540000</v>
      </c>
      <c r="I173" s="38">
        <f>795726.5*1000000</f>
        <v>795726500000</v>
      </c>
      <c r="J173" s="38">
        <f>27770.8*1000000</f>
        <v>27770800000</v>
      </c>
      <c r="K173" s="38">
        <f>176928.51*1000000</f>
        <v>176928510000</v>
      </c>
      <c r="L173" s="38">
        <f>144736.577*1000000</f>
        <v>144736577000</v>
      </c>
      <c r="M173" s="38">
        <f>17347.42*1000000</f>
        <v>17347420000</v>
      </c>
      <c r="N173" s="38">
        <f>15710.62*1000000</f>
        <v>15710620000</v>
      </c>
      <c r="O173" s="39">
        <v>0.99</v>
      </c>
      <c r="P173" s="40" t="s">
        <v>235</v>
      </c>
      <c r="Q173" s="38">
        <v>2</v>
      </c>
      <c r="R173" s="38">
        <v>4</v>
      </c>
      <c r="S173" s="38">
        <v>3</v>
      </c>
      <c r="T173" s="38">
        <f t="shared" si="16"/>
        <v>7</v>
      </c>
      <c r="U173" s="42">
        <v>0</v>
      </c>
      <c r="V173" s="38">
        <v>0</v>
      </c>
      <c r="W173" s="38">
        <f t="shared" si="15"/>
        <v>0</v>
      </c>
      <c r="X173" s="38">
        <f>3</f>
        <v>3</v>
      </c>
      <c r="Y173" s="37"/>
    </row>
    <row r="174" spans="1:25" s="31" customFormat="1" ht="15" customHeight="1" x14ac:dyDescent="0.3">
      <c r="A174" s="36"/>
      <c r="B174" s="37"/>
      <c r="C174" s="29"/>
      <c r="D174" s="37">
        <v>2021</v>
      </c>
      <c r="E174" s="38">
        <f>7711.79*1000000</f>
        <v>7711790000</v>
      </c>
      <c r="F174" s="38">
        <f>(7711.79+235377.5+521636.09+190440.86+1336.07)*1000000</f>
        <v>956502310000</v>
      </c>
      <c r="G174" s="38">
        <f>1191013.47*1000000</f>
        <v>1191013470000</v>
      </c>
      <c r="H174" s="38">
        <f>293984.74*1000000</f>
        <v>293984740000</v>
      </c>
      <c r="I174" s="38">
        <f>1002818.32*1000000</f>
        <v>1002818320000</v>
      </c>
      <c r="J174" s="38">
        <f>44783.01*1000000</f>
        <v>44783010000</v>
      </c>
      <c r="K174" s="38">
        <f>188195.15*1000000</f>
        <v>188195150000</v>
      </c>
      <c r="L174" s="38">
        <f>277044.21*1000000</f>
        <v>277044210000</v>
      </c>
      <c r="M174" s="38">
        <f>27863.01*1000000</f>
        <v>27863010000</v>
      </c>
      <c r="N174" s="38">
        <f>16429.12*1000000</f>
        <v>16429119999.999998</v>
      </c>
      <c r="O174" s="39">
        <v>0.99</v>
      </c>
      <c r="P174" s="40" t="s">
        <v>235</v>
      </c>
      <c r="Q174" s="38">
        <v>2</v>
      </c>
      <c r="R174" s="38">
        <v>4</v>
      </c>
      <c r="S174" s="38">
        <v>3</v>
      </c>
      <c r="T174" s="38">
        <f t="shared" si="16"/>
        <v>7</v>
      </c>
      <c r="U174" s="42">
        <v>0</v>
      </c>
      <c r="V174" s="38">
        <v>0</v>
      </c>
      <c r="W174" s="38">
        <f t="shared" si="15"/>
        <v>0</v>
      </c>
      <c r="X174" s="38">
        <f>3</f>
        <v>3</v>
      </c>
      <c r="Y174" s="37"/>
    </row>
    <row r="175" spans="1:25" s="31" customFormat="1" ht="15" customHeight="1" x14ac:dyDescent="0.3">
      <c r="A175" s="36"/>
      <c r="B175" s="37"/>
      <c r="C175" s="29"/>
      <c r="D175" s="37">
        <v>2022</v>
      </c>
      <c r="E175" s="38">
        <f>6937.8*1000000</f>
        <v>6937800000</v>
      </c>
      <c r="F175" s="38">
        <f>(6937.9+215999.44+392403.41+49468.02+2101.46)*1000000</f>
        <v>666910230000</v>
      </c>
      <c r="G175" s="38">
        <f>979771.55*1000000</f>
        <v>979771550000</v>
      </c>
      <c r="H175" s="38">
        <f>108708.36*1000000</f>
        <v>108708360000</v>
      </c>
      <c r="I175" s="38">
        <f>759786.88*1000000</f>
        <v>759786880000</v>
      </c>
      <c r="J175" s="38">
        <f>62419.35*1000000</f>
        <v>62419350000</v>
      </c>
      <c r="K175" s="38">
        <f>219984.67*1000000</f>
        <v>219984670000</v>
      </c>
      <c r="L175" s="38">
        <f>221722.88*1000000</f>
        <v>221722880000</v>
      </c>
      <c r="M175" s="38">
        <f>37161.8*1000000</f>
        <v>37161800000</v>
      </c>
      <c r="N175" s="38">
        <f>15544.08*1000000</f>
        <v>15544080000</v>
      </c>
      <c r="O175" s="39">
        <v>0.99</v>
      </c>
      <c r="P175" s="40" t="s">
        <v>235</v>
      </c>
      <c r="Q175" s="38">
        <v>2</v>
      </c>
      <c r="R175" s="38">
        <v>4</v>
      </c>
      <c r="S175" s="38">
        <v>3</v>
      </c>
      <c r="T175" s="38">
        <f t="shared" si="16"/>
        <v>7</v>
      </c>
      <c r="U175" s="42">
        <v>0</v>
      </c>
      <c r="V175" s="38">
        <f>0</f>
        <v>0</v>
      </c>
      <c r="W175" s="38">
        <f t="shared" si="15"/>
        <v>0</v>
      </c>
      <c r="X175" s="38">
        <f>1+1+1</f>
        <v>3</v>
      </c>
      <c r="Y175" s="37"/>
    </row>
    <row r="176" spans="1:25" s="31" customFormat="1" ht="15" customHeight="1" x14ac:dyDescent="0.3">
      <c r="A176" s="36"/>
      <c r="B176" s="37"/>
      <c r="C176" s="29"/>
      <c r="D176" s="37">
        <v>2023</v>
      </c>
      <c r="E176" s="38">
        <f>9608.34*1000000</f>
        <v>9608340000</v>
      </c>
      <c r="F176" s="38">
        <f>(9608.34+112055.79+337225.38+58162.44+3726.7)*1000000</f>
        <v>520778650000</v>
      </c>
      <c r="G176" s="38">
        <f>1073555.96*1000000</f>
        <v>1073555960000</v>
      </c>
      <c r="H176" s="38">
        <f>39738.18*1000000</f>
        <v>39738180000</v>
      </c>
      <c r="I176" s="38">
        <f>827919.66*1000000</f>
        <v>827919660000</v>
      </c>
      <c r="J176" s="38">
        <f>82276.44*1000000</f>
        <v>82276440000</v>
      </c>
      <c r="K176" s="38">
        <f>245636.3*1000000</f>
        <v>245636300000</v>
      </c>
      <c r="L176" s="38">
        <f>360053.66*1000000</f>
        <v>360053660000</v>
      </c>
      <c r="M176" s="38">
        <f>24543.18*1000000</f>
        <v>24543180000</v>
      </c>
      <c r="N176" s="38">
        <f>21273.47*1000000</f>
        <v>21273470000</v>
      </c>
      <c r="O176" s="39">
        <v>0.99</v>
      </c>
      <c r="P176" s="40" t="s">
        <v>235</v>
      </c>
      <c r="Q176" s="38">
        <v>2</v>
      </c>
      <c r="R176" s="38">
        <v>4</v>
      </c>
      <c r="S176" s="38">
        <v>3</v>
      </c>
      <c r="T176" s="38">
        <f t="shared" si="16"/>
        <v>7</v>
      </c>
      <c r="U176" s="42">
        <v>0</v>
      </c>
      <c r="V176" s="38">
        <v>0</v>
      </c>
      <c r="W176" s="38">
        <f t="shared" si="15"/>
        <v>0</v>
      </c>
      <c r="X176" s="38">
        <v>3</v>
      </c>
      <c r="Y176" s="37"/>
    </row>
    <row r="177" spans="1:25" s="31" customFormat="1" ht="15" customHeight="1" x14ac:dyDescent="0.3">
      <c r="A177" s="36"/>
      <c r="B177" s="37"/>
      <c r="C177" s="29"/>
      <c r="D177" s="37">
        <v>2024</v>
      </c>
      <c r="E177" s="38">
        <f>22014.95*1000000</f>
        <v>22014950000</v>
      </c>
      <c r="F177" s="38">
        <f>(22014.95+28412.56+265151.61+7331.28+5026.53)*1000000</f>
        <v>327936930000.00006</v>
      </c>
      <c r="G177" s="38">
        <f>1026468.02*1000000</f>
        <v>1026468020000</v>
      </c>
      <c r="H177" s="38">
        <f>28887.43*1000000</f>
        <v>28887430000</v>
      </c>
      <c r="I177" s="38">
        <f>803194.52*1000000</f>
        <v>803194520000</v>
      </c>
      <c r="J177" s="38">
        <f>60593.75*1000000</f>
        <v>60593750000</v>
      </c>
      <c r="K177" s="38">
        <f>223273.49*1000000</f>
        <v>223273490000</v>
      </c>
      <c r="L177" s="38">
        <f>345390.2*1000000</f>
        <v>345390200000</v>
      </c>
      <c r="M177" s="38">
        <f>-26547.82*1000000</f>
        <v>-26547820000</v>
      </c>
      <c r="N177" s="38">
        <f>-23808.05*1000000</f>
        <v>-23808050000</v>
      </c>
      <c r="O177" s="39">
        <v>0.99</v>
      </c>
      <c r="P177" s="40" t="s">
        <v>235</v>
      </c>
      <c r="Q177" s="38">
        <v>2</v>
      </c>
      <c r="R177" s="38">
        <v>4</v>
      </c>
      <c r="S177" s="38">
        <v>3</v>
      </c>
      <c r="T177" s="38">
        <f t="shared" si="16"/>
        <v>7</v>
      </c>
      <c r="U177" s="42">
        <v>0</v>
      </c>
      <c r="V177" s="38">
        <v>0</v>
      </c>
      <c r="W177" s="38">
        <f t="shared" si="15"/>
        <v>0</v>
      </c>
      <c r="X177" s="38">
        <v>0</v>
      </c>
      <c r="Y177" s="37"/>
    </row>
    <row r="178" spans="1:25" s="31" customFormat="1" ht="15" customHeight="1" x14ac:dyDescent="0.3">
      <c r="A178" s="36"/>
      <c r="B178" s="37">
        <v>17</v>
      </c>
      <c r="C178" s="29" t="s">
        <v>22</v>
      </c>
      <c r="D178" s="37">
        <v>2014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41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41">
        <v>0</v>
      </c>
      <c r="V178" s="38">
        <v>0</v>
      </c>
      <c r="W178" s="38">
        <f t="shared" si="15"/>
        <v>0</v>
      </c>
      <c r="X178" s="38">
        <v>0</v>
      </c>
      <c r="Y178" s="37"/>
    </row>
    <row r="179" spans="1:25" s="31" customFormat="1" ht="15" customHeight="1" x14ac:dyDescent="0.3">
      <c r="A179" s="36"/>
      <c r="B179" s="37"/>
      <c r="C179" s="29"/>
      <c r="D179" s="37">
        <v>2015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44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41">
        <v>0</v>
      </c>
      <c r="V179" s="38">
        <v>0</v>
      </c>
      <c r="W179" s="38">
        <f t="shared" si="15"/>
        <v>0</v>
      </c>
      <c r="X179" s="38">
        <v>0</v>
      </c>
      <c r="Y179" s="37"/>
    </row>
    <row r="180" spans="1:25" s="31" customFormat="1" ht="15" customHeight="1" x14ac:dyDescent="0.3">
      <c r="A180" s="36"/>
      <c r="B180" s="37"/>
      <c r="C180" s="29"/>
      <c r="D180" s="37">
        <v>2016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44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41">
        <v>0</v>
      </c>
      <c r="V180" s="38">
        <v>0</v>
      </c>
      <c r="W180" s="38">
        <f t="shared" si="15"/>
        <v>0</v>
      </c>
      <c r="X180" s="38">
        <v>0</v>
      </c>
      <c r="Y180" s="37"/>
    </row>
    <row r="181" spans="1:25" s="31" customFormat="1" ht="15" customHeight="1" x14ac:dyDescent="0.3">
      <c r="A181" s="36"/>
      <c r="B181" s="37"/>
      <c r="C181" s="29"/>
      <c r="D181" s="37">
        <v>2017</v>
      </c>
      <c r="E181" s="38">
        <v>0</v>
      </c>
      <c r="F181" s="38">
        <v>0</v>
      </c>
      <c r="G181" s="38">
        <v>0</v>
      </c>
      <c r="H181" s="38">
        <v>0</v>
      </c>
      <c r="I181" s="38">
        <v>0</v>
      </c>
      <c r="J181" s="38">
        <v>0</v>
      </c>
      <c r="K181" s="38">
        <v>0</v>
      </c>
      <c r="L181" s="38">
        <v>0</v>
      </c>
      <c r="M181" s="38">
        <v>0</v>
      </c>
      <c r="N181" s="38">
        <v>0</v>
      </c>
      <c r="O181" s="44">
        <v>0</v>
      </c>
      <c r="P181" s="38">
        <v>0</v>
      </c>
      <c r="Q181" s="38">
        <v>0</v>
      </c>
      <c r="R181" s="38">
        <v>0</v>
      </c>
      <c r="S181" s="38">
        <v>0</v>
      </c>
      <c r="T181" s="38">
        <v>0</v>
      </c>
      <c r="U181" s="41">
        <v>0</v>
      </c>
      <c r="V181" s="38">
        <v>0</v>
      </c>
      <c r="W181" s="38">
        <f t="shared" si="15"/>
        <v>0</v>
      </c>
      <c r="X181" s="38">
        <v>0</v>
      </c>
      <c r="Y181" s="37"/>
    </row>
    <row r="182" spans="1:25" s="31" customFormat="1" ht="15" customHeight="1" x14ac:dyDescent="0.3">
      <c r="A182" s="36"/>
      <c r="B182" s="37"/>
      <c r="C182" s="29"/>
      <c r="D182" s="37">
        <v>2018</v>
      </c>
      <c r="E182" s="38">
        <v>0</v>
      </c>
      <c r="F182" s="38">
        <v>0</v>
      </c>
      <c r="G182" s="38">
        <v>0</v>
      </c>
      <c r="H182" s="38">
        <v>0</v>
      </c>
      <c r="I182" s="38">
        <v>0</v>
      </c>
      <c r="J182" s="38">
        <v>0</v>
      </c>
      <c r="K182" s="38">
        <v>0</v>
      </c>
      <c r="L182" s="38">
        <v>0</v>
      </c>
      <c r="M182" s="38">
        <v>0</v>
      </c>
      <c r="N182" s="38">
        <v>0</v>
      </c>
      <c r="O182" s="44">
        <v>0</v>
      </c>
      <c r="P182" s="38">
        <v>0</v>
      </c>
      <c r="Q182" s="38">
        <v>0</v>
      </c>
      <c r="R182" s="38">
        <v>0</v>
      </c>
      <c r="S182" s="38">
        <v>0</v>
      </c>
      <c r="T182" s="38">
        <v>0</v>
      </c>
      <c r="U182" s="41">
        <v>0</v>
      </c>
      <c r="V182" s="38">
        <v>0</v>
      </c>
      <c r="W182" s="38">
        <f t="shared" si="15"/>
        <v>0</v>
      </c>
      <c r="X182" s="38">
        <v>0</v>
      </c>
      <c r="Y182" s="37"/>
    </row>
    <row r="183" spans="1:25" s="31" customFormat="1" ht="15" customHeight="1" x14ac:dyDescent="0.3">
      <c r="A183" s="36"/>
      <c r="B183" s="37"/>
      <c r="C183" s="29"/>
      <c r="D183" s="37">
        <v>2019</v>
      </c>
      <c r="E183" s="38">
        <f>525*1000000</f>
        <v>525000000</v>
      </c>
      <c r="F183" s="38">
        <f>(525+383)*1000000</f>
        <v>908000000</v>
      </c>
      <c r="G183" s="38">
        <f>90345*1000000</f>
        <v>90345000000</v>
      </c>
      <c r="H183" s="38">
        <f>8382*1000000</f>
        <v>8382000000</v>
      </c>
      <c r="I183" s="38">
        <f>27079*1000000</f>
        <v>27079000000</v>
      </c>
      <c r="J183" s="38">
        <f>-63266*1000000</f>
        <v>-63266000000</v>
      </c>
      <c r="K183" s="38">
        <f>63266*1000000</f>
        <v>63266000000</v>
      </c>
      <c r="L183" s="38">
        <f>-62952*1000000</f>
        <v>-62952000000</v>
      </c>
      <c r="M183" s="38">
        <f>-111274*1000000</f>
        <v>-111274000000</v>
      </c>
      <c r="N183" s="38">
        <f>-110712*1000000</f>
        <v>-110712000000</v>
      </c>
      <c r="O183" s="39">
        <v>0</v>
      </c>
      <c r="P183" s="40">
        <v>0</v>
      </c>
      <c r="Q183" s="38">
        <v>0</v>
      </c>
      <c r="R183" s="38">
        <v>0</v>
      </c>
      <c r="S183" s="38">
        <v>0</v>
      </c>
      <c r="T183" s="38">
        <v>0</v>
      </c>
      <c r="U183" s="41">
        <v>0</v>
      </c>
      <c r="V183" s="38">
        <v>0</v>
      </c>
      <c r="W183" s="38">
        <f t="shared" si="15"/>
        <v>0</v>
      </c>
      <c r="X183" s="38">
        <v>0</v>
      </c>
      <c r="Y183" s="37"/>
    </row>
    <row r="184" spans="1:25" s="31" customFormat="1" ht="15" customHeight="1" x14ac:dyDescent="0.3">
      <c r="A184" s="36"/>
      <c r="B184" s="37"/>
      <c r="C184" s="29"/>
      <c r="D184" s="37">
        <v>2020</v>
      </c>
      <c r="E184" s="38">
        <f>960*1000000</f>
        <v>960000000</v>
      </c>
      <c r="F184" s="38">
        <f>(960+168)*1000000</f>
        <v>1128000000</v>
      </c>
      <c r="G184" s="38">
        <f>68529*1000000</f>
        <v>68529000000</v>
      </c>
      <c r="H184" s="38">
        <f>124*1000000</f>
        <v>124000000</v>
      </c>
      <c r="I184" s="38">
        <f>124*1000000</f>
        <v>124000000</v>
      </c>
      <c r="J184" s="38">
        <f>-81595*1000000</f>
        <v>-81595000000</v>
      </c>
      <c r="K184" s="38">
        <f>68405*1000000</f>
        <v>68405000000</v>
      </c>
      <c r="L184" s="38">
        <f>15233*1000000</f>
        <v>15233000000</v>
      </c>
      <c r="M184" s="38">
        <f>5719*1000000</f>
        <v>5719000000</v>
      </c>
      <c r="N184" s="38">
        <f>5139*1000000</f>
        <v>5139000000</v>
      </c>
      <c r="O184" s="39">
        <v>0.99</v>
      </c>
      <c r="P184" s="40" t="s">
        <v>208</v>
      </c>
      <c r="Q184" s="38">
        <v>2</v>
      </c>
      <c r="R184" s="38">
        <v>3</v>
      </c>
      <c r="S184" s="38">
        <v>3</v>
      </c>
      <c r="T184" s="38">
        <f>S184+R184</f>
        <v>6</v>
      </c>
      <c r="U184" s="42">
        <v>0</v>
      </c>
      <c r="V184" s="38">
        <v>0</v>
      </c>
      <c r="W184" s="38">
        <f t="shared" si="15"/>
        <v>0</v>
      </c>
      <c r="X184" s="38">
        <v>0</v>
      </c>
      <c r="Y184" s="37"/>
    </row>
    <row r="185" spans="1:25" s="31" customFormat="1" ht="15" customHeight="1" x14ac:dyDescent="0.3">
      <c r="A185" s="36"/>
      <c r="B185" s="37"/>
      <c r="C185" s="29"/>
      <c r="D185" s="37">
        <v>2021</v>
      </c>
      <c r="E185" s="38">
        <f>47697*1000000</f>
        <v>47697000000</v>
      </c>
      <c r="F185" s="38">
        <f>(47697+700)*1000000</f>
        <v>48397000000</v>
      </c>
      <c r="G185" s="38">
        <f>119565*1000000</f>
        <v>119565000000</v>
      </c>
      <c r="H185" s="38">
        <f>3278*1000000</f>
        <v>3278000000</v>
      </c>
      <c r="I185" s="38">
        <f>3278*1000000</f>
        <v>3278000000</v>
      </c>
      <c r="J185" s="38">
        <f>-122530*1000000</f>
        <v>-122530000000</v>
      </c>
      <c r="K185" s="38">
        <f>116287*1000000</f>
        <v>116287000000</v>
      </c>
      <c r="L185" s="38">
        <f>-28472*1000000</f>
        <v>-28472000000</v>
      </c>
      <c r="M185" s="38">
        <f>-40911*1000000</f>
        <v>-40911000000</v>
      </c>
      <c r="N185" s="38">
        <f>-40918*1000000</f>
        <v>-40918000000</v>
      </c>
      <c r="O185" s="39">
        <v>0.99</v>
      </c>
      <c r="P185" s="40" t="s">
        <v>209</v>
      </c>
      <c r="Q185" s="38">
        <v>2</v>
      </c>
      <c r="R185" s="38">
        <v>3</v>
      </c>
      <c r="S185" s="38">
        <v>3</v>
      </c>
      <c r="T185" s="38">
        <f>S185+R185</f>
        <v>6</v>
      </c>
      <c r="U185" s="42">
        <v>0</v>
      </c>
      <c r="V185" s="38">
        <v>0</v>
      </c>
      <c r="W185" s="38">
        <f t="shared" si="15"/>
        <v>0</v>
      </c>
      <c r="X185" s="38">
        <v>0</v>
      </c>
      <c r="Y185" s="37"/>
    </row>
    <row r="186" spans="1:25" s="31" customFormat="1" ht="15" customHeight="1" x14ac:dyDescent="0.3">
      <c r="A186" s="36"/>
      <c r="B186" s="37"/>
      <c r="C186" s="29"/>
      <c r="D186" s="37">
        <v>2022</v>
      </c>
      <c r="E186" s="38">
        <f>22606*1000000</f>
        <v>22606000000</v>
      </c>
      <c r="F186" s="38">
        <f>(22606+26880+2012+620)*1000000</f>
        <v>52118000000</v>
      </c>
      <c r="G186" s="38">
        <f>144258*1000000</f>
        <v>144258000000</v>
      </c>
      <c r="H186" s="38">
        <f>6355*1000000</f>
        <v>6355000000</v>
      </c>
      <c r="I186" s="38">
        <f>31523*1000000</f>
        <v>31523000000</v>
      </c>
      <c r="J186" s="38">
        <f>-132207*1000000</f>
        <v>-132207000000</v>
      </c>
      <c r="K186" s="38">
        <f>112735*1000000</f>
        <v>112735000000</v>
      </c>
      <c r="L186" s="38">
        <f>11106*1000000</f>
        <v>11106000000</v>
      </c>
      <c r="M186" s="38">
        <f>-9701*1000000</f>
        <v>-9701000000</v>
      </c>
      <c r="N186" s="38">
        <f>-10553*1000000</f>
        <v>-10553000000</v>
      </c>
      <c r="O186" s="39">
        <v>0.99</v>
      </c>
      <c r="P186" s="40" t="s">
        <v>209</v>
      </c>
      <c r="Q186" s="38">
        <v>2</v>
      </c>
      <c r="R186" s="38">
        <v>3</v>
      </c>
      <c r="S186" s="38">
        <v>3</v>
      </c>
      <c r="T186" s="38">
        <f>S186+R186</f>
        <v>6</v>
      </c>
      <c r="U186" s="42">
        <v>0</v>
      </c>
      <c r="V186" s="38">
        <v>0</v>
      </c>
      <c r="W186" s="38">
        <f t="shared" si="15"/>
        <v>0</v>
      </c>
      <c r="X186" s="38">
        <v>0</v>
      </c>
      <c r="Y186" s="37"/>
    </row>
    <row r="187" spans="1:25" s="31" customFormat="1" ht="15" customHeight="1" x14ac:dyDescent="0.3">
      <c r="A187" s="36"/>
      <c r="B187" s="37"/>
      <c r="C187" s="29"/>
      <c r="D187" s="37">
        <v>2023</v>
      </c>
      <c r="E187" s="38">
        <f>59072*1000000</f>
        <v>59072000000</v>
      </c>
      <c r="F187" s="38">
        <f>(59072+13581+12170+127+1676)*1000000</f>
        <v>86626000000</v>
      </c>
      <c r="G187" s="38">
        <f>266213*1000000</f>
        <v>266213000000</v>
      </c>
      <c r="H187" s="38">
        <f>27996*1000000</f>
        <v>27996000000</v>
      </c>
      <c r="I187" s="38">
        <f>98464*1000000</f>
        <v>98464000000</v>
      </c>
      <c r="J187" s="38">
        <f>-77574*1000000</f>
        <v>-77574000000</v>
      </c>
      <c r="K187" s="38">
        <f>167749*1000000</f>
        <v>167749000000</v>
      </c>
      <c r="L187" s="38">
        <f>110788*1000000</f>
        <v>110788000000</v>
      </c>
      <c r="M187" s="38">
        <f>54633*1000000</f>
        <v>54633000000</v>
      </c>
      <c r="N187" s="38">
        <f>55014*1000000</f>
        <v>55014000000</v>
      </c>
      <c r="O187" s="39">
        <v>0.99</v>
      </c>
      <c r="P187" s="40" t="s">
        <v>209</v>
      </c>
      <c r="Q187" s="38">
        <v>2</v>
      </c>
      <c r="R187" s="38">
        <v>3</v>
      </c>
      <c r="S187" s="38">
        <v>2</v>
      </c>
      <c r="T187" s="38">
        <f>S187+R187</f>
        <v>5</v>
      </c>
      <c r="U187" s="42">
        <v>0</v>
      </c>
      <c r="V187" s="38">
        <v>0</v>
      </c>
      <c r="W187" s="38">
        <f t="shared" si="15"/>
        <v>0</v>
      </c>
      <c r="X187" s="38">
        <v>0</v>
      </c>
      <c r="Y187" s="37"/>
    </row>
    <row r="188" spans="1:25" s="31" customFormat="1" ht="15" customHeight="1" x14ac:dyDescent="0.3">
      <c r="A188" s="36"/>
      <c r="B188" s="37"/>
      <c r="C188" s="29"/>
      <c r="D188" s="37">
        <v>2024</v>
      </c>
      <c r="E188" s="38">
        <f>49439*1000000</f>
        <v>49439000000</v>
      </c>
      <c r="F188" s="38">
        <f>(49439+36882+15736+670+2824)*1000000</f>
        <v>105551000000</v>
      </c>
      <c r="G188" s="38">
        <f>394077*1000000</f>
        <v>394077000000</v>
      </c>
      <c r="H188" s="38">
        <f>61943*1000000</f>
        <v>61943000000</v>
      </c>
      <c r="I188" s="38">
        <f>156649*1000000</f>
        <v>156649000000</v>
      </c>
      <c r="J188" s="38">
        <f>-7538*1000000</f>
        <v>-7538000000</v>
      </c>
      <c r="K188" s="38">
        <f>237432*1000000</f>
        <v>237432000000</v>
      </c>
      <c r="L188" s="38">
        <f>164460*1000000</f>
        <v>164460000000</v>
      </c>
      <c r="M188" s="38">
        <f>81956*1000000</f>
        <v>81956000000</v>
      </c>
      <c r="N188" s="38">
        <f>69683*1000000</f>
        <v>69683000000</v>
      </c>
      <c r="O188" s="39">
        <v>0.99</v>
      </c>
      <c r="P188" s="40" t="s">
        <v>209</v>
      </c>
      <c r="Q188" s="38">
        <v>2</v>
      </c>
      <c r="R188" s="38">
        <v>3</v>
      </c>
      <c r="S188" s="38">
        <v>3</v>
      </c>
      <c r="T188" s="38">
        <f>S188+R188</f>
        <v>6</v>
      </c>
      <c r="U188" s="42">
        <v>0</v>
      </c>
      <c r="V188" s="38">
        <v>0</v>
      </c>
      <c r="W188" s="38">
        <f t="shared" si="15"/>
        <v>0</v>
      </c>
      <c r="X188" s="38">
        <v>0</v>
      </c>
      <c r="Y188" s="37"/>
    </row>
    <row r="189" spans="1:25" s="31" customFormat="1" ht="15" customHeight="1" x14ac:dyDescent="0.3">
      <c r="A189" s="36"/>
      <c r="B189" s="37">
        <v>18</v>
      </c>
      <c r="C189" s="29" t="s">
        <v>45</v>
      </c>
      <c r="D189" s="37">
        <v>2014</v>
      </c>
      <c r="E189" s="38">
        <v>0</v>
      </c>
      <c r="F189" s="38">
        <v>0</v>
      </c>
      <c r="G189" s="38">
        <v>0</v>
      </c>
      <c r="H189" s="38">
        <v>0</v>
      </c>
      <c r="I189" s="38">
        <v>0</v>
      </c>
      <c r="J189" s="38">
        <v>0</v>
      </c>
      <c r="K189" s="38">
        <v>0</v>
      </c>
      <c r="L189" s="38">
        <f>72618*1000000</f>
        <v>72618000000</v>
      </c>
      <c r="M189" s="38">
        <v>0</v>
      </c>
      <c r="N189" s="38">
        <v>0</v>
      </c>
      <c r="O189" s="41">
        <v>0</v>
      </c>
      <c r="P189" s="38">
        <v>0</v>
      </c>
      <c r="Q189" s="38">
        <v>0</v>
      </c>
      <c r="R189" s="38">
        <v>0</v>
      </c>
      <c r="S189" s="38"/>
      <c r="T189" s="38">
        <v>0</v>
      </c>
      <c r="U189" s="41">
        <v>0</v>
      </c>
      <c r="V189" s="41">
        <v>0</v>
      </c>
      <c r="W189" s="41">
        <v>0</v>
      </c>
      <c r="X189" s="41">
        <v>0</v>
      </c>
      <c r="Y189" s="37"/>
    </row>
    <row r="190" spans="1:25" s="31" customFormat="1" ht="15" customHeight="1" x14ac:dyDescent="0.3">
      <c r="A190" s="36"/>
      <c r="B190" s="37"/>
      <c r="C190" s="29"/>
      <c r="D190" s="37">
        <v>2015</v>
      </c>
      <c r="E190" s="38">
        <f>561*1000000</f>
        <v>561000000</v>
      </c>
      <c r="F190" s="38">
        <f>(561+191+3579+1344+8422)*1000000</f>
        <v>14097000000</v>
      </c>
      <c r="G190" s="38">
        <f>461158*1000000</f>
        <v>461158000000</v>
      </c>
      <c r="H190" s="38">
        <f>18086*1000000</f>
        <v>18086000000</v>
      </c>
      <c r="I190" s="38">
        <f>223987*1000000</f>
        <v>223987000000</v>
      </c>
      <c r="J190" s="38">
        <f>15021*1000000</f>
        <v>15021000000</v>
      </c>
      <c r="K190" s="38">
        <f>237171*1000000</f>
        <v>237171000000</v>
      </c>
      <c r="L190" s="38">
        <f>77370*1000000</f>
        <v>77370000000</v>
      </c>
      <c r="M190" s="38">
        <f>10667*1000000</f>
        <v>10667000000</v>
      </c>
      <c r="N190" s="38">
        <f>-7758*1000000</f>
        <v>-7758000000</v>
      </c>
      <c r="O190" s="39">
        <v>0.99990000000000001</v>
      </c>
      <c r="P190" s="49" t="s">
        <v>46</v>
      </c>
      <c r="Q190" s="38">
        <v>1</v>
      </c>
      <c r="R190" s="38">
        <v>3</v>
      </c>
      <c r="S190" s="38">
        <v>2</v>
      </c>
      <c r="T190" s="38">
        <f>SUM(R190:S190)</f>
        <v>5</v>
      </c>
      <c r="U190" s="42">
        <v>0</v>
      </c>
      <c r="V190" s="41">
        <v>0</v>
      </c>
      <c r="W190" s="41">
        <v>0</v>
      </c>
      <c r="X190" s="41">
        <v>0</v>
      </c>
      <c r="Y190" s="37"/>
    </row>
    <row r="191" spans="1:25" s="31" customFormat="1" ht="15" customHeight="1" x14ac:dyDescent="0.3">
      <c r="A191" s="36"/>
      <c r="B191" s="37"/>
      <c r="C191" s="29"/>
      <c r="D191" s="37">
        <v>2016</v>
      </c>
      <c r="E191" s="38">
        <f>3621*1000000</f>
        <v>3621000000</v>
      </c>
      <c r="F191" s="38">
        <f>(3621+290+13350+708+8492)*1000000</f>
        <v>26461000000</v>
      </c>
      <c r="G191" s="38">
        <f>484771*1000000</f>
        <v>484771000000</v>
      </c>
      <c r="H191" s="38">
        <f>18598*1000000</f>
        <v>18598000000</v>
      </c>
      <c r="I191" s="38">
        <f>244449*1000000</f>
        <v>244449000000</v>
      </c>
      <c r="J191" s="38">
        <f>11387*1000000</f>
        <v>11387000000</v>
      </c>
      <c r="K191" s="38">
        <f>240322*1000000</f>
        <v>240322000000</v>
      </c>
      <c r="L191" s="38">
        <f>74738*1000000</f>
        <v>74738000000</v>
      </c>
      <c r="M191" s="38">
        <f>-2615*1000000</f>
        <v>-2615000000</v>
      </c>
      <c r="N191" s="38">
        <f>3151*1000000</f>
        <v>3151000000</v>
      </c>
      <c r="O191" s="39">
        <v>0.99990000000000001</v>
      </c>
      <c r="P191" s="40" t="s">
        <v>46</v>
      </c>
      <c r="Q191" s="38">
        <v>2</v>
      </c>
      <c r="R191" s="38">
        <v>4</v>
      </c>
      <c r="S191" s="38">
        <v>3</v>
      </c>
      <c r="T191" s="38">
        <f t="shared" ref="T191:T199" si="17">SUM(R191:S191)</f>
        <v>7</v>
      </c>
      <c r="U191" s="42">
        <v>0</v>
      </c>
      <c r="V191" s="41">
        <v>0</v>
      </c>
      <c r="W191" s="41">
        <v>0</v>
      </c>
      <c r="X191" s="41">
        <v>0</v>
      </c>
      <c r="Y191" s="37"/>
    </row>
    <row r="192" spans="1:25" s="31" customFormat="1" ht="15" customHeight="1" x14ac:dyDescent="0.3">
      <c r="A192" s="36"/>
      <c r="B192" s="37"/>
      <c r="C192" s="29"/>
      <c r="D192" s="37">
        <v>2017</v>
      </c>
      <c r="E192" s="38">
        <f>8109*1000000</f>
        <v>8109000000</v>
      </c>
      <c r="F192" s="38">
        <f>(8109+208+1721+4648+897)*1000000</f>
        <v>15583000000</v>
      </c>
      <c r="G192" s="38">
        <f>519654*1000000</f>
        <v>519654000000</v>
      </c>
      <c r="H192" s="38">
        <f>17535*1000000</f>
        <v>17535000000</v>
      </c>
      <c r="I192" s="38">
        <f>255000*1000000</f>
        <v>255000000000</v>
      </c>
      <c r="J192" s="38">
        <f>22067*1000000</f>
        <v>22067000000</v>
      </c>
      <c r="K192" s="38">
        <f>264654*1000000</f>
        <v>264654000000</v>
      </c>
      <c r="L192" s="38">
        <f>94242*1000000</f>
        <v>94242000000</v>
      </c>
      <c r="M192" s="38">
        <f>11030*1000000</f>
        <v>11030000000</v>
      </c>
      <c r="N192" s="38">
        <f>24332*1000000</f>
        <v>24332000000</v>
      </c>
      <c r="O192" s="39">
        <v>0.99990000000000001</v>
      </c>
      <c r="P192" s="40" t="s">
        <v>46</v>
      </c>
      <c r="Q192" s="38">
        <v>2</v>
      </c>
      <c r="R192" s="38">
        <v>4</v>
      </c>
      <c r="S192" s="38">
        <v>3</v>
      </c>
      <c r="T192" s="38">
        <f t="shared" si="17"/>
        <v>7</v>
      </c>
      <c r="U192" s="42">
        <v>0</v>
      </c>
      <c r="V192" s="41">
        <v>0</v>
      </c>
      <c r="W192" s="41">
        <v>0</v>
      </c>
      <c r="X192" s="41">
        <v>0</v>
      </c>
      <c r="Y192" s="37"/>
    </row>
    <row r="193" spans="1:25" s="31" customFormat="1" ht="15" customHeight="1" x14ac:dyDescent="0.3">
      <c r="A193" s="36"/>
      <c r="B193" s="37"/>
      <c r="C193" s="29"/>
      <c r="D193" s="37">
        <v>2018</v>
      </c>
      <c r="E193" s="38">
        <f>4240*1000000</f>
        <v>4240000000</v>
      </c>
      <c r="F193" s="38">
        <f>(4240+49+2314+1348+808)*1000000</f>
        <v>8759000000</v>
      </c>
      <c r="G193" s="38">
        <f>490309*1000000</f>
        <v>490309000000</v>
      </c>
      <c r="H193" s="38">
        <f>24879*1000000</f>
        <v>24879000000</v>
      </c>
      <c r="I193" s="38">
        <f>251007*1000000</f>
        <v>251007000000</v>
      </c>
      <c r="J193" s="38">
        <f>-2173*1000000</f>
        <v>-2173000000</v>
      </c>
      <c r="K193" s="38">
        <f>239302*1000000</f>
        <v>239302000000</v>
      </c>
      <c r="L193" s="38">
        <f>64629*1000000</f>
        <v>64629000000</v>
      </c>
      <c r="M193" s="38">
        <f>-23730*1000000</f>
        <v>-23730000000</v>
      </c>
      <c r="N193" s="38">
        <f>-25353*1000000</f>
        <v>-25353000000</v>
      </c>
      <c r="O193" s="39">
        <v>0.99990000000000001</v>
      </c>
      <c r="P193" s="40" t="s">
        <v>46</v>
      </c>
      <c r="Q193" s="38">
        <v>2</v>
      </c>
      <c r="R193" s="38">
        <v>4</v>
      </c>
      <c r="S193" s="38">
        <v>2</v>
      </c>
      <c r="T193" s="38">
        <f t="shared" si="17"/>
        <v>6</v>
      </c>
      <c r="U193" s="42">
        <v>0</v>
      </c>
      <c r="V193" s="41">
        <v>0</v>
      </c>
      <c r="W193" s="41">
        <v>0</v>
      </c>
      <c r="X193" s="41">
        <v>0</v>
      </c>
      <c r="Y193" s="37"/>
    </row>
    <row r="194" spans="1:25" s="31" customFormat="1" ht="15" customHeight="1" x14ac:dyDescent="0.3">
      <c r="A194" s="36"/>
      <c r="B194" s="37"/>
      <c r="C194" s="29"/>
      <c r="D194" s="37">
        <v>2019</v>
      </c>
      <c r="E194" s="38">
        <f>3452*1000000</f>
        <v>3452000000</v>
      </c>
      <c r="F194" s="38">
        <f>(3452+29+2647+4310+1536+740)*1000000</f>
        <v>12714000000</v>
      </c>
      <c r="G194" s="38">
        <f>504039*1000000</f>
        <v>504039000000</v>
      </c>
      <c r="H194" s="38">
        <f>20506*1000000</f>
        <v>20506000000</v>
      </c>
      <c r="I194" s="38">
        <f>259193*1000000</f>
        <v>259193000000</v>
      </c>
      <c r="J194" s="38">
        <f>6641*1000000</f>
        <v>6641000000</v>
      </c>
      <c r="K194" s="38">
        <f>244846*1000000</f>
        <v>244846000000</v>
      </c>
      <c r="L194" s="38">
        <f>93387*1000000</f>
        <v>93387000000</v>
      </c>
      <c r="M194" s="38">
        <f>9383*1000000</f>
        <v>9383000000</v>
      </c>
      <c r="N194" s="38">
        <f>5545*1000000</f>
        <v>5545000000</v>
      </c>
      <c r="O194" s="39">
        <v>0.99990000000000001</v>
      </c>
      <c r="P194" s="40" t="s">
        <v>46</v>
      </c>
      <c r="Q194" s="38">
        <v>2</v>
      </c>
      <c r="R194" s="38">
        <v>4</v>
      </c>
      <c r="S194" s="38">
        <v>2</v>
      </c>
      <c r="T194" s="38">
        <f t="shared" si="17"/>
        <v>6</v>
      </c>
      <c r="U194" s="42">
        <v>0</v>
      </c>
      <c r="V194" s="41">
        <v>0</v>
      </c>
      <c r="W194" s="41">
        <v>0</v>
      </c>
      <c r="X194" s="41">
        <v>0</v>
      </c>
      <c r="Y194" s="37"/>
    </row>
    <row r="195" spans="1:25" s="31" customFormat="1" ht="15" customHeight="1" x14ac:dyDescent="0.3">
      <c r="A195" s="36"/>
      <c r="B195" s="37"/>
      <c r="C195" s="29"/>
      <c r="D195" s="37">
        <v>2020</v>
      </c>
      <c r="E195" s="38">
        <f>4645*1000000</f>
        <v>4645000000</v>
      </c>
      <c r="F195" s="38">
        <f>(4645+29+1883+3190+1542+815)*1000000</f>
        <v>12104000000</v>
      </c>
      <c r="G195" s="38">
        <f>499976*1000000</f>
        <v>499976000000</v>
      </c>
      <c r="H195" s="38">
        <f>33375*1000000</f>
        <v>33375000000</v>
      </c>
      <c r="I195" s="38">
        <f>272457*1000000</f>
        <v>272457000000</v>
      </c>
      <c r="J195" s="38">
        <f>-9238*1000000</f>
        <v>-9238000000</v>
      </c>
      <c r="K195" s="38">
        <f>227519*1000000</f>
        <v>227519000000</v>
      </c>
      <c r="L195" s="38">
        <f>68530*1000000</f>
        <v>68530000000</v>
      </c>
      <c r="M195" s="38">
        <f>-15590*1000000</f>
        <v>-15590000000</v>
      </c>
      <c r="N195" s="38">
        <f>-17327*1000000</f>
        <v>-17327000000</v>
      </c>
      <c r="O195" s="39">
        <v>0.99990000000000001</v>
      </c>
      <c r="P195" s="40" t="s">
        <v>46</v>
      </c>
      <c r="Q195" s="38">
        <v>2</v>
      </c>
      <c r="R195" s="38">
        <v>3</v>
      </c>
      <c r="S195" s="38">
        <v>3</v>
      </c>
      <c r="T195" s="38">
        <f t="shared" si="17"/>
        <v>6</v>
      </c>
      <c r="U195" s="42">
        <v>0</v>
      </c>
      <c r="V195" s="41">
        <v>0</v>
      </c>
      <c r="W195" s="41">
        <v>0</v>
      </c>
      <c r="X195" s="41">
        <v>0</v>
      </c>
      <c r="Y195" s="37"/>
    </row>
    <row r="196" spans="1:25" s="31" customFormat="1" ht="15" customHeight="1" x14ac:dyDescent="0.3">
      <c r="A196" s="36"/>
      <c r="B196" s="37"/>
      <c r="C196" s="29"/>
      <c r="D196" s="37">
        <v>2021</v>
      </c>
      <c r="E196" s="38">
        <f>6204*1000000</f>
        <v>6204000000</v>
      </c>
      <c r="F196" s="38">
        <f>(6204+20+1972+14978+662+827)*1000000</f>
        <v>24663000000</v>
      </c>
      <c r="G196" s="38">
        <f>508600*1000000</f>
        <v>508600000000</v>
      </c>
      <c r="H196" s="38">
        <f>36928*1000000</f>
        <v>36928000000</v>
      </c>
      <c r="I196" s="38">
        <f>293295*1000000</f>
        <v>293295000000</v>
      </c>
      <c r="J196" s="38">
        <f>-20702*1000000</f>
        <v>-20702000000</v>
      </c>
      <c r="K196" s="38">
        <f>215305*1000000</f>
        <v>215305000000</v>
      </c>
      <c r="L196" s="38">
        <f>78144*1000000</f>
        <v>78144000000</v>
      </c>
      <c r="M196" s="38">
        <f>-11281*1000000</f>
        <v>-11281000000</v>
      </c>
      <c r="N196" s="38">
        <f>-12214*1000000</f>
        <v>-12214000000</v>
      </c>
      <c r="O196" s="39">
        <v>0.99990000000000001</v>
      </c>
      <c r="P196" s="40" t="s">
        <v>46</v>
      </c>
      <c r="Q196" s="38">
        <v>2</v>
      </c>
      <c r="R196" s="38">
        <v>3</v>
      </c>
      <c r="S196" s="38">
        <v>3</v>
      </c>
      <c r="T196" s="38">
        <f t="shared" si="17"/>
        <v>6</v>
      </c>
      <c r="U196" s="42">
        <v>0</v>
      </c>
      <c r="V196" s="41">
        <v>0</v>
      </c>
      <c r="W196" s="41">
        <v>0</v>
      </c>
      <c r="X196" s="41">
        <v>0</v>
      </c>
      <c r="Y196" s="37"/>
    </row>
    <row r="197" spans="1:25" s="31" customFormat="1" ht="15" customHeight="1" x14ac:dyDescent="0.3">
      <c r="A197" s="36"/>
      <c r="B197" s="37"/>
      <c r="C197" s="29"/>
      <c r="D197" s="37">
        <v>2022</v>
      </c>
      <c r="E197" s="38">
        <f>6220*1000000</f>
        <v>6220000000</v>
      </c>
      <c r="F197" s="38">
        <f>(6220+16+3974+19970+207+917)*1000000</f>
        <v>31304000000</v>
      </c>
      <c r="G197" s="38">
        <f>491148*1000000</f>
        <v>491148000000</v>
      </c>
      <c r="H197" s="38">
        <f>37483*1000000</f>
        <v>37483000000</v>
      </c>
      <c r="I197" s="38">
        <f>295580*1000000</f>
        <v>295580000000</v>
      </c>
      <c r="J197" s="38">
        <f>-38828*1000000</f>
        <v>-38828000000</v>
      </c>
      <c r="K197" s="38">
        <f>195568*1000000</f>
        <v>195568000000</v>
      </c>
      <c r="L197" s="38">
        <f>71021*1000000</f>
        <v>71021000000</v>
      </c>
      <c r="M197" s="38">
        <f>-17963*1000000</f>
        <v>-17963000000</v>
      </c>
      <c r="N197" s="38">
        <f>-19737*1000000</f>
        <v>-19737000000</v>
      </c>
      <c r="O197" s="39">
        <v>0.99990000000000001</v>
      </c>
      <c r="P197" s="40" t="s">
        <v>46</v>
      </c>
      <c r="Q197" s="38">
        <v>2</v>
      </c>
      <c r="R197" s="38">
        <v>3</v>
      </c>
      <c r="S197" s="38">
        <v>3</v>
      </c>
      <c r="T197" s="38">
        <f t="shared" si="17"/>
        <v>6</v>
      </c>
      <c r="U197" s="42">
        <v>0</v>
      </c>
      <c r="V197" s="41">
        <v>0</v>
      </c>
      <c r="W197" s="41">
        <v>0</v>
      </c>
      <c r="X197" s="41">
        <v>0</v>
      </c>
      <c r="Y197" s="37"/>
    </row>
    <row r="198" spans="1:25" s="31" customFormat="1" ht="15" customHeight="1" x14ac:dyDescent="0.3">
      <c r="A198" s="36"/>
      <c r="B198" s="37"/>
      <c r="C198" s="29"/>
      <c r="D198" s="37">
        <v>2023</v>
      </c>
      <c r="E198" s="38">
        <f>13841*1000000</f>
        <v>13841000000</v>
      </c>
      <c r="F198" s="38">
        <f>(13841+10+7416+33622+973+948)*1000000</f>
        <v>56810000000</v>
      </c>
      <c r="G198" s="38">
        <f>510045*1000000</f>
        <v>510045000000</v>
      </c>
      <c r="H198" s="38">
        <f>56014*1000000</f>
        <v>56014000000</v>
      </c>
      <c r="I198" s="38">
        <f>337729*1000000</f>
        <v>337729000000</v>
      </c>
      <c r="J198" s="38">
        <f>-62281*1000000</f>
        <v>-62281000000</v>
      </c>
      <c r="K198" s="38">
        <f>172316*1000000</f>
        <v>172316000000</v>
      </c>
      <c r="L198" s="38">
        <f>100267*1000000</f>
        <v>100267000000</v>
      </c>
      <c r="M198" s="38">
        <f>-23187*1000000</f>
        <v>-23187000000</v>
      </c>
      <c r="N198" s="38">
        <f>-23252*1000000</f>
        <v>-23252000000</v>
      </c>
      <c r="O198" s="39">
        <v>0.99990000000000001</v>
      </c>
      <c r="P198" s="40" t="s">
        <v>46</v>
      </c>
      <c r="Q198" s="38">
        <v>2</v>
      </c>
      <c r="R198" s="38">
        <v>3</v>
      </c>
      <c r="S198" s="38">
        <v>3</v>
      </c>
      <c r="T198" s="38">
        <f t="shared" si="17"/>
        <v>6</v>
      </c>
      <c r="U198" s="42">
        <v>0</v>
      </c>
      <c r="V198" s="41">
        <v>0</v>
      </c>
      <c r="W198" s="41">
        <v>0</v>
      </c>
      <c r="X198" s="41">
        <v>0</v>
      </c>
      <c r="Y198" s="37"/>
    </row>
    <row r="199" spans="1:25" s="31" customFormat="1" ht="15" customHeight="1" x14ac:dyDescent="0.3">
      <c r="A199" s="36"/>
      <c r="B199" s="37"/>
      <c r="C199" s="29"/>
      <c r="D199" s="37">
        <v>2024</v>
      </c>
      <c r="E199" s="38">
        <f>12764*1000000</f>
        <v>12764000000</v>
      </c>
      <c r="F199" s="38">
        <f>(12764+14+8875+31311+12+1444)*1000000</f>
        <v>54420000000</v>
      </c>
      <c r="G199" s="38">
        <f>488793*1000000</f>
        <v>488793000000</v>
      </c>
      <c r="H199" s="38">
        <f>48468*1000000</f>
        <v>48468000000</v>
      </c>
      <c r="I199" s="38">
        <f>345674*1000000</f>
        <v>345674000000</v>
      </c>
      <c r="J199" s="38">
        <f>-83640*1000000</f>
        <v>-83640000000</v>
      </c>
      <c r="K199" s="38">
        <f>143119*1000000</f>
        <v>143119000000</v>
      </c>
      <c r="L199" s="38">
        <f>183905*1000000</f>
        <v>183905000000</v>
      </c>
      <c r="M199" s="38">
        <f>-20902*1000000</f>
        <v>-20902000000</v>
      </c>
      <c r="N199" s="38">
        <f>-29197*1000000</f>
        <v>-29197000000</v>
      </c>
      <c r="O199" s="39">
        <v>0.99990000000000001</v>
      </c>
      <c r="P199" s="40" t="s">
        <v>46</v>
      </c>
      <c r="Q199" s="38">
        <v>1</v>
      </c>
      <c r="R199" s="38">
        <v>2</v>
      </c>
      <c r="S199" s="38">
        <v>1</v>
      </c>
      <c r="T199" s="38">
        <f t="shared" si="17"/>
        <v>3</v>
      </c>
      <c r="U199" s="42">
        <v>0</v>
      </c>
      <c r="V199" s="41">
        <v>0</v>
      </c>
      <c r="W199" s="41">
        <v>0</v>
      </c>
      <c r="X199" s="41">
        <v>0</v>
      </c>
      <c r="Y199" s="37"/>
    </row>
    <row r="200" spans="1:25" s="31" customFormat="1" ht="15" customHeight="1" x14ac:dyDescent="0.3">
      <c r="A200" s="36"/>
      <c r="B200" s="37">
        <v>19</v>
      </c>
      <c r="C200" s="29" t="s">
        <v>46</v>
      </c>
      <c r="D200" s="37">
        <v>2014</v>
      </c>
      <c r="E200" s="38">
        <v>0</v>
      </c>
      <c r="F200" s="38">
        <v>0</v>
      </c>
      <c r="G200" s="38">
        <v>0</v>
      </c>
      <c r="H200" s="38">
        <v>0</v>
      </c>
      <c r="I200" s="38">
        <v>0</v>
      </c>
      <c r="J200" s="38">
        <v>0</v>
      </c>
      <c r="K200" s="38">
        <v>0</v>
      </c>
      <c r="L200" s="38">
        <f>4177317*1000000</f>
        <v>4177317000000</v>
      </c>
      <c r="M200" s="38">
        <v>0</v>
      </c>
      <c r="N200" s="38">
        <v>0</v>
      </c>
      <c r="O200" s="41">
        <v>0</v>
      </c>
      <c r="P200" s="38">
        <v>0</v>
      </c>
      <c r="Q200" s="38">
        <v>0</v>
      </c>
      <c r="R200" s="38">
        <v>0</v>
      </c>
      <c r="S200" s="38"/>
      <c r="T200" s="38">
        <v>0</v>
      </c>
      <c r="U200" s="41">
        <v>0</v>
      </c>
      <c r="V200" s="41">
        <v>0</v>
      </c>
      <c r="W200" s="41">
        <v>0</v>
      </c>
      <c r="X200" s="41">
        <v>0</v>
      </c>
      <c r="Y200" s="37"/>
    </row>
    <row r="201" spans="1:25" s="31" customFormat="1" ht="15" customHeight="1" x14ac:dyDescent="0.3">
      <c r="A201" s="36"/>
      <c r="B201" s="37"/>
      <c r="C201" s="29"/>
      <c r="D201" s="37">
        <v>2015</v>
      </c>
      <c r="E201" s="38">
        <f>103788*1000000</f>
        <v>103788000000</v>
      </c>
      <c r="F201" s="38">
        <f>(103788+4215+137282+43733+156025)*1000000</f>
        <v>445043000000</v>
      </c>
      <c r="G201" s="38">
        <f>15369953*1000000</f>
        <v>15369953000000</v>
      </c>
      <c r="H201" s="38">
        <f>427059*1000000</f>
        <v>427059000000</v>
      </c>
      <c r="I201" s="38">
        <f>9772141*1000000</f>
        <v>9772141000000</v>
      </c>
      <c r="J201" s="38">
        <f>438027*1000000</f>
        <v>438027000000</v>
      </c>
      <c r="K201" s="38">
        <f>5597812*1000000</f>
        <v>5597812000000</v>
      </c>
      <c r="L201" s="38">
        <f>3749972*1000000</f>
        <v>3749972000000</v>
      </c>
      <c r="M201" s="38">
        <f>798686*1000000</f>
        <v>798686000000</v>
      </c>
      <c r="N201" s="38">
        <f>525895*1000000</f>
        <v>525895000000</v>
      </c>
      <c r="O201" s="39">
        <v>0.68340000000000001</v>
      </c>
      <c r="P201" s="40" t="s">
        <v>207</v>
      </c>
      <c r="Q201" s="38">
        <v>2</v>
      </c>
      <c r="R201" s="38">
        <v>5</v>
      </c>
      <c r="S201" s="38">
        <v>5</v>
      </c>
      <c r="T201" s="38">
        <f>SUM(R201:S201)</f>
        <v>10</v>
      </c>
      <c r="U201" s="42">
        <v>0</v>
      </c>
      <c r="V201" s="41">
        <v>0</v>
      </c>
      <c r="W201" s="41">
        <v>0</v>
      </c>
      <c r="X201" s="41">
        <v>0</v>
      </c>
      <c r="Y201" s="37"/>
    </row>
    <row r="202" spans="1:25" s="31" customFormat="1" ht="15" customHeight="1" x14ac:dyDescent="0.3">
      <c r="A202" s="36"/>
      <c r="B202" s="37"/>
      <c r="C202" s="29"/>
      <c r="D202" s="37">
        <v>2016</v>
      </c>
      <c r="E202" s="38">
        <f>161718*1000000</f>
        <v>161718000000</v>
      </c>
      <c r="F202" s="38">
        <f>(161718+3190+137869+26129+157661)*1000000</f>
        <v>486567000000</v>
      </c>
      <c r="G202" s="38">
        <f>16520666*1000000</f>
        <v>16520666000000</v>
      </c>
      <c r="H202" s="38">
        <f>491733*1000000</f>
        <v>491733000000</v>
      </c>
      <c r="I202" s="38">
        <f>10745675*1000000</f>
        <v>10745675000000</v>
      </c>
      <c r="J202" s="38">
        <f>554829*1000000</f>
        <v>554829000000</v>
      </c>
      <c r="K202" s="38">
        <f>5774991*1000000</f>
        <v>5774991000000</v>
      </c>
      <c r="L202" s="38">
        <f>4687411*1000000</f>
        <v>4687411000000</v>
      </c>
      <c r="M202" s="38">
        <f>814488*1000000</f>
        <v>814488000000</v>
      </c>
      <c r="N202" s="38">
        <f>852179*1000000</f>
        <v>852179000000</v>
      </c>
      <c r="O202" s="39">
        <v>0.68340000000000001</v>
      </c>
      <c r="P202" s="40" t="s">
        <v>207</v>
      </c>
      <c r="Q202" s="38">
        <v>3</v>
      </c>
      <c r="R202" s="38">
        <v>6</v>
      </c>
      <c r="S202" s="38">
        <v>5</v>
      </c>
      <c r="T202" s="38">
        <f t="shared" ref="T202:T210" si="18">SUM(R202:S202)</f>
        <v>11</v>
      </c>
      <c r="U202" s="42">
        <v>0</v>
      </c>
      <c r="V202" s="41">
        <v>0</v>
      </c>
      <c r="W202" s="41">
        <v>0</v>
      </c>
      <c r="X202" s="41">
        <v>0</v>
      </c>
      <c r="Y202" s="37"/>
    </row>
    <row r="203" spans="1:25" s="31" customFormat="1" ht="15" customHeight="1" x14ac:dyDescent="0.3">
      <c r="A203" s="36"/>
      <c r="B203" s="37"/>
      <c r="C203" s="29"/>
      <c r="D203" s="37">
        <v>2017</v>
      </c>
      <c r="E203" s="38">
        <f>61206*1000000</f>
        <v>61206000000</v>
      </c>
      <c r="F203" s="38">
        <f>(61206+7226+71634+83937+27868)*1000000</f>
        <v>251871000000</v>
      </c>
      <c r="G203" s="38">
        <f>18732840*1000000</f>
        <v>18732840000000</v>
      </c>
      <c r="H203" s="38">
        <f>577850*1000000</f>
        <v>577850000000</v>
      </c>
      <c r="I203" s="38">
        <f>12338338*1000000</f>
        <v>12338338000000</v>
      </c>
      <c r="J203" s="38">
        <f>828743*1000000</f>
        <v>828743000000</v>
      </c>
      <c r="K203" s="38">
        <f>6394502*1000000</f>
        <v>6394502000000</v>
      </c>
      <c r="L203" s="38">
        <f>5407699*1000000</f>
        <v>5407699000000</v>
      </c>
      <c r="M203" s="38">
        <f>1010117*1000000</f>
        <v>1010117000000</v>
      </c>
      <c r="N203" s="38">
        <f>1347511*1000000</f>
        <v>1347511000000</v>
      </c>
      <c r="O203" s="39">
        <v>0.68340000000000001</v>
      </c>
      <c r="P203" s="40" t="s">
        <v>207</v>
      </c>
      <c r="Q203" s="38">
        <v>3</v>
      </c>
      <c r="R203" s="38">
        <v>6</v>
      </c>
      <c r="S203" s="38">
        <v>5</v>
      </c>
      <c r="T203" s="38">
        <f t="shared" si="18"/>
        <v>11</v>
      </c>
      <c r="U203" s="42">
        <v>0</v>
      </c>
      <c r="V203" s="41">
        <v>0</v>
      </c>
      <c r="W203" s="41">
        <v>0</v>
      </c>
      <c r="X203" s="41">
        <v>0</v>
      </c>
      <c r="Y203" s="37"/>
    </row>
    <row r="204" spans="1:25" s="31" customFormat="1" ht="15" customHeight="1" x14ac:dyDescent="0.3">
      <c r="A204" s="36"/>
      <c r="B204" s="37"/>
      <c r="C204" s="29"/>
      <c r="D204" s="37">
        <v>2018</v>
      </c>
      <c r="E204" s="38">
        <f>90703*1000000</f>
        <v>90703000000</v>
      </c>
      <c r="F204" s="38">
        <f>(90703+8759+87462+63486+29295)*1000000</f>
        <v>279705000000</v>
      </c>
      <c r="G204" s="38">
        <f>18420333*1000000</f>
        <v>18420333000000</v>
      </c>
      <c r="H204" s="38">
        <f>693381*1000000</f>
        <v>693381000000</v>
      </c>
      <c r="I204" s="38">
        <f>12047911*1000000</f>
        <v>12047911000000</v>
      </c>
      <c r="J204" s="38">
        <f>880847*1000000</f>
        <v>880847000000</v>
      </c>
      <c r="K204" s="38">
        <f>6372422*1000000</f>
        <v>6372422000000</v>
      </c>
      <c r="L204" s="38">
        <f>3493485*1000000</f>
        <v>3493485000000</v>
      </c>
      <c r="M204" s="38">
        <f>622972*1000000</f>
        <v>622972000000</v>
      </c>
      <c r="N204" s="38">
        <f>539719*1000000</f>
        <v>539719000000</v>
      </c>
      <c r="O204" s="39">
        <v>0.68340000000000001</v>
      </c>
      <c r="P204" s="40" t="s">
        <v>207</v>
      </c>
      <c r="Q204" s="38">
        <v>3</v>
      </c>
      <c r="R204" s="38">
        <v>6</v>
      </c>
      <c r="S204" s="38">
        <v>5</v>
      </c>
      <c r="T204" s="38">
        <f t="shared" si="18"/>
        <v>11</v>
      </c>
      <c r="U204" s="42">
        <v>0</v>
      </c>
      <c r="V204" s="41">
        <v>0</v>
      </c>
      <c r="W204" s="41">
        <v>0</v>
      </c>
      <c r="X204" s="41">
        <v>0</v>
      </c>
      <c r="Y204" s="37"/>
    </row>
    <row r="205" spans="1:25" s="31" customFormat="1" ht="15" customHeight="1" x14ac:dyDescent="0.3">
      <c r="A205" s="36"/>
      <c r="B205" s="37"/>
      <c r="C205" s="29"/>
      <c r="D205" s="37">
        <v>2019</v>
      </c>
      <c r="E205" s="38">
        <f>72281*1000000</f>
        <v>72281000000</v>
      </c>
      <c r="F205" s="38">
        <f>(72281+2349+120256+62911+2061+27114)*1000000</f>
        <v>286972000000</v>
      </c>
      <c r="G205" s="38">
        <f>18871652*1000000</f>
        <v>18871652000000</v>
      </c>
      <c r="H205" s="38">
        <f>667382*1000000</f>
        <v>667382000000</v>
      </c>
      <c r="I205" s="38">
        <f>12318384*1000000</f>
        <v>12318384000000</v>
      </c>
      <c r="J205" s="38">
        <f>850053*1000000</f>
        <v>850053000000</v>
      </c>
      <c r="K205" s="38">
        <f>6553268*1000000</f>
        <v>6553268000000</v>
      </c>
      <c r="L205" s="38">
        <f>4443975*1000000</f>
        <v>4443975000000</v>
      </c>
      <c r="M205" s="38">
        <f>765260*1000000</f>
        <v>765260000000</v>
      </c>
      <c r="N205" s="38">
        <f>970846*1000000</f>
        <v>970846000000</v>
      </c>
      <c r="O205" s="39">
        <v>0.68340000000000001</v>
      </c>
      <c r="P205" s="40" t="s">
        <v>207</v>
      </c>
      <c r="Q205" s="38">
        <v>2</v>
      </c>
      <c r="R205" s="38">
        <v>5</v>
      </c>
      <c r="S205" s="38">
        <v>5</v>
      </c>
      <c r="T205" s="38">
        <f t="shared" si="18"/>
        <v>10</v>
      </c>
      <c r="U205" s="42">
        <v>0</v>
      </c>
      <c r="V205" s="41">
        <v>0</v>
      </c>
      <c r="W205" s="41">
        <v>0</v>
      </c>
      <c r="X205" s="41">
        <v>0</v>
      </c>
      <c r="Y205" s="37"/>
    </row>
    <row r="206" spans="1:25" s="31" customFormat="1" ht="15" customHeight="1" x14ac:dyDescent="0.3">
      <c r="A206" s="36"/>
      <c r="B206" s="37"/>
      <c r="C206" s="29"/>
      <c r="D206" s="37">
        <v>2020</v>
      </c>
      <c r="E206" s="38">
        <f>102692*1000000</f>
        <v>102692000000</v>
      </c>
      <c r="F206" s="38">
        <f>(102692+3807+120908+83687+12283+25817)*1000000</f>
        <v>349194000000</v>
      </c>
      <c r="G206" s="38">
        <f>19996724*1000000</f>
        <v>19996724000000</v>
      </c>
      <c r="H206" s="38">
        <f>733361*1000000</f>
        <v>733361000000</v>
      </c>
      <c r="I206" s="38">
        <f>12528881*1000000</f>
        <v>12528881000000</v>
      </c>
      <c r="J206" s="38">
        <f>1145287*1000000</f>
        <v>1145287000000</v>
      </c>
      <c r="K206" s="38">
        <f>7467843*1000000</f>
        <v>7467843000000</v>
      </c>
      <c r="L206" s="38">
        <f>3909558*1000000</f>
        <v>3909558000000</v>
      </c>
      <c r="M206" s="38">
        <f>721209*1000000</f>
        <v>721209000000</v>
      </c>
      <c r="N206" s="38">
        <f>1336075*1000000</f>
        <v>1336075000000</v>
      </c>
      <c r="O206" s="39">
        <v>0.68340000000000001</v>
      </c>
      <c r="P206" s="40" t="s">
        <v>207</v>
      </c>
      <c r="Q206" s="38">
        <v>2</v>
      </c>
      <c r="R206" s="38">
        <v>5</v>
      </c>
      <c r="S206" s="38">
        <v>5</v>
      </c>
      <c r="T206" s="38">
        <f t="shared" si="18"/>
        <v>10</v>
      </c>
      <c r="U206" s="42">
        <v>0</v>
      </c>
      <c r="V206" s="41">
        <v>0</v>
      </c>
      <c r="W206" s="41">
        <v>0</v>
      </c>
      <c r="X206" s="41">
        <v>0</v>
      </c>
      <c r="Y206" s="37"/>
    </row>
    <row r="207" spans="1:25" s="31" customFormat="1" ht="15" customHeight="1" x14ac:dyDescent="0.3">
      <c r="A207" s="36"/>
      <c r="B207" s="37"/>
      <c r="C207" s="29"/>
      <c r="D207" s="37">
        <v>2021</v>
      </c>
      <c r="E207" s="38">
        <f>64519*1000000</f>
        <v>64519000000</v>
      </c>
      <c r="F207" s="38">
        <f>(64519+1163+120481+265459+14220+30534)*1000000</f>
        <v>496376000000</v>
      </c>
      <c r="G207" s="38">
        <f>19215974*1000000</f>
        <v>19215974000000</v>
      </c>
      <c r="H207" s="38">
        <f>848492*1000000</f>
        <v>848492000000</v>
      </c>
      <c r="I207" s="38">
        <f>12351087*1000000</f>
        <v>12351087000000</v>
      </c>
      <c r="J207" s="38">
        <f>904624*1000000</f>
        <v>904624000000</v>
      </c>
      <c r="K207" s="38">
        <f>6564887*1000000</f>
        <v>6564887000000</v>
      </c>
      <c r="L207" s="38">
        <f>3593844*1000000</f>
        <v>3593844000000</v>
      </c>
      <c r="M207" s="38">
        <f>565742*1000000</f>
        <v>565742000000</v>
      </c>
      <c r="N207" s="38">
        <f>201044*1000000</f>
        <v>201044000000</v>
      </c>
      <c r="O207" s="39">
        <v>0.68340000000000001</v>
      </c>
      <c r="P207" s="40" t="s">
        <v>207</v>
      </c>
      <c r="Q207" s="38">
        <v>3</v>
      </c>
      <c r="R207" s="38">
        <v>5</v>
      </c>
      <c r="S207" s="38">
        <v>6</v>
      </c>
      <c r="T207" s="38">
        <f t="shared" si="18"/>
        <v>11</v>
      </c>
      <c r="U207" s="42">
        <v>0</v>
      </c>
      <c r="V207" s="41">
        <v>0</v>
      </c>
      <c r="W207" s="41">
        <v>0</v>
      </c>
      <c r="X207" s="41">
        <v>0</v>
      </c>
      <c r="Y207" s="37"/>
    </row>
    <row r="208" spans="1:25" s="31" customFormat="1" ht="15" customHeight="1" x14ac:dyDescent="0.3">
      <c r="A208" s="36"/>
      <c r="B208" s="37"/>
      <c r="C208" s="29"/>
      <c r="D208" s="37">
        <v>2022</v>
      </c>
      <c r="E208" s="38">
        <f>77180*1000000</f>
        <v>77180000000</v>
      </c>
      <c r="F208" s="38">
        <f>(77180+5908+137902+254583+1442+48750)*1000000</f>
        <v>525765000000</v>
      </c>
      <c r="G208" s="38">
        <f>19085714*1000000</f>
        <v>19085714000000</v>
      </c>
      <c r="H208" s="38">
        <f>899938*1000000</f>
        <v>899938000000</v>
      </c>
      <c r="I208" s="38">
        <f>12000719*1000000</f>
        <v>12000719000000</v>
      </c>
      <c r="J208" s="38">
        <f>1349924*1000000</f>
        <v>1349924000000</v>
      </c>
      <c r="K208" s="38">
        <f>7084995*1000000</f>
        <v>7084995000000</v>
      </c>
      <c r="L208" s="38">
        <f>3564387*1000000</f>
        <v>3564387000000</v>
      </c>
      <c r="M208" s="38">
        <f>578131*1000000</f>
        <v>578131000000</v>
      </c>
      <c r="N208" s="38">
        <f>345107*1000000</f>
        <v>345107000000</v>
      </c>
      <c r="O208" s="39">
        <v>0.68340000000000001</v>
      </c>
      <c r="P208" s="40" t="s">
        <v>207</v>
      </c>
      <c r="Q208" s="38">
        <v>3</v>
      </c>
      <c r="R208" s="38">
        <v>5</v>
      </c>
      <c r="S208" s="38">
        <v>6</v>
      </c>
      <c r="T208" s="38">
        <f t="shared" si="18"/>
        <v>11</v>
      </c>
      <c r="U208" s="42">
        <v>0</v>
      </c>
      <c r="V208" s="41">
        <v>0</v>
      </c>
      <c r="W208" s="41">
        <v>0</v>
      </c>
      <c r="X208" s="41">
        <v>0</v>
      </c>
      <c r="Y208" s="37"/>
    </row>
    <row r="209" spans="1:25" s="31" customFormat="1" ht="15" customHeight="1" x14ac:dyDescent="0.3">
      <c r="A209" s="36"/>
      <c r="B209" s="37"/>
      <c r="C209" s="29"/>
      <c r="D209" s="37">
        <v>2023</v>
      </c>
      <c r="E209" s="38">
        <f>114288*1000000</f>
        <v>114288000000</v>
      </c>
      <c r="F209" s="38">
        <f>(114288+7246+146583+206671+9606+99174)*1000000</f>
        <v>583568000000</v>
      </c>
      <c r="G209" s="38">
        <f>19037633*1000000</f>
        <v>19037633000000</v>
      </c>
      <c r="H209" s="38">
        <f>1050391*1000000</f>
        <v>1050391000000</v>
      </c>
      <c r="I209" s="38">
        <f>12106761*1000000</f>
        <v>12106761000000</v>
      </c>
      <c r="J209" s="38">
        <f>1090659*1000000</f>
        <v>1090659000000</v>
      </c>
      <c r="K209" s="38">
        <f>6930872*1000000</f>
        <v>6930872000000</v>
      </c>
      <c r="L209" s="38">
        <f>3855345*1000000</f>
        <v>3855345000000</v>
      </c>
      <c r="M209" s="38">
        <f>310795*1000000</f>
        <v>310795000000</v>
      </c>
      <c r="N209" s="38">
        <f>400877*1000000</f>
        <v>400877000000</v>
      </c>
      <c r="O209" s="39">
        <v>0.68340000000000001</v>
      </c>
      <c r="P209" s="40" t="s">
        <v>207</v>
      </c>
      <c r="Q209" s="38">
        <v>3</v>
      </c>
      <c r="R209" s="38">
        <v>6</v>
      </c>
      <c r="S209" s="38">
        <v>6</v>
      </c>
      <c r="T209" s="38">
        <f t="shared" si="18"/>
        <v>12</v>
      </c>
      <c r="U209" s="42">
        <v>0</v>
      </c>
      <c r="V209" s="41">
        <v>0</v>
      </c>
      <c r="W209" s="41">
        <v>0</v>
      </c>
      <c r="X209" s="41">
        <v>0</v>
      </c>
      <c r="Y209" s="37"/>
    </row>
    <row r="210" spans="1:25" s="31" customFormat="1" ht="15" customHeight="1" x14ac:dyDescent="0.3">
      <c r="A210" s="36"/>
      <c r="B210" s="37"/>
      <c r="C210" s="29"/>
      <c r="D210" s="37">
        <v>2024</v>
      </c>
      <c r="E210" s="38">
        <f>82147*1000000</f>
        <v>82147000000</v>
      </c>
      <c r="F210" s="38">
        <f>(82147+4280+175531+189053+142+89799)*1000000</f>
        <v>540952000000</v>
      </c>
      <c r="G210" s="38">
        <f>19145925*1000000</f>
        <v>19145925000000</v>
      </c>
      <c r="H210" s="38">
        <f>1059091*1000000</f>
        <v>1059091000000</v>
      </c>
      <c r="I210" s="38">
        <f>11794087*1000000</f>
        <v>11794087000000</v>
      </c>
      <c r="J210" s="38">
        <f>1150611*1000000</f>
        <v>1150611000000</v>
      </c>
      <c r="K210" s="38">
        <f>7351838*1000000</f>
        <v>7351838000000</v>
      </c>
      <c r="L210" s="38">
        <f>3922126*1000000</f>
        <v>3922126000000</v>
      </c>
      <c r="M210" s="38">
        <f>467339*1000000</f>
        <v>467339000000</v>
      </c>
      <c r="N210" s="38">
        <f>810484*1000000</f>
        <v>810484000000</v>
      </c>
      <c r="O210" s="39">
        <v>0.68340000000000001</v>
      </c>
      <c r="P210" s="40" t="s">
        <v>207</v>
      </c>
      <c r="Q210" s="38">
        <v>3</v>
      </c>
      <c r="R210" s="38">
        <v>6</v>
      </c>
      <c r="S210" s="38">
        <v>6</v>
      </c>
      <c r="T210" s="38">
        <f t="shared" si="18"/>
        <v>12</v>
      </c>
      <c r="U210" s="42">
        <v>0</v>
      </c>
      <c r="V210" s="41">
        <v>0</v>
      </c>
      <c r="W210" s="41">
        <v>0</v>
      </c>
      <c r="X210" s="41">
        <v>0</v>
      </c>
      <c r="Y210" s="37"/>
    </row>
    <row r="211" spans="1:25" s="31" customFormat="1" ht="15" customHeight="1" x14ac:dyDescent="0.3">
      <c r="A211" s="36"/>
      <c r="B211" s="37">
        <v>20</v>
      </c>
      <c r="C211" s="29" t="s">
        <v>27</v>
      </c>
      <c r="D211" s="37">
        <v>2014</v>
      </c>
      <c r="E211" s="38">
        <v>0</v>
      </c>
      <c r="F211" s="38">
        <v>0</v>
      </c>
      <c r="G211" s="38">
        <v>0</v>
      </c>
      <c r="H211" s="38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0</v>
      </c>
      <c r="N211" s="38">
        <v>0</v>
      </c>
      <c r="O211" s="41">
        <v>0</v>
      </c>
      <c r="P211" s="38">
        <v>0</v>
      </c>
      <c r="Q211" s="38">
        <v>0</v>
      </c>
      <c r="R211" s="38">
        <v>0</v>
      </c>
      <c r="S211" s="38">
        <v>0</v>
      </c>
      <c r="T211" s="38">
        <v>0</v>
      </c>
      <c r="U211" s="41">
        <v>0</v>
      </c>
      <c r="V211" s="38">
        <v>0</v>
      </c>
      <c r="W211" s="38">
        <f>V211</f>
        <v>0</v>
      </c>
      <c r="X211" s="38">
        <v>0</v>
      </c>
      <c r="Y211" s="37"/>
    </row>
    <row r="212" spans="1:25" s="31" customFormat="1" ht="15" customHeight="1" x14ac:dyDescent="0.3">
      <c r="A212" s="36"/>
      <c r="B212" s="37"/>
      <c r="C212" s="29"/>
      <c r="D212" s="37">
        <v>2015</v>
      </c>
      <c r="E212" s="38">
        <v>0</v>
      </c>
      <c r="F212" s="38">
        <v>0</v>
      </c>
      <c r="G212" s="38">
        <v>0</v>
      </c>
      <c r="H212" s="38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0</v>
      </c>
      <c r="N212" s="38">
        <v>0</v>
      </c>
      <c r="O212" s="41">
        <v>0</v>
      </c>
      <c r="P212" s="38">
        <v>0</v>
      </c>
      <c r="Q212" s="38">
        <v>0</v>
      </c>
      <c r="R212" s="38">
        <v>0</v>
      </c>
      <c r="S212" s="38">
        <v>0</v>
      </c>
      <c r="T212" s="38">
        <v>0</v>
      </c>
      <c r="U212" s="41">
        <v>0</v>
      </c>
      <c r="V212" s="38">
        <v>0</v>
      </c>
      <c r="W212" s="38">
        <v>0</v>
      </c>
      <c r="X212" s="38">
        <v>0</v>
      </c>
      <c r="Y212" s="37"/>
    </row>
    <row r="213" spans="1:25" s="31" customFormat="1" ht="15" customHeight="1" x14ac:dyDescent="0.3">
      <c r="A213" s="36"/>
      <c r="B213" s="37"/>
      <c r="C213" s="29"/>
      <c r="D213" s="37">
        <v>2016</v>
      </c>
      <c r="E213" s="38">
        <v>0</v>
      </c>
      <c r="F213" s="38">
        <v>0</v>
      </c>
      <c r="G213" s="38">
        <v>0</v>
      </c>
      <c r="H213" s="38">
        <v>0</v>
      </c>
      <c r="I213" s="38">
        <v>0</v>
      </c>
      <c r="J213" s="38">
        <v>0</v>
      </c>
      <c r="K213" s="38">
        <v>0</v>
      </c>
      <c r="L213" s="38">
        <v>0</v>
      </c>
      <c r="M213" s="38">
        <v>0</v>
      </c>
      <c r="N213" s="38">
        <v>0</v>
      </c>
      <c r="O213" s="41">
        <v>0</v>
      </c>
      <c r="P213" s="38">
        <v>0</v>
      </c>
      <c r="Q213" s="38">
        <v>0</v>
      </c>
      <c r="R213" s="38">
        <v>0</v>
      </c>
      <c r="S213" s="38">
        <v>0</v>
      </c>
      <c r="T213" s="38">
        <v>0</v>
      </c>
      <c r="U213" s="41">
        <v>0</v>
      </c>
      <c r="V213" s="38">
        <v>0</v>
      </c>
      <c r="W213" s="38">
        <v>0</v>
      </c>
      <c r="X213" s="38">
        <v>0</v>
      </c>
      <c r="Y213" s="37"/>
    </row>
    <row r="214" spans="1:25" s="31" customFormat="1" ht="15" customHeight="1" x14ac:dyDescent="0.3">
      <c r="A214" s="36"/>
      <c r="B214" s="37"/>
      <c r="C214" s="29"/>
      <c r="D214" s="37">
        <v>2017</v>
      </c>
      <c r="E214" s="38">
        <f>87336*1000000</f>
        <v>87336000000</v>
      </c>
      <c r="F214" s="38">
        <f>(87336+778)*1000000</f>
        <v>88114000000</v>
      </c>
      <c r="G214" s="38">
        <f>112089*1000000</f>
        <v>112089000000</v>
      </c>
      <c r="H214" s="38">
        <f>95828*1000000</f>
        <v>95828000000</v>
      </c>
      <c r="I214" s="38">
        <f>124491*1000000</f>
        <v>124491000000</v>
      </c>
      <c r="J214" s="38">
        <f>-193402*1000000</f>
        <v>-193402000000</v>
      </c>
      <c r="K214" s="38">
        <f>-12402*1000000</f>
        <v>-12402000000</v>
      </c>
      <c r="L214" s="38">
        <f>6212*1000000</f>
        <v>6212000000</v>
      </c>
      <c r="M214" s="38">
        <f>-9034*1000000</f>
        <v>-9034000000</v>
      </c>
      <c r="N214" s="38">
        <f>-9034*1000000</f>
        <v>-9034000000</v>
      </c>
      <c r="O214" s="48">
        <v>0</v>
      </c>
      <c r="P214" s="40">
        <v>0</v>
      </c>
      <c r="Q214" s="38">
        <v>0</v>
      </c>
      <c r="R214" s="38">
        <v>0</v>
      </c>
      <c r="S214" s="38">
        <v>0</v>
      </c>
      <c r="T214" s="38">
        <v>0</v>
      </c>
      <c r="U214" s="41">
        <v>0</v>
      </c>
      <c r="V214" s="38">
        <v>0</v>
      </c>
      <c r="W214" s="38">
        <v>0</v>
      </c>
      <c r="X214" s="38">
        <v>0</v>
      </c>
      <c r="Y214" s="37"/>
    </row>
    <row r="215" spans="1:25" s="31" customFormat="1" ht="15" customHeight="1" x14ac:dyDescent="0.3">
      <c r="A215" s="36"/>
      <c r="B215" s="37"/>
      <c r="C215" s="29"/>
      <c r="D215" s="37">
        <v>2018</v>
      </c>
      <c r="E215" s="38">
        <f>30098*1000000</f>
        <v>30098000000</v>
      </c>
      <c r="F215" s="38">
        <f>(30098+1951+271+1243)*1000000</f>
        <v>33563000000</v>
      </c>
      <c r="G215" s="38">
        <f>211218*1000000</f>
        <v>211218000000</v>
      </c>
      <c r="H215" s="38">
        <f>77853*1000000</f>
        <v>77853000000</v>
      </c>
      <c r="I215" s="38">
        <f>103855*1000000</f>
        <v>103855000000</v>
      </c>
      <c r="J215" s="38">
        <f>-192637*1000000</f>
        <v>-192637000000</v>
      </c>
      <c r="K215" s="38">
        <f>107363*1000000</f>
        <v>107363000000</v>
      </c>
      <c r="L215" s="38">
        <f>6023*1000000</f>
        <v>6023000000</v>
      </c>
      <c r="M215" s="38">
        <f>661*1000000</f>
        <v>661000000</v>
      </c>
      <c r="N215" s="38">
        <f>766*1000000</f>
        <v>766000000</v>
      </c>
      <c r="O215" s="39">
        <v>0.99990000000000001</v>
      </c>
      <c r="P215" s="40" t="s">
        <v>206</v>
      </c>
      <c r="Q215" s="38">
        <v>2</v>
      </c>
      <c r="R215" s="38">
        <v>4</v>
      </c>
      <c r="S215" s="38">
        <v>3</v>
      </c>
      <c r="T215" s="38">
        <f>SUM(R215:S215)</f>
        <v>7</v>
      </c>
      <c r="U215" s="42">
        <v>0</v>
      </c>
      <c r="V215" s="38">
        <v>0</v>
      </c>
      <c r="W215" s="38">
        <v>0</v>
      </c>
      <c r="X215" s="38">
        <v>0</v>
      </c>
      <c r="Y215" s="37"/>
    </row>
    <row r="216" spans="1:25" s="31" customFormat="1" ht="15" customHeight="1" x14ac:dyDescent="0.3">
      <c r="A216" s="36"/>
      <c r="B216" s="37"/>
      <c r="C216" s="29"/>
      <c r="D216" s="37">
        <v>2019</v>
      </c>
      <c r="E216" s="38">
        <f>57486*1000000</f>
        <v>57486000000</v>
      </c>
      <c r="F216" s="38">
        <f>(57489+1+6+3517)*1000000</f>
        <v>61013000000</v>
      </c>
      <c r="G216" s="38">
        <f>2554055*1000000</f>
        <v>2554055000000</v>
      </c>
      <c r="H216" s="38">
        <f>87745*1000000</f>
        <v>87745000000</v>
      </c>
      <c r="I216" s="38">
        <f>2422720*1000000</f>
        <v>2422720000000</v>
      </c>
      <c r="J216" s="38">
        <f>-167967*1000000</f>
        <v>-167967000000</v>
      </c>
      <c r="K216" s="38">
        <f>131334*1000000</f>
        <v>131334000000</v>
      </c>
      <c r="L216" s="38">
        <f>2842715*1000000</f>
        <v>2842715000000</v>
      </c>
      <c r="M216" s="38">
        <f>24300*1000000</f>
        <v>24300000000</v>
      </c>
      <c r="N216" s="38">
        <f>23971*1000000</f>
        <v>23971000000</v>
      </c>
      <c r="O216" s="39">
        <v>0.99990000000000001</v>
      </c>
      <c r="P216" s="40" t="s">
        <v>206</v>
      </c>
      <c r="Q216" s="38">
        <v>2</v>
      </c>
      <c r="R216" s="38">
        <v>4</v>
      </c>
      <c r="S216" s="38">
        <v>3</v>
      </c>
      <c r="T216" s="38">
        <f t="shared" ref="T216:T221" si="19">SUM(R216:S216)</f>
        <v>7</v>
      </c>
      <c r="U216" s="42">
        <v>0</v>
      </c>
      <c r="V216" s="38">
        <v>0</v>
      </c>
      <c r="W216" s="38">
        <v>0</v>
      </c>
      <c r="X216" s="38">
        <v>0</v>
      </c>
      <c r="Y216" s="37"/>
    </row>
    <row r="217" spans="1:25" s="31" customFormat="1" ht="15" customHeight="1" x14ac:dyDescent="0.3">
      <c r="A217" s="36"/>
      <c r="B217" s="37"/>
      <c r="C217" s="29"/>
      <c r="D217" s="37">
        <v>2020</v>
      </c>
      <c r="E217" s="38">
        <f>37963*1000000</f>
        <v>37963000000</v>
      </c>
      <c r="F217" s="38">
        <f>(37963+40+13+17026)*1000000</f>
        <v>55042000000</v>
      </c>
      <c r="G217" s="38">
        <f>2377806*1000000</f>
        <v>2377806000000</v>
      </c>
      <c r="H217" s="38">
        <f>89225*1000000</f>
        <v>89225000000</v>
      </c>
      <c r="I217" s="38">
        <f>2222727*1000000</f>
        <v>2222727000000</v>
      </c>
      <c r="J217" s="38">
        <f>-135288*1000000</f>
        <v>-135288000000</v>
      </c>
      <c r="K217" s="38">
        <f>154854*1000000</f>
        <v>154854000000</v>
      </c>
      <c r="L217" s="38">
        <f>2041768*1000000</f>
        <v>2041768000000</v>
      </c>
      <c r="M217" s="38">
        <f>32403*1000000</f>
        <v>32403000000</v>
      </c>
      <c r="N217" s="38">
        <f>23520*1000000</f>
        <v>23520000000</v>
      </c>
      <c r="O217" s="39">
        <v>0.99990000000000001</v>
      </c>
      <c r="P217" s="40" t="s">
        <v>206</v>
      </c>
      <c r="Q217" s="38">
        <v>2</v>
      </c>
      <c r="R217" s="38">
        <v>4</v>
      </c>
      <c r="S217" s="38">
        <v>3</v>
      </c>
      <c r="T217" s="38">
        <f t="shared" si="19"/>
        <v>7</v>
      </c>
      <c r="U217" s="42">
        <v>0</v>
      </c>
      <c r="V217" s="38">
        <v>0</v>
      </c>
      <c r="W217" s="38">
        <v>0</v>
      </c>
      <c r="X217" s="38">
        <v>0</v>
      </c>
      <c r="Y217" s="37"/>
    </row>
    <row r="218" spans="1:25" s="31" customFormat="1" ht="15" customHeight="1" x14ac:dyDescent="0.3">
      <c r="A218" s="36"/>
      <c r="B218" s="37"/>
      <c r="C218" s="29"/>
      <c r="D218" s="37">
        <v>2021</v>
      </c>
      <c r="E218" s="38">
        <f>406221*1000000</f>
        <v>406221000000</v>
      </c>
      <c r="F218" s="38">
        <f>(406221+73+166+98+45+26749)*1000000</f>
        <v>433352000000</v>
      </c>
      <c r="G218" s="38">
        <f>3481452*1000000</f>
        <v>3481452000000</v>
      </c>
      <c r="H218" s="38">
        <f>43490*1000000</f>
        <v>43490000000</v>
      </c>
      <c r="I218" s="38">
        <f>3282858*1000000</f>
        <v>3282858000000</v>
      </c>
      <c r="J218" s="38">
        <f>-100708*1000000</f>
        <v>-100708000000</v>
      </c>
      <c r="K218" s="38">
        <f>198594*1000000</f>
        <v>198594000000</v>
      </c>
      <c r="L218" s="38">
        <f>2872190*1000000</f>
        <v>2872190000000</v>
      </c>
      <c r="M218" s="38">
        <f>35033*1000000</f>
        <v>35033000000</v>
      </c>
      <c r="N218" s="38">
        <f>43739*1000000</f>
        <v>43739000000</v>
      </c>
      <c r="O218" s="39">
        <v>0.99990000000000001</v>
      </c>
      <c r="P218" s="40" t="s">
        <v>206</v>
      </c>
      <c r="Q218" s="38">
        <v>2</v>
      </c>
      <c r="R218" s="38">
        <v>4</v>
      </c>
      <c r="S218" s="38">
        <v>3</v>
      </c>
      <c r="T218" s="38">
        <f t="shared" si="19"/>
        <v>7</v>
      </c>
      <c r="U218" s="42">
        <v>0</v>
      </c>
      <c r="V218" s="38">
        <v>0</v>
      </c>
      <c r="W218" s="38">
        <v>0</v>
      </c>
      <c r="X218" s="38">
        <v>0</v>
      </c>
      <c r="Y218" s="37"/>
    </row>
    <row r="219" spans="1:25" s="31" customFormat="1" ht="15" customHeight="1" x14ac:dyDescent="0.3">
      <c r="A219" s="36"/>
      <c r="B219" s="37"/>
      <c r="C219" s="29"/>
      <c r="D219" s="37">
        <v>2022</v>
      </c>
      <c r="E219" s="38">
        <f>52916*1000000</f>
        <v>52916000000</v>
      </c>
      <c r="F219" s="38">
        <f>(52916+509+742+81+40+40875)*1000000</f>
        <v>95163000000</v>
      </c>
      <c r="G219" s="38">
        <f>4940936*1000000</f>
        <v>4940936000000</v>
      </c>
      <c r="H219" s="38">
        <f>92917*1000000</f>
        <v>92917000000</v>
      </c>
      <c r="I219" s="38">
        <f>4625569*1000000</f>
        <v>4625569000000</v>
      </c>
      <c r="J219" s="38">
        <f>-70025*1000000</f>
        <v>-70025000000</v>
      </c>
      <c r="K219" s="38">
        <f>222450*1000000</f>
        <v>222450000000</v>
      </c>
      <c r="L219" s="38">
        <f>4304082*1000000</f>
        <v>4304082000000</v>
      </c>
      <c r="M219" s="38">
        <f>30545*1000000</f>
        <v>30545000000</v>
      </c>
      <c r="N219" s="38">
        <f>23857*1000000</f>
        <v>23857000000</v>
      </c>
      <c r="O219" s="39">
        <v>0.99990000000000001</v>
      </c>
      <c r="P219" s="40" t="s">
        <v>206</v>
      </c>
      <c r="Q219" s="38">
        <v>2</v>
      </c>
      <c r="R219" s="38">
        <v>4</v>
      </c>
      <c r="S219" s="38">
        <v>3</v>
      </c>
      <c r="T219" s="38">
        <f t="shared" si="19"/>
        <v>7</v>
      </c>
      <c r="U219" s="42">
        <v>0</v>
      </c>
      <c r="V219" s="38">
        <v>0</v>
      </c>
      <c r="W219" s="38">
        <v>0</v>
      </c>
      <c r="X219" s="38">
        <v>0</v>
      </c>
      <c r="Y219" s="37"/>
    </row>
    <row r="220" spans="1:25" s="31" customFormat="1" ht="15" customHeight="1" x14ac:dyDescent="0.3">
      <c r="A220" s="36"/>
      <c r="B220" s="37"/>
      <c r="C220" s="29"/>
      <c r="D220" s="37">
        <v>2023</v>
      </c>
      <c r="E220" s="38">
        <f>28401*1000000</f>
        <v>28401000000</v>
      </c>
      <c r="F220" s="38">
        <f>(28401+345+591+77+31908)*1000000</f>
        <v>61322000000</v>
      </c>
      <c r="G220" s="38">
        <f>4445677*1000000</f>
        <v>4445677000000</v>
      </c>
      <c r="H220" s="38">
        <f>57643*1000000</f>
        <v>57643000000</v>
      </c>
      <c r="I220" s="38">
        <f>4179795*1000000</f>
        <v>4179795000000</v>
      </c>
      <c r="J220" s="38">
        <f>-36794*1000000</f>
        <v>-36794000000</v>
      </c>
      <c r="K220" s="38">
        <f>265882*1000000</f>
        <v>265882000000</v>
      </c>
      <c r="L220" s="38">
        <f>2747521*1000000</f>
        <v>2747521000000</v>
      </c>
      <c r="M220" s="38">
        <f>33028*1000000</f>
        <v>33028000000</v>
      </c>
      <c r="N220" s="38">
        <f>43431*1000000</f>
        <v>43431000000</v>
      </c>
      <c r="O220" s="39">
        <v>0.99990000000000001</v>
      </c>
      <c r="P220" s="40" t="s">
        <v>206</v>
      </c>
      <c r="Q220" s="38">
        <v>2</v>
      </c>
      <c r="R220" s="38">
        <v>4</v>
      </c>
      <c r="S220" s="38">
        <v>3</v>
      </c>
      <c r="T220" s="38">
        <f t="shared" si="19"/>
        <v>7</v>
      </c>
      <c r="U220" s="42">
        <v>0</v>
      </c>
      <c r="V220" s="38">
        <v>0</v>
      </c>
      <c r="W220" s="38">
        <v>0</v>
      </c>
      <c r="X220" s="38">
        <v>0</v>
      </c>
      <c r="Y220" s="37"/>
    </row>
    <row r="221" spans="1:25" s="31" customFormat="1" ht="15" customHeight="1" x14ac:dyDescent="0.3">
      <c r="A221" s="36"/>
      <c r="B221" s="37"/>
      <c r="C221" s="29"/>
      <c r="D221" s="37">
        <v>2024</v>
      </c>
      <c r="E221" s="38">
        <f>216357*1000000</f>
        <v>216357000000</v>
      </c>
      <c r="F221" s="38">
        <f>(216357+3006+416+6+50783)*1000000</f>
        <v>270568000000</v>
      </c>
      <c r="G221" s="38">
        <f>5304605*1000000</f>
        <v>5304605000000</v>
      </c>
      <c r="H221" s="38">
        <f>44937*1000000</f>
        <v>44937000000</v>
      </c>
      <c r="I221" s="38">
        <f>5020831*1000000</f>
        <v>5020831000000</v>
      </c>
      <c r="J221" s="38">
        <f>-22172*1000000</f>
        <v>-22172000000</v>
      </c>
      <c r="K221" s="38">
        <f>283774*1000000</f>
        <v>283774000000</v>
      </c>
      <c r="L221" s="38">
        <f>2978648*1000000</f>
        <v>2978648000000</v>
      </c>
      <c r="M221" s="38">
        <f>14603*1000000</f>
        <v>14603000000</v>
      </c>
      <c r="N221" s="38">
        <f>17892*1000000</f>
        <v>17892000000</v>
      </c>
      <c r="O221" s="39">
        <v>0.99990000000000001</v>
      </c>
      <c r="P221" s="40" t="s">
        <v>206</v>
      </c>
      <c r="Q221" s="38">
        <v>2</v>
      </c>
      <c r="R221" s="38">
        <v>4</v>
      </c>
      <c r="S221" s="38">
        <v>3</v>
      </c>
      <c r="T221" s="38">
        <f t="shared" si="19"/>
        <v>7</v>
      </c>
      <c r="U221" s="42">
        <v>0</v>
      </c>
      <c r="V221" s="38">
        <v>0</v>
      </c>
      <c r="W221" s="38">
        <v>0</v>
      </c>
      <c r="X221" s="38">
        <v>0</v>
      </c>
      <c r="Y221" s="37"/>
    </row>
    <row r="222" spans="1:25" s="31" customFormat="1" ht="15" customHeight="1" x14ac:dyDescent="0.3">
      <c r="A222" s="36"/>
      <c r="B222" s="37">
        <v>21</v>
      </c>
      <c r="C222" s="45" t="s">
        <v>52</v>
      </c>
      <c r="D222" s="37">
        <v>2014</v>
      </c>
      <c r="E222" s="38">
        <v>0</v>
      </c>
      <c r="F222" s="38">
        <v>0</v>
      </c>
      <c r="G222" s="38">
        <v>0</v>
      </c>
      <c r="H222" s="38">
        <v>0</v>
      </c>
      <c r="I222" s="38">
        <v>0</v>
      </c>
      <c r="J222" s="38">
        <v>0</v>
      </c>
      <c r="K222" s="38">
        <v>0</v>
      </c>
      <c r="L222" s="38">
        <f>67607*1000000</f>
        <v>67607000000</v>
      </c>
      <c r="M222" s="38">
        <v>0</v>
      </c>
      <c r="N222" s="38">
        <v>0</v>
      </c>
      <c r="O222" s="38">
        <v>0</v>
      </c>
      <c r="P222" s="38">
        <v>0</v>
      </c>
      <c r="Q222" s="38">
        <v>0</v>
      </c>
      <c r="R222" s="38">
        <v>0</v>
      </c>
      <c r="S222" s="38">
        <v>0</v>
      </c>
      <c r="T222" s="38">
        <v>0</v>
      </c>
      <c r="U222" s="38">
        <v>0</v>
      </c>
      <c r="V222" s="38">
        <v>0</v>
      </c>
      <c r="W222" s="38">
        <v>0</v>
      </c>
      <c r="X222" s="38">
        <v>0</v>
      </c>
      <c r="Y222" s="37"/>
    </row>
    <row r="223" spans="1:25" s="31" customFormat="1" ht="15" customHeight="1" x14ac:dyDescent="0.3">
      <c r="A223" s="36"/>
      <c r="B223" s="37"/>
      <c r="C223" s="45"/>
      <c r="D223" s="37">
        <v>2015</v>
      </c>
      <c r="E223" s="30">
        <f>23148*1000000</f>
        <v>23148000000</v>
      </c>
      <c r="F223" s="38">
        <f>(23148+28573+168821)*1000000</f>
        <v>220542000000</v>
      </c>
      <c r="G223" s="38">
        <f>488002*1000000</f>
        <v>488002000000</v>
      </c>
      <c r="H223" s="38">
        <f>(136043+53+720+6483)*1000000</f>
        <v>143299000000</v>
      </c>
      <c r="I223" s="38">
        <f>262357*1000000</f>
        <v>262357000000</v>
      </c>
      <c r="J223" s="38">
        <f>17469*1000000</f>
        <v>17469000000</v>
      </c>
      <c r="K223" s="38">
        <f>82469*1000000</f>
        <v>82469000000</v>
      </c>
      <c r="L223" s="38">
        <f>71339*1000000</f>
        <v>71339000000</v>
      </c>
      <c r="M223" s="38">
        <f>6813*1000000</f>
        <v>6813000000</v>
      </c>
      <c r="N223" s="38">
        <f>5875*1000000</f>
        <v>5875000000</v>
      </c>
      <c r="O223" s="39">
        <v>0.68</v>
      </c>
      <c r="P223" s="40" t="s">
        <v>336</v>
      </c>
      <c r="Q223" s="38">
        <v>2</v>
      </c>
      <c r="R223" s="38">
        <v>4</v>
      </c>
      <c r="S223" s="38">
        <v>3</v>
      </c>
      <c r="T223" s="38">
        <f>SUM(R223:S223)</f>
        <v>7</v>
      </c>
      <c r="U223" s="42">
        <v>0</v>
      </c>
      <c r="V223" s="38">
        <v>0</v>
      </c>
      <c r="W223" s="38">
        <v>0</v>
      </c>
      <c r="X223" s="38">
        <v>0</v>
      </c>
      <c r="Y223" s="37"/>
    </row>
    <row r="224" spans="1:25" s="31" customFormat="1" ht="15" customHeight="1" x14ac:dyDescent="0.3">
      <c r="A224" s="36"/>
      <c r="B224" s="37"/>
      <c r="C224" s="45"/>
      <c r="D224" s="37">
        <v>2016</v>
      </c>
      <c r="E224" s="38">
        <f>69308*1000000</f>
        <v>69308000000</v>
      </c>
      <c r="F224" s="38">
        <f>(69308+11231+83183)*1000000</f>
        <v>163722000000</v>
      </c>
      <c r="G224" s="38">
        <f>432956*1000000</f>
        <v>432956000000</v>
      </c>
      <c r="H224" s="38">
        <f>(48632+2322+39+664+10729)*1000000</f>
        <v>62386000000</v>
      </c>
      <c r="I224" s="38">
        <f>154809*1000000</f>
        <v>154809000000</v>
      </c>
      <c r="J224" s="38">
        <f>11180*1000000</f>
        <v>11180000000</v>
      </c>
      <c r="K224" s="38">
        <f>111180*1000000</f>
        <v>111180000000</v>
      </c>
      <c r="L224" s="38">
        <f>69749*1000000</f>
        <v>69749000000</v>
      </c>
      <c r="M224" s="38">
        <f>6888*1000000</f>
        <v>6888000000</v>
      </c>
      <c r="N224" s="38">
        <f>5657*1000000</f>
        <v>5657000000</v>
      </c>
      <c r="O224" s="39">
        <v>0.68</v>
      </c>
      <c r="P224" s="40" t="s">
        <v>336</v>
      </c>
      <c r="Q224" s="38">
        <v>2</v>
      </c>
      <c r="R224" s="38">
        <v>4</v>
      </c>
      <c r="S224" s="38">
        <v>3</v>
      </c>
      <c r="T224" s="38">
        <f t="shared" ref="T224:T232" si="20">SUM(R224:S224)</f>
        <v>7</v>
      </c>
      <c r="U224" s="42">
        <v>0</v>
      </c>
      <c r="V224" s="38">
        <v>0</v>
      </c>
      <c r="W224" s="38">
        <v>0</v>
      </c>
      <c r="X224" s="38">
        <v>0</v>
      </c>
      <c r="Y224" s="37"/>
    </row>
    <row r="225" spans="1:25" s="31" customFormat="1" ht="15" customHeight="1" x14ac:dyDescent="0.3">
      <c r="A225" s="36"/>
      <c r="B225" s="37"/>
      <c r="C225" s="45"/>
      <c r="D225" s="37">
        <v>2017</v>
      </c>
      <c r="E225" s="38">
        <f>37603*1000000</f>
        <v>37603000000</v>
      </c>
      <c r="F225" s="38">
        <f>(37603+25755+89928)*1000000</f>
        <v>153286000000</v>
      </c>
      <c r="G225" s="38">
        <f>736721*1000000</f>
        <v>736721000000</v>
      </c>
      <c r="H225" s="38">
        <f>(41932+4085+1184+9449)*1000000</f>
        <v>56650000000</v>
      </c>
      <c r="I225" s="38">
        <f>(41932+4085+1184+9449+10441+12208+1569+356632)*1000000</f>
        <v>437500000000</v>
      </c>
      <c r="J225" s="38">
        <f>8312*1000000</f>
        <v>8312000000</v>
      </c>
      <c r="K225" s="38">
        <f>(100000+8312)*1000000</f>
        <v>108312000000</v>
      </c>
      <c r="L225" s="38">
        <f>(78820+74227+14+4078)*1000000</f>
        <v>157139000000</v>
      </c>
      <c r="M225" s="38">
        <f>5664*1000000</f>
        <v>5664000000</v>
      </c>
      <c r="N225" s="38">
        <f>4005*1000000</f>
        <v>4005000000</v>
      </c>
      <c r="O225" s="39">
        <v>0.68</v>
      </c>
      <c r="P225" s="40" t="s">
        <v>336</v>
      </c>
      <c r="Q225" s="38">
        <v>3</v>
      </c>
      <c r="R225" s="38">
        <v>5</v>
      </c>
      <c r="S225" s="38">
        <v>3</v>
      </c>
      <c r="T225" s="38">
        <f t="shared" si="20"/>
        <v>8</v>
      </c>
      <c r="U225" s="42">
        <v>0</v>
      </c>
      <c r="V225" s="38">
        <v>0</v>
      </c>
      <c r="W225" s="38">
        <v>0</v>
      </c>
      <c r="X225" s="38">
        <v>0</v>
      </c>
      <c r="Y225" s="37"/>
    </row>
    <row r="226" spans="1:25" s="31" customFormat="1" ht="15" customHeight="1" x14ac:dyDescent="0.3">
      <c r="A226" s="36"/>
      <c r="B226" s="37"/>
      <c r="C226" s="45"/>
      <c r="D226" s="37">
        <v>2018</v>
      </c>
      <c r="E226" s="38">
        <f>25435*1000000</f>
        <v>25435000000</v>
      </c>
      <c r="F226" s="38">
        <f>(25435+15038+117846)*1000000</f>
        <v>158319000000</v>
      </c>
      <c r="G226" s="38">
        <f>623688*1000000</f>
        <v>623688000000</v>
      </c>
      <c r="H226" s="38">
        <f>(101578+9000+703+14186)*1000000</f>
        <v>125467000000</v>
      </c>
      <c r="I226" s="38">
        <f>(101578+9000+703+14186+7445+21191+2049+205362)*1000000</f>
        <v>361514000000</v>
      </c>
      <c r="J226" s="38">
        <f>7617*1000000</f>
        <v>7617000000</v>
      </c>
      <c r="K226" s="38">
        <f>(100000-2286+7617)*1000000</f>
        <v>105331000000</v>
      </c>
      <c r="L226" s="38">
        <f>(77509+73481+3+4023)*1000000</f>
        <v>155016000000</v>
      </c>
      <c r="M226" s="38">
        <f>6420*1000000</f>
        <v>6420000000</v>
      </c>
      <c r="N226" s="38">
        <f>4288*1000000</f>
        <v>4288000000</v>
      </c>
      <c r="O226" s="39">
        <v>0.68</v>
      </c>
      <c r="P226" s="40" t="s">
        <v>336</v>
      </c>
      <c r="Q226" s="40">
        <v>3</v>
      </c>
      <c r="R226" s="38">
        <v>5</v>
      </c>
      <c r="S226" s="38">
        <v>3</v>
      </c>
      <c r="T226" s="38">
        <f t="shared" si="20"/>
        <v>8</v>
      </c>
      <c r="U226" s="42">
        <v>0</v>
      </c>
      <c r="V226" s="38">
        <v>0</v>
      </c>
      <c r="W226" s="38">
        <v>0</v>
      </c>
      <c r="X226" s="38">
        <v>0</v>
      </c>
      <c r="Y226" s="37"/>
    </row>
    <row r="227" spans="1:25" s="31" customFormat="1" ht="15" customHeight="1" x14ac:dyDescent="0.3">
      <c r="A227" s="36"/>
      <c r="B227" s="37"/>
      <c r="C227" s="45"/>
      <c r="D227" s="37">
        <v>2019</v>
      </c>
      <c r="E227" s="38">
        <f>35313*1000000</f>
        <v>35313000000</v>
      </c>
      <c r="F227" s="38">
        <f>(35313+31241+43222)*1000000</f>
        <v>109776000000</v>
      </c>
      <c r="G227" s="38">
        <f>1041986*1000000</f>
        <v>1041986000000</v>
      </c>
      <c r="H227" s="38">
        <f>(2221+16614+1037+24025)*1000000</f>
        <v>43897000000</v>
      </c>
      <c r="I227" s="38">
        <f>(2221+16614+1037+24025+14521+4828+6473+1729+736414)*1000000</f>
        <v>807862000000</v>
      </c>
      <c r="J227" s="38">
        <f>12381*1000000</f>
        <v>12381000000</v>
      </c>
      <c r="K227" s="38">
        <f>(100000+167+12381)*1000000</f>
        <v>112548000000</v>
      </c>
      <c r="L227" s="38">
        <f>(98589+94439+4142)*1000000</f>
        <v>197170000000</v>
      </c>
      <c r="M227" s="38">
        <f>6478*1000000</f>
        <v>6478000000</v>
      </c>
      <c r="N227" s="38">
        <f>5532*1000000</f>
        <v>5532000000</v>
      </c>
      <c r="O227" s="39">
        <v>0.68</v>
      </c>
      <c r="P227" s="40" t="s">
        <v>336</v>
      </c>
      <c r="Q227" s="38">
        <v>3</v>
      </c>
      <c r="R227" s="38">
        <v>5</v>
      </c>
      <c r="S227" s="38">
        <v>3</v>
      </c>
      <c r="T227" s="38">
        <f t="shared" si="20"/>
        <v>8</v>
      </c>
      <c r="U227" s="42">
        <v>0</v>
      </c>
      <c r="V227" s="38">
        <v>0</v>
      </c>
      <c r="W227" s="38">
        <v>0</v>
      </c>
      <c r="X227" s="38">
        <v>0</v>
      </c>
      <c r="Y227" s="37"/>
    </row>
    <row r="228" spans="1:25" s="31" customFormat="1" ht="15" customHeight="1" x14ac:dyDescent="0.3">
      <c r="A228" s="36"/>
      <c r="B228" s="37"/>
      <c r="C228" s="45"/>
      <c r="D228" s="37">
        <v>2020</v>
      </c>
      <c r="E228" s="38">
        <f>27869*1000000</f>
        <v>27869000000</v>
      </c>
      <c r="F228" s="38">
        <f>(27869+31011+55378)*1000000</f>
        <v>114258000000</v>
      </c>
      <c r="G228" s="38">
        <f>1243173*1000000</f>
        <v>1243173000000</v>
      </c>
      <c r="H228" s="38">
        <f>(1790+8150+1025+25025)*1000000</f>
        <v>35990000000</v>
      </c>
      <c r="I228" s="38">
        <f>(1790+8150+1025+25025+19633+3378+12143+1725+926276)*1000000</f>
        <v>999145000000</v>
      </c>
      <c r="J228" s="38">
        <f>17205*1000000</f>
        <v>17205000000</v>
      </c>
      <c r="K228" s="38">
        <f>(100000+49+17205)*1000000</f>
        <v>117254000000</v>
      </c>
      <c r="L228" s="38">
        <f>(138959+135093+20+3845)*1000000</f>
        <v>277917000000</v>
      </c>
      <c r="M228" s="38">
        <f>6052*1000000</f>
        <v>6052000000</v>
      </c>
      <c r="N228" s="38">
        <f>4823*1000000</f>
        <v>4823000000</v>
      </c>
      <c r="O228" s="39">
        <v>0.68</v>
      </c>
      <c r="P228" s="40" t="s">
        <v>336</v>
      </c>
      <c r="Q228" s="38">
        <v>3</v>
      </c>
      <c r="R228" s="38">
        <v>5</v>
      </c>
      <c r="S228" s="38">
        <v>3</v>
      </c>
      <c r="T228" s="38">
        <f t="shared" si="20"/>
        <v>8</v>
      </c>
      <c r="U228" s="42">
        <v>0</v>
      </c>
      <c r="V228" s="38">
        <f>5+6</f>
        <v>11</v>
      </c>
      <c r="W228" s="38">
        <f>V228</f>
        <v>11</v>
      </c>
      <c r="X228" s="38">
        <f>3</f>
        <v>3</v>
      </c>
      <c r="Y228" s="37"/>
    </row>
    <row r="229" spans="1:25" s="31" customFormat="1" ht="15" customHeight="1" x14ac:dyDescent="0.3">
      <c r="A229" s="36"/>
      <c r="B229" s="37"/>
      <c r="C229" s="45"/>
      <c r="D229" s="37">
        <v>2021</v>
      </c>
      <c r="E229" s="38">
        <f>30812*1000000</f>
        <v>30812000000</v>
      </c>
      <c r="F229" s="38">
        <f>(30812+38663+115303)*1000000</f>
        <v>184778000000</v>
      </c>
      <c r="G229" s="38">
        <f>1459438*1000000</f>
        <v>1459438000000</v>
      </c>
      <c r="H229" s="38">
        <f>(3548+5384+1538+28464)*1000000</f>
        <v>38934000000</v>
      </c>
      <c r="I229" s="38">
        <f>(3548+5384+1538+28464+27587+7846+13201+1169+1087860)*1000000</f>
        <v>1176597000000</v>
      </c>
      <c r="J229" s="38">
        <f>9568*1000000</f>
        <v>9568000000</v>
      </c>
      <c r="K229" s="38">
        <f>(130000+560+9568)*1000000</f>
        <v>140128000000</v>
      </c>
      <c r="L229" s="38">
        <f>(166447+161377+5063)*1000000</f>
        <v>332887000000</v>
      </c>
      <c r="M229" s="38">
        <f>8085*1000000</f>
        <v>8085000000</v>
      </c>
      <c r="N229" s="38">
        <f>7362*1000000</f>
        <v>7362000000</v>
      </c>
      <c r="O229" s="39">
        <v>0.68</v>
      </c>
      <c r="P229" s="40" t="s">
        <v>336</v>
      </c>
      <c r="Q229" s="38">
        <v>3</v>
      </c>
      <c r="R229" s="38">
        <v>5</v>
      </c>
      <c r="S229" s="38">
        <v>3</v>
      </c>
      <c r="T229" s="38">
        <f t="shared" si="20"/>
        <v>8</v>
      </c>
      <c r="U229" s="42">
        <v>0</v>
      </c>
      <c r="V229" s="38">
        <f>5+4</f>
        <v>9</v>
      </c>
      <c r="W229" s="38">
        <f>V229</f>
        <v>9</v>
      </c>
      <c r="X229" s="38">
        <f>3</f>
        <v>3</v>
      </c>
      <c r="Y229" s="37"/>
    </row>
    <row r="230" spans="1:25" s="31" customFormat="1" ht="15" customHeight="1" x14ac:dyDescent="0.3">
      <c r="A230" s="36"/>
      <c r="B230" s="37"/>
      <c r="C230" s="45"/>
      <c r="D230" s="37">
        <v>2022</v>
      </c>
      <c r="E230" s="38">
        <f>29033*1000000</f>
        <v>29033000000</v>
      </c>
      <c r="F230" s="38">
        <f>(29033+28805+38963)*1000000</f>
        <v>96801000000</v>
      </c>
      <c r="G230" s="38">
        <f>1767079*1000000</f>
        <v>1767079000000</v>
      </c>
      <c r="H230" s="38">
        <f>(1125+66595+6138+24708)*1000000</f>
        <v>98566000000</v>
      </c>
      <c r="I230" s="38">
        <f>(1125+66595+6138+24708+49734+2367+12126+1341+1249553)*1000000</f>
        <v>1413687000000</v>
      </c>
      <c r="J230" s="38">
        <f>22302*1000000</f>
        <v>22302000000</v>
      </c>
      <c r="K230" s="38">
        <f>(130000+628+22302)*1000000</f>
        <v>152930000000</v>
      </c>
      <c r="L230" s="38">
        <f>(270111+264227+5881)*1000000</f>
        <v>540219000000</v>
      </c>
      <c r="M230" s="38">
        <f>15124*1000000</f>
        <v>15124000000</v>
      </c>
      <c r="N230" s="38">
        <f>12734*1000000</f>
        <v>12734000000</v>
      </c>
      <c r="O230" s="39">
        <v>0.68</v>
      </c>
      <c r="P230" s="40" t="s">
        <v>336</v>
      </c>
      <c r="Q230" s="38">
        <v>3</v>
      </c>
      <c r="R230" s="38">
        <v>5</v>
      </c>
      <c r="S230" s="38">
        <v>3</v>
      </c>
      <c r="T230" s="38">
        <f t="shared" si="20"/>
        <v>8</v>
      </c>
      <c r="U230" s="42">
        <v>0</v>
      </c>
      <c r="V230" s="38">
        <f>5+4</f>
        <v>9</v>
      </c>
      <c r="W230" s="38">
        <f>V230</f>
        <v>9</v>
      </c>
      <c r="X230" s="38">
        <f>3</f>
        <v>3</v>
      </c>
      <c r="Y230" s="37"/>
    </row>
    <row r="231" spans="1:25" s="31" customFormat="1" ht="15" customHeight="1" x14ac:dyDescent="0.3">
      <c r="A231" s="36"/>
      <c r="B231" s="37"/>
      <c r="C231" s="45"/>
      <c r="D231" s="37">
        <v>2023</v>
      </c>
      <c r="E231" s="38">
        <f>34311*1000000</f>
        <v>34311000000</v>
      </c>
      <c r="F231" s="38">
        <f>(34311+41943+96826)*1000000</f>
        <v>173080000000</v>
      </c>
      <c r="G231" s="38">
        <f>2331849*1000000</f>
        <v>2331849000000</v>
      </c>
      <c r="H231" s="38">
        <f>(2102+116871+8900+19594)*1000000</f>
        <v>147467000000</v>
      </c>
      <c r="I231" s="38">
        <f>(2102+116871+8900+19594+72401+5601+12645+892+1676608)*1000000</f>
        <v>1915614000000</v>
      </c>
      <c r="J231" s="38">
        <f>46191*1000000</f>
        <v>46191000000</v>
      </c>
      <c r="K231" s="38">
        <f>(150000+726+46191)*1000000</f>
        <v>196917000000</v>
      </c>
      <c r="L231" s="38">
        <f>(321341+311540+9794)*1000000</f>
        <v>642675000000</v>
      </c>
      <c r="M231" s="38">
        <f>41100*1000000</f>
        <v>41100000000</v>
      </c>
      <c r="N231" s="38">
        <f>(33889*1000000)</f>
        <v>33889000000</v>
      </c>
      <c r="O231" s="39">
        <v>0.68</v>
      </c>
      <c r="P231" s="40" t="s">
        <v>336</v>
      </c>
      <c r="Q231" s="38">
        <v>4</v>
      </c>
      <c r="R231" s="38">
        <v>6</v>
      </c>
      <c r="S231" s="38">
        <v>3</v>
      </c>
      <c r="T231" s="38">
        <f t="shared" si="20"/>
        <v>9</v>
      </c>
      <c r="U231" s="42">
        <v>0</v>
      </c>
      <c r="V231" s="38">
        <f>6+6</f>
        <v>12</v>
      </c>
      <c r="W231" s="38">
        <f>V231</f>
        <v>12</v>
      </c>
      <c r="X231" s="38">
        <f>3</f>
        <v>3</v>
      </c>
      <c r="Y231" s="37"/>
    </row>
    <row r="232" spans="1:25" s="31" customFormat="1" ht="15" customHeight="1" x14ac:dyDescent="0.3">
      <c r="A232" s="36"/>
      <c r="B232" s="37"/>
      <c r="C232" s="45"/>
      <c r="D232" s="37">
        <v>2024</v>
      </c>
      <c r="E232" s="38">
        <f>25641*1000000</f>
        <v>25641000000</v>
      </c>
      <c r="F232" s="38">
        <f>(25641+49382+94863)*1000000</f>
        <v>169886000000</v>
      </c>
      <c r="G232" s="38">
        <f>2985382*1000000</f>
        <v>2985382000000</v>
      </c>
      <c r="H232" s="38">
        <f>(129+140692+5286+20127)*1000000</f>
        <v>166234000000</v>
      </c>
      <c r="I232" s="38">
        <f>(129+140692+5286+20127+92994+11030+16078+883+2206353)*1000000</f>
        <v>2493572000000</v>
      </c>
      <c r="J232" s="38">
        <f>43493*1000000</f>
        <v>43493000000</v>
      </c>
      <c r="K232" s="38">
        <f>(180000-939+43493+26000)*1000000</f>
        <v>248554000000</v>
      </c>
      <c r="L232" s="38">
        <f>(369104+355049+14054)*1000000</f>
        <v>738207000000</v>
      </c>
      <c r="M232" s="38">
        <f>52686*1000000</f>
        <v>52686000000</v>
      </c>
      <c r="N232" s="38">
        <f>43301*1000000</f>
        <v>43301000000</v>
      </c>
      <c r="O232" s="39">
        <v>0.68</v>
      </c>
      <c r="P232" s="40" t="s">
        <v>336</v>
      </c>
      <c r="Q232" s="38">
        <v>2</v>
      </c>
      <c r="R232" s="38">
        <v>3</v>
      </c>
      <c r="S232" s="38">
        <v>3</v>
      </c>
      <c r="T232" s="38">
        <f t="shared" si="20"/>
        <v>6</v>
      </c>
      <c r="U232" s="42">
        <v>0</v>
      </c>
      <c r="V232" s="38">
        <f>3+4</f>
        <v>7</v>
      </c>
      <c r="W232" s="38">
        <f>V232</f>
        <v>7</v>
      </c>
      <c r="X232" s="38">
        <f>3</f>
        <v>3</v>
      </c>
      <c r="Y232" s="37"/>
    </row>
    <row r="233" spans="1:25" s="31" customFormat="1" ht="15" customHeight="1" x14ac:dyDescent="0.3">
      <c r="A233" s="36"/>
      <c r="B233" s="37">
        <v>22</v>
      </c>
      <c r="C233" s="45" t="s">
        <v>53</v>
      </c>
      <c r="D233" s="37">
        <v>2014</v>
      </c>
      <c r="E233" s="38">
        <v>0</v>
      </c>
      <c r="F233" s="38">
        <v>0</v>
      </c>
      <c r="G233" s="38">
        <v>0</v>
      </c>
      <c r="H233" s="38">
        <v>0</v>
      </c>
      <c r="I233" s="38">
        <v>0</v>
      </c>
      <c r="J233" s="38">
        <v>0</v>
      </c>
      <c r="K233" s="38">
        <v>0</v>
      </c>
      <c r="L233" s="38">
        <v>0</v>
      </c>
      <c r="M233" s="38">
        <v>0</v>
      </c>
      <c r="N233" s="38">
        <v>0</v>
      </c>
      <c r="O233" s="38">
        <v>0</v>
      </c>
      <c r="P233" s="38">
        <v>0</v>
      </c>
      <c r="Q233" s="38">
        <v>0</v>
      </c>
      <c r="R233" s="38">
        <v>0</v>
      </c>
      <c r="S233" s="38">
        <v>0</v>
      </c>
      <c r="T233" s="38">
        <v>0</v>
      </c>
      <c r="U233" s="38">
        <v>0</v>
      </c>
      <c r="V233" s="38">
        <v>0</v>
      </c>
      <c r="W233" s="38">
        <v>0</v>
      </c>
      <c r="X233" s="38">
        <v>0</v>
      </c>
      <c r="Y233" s="37"/>
    </row>
    <row r="234" spans="1:25" s="31" customFormat="1" ht="15" customHeight="1" x14ac:dyDescent="0.3">
      <c r="A234" s="36"/>
      <c r="B234" s="37"/>
      <c r="C234" s="45"/>
      <c r="D234" s="37">
        <v>2015</v>
      </c>
      <c r="E234" s="38">
        <v>0</v>
      </c>
      <c r="F234" s="38">
        <v>0</v>
      </c>
      <c r="G234" s="38">
        <v>0</v>
      </c>
      <c r="H234" s="38">
        <v>0</v>
      </c>
      <c r="I234" s="38">
        <v>0</v>
      </c>
      <c r="J234" s="38">
        <v>0</v>
      </c>
      <c r="K234" s="38">
        <v>0</v>
      </c>
      <c r="L234" s="38">
        <v>0</v>
      </c>
      <c r="M234" s="38">
        <v>0</v>
      </c>
      <c r="N234" s="38">
        <v>0</v>
      </c>
      <c r="O234" s="38">
        <v>0</v>
      </c>
      <c r="P234" s="38">
        <v>0</v>
      </c>
      <c r="Q234" s="38">
        <v>0</v>
      </c>
      <c r="R234" s="38">
        <v>0</v>
      </c>
      <c r="S234" s="38">
        <v>0</v>
      </c>
      <c r="T234" s="38">
        <v>0</v>
      </c>
      <c r="U234" s="38">
        <v>0</v>
      </c>
      <c r="V234" s="38">
        <v>0</v>
      </c>
      <c r="W234" s="38">
        <v>0</v>
      </c>
      <c r="X234" s="38">
        <v>0</v>
      </c>
      <c r="Y234" s="37"/>
    </row>
    <row r="235" spans="1:25" s="31" customFormat="1" ht="15" customHeight="1" x14ac:dyDescent="0.3">
      <c r="A235" s="36"/>
      <c r="B235" s="37"/>
      <c r="C235" s="45"/>
      <c r="D235" s="37">
        <v>2016</v>
      </c>
      <c r="E235" s="38">
        <f>2595*1000000</f>
        <v>2595000000</v>
      </c>
      <c r="F235" s="38">
        <f>(2595+385)*1000000</f>
        <v>2980000000</v>
      </c>
      <c r="G235" s="38">
        <f>96470*1000000</f>
        <v>96470000000</v>
      </c>
      <c r="H235" s="38">
        <f>116*1000000</f>
        <v>116000000</v>
      </c>
      <c r="I235" s="38">
        <f>(116+1+157+17+134)*1000000</f>
        <v>425000000</v>
      </c>
      <c r="J235" s="38">
        <f>-3971*1000000</f>
        <v>-3971000000</v>
      </c>
      <c r="K235" s="38">
        <f>(100000-3971)*1000000</f>
        <v>96029000000</v>
      </c>
      <c r="L235" s="38">
        <f>(86+1429)*1000000</f>
        <v>1515000000</v>
      </c>
      <c r="M235" s="38">
        <f>-3971*1000000</f>
        <v>-3971000000</v>
      </c>
      <c r="N235" s="38">
        <f t="shared" ref="N235:N243" si="21">M235</f>
        <v>-3971000000</v>
      </c>
      <c r="O235" s="38">
        <v>0</v>
      </c>
      <c r="P235" s="38">
        <v>0</v>
      </c>
      <c r="Q235" s="38">
        <v>0</v>
      </c>
      <c r="R235" s="38">
        <v>0</v>
      </c>
      <c r="S235" s="38">
        <v>0</v>
      </c>
      <c r="T235" s="38">
        <v>0</v>
      </c>
      <c r="U235" s="38">
        <v>0</v>
      </c>
      <c r="V235" s="38">
        <v>0</v>
      </c>
      <c r="W235" s="38">
        <v>0</v>
      </c>
      <c r="X235" s="38">
        <v>0</v>
      </c>
      <c r="Y235" s="37"/>
    </row>
    <row r="236" spans="1:25" s="31" customFormat="1" ht="15" customHeight="1" x14ac:dyDescent="0.3">
      <c r="A236" s="36"/>
      <c r="B236" s="37"/>
      <c r="C236" s="45"/>
      <c r="D236" s="37">
        <v>2017</v>
      </c>
      <c r="E236" s="38">
        <f>20027*1000000</f>
        <v>20027000000</v>
      </c>
      <c r="F236" s="38">
        <f>(20027+601+3098)*1000000</f>
        <v>23726000000</v>
      </c>
      <c r="G236" s="38">
        <f>956998*1000000</f>
        <v>956998000000</v>
      </c>
      <c r="H236" s="38">
        <f>(21659+536+78)*1000000</f>
        <v>22273000000</v>
      </c>
      <c r="I236" s="38">
        <f>129031*1000000</f>
        <v>129031000000</v>
      </c>
      <c r="J236" s="38">
        <f>-13031*1000000</f>
        <v>-13031000000</v>
      </c>
      <c r="K236" s="38">
        <f>(100000-11413-13031)*1000000</f>
        <v>75556000000</v>
      </c>
      <c r="L236" s="38">
        <f>(7385+11574+5261)*1000000</f>
        <v>24220000000</v>
      </c>
      <c r="M236" s="38">
        <f>-9239*1000000</f>
        <v>-9239000000</v>
      </c>
      <c r="N236" s="38">
        <f t="shared" si="21"/>
        <v>-9239000000</v>
      </c>
      <c r="O236" s="39">
        <v>1</v>
      </c>
      <c r="P236" s="40" t="s">
        <v>335</v>
      </c>
      <c r="Q236" s="38">
        <v>2</v>
      </c>
      <c r="R236" s="38">
        <v>4</v>
      </c>
      <c r="S236" s="38">
        <v>4</v>
      </c>
      <c r="T236" s="38">
        <f>SUM(R236:S236)</f>
        <v>8</v>
      </c>
      <c r="U236" s="42">
        <v>0</v>
      </c>
      <c r="V236" s="38">
        <v>0</v>
      </c>
      <c r="W236" s="38">
        <v>0</v>
      </c>
      <c r="X236" s="38">
        <v>0</v>
      </c>
      <c r="Y236" s="37"/>
    </row>
    <row r="237" spans="1:25" s="31" customFormat="1" ht="15" customHeight="1" x14ac:dyDescent="0.3">
      <c r="A237" s="36"/>
      <c r="B237" s="37"/>
      <c r="C237" s="45"/>
      <c r="D237" s="37">
        <v>2018</v>
      </c>
      <c r="E237" s="38">
        <f>17497*1000000</f>
        <v>17497000000</v>
      </c>
      <c r="F237" s="38">
        <f>(17497+1111+5356)*1000000</f>
        <v>23964000000</v>
      </c>
      <c r="G237" s="38">
        <f>891253*1000000</f>
        <v>891253000000</v>
      </c>
      <c r="H237" s="38">
        <f>(16706+662+426+31347)*1000000</f>
        <v>49141000000</v>
      </c>
      <c r="I237" s="38">
        <f>120783*1000000</f>
        <v>120783000000</v>
      </c>
      <c r="J237" s="38">
        <f>-20280*1000000</f>
        <v>-20280000000</v>
      </c>
      <c r="K237" s="38">
        <f>(100000-36858-20280)*1000000</f>
        <v>42862000000</v>
      </c>
      <c r="L237" s="38">
        <f>39849*1000000</f>
        <v>39849000000</v>
      </c>
      <c r="M237" s="38">
        <f>-7268*1000000</f>
        <v>-7268000000</v>
      </c>
      <c r="N237" s="38">
        <f t="shared" si="21"/>
        <v>-7268000000</v>
      </c>
      <c r="O237" s="39">
        <v>0.99</v>
      </c>
      <c r="P237" s="40" t="s">
        <v>289</v>
      </c>
      <c r="Q237" s="38">
        <v>1</v>
      </c>
      <c r="R237" s="38">
        <v>2</v>
      </c>
      <c r="S237" s="38">
        <v>3</v>
      </c>
      <c r="T237" s="38">
        <f t="shared" ref="T237:T243" si="22">SUM(R237:S237)</f>
        <v>5</v>
      </c>
      <c r="U237" s="42">
        <v>0</v>
      </c>
      <c r="V237" s="38">
        <v>0</v>
      </c>
      <c r="W237" s="38">
        <v>0</v>
      </c>
      <c r="X237" s="38">
        <v>0</v>
      </c>
      <c r="Y237" s="37"/>
    </row>
    <row r="238" spans="1:25" s="31" customFormat="1" ht="15" customHeight="1" x14ac:dyDescent="0.3">
      <c r="A238" s="36"/>
      <c r="B238" s="37"/>
      <c r="C238" s="45"/>
      <c r="D238" s="37">
        <v>2019</v>
      </c>
      <c r="E238" s="38">
        <f>12171*1000000</f>
        <v>12171000000</v>
      </c>
      <c r="F238" s="38">
        <f>(12171+871+4531)*1000000</f>
        <v>17573000000</v>
      </c>
      <c r="G238" s="38">
        <f>782742*1000000</f>
        <v>782742000000</v>
      </c>
      <c r="H238" s="38">
        <f>(26807+481+557+27656)*1000000</f>
        <v>55501000000</v>
      </c>
      <c r="I238" s="38">
        <f>(26807+481+557+27656+2602+352+70264)*1000000</f>
        <v>128719000000</v>
      </c>
      <c r="J238" s="38">
        <f>-48051*1000000</f>
        <v>-48051000000</v>
      </c>
      <c r="K238" s="38">
        <f>(100000-47462-48051)*1000000</f>
        <v>4487000000</v>
      </c>
      <c r="L238" s="38">
        <f>(11954+740+4350+2360+1257)*1000000</f>
        <v>20661000000</v>
      </c>
      <c r="M238" s="38">
        <f>-27733*1000000</f>
        <v>-27733000000</v>
      </c>
      <c r="N238" s="38">
        <f t="shared" si="21"/>
        <v>-27733000000</v>
      </c>
      <c r="O238" s="39">
        <v>0.99</v>
      </c>
      <c r="P238" s="40" t="s">
        <v>289</v>
      </c>
      <c r="Q238" s="38">
        <v>0</v>
      </c>
      <c r="R238" s="38">
        <v>2</v>
      </c>
      <c r="S238" s="38">
        <v>4</v>
      </c>
      <c r="T238" s="38">
        <f t="shared" si="22"/>
        <v>6</v>
      </c>
      <c r="U238" s="42">
        <v>0</v>
      </c>
      <c r="V238" s="38">
        <v>0</v>
      </c>
      <c r="W238" s="38">
        <v>0</v>
      </c>
      <c r="X238" s="38">
        <v>0</v>
      </c>
      <c r="Y238" s="37"/>
    </row>
    <row r="239" spans="1:25" s="31" customFormat="1" ht="15" customHeight="1" x14ac:dyDescent="0.3">
      <c r="A239" s="36"/>
      <c r="B239" s="37"/>
      <c r="C239" s="45"/>
      <c r="D239" s="37">
        <v>2020</v>
      </c>
      <c r="E239" s="38">
        <f>31677*1000000</f>
        <v>31677000000</v>
      </c>
      <c r="F239" s="38">
        <f>(31677+54+2908)*1000000</f>
        <v>34639000000</v>
      </c>
      <c r="G239" s="38">
        <f>661899*1000000</f>
        <v>661899000000</v>
      </c>
      <c r="H239" s="38">
        <f>(26207+190+104+26712)*1000000</f>
        <v>53213000000</v>
      </c>
      <c r="I239" s="38">
        <f>(26207+190+104+26712+3309+525+91+66856+6)*1000000</f>
        <v>124000000000</v>
      </c>
      <c r="J239" s="38">
        <f>-65042*1000000</f>
        <v>-65042000000</v>
      </c>
      <c r="K239" s="38">
        <f>(100000-54982-65042)*1000000</f>
        <v>-20024000000</v>
      </c>
      <c r="L239" s="38">
        <f>(7917+2191+4946+755+788)*1000000</f>
        <v>16597000000</v>
      </c>
      <c r="M239" s="38">
        <f>-18651*1000000</f>
        <v>-18651000000</v>
      </c>
      <c r="N239" s="38">
        <f t="shared" si="21"/>
        <v>-18651000000</v>
      </c>
      <c r="O239" s="39">
        <v>0.99</v>
      </c>
      <c r="P239" s="40" t="s">
        <v>289</v>
      </c>
      <c r="Q239" s="38">
        <v>0</v>
      </c>
      <c r="R239" s="38">
        <v>2</v>
      </c>
      <c r="S239" s="38">
        <v>3</v>
      </c>
      <c r="T239" s="38">
        <f t="shared" si="22"/>
        <v>5</v>
      </c>
      <c r="U239" s="42">
        <v>0</v>
      </c>
      <c r="V239" s="38">
        <v>0</v>
      </c>
      <c r="W239" s="38">
        <v>0</v>
      </c>
      <c r="X239" s="38">
        <v>0</v>
      </c>
      <c r="Y239" s="37"/>
    </row>
    <row r="240" spans="1:25" s="31" customFormat="1" ht="15" customHeight="1" x14ac:dyDescent="0.3">
      <c r="A240" s="36"/>
      <c r="B240" s="37"/>
      <c r="C240" s="45"/>
      <c r="D240" s="37">
        <v>2021</v>
      </c>
      <c r="E240" s="38">
        <f>15647*1000000</f>
        <v>15647000000</v>
      </c>
      <c r="F240" s="38">
        <f>(15647+11559+2927)*1000000</f>
        <v>30133000000</v>
      </c>
      <c r="G240" s="38">
        <f>561340*1000000</f>
        <v>561340000000</v>
      </c>
      <c r="H240" s="38">
        <f>(49977+169+46+32697)*1000000</f>
        <v>82889000000</v>
      </c>
      <c r="I240" s="38">
        <f>(49977+169+46+32697+2721+471+70+72297+5)*1000000</f>
        <v>158453000000</v>
      </c>
      <c r="J240" s="38">
        <f>-75617*1000000</f>
        <v>-75617000000</v>
      </c>
      <c r="K240" s="38">
        <f>(100000-60020-75617)*1000000</f>
        <v>-35637000000</v>
      </c>
      <c r="L240" s="38">
        <f>(5584+1142+8312+702+588)*1000000</f>
        <v>16328000000</v>
      </c>
      <c r="M240" s="38">
        <f>-10585*1000000</f>
        <v>-10585000000</v>
      </c>
      <c r="N240" s="38">
        <f t="shared" si="21"/>
        <v>-10585000000</v>
      </c>
      <c r="O240" s="39">
        <v>0.99</v>
      </c>
      <c r="P240" s="40" t="s">
        <v>289</v>
      </c>
      <c r="Q240" s="38">
        <v>0</v>
      </c>
      <c r="R240" s="38">
        <v>2</v>
      </c>
      <c r="S240" s="38">
        <v>3</v>
      </c>
      <c r="T240" s="38">
        <f t="shared" si="22"/>
        <v>5</v>
      </c>
      <c r="U240" s="42">
        <v>0</v>
      </c>
      <c r="V240" s="38">
        <v>0</v>
      </c>
      <c r="W240" s="38">
        <v>0</v>
      </c>
      <c r="X240" s="38">
        <v>0</v>
      </c>
      <c r="Y240" s="37"/>
    </row>
    <row r="241" spans="1:25" s="31" customFormat="1" ht="15" customHeight="1" x14ac:dyDescent="0.3">
      <c r="A241" s="36"/>
      <c r="B241" s="37"/>
      <c r="C241" s="45"/>
      <c r="D241" s="37">
        <v>2022</v>
      </c>
      <c r="E241" s="38">
        <f>67947*1000000</f>
        <v>67947000000</v>
      </c>
      <c r="F241" s="38">
        <f>(67947+183+2677)*1000000</f>
        <v>70807000000</v>
      </c>
      <c r="G241" s="38">
        <f>471233*1000000</f>
        <v>471233000000</v>
      </c>
      <c r="H241" s="38">
        <f>(73674+58+22+33389)*1000000</f>
        <v>107143000000</v>
      </c>
      <c r="I241" s="38">
        <f>(73674+58+22+33389+2728+17721+73+65098+4)*1000000</f>
        <v>192767000000</v>
      </c>
      <c r="J241" s="38">
        <f>-81211*1000000</f>
        <v>-81211000000</v>
      </c>
      <c r="K241" s="38">
        <f>(100000-75164-81211)*1000000</f>
        <v>-56375000000</v>
      </c>
      <c r="L241" s="38">
        <f>(4668+1360+5559+822-7)*1000000</f>
        <v>12402000000</v>
      </c>
      <c r="M241" s="38">
        <f>-5592*1000000</f>
        <v>-5592000000</v>
      </c>
      <c r="N241" s="38">
        <f t="shared" si="21"/>
        <v>-5592000000</v>
      </c>
      <c r="O241" s="39">
        <v>0.99</v>
      </c>
      <c r="P241" s="40" t="s">
        <v>289</v>
      </c>
      <c r="Q241" s="38">
        <v>1</v>
      </c>
      <c r="R241" s="38">
        <v>2</v>
      </c>
      <c r="S241" s="38">
        <v>2</v>
      </c>
      <c r="T241" s="38">
        <f t="shared" si="22"/>
        <v>4</v>
      </c>
      <c r="U241" s="42">
        <v>0</v>
      </c>
      <c r="V241" s="38">
        <v>0</v>
      </c>
      <c r="W241" s="38">
        <v>0</v>
      </c>
      <c r="X241" s="38">
        <v>0</v>
      </c>
      <c r="Y241" s="37"/>
    </row>
    <row r="242" spans="1:25" s="31" customFormat="1" ht="15" customHeight="1" x14ac:dyDescent="0.3">
      <c r="A242" s="36"/>
      <c r="B242" s="37"/>
      <c r="C242" s="45"/>
      <c r="D242" s="37">
        <v>2023</v>
      </c>
      <c r="E242" s="38">
        <f>17254*1000000</f>
        <v>17254000000</v>
      </c>
      <c r="F242" s="38">
        <f>(17254+2831)*1000000</f>
        <v>20085000000</v>
      </c>
      <c r="G242" s="38">
        <f>(387763*1000000)</f>
        <v>387763000000</v>
      </c>
      <c r="H242" s="38">
        <f>(88634+115+39033)*1000000</f>
        <v>127782000000</v>
      </c>
      <c r="I242" s="38">
        <f>(88634+115+39033+2515+1961+84+57610+3)*1000000</f>
        <v>189955000000</v>
      </c>
      <c r="J242" s="38">
        <f>-92566*1000000</f>
        <v>-92566000000</v>
      </c>
      <c r="K242" s="38">
        <f>(100000-99692-92566)*1000000</f>
        <v>-92258000000</v>
      </c>
      <c r="L242" s="38">
        <f>(3547+1032+4216+686+213)*1000000</f>
        <v>9694000000</v>
      </c>
      <c r="M242" s="38">
        <f>-11351*1000000</f>
        <v>-11351000000</v>
      </c>
      <c r="N242" s="38">
        <f t="shared" si="21"/>
        <v>-11351000000</v>
      </c>
      <c r="O242" s="39">
        <v>0.99</v>
      </c>
      <c r="P242" s="40" t="s">
        <v>289</v>
      </c>
      <c r="Q242" s="38">
        <v>2</v>
      </c>
      <c r="R242" s="38">
        <v>3</v>
      </c>
      <c r="S242" s="38">
        <v>2</v>
      </c>
      <c r="T242" s="38">
        <f t="shared" si="22"/>
        <v>5</v>
      </c>
      <c r="U242" s="42">
        <v>0</v>
      </c>
      <c r="V242" s="38">
        <v>0</v>
      </c>
      <c r="W242" s="38">
        <v>0</v>
      </c>
      <c r="X242" s="38">
        <v>0</v>
      </c>
      <c r="Y242" s="37"/>
    </row>
    <row r="243" spans="1:25" s="31" customFormat="1" ht="15" customHeight="1" x14ac:dyDescent="0.3">
      <c r="A243" s="36"/>
      <c r="B243" s="37"/>
      <c r="C243" s="45"/>
      <c r="D243" s="37">
        <v>2024</v>
      </c>
      <c r="E243" s="38">
        <f>5013*1000000</f>
        <v>5013000000</v>
      </c>
      <c r="F243" s="38">
        <f>(5013+2921)*1000000</f>
        <v>7934000000</v>
      </c>
      <c r="G243" s="38">
        <f>350722*1000000</f>
        <v>350722000000</v>
      </c>
      <c r="H243" s="38">
        <f>(17668+32+29+6615)*1000000</f>
        <v>24344000000</v>
      </c>
      <c r="I243" s="38">
        <f>(17688+32+29+6615+1850+1497+110+50065+2)*1000000</f>
        <v>77888000000</v>
      </c>
      <c r="J243" s="38">
        <f>-69979*1000000</f>
        <v>-69979000000</v>
      </c>
      <c r="K243" s="38">
        <f>(100000-73878-69979)*1000000</f>
        <v>-43857000000</v>
      </c>
      <c r="L243" s="38">
        <f>(2665+1396+3804+679+664)*1000000</f>
        <v>9208000000</v>
      </c>
      <c r="M243" s="38">
        <f>-5791*1000000</f>
        <v>-5791000000</v>
      </c>
      <c r="N243" s="38">
        <f t="shared" si="21"/>
        <v>-5791000000</v>
      </c>
      <c r="O243" s="39">
        <v>0.99</v>
      </c>
      <c r="P243" s="40" t="s">
        <v>289</v>
      </c>
      <c r="Q243" s="38">
        <v>0</v>
      </c>
      <c r="R243" s="38">
        <v>2</v>
      </c>
      <c r="S243" s="38">
        <v>2</v>
      </c>
      <c r="T243" s="38">
        <f t="shared" si="22"/>
        <v>4</v>
      </c>
      <c r="U243" s="42">
        <v>0</v>
      </c>
      <c r="V243" s="38">
        <v>0</v>
      </c>
      <c r="W243" s="38">
        <v>0</v>
      </c>
      <c r="X243" s="38">
        <v>0</v>
      </c>
      <c r="Y243" s="37"/>
    </row>
    <row r="244" spans="1:25" s="31" customFormat="1" ht="15" customHeight="1" x14ac:dyDescent="0.3">
      <c r="A244" s="36"/>
      <c r="B244" s="37">
        <v>23</v>
      </c>
      <c r="C244" s="45" t="s">
        <v>51</v>
      </c>
      <c r="D244" s="37">
        <v>2014</v>
      </c>
      <c r="E244" s="38">
        <v>0</v>
      </c>
      <c r="F244" s="38">
        <v>0</v>
      </c>
      <c r="G244" s="38">
        <v>0</v>
      </c>
      <c r="H244" s="38">
        <v>0</v>
      </c>
      <c r="I244" s="38">
        <v>0</v>
      </c>
      <c r="J244" s="38">
        <v>0</v>
      </c>
      <c r="K244" s="38">
        <v>0</v>
      </c>
      <c r="L244" s="38">
        <f>809*1000000</f>
        <v>809000000</v>
      </c>
      <c r="M244" s="38">
        <v>0</v>
      </c>
      <c r="N244" s="38">
        <v>0</v>
      </c>
      <c r="O244" s="38">
        <v>0</v>
      </c>
      <c r="P244" s="38">
        <v>0</v>
      </c>
      <c r="Q244" s="38">
        <v>0</v>
      </c>
      <c r="R244" s="38">
        <v>0</v>
      </c>
      <c r="S244" s="38">
        <v>0</v>
      </c>
      <c r="T244" s="38">
        <v>0</v>
      </c>
      <c r="U244" s="38">
        <v>0</v>
      </c>
      <c r="V244" s="38">
        <v>0</v>
      </c>
      <c r="W244" s="38">
        <v>0</v>
      </c>
      <c r="X244" s="38">
        <v>0</v>
      </c>
      <c r="Y244" s="37"/>
    </row>
    <row r="245" spans="1:25" s="31" customFormat="1" ht="15" customHeight="1" x14ac:dyDescent="0.3">
      <c r="A245" s="36"/>
      <c r="B245" s="37"/>
      <c r="C245" s="45"/>
      <c r="D245" s="37">
        <v>2015</v>
      </c>
      <c r="E245" s="38">
        <f>35476*1000000</f>
        <v>35476000000</v>
      </c>
      <c r="F245" s="38">
        <f>(35476+163)*1000000</f>
        <v>35639000000</v>
      </c>
      <c r="G245" s="38">
        <f>66654*1000000</f>
        <v>66654000000</v>
      </c>
      <c r="H245" s="38">
        <f>(518+36+79+1133)*1000000</f>
        <v>1766000000</v>
      </c>
      <c r="I245" s="38">
        <f>2925*1000000</f>
        <v>2925000000</v>
      </c>
      <c r="J245" s="38">
        <f>3145*1000000</f>
        <v>3145000000</v>
      </c>
      <c r="K245" s="38">
        <f>63145*1000000</f>
        <v>63145000000</v>
      </c>
      <c r="L245" s="38">
        <f>6062*1000000</f>
        <v>6062000000</v>
      </c>
      <c r="M245" s="38">
        <f>2472*1000000</f>
        <v>2472000000</v>
      </c>
      <c r="N245" s="38">
        <f>2467*1000000</f>
        <v>2467000000</v>
      </c>
      <c r="O245" s="39">
        <v>0.88500000000000001</v>
      </c>
      <c r="P245" s="40" t="s">
        <v>334</v>
      </c>
      <c r="Q245" s="38">
        <v>0</v>
      </c>
      <c r="R245" s="38">
        <v>4</v>
      </c>
      <c r="S245" s="38">
        <v>3</v>
      </c>
      <c r="T245" s="38">
        <f>SUM(R245:S245)</f>
        <v>7</v>
      </c>
      <c r="U245" s="42">
        <v>6.5000000000000002E-2</v>
      </c>
      <c r="V245" s="38">
        <v>0</v>
      </c>
      <c r="W245" s="38">
        <v>0</v>
      </c>
      <c r="X245" s="38">
        <v>0</v>
      </c>
      <c r="Y245" s="37"/>
    </row>
    <row r="246" spans="1:25" s="31" customFormat="1" ht="15" customHeight="1" x14ac:dyDescent="0.3">
      <c r="A246" s="36"/>
      <c r="B246" s="37"/>
      <c r="C246" s="45"/>
      <c r="D246" s="37">
        <v>2016</v>
      </c>
      <c r="E246" s="38">
        <f>3025*1000000</f>
        <v>3025000000</v>
      </c>
      <c r="F246" s="38">
        <f>(3025+369+428+123)*1000000</f>
        <v>3945000000</v>
      </c>
      <c r="G246" s="38">
        <f>68251*1000000</f>
        <v>68251000000</v>
      </c>
      <c r="H246" s="38">
        <f>(468+28+4+760)*1000000</f>
        <v>1260000000</v>
      </c>
      <c r="I246" s="38">
        <f>4202*1000000</f>
        <v>4202000000</v>
      </c>
      <c r="J246" s="38">
        <f>3227*1000000</f>
        <v>3227000000</v>
      </c>
      <c r="K246" s="38">
        <f>63227*1000000</f>
        <v>63227000000</v>
      </c>
      <c r="L246" s="38">
        <f>6499*1000000</f>
        <v>6499000000</v>
      </c>
      <c r="M246" s="38">
        <f>152*1000000</f>
        <v>152000000</v>
      </c>
      <c r="N246" s="38">
        <f>148*1000000</f>
        <v>148000000</v>
      </c>
      <c r="O246" s="39">
        <v>0.88500000000000001</v>
      </c>
      <c r="P246" s="40" t="s">
        <v>334</v>
      </c>
      <c r="Q246" s="38">
        <v>0</v>
      </c>
      <c r="R246" s="38">
        <v>4</v>
      </c>
      <c r="S246" s="38">
        <v>3</v>
      </c>
      <c r="T246" s="38">
        <f t="shared" ref="T246:T254" si="23">SUM(R246:S246)</f>
        <v>7</v>
      </c>
      <c r="U246" s="42">
        <v>6.5000000000000002E-2</v>
      </c>
      <c r="V246" s="38">
        <v>0</v>
      </c>
      <c r="W246" s="38">
        <v>0</v>
      </c>
      <c r="X246" s="38">
        <v>0</v>
      </c>
      <c r="Y246" s="37"/>
    </row>
    <row r="247" spans="1:25" s="31" customFormat="1" ht="15" customHeight="1" x14ac:dyDescent="0.3">
      <c r="A247" s="36"/>
      <c r="B247" s="37"/>
      <c r="C247" s="45"/>
      <c r="D247" s="37">
        <v>2017</v>
      </c>
      <c r="E247" s="38">
        <f>43576*1000000</f>
        <v>43576000000</v>
      </c>
      <c r="F247" s="38">
        <f>(43576+6087+2296)*1000000</f>
        <v>51959000000</v>
      </c>
      <c r="G247" s="38">
        <f>166267*1000000</f>
        <v>166267000000</v>
      </c>
      <c r="H247" s="38">
        <f>(25+6746+3521)*1000000</f>
        <v>10292000000</v>
      </c>
      <c r="I247" s="38">
        <f>(25+6746+3521+647+607+33160+6546)*1000000</f>
        <v>51252000000</v>
      </c>
      <c r="J247" s="38">
        <f>141*1000000</f>
        <v>141000000</v>
      </c>
      <c r="K247" s="38">
        <f>(100000+13082+508+141)*1000000</f>
        <v>113731000000</v>
      </c>
      <c r="L247" s="38">
        <f>(4380+3643)*1000000</f>
        <v>8023000000</v>
      </c>
      <c r="M247" s="38">
        <f>-1817*1000000</f>
        <v>-1817000000</v>
      </c>
      <c r="N247" s="38">
        <f>-1901*1000000</f>
        <v>-1901000000</v>
      </c>
      <c r="O247" s="39">
        <v>0.53100000000000003</v>
      </c>
      <c r="P247" s="40" t="s">
        <v>334</v>
      </c>
      <c r="Q247" s="38">
        <v>2</v>
      </c>
      <c r="R247" s="38">
        <v>4</v>
      </c>
      <c r="S247" s="38">
        <v>3</v>
      </c>
      <c r="T247" s="38">
        <f t="shared" si="23"/>
        <v>7</v>
      </c>
      <c r="U247" s="42">
        <v>3.9E-2</v>
      </c>
      <c r="V247" s="38">
        <v>0</v>
      </c>
      <c r="W247" s="38">
        <v>0</v>
      </c>
      <c r="X247" s="38">
        <v>0</v>
      </c>
      <c r="Y247" s="37"/>
    </row>
    <row r="248" spans="1:25" s="31" customFormat="1" ht="15" customHeight="1" x14ac:dyDescent="0.3">
      <c r="A248" s="36"/>
      <c r="B248" s="37"/>
      <c r="C248" s="45"/>
      <c r="D248" s="37">
        <v>2018</v>
      </c>
      <c r="E248" s="38">
        <f>7824*1000000</f>
        <v>7824000000</v>
      </c>
      <c r="F248" s="38">
        <f>(7824+3976+722)*1000000</f>
        <v>12522000000</v>
      </c>
      <c r="G248" s="38">
        <f>179015*1000000</f>
        <v>179015000000</v>
      </c>
      <c r="H248" s="38">
        <f>(6702+2678)*1000000</f>
        <v>9380000000</v>
      </c>
      <c r="I248" s="38">
        <f>(6702+2678+941+611+42137+11685)*1000000</f>
        <v>64754000000</v>
      </c>
      <c r="J248" s="38">
        <f>694*1000000</f>
        <v>694000000</v>
      </c>
      <c r="K248" s="38">
        <f>(100000+13082-954+694)*1000000</f>
        <v>112822000000</v>
      </c>
      <c r="L248" s="38">
        <f>(5760+9033)*1000000</f>
        <v>14793000000</v>
      </c>
      <c r="M248" s="38">
        <f>582*1000000</f>
        <v>582000000</v>
      </c>
      <c r="N248" s="38">
        <f>553*1000000</f>
        <v>553000000</v>
      </c>
      <c r="O248" s="39">
        <v>0.53100000000000003</v>
      </c>
      <c r="P248" s="40" t="s">
        <v>334</v>
      </c>
      <c r="Q248" s="38">
        <v>2</v>
      </c>
      <c r="R248" s="38">
        <v>4</v>
      </c>
      <c r="S248" s="38">
        <v>3</v>
      </c>
      <c r="T248" s="38">
        <f t="shared" si="23"/>
        <v>7</v>
      </c>
      <c r="U248" s="42">
        <v>3.9E-2</v>
      </c>
      <c r="V248" s="38">
        <v>0</v>
      </c>
      <c r="W248" s="38">
        <v>0</v>
      </c>
      <c r="X248" s="38">
        <v>0</v>
      </c>
      <c r="Y248" s="37"/>
    </row>
    <row r="249" spans="1:25" s="31" customFormat="1" ht="15" customHeight="1" x14ac:dyDescent="0.3">
      <c r="A249" s="36"/>
      <c r="B249" s="37"/>
      <c r="C249" s="45"/>
      <c r="D249" s="37">
        <v>2019</v>
      </c>
      <c r="E249" s="38">
        <f>7755*1000000</f>
        <v>7755000000</v>
      </c>
      <c r="F249" s="38">
        <f>(7755+7216+11523)*1000000</f>
        <v>26494000000</v>
      </c>
      <c r="G249" s="38">
        <f>198032*1000000</f>
        <v>198032000000</v>
      </c>
      <c r="H249" s="38">
        <f>(5785+9426)*1000000</f>
        <v>15211000000</v>
      </c>
      <c r="I249" s="38">
        <f>(5785+9426+4888+14403+36392+26608)*1000000</f>
        <v>97502000000</v>
      </c>
      <c r="J249" s="38">
        <f>1944*1000000</f>
        <v>1944000000</v>
      </c>
      <c r="K249" s="38">
        <f>(100000+13470-1716+1944)*1000000</f>
        <v>113698000000</v>
      </c>
      <c r="L249" s="38">
        <f>(22531+8411)*1000000</f>
        <v>30942000000</v>
      </c>
      <c r="M249" s="38">
        <f>1235*1000000</f>
        <v>1235000000</v>
      </c>
      <c r="N249" s="38">
        <f>1251*1000000</f>
        <v>1251000000</v>
      </c>
      <c r="O249" s="39">
        <v>0.53100000000000003</v>
      </c>
      <c r="P249" s="40" t="s">
        <v>334</v>
      </c>
      <c r="Q249" s="38">
        <v>2</v>
      </c>
      <c r="R249" s="38">
        <v>4</v>
      </c>
      <c r="S249" s="38">
        <v>2</v>
      </c>
      <c r="T249" s="38">
        <f t="shared" si="23"/>
        <v>6</v>
      </c>
      <c r="U249" s="42">
        <v>3.9E-2</v>
      </c>
      <c r="V249" s="38">
        <v>0</v>
      </c>
      <c r="W249" s="38">
        <v>0</v>
      </c>
      <c r="X249" s="38">
        <v>0</v>
      </c>
      <c r="Y249" s="37"/>
    </row>
    <row r="250" spans="1:25" s="31" customFormat="1" ht="15" customHeight="1" x14ac:dyDescent="0.3">
      <c r="A250" s="36"/>
      <c r="B250" s="37"/>
      <c r="C250" s="45"/>
      <c r="D250" s="37">
        <v>2020</v>
      </c>
      <c r="E250" s="38">
        <f>36297*1000000</f>
        <v>36297000000</v>
      </c>
      <c r="F250" s="38">
        <f>(36297+11330+7212)*1000000</f>
        <v>54839000000</v>
      </c>
      <c r="G250" s="38">
        <f>239408*1000000</f>
        <v>239408000000</v>
      </c>
      <c r="H250" s="38">
        <f>(133+16104+21311)*1000000</f>
        <v>37548000000</v>
      </c>
      <c r="I250" s="38">
        <f>(133+16104+21311+4010+19003+45330+29654)*1000000</f>
        <v>135545000000</v>
      </c>
      <c r="J250" s="38">
        <f>1998*1000000</f>
        <v>1998000000</v>
      </c>
      <c r="K250" s="38">
        <f>(100000+13382+933+1998)*1000000</f>
        <v>116313000000</v>
      </c>
      <c r="L250" s="38">
        <f>(36427+7991)*1000000</f>
        <v>44418000000</v>
      </c>
      <c r="M250" s="38">
        <f>263*1000000</f>
        <v>263000000</v>
      </c>
      <c r="N250" s="38">
        <f>53*1000000</f>
        <v>53000000</v>
      </c>
      <c r="O250" s="39">
        <v>0.53100000000000003</v>
      </c>
      <c r="P250" s="40" t="s">
        <v>334</v>
      </c>
      <c r="Q250" s="38">
        <v>2</v>
      </c>
      <c r="R250" s="38">
        <v>4</v>
      </c>
      <c r="S250" s="38">
        <v>3</v>
      </c>
      <c r="T250" s="38">
        <f t="shared" si="23"/>
        <v>7</v>
      </c>
      <c r="U250" s="42">
        <v>3.9E-2</v>
      </c>
      <c r="V250" s="38">
        <v>0</v>
      </c>
      <c r="W250" s="38">
        <v>0</v>
      </c>
      <c r="X250" s="38">
        <v>0</v>
      </c>
      <c r="Y250" s="37"/>
    </row>
    <row r="251" spans="1:25" s="31" customFormat="1" ht="15" customHeight="1" x14ac:dyDescent="0.3">
      <c r="A251" s="36"/>
      <c r="B251" s="37"/>
      <c r="C251" s="45"/>
      <c r="D251" s="37">
        <v>2021</v>
      </c>
      <c r="E251" s="38">
        <f>18517*1000000</f>
        <v>18517000000</v>
      </c>
      <c r="F251" s="38">
        <f>(18517+3013+25697)*1000000</f>
        <v>47227000000</v>
      </c>
      <c r="G251" s="38">
        <f>249051*1000000</f>
        <v>249051000000</v>
      </c>
      <c r="H251" s="38">
        <f>(17248+13502+20274)*1000000</f>
        <v>51024000000</v>
      </c>
      <c r="I251" s="38">
        <f>(17248+13502+20274+16134+19664+23746+24773)*1000000</f>
        <v>135341000000</v>
      </c>
      <c r="J251" s="38">
        <f>3281*1000000</f>
        <v>3281000000</v>
      </c>
      <c r="K251" s="38">
        <f>(100000+13382-993+3281)*1000000</f>
        <v>115670000000</v>
      </c>
      <c r="L251" s="38">
        <f>(44847+8177)*1000000</f>
        <v>53024000000</v>
      </c>
      <c r="M251" s="38">
        <f>1889*1000000</f>
        <v>1889000000</v>
      </c>
      <c r="N251" s="38">
        <f>1284*1000000</f>
        <v>1284000000</v>
      </c>
      <c r="O251" s="39">
        <v>0.57999999999999996</v>
      </c>
      <c r="P251" s="40" t="s">
        <v>334</v>
      </c>
      <c r="Q251" s="38">
        <v>2</v>
      </c>
      <c r="R251" s="38">
        <v>4</v>
      </c>
      <c r="S251" s="38">
        <v>2</v>
      </c>
      <c r="T251" s="38">
        <f t="shared" si="23"/>
        <v>6</v>
      </c>
      <c r="U251" s="42">
        <v>0.04</v>
      </c>
      <c r="V251" s="38">
        <v>0</v>
      </c>
      <c r="W251" s="38">
        <v>0</v>
      </c>
      <c r="X251" s="38">
        <v>0</v>
      </c>
      <c r="Y251" s="37"/>
    </row>
    <row r="252" spans="1:25" s="31" customFormat="1" ht="15" customHeight="1" x14ac:dyDescent="0.3">
      <c r="A252" s="36"/>
      <c r="B252" s="37"/>
      <c r="C252" s="45"/>
      <c r="D252" s="37">
        <v>2022</v>
      </c>
      <c r="E252" s="38">
        <f>18454*1000000</f>
        <v>18454000000</v>
      </c>
      <c r="F252" s="38">
        <f>(18454+14621+31559)*1000000</f>
        <v>64634000000</v>
      </c>
      <c r="G252" s="38">
        <f>293113*1000000</f>
        <v>293113000000</v>
      </c>
      <c r="H252" s="38">
        <f>(3549+7158+45518)*1000000</f>
        <v>56225000000</v>
      </c>
      <c r="I252" s="38">
        <f>(3549+7158+45518+11246+21274+40661+41058)*1000000</f>
        <v>170464000000</v>
      </c>
      <c r="J252" s="38">
        <f>4782*1000000</f>
        <v>4782000000</v>
      </c>
      <c r="K252" s="38">
        <f>(100000+13382-1730+4782)*1000000</f>
        <v>116434000000</v>
      </c>
      <c r="L252" s="38">
        <f>(39019+62+9750)*1000000</f>
        <v>48831000000</v>
      </c>
      <c r="M252" s="38">
        <f>2093*1000000</f>
        <v>2093000000</v>
      </c>
      <c r="N252" s="38">
        <f>1501*1000000</f>
        <v>1501000000</v>
      </c>
      <c r="O252" s="39">
        <v>0.57999999999999996</v>
      </c>
      <c r="P252" s="40" t="s">
        <v>334</v>
      </c>
      <c r="Q252" s="38">
        <v>2</v>
      </c>
      <c r="R252" s="38">
        <v>4</v>
      </c>
      <c r="S252" s="38">
        <v>3</v>
      </c>
      <c r="T252" s="38">
        <f t="shared" si="23"/>
        <v>7</v>
      </c>
      <c r="U252" s="42">
        <v>0.01</v>
      </c>
      <c r="V252" s="38">
        <v>0</v>
      </c>
      <c r="W252" s="38">
        <v>0</v>
      </c>
      <c r="X252" s="38">
        <v>0</v>
      </c>
      <c r="Y252" s="37"/>
    </row>
    <row r="253" spans="1:25" s="31" customFormat="1" ht="15" customHeight="1" x14ac:dyDescent="0.3">
      <c r="A253" s="36"/>
      <c r="B253" s="37"/>
      <c r="C253" s="45"/>
      <c r="D253" s="37">
        <v>2023</v>
      </c>
      <c r="E253" s="38">
        <f>7428*1000000</f>
        <v>7428000000</v>
      </c>
      <c r="F253" s="38">
        <f>(7428+9785+49438)*1000000</f>
        <v>66651000000</v>
      </c>
      <c r="G253" s="38">
        <f>303072*1000000</f>
        <v>303072000000</v>
      </c>
      <c r="H253" s="38">
        <f>(1655+8625+76202)*1000000</f>
        <v>86482000000</v>
      </c>
      <c r="I253" s="38">
        <f>(1655+8625+76202+8781+30735+38742+41236)*1000000</f>
        <v>205976000000</v>
      </c>
      <c r="J253" s="38">
        <f>7309*1000000</f>
        <v>7309000000</v>
      </c>
      <c r="K253" s="38">
        <f>(100000+13382-485+7309)*1000000</f>
        <v>120206000000</v>
      </c>
      <c r="L253" s="38">
        <f>(66293+6352)*1000000</f>
        <v>72645000000</v>
      </c>
      <c r="M253" s="38">
        <f>3514*1000000</f>
        <v>3514000000</v>
      </c>
      <c r="N253" s="38">
        <f>2527*1000000</f>
        <v>2527000000</v>
      </c>
      <c r="O253" s="39">
        <v>0.57999999999999996</v>
      </c>
      <c r="P253" s="40" t="s">
        <v>334</v>
      </c>
      <c r="Q253" s="38">
        <v>2</v>
      </c>
      <c r="R253" s="38">
        <v>4</v>
      </c>
      <c r="S253" s="38">
        <v>3</v>
      </c>
      <c r="T253" s="38">
        <f t="shared" si="23"/>
        <v>7</v>
      </c>
      <c r="U253" s="42">
        <v>0.01</v>
      </c>
      <c r="V253" s="38">
        <v>0</v>
      </c>
      <c r="W253" s="38">
        <v>0</v>
      </c>
      <c r="X253" s="38">
        <v>0</v>
      </c>
      <c r="Y253" s="37"/>
    </row>
    <row r="254" spans="1:25" s="31" customFormat="1" ht="15" customHeight="1" x14ac:dyDescent="0.3">
      <c r="A254" s="36"/>
      <c r="B254" s="37"/>
      <c r="C254" s="45"/>
      <c r="D254" s="37">
        <v>2024</v>
      </c>
      <c r="E254" s="38">
        <f>8752*1000000</f>
        <v>8752000000</v>
      </c>
      <c r="F254" s="38">
        <f>(8752+25632+36494)*1000000</f>
        <v>70878000000</v>
      </c>
      <c r="G254" s="38">
        <f>306176*1000000</f>
        <v>306176000000</v>
      </c>
      <c r="H254" s="38">
        <f>(11264+8836+93942)*1000000</f>
        <v>114042000000</v>
      </c>
      <c r="I254" s="38">
        <f>(11264+8836+93942+7695+42408+29190+38133)*1000000</f>
        <v>231468000000</v>
      </c>
      <c r="J254" s="38">
        <f>10138*1000000</f>
        <v>10138000000</v>
      </c>
      <c r="K254" s="38">
        <f>(100000+13382-1024+10138)*1000000</f>
        <v>122496000000</v>
      </c>
      <c r="L254" s="38">
        <f>(74040+67+5363)*1000000</f>
        <v>79470000000</v>
      </c>
      <c r="M254" s="38">
        <f>3746*1000000</f>
        <v>3746000000</v>
      </c>
      <c r="N254" s="38">
        <f>2829*1000000</f>
        <v>2829000000</v>
      </c>
      <c r="O254" s="39">
        <v>0.57950000000000002</v>
      </c>
      <c r="P254" s="40" t="s">
        <v>334</v>
      </c>
      <c r="Q254" s="38">
        <v>2</v>
      </c>
      <c r="R254" s="38">
        <v>3</v>
      </c>
      <c r="S254" s="38">
        <v>3</v>
      </c>
      <c r="T254" s="38">
        <f t="shared" si="23"/>
        <v>6</v>
      </c>
      <c r="U254" s="42">
        <v>0</v>
      </c>
      <c r="V254" s="38">
        <v>0</v>
      </c>
      <c r="W254" s="38">
        <v>0</v>
      </c>
      <c r="X254" s="38">
        <v>0</v>
      </c>
      <c r="Y254" s="37"/>
    </row>
    <row r="255" spans="1:25" s="31" customFormat="1" ht="15" customHeight="1" x14ac:dyDescent="0.3">
      <c r="A255" s="36"/>
      <c r="B255" s="37">
        <v>24</v>
      </c>
      <c r="C255" s="45" t="s">
        <v>50</v>
      </c>
      <c r="D255" s="37">
        <v>2014</v>
      </c>
      <c r="E255" s="38">
        <v>0</v>
      </c>
      <c r="F255" s="38">
        <v>0</v>
      </c>
      <c r="G255" s="38">
        <v>0</v>
      </c>
      <c r="H255" s="38">
        <v>0</v>
      </c>
      <c r="I255" s="38">
        <v>0</v>
      </c>
      <c r="J255" s="38">
        <v>0</v>
      </c>
      <c r="K255" s="38">
        <v>0</v>
      </c>
      <c r="L255" s="38">
        <f>14182*1000000</f>
        <v>14182000000</v>
      </c>
      <c r="M255" s="38">
        <v>0</v>
      </c>
      <c r="N255" s="38">
        <v>0</v>
      </c>
      <c r="O255" s="38">
        <v>0</v>
      </c>
      <c r="P255" s="38">
        <v>0</v>
      </c>
      <c r="Q255" s="38">
        <v>0</v>
      </c>
      <c r="R255" s="38">
        <v>0</v>
      </c>
      <c r="S255" s="38">
        <v>0</v>
      </c>
      <c r="T255" s="38">
        <v>0</v>
      </c>
      <c r="U255" s="38">
        <v>0</v>
      </c>
      <c r="V255" s="38">
        <v>0</v>
      </c>
      <c r="W255" s="38">
        <v>0</v>
      </c>
      <c r="X255" s="38">
        <v>0</v>
      </c>
      <c r="Y255" s="37"/>
    </row>
    <row r="256" spans="1:25" s="31" customFormat="1" ht="15" customHeight="1" x14ac:dyDescent="0.3">
      <c r="A256" s="36"/>
      <c r="B256" s="37"/>
      <c r="C256" s="45"/>
      <c r="D256" s="37">
        <v>2015</v>
      </c>
      <c r="E256" s="38">
        <f>2824*1000000</f>
        <v>2824000000</v>
      </c>
      <c r="F256" s="38">
        <f>(2824+123+1567+756+501)*1000000</f>
        <v>5771000000</v>
      </c>
      <c r="G256" s="38">
        <f>71504*1000000</f>
        <v>71504000000</v>
      </c>
      <c r="H256" s="38">
        <f>(467+2333+53+3425)*1000000</f>
        <v>6278000000</v>
      </c>
      <c r="I256" s="38">
        <f>10060*1000000</f>
        <v>10060000000</v>
      </c>
      <c r="J256" s="38">
        <f>-18299*1000000</f>
        <v>-18299000000</v>
      </c>
      <c r="K256" s="38">
        <f>59008*1000000</f>
        <v>59008000000</v>
      </c>
      <c r="L256" s="38">
        <f>10169*1000000</f>
        <v>10169000000</v>
      </c>
      <c r="M256" s="38">
        <f>-7989*1000000</f>
        <v>-7989000000</v>
      </c>
      <c r="N256" s="38">
        <f>-7989*1000000</f>
        <v>-7989000000</v>
      </c>
      <c r="O256" s="39">
        <v>0.95</v>
      </c>
      <c r="P256" s="40" t="s">
        <v>333</v>
      </c>
      <c r="Q256" s="38">
        <v>1</v>
      </c>
      <c r="R256" s="38">
        <v>3</v>
      </c>
      <c r="S256" s="38">
        <v>3</v>
      </c>
      <c r="T256" s="38">
        <f>SUM(R256:S256)</f>
        <v>6</v>
      </c>
      <c r="U256" s="42">
        <v>0</v>
      </c>
      <c r="V256" s="38">
        <f>3+(2*3)+(3*2)</f>
        <v>15</v>
      </c>
      <c r="W256" s="38">
        <f>V256</f>
        <v>15</v>
      </c>
      <c r="X256" s="38">
        <f>3+(2*2)+(3*1)</f>
        <v>10</v>
      </c>
      <c r="Y256" s="37"/>
    </row>
    <row r="257" spans="1:25" s="31" customFormat="1" ht="15" customHeight="1" x14ac:dyDescent="0.3">
      <c r="A257" s="36"/>
      <c r="B257" s="37"/>
      <c r="C257" s="45"/>
      <c r="D257" s="37">
        <v>2016</v>
      </c>
      <c r="E257" s="38">
        <f>5211*1000000</f>
        <v>5211000000</v>
      </c>
      <c r="F257" s="38">
        <f>(5211+147+2029+519+876)*1000000</f>
        <v>8782000000</v>
      </c>
      <c r="G257" s="38">
        <f>68929*1000000</f>
        <v>68929000000</v>
      </c>
      <c r="H257" s="38">
        <f>(414+2207+17+4027)*1000000</f>
        <v>6665000000</v>
      </c>
      <c r="I257" s="38">
        <f>10520*1000000</f>
        <v>10520000000</v>
      </c>
      <c r="J257" s="38">
        <f>-24402*1000000</f>
        <v>-24402000000</v>
      </c>
      <c r="K257" s="38">
        <f>54212*1000000</f>
        <v>54212000000</v>
      </c>
      <c r="L257" s="38">
        <f>12683*1000000</f>
        <v>12683000000</v>
      </c>
      <c r="M257" s="38">
        <f>-6103*1000000</f>
        <v>-6103000000</v>
      </c>
      <c r="N257" s="38">
        <f>M257</f>
        <v>-6103000000</v>
      </c>
      <c r="O257" s="39">
        <v>0.95</v>
      </c>
      <c r="P257" s="40" t="s">
        <v>333</v>
      </c>
      <c r="Q257" s="38">
        <v>1</v>
      </c>
      <c r="R257" s="38">
        <v>3</v>
      </c>
      <c r="S257" s="38">
        <v>2</v>
      </c>
      <c r="T257" s="38">
        <f t="shared" ref="T257:T265" si="24">SUM(R257:S257)</f>
        <v>5</v>
      </c>
      <c r="U257" s="42">
        <v>0</v>
      </c>
      <c r="V257" s="38">
        <f>3+(2*3)+(3*2)</f>
        <v>15</v>
      </c>
      <c r="W257" s="38">
        <f>V257</f>
        <v>15</v>
      </c>
      <c r="X257" s="38">
        <f>2+2+3</f>
        <v>7</v>
      </c>
      <c r="Y257" s="37"/>
    </row>
    <row r="258" spans="1:25" s="31" customFormat="1" ht="15" customHeight="1" x14ac:dyDescent="0.3">
      <c r="A258" s="36"/>
      <c r="B258" s="37"/>
      <c r="C258" s="45"/>
      <c r="D258" s="37">
        <v>2017</v>
      </c>
      <c r="E258" s="38">
        <f>4810*1000000</f>
        <v>4810000000</v>
      </c>
      <c r="F258" s="38">
        <f>(4810+1538+471+2954)*1000000</f>
        <v>9773000000</v>
      </c>
      <c r="G258" s="38">
        <f>87746*1000000</f>
        <v>87746000000</v>
      </c>
      <c r="H258" s="38">
        <f>(926+118+8752)*1000000</f>
        <v>9796000000</v>
      </c>
      <c r="I258" s="38">
        <f>(926+118+8752+1912+349+16003)*1000000</f>
        <v>28060000000</v>
      </c>
      <c r="J258" s="38">
        <f>-26898*1000000</f>
        <v>-26898000000</v>
      </c>
      <c r="K258" s="38">
        <f>(80000-2324-26898)*1000000</f>
        <v>50778000000</v>
      </c>
      <c r="L258" s="38">
        <f>14716*1000000</f>
        <v>14716000000</v>
      </c>
      <c r="M258" s="38">
        <f>-3000*1000000</f>
        <v>-3000000000</v>
      </c>
      <c r="N258" s="38">
        <f>-2496*1000000</f>
        <v>-2496000000</v>
      </c>
      <c r="O258" s="39">
        <v>0.95</v>
      </c>
      <c r="P258" s="40" t="s">
        <v>333</v>
      </c>
      <c r="Q258" s="38">
        <v>2</v>
      </c>
      <c r="R258" s="38">
        <v>4</v>
      </c>
      <c r="S258" s="38">
        <v>2</v>
      </c>
      <c r="T258" s="38">
        <f t="shared" si="24"/>
        <v>6</v>
      </c>
      <c r="U258" s="42">
        <v>0</v>
      </c>
      <c r="V258" s="38">
        <f>4+(2*4)+(3*2)</f>
        <v>18</v>
      </c>
      <c r="W258" s="38">
        <f>V258</f>
        <v>18</v>
      </c>
      <c r="X258" s="38">
        <f>2+2+3</f>
        <v>7</v>
      </c>
      <c r="Y258" s="37"/>
    </row>
    <row r="259" spans="1:25" s="31" customFormat="1" ht="15" customHeight="1" x14ac:dyDescent="0.3">
      <c r="A259" s="36"/>
      <c r="B259" s="37"/>
      <c r="C259" s="45"/>
      <c r="D259" s="37">
        <v>2018</v>
      </c>
      <c r="E259" s="38">
        <f>4153*1000000</f>
        <v>4153000000</v>
      </c>
      <c r="F259" s="38">
        <f>(4153+2567+2270+3278)*1000000</f>
        <v>12268000000</v>
      </c>
      <c r="G259" s="38">
        <f>96855*1000000</f>
        <v>96855000000</v>
      </c>
      <c r="H259" s="38">
        <f>(697+119+10356)*1000000</f>
        <v>11172000000</v>
      </c>
      <c r="I259" s="38">
        <f>(697+116+10356+1465+2195+1162+14744+72)*1000000</f>
        <v>30807000000</v>
      </c>
      <c r="J259" s="38">
        <f>-33875*1000000</f>
        <v>-33875000000</v>
      </c>
      <c r="K259" s="38">
        <f>(80000+10000-2884-33875)*1000000</f>
        <v>53241000000</v>
      </c>
      <c r="L259" s="38">
        <f>(13269+9120-499+367+998+3283)*1000000</f>
        <v>26538000000</v>
      </c>
      <c r="M259" s="38">
        <f>-6925*1000000</f>
        <v>-6925000000</v>
      </c>
      <c r="N259" s="38">
        <f>-6977*1000000</f>
        <v>-6977000000</v>
      </c>
      <c r="O259" s="39">
        <v>0.95</v>
      </c>
      <c r="P259" s="40" t="s">
        <v>333</v>
      </c>
      <c r="Q259" s="38">
        <v>1</v>
      </c>
      <c r="R259" s="38">
        <v>3</v>
      </c>
      <c r="S259" s="38">
        <v>3</v>
      </c>
      <c r="T259" s="38">
        <f t="shared" si="24"/>
        <v>6</v>
      </c>
      <c r="U259" s="42">
        <v>0</v>
      </c>
      <c r="V259" s="38">
        <f>3+4</f>
        <v>7</v>
      </c>
      <c r="W259" s="38">
        <f t="shared" ref="W259:W298" si="25">V259</f>
        <v>7</v>
      </c>
      <c r="X259" s="38">
        <f>3+2</f>
        <v>5</v>
      </c>
      <c r="Y259" s="37"/>
    </row>
    <row r="260" spans="1:25" s="31" customFormat="1" ht="15" customHeight="1" x14ac:dyDescent="0.3">
      <c r="A260" s="36"/>
      <c r="B260" s="37"/>
      <c r="C260" s="45"/>
      <c r="D260" s="37">
        <v>2019</v>
      </c>
      <c r="E260" s="38">
        <f>6288*1000000</f>
        <v>6288000000</v>
      </c>
      <c r="F260" s="38">
        <f>(6288+1093+1240+5990)*1000000</f>
        <v>14611000000</v>
      </c>
      <c r="G260" s="38">
        <f>104668*1000000</f>
        <v>104668000000</v>
      </c>
      <c r="H260" s="38">
        <f>(462+214+11105)*1000000</f>
        <v>11781000000</v>
      </c>
      <c r="I260" s="38">
        <f>(462+214+11105+2793+309+203+754+13354+92)*1000000</f>
        <v>29286000000</v>
      </c>
      <c r="J260" s="38">
        <f>-26145*1000000</f>
        <v>-26145000000</v>
      </c>
      <c r="K260" s="38">
        <f>(90000+525-2640-26145)*1000000</f>
        <v>61740000000</v>
      </c>
      <c r="L260" s="38">
        <f>(26339+9578-75+653+3657+12525)*1000000</f>
        <v>52677000000</v>
      </c>
      <c r="M260" s="38">
        <f>7843*1000000</f>
        <v>7843000000</v>
      </c>
      <c r="N260" s="38">
        <f>7730*1000000</f>
        <v>7730000000</v>
      </c>
      <c r="O260" s="39">
        <v>0.95</v>
      </c>
      <c r="P260" s="40" t="s">
        <v>333</v>
      </c>
      <c r="Q260" s="38">
        <v>1</v>
      </c>
      <c r="R260" s="38">
        <v>3</v>
      </c>
      <c r="S260" s="38">
        <v>3</v>
      </c>
      <c r="T260" s="38">
        <f t="shared" si="24"/>
        <v>6</v>
      </c>
      <c r="U260" s="42">
        <v>0</v>
      </c>
      <c r="V260" s="38">
        <f>3+(2*2)+3</f>
        <v>10</v>
      </c>
      <c r="W260" s="38">
        <f t="shared" si="25"/>
        <v>10</v>
      </c>
      <c r="X260" s="38">
        <f>3+2</f>
        <v>5</v>
      </c>
      <c r="Y260" s="37"/>
    </row>
    <row r="261" spans="1:25" s="31" customFormat="1" ht="15" customHeight="1" x14ac:dyDescent="0.3">
      <c r="A261" s="36"/>
      <c r="B261" s="37"/>
      <c r="C261" s="45"/>
      <c r="D261" s="37">
        <v>2020</v>
      </c>
      <c r="E261" s="38">
        <f>8104*1000000</f>
        <v>8104000000</v>
      </c>
      <c r="F261" s="38">
        <f>(8104+2380+822+5032)*1000000</f>
        <v>16338000000</v>
      </c>
      <c r="G261" s="38">
        <f>96960*1000000</f>
        <v>96960000000</v>
      </c>
      <c r="H261" s="38">
        <f>(20+690+41+9354)*1000000</f>
        <v>10105000000</v>
      </c>
      <c r="I261" s="38">
        <f>(20+690+41+9354+2196+1573+363+15932+198)*1000000</f>
        <v>30367000000</v>
      </c>
      <c r="J261" s="38">
        <f>-25711*1000000</f>
        <v>-25711000000</v>
      </c>
      <c r="K261" s="38">
        <f>(90525-13309-25711)*1000000</f>
        <v>51505000000</v>
      </c>
      <c r="L261" s="38">
        <f>(15103+7218-143+76+1976+5289)*1000000</f>
        <v>29519000000</v>
      </c>
      <c r="M261" s="38">
        <f>455*1000000</f>
        <v>455000000</v>
      </c>
      <c r="N261" s="38">
        <f>434*1000000</f>
        <v>434000000</v>
      </c>
      <c r="O261" s="39">
        <v>0.95</v>
      </c>
      <c r="P261" s="40" t="s">
        <v>333</v>
      </c>
      <c r="Q261" s="38">
        <v>2</v>
      </c>
      <c r="R261" s="38">
        <v>4</v>
      </c>
      <c r="S261" s="38">
        <v>3</v>
      </c>
      <c r="T261" s="38">
        <f t="shared" si="24"/>
        <v>7</v>
      </c>
      <c r="U261" s="42">
        <v>0</v>
      </c>
      <c r="V261" s="38">
        <f>4+(2*3)+3</f>
        <v>13</v>
      </c>
      <c r="W261" s="38">
        <f t="shared" si="25"/>
        <v>13</v>
      </c>
      <c r="X261" s="38">
        <f>3+2</f>
        <v>5</v>
      </c>
      <c r="Y261" s="37"/>
    </row>
    <row r="262" spans="1:25" s="31" customFormat="1" ht="15" customHeight="1" x14ac:dyDescent="0.3">
      <c r="A262" s="36"/>
      <c r="B262" s="37"/>
      <c r="C262" s="45"/>
      <c r="D262" s="37">
        <v>2021</v>
      </c>
      <c r="E262" s="38">
        <f>6661*1000000</f>
        <v>6661000000</v>
      </c>
      <c r="F262" s="38">
        <f>(6661+1992+585+4178)*1000000</f>
        <v>13416000000</v>
      </c>
      <c r="G262" s="38">
        <f>95396*1000000</f>
        <v>95396000000</v>
      </c>
      <c r="H262" s="38">
        <f>(404+15+8153)*1000000</f>
        <v>8572000000</v>
      </c>
      <c r="I262" s="38">
        <f>(404+15+8153+2030+1118+189+1000+17257+137)*1000000</f>
        <v>30303000000</v>
      </c>
      <c r="J262" s="38">
        <f>-25203*1000000</f>
        <v>-25203000000</v>
      </c>
      <c r="K262" s="38">
        <f>(90525-14129-25203)*1000000</f>
        <v>51193000000</v>
      </c>
      <c r="L262" s="38">
        <f>(13946+7578-1278+450+1396+5800)*1000000</f>
        <v>27892000000</v>
      </c>
      <c r="M262" s="38">
        <f>552*1000000</f>
        <v>552000000</v>
      </c>
      <c r="N262" s="38">
        <f>508*1000000</f>
        <v>508000000</v>
      </c>
      <c r="O262" s="39">
        <v>0.95</v>
      </c>
      <c r="P262" s="40" t="s">
        <v>333</v>
      </c>
      <c r="Q262" s="38">
        <v>2</v>
      </c>
      <c r="R262" s="38">
        <v>4</v>
      </c>
      <c r="S262" s="38">
        <v>3</v>
      </c>
      <c r="T262" s="38">
        <f t="shared" si="24"/>
        <v>7</v>
      </c>
      <c r="U262" s="42">
        <v>0</v>
      </c>
      <c r="V262" s="38">
        <f>4+(2*3)+3</f>
        <v>13</v>
      </c>
      <c r="W262" s="38">
        <f t="shared" si="25"/>
        <v>13</v>
      </c>
      <c r="X262" s="38">
        <f>3+2</f>
        <v>5</v>
      </c>
      <c r="Y262" s="37"/>
    </row>
    <row r="263" spans="1:25" s="31" customFormat="1" ht="15" customHeight="1" x14ac:dyDescent="0.3">
      <c r="A263" s="36"/>
      <c r="B263" s="37"/>
      <c r="C263" s="45"/>
      <c r="D263" s="37">
        <v>2022</v>
      </c>
      <c r="E263" s="38">
        <f>4037*1000000</f>
        <v>4037000000</v>
      </c>
      <c r="F263" s="38">
        <f>(4037+4732+726+7610)*1000000</f>
        <v>17105000000</v>
      </c>
      <c r="G263" s="38">
        <f>112679*1000000</f>
        <v>112679000000</v>
      </c>
      <c r="H263" s="38">
        <f>(818+129+9680)*1000000</f>
        <v>10627000000</v>
      </c>
      <c r="I263" s="38">
        <f>(818+129+9680+6978+39+1729+2070+18071+682)*1000000</f>
        <v>40196000000</v>
      </c>
      <c r="J263" s="38">
        <f>-24024*1000000</f>
        <v>-24024000000</v>
      </c>
      <c r="K263" s="38">
        <f>(90525-15428-24024)*1000000</f>
        <v>51073000000</v>
      </c>
      <c r="L263" s="38">
        <f>(19705+15015-1142+578+2637+2617)*1000000</f>
        <v>39410000000</v>
      </c>
      <c r="M263" s="38">
        <f>1235*1000000</f>
        <v>1235000000</v>
      </c>
      <c r="N263" s="38">
        <f>1115*1000000</f>
        <v>1115000000</v>
      </c>
      <c r="O263" s="39">
        <v>0.95</v>
      </c>
      <c r="P263" s="40" t="s">
        <v>333</v>
      </c>
      <c r="Q263" s="38">
        <v>2</v>
      </c>
      <c r="R263" s="38">
        <v>3</v>
      </c>
      <c r="S263" s="38">
        <v>3</v>
      </c>
      <c r="T263" s="38">
        <f t="shared" si="24"/>
        <v>6</v>
      </c>
      <c r="U263" s="42">
        <v>0</v>
      </c>
      <c r="V263" s="38">
        <f>3+(2*2)+3</f>
        <v>10</v>
      </c>
      <c r="W263" s="38">
        <f t="shared" si="25"/>
        <v>10</v>
      </c>
      <c r="X263" s="38">
        <f>3+2</f>
        <v>5</v>
      </c>
      <c r="Y263" s="37"/>
    </row>
    <row r="264" spans="1:25" s="31" customFormat="1" ht="15" customHeight="1" x14ac:dyDescent="0.3">
      <c r="A264" s="36"/>
      <c r="B264" s="37"/>
      <c r="C264" s="45"/>
      <c r="D264" s="37">
        <v>2023</v>
      </c>
      <c r="E264" s="38">
        <f>34219*1000000</f>
        <v>34219000000</v>
      </c>
      <c r="F264" s="38">
        <f>(34219+2423+8109+6813)*1000000</f>
        <v>51564000000</v>
      </c>
      <c r="G264" s="38">
        <f>151981*1000000</f>
        <v>151981000000</v>
      </c>
      <c r="H264" s="38">
        <f>(666+96+13165)*1000000</f>
        <v>13927000000</v>
      </c>
      <c r="I264" s="38">
        <f>(666+96+13165+11153+1697+2441+42835+1469)*1000000</f>
        <v>73522000000</v>
      </c>
      <c r="J264" s="38">
        <f>-21473*1000000</f>
        <v>-21473000000</v>
      </c>
      <c r="K264" s="38">
        <f>(90525+10000-17555-21473)*1000000</f>
        <v>61497000000</v>
      </c>
      <c r="L264" s="38">
        <f>(31169+28822-3999+64+3080+3203)*1000000</f>
        <v>62339000000</v>
      </c>
      <c r="M264" s="38">
        <f>2648*1000000</f>
        <v>2648000000</v>
      </c>
      <c r="N264" s="38">
        <f>2551*1000000</f>
        <v>2551000000</v>
      </c>
      <c r="O264" s="39">
        <v>0.95499999999999996</v>
      </c>
      <c r="P264" s="40" t="s">
        <v>333</v>
      </c>
      <c r="Q264" s="38">
        <v>2</v>
      </c>
      <c r="R264" s="38">
        <v>3</v>
      </c>
      <c r="S264" s="38">
        <v>2</v>
      </c>
      <c r="T264" s="38">
        <f t="shared" si="24"/>
        <v>5</v>
      </c>
      <c r="U264" s="42">
        <v>0</v>
      </c>
      <c r="V264" s="38">
        <f>3+4+3</f>
        <v>10</v>
      </c>
      <c r="W264" s="38">
        <f t="shared" si="25"/>
        <v>10</v>
      </c>
      <c r="X264" s="38">
        <f>2</f>
        <v>2</v>
      </c>
      <c r="Y264" s="37"/>
    </row>
    <row r="265" spans="1:25" s="31" customFormat="1" ht="15" customHeight="1" x14ac:dyDescent="0.3">
      <c r="A265" s="36"/>
      <c r="B265" s="37"/>
      <c r="C265" s="45"/>
      <c r="D265" s="37">
        <v>2024</v>
      </c>
      <c r="E265" s="38">
        <f>27855*1000000</f>
        <v>27855000000</v>
      </c>
      <c r="F265" s="38">
        <f>(27855+2930+410+7027)*1000000</f>
        <v>38222000000</v>
      </c>
      <c r="G265" s="38">
        <f>179851*1000000</f>
        <v>179851000000</v>
      </c>
      <c r="H265" s="38">
        <f>(3515+151+16934)*1000000</f>
        <v>20600000000</v>
      </c>
      <c r="I265" s="38">
        <f>(3515+151+16934+6683+5506+6989+54460)*1000000</f>
        <v>94238000000</v>
      </c>
      <c r="J265" s="38">
        <f>-18636*1000000</f>
        <v>-18636000000</v>
      </c>
      <c r="K265" s="38">
        <f>(100525+525-17643-18636)*1000000</f>
        <v>64771000000</v>
      </c>
      <c r="L265" s="38">
        <f>(36280+32124-4090+1902+2419+3925)*1000000</f>
        <v>72560000000</v>
      </c>
      <c r="M265" s="38">
        <f>3466*1000000</f>
        <v>3466000000</v>
      </c>
      <c r="N265" s="38">
        <f>2838*1000000</f>
        <v>2838000000</v>
      </c>
      <c r="O265" s="39">
        <v>0.95</v>
      </c>
      <c r="P265" s="40" t="s">
        <v>333</v>
      </c>
      <c r="Q265" s="38">
        <v>2</v>
      </c>
      <c r="R265" s="38">
        <v>3</v>
      </c>
      <c r="S265" s="38">
        <v>3</v>
      </c>
      <c r="T265" s="38">
        <f t="shared" si="24"/>
        <v>6</v>
      </c>
      <c r="U265" s="42">
        <v>0</v>
      </c>
      <c r="V265" s="38">
        <f>3+4+3</f>
        <v>10</v>
      </c>
      <c r="W265" s="38">
        <f t="shared" si="25"/>
        <v>10</v>
      </c>
      <c r="X265" s="38">
        <f>3</f>
        <v>3</v>
      </c>
      <c r="Y265" s="37"/>
    </row>
    <row r="266" spans="1:25" s="31" customFormat="1" ht="15" customHeight="1" x14ac:dyDescent="0.3">
      <c r="A266" s="36"/>
      <c r="B266" s="37">
        <v>25</v>
      </c>
      <c r="C266" s="29" t="s">
        <v>28</v>
      </c>
      <c r="D266" s="37">
        <v>2014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f>151219*1000000</f>
        <v>151219000000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41">
        <v>0</v>
      </c>
      <c r="V266" s="38">
        <v>0</v>
      </c>
      <c r="W266" s="30">
        <v>0</v>
      </c>
      <c r="X266" s="38">
        <v>0</v>
      </c>
      <c r="Y266" s="37"/>
    </row>
    <row r="267" spans="1:25" s="31" customFormat="1" ht="15" customHeight="1" x14ac:dyDescent="0.3">
      <c r="A267" s="36"/>
      <c r="B267" s="37"/>
      <c r="C267" s="29"/>
      <c r="D267" s="37">
        <v>2015</v>
      </c>
      <c r="E267" s="38">
        <f>365*1000000</f>
        <v>365000000</v>
      </c>
      <c r="F267" s="38">
        <f>(365+527+643+10502)*1000000</f>
        <v>12037000000</v>
      </c>
      <c r="G267" s="38">
        <f>2704180*1000000</f>
        <v>2704180000000</v>
      </c>
      <c r="H267" s="38">
        <f>11484*1000000</f>
        <v>11484000000</v>
      </c>
      <c r="I267" s="38">
        <f>2348962*1000000</f>
        <v>2348962000000</v>
      </c>
      <c r="J267" s="38">
        <f>55122*1000000</f>
        <v>55122000000</v>
      </c>
      <c r="K267" s="38">
        <f>355218*1000000</f>
        <v>355218000000</v>
      </c>
      <c r="L267" s="38">
        <f>290207*1000000</f>
        <v>290207000000</v>
      </c>
      <c r="M267" s="38">
        <f>45667*1000000</f>
        <v>45667000000</v>
      </c>
      <c r="N267" s="38">
        <f>42798*1000000</f>
        <v>42798000000</v>
      </c>
      <c r="O267" s="39">
        <v>0.99970000000000003</v>
      </c>
      <c r="P267" s="40" t="s">
        <v>213</v>
      </c>
      <c r="Q267" s="38">
        <v>2</v>
      </c>
      <c r="R267" s="38">
        <v>4</v>
      </c>
      <c r="S267" s="38">
        <v>3</v>
      </c>
      <c r="T267" s="38">
        <f t="shared" ref="T267:T274" si="26">SUM(R267:S267)</f>
        <v>7</v>
      </c>
      <c r="U267" s="42">
        <v>0</v>
      </c>
      <c r="V267" s="50">
        <f>4+(2*1)+(2*1)</f>
        <v>8</v>
      </c>
      <c r="W267" s="38">
        <f>V267</f>
        <v>8</v>
      </c>
      <c r="X267" s="38">
        <f>3+(2*1)+(2*1)</f>
        <v>7</v>
      </c>
      <c r="Y267" s="37"/>
    </row>
    <row r="268" spans="1:25" s="31" customFormat="1" ht="15" customHeight="1" x14ac:dyDescent="0.3">
      <c r="A268" s="36"/>
      <c r="B268" s="37"/>
      <c r="C268" s="29"/>
      <c r="D268" s="37">
        <v>2016</v>
      </c>
      <c r="E268" s="38">
        <f>744*1000000</f>
        <v>744000000</v>
      </c>
      <c r="F268" s="38">
        <f>(744+17493+2226+65785)*1000000</f>
        <v>86248000000</v>
      </c>
      <c r="G268" s="38">
        <f>2966353*1000000</f>
        <v>2966353000000</v>
      </c>
      <c r="H268" s="38">
        <f>22429*1000000</f>
        <v>22429000000</v>
      </c>
      <c r="I268" s="38">
        <f>2581487*1000000</f>
        <v>2581487000000</v>
      </c>
      <c r="J268" s="38">
        <f>110052*1000000</f>
        <v>110052000000</v>
      </c>
      <c r="K268" s="38">
        <f>384866*1000000</f>
        <v>384866000000</v>
      </c>
      <c r="L268" s="38">
        <f>571445*1000000</f>
        <v>571445000000</v>
      </c>
      <c r="M268" s="38">
        <f>56800*1000000</f>
        <v>56800000000</v>
      </c>
      <c r="N268" s="38">
        <f>29647*1000000</f>
        <v>29647000000</v>
      </c>
      <c r="O268" s="39">
        <v>0.99970000000000003</v>
      </c>
      <c r="P268" s="40" t="s">
        <v>213</v>
      </c>
      <c r="Q268" s="38">
        <v>2</v>
      </c>
      <c r="R268" s="38">
        <v>4</v>
      </c>
      <c r="S268" s="38">
        <v>3</v>
      </c>
      <c r="T268" s="38">
        <f t="shared" si="26"/>
        <v>7</v>
      </c>
      <c r="U268" s="42">
        <v>0</v>
      </c>
      <c r="V268" s="50">
        <f>4+(2*1)+(2*1)</f>
        <v>8</v>
      </c>
      <c r="W268" s="38">
        <f t="shared" si="25"/>
        <v>8</v>
      </c>
      <c r="X268" s="38">
        <f>3+(2*1)+(2*1)</f>
        <v>7</v>
      </c>
      <c r="Y268" s="37"/>
    </row>
    <row r="269" spans="1:25" s="31" customFormat="1" ht="15" customHeight="1" x14ac:dyDescent="0.3">
      <c r="A269" s="36"/>
      <c r="B269" s="37"/>
      <c r="C269" s="29"/>
      <c r="D269" s="37">
        <v>2017</v>
      </c>
      <c r="E269" s="38">
        <f>3059.24*1000000</f>
        <v>3059240000</v>
      </c>
      <c r="F269" s="38">
        <f>(3059.24+35658.14+76023.52+18750.3+26642.73)*1000000</f>
        <v>160133930000</v>
      </c>
      <c r="G269" s="38">
        <f>3416166.47*1000000</f>
        <v>3416166470000</v>
      </c>
      <c r="H269" s="38">
        <f>54178.82*1000000</f>
        <v>54178820000</v>
      </c>
      <c r="I269" s="38">
        <f>2928008.1*1000000</f>
        <v>2928008100000</v>
      </c>
      <c r="J269" s="38">
        <f>165581.26*1000000</f>
        <v>165581260000</v>
      </c>
      <c r="K269" s="38">
        <f>488158.37*1000000</f>
        <v>488158370000</v>
      </c>
      <c r="L269" s="38">
        <f>680032*1000000</f>
        <v>680032000000</v>
      </c>
      <c r="M269" s="38">
        <f>65571.57*1000000</f>
        <v>65571570000.000008</v>
      </c>
      <c r="N269" s="38">
        <f>111363.45*1000000</f>
        <v>111363450000</v>
      </c>
      <c r="O269" s="39">
        <v>0.99970000000000003</v>
      </c>
      <c r="P269" s="40" t="s">
        <v>213</v>
      </c>
      <c r="Q269" s="38">
        <v>2</v>
      </c>
      <c r="R269" s="38">
        <v>4</v>
      </c>
      <c r="S269" s="38">
        <v>4</v>
      </c>
      <c r="T269" s="38">
        <f t="shared" si="26"/>
        <v>8</v>
      </c>
      <c r="U269" s="42">
        <v>0</v>
      </c>
      <c r="V269" s="50">
        <f>4+(2*1)</f>
        <v>6</v>
      </c>
      <c r="W269" s="38">
        <f t="shared" si="25"/>
        <v>6</v>
      </c>
      <c r="X269" s="38">
        <f>4+(2*1)</f>
        <v>6</v>
      </c>
      <c r="Y269" s="37"/>
    </row>
    <row r="270" spans="1:25" s="31" customFormat="1" ht="15" customHeight="1" x14ac:dyDescent="0.3">
      <c r="A270" s="36"/>
      <c r="B270" s="37"/>
      <c r="C270" s="29"/>
      <c r="D270" s="37">
        <v>2018</v>
      </c>
      <c r="E270" s="38">
        <f>1017.51*1000000</f>
        <v>1017510000</v>
      </c>
      <c r="F270" s="38">
        <f>(1071.51+65252.56+110190.74+30901.74+30901.21+52564.36+32279.88)*1000000</f>
        <v>323162000000</v>
      </c>
      <c r="G270" s="38">
        <f>3459841.5*1000000</f>
        <v>3459841500000</v>
      </c>
      <c r="H270" s="38">
        <f>46513.72*1000000</f>
        <v>46513720000</v>
      </c>
      <c r="I270" s="38">
        <f>3054048.04*1000000</f>
        <v>3054048040000</v>
      </c>
      <c r="J270" s="38">
        <f>228744.31*1000000</f>
        <v>228744310000</v>
      </c>
      <c r="K270" s="38">
        <f>405793.46*1000000</f>
        <v>405793460000</v>
      </c>
      <c r="L270" s="38">
        <f>738454.49*1000000</f>
        <v>738454490000</v>
      </c>
      <c r="M270" s="38">
        <f>75610.48*1000000</f>
        <v>75610480000</v>
      </c>
      <c r="N270" s="38">
        <f>-67586.24*1000000</f>
        <v>-67586240000.000008</v>
      </c>
      <c r="O270" s="39">
        <v>0.99970000000000003</v>
      </c>
      <c r="P270" s="40" t="s">
        <v>213</v>
      </c>
      <c r="Q270" s="38">
        <v>1</v>
      </c>
      <c r="R270" s="38">
        <v>4</v>
      </c>
      <c r="S270" s="38">
        <v>4</v>
      </c>
      <c r="T270" s="38">
        <f t="shared" si="26"/>
        <v>8</v>
      </c>
      <c r="U270" s="42">
        <v>0</v>
      </c>
      <c r="V270" s="50">
        <f>4+(2*1)+(3*1)</f>
        <v>9</v>
      </c>
      <c r="W270" s="38">
        <f t="shared" si="25"/>
        <v>9</v>
      </c>
      <c r="X270" s="38">
        <f>4+(2*1)</f>
        <v>6</v>
      </c>
      <c r="Y270" s="37"/>
    </row>
    <row r="271" spans="1:25" s="31" customFormat="1" ht="15" customHeight="1" x14ac:dyDescent="0.3">
      <c r="A271" s="36"/>
      <c r="B271" s="37"/>
      <c r="C271" s="29"/>
      <c r="D271" s="37">
        <v>2019</v>
      </c>
      <c r="E271" s="38">
        <f>979.04*1000000</f>
        <v>979040000</v>
      </c>
      <c r="F271" s="38">
        <f>(979.04+93220.12+33864.5+12695.16+41617.25)*1000000</f>
        <v>182376069999.99997</v>
      </c>
      <c r="G271" s="38">
        <f>4490719.46*1000000</f>
        <v>4490719460000</v>
      </c>
      <c r="H271" s="38">
        <f>42961.4*1000000</f>
        <v>42961400000</v>
      </c>
      <c r="I271" s="38">
        <f>4008880.41*1000000</f>
        <v>4008880410000</v>
      </c>
      <c r="J271" s="38">
        <f>274472.82*1000000</f>
        <v>274472820000</v>
      </c>
      <c r="K271" s="38">
        <f>481839.05*1000000</f>
        <v>481839050000</v>
      </c>
      <c r="L271" s="38">
        <f>1727762.64*1000000</f>
        <v>1727762640000</v>
      </c>
      <c r="M271" s="38">
        <f>61139.94*1000000</f>
        <v>61139940000</v>
      </c>
      <c r="N271" s="38">
        <f>91037.44*1000000</f>
        <v>91037440000</v>
      </c>
      <c r="O271" s="39">
        <v>0.99970000000000003</v>
      </c>
      <c r="P271" s="40" t="s">
        <v>213</v>
      </c>
      <c r="Q271" s="38">
        <v>2</v>
      </c>
      <c r="R271" s="38">
        <v>6</v>
      </c>
      <c r="S271" s="38">
        <v>5</v>
      </c>
      <c r="T271" s="38">
        <f t="shared" si="26"/>
        <v>11</v>
      </c>
      <c r="U271" s="42">
        <v>0</v>
      </c>
      <c r="V271" s="50">
        <f>6+(2*2)+(3*1)</f>
        <v>13</v>
      </c>
      <c r="W271" s="38">
        <f t="shared" si="25"/>
        <v>13</v>
      </c>
      <c r="X271" s="38">
        <f>5+(2*2)</f>
        <v>9</v>
      </c>
      <c r="Y271" s="37"/>
    </row>
    <row r="272" spans="1:25" s="31" customFormat="1" ht="15" customHeight="1" x14ac:dyDescent="0.3">
      <c r="A272" s="36"/>
      <c r="B272" s="37"/>
      <c r="C272" s="29"/>
      <c r="D272" s="37">
        <v>2020</v>
      </c>
      <c r="E272" s="38">
        <f>2422.38*1000000</f>
        <v>2422380000</v>
      </c>
      <c r="F272" s="38">
        <f>(2422.38+106840.84+36667.29+23651.99+46945.4)*1000000</f>
        <v>216527900000</v>
      </c>
      <c r="G272" s="38">
        <f>5264244.54*1000000</f>
        <v>5264244540000</v>
      </c>
      <c r="H272" s="38">
        <f>66000.13*1000000</f>
        <v>66000130000.000008</v>
      </c>
      <c r="I272" s="38">
        <f>4747966.03*1000000</f>
        <v>4747966030000</v>
      </c>
      <c r="J272" s="38">
        <f>284665.94*1000000</f>
        <v>284665940000</v>
      </c>
      <c r="K272" s="38">
        <f>516278.51*1000000</f>
        <v>516278510000</v>
      </c>
      <c r="L272" s="38">
        <f>1414536.37*1000000</f>
        <v>1414536370000</v>
      </c>
      <c r="M272" s="38">
        <f>10356.42*1000000</f>
        <v>10356420000</v>
      </c>
      <c r="N272" s="38">
        <f>34412.16*1000000</f>
        <v>34412160000</v>
      </c>
      <c r="O272" s="39">
        <v>0.99970000000000003</v>
      </c>
      <c r="P272" s="40" t="s">
        <v>213</v>
      </c>
      <c r="Q272" s="38">
        <v>2</v>
      </c>
      <c r="R272" s="38">
        <v>4</v>
      </c>
      <c r="S272" s="38">
        <v>4</v>
      </c>
      <c r="T272" s="38">
        <f t="shared" si="26"/>
        <v>8</v>
      </c>
      <c r="U272" s="42">
        <v>0</v>
      </c>
      <c r="V272" s="50">
        <f>4+(2*2)+(3*1)</f>
        <v>11</v>
      </c>
      <c r="W272" s="38">
        <f t="shared" si="25"/>
        <v>11</v>
      </c>
      <c r="X272" s="38">
        <f>4</f>
        <v>4</v>
      </c>
      <c r="Y272" s="37"/>
    </row>
    <row r="273" spans="1:25" s="31" customFormat="1" ht="15" customHeight="1" x14ac:dyDescent="0.3">
      <c r="A273" s="36"/>
      <c r="B273" s="37"/>
      <c r="C273" s="29"/>
      <c r="D273" s="37">
        <v>2021</v>
      </c>
      <c r="E273" s="38">
        <f>3033.89*1000000</f>
        <v>3033890000</v>
      </c>
      <c r="F273" s="38">
        <f>(3033.89+137390.05+40085.89+24593.38+65405.19)*1000000</f>
        <v>270508400000.00003</v>
      </c>
      <c r="G273" s="38">
        <f>6020512.33*1000000</f>
        <v>6020512330000</v>
      </c>
      <c r="H273" s="38">
        <f>87872.78*1000000</f>
        <v>87872780000</v>
      </c>
      <c r="I273" s="38">
        <f>5441023.44*1000000</f>
        <v>5441023440000</v>
      </c>
      <c r="J273" s="38">
        <f>347722.01*1000000</f>
        <v>347722010000</v>
      </c>
      <c r="K273" s="38">
        <f>579489.11*1000000</f>
        <v>579489110000</v>
      </c>
      <c r="L273" s="38">
        <f>1673072.53*1000000</f>
        <v>1673072530000</v>
      </c>
      <c r="M273" s="38">
        <f>64107.85*1000000</f>
        <v>64107850000</v>
      </c>
      <c r="N273" s="38">
        <f>63141.11*1000000</f>
        <v>63141110000</v>
      </c>
      <c r="O273" s="39">
        <v>0.99970000000000003</v>
      </c>
      <c r="P273" s="40" t="s">
        <v>213</v>
      </c>
      <c r="Q273" s="38">
        <v>2</v>
      </c>
      <c r="R273" s="38">
        <v>4</v>
      </c>
      <c r="S273" s="38">
        <v>3</v>
      </c>
      <c r="T273" s="38">
        <f t="shared" si="26"/>
        <v>7</v>
      </c>
      <c r="U273" s="42">
        <v>0</v>
      </c>
      <c r="V273" s="50">
        <f>4+(2*3)+(3*1)</f>
        <v>13</v>
      </c>
      <c r="W273" s="38">
        <f t="shared" si="25"/>
        <v>13</v>
      </c>
      <c r="X273" s="38">
        <f>3</f>
        <v>3</v>
      </c>
      <c r="Y273" s="37"/>
    </row>
    <row r="274" spans="1:25" s="31" customFormat="1" ht="15" customHeight="1" x14ac:dyDescent="0.3">
      <c r="A274" s="36"/>
      <c r="B274" s="37"/>
      <c r="C274" s="29"/>
      <c r="D274" s="37">
        <v>2022</v>
      </c>
      <c r="E274" s="38">
        <f>7065.66*1000000</f>
        <v>7065660000</v>
      </c>
      <c r="F274" s="38">
        <f>(7065.66+82941.06+43769.73+26148.67+56598.2)*1000000</f>
        <v>216523320000</v>
      </c>
      <c r="G274" s="38">
        <f>6600387.15*1000000</f>
        <v>6600387150000</v>
      </c>
      <c r="H274" s="38">
        <f>93847.56*1000000</f>
        <v>93847560000</v>
      </c>
      <c r="I274" s="38">
        <f>5983958.26*1000000</f>
        <v>5983958260000</v>
      </c>
      <c r="J274" s="38">
        <f>434109.49*1000000</f>
        <v>434109490000</v>
      </c>
      <c r="K274" s="38">
        <f>616428.88*1000000</f>
        <v>616428880000</v>
      </c>
      <c r="L274" s="38">
        <f>1810753.66*1000000</f>
        <v>1810753660000</v>
      </c>
      <c r="M274" s="38">
        <f>85869.82*1000000</f>
        <v>85869820000</v>
      </c>
      <c r="N274" s="38">
        <f>36714.92*1000000</f>
        <v>36714920000</v>
      </c>
      <c r="O274" s="39">
        <v>0.99970000000000003</v>
      </c>
      <c r="P274" s="40" t="s">
        <v>213</v>
      </c>
      <c r="Q274" s="38">
        <v>2</v>
      </c>
      <c r="R274" s="38">
        <v>4</v>
      </c>
      <c r="S274" s="38">
        <v>4</v>
      </c>
      <c r="T274" s="38">
        <f t="shared" si="26"/>
        <v>8</v>
      </c>
      <c r="U274" s="42">
        <v>0</v>
      </c>
      <c r="V274" s="50">
        <f>4+(2*3)</f>
        <v>10</v>
      </c>
      <c r="W274" s="38">
        <f t="shared" si="25"/>
        <v>10</v>
      </c>
      <c r="X274" s="38">
        <f>4</f>
        <v>4</v>
      </c>
      <c r="Y274" s="37"/>
    </row>
    <row r="275" spans="1:25" s="31" customFormat="1" ht="15" customHeight="1" x14ac:dyDescent="0.3">
      <c r="A275" s="36"/>
      <c r="B275" s="37"/>
      <c r="C275" s="29"/>
      <c r="D275" s="37">
        <v>2023</v>
      </c>
      <c r="E275" s="38">
        <f>7546.46*1000000</f>
        <v>7546460000</v>
      </c>
      <c r="F275" s="38">
        <f>(7546.46+72203.21+31445.85+21451.16+81215.36)*1000000</f>
        <v>213862040000.00003</v>
      </c>
      <c r="G275" s="38">
        <f>7499012.82*1000000</f>
        <v>7499012820000</v>
      </c>
      <c r="H275" s="38">
        <f>118797.23*1000000</f>
        <v>118797230000</v>
      </c>
      <c r="I275" s="38">
        <f>6786718.56*1000000</f>
        <v>6786718560000</v>
      </c>
      <c r="J275" s="38">
        <f>525004.6*1000000</f>
        <v>525004600000</v>
      </c>
      <c r="K275" s="38">
        <f>712294.26*1000000</f>
        <v>712294260000</v>
      </c>
      <c r="L275" s="38">
        <f>1762308.8*1000000</f>
        <v>1762308800000</v>
      </c>
      <c r="M275" s="38">
        <f>90786.24*1000000</f>
        <v>90786240000</v>
      </c>
      <c r="N275" s="38">
        <f>96333.63*1000000</f>
        <v>96333630000</v>
      </c>
      <c r="O275" s="39">
        <v>0.99970000000000003</v>
      </c>
      <c r="P275" s="40" t="s">
        <v>213</v>
      </c>
      <c r="Q275" s="38">
        <v>2</v>
      </c>
      <c r="R275" s="38">
        <v>3</v>
      </c>
      <c r="S275" s="38">
        <v>4</v>
      </c>
      <c r="T275" s="38">
        <f>SUM(R275:S275)</f>
        <v>7</v>
      </c>
      <c r="U275" s="42">
        <v>0</v>
      </c>
      <c r="V275" s="50">
        <f>3+(2*3)</f>
        <v>9</v>
      </c>
      <c r="W275" s="38">
        <f t="shared" si="25"/>
        <v>9</v>
      </c>
      <c r="X275" s="38">
        <f>1+1+1+1</f>
        <v>4</v>
      </c>
      <c r="Y275" s="37"/>
    </row>
    <row r="276" spans="1:25" s="31" customFormat="1" ht="15" customHeight="1" x14ac:dyDescent="0.3">
      <c r="A276" s="36"/>
      <c r="B276" s="37"/>
      <c r="C276" s="29"/>
      <c r="D276" s="37">
        <v>2024</v>
      </c>
      <c r="E276" s="38">
        <f>13037.53*1000000</f>
        <v>13037530000</v>
      </c>
      <c r="F276" s="38">
        <f>(13037.53+55335.14+30294.5+20316.02+103486.12)*1000000</f>
        <v>222469310000</v>
      </c>
      <c r="G276" s="38">
        <f>8435110.86*1000000</f>
        <v>8435110859999.999</v>
      </c>
      <c r="H276" s="38">
        <f>141824.74*1000000</f>
        <v>141824740000</v>
      </c>
      <c r="I276" s="38">
        <f>7746022.14*1000000</f>
        <v>7746022140000</v>
      </c>
      <c r="J276" s="38">
        <f>654507.65*1000000</f>
        <v>654507650000</v>
      </c>
      <c r="K276" s="38">
        <f>689088.72*1000000</f>
        <v>689088720000</v>
      </c>
      <c r="L276" s="38">
        <f>2095187.57*1000000</f>
        <v>2095187570000</v>
      </c>
      <c r="M276" s="38">
        <f>130017.27*1000000</f>
        <v>130017270000</v>
      </c>
      <c r="N276" s="38">
        <f>-23206.2*1000000</f>
        <v>-23206200000</v>
      </c>
      <c r="O276" s="39">
        <v>0.99970000000000003</v>
      </c>
      <c r="P276" s="40" t="s">
        <v>213</v>
      </c>
      <c r="Q276" s="38">
        <v>2</v>
      </c>
      <c r="R276" s="38">
        <v>3</v>
      </c>
      <c r="S276" s="38">
        <v>4</v>
      </c>
      <c r="T276" s="38">
        <f>SUM(R276:S276)</f>
        <v>7</v>
      </c>
      <c r="U276" s="42">
        <v>0</v>
      </c>
      <c r="V276" s="50">
        <f>3+(2*3)+(3*1)</f>
        <v>12</v>
      </c>
      <c r="W276" s="38">
        <f t="shared" si="25"/>
        <v>12</v>
      </c>
      <c r="X276" s="38">
        <f>4+(2*1)</f>
        <v>6</v>
      </c>
      <c r="Y276" s="37"/>
    </row>
    <row r="277" spans="1:25" s="31" customFormat="1" ht="15" customHeight="1" x14ac:dyDescent="0.3">
      <c r="A277" s="36"/>
      <c r="B277" s="37">
        <v>26</v>
      </c>
      <c r="C277" s="29" t="s">
        <v>42</v>
      </c>
      <c r="D277" s="37">
        <v>2014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41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7"/>
    </row>
    <row r="278" spans="1:25" s="31" customFormat="1" ht="15" customHeight="1" x14ac:dyDescent="0.3">
      <c r="A278" s="36"/>
      <c r="B278" s="37"/>
      <c r="C278" s="29"/>
      <c r="D278" s="37">
        <v>2015</v>
      </c>
      <c r="E278" s="38">
        <v>0</v>
      </c>
      <c r="F278" s="38">
        <v>0</v>
      </c>
      <c r="G278" s="38">
        <v>0</v>
      </c>
      <c r="H278" s="38">
        <v>0</v>
      </c>
      <c r="I278" s="38">
        <v>0</v>
      </c>
      <c r="J278" s="38">
        <v>0</v>
      </c>
      <c r="K278" s="38">
        <v>0</v>
      </c>
      <c r="L278" s="38">
        <v>0</v>
      </c>
      <c r="M278" s="38">
        <v>0</v>
      </c>
      <c r="N278" s="38">
        <v>0</v>
      </c>
      <c r="O278" s="41">
        <v>0</v>
      </c>
      <c r="P278" s="38">
        <v>0</v>
      </c>
      <c r="Q278" s="38">
        <v>0</v>
      </c>
      <c r="R278" s="38">
        <v>0</v>
      </c>
      <c r="S278" s="38">
        <v>0</v>
      </c>
      <c r="T278" s="38">
        <v>0</v>
      </c>
      <c r="U278" s="38">
        <v>0</v>
      </c>
      <c r="V278" s="38">
        <v>0</v>
      </c>
      <c r="W278" s="38">
        <v>0</v>
      </c>
      <c r="X278" s="38">
        <v>0</v>
      </c>
      <c r="Y278" s="37"/>
    </row>
    <row r="279" spans="1:25" s="31" customFormat="1" ht="15" customHeight="1" x14ac:dyDescent="0.3">
      <c r="A279" s="36"/>
      <c r="B279" s="37"/>
      <c r="C279" s="29"/>
      <c r="D279" s="37">
        <v>2016</v>
      </c>
      <c r="E279" s="38">
        <v>0</v>
      </c>
      <c r="F279" s="38">
        <v>0</v>
      </c>
      <c r="G279" s="38">
        <v>0</v>
      </c>
      <c r="H279" s="38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0</v>
      </c>
      <c r="N279" s="38">
        <v>0</v>
      </c>
      <c r="O279" s="41">
        <v>0</v>
      </c>
      <c r="P279" s="38">
        <v>0</v>
      </c>
      <c r="Q279" s="38">
        <v>0</v>
      </c>
      <c r="R279" s="38">
        <v>0</v>
      </c>
      <c r="S279" s="38">
        <v>0</v>
      </c>
      <c r="T279" s="38">
        <v>0</v>
      </c>
      <c r="U279" s="38">
        <v>0</v>
      </c>
      <c r="V279" s="38">
        <v>0</v>
      </c>
      <c r="W279" s="38">
        <v>0</v>
      </c>
      <c r="X279" s="38">
        <v>0</v>
      </c>
      <c r="Y279" s="37"/>
    </row>
    <row r="280" spans="1:25" s="31" customFormat="1" ht="15" customHeight="1" x14ac:dyDescent="0.3">
      <c r="A280" s="36"/>
      <c r="B280" s="37"/>
      <c r="C280" s="29"/>
      <c r="D280" s="37">
        <v>2017</v>
      </c>
      <c r="E280" s="38">
        <v>0</v>
      </c>
      <c r="F280" s="38">
        <v>0</v>
      </c>
      <c r="G280" s="38">
        <v>0</v>
      </c>
      <c r="H280" s="38">
        <v>0</v>
      </c>
      <c r="I280" s="38">
        <v>0</v>
      </c>
      <c r="J280" s="38">
        <v>0</v>
      </c>
      <c r="K280" s="38">
        <v>0</v>
      </c>
      <c r="L280" s="38">
        <v>0</v>
      </c>
      <c r="M280" s="38">
        <v>0</v>
      </c>
      <c r="N280" s="38">
        <v>0</v>
      </c>
      <c r="O280" s="41">
        <v>0</v>
      </c>
      <c r="P280" s="38">
        <v>0</v>
      </c>
      <c r="Q280" s="38">
        <v>0</v>
      </c>
      <c r="R280" s="38">
        <v>0</v>
      </c>
      <c r="S280" s="38">
        <v>0</v>
      </c>
      <c r="T280" s="38">
        <v>0</v>
      </c>
      <c r="U280" s="38">
        <v>0</v>
      </c>
      <c r="V280" s="38">
        <v>0</v>
      </c>
      <c r="W280" s="38">
        <v>0</v>
      </c>
      <c r="X280" s="38">
        <v>0</v>
      </c>
      <c r="Y280" s="37"/>
    </row>
    <row r="281" spans="1:25" s="31" customFormat="1" ht="15" customHeight="1" x14ac:dyDescent="0.3">
      <c r="A281" s="36"/>
      <c r="B281" s="37"/>
      <c r="C281" s="29"/>
      <c r="D281" s="37">
        <v>2018</v>
      </c>
      <c r="E281" s="38">
        <v>0</v>
      </c>
      <c r="F281" s="38">
        <v>0</v>
      </c>
      <c r="G281" s="38">
        <v>0</v>
      </c>
      <c r="H281" s="38">
        <v>0</v>
      </c>
      <c r="I281" s="38">
        <v>0</v>
      </c>
      <c r="J281" s="38">
        <v>0</v>
      </c>
      <c r="K281" s="38">
        <v>0</v>
      </c>
      <c r="L281" s="38">
        <v>0</v>
      </c>
      <c r="M281" s="38">
        <v>0</v>
      </c>
      <c r="N281" s="38">
        <v>0</v>
      </c>
      <c r="O281" s="41">
        <v>0</v>
      </c>
      <c r="P281" s="38">
        <v>0</v>
      </c>
      <c r="Q281" s="38">
        <v>0</v>
      </c>
      <c r="R281" s="38">
        <v>0</v>
      </c>
      <c r="S281" s="38">
        <v>0</v>
      </c>
      <c r="T281" s="38">
        <v>0</v>
      </c>
      <c r="U281" s="38">
        <v>0</v>
      </c>
      <c r="V281" s="38">
        <v>0</v>
      </c>
      <c r="W281" s="38">
        <v>0</v>
      </c>
      <c r="X281" s="38">
        <v>0</v>
      </c>
      <c r="Y281" s="37"/>
    </row>
    <row r="282" spans="1:25" s="31" customFormat="1" ht="15" customHeight="1" x14ac:dyDescent="0.3">
      <c r="A282" s="36"/>
      <c r="B282" s="37"/>
      <c r="C282" s="29"/>
      <c r="D282" s="37">
        <v>2019</v>
      </c>
      <c r="E282" s="38">
        <v>0</v>
      </c>
      <c r="F282" s="38">
        <v>0</v>
      </c>
      <c r="G282" s="38">
        <v>0</v>
      </c>
      <c r="H282" s="38">
        <v>0</v>
      </c>
      <c r="I282" s="38">
        <v>0</v>
      </c>
      <c r="J282" s="38">
        <v>0</v>
      </c>
      <c r="K282" s="38">
        <v>0</v>
      </c>
      <c r="L282" s="38">
        <v>0</v>
      </c>
      <c r="M282" s="38">
        <v>0</v>
      </c>
      <c r="N282" s="38">
        <v>0</v>
      </c>
      <c r="O282" s="41">
        <v>0</v>
      </c>
      <c r="P282" s="38">
        <v>0</v>
      </c>
      <c r="Q282" s="38">
        <v>0</v>
      </c>
      <c r="R282" s="38">
        <v>0</v>
      </c>
      <c r="S282" s="38">
        <v>0</v>
      </c>
      <c r="T282" s="38">
        <v>0</v>
      </c>
      <c r="U282" s="38">
        <v>0</v>
      </c>
      <c r="V282" s="38">
        <v>0</v>
      </c>
      <c r="W282" s="38">
        <v>0</v>
      </c>
      <c r="X282" s="38">
        <v>0</v>
      </c>
      <c r="Y282" s="37"/>
    </row>
    <row r="283" spans="1:25" s="31" customFormat="1" ht="15" customHeight="1" x14ac:dyDescent="0.3">
      <c r="A283" s="36"/>
      <c r="B283" s="37"/>
      <c r="C283" s="29"/>
      <c r="D283" s="37">
        <v>2020</v>
      </c>
      <c r="E283" s="38">
        <v>0</v>
      </c>
      <c r="F283" s="38">
        <v>0</v>
      </c>
      <c r="G283" s="38">
        <v>0</v>
      </c>
      <c r="H283" s="38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0</v>
      </c>
      <c r="N283" s="38">
        <v>0</v>
      </c>
      <c r="O283" s="41">
        <v>0</v>
      </c>
      <c r="P283" s="38">
        <v>0</v>
      </c>
      <c r="Q283" s="38">
        <v>0</v>
      </c>
      <c r="R283" s="38">
        <v>0</v>
      </c>
      <c r="S283" s="38">
        <v>0</v>
      </c>
      <c r="T283" s="38">
        <v>0</v>
      </c>
      <c r="U283" s="38">
        <v>0</v>
      </c>
      <c r="V283" s="38">
        <v>0</v>
      </c>
      <c r="W283" s="38">
        <v>0</v>
      </c>
      <c r="X283" s="38">
        <v>0</v>
      </c>
      <c r="Y283" s="37"/>
    </row>
    <row r="284" spans="1:25" s="31" customFormat="1" ht="15" customHeight="1" x14ac:dyDescent="0.3">
      <c r="A284" s="36"/>
      <c r="B284" s="37"/>
      <c r="C284" s="29"/>
      <c r="D284" s="37">
        <v>2021</v>
      </c>
      <c r="E284" s="38">
        <v>0</v>
      </c>
      <c r="F284" s="38">
        <v>0</v>
      </c>
      <c r="G284" s="38">
        <v>0</v>
      </c>
      <c r="H284" s="38">
        <v>0</v>
      </c>
      <c r="I284" s="38">
        <v>0</v>
      </c>
      <c r="J284" s="38">
        <v>0</v>
      </c>
      <c r="K284" s="38">
        <v>0</v>
      </c>
      <c r="L284" s="38">
        <v>0</v>
      </c>
      <c r="M284" s="38">
        <v>0</v>
      </c>
      <c r="N284" s="38">
        <v>0</v>
      </c>
      <c r="O284" s="41">
        <v>0</v>
      </c>
      <c r="P284" s="38">
        <v>0</v>
      </c>
      <c r="Q284" s="38">
        <v>0</v>
      </c>
      <c r="R284" s="38">
        <v>0</v>
      </c>
      <c r="S284" s="38">
        <v>0</v>
      </c>
      <c r="T284" s="38">
        <v>0</v>
      </c>
      <c r="U284" s="38">
        <v>0</v>
      </c>
      <c r="V284" s="38">
        <v>0</v>
      </c>
      <c r="W284" s="38">
        <v>0</v>
      </c>
      <c r="X284" s="38">
        <v>0</v>
      </c>
      <c r="Y284" s="37"/>
    </row>
    <row r="285" spans="1:25" s="31" customFormat="1" ht="15" customHeight="1" x14ac:dyDescent="0.3">
      <c r="A285" s="36"/>
      <c r="B285" s="37"/>
      <c r="C285" s="29"/>
      <c r="D285" s="37">
        <v>2022</v>
      </c>
      <c r="E285" s="38">
        <f>84.79*1000000</f>
        <v>84790000</v>
      </c>
      <c r="F285" s="38">
        <f>(84.79+235.93+789.91)*1000000</f>
        <v>1110630000</v>
      </c>
      <c r="G285" s="38">
        <f>132949.17*1000000</f>
        <v>132949170000.00002</v>
      </c>
      <c r="H285" s="38">
        <f>3936.98*1000000</f>
        <v>3936980000</v>
      </c>
      <c r="I285" s="38">
        <f>4616.56*1000000</f>
        <v>4616560000</v>
      </c>
      <c r="J285" s="38">
        <f>-6502.47*1000000</f>
        <v>-6502470000</v>
      </c>
      <c r="K285" s="38">
        <f>128332.61*1000000</f>
        <v>128332610000</v>
      </c>
      <c r="L285" s="38">
        <f>1705.66*1000000</f>
        <v>1705660000</v>
      </c>
      <c r="M285" s="38">
        <f>-3077.66*1000000</f>
        <v>-3077660000</v>
      </c>
      <c r="N285" s="38">
        <f>-3077.66*1000000</f>
        <v>-3077660000</v>
      </c>
      <c r="O285" s="48">
        <v>0</v>
      </c>
      <c r="P285" s="40">
        <v>0</v>
      </c>
      <c r="Q285" s="38">
        <v>0</v>
      </c>
      <c r="R285" s="38">
        <v>0</v>
      </c>
      <c r="S285" s="38">
        <v>0</v>
      </c>
      <c r="T285" s="38">
        <v>0</v>
      </c>
      <c r="U285" s="38">
        <v>0</v>
      </c>
      <c r="V285" s="38">
        <v>0</v>
      </c>
      <c r="W285" s="38">
        <v>0</v>
      </c>
      <c r="X285" s="38">
        <v>0</v>
      </c>
      <c r="Y285" s="37"/>
    </row>
    <row r="286" spans="1:25" s="31" customFormat="1" ht="15" customHeight="1" x14ac:dyDescent="0.3">
      <c r="A286" s="36"/>
      <c r="B286" s="37"/>
      <c r="C286" s="29"/>
      <c r="D286" s="37">
        <v>2023</v>
      </c>
      <c r="E286" s="38">
        <f>16.73*1000000</f>
        <v>16730000</v>
      </c>
      <c r="F286" s="38">
        <f>(16.73+419.79+248.13)*1000000</f>
        <v>684650000.00000012</v>
      </c>
      <c r="G286" s="38">
        <f>132473.38*1000000</f>
        <v>132473380000</v>
      </c>
      <c r="H286" s="38">
        <f>3639.59*1000000</f>
        <v>3639590000</v>
      </c>
      <c r="I286" s="38">
        <f>4060.88*1000000</f>
        <v>4060880000</v>
      </c>
      <c r="J286" s="38">
        <f>-7777.49*1000000</f>
        <v>-7777490000</v>
      </c>
      <c r="K286" s="38">
        <f>128412.5*1000000</f>
        <v>128412500000</v>
      </c>
      <c r="L286" s="38">
        <f>2207.06*1000000</f>
        <v>2207060000</v>
      </c>
      <c r="M286" s="38">
        <f>-1169.3*1000000</f>
        <v>-1169300000</v>
      </c>
      <c r="N286" s="38">
        <f>-1169.2*1000000</f>
        <v>-1169200000</v>
      </c>
      <c r="O286" s="39">
        <v>0.98</v>
      </c>
      <c r="P286" s="40" t="s">
        <v>214</v>
      </c>
      <c r="Q286" s="38">
        <v>2</v>
      </c>
      <c r="R286" s="38">
        <v>4</v>
      </c>
      <c r="S286" s="38">
        <v>3</v>
      </c>
      <c r="T286" s="38">
        <f>SUM(R286:S286)</f>
        <v>7</v>
      </c>
      <c r="U286" s="42">
        <v>0</v>
      </c>
      <c r="V286" s="38">
        <v>0</v>
      </c>
      <c r="W286" s="38">
        <v>0</v>
      </c>
      <c r="X286" s="38">
        <v>0</v>
      </c>
      <c r="Y286" s="37"/>
    </row>
    <row r="287" spans="1:25" s="31" customFormat="1" ht="15" customHeight="1" x14ac:dyDescent="0.3">
      <c r="A287" s="36"/>
      <c r="B287" s="37"/>
      <c r="C287" s="29"/>
      <c r="D287" s="37">
        <v>2024</v>
      </c>
      <c r="E287" s="38">
        <f>129309.4*1000000</f>
        <v>129309400000</v>
      </c>
      <c r="F287" s="38">
        <f>(129309.4+248.28+419.83)*1000000</f>
        <v>129977510000</v>
      </c>
      <c r="G287" s="38">
        <f>159746.69*1000000</f>
        <v>159746690000</v>
      </c>
      <c r="H287" s="38">
        <f>1176.75*1000000</f>
        <v>1176750000</v>
      </c>
      <c r="I287" s="38">
        <f>1557.73*1000000</f>
        <v>1557730000</v>
      </c>
      <c r="J287" s="38">
        <f>-1170.29*1000000</f>
        <v>-1170290000</v>
      </c>
      <c r="K287" s="38">
        <f>158188.95*1000000</f>
        <v>158188950000</v>
      </c>
      <c r="L287" s="38">
        <f>12873.32*1000000</f>
        <v>12873320000</v>
      </c>
      <c r="M287" s="38">
        <f>6607.2*1000000</f>
        <v>6607200000</v>
      </c>
      <c r="N287" s="38">
        <f>6571.4*1000000</f>
        <v>6571400000</v>
      </c>
      <c r="O287" s="39">
        <v>0.98</v>
      </c>
      <c r="P287" s="40" t="s">
        <v>214</v>
      </c>
      <c r="Q287" s="38">
        <v>2</v>
      </c>
      <c r="R287" s="38">
        <v>3</v>
      </c>
      <c r="S287" s="38">
        <v>3</v>
      </c>
      <c r="T287" s="38">
        <f>SUM(R287:S287)</f>
        <v>6</v>
      </c>
      <c r="U287" s="42">
        <v>0</v>
      </c>
      <c r="V287" s="38">
        <v>0</v>
      </c>
      <c r="W287" s="38">
        <v>0</v>
      </c>
      <c r="X287" s="38">
        <v>0</v>
      </c>
      <c r="Y287" s="37"/>
    </row>
    <row r="288" spans="1:25" s="31" customFormat="1" ht="15" customHeight="1" x14ac:dyDescent="0.3">
      <c r="A288" s="36"/>
      <c r="B288" s="37">
        <v>27</v>
      </c>
      <c r="C288" s="29" t="s">
        <v>29</v>
      </c>
      <c r="D288" s="37">
        <v>2014</v>
      </c>
      <c r="E288" s="38">
        <v>0</v>
      </c>
      <c r="F288" s="38">
        <v>0</v>
      </c>
      <c r="G288" s="38">
        <v>0</v>
      </c>
      <c r="H288" s="38">
        <v>0</v>
      </c>
      <c r="I288" s="38">
        <v>0</v>
      </c>
      <c r="J288" s="38">
        <v>0</v>
      </c>
      <c r="K288" s="38">
        <v>0</v>
      </c>
      <c r="L288" s="38">
        <f>1157923*1000000</f>
        <v>1157923000000</v>
      </c>
      <c r="M288" s="38">
        <v>0</v>
      </c>
      <c r="N288" s="38">
        <v>0</v>
      </c>
      <c r="O288" s="41">
        <v>0</v>
      </c>
      <c r="P288" s="38">
        <v>0</v>
      </c>
      <c r="Q288" s="38">
        <v>0</v>
      </c>
      <c r="R288" s="38">
        <v>0</v>
      </c>
      <c r="S288" s="38"/>
      <c r="T288" s="38">
        <v>0</v>
      </c>
      <c r="U288" s="42"/>
      <c r="V288" s="38"/>
      <c r="W288" s="38">
        <f t="shared" si="25"/>
        <v>0</v>
      </c>
      <c r="X288" s="38"/>
      <c r="Y288" s="37"/>
    </row>
    <row r="289" spans="1:25" s="31" customFormat="1" ht="15" customHeight="1" x14ac:dyDescent="0.3">
      <c r="A289" s="36"/>
      <c r="B289" s="37"/>
      <c r="C289" s="29"/>
      <c r="D289" s="37">
        <v>2015</v>
      </c>
      <c r="E289" s="38">
        <f>58540*1000000</f>
        <v>58540000000</v>
      </c>
      <c r="F289" s="38">
        <f>(58540+11606+56666+28543+10573+7913+2330)*1000000</f>
        <v>176171000000</v>
      </c>
      <c r="G289" s="38">
        <f>1239559*1000000</f>
        <v>1239559000000</v>
      </c>
      <c r="H289" s="38">
        <f>132907*1000000</f>
        <v>132907000000</v>
      </c>
      <c r="I289" s="38">
        <f>677805*1000000</f>
        <v>677805000000</v>
      </c>
      <c r="J289" s="38">
        <f>53813*1000000</f>
        <v>53813000000</v>
      </c>
      <c r="K289" s="38">
        <f>561754*1000000</f>
        <v>561754000000</v>
      </c>
      <c r="L289" s="38">
        <f>585626*1000000</f>
        <v>585626000000</v>
      </c>
      <c r="M289" s="38">
        <f>22020*1000000</f>
        <v>22020000000</v>
      </c>
      <c r="N289" s="38">
        <f>29274*1000000</f>
        <v>29274000000</v>
      </c>
      <c r="O289" s="39">
        <v>0.5</v>
      </c>
      <c r="P289" s="40" t="s">
        <v>215</v>
      </c>
      <c r="Q289" s="38">
        <v>2</v>
      </c>
      <c r="R289" s="38">
        <v>4</v>
      </c>
      <c r="S289" s="38"/>
      <c r="T289" s="38">
        <v>8</v>
      </c>
      <c r="U289" s="42"/>
      <c r="V289" s="38"/>
      <c r="W289" s="38">
        <f t="shared" si="25"/>
        <v>0</v>
      </c>
      <c r="X289" s="38"/>
      <c r="Y289" s="37"/>
    </row>
    <row r="290" spans="1:25" s="31" customFormat="1" ht="15" customHeight="1" x14ac:dyDescent="0.3">
      <c r="A290" s="36"/>
      <c r="B290" s="37"/>
      <c r="C290" s="29"/>
      <c r="D290" s="37">
        <v>2016</v>
      </c>
      <c r="E290" s="38">
        <f>31597*1000000</f>
        <v>31597000000</v>
      </c>
      <c r="F290" s="38">
        <f>(31597+7681+45419+20266+1135+6550+2050)*1000000</f>
        <v>114698000000</v>
      </c>
      <c r="G290" s="38">
        <f>13122331*1000000</f>
        <v>13122331000000</v>
      </c>
      <c r="H290" s="38">
        <f>218192*1000000</f>
        <v>218192000000</v>
      </c>
      <c r="I290" s="38">
        <f>12516868*1000000</f>
        <v>12516868000000</v>
      </c>
      <c r="J290" s="38">
        <f>103543*1000000</f>
        <v>103543000000</v>
      </c>
      <c r="K290" s="38">
        <f>605443*1000000</f>
        <v>605443000000</v>
      </c>
      <c r="L290" s="38">
        <f>13613117*1000000</f>
        <v>13613117000000</v>
      </c>
      <c r="M290" s="38">
        <f>47242*1000000</f>
        <v>47242000000</v>
      </c>
      <c r="N290" s="38">
        <f>41789*1000000</f>
        <v>41789000000</v>
      </c>
      <c r="O290" s="39">
        <v>0.5</v>
      </c>
      <c r="P290" s="40" t="s">
        <v>215</v>
      </c>
      <c r="Q290" s="38">
        <v>2</v>
      </c>
      <c r="R290" s="38">
        <v>4</v>
      </c>
      <c r="S290" s="38"/>
      <c r="T290" s="38">
        <v>8</v>
      </c>
      <c r="U290" s="42"/>
      <c r="V290" s="38"/>
      <c r="W290" s="38">
        <f t="shared" si="25"/>
        <v>0</v>
      </c>
      <c r="X290" s="38"/>
      <c r="Y290" s="37"/>
    </row>
    <row r="291" spans="1:25" s="31" customFormat="1" ht="15" customHeight="1" x14ac:dyDescent="0.3">
      <c r="A291" s="36"/>
      <c r="B291" s="37"/>
      <c r="C291" s="29"/>
      <c r="D291" s="37">
        <v>2017</v>
      </c>
      <c r="E291" s="38">
        <f>109963*1000000</f>
        <v>109963000000</v>
      </c>
      <c r="F291" s="38">
        <f>(109963+6699+11842+50360+164+12098)*1000000</f>
        <v>191126000000</v>
      </c>
      <c r="G291" s="38">
        <f>24838435*1000000</f>
        <v>24838435000000</v>
      </c>
      <c r="H291" s="38">
        <f>1036920*1000000</f>
        <v>1036920000000</v>
      </c>
      <c r="I291" s="38">
        <f>24167565*1000000</f>
        <v>24167565000000</v>
      </c>
      <c r="J291" s="38">
        <f>168201*1000000</f>
        <v>168201000000</v>
      </c>
      <c r="K291" s="38">
        <f>670869*1000000</f>
        <v>670869000000</v>
      </c>
      <c r="L291" s="38">
        <f>18238613*1000000</f>
        <v>18238613000000</v>
      </c>
      <c r="M291" s="38">
        <f>113864*1000000</f>
        <v>113864000000</v>
      </c>
      <c r="N291" s="38">
        <f>115427*1000000</f>
        <v>115427000000</v>
      </c>
      <c r="O291" s="39">
        <v>0.99</v>
      </c>
      <c r="P291" s="40" t="s">
        <v>216</v>
      </c>
      <c r="Q291" s="38">
        <v>2</v>
      </c>
      <c r="R291" s="38">
        <v>4</v>
      </c>
      <c r="S291" s="38"/>
      <c r="T291" s="38">
        <v>7</v>
      </c>
      <c r="U291" s="42"/>
      <c r="V291" s="38"/>
      <c r="W291" s="38">
        <f t="shared" si="25"/>
        <v>0</v>
      </c>
      <c r="X291" s="38"/>
      <c r="Y291" s="37"/>
    </row>
    <row r="292" spans="1:25" s="31" customFormat="1" ht="15" customHeight="1" x14ac:dyDescent="0.3">
      <c r="A292" s="36"/>
      <c r="B292" s="37"/>
      <c r="C292" s="29"/>
      <c r="D292" s="37">
        <v>2018</v>
      </c>
      <c r="E292" s="38">
        <f>105913*1000000</f>
        <v>105913000000</v>
      </c>
      <c r="F292" s="38">
        <f>(105913+3818+10139+43152+28798)*1000000</f>
        <v>191820000000</v>
      </c>
      <c r="G292" s="38">
        <f>30914118*1000000</f>
        <v>30914118000000</v>
      </c>
      <c r="H292" s="38">
        <f>1155735*1000000</f>
        <v>1155735000000</v>
      </c>
      <c r="I292" s="38">
        <f>30121442*1000000</f>
        <v>30121442000000</v>
      </c>
      <c r="J292" s="38">
        <f>289650*1000000</f>
        <v>289650000000</v>
      </c>
      <c r="K292" s="38">
        <f>792676*1000000</f>
        <v>792676000000</v>
      </c>
      <c r="L292" s="38">
        <f>20288330*1000000</f>
        <v>20288330000000</v>
      </c>
      <c r="M292" s="38">
        <f>119613*1000000</f>
        <v>119613000000</v>
      </c>
      <c r="N292" s="38">
        <f>121807*1000000</f>
        <v>121807000000</v>
      </c>
      <c r="O292" s="39">
        <v>0.99</v>
      </c>
      <c r="P292" s="40" t="s">
        <v>216</v>
      </c>
      <c r="Q292" s="38">
        <v>2</v>
      </c>
      <c r="R292" s="38">
        <v>4</v>
      </c>
      <c r="S292" s="38"/>
      <c r="T292" s="38">
        <v>7</v>
      </c>
      <c r="U292" s="42"/>
      <c r="V292" s="38"/>
      <c r="W292" s="38">
        <f t="shared" si="25"/>
        <v>0</v>
      </c>
      <c r="X292" s="38"/>
      <c r="Y292" s="37"/>
    </row>
    <row r="293" spans="1:25" s="31" customFormat="1" ht="15" customHeight="1" x14ac:dyDescent="0.3">
      <c r="A293" s="36"/>
      <c r="B293" s="37"/>
      <c r="C293" s="29"/>
      <c r="D293" s="37">
        <v>2019</v>
      </c>
      <c r="E293" s="38">
        <f>161217*1000000</f>
        <v>161217000000</v>
      </c>
      <c r="F293" s="38">
        <f>(161217+2179+7765+43941+41344+88129)*1000000</f>
        <v>344575000000</v>
      </c>
      <c r="G293" s="38">
        <f>35182475*1000000</f>
        <v>35182475000000</v>
      </c>
      <c r="H293" s="38">
        <f>697988*1000000</f>
        <v>697988000000</v>
      </c>
      <c r="I293" s="38">
        <f>34246083*1000000</f>
        <v>34246083000000</v>
      </c>
      <c r="J293" s="38">
        <f>434492*1000000</f>
        <v>434492000000</v>
      </c>
      <c r="K293" s="38">
        <f>936392*1000000</f>
        <v>936392000000</v>
      </c>
      <c r="L293" s="38">
        <f>21168879*1000000</f>
        <v>21168879000000</v>
      </c>
      <c r="M293" s="38">
        <f>145044*1000000</f>
        <v>145044000000</v>
      </c>
      <c r="N293" s="38">
        <f>143716*1000000</f>
        <v>143716000000</v>
      </c>
      <c r="O293" s="39">
        <v>0.99</v>
      </c>
      <c r="P293" s="40" t="s">
        <v>216</v>
      </c>
      <c r="Q293" s="38">
        <v>2</v>
      </c>
      <c r="R293" s="38">
        <v>3</v>
      </c>
      <c r="S293" s="38"/>
      <c r="T293" s="38">
        <v>6</v>
      </c>
      <c r="U293" s="42"/>
      <c r="V293" s="38"/>
      <c r="W293" s="38">
        <f t="shared" si="25"/>
        <v>0</v>
      </c>
      <c r="X293" s="38"/>
      <c r="Y293" s="37"/>
    </row>
    <row r="294" spans="1:25" s="31" customFormat="1" ht="15" customHeight="1" x14ac:dyDescent="0.3">
      <c r="A294" s="36"/>
      <c r="B294" s="37"/>
      <c r="C294" s="29"/>
      <c r="D294" s="37">
        <v>2020</v>
      </c>
      <c r="E294" s="38">
        <f>268812*1000000</f>
        <v>268812000000</v>
      </c>
      <c r="F294" s="38">
        <f>(263812+2717+5367+48664+161294+151077)*1000000</f>
        <v>632931000000</v>
      </c>
      <c r="G294" s="38">
        <f>32223291*1000000</f>
        <v>32223291000000</v>
      </c>
      <c r="H294" s="38">
        <f>843388*1000000</f>
        <v>843388000000</v>
      </c>
      <c r="I294" s="38">
        <f>31156364*1000000</f>
        <v>31156364000000</v>
      </c>
      <c r="J294" s="38">
        <f>565030*1000000</f>
        <v>565030000000</v>
      </c>
      <c r="K294" s="38">
        <f>1066930*1000000</f>
        <v>1066930000000</v>
      </c>
      <c r="L294" s="38">
        <f>19533911*1000000</f>
        <v>19533911000000</v>
      </c>
      <c r="M294" s="38">
        <f>130538*1000000</f>
        <v>130538000000</v>
      </c>
      <c r="N294" s="38">
        <f>130538*1000000</f>
        <v>130538000000</v>
      </c>
      <c r="O294" s="39">
        <v>0.99</v>
      </c>
      <c r="P294" s="40" t="s">
        <v>216</v>
      </c>
      <c r="Q294" s="38">
        <f>2</f>
        <v>2</v>
      </c>
      <c r="R294" s="38">
        <v>3</v>
      </c>
      <c r="S294" s="38"/>
      <c r="T294" s="38">
        <v>7</v>
      </c>
      <c r="U294" s="42"/>
      <c r="V294" s="38"/>
      <c r="W294" s="38">
        <f t="shared" si="25"/>
        <v>0</v>
      </c>
      <c r="X294" s="38"/>
      <c r="Y294" s="37"/>
    </row>
    <row r="295" spans="1:25" s="31" customFormat="1" ht="15" customHeight="1" x14ac:dyDescent="0.3">
      <c r="A295" s="36"/>
      <c r="B295" s="37"/>
      <c r="C295" s="29"/>
      <c r="D295" s="37">
        <v>2021</v>
      </c>
      <c r="E295" s="38">
        <f>288684*1000000</f>
        <v>288684000000</v>
      </c>
      <c r="F295" s="38">
        <f>(288684+1116+3962+51183+159671+154902)*1000000</f>
        <v>659518000000</v>
      </c>
      <c r="G295" s="38">
        <f>33647581*1000000</f>
        <v>33647581000000</v>
      </c>
      <c r="H295" s="38">
        <f>1005708*1000000</f>
        <v>1005708000000</v>
      </c>
      <c r="I295" s="38">
        <f>32541700*1000000</f>
        <v>32541700000000</v>
      </c>
      <c r="J295" s="38">
        <f>603981*1000000</f>
        <v>603981000000</v>
      </c>
      <c r="K295" s="38">
        <f>1105881*1000000</f>
        <v>1105881000000</v>
      </c>
      <c r="L295" s="38">
        <f>20295327*1000000</f>
        <v>20295327000000</v>
      </c>
      <c r="M295" s="38">
        <f>103951*1000000</f>
        <v>103951000000</v>
      </c>
      <c r="N295" s="38">
        <f>103951*1000000</f>
        <v>103951000000</v>
      </c>
      <c r="O295" s="39">
        <v>0.99</v>
      </c>
      <c r="P295" s="40" t="s">
        <v>216</v>
      </c>
      <c r="Q295" s="38">
        <v>2</v>
      </c>
      <c r="R295" s="38">
        <v>3</v>
      </c>
      <c r="S295" s="38"/>
      <c r="T295" s="38">
        <v>7</v>
      </c>
      <c r="U295" s="42"/>
      <c r="V295" s="38"/>
      <c r="W295" s="38">
        <f t="shared" si="25"/>
        <v>0</v>
      </c>
      <c r="X295" s="38"/>
      <c r="Y295" s="37"/>
    </row>
    <row r="296" spans="1:25" s="31" customFormat="1" ht="15" customHeight="1" x14ac:dyDescent="0.3">
      <c r="A296" s="36"/>
      <c r="B296" s="37"/>
      <c r="C296" s="29"/>
      <c r="D296" s="37">
        <v>2022</v>
      </c>
      <c r="E296" s="38">
        <f>267042*1000000</f>
        <v>267042000000</v>
      </c>
      <c r="F296" s="38">
        <f>(267042+8708+3044+38047+536469+136800)*1000000</f>
        <v>990110000000</v>
      </c>
      <c r="G296" s="38">
        <f>28879077*1000000</f>
        <v>28879077000000</v>
      </c>
      <c r="H296" s="38">
        <f>974284*1000000</f>
        <v>974284000000</v>
      </c>
      <c r="I296" s="38">
        <f>27628766*1000000</f>
        <v>27628766000000</v>
      </c>
      <c r="J296" s="38">
        <f>748411*1000000</f>
        <v>748411000000</v>
      </c>
      <c r="K296" s="38">
        <f>1250311*1000000</f>
        <v>1250311000000</v>
      </c>
      <c r="L296" s="38">
        <f>15634323*1000000</f>
        <v>15634323000000</v>
      </c>
      <c r="M296" s="38">
        <f>194430*1000000</f>
        <v>194430000000</v>
      </c>
      <c r="N296" s="38">
        <f>194430*1000000</f>
        <v>194430000000</v>
      </c>
      <c r="O296" s="39">
        <v>0.99</v>
      </c>
      <c r="P296" s="40" t="s">
        <v>216</v>
      </c>
      <c r="Q296" s="38">
        <v>2</v>
      </c>
      <c r="R296" s="38">
        <v>3</v>
      </c>
      <c r="S296" s="38"/>
      <c r="T296" s="38">
        <v>7</v>
      </c>
      <c r="U296" s="42"/>
      <c r="V296" s="38"/>
      <c r="W296" s="38">
        <f t="shared" si="25"/>
        <v>0</v>
      </c>
      <c r="X296" s="38"/>
      <c r="Y296" s="37"/>
    </row>
    <row r="297" spans="1:25" s="31" customFormat="1" ht="15" customHeight="1" x14ac:dyDescent="0.3">
      <c r="A297" s="36"/>
      <c r="B297" s="37"/>
      <c r="C297" s="29"/>
      <c r="D297" s="37">
        <v>2023</v>
      </c>
      <c r="E297" s="38">
        <f>300354*1000000</f>
        <v>300354000000</v>
      </c>
      <c r="F297" s="38">
        <f>(300354+5782+1659+42611+120+112639)*1000000</f>
        <v>463165000000</v>
      </c>
      <c r="G297" s="38">
        <f>23420850*1000000</f>
        <v>23420850000000</v>
      </c>
      <c r="H297" s="38">
        <f>884837*1000000</f>
        <v>884837000000</v>
      </c>
      <c r="I297" s="38">
        <f>22062179*1000000</f>
        <v>22062179000000</v>
      </c>
      <c r="J297" s="38">
        <f>856771*1000000</f>
        <v>856771000000</v>
      </c>
      <c r="K297" s="38">
        <f>1358671*1000000</f>
        <v>1358671000000</v>
      </c>
      <c r="L297" s="38">
        <f>7778489*1000000</f>
        <v>7778489000000</v>
      </c>
      <c r="M297" s="38">
        <f>158360*1000000</f>
        <v>158360000000</v>
      </c>
      <c r="N297" s="38">
        <f>158360*1000000</f>
        <v>158360000000</v>
      </c>
      <c r="O297" s="39">
        <v>0.99</v>
      </c>
      <c r="P297" s="40" t="s">
        <v>216</v>
      </c>
      <c r="Q297" s="38">
        <v>2</v>
      </c>
      <c r="R297" s="38">
        <v>3</v>
      </c>
      <c r="S297" s="38"/>
      <c r="T297" s="38">
        <v>8</v>
      </c>
      <c r="U297" s="42"/>
      <c r="V297" s="38"/>
      <c r="W297" s="38">
        <f t="shared" si="25"/>
        <v>0</v>
      </c>
      <c r="X297" s="38"/>
      <c r="Y297" s="37"/>
    </row>
    <row r="298" spans="1:25" s="31" customFormat="1" ht="15" customHeight="1" x14ac:dyDescent="0.3">
      <c r="A298" s="36"/>
      <c r="B298" s="37"/>
      <c r="C298" s="29"/>
      <c r="D298" s="37">
        <v>2024</v>
      </c>
      <c r="E298" s="38">
        <f>259729*1000000</f>
        <v>259729000000</v>
      </c>
      <c r="F298" s="38">
        <f>(259729+6997+2967+27033+102504+141610)*1000000</f>
        <v>540840000000</v>
      </c>
      <c r="G298" s="38">
        <f>24021114*1000000</f>
        <v>24021114000000</v>
      </c>
      <c r="H298" s="38">
        <f>1012197*1000000</f>
        <v>1012197000000</v>
      </c>
      <c r="I298" s="38">
        <f>22495949*1000000</f>
        <v>22495949000000</v>
      </c>
      <c r="J298" s="38">
        <f>1023265*1000000</f>
        <v>1023265000000</v>
      </c>
      <c r="K298" s="38">
        <f>1525165*1000000</f>
        <v>1525165000000</v>
      </c>
      <c r="L298" s="38">
        <f>8529903*1000000</f>
        <v>8529903000000</v>
      </c>
      <c r="M298" s="38">
        <f>166494*1000000</f>
        <v>166494000000</v>
      </c>
      <c r="N298" s="38">
        <f>166494*1000000</f>
        <v>166494000000</v>
      </c>
      <c r="O298" s="39">
        <v>0.99</v>
      </c>
      <c r="P298" s="40" t="s">
        <v>216</v>
      </c>
      <c r="Q298" s="38">
        <v>2</v>
      </c>
      <c r="R298" s="38">
        <v>3</v>
      </c>
      <c r="S298" s="38"/>
      <c r="T298" s="38">
        <v>8</v>
      </c>
      <c r="U298" s="42"/>
      <c r="V298" s="38"/>
      <c r="W298" s="38">
        <f t="shared" si="25"/>
        <v>0</v>
      </c>
      <c r="X298" s="38"/>
      <c r="Y298" s="37"/>
    </row>
    <row r="299" spans="1:25" s="31" customFormat="1" ht="15" customHeight="1" x14ac:dyDescent="0.3">
      <c r="A299" s="36"/>
      <c r="B299" s="37">
        <v>28</v>
      </c>
      <c r="C299" s="45" t="s">
        <v>149</v>
      </c>
      <c r="D299" s="37">
        <v>2014</v>
      </c>
      <c r="E299" s="38">
        <v>0</v>
      </c>
      <c r="F299" s="38">
        <v>0</v>
      </c>
      <c r="G299" s="38">
        <v>0</v>
      </c>
      <c r="H299" s="38">
        <v>0</v>
      </c>
      <c r="I299" s="38">
        <v>0</v>
      </c>
      <c r="J299" s="38">
        <v>0</v>
      </c>
      <c r="K299" s="38">
        <v>0</v>
      </c>
      <c r="L299" s="38">
        <v>0</v>
      </c>
      <c r="M299" s="38">
        <v>0</v>
      </c>
      <c r="N299" s="38">
        <v>0</v>
      </c>
      <c r="O299" s="38">
        <v>0</v>
      </c>
      <c r="P299" s="38">
        <v>0</v>
      </c>
      <c r="Q299" s="38">
        <v>0</v>
      </c>
      <c r="R299" s="38">
        <v>0</v>
      </c>
      <c r="S299" s="38">
        <v>0</v>
      </c>
      <c r="T299" s="38">
        <v>0</v>
      </c>
      <c r="U299" s="38">
        <v>0</v>
      </c>
      <c r="V299" s="38">
        <v>0</v>
      </c>
      <c r="W299" s="38">
        <v>0</v>
      </c>
      <c r="X299" s="38">
        <v>0</v>
      </c>
      <c r="Y299" s="37"/>
    </row>
    <row r="300" spans="1:25" s="31" customFormat="1" ht="15" customHeight="1" x14ac:dyDescent="0.3">
      <c r="A300" s="36"/>
      <c r="B300" s="37"/>
      <c r="C300" s="45"/>
      <c r="D300" s="37">
        <v>2015</v>
      </c>
      <c r="E300" s="38">
        <f>15*1000000</f>
        <v>15000000</v>
      </c>
      <c r="F300" s="38">
        <f>59550*1000000</f>
        <v>59550000000</v>
      </c>
      <c r="G300" s="38">
        <f>60739*1000000</f>
        <v>60739000000</v>
      </c>
      <c r="H300" s="38">
        <f>114*1000000</f>
        <v>114000000</v>
      </c>
      <c r="I300" s="38">
        <f>114*1000000</f>
        <v>114000000</v>
      </c>
      <c r="J300" s="38">
        <f>625*1000000</f>
        <v>625000000</v>
      </c>
      <c r="K300" s="38">
        <f>60625*1000000</f>
        <v>60625000000</v>
      </c>
      <c r="L300" s="38">
        <f>2217*1000000</f>
        <v>2217000000</v>
      </c>
      <c r="M300" s="38">
        <f>641*1000000</f>
        <v>641000000</v>
      </c>
      <c r="N300" s="38">
        <f>625*1000000</f>
        <v>625000000</v>
      </c>
      <c r="O300" s="38">
        <v>0</v>
      </c>
      <c r="P300" s="38">
        <v>0</v>
      </c>
      <c r="Q300" s="38">
        <v>0</v>
      </c>
      <c r="R300" s="38">
        <v>0</v>
      </c>
      <c r="S300" s="38">
        <v>0</v>
      </c>
      <c r="T300" s="38">
        <v>0</v>
      </c>
      <c r="U300" s="38">
        <v>0</v>
      </c>
      <c r="V300" s="38">
        <v>0</v>
      </c>
      <c r="W300" s="38">
        <v>0</v>
      </c>
      <c r="X300" s="38">
        <v>0</v>
      </c>
      <c r="Y300" s="37"/>
    </row>
    <row r="301" spans="1:25" s="31" customFormat="1" ht="15" customHeight="1" x14ac:dyDescent="0.3">
      <c r="A301" s="36"/>
      <c r="B301" s="37"/>
      <c r="C301" s="45"/>
      <c r="D301" s="37">
        <v>2016</v>
      </c>
      <c r="E301" s="38">
        <f>7792*1000000</f>
        <v>7792000000</v>
      </c>
      <c r="F301" s="38">
        <f>(7792+1877+1691+2909+2+1704)*1000000</f>
        <v>15975000000</v>
      </c>
      <c r="G301" s="38">
        <f>69732*1000000</f>
        <v>69732000000</v>
      </c>
      <c r="H301" s="38">
        <f>(1359+62+1192+2909+223+52)*1000000</f>
        <v>5797000000</v>
      </c>
      <c r="I301" s="38">
        <f>7811*1000000</f>
        <v>7811000000</v>
      </c>
      <c r="J301" s="38">
        <f>1490*1000000</f>
        <v>1490000000</v>
      </c>
      <c r="K301" s="38">
        <f>61421*1000000</f>
        <v>61421000000</v>
      </c>
      <c r="L301" s="38">
        <f>12167*1000000</f>
        <v>12167000000</v>
      </c>
      <c r="M301" s="38">
        <f>866*1000000</f>
        <v>866000000</v>
      </c>
      <c r="N301" s="38">
        <f>865*1000000</f>
        <v>865000000</v>
      </c>
      <c r="O301" s="38">
        <v>0</v>
      </c>
      <c r="P301" s="38">
        <v>0</v>
      </c>
      <c r="Q301" s="38">
        <v>0</v>
      </c>
      <c r="R301" s="38">
        <v>0</v>
      </c>
      <c r="S301" s="38">
        <v>0</v>
      </c>
      <c r="T301" s="38">
        <v>0</v>
      </c>
      <c r="U301" s="38">
        <v>0</v>
      </c>
      <c r="V301" s="38">
        <v>0</v>
      </c>
      <c r="W301" s="38">
        <v>0</v>
      </c>
      <c r="X301" s="38">
        <v>0</v>
      </c>
      <c r="Y301" s="37"/>
    </row>
    <row r="302" spans="1:25" s="31" customFormat="1" ht="15" customHeight="1" x14ac:dyDescent="0.3">
      <c r="A302" s="36"/>
      <c r="B302" s="37"/>
      <c r="C302" s="45"/>
      <c r="D302" s="37">
        <v>2017</v>
      </c>
      <c r="E302" s="38">
        <f>14232*1000000</f>
        <v>14232000000</v>
      </c>
      <c r="F302" s="38">
        <f>(14232+891+3745+4986+912+3399)*1000000</f>
        <v>28165000000</v>
      </c>
      <c r="G302" s="38">
        <f>74776*1000000</f>
        <v>74776000000</v>
      </c>
      <c r="H302" s="38">
        <f>(289+53+188+360+4986+117+1896+1030)*1000000</f>
        <v>8919000000</v>
      </c>
      <c r="I302" s="38">
        <f>13530*1000000</f>
        <v>13530000000</v>
      </c>
      <c r="J302" s="38">
        <f>794*1000000</f>
        <v>794000000</v>
      </c>
      <c r="K302" s="38">
        <f>60709*1000000</f>
        <v>60709000000</v>
      </c>
      <c r="L302" s="38">
        <f>14015*1000000</f>
        <v>14015000000</v>
      </c>
      <c r="M302" s="38">
        <f>462*1000000</f>
        <v>462000000</v>
      </c>
      <c r="N302" s="38">
        <f>500*1000000</f>
        <v>500000000</v>
      </c>
      <c r="O302" s="38">
        <v>0</v>
      </c>
      <c r="P302" s="38">
        <v>0</v>
      </c>
      <c r="Q302" s="38">
        <v>0</v>
      </c>
      <c r="R302" s="38">
        <v>0</v>
      </c>
      <c r="S302" s="38">
        <v>0</v>
      </c>
      <c r="T302" s="38">
        <v>0</v>
      </c>
      <c r="U302" s="38">
        <v>0</v>
      </c>
      <c r="V302" s="38">
        <v>0</v>
      </c>
      <c r="W302" s="38">
        <v>0</v>
      </c>
      <c r="X302" s="38">
        <v>0</v>
      </c>
      <c r="Y302" s="37"/>
    </row>
    <row r="303" spans="1:25" s="31" customFormat="1" ht="15" customHeight="1" x14ac:dyDescent="0.3">
      <c r="A303" s="36"/>
      <c r="B303" s="37"/>
      <c r="C303" s="45"/>
      <c r="D303" s="37">
        <v>2018</v>
      </c>
      <c r="E303" s="38">
        <f>22773*1000000</f>
        <v>22773000000</v>
      </c>
      <c r="F303" s="38">
        <f>(22773+3693+5718)*1000000</f>
        <v>32184000000</v>
      </c>
      <c r="G303" s="38">
        <f>89317*1000000</f>
        <v>89317000000</v>
      </c>
      <c r="H303" s="38">
        <f>(1191+240+17370)*1000000</f>
        <v>18801000000</v>
      </c>
      <c r="I303" s="38">
        <f>(1191+240+17370+2876+196+394+1911+4331)*1000000</f>
        <v>28509000000</v>
      </c>
      <c r="J303" s="38">
        <f>-1943*1000000</f>
        <v>-1943000000</v>
      </c>
      <c r="K303" s="38">
        <f>(60000+1591-1943)*1000000</f>
        <v>59648000000</v>
      </c>
      <c r="L303" s="38">
        <f>(13885-1846+2198)*1000000</f>
        <v>14237000000</v>
      </c>
      <c r="M303" s="38">
        <f>-2336*1000000</f>
        <v>-2336000000</v>
      </c>
      <c r="N303" s="38">
        <f>-2336*1000000</f>
        <v>-2336000000</v>
      </c>
      <c r="O303" s="38">
        <v>0</v>
      </c>
      <c r="P303" s="38">
        <v>0</v>
      </c>
      <c r="Q303" s="38">
        <v>0</v>
      </c>
      <c r="R303" s="38">
        <v>0</v>
      </c>
      <c r="S303" s="38">
        <v>0</v>
      </c>
      <c r="T303" s="38">
        <v>0</v>
      </c>
      <c r="U303" s="38">
        <v>0</v>
      </c>
      <c r="V303" s="38">
        <v>0</v>
      </c>
      <c r="W303" s="38">
        <v>0</v>
      </c>
      <c r="X303" s="38">
        <v>0</v>
      </c>
      <c r="Y303" s="37"/>
    </row>
    <row r="304" spans="1:25" s="31" customFormat="1" ht="15" customHeight="1" x14ac:dyDescent="0.3">
      <c r="A304" s="36"/>
      <c r="B304" s="37"/>
      <c r="C304" s="45"/>
      <c r="D304" s="37">
        <v>2019</v>
      </c>
      <c r="E304" s="38">
        <f>14413*1000000</f>
        <v>14413000000</v>
      </c>
      <c r="F304" s="38">
        <f>(14413+5972+16073)*1000000</f>
        <v>36458000000</v>
      </c>
      <c r="G304" s="38">
        <f>105000*1000000</f>
        <v>105000000000</v>
      </c>
      <c r="H304" s="38">
        <f>(2705+390+11578)*1000000</f>
        <v>14673000000</v>
      </c>
      <c r="I304" s="38">
        <f>(2705+390+11578+5055+61+697+2973+15955)*1000000</f>
        <v>39414000000</v>
      </c>
      <c r="J304" s="38">
        <f>1244*1000000</f>
        <v>1244000000</v>
      </c>
      <c r="K304" s="38">
        <f>(60000+3582+1244)*1000000</f>
        <v>64826000000</v>
      </c>
      <c r="L304" s="38">
        <f>(19798-2178+2395)*1000000</f>
        <v>20015000000</v>
      </c>
      <c r="M304" s="38">
        <f>2645*1000000</f>
        <v>2645000000</v>
      </c>
      <c r="N304" s="38">
        <f>2645*1000000</f>
        <v>2645000000</v>
      </c>
      <c r="O304" s="39">
        <v>0.99</v>
      </c>
      <c r="P304" s="40" t="s">
        <v>332</v>
      </c>
      <c r="Q304" s="38">
        <v>2</v>
      </c>
      <c r="R304" s="38">
        <v>3</v>
      </c>
      <c r="S304" s="38">
        <v>3</v>
      </c>
      <c r="T304" s="38">
        <f t="shared" ref="T304:T309" si="27">SUM(R304:S304)</f>
        <v>6</v>
      </c>
      <c r="U304" s="42">
        <v>0</v>
      </c>
      <c r="V304" s="38">
        <v>0</v>
      </c>
      <c r="W304" s="38">
        <v>0</v>
      </c>
      <c r="X304" s="38">
        <v>0</v>
      </c>
      <c r="Y304" s="37"/>
    </row>
    <row r="305" spans="1:25" s="31" customFormat="1" ht="15" customHeight="1" x14ac:dyDescent="0.3">
      <c r="A305" s="36"/>
      <c r="B305" s="37"/>
      <c r="C305" s="45"/>
      <c r="D305" s="37">
        <v>2020</v>
      </c>
      <c r="E305" s="38">
        <f>25566*1000000</f>
        <v>25566000000</v>
      </c>
      <c r="F305" s="38">
        <f>(25566+6086+17276)*1000000</f>
        <v>48928000000</v>
      </c>
      <c r="G305" s="38">
        <f>121421*1000000</f>
        <v>121421000000</v>
      </c>
      <c r="H305" s="38">
        <f>(3898+397+17144)*1000000</f>
        <v>21439000000</v>
      </c>
      <c r="I305" s="38">
        <f>(3898+397+17144+6488+78+1013+2192+22665)*1000000</f>
        <v>53875000000</v>
      </c>
      <c r="J305" s="38">
        <f>1592*1000000</f>
        <v>1592000000</v>
      </c>
      <c r="K305" s="38">
        <f>(60000+3659+1592)*1000000</f>
        <v>65251000000</v>
      </c>
      <c r="L305" s="38">
        <f>(19848-1433+1979)*1000000</f>
        <v>20394000000</v>
      </c>
      <c r="M305" s="38">
        <f>679*1000000</f>
        <v>679000000</v>
      </c>
      <c r="N305" s="38">
        <f>603*1000000</f>
        <v>603000000</v>
      </c>
      <c r="O305" s="39">
        <v>0.99</v>
      </c>
      <c r="P305" s="40" t="s">
        <v>332</v>
      </c>
      <c r="Q305" s="38">
        <v>2</v>
      </c>
      <c r="R305" s="38">
        <v>3</v>
      </c>
      <c r="S305" s="38">
        <v>4</v>
      </c>
      <c r="T305" s="38">
        <f t="shared" si="27"/>
        <v>7</v>
      </c>
      <c r="U305" s="42">
        <v>0</v>
      </c>
      <c r="V305" s="38">
        <v>0</v>
      </c>
      <c r="W305" s="38">
        <v>0</v>
      </c>
      <c r="X305" s="38">
        <v>0</v>
      </c>
      <c r="Y305" s="37"/>
    </row>
    <row r="306" spans="1:25" s="31" customFormat="1" ht="15" customHeight="1" x14ac:dyDescent="0.3">
      <c r="A306" s="36"/>
      <c r="B306" s="37"/>
      <c r="C306" s="45"/>
      <c r="D306" s="37">
        <v>2021</v>
      </c>
      <c r="E306" s="38">
        <f>39898*1000000</f>
        <v>39898000000</v>
      </c>
      <c r="F306" s="38">
        <f>(39898+4755+18824)*1000000</f>
        <v>63477000000</v>
      </c>
      <c r="G306" s="38">
        <f>140074*1000000</f>
        <v>140074000000</v>
      </c>
      <c r="H306" s="38">
        <f>(856+602+28332)*1000000</f>
        <v>29790000000</v>
      </c>
      <c r="I306" s="38">
        <f>(856+602+28332+3376+122+2066+1623+32989)*1000000</f>
        <v>69966000000</v>
      </c>
      <c r="J306" s="38">
        <f>945*1000000</f>
        <v>945000000</v>
      </c>
      <c r="K306" s="38">
        <f>(60000+4777+945)*1000000</f>
        <v>65722000000</v>
      </c>
      <c r="L306" s="38">
        <f>(14735+3112+1494)*1000000</f>
        <v>19341000000</v>
      </c>
      <c r="M306" s="38">
        <f>407*1000000</f>
        <v>407000000</v>
      </c>
      <c r="N306" s="38">
        <f>288*1000000</f>
        <v>288000000</v>
      </c>
      <c r="O306" s="39">
        <v>0.99</v>
      </c>
      <c r="P306" s="40" t="s">
        <v>332</v>
      </c>
      <c r="Q306" s="38">
        <v>2</v>
      </c>
      <c r="R306" s="38">
        <v>3</v>
      </c>
      <c r="S306" s="38">
        <v>4</v>
      </c>
      <c r="T306" s="38">
        <f t="shared" si="27"/>
        <v>7</v>
      </c>
      <c r="U306" s="42">
        <v>0</v>
      </c>
      <c r="V306" s="38">
        <v>0</v>
      </c>
      <c r="W306" s="38">
        <v>0</v>
      </c>
      <c r="X306" s="38">
        <v>0</v>
      </c>
      <c r="Y306" s="37"/>
    </row>
    <row r="307" spans="1:25" s="31" customFormat="1" ht="15" customHeight="1" x14ac:dyDescent="0.3">
      <c r="A307" s="36"/>
      <c r="B307" s="37"/>
      <c r="C307" s="45"/>
      <c r="D307" s="37">
        <v>2022</v>
      </c>
      <c r="E307" s="38">
        <f>47607*1000000</f>
        <v>47607000000</v>
      </c>
      <c r="F307" s="38">
        <f>(47607+7591+21154)*1000000</f>
        <v>76352000000</v>
      </c>
      <c r="G307" s="38">
        <f>154307*1000000</f>
        <v>154307000000</v>
      </c>
      <c r="H307" s="38">
        <f>(519+31889)*1000000</f>
        <v>32408000000</v>
      </c>
      <c r="I307" s="38">
        <f>(519+31889+4774+146+3583+1303+39402)*1000000</f>
        <v>81616000000</v>
      </c>
      <c r="J307" s="38">
        <f>1484*1000000</f>
        <v>1484000000</v>
      </c>
      <c r="K307" s="38">
        <f>(60000+5021+1484)*1000000</f>
        <v>66505000000</v>
      </c>
      <c r="L307" s="38">
        <f>(21268-1398+1122)*1000000</f>
        <v>20992000000</v>
      </c>
      <c r="M307" s="38">
        <f>962*1000000</f>
        <v>962000000</v>
      </c>
      <c r="N307" s="38">
        <f>1012*1000000</f>
        <v>1012000000</v>
      </c>
      <c r="O307" s="39">
        <v>0.99</v>
      </c>
      <c r="P307" s="40" t="s">
        <v>332</v>
      </c>
      <c r="Q307" s="38">
        <v>2</v>
      </c>
      <c r="R307" s="38">
        <v>3</v>
      </c>
      <c r="S307" s="38">
        <v>4</v>
      </c>
      <c r="T307" s="38">
        <f t="shared" si="27"/>
        <v>7</v>
      </c>
      <c r="U307" s="42">
        <v>0</v>
      </c>
      <c r="V307" s="38">
        <v>0</v>
      </c>
      <c r="W307" s="38">
        <v>0</v>
      </c>
      <c r="X307" s="38">
        <v>0</v>
      </c>
      <c r="Y307" s="37"/>
    </row>
    <row r="308" spans="1:25" s="31" customFormat="1" ht="15" customHeight="1" x14ac:dyDescent="0.3">
      <c r="A308" s="36"/>
      <c r="B308" s="37"/>
      <c r="C308" s="45"/>
      <c r="D308" s="37">
        <v>2023</v>
      </c>
      <c r="E308" s="38">
        <f>50544*1000000</f>
        <v>50544000000</v>
      </c>
      <c r="F308" s="38">
        <f>(50544+11817+12426)*1000000</f>
        <v>74787000000</v>
      </c>
      <c r="G308" s="38">
        <f>154726*1000000</f>
        <v>154726000000</v>
      </c>
      <c r="H308" s="38">
        <f>(570+37742)*1000000</f>
        <v>38312000000</v>
      </c>
      <c r="I308" s="38">
        <f>(570+37742+3085+135+3396+440+31824)*1000000</f>
        <v>77192000000</v>
      </c>
      <c r="J308" s="38">
        <f>2681*1000000</f>
        <v>2681000000</v>
      </c>
      <c r="K308" s="38">
        <f>(60000+5314+2681)*1000000</f>
        <v>67995000000</v>
      </c>
      <c r="L308" s="38">
        <f>(25548+1689+1182)*1000000</f>
        <v>28419000000</v>
      </c>
      <c r="M308" s="38">
        <f>1947*1000000</f>
        <v>1947000000</v>
      </c>
      <c r="N308" s="38">
        <f>1939*1000000</f>
        <v>1939000000</v>
      </c>
      <c r="O308" s="39">
        <v>0.99</v>
      </c>
      <c r="P308" s="40" t="s">
        <v>332</v>
      </c>
      <c r="Q308" s="38">
        <v>2</v>
      </c>
      <c r="R308" s="38">
        <v>3</v>
      </c>
      <c r="S308" s="38">
        <v>3</v>
      </c>
      <c r="T308" s="38">
        <f t="shared" si="27"/>
        <v>6</v>
      </c>
      <c r="U308" s="42">
        <v>0</v>
      </c>
      <c r="V308" s="38">
        <v>0</v>
      </c>
      <c r="W308" s="38">
        <v>0</v>
      </c>
      <c r="X308" s="38">
        <v>0</v>
      </c>
      <c r="Y308" s="37"/>
    </row>
    <row r="309" spans="1:25" s="31" customFormat="1" ht="15" customHeight="1" x14ac:dyDescent="0.3">
      <c r="A309" s="36"/>
      <c r="B309" s="37"/>
      <c r="C309" s="45"/>
      <c r="D309" s="37">
        <v>2024</v>
      </c>
      <c r="E309" s="38">
        <f>51036*1000000</f>
        <v>51036000000</v>
      </c>
      <c r="F309" s="38">
        <f>(51036+12128+15964)*1000000</f>
        <v>79128000000</v>
      </c>
      <c r="G309" s="38">
        <f>155845*1000000</f>
        <v>155845000000</v>
      </c>
      <c r="H309" s="38">
        <f>(1+2417+731+36873)*1000000</f>
        <v>40022000000</v>
      </c>
      <c r="I309" s="38">
        <f>(1+2417+731+26873+2600+122+2211+2659+23987)*1000000</f>
        <v>61601000000</v>
      </c>
      <c r="J309" s="38">
        <f>7098*1000000</f>
        <v>7098000000</v>
      </c>
      <c r="K309" s="38">
        <f>(60000+5128+7098)*1000000</f>
        <v>72226000000</v>
      </c>
      <c r="L309" s="38">
        <f>(22645+484+1061)*1000000</f>
        <v>24190000000</v>
      </c>
      <c r="M309" s="38">
        <f>5617*1000000</f>
        <v>5617000000</v>
      </c>
      <c r="N309" s="38">
        <f>5386*1000000</f>
        <v>5386000000</v>
      </c>
      <c r="O309" s="39">
        <v>0.99</v>
      </c>
      <c r="P309" s="40" t="s">
        <v>332</v>
      </c>
      <c r="Q309" s="38">
        <v>2</v>
      </c>
      <c r="R309" s="38">
        <v>3</v>
      </c>
      <c r="S309" s="38">
        <v>3</v>
      </c>
      <c r="T309" s="38">
        <f t="shared" si="27"/>
        <v>6</v>
      </c>
      <c r="U309" s="42">
        <v>0</v>
      </c>
      <c r="V309" s="38">
        <v>0</v>
      </c>
      <c r="W309" s="38">
        <v>0</v>
      </c>
      <c r="X309" s="38">
        <v>0</v>
      </c>
      <c r="Y309" s="37"/>
    </row>
    <row r="310" spans="1:25" s="31" customFormat="1" ht="15" customHeight="1" x14ac:dyDescent="0.3">
      <c r="A310" s="36"/>
      <c r="B310" s="37">
        <v>29</v>
      </c>
      <c r="C310" s="45" t="s">
        <v>55</v>
      </c>
      <c r="D310" s="37">
        <v>2014</v>
      </c>
      <c r="E310" s="38">
        <v>0</v>
      </c>
      <c r="F310" s="38">
        <v>0</v>
      </c>
      <c r="G310" s="38">
        <v>0</v>
      </c>
      <c r="H310" s="38">
        <v>0</v>
      </c>
      <c r="I310" s="38">
        <v>0</v>
      </c>
      <c r="J310" s="38">
        <v>0</v>
      </c>
      <c r="K310" s="38">
        <v>0</v>
      </c>
      <c r="L310" s="38">
        <f>130929*1000000</f>
        <v>130929000000</v>
      </c>
      <c r="M310" s="38">
        <v>0</v>
      </c>
      <c r="N310" s="38">
        <v>0</v>
      </c>
      <c r="O310" s="38">
        <v>0</v>
      </c>
      <c r="P310" s="38">
        <v>0</v>
      </c>
      <c r="Q310" s="38">
        <v>0</v>
      </c>
      <c r="R310" s="38">
        <v>0</v>
      </c>
      <c r="S310" s="38">
        <v>0</v>
      </c>
      <c r="T310" s="38">
        <v>0</v>
      </c>
      <c r="U310" s="38">
        <v>0</v>
      </c>
      <c r="V310" s="38">
        <v>0</v>
      </c>
      <c r="W310" s="38">
        <v>0</v>
      </c>
      <c r="X310" s="38">
        <v>0</v>
      </c>
      <c r="Y310" s="37"/>
    </row>
    <row r="311" spans="1:25" s="31" customFormat="1" ht="15" customHeight="1" x14ac:dyDescent="0.3">
      <c r="A311" s="36"/>
      <c r="B311" s="37"/>
      <c r="C311" s="45"/>
      <c r="D311" s="37">
        <v>2015</v>
      </c>
      <c r="E311" s="38">
        <f>23447*1000000</f>
        <v>23447000000</v>
      </c>
      <c r="F311" s="38">
        <f>(23447+5056+6564+1055)*1000000</f>
        <v>36122000000</v>
      </c>
      <c r="G311" s="38">
        <f>1064512*1000000</f>
        <v>1064512000000</v>
      </c>
      <c r="H311" s="38">
        <f>(417+4271+196+547+27323)*1000000</f>
        <v>32754000000</v>
      </c>
      <c r="I311" s="38">
        <f>240551*1000000</f>
        <v>240551000000</v>
      </c>
      <c r="J311" s="38">
        <f>26737*1000000</f>
        <v>26737000000</v>
      </c>
      <c r="K311" s="38">
        <f>162399*1000000</f>
        <v>162399000000</v>
      </c>
      <c r="L311" s="38">
        <f>120387*1000000</f>
        <v>120387000000</v>
      </c>
      <c r="M311" s="38">
        <f>20394*1000000</f>
        <v>20394000000</v>
      </c>
      <c r="N311" s="38">
        <f>5877*1000000</f>
        <v>5877000000</v>
      </c>
      <c r="O311" s="39">
        <v>0.57240000000000002</v>
      </c>
      <c r="P311" s="40" t="s">
        <v>331</v>
      </c>
      <c r="Q311" s="38">
        <v>1</v>
      </c>
      <c r="R311" s="38">
        <v>4</v>
      </c>
      <c r="S311" s="38">
        <v>3</v>
      </c>
      <c r="T311" s="38">
        <f>SUM(R311:S311)</f>
        <v>7</v>
      </c>
      <c r="U311" s="42">
        <v>0</v>
      </c>
      <c r="V311" s="38">
        <v>0</v>
      </c>
      <c r="W311" s="38">
        <v>0</v>
      </c>
      <c r="X311" s="38">
        <v>0</v>
      </c>
      <c r="Y311" s="37"/>
    </row>
    <row r="312" spans="1:25" s="31" customFormat="1" ht="15" customHeight="1" x14ac:dyDescent="0.3">
      <c r="A312" s="36"/>
      <c r="B312" s="37"/>
      <c r="C312" s="45"/>
      <c r="D312" s="37">
        <v>2016</v>
      </c>
      <c r="E312" s="38">
        <f>37712*1000000</f>
        <v>37712000000</v>
      </c>
      <c r="F312" s="38">
        <f>(37712+5710+4886+302+6983)*1000000</f>
        <v>55593000000</v>
      </c>
      <c r="G312" s="38">
        <f>1162835*1000000</f>
        <v>1162835000000</v>
      </c>
      <c r="H312" s="38">
        <f>(1108+3221+386+910+23187)*1000000</f>
        <v>28812000000</v>
      </c>
      <c r="I312" s="38">
        <f>257116*1000000</f>
        <v>257116000000</v>
      </c>
      <c r="J312" s="38">
        <f>43401*1000000</f>
        <v>43401000000</v>
      </c>
      <c r="K312" s="38">
        <f>185825*1000000</f>
        <v>185825000000</v>
      </c>
      <c r="L312" s="38">
        <f>132241*1000000</f>
        <v>132241000000</v>
      </c>
      <c r="M312" s="38">
        <f>20474*1000000</f>
        <v>20474000000</v>
      </c>
      <c r="N312" s="38">
        <f>23406*1000000</f>
        <v>23406000000</v>
      </c>
      <c r="O312" s="39">
        <v>0.57240000000000002</v>
      </c>
      <c r="P312" s="40" t="s">
        <v>331</v>
      </c>
      <c r="Q312" s="38">
        <v>1</v>
      </c>
      <c r="R312" s="38">
        <v>4</v>
      </c>
      <c r="S312" s="38">
        <v>3</v>
      </c>
      <c r="T312" s="38">
        <f>SUM(R312:S312)</f>
        <v>7</v>
      </c>
      <c r="U312" s="42">
        <v>0</v>
      </c>
      <c r="V312" s="38">
        <v>0</v>
      </c>
      <c r="W312" s="38">
        <v>0</v>
      </c>
      <c r="X312" s="38">
        <v>0</v>
      </c>
      <c r="Y312" s="37"/>
    </row>
    <row r="313" spans="1:25" s="31" customFormat="1" ht="15" customHeight="1" x14ac:dyDescent="0.3">
      <c r="A313" s="36"/>
      <c r="B313" s="37"/>
      <c r="C313" s="45"/>
      <c r="D313" s="37">
        <v>2017</v>
      </c>
      <c r="E313" s="38">
        <f>31432*1000000</f>
        <v>31432000000</v>
      </c>
      <c r="F313" s="38">
        <f>(31432+7245+9986+238+6719)*1000000</f>
        <v>55620000000</v>
      </c>
      <c r="G313" s="38">
        <f>1660572*1000000</f>
        <v>1660572000000</v>
      </c>
      <c r="H313" s="38">
        <f>(2140+9183+423+382+20501)*1000000</f>
        <v>32629000000</v>
      </c>
      <c r="I313" s="38">
        <f>(2140+9183+423+382+20501+1144+28738+7149+5010+21338+235879)*1000000</f>
        <v>331887000000</v>
      </c>
      <c r="J313" s="38">
        <f>21606*1000000</f>
        <v>21606000000</v>
      </c>
      <c r="K313" s="38">
        <f>(151555+554-3595+21606)*1000000</f>
        <v>170120000000</v>
      </c>
      <c r="L313" s="38">
        <f>(85621+11126+158+8629)*1000000</f>
        <v>105534000000</v>
      </c>
      <c r="M313" s="38">
        <f>13467*1000000</f>
        <v>13467000000</v>
      </c>
      <c r="N313" s="38">
        <f>16065*1000000</f>
        <v>16065000000</v>
      </c>
      <c r="O313" s="39">
        <v>0.57240000000000002</v>
      </c>
      <c r="P313" s="40" t="s">
        <v>331</v>
      </c>
      <c r="Q313" s="38">
        <v>1</v>
      </c>
      <c r="R313" s="38">
        <v>4</v>
      </c>
      <c r="S313" s="38">
        <v>2</v>
      </c>
      <c r="T313" s="38">
        <f t="shared" ref="T313:T320" si="28">SUM(R313:S313)</f>
        <v>6</v>
      </c>
      <c r="U313" s="42">
        <v>0</v>
      </c>
      <c r="V313" s="38">
        <v>0</v>
      </c>
      <c r="W313" s="38">
        <v>0</v>
      </c>
      <c r="X313" s="38">
        <v>0</v>
      </c>
      <c r="Y313" s="37"/>
    </row>
    <row r="314" spans="1:25" s="31" customFormat="1" ht="15" customHeight="1" x14ac:dyDescent="0.3">
      <c r="A314" s="36"/>
      <c r="B314" s="37"/>
      <c r="C314" s="45"/>
      <c r="D314" s="37">
        <v>2018</v>
      </c>
      <c r="E314" s="38">
        <f>16708*1000000</f>
        <v>16708000000</v>
      </c>
      <c r="F314" s="38">
        <f>(16708+14271+18729+130+7280)*1000000</f>
        <v>57118000000</v>
      </c>
      <c r="G314" s="38">
        <f>1712378*1000000</f>
        <v>1712378000000</v>
      </c>
      <c r="H314" s="38">
        <f>(17237+16209+344+26+32119)*1000000</f>
        <v>65935000000</v>
      </c>
      <c r="I314" s="38">
        <f>(17237+16209+344+26+32119+64+32366+6851+6307+21088+233939)*1000000</f>
        <v>366550000000</v>
      </c>
      <c r="J314" s="38">
        <f>24963*1000000</f>
        <v>24963000000</v>
      </c>
      <c r="K314" s="38">
        <f>(151555+554-3866+24963)*1000000</f>
        <v>173206000000</v>
      </c>
      <c r="L314" s="38">
        <f>(86829+16054+7611)*1000000</f>
        <v>110494000000</v>
      </c>
      <c r="M314" s="38">
        <f>10174*1000000</f>
        <v>10174000000</v>
      </c>
      <c r="N314" s="38">
        <f>12908*1000000</f>
        <v>12908000000</v>
      </c>
      <c r="O314" s="39">
        <v>0.57240000000000002</v>
      </c>
      <c r="P314" s="40" t="s">
        <v>331</v>
      </c>
      <c r="Q314" s="38">
        <v>2</v>
      </c>
      <c r="R314" s="38">
        <v>4</v>
      </c>
      <c r="S314" s="38">
        <v>3</v>
      </c>
      <c r="T314" s="38">
        <f t="shared" si="28"/>
        <v>7</v>
      </c>
      <c r="U314" s="42">
        <v>0</v>
      </c>
      <c r="V314" s="38">
        <v>0</v>
      </c>
      <c r="W314" s="38">
        <v>0</v>
      </c>
      <c r="X314" s="38">
        <v>0</v>
      </c>
      <c r="Y314" s="37"/>
    </row>
    <row r="315" spans="1:25" s="31" customFormat="1" ht="15" customHeight="1" x14ac:dyDescent="0.3">
      <c r="A315" s="36"/>
      <c r="B315" s="37"/>
      <c r="C315" s="45"/>
      <c r="D315" s="37">
        <v>2019</v>
      </c>
      <c r="E315" s="38">
        <f>16995*1000000</f>
        <v>16995000000</v>
      </c>
      <c r="F315" s="38">
        <f>(16995+30431+29002+87+7371)*1000000</f>
        <v>83886000000</v>
      </c>
      <c r="G315" s="38">
        <f>1805094*1000000</f>
        <v>1805094000000</v>
      </c>
      <c r="H315" s="38">
        <f>(15430+23629+336+259+35781)*1000000</f>
        <v>75435000000</v>
      </c>
      <c r="I315" s="38">
        <f>(15430+23629+336+259+35781+2284+94992+5298+8375+23544+256898)*1000000</f>
        <v>466826000000</v>
      </c>
      <c r="J315" s="38">
        <f>34013*1000000</f>
        <v>34013000000</v>
      </c>
      <c r="K315" s="38">
        <f>(151555+554-1668+34013)*1000000</f>
        <v>184454000000</v>
      </c>
      <c r="L315" s="38">
        <f>(95204+19496+2902+8678)*1000000</f>
        <v>126280000000</v>
      </c>
      <c r="M315" s="38">
        <f>9430*1000000</f>
        <v>9430000000</v>
      </c>
      <c r="N315" s="38">
        <f>9493*1000000</f>
        <v>9493000000</v>
      </c>
      <c r="O315" s="39">
        <v>0.57240000000000002</v>
      </c>
      <c r="P315" s="40" t="s">
        <v>331</v>
      </c>
      <c r="Q315" s="38">
        <v>2</v>
      </c>
      <c r="R315" s="38">
        <v>4</v>
      </c>
      <c r="S315" s="38">
        <v>3</v>
      </c>
      <c r="T315" s="38">
        <f t="shared" si="28"/>
        <v>7</v>
      </c>
      <c r="U315" s="42">
        <v>0</v>
      </c>
      <c r="V315" s="38">
        <v>0</v>
      </c>
      <c r="W315" s="38">
        <v>0</v>
      </c>
      <c r="X315" s="38">
        <v>0</v>
      </c>
      <c r="Y315" s="37"/>
    </row>
    <row r="316" spans="1:25" s="31" customFormat="1" ht="15" customHeight="1" x14ac:dyDescent="0.3">
      <c r="A316" s="36"/>
      <c r="B316" s="37"/>
      <c r="C316" s="45"/>
      <c r="D316" s="37">
        <v>2020</v>
      </c>
      <c r="E316" s="38">
        <f>23097*1000000</f>
        <v>23097000000</v>
      </c>
      <c r="F316" s="38">
        <f>(23097+15792+21603+54+6140)*1000000</f>
        <v>66686000000</v>
      </c>
      <c r="G316" s="38">
        <f>1821015*1000000</f>
        <v>1821015000000</v>
      </c>
      <c r="H316" s="38">
        <f>(18504+14471+527+528+29132)*1000000</f>
        <v>63162000000</v>
      </c>
      <c r="I316" s="38">
        <f>494103*1000000</f>
        <v>494103000000</v>
      </c>
      <c r="J316" s="38">
        <f>44872*1000000</f>
        <v>44872000000</v>
      </c>
      <c r="K316" s="38">
        <f>198267*1000000</f>
        <v>198267000000</v>
      </c>
      <c r="L316" s="38">
        <f>112320*1000000</f>
        <v>112320000000</v>
      </c>
      <c r="M316" s="38">
        <f>11168*1000000</f>
        <v>11168000000</v>
      </c>
      <c r="N316" s="38">
        <f>10640*1000000</f>
        <v>10640000000</v>
      </c>
      <c r="O316" s="39">
        <v>0.57240000000000002</v>
      </c>
      <c r="P316" s="40" t="s">
        <v>331</v>
      </c>
      <c r="Q316" s="38">
        <v>2</v>
      </c>
      <c r="R316" s="38">
        <v>3</v>
      </c>
      <c r="S316" s="38">
        <v>3</v>
      </c>
      <c r="T316" s="38">
        <f t="shared" si="28"/>
        <v>6</v>
      </c>
      <c r="U316" s="42">
        <v>0</v>
      </c>
      <c r="V316" s="38">
        <v>0</v>
      </c>
      <c r="W316" s="38">
        <v>0</v>
      </c>
      <c r="X316" s="38">
        <v>0</v>
      </c>
      <c r="Y316" s="37"/>
    </row>
    <row r="317" spans="1:25" s="31" customFormat="1" ht="15" customHeight="1" x14ac:dyDescent="0.3">
      <c r="A317" s="36"/>
      <c r="B317" s="37"/>
      <c r="C317" s="45"/>
      <c r="D317" s="37">
        <v>2021</v>
      </c>
      <c r="E317" s="38">
        <f>18171*1000000</f>
        <v>18171000000</v>
      </c>
      <c r="F317" s="38">
        <f>(18171+15566+49329+5+7089)*1000000</f>
        <v>90160000000</v>
      </c>
      <c r="G317" s="38">
        <f>1820850*1000000</f>
        <v>1820850000000</v>
      </c>
      <c r="H317" s="38">
        <f>(27436+18651+499+431+30149)*1000000</f>
        <v>77166000000</v>
      </c>
      <c r="I317" s="38">
        <f>575223*1000000</f>
        <v>575223000000</v>
      </c>
      <c r="J317" s="38">
        <f>59762*1000000</f>
        <v>59762000000</v>
      </c>
      <c r="K317" s="38">
        <f>211871*1000000</f>
        <v>211871000000</v>
      </c>
      <c r="L317" s="38">
        <f>112684*1000000</f>
        <v>112684000000</v>
      </c>
      <c r="M317" s="38">
        <f>16355*1000000</f>
        <v>16355000000</v>
      </c>
      <c r="N317" s="38">
        <f>15384*1000000</f>
        <v>15384000000</v>
      </c>
      <c r="O317" s="39">
        <v>0.57240000000000002</v>
      </c>
      <c r="P317" s="40" t="s">
        <v>331</v>
      </c>
      <c r="Q317" s="38">
        <v>2</v>
      </c>
      <c r="R317" s="38">
        <v>3</v>
      </c>
      <c r="S317" s="38">
        <v>2</v>
      </c>
      <c r="T317" s="38">
        <f t="shared" si="28"/>
        <v>5</v>
      </c>
      <c r="U317" s="42">
        <v>0</v>
      </c>
      <c r="V317" s="38">
        <v>0</v>
      </c>
      <c r="W317" s="38">
        <v>0</v>
      </c>
      <c r="X317" s="38">
        <v>0</v>
      </c>
      <c r="Y317" s="37"/>
    </row>
    <row r="318" spans="1:25" s="31" customFormat="1" ht="15" customHeight="1" x14ac:dyDescent="0.3">
      <c r="A318" s="36"/>
      <c r="B318" s="37"/>
      <c r="C318" s="45"/>
      <c r="D318" s="37">
        <v>2022</v>
      </c>
      <c r="E318" s="38">
        <f>19662*1000000</f>
        <v>19662000000</v>
      </c>
      <c r="F318" s="38">
        <f>(19662+16030+28377+10189)*1000000</f>
        <v>74258000000</v>
      </c>
      <c r="G318" s="38">
        <f>1844693*1000000</f>
        <v>1844693000000</v>
      </c>
      <c r="H318" s="38">
        <f>(20546+16714+612+178+27855)*1000000</f>
        <v>65905000000</v>
      </c>
      <c r="I318" s="38">
        <f>647883*1000000</f>
        <v>647883000000</v>
      </c>
      <c r="J318" s="38">
        <f>67222*1000000</f>
        <v>67222000000</v>
      </c>
      <c r="K318" s="38">
        <f>219331*1000000</f>
        <v>219331000000</v>
      </c>
      <c r="L318" s="38">
        <f>109205*1000000</f>
        <v>109205000000</v>
      </c>
      <c r="M318" s="38">
        <f>3852*1000000</f>
        <v>3852000000</v>
      </c>
      <c r="N318" s="38">
        <f>2754*1000000</f>
        <v>2754000000</v>
      </c>
      <c r="O318" s="39">
        <v>0.57240000000000002</v>
      </c>
      <c r="P318" s="40" t="s">
        <v>331</v>
      </c>
      <c r="Q318" s="38">
        <v>2</v>
      </c>
      <c r="R318" s="38">
        <v>4</v>
      </c>
      <c r="S318" s="38">
        <v>2</v>
      </c>
      <c r="T318" s="38">
        <f t="shared" si="28"/>
        <v>6</v>
      </c>
      <c r="U318" s="42">
        <v>0</v>
      </c>
      <c r="V318" s="38">
        <v>0</v>
      </c>
      <c r="W318" s="38">
        <v>0</v>
      </c>
      <c r="X318" s="38">
        <v>0</v>
      </c>
      <c r="Y318" s="37"/>
    </row>
    <row r="319" spans="1:25" s="31" customFormat="1" ht="15" customHeight="1" x14ac:dyDescent="0.3">
      <c r="A319" s="36"/>
      <c r="B319" s="37"/>
      <c r="C319" s="45"/>
      <c r="D319" s="37">
        <v>2023</v>
      </c>
      <c r="E319" s="38">
        <f>10173*1000000</f>
        <v>10173000000</v>
      </c>
      <c r="F319" s="38">
        <f>(10173+21224+58865+13942)*1000000</f>
        <v>104204000000</v>
      </c>
      <c r="G319" s="38">
        <f>1791328*1000000</f>
        <v>1791328000000</v>
      </c>
      <c r="H319" s="38">
        <f>(23321+27971+658+253+30336)*1000000</f>
        <v>82539000000</v>
      </c>
      <c r="I319" s="38">
        <f>675459*1000000</f>
        <v>675459000000</v>
      </c>
      <c r="J319" s="38">
        <f>36633*1000000</f>
        <v>36633000000</v>
      </c>
      <c r="K319" s="38">
        <f>188742*1000000</f>
        <v>188742000000</v>
      </c>
      <c r="L319" s="38">
        <f>118909*1000000</f>
        <v>118909000000</v>
      </c>
      <c r="M319" s="38">
        <f>9829*1000000</f>
        <v>9829000000</v>
      </c>
      <c r="N319" s="38">
        <f>7071*1000000</f>
        <v>7071000000</v>
      </c>
      <c r="O319" s="39">
        <v>0.57240000000000002</v>
      </c>
      <c r="P319" s="40" t="s">
        <v>331</v>
      </c>
      <c r="Q319" s="38">
        <v>2</v>
      </c>
      <c r="R319" s="38">
        <v>3</v>
      </c>
      <c r="S319" s="38">
        <v>3</v>
      </c>
      <c r="T319" s="38">
        <f t="shared" si="28"/>
        <v>6</v>
      </c>
      <c r="U319" s="42">
        <v>0</v>
      </c>
      <c r="V319" s="38">
        <v>0</v>
      </c>
      <c r="W319" s="38">
        <v>0</v>
      </c>
      <c r="X319" s="38">
        <v>0</v>
      </c>
      <c r="Y319" s="37"/>
    </row>
    <row r="320" spans="1:25" s="31" customFormat="1" ht="15" customHeight="1" x14ac:dyDescent="0.3">
      <c r="A320" s="36"/>
      <c r="B320" s="37"/>
      <c r="C320" s="45"/>
      <c r="D320" s="37">
        <v>2024</v>
      </c>
      <c r="E320" s="38">
        <f>19844*1000000</f>
        <v>19844000000</v>
      </c>
      <c r="F320" s="38">
        <f>(19844+26064+4330+12546)*1000000</f>
        <v>62784000000</v>
      </c>
      <c r="G320" s="38">
        <f>1662152*1000000</f>
        <v>1662152000000</v>
      </c>
      <c r="H320" s="38">
        <f>(21657+17634+311+140+36265)*1000000</f>
        <v>76007000000</v>
      </c>
      <c r="I320" s="38">
        <f>565896*1000000</f>
        <v>565896000000</v>
      </c>
      <c r="J320" s="38">
        <f>52546*1000000</f>
        <v>52546000000</v>
      </c>
      <c r="K320" s="38">
        <f>194655*1000000</f>
        <v>194655000000</v>
      </c>
      <c r="L320" s="38">
        <f>145340*1000000</f>
        <v>145340000000</v>
      </c>
      <c r="M320" s="38">
        <f>5415*1000000</f>
        <v>5415000000</v>
      </c>
      <c r="N320" s="38">
        <f>5495*1000000</f>
        <v>5495000000</v>
      </c>
      <c r="O320" s="39">
        <v>0.57240000000000002</v>
      </c>
      <c r="P320" s="40" t="s">
        <v>331</v>
      </c>
      <c r="Q320" s="38">
        <v>2</v>
      </c>
      <c r="R320" s="38">
        <v>4</v>
      </c>
      <c r="S320" s="38">
        <v>3</v>
      </c>
      <c r="T320" s="38">
        <f t="shared" si="28"/>
        <v>7</v>
      </c>
      <c r="U320" s="42">
        <v>0</v>
      </c>
      <c r="V320" s="38">
        <v>0</v>
      </c>
      <c r="W320" s="38">
        <v>0</v>
      </c>
      <c r="X320" s="38">
        <v>0</v>
      </c>
      <c r="Y320" s="37"/>
    </row>
    <row r="321" spans="1:25" s="31" customFormat="1" ht="15" customHeight="1" x14ac:dyDescent="0.3">
      <c r="A321" s="36"/>
      <c r="B321" s="37">
        <v>30</v>
      </c>
      <c r="C321" s="29" t="s">
        <v>5</v>
      </c>
      <c r="D321" s="37">
        <v>2014</v>
      </c>
      <c r="E321" s="38">
        <v>0</v>
      </c>
      <c r="F321" s="38">
        <v>0</v>
      </c>
      <c r="G321" s="38">
        <v>0</v>
      </c>
      <c r="H321" s="38">
        <v>0</v>
      </c>
      <c r="I321" s="38">
        <v>0</v>
      </c>
      <c r="J321" s="38">
        <v>0</v>
      </c>
      <c r="K321" s="38">
        <v>0</v>
      </c>
      <c r="L321" s="38">
        <v>0</v>
      </c>
      <c r="M321" s="38">
        <v>0</v>
      </c>
      <c r="N321" s="38">
        <v>0</v>
      </c>
      <c r="O321" s="38">
        <v>0</v>
      </c>
      <c r="P321" s="38">
        <v>0</v>
      </c>
      <c r="Q321" s="38">
        <v>0</v>
      </c>
      <c r="R321" s="38">
        <v>0</v>
      </c>
      <c r="S321" s="38">
        <v>0</v>
      </c>
      <c r="T321" s="38">
        <v>0</v>
      </c>
      <c r="U321" s="38">
        <v>0</v>
      </c>
      <c r="V321" s="38">
        <v>0</v>
      </c>
      <c r="W321" s="38">
        <v>0</v>
      </c>
      <c r="X321" s="38">
        <v>0</v>
      </c>
      <c r="Y321" s="37"/>
    </row>
    <row r="322" spans="1:25" s="31" customFormat="1" ht="15" customHeight="1" x14ac:dyDescent="0.3">
      <c r="A322" s="36"/>
      <c r="B322" s="37"/>
      <c r="C322" s="29"/>
      <c r="D322" s="37">
        <v>2015</v>
      </c>
      <c r="E322" s="38">
        <v>0</v>
      </c>
      <c r="F322" s="38">
        <v>0</v>
      </c>
      <c r="G322" s="38">
        <v>0</v>
      </c>
      <c r="H322" s="38">
        <v>0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  <c r="N322" s="38">
        <v>0</v>
      </c>
      <c r="O322" s="38">
        <v>0</v>
      </c>
      <c r="P322" s="38">
        <v>0</v>
      </c>
      <c r="Q322" s="38">
        <v>0</v>
      </c>
      <c r="R322" s="38">
        <v>0</v>
      </c>
      <c r="S322" s="38">
        <v>0</v>
      </c>
      <c r="T322" s="38">
        <v>0</v>
      </c>
      <c r="U322" s="38">
        <v>0</v>
      </c>
      <c r="V322" s="38">
        <v>0</v>
      </c>
      <c r="W322" s="38">
        <v>0</v>
      </c>
      <c r="X322" s="38">
        <v>0</v>
      </c>
      <c r="Y322" s="37"/>
    </row>
    <row r="323" spans="1:25" s="31" customFormat="1" ht="15" customHeight="1" x14ac:dyDescent="0.3">
      <c r="A323" s="36"/>
      <c r="B323" s="37"/>
      <c r="C323" s="29"/>
      <c r="D323" s="37">
        <v>2016</v>
      </c>
      <c r="E323" s="38">
        <v>0</v>
      </c>
      <c r="F323" s="38">
        <v>0</v>
      </c>
      <c r="G323" s="38">
        <v>0</v>
      </c>
      <c r="H323" s="38">
        <v>0</v>
      </c>
      <c r="I323" s="38">
        <v>0</v>
      </c>
      <c r="J323" s="38">
        <v>0</v>
      </c>
      <c r="K323" s="38">
        <v>0</v>
      </c>
      <c r="L323" s="38">
        <v>0</v>
      </c>
      <c r="M323" s="38">
        <v>0</v>
      </c>
      <c r="N323" s="38">
        <v>0</v>
      </c>
      <c r="O323" s="38">
        <v>0</v>
      </c>
      <c r="P323" s="38">
        <v>0</v>
      </c>
      <c r="Q323" s="38">
        <v>0</v>
      </c>
      <c r="R323" s="38">
        <v>0</v>
      </c>
      <c r="S323" s="38">
        <v>0</v>
      </c>
      <c r="T323" s="38">
        <v>0</v>
      </c>
      <c r="U323" s="38">
        <v>0</v>
      </c>
      <c r="V323" s="38">
        <v>0</v>
      </c>
      <c r="W323" s="38">
        <v>0</v>
      </c>
      <c r="X323" s="38">
        <v>0</v>
      </c>
      <c r="Y323" s="37"/>
    </row>
    <row r="324" spans="1:25" s="31" customFormat="1" ht="15" customHeight="1" x14ac:dyDescent="0.3">
      <c r="A324" s="36"/>
      <c r="B324" s="37"/>
      <c r="C324" s="29"/>
      <c r="D324" s="37">
        <v>2017</v>
      </c>
      <c r="E324" s="38">
        <f>96846*1000000</f>
        <v>96846000000</v>
      </c>
      <c r="F324" s="38">
        <f>(96846+12895+83509+127977+39885)*1000000</f>
        <v>361112000000</v>
      </c>
      <c r="G324" s="38">
        <f>10926484*1000000</f>
        <v>10926484000000</v>
      </c>
      <c r="H324" s="38">
        <f>1223298*1000000</f>
        <v>1223298000000</v>
      </c>
      <c r="I324" s="38">
        <f>8868810*1000000</f>
        <v>8868810000000</v>
      </c>
      <c r="J324" s="38">
        <f>1515851*1000000</f>
        <v>1515851000000</v>
      </c>
      <c r="K324" s="38">
        <f>2057674*1000000</f>
        <v>2057674000000</v>
      </c>
      <c r="L324" s="38">
        <f>2826530*1000000</f>
        <v>2826530000000</v>
      </c>
      <c r="M324" s="38">
        <f>190486*1000000</f>
        <v>190486000000</v>
      </c>
      <c r="N324" s="38">
        <f>452235*1000000</f>
        <v>452235000000</v>
      </c>
      <c r="O324" s="38">
        <v>0</v>
      </c>
      <c r="P324" s="38">
        <v>0</v>
      </c>
      <c r="Q324" s="38">
        <v>0</v>
      </c>
      <c r="R324" s="38">
        <v>0</v>
      </c>
      <c r="S324" s="38">
        <v>0</v>
      </c>
      <c r="T324" s="38">
        <v>0</v>
      </c>
      <c r="U324" s="38">
        <v>0</v>
      </c>
      <c r="V324" s="38">
        <v>0</v>
      </c>
      <c r="W324" s="38">
        <v>0</v>
      </c>
      <c r="X324" s="38">
        <v>0</v>
      </c>
      <c r="Y324" s="37"/>
    </row>
    <row r="325" spans="1:25" s="31" customFormat="1" ht="15" customHeight="1" x14ac:dyDescent="0.3">
      <c r="A325" s="36"/>
      <c r="B325" s="37"/>
      <c r="C325" s="29"/>
      <c r="D325" s="37">
        <v>2018</v>
      </c>
      <c r="E325" s="38">
        <f>63967*1000000</f>
        <v>63967000000</v>
      </c>
      <c r="F325" s="38">
        <f>(63967+19859+115589+172436+52549)*1000000</f>
        <v>424400000000</v>
      </c>
      <c r="G325" s="38">
        <f>10229507*1000000</f>
        <v>10229507000000</v>
      </c>
      <c r="H325" s="38">
        <f>1243621*1000000</f>
        <v>1243621000000</v>
      </c>
      <c r="I325" s="38">
        <f>8438294*1000000</f>
        <v>8438294000000</v>
      </c>
      <c r="J325" s="38">
        <f>1714890*1000000</f>
        <v>1714890000000</v>
      </c>
      <c r="K325" s="38">
        <f>1791213*1000000</f>
        <v>1791213000000</v>
      </c>
      <c r="L325" s="38">
        <f>2121294*1000000</f>
        <v>2121294000000</v>
      </c>
      <c r="M325" s="38">
        <f>165893*1000000</f>
        <v>165893000000</v>
      </c>
      <c r="N325" s="38">
        <f>-216462*1000000</f>
        <v>-216462000000</v>
      </c>
      <c r="O325" s="39">
        <v>0.64929999999999999</v>
      </c>
      <c r="P325" s="40" t="s">
        <v>236</v>
      </c>
      <c r="Q325" s="38">
        <v>2</v>
      </c>
      <c r="R325" s="38">
        <v>4</v>
      </c>
      <c r="S325" s="38">
        <v>3</v>
      </c>
      <c r="T325" s="38">
        <f>SUM(R325:S325)</f>
        <v>7</v>
      </c>
      <c r="U325" s="38">
        <v>0</v>
      </c>
      <c r="V325" s="38">
        <v>0</v>
      </c>
      <c r="W325" s="38">
        <v>0</v>
      </c>
      <c r="X325" s="38">
        <v>0</v>
      </c>
      <c r="Y325" s="37"/>
    </row>
    <row r="326" spans="1:25" s="31" customFormat="1" ht="15" customHeight="1" x14ac:dyDescent="0.3">
      <c r="A326" s="36"/>
      <c r="B326" s="37"/>
      <c r="C326" s="29"/>
      <c r="D326" s="37">
        <v>2019</v>
      </c>
      <c r="E326" s="38">
        <f>72285*1000000</f>
        <v>72285000000</v>
      </c>
      <c r="F326" s="38">
        <f>(72285+63337+188576+215288+66523)*1000000</f>
        <v>606009000000</v>
      </c>
      <c r="G326" s="38">
        <f>11985227*1000000</f>
        <v>11985227000000</v>
      </c>
      <c r="H326" s="38">
        <f>1289816*1000000</f>
        <v>1289816000000</v>
      </c>
      <c r="I326" s="38">
        <f>9867528*1000000</f>
        <v>9867528000000</v>
      </c>
      <c r="J326" s="38">
        <f>1767491*1000000</f>
        <v>1767491000000</v>
      </c>
      <c r="K326" s="38">
        <f>2117699*1000000</f>
        <v>2117699000000</v>
      </c>
      <c r="L326" s="38">
        <f>3900366*1000000</f>
        <v>3900366000000</v>
      </c>
      <c r="M326" s="38">
        <f>143096*1000000</f>
        <v>143096000000</v>
      </c>
      <c r="N326" s="38">
        <f>394486*1000000</f>
        <v>394486000000</v>
      </c>
      <c r="O326" s="39">
        <v>0.64929999999999999</v>
      </c>
      <c r="P326" s="40" t="s">
        <v>236</v>
      </c>
      <c r="Q326" s="38">
        <v>2</v>
      </c>
      <c r="R326" s="38">
        <v>4</v>
      </c>
      <c r="S326" s="38">
        <v>4</v>
      </c>
      <c r="T326" s="38">
        <f t="shared" ref="T326:T331" si="29">SUM(R326:S326)</f>
        <v>8</v>
      </c>
      <c r="U326" s="38">
        <v>0</v>
      </c>
      <c r="V326" s="38">
        <v>0</v>
      </c>
      <c r="W326" s="38">
        <v>0</v>
      </c>
      <c r="X326" s="38">
        <v>0</v>
      </c>
      <c r="Y326" s="37"/>
    </row>
    <row r="327" spans="1:25" s="31" customFormat="1" ht="15" customHeight="1" x14ac:dyDescent="0.3">
      <c r="A327" s="36"/>
      <c r="B327" s="37"/>
      <c r="C327" s="29"/>
      <c r="D327" s="37">
        <v>2020</v>
      </c>
      <c r="E327" s="38">
        <f>180755*1000000</f>
        <v>180755000000</v>
      </c>
      <c r="F327" s="38">
        <f>(180755+90729+214094+307939+30998+57888)*1000000</f>
        <v>882403000000</v>
      </c>
      <c r="G327" s="38">
        <f>11238753*1000000</f>
        <v>11238753000000</v>
      </c>
      <c r="H327" s="38">
        <f>1328822*1000000</f>
        <v>1328822000000</v>
      </c>
      <c r="I327" s="38">
        <f>9038891*1000000</f>
        <v>9038891000000</v>
      </c>
      <c r="J327" s="38">
        <f>1767688*1000000</f>
        <v>1767688000000</v>
      </c>
      <c r="K327" s="38">
        <f>2199862*1000000</f>
        <v>2199862000000</v>
      </c>
      <c r="L327" s="38">
        <f>1764941*1000000</f>
        <v>1764941000000</v>
      </c>
      <c r="M327" s="38">
        <f>79918*1000000</f>
        <v>79918000000</v>
      </c>
      <c r="N327" s="38">
        <f>125019*1000000</f>
        <v>125019000000</v>
      </c>
      <c r="O327" s="39">
        <v>0.64929999999999999</v>
      </c>
      <c r="P327" s="40" t="s">
        <v>236</v>
      </c>
      <c r="Q327" s="38">
        <v>2</v>
      </c>
      <c r="R327" s="38">
        <v>3</v>
      </c>
      <c r="S327" s="38">
        <v>3</v>
      </c>
      <c r="T327" s="38">
        <f t="shared" si="29"/>
        <v>6</v>
      </c>
      <c r="U327" s="38">
        <v>0</v>
      </c>
      <c r="V327" s="38">
        <v>0</v>
      </c>
      <c r="W327" s="38">
        <v>0</v>
      </c>
      <c r="X327" s="38">
        <v>0</v>
      </c>
      <c r="Y327" s="37"/>
    </row>
    <row r="328" spans="1:25" s="31" customFormat="1" ht="15" customHeight="1" x14ac:dyDescent="0.3">
      <c r="A328" s="36"/>
      <c r="B328" s="37"/>
      <c r="C328" s="29"/>
      <c r="D328" s="37">
        <v>2021</v>
      </c>
      <c r="E328" s="38">
        <f>31251*1000000</f>
        <v>31251000000</v>
      </c>
      <c r="F328" s="38">
        <f>(31251+19782+213126+301358+200+57837)*1000000</f>
        <v>623554000000</v>
      </c>
      <c r="G328" s="38">
        <f>9745939*1000000</f>
        <v>9745939000000</v>
      </c>
      <c r="H328" s="38">
        <f>1171802*1000000</f>
        <v>1171802000000</v>
      </c>
      <c r="I328" s="38">
        <f>7491360*1000000</f>
        <v>7491360000000</v>
      </c>
      <c r="J328" s="38">
        <f>1852975*1000000</f>
        <v>1852975000000</v>
      </c>
      <c r="K328" s="38">
        <f>2254579*1000000</f>
        <v>2254579000000</v>
      </c>
      <c r="L328" s="38">
        <f>1219468*1000000</f>
        <v>1219468000000</v>
      </c>
      <c r="M328" s="38">
        <f>122279*1000000</f>
        <v>122279000000</v>
      </c>
      <c r="N328" s="38">
        <f>78085*1000000</f>
        <v>78085000000</v>
      </c>
      <c r="O328" s="39">
        <v>0.64929999999999999</v>
      </c>
      <c r="P328" s="40" t="s">
        <v>236</v>
      </c>
      <c r="Q328" s="38">
        <v>2</v>
      </c>
      <c r="R328" s="38">
        <v>3</v>
      </c>
      <c r="S328" s="38">
        <v>3</v>
      </c>
      <c r="T328" s="38">
        <f t="shared" si="29"/>
        <v>6</v>
      </c>
      <c r="U328" s="38">
        <v>0</v>
      </c>
      <c r="V328" s="38">
        <v>0</v>
      </c>
      <c r="W328" s="38">
        <v>0</v>
      </c>
      <c r="X328" s="38">
        <v>0</v>
      </c>
      <c r="Y328" s="37"/>
    </row>
    <row r="329" spans="1:25" s="31" customFormat="1" ht="15" customHeight="1" x14ac:dyDescent="0.3">
      <c r="A329" s="36"/>
      <c r="B329" s="37"/>
      <c r="C329" s="29"/>
      <c r="D329" s="37">
        <v>2022</v>
      </c>
      <c r="E329" s="38">
        <f>58396*1000000</f>
        <v>58396000000</v>
      </c>
      <c r="F329" s="38">
        <f>(58396+10088+164519+214001+1127+51492)*1000000</f>
        <v>499623000000</v>
      </c>
      <c r="G329" s="38">
        <f>7080639*1000000</f>
        <v>7080639000000</v>
      </c>
      <c r="H329" s="38">
        <f>1060797*1000000</f>
        <v>1060797000000</v>
      </c>
      <c r="I329" s="38">
        <f>5158807*1000000</f>
        <v>5158807000000</v>
      </c>
      <c r="J329" s="38">
        <f>1931615*1000000</f>
        <v>1931615000000</v>
      </c>
      <c r="K329" s="38">
        <f>1921832*1000000</f>
        <v>1921832000000</v>
      </c>
      <c r="L329" s="38">
        <f>1491898*1000000</f>
        <v>1491898000000</v>
      </c>
      <c r="M329" s="38">
        <f>123554*1000000</f>
        <v>123554000000</v>
      </c>
      <c r="N329" s="38">
        <f>-299047*1000000</f>
        <v>-299047000000</v>
      </c>
      <c r="O329" s="39">
        <v>0.64929999999999999</v>
      </c>
      <c r="P329" s="40" t="s">
        <v>236</v>
      </c>
      <c r="Q329" s="38">
        <v>2</v>
      </c>
      <c r="R329" s="38">
        <v>3</v>
      </c>
      <c r="S329" s="38">
        <v>4</v>
      </c>
      <c r="T329" s="38">
        <f t="shared" si="29"/>
        <v>7</v>
      </c>
      <c r="U329" s="38">
        <v>0</v>
      </c>
      <c r="V329" s="38">
        <v>0</v>
      </c>
      <c r="W329" s="38">
        <v>0</v>
      </c>
      <c r="X329" s="38">
        <v>0</v>
      </c>
      <c r="Y329" s="37"/>
    </row>
    <row r="330" spans="1:25" s="31" customFormat="1" ht="15" customHeight="1" x14ac:dyDescent="0.3">
      <c r="A330" s="36"/>
      <c r="B330" s="37"/>
      <c r="C330" s="29"/>
      <c r="D330" s="37">
        <v>2023</v>
      </c>
      <c r="E330" s="38">
        <f>65493*1000000</f>
        <v>65493000000</v>
      </c>
      <c r="F330" s="38">
        <f>(65493+32046+124249+237626+4273+52416)*1000000</f>
        <v>516103000000</v>
      </c>
      <c r="G330" s="38">
        <f>7019115*1000000</f>
        <v>7019115000000</v>
      </c>
      <c r="H330" s="38">
        <f>1052829*1000000</f>
        <v>1052829000000</v>
      </c>
      <c r="I330" s="38">
        <f>4736663*1000000</f>
        <v>4736663000000</v>
      </c>
      <c r="J330" s="38">
        <f>1965337*1000000</f>
        <v>1965337000000</v>
      </c>
      <c r="K330" s="38">
        <f>2282452*1000000</f>
        <v>2282452000000</v>
      </c>
      <c r="L330" s="38">
        <f>1203626*1000000</f>
        <v>1203626000000</v>
      </c>
      <c r="M330" s="38">
        <f>130138*1000000</f>
        <v>130138000000</v>
      </c>
      <c r="N330" s="38">
        <f>172982*1000000</f>
        <v>172982000000</v>
      </c>
      <c r="O330" s="39">
        <v>0.64929999999999999</v>
      </c>
      <c r="P330" s="40" t="s">
        <v>236</v>
      </c>
      <c r="Q330" s="38">
        <v>2</v>
      </c>
      <c r="R330" s="38">
        <v>2</v>
      </c>
      <c r="S330" s="38">
        <v>3</v>
      </c>
      <c r="T330" s="38">
        <f t="shared" si="29"/>
        <v>5</v>
      </c>
      <c r="U330" s="38">
        <v>0</v>
      </c>
      <c r="V330" s="38">
        <v>0</v>
      </c>
      <c r="W330" s="38">
        <v>0</v>
      </c>
      <c r="X330" s="38">
        <v>0</v>
      </c>
      <c r="Y330" s="37"/>
    </row>
    <row r="331" spans="1:25" s="31" customFormat="1" ht="15" customHeight="1" x14ac:dyDescent="0.3">
      <c r="A331" s="36"/>
      <c r="B331" s="37"/>
      <c r="C331" s="29"/>
      <c r="D331" s="37">
        <v>2024</v>
      </c>
      <c r="E331" s="38">
        <f>35549*1000000</f>
        <v>35549000000</v>
      </c>
      <c r="F331" s="38">
        <f>(35549+18289+82636+235275+54372)*1000000</f>
        <v>426121000000</v>
      </c>
      <c r="G331" s="38">
        <f>6182592*1000000</f>
        <v>6182592000000</v>
      </c>
      <c r="H331" s="38">
        <f>1099836*1000000</f>
        <v>1099836000000</v>
      </c>
      <c r="I331" s="38">
        <f>4152265*1000000</f>
        <v>4152265000000</v>
      </c>
      <c r="J331" s="38">
        <f>1811075*1000000</f>
        <v>1811075000000</v>
      </c>
      <c r="K331" s="38">
        <f>2030327*1000000</f>
        <v>2030327000000</v>
      </c>
      <c r="L331" s="38">
        <f>923439*1000000</f>
        <v>923439000000</v>
      </c>
      <c r="M331" s="38">
        <f>105360*1000000</f>
        <v>105360000000</v>
      </c>
      <c r="N331" s="38">
        <f>-9319*1000000</f>
        <v>-9319000000</v>
      </c>
      <c r="O331" s="39">
        <v>0.64929999999999999</v>
      </c>
      <c r="P331" s="40" t="s">
        <v>236</v>
      </c>
      <c r="Q331" s="38">
        <v>3</v>
      </c>
      <c r="R331" s="38">
        <v>3</v>
      </c>
      <c r="S331" s="38">
        <v>4</v>
      </c>
      <c r="T331" s="38">
        <f t="shared" si="29"/>
        <v>7</v>
      </c>
      <c r="U331" s="38">
        <v>0</v>
      </c>
      <c r="V331" s="38">
        <v>0</v>
      </c>
      <c r="W331" s="38">
        <v>0</v>
      </c>
      <c r="X331" s="38">
        <v>0</v>
      </c>
      <c r="Y331" s="37"/>
    </row>
    <row r="332" spans="1:25" s="31" customFormat="1" ht="15" customHeight="1" x14ac:dyDescent="0.3">
      <c r="A332" s="36"/>
      <c r="B332" s="37">
        <v>31</v>
      </c>
      <c r="C332" s="29" t="s">
        <v>6</v>
      </c>
      <c r="D332" s="37">
        <v>2014</v>
      </c>
      <c r="E332" s="38">
        <v>0</v>
      </c>
      <c r="F332" s="38">
        <v>0</v>
      </c>
      <c r="G332" s="38">
        <v>0</v>
      </c>
      <c r="H332" s="38">
        <v>0</v>
      </c>
      <c r="I332" s="38">
        <v>0</v>
      </c>
      <c r="J332" s="38">
        <v>0</v>
      </c>
      <c r="K332" s="38">
        <v>0</v>
      </c>
      <c r="L332" s="38">
        <v>0</v>
      </c>
      <c r="M332" s="38">
        <v>0</v>
      </c>
      <c r="N332" s="38">
        <v>0</v>
      </c>
      <c r="O332" s="41">
        <v>0</v>
      </c>
      <c r="P332" s="38">
        <v>0</v>
      </c>
      <c r="Q332" s="38">
        <v>0</v>
      </c>
      <c r="R332" s="38">
        <v>0</v>
      </c>
      <c r="S332" s="41">
        <v>0</v>
      </c>
      <c r="T332" s="41">
        <v>0</v>
      </c>
      <c r="U332" s="38">
        <v>0</v>
      </c>
      <c r="V332" s="38">
        <v>0</v>
      </c>
      <c r="W332" s="38">
        <v>0</v>
      </c>
      <c r="X332" s="38">
        <v>0</v>
      </c>
      <c r="Y332" s="37"/>
    </row>
    <row r="333" spans="1:25" s="31" customFormat="1" ht="15" customHeight="1" x14ac:dyDescent="0.3">
      <c r="A333" s="36"/>
      <c r="B333" s="37"/>
      <c r="C333" s="29"/>
      <c r="D333" s="37">
        <v>2015</v>
      </c>
      <c r="E333" s="38">
        <v>0</v>
      </c>
      <c r="F333" s="38">
        <v>0</v>
      </c>
      <c r="G333" s="38">
        <v>0</v>
      </c>
      <c r="H333" s="38">
        <v>0</v>
      </c>
      <c r="I333" s="38">
        <v>0</v>
      </c>
      <c r="J333" s="38">
        <v>0</v>
      </c>
      <c r="K333" s="38">
        <v>0</v>
      </c>
      <c r="L333" s="38">
        <v>0</v>
      </c>
      <c r="M333" s="38">
        <v>0</v>
      </c>
      <c r="N333" s="38">
        <v>0</v>
      </c>
      <c r="O333" s="41">
        <v>0</v>
      </c>
      <c r="P333" s="38">
        <v>0</v>
      </c>
      <c r="Q333" s="38">
        <v>0</v>
      </c>
      <c r="R333" s="38">
        <v>0</v>
      </c>
      <c r="S333" s="41">
        <v>0</v>
      </c>
      <c r="T333" s="38">
        <v>0</v>
      </c>
      <c r="U333" s="38">
        <v>0</v>
      </c>
      <c r="V333" s="38">
        <v>0</v>
      </c>
      <c r="W333" s="38">
        <v>0</v>
      </c>
      <c r="X333" s="38">
        <v>0</v>
      </c>
      <c r="Y333" s="37"/>
    </row>
    <row r="334" spans="1:25" s="31" customFormat="1" ht="15" customHeight="1" x14ac:dyDescent="0.3">
      <c r="A334" s="36"/>
      <c r="B334" s="37"/>
      <c r="C334" s="29"/>
      <c r="D334" s="37">
        <v>2016</v>
      </c>
      <c r="E334" s="38">
        <v>0</v>
      </c>
      <c r="F334" s="38">
        <v>0</v>
      </c>
      <c r="G334" s="38">
        <v>0</v>
      </c>
      <c r="H334" s="38">
        <v>0</v>
      </c>
      <c r="I334" s="38">
        <v>0</v>
      </c>
      <c r="J334" s="38">
        <v>0</v>
      </c>
      <c r="K334" s="38">
        <v>0</v>
      </c>
      <c r="L334" s="38">
        <v>0</v>
      </c>
      <c r="M334" s="38">
        <v>0</v>
      </c>
      <c r="N334" s="38">
        <v>0</v>
      </c>
      <c r="O334" s="41">
        <v>0</v>
      </c>
      <c r="P334" s="38">
        <v>0</v>
      </c>
      <c r="Q334" s="38">
        <v>0</v>
      </c>
      <c r="R334" s="38">
        <v>0</v>
      </c>
      <c r="S334" s="41">
        <v>0</v>
      </c>
      <c r="T334" s="38">
        <v>0</v>
      </c>
      <c r="U334" s="38">
        <v>0</v>
      </c>
      <c r="V334" s="38">
        <v>0</v>
      </c>
      <c r="W334" s="38">
        <v>0</v>
      </c>
      <c r="X334" s="38">
        <v>0</v>
      </c>
      <c r="Y334" s="37"/>
    </row>
    <row r="335" spans="1:25" s="31" customFormat="1" ht="15" customHeight="1" x14ac:dyDescent="0.3">
      <c r="A335" s="36"/>
      <c r="B335" s="37"/>
      <c r="C335" s="29"/>
      <c r="D335" s="37">
        <v>2017</v>
      </c>
      <c r="E335" s="38">
        <v>0</v>
      </c>
      <c r="F335" s="38">
        <v>0</v>
      </c>
      <c r="G335" s="38">
        <v>0</v>
      </c>
      <c r="H335" s="38">
        <v>0</v>
      </c>
      <c r="I335" s="38">
        <v>0</v>
      </c>
      <c r="J335" s="38">
        <v>0</v>
      </c>
      <c r="K335" s="38">
        <v>0</v>
      </c>
      <c r="L335" s="38">
        <v>0</v>
      </c>
      <c r="M335" s="38">
        <v>0</v>
      </c>
      <c r="N335" s="38">
        <v>0</v>
      </c>
      <c r="O335" s="41">
        <v>0</v>
      </c>
      <c r="P335" s="38">
        <v>0</v>
      </c>
      <c r="Q335" s="38">
        <v>0</v>
      </c>
      <c r="R335" s="38">
        <v>0</v>
      </c>
      <c r="S335" s="41">
        <v>0</v>
      </c>
      <c r="T335" s="38">
        <v>0</v>
      </c>
      <c r="U335" s="38">
        <v>0</v>
      </c>
      <c r="V335" s="38">
        <v>0</v>
      </c>
      <c r="W335" s="38">
        <v>0</v>
      </c>
      <c r="X335" s="38">
        <v>0</v>
      </c>
      <c r="Y335" s="37"/>
    </row>
    <row r="336" spans="1:25" s="31" customFormat="1" ht="15" customHeight="1" x14ac:dyDescent="0.3">
      <c r="A336" s="36"/>
      <c r="B336" s="37"/>
      <c r="C336" s="29"/>
      <c r="D336" s="37">
        <v>2018</v>
      </c>
      <c r="E336" s="38">
        <v>0</v>
      </c>
      <c r="F336" s="38">
        <v>0</v>
      </c>
      <c r="G336" s="38">
        <v>0</v>
      </c>
      <c r="H336" s="38">
        <v>0</v>
      </c>
      <c r="I336" s="38">
        <v>0</v>
      </c>
      <c r="J336" s="38">
        <v>0</v>
      </c>
      <c r="K336" s="38">
        <v>0</v>
      </c>
      <c r="L336" s="38">
        <v>0</v>
      </c>
      <c r="M336" s="38">
        <v>0</v>
      </c>
      <c r="N336" s="38">
        <v>0</v>
      </c>
      <c r="O336" s="41">
        <v>0</v>
      </c>
      <c r="P336" s="38">
        <v>0</v>
      </c>
      <c r="Q336" s="38">
        <v>0</v>
      </c>
      <c r="R336" s="38">
        <v>0</v>
      </c>
      <c r="S336" s="41">
        <v>0</v>
      </c>
      <c r="T336" s="38">
        <v>0</v>
      </c>
      <c r="U336" s="38">
        <v>0</v>
      </c>
      <c r="V336" s="38">
        <v>0</v>
      </c>
      <c r="W336" s="38">
        <v>0</v>
      </c>
      <c r="X336" s="38">
        <v>0</v>
      </c>
      <c r="Y336" s="37"/>
    </row>
    <row r="337" spans="1:25" s="31" customFormat="1" ht="15" customHeight="1" x14ac:dyDescent="0.3">
      <c r="A337" s="36"/>
      <c r="B337" s="37"/>
      <c r="C337" s="29"/>
      <c r="D337" s="37">
        <v>2019</v>
      </c>
      <c r="E337" s="38">
        <f>106048*1000000</f>
        <v>106048000000</v>
      </c>
      <c r="F337" s="38">
        <f>(106048+23383+43131+148227+35441)*1000000</f>
        <v>356230000000</v>
      </c>
      <c r="G337" s="38">
        <f>6174958*1000000</f>
        <v>6174958000000</v>
      </c>
      <c r="H337" s="38">
        <f>441964*1000000</f>
        <v>441964000000</v>
      </c>
      <c r="I337" s="38">
        <f>5205566*1000000</f>
        <v>5205566000000</v>
      </c>
      <c r="J337" s="38">
        <f>357371*1000000</f>
        <v>357371000000</v>
      </c>
      <c r="K337" s="38">
        <f>969392*1000000</f>
        <v>969392000000</v>
      </c>
      <c r="L337" s="38">
        <f>1602762*1000000</f>
        <v>1602762000000</v>
      </c>
      <c r="M337" s="38">
        <f>-19756*1000000</f>
        <v>-19756000000</v>
      </c>
      <c r="N337" s="38">
        <f>-573*1000000</f>
        <v>-573000000</v>
      </c>
      <c r="O337" s="41">
        <v>0</v>
      </c>
      <c r="P337" s="38">
        <v>0</v>
      </c>
      <c r="Q337" s="38">
        <v>0</v>
      </c>
      <c r="R337" s="38">
        <v>0</v>
      </c>
      <c r="S337" s="41">
        <v>0</v>
      </c>
      <c r="T337" s="38">
        <v>0</v>
      </c>
      <c r="U337" s="38">
        <v>0</v>
      </c>
      <c r="V337" s="38">
        <v>0</v>
      </c>
      <c r="W337" s="38">
        <v>0</v>
      </c>
      <c r="X337" s="38">
        <v>0</v>
      </c>
      <c r="Y337" s="37"/>
    </row>
    <row r="338" spans="1:25" s="31" customFormat="1" ht="15" customHeight="1" x14ac:dyDescent="0.3">
      <c r="A338" s="36"/>
      <c r="B338" s="37"/>
      <c r="C338" s="29"/>
      <c r="D338" s="37">
        <v>2020</v>
      </c>
      <c r="E338" s="38">
        <f>49380*1000000</f>
        <v>49380000000</v>
      </c>
      <c r="F338" s="38">
        <f>(49380+29217+48846+215924+37062)*1000000</f>
        <v>380429000000</v>
      </c>
      <c r="G338" s="38">
        <f>6360147*1000000</f>
        <v>6360147000000</v>
      </c>
      <c r="H338" s="38">
        <f>569840*1000000</f>
        <v>569840000000</v>
      </c>
      <c r="I338" s="38">
        <f>5327460*1000000</f>
        <v>5327460000000</v>
      </c>
      <c r="J338" s="38">
        <f>418191*1000000</f>
        <v>418191000000</v>
      </c>
      <c r="K338" s="38">
        <f>1032687*1000000</f>
        <v>1032687000000</v>
      </c>
      <c r="L338" s="38">
        <f>1357217*1000000</f>
        <v>1357217000000</v>
      </c>
      <c r="M338" s="38">
        <f>105405*1000000</f>
        <v>105405000000</v>
      </c>
      <c r="N338" s="38">
        <f>74295*1000000</f>
        <v>74295000000</v>
      </c>
      <c r="O338" s="39">
        <v>0.91159999999999997</v>
      </c>
      <c r="P338" s="40" t="s">
        <v>217</v>
      </c>
      <c r="Q338" s="38">
        <v>2</v>
      </c>
      <c r="R338" s="38">
        <v>3</v>
      </c>
      <c r="S338" s="38">
        <v>3</v>
      </c>
      <c r="T338" s="38">
        <v>6</v>
      </c>
      <c r="U338" s="38">
        <v>0</v>
      </c>
      <c r="V338" s="38">
        <v>0</v>
      </c>
      <c r="W338" s="38">
        <v>0</v>
      </c>
      <c r="X338" s="38">
        <v>0</v>
      </c>
      <c r="Y338" s="37"/>
    </row>
    <row r="339" spans="1:25" s="31" customFormat="1" ht="15" customHeight="1" x14ac:dyDescent="0.3">
      <c r="A339" s="36"/>
      <c r="B339" s="37"/>
      <c r="C339" s="29"/>
      <c r="D339" s="37">
        <v>2021</v>
      </c>
      <c r="E339" s="38">
        <f>73281*1000000</f>
        <v>73281000000</v>
      </c>
      <c r="F339" s="38">
        <f>(73281+31471+55335+185777+41719)*1000000</f>
        <v>387583000000</v>
      </c>
      <c r="G339" s="38">
        <f>6454782*1000000</f>
        <v>6454782000000</v>
      </c>
      <c r="H339" s="38">
        <f>612450*1000000</f>
        <v>612450000000</v>
      </c>
      <c r="I339" s="38">
        <f>5304976*1000000</f>
        <v>5304976000000</v>
      </c>
      <c r="J339" s="38">
        <f>534097*1000000</f>
        <v>534097000000</v>
      </c>
      <c r="K339" s="38">
        <f>1149806*1000000</f>
        <v>1149806000000</v>
      </c>
      <c r="L339" s="38">
        <f>1440703*1000000</f>
        <v>1440703000000</v>
      </c>
      <c r="M339" s="38">
        <f>116694*1000000</f>
        <v>116694000000</v>
      </c>
      <c r="N339" s="38">
        <f>127119*1000000</f>
        <v>127119000000</v>
      </c>
      <c r="O339" s="39">
        <v>0.91159999999999997</v>
      </c>
      <c r="P339" s="40" t="s">
        <v>217</v>
      </c>
      <c r="Q339" s="38">
        <v>2</v>
      </c>
      <c r="R339" s="38">
        <v>3</v>
      </c>
      <c r="S339" s="38">
        <v>3</v>
      </c>
      <c r="T339" s="38">
        <v>6</v>
      </c>
      <c r="U339" s="38">
        <v>0</v>
      </c>
      <c r="V339" s="38">
        <v>0</v>
      </c>
      <c r="W339" s="38">
        <v>0</v>
      </c>
      <c r="X339" s="38">
        <v>0</v>
      </c>
      <c r="Y339" s="37"/>
    </row>
    <row r="340" spans="1:25" s="31" customFormat="1" ht="15" customHeight="1" x14ac:dyDescent="0.3">
      <c r="A340" s="36"/>
      <c r="B340" s="37"/>
      <c r="C340" s="29"/>
      <c r="D340" s="37">
        <v>2022</v>
      </c>
      <c r="E340" s="38">
        <f>49770*1000000</f>
        <v>49770000000</v>
      </c>
      <c r="F340" s="38">
        <f>(49770+29581+68233+364004+58225)*1000000</f>
        <v>569813000000</v>
      </c>
      <c r="G340" s="38">
        <f>6650529*1000000</f>
        <v>6650529000000</v>
      </c>
      <c r="H340" s="38">
        <f>813361*1000000</f>
        <v>813361000000</v>
      </c>
      <c r="I340" s="38">
        <f>5430786*1000000</f>
        <v>5430786000000</v>
      </c>
      <c r="J340" s="38">
        <f>604778*1000000</f>
        <v>604778000000</v>
      </c>
      <c r="K340" s="38">
        <f>1219743*1000000</f>
        <v>1219743000000</v>
      </c>
      <c r="L340" s="38">
        <f>1448230*1000000</f>
        <v>1448230000000</v>
      </c>
      <c r="M340" s="38">
        <f>53910*1000000</f>
        <v>53910000000</v>
      </c>
      <c r="N340" s="38">
        <f>69937*1000000</f>
        <v>69937000000</v>
      </c>
      <c r="O340" s="39">
        <v>0.91159999999999997</v>
      </c>
      <c r="P340" s="40" t="s">
        <v>217</v>
      </c>
      <c r="Q340" s="38">
        <v>2</v>
      </c>
      <c r="R340" s="38">
        <v>3</v>
      </c>
      <c r="S340" s="38">
        <v>3</v>
      </c>
      <c r="T340" s="38">
        <v>6</v>
      </c>
      <c r="U340" s="38">
        <v>0</v>
      </c>
      <c r="V340" s="38">
        <v>0</v>
      </c>
      <c r="W340" s="38">
        <v>0</v>
      </c>
      <c r="X340" s="38">
        <v>0</v>
      </c>
      <c r="Y340" s="37"/>
    </row>
    <row r="341" spans="1:25" s="31" customFormat="1" ht="15" customHeight="1" x14ac:dyDescent="0.3">
      <c r="A341" s="36"/>
      <c r="B341" s="37"/>
      <c r="C341" s="29"/>
      <c r="D341" s="37">
        <v>2023</v>
      </c>
      <c r="E341" s="38">
        <f>57974*1000000</f>
        <v>57974000000</v>
      </c>
      <c r="F341" s="38">
        <f>(57974+34535+80331+320991+63385)*1000000</f>
        <v>557216000000</v>
      </c>
      <c r="G341" s="38">
        <f>7227612*1000000</f>
        <v>7227612000000</v>
      </c>
      <c r="H341" s="38">
        <f>756234*1000000</f>
        <v>756234000000</v>
      </c>
      <c r="I341" s="38">
        <f>5497327*1000000</f>
        <v>5497327000000</v>
      </c>
      <c r="J341" s="38">
        <f>533360*1000000</f>
        <v>533360000000</v>
      </c>
      <c r="K341" s="38">
        <f>1730285*1000000</f>
        <v>1730285000000</v>
      </c>
      <c r="L341" s="38">
        <f>1712162*1000000</f>
        <v>1712162000000</v>
      </c>
      <c r="M341" s="38">
        <f>-69182*1000000</f>
        <v>-69182000000</v>
      </c>
      <c r="N341" s="38">
        <f>-70458*1000000</f>
        <v>-70458000000</v>
      </c>
      <c r="O341" s="39">
        <v>0.91159999999999997</v>
      </c>
      <c r="P341" s="40" t="s">
        <v>217</v>
      </c>
      <c r="Q341" s="38">
        <v>2</v>
      </c>
      <c r="R341" s="38">
        <v>4</v>
      </c>
      <c r="S341" s="38">
        <v>3</v>
      </c>
      <c r="T341" s="38">
        <v>7</v>
      </c>
      <c r="U341" s="38">
        <v>0</v>
      </c>
      <c r="V341" s="38">
        <v>0</v>
      </c>
      <c r="W341" s="38">
        <v>0</v>
      </c>
      <c r="X341" s="38">
        <v>0</v>
      </c>
      <c r="Y341" s="37"/>
    </row>
    <row r="342" spans="1:25" s="31" customFormat="1" ht="15" customHeight="1" x14ac:dyDescent="0.3">
      <c r="A342" s="36"/>
      <c r="B342" s="37"/>
      <c r="C342" s="29"/>
      <c r="D342" s="37">
        <v>2024</v>
      </c>
      <c r="E342" s="38">
        <f>155087*1000000</f>
        <v>155087000000</v>
      </c>
      <c r="F342" s="38">
        <f>(155087+48352+50093+7630+72737)*1000000</f>
        <v>333899000000</v>
      </c>
      <c r="G342" s="38">
        <f>6708375*1000000</f>
        <v>6708375000000</v>
      </c>
      <c r="H342" s="38">
        <f>498213*1000000</f>
        <v>498213000000</v>
      </c>
      <c r="I342" s="38">
        <f>5019888*1000000</f>
        <v>5019888000000</v>
      </c>
      <c r="J342" s="38">
        <f>509430*1000000</f>
        <v>509430000000</v>
      </c>
      <c r="K342" s="38">
        <f>1688487*1000000</f>
        <v>1688487000000</v>
      </c>
      <c r="L342" s="38">
        <f>1839965*1000000</f>
        <v>1839965000000</v>
      </c>
      <c r="M342" s="38">
        <f>-52914*1000000</f>
        <v>-52914000000</v>
      </c>
      <c r="N342" s="38">
        <f>-54218*1000000</f>
        <v>-54218000000</v>
      </c>
      <c r="O342" s="39">
        <v>0.91159999999999997</v>
      </c>
      <c r="P342" s="40" t="s">
        <v>217</v>
      </c>
      <c r="Q342" s="38">
        <v>2</v>
      </c>
      <c r="R342" s="38">
        <v>4</v>
      </c>
      <c r="S342" s="38">
        <v>4</v>
      </c>
      <c r="T342" s="38">
        <v>8</v>
      </c>
      <c r="U342" s="38">
        <v>0</v>
      </c>
      <c r="V342" s="38">
        <v>0</v>
      </c>
      <c r="W342" s="38">
        <v>0</v>
      </c>
      <c r="X342" s="38">
        <v>0</v>
      </c>
      <c r="Y342" s="37"/>
    </row>
    <row r="343" spans="1:25" s="31" customFormat="1" ht="15" customHeight="1" x14ac:dyDescent="0.3">
      <c r="A343" s="36"/>
      <c r="B343" s="37">
        <v>32</v>
      </c>
      <c r="C343" s="29" t="s">
        <v>7</v>
      </c>
      <c r="D343" s="37">
        <v>2014</v>
      </c>
      <c r="E343" s="38">
        <v>0</v>
      </c>
      <c r="F343" s="38">
        <v>0</v>
      </c>
      <c r="G343" s="38">
        <v>0</v>
      </c>
      <c r="H343" s="38">
        <v>0</v>
      </c>
      <c r="I343" s="38">
        <v>0</v>
      </c>
      <c r="J343" s="38">
        <v>0</v>
      </c>
      <c r="K343" s="38">
        <v>0</v>
      </c>
      <c r="L343" s="38">
        <v>0</v>
      </c>
      <c r="M343" s="38">
        <v>0</v>
      </c>
      <c r="N343" s="38">
        <v>0</v>
      </c>
      <c r="O343" s="38">
        <v>0</v>
      </c>
      <c r="P343" s="38">
        <v>0</v>
      </c>
      <c r="Q343" s="38">
        <v>0</v>
      </c>
      <c r="R343" s="38">
        <v>0</v>
      </c>
      <c r="S343" s="38">
        <v>0</v>
      </c>
      <c r="T343" s="38">
        <v>0</v>
      </c>
      <c r="U343" s="38">
        <v>0</v>
      </c>
      <c r="V343" s="38">
        <v>0</v>
      </c>
      <c r="W343" s="38">
        <v>0</v>
      </c>
      <c r="X343" s="38">
        <v>0</v>
      </c>
      <c r="Y343" s="37"/>
    </row>
    <row r="344" spans="1:25" s="31" customFormat="1" ht="15" customHeight="1" x14ac:dyDescent="0.3">
      <c r="A344" s="36"/>
      <c r="B344" s="37"/>
      <c r="C344" s="29"/>
      <c r="D344" s="37">
        <v>2015</v>
      </c>
      <c r="E344" s="38">
        <v>0</v>
      </c>
      <c r="F344" s="38">
        <v>0</v>
      </c>
      <c r="G344" s="38">
        <v>0</v>
      </c>
      <c r="H344" s="38">
        <v>0</v>
      </c>
      <c r="I344" s="38">
        <v>0</v>
      </c>
      <c r="J344" s="38">
        <v>0</v>
      </c>
      <c r="K344" s="38">
        <v>0</v>
      </c>
      <c r="L344" s="38">
        <v>0</v>
      </c>
      <c r="M344" s="38">
        <v>0</v>
      </c>
      <c r="N344" s="38">
        <v>0</v>
      </c>
      <c r="O344" s="38">
        <v>0</v>
      </c>
      <c r="P344" s="38">
        <v>0</v>
      </c>
      <c r="Q344" s="38">
        <v>0</v>
      </c>
      <c r="R344" s="38">
        <v>0</v>
      </c>
      <c r="S344" s="38">
        <v>0</v>
      </c>
      <c r="T344" s="38">
        <v>0</v>
      </c>
      <c r="U344" s="38">
        <v>0</v>
      </c>
      <c r="V344" s="38">
        <v>0</v>
      </c>
      <c r="W344" s="38">
        <v>0</v>
      </c>
      <c r="X344" s="38">
        <v>0</v>
      </c>
      <c r="Y344" s="37"/>
    </row>
    <row r="345" spans="1:25" s="31" customFormat="1" ht="15" customHeight="1" x14ac:dyDescent="0.3">
      <c r="A345" s="36"/>
      <c r="B345" s="37"/>
      <c r="C345" s="29"/>
      <c r="D345" s="37">
        <v>2016</v>
      </c>
      <c r="E345" s="38">
        <f>688629*1000000</f>
        <v>688629000000</v>
      </c>
      <c r="F345" s="38">
        <f>(688629+1995079+22211523+59810+252163+41605+223+538287)*1000000</f>
        <v>25787319000000</v>
      </c>
      <c r="G345" s="38">
        <f>25983699*1000000</f>
        <v>25983699000000</v>
      </c>
      <c r="H345" s="38">
        <f>(1333051+132017+1958+44330+209611)*1000000</f>
        <v>1720967000000</v>
      </c>
      <c r="I345" s="38">
        <f>23639751*1000000</f>
        <v>23639751000000</v>
      </c>
      <c r="J345" s="38">
        <f>2211114*1000000</f>
        <v>2211114000000</v>
      </c>
      <c r="K345" s="38">
        <f>2324120*1000000</f>
        <v>2324120000000</v>
      </c>
      <c r="L345" s="38">
        <f>10257277*1000000</f>
        <v>10257277000000</v>
      </c>
      <c r="M345" s="38">
        <f>1658473*1000000</f>
        <v>1658473000000</v>
      </c>
      <c r="N345" s="38">
        <f>1302115*1000000</f>
        <v>1302115000000</v>
      </c>
      <c r="O345" s="38">
        <v>0</v>
      </c>
      <c r="P345" s="38">
        <v>0</v>
      </c>
      <c r="Q345" s="38">
        <v>0</v>
      </c>
      <c r="R345" s="38">
        <v>0</v>
      </c>
      <c r="S345" s="38">
        <v>0</v>
      </c>
      <c r="T345" s="38">
        <v>0</v>
      </c>
      <c r="U345" s="38">
        <v>0</v>
      </c>
      <c r="V345" s="38">
        <v>0</v>
      </c>
      <c r="W345" s="38">
        <v>0</v>
      </c>
      <c r="X345" s="38">
        <v>0</v>
      </c>
      <c r="Y345" s="37"/>
    </row>
    <row r="346" spans="1:25" s="31" customFormat="1" ht="15" customHeight="1" x14ac:dyDescent="0.3">
      <c r="A346" s="36"/>
      <c r="B346" s="37"/>
      <c r="C346" s="29"/>
      <c r="D346" s="37">
        <v>2017</v>
      </c>
      <c r="E346" s="38">
        <f>1203485*1000000</f>
        <v>1203485000000</v>
      </c>
      <c r="F346" s="38">
        <f>(1203485+2161945+25776291+77441+337610+45057+478164)*1000000</f>
        <v>30079993000000</v>
      </c>
      <c r="G346" s="38">
        <f>30228537*1000000</f>
        <v>30228537000000</v>
      </c>
      <c r="H346" s="30">
        <f>(1088193+156702+236950+1393+17635)*1000000</f>
        <v>1500873000000</v>
      </c>
      <c r="I346" s="38">
        <f>28026604*1000000</f>
        <v>28026604000000</v>
      </c>
      <c r="J346" s="38">
        <f>1986513*1000000</f>
        <v>1986513000000</v>
      </c>
      <c r="K346" s="38">
        <f>2170217*1000000</f>
        <v>2170217000000</v>
      </c>
      <c r="L346" s="38">
        <f>12761157*1000000</f>
        <v>12761157000000</v>
      </c>
      <c r="M346" s="38">
        <f>1245208*1000000</f>
        <v>1245208000000</v>
      </c>
      <c r="N346" s="38">
        <f>1006645*1000000</f>
        <v>1006645000000</v>
      </c>
      <c r="O346" s="39">
        <v>0.51</v>
      </c>
      <c r="P346" s="40" t="s">
        <v>204</v>
      </c>
      <c r="Q346" s="38">
        <v>2</v>
      </c>
      <c r="R346" s="38">
        <v>4</v>
      </c>
      <c r="S346" s="38">
        <v>4</v>
      </c>
      <c r="T346" s="38">
        <f>SUM(R346:S346)</f>
        <v>8</v>
      </c>
      <c r="U346" s="42">
        <v>0</v>
      </c>
      <c r="V346" s="38">
        <v>0</v>
      </c>
      <c r="W346" s="38">
        <v>0</v>
      </c>
      <c r="X346" s="38">
        <v>0</v>
      </c>
      <c r="Y346" s="37"/>
    </row>
    <row r="347" spans="1:25" s="31" customFormat="1" ht="15" customHeight="1" x14ac:dyDescent="0.3">
      <c r="A347" s="36"/>
      <c r="B347" s="37"/>
      <c r="C347" s="29"/>
      <c r="D347" s="37">
        <v>2018</v>
      </c>
      <c r="E347" s="38">
        <f>1604365*1000000</f>
        <v>1604365000000</v>
      </c>
      <c r="F347" s="38">
        <f>(1604365+859092+26182148+54473+231661+67803+1404+464642)*1000000</f>
        <v>29465588000000</v>
      </c>
      <c r="G347" s="38">
        <f>29576153*1000000</f>
        <v>29576153000000</v>
      </c>
      <c r="H347" s="38">
        <f>(1074217+41210+137299+1681+54666)*1000000</f>
        <v>1309073000000</v>
      </c>
      <c r="I347" s="38">
        <f>27260085*1000000</f>
        <v>27260085000000</v>
      </c>
      <c r="J347" s="38">
        <f>2225471*1000000</f>
        <v>2225471000000</v>
      </c>
      <c r="K347" s="38">
        <f>2278251*1000000</f>
        <v>2278251000000</v>
      </c>
      <c r="L347" s="38">
        <f>7434182*1000000</f>
        <v>7434182000000</v>
      </c>
      <c r="M347" s="38">
        <f>1257616*1000000</f>
        <v>1257616000000</v>
      </c>
      <c r="N347" s="38">
        <f>946651*1000000</f>
        <v>946651000000</v>
      </c>
      <c r="O347" s="39">
        <v>0.51</v>
      </c>
      <c r="P347" s="40" t="s">
        <v>204</v>
      </c>
      <c r="Q347" s="38">
        <v>2</v>
      </c>
      <c r="R347" s="38">
        <v>4</v>
      </c>
      <c r="S347" s="38">
        <v>3</v>
      </c>
      <c r="T347" s="38">
        <f t="shared" ref="T347:T353" si="30">SUM(R347:S347)</f>
        <v>7</v>
      </c>
      <c r="U347" s="42">
        <v>0</v>
      </c>
      <c r="V347" s="38">
        <v>0</v>
      </c>
      <c r="W347" s="38">
        <v>0</v>
      </c>
      <c r="X347" s="38">
        <v>0</v>
      </c>
      <c r="Y347" s="37"/>
    </row>
    <row r="348" spans="1:25" s="31" customFormat="1" ht="15" customHeight="1" x14ac:dyDescent="0.3">
      <c r="A348" s="36"/>
      <c r="B348" s="37"/>
      <c r="C348" s="29"/>
      <c r="D348" s="37">
        <v>2019</v>
      </c>
      <c r="E348" s="38">
        <f>1168411*1000000</f>
        <v>1168411000000</v>
      </c>
      <c r="F348" s="38">
        <f>(1168411+979145+29604900+61702+85863+84570+33805+622187)*1000000</f>
        <v>32640583000000</v>
      </c>
      <c r="G348" s="38">
        <f>32753111*1000000</f>
        <v>32753111000000</v>
      </c>
      <c r="H348" s="38">
        <f>(1272574+36803+81364+1733+12818)*1000000</f>
        <v>1405292000000</v>
      </c>
      <c r="I348" s="38">
        <f>29809992*1000000</f>
        <v>29809992000000</v>
      </c>
      <c r="J348" s="38">
        <f>2754107*1000000</f>
        <v>2754107000000</v>
      </c>
      <c r="K348" s="38">
        <f>2905341*1000000</f>
        <v>2905341000000</v>
      </c>
      <c r="L348" s="38">
        <f>10738420*1000000</f>
        <v>10738420000000</v>
      </c>
      <c r="M348" s="38">
        <f>1166293*1000000</f>
        <v>1166293000000</v>
      </c>
      <c r="N348" s="38">
        <f>1003845*1000000</f>
        <v>1003845000000</v>
      </c>
      <c r="O348" s="39">
        <v>0.51</v>
      </c>
      <c r="P348" s="40" t="s">
        <v>204</v>
      </c>
      <c r="Q348" s="38">
        <v>2</v>
      </c>
      <c r="R348" s="38">
        <v>4</v>
      </c>
      <c r="S348" s="38">
        <v>4</v>
      </c>
      <c r="T348" s="38">
        <f t="shared" si="30"/>
        <v>8</v>
      </c>
      <c r="U348" s="42">
        <v>0</v>
      </c>
      <c r="V348" s="38">
        <v>0</v>
      </c>
      <c r="W348" s="38">
        <v>0</v>
      </c>
      <c r="X348" s="38">
        <v>0</v>
      </c>
      <c r="Y348" s="37"/>
    </row>
    <row r="349" spans="1:25" s="31" customFormat="1" ht="15" customHeight="1" x14ac:dyDescent="0.3">
      <c r="A349" s="36"/>
      <c r="B349" s="37"/>
      <c r="C349" s="29"/>
      <c r="D349" s="37">
        <v>2020</v>
      </c>
      <c r="E349" s="38">
        <f>1119759*1000000</f>
        <v>1119759000000</v>
      </c>
      <c r="F349" s="38">
        <f>(1119759+67837+47122+155719+84805)*1000000</f>
        <v>1475242000000</v>
      </c>
      <c r="G349" s="38">
        <f>(37555991*1000000)</f>
        <v>37555991000000</v>
      </c>
      <c r="H349" s="38">
        <f>2048920*1000000</f>
        <v>2048920000000</v>
      </c>
      <c r="I349" s="38">
        <f>34520466*1000000</f>
        <v>34520466000000</v>
      </c>
      <c r="J349" s="38">
        <f>2756366*1000000</f>
        <v>2756366000000</v>
      </c>
      <c r="K349" s="38">
        <f>2991652*1000000</f>
        <v>2991652000000</v>
      </c>
      <c r="L349" s="38">
        <f>12145888*1000000</f>
        <v>12145888000000</v>
      </c>
      <c r="M349" s="38">
        <f>1127741*1000000</f>
        <v>1127741000000</v>
      </c>
      <c r="N349" s="38">
        <f>1002166*1000000</f>
        <v>1002166000000</v>
      </c>
      <c r="O349" s="39">
        <v>0.51</v>
      </c>
      <c r="P349" s="40" t="s">
        <v>204</v>
      </c>
      <c r="Q349" s="38">
        <v>2</v>
      </c>
      <c r="R349" s="38">
        <v>4</v>
      </c>
      <c r="S349" s="38">
        <v>5</v>
      </c>
      <c r="T349" s="38">
        <f t="shared" si="30"/>
        <v>9</v>
      </c>
      <c r="U349" s="42">
        <v>0</v>
      </c>
      <c r="V349" s="38">
        <f>4+8</f>
        <v>12</v>
      </c>
      <c r="W349" s="38">
        <f t="shared" ref="W349:W386" si="31">V349</f>
        <v>12</v>
      </c>
      <c r="X349" s="38">
        <f>5+8</f>
        <v>13</v>
      </c>
      <c r="Y349" s="37"/>
    </row>
    <row r="350" spans="1:25" s="31" customFormat="1" ht="15" customHeight="1" x14ac:dyDescent="0.3">
      <c r="A350" s="36"/>
      <c r="B350" s="37"/>
      <c r="C350" s="29"/>
      <c r="D350" s="37">
        <v>2021</v>
      </c>
      <c r="E350" s="38">
        <f>1055101*1000000</f>
        <v>1055101000000</v>
      </c>
      <c r="F350" s="38">
        <f>(1055101+58787+60928+216803+98125)*1000000</f>
        <v>1489744000000</v>
      </c>
      <c r="G350" s="38">
        <f>41079324*1000000</f>
        <v>41079324000000</v>
      </c>
      <c r="H350" s="38">
        <f>2694084*1000000</f>
        <v>2694084000000</v>
      </c>
      <c r="I350" s="38">
        <f>38016882*1000000</f>
        <v>38016882000000</v>
      </c>
      <c r="J350" s="38">
        <f>2795995*1000000</f>
        <v>2795995000000</v>
      </c>
      <c r="K350" s="38">
        <f>3026262*1000000</f>
        <v>3026262000000</v>
      </c>
      <c r="L350" s="38">
        <f>14996536*1000000</f>
        <v>14996536000000</v>
      </c>
      <c r="M350" s="38">
        <f>1165829*1000000</f>
        <v>1165829000000</v>
      </c>
      <c r="N350" s="38">
        <f>1035604*1000000</f>
        <v>1035604000000</v>
      </c>
      <c r="O350" s="39">
        <v>0.51</v>
      </c>
      <c r="P350" s="40" t="s">
        <v>204</v>
      </c>
      <c r="Q350" s="38">
        <v>2</v>
      </c>
      <c r="R350" s="38">
        <v>4</v>
      </c>
      <c r="S350" s="38">
        <v>4</v>
      </c>
      <c r="T350" s="38">
        <f t="shared" si="30"/>
        <v>8</v>
      </c>
      <c r="U350" s="42">
        <v>0</v>
      </c>
      <c r="V350" s="38">
        <f>4+6+3</f>
        <v>13</v>
      </c>
      <c r="W350" s="38">
        <f t="shared" si="31"/>
        <v>13</v>
      </c>
      <c r="X350" s="38">
        <f>4+6</f>
        <v>10</v>
      </c>
      <c r="Y350" s="37"/>
    </row>
    <row r="351" spans="1:25" s="31" customFormat="1" ht="15" customHeight="1" x14ac:dyDescent="0.3">
      <c r="A351" s="36"/>
      <c r="B351" s="37"/>
      <c r="C351" s="29"/>
      <c r="D351" s="37">
        <v>2022</v>
      </c>
      <c r="E351" s="38">
        <f>2111414*1000000</f>
        <v>2111414000000</v>
      </c>
      <c r="F351" s="38">
        <f>(2111414+80624+44180+222676+118956)*1000000</f>
        <v>2577850000000</v>
      </c>
      <c r="G351" s="38">
        <f>40154026*1000000</f>
        <v>40154026000000</v>
      </c>
      <c r="H351" s="38">
        <f>2445401*1000000</f>
        <v>2445401000000</v>
      </c>
      <c r="I351" s="38">
        <f>36880066*1000000</f>
        <v>36880066000000</v>
      </c>
      <c r="J351" s="38">
        <f>3065309*1000000</f>
        <v>3065309000000</v>
      </c>
      <c r="K351" s="38">
        <f>3236456*1000000</f>
        <v>3236456000000</v>
      </c>
      <c r="L351" s="38">
        <f>14627604*1000000</f>
        <v>14627604000000</v>
      </c>
      <c r="M351" s="38">
        <f>1417814*1000000</f>
        <v>1417814000000</v>
      </c>
      <c r="N351" s="38">
        <f>1171814*1000000</f>
        <v>1171814000000</v>
      </c>
      <c r="O351" s="39">
        <v>0.51</v>
      </c>
      <c r="P351" s="40" t="s">
        <v>204</v>
      </c>
      <c r="Q351" s="38">
        <v>2</v>
      </c>
      <c r="R351" s="38">
        <v>4</v>
      </c>
      <c r="S351" s="38">
        <v>5</v>
      </c>
      <c r="T351" s="38">
        <f t="shared" si="30"/>
        <v>9</v>
      </c>
      <c r="U351" s="42">
        <v>0</v>
      </c>
      <c r="V351" s="38">
        <f>5+(2*4)+3</f>
        <v>16</v>
      </c>
      <c r="W351" s="38">
        <f t="shared" si="31"/>
        <v>16</v>
      </c>
      <c r="X351" s="38">
        <f>5+6</f>
        <v>11</v>
      </c>
      <c r="Y351" s="37"/>
    </row>
    <row r="352" spans="1:25" s="31" customFormat="1" ht="15" customHeight="1" x14ac:dyDescent="0.3">
      <c r="A352" s="36"/>
      <c r="B352" s="37"/>
      <c r="C352" s="29"/>
      <c r="D352" s="37">
        <v>2023</v>
      </c>
      <c r="E352" s="38">
        <f>1777491*1000000</f>
        <v>1777491000000</v>
      </c>
      <c r="F352" s="38">
        <f>(1777491+140247+44922+286724+139480)*1000000</f>
        <v>2388864000000</v>
      </c>
      <c r="G352" s="38">
        <f>41114473*1000000</f>
        <v>41114473000000</v>
      </c>
      <c r="H352" s="38">
        <f>2731143*1000000</f>
        <v>2731143000000</v>
      </c>
      <c r="I352" s="38">
        <f>37446703*1000000</f>
        <v>37446703000000</v>
      </c>
      <c r="J352" s="38">
        <f>3420213*1000000</f>
        <v>3420213000000</v>
      </c>
      <c r="K352" s="38">
        <f>3619255*1000000</f>
        <v>3619255000000</v>
      </c>
      <c r="L352" s="38">
        <f>14024267*1000000</f>
        <v>14024267000000</v>
      </c>
      <c r="M352" s="38">
        <f>1565072*1000000</f>
        <v>1565072000000</v>
      </c>
      <c r="N352" s="38">
        <f>1327060*1000000</f>
        <v>1327060000000</v>
      </c>
      <c r="O352" s="39">
        <v>0.51</v>
      </c>
      <c r="P352" s="40" t="s">
        <v>204</v>
      </c>
      <c r="Q352" s="38">
        <v>2</v>
      </c>
      <c r="R352" s="38">
        <v>4</v>
      </c>
      <c r="S352" s="38">
        <v>5</v>
      </c>
      <c r="T352" s="38">
        <f t="shared" si="30"/>
        <v>9</v>
      </c>
      <c r="U352" s="42">
        <v>0</v>
      </c>
      <c r="V352" s="38">
        <f>5+(2*4)+3</f>
        <v>16</v>
      </c>
      <c r="W352" s="38">
        <f t="shared" si="31"/>
        <v>16</v>
      </c>
      <c r="X352" s="38">
        <f>5+6</f>
        <v>11</v>
      </c>
      <c r="Y352" s="37"/>
    </row>
    <row r="353" spans="1:25" s="31" customFormat="1" ht="15" customHeight="1" x14ac:dyDescent="0.3">
      <c r="A353" s="36"/>
      <c r="B353" s="37"/>
      <c r="C353" s="29"/>
      <c r="D353" s="37">
        <v>2024</v>
      </c>
      <c r="E353" s="38">
        <f>2348106*1000000</f>
        <v>2348106000000</v>
      </c>
      <c r="F353" s="38">
        <f>(2348106+314348+50057+342863+191721)*1000000</f>
        <v>3247095000000</v>
      </c>
      <c r="G353" s="38">
        <f>41914379*1000000</f>
        <v>41914379000000</v>
      </c>
      <c r="H353" s="38">
        <f>2761524*1000000</f>
        <v>2761524000000</v>
      </c>
      <c r="I353" s="38">
        <f>37465317*1000000</f>
        <v>37465317000000</v>
      </c>
      <c r="J353" s="38">
        <f>3659553*1000000</f>
        <v>3659553000000</v>
      </c>
      <c r="K353" s="38">
        <f>3812640*1000000</f>
        <v>3812640000000</v>
      </c>
      <c r="L353" s="38">
        <f>12458602*1000000</f>
        <v>12458602000000</v>
      </c>
      <c r="M353" s="38">
        <f>1579316*1000000</f>
        <v>1579316000000</v>
      </c>
      <c r="N353" s="38">
        <f>1302294*1000000</f>
        <v>1302294000000</v>
      </c>
      <c r="O353" s="39">
        <v>0.51</v>
      </c>
      <c r="P353" s="40" t="s">
        <v>204</v>
      </c>
      <c r="Q353" s="38">
        <v>2</v>
      </c>
      <c r="R353" s="38">
        <v>4</v>
      </c>
      <c r="S353" s="38">
        <v>5</v>
      </c>
      <c r="T353" s="38">
        <f t="shared" si="30"/>
        <v>9</v>
      </c>
      <c r="U353" s="42">
        <v>0</v>
      </c>
      <c r="V353" s="38">
        <f>5+(2*4)+3</f>
        <v>16</v>
      </c>
      <c r="W353" s="38">
        <f t="shared" si="31"/>
        <v>16</v>
      </c>
      <c r="X353" s="38">
        <f>5+6</f>
        <v>11</v>
      </c>
      <c r="Y353" s="37"/>
    </row>
    <row r="354" spans="1:25" s="31" customFormat="1" ht="15" customHeight="1" x14ac:dyDescent="0.3">
      <c r="A354" s="36"/>
      <c r="B354" s="37">
        <v>33</v>
      </c>
      <c r="C354" s="29" t="s">
        <v>30</v>
      </c>
      <c r="D354" s="37">
        <v>2014</v>
      </c>
      <c r="E354" s="38">
        <v>0</v>
      </c>
      <c r="F354" s="38">
        <v>0</v>
      </c>
      <c r="G354" s="38">
        <v>0</v>
      </c>
      <c r="H354" s="38">
        <v>0</v>
      </c>
      <c r="I354" s="38">
        <v>0</v>
      </c>
      <c r="J354" s="38">
        <v>0</v>
      </c>
      <c r="K354" s="38">
        <v>0</v>
      </c>
      <c r="L354" s="38">
        <v>0</v>
      </c>
      <c r="M354" s="38">
        <v>0</v>
      </c>
      <c r="N354" s="38">
        <v>0</v>
      </c>
      <c r="O354" s="41">
        <v>0</v>
      </c>
      <c r="P354" s="38">
        <v>0</v>
      </c>
      <c r="Q354" s="38">
        <v>0</v>
      </c>
      <c r="R354" s="38">
        <v>0</v>
      </c>
      <c r="S354" s="38">
        <v>0</v>
      </c>
      <c r="T354" s="38">
        <v>0</v>
      </c>
      <c r="U354" s="38">
        <v>0</v>
      </c>
      <c r="V354" s="38">
        <v>0</v>
      </c>
      <c r="W354" s="38">
        <v>0</v>
      </c>
      <c r="X354" s="38">
        <v>0</v>
      </c>
      <c r="Y354" s="37"/>
    </row>
    <row r="355" spans="1:25" s="31" customFormat="1" ht="15" customHeight="1" x14ac:dyDescent="0.3">
      <c r="A355" s="36"/>
      <c r="B355" s="37"/>
      <c r="C355" s="29"/>
      <c r="D355" s="37">
        <v>2015</v>
      </c>
      <c r="E355" s="38">
        <v>0</v>
      </c>
      <c r="F355" s="38">
        <v>0</v>
      </c>
      <c r="G355" s="38">
        <v>0</v>
      </c>
      <c r="H355" s="38">
        <v>0</v>
      </c>
      <c r="I355" s="38">
        <v>0</v>
      </c>
      <c r="J355" s="38">
        <v>0</v>
      </c>
      <c r="K355" s="38">
        <v>0</v>
      </c>
      <c r="L355" s="38">
        <v>0</v>
      </c>
      <c r="M355" s="38">
        <v>0</v>
      </c>
      <c r="N355" s="38">
        <v>0</v>
      </c>
      <c r="O355" s="41">
        <v>0</v>
      </c>
      <c r="P355" s="38">
        <v>0</v>
      </c>
      <c r="Q355" s="38">
        <v>0</v>
      </c>
      <c r="R355" s="38">
        <v>0</v>
      </c>
      <c r="S355" s="38">
        <v>0</v>
      </c>
      <c r="T355" s="38">
        <v>0</v>
      </c>
      <c r="U355" s="38">
        <v>0</v>
      </c>
      <c r="V355" s="38">
        <v>0</v>
      </c>
      <c r="W355" s="38">
        <v>0</v>
      </c>
      <c r="X355" s="38">
        <v>0</v>
      </c>
      <c r="Y355" s="37"/>
    </row>
    <row r="356" spans="1:25" s="31" customFormat="1" ht="15" customHeight="1" x14ac:dyDescent="0.3">
      <c r="A356" s="36"/>
      <c r="B356" s="37"/>
      <c r="C356" s="29"/>
      <c r="D356" s="37">
        <v>2016</v>
      </c>
      <c r="E356" s="38">
        <f>80237.93*1000000</f>
        <v>80237930000</v>
      </c>
      <c r="F356" s="38">
        <f>E356</f>
        <v>80237930000</v>
      </c>
      <c r="G356" s="38">
        <f>100237.93*1000000</f>
        <v>100237930000</v>
      </c>
      <c r="H356" s="38">
        <f>101*1000000</f>
        <v>101000000</v>
      </c>
      <c r="I356" s="38">
        <f>H356</f>
        <v>101000000</v>
      </c>
      <c r="J356" s="38">
        <f>136.93*1000000</f>
        <v>136930000</v>
      </c>
      <c r="K356" s="38">
        <f>100136.93*1000000</f>
        <v>100136930000</v>
      </c>
      <c r="L356" s="38">
        <f>236.93*1000000</f>
        <v>236930000</v>
      </c>
      <c r="M356" s="38">
        <f>136.93*1000000</f>
        <v>136930000</v>
      </c>
      <c r="N356" s="38">
        <f>M356</f>
        <v>136930000</v>
      </c>
      <c r="O356" s="41">
        <v>0</v>
      </c>
      <c r="P356" s="38">
        <v>0</v>
      </c>
      <c r="Q356" s="38">
        <v>0</v>
      </c>
      <c r="R356" s="38">
        <v>0</v>
      </c>
      <c r="S356" s="38">
        <v>0</v>
      </c>
      <c r="T356" s="38">
        <v>0</v>
      </c>
      <c r="U356" s="38">
        <v>0</v>
      </c>
      <c r="V356" s="38">
        <v>0</v>
      </c>
      <c r="W356" s="38">
        <v>0</v>
      </c>
      <c r="X356" s="38">
        <v>0</v>
      </c>
      <c r="Y356" s="37"/>
    </row>
    <row r="357" spans="1:25" s="31" customFormat="1" ht="15" customHeight="1" x14ac:dyDescent="0.3">
      <c r="A357" s="36"/>
      <c r="B357" s="37"/>
      <c r="C357" s="29"/>
      <c r="D357" s="37">
        <v>2017</v>
      </c>
      <c r="E357" s="38">
        <f>12014.05*1000000</f>
        <v>12014050000</v>
      </c>
      <c r="F357" s="38">
        <f>(12014.05+10843.05+99.71+3198.91)*1000000</f>
        <v>26155719999.999996</v>
      </c>
      <c r="G357" s="38">
        <f>1237823.42*1000000</f>
        <v>1237823420000</v>
      </c>
      <c r="H357" s="38">
        <f>91991.92*1000000</f>
        <v>91991920000</v>
      </c>
      <c r="I357" s="38">
        <f>626270.31*1000000</f>
        <v>626270310000</v>
      </c>
      <c r="J357" s="38">
        <f>-47521.53*1000000</f>
        <v>-47521530000</v>
      </c>
      <c r="K357" s="38">
        <f>611553.11*1000000</f>
        <v>611553110000</v>
      </c>
      <c r="L357" s="38">
        <f>755309.118*1000000</f>
        <v>755309118000</v>
      </c>
      <c r="M357" s="38">
        <f>-55721.52*1000000</f>
        <v>-55721520000</v>
      </c>
      <c r="N357" s="38">
        <f>11416.18*1000000</f>
        <v>11416180000</v>
      </c>
      <c r="O357" s="39">
        <v>0.99990000000000001</v>
      </c>
      <c r="P357" s="40" t="s">
        <v>247</v>
      </c>
      <c r="Q357" s="38">
        <v>2</v>
      </c>
      <c r="R357" s="38">
        <v>2</v>
      </c>
      <c r="S357" s="38">
        <v>4</v>
      </c>
      <c r="T357" s="38">
        <f>S357+R357</f>
        <v>6</v>
      </c>
      <c r="U357" s="42">
        <v>0</v>
      </c>
      <c r="V357" s="38">
        <f>2+(2*1)</f>
        <v>4</v>
      </c>
      <c r="W357" s="38">
        <f>V357</f>
        <v>4</v>
      </c>
      <c r="X357" s="38">
        <v>0</v>
      </c>
      <c r="Y357" s="37"/>
    </row>
    <row r="358" spans="1:25" s="31" customFormat="1" ht="15" customHeight="1" x14ac:dyDescent="0.3">
      <c r="A358" s="36"/>
      <c r="B358" s="37"/>
      <c r="C358" s="29"/>
      <c r="D358" s="37">
        <v>2018</v>
      </c>
      <c r="E358" s="38">
        <f>14429*1000000</f>
        <v>14429000000</v>
      </c>
      <c r="F358" s="38">
        <f>(14429+34973+280+51+36750+6809)*1000000</f>
        <v>93292000000</v>
      </c>
      <c r="G358" s="38">
        <f>1679206*1000000</f>
        <v>1679206000000</v>
      </c>
      <c r="H358" s="38">
        <f>138570*1000000</f>
        <v>138570000000</v>
      </c>
      <c r="I358" s="38">
        <f>1049654*1000000</f>
        <v>1049654000000</v>
      </c>
      <c r="J358" s="38">
        <f>-40150*1000000</f>
        <v>-40150000000</v>
      </c>
      <c r="K358" s="38">
        <f>629552*1000000</f>
        <v>629552000000</v>
      </c>
      <c r="L358" s="38">
        <f>1064133*1000000</f>
        <v>1064133000000</v>
      </c>
      <c r="M358" s="38">
        <f>9385*1000000</f>
        <v>9385000000</v>
      </c>
      <c r="N358" s="38">
        <f>17999*1000000</f>
        <v>17999000000</v>
      </c>
      <c r="O358" s="39">
        <v>0.99990000000000001</v>
      </c>
      <c r="P358" s="40" t="s">
        <v>247</v>
      </c>
      <c r="Q358" s="38">
        <v>2</v>
      </c>
      <c r="R358" s="38">
        <v>3</v>
      </c>
      <c r="S358" s="38">
        <v>4</v>
      </c>
      <c r="T358" s="38">
        <f t="shared" ref="T358:T364" si="32">S358+R358</f>
        <v>7</v>
      </c>
      <c r="U358" s="42">
        <v>0</v>
      </c>
      <c r="V358" s="38">
        <f t="shared" ref="V358:V364" si="33">3+(2*1)</f>
        <v>5</v>
      </c>
      <c r="W358" s="38">
        <f t="shared" si="31"/>
        <v>5</v>
      </c>
      <c r="X358" s="38">
        <v>0</v>
      </c>
      <c r="Y358" s="37"/>
    </row>
    <row r="359" spans="1:25" s="31" customFormat="1" ht="15" customHeight="1" x14ac:dyDescent="0.3">
      <c r="A359" s="36"/>
      <c r="B359" s="37"/>
      <c r="C359" s="29"/>
      <c r="D359" s="37">
        <v>2019</v>
      </c>
      <c r="E359" s="38">
        <f>28321*1000000</f>
        <v>28321000000</v>
      </c>
      <c r="F359" s="38">
        <f>(28321+3647+296+183+198265+17896)*1000000</f>
        <v>248608000000</v>
      </c>
      <c r="G359" s="38">
        <f>1939912*1000000</f>
        <v>1939912000000</v>
      </c>
      <c r="H359" s="38">
        <f>309747*1000000</f>
        <v>309747000000</v>
      </c>
      <c r="I359" s="38">
        <f>1273014*1000000</f>
        <v>1273014000000</v>
      </c>
      <c r="J359" s="38">
        <f>-13361*1000000</f>
        <v>-13361000000</v>
      </c>
      <c r="K359" s="38">
        <f>666898*1000000</f>
        <v>666898000000</v>
      </c>
      <c r="L359" s="38">
        <f>1072501*1000000</f>
        <v>1072501000000</v>
      </c>
      <c r="M359" s="38">
        <f>33474*1000000</f>
        <v>33474000000</v>
      </c>
      <c r="N359" s="38">
        <f>37346*1000000</f>
        <v>37346000000</v>
      </c>
      <c r="O359" s="39">
        <v>0.99990000000000001</v>
      </c>
      <c r="P359" s="40" t="s">
        <v>247</v>
      </c>
      <c r="Q359" s="38">
        <v>2</v>
      </c>
      <c r="R359" s="38">
        <v>3</v>
      </c>
      <c r="S359" s="38">
        <v>4</v>
      </c>
      <c r="T359" s="38">
        <f t="shared" si="32"/>
        <v>7</v>
      </c>
      <c r="U359" s="42">
        <v>0</v>
      </c>
      <c r="V359" s="38">
        <f t="shared" si="33"/>
        <v>5</v>
      </c>
      <c r="W359" s="38">
        <f t="shared" si="31"/>
        <v>5</v>
      </c>
      <c r="X359" s="38">
        <v>0</v>
      </c>
      <c r="Y359" s="37"/>
    </row>
    <row r="360" spans="1:25" s="31" customFormat="1" ht="15" customHeight="1" x14ac:dyDescent="0.3">
      <c r="A360" s="36"/>
      <c r="B360" s="37"/>
      <c r="C360" s="29"/>
      <c r="D360" s="37">
        <v>2020</v>
      </c>
      <c r="E360" s="38">
        <f>32984*1000000</f>
        <v>32984000000</v>
      </c>
      <c r="F360" s="38">
        <f>(324284+234+401+28815+42263)*1000000</f>
        <v>395997000000</v>
      </c>
      <c r="G360" s="38">
        <f>1342235*1000000</f>
        <v>1342235000000</v>
      </c>
      <c r="H360" s="38">
        <f>88465*1000000</f>
        <v>88465000000</v>
      </c>
      <c r="I360" s="38">
        <f>988783*1000000</f>
        <v>988783000000</v>
      </c>
      <c r="J360" s="38">
        <f>-133523*1000000</f>
        <v>-133523000000</v>
      </c>
      <c r="K360" s="38">
        <f>353452*1000000</f>
        <v>353452000000</v>
      </c>
      <c r="L360" s="38">
        <f>682486*1000000</f>
        <v>682486000000</v>
      </c>
      <c r="M360" s="38">
        <f>-199232*1000000</f>
        <v>-199232000000</v>
      </c>
      <c r="N360" s="38">
        <f>-312516*1000000</f>
        <v>-312516000000</v>
      </c>
      <c r="O360" s="39">
        <v>0.99990000000000001</v>
      </c>
      <c r="P360" s="40" t="s">
        <v>247</v>
      </c>
      <c r="Q360" s="38">
        <v>2</v>
      </c>
      <c r="R360" s="38">
        <v>3</v>
      </c>
      <c r="S360" s="38">
        <v>4</v>
      </c>
      <c r="T360" s="38">
        <f t="shared" si="32"/>
        <v>7</v>
      </c>
      <c r="U360" s="42">
        <v>0</v>
      </c>
      <c r="V360" s="38">
        <f t="shared" si="33"/>
        <v>5</v>
      </c>
      <c r="W360" s="38">
        <f t="shared" si="31"/>
        <v>5</v>
      </c>
      <c r="X360" s="38">
        <v>0</v>
      </c>
      <c r="Y360" s="37"/>
    </row>
    <row r="361" spans="1:25" s="31" customFormat="1" ht="15" customHeight="1" x14ac:dyDescent="0.3">
      <c r="A361" s="36"/>
      <c r="B361" s="37"/>
      <c r="C361" s="29"/>
      <c r="D361" s="37">
        <v>2021</v>
      </c>
      <c r="E361" s="38">
        <f>9974*1000000</f>
        <v>9974000000</v>
      </c>
      <c r="F361" s="38">
        <f>(9974+3655+274+4314+460)*1000000</f>
        <v>18677000000</v>
      </c>
      <c r="G361" s="38">
        <f>1434941*1000000</f>
        <v>1434941000000</v>
      </c>
      <c r="H361" s="38">
        <f>89184*1000000</f>
        <v>89184000000</v>
      </c>
      <c r="I361" s="38">
        <f>1021933*1000000</f>
        <v>1021933000000</v>
      </c>
      <c r="J361" s="38">
        <f>-176016*1000000</f>
        <v>-176016000000</v>
      </c>
      <c r="K361" s="38">
        <f>413008*1000000</f>
        <v>413008000000</v>
      </c>
      <c r="L361" s="38">
        <f>629690*1000000</f>
        <v>629690000000</v>
      </c>
      <c r="M361" s="38">
        <f>-42493*1000000</f>
        <v>-42493000000</v>
      </c>
      <c r="N361" s="38">
        <f>59556*1000000</f>
        <v>59556000000</v>
      </c>
      <c r="O361" s="39">
        <v>0.99990000000000001</v>
      </c>
      <c r="P361" s="40" t="s">
        <v>247</v>
      </c>
      <c r="Q361" s="38">
        <v>2</v>
      </c>
      <c r="R361" s="38">
        <v>3</v>
      </c>
      <c r="S361" s="38">
        <v>4</v>
      </c>
      <c r="T361" s="38">
        <f t="shared" si="32"/>
        <v>7</v>
      </c>
      <c r="U361" s="42">
        <v>0</v>
      </c>
      <c r="V361" s="38">
        <f t="shared" si="33"/>
        <v>5</v>
      </c>
      <c r="W361" s="38">
        <f t="shared" si="31"/>
        <v>5</v>
      </c>
      <c r="X361" s="38">
        <v>0</v>
      </c>
      <c r="Y361" s="37"/>
    </row>
    <row r="362" spans="1:25" s="31" customFormat="1" ht="15" customHeight="1" x14ac:dyDescent="0.3">
      <c r="A362" s="36"/>
      <c r="B362" s="37"/>
      <c r="C362" s="29"/>
      <c r="D362" s="37">
        <v>2022</v>
      </c>
      <c r="E362" s="38">
        <f>14926*1000000</f>
        <v>14926000000</v>
      </c>
      <c r="F362" s="38">
        <f>(14926+3075+154+1745+32)*1000000</f>
        <v>19932000000</v>
      </c>
      <c r="G362" s="38">
        <f>(1681509)*1000000</f>
        <v>1681509000000</v>
      </c>
      <c r="H362" s="38">
        <f>74653*1000000</f>
        <v>74653000000</v>
      </c>
      <c r="I362" s="38">
        <f>857299*1000000</f>
        <v>857299000000</v>
      </c>
      <c r="J362" s="38">
        <f>-156869*1000000</f>
        <v>-156869000000</v>
      </c>
      <c r="K362" s="38">
        <f>324210*1000000</f>
        <v>324210000000</v>
      </c>
      <c r="L362" s="38">
        <f>758176*1000000</f>
        <v>758176000000</v>
      </c>
      <c r="M362" s="38">
        <f>19447*1000000</f>
        <v>19447000000</v>
      </c>
      <c r="N362" s="38">
        <f>-88798*1000000</f>
        <v>-88798000000</v>
      </c>
      <c r="O362" s="39">
        <v>0.99990000000000001</v>
      </c>
      <c r="P362" s="40" t="s">
        <v>247</v>
      </c>
      <c r="Q362" s="38">
        <v>2</v>
      </c>
      <c r="R362" s="38">
        <v>3</v>
      </c>
      <c r="S362" s="38">
        <v>4</v>
      </c>
      <c r="T362" s="38">
        <f t="shared" si="32"/>
        <v>7</v>
      </c>
      <c r="U362" s="42">
        <v>0</v>
      </c>
      <c r="V362" s="38">
        <f t="shared" si="33"/>
        <v>5</v>
      </c>
      <c r="W362" s="38">
        <f t="shared" si="31"/>
        <v>5</v>
      </c>
      <c r="X362" s="38">
        <v>0</v>
      </c>
      <c r="Y362" s="37"/>
    </row>
    <row r="363" spans="1:25" s="31" customFormat="1" ht="15" customHeight="1" x14ac:dyDescent="0.3">
      <c r="A363" s="36"/>
      <c r="B363" s="37"/>
      <c r="C363" s="29"/>
      <c r="D363" s="37">
        <v>2023</v>
      </c>
      <c r="E363" s="38">
        <f>8813*1000000</f>
        <v>8813000000</v>
      </c>
      <c r="F363" s="38">
        <f>(8813+999+198+151+4558)*1000000</f>
        <v>14719000000</v>
      </c>
      <c r="G363" s="38">
        <f>1752173*1000000</f>
        <v>1752173000000</v>
      </c>
      <c r="H363" s="38">
        <f>49664*1000000</f>
        <v>49664000000</v>
      </c>
      <c r="I363" s="38">
        <f>926823*1000000</f>
        <v>926823000000</v>
      </c>
      <c r="J363" s="38">
        <f>-146465*1000000</f>
        <v>-146465000000</v>
      </c>
      <c r="K363" s="38">
        <f>325350*1000000</f>
        <v>325350000000</v>
      </c>
      <c r="L363" s="38">
        <f>828007*1000000</f>
        <v>828007000000</v>
      </c>
      <c r="M363" s="38">
        <f>10403*1000000</f>
        <v>10403000000</v>
      </c>
      <c r="N363" s="38">
        <f>1140*1000000</f>
        <v>1140000000</v>
      </c>
      <c r="O363" s="39">
        <v>0.99990000000000001</v>
      </c>
      <c r="P363" s="40" t="s">
        <v>247</v>
      </c>
      <c r="Q363" s="38">
        <v>2</v>
      </c>
      <c r="R363" s="38">
        <v>3</v>
      </c>
      <c r="S363" s="38">
        <v>4</v>
      </c>
      <c r="T363" s="38">
        <f t="shared" si="32"/>
        <v>7</v>
      </c>
      <c r="U363" s="42">
        <v>0</v>
      </c>
      <c r="V363" s="38">
        <f t="shared" si="33"/>
        <v>5</v>
      </c>
      <c r="W363" s="38">
        <f t="shared" si="31"/>
        <v>5</v>
      </c>
      <c r="X363" s="38">
        <v>0</v>
      </c>
      <c r="Y363" s="37"/>
    </row>
    <row r="364" spans="1:25" s="31" customFormat="1" ht="15" customHeight="1" x14ac:dyDescent="0.3">
      <c r="A364" s="36"/>
      <c r="B364" s="37"/>
      <c r="C364" s="29"/>
      <c r="D364" s="37">
        <v>2024</v>
      </c>
      <c r="E364" s="38">
        <f>20619*1000000</f>
        <v>20619000000</v>
      </c>
      <c r="F364" s="38">
        <f>(20619+3910+24260+166+205)*1000000</f>
        <v>49160000000</v>
      </c>
      <c r="G364" s="38">
        <f>1434685*1000000</f>
        <v>1434685000000</v>
      </c>
      <c r="H364" s="38">
        <f>67583*1000000</f>
        <v>67583000000</v>
      </c>
      <c r="I364" s="38">
        <f>1061374*1000000</f>
        <v>1061374000000</v>
      </c>
      <c r="J364" s="38">
        <f>-28367*1000000</f>
        <v>-28367000000</v>
      </c>
      <c r="K364" s="38">
        <f>373311*1000000</f>
        <v>373311000000</v>
      </c>
      <c r="L364" s="38">
        <f>989710*1000000</f>
        <v>989710000000</v>
      </c>
      <c r="M364" s="38">
        <f>118099*1000000</f>
        <v>118099000000</v>
      </c>
      <c r="N364" s="38">
        <f>47962*1000000</f>
        <v>47962000000</v>
      </c>
      <c r="O364" s="39">
        <v>0.99990000000000001</v>
      </c>
      <c r="P364" s="40" t="s">
        <v>247</v>
      </c>
      <c r="Q364" s="38">
        <v>2</v>
      </c>
      <c r="R364" s="38">
        <v>3</v>
      </c>
      <c r="S364" s="38">
        <v>4</v>
      </c>
      <c r="T364" s="38">
        <f t="shared" si="32"/>
        <v>7</v>
      </c>
      <c r="U364" s="42">
        <v>0</v>
      </c>
      <c r="V364" s="38">
        <f t="shared" si="33"/>
        <v>5</v>
      </c>
      <c r="W364" s="38">
        <f t="shared" si="31"/>
        <v>5</v>
      </c>
      <c r="X364" s="38">
        <v>0</v>
      </c>
      <c r="Y364" s="37"/>
    </row>
    <row r="365" spans="1:25" s="31" customFormat="1" ht="15" customHeight="1" x14ac:dyDescent="0.3">
      <c r="A365" s="36"/>
      <c r="B365" s="37">
        <v>34</v>
      </c>
      <c r="C365" s="29" t="s">
        <v>9</v>
      </c>
      <c r="D365" s="37">
        <v>2014</v>
      </c>
      <c r="E365" s="38">
        <v>0</v>
      </c>
      <c r="F365" s="38">
        <v>0</v>
      </c>
      <c r="G365" s="38">
        <v>0</v>
      </c>
      <c r="H365" s="38">
        <v>0</v>
      </c>
      <c r="I365" s="38">
        <v>0</v>
      </c>
      <c r="J365" s="38">
        <v>0</v>
      </c>
      <c r="K365" s="38">
        <v>0</v>
      </c>
      <c r="L365" s="38">
        <f>1950148*1000000</f>
        <v>1950148000000</v>
      </c>
      <c r="M365" s="38">
        <v>0</v>
      </c>
      <c r="N365" s="38">
        <v>0</v>
      </c>
      <c r="O365" s="38">
        <v>0</v>
      </c>
      <c r="P365" s="38">
        <v>0</v>
      </c>
      <c r="Q365" s="38">
        <v>0</v>
      </c>
      <c r="R365" s="38">
        <v>0</v>
      </c>
      <c r="S365" s="38">
        <v>0</v>
      </c>
      <c r="T365" s="38">
        <v>0</v>
      </c>
      <c r="U365" s="38">
        <v>0</v>
      </c>
      <c r="V365" s="38">
        <v>0</v>
      </c>
      <c r="W365" s="38">
        <v>0</v>
      </c>
      <c r="X365" s="38">
        <v>0</v>
      </c>
      <c r="Y365" s="37"/>
    </row>
    <row r="366" spans="1:25" s="31" customFormat="1" ht="15" customHeight="1" x14ac:dyDescent="0.3">
      <c r="A366" s="36"/>
      <c r="B366" s="37"/>
      <c r="C366" s="29"/>
      <c r="D366" s="37">
        <v>2015</v>
      </c>
      <c r="E366" s="38">
        <f>113512*1000000</f>
        <v>113512000000</v>
      </c>
      <c r="F366" s="38">
        <f>(113512+733+26448+55324+78139)*1000000</f>
        <v>274156000000</v>
      </c>
      <c r="G366" s="38">
        <f>9915762*1000000</f>
        <v>9915762000000</v>
      </c>
      <c r="H366" s="38">
        <f>231327*1000000</f>
        <v>231327000000</v>
      </c>
      <c r="I366" s="38">
        <f>5092671*1000000</f>
        <v>5092671000000</v>
      </c>
      <c r="J366" s="38">
        <f>338308*1000000</f>
        <v>338308000000</v>
      </c>
      <c r="K366" s="38">
        <f>4823091*1000000</f>
        <v>4823091000000</v>
      </c>
      <c r="L366" s="38">
        <f>3644315*1000000</f>
        <v>3644315000000</v>
      </c>
      <c r="M366" s="38">
        <f>154475*1000000</f>
        <v>154475000000</v>
      </c>
      <c r="N366" s="38">
        <f>191182*1000000</f>
        <v>191182000000</v>
      </c>
      <c r="O366" s="39">
        <v>0.6</v>
      </c>
      <c r="P366" s="40" t="s">
        <v>244</v>
      </c>
      <c r="Q366" s="38">
        <v>3</v>
      </c>
      <c r="R366" s="38">
        <v>5</v>
      </c>
      <c r="S366" s="38">
        <v>4</v>
      </c>
      <c r="T366" s="38">
        <f t="shared" ref="T366:T371" si="34">S366+R366</f>
        <v>9</v>
      </c>
      <c r="U366" s="42">
        <v>0</v>
      </c>
      <c r="V366" s="38">
        <f>4+(2*3)+(3*1)</f>
        <v>13</v>
      </c>
      <c r="W366" s="38">
        <f t="shared" si="31"/>
        <v>13</v>
      </c>
      <c r="X366" s="38">
        <f>4+(2*2)</f>
        <v>8</v>
      </c>
      <c r="Y366" s="37"/>
    </row>
    <row r="367" spans="1:25" s="31" customFormat="1" ht="15" customHeight="1" x14ac:dyDescent="0.3">
      <c r="A367" s="36"/>
      <c r="B367" s="37"/>
      <c r="C367" s="29"/>
      <c r="D367" s="37">
        <v>2016</v>
      </c>
      <c r="E367" s="38">
        <f>261473*1000000</f>
        <v>261473000000</v>
      </c>
      <c r="F367" s="38">
        <f>(261473+876+52286+62356+161847)*1000000</f>
        <v>538838000000</v>
      </c>
      <c r="G367" s="38">
        <f>13069215*1000000</f>
        <v>13069215000000</v>
      </c>
      <c r="H367" s="38">
        <f>328147*1000000</f>
        <v>328147000000</v>
      </c>
      <c r="I367" s="38">
        <f>8162741*1000000</f>
        <v>8162741000000</v>
      </c>
      <c r="J367" s="38">
        <f>474246*1000000</f>
        <v>474246000000</v>
      </c>
      <c r="K367" s="38">
        <f>4906474*1000000</f>
        <v>4906474000000</v>
      </c>
      <c r="L367" s="38">
        <f>5721415*1000000</f>
        <v>5721415000000</v>
      </c>
      <c r="M367" s="38">
        <f>171706*1000000</f>
        <v>171706000000</v>
      </c>
      <c r="N367" s="38">
        <f>131395*1000000</f>
        <v>131395000000</v>
      </c>
      <c r="O367" s="39">
        <v>0.6</v>
      </c>
      <c r="P367" s="40" t="s">
        <v>244</v>
      </c>
      <c r="Q367" s="38">
        <v>2</v>
      </c>
      <c r="R367" s="38">
        <v>5</v>
      </c>
      <c r="S367" s="38">
        <v>5</v>
      </c>
      <c r="T367" s="38">
        <f t="shared" si="34"/>
        <v>10</v>
      </c>
      <c r="U367" s="42">
        <v>0</v>
      </c>
      <c r="V367" s="38">
        <f>4+(2*3)+(3*1)</f>
        <v>13</v>
      </c>
      <c r="W367" s="38">
        <f t="shared" si="31"/>
        <v>13</v>
      </c>
      <c r="X367" s="38">
        <f>5+(2*2)</f>
        <v>9</v>
      </c>
      <c r="Y367" s="37"/>
    </row>
    <row r="368" spans="1:25" s="31" customFormat="1" ht="15" customHeight="1" x14ac:dyDescent="0.3">
      <c r="A368" s="36"/>
      <c r="B368" s="37"/>
      <c r="C368" s="29"/>
      <c r="D368" s="37">
        <v>2017</v>
      </c>
      <c r="E368" s="38">
        <f>131013*1000000</f>
        <v>131013000000</v>
      </c>
      <c r="F368" s="38">
        <f>(131013+100835+41866+3092+17550+15137+53917)*1000000</f>
        <v>363410000000</v>
      </c>
      <c r="G368" s="38">
        <f>15733814*1000000</f>
        <v>15733814000000</v>
      </c>
      <c r="H368" s="38">
        <f>349291*1000000</f>
        <v>349291000000</v>
      </c>
      <c r="I368" s="38">
        <f>10520189*1000000</f>
        <v>10520189000000</v>
      </c>
      <c r="J368" s="38">
        <f>646090*1000000</f>
        <v>646090000000</v>
      </c>
      <c r="K368" s="38">
        <f>5213625*1000000</f>
        <v>5213625000000</v>
      </c>
      <c r="L368" s="38">
        <f>6966525*1000000</f>
        <v>6966525000000</v>
      </c>
      <c r="M368" s="38">
        <f>332609*1000000</f>
        <v>332609000000</v>
      </c>
      <c r="N368" s="38">
        <f>473479*1000000</f>
        <v>473479000000</v>
      </c>
      <c r="O368" s="39">
        <v>0.6</v>
      </c>
      <c r="P368" s="40" t="s">
        <v>244</v>
      </c>
      <c r="Q368" s="38">
        <v>2</v>
      </c>
      <c r="R368" s="38">
        <v>4</v>
      </c>
      <c r="S368" s="38">
        <v>4</v>
      </c>
      <c r="T368" s="38">
        <f t="shared" si="34"/>
        <v>8</v>
      </c>
      <c r="U368" s="42">
        <v>0</v>
      </c>
      <c r="V368" s="38">
        <f>4+(2*3)+(3*1)</f>
        <v>13</v>
      </c>
      <c r="W368" s="38">
        <f t="shared" si="31"/>
        <v>13</v>
      </c>
      <c r="X368" s="38">
        <f>4+(2*2)</f>
        <v>8</v>
      </c>
      <c r="Y368" s="37"/>
    </row>
    <row r="369" spans="1:25" s="31" customFormat="1" ht="15" customHeight="1" x14ac:dyDescent="0.3">
      <c r="A369" s="36"/>
      <c r="B369" s="37"/>
      <c r="C369" s="29"/>
      <c r="D369" s="37">
        <v>2018</v>
      </c>
      <c r="E369" s="38">
        <f>92954*1000000</f>
        <v>92954000000</v>
      </c>
      <c r="F369" s="38">
        <f>(92954+63195+47575+23356+461524+80214)*1000000</f>
        <v>768818000000</v>
      </c>
      <c r="G369" s="38">
        <f>16472664*1000000</f>
        <v>16472664000000</v>
      </c>
      <c r="H369" s="38">
        <f>1168581*1000000</f>
        <v>1168581000000</v>
      </c>
      <c r="I369" s="38">
        <f>11409721*1000000</f>
        <v>11409721000000</v>
      </c>
      <c r="J369" s="38">
        <f>705447*1000000</f>
        <v>705447000000</v>
      </c>
      <c r="K369" s="38">
        <f>5062943*1000000</f>
        <v>5062943000000</v>
      </c>
      <c r="L369" s="38">
        <f>6123301*1000000</f>
        <v>6123301000000</v>
      </c>
      <c r="M369" s="38">
        <f>161307*1000000</f>
        <v>161307000000</v>
      </c>
      <c r="N369" s="38">
        <f>-38211*1000000</f>
        <v>-38211000000</v>
      </c>
      <c r="O369" s="39">
        <v>0.6</v>
      </c>
      <c r="P369" s="40" t="s">
        <v>244</v>
      </c>
      <c r="Q369" s="38">
        <v>3</v>
      </c>
      <c r="R369" s="38">
        <v>5</v>
      </c>
      <c r="S369" s="38">
        <v>4</v>
      </c>
      <c r="T369" s="38">
        <f t="shared" si="34"/>
        <v>9</v>
      </c>
      <c r="U369" s="42">
        <v>0</v>
      </c>
      <c r="V369" s="38">
        <f>5+(2*4)+(3*1)</f>
        <v>16</v>
      </c>
      <c r="W369" s="38">
        <f t="shared" si="31"/>
        <v>16</v>
      </c>
      <c r="X369" s="38">
        <f>4+(2*2)</f>
        <v>8</v>
      </c>
      <c r="Y369" s="37"/>
    </row>
    <row r="370" spans="1:25" s="31" customFormat="1" ht="15" customHeight="1" x14ac:dyDescent="0.3">
      <c r="A370" s="36"/>
      <c r="B370" s="37"/>
      <c r="C370" s="29"/>
      <c r="D370" s="37">
        <v>2019</v>
      </c>
      <c r="E370" s="38">
        <f>14039*1000000</f>
        <v>14039000000</v>
      </c>
      <c r="F370" s="38">
        <f>(14039+65855+58992+60236+86630+73552)*1000000</f>
        <v>359304000000</v>
      </c>
      <c r="G370" s="38">
        <f>17356774*1000000</f>
        <v>17356774000000</v>
      </c>
      <c r="H370" s="38">
        <f>418667*1000000</f>
        <v>418667000000</v>
      </c>
      <c r="I370" s="38">
        <f>11914384*1000000</f>
        <v>11914384000000</v>
      </c>
      <c r="J370" s="38">
        <f>936403*1000000</f>
        <v>936403000000</v>
      </c>
      <c r="K370" s="38">
        <f>5442390*1000000</f>
        <v>5442390000000</v>
      </c>
      <c r="L370" s="38">
        <f>6184355*1000000</f>
        <v>6184355000000</v>
      </c>
      <c r="M370" s="38">
        <f>291523*1000000</f>
        <v>291523000000</v>
      </c>
      <c r="N370" s="38">
        <f>434958*1000000</f>
        <v>434958000000</v>
      </c>
      <c r="O370" s="39">
        <v>0.6</v>
      </c>
      <c r="P370" s="40" t="s">
        <v>244</v>
      </c>
      <c r="Q370" s="38">
        <v>3</v>
      </c>
      <c r="R370" s="38">
        <v>5</v>
      </c>
      <c r="S370" s="38">
        <v>5</v>
      </c>
      <c r="T370" s="38">
        <f t="shared" si="34"/>
        <v>10</v>
      </c>
      <c r="U370" s="42">
        <v>0</v>
      </c>
      <c r="V370" s="38">
        <f>5+(2*4)+(3*1)</f>
        <v>16</v>
      </c>
      <c r="W370" s="38">
        <f t="shared" si="31"/>
        <v>16</v>
      </c>
      <c r="X370" s="38">
        <f>5+(2*3)</f>
        <v>11</v>
      </c>
      <c r="Y370" s="37"/>
    </row>
    <row r="371" spans="1:25" s="31" customFormat="1" ht="15" customHeight="1" x14ac:dyDescent="0.3">
      <c r="A371" s="36"/>
      <c r="B371" s="37"/>
      <c r="C371" s="29"/>
      <c r="D371" s="37">
        <v>2020</v>
      </c>
      <c r="E371" s="38">
        <f>48963*1000000</f>
        <v>48963000000</v>
      </c>
      <c r="F371" s="38">
        <f>(48963+75827+79601+56292+84603)*1000000</f>
        <v>345286000000</v>
      </c>
      <c r="G371" s="38">
        <f>19539925*1000000</f>
        <v>19539925000000</v>
      </c>
      <c r="H371" s="38">
        <f>396011*1000000</f>
        <v>396011000000</v>
      </c>
      <c r="I371" s="38">
        <f>13868360*1000000</f>
        <v>13868360000000</v>
      </c>
      <c r="J371" s="38">
        <f>978427*1000000</f>
        <v>978427000000</v>
      </c>
      <c r="K371" s="38">
        <f>5671565*1000000</f>
        <v>5671565000000</v>
      </c>
      <c r="L371" s="38">
        <f>5413062*1000000</f>
        <v>5413062000000</v>
      </c>
      <c r="M371" s="38">
        <f>136768*1000000</f>
        <v>136768000000</v>
      </c>
      <c r="N371" s="38">
        <f>319807*1000000</f>
        <v>319807000000</v>
      </c>
      <c r="O371" s="39">
        <v>0.6</v>
      </c>
      <c r="P371" s="40" t="s">
        <v>244</v>
      </c>
      <c r="Q371" s="38">
        <v>3</v>
      </c>
      <c r="R371" s="38">
        <v>5</v>
      </c>
      <c r="S371" s="38">
        <v>5</v>
      </c>
      <c r="T371" s="38">
        <f t="shared" si="34"/>
        <v>10</v>
      </c>
      <c r="U371" s="42">
        <v>0</v>
      </c>
      <c r="V371" s="38">
        <f>5+(2*4)+(3*1)</f>
        <v>16</v>
      </c>
      <c r="W371" s="38">
        <f t="shared" si="31"/>
        <v>16</v>
      </c>
      <c r="X371" s="38">
        <f>5+(2*3)</f>
        <v>11</v>
      </c>
      <c r="Y371" s="37"/>
    </row>
    <row r="372" spans="1:25" s="31" customFormat="1" ht="15" customHeight="1" x14ac:dyDescent="0.3">
      <c r="A372" s="36"/>
      <c r="B372" s="37"/>
      <c r="C372" s="29"/>
      <c r="D372" s="37">
        <v>2021</v>
      </c>
      <c r="E372" s="38">
        <f>61729*1000000</f>
        <v>61729000000</v>
      </c>
      <c r="F372" s="38">
        <f>(61729+62867+110206+155702+441772+121899)*1000000</f>
        <v>954175000000</v>
      </c>
      <c r="G372" s="38">
        <f>21685279*1000000</f>
        <v>21685279000000</v>
      </c>
      <c r="H372" s="38">
        <f>1331376*1000000</f>
        <v>1331376000000</v>
      </c>
      <c r="I372" s="38">
        <f>15977115*1000000</f>
        <v>15977115000000</v>
      </c>
      <c r="J372" s="38">
        <f>1076752*1000000</f>
        <v>1076752000000</v>
      </c>
      <c r="K372" s="38">
        <f>5708164*1000000</f>
        <v>5708164000000</v>
      </c>
      <c r="L372" s="38">
        <f>5870860*1000000</f>
        <v>5870860000000</v>
      </c>
      <c r="M372" s="38">
        <f>93492*1000000</f>
        <v>93492000000</v>
      </c>
      <c r="N372" s="38">
        <f>83874*1000000</f>
        <v>83874000000</v>
      </c>
      <c r="O372" s="39">
        <v>0.6</v>
      </c>
      <c r="P372" s="40" t="s">
        <v>244</v>
      </c>
      <c r="Q372" s="38">
        <v>3</v>
      </c>
      <c r="R372" s="38">
        <v>5</v>
      </c>
      <c r="S372" s="38">
        <v>5</v>
      </c>
      <c r="T372" s="38">
        <f>S372+R372</f>
        <v>10</v>
      </c>
      <c r="U372" s="42">
        <v>0</v>
      </c>
      <c r="V372" s="38">
        <f>5+(2*3)+(3*2)</f>
        <v>17</v>
      </c>
      <c r="W372" s="38">
        <f t="shared" si="31"/>
        <v>17</v>
      </c>
      <c r="X372" s="38">
        <f>5+(2*3)</f>
        <v>11</v>
      </c>
      <c r="Y372" s="37"/>
    </row>
    <row r="373" spans="1:25" s="31" customFormat="1" ht="15" customHeight="1" x14ac:dyDescent="0.3">
      <c r="A373" s="36"/>
      <c r="B373" s="37"/>
      <c r="C373" s="29"/>
      <c r="D373" s="37">
        <v>2022</v>
      </c>
      <c r="E373" s="51">
        <f>40850*1000000</f>
        <v>40850000000</v>
      </c>
      <c r="F373" s="51">
        <f>(40850+38794+47796+155945+56359+180208)*1000000</f>
        <v>519952000000</v>
      </c>
      <c r="G373" s="51">
        <f>22212474*1000000</f>
        <v>22212474000000</v>
      </c>
      <c r="H373" s="51">
        <f>660640*1000000</f>
        <v>660640000000</v>
      </c>
      <c r="I373" s="51">
        <f>16478385*1000000</f>
        <v>16478385000000</v>
      </c>
      <c r="J373" s="51">
        <f>1226066*1000000</f>
        <v>1226066000000</v>
      </c>
      <c r="K373" s="51">
        <f>5734089*1000000</f>
        <v>5734089000000</v>
      </c>
      <c r="L373" s="51">
        <f>6200383*1000000</f>
        <v>6200383000000</v>
      </c>
      <c r="M373" s="51">
        <f>146556*1000000</f>
        <v>146556000000</v>
      </c>
      <c r="N373" s="51">
        <f>79799*1000000</f>
        <v>79799000000</v>
      </c>
      <c r="O373" s="52">
        <v>0</v>
      </c>
      <c r="P373" s="40">
        <v>0</v>
      </c>
      <c r="Q373" s="51">
        <v>0</v>
      </c>
      <c r="R373" s="51">
        <v>0</v>
      </c>
      <c r="S373" s="51">
        <v>0</v>
      </c>
      <c r="T373" s="38">
        <v>0</v>
      </c>
      <c r="U373" s="41">
        <v>0</v>
      </c>
      <c r="V373" s="38">
        <v>0</v>
      </c>
      <c r="W373" s="38">
        <v>0</v>
      </c>
      <c r="X373" s="38">
        <v>0</v>
      </c>
      <c r="Y373" s="37"/>
    </row>
    <row r="374" spans="1:25" s="31" customFormat="1" ht="15" customHeight="1" x14ac:dyDescent="0.3">
      <c r="A374" s="36"/>
      <c r="B374" s="37"/>
      <c r="C374" s="29"/>
      <c r="D374" s="37">
        <v>2023</v>
      </c>
      <c r="E374" s="38">
        <f>45233*1000000</f>
        <v>45233000000</v>
      </c>
      <c r="F374" s="38">
        <f>(45223+55608+21895+54510+33690+202574)*1000000</f>
        <v>413500000000</v>
      </c>
      <c r="G374" s="38">
        <f>23602266*1000000</f>
        <v>23602266000000</v>
      </c>
      <c r="H374" s="38">
        <f>743423*1000000</f>
        <v>743423000000</v>
      </c>
      <c r="I374" s="38">
        <f>17574494*1000000</f>
        <v>17574494000000</v>
      </c>
      <c r="J374" s="38">
        <f>1423234*1000000</f>
        <v>1423234000000</v>
      </c>
      <c r="K374" s="38">
        <f>6027772*1000000</f>
        <v>6027772000000</v>
      </c>
      <c r="L374" s="38">
        <f>6856342*1000000</f>
        <v>6856342000000</v>
      </c>
      <c r="M374" s="38">
        <f>284498*1000000</f>
        <v>284498000000</v>
      </c>
      <c r="N374" s="38">
        <f>369689*1000000</f>
        <v>369689000000</v>
      </c>
      <c r="O374" s="39">
        <v>0.6</v>
      </c>
      <c r="P374" s="40" t="s">
        <v>244</v>
      </c>
      <c r="Q374" s="38">
        <v>3</v>
      </c>
      <c r="R374" s="38">
        <v>5</v>
      </c>
      <c r="S374" s="38">
        <v>4</v>
      </c>
      <c r="T374" s="38">
        <f>S374+R374</f>
        <v>9</v>
      </c>
      <c r="U374" s="42">
        <v>0</v>
      </c>
      <c r="V374" s="38">
        <v>0</v>
      </c>
      <c r="W374" s="38">
        <f t="shared" si="31"/>
        <v>0</v>
      </c>
      <c r="X374" s="38">
        <v>0</v>
      </c>
      <c r="Y374" s="37"/>
    </row>
    <row r="375" spans="1:25" s="31" customFormat="1" ht="15" customHeight="1" x14ac:dyDescent="0.3">
      <c r="A375" s="36"/>
      <c r="B375" s="37"/>
      <c r="C375" s="29"/>
      <c r="D375" s="37">
        <v>2024</v>
      </c>
      <c r="E375" s="38">
        <f>18209*1000000</f>
        <v>18209000000</v>
      </c>
      <c r="F375" s="38">
        <f>(18209+42946+31770+44923+248777)*1000000</f>
        <v>386625000000</v>
      </c>
      <c r="G375" s="38">
        <f>25240685*1000000</f>
        <v>25240685000000</v>
      </c>
      <c r="H375" s="38">
        <f>1000874*1000000</f>
        <v>1000874000000</v>
      </c>
      <c r="I375" s="38">
        <f>19242677*1000000</f>
        <v>19242677000000</v>
      </c>
      <c r="J375" s="38">
        <f>1608734*1000000</f>
        <v>1608734000000</v>
      </c>
      <c r="K375" s="38">
        <f>5998008*1000000</f>
        <v>5998008000000</v>
      </c>
      <c r="L375" s="38">
        <f>6747224*1000000</f>
        <v>6747224000000</v>
      </c>
      <c r="M375" s="38">
        <f>334400*1000000</f>
        <v>334400000000</v>
      </c>
      <c r="N375" s="38">
        <f>67857*1000000</f>
        <v>67857000000</v>
      </c>
      <c r="O375" s="39">
        <v>0.6</v>
      </c>
      <c r="P375" s="40" t="s">
        <v>244</v>
      </c>
      <c r="Q375" s="38">
        <v>1</v>
      </c>
      <c r="R375" s="38">
        <v>3</v>
      </c>
      <c r="S375" s="38">
        <v>4</v>
      </c>
      <c r="T375" s="38">
        <f>S375+R375</f>
        <v>7</v>
      </c>
      <c r="U375" s="42">
        <v>0</v>
      </c>
      <c r="V375" s="38">
        <f>3+(2*2)+(3*1)</f>
        <v>10</v>
      </c>
      <c r="W375" s="38">
        <f t="shared" si="31"/>
        <v>10</v>
      </c>
      <c r="X375" s="38">
        <f>4+(2*2)</f>
        <v>8</v>
      </c>
      <c r="Y375" s="37"/>
    </row>
    <row r="376" spans="1:25" s="31" customFormat="1" ht="15" customHeight="1" x14ac:dyDescent="0.3">
      <c r="A376" s="36"/>
      <c r="B376" s="37">
        <v>35</v>
      </c>
      <c r="C376" s="29" t="s">
        <v>31</v>
      </c>
      <c r="D376" s="37">
        <v>2014</v>
      </c>
      <c r="E376" s="38">
        <v>0</v>
      </c>
      <c r="F376" s="38">
        <v>0</v>
      </c>
      <c r="G376" s="38">
        <v>0</v>
      </c>
      <c r="H376" s="38">
        <v>0</v>
      </c>
      <c r="I376" s="38">
        <v>0</v>
      </c>
      <c r="J376" s="38">
        <v>0</v>
      </c>
      <c r="K376" s="38">
        <v>0</v>
      </c>
      <c r="L376" s="38">
        <v>0</v>
      </c>
      <c r="M376" s="38">
        <v>0</v>
      </c>
      <c r="N376" s="38">
        <v>0</v>
      </c>
      <c r="O376" s="38">
        <v>0</v>
      </c>
      <c r="P376" s="38">
        <v>0</v>
      </c>
      <c r="Q376" s="38">
        <v>0</v>
      </c>
      <c r="R376" s="38">
        <v>0</v>
      </c>
      <c r="S376" s="38">
        <v>0</v>
      </c>
      <c r="T376" s="38">
        <v>0</v>
      </c>
      <c r="U376" s="38">
        <v>0</v>
      </c>
      <c r="V376" s="38">
        <v>0</v>
      </c>
      <c r="W376" s="38">
        <v>0</v>
      </c>
      <c r="X376" s="38">
        <v>0</v>
      </c>
      <c r="Y376" s="37"/>
    </row>
    <row r="377" spans="1:25" s="31" customFormat="1" ht="15" customHeight="1" x14ac:dyDescent="0.3">
      <c r="A377" s="36"/>
      <c r="B377" s="37"/>
      <c r="C377" s="29"/>
      <c r="D377" s="37">
        <v>2015</v>
      </c>
      <c r="E377" s="38">
        <v>0</v>
      </c>
      <c r="F377" s="38">
        <v>0</v>
      </c>
      <c r="G377" s="38">
        <v>0</v>
      </c>
      <c r="H377" s="38">
        <v>0</v>
      </c>
      <c r="I377" s="38">
        <v>0</v>
      </c>
      <c r="J377" s="38">
        <v>0</v>
      </c>
      <c r="K377" s="38">
        <v>0</v>
      </c>
      <c r="L377" s="38">
        <v>0</v>
      </c>
      <c r="M377" s="38">
        <v>0</v>
      </c>
      <c r="N377" s="38">
        <v>0</v>
      </c>
      <c r="O377" s="38">
        <v>0</v>
      </c>
      <c r="P377" s="38">
        <v>0</v>
      </c>
      <c r="Q377" s="38">
        <v>0</v>
      </c>
      <c r="R377" s="38">
        <v>0</v>
      </c>
      <c r="S377" s="38">
        <v>0</v>
      </c>
      <c r="T377" s="38">
        <v>0</v>
      </c>
      <c r="U377" s="38">
        <v>0</v>
      </c>
      <c r="V377" s="38">
        <v>0</v>
      </c>
      <c r="W377" s="38">
        <v>0</v>
      </c>
      <c r="X377" s="38">
        <v>0</v>
      </c>
      <c r="Y377" s="37"/>
    </row>
    <row r="378" spans="1:25" s="31" customFormat="1" ht="15" customHeight="1" x14ac:dyDescent="0.3">
      <c r="A378" s="36"/>
      <c r="B378" s="37"/>
      <c r="C378" s="29"/>
      <c r="D378" s="37">
        <v>2016</v>
      </c>
      <c r="E378" s="38">
        <v>0</v>
      </c>
      <c r="F378" s="38">
        <v>0</v>
      </c>
      <c r="G378" s="38">
        <v>0</v>
      </c>
      <c r="H378" s="38">
        <v>0</v>
      </c>
      <c r="I378" s="38">
        <v>0</v>
      </c>
      <c r="J378" s="38">
        <v>0</v>
      </c>
      <c r="K378" s="38">
        <v>0</v>
      </c>
      <c r="L378" s="38">
        <v>0</v>
      </c>
      <c r="M378" s="38">
        <v>0</v>
      </c>
      <c r="N378" s="38">
        <v>0</v>
      </c>
      <c r="O378" s="38">
        <v>0</v>
      </c>
      <c r="P378" s="38">
        <v>0</v>
      </c>
      <c r="Q378" s="38">
        <v>0</v>
      </c>
      <c r="R378" s="38">
        <v>0</v>
      </c>
      <c r="S378" s="38">
        <v>0</v>
      </c>
      <c r="T378" s="38">
        <v>0</v>
      </c>
      <c r="U378" s="38">
        <v>0</v>
      </c>
      <c r="V378" s="38">
        <v>0</v>
      </c>
      <c r="W378" s="38">
        <v>0</v>
      </c>
      <c r="X378" s="38">
        <v>0</v>
      </c>
      <c r="Y378" s="37"/>
    </row>
    <row r="379" spans="1:25" s="31" customFormat="1" ht="15" customHeight="1" x14ac:dyDescent="0.3">
      <c r="A379" s="36"/>
      <c r="B379" s="37"/>
      <c r="C379" s="29"/>
      <c r="D379" s="37">
        <v>2017</v>
      </c>
      <c r="E379" s="38">
        <v>0</v>
      </c>
      <c r="F379" s="38">
        <v>0</v>
      </c>
      <c r="G379" s="38">
        <v>0</v>
      </c>
      <c r="H379" s="38">
        <v>0</v>
      </c>
      <c r="I379" s="38">
        <v>0</v>
      </c>
      <c r="J379" s="38">
        <v>0</v>
      </c>
      <c r="K379" s="38">
        <v>0</v>
      </c>
      <c r="L379" s="38">
        <v>0</v>
      </c>
      <c r="M379" s="38">
        <v>0</v>
      </c>
      <c r="N379" s="38">
        <v>0</v>
      </c>
      <c r="O379" s="38">
        <v>0</v>
      </c>
      <c r="P379" s="38">
        <v>0</v>
      </c>
      <c r="Q379" s="38">
        <v>0</v>
      </c>
      <c r="R379" s="38">
        <v>0</v>
      </c>
      <c r="S379" s="38">
        <v>0</v>
      </c>
      <c r="T379" s="38">
        <v>0</v>
      </c>
      <c r="U379" s="38">
        <v>0</v>
      </c>
      <c r="V379" s="38">
        <v>0</v>
      </c>
      <c r="W379" s="38">
        <v>0</v>
      </c>
      <c r="X379" s="38">
        <v>0</v>
      </c>
      <c r="Y379" s="37"/>
    </row>
    <row r="380" spans="1:25" s="31" customFormat="1" ht="15" customHeight="1" x14ac:dyDescent="0.3">
      <c r="A380" s="36"/>
      <c r="B380" s="37"/>
      <c r="C380" s="29"/>
      <c r="D380" s="37">
        <v>2018</v>
      </c>
      <c r="E380" s="38">
        <v>0</v>
      </c>
      <c r="F380" s="38">
        <v>0</v>
      </c>
      <c r="G380" s="38">
        <v>0</v>
      </c>
      <c r="H380" s="38">
        <v>0</v>
      </c>
      <c r="I380" s="38">
        <v>0</v>
      </c>
      <c r="J380" s="38">
        <v>0</v>
      </c>
      <c r="K380" s="38">
        <v>0</v>
      </c>
      <c r="L380" s="38">
        <v>0</v>
      </c>
      <c r="M380" s="38">
        <v>0</v>
      </c>
      <c r="N380" s="38">
        <v>0</v>
      </c>
      <c r="O380" s="38">
        <v>0</v>
      </c>
      <c r="P380" s="38">
        <v>0</v>
      </c>
      <c r="Q380" s="38">
        <v>0</v>
      </c>
      <c r="R380" s="38">
        <v>0</v>
      </c>
      <c r="S380" s="38">
        <v>0</v>
      </c>
      <c r="T380" s="38">
        <v>0</v>
      </c>
      <c r="U380" s="38">
        <v>0</v>
      </c>
      <c r="V380" s="38">
        <v>0</v>
      </c>
      <c r="W380" s="38">
        <v>0</v>
      </c>
      <c r="X380" s="38">
        <v>0</v>
      </c>
      <c r="Y380" s="37"/>
    </row>
    <row r="381" spans="1:25" s="31" customFormat="1" ht="15" customHeight="1" x14ac:dyDescent="0.3">
      <c r="A381" s="36"/>
      <c r="B381" s="37"/>
      <c r="C381" s="29"/>
      <c r="D381" s="37">
        <v>2019</v>
      </c>
      <c r="E381" s="38">
        <v>0</v>
      </c>
      <c r="F381" s="38">
        <v>0</v>
      </c>
      <c r="G381" s="38">
        <v>0</v>
      </c>
      <c r="H381" s="38">
        <v>0</v>
      </c>
      <c r="I381" s="38">
        <v>0</v>
      </c>
      <c r="J381" s="38">
        <v>0</v>
      </c>
      <c r="K381" s="38">
        <v>0</v>
      </c>
      <c r="L381" s="38">
        <v>0</v>
      </c>
      <c r="M381" s="38">
        <v>0</v>
      </c>
      <c r="N381" s="38">
        <v>0</v>
      </c>
      <c r="O381" s="38">
        <v>0</v>
      </c>
      <c r="P381" s="38">
        <v>0</v>
      </c>
      <c r="Q381" s="38">
        <v>0</v>
      </c>
      <c r="R381" s="38">
        <v>0</v>
      </c>
      <c r="S381" s="38">
        <v>0</v>
      </c>
      <c r="T381" s="38">
        <v>0</v>
      </c>
      <c r="U381" s="38">
        <v>0</v>
      </c>
      <c r="V381" s="38">
        <v>0</v>
      </c>
      <c r="W381" s="38">
        <v>0</v>
      </c>
      <c r="X381" s="38">
        <v>0</v>
      </c>
      <c r="Y381" s="37"/>
    </row>
    <row r="382" spans="1:25" s="31" customFormat="1" ht="15" customHeight="1" x14ac:dyDescent="0.3">
      <c r="A382" s="36"/>
      <c r="B382" s="37"/>
      <c r="C382" s="29"/>
      <c r="D382" s="37">
        <v>2020</v>
      </c>
      <c r="E382" s="38">
        <f>68042.7*1000000</f>
        <v>68042700000</v>
      </c>
      <c r="F382" s="38">
        <f>(68042.7+825.58+11357.34+10097.52+10842.59)*1000000</f>
        <v>101165730000</v>
      </c>
      <c r="G382" s="38">
        <f>6861957.19*1000000</f>
        <v>6861957190000</v>
      </c>
      <c r="H382" s="38">
        <f>59592.36*1000000</f>
        <v>59592360000</v>
      </c>
      <c r="I382" s="38">
        <f>5033827*1000000</f>
        <v>5033827000000</v>
      </c>
      <c r="J382" s="38">
        <f>244059.08*1000000</f>
        <v>244059080000</v>
      </c>
      <c r="K382" s="38">
        <f>1828129.29*1000000</f>
        <v>1828129290000</v>
      </c>
      <c r="L382" s="38">
        <f>10195068.67*1000000</f>
        <v>10195068670000</v>
      </c>
      <c r="M382" s="38">
        <f>76831.3*1000000</f>
        <v>76831300000</v>
      </c>
      <c r="N382" s="38">
        <f>91793.73*1000000</f>
        <v>91793730000</v>
      </c>
      <c r="O382" s="48">
        <v>0</v>
      </c>
      <c r="P382" s="40">
        <v>0</v>
      </c>
      <c r="Q382" s="38">
        <v>0</v>
      </c>
      <c r="R382" s="38">
        <v>0</v>
      </c>
      <c r="S382" s="38">
        <v>0</v>
      </c>
      <c r="T382" s="38">
        <v>0</v>
      </c>
      <c r="U382" s="38">
        <v>0</v>
      </c>
      <c r="V382" s="38">
        <v>0</v>
      </c>
      <c r="W382" s="38">
        <v>0</v>
      </c>
      <c r="X382" s="38">
        <v>0</v>
      </c>
      <c r="Y382" s="37"/>
    </row>
    <row r="383" spans="1:25" s="31" customFormat="1" ht="15" customHeight="1" x14ac:dyDescent="0.3">
      <c r="A383" s="36"/>
      <c r="B383" s="37"/>
      <c r="C383" s="29"/>
      <c r="D383" s="37">
        <v>2021</v>
      </c>
      <c r="E383" s="38">
        <f>67066.15*1000000</f>
        <v>67066149999.999992</v>
      </c>
      <c r="F383" s="38">
        <f>(67066.15+7977.8+12141.91+3062.84+9988.66+16354.51)*1000000</f>
        <v>116591870000</v>
      </c>
      <c r="G383" s="38">
        <f>6975768.19*1000000</f>
        <v>6975768190000</v>
      </c>
      <c r="H383" s="38">
        <f>249002.42*1000000</f>
        <v>249002420000</v>
      </c>
      <c r="I383" s="38">
        <f>5012332.09*1000000</f>
        <v>5012332090000</v>
      </c>
      <c r="J383" s="38">
        <f>323262.4*1000000</f>
        <v>323262400000</v>
      </c>
      <c r="K383" s="38">
        <f>1963436.1*1000000</f>
        <v>1963436100000</v>
      </c>
      <c r="L383" s="38">
        <f>13641201.43*1000000</f>
        <v>13641201430000</v>
      </c>
      <c r="M383" s="38">
        <f>79294.21*1000000</f>
        <v>79294210000</v>
      </c>
      <c r="N383" s="38">
        <f>135306.81*1000000</f>
        <v>135306810000</v>
      </c>
      <c r="O383" s="39">
        <v>0.99990000000000001</v>
      </c>
      <c r="P383" s="40" t="s">
        <v>218</v>
      </c>
      <c r="Q383" s="38">
        <v>2</v>
      </c>
      <c r="R383" s="38">
        <v>4</v>
      </c>
      <c r="S383" s="38">
        <v>3</v>
      </c>
      <c r="T383" s="38">
        <f>SUM(R383:S383)</f>
        <v>7</v>
      </c>
      <c r="U383" s="42">
        <v>0</v>
      </c>
      <c r="V383" s="38">
        <v>0</v>
      </c>
      <c r="W383" s="38">
        <f t="shared" si="31"/>
        <v>0</v>
      </c>
      <c r="X383" s="38">
        <v>0</v>
      </c>
      <c r="Y383" s="37"/>
    </row>
    <row r="384" spans="1:25" s="31" customFormat="1" ht="15" customHeight="1" x14ac:dyDescent="0.3">
      <c r="A384" s="36"/>
      <c r="B384" s="37"/>
      <c r="C384" s="29"/>
      <c r="D384" s="37">
        <v>2022</v>
      </c>
      <c r="E384" s="38">
        <f>101459.86*1000000</f>
        <v>101459860000</v>
      </c>
      <c r="F384" s="38">
        <f>(101459.86+5140.14+20797.2+1129.41+9988.66+10896.54)*1000000</f>
        <v>149411810000</v>
      </c>
      <c r="G384" s="38">
        <f>6087701.79*1000000</f>
        <v>6087701790000</v>
      </c>
      <c r="H384" s="38">
        <f>342939.73*1000000</f>
        <v>342939730000</v>
      </c>
      <c r="I384" s="38">
        <f>4075878.68*1000000</f>
        <v>4075878680000</v>
      </c>
      <c r="J384" s="38">
        <f>369379.24*1000000</f>
        <v>369379240000</v>
      </c>
      <c r="K384" s="38">
        <f>2011823.11*1000000</f>
        <v>2011823110000</v>
      </c>
      <c r="L384" s="38">
        <f>9213402.16*1000000</f>
        <v>9213402160000</v>
      </c>
      <c r="M384" s="38">
        <f>46212.09*1000000</f>
        <v>46212090000</v>
      </c>
      <c r="N384" s="38">
        <f>48387.01*1000000</f>
        <v>48387010000</v>
      </c>
      <c r="O384" s="39">
        <v>0.99990000000000001</v>
      </c>
      <c r="P384" s="40" t="s">
        <v>218</v>
      </c>
      <c r="Q384" s="38">
        <v>2</v>
      </c>
      <c r="R384" s="38">
        <v>4</v>
      </c>
      <c r="S384" s="38">
        <v>3</v>
      </c>
      <c r="T384" s="38">
        <f>SUM(R384:S384)</f>
        <v>7</v>
      </c>
      <c r="U384" s="42">
        <v>0</v>
      </c>
      <c r="V384" s="38">
        <v>0</v>
      </c>
      <c r="W384" s="38">
        <f t="shared" si="31"/>
        <v>0</v>
      </c>
      <c r="X384" s="38">
        <v>0</v>
      </c>
      <c r="Y384" s="37"/>
    </row>
    <row r="385" spans="1:25" s="31" customFormat="1" ht="15" customHeight="1" x14ac:dyDescent="0.3">
      <c r="A385" s="36"/>
      <c r="B385" s="37"/>
      <c r="C385" s="29"/>
      <c r="D385" s="37">
        <v>2023</v>
      </c>
      <c r="E385" s="38">
        <f>58034.51*1000000</f>
        <v>58034510000</v>
      </c>
      <c r="F385" s="38">
        <f>(58034.51+5300.95+31174.7+2835.8+8492.44+15222.08)*1000000</f>
        <v>121060480000.00002</v>
      </c>
      <c r="G385" s="38">
        <f>4352235.56*1000000</f>
        <v>4352235559999.9995</v>
      </c>
      <c r="H385" s="38">
        <f>183678.04*1000000</f>
        <v>183678040000</v>
      </c>
      <c r="I385" s="38">
        <f>2695567.14*1000000</f>
        <v>2695567140000</v>
      </c>
      <c r="J385" s="38">
        <f>65668.42*1000000</f>
        <v>65668420000</v>
      </c>
      <c r="K385" s="38">
        <f>1356668.42*1000000</f>
        <v>1356668420000</v>
      </c>
      <c r="L385" s="38">
        <f>5501843.01*1000000</f>
        <v>5501843010000</v>
      </c>
      <c r="M385" s="38">
        <f>47692.39*1000000</f>
        <v>47692390000</v>
      </c>
      <c r="N385" s="38">
        <f>52443.75*1000000</f>
        <v>52443750000</v>
      </c>
      <c r="O385" s="39">
        <v>0.99990000000000001</v>
      </c>
      <c r="P385" s="40" t="s">
        <v>218</v>
      </c>
      <c r="Q385" s="38">
        <v>2</v>
      </c>
      <c r="R385" s="38">
        <v>4</v>
      </c>
      <c r="S385" s="38">
        <v>3</v>
      </c>
      <c r="T385" s="38">
        <f>SUM(R385:S385)</f>
        <v>7</v>
      </c>
      <c r="U385" s="42">
        <v>0</v>
      </c>
      <c r="V385" s="38">
        <v>0</v>
      </c>
      <c r="W385" s="38">
        <f t="shared" si="31"/>
        <v>0</v>
      </c>
      <c r="X385" s="38">
        <v>0</v>
      </c>
      <c r="Y385" s="37"/>
    </row>
    <row r="386" spans="1:25" s="31" customFormat="1" ht="15" customHeight="1" x14ac:dyDescent="0.3">
      <c r="A386" s="36"/>
      <c r="B386" s="37"/>
      <c r="C386" s="29"/>
      <c r="D386" s="37">
        <v>2024</v>
      </c>
      <c r="E386" s="38">
        <f>62779.55*1000000</f>
        <v>62779550000</v>
      </c>
      <c r="F386" s="38">
        <f>(62779.55+937.52+33892.67+4311.6+5162.66)*1000000</f>
        <v>107084000000</v>
      </c>
      <c r="G386" s="38">
        <f>4260842.77*1000000</f>
        <v>4260842769999.9995</v>
      </c>
      <c r="H386" s="38">
        <f>(189020.46*1000000)</f>
        <v>189020460000</v>
      </c>
      <c r="I386" s="38">
        <f>2764697.08*1000000</f>
        <v>2764697080000</v>
      </c>
      <c r="J386" s="38">
        <f>-94854.31*1000000</f>
        <v>-94854310000</v>
      </c>
      <c r="K386" s="38">
        <f>1196145.69*1000000</f>
        <v>1196145690000</v>
      </c>
      <c r="L386" s="38">
        <f>4433818.35*1000000</f>
        <v>4433818350000</v>
      </c>
      <c r="M386" s="38">
        <f>-22130.45*1000000</f>
        <v>-22130450000</v>
      </c>
      <c r="N386" s="38">
        <f>-160522.73*1000000</f>
        <v>-160522730000</v>
      </c>
      <c r="O386" s="39">
        <v>0.99990000000000001</v>
      </c>
      <c r="P386" s="40" t="s">
        <v>218</v>
      </c>
      <c r="Q386" s="38">
        <v>2</v>
      </c>
      <c r="R386" s="38">
        <v>4</v>
      </c>
      <c r="S386" s="38">
        <v>3</v>
      </c>
      <c r="T386" s="38">
        <f>SUM(R386:S386)</f>
        <v>7</v>
      </c>
      <c r="U386" s="42">
        <v>0</v>
      </c>
      <c r="V386" s="38">
        <v>0</v>
      </c>
      <c r="W386" s="38">
        <f t="shared" si="31"/>
        <v>0</v>
      </c>
      <c r="X386" s="38">
        <v>0</v>
      </c>
      <c r="Y386" s="37"/>
    </row>
    <row r="387" spans="1:25" s="31" customFormat="1" ht="15" customHeight="1" x14ac:dyDescent="0.3">
      <c r="A387" s="36"/>
      <c r="B387" s="37">
        <v>36</v>
      </c>
      <c r="C387" s="45" t="s">
        <v>54</v>
      </c>
      <c r="D387" s="37">
        <v>2014</v>
      </c>
      <c r="E387" s="38">
        <v>0</v>
      </c>
      <c r="F387" s="38">
        <v>0</v>
      </c>
      <c r="G387" s="38">
        <v>0</v>
      </c>
      <c r="H387" s="38">
        <v>0</v>
      </c>
      <c r="I387" s="38">
        <v>0</v>
      </c>
      <c r="J387" s="38">
        <v>0</v>
      </c>
      <c r="K387" s="38">
        <v>0</v>
      </c>
      <c r="L387" s="38">
        <v>0</v>
      </c>
      <c r="M387" s="38">
        <v>0</v>
      </c>
      <c r="N387" s="38">
        <v>0</v>
      </c>
      <c r="O387" s="38">
        <v>0</v>
      </c>
      <c r="P387" s="38">
        <v>0</v>
      </c>
      <c r="Q387" s="38">
        <v>0</v>
      </c>
      <c r="R387" s="38">
        <v>0</v>
      </c>
      <c r="S387" s="38">
        <v>0</v>
      </c>
      <c r="T387" s="38">
        <v>0</v>
      </c>
      <c r="U387" s="38">
        <v>0</v>
      </c>
      <c r="V387" s="38">
        <v>0</v>
      </c>
      <c r="W387" s="38">
        <f t="shared" ref="W387:W396" si="35">V387</f>
        <v>0</v>
      </c>
      <c r="X387" s="38">
        <v>0</v>
      </c>
      <c r="Y387" s="37"/>
    </row>
    <row r="388" spans="1:25" s="31" customFormat="1" ht="15" customHeight="1" x14ac:dyDescent="0.3">
      <c r="A388" s="36"/>
      <c r="B388" s="37"/>
      <c r="C388" s="45"/>
      <c r="D388" s="37">
        <v>2015</v>
      </c>
      <c r="E388" s="38">
        <v>0</v>
      </c>
      <c r="F388" s="38">
        <v>0</v>
      </c>
      <c r="G388" s="38">
        <v>0</v>
      </c>
      <c r="H388" s="38">
        <v>0</v>
      </c>
      <c r="I388" s="38">
        <v>0</v>
      </c>
      <c r="J388" s="38">
        <v>0</v>
      </c>
      <c r="K388" s="38">
        <v>0</v>
      </c>
      <c r="L388" s="38">
        <v>0</v>
      </c>
      <c r="M388" s="38">
        <v>0</v>
      </c>
      <c r="N388" s="38">
        <v>0</v>
      </c>
      <c r="O388" s="38">
        <v>0</v>
      </c>
      <c r="P388" s="38">
        <v>0</v>
      </c>
      <c r="Q388" s="38">
        <v>0</v>
      </c>
      <c r="R388" s="38">
        <v>0</v>
      </c>
      <c r="S388" s="38">
        <v>0</v>
      </c>
      <c r="T388" s="38">
        <v>0</v>
      </c>
      <c r="U388" s="38">
        <v>0</v>
      </c>
      <c r="V388" s="38">
        <v>0</v>
      </c>
      <c r="W388" s="38">
        <f t="shared" si="35"/>
        <v>0</v>
      </c>
      <c r="X388" s="38">
        <v>0</v>
      </c>
      <c r="Y388" s="37"/>
    </row>
    <row r="389" spans="1:25" s="31" customFormat="1" ht="15" customHeight="1" x14ac:dyDescent="0.3">
      <c r="A389" s="36"/>
      <c r="B389" s="37"/>
      <c r="C389" s="45"/>
      <c r="D389" s="37">
        <v>2016</v>
      </c>
      <c r="E389" s="38">
        <f>356.14*1000000</f>
        <v>356140000</v>
      </c>
      <c r="F389" s="38">
        <f>E389</f>
        <v>356140000</v>
      </c>
      <c r="G389" s="38">
        <f>53760.2*1000000</f>
        <v>53760200000</v>
      </c>
      <c r="H389" s="38">
        <f>895.48*1000000</f>
        <v>895480000</v>
      </c>
      <c r="I389" s="38">
        <f>H389</f>
        <v>895480000</v>
      </c>
      <c r="J389" s="38">
        <f>364.72*1000000</f>
        <v>364720000</v>
      </c>
      <c r="K389" s="38">
        <f>52864.72*1000000</f>
        <v>52864720000</v>
      </c>
      <c r="L389" s="38">
        <f>834.82*1000000</f>
        <v>834820000</v>
      </c>
      <c r="M389" s="38">
        <f>207.67*1000000</f>
        <v>207670000</v>
      </c>
      <c r="N389" s="38">
        <f>364.72*1000000</f>
        <v>364720000</v>
      </c>
      <c r="O389" s="38">
        <v>0</v>
      </c>
      <c r="P389" s="38">
        <v>0</v>
      </c>
      <c r="Q389" s="38">
        <v>0</v>
      </c>
      <c r="R389" s="38">
        <v>0</v>
      </c>
      <c r="S389" s="38">
        <v>0</v>
      </c>
      <c r="T389" s="38">
        <v>0</v>
      </c>
      <c r="U389" s="38">
        <v>0</v>
      </c>
      <c r="V389" s="38">
        <v>0</v>
      </c>
      <c r="W389" s="38">
        <f t="shared" si="35"/>
        <v>0</v>
      </c>
      <c r="X389" s="38">
        <v>0</v>
      </c>
      <c r="Y389" s="37"/>
    </row>
    <row r="390" spans="1:25" s="31" customFormat="1" ht="15" customHeight="1" x14ac:dyDescent="0.3">
      <c r="A390" s="36"/>
      <c r="B390" s="37"/>
      <c r="C390" s="45"/>
      <c r="D390" s="37">
        <v>2017</v>
      </c>
      <c r="E390" s="38">
        <f>70588.37*1000000</f>
        <v>70588370000</v>
      </c>
      <c r="F390" s="38">
        <f>E390</f>
        <v>70588370000</v>
      </c>
      <c r="G390" s="38">
        <f>778476.67*1000000</f>
        <v>778476670000</v>
      </c>
      <c r="H390" s="38">
        <f>(173.99+13427.81+5504.54)*1000000</f>
        <v>19106340000</v>
      </c>
      <c r="I390" s="38">
        <f>19464.98*1000000</f>
        <v>19464980000</v>
      </c>
      <c r="J390" s="38">
        <f>1876.85*1000000</f>
        <v>1876850000</v>
      </c>
      <c r="K390" s="38">
        <f>56713.95*1000000</f>
        <v>56713950000</v>
      </c>
      <c r="L390" s="38">
        <f>14367.59*1000000</f>
        <v>14367590000</v>
      </c>
      <c r="M390" s="38">
        <f>1669.17*1000000</f>
        <v>1669170000</v>
      </c>
      <c r="N390" s="38">
        <f>3849.22*1000000</f>
        <v>3849220000</v>
      </c>
      <c r="O390" s="39">
        <v>0.99990000000000001</v>
      </c>
      <c r="P390" s="40" t="s">
        <v>237</v>
      </c>
      <c r="Q390" s="38">
        <v>2</v>
      </c>
      <c r="R390" s="38">
        <v>3</v>
      </c>
      <c r="S390" s="38">
        <v>3</v>
      </c>
      <c r="T390" s="38">
        <f>SUM(R390:S390)</f>
        <v>6</v>
      </c>
      <c r="U390" s="42">
        <v>0</v>
      </c>
      <c r="V390" s="38">
        <f>3+(2*1)</f>
        <v>5</v>
      </c>
      <c r="W390" s="38">
        <f t="shared" si="35"/>
        <v>5</v>
      </c>
      <c r="X390" s="38">
        <f>3+(2*1)</f>
        <v>5</v>
      </c>
      <c r="Y390" s="37"/>
    </row>
    <row r="391" spans="1:25" s="31" customFormat="1" ht="15" customHeight="1" x14ac:dyDescent="0.3">
      <c r="A391" s="36"/>
      <c r="B391" s="37"/>
      <c r="C391" s="45"/>
      <c r="D391" s="37">
        <v>2018</v>
      </c>
      <c r="E391" s="38">
        <f>49594.31*1000000</f>
        <v>49594310000</v>
      </c>
      <c r="F391" s="38">
        <f>(49594.31+10)*1000000</f>
        <v>49604310000</v>
      </c>
      <c r="G391" s="38">
        <f>(1964847.04*1000000)</f>
        <v>1964847040000</v>
      </c>
      <c r="H391" s="38">
        <f>(283.23+69937.05+9392.6)*1000000</f>
        <v>79612880000</v>
      </c>
      <c r="I391" s="38">
        <f>80879.01*1000000</f>
        <v>80879010000</v>
      </c>
      <c r="J391" s="38">
        <f>16291.82*1000000</f>
        <v>16291820000</v>
      </c>
      <c r="K391" s="38">
        <f>571066.5*1000000</f>
        <v>571066500000</v>
      </c>
      <c r="L391" s="38">
        <f>48070.21*1000000</f>
        <v>48070210000</v>
      </c>
      <c r="M391" s="38">
        <f>15750.3*1000000</f>
        <v>15750300000</v>
      </c>
      <c r="N391" s="38">
        <f>14352.55*1000000</f>
        <v>14352550000</v>
      </c>
      <c r="O391" s="39">
        <v>0.99990000000000001</v>
      </c>
      <c r="P391" s="40" t="s">
        <v>237</v>
      </c>
      <c r="Q391" s="38">
        <v>2</v>
      </c>
      <c r="R391" s="38">
        <v>3</v>
      </c>
      <c r="S391" s="38">
        <v>3</v>
      </c>
      <c r="T391" s="38">
        <f t="shared" ref="T391:T396" si="36">SUM(R391:S391)</f>
        <v>6</v>
      </c>
      <c r="U391" s="42">
        <v>0</v>
      </c>
      <c r="V391" s="38">
        <f>3+(2*1)</f>
        <v>5</v>
      </c>
      <c r="W391" s="38">
        <f t="shared" si="35"/>
        <v>5</v>
      </c>
      <c r="X391" s="38">
        <f>3+(2*2)</f>
        <v>7</v>
      </c>
      <c r="Y391" s="37"/>
    </row>
    <row r="392" spans="1:25" s="31" customFormat="1" ht="15" customHeight="1" x14ac:dyDescent="0.3">
      <c r="A392" s="36"/>
      <c r="B392" s="37"/>
      <c r="C392" s="45"/>
      <c r="D392" s="37">
        <v>2019</v>
      </c>
      <c r="E392" s="38">
        <f>119014.33*1000000</f>
        <v>119014330000</v>
      </c>
      <c r="F392" s="38">
        <f>(119014.33+359.66)*1000000</f>
        <v>119373990000</v>
      </c>
      <c r="G392" s="38">
        <f>3207673.58*1000000</f>
        <v>3207673580000</v>
      </c>
      <c r="H392" s="38">
        <f>(549.67+175609.16+16724.81)*1000000</f>
        <v>192883640000</v>
      </c>
      <c r="I392" s="38">
        <f>199851.94*1000000</f>
        <v>199851940000</v>
      </c>
      <c r="J392" s="38">
        <f>32268.1*1000000</f>
        <v>32268100000</v>
      </c>
      <c r="K392" s="38">
        <f>550283.18*1000000</f>
        <v>550283180000</v>
      </c>
      <c r="L392" s="38">
        <f>112243.42*1000000</f>
        <v>112243420000</v>
      </c>
      <c r="M392" s="38">
        <f>17353.68*1000000</f>
        <v>17353680000</v>
      </c>
      <c r="N392" s="38">
        <f>-20783.31*1000000</f>
        <v>-20783310000</v>
      </c>
      <c r="O392" s="39">
        <v>0.99990000000000001</v>
      </c>
      <c r="P392" s="40" t="s">
        <v>237</v>
      </c>
      <c r="Q392" s="38">
        <v>2</v>
      </c>
      <c r="R392" s="38">
        <v>3</v>
      </c>
      <c r="S392" s="38">
        <v>3</v>
      </c>
      <c r="T392" s="38">
        <f t="shared" si="36"/>
        <v>6</v>
      </c>
      <c r="U392" s="42">
        <v>0</v>
      </c>
      <c r="V392" s="38">
        <f>3+(2*1)</f>
        <v>5</v>
      </c>
      <c r="W392" s="38">
        <f t="shared" si="35"/>
        <v>5</v>
      </c>
      <c r="X392" s="38">
        <f>3+(2*2)</f>
        <v>7</v>
      </c>
      <c r="Y392" s="37"/>
    </row>
    <row r="393" spans="1:25" s="31" customFormat="1" ht="15" customHeight="1" x14ac:dyDescent="0.3">
      <c r="A393" s="36"/>
      <c r="B393" s="37"/>
      <c r="C393" s="45"/>
      <c r="D393" s="37">
        <v>2020</v>
      </c>
      <c r="E393" s="38">
        <f>180347*1000000</f>
        <v>180347000000</v>
      </c>
      <c r="F393" s="38">
        <f>(180347+2044.69)*1000000</f>
        <v>182391690000</v>
      </c>
      <c r="G393" s="38">
        <f>3055349.43*1000000</f>
        <v>3055349430000</v>
      </c>
      <c r="H393" s="38">
        <f>(1588.08+340320.6+17613.76)*1000000</f>
        <v>359522440000</v>
      </c>
      <c r="I393" s="38">
        <f>(369297.45*1000000)</f>
        <v>369297450000</v>
      </c>
      <c r="J393" s="38">
        <f>51029.5*1000000</f>
        <v>51029500000</v>
      </c>
      <c r="K393" s="38">
        <f>574699.42*1000000</f>
        <v>574699420000</v>
      </c>
      <c r="L393" s="38">
        <f>112865.65*1000000</f>
        <v>112865650000</v>
      </c>
      <c r="M393" s="38">
        <f>21544.61*1000000</f>
        <v>21544610000</v>
      </c>
      <c r="N393" s="38">
        <f>24416.24*1000000</f>
        <v>24416240000</v>
      </c>
      <c r="O393" s="39">
        <v>0.99990000000000001</v>
      </c>
      <c r="P393" s="40" t="s">
        <v>237</v>
      </c>
      <c r="Q393" s="38">
        <v>2</v>
      </c>
      <c r="R393" s="38">
        <v>3</v>
      </c>
      <c r="S393" s="38">
        <v>3</v>
      </c>
      <c r="T393" s="38">
        <f t="shared" si="36"/>
        <v>6</v>
      </c>
      <c r="U393" s="42">
        <v>0</v>
      </c>
      <c r="V393" s="38">
        <f>3+(2*1)</f>
        <v>5</v>
      </c>
      <c r="W393" s="38">
        <f t="shared" si="35"/>
        <v>5</v>
      </c>
      <c r="X393" s="38">
        <f>3+(2*2)</f>
        <v>7</v>
      </c>
      <c r="Y393" s="37"/>
    </row>
    <row r="394" spans="1:25" s="31" customFormat="1" ht="15" customHeight="1" x14ac:dyDescent="0.3">
      <c r="A394" s="36"/>
      <c r="B394" s="37"/>
      <c r="C394" s="45"/>
      <c r="D394" s="37">
        <v>2021</v>
      </c>
      <c r="E394" s="38">
        <f>67880.9*1000000</f>
        <v>67880899999.999992</v>
      </c>
      <c r="F394" s="38">
        <f>(67880.9+978.48)*1000000</f>
        <v>68859379999.999985</v>
      </c>
      <c r="G394" s="38">
        <f>3988679.99*1000000</f>
        <v>3988679990000</v>
      </c>
      <c r="H394" s="38">
        <f>(5744.65+346637.49+23879.71)*1000000</f>
        <v>376261850000.00006</v>
      </c>
      <c r="I394" s="38">
        <f>394754.75*1000000</f>
        <v>394754750000</v>
      </c>
      <c r="J394" s="38">
        <f>70367.17*1000000</f>
        <v>70367170000</v>
      </c>
      <c r="K394" s="38">
        <f>558683.43*1000000</f>
        <v>558683430000</v>
      </c>
      <c r="L394" s="38">
        <f>172277.28*1000000</f>
        <v>172277280000</v>
      </c>
      <c r="M394" s="38">
        <f>22111.39*1000000</f>
        <v>22111390000</v>
      </c>
      <c r="N394" s="38">
        <f>-16015.99*1000000</f>
        <v>-16015990000</v>
      </c>
      <c r="O394" s="39">
        <v>0.99990000000000001</v>
      </c>
      <c r="P394" s="40" t="s">
        <v>237</v>
      </c>
      <c r="Q394" s="38">
        <v>2</v>
      </c>
      <c r="R394" s="38">
        <v>3</v>
      </c>
      <c r="S394" s="38">
        <v>3</v>
      </c>
      <c r="T394" s="38">
        <f t="shared" si="36"/>
        <v>6</v>
      </c>
      <c r="U394" s="42">
        <v>0</v>
      </c>
      <c r="V394" s="38">
        <f>3+(2*1)</f>
        <v>5</v>
      </c>
      <c r="W394" s="38">
        <f t="shared" si="35"/>
        <v>5</v>
      </c>
      <c r="X394" s="38">
        <f>3+(2*3)</f>
        <v>9</v>
      </c>
      <c r="Y394" s="37"/>
    </row>
    <row r="395" spans="1:25" s="31" customFormat="1" ht="15" customHeight="1" x14ac:dyDescent="0.3">
      <c r="A395" s="36"/>
      <c r="B395" s="37"/>
      <c r="C395" s="45"/>
      <c r="D395" s="37">
        <v>2022</v>
      </c>
      <c r="E395" s="38">
        <f>56612.89*1000000</f>
        <v>56612890000</v>
      </c>
      <c r="F395" s="38">
        <f>(52612.89+1538.72)*1000000</f>
        <v>54151610000</v>
      </c>
      <c r="G395" s="38">
        <f>4245491.78*1000000</f>
        <v>4245491780000.0005</v>
      </c>
      <c r="H395" s="38">
        <f>(7581.56+230919.92+40522.38)*1000000</f>
        <v>279023860000</v>
      </c>
      <c r="I395" s="38">
        <f>335452.41*1000000</f>
        <v>335452410000</v>
      </c>
      <c r="J395" s="38">
        <f>98101.15*1000000</f>
        <v>98101150000</v>
      </c>
      <c r="K395" s="38">
        <f>559343.59*1000000</f>
        <v>559343590000</v>
      </c>
      <c r="L395" s="38">
        <f>213852.78*1000000</f>
        <v>213852780000</v>
      </c>
      <c r="M395" s="38">
        <f>31268.31*1000000</f>
        <v>31268310000</v>
      </c>
      <c r="N395" s="38">
        <f>660.16*1000000</f>
        <v>660160000</v>
      </c>
      <c r="O395" s="39">
        <v>0.99990000000000001</v>
      </c>
      <c r="P395" s="40" t="s">
        <v>237</v>
      </c>
      <c r="Q395" s="38">
        <v>2</v>
      </c>
      <c r="R395" s="38">
        <v>3</v>
      </c>
      <c r="S395" s="38">
        <v>3</v>
      </c>
      <c r="T395" s="38">
        <f t="shared" si="36"/>
        <v>6</v>
      </c>
      <c r="U395" s="42">
        <v>0</v>
      </c>
      <c r="V395" s="38">
        <f>3+(2*2)</f>
        <v>7</v>
      </c>
      <c r="W395" s="38">
        <f t="shared" si="35"/>
        <v>7</v>
      </c>
      <c r="X395" s="38">
        <f>3+(2*3)</f>
        <v>9</v>
      </c>
      <c r="Y395" s="37"/>
    </row>
    <row r="396" spans="1:25" s="31" customFormat="1" ht="15" customHeight="1" x14ac:dyDescent="0.3">
      <c r="A396" s="36"/>
      <c r="B396" s="37"/>
      <c r="C396" s="45"/>
      <c r="D396" s="37">
        <v>2023</v>
      </c>
      <c r="E396" s="38">
        <f>25344.46*1000000</f>
        <v>25344460000</v>
      </c>
      <c r="F396" s="38">
        <f>(25344.46+2334.83)*1000000</f>
        <v>27679290000</v>
      </c>
      <c r="G396" s="38">
        <f>3240789.95*1000000</f>
        <v>3240789950000</v>
      </c>
      <c r="H396" s="38">
        <f>(11918.43+146443.11+40991.15)*1000000</f>
        <v>199352689999.99997</v>
      </c>
      <c r="I396" s="38">
        <f>287061.98*1000000</f>
        <v>287061980000</v>
      </c>
      <c r="J396" s="38">
        <f>128260.9*1000000</f>
        <v>128260900000</v>
      </c>
      <c r="K396" s="38">
        <f>606439.48*1000000</f>
        <v>606439480000</v>
      </c>
      <c r="L396" s="38">
        <f>212140.03*1000000</f>
        <v>212140030000</v>
      </c>
      <c r="M396" s="38">
        <f>32435.27*1000000</f>
        <v>32435270000</v>
      </c>
      <c r="N396" s="38">
        <f>47095.89*1000000</f>
        <v>47095890000</v>
      </c>
      <c r="O396" s="39">
        <v>0.99990000000000001</v>
      </c>
      <c r="P396" s="40" t="s">
        <v>237</v>
      </c>
      <c r="Q396" s="38">
        <v>2</v>
      </c>
      <c r="R396" s="38">
        <v>3</v>
      </c>
      <c r="S396" s="38">
        <v>3</v>
      </c>
      <c r="T396" s="38">
        <f t="shared" si="36"/>
        <v>6</v>
      </c>
      <c r="U396" s="42">
        <v>0</v>
      </c>
      <c r="V396" s="38">
        <f>3+(2*2)</f>
        <v>7</v>
      </c>
      <c r="W396" s="38">
        <f t="shared" si="35"/>
        <v>7</v>
      </c>
      <c r="X396" s="38">
        <f>3+(2*3)</f>
        <v>9</v>
      </c>
      <c r="Y396" s="37"/>
    </row>
    <row r="397" spans="1:25" s="31" customFormat="1" ht="15" customHeight="1" x14ac:dyDescent="0.3">
      <c r="A397" s="36"/>
      <c r="B397" s="37"/>
      <c r="C397" s="45"/>
      <c r="D397" s="37">
        <v>2024</v>
      </c>
      <c r="E397" s="38">
        <v>0</v>
      </c>
      <c r="F397" s="38">
        <v>0</v>
      </c>
      <c r="G397" s="38">
        <v>0</v>
      </c>
      <c r="H397" s="38">
        <v>0</v>
      </c>
      <c r="I397" s="38">
        <v>0</v>
      </c>
      <c r="J397" s="38">
        <v>0</v>
      </c>
      <c r="K397" s="38">
        <v>0</v>
      </c>
      <c r="L397" s="38">
        <v>0</v>
      </c>
      <c r="M397" s="38">
        <v>0</v>
      </c>
      <c r="N397" s="38">
        <v>0</v>
      </c>
      <c r="O397" s="41">
        <v>0</v>
      </c>
      <c r="P397" s="38">
        <v>0</v>
      </c>
      <c r="Q397" s="38">
        <v>0</v>
      </c>
      <c r="R397" s="38">
        <v>0</v>
      </c>
      <c r="S397" s="38">
        <v>0</v>
      </c>
      <c r="T397" s="38">
        <v>0</v>
      </c>
      <c r="U397" s="38">
        <v>0</v>
      </c>
      <c r="V397" s="38">
        <v>0</v>
      </c>
      <c r="W397" s="38">
        <v>0</v>
      </c>
      <c r="X397" s="38">
        <v>0</v>
      </c>
      <c r="Y397" s="37"/>
    </row>
    <row r="398" spans="1:25" s="31" customFormat="1" ht="15" customHeight="1" x14ac:dyDescent="0.3">
      <c r="A398" s="36"/>
      <c r="B398" s="37">
        <v>37</v>
      </c>
      <c r="C398" s="29" t="s">
        <v>10</v>
      </c>
      <c r="D398" s="37">
        <v>2014</v>
      </c>
      <c r="E398" s="38">
        <v>0</v>
      </c>
      <c r="F398" s="38">
        <v>0</v>
      </c>
      <c r="G398" s="38">
        <v>0</v>
      </c>
      <c r="H398" s="38">
        <v>0</v>
      </c>
      <c r="I398" s="38">
        <v>0</v>
      </c>
      <c r="J398" s="38">
        <v>0</v>
      </c>
      <c r="K398" s="38">
        <v>0</v>
      </c>
      <c r="L398" s="38">
        <v>0</v>
      </c>
      <c r="M398" s="38">
        <v>0</v>
      </c>
      <c r="N398" s="38">
        <v>0</v>
      </c>
      <c r="O398" s="41">
        <v>0</v>
      </c>
      <c r="P398" s="38">
        <v>0</v>
      </c>
      <c r="Q398" s="38">
        <v>0</v>
      </c>
      <c r="R398" s="38">
        <v>0</v>
      </c>
      <c r="S398" s="38">
        <v>0</v>
      </c>
      <c r="T398" s="38">
        <v>0</v>
      </c>
      <c r="U398" s="38">
        <v>0</v>
      </c>
      <c r="V398" s="38">
        <v>0</v>
      </c>
      <c r="W398" s="38">
        <v>0</v>
      </c>
      <c r="X398" s="38">
        <v>0</v>
      </c>
      <c r="Y398" s="37"/>
    </row>
    <row r="399" spans="1:25" s="31" customFormat="1" ht="15" customHeight="1" x14ac:dyDescent="0.3">
      <c r="A399" s="36"/>
      <c r="B399" s="37"/>
      <c r="C399" s="29"/>
      <c r="D399" s="37">
        <v>2015</v>
      </c>
      <c r="E399" s="38">
        <v>0</v>
      </c>
      <c r="F399" s="38">
        <v>0</v>
      </c>
      <c r="G399" s="38">
        <v>0</v>
      </c>
      <c r="H399" s="38">
        <v>0</v>
      </c>
      <c r="I399" s="38">
        <v>0</v>
      </c>
      <c r="J399" s="38">
        <v>0</v>
      </c>
      <c r="K399" s="38">
        <v>0</v>
      </c>
      <c r="L399" s="38">
        <v>0</v>
      </c>
      <c r="M399" s="38">
        <v>0</v>
      </c>
      <c r="N399" s="38">
        <v>0</v>
      </c>
      <c r="O399" s="41">
        <v>0</v>
      </c>
      <c r="P399" s="38">
        <v>0</v>
      </c>
      <c r="Q399" s="38">
        <v>0</v>
      </c>
      <c r="R399" s="38">
        <v>0</v>
      </c>
      <c r="S399" s="38">
        <v>0</v>
      </c>
      <c r="T399" s="38">
        <v>0</v>
      </c>
      <c r="U399" s="38">
        <v>0</v>
      </c>
      <c r="V399" s="38">
        <v>0</v>
      </c>
      <c r="W399" s="38">
        <v>0</v>
      </c>
      <c r="X399" s="38">
        <v>0</v>
      </c>
      <c r="Y399" s="37"/>
    </row>
    <row r="400" spans="1:25" s="31" customFormat="1" ht="15" customHeight="1" x14ac:dyDescent="0.3">
      <c r="A400" s="36"/>
      <c r="B400" s="37"/>
      <c r="C400" s="29"/>
      <c r="D400" s="37">
        <v>2016</v>
      </c>
      <c r="E400" s="38">
        <v>0</v>
      </c>
      <c r="F400" s="38">
        <v>0</v>
      </c>
      <c r="G400" s="38">
        <v>0</v>
      </c>
      <c r="H400" s="38">
        <v>0</v>
      </c>
      <c r="I400" s="38">
        <v>0</v>
      </c>
      <c r="J400" s="38">
        <v>0</v>
      </c>
      <c r="K400" s="38">
        <v>0</v>
      </c>
      <c r="L400" s="38">
        <v>0</v>
      </c>
      <c r="M400" s="38">
        <v>0</v>
      </c>
      <c r="N400" s="38">
        <v>0</v>
      </c>
      <c r="O400" s="41">
        <v>0</v>
      </c>
      <c r="P400" s="38">
        <v>0</v>
      </c>
      <c r="Q400" s="38">
        <v>0</v>
      </c>
      <c r="R400" s="38">
        <v>0</v>
      </c>
      <c r="S400" s="38">
        <v>0</v>
      </c>
      <c r="T400" s="38">
        <v>0</v>
      </c>
      <c r="U400" s="38">
        <v>0</v>
      </c>
      <c r="V400" s="38">
        <v>0</v>
      </c>
      <c r="W400" s="38">
        <v>0</v>
      </c>
      <c r="X400" s="38">
        <v>0</v>
      </c>
      <c r="Y400" s="37"/>
    </row>
    <row r="401" spans="1:25" s="31" customFormat="1" ht="15" customHeight="1" x14ac:dyDescent="0.3">
      <c r="A401" s="36"/>
      <c r="B401" s="37"/>
      <c r="C401" s="29"/>
      <c r="D401" s="37">
        <v>2017</v>
      </c>
      <c r="E401" s="38">
        <f>418.31*1000000</f>
        <v>418310000</v>
      </c>
      <c r="F401" s="38">
        <f>(418.31+1100.85+859.51+3702.77+4013.05+500+528.44)*1000000</f>
        <v>11122930000.000002</v>
      </c>
      <c r="G401" s="38">
        <f>140505.22*1000000</f>
        <v>140505220000</v>
      </c>
      <c r="H401" s="38">
        <f>7157.86*1000000</f>
        <v>7157860000</v>
      </c>
      <c r="I401" s="38">
        <f>25608.96*1000000</f>
        <v>25608960000</v>
      </c>
      <c r="J401" s="38">
        <f>-81177.6*1000000</f>
        <v>-81177600000</v>
      </c>
      <c r="K401" s="38">
        <f>114896.26*1000000</f>
        <v>114896260000</v>
      </c>
      <c r="L401" s="38">
        <f>39561.67*1000000</f>
        <v>39561670000</v>
      </c>
      <c r="M401" s="38">
        <f>-21361.42*1000000</f>
        <v>-21361420000</v>
      </c>
      <c r="N401" s="38">
        <f>-23649.08*1000000</f>
        <v>-23649080000</v>
      </c>
      <c r="O401" s="48">
        <v>0</v>
      </c>
      <c r="P401" s="40">
        <v>0</v>
      </c>
      <c r="Q401" s="38">
        <v>0</v>
      </c>
      <c r="R401" s="38">
        <v>0</v>
      </c>
      <c r="S401" s="38">
        <v>0</v>
      </c>
      <c r="T401" s="38">
        <v>0</v>
      </c>
      <c r="U401" s="38">
        <v>0</v>
      </c>
      <c r="V401" s="38">
        <v>0</v>
      </c>
      <c r="W401" s="38">
        <v>0</v>
      </c>
      <c r="X401" s="38">
        <v>0</v>
      </c>
      <c r="Y401" s="37"/>
    </row>
    <row r="402" spans="1:25" s="31" customFormat="1" ht="15" customHeight="1" x14ac:dyDescent="0.3">
      <c r="A402" s="36"/>
      <c r="B402" s="37"/>
      <c r="C402" s="29"/>
      <c r="D402" s="37">
        <v>2018</v>
      </c>
      <c r="E402" s="38">
        <f>815.53*1000000</f>
        <v>815530000</v>
      </c>
      <c r="F402" s="38">
        <f>(815.53+1085.21+727.47+3736.23+1423.87+621.95)*1000000</f>
        <v>8410260000</v>
      </c>
      <c r="G402" s="38">
        <f>143642.4*1000000</f>
        <v>143642400000</v>
      </c>
      <c r="H402" s="38">
        <f>9251.19*1000000</f>
        <v>9251190000</v>
      </c>
      <c r="I402" s="38">
        <f>31570.19*1000000</f>
        <v>31570190000</v>
      </c>
      <c r="J402" s="38">
        <f>-109766.25*1000000</f>
        <v>-109766250000</v>
      </c>
      <c r="K402" s="38">
        <f>112072.21*1000000</f>
        <v>112072210000</v>
      </c>
      <c r="L402" s="38">
        <f>41616.86*1000000</f>
        <v>41616860000</v>
      </c>
      <c r="M402" s="38">
        <f>-28588.64*1000000</f>
        <v>-28588640000</v>
      </c>
      <c r="N402" s="38">
        <f>-22824.05*1000000</f>
        <v>-22824050000</v>
      </c>
      <c r="O402" s="39">
        <v>0.84</v>
      </c>
      <c r="P402" s="40" t="s">
        <v>11</v>
      </c>
      <c r="Q402" s="38">
        <v>2</v>
      </c>
      <c r="R402" s="38">
        <v>4</v>
      </c>
      <c r="S402" s="38">
        <v>3</v>
      </c>
      <c r="T402" s="38">
        <f>SUM(R402:S402)</f>
        <v>7</v>
      </c>
      <c r="U402" s="42">
        <v>0</v>
      </c>
      <c r="V402" s="38">
        <v>0</v>
      </c>
      <c r="W402" s="38">
        <v>0</v>
      </c>
      <c r="X402" s="38">
        <v>0</v>
      </c>
      <c r="Y402" s="37"/>
    </row>
    <row r="403" spans="1:25" s="31" customFormat="1" ht="15" customHeight="1" x14ac:dyDescent="0.3">
      <c r="A403" s="36"/>
      <c r="B403" s="37"/>
      <c r="C403" s="29"/>
      <c r="D403" s="37">
        <v>2019</v>
      </c>
      <c r="E403" s="38">
        <f>1653.83*1000000</f>
        <v>1653830000</v>
      </c>
      <c r="F403" s="38">
        <f>(1653.83+1911.05+1427.32+3754.11+1996.35+581.35)*1000000</f>
        <v>11324010000</v>
      </c>
      <c r="G403" s="38">
        <f>157594.28*1000000</f>
        <v>157594280000</v>
      </c>
      <c r="H403" s="38">
        <f>14783.63*1000000</f>
        <v>14783630000</v>
      </c>
      <c r="I403" s="38">
        <f>39292.5*1000000</f>
        <v>39292500000</v>
      </c>
      <c r="J403" s="38">
        <f>-144965.99*1000000</f>
        <v>-144965990000</v>
      </c>
      <c r="K403" s="38">
        <f>118301.78*1000000</f>
        <v>118301780000</v>
      </c>
      <c r="L403" s="38">
        <f>49682.23*1000000</f>
        <v>49682230000</v>
      </c>
      <c r="M403" s="38">
        <f>-35199.74*1000000</f>
        <v>-35199740000</v>
      </c>
      <c r="N403" s="38">
        <f>-33770.43*1000000</f>
        <v>-33770430000</v>
      </c>
      <c r="O403" s="39">
        <v>0.85</v>
      </c>
      <c r="P403" s="40" t="s">
        <v>11</v>
      </c>
      <c r="Q403" s="38">
        <v>2</v>
      </c>
      <c r="R403" s="38">
        <v>3</v>
      </c>
      <c r="S403" s="38">
        <v>3</v>
      </c>
      <c r="T403" s="38">
        <f>SUM(R403:S403)</f>
        <v>6</v>
      </c>
      <c r="U403" s="42">
        <v>0</v>
      </c>
      <c r="V403" s="38">
        <v>0</v>
      </c>
      <c r="W403" s="38">
        <v>0</v>
      </c>
      <c r="X403" s="38">
        <v>0</v>
      </c>
      <c r="Y403" s="37"/>
    </row>
    <row r="404" spans="1:25" s="31" customFormat="1" ht="15" customHeight="1" x14ac:dyDescent="0.3">
      <c r="A404" s="36"/>
      <c r="B404" s="37"/>
      <c r="C404" s="29"/>
      <c r="D404" s="37">
        <v>2020</v>
      </c>
      <c r="E404" s="38">
        <f>672.13*1000000</f>
        <v>672130000</v>
      </c>
      <c r="F404" s="38">
        <f>(672.13+2991.68+2316.59+3203.13+1308+673.13)*1000000</f>
        <v>11164659999.999998</v>
      </c>
      <c r="G404" s="38">
        <f>169752.22*1000000</f>
        <v>169752220000</v>
      </c>
      <c r="H404" s="38">
        <f>15996.27*1000000</f>
        <v>15996270000</v>
      </c>
      <c r="I404" s="38">
        <f>48075.88*1000000</f>
        <v>48075880000</v>
      </c>
      <c r="J404" s="38">
        <f>-175011.9*1000000</f>
        <v>-175011900000</v>
      </c>
      <c r="K404" s="38">
        <f>121676.34*1000000</f>
        <v>121676340000</v>
      </c>
      <c r="L404" s="38">
        <f>50141.46*1000000</f>
        <v>50141460000</v>
      </c>
      <c r="M404" s="38">
        <f>-30045.91*1000000</f>
        <v>-30045910000</v>
      </c>
      <c r="N404" s="38">
        <f>-31624.44*1000000</f>
        <v>-31624440000</v>
      </c>
      <c r="O404" s="39">
        <v>0</v>
      </c>
      <c r="P404" s="40">
        <v>0</v>
      </c>
      <c r="Q404" s="38">
        <v>0</v>
      </c>
      <c r="R404" s="38">
        <v>0</v>
      </c>
      <c r="S404" s="38">
        <v>0</v>
      </c>
      <c r="T404" s="38">
        <v>0</v>
      </c>
      <c r="U404" s="38">
        <v>0</v>
      </c>
      <c r="V404" s="38">
        <v>0</v>
      </c>
      <c r="W404" s="38">
        <v>0</v>
      </c>
      <c r="X404" s="38">
        <v>0</v>
      </c>
      <c r="Y404" s="37"/>
    </row>
    <row r="405" spans="1:25" s="31" customFormat="1" ht="15" customHeight="1" x14ac:dyDescent="0.3">
      <c r="A405" s="36"/>
      <c r="B405" s="37"/>
      <c r="C405" s="29"/>
      <c r="D405" s="37">
        <v>2021</v>
      </c>
      <c r="E405" s="38">
        <f>361.34*1000000</f>
        <v>361340000</v>
      </c>
      <c r="F405" s="38">
        <f>(361.16+623.34+785.36+2278.4+1174.03+728.1)*1000000</f>
        <v>5950390000</v>
      </c>
      <c r="G405" s="38">
        <f>171563.86*1000000</f>
        <v>171563860000</v>
      </c>
      <c r="H405" s="38">
        <f>9289.16*1000000</f>
        <v>9289160000</v>
      </c>
      <c r="I405" s="38">
        <f>44041.98*1000000</f>
        <v>44041980000</v>
      </c>
      <c r="J405" s="38">
        <f>-200356.04*1000000</f>
        <v>-200356040000</v>
      </c>
      <c r="K405" s="38">
        <f>127521.88*1000000</f>
        <v>127521880000</v>
      </c>
      <c r="L405" s="38">
        <f>42027.8*1000000</f>
        <v>42027800000</v>
      </c>
      <c r="M405" s="38">
        <f>-25344.15*1000000</f>
        <v>-25344150000</v>
      </c>
      <c r="N405" s="38">
        <f>-24154.45*1000000</f>
        <v>-24154450000</v>
      </c>
      <c r="O405" s="39">
        <v>0.67300000000000004</v>
      </c>
      <c r="P405" s="40" t="s">
        <v>11</v>
      </c>
      <c r="Q405" s="38">
        <v>2</v>
      </c>
      <c r="R405" s="38">
        <v>3</v>
      </c>
      <c r="S405" s="38">
        <v>3</v>
      </c>
      <c r="T405" s="38">
        <f>SUM(R405:S405)</f>
        <v>6</v>
      </c>
      <c r="U405" s="42">
        <v>0</v>
      </c>
      <c r="V405" s="38">
        <v>0</v>
      </c>
      <c r="W405" s="38">
        <v>0</v>
      </c>
      <c r="X405" s="38">
        <v>0</v>
      </c>
      <c r="Y405" s="37"/>
    </row>
    <row r="406" spans="1:25" s="31" customFormat="1" ht="15" customHeight="1" x14ac:dyDescent="0.3">
      <c r="A406" s="36"/>
      <c r="B406" s="37"/>
      <c r="C406" s="29"/>
      <c r="D406" s="37">
        <v>2022</v>
      </c>
      <c r="E406" s="38">
        <f>785.73*1000000</f>
        <v>785730000</v>
      </c>
      <c r="F406" s="38">
        <f>(785.73+719.53+381.51+1904.56+1324.67+703.41)*1000000</f>
        <v>5819410000</v>
      </c>
      <c r="G406" s="38">
        <f>176564.46*1000000</f>
        <v>176564460000</v>
      </c>
      <c r="H406" s="38">
        <f>9193.23*1000000</f>
        <v>9193230000</v>
      </c>
      <c r="I406" s="38">
        <f>47227.5*1000000</f>
        <v>47227500000</v>
      </c>
      <c r="J406" s="38">
        <f>-224590.88*1000000</f>
        <v>-224590880000</v>
      </c>
      <c r="K406" s="38">
        <f>129336.96*1000000</f>
        <v>129336960000</v>
      </c>
      <c r="L406" s="38">
        <f>44009.64*1000000</f>
        <v>44009640000</v>
      </c>
      <c r="M406" s="38">
        <f>-24234.83*1000000</f>
        <v>-24234830000</v>
      </c>
      <c r="N406" s="38">
        <f>-23184.92*1000000</f>
        <v>-23184920000</v>
      </c>
      <c r="O406" s="39">
        <v>0.61450000000000005</v>
      </c>
      <c r="P406" s="40" t="s">
        <v>11</v>
      </c>
      <c r="Q406" s="38">
        <v>2</v>
      </c>
      <c r="R406" s="38">
        <v>3</v>
      </c>
      <c r="S406" s="38">
        <v>3</v>
      </c>
      <c r="T406" s="38">
        <f>SUM(R406:S406)</f>
        <v>6</v>
      </c>
      <c r="U406" s="42">
        <v>0</v>
      </c>
      <c r="V406" s="38">
        <v>0</v>
      </c>
      <c r="W406" s="38">
        <v>0</v>
      </c>
      <c r="X406" s="38">
        <v>0</v>
      </c>
      <c r="Y406" s="37"/>
    </row>
    <row r="407" spans="1:25" s="31" customFormat="1" ht="15" customHeight="1" x14ac:dyDescent="0.3">
      <c r="A407" s="36"/>
      <c r="B407" s="37"/>
      <c r="C407" s="29"/>
      <c r="D407" s="37">
        <v>2023</v>
      </c>
      <c r="E407" s="38">
        <f>913.97*1000000</f>
        <v>913970000</v>
      </c>
      <c r="F407" s="38">
        <f>(913.97+6829.28+389.44+5472.03+903.07+617.86)*1000000</f>
        <v>15125650000</v>
      </c>
      <c r="G407" s="38">
        <f>181228.69*1000000</f>
        <v>181228690000</v>
      </c>
      <c r="H407" s="38">
        <f>15253.79*1000000</f>
        <v>15253790000</v>
      </c>
      <c r="I407" s="38">
        <f>61888.12*1000000</f>
        <v>61888120000</v>
      </c>
      <c r="J407" s="38">
        <f>-256694.65*1000000</f>
        <v>-256694650000</v>
      </c>
      <c r="K407" s="38">
        <f>119340.57*1000000</f>
        <v>119340570000</v>
      </c>
      <c r="L407" s="38">
        <f>41351.63*1000000</f>
        <v>41351630000</v>
      </c>
      <c r="M407" s="38">
        <f>-32103.77*1000000</f>
        <v>-32103770000</v>
      </c>
      <c r="N407" s="38">
        <f>-34996.39*1000000</f>
        <v>-34996390000</v>
      </c>
      <c r="O407" s="39">
        <v>0.57299999999999995</v>
      </c>
      <c r="P407" s="40" t="s">
        <v>11</v>
      </c>
      <c r="Q407" s="38">
        <v>2</v>
      </c>
      <c r="R407" s="38">
        <v>3</v>
      </c>
      <c r="S407" s="38">
        <v>4</v>
      </c>
      <c r="T407" s="38">
        <f>SUM(R407:S407)</f>
        <v>7</v>
      </c>
      <c r="U407" s="42">
        <v>0</v>
      </c>
      <c r="V407" s="38">
        <v>0</v>
      </c>
      <c r="W407" s="38">
        <v>0</v>
      </c>
      <c r="X407" s="38">
        <v>0</v>
      </c>
      <c r="Y407" s="37"/>
    </row>
    <row r="408" spans="1:25" s="31" customFormat="1" ht="15" customHeight="1" x14ac:dyDescent="0.3">
      <c r="A408" s="36"/>
      <c r="B408" s="37"/>
      <c r="C408" s="29"/>
      <c r="D408" s="37">
        <v>2024</v>
      </c>
      <c r="E408" s="38">
        <f>3092*1000000</f>
        <v>3092000000</v>
      </c>
      <c r="F408" s="38">
        <f>(3092+1339+22609+1391+746)*1000000</f>
        <v>29177000000</v>
      </c>
      <c r="G408" s="38">
        <f>207086*1000000</f>
        <v>207086000000</v>
      </c>
      <c r="H408" s="38">
        <f>15947*1000000</f>
        <v>15947000000</v>
      </c>
      <c r="I408" s="38">
        <f>84425*1000000</f>
        <v>84425000000</v>
      </c>
      <c r="J408" s="38">
        <f>-292486*1000000</f>
        <v>-292486000000</v>
      </c>
      <c r="K408" s="38">
        <f>122662*1000000</f>
        <v>122662000000</v>
      </c>
      <c r="L408" s="38">
        <f>40644*1000000</f>
        <v>40644000000</v>
      </c>
      <c r="M408" s="38">
        <f>-35791*1000000</f>
        <v>-35791000000</v>
      </c>
      <c r="N408" s="38">
        <f>-36679*1000000</f>
        <v>-36679000000</v>
      </c>
      <c r="O408" s="39">
        <v>0.4874</v>
      </c>
      <c r="P408" s="40" t="s">
        <v>11</v>
      </c>
      <c r="Q408" s="38">
        <v>2</v>
      </c>
      <c r="R408" s="38">
        <v>3</v>
      </c>
      <c r="S408" s="38">
        <v>4</v>
      </c>
      <c r="T408" s="38">
        <f>SUM(R408:S408)</f>
        <v>7</v>
      </c>
      <c r="U408" s="42">
        <v>0</v>
      </c>
      <c r="V408" s="38">
        <v>0</v>
      </c>
      <c r="W408" s="38">
        <v>0</v>
      </c>
      <c r="X408" s="38">
        <v>0</v>
      </c>
      <c r="Y408" s="37"/>
    </row>
    <row r="409" spans="1:25" s="31" customFormat="1" ht="15" customHeight="1" x14ac:dyDescent="0.3">
      <c r="A409" s="36"/>
      <c r="B409" s="37">
        <v>38</v>
      </c>
      <c r="C409" s="29" t="s">
        <v>32</v>
      </c>
      <c r="D409" s="37">
        <v>2014</v>
      </c>
      <c r="E409" s="38">
        <v>0</v>
      </c>
      <c r="F409" s="38">
        <v>0</v>
      </c>
      <c r="G409" s="38">
        <v>0</v>
      </c>
      <c r="H409" s="38">
        <v>0</v>
      </c>
      <c r="I409" s="38">
        <v>0</v>
      </c>
      <c r="J409" s="38">
        <v>0</v>
      </c>
      <c r="K409" s="38">
        <v>0</v>
      </c>
      <c r="L409" s="38">
        <v>0</v>
      </c>
      <c r="M409" s="38">
        <v>0</v>
      </c>
      <c r="N409" s="38">
        <v>0</v>
      </c>
      <c r="O409" s="41">
        <v>0</v>
      </c>
      <c r="P409" s="38">
        <v>0</v>
      </c>
      <c r="Q409" s="38">
        <v>0</v>
      </c>
      <c r="R409" s="38">
        <v>0</v>
      </c>
      <c r="S409" s="38">
        <v>0</v>
      </c>
      <c r="T409" s="38">
        <v>0</v>
      </c>
      <c r="U409" s="38">
        <v>0</v>
      </c>
      <c r="V409" s="38">
        <v>0</v>
      </c>
      <c r="W409" s="38">
        <v>0</v>
      </c>
      <c r="X409" s="38">
        <v>0</v>
      </c>
      <c r="Y409" s="37"/>
    </row>
    <row r="410" spans="1:25" s="31" customFormat="1" ht="15" customHeight="1" x14ac:dyDescent="0.3">
      <c r="A410" s="36"/>
      <c r="B410" s="37"/>
      <c r="C410" s="29"/>
      <c r="D410" s="37">
        <v>2015</v>
      </c>
      <c r="E410" s="38">
        <v>0</v>
      </c>
      <c r="F410" s="38">
        <v>0</v>
      </c>
      <c r="G410" s="38">
        <v>0</v>
      </c>
      <c r="H410" s="38">
        <v>0</v>
      </c>
      <c r="I410" s="38">
        <v>0</v>
      </c>
      <c r="J410" s="38">
        <v>0</v>
      </c>
      <c r="K410" s="38">
        <v>0</v>
      </c>
      <c r="L410" s="38">
        <v>0</v>
      </c>
      <c r="M410" s="38">
        <v>0</v>
      </c>
      <c r="N410" s="38">
        <v>0</v>
      </c>
      <c r="O410" s="41">
        <v>0</v>
      </c>
      <c r="P410" s="38">
        <v>0</v>
      </c>
      <c r="Q410" s="38">
        <v>0</v>
      </c>
      <c r="R410" s="38">
        <v>0</v>
      </c>
      <c r="S410" s="38">
        <v>0</v>
      </c>
      <c r="T410" s="38">
        <v>0</v>
      </c>
      <c r="U410" s="38">
        <v>0</v>
      </c>
      <c r="V410" s="38">
        <v>0</v>
      </c>
      <c r="W410" s="38">
        <v>0</v>
      </c>
      <c r="X410" s="38">
        <v>0</v>
      </c>
      <c r="Y410" s="37"/>
    </row>
    <row r="411" spans="1:25" s="31" customFormat="1" ht="15" customHeight="1" x14ac:dyDescent="0.3">
      <c r="A411" s="36"/>
      <c r="B411" s="37"/>
      <c r="C411" s="29"/>
      <c r="D411" s="37">
        <v>2016</v>
      </c>
      <c r="E411" s="38">
        <v>0</v>
      </c>
      <c r="F411" s="38">
        <v>0</v>
      </c>
      <c r="G411" s="38">
        <v>0</v>
      </c>
      <c r="H411" s="38">
        <v>0</v>
      </c>
      <c r="I411" s="38">
        <v>0</v>
      </c>
      <c r="J411" s="38">
        <v>0</v>
      </c>
      <c r="K411" s="38">
        <v>0</v>
      </c>
      <c r="L411" s="38">
        <v>0</v>
      </c>
      <c r="M411" s="38">
        <v>0</v>
      </c>
      <c r="N411" s="38">
        <v>0</v>
      </c>
      <c r="O411" s="41">
        <v>0</v>
      </c>
      <c r="P411" s="38">
        <v>0</v>
      </c>
      <c r="Q411" s="38">
        <v>0</v>
      </c>
      <c r="R411" s="38">
        <v>0</v>
      </c>
      <c r="S411" s="38">
        <v>0</v>
      </c>
      <c r="T411" s="38">
        <v>0</v>
      </c>
      <c r="U411" s="38">
        <v>0</v>
      </c>
      <c r="V411" s="38">
        <v>0</v>
      </c>
      <c r="W411" s="38">
        <v>0</v>
      </c>
      <c r="X411" s="38">
        <v>0</v>
      </c>
      <c r="Y411" s="37"/>
    </row>
    <row r="412" spans="1:25" s="31" customFormat="1" ht="15" customHeight="1" x14ac:dyDescent="0.3">
      <c r="A412" s="36"/>
      <c r="B412" s="37"/>
      <c r="C412" s="29"/>
      <c r="D412" s="37">
        <v>2017</v>
      </c>
      <c r="E412" s="38">
        <f>756*1000000</f>
        <v>756000000</v>
      </c>
      <c r="F412" s="38">
        <f>(756+1322)*1000000</f>
        <v>2078000000</v>
      </c>
      <c r="G412" s="38">
        <f>107161*1000000</f>
        <v>107161000000</v>
      </c>
      <c r="H412" s="38">
        <f>444*1000000</f>
        <v>444000000</v>
      </c>
      <c r="I412" s="38">
        <f>444*1000000</f>
        <v>444000000</v>
      </c>
      <c r="J412" s="38">
        <f>1393*1000000</f>
        <v>1393000000</v>
      </c>
      <c r="K412" s="38">
        <f>106717*1000000</f>
        <v>106717000000</v>
      </c>
      <c r="L412" s="38">
        <f>7857*1000000</f>
        <v>7857000000</v>
      </c>
      <c r="M412" s="38">
        <f>2399*1000000</f>
        <v>2399000000</v>
      </c>
      <c r="N412" s="38">
        <f>850*1000000</f>
        <v>850000000</v>
      </c>
      <c r="O412" s="48">
        <v>0</v>
      </c>
      <c r="P412" s="40">
        <v>0</v>
      </c>
      <c r="Q412" s="38">
        <v>0</v>
      </c>
      <c r="R412" s="38">
        <v>0</v>
      </c>
      <c r="S412" s="38">
        <v>0</v>
      </c>
      <c r="T412" s="38">
        <v>0</v>
      </c>
      <c r="U412" s="38">
        <v>0</v>
      </c>
      <c r="V412" s="38">
        <v>0</v>
      </c>
      <c r="W412" s="38">
        <v>0</v>
      </c>
      <c r="X412" s="38">
        <v>0</v>
      </c>
      <c r="Y412" s="37"/>
    </row>
    <row r="413" spans="1:25" s="31" customFormat="1" ht="15" customHeight="1" x14ac:dyDescent="0.3">
      <c r="A413" s="36"/>
      <c r="B413" s="37"/>
      <c r="C413" s="29"/>
      <c r="D413" s="37">
        <v>2018</v>
      </c>
      <c r="E413" s="38">
        <f>4303*1000000</f>
        <v>4303000000</v>
      </c>
      <c r="F413" s="38">
        <f>(4303+3122)*1000000</f>
        <v>7425000000</v>
      </c>
      <c r="G413" s="38">
        <f>382472*1000000</f>
        <v>382472000000</v>
      </c>
      <c r="H413" s="38">
        <f>11583*1000000</f>
        <v>11583000000</v>
      </c>
      <c r="I413" s="38">
        <f>11583*1000000</f>
        <v>11583000000</v>
      </c>
      <c r="J413" s="38">
        <f>-9435*1000000</f>
        <v>-9435000000</v>
      </c>
      <c r="K413" s="38">
        <f>370889*1000000</f>
        <v>370889000000</v>
      </c>
      <c r="L413" s="38">
        <f>14708*1000000</f>
        <v>14708000000</v>
      </c>
      <c r="M413" s="38">
        <f>-8860*1000000</f>
        <v>-8860000000</v>
      </c>
      <c r="N413" s="38">
        <f>-10827*1000000</f>
        <v>-10827000000</v>
      </c>
      <c r="O413" s="39">
        <v>0.8</v>
      </c>
      <c r="P413" s="40" t="s">
        <v>219</v>
      </c>
      <c r="Q413" s="38">
        <v>2</v>
      </c>
      <c r="R413" s="38">
        <v>4</v>
      </c>
      <c r="S413" s="38">
        <v>4</v>
      </c>
      <c r="T413" s="38">
        <f>SUM(R413:S413)</f>
        <v>8</v>
      </c>
      <c r="U413" s="42">
        <v>0</v>
      </c>
      <c r="V413" s="38">
        <v>0</v>
      </c>
      <c r="W413" s="38">
        <v>0</v>
      </c>
      <c r="X413" s="38">
        <v>0</v>
      </c>
      <c r="Y413" s="37"/>
    </row>
    <row r="414" spans="1:25" s="31" customFormat="1" ht="15" customHeight="1" x14ac:dyDescent="0.3">
      <c r="A414" s="36"/>
      <c r="B414" s="37"/>
      <c r="C414" s="29"/>
      <c r="D414" s="37">
        <v>2019</v>
      </c>
      <c r="E414" s="38">
        <f>2503*1000000</f>
        <v>2503000000</v>
      </c>
      <c r="F414" s="38">
        <f>(2501+252+28846+2783)*1000000</f>
        <v>34382000000</v>
      </c>
      <c r="G414" s="38">
        <f>387737*1000000</f>
        <v>387737000000</v>
      </c>
      <c r="H414" s="38">
        <f>37107*1000000</f>
        <v>37107000000</v>
      </c>
      <c r="I414" s="38">
        <f>(48812*1000000)</f>
        <v>48812000000</v>
      </c>
      <c r="J414" s="38">
        <f>-41399*1000000</f>
        <v>-41399000000</v>
      </c>
      <c r="K414" s="38">
        <f>338925*1000000</f>
        <v>338925000000</v>
      </c>
      <c r="L414" s="38">
        <f>27542*1000000</f>
        <v>27542000000</v>
      </c>
      <c r="M414" s="38">
        <f>-28231*1000000</f>
        <v>-28231000000</v>
      </c>
      <c r="N414" s="38">
        <f>-31964*1000000</f>
        <v>-31964000000</v>
      </c>
      <c r="O414" s="39">
        <v>0.8</v>
      </c>
      <c r="P414" s="40" t="s">
        <v>219</v>
      </c>
      <c r="Q414" s="38">
        <v>2</v>
      </c>
      <c r="R414" s="38">
        <v>3</v>
      </c>
      <c r="S414" s="38">
        <v>4</v>
      </c>
      <c r="T414" s="38">
        <f t="shared" ref="T414:T419" si="37">SUM(R414:S414)</f>
        <v>7</v>
      </c>
      <c r="U414" s="42">
        <v>0</v>
      </c>
      <c r="V414" s="38">
        <v>0</v>
      </c>
      <c r="W414" s="38">
        <v>0</v>
      </c>
      <c r="X414" s="38">
        <v>0</v>
      </c>
      <c r="Y414" s="37"/>
    </row>
    <row r="415" spans="1:25" s="31" customFormat="1" ht="15" customHeight="1" x14ac:dyDescent="0.3">
      <c r="A415" s="36"/>
      <c r="B415" s="37"/>
      <c r="C415" s="29"/>
      <c r="D415" s="37">
        <v>2020</v>
      </c>
      <c r="E415" s="38">
        <f>8032*1000000</f>
        <v>8032000000</v>
      </c>
      <c r="F415" s="38">
        <f>(8032+52082+2562)*1000000</f>
        <v>62676000000</v>
      </c>
      <c r="G415" s="38">
        <f>449491*1000000</f>
        <v>449491000000</v>
      </c>
      <c r="H415" s="38">
        <f>83801*1000000</f>
        <v>83801000000</v>
      </c>
      <c r="I415" s="38">
        <f>138906*1000000</f>
        <v>138906000000</v>
      </c>
      <c r="J415" s="38">
        <f>-69739*1000000</f>
        <v>-69739000000</v>
      </c>
      <c r="K415" s="38">
        <f>310585*1000000</f>
        <v>310585000000</v>
      </c>
      <c r="L415" s="38">
        <f>35000*1000000</f>
        <v>35000000000</v>
      </c>
      <c r="M415" s="38">
        <f>-25655*1000000</f>
        <v>-25655000000</v>
      </c>
      <c r="N415" s="38">
        <f>-28340*1000000</f>
        <v>-28340000000</v>
      </c>
      <c r="O415" s="39">
        <v>0.8</v>
      </c>
      <c r="P415" s="40" t="s">
        <v>219</v>
      </c>
      <c r="Q415" s="38">
        <v>2</v>
      </c>
      <c r="R415" s="38">
        <v>3</v>
      </c>
      <c r="S415" s="38">
        <v>4</v>
      </c>
      <c r="T415" s="38">
        <f t="shared" si="37"/>
        <v>7</v>
      </c>
      <c r="U415" s="42">
        <v>0</v>
      </c>
      <c r="V415" s="38">
        <v>0</v>
      </c>
      <c r="W415" s="38">
        <v>0</v>
      </c>
      <c r="X415" s="38">
        <v>0</v>
      </c>
      <c r="Y415" s="37"/>
    </row>
    <row r="416" spans="1:25" s="31" customFormat="1" ht="15" customHeight="1" x14ac:dyDescent="0.3">
      <c r="A416" s="36"/>
      <c r="B416" s="37"/>
      <c r="C416" s="29"/>
      <c r="D416" s="37">
        <v>2021</v>
      </c>
      <c r="E416" s="38">
        <f>37946*1000000</f>
        <v>37946000000</v>
      </c>
      <c r="F416" s="38">
        <f>(37946+182+96063+108+1722)*1000000</f>
        <v>136021000000</v>
      </c>
      <c r="G416" s="38">
        <f>425122*1000000</f>
        <v>425122000000</v>
      </c>
      <c r="H416" s="38">
        <f>47857*1000000</f>
        <v>47857000000</v>
      </c>
      <c r="I416" s="38">
        <f>164477*1000000</f>
        <v>164477000000</v>
      </c>
      <c r="J416" s="38">
        <f>-119679*1000000</f>
        <v>-119679000000</v>
      </c>
      <c r="K416" s="38">
        <f>260645*1000000</f>
        <v>260645000000</v>
      </c>
      <c r="L416" s="38">
        <f>24578*1000000</f>
        <v>24578000000</v>
      </c>
      <c r="M416" s="38">
        <f>-21642*1000000</f>
        <v>-21642000000</v>
      </c>
      <c r="N416" s="38">
        <f>-23823*1000000</f>
        <v>-23823000000</v>
      </c>
      <c r="O416" s="39">
        <v>0.8</v>
      </c>
      <c r="P416" s="40" t="s">
        <v>219</v>
      </c>
      <c r="Q416" s="38">
        <v>2</v>
      </c>
      <c r="R416" s="38">
        <v>4</v>
      </c>
      <c r="S416" s="38">
        <v>4</v>
      </c>
      <c r="T416" s="38">
        <f t="shared" si="37"/>
        <v>8</v>
      </c>
      <c r="U416" s="42">
        <v>0</v>
      </c>
      <c r="V416" s="38">
        <v>0</v>
      </c>
      <c r="W416" s="38">
        <v>0</v>
      </c>
      <c r="X416" s="38">
        <v>0</v>
      </c>
      <c r="Y416" s="37"/>
    </row>
    <row r="417" spans="1:25" s="31" customFormat="1" ht="15" customHeight="1" x14ac:dyDescent="0.3">
      <c r="A417" s="36"/>
      <c r="B417" s="37"/>
      <c r="C417" s="29"/>
      <c r="D417" s="37">
        <v>2022</v>
      </c>
      <c r="E417" s="38">
        <f>47036*1000000</f>
        <v>47036000000</v>
      </c>
      <c r="F417" s="38">
        <f>(47036+125134+431+2466)*1000000</f>
        <v>175067000000</v>
      </c>
      <c r="G417" s="38">
        <f>392960*1000000</f>
        <v>392960000000</v>
      </c>
      <c r="H417" s="38">
        <f>20687*1000000</f>
        <v>20687000000</v>
      </c>
      <c r="I417" s="38">
        <f>168319*1000000</f>
        <v>168319000000</v>
      </c>
      <c r="J417" s="38">
        <f>-155683*1000000</f>
        <v>-155683000000</v>
      </c>
      <c r="K417" s="38">
        <f>224641*1000000</f>
        <v>224641000000</v>
      </c>
      <c r="L417" s="38">
        <f>26881*1000000</f>
        <v>26881000000</v>
      </c>
      <c r="M417" s="38">
        <f>-35573*1000000</f>
        <v>-35573000000</v>
      </c>
      <c r="N417" s="38">
        <f>-36004*1000000</f>
        <v>-36004000000</v>
      </c>
      <c r="O417" s="39">
        <v>0.8</v>
      </c>
      <c r="P417" s="40" t="s">
        <v>219</v>
      </c>
      <c r="Q417" s="38">
        <v>2</v>
      </c>
      <c r="R417" s="38">
        <v>4</v>
      </c>
      <c r="S417" s="38">
        <v>5</v>
      </c>
      <c r="T417" s="38">
        <f t="shared" si="37"/>
        <v>9</v>
      </c>
      <c r="U417" s="42">
        <v>0</v>
      </c>
      <c r="V417" s="38">
        <v>0</v>
      </c>
      <c r="W417" s="38">
        <v>0</v>
      </c>
      <c r="X417" s="38">
        <v>0</v>
      </c>
      <c r="Y417" s="37"/>
    </row>
    <row r="418" spans="1:25" s="31" customFormat="1" ht="15" customHeight="1" x14ac:dyDescent="0.3">
      <c r="A418" s="36"/>
      <c r="B418" s="37"/>
      <c r="C418" s="29"/>
      <c r="D418" s="37">
        <v>2023</v>
      </c>
      <c r="E418" s="38">
        <f>41102*1000000</f>
        <v>41102000000</v>
      </c>
      <c r="F418" s="38">
        <f>(41102+68+123443+4+2425)*1000000</f>
        <v>167042000000</v>
      </c>
      <c r="G418" s="38">
        <f>377348*1000000</f>
        <v>377348000000</v>
      </c>
      <c r="H418" s="38">
        <f>12949*1000000</f>
        <v>12949000000</v>
      </c>
      <c r="I418" s="38">
        <f>(200905)*1000000</f>
        <v>200905000000</v>
      </c>
      <c r="J418" s="38">
        <f>-203881*1000000</f>
        <v>-203881000000</v>
      </c>
      <c r="K418" s="38">
        <f>176443*1000000</f>
        <v>176443000000</v>
      </c>
      <c r="L418" s="38">
        <f>57439*1000000</f>
        <v>57439000000</v>
      </c>
      <c r="M418" s="38">
        <f>-48956*1000000</f>
        <v>-48956000000</v>
      </c>
      <c r="N418" s="38">
        <f>-50202*1000000</f>
        <v>-50202000000</v>
      </c>
      <c r="O418" s="39">
        <v>0.8</v>
      </c>
      <c r="P418" s="40" t="s">
        <v>219</v>
      </c>
      <c r="Q418" s="38">
        <v>2</v>
      </c>
      <c r="R418" s="38">
        <v>3</v>
      </c>
      <c r="S418" s="38">
        <v>4</v>
      </c>
      <c r="T418" s="38">
        <f t="shared" si="37"/>
        <v>7</v>
      </c>
      <c r="U418" s="42">
        <v>0</v>
      </c>
      <c r="V418" s="38">
        <v>0</v>
      </c>
      <c r="W418" s="38">
        <v>0</v>
      </c>
      <c r="X418" s="38">
        <v>0</v>
      </c>
      <c r="Y418" s="37"/>
    </row>
    <row r="419" spans="1:25" s="31" customFormat="1" ht="15" customHeight="1" x14ac:dyDescent="0.3">
      <c r="A419" s="36"/>
      <c r="B419" s="37"/>
      <c r="C419" s="29"/>
      <c r="D419" s="37">
        <v>2024</v>
      </c>
      <c r="E419" s="38">
        <f>58949*1000000</f>
        <v>58949000000</v>
      </c>
      <c r="F419" s="38">
        <f>(58949+19231+106278+4900+2331)*1000000</f>
        <v>191689000000</v>
      </c>
      <c r="G419" s="38">
        <f>378530*1000000</f>
        <v>378530000000</v>
      </c>
      <c r="H419" s="38">
        <f>30439*1000000</f>
        <v>30439000000</v>
      </c>
      <c r="I419" s="38">
        <f>251721*1000000</f>
        <v>251721000000</v>
      </c>
      <c r="J419" s="38">
        <f>253515*1000000</f>
        <v>253515000000</v>
      </c>
      <c r="K419" s="38">
        <f>126809*1000000</f>
        <v>126809000000</v>
      </c>
      <c r="L419" s="38">
        <f>42924*1000000</f>
        <v>42924000000</v>
      </c>
      <c r="M419" s="38">
        <f>-47731*1000000</f>
        <v>-47731000000</v>
      </c>
      <c r="N419" s="38">
        <f>-49633*1000000</f>
        <v>-49633000000</v>
      </c>
      <c r="O419" s="39">
        <v>0.8</v>
      </c>
      <c r="P419" s="40" t="s">
        <v>219</v>
      </c>
      <c r="Q419" s="38">
        <v>2</v>
      </c>
      <c r="R419" s="38">
        <v>4</v>
      </c>
      <c r="S419" s="38">
        <v>4</v>
      </c>
      <c r="T419" s="38">
        <f t="shared" si="37"/>
        <v>8</v>
      </c>
      <c r="U419" s="42">
        <v>0</v>
      </c>
      <c r="V419" s="38">
        <v>0</v>
      </c>
      <c r="W419" s="38">
        <v>0</v>
      </c>
      <c r="X419" s="38">
        <v>0</v>
      </c>
      <c r="Y419" s="37"/>
    </row>
    <row r="420" spans="1:25" s="31" customFormat="1" ht="15" customHeight="1" x14ac:dyDescent="0.3">
      <c r="A420" s="36"/>
      <c r="B420" s="37">
        <v>39</v>
      </c>
      <c r="C420" s="29" t="s">
        <v>33</v>
      </c>
      <c r="D420" s="37">
        <v>2014</v>
      </c>
      <c r="E420" s="38"/>
      <c r="F420" s="38"/>
      <c r="G420" s="38"/>
      <c r="H420" s="38"/>
      <c r="I420" s="38"/>
      <c r="J420" s="38"/>
      <c r="K420" s="38"/>
      <c r="L420" s="38">
        <f>1062779*1000000</f>
        <v>1062779000000</v>
      </c>
      <c r="M420" s="38">
        <v>0</v>
      </c>
      <c r="N420" s="38">
        <v>0</v>
      </c>
      <c r="O420" s="38">
        <v>0</v>
      </c>
      <c r="P420" s="38">
        <v>0</v>
      </c>
      <c r="Q420" s="38">
        <v>0</v>
      </c>
      <c r="R420" s="38">
        <v>0</v>
      </c>
      <c r="S420" s="38">
        <v>0</v>
      </c>
      <c r="T420" s="38">
        <v>0</v>
      </c>
      <c r="U420" s="38">
        <v>0</v>
      </c>
      <c r="V420" s="38">
        <v>0</v>
      </c>
      <c r="W420" s="38">
        <v>0</v>
      </c>
      <c r="X420" s="38">
        <v>0</v>
      </c>
      <c r="Y420" s="37"/>
    </row>
    <row r="421" spans="1:25" s="31" customFormat="1" ht="15" customHeight="1" x14ac:dyDescent="0.3">
      <c r="A421" s="36"/>
      <c r="B421" s="37"/>
      <c r="C421" s="29"/>
      <c r="D421" s="37">
        <v>2015</v>
      </c>
      <c r="E421" s="38">
        <f>23730*1000000</f>
        <v>23730000000</v>
      </c>
      <c r="F421" s="38">
        <f>(23710+91509+32003+4991+617)*1000000</f>
        <v>152830000000</v>
      </c>
      <c r="G421" s="38">
        <f>1642577*1000000</f>
        <v>1642577000000</v>
      </c>
      <c r="H421" s="38">
        <f>142776*1000000</f>
        <v>142776000000</v>
      </c>
      <c r="I421" s="38">
        <f>1233374*1000000</f>
        <v>1233374000000</v>
      </c>
      <c r="J421" s="38">
        <f>-123544*1000000</f>
        <v>-123544000000</v>
      </c>
      <c r="K421" s="38">
        <f>407183*1000000</f>
        <v>407183000000</v>
      </c>
      <c r="L421" s="38">
        <f>1148868*1000000</f>
        <v>1148868000000</v>
      </c>
      <c r="M421" s="38">
        <f>-42026*1000000</f>
        <v>-42026000000</v>
      </c>
      <c r="N421" s="38">
        <f>-54770*1000000</f>
        <v>-54770000000</v>
      </c>
      <c r="O421" s="39">
        <v>0.98219999999999996</v>
      </c>
      <c r="P421" s="40" t="s">
        <v>238</v>
      </c>
      <c r="Q421" s="38">
        <v>2</v>
      </c>
      <c r="R421" s="38">
        <v>4</v>
      </c>
      <c r="S421" s="38">
        <v>3</v>
      </c>
      <c r="T421" s="38">
        <f>SUM(R421:S421)</f>
        <v>7</v>
      </c>
      <c r="U421" s="42">
        <v>0</v>
      </c>
      <c r="V421" s="38">
        <v>0</v>
      </c>
      <c r="W421" s="38">
        <v>0</v>
      </c>
      <c r="X421" s="38">
        <v>0</v>
      </c>
      <c r="Y421" s="37"/>
    </row>
    <row r="422" spans="1:25" s="31" customFormat="1" ht="15" customHeight="1" x14ac:dyDescent="0.3">
      <c r="A422" s="36"/>
      <c r="B422" s="37"/>
      <c r="C422" s="29"/>
      <c r="D422" s="37">
        <v>2016</v>
      </c>
      <c r="E422" s="38">
        <f>9537*1000000</f>
        <v>9537000000</v>
      </c>
      <c r="F422" s="38">
        <f>(9537+99160+62505+5520+918)*1000000</f>
        <v>177640000000</v>
      </c>
      <c r="G422" s="38">
        <f>2028209*1000000</f>
        <v>2028209000000</v>
      </c>
      <c r="H422" s="38">
        <f>193951*1000000</f>
        <v>193951000000</v>
      </c>
      <c r="I422" s="38">
        <f>1642680*1000000</f>
        <v>1642680000000</v>
      </c>
      <c r="J422" s="38">
        <f>-157136*1000000</f>
        <v>-157136000000</v>
      </c>
      <c r="K422" s="38">
        <f>385552*1000000</f>
        <v>385552000000</v>
      </c>
      <c r="L422" s="38">
        <f>1297865*1000000</f>
        <v>1297865000000</v>
      </c>
      <c r="M422" s="38">
        <f>-37967*1000000</f>
        <v>-37967000000</v>
      </c>
      <c r="N422" s="38">
        <f>-21632*1000000</f>
        <v>-21632000000</v>
      </c>
      <c r="O422" s="39">
        <v>0.98219999999999996</v>
      </c>
      <c r="P422" s="40" t="s">
        <v>239</v>
      </c>
      <c r="Q422" s="38">
        <v>2</v>
      </c>
      <c r="R422" s="38">
        <v>4</v>
      </c>
      <c r="S422" s="38">
        <v>4</v>
      </c>
      <c r="T422" s="38">
        <f t="shared" ref="T422:T430" si="38">SUM(R422:S422)</f>
        <v>8</v>
      </c>
      <c r="U422" s="42">
        <v>0</v>
      </c>
      <c r="V422" s="38">
        <v>0</v>
      </c>
      <c r="W422" s="38">
        <v>0</v>
      </c>
      <c r="X422" s="38">
        <v>0</v>
      </c>
      <c r="Y422" s="37"/>
    </row>
    <row r="423" spans="1:25" s="31" customFormat="1" ht="15" customHeight="1" x14ac:dyDescent="0.3">
      <c r="A423" s="36"/>
      <c r="B423" s="37"/>
      <c r="C423" s="29"/>
      <c r="D423" s="37">
        <v>2017</v>
      </c>
      <c r="E423" s="38">
        <f>30931*1000000</f>
        <v>30931000000</v>
      </c>
      <c r="F423" s="38">
        <f>(30931+91371+32178+6076+645)*1000000</f>
        <v>161201000000</v>
      </c>
      <c r="G423" s="38">
        <f>(2626619)*1000000</f>
        <v>2626619000000</v>
      </c>
      <c r="H423" s="38">
        <f>197864*1000000</f>
        <v>197864000000</v>
      </c>
      <c r="I423" s="38">
        <f>2116641*1000000</f>
        <v>2116641000000</v>
      </c>
      <c r="J423" s="38">
        <f>-65168*1000000</f>
        <v>-65168000000</v>
      </c>
      <c r="K423" s="38">
        <f>509991*1000000</f>
        <v>509991000000</v>
      </c>
      <c r="L423" s="38">
        <f>1581693*1000000</f>
        <v>1581693000000</v>
      </c>
      <c r="M423" s="38">
        <f>113059*1000000</f>
        <v>113059000000</v>
      </c>
      <c r="N423" s="38">
        <f>124439*1000000</f>
        <v>124439000000</v>
      </c>
      <c r="O423" s="39">
        <v>0.98219999999999996</v>
      </c>
      <c r="P423" s="40" t="s">
        <v>239</v>
      </c>
      <c r="Q423" s="38">
        <v>2</v>
      </c>
      <c r="R423" s="38">
        <v>5</v>
      </c>
      <c r="S423" s="38">
        <v>4</v>
      </c>
      <c r="T423" s="38">
        <f t="shared" si="38"/>
        <v>9</v>
      </c>
      <c r="U423" s="42">
        <v>0</v>
      </c>
      <c r="V423" s="38">
        <v>0</v>
      </c>
      <c r="W423" s="38">
        <v>0</v>
      </c>
      <c r="X423" s="38">
        <v>0</v>
      </c>
      <c r="Y423" s="37"/>
    </row>
    <row r="424" spans="1:25" s="31" customFormat="1" ht="15" customHeight="1" x14ac:dyDescent="0.3">
      <c r="A424" s="36"/>
      <c r="B424" s="37"/>
      <c r="C424" s="29"/>
      <c r="D424" s="37">
        <v>2018</v>
      </c>
      <c r="E424" s="38">
        <f>107507*1000000</f>
        <v>107507000000</v>
      </c>
      <c r="F424" s="38">
        <f>(107507+57793+38768+6063+764)*1000000</f>
        <v>210895000000</v>
      </c>
      <c r="G424" s="38">
        <f>2735670*1000000</f>
        <v>2735670000000</v>
      </c>
      <c r="H424" s="38">
        <f>177438*1000000</f>
        <v>177438000000</v>
      </c>
      <c r="I424" s="38">
        <f>2135770*1000000</f>
        <v>2135770000000</v>
      </c>
      <c r="J424" s="38">
        <f>59338*1000000</f>
        <v>59338000000</v>
      </c>
      <c r="K424" s="38">
        <f>599879*1000000</f>
        <v>599879000000</v>
      </c>
      <c r="L424" s="38">
        <f>1187949*1000000</f>
        <v>1187949000000</v>
      </c>
      <c r="M424" s="38">
        <f>154796*1000000</f>
        <v>154796000000</v>
      </c>
      <c r="N424" s="38">
        <f>89888*1000000</f>
        <v>89888000000</v>
      </c>
      <c r="O424" s="39">
        <v>0.98219999999999996</v>
      </c>
      <c r="P424" s="40" t="s">
        <v>239</v>
      </c>
      <c r="Q424" s="38">
        <v>2</v>
      </c>
      <c r="R424" s="38">
        <v>4</v>
      </c>
      <c r="S424" s="38">
        <v>4</v>
      </c>
      <c r="T424" s="38">
        <f t="shared" si="38"/>
        <v>8</v>
      </c>
      <c r="U424" s="42">
        <v>0</v>
      </c>
      <c r="V424" s="38">
        <v>0</v>
      </c>
      <c r="W424" s="38">
        <v>0</v>
      </c>
      <c r="X424" s="38">
        <v>0</v>
      </c>
      <c r="Y424" s="37"/>
    </row>
    <row r="425" spans="1:25" s="31" customFormat="1" ht="15" customHeight="1" x14ac:dyDescent="0.3">
      <c r="A425" s="36"/>
      <c r="B425" s="37"/>
      <c r="C425" s="29"/>
      <c r="D425" s="37">
        <v>2019</v>
      </c>
      <c r="E425" s="38">
        <f>78294*1000000</f>
        <v>78294000000</v>
      </c>
      <c r="F425" s="38">
        <f>(78294+28417+26525+8912+1121)*1000000</f>
        <v>143269000000</v>
      </c>
      <c r="G425" s="38">
        <f>2726383*1000000</f>
        <v>2726383000000</v>
      </c>
      <c r="H425" s="38">
        <f>159266*1000000</f>
        <v>159266000000</v>
      </c>
      <c r="I425" s="38">
        <f>2022525*1000000</f>
        <v>2022525000000</v>
      </c>
      <c r="J425" s="38">
        <f>143045*1000000</f>
        <v>143045000000</v>
      </c>
      <c r="K425" s="38">
        <f>704207*1000000</f>
        <v>704207000000</v>
      </c>
      <c r="L425" s="38">
        <f>1057994*1000000</f>
        <v>1057994000000</v>
      </c>
      <c r="M425" s="38">
        <f>102524*1000000</f>
        <v>102524000000</v>
      </c>
      <c r="N425" s="38">
        <f>104328*1000000</f>
        <v>104328000000</v>
      </c>
      <c r="O425" s="39">
        <v>0.98219999999999996</v>
      </c>
      <c r="P425" s="40" t="s">
        <v>239</v>
      </c>
      <c r="Q425" s="38">
        <v>2</v>
      </c>
      <c r="R425" s="38">
        <v>3</v>
      </c>
      <c r="S425" s="38">
        <v>4</v>
      </c>
      <c r="T425" s="38">
        <f t="shared" si="38"/>
        <v>7</v>
      </c>
      <c r="U425" s="42">
        <v>0</v>
      </c>
      <c r="V425" s="38">
        <v>0</v>
      </c>
      <c r="W425" s="38">
        <v>0</v>
      </c>
      <c r="X425" s="38">
        <v>0</v>
      </c>
      <c r="Y425" s="37"/>
    </row>
    <row r="426" spans="1:25" s="31" customFormat="1" ht="15" customHeight="1" x14ac:dyDescent="0.3">
      <c r="A426" s="36"/>
      <c r="B426" s="37"/>
      <c r="C426" s="29"/>
      <c r="D426" s="37">
        <v>2020</v>
      </c>
      <c r="E426" s="38">
        <f>149147*1000000</f>
        <v>149147000000</v>
      </c>
      <c r="F426" s="38">
        <f>(149147+11951+13884+8601+11900+1632)*1000000</f>
        <v>197115000000</v>
      </c>
      <c r="G426" s="38">
        <f>2741223*1000000</f>
        <v>2741223000000</v>
      </c>
      <c r="H426" s="38">
        <f>196225*1000000</f>
        <v>196225000000</v>
      </c>
      <c r="I426" s="38">
        <f>1907139*1000000</f>
        <v>1907139000000</v>
      </c>
      <c r="J426" s="38">
        <f>223722*1000000</f>
        <v>223722000000</v>
      </c>
      <c r="K426" s="38">
        <f>834040*1000000</f>
        <v>834040000000</v>
      </c>
      <c r="L426" s="38">
        <f>873355*1000000</f>
        <v>873355000000</v>
      </c>
      <c r="M426" s="38">
        <f>94804*1000000</f>
        <v>94804000000</v>
      </c>
      <c r="N426" s="38">
        <f>129833*1000000</f>
        <v>129833000000</v>
      </c>
      <c r="O426" s="39">
        <v>0.98219999999999996</v>
      </c>
      <c r="P426" s="40" t="s">
        <v>239</v>
      </c>
      <c r="Q426" s="38">
        <v>2</v>
      </c>
      <c r="R426" s="38">
        <v>3</v>
      </c>
      <c r="S426" s="38">
        <v>3</v>
      </c>
      <c r="T426" s="38">
        <f t="shared" si="38"/>
        <v>6</v>
      </c>
      <c r="U426" s="42">
        <v>0</v>
      </c>
      <c r="V426" s="38">
        <v>0</v>
      </c>
      <c r="W426" s="38">
        <v>0</v>
      </c>
      <c r="X426" s="38">
        <v>0</v>
      </c>
      <c r="Y426" s="37"/>
    </row>
    <row r="427" spans="1:25" s="31" customFormat="1" ht="15" customHeight="1" x14ac:dyDescent="0.3">
      <c r="A427" s="36"/>
      <c r="B427" s="37"/>
      <c r="C427" s="29"/>
      <c r="D427" s="37">
        <v>2021</v>
      </c>
      <c r="E427" s="38">
        <f>123507*1000000</f>
        <v>123507000000</v>
      </c>
      <c r="F427" s="38">
        <f>(123507+21507+11853+36023+15039+1720)*1000000</f>
        <v>209649000000</v>
      </c>
      <c r="G427" s="38">
        <f>2690231*1000000</f>
        <v>2690231000000</v>
      </c>
      <c r="H427" s="38">
        <f>238153*1000000</f>
        <v>238153000000</v>
      </c>
      <c r="I427" s="38">
        <f>1826530*1000000</f>
        <v>1826530000000</v>
      </c>
      <c r="J427" s="38">
        <f>263233*1000000</f>
        <v>263233000000</v>
      </c>
      <c r="K427" s="38">
        <f>862216*1000000</f>
        <v>862216000000</v>
      </c>
      <c r="L427" s="38">
        <f>935716*1000000</f>
        <v>935716000000</v>
      </c>
      <c r="M427" s="38">
        <f>34749*1000000</f>
        <v>34749000000</v>
      </c>
      <c r="N427" s="38">
        <f>28176*1000000</f>
        <v>28176000000</v>
      </c>
      <c r="O427" s="39">
        <v>0.98219999999999996</v>
      </c>
      <c r="P427" s="40" t="s">
        <v>239</v>
      </c>
      <c r="Q427" s="38">
        <v>1</v>
      </c>
      <c r="R427" s="38">
        <v>2</v>
      </c>
      <c r="S427" s="38">
        <v>2</v>
      </c>
      <c r="T427" s="38">
        <f t="shared" si="38"/>
        <v>4</v>
      </c>
      <c r="U427" s="42">
        <v>0</v>
      </c>
      <c r="V427" s="38">
        <v>0</v>
      </c>
      <c r="W427" s="38">
        <v>0</v>
      </c>
      <c r="X427" s="38">
        <v>0</v>
      </c>
      <c r="Y427" s="37"/>
    </row>
    <row r="428" spans="1:25" s="31" customFormat="1" ht="15" customHeight="1" x14ac:dyDescent="0.3">
      <c r="A428" s="36"/>
      <c r="B428" s="37"/>
      <c r="C428" s="29"/>
      <c r="D428" s="37">
        <v>2022</v>
      </c>
      <c r="E428" s="38">
        <f>67868*1000000</f>
        <v>67868000000</v>
      </c>
      <c r="F428" s="38">
        <f>(67868+20698+10038+33215+14188+1840)*1000000</f>
        <v>147847000000</v>
      </c>
      <c r="G428" s="38">
        <f>2650010*1000000</f>
        <v>2650010000000</v>
      </c>
      <c r="H428" s="38">
        <f>291754*1000000</f>
        <v>291754000000</v>
      </c>
      <c r="I428" s="38">
        <f>1849667*1000000</f>
        <v>1849667000000</v>
      </c>
      <c r="J428" s="38">
        <f>241391*1000000</f>
        <v>241391000000</v>
      </c>
      <c r="K428" s="38">
        <f>800308*1000000</f>
        <v>800308000000</v>
      </c>
      <c r="L428" s="38">
        <f>1091762*1000000</f>
        <v>1091762000000</v>
      </c>
      <c r="M428" s="38">
        <f>-24082*1000000</f>
        <v>-24082000000</v>
      </c>
      <c r="N428" s="38">
        <f>-61908*1000000</f>
        <v>-61908000000</v>
      </c>
      <c r="O428" s="39">
        <v>0.98219999999999996</v>
      </c>
      <c r="P428" s="40" t="s">
        <v>239</v>
      </c>
      <c r="Q428" s="38">
        <v>2</v>
      </c>
      <c r="R428" s="38">
        <v>3</v>
      </c>
      <c r="S428" s="38">
        <v>4</v>
      </c>
      <c r="T428" s="38">
        <f t="shared" si="38"/>
        <v>7</v>
      </c>
      <c r="U428" s="42">
        <v>0</v>
      </c>
      <c r="V428" s="38">
        <v>0</v>
      </c>
      <c r="W428" s="38">
        <v>0</v>
      </c>
      <c r="X428" s="38">
        <v>0</v>
      </c>
      <c r="Y428" s="37"/>
    </row>
    <row r="429" spans="1:25" s="31" customFormat="1" ht="15" customHeight="1" x14ac:dyDescent="0.3">
      <c r="A429" s="36"/>
      <c r="B429" s="37"/>
      <c r="C429" s="29"/>
      <c r="D429" s="37">
        <v>2023</v>
      </c>
      <c r="E429" s="38">
        <f>208787*1000000</f>
        <v>208787000000</v>
      </c>
      <c r="F429" s="38">
        <f>(208787+71453+22966+102070+29486+3886)*1000000</f>
        <v>438648000000</v>
      </c>
      <c r="G429" s="38">
        <f>4022226*1000000</f>
        <v>4022226000000</v>
      </c>
      <c r="H429" s="38">
        <f>508892*1000000</f>
        <v>508892000000</v>
      </c>
      <c r="I429" s="38">
        <f>2839439*1000000</f>
        <v>2839439000000</v>
      </c>
      <c r="J429" s="38">
        <f>137068*1000000</f>
        <v>137068000000</v>
      </c>
      <c r="K429" s="38">
        <f>1180822*1000000</f>
        <v>1180822000000</v>
      </c>
      <c r="L429" s="38">
        <f>2206576*1000000</f>
        <v>2206576000000</v>
      </c>
      <c r="M429" s="38">
        <f>-81723*1000000</f>
        <v>-81723000000</v>
      </c>
      <c r="N429" s="38">
        <f>-75203*1000000</f>
        <v>-75203000000</v>
      </c>
      <c r="O429" s="39">
        <v>0.59350000000000003</v>
      </c>
      <c r="P429" s="40" t="s">
        <v>239</v>
      </c>
      <c r="Q429" s="38">
        <v>3</v>
      </c>
      <c r="R429" s="38">
        <v>4</v>
      </c>
      <c r="S429" s="38">
        <v>6</v>
      </c>
      <c r="T429" s="38">
        <f t="shared" si="38"/>
        <v>10</v>
      </c>
      <c r="U429" s="42">
        <v>0</v>
      </c>
      <c r="V429" s="38">
        <v>0</v>
      </c>
      <c r="W429" s="38">
        <v>0</v>
      </c>
      <c r="X429" s="38">
        <v>0</v>
      </c>
      <c r="Y429" s="37"/>
    </row>
    <row r="430" spans="1:25" s="31" customFormat="1" ht="15" customHeight="1" x14ac:dyDescent="0.3">
      <c r="A430" s="36"/>
      <c r="B430" s="37"/>
      <c r="C430" s="29"/>
      <c r="D430" s="37">
        <v>2024</v>
      </c>
      <c r="E430" s="38">
        <f>97783*1000000</f>
        <v>97783000000</v>
      </c>
      <c r="F430" s="38">
        <f>(97783+99645+18656+27797+31930+7391)*1000000</f>
        <v>283202000000</v>
      </c>
      <c r="G430" s="38">
        <f>3619977*1000000</f>
        <v>3619977000000</v>
      </c>
      <c r="H430" s="38">
        <f>577330*1000000</f>
        <v>577330000000</v>
      </c>
      <c r="I430" s="38">
        <f>2602124*1000000</f>
        <v>2602124000000</v>
      </c>
      <c r="J430" s="38">
        <f>11084*1000000</f>
        <v>11084000000</v>
      </c>
      <c r="K430" s="38">
        <f>1016672*1000000</f>
        <v>1016672000000</v>
      </c>
      <c r="L430" s="38">
        <f>2220743*1000000</f>
        <v>2220743000000</v>
      </c>
      <c r="M430" s="38">
        <f>-137100*1000000</f>
        <v>-137100000000</v>
      </c>
      <c r="N430" s="38">
        <f>169242*-1000000</f>
        <v>-169242000000</v>
      </c>
      <c r="O430" s="39">
        <v>0.59350000000000003</v>
      </c>
      <c r="P430" s="40" t="s">
        <v>239</v>
      </c>
      <c r="Q430" s="38">
        <v>2</v>
      </c>
      <c r="R430" s="38">
        <v>4</v>
      </c>
      <c r="S430" s="38">
        <v>5</v>
      </c>
      <c r="T430" s="38">
        <f t="shared" si="38"/>
        <v>9</v>
      </c>
      <c r="U430" s="42">
        <v>0</v>
      </c>
      <c r="V430" s="38">
        <v>0</v>
      </c>
      <c r="W430" s="38">
        <v>0</v>
      </c>
      <c r="X430" s="38">
        <v>0</v>
      </c>
      <c r="Y430" s="37"/>
    </row>
    <row r="431" spans="1:25" s="31" customFormat="1" ht="15" customHeight="1" x14ac:dyDescent="0.3">
      <c r="A431" s="36"/>
      <c r="B431" s="37">
        <v>40</v>
      </c>
      <c r="C431" s="29" t="s">
        <v>12</v>
      </c>
      <c r="D431" s="37">
        <v>2014</v>
      </c>
      <c r="E431" s="38">
        <v>0</v>
      </c>
      <c r="F431" s="38">
        <v>0</v>
      </c>
      <c r="G431" s="38">
        <v>0</v>
      </c>
      <c r="H431" s="38">
        <v>0</v>
      </c>
      <c r="I431" s="38">
        <v>0</v>
      </c>
      <c r="J431" s="38">
        <v>0</v>
      </c>
      <c r="K431" s="38">
        <v>0</v>
      </c>
      <c r="L431" s="38">
        <v>0</v>
      </c>
      <c r="M431" s="38">
        <v>0</v>
      </c>
      <c r="N431" s="38">
        <v>0</v>
      </c>
      <c r="O431" s="41">
        <v>0</v>
      </c>
      <c r="P431" s="38">
        <v>0</v>
      </c>
      <c r="Q431" s="38">
        <v>0</v>
      </c>
      <c r="R431" s="38">
        <v>0</v>
      </c>
      <c r="S431" s="38">
        <v>0</v>
      </c>
      <c r="T431" s="38">
        <v>0</v>
      </c>
      <c r="U431" s="38">
        <v>0</v>
      </c>
      <c r="V431" s="38">
        <v>0</v>
      </c>
      <c r="W431" s="38">
        <v>0</v>
      </c>
      <c r="X431" s="38">
        <v>0</v>
      </c>
      <c r="Y431" s="37"/>
    </row>
    <row r="432" spans="1:25" s="31" customFormat="1" ht="15" customHeight="1" x14ac:dyDescent="0.3">
      <c r="A432" s="36"/>
      <c r="B432" s="37"/>
      <c r="C432" s="29"/>
      <c r="D432" s="37">
        <v>2015</v>
      </c>
      <c r="E432" s="38">
        <v>0</v>
      </c>
      <c r="F432" s="38">
        <v>0</v>
      </c>
      <c r="G432" s="38">
        <v>0</v>
      </c>
      <c r="H432" s="38">
        <v>0</v>
      </c>
      <c r="I432" s="38">
        <v>0</v>
      </c>
      <c r="J432" s="38">
        <v>0</v>
      </c>
      <c r="K432" s="38">
        <v>0</v>
      </c>
      <c r="L432" s="38">
        <v>0</v>
      </c>
      <c r="M432" s="38">
        <v>0</v>
      </c>
      <c r="N432" s="38">
        <v>0</v>
      </c>
      <c r="O432" s="41">
        <v>0</v>
      </c>
      <c r="P432" s="38">
        <v>0</v>
      </c>
      <c r="Q432" s="38">
        <v>0</v>
      </c>
      <c r="R432" s="38">
        <v>0</v>
      </c>
      <c r="S432" s="38">
        <v>0</v>
      </c>
      <c r="T432" s="38">
        <v>0</v>
      </c>
      <c r="U432" s="38">
        <v>0</v>
      </c>
      <c r="V432" s="38">
        <v>0</v>
      </c>
      <c r="W432" s="38">
        <v>0</v>
      </c>
      <c r="X432" s="38">
        <v>0</v>
      </c>
      <c r="Y432" s="37"/>
    </row>
    <row r="433" spans="1:25" s="31" customFormat="1" ht="15" customHeight="1" x14ac:dyDescent="0.3">
      <c r="A433" s="36"/>
      <c r="B433" s="37"/>
      <c r="C433" s="29"/>
      <c r="D433" s="37">
        <v>2016</v>
      </c>
      <c r="E433" s="38">
        <v>0</v>
      </c>
      <c r="F433" s="38">
        <v>0</v>
      </c>
      <c r="G433" s="38">
        <v>0</v>
      </c>
      <c r="H433" s="38">
        <v>0</v>
      </c>
      <c r="I433" s="38">
        <v>0</v>
      </c>
      <c r="J433" s="38">
        <v>0</v>
      </c>
      <c r="K433" s="38">
        <v>0</v>
      </c>
      <c r="L433" s="38">
        <v>0</v>
      </c>
      <c r="M433" s="38">
        <v>0</v>
      </c>
      <c r="N433" s="38">
        <v>0</v>
      </c>
      <c r="O433" s="41">
        <v>0</v>
      </c>
      <c r="P433" s="38">
        <v>0</v>
      </c>
      <c r="Q433" s="38">
        <v>0</v>
      </c>
      <c r="R433" s="38">
        <v>0</v>
      </c>
      <c r="S433" s="38">
        <v>0</v>
      </c>
      <c r="T433" s="38">
        <v>0</v>
      </c>
      <c r="U433" s="38">
        <v>0</v>
      </c>
      <c r="V433" s="38">
        <v>0</v>
      </c>
      <c r="W433" s="38">
        <v>0</v>
      </c>
      <c r="X433" s="38">
        <v>0</v>
      </c>
      <c r="Y433" s="37"/>
    </row>
    <row r="434" spans="1:25" s="31" customFormat="1" ht="15" customHeight="1" x14ac:dyDescent="0.3">
      <c r="A434" s="36"/>
      <c r="B434" s="37"/>
      <c r="C434" s="29"/>
      <c r="D434" s="37">
        <v>2017</v>
      </c>
      <c r="E434" s="38">
        <v>0</v>
      </c>
      <c r="F434" s="38">
        <v>0</v>
      </c>
      <c r="G434" s="38">
        <v>0</v>
      </c>
      <c r="H434" s="38">
        <v>0</v>
      </c>
      <c r="I434" s="38">
        <v>0</v>
      </c>
      <c r="J434" s="38">
        <v>0</v>
      </c>
      <c r="K434" s="38">
        <v>0</v>
      </c>
      <c r="L434" s="38">
        <v>0</v>
      </c>
      <c r="M434" s="38">
        <v>0</v>
      </c>
      <c r="N434" s="38">
        <v>0</v>
      </c>
      <c r="O434" s="41">
        <v>0</v>
      </c>
      <c r="P434" s="38">
        <v>0</v>
      </c>
      <c r="Q434" s="38">
        <v>0</v>
      </c>
      <c r="R434" s="38">
        <v>0</v>
      </c>
      <c r="S434" s="38">
        <v>0</v>
      </c>
      <c r="T434" s="38">
        <v>0</v>
      </c>
      <c r="U434" s="38">
        <v>0</v>
      </c>
      <c r="V434" s="38">
        <v>0</v>
      </c>
      <c r="W434" s="38">
        <v>0</v>
      </c>
      <c r="X434" s="38">
        <v>0</v>
      </c>
      <c r="Y434" s="37"/>
    </row>
    <row r="435" spans="1:25" s="31" customFormat="1" ht="15" customHeight="1" x14ac:dyDescent="0.3">
      <c r="A435" s="36"/>
      <c r="B435" s="37"/>
      <c r="C435" s="29"/>
      <c r="D435" s="37">
        <v>2018</v>
      </c>
      <c r="E435" s="38">
        <f>14831*1000000</f>
        <v>14831000000</v>
      </c>
      <c r="F435" s="38">
        <f>(14831+47850+32255+12077+238+7693)*1000000</f>
        <v>114944000000</v>
      </c>
      <c r="G435" s="38">
        <f>2378498*1000000</f>
        <v>2378498000000</v>
      </c>
      <c r="H435" s="38">
        <f>97084*1000000</f>
        <v>97084000000</v>
      </c>
      <c r="I435" s="38">
        <f>1940821*1000000</f>
        <v>1940821000000</v>
      </c>
      <c r="J435" s="38">
        <f>187208*1000000</f>
        <v>187208000000</v>
      </c>
      <c r="K435" s="38">
        <f>437677*1000000</f>
        <v>437677000000</v>
      </c>
      <c r="L435" s="38">
        <f>811679*1000000</f>
        <v>811679000000</v>
      </c>
      <c r="M435" s="38">
        <f>26463*1000000</f>
        <v>26463000000</v>
      </c>
      <c r="N435" s="38">
        <f>25061*1000000</f>
        <v>25061000000</v>
      </c>
      <c r="O435" s="48">
        <v>0</v>
      </c>
      <c r="P435" s="40">
        <v>0</v>
      </c>
      <c r="Q435" s="38">
        <v>0</v>
      </c>
      <c r="R435" s="38">
        <v>0</v>
      </c>
      <c r="S435" s="38">
        <v>0</v>
      </c>
      <c r="T435" s="38">
        <v>0</v>
      </c>
      <c r="U435" s="38">
        <v>0</v>
      </c>
      <c r="V435" s="38">
        <v>0</v>
      </c>
      <c r="W435" s="38">
        <v>0</v>
      </c>
      <c r="X435" s="38">
        <v>0</v>
      </c>
      <c r="Y435" s="37"/>
    </row>
    <row r="436" spans="1:25" s="31" customFormat="1" ht="15" customHeight="1" x14ac:dyDescent="0.3">
      <c r="A436" s="36"/>
      <c r="B436" s="37"/>
      <c r="C436" s="29"/>
      <c r="D436" s="37">
        <v>2019</v>
      </c>
      <c r="E436" s="38">
        <f>11409*1000000</f>
        <v>11409000000</v>
      </c>
      <c r="F436" s="38">
        <f>(11409+67881+28802+11506+7080)*1000000</f>
        <v>126678000000</v>
      </c>
      <c r="G436" s="38">
        <f>2492624*1000000</f>
        <v>2492624000000</v>
      </c>
      <c r="H436" s="38">
        <f>107340*1000000</f>
        <v>107340000000</v>
      </c>
      <c r="I436" s="38">
        <f>2024926*1000000</f>
        <v>2024926000000</v>
      </c>
      <c r="J436" s="38">
        <f>206230*1000000</f>
        <v>206230000000</v>
      </c>
      <c r="K436" s="38">
        <f>467698*1000000</f>
        <v>467698000000</v>
      </c>
      <c r="L436" s="38">
        <f>926472*1000000</f>
        <v>926472000000</v>
      </c>
      <c r="M436" s="38">
        <f>32965*1000000</f>
        <v>32965000000</v>
      </c>
      <c r="N436" s="38">
        <f>43964*1000000</f>
        <v>43964000000</v>
      </c>
      <c r="O436" s="39">
        <v>0.58230000000000004</v>
      </c>
      <c r="P436" s="40" t="s">
        <v>220</v>
      </c>
      <c r="Q436" s="38">
        <v>1</v>
      </c>
      <c r="R436" s="38">
        <v>3</v>
      </c>
      <c r="S436" s="38">
        <v>6</v>
      </c>
      <c r="T436" s="38">
        <f t="shared" ref="T436:T441" si="39">SUM(R436:S436)</f>
        <v>9</v>
      </c>
      <c r="U436" s="42">
        <v>0</v>
      </c>
      <c r="V436" s="38">
        <v>0</v>
      </c>
      <c r="W436" s="38">
        <v>0</v>
      </c>
      <c r="X436" s="38">
        <v>0</v>
      </c>
      <c r="Y436" s="37"/>
    </row>
    <row r="437" spans="1:25" s="31" customFormat="1" ht="15" customHeight="1" x14ac:dyDescent="0.3">
      <c r="A437" s="36"/>
      <c r="B437" s="37"/>
      <c r="C437" s="29"/>
      <c r="D437" s="37">
        <v>2020</v>
      </c>
      <c r="E437" s="38">
        <f>21962*1000000</f>
        <v>21962000000</v>
      </c>
      <c r="F437" s="38">
        <f>(21962+50976+25932+14181+5907)*1000000</f>
        <v>118958000000</v>
      </c>
      <c r="G437" s="38">
        <f>2412636*1000000</f>
        <v>2412636000000</v>
      </c>
      <c r="H437" s="38">
        <f>125709*1000000</f>
        <v>125709000000</v>
      </c>
      <c r="I437" s="38">
        <f>1964870*1000000</f>
        <v>1964870000000</v>
      </c>
      <c r="J437" s="38">
        <f>178170*1000000</f>
        <v>178170000000</v>
      </c>
      <c r="K437" s="38">
        <f>447766*1000000</f>
        <v>447766000000</v>
      </c>
      <c r="L437" s="38">
        <f>809935*1000000</f>
        <v>809935000000</v>
      </c>
      <c r="M437" s="38">
        <f>27218*1000000</f>
        <v>27218000000</v>
      </c>
      <c r="N437" s="38">
        <f>35347*1000000</f>
        <v>35347000000</v>
      </c>
      <c r="O437" s="39">
        <v>0.58230000000000004</v>
      </c>
      <c r="P437" s="40" t="s">
        <v>220</v>
      </c>
      <c r="Q437" s="38">
        <v>2</v>
      </c>
      <c r="R437" s="38">
        <v>4</v>
      </c>
      <c r="S437" s="38">
        <v>6</v>
      </c>
      <c r="T437" s="38">
        <f t="shared" si="39"/>
        <v>10</v>
      </c>
      <c r="U437" s="42">
        <v>0</v>
      </c>
      <c r="V437" s="38">
        <v>0</v>
      </c>
      <c r="W437" s="38">
        <v>0</v>
      </c>
      <c r="X437" s="38">
        <v>0</v>
      </c>
      <c r="Y437" s="37"/>
    </row>
    <row r="438" spans="1:25" s="31" customFormat="1" ht="15" customHeight="1" x14ac:dyDescent="0.3">
      <c r="A438" s="36"/>
      <c r="B438" s="37"/>
      <c r="C438" s="29"/>
      <c r="D438" s="37">
        <v>2021</v>
      </c>
      <c r="E438" s="38">
        <f>12099*1000000</f>
        <v>12099000000</v>
      </c>
      <c r="F438" s="38">
        <f>(12099+62708+26822+50339+6319)*1000000</f>
        <v>158287000000</v>
      </c>
      <c r="G438" s="38">
        <f>2456501*1000000</f>
        <v>2456501000000</v>
      </c>
      <c r="H438" s="38">
        <f>100582*1000000</f>
        <v>100582000000</v>
      </c>
      <c r="I438" s="38">
        <f>2028693*1000000</f>
        <v>2028693000000</v>
      </c>
      <c r="J438" s="38">
        <f>169981*1000000</f>
        <v>169981000000</v>
      </c>
      <c r="K438" s="38">
        <f>427808*1000000</f>
        <v>427808000000</v>
      </c>
      <c r="L438" s="38">
        <f>1007902*1000000</f>
        <v>1007902000000</v>
      </c>
      <c r="M438" s="38">
        <f>15466*1000000</f>
        <v>15466000000</v>
      </c>
      <c r="N438" s="38">
        <f>3583*1000000</f>
        <v>3583000000</v>
      </c>
      <c r="O438" s="39">
        <v>0.58230000000000004</v>
      </c>
      <c r="P438" s="40" t="s">
        <v>220</v>
      </c>
      <c r="Q438" s="38">
        <v>2</v>
      </c>
      <c r="R438" s="38">
        <v>4</v>
      </c>
      <c r="S438" s="38">
        <v>6</v>
      </c>
      <c r="T438" s="38">
        <f t="shared" si="39"/>
        <v>10</v>
      </c>
      <c r="U438" s="42">
        <v>0</v>
      </c>
      <c r="V438" s="38">
        <v>0</v>
      </c>
      <c r="W438" s="38">
        <v>0</v>
      </c>
      <c r="X438" s="38">
        <v>0</v>
      </c>
      <c r="Y438" s="37"/>
    </row>
    <row r="439" spans="1:25" s="31" customFormat="1" ht="15" customHeight="1" x14ac:dyDescent="0.3">
      <c r="A439" s="36"/>
      <c r="B439" s="37"/>
      <c r="C439" s="29"/>
      <c r="D439" s="37">
        <v>2022</v>
      </c>
      <c r="E439" s="38">
        <f>11370*1000000</f>
        <v>11370000000</v>
      </c>
      <c r="F439" s="38">
        <f>(11370+75248+22473+53841+7118)*1000000</f>
        <v>170050000000</v>
      </c>
      <c r="G439" s="38">
        <f>2561445*1000000</f>
        <v>2561445000000</v>
      </c>
      <c r="H439" s="38">
        <f>97579*1000000</f>
        <v>97579000000</v>
      </c>
      <c r="I439" s="38">
        <f>2074104*1000000</f>
        <v>2074104000000</v>
      </c>
      <c r="J439" s="38">
        <f>181025*1000000</f>
        <v>181025000000</v>
      </c>
      <c r="K439" s="38">
        <f>487341*1000000</f>
        <v>487341000000</v>
      </c>
      <c r="L439" s="38">
        <f>940232*1000000</f>
        <v>940232000000</v>
      </c>
      <c r="M439" s="38">
        <f>11044*1000000</f>
        <v>11044000000</v>
      </c>
      <c r="N439" s="38">
        <f>-2476*1000000</f>
        <v>-2476000000</v>
      </c>
      <c r="O439" s="39">
        <v>0.61870000000000003</v>
      </c>
      <c r="P439" s="40" t="s">
        <v>220</v>
      </c>
      <c r="Q439" s="38">
        <v>2</v>
      </c>
      <c r="R439" s="38">
        <v>4</v>
      </c>
      <c r="S439" s="38">
        <v>6</v>
      </c>
      <c r="T439" s="38">
        <f t="shared" si="39"/>
        <v>10</v>
      </c>
      <c r="U439" s="42">
        <v>0</v>
      </c>
      <c r="V439" s="38">
        <v>0</v>
      </c>
      <c r="W439" s="38">
        <v>0</v>
      </c>
      <c r="X439" s="38">
        <v>0</v>
      </c>
      <c r="Y439" s="37"/>
    </row>
    <row r="440" spans="1:25" s="31" customFormat="1" ht="15" customHeight="1" x14ac:dyDescent="0.3">
      <c r="A440" s="36"/>
      <c r="B440" s="37"/>
      <c r="C440" s="29"/>
      <c r="D440" s="37">
        <v>2023</v>
      </c>
      <c r="E440" s="38">
        <f>14570*1000000</f>
        <v>14570000000</v>
      </c>
      <c r="F440" s="38">
        <f>(14570+47268+18547+22855+384+11563)*1000000</f>
        <v>115187000000</v>
      </c>
      <c r="G440" s="38">
        <f>2481923*1000000</f>
        <v>2481923000000</v>
      </c>
      <c r="H440" s="38">
        <f>107994*1000000</f>
        <v>107994000000</v>
      </c>
      <c r="I440" s="38">
        <f>2042909*1000000</f>
        <v>2042909000000</v>
      </c>
      <c r="J440" s="38">
        <f>126854*1000000</f>
        <v>126854000000</v>
      </c>
      <c r="K440" s="38">
        <f>(439014*1000000)</f>
        <v>439014000000</v>
      </c>
      <c r="L440" s="38">
        <f>858772*1000000</f>
        <v>858772000000</v>
      </c>
      <c r="M440" s="38">
        <f>-54171*1000000</f>
        <v>-54171000000</v>
      </c>
      <c r="N440" s="38">
        <f>-48327*1000000</f>
        <v>-48327000000</v>
      </c>
      <c r="O440" s="39">
        <v>0.61870000000000003</v>
      </c>
      <c r="P440" s="40" t="s">
        <v>220</v>
      </c>
      <c r="Q440" s="38">
        <v>2</v>
      </c>
      <c r="R440" s="38">
        <v>4</v>
      </c>
      <c r="S440" s="38">
        <v>6</v>
      </c>
      <c r="T440" s="38">
        <f t="shared" si="39"/>
        <v>10</v>
      </c>
      <c r="U440" s="42">
        <v>0</v>
      </c>
      <c r="V440" s="38">
        <v>0</v>
      </c>
      <c r="W440" s="38">
        <v>0</v>
      </c>
      <c r="X440" s="38">
        <v>0</v>
      </c>
      <c r="Y440" s="37"/>
    </row>
    <row r="441" spans="1:25" s="31" customFormat="1" ht="15" customHeight="1" x14ac:dyDescent="0.3">
      <c r="A441" s="36"/>
      <c r="B441" s="37"/>
      <c r="C441" s="29"/>
      <c r="D441" s="37">
        <v>2024</v>
      </c>
      <c r="E441" s="38">
        <f>8736*1000000</f>
        <v>8736000000</v>
      </c>
      <c r="F441" s="38">
        <f>(8736+60052+14860+12050+126+14537)*1000000</f>
        <v>110361000000</v>
      </c>
      <c r="G441" s="38">
        <f>2348307*1000000</f>
        <v>2348307000000</v>
      </c>
      <c r="H441" s="38">
        <f>122514*1000000</f>
        <v>122514000000</v>
      </c>
      <c r="I441" s="38">
        <f>1909084*1000000</f>
        <v>1909084000000</v>
      </c>
      <c r="J441" s="38">
        <f>76628*1000000</f>
        <v>76628000000</v>
      </c>
      <c r="K441" s="38">
        <f>439223*1000000</f>
        <v>439223000000</v>
      </c>
      <c r="L441" s="38">
        <f>793409*1000000</f>
        <v>793409000000</v>
      </c>
      <c r="M441" s="38">
        <f>5934*1000000</f>
        <v>5934000000</v>
      </c>
      <c r="N441" s="38">
        <f>209*1000000</f>
        <v>209000000</v>
      </c>
      <c r="O441" s="39">
        <v>0.61870000000000003</v>
      </c>
      <c r="P441" s="40" t="s">
        <v>220</v>
      </c>
      <c r="Q441" s="38">
        <v>2</v>
      </c>
      <c r="R441" s="38">
        <v>4</v>
      </c>
      <c r="S441" s="38">
        <v>6</v>
      </c>
      <c r="T441" s="38">
        <f t="shared" si="39"/>
        <v>10</v>
      </c>
      <c r="U441" s="42">
        <v>0</v>
      </c>
      <c r="V441" s="38">
        <v>0</v>
      </c>
      <c r="W441" s="38">
        <v>0</v>
      </c>
      <c r="X441" s="38">
        <v>0</v>
      </c>
      <c r="Y441" s="37"/>
    </row>
    <row r="442" spans="1:25" s="31" customFormat="1" ht="15" customHeight="1" x14ac:dyDescent="0.3">
      <c r="A442" s="36"/>
      <c r="B442" s="37">
        <v>41</v>
      </c>
      <c r="C442" s="29" t="s">
        <v>34</v>
      </c>
      <c r="D442" s="37">
        <v>2014</v>
      </c>
      <c r="E442" s="38">
        <v>0</v>
      </c>
      <c r="F442" s="38">
        <v>0</v>
      </c>
      <c r="G442" s="38">
        <v>0</v>
      </c>
      <c r="H442" s="38">
        <v>0</v>
      </c>
      <c r="I442" s="38">
        <v>0</v>
      </c>
      <c r="J442" s="38">
        <v>0</v>
      </c>
      <c r="K442" s="38">
        <v>0</v>
      </c>
      <c r="L442" s="38">
        <v>0</v>
      </c>
      <c r="M442" s="38">
        <v>0</v>
      </c>
      <c r="N442" s="38">
        <v>0</v>
      </c>
      <c r="O442" s="41">
        <v>0</v>
      </c>
      <c r="P442" s="38">
        <v>0</v>
      </c>
      <c r="Q442" s="38">
        <v>0</v>
      </c>
      <c r="R442" s="38">
        <v>0</v>
      </c>
      <c r="S442" s="38">
        <v>0</v>
      </c>
      <c r="T442" s="38">
        <v>0</v>
      </c>
      <c r="U442" s="41">
        <v>0</v>
      </c>
      <c r="V442" s="41">
        <v>0</v>
      </c>
      <c r="W442" s="41">
        <v>0</v>
      </c>
      <c r="X442" s="41">
        <v>0</v>
      </c>
      <c r="Y442" s="37"/>
    </row>
    <row r="443" spans="1:25" s="31" customFormat="1" ht="15" customHeight="1" x14ac:dyDescent="0.3">
      <c r="A443" s="36"/>
      <c r="B443" s="37"/>
      <c r="C443" s="29"/>
      <c r="D443" s="37">
        <v>2015</v>
      </c>
      <c r="E443" s="38">
        <v>0</v>
      </c>
      <c r="F443" s="38">
        <v>0</v>
      </c>
      <c r="G443" s="38">
        <v>0</v>
      </c>
      <c r="H443" s="38">
        <v>0</v>
      </c>
      <c r="I443" s="38">
        <v>0</v>
      </c>
      <c r="J443" s="38">
        <v>0</v>
      </c>
      <c r="K443" s="38">
        <v>0</v>
      </c>
      <c r="L443" s="38">
        <v>0</v>
      </c>
      <c r="M443" s="38">
        <v>0</v>
      </c>
      <c r="N443" s="38">
        <v>0</v>
      </c>
      <c r="O443" s="41">
        <v>0</v>
      </c>
      <c r="P443" s="38">
        <v>0</v>
      </c>
      <c r="Q443" s="38">
        <v>0</v>
      </c>
      <c r="R443" s="38">
        <v>0</v>
      </c>
      <c r="S443" s="38">
        <v>0</v>
      </c>
      <c r="T443" s="38">
        <v>0</v>
      </c>
      <c r="U443" s="41">
        <v>0</v>
      </c>
      <c r="V443" s="41">
        <v>0</v>
      </c>
      <c r="W443" s="41">
        <v>0</v>
      </c>
      <c r="X443" s="41">
        <v>0</v>
      </c>
      <c r="Y443" s="37"/>
    </row>
    <row r="444" spans="1:25" s="31" customFormat="1" ht="15" customHeight="1" x14ac:dyDescent="0.3">
      <c r="A444" s="36"/>
      <c r="B444" s="37"/>
      <c r="C444" s="29"/>
      <c r="D444" s="37">
        <v>2016</v>
      </c>
      <c r="E444" s="38">
        <v>0</v>
      </c>
      <c r="F444" s="38">
        <v>0</v>
      </c>
      <c r="G444" s="38">
        <v>0</v>
      </c>
      <c r="H444" s="38">
        <v>0</v>
      </c>
      <c r="I444" s="38">
        <v>0</v>
      </c>
      <c r="J444" s="38">
        <v>0</v>
      </c>
      <c r="K444" s="38">
        <v>0</v>
      </c>
      <c r="L444" s="38">
        <v>0</v>
      </c>
      <c r="M444" s="38">
        <v>0</v>
      </c>
      <c r="N444" s="38">
        <v>0</v>
      </c>
      <c r="O444" s="41">
        <v>0</v>
      </c>
      <c r="P444" s="38">
        <v>0</v>
      </c>
      <c r="Q444" s="38">
        <v>0</v>
      </c>
      <c r="R444" s="38">
        <v>0</v>
      </c>
      <c r="S444" s="38">
        <v>0</v>
      </c>
      <c r="T444" s="38">
        <v>0</v>
      </c>
      <c r="U444" s="41">
        <v>0</v>
      </c>
      <c r="V444" s="41">
        <v>0</v>
      </c>
      <c r="W444" s="41">
        <v>0</v>
      </c>
      <c r="X444" s="41">
        <v>0</v>
      </c>
      <c r="Y444" s="37"/>
    </row>
    <row r="445" spans="1:25" s="31" customFormat="1" ht="15" customHeight="1" x14ac:dyDescent="0.3">
      <c r="A445" s="36"/>
      <c r="B445" s="37"/>
      <c r="C445" s="29"/>
      <c r="D445" s="37">
        <v>2017</v>
      </c>
      <c r="E445" s="38">
        <v>0</v>
      </c>
      <c r="F445" s="38">
        <v>0</v>
      </c>
      <c r="G445" s="38">
        <v>0</v>
      </c>
      <c r="H445" s="38">
        <v>0</v>
      </c>
      <c r="I445" s="38">
        <v>0</v>
      </c>
      <c r="J445" s="38">
        <v>0</v>
      </c>
      <c r="K445" s="38">
        <v>0</v>
      </c>
      <c r="L445" s="38">
        <v>0</v>
      </c>
      <c r="M445" s="38">
        <v>0</v>
      </c>
      <c r="N445" s="38">
        <v>0</v>
      </c>
      <c r="O445" s="41">
        <v>0</v>
      </c>
      <c r="P445" s="38">
        <v>0</v>
      </c>
      <c r="Q445" s="38">
        <v>0</v>
      </c>
      <c r="R445" s="38">
        <v>0</v>
      </c>
      <c r="S445" s="38">
        <v>0</v>
      </c>
      <c r="T445" s="38">
        <v>0</v>
      </c>
      <c r="U445" s="41">
        <v>0</v>
      </c>
      <c r="V445" s="41">
        <v>0</v>
      </c>
      <c r="W445" s="41">
        <v>0</v>
      </c>
      <c r="X445" s="41">
        <v>0</v>
      </c>
      <c r="Y445" s="37"/>
    </row>
    <row r="446" spans="1:25" s="31" customFormat="1" ht="15" customHeight="1" x14ac:dyDescent="0.3">
      <c r="A446" s="36"/>
      <c r="B446" s="37"/>
      <c r="C446" s="29"/>
      <c r="D446" s="37">
        <v>2018</v>
      </c>
      <c r="E446" s="38">
        <f>66120*1000000</f>
        <v>66120000000</v>
      </c>
      <c r="F446" s="38">
        <f>(66120+42812+79534+154562+10528+3330)*1000000</f>
        <v>356886000000</v>
      </c>
      <c r="G446" s="38">
        <f>1484207*1000000</f>
        <v>1484207000000</v>
      </c>
      <c r="H446" s="38">
        <f>355012*1000000</f>
        <v>355012000000</v>
      </c>
      <c r="I446" s="38">
        <f>1094703*1000000</f>
        <v>1094703000000</v>
      </c>
      <c r="J446" s="38">
        <f>-1681027*1000000</f>
        <v>-1681027000000</v>
      </c>
      <c r="K446" s="38">
        <f>299783*1000000</f>
        <v>299783000000</v>
      </c>
      <c r="L446" s="38">
        <f>602871*1000000</f>
        <v>602871000000</v>
      </c>
      <c r="M446" s="38">
        <f>-479608*1000000</f>
        <v>-479608000000</v>
      </c>
      <c r="N446" s="38">
        <f>-487947*1000000</f>
        <v>-487947000000</v>
      </c>
      <c r="O446" s="48">
        <v>0</v>
      </c>
      <c r="P446" s="40">
        <v>0</v>
      </c>
      <c r="Q446" s="38">
        <v>0</v>
      </c>
      <c r="R446" s="38">
        <v>0</v>
      </c>
      <c r="S446" s="38">
        <v>0</v>
      </c>
      <c r="T446" s="38">
        <v>0</v>
      </c>
      <c r="U446" s="41">
        <v>0</v>
      </c>
      <c r="V446" s="41">
        <v>0</v>
      </c>
      <c r="W446" s="41">
        <v>0</v>
      </c>
      <c r="X446" s="41">
        <v>0</v>
      </c>
      <c r="Y446" s="37"/>
    </row>
    <row r="447" spans="1:25" s="31" customFormat="1" ht="15" customHeight="1" x14ac:dyDescent="0.3">
      <c r="A447" s="36"/>
      <c r="B447" s="37"/>
      <c r="C447" s="29"/>
      <c r="D447" s="37">
        <v>2019</v>
      </c>
      <c r="E447" s="38">
        <f>5691719*1000000</f>
        <v>5691719000000</v>
      </c>
      <c r="F447" s="38">
        <f>(5691719+28216+105726+194726+52914+3434)*1000000</f>
        <v>6076735000000</v>
      </c>
      <c r="G447" s="38">
        <f>7538924*1000000</f>
        <v>7538924000000</v>
      </c>
      <c r="H447" s="38">
        <f>570269*1000000</f>
        <v>570269000000</v>
      </c>
      <c r="I447" s="38">
        <f>1522450*1000000</f>
        <v>1522450000000</v>
      </c>
      <c r="J447" s="38">
        <f>-2032839*1000000</f>
        <v>-2032839000000</v>
      </c>
      <c r="K447" s="38">
        <f>5836966*1000000</f>
        <v>5836966000000</v>
      </c>
      <c r="L447" s="38">
        <f>1023903*1000000</f>
        <v>1023903000000</v>
      </c>
      <c r="M447" s="38">
        <f>-345463*1000000</f>
        <v>-345463000000</v>
      </c>
      <c r="N447" s="38">
        <f>-345388*1000000</f>
        <v>-345388000000</v>
      </c>
      <c r="O447" s="39">
        <v>0.79049999999999998</v>
      </c>
      <c r="P447" s="40" t="s">
        <v>221</v>
      </c>
      <c r="Q447" s="38">
        <v>2</v>
      </c>
      <c r="R447" s="38">
        <v>6</v>
      </c>
      <c r="S447" s="38">
        <v>4</v>
      </c>
      <c r="T447" s="38">
        <f t="shared" ref="T447:T452" si="40">SUM(R447:S447)</f>
        <v>10</v>
      </c>
      <c r="U447" s="42">
        <v>0</v>
      </c>
      <c r="V447" s="41">
        <v>0</v>
      </c>
      <c r="W447" s="41">
        <v>0</v>
      </c>
      <c r="X447" s="41">
        <v>0</v>
      </c>
      <c r="Y447" s="37"/>
    </row>
    <row r="448" spans="1:25" s="31" customFormat="1" ht="15" customHeight="1" x14ac:dyDescent="0.3">
      <c r="A448" s="36"/>
      <c r="B448" s="37"/>
      <c r="C448" s="29"/>
      <c r="D448" s="37">
        <v>2020</v>
      </c>
      <c r="E448" s="38">
        <f>1317211*1000000</f>
        <v>1317211000000</v>
      </c>
      <c r="F448" s="38">
        <f>(1317211+24391+85525+280098+21891+34339)*1000000</f>
        <v>1763455000000</v>
      </c>
      <c r="G448" s="38">
        <f>13444989*1000000</f>
        <v>13444989000000</v>
      </c>
      <c r="H448" s="38">
        <f>1006670*1000000</f>
        <v>1006670000000</v>
      </c>
      <c r="I448" s="38">
        <f>7824000*1000000</f>
        <v>7824000000000</v>
      </c>
      <c r="J448" s="38">
        <f>-2414698*1000000</f>
        <v>-2414698000000</v>
      </c>
      <c r="K448" s="38">
        <f>5620989*1000000</f>
        <v>5620989000000</v>
      </c>
      <c r="L448" s="38">
        <f>2965679*1000000</f>
        <v>2965679000000</v>
      </c>
      <c r="M448" s="38">
        <f>-444444*1000000</f>
        <v>-444444000000</v>
      </c>
      <c r="N448" s="38">
        <f>-362365*1000000</f>
        <v>-362365000000</v>
      </c>
      <c r="O448" s="39">
        <v>0.79049999999999998</v>
      </c>
      <c r="P448" s="40" t="s">
        <v>221</v>
      </c>
      <c r="Q448" s="38">
        <v>3</v>
      </c>
      <c r="R448" s="38">
        <v>6</v>
      </c>
      <c r="S448" s="38">
        <v>5</v>
      </c>
      <c r="T448" s="38">
        <f t="shared" si="40"/>
        <v>11</v>
      </c>
      <c r="U448" s="42">
        <v>0</v>
      </c>
      <c r="V448" s="41">
        <v>0</v>
      </c>
      <c r="W448" s="41">
        <v>0</v>
      </c>
      <c r="X448" s="41">
        <v>0</v>
      </c>
      <c r="Y448" s="37"/>
    </row>
    <row r="449" spans="1:25" s="31" customFormat="1" ht="15" customHeight="1" x14ac:dyDescent="0.3">
      <c r="A449" s="36"/>
      <c r="B449" s="37"/>
      <c r="C449" s="29"/>
      <c r="D449" s="37">
        <v>2021</v>
      </c>
      <c r="E449" s="38">
        <f>632888*1000000</f>
        <v>632888000000</v>
      </c>
      <c r="F449" s="38">
        <f>(632888+42288+96595+566682+12273+55269)*1000000</f>
        <v>1405995000000</v>
      </c>
      <c r="G449" s="38">
        <f>13618419*1000000</f>
        <v>13618419000000</v>
      </c>
      <c r="H449" s="38">
        <f>1289835*1000000</f>
        <v>1289835000000</v>
      </c>
      <c r="I449" s="38">
        <f>8031898*1000000</f>
        <v>8031898000000</v>
      </c>
      <c r="J449" s="38">
        <f>-2610977*1000000</f>
        <v>-2610977000000</v>
      </c>
      <c r="K449" s="38">
        <f>5586520*1000000</f>
        <v>5586520000000</v>
      </c>
      <c r="L449" s="38">
        <f>2933681*1000000</f>
        <v>2933681000000</v>
      </c>
      <c r="M449" s="38">
        <f>-143483*1000000</f>
        <v>-143483000000</v>
      </c>
      <c r="N449" s="38">
        <f>-179468*1000000</f>
        <v>-179468000000</v>
      </c>
      <c r="O449" s="39">
        <v>0.79049999999999998</v>
      </c>
      <c r="P449" s="40" t="s">
        <v>221</v>
      </c>
      <c r="Q449" s="38">
        <v>3</v>
      </c>
      <c r="R449" s="38">
        <v>6</v>
      </c>
      <c r="S449" s="38">
        <v>4</v>
      </c>
      <c r="T449" s="38">
        <f t="shared" si="40"/>
        <v>10</v>
      </c>
      <c r="U449" s="42">
        <v>0</v>
      </c>
      <c r="V449" s="41">
        <v>0</v>
      </c>
      <c r="W449" s="41">
        <v>0</v>
      </c>
      <c r="X449" s="41">
        <v>0</v>
      </c>
      <c r="Y449" s="37"/>
    </row>
    <row r="450" spans="1:25" s="31" customFormat="1" ht="15" customHeight="1" x14ac:dyDescent="0.3">
      <c r="A450" s="36"/>
      <c r="B450" s="37"/>
      <c r="C450" s="29"/>
      <c r="D450" s="37">
        <v>2022</v>
      </c>
      <c r="E450" s="38">
        <f>454460*1000000</f>
        <v>454460000000</v>
      </c>
      <c r="F450" s="38">
        <f>(454460+113203+47862+449802+50820)*1000000</f>
        <v>1116147000000</v>
      </c>
      <c r="G450" s="38">
        <f>12421466*1000000</f>
        <v>12421466000000</v>
      </c>
      <c r="H450" s="38">
        <f>1124666*1000000</f>
        <v>1124666000000</v>
      </c>
      <c r="I450" s="38">
        <f>7225617*1000000</f>
        <v>7225617000000</v>
      </c>
      <c r="J450" s="38">
        <f>-2890806*1000000</f>
        <v>-2890806000000</v>
      </c>
      <c r="K450" s="38">
        <f>5195848*1000000</f>
        <v>5195848000000</v>
      </c>
      <c r="L450" s="38">
        <f>2551416*1000000</f>
        <v>2551416000000</v>
      </c>
      <c r="M450" s="38">
        <f>-264922*1000000</f>
        <v>-264922000000</v>
      </c>
      <c r="N450" s="38">
        <f>-390672*1000000</f>
        <v>-390672000000</v>
      </c>
      <c r="O450" s="39">
        <v>0.79049999999999998</v>
      </c>
      <c r="P450" s="40" t="s">
        <v>221</v>
      </c>
      <c r="Q450" s="38">
        <v>3</v>
      </c>
      <c r="R450" s="38">
        <v>8</v>
      </c>
      <c r="S450" s="38">
        <v>4</v>
      </c>
      <c r="T450" s="38">
        <f t="shared" si="40"/>
        <v>12</v>
      </c>
      <c r="U450" s="42">
        <v>0</v>
      </c>
      <c r="V450" s="41">
        <v>0</v>
      </c>
      <c r="W450" s="41">
        <v>0</v>
      </c>
      <c r="X450" s="41">
        <v>0</v>
      </c>
      <c r="Y450" s="37"/>
    </row>
    <row r="451" spans="1:25" s="31" customFormat="1" ht="15" customHeight="1" x14ac:dyDescent="0.3">
      <c r="A451" s="36"/>
      <c r="B451" s="37"/>
      <c r="C451" s="29"/>
      <c r="D451" s="37">
        <v>2023</v>
      </c>
      <c r="E451" s="38">
        <f>454220*1000000</f>
        <v>454220000000</v>
      </c>
      <c r="F451" s="38">
        <f>(454220+53064+31247+356775+52474)*1000000</f>
        <v>947780000000</v>
      </c>
      <c r="G451" s="38">
        <f>9777097*1000000</f>
        <v>9777097000000</v>
      </c>
      <c r="H451" s="38">
        <f>1037222*1000000</f>
        <v>1037222000000</v>
      </c>
      <c r="I451" s="38">
        <f>6461975*1000000</f>
        <v>6461975000000</v>
      </c>
      <c r="J451" s="38">
        <f>-4795826*1000000</f>
        <v>-4795826000000</v>
      </c>
      <c r="K451" s="38">
        <f>3315932*1000000</f>
        <v>3315932000000</v>
      </c>
      <c r="L451" s="38">
        <f>2862880*1000000</f>
        <v>2862880000000</v>
      </c>
      <c r="M451" s="38">
        <f>-1890346*1000000</f>
        <v>-1890346000000</v>
      </c>
      <c r="N451" s="38">
        <f>-1879916*1000000</f>
        <v>-1879916000000</v>
      </c>
      <c r="O451" s="39">
        <v>0.79049999999999998</v>
      </c>
      <c r="P451" s="40" t="s">
        <v>221</v>
      </c>
      <c r="Q451" s="38">
        <v>3</v>
      </c>
      <c r="R451" s="38">
        <v>7</v>
      </c>
      <c r="S451" s="38">
        <v>3</v>
      </c>
      <c r="T451" s="38">
        <f t="shared" si="40"/>
        <v>10</v>
      </c>
      <c r="U451" s="42">
        <v>0</v>
      </c>
      <c r="V451" s="41">
        <v>0</v>
      </c>
      <c r="W451" s="41">
        <v>0</v>
      </c>
      <c r="X451" s="41">
        <v>0</v>
      </c>
      <c r="Y451" s="37"/>
    </row>
    <row r="452" spans="1:25" s="31" customFormat="1" ht="15" customHeight="1" x14ac:dyDescent="0.3">
      <c r="A452" s="36"/>
      <c r="B452" s="37"/>
      <c r="C452" s="29"/>
      <c r="D452" s="37">
        <v>2024</v>
      </c>
      <c r="E452" s="38">
        <f>339138*1000000</f>
        <v>339138000000</v>
      </c>
      <c r="F452" s="38">
        <f>(339138+73660+319353+313363+52823)*1000000</f>
        <v>1098337000000</v>
      </c>
      <c r="G452" s="38">
        <f>7842866*1000000</f>
        <v>7842866000000</v>
      </c>
      <c r="H452" s="38">
        <f>1130458*1000000</f>
        <v>1130458000000</v>
      </c>
      <c r="I452" s="38">
        <f>5359980*1000000</f>
        <v>5359980000000</v>
      </c>
      <c r="J452" s="38">
        <f>-5595211*1000000</f>
        <v>-5595211000000</v>
      </c>
      <c r="K452" s="38">
        <f>2482886*1000000</f>
        <v>2482886000000</v>
      </c>
      <c r="L452" s="38">
        <f>2347066*1000000</f>
        <v>2347066000000</v>
      </c>
      <c r="M452" s="38">
        <f>-785792*1000000</f>
        <v>-785792000000</v>
      </c>
      <c r="N452" s="38">
        <f>-833046*1000000</f>
        <v>-833046000000</v>
      </c>
      <c r="O452" s="39">
        <v>0.79049999999999998</v>
      </c>
      <c r="P452" s="40" t="s">
        <v>221</v>
      </c>
      <c r="Q452" s="38">
        <v>2</v>
      </c>
      <c r="R452" s="38">
        <v>5</v>
      </c>
      <c r="S452" s="38">
        <v>5</v>
      </c>
      <c r="T452" s="38">
        <f t="shared" si="40"/>
        <v>10</v>
      </c>
      <c r="U452" s="42">
        <v>0</v>
      </c>
      <c r="V452" s="41">
        <v>0</v>
      </c>
      <c r="W452" s="41">
        <v>0</v>
      </c>
      <c r="X452" s="41">
        <v>0</v>
      </c>
      <c r="Y452" s="37"/>
    </row>
    <row r="453" spans="1:25" s="31" customFormat="1" ht="15" customHeight="1" x14ac:dyDescent="0.3">
      <c r="A453" s="36"/>
      <c r="B453" s="37">
        <v>42</v>
      </c>
      <c r="C453" s="29" t="s">
        <v>14</v>
      </c>
      <c r="D453" s="37">
        <v>2014</v>
      </c>
      <c r="E453" s="38">
        <v>0</v>
      </c>
      <c r="F453" s="38">
        <v>0</v>
      </c>
      <c r="G453" s="38">
        <v>0</v>
      </c>
      <c r="H453" s="38">
        <v>0</v>
      </c>
      <c r="I453" s="38">
        <v>0</v>
      </c>
      <c r="J453" s="38">
        <v>0</v>
      </c>
      <c r="K453" s="38">
        <v>0</v>
      </c>
      <c r="L453" s="38">
        <f>1258079.25*1000000</f>
        <v>1258079250000</v>
      </c>
      <c r="M453" s="38">
        <v>0</v>
      </c>
      <c r="N453" s="38">
        <v>0</v>
      </c>
      <c r="O453" s="41">
        <v>0</v>
      </c>
      <c r="P453" s="38">
        <v>0</v>
      </c>
      <c r="Q453" s="38">
        <v>0</v>
      </c>
      <c r="R453" s="38">
        <v>0</v>
      </c>
      <c r="S453" s="38"/>
      <c r="T453" s="38">
        <v>0</v>
      </c>
      <c r="U453" s="42"/>
      <c r="V453" s="38"/>
      <c r="W453" s="38">
        <f t="shared" ref="W453:W474" si="41">V453</f>
        <v>0</v>
      </c>
      <c r="X453" s="38">
        <v>0</v>
      </c>
      <c r="Y453" s="37"/>
    </row>
    <row r="454" spans="1:25" s="31" customFormat="1" ht="15" customHeight="1" x14ac:dyDescent="0.3">
      <c r="A454" s="36"/>
      <c r="B454" s="37"/>
      <c r="C454" s="29"/>
      <c r="D454" s="37">
        <v>2015</v>
      </c>
      <c r="E454" s="38">
        <f>23502.88*1000000</f>
        <v>23502880000</v>
      </c>
      <c r="F454" s="38">
        <f>(23502.88+2053.62+12049.18+2829.31+23718.17+15973.68+6244.57)*1000000</f>
        <v>86371410000</v>
      </c>
      <c r="G454" s="38">
        <f>2405430.04*1000000</f>
        <v>2405430040000</v>
      </c>
      <c r="H454" s="38">
        <f>162929.95*1000000</f>
        <v>162929950000</v>
      </c>
      <c r="I454" s="38">
        <f>2284481.46*1000000</f>
        <v>2284481460000</v>
      </c>
      <c r="J454" s="38">
        <f>(64.06-323443.02)*1000000</f>
        <v>-323378960000</v>
      </c>
      <c r="K454" s="38">
        <f>116650.85*1000000</f>
        <v>116650850000</v>
      </c>
      <c r="L454" s="38">
        <f>890393.27*1000000</f>
        <v>890393270000</v>
      </c>
      <c r="M454" s="38">
        <f>263.78*1000000</f>
        <v>263779999.99999997</v>
      </c>
      <c r="N454" s="38">
        <f>-36636.61*1000000</f>
        <v>-36636610000</v>
      </c>
      <c r="O454" s="39">
        <v>0.99160000000000004</v>
      </c>
      <c r="P454" s="40" t="s">
        <v>222</v>
      </c>
      <c r="Q454" s="38">
        <v>2</v>
      </c>
      <c r="R454" s="38">
        <v>4</v>
      </c>
      <c r="S454" s="38">
        <v>4</v>
      </c>
      <c r="T454" s="38">
        <f>SUM(R454:S454)</f>
        <v>8</v>
      </c>
      <c r="U454" s="42">
        <v>0</v>
      </c>
      <c r="V454" s="38">
        <f>4+(2*2)+3</f>
        <v>11</v>
      </c>
      <c r="W454" s="38">
        <f>V454</f>
        <v>11</v>
      </c>
      <c r="X454" s="38">
        <f t="shared" ref="X454:X459" si="42">4+2</f>
        <v>6</v>
      </c>
      <c r="Y454" s="37"/>
    </row>
    <row r="455" spans="1:25" s="31" customFormat="1" ht="15" customHeight="1" x14ac:dyDescent="0.3">
      <c r="A455" s="36"/>
      <c r="B455" s="37"/>
      <c r="C455" s="29"/>
      <c r="D455" s="37">
        <v>2016</v>
      </c>
      <c r="E455" s="38">
        <f>38712.54*1000000</f>
        <v>38712540000</v>
      </c>
      <c r="F455" s="38">
        <f>(38712.54+3168.48+12782.31+2595.22+30815.97+13110.51+10961.8)*1000000</f>
        <v>112146830000</v>
      </c>
      <c r="G455" s="38">
        <f>2607832.01*1000000</f>
        <v>2607832010000</v>
      </c>
      <c r="H455" s="38">
        <f>122768.64*1000000</f>
        <v>122768640000</v>
      </c>
      <c r="I455" s="38">
        <f>2326479.79*1000000</f>
        <v>2326479790000</v>
      </c>
      <c r="J455" s="38">
        <f>(64.06-413452.53)*1000000</f>
        <v>-413388470000</v>
      </c>
      <c r="K455" s="38">
        <f>276744.14*1000000</f>
        <v>276744140000</v>
      </c>
      <c r="L455" s="38">
        <f>1172898.06*1000000</f>
        <v>1172898060000</v>
      </c>
      <c r="M455" s="38">
        <f>-85453.76*1000000</f>
        <v>-85453760000</v>
      </c>
      <c r="N455" s="38">
        <f>-61977.77*1000000</f>
        <v>-61977770000</v>
      </c>
      <c r="O455" s="39">
        <v>0.99160000000000004</v>
      </c>
      <c r="P455" s="40" t="s">
        <v>222</v>
      </c>
      <c r="Q455" s="38">
        <v>2</v>
      </c>
      <c r="R455" s="38">
        <v>4</v>
      </c>
      <c r="S455" s="38">
        <v>4</v>
      </c>
      <c r="T455" s="38">
        <f t="shared" ref="T455:T463" si="43">SUM(R455:S455)</f>
        <v>8</v>
      </c>
      <c r="U455" s="42">
        <v>0</v>
      </c>
      <c r="V455" s="38">
        <f>4+2</f>
        <v>6</v>
      </c>
      <c r="W455" s="38">
        <f t="shared" si="41"/>
        <v>6</v>
      </c>
      <c r="X455" s="38">
        <f t="shared" si="42"/>
        <v>6</v>
      </c>
      <c r="Y455" s="37"/>
    </row>
    <row r="456" spans="1:25" s="31" customFormat="1" ht="15" customHeight="1" x14ac:dyDescent="0.3">
      <c r="A456" s="36"/>
      <c r="B456" s="37"/>
      <c r="C456" s="29"/>
      <c r="D456" s="37">
        <v>2017</v>
      </c>
      <c r="E456" s="38">
        <f>74897.81*1000000</f>
        <v>74897810000</v>
      </c>
      <c r="F456" s="38">
        <f>(74897.81+8378.76+9489.24+15206.15+18956.25)*1000000</f>
        <v>126928209999.99998</v>
      </c>
      <c r="G456" s="38">
        <f>3661165.66*1000000</f>
        <v>3661165660000</v>
      </c>
      <c r="H456" s="38">
        <f>184387.45*1000000</f>
        <v>184387450000</v>
      </c>
      <c r="I456" s="38">
        <f>2989222.78*1000000</f>
        <v>2989222780000</v>
      </c>
      <c r="J456" s="38">
        <f>-467683.19*1000000</f>
        <v>-467683190000</v>
      </c>
      <c r="K456" s="38">
        <f>670557.78*1000000</f>
        <v>670557780000</v>
      </c>
      <c r="L456" s="38">
        <f>1511974.18*1000000</f>
        <v>1511974180000</v>
      </c>
      <c r="M456" s="38">
        <f>-46004.31*1000000</f>
        <v>-46004310000</v>
      </c>
      <c r="N456" s="38">
        <f>3425.09*1000000</f>
        <v>3425090000</v>
      </c>
      <c r="O456" s="39">
        <v>0.99480000000000002</v>
      </c>
      <c r="P456" s="40" t="s">
        <v>222</v>
      </c>
      <c r="Q456" s="38">
        <v>2</v>
      </c>
      <c r="R456" s="38">
        <v>3</v>
      </c>
      <c r="S456" s="38">
        <v>5</v>
      </c>
      <c r="T456" s="38">
        <f t="shared" si="43"/>
        <v>8</v>
      </c>
      <c r="U456" s="42">
        <v>0</v>
      </c>
      <c r="V456" s="38">
        <f>3+2</f>
        <v>5</v>
      </c>
      <c r="W456" s="38">
        <f t="shared" si="41"/>
        <v>5</v>
      </c>
      <c r="X456" s="38">
        <f t="shared" si="42"/>
        <v>6</v>
      </c>
      <c r="Y456" s="37"/>
    </row>
    <row r="457" spans="1:25" s="31" customFormat="1" ht="15" customHeight="1" x14ac:dyDescent="0.3">
      <c r="A457" s="36"/>
      <c r="B457" s="37"/>
      <c r="C457" s="29"/>
      <c r="D457" s="37">
        <v>2018</v>
      </c>
      <c r="E457" s="38">
        <f>92159.49*1000000</f>
        <v>92159490000</v>
      </c>
      <c r="F457" s="38">
        <f>(92159.49+9746.04+11182.87+28458.32+37033.1)*1000000</f>
        <v>178579820000</v>
      </c>
      <c r="G457" s="38">
        <f>4552765.33*1000000</f>
        <v>4552765330000</v>
      </c>
      <c r="H457" s="38">
        <f>169377.15*1000000</f>
        <v>169377150000</v>
      </c>
      <c r="I457" s="38">
        <f>3976839.29*1000000</f>
        <v>3976839290000</v>
      </c>
      <c r="J457" s="38">
        <f>-458574.9*1000000</f>
        <v>-458574900000</v>
      </c>
      <c r="K457" s="38">
        <f>574540.94*1000000</f>
        <v>574540940000</v>
      </c>
      <c r="L457" s="38">
        <f>1904599.98*1000000</f>
        <v>1904599980000</v>
      </c>
      <c r="M457" s="38">
        <f>9108.29*1000000</f>
        <v>9108290000</v>
      </c>
      <c r="N457" s="38">
        <f>-96016.84*1000000</f>
        <v>-96016840000</v>
      </c>
      <c r="O457" s="39">
        <v>0.99480000000000002</v>
      </c>
      <c r="P457" s="40" t="s">
        <v>222</v>
      </c>
      <c r="Q457" s="38">
        <v>2</v>
      </c>
      <c r="R457" s="38">
        <v>4</v>
      </c>
      <c r="S457" s="38">
        <v>4</v>
      </c>
      <c r="T457" s="38">
        <f t="shared" si="43"/>
        <v>8</v>
      </c>
      <c r="U457" s="42">
        <v>0</v>
      </c>
      <c r="V457" s="38">
        <f>4+2</f>
        <v>6</v>
      </c>
      <c r="W457" s="38">
        <f t="shared" si="41"/>
        <v>6</v>
      </c>
      <c r="X457" s="38">
        <f t="shared" si="42"/>
        <v>6</v>
      </c>
      <c r="Y457" s="37"/>
    </row>
    <row r="458" spans="1:25" s="31" customFormat="1" ht="15" customHeight="1" x14ac:dyDescent="0.3">
      <c r="A458" s="36"/>
      <c r="B458" s="37"/>
      <c r="C458" s="29"/>
      <c r="D458" s="37">
        <v>2019</v>
      </c>
      <c r="E458" s="38">
        <f>146349.96*1000000</f>
        <v>146349960000</v>
      </c>
      <c r="F458" s="38">
        <f>(146349.96+5594.31+18639.49+14310.63+54525.77)*1000000</f>
        <v>239420159999.99997</v>
      </c>
      <c r="G458" s="38">
        <f>5934705.76*1000000</f>
        <v>5934705760000</v>
      </c>
      <c r="H458" s="38">
        <f>172621.78*1000000</f>
        <v>172621780000</v>
      </c>
      <c r="I458" s="38">
        <f>5179089.53*1000000</f>
        <v>5179089530000</v>
      </c>
      <c r="J458" s="38">
        <f>-452864.57*1000000</f>
        <v>-452864570000</v>
      </c>
      <c r="K458" s="38">
        <f>754231.13*1000000</f>
        <v>754231130000</v>
      </c>
      <c r="L458" s="38">
        <f>2213221.6*1000000</f>
        <v>2213221600000</v>
      </c>
      <c r="M458" s="38">
        <f>5710.33*1000000</f>
        <v>5710330000</v>
      </c>
      <c r="N458" s="38">
        <f>179690.2*1000000</f>
        <v>179690200000</v>
      </c>
      <c r="O458" s="39">
        <v>0.99480000000000002</v>
      </c>
      <c r="P458" s="40" t="s">
        <v>222</v>
      </c>
      <c r="Q458" s="38">
        <v>2</v>
      </c>
      <c r="R458" s="38">
        <v>4</v>
      </c>
      <c r="S458" s="38">
        <v>4</v>
      </c>
      <c r="T458" s="38">
        <f t="shared" si="43"/>
        <v>8</v>
      </c>
      <c r="U458" s="42">
        <v>0</v>
      </c>
      <c r="V458" s="38">
        <f>4+2</f>
        <v>6</v>
      </c>
      <c r="W458" s="38">
        <f t="shared" si="41"/>
        <v>6</v>
      </c>
      <c r="X458" s="38">
        <f t="shared" si="42"/>
        <v>6</v>
      </c>
      <c r="Y458" s="37"/>
    </row>
    <row r="459" spans="1:25" s="31" customFormat="1" ht="15" customHeight="1" x14ac:dyDescent="0.3">
      <c r="A459" s="36"/>
      <c r="B459" s="37"/>
      <c r="C459" s="29"/>
      <c r="D459" s="37">
        <v>2020</v>
      </c>
      <c r="E459" s="38">
        <f>143388.39*1000000</f>
        <v>143388390000</v>
      </c>
      <c r="F459" s="38">
        <f>(143388.39+20126.48+24708.72+19845.44+71899.66)*1000000</f>
        <v>279968690000.00006</v>
      </c>
      <c r="G459" s="38">
        <f>7033128.22*1000000</f>
        <v>7033128220000</v>
      </c>
      <c r="H459" s="38">
        <f>207307.31*1000000</f>
        <v>207307310000</v>
      </c>
      <c r="I459" s="38">
        <f>6174520.62*1000000</f>
        <v>6174520620000</v>
      </c>
      <c r="J459" s="38">
        <f>-432285.45*1000000</f>
        <v>-432285450000</v>
      </c>
      <c r="K459" s="38">
        <f>857222.5*1000000</f>
        <v>857222500000</v>
      </c>
      <c r="L459" s="38">
        <f>1944866.41*1000000</f>
        <v>1944866410000</v>
      </c>
      <c r="M459" s="38">
        <f>20579.12*1000000</f>
        <v>20579120000</v>
      </c>
      <c r="N459" s="38">
        <f>102991.37*1000000</f>
        <v>102991370000</v>
      </c>
      <c r="O459" s="39">
        <v>0.99480000000000002</v>
      </c>
      <c r="P459" s="40" t="s">
        <v>222</v>
      </c>
      <c r="Q459" s="38">
        <v>2</v>
      </c>
      <c r="R459" s="38">
        <v>4</v>
      </c>
      <c r="S459" s="38">
        <v>4</v>
      </c>
      <c r="T459" s="38">
        <f t="shared" si="43"/>
        <v>8</v>
      </c>
      <c r="U459" s="42">
        <v>0</v>
      </c>
      <c r="V459" s="38">
        <f>4+2</f>
        <v>6</v>
      </c>
      <c r="W459" s="38">
        <f t="shared" si="41"/>
        <v>6</v>
      </c>
      <c r="X459" s="38">
        <f t="shared" si="42"/>
        <v>6</v>
      </c>
      <c r="Y459" s="37"/>
    </row>
    <row r="460" spans="1:25" s="31" customFormat="1" ht="15" customHeight="1" x14ac:dyDescent="0.3">
      <c r="A460" s="36"/>
      <c r="B460" s="37"/>
      <c r="C460" s="29"/>
      <c r="D460" s="37">
        <v>2021</v>
      </c>
      <c r="E460" s="38">
        <f>194398.37*1000000</f>
        <v>194398370000</v>
      </c>
      <c r="F460" s="38">
        <f>(194398.37+17020.35+32665.89+50225.97+88589.61)*1000000</f>
        <v>382900189999.99994</v>
      </c>
      <c r="G460" s="38">
        <f>8154877.34*1000000</f>
        <v>8154877340000</v>
      </c>
      <c r="H460" s="38">
        <f>212694.28*1000000</f>
        <v>212694280000</v>
      </c>
      <c r="I460" s="38">
        <f>7327543.12*1000000</f>
        <v>7327543120000</v>
      </c>
      <c r="J460" s="38">
        <f>-402487.88*1000000</f>
        <v>-402487880000</v>
      </c>
      <c r="K460" s="38">
        <f>825949.12*1000000</f>
        <v>825949120000</v>
      </c>
      <c r="L460" s="38">
        <f>2492561.79*1000000</f>
        <v>2492561790000</v>
      </c>
      <c r="M460" s="38">
        <f>29733.51*1000000</f>
        <v>29733510000</v>
      </c>
      <c r="N460" s="38">
        <f>-31273.38*1000000</f>
        <v>-31273380000</v>
      </c>
      <c r="O460" s="39">
        <v>0.99480000000000002</v>
      </c>
      <c r="P460" s="40" t="s">
        <v>222</v>
      </c>
      <c r="Q460" s="38">
        <v>2</v>
      </c>
      <c r="R460" s="38">
        <v>4</v>
      </c>
      <c r="S460" s="38">
        <v>5</v>
      </c>
      <c r="T460" s="38">
        <f t="shared" si="43"/>
        <v>9</v>
      </c>
      <c r="U460" s="42">
        <v>0</v>
      </c>
      <c r="V460" s="38">
        <f>4+(2*2)</f>
        <v>8</v>
      </c>
      <c r="W460" s="38">
        <f t="shared" si="41"/>
        <v>8</v>
      </c>
      <c r="X460" s="38">
        <f>5+(2*2)</f>
        <v>9</v>
      </c>
      <c r="Y460" s="37"/>
    </row>
    <row r="461" spans="1:25" s="31" customFormat="1" ht="15" customHeight="1" x14ac:dyDescent="0.3">
      <c r="A461" s="36"/>
      <c r="B461" s="37"/>
      <c r="C461" s="29"/>
      <c r="D461" s="37">
        <v>2022</v>
      </c>
      <c r="E461" s="38">
        <f>164157.33*1000000</f>
        <v>164157330000</v>
      </c>
      <c r="F461" s="38">
        <f>(169157.33+11232.29+39132.78+30197.63+134105.62)*1000000</f>
        <v>383825650000</v>
      </c>
      <c r="G461" s="38">
        <f>9927373.96*1000000</f>
        <v>9927373960000</v>
      </c>
      <c r="H461" s="38">
        <f>220018.1*1000000</f>
        <v>220018100000</v>
      </c>
      <c r="I461" s="38">
        <f>9503394*1000000</f>
        <v>9503394000000</v>
      </c>
      <c r="J461" s="38">
        <f>-335770.09*1000000</f>
        <v>-335770090000</v>
      </c>
      <c r="K461" s="38">
        <f>422594.62*1000000</f>
        <v>422594620000</v>
      </c>
      <c r="L461" s="38">
        <f>3963998.54*1000000</f>
        <v>3963998540000</v>
      </c>
      <c r="M461" s="38">
        <f>66717.79*1000000</f>
        <v>66717789999.999992</v>
      </c>
      <c r="N461" s="38">
        <f>-403354.5*1000000</f>
        <v>-403354500000</v>
      </c>
      <c r="O461" s="39">
        <v>0.99480000000000002</v>
      </c>
      <c r="P461" s="40" t="s">
        <v>222</v>
      </c>
      <c r="Q461" s="38">
        <v>2</v>
      </c>
      <c r="R461" s="38">
        <v>4</v>
      </c>
      <c r="S461" s="38">
        <v>4</v>
      </c>
      <c r="T461" s="38">
        <f t="shared" si="43"/>
        <v>8</v>
      </c>
      <c r="U461" s="42">
        <v>0</v>
      </c>
      <c r="V461" s="38">
        <f>4+(2*2)</f>
        <v>8</v>
      </c>
      <c r="W461" s="38">
        <f t="shared" si="41"/>
        <v>8</v>
      </c>
      <c r="X461" s="38">
        <f>5+(2*2)</f>
        <v>9</v>
      </c>
      <c r="Y461" s="37"/>
    </row>
    <row r="462" spans="1:25" s="31" customFormat="1" ht="15" customHeight="1" x14ac:dyDescent="0.3">
      <c r="A462" s="36"/>
      <c r="B462" s="37"/>
      <c r="C462" s="29"/>
      <c r="D462" s="37">
        <v>2023</v>
      </c>
      <c r="E462" s="38">
        <f>235290.36*1000000</f>
        <v>235290360000</v>
      </c>
      <c r="F462" s="38">
        <f>(235190.36+12719.92+16024.95+24985.54+180618.11)*1000000</f>
        <v>469538879999.99994</v>
      </c>
      <c r="G462" s="38">
        <f>12202897.89*1000000</f>
        <v>12202897890000</v>
      </c>
      <c r="H462" s="38">
        <f>539769.51*1000000</f>
        <v>539769510000</v>
      </c>
      <c r="I462" s="38">
        <f>11099363.41*1000000</f>
        <v>11099363410000</v>
      </c>
      <c r="J462" s="38">
        <f>146170438100</f>
        <v>146170438100</v>
      </c>
      <c r="K462" s="38">
        <f>1102149.38*1000000</f>
        <v>1102149380000</v>
      </c>
      <c r="L462" s="38">
        <f>4106181.06*1000000</f>
        <v>4106181060000</v>
      </c>
      <c r="M462" s="38">
        <f>207835.71*1000000</f>
        <v>207835710000</v>
      </c>
      <c r="N462" s="38">
        <f>405449.95*1000000</f>
        <v>405449950000</v>
      </c>
      <c r="O462" s="39">
        <v>0.99480000000000002</v>
      </c>
      <c r="P462" s="40" t="s">
        <v>222</v>
      </c>
      <c r="Q462" s="38">
        <v>2</v>
      </c>
      <c r="R462" s="38">
        <v>4</v>
      </c>
      <c r="S462" s="38">
        <v>3</v>
      </c>
      <c r="T462" s="38">
        <f t="shared" si="43"/>
        <v>7</v>
      </c>
      <c r="U462" s="42">
        <v>0</v>
      </c>
      <c r="V462" s="38">
        <f>4+(2*3)</f>
        <v>10</v>
      </c>
      <c r="W462" s="38">
        <f t="shared" si="41"/>
        <v>10</v>
      </c>
      <c r="X462" s="38">
        <f>4+2</f>
        <v>6</v>
      </c>
      <c r="Y462" s="37"/>
    </row>
    <row r="463" spans="1:25" s="31" customFormat="1" ht="15" customHeight="1" x14ac:dyDescent="0.3">
      <c r="A463" s="36"/>
      <c r="B463" s="37"/>
      <c r="C463" s="29"/>
      <c r="D463" s="37">
        <v>2024</v>
      </c>
      <c r="E463" s="38">
        <f>183021.78*1000000</f>
        <v>183021780000</v>
      </c>
      <c r="F463" s="38">
        <f>(183021.78+6645.09+19106.6+36055.4+217865.4)*1000000</f>
        <v>462694270000</v>
      </c>
      <c r="G463" s="38">
        <f>13904807.77*1000000</f>
        <v>13904807770000</v>
      </c>
      <c r="H463" s="38">
        <f>495093.52*1000000</f>
        <v>495093520000</v>
      </c>
      <c r="I463" s="38">
        <f>12900621.94*1000000</f>
        <v>12900621940000</v>
      </c>
      <c r="J463" s="38">
        <f>306067.65*1000000</f>
        <v>306067650000</v>
      </c>
      <c r="K463" s="38">
        <f>1002800.73*1000000</f>
        <v>1002800730000</v>
      </c>
      <c r="L463" s="38">
        <f>4339933.25*1000000</f>
        <v>4339933250000</v>
      </c>
      <c r="M463" s="38">
        <f>150091.22*1000000</f>
        <v>150091220000</v>
      </c>
      <c r="N463" s="38">
        <f>-99348.65*1000000</f>
        <v>-99348650000</v>
      </c>
      <c r="O463" s="39">
        <v>0.99480000000000002</v>
      </c>
      <c r="P463" s="40" t="s">
        <v>222</v>
      </c>
      <c r="Q463" s="38">
        <v>2</v>
      </c>
      <c r="R463" s="38">
        <v>3</v>
      </c>
      <c r="S463" s="38">
        <v>5</v>
      </c>
      <c r="T463" s="38">
        <f t="shared" si="43"/>
        <v>8</v>
      </c>
      <c r="U463" s="42">
        <v>0</v>
      </c>
      <c r="V463" s="38">
        <f>5+2</f>
        <v>7</v>
      </c>
      <c r="W463" s="38">
        <f t="shared" si="41"/>
        <v>7</v>
      </c>
      <c r="X463" s="30">
        <f>4+(2*2)</f>
        <v>8</v>
      </c>
      <c r="Y463" s="37"/>
    </row>
    <row r="464" spans="1:25" s="31" customFormat="1" ht="15" customHeight="1" x14ac:dyDescent="0.3">
      <c r="A464" s="36"/>
      <c r="B464" s="37">
        <v>43</v>
      </c>
      <c r="C464" s="29" t="s">
        <v>15</v>
      </c>
      <c r="D464" s="37">
        <v>2014</v>
      </c>
      <c r="E464" s="38">
        <v>0</v>
      </c>
      <c r="F464" s="38">
        <v>0</v>
      </c>
      <c r="G464" s="38">
        <v>0</v>
      </c>
      <c r="H464" s="38">
        <v>0</v>
      </c>
      <c r="I464" s="38">
        <v>0</v>
      </c>
      <c r="J464" s="38">
        <v>0</v>
      </c>
      <c r="K464" s="38">
        <v>0</v>
      </c>
      <c r="L464" s="38">
        <f>15534.57*1000000</f>
        <v>15534570000</v>
      </c>
      <c r="M464" s="38">
        <v>0</v>
      </c>
      <c r="N464" s="38">
        <v>0</v>
      </c>
      <c r="O464" s="41">
        <v>0</v>
      </c>
      <c r="P464" s="38">
        <v>0</v>
      </c>
      <c r="Q464" s="38">
        <v>0</v>
      </c>
      <c r="R464" s="38">
        <v>0</v>
      </c>
      <c r="S464" s="38"/>
      <c r="T464" s="38">
        <v>0</v>
      </c>
      <c r="U464" s="41">
        <v>0</v>
      </c>
      <c r="V464" s="38">
        <v>0</v>
      </c>
      <c r="W464" s="38">
        <f t="shared" si="41"/>
        <v>0</v>
      </c>
      <c r="X464" s="38">
        <v>0</v>
      </c>
      <c r="Y464" s="37"/>
    </row>
    <row r="465" spans="1:25" s="31" customFormat="1" ht="15" customHeight="1" x14ac:dyDescent="0.3">
      <c r="A465" s="36"/>
      <c r="B465" s="37"/>
      <c r="C465" s="29"/>
      <c r="D465" s="37">
        <v>2015</v>
      </c>
      <c r="E465" s="38">
        <f>34925.77*1000000</f>
        <v>34925770000</v>
      </c>
      <c r="F465" s="38">
        <f>(34925.77+32778.64+24694.49+564.86)*1000000</f>
        <v>92963760000.000015</v>
      </c>
      <c r="G465" s="38">
        <f>397316.56*1000000</f>
        <v>397316560000</v>
      </c>
      <c r="H465" s="38">
        <f>31138.85*1000000</f>
        <v>31138850000</v>
      </c>
      <c r="I465" s="38">
        <f>104803.5*1000000</f>
        <v>104803500000</v>
      </c>
      <c r="J465" s="38">
        <f>-168483.84*1000000</f>
        <v>-168483840000</v>
      </c>
      <c r="K465" s="38">
        <f>292513.05*1000000</f>
        <v>292513050000</v>
      </c>
      <c r="L465" s="38">
        <f>64228.26*1000000</f>
        <v>64228260000</v>
      </c>
      <c r="M465" s="38">
        <f>-77240.95*1000000</f>
        <v>-77240950000</v>
      </c>
      <c r="N465" s="38">
        <f>-72698.13*1000000</f>
        <v>-72698130000</v>
      </c>
      <c r="O465" s="39">
        <v>0.98129999999999995</v>
      </c>
      <c r="P465" s="40" t="s">
        <v>223</v>
      </c>
      <c r="Q465" s="38">
        <v>2</v>
      </c>
      <c r="R465" s="38">
        <v>4</v>
      </c>
      <c r="S465" s="38">
        <v>3</v>
      </c>
      <c r="T465" s="38">
        <f>SUM(R465:S465)</f>
        <v>7</v>
      </c>
      <c r="U465" s="42">
        <v>0</v>
      </c>
      <c r="V465" s="38">
        <v>0</v>
      </c>
      <c r="W465" s="38">
        <f t="shared" si="41"/>
        <v>0</v>
      </c>
      <c r="X465" s="38">
        <v>0</v>
      </c>
      <c r="Y465" s="37"/>
    </row>
    <row r="466" spans="1:25" s="31" customFormat="1" ht="15" customHeight="1" x14ac:dyDescent="0.3">
      <c r="A466" s="36"/>
      <c r="B466" s="37"/>
      <c r="C466" s="29"/>
      <c r="D466" s="37">
        <v>2016</v>
      </c>
      <c r="E466" s="38">
        <f>101500.01*1000000</f>
        <v>101500010000</v>
      </c>
      <c r="F466" s="38">
        <f>(101500.01+59775.48+92587.61+9392.6)*1000000</f>
        <v>263255699999.99994</v>
      </c>
      <c r="G466" s="38">
        <f>2179146.73*1000000</f>
        <v>2179146730000</v>
      </c>
      <c r="H466" s="38">
        <f>95850.69*1000000</f>
        <v>95850690000</v>
      </c>
      <c r="I466" s="38">
        <f>298194.12*1000000</f>
        <v>298194120000</v>
      </c>
      <c r="J466" s="38">
        <f>-299728.6*1000000</f>
        <v>-299728600000</v>
      </c>
      <c r="K466" s="38">
        <f>1880952.61*1000000</f>
        <v>1880952610000</v>
      </c>
      <c r="L466" s="38">
        <f>192284.84*1000000</f>
        <v>192284840000</v>
      </c>
      <c r="M466" s="38">
        <f>-130921.8*1000000</f>
        <v>-130921800000</v>
      </c>
      <c r="N466" s="38">
        <f>-131560.44*1000000</f>
        <v>-131560440000</v>
      </c>
      <c r="O466" s="39">
        <v>0.99609999999999999</v>
      </c>
      <c r="P466" s="40" t="s">
        <v>223</v>
      </c>
      <c r="Q466" s="38">
        <v>2</v>
      </c>
      <c r="R466" s="38">
        <v>4</v>
      </c>
      <c r="S466" s="38">
        <v>3</v>
      </c>
      <c r="T466" s="38">
        <f t="shared" ref="T466:T474" si="44">SUM(R466:S466)</f>
        <v>7</v>
      </c>
      <c r="U466" s="42">
        <v>0</v>
      </c>
      <c r="V466" s="38">
        <v>0</v>
      </c>
      <c r="W466" s="38">
        <f t="shared" si="41"/>
        <v>0</v>
      </c>
      <c r="X466" s="38">
        <v>0</v>
      </c>
      <c r="Y466" s="37"/>
    </row>
    <row r="467" spans="1:25" s="31" customFormat="1" ht="15" customHeight="1" x14ac:dyDescent="0.3">
      <c r="A467" s="36"/>
      <c r="B467" s="37"/>
      <c r="C467" s="29"/>
      <c r="D467" s="37">
        <v>2017</v>
      </c>
      <c r="E467" s="38">
        <f>109655.41*1000000</f>
        <v>109655410000</v>
      </c>
      <c r="F467" s="38">
        <f>(109655.41+16469.92+71058.95+23743.99+15105.71)*1000000</f>
        <v>236033979999.99997</v>
      </c>
      <c r="G467" s="38">
        <f>2092063.19*1000000</f>
        <v>2092063190000</v>
      </c>
      <c r="H467" s="38">
        <f>56686.98*1000000</f>
        <v>56686980000</v>
      </c>
      <c r="I467" s="38">
        <f>268039.32*1000000</f>
        <v>268039320000</v>
      </c>
      <c r="J467" s="38">
        <f>-355976.12*1000000</f>
        <v>-355976120000</v>
      </c>
      <c r="K467" s="38">
        <f>1824023.88*1000000</f>
        <v>1824023880000</v>
      </c>
      <c r="L467" s="38">
        <f>247528.58*1000000</f>
        <v>247528580000</v>
      </c>
      <c r="M467" s="38">
        <f>-58172.11*1000000</f>
        <v>-58172110000</v>
      </c>
      <c r="N467" s="38">
        <f>-56928.73*1000000</f>
        <v>-56928730000</v>
      </c>
      <c r="O467" s="39">
        <v>0.99609999999999999</v>
      </c>
      <c r="P467" s="40" t="s">
        <v>223</v>
      </c>
      <c r="Q467" s="38">
        <v>2</v>
      </c>
      <c r="R467" s="38">
        <v>3</v>
      </c>
      <c r="S467" s="38">
        <v>3</v>
      </c>
      <c r="T467" s="38">
        <f t="shared" si="44"/>
        <v>6</v>
      </c>
      <c r="U467" s="42">
        <v>0</v>
      </c>
      <c r="V467" s="38">
        <v>0</v>
      </c>
      <c r="W467" s="38">
        <f t="shared" si="41"/>
        <v>0</v>
      </c>
      <c r="X467" s="38">
        <v>0</v>
      </c>
      <c r="Y467" s="37"/>
    </row>
    <row r="468" spans="1:25" s="31" customFormat="1" ht="15" customHeight="1" x14ac:dyDescent="0.3">
      <c r="A468" s="36"/>
      <c r="B468" s="37"/>
      <c r="C468" s="29"/>
      <c r="D468" s="37">
        <v>2018</v>
      </c>
      <c r="E468" s="38">
        <f>44541.32*1000000</f>
        <v>44541320000</v>
      </c>
      <c r="F468" s="38">
        <f>(44541.32+1379.52+34369.27+26448.25+19742.69)*1000000</f>
        <v>126481049999.99998</v>
      </c>
      <c r="G468" s="38">
        <f>2041539.07*1000000</f>
        <v>2041539070000</v>
      </c>
      <c r="H468" s="38">
        <f>83125.86*1000000</f>
        <v>83125860000</v>
      </c>
      <c r="I468" s="38">
        <f>220033.25*1000000</f>
        <v>220033250000</v>
      </c>
      <c r="J468" s="38">
        <f>-358494.18*1000000</f>
        <v>-358494180000</v>
      </c>
      <c r="K468" s="38">
        <f>1821505.82*1000000</f>
        <v>1821505820000</v>
      </c>
      <c r="L468" s="38">
        <f>195732.79*1000000</f>
        <v>195732790000</v>
      </c>
      <c r="M468" s="38">
        <f>-3495.16*1000000</f>
        <v>-3495160000</v>
      </c>
      <c r="N468" s="38">
        <f>-2518.05*1000000</f>
        <v>-2518050000</v>
      </c>
      <c r="O468" s="39">
        <v>0.99609999999999999</v>
      </c>
      <c r="P468" s="40" t="s">
        <v>223</v>
      </c>
      <c r="Q468" s="38">
        <v>2</v>
      </c>
      <c r="R468" s="38">
        <v>3</v>
      </c>
      <c r="S468" s="38">
        <v>3</v>
      </c>
      <c r="T468" s="38">
        <f t="shared" si="44"/>
        <v>6</v>
      </c>
      <c r="U468" s="42">
        <v>0</v>
      </c>
      <c r="V468" s="38">
        <v>0</v>
      </c>
      <c r="W468" s="38">
        <f t="shared" si="41"/>
        <v>0</v>
      </c>
      <c r="X468" s="38">
        <v>0</v>
      </c>
      <c r="Y468" s="37"/>
    </row>
    <row r="469" spans="1:25" s="31" customFormat="1" ht="15" customHeight="1" x14ac:dyDescent="0.3">
      <c r="A469" s="36"/>
      <c r="B469" s="37"/>
      <c r="C469" s="29"/>
      <c r="D469" s="37">
        <v>2019</v>
      </c>
      <c r="E469" s="38">
        <f>20488.66*1000000</f>
        <v>20488660000</v>
      </c>
      <c r="F469" s="38">
        <f>(20488.66+10681.81+30243.96+17494.11+19804.45)*1000000</f>
        <v>98712990000</v>
      </c>
      <c r="G469" s="38">
        <f>2042482.18*1000000</f>
        <v>2042482180000</v>
      </c>
      <c r="H469" s="38">
        <f>54008.56*1000000</f>
        <v>54008560000</v>
      </c>
      <c r="I469" s="38">
        <f>192669.43*1000000</f>
        <v>192669430000</v>
      </c>
      <c r="J469" s="38">
        <f>-330187.25*1000000</f>
        <v>-330187250000</v>
      </c>
      <c r="K469" s="38">
        <f>1849812.75*1000000</f>
        <v>1849812750000</v>
      </c>
      <c r="L469" s="38">
        <f>189454.05*1000000</f>
        <v>189454050000</v>
      </c>
      <c r="M469" s="38">
        <f>17062.8*1000000</f>
        <v>17062800000</v>
      </c>
      <c r="N469" s="38">
        <f>28306.93*1000000</f>
        <v>28306930000</v>
      </c>
      <c r="O469" s="39">
        <v>0.99609999999999999</v>
      </c>
      <c r="P469" s="40" t="s">
        <v>223</v>
      </c>
      <c r="Q469" s="38">
        <v>2</v>
      </c>
      <c r="R469" s="38">
        <v>3</v>
      </c>
      <c r="S469" s="38">
        <v>3</v>
      </c>
      <c r="T469" s="38">
        <f t="shared" si="44"/>
        <v>6</v>
      </c>
      <c r="U469" s="42">
        <v>0</v>
      </c>
      <c r="V469" s="38">
        <v>0</v>
      </c>
      <c r="W469" s="38">
        <f t="shared" si="41"/>
        <v>0</v>
      </c>
      <c r="X469" s="38">
        <v>3</v>
      </c>
      <c r="Y469" s="37"/>
    </row>
    <row r="470" spans="1:25" s="31" customFormat="1" ht="15" customHeight="1" x14ac:dyDescent="0.3">
      <c r="A470" s="36"/>
      <c r="B470" s="37"/>
      <c r="C470" s="29"/>
      <c r="D470" s="37">
        <v>2020</v>
      </c>
      <c r="E470" s="38">
        <f>48411.68*1000000</f>
        <v>48411680000</v>
      </c>
      <c r="F470" s="38">
        <f>(48411.68+2114.43+22453.7+18824.18+20453.35)*1000000</f>
        <v>112257340000</v>
      </c>
      <c r="G470" s="38">
        <f>2065906.6*1000000</f>
        <v>2065906600000</v>
      </c>
      <c r="H470" s="38">
        <f>71042.67*1000000</f>
        <v>71042670000</v>
      </c>
      <c r="I470" s="38">
        <f>204091.09*1000000</f>
        <v>204091090000</v>
      </c>
      <c r="J470" s="38">
        <f>-318184.48*1000000</f>
        <v>-318184480000</v>
      </c>
      <c r="K470" s="38">
        <f>1861815.52*1000000</f>
        <v>1861815520000</v>
      </c>
      <c r="L470" s="38">
        <f>201081.1*1000000</f>
        <v>201081100000</v>
      </c>
      <c r="M470" s="38">
        <f>17630.76*1000000</f>
        <v>17630760000</v>
      </c>
      <c r="N470" s="38">
        <f>33705.64*1000000</f>
        <v>33705640000</v>
      </c>
      <c r="O470" s="39">
        <v>0.99609999999999999</v>
      </c>
      <c r="P470" s="40" t="s">
        <v>223</v>
      </c>
      <c r="Q470" s="38">
        <v>2</v>
      </c>
      <c r="R470" s="38">
        <v>3</v>
      </c>
      <c r="S470" s="38">
        <v>4</v>
      </c>
      <c r="T470" s="38">
        <f t="shared" si="44"/>
        <v>7</v>
      </c>
      <c r="U470" s="42">
        <v>0</v>
      </c>
      <c r="V470" s="38">
        <v>0</v>
      </c>
      <c r="W470" s="38">
        <f t="shared" si="41"/>
        <v>0</v>
      </c>
      <c r="X470" s="38">
        <v>0</v>
      </c>
      <c r="Y470" s="37"/>
    </row>
    <row r="471" spans="1:25" s="31" customFormat="1" ht="15" customHeight="1" x14ac:dyDescent="0.3">
      <c r="A471" s="36"/>
      <c r="B471" s="37"/>
      <c r="C471" s="29"/>
      <c r="D471" s="37">
        <v>2021</v>
      </c>
      <c r="E471" s="38">
        <f>22243.78*1000000</f>
        <v>22243780000</v>
      </c>
      <c r="F471" s="38">
        <f>(22243.78+6948.65+5768.21+5806.05+19303.07)*1000000</f>
        <v>60069760000</v>
      </c>
      <c r="G471" s="38">
        <f>2038125.65*1000000</f>
        <v>2038125650000</v>
      </c>
      <c r="H471" s="38">
        <f>70457.74*1000000</f>
        <v>70457740000</v>
      </c>
      <c r="I471" s="38">
        <f>165986.63*1000000</f>
        <v>165986630000</v>
      </c>
      <c r="J471" s="38">
        <f>-307957.66*1000000</f>
        <v>-307957660000</v>
      </c>
      <c r="K471" s="38">
        <f>1872139.02*1000000</f>
        <v>1872139020000</v>
      </c>
      <c r="L471" s="38">
        <f>223764.13*1000000</f>
        <v>223764130000</v>
      </c>
      <c r="M471" s="38">
        <f>13849.13*1000000</f>
        <v>13849130000</v>
      </c>
      <c r="N471" s="38">
        <f>10323.5*1000000</f>
        <v>10323500000</v>
      </c>
      <c r="O471" s="39">
        <v>0.99609999999999999</v>
      </c>
      <c r="P471" s="40" t="s">
        <v>223</v>
      </c>
      <c r="Q471" s="38">
        <v>2</v>
      </c>
      <c r="R471" s="38">
        <v>3</v>
      </c>
      <c r="S471" s="38">
        <v>4</v>
      </c>
      <c r="T471" s="38">
        <f t="shared" si="44"/>
        <v>7</v>
      </c>
      <c r="U471" s="42">
        <v>0</v>
      </c>
      <c r="V471" s="38">
        <v>0</v>
      </c>
      <c r="W471" s="38">
        <f t="shared" si="41"/>
        <v>0</v>
      </c>
      <c r="X471" s="38">
        <v>4</v>
      </c>
      <c r="Y471" s="37"/>
    </row>
    <row r="472" spans="1:25" s="31" customFormat="1" ht="15" customHeight="1" x14ac:dyDescent="0.3">
      <c r="A472" s="36"/>
      <c r="B472" s="37"/>
      <c r="C472" s="29"/>
      <c r="D472" s="37">
        <v>2022</v>
      </c>
      <c r="E472" s="38">
        <f>279935.82*1000000</f>
        <v>279935820000</v>
      </c>
      <c r="F472" s="38">
        <f>(279935.82+9420.61+3568.47+6129.79+10016.08)*1000000</f>
        <v>309070769999.99994</v>
      </c>
      <c r="G472" s="38">
        <f>2063240.46*1000000</f>
        <v>2063240460000</v>
      </c>
      <c r="H472" s="38">
        <f>115107.77*1000000</f>
        <v>115107770000</v>
      </c>
      <c r="I472" s="38">
        <f>256639.78*1000000</f>
        <v>256639780000</v>
      </c>
      <c r="J472" s="38">
        <f>-373496.01*1000000</f>
        <v>-373496010000</v>
      </c>
      <c r="K472" s="38">
        <f>1806600.68*1000000</f>
        <v>1806600680000</v>
      </c>
      <c r="L472" s="38">
        <f>215858.58*1000000</f>
        <v>215858580000</v>
      </c>
      <c r="M472" s="38">
        <f>-52501.97*1000000</f>
        <v>-52501970000</v>
      </c>
      <c r="N472" s="38">
        <f>-65538.34*1000000</f>
        <v>-65538340000</v>
      </c>
      <c r="O472" s="39">
        <v>0.99609999999999999</v>
      </c>
      <c r="P472" s="40" t="s">
        <v>223</v>
      </c>
      <c r="Q472" s="38">
        <v>2</v>
      </c>
      <c r="R472" s="38">
        <v>3</v>
      </c>
      <c r="S472" s="38">
        <v>4</v>
      </c>
      <c r="T472" s="38">
        <f t="shared" si="44"/>
        <v>7</v>
      </c>
      <c r="U472" s="42">
        <v>0</v>
      </c>
      <c r="V472" s="38">
        <f>3+(2*3)</f>
        <v>9</v>
      </c>
      <c r="W472" s="38">
        <f t="shared" si="41"/>
        <v>9</v>
      </c>
      <c r="X472" s="38">
        <v>4</v>
      </c>
      <c r="Y472" s="37"/>
    </row>
    <row r="473" spans="1:25" s="31" customFormat="1" ht="15" customHeight="1" x14ac:dyDescent="0.3">
      <c r="A473" s="36"/>
      <c r="B473" s="37"/>
      <c r="C473" s="29"/>
      <c r="D473" s="37">
        <v>2023</v>
      </c>
      <c r="E473" s="38">
        <f>30002.71*1000000</f>
        <v>30002710000</v>
      </c>
      <c r="F473" s="38">
        <f>(30002.71+20574.41+7413.57+7081.25+7637.08)*1000000</f>
        <v>72709019999.999985</v>
      </c>
      <c r="G473" s="38">
        <f>2119874.98*1000000</f>
        <v>2119874980000</v>
      </c>
      <c r="H473" s="38">
        <f>119965.82*1000000</f>
        <v>119965820000</v>
      </c>
      <c r="I473" s="38">
        <f>350116.8*1000000</f>
        <v>350116800000</v>
      </c>
      <c r="J473" s="38">
        <f>-410338.5*1000000</f>
        <v>-410338500000</v>
      </c>
      <c r="K473" s="38">
        <f>1769758.18*1000000</f>
        <v>1769758180000</v>
      </c>
      <c r="L473" s="38">
        <f>255604.58*1000000</f>
        <v>255604580000</v>
      </c>
      <c r="M473" s="38">
        <f>-42056.33*1000000</f>
        <v>-42056330000</v>
      </c>
      <c r="N473" s="38">
        <f>-36842.49*1000000</f>
        <v>-36842490000</v>
      </c>
      <c r="O473" s="39">
        <v>0.99609999999999999</v>
      </c>
      <c r="P473" s="40" t="s">
        <v>223</v>
      </c>
      <c r="Q473" s="38">
        <v>2</v>
      </c>
      <c r="R473" s="38">
        <v>3</v>
      </c>
      <c r="S473" s="38">
        <v>4</v>
      </c>
      <c r="T473" s="38">
        <f t="shared" si="44"/>
        <v>7</v>
      </c>
      <c r="U473" s="42">
        <v>0</v>
      </c>
      <c r="V473" s="38">
        <f>3+(2*3)</f>
        <v>9</v>
      </c>
      <c r="W473" s="38">
        <f t="shared" si="41"/>
        <v>9</v>
      </c>
      <c r="X473" s="38">
        <f>4+2</f>
        <v>6</v>
      </c>
      <c r="Y473" s="37"/>
    </row>
    <row r="474" spans="1:25" s="31" customFormat="1" ht="15" customHeight="1" x14ac:dyDescent="0.3">
      <c r="A474" s="36"/>
      <c r="B474" s="37"/>
      <c r="C474" s="29"/>
      <c r="D474" s="37">
        <v>2024</v>
      </c>
      <c r="E474" s="38">
        <f>27479.94*1000000</f>
        <v>27479940000</v>
      </c>
      <c r="F474" s="38">
        <f>(27479.94+14195.8+15897.99+15578.29+7781.18)*1000000</f>
        <v>80933199999.999985</v>
      </c>
      <c r="G474" s="38">
        <f>2111825.97*1000000</f>
        <v>2111825970000.0002</v>
      </c>
      <c r="H474" s="38">
        <f>116231.64*1000000</f>
        <v>116231640000</v>
      </c>
      <c r="I474" s="38">
        <f>423259.37*1000000</f>
        <v>423259370000</v>
      </c>
      <c r="J474" s="38">
        <f>-491530.08*1000000</f>
        <v>-491530080000</v>
      </c>
      <c r="K474" s="38">
        <f>1688566.6*1000000</f>
        <v>1688566600000</v>
      </c>
      <c r="L474" s="38">
        <f>281164.97*1000000</f>
        <v>281164970000</v>
      </c>
      <c r="M474" s="38">
        <f>-82225.5*1000000</f>
        <v>-82225500000</v>
      </c>
      <c r="N474" s="38">
        <f>-81191.58*1000000</f>
        <v>-81191580000</v>
      </c>
      <c r="O474" s="39">
        <v>0.99609999999999999</v>
      </c>
      <c r="P474" s="40" t="s">
        <v>223</v>
      </c>
      <c r="Q474" s="38">
        <v>2</v>
      </c>
      <c r="R474" s="38">
        <v>3</v>
      </c>
      <c r="S474" s="38">
        <v>4</v>
      </c>
      <c r="T474" s="38">
        <f t="shared" si="44"/>
        <v>7</v>
      </c>
      <c r="U474" s="42">
        <v>0</v>
      </c>
      <c r="V474" s="38">
        <f>3+(2*3)</f>
        <v>9</v>
      </c>
      <c r="W474" s="38">
        <f t="shared" si="41"/>
        <v>9</v>
      </c>
      <c r="X474" s="38">
        <f>4+2</f>
        <v>6</v>
      </c>
      <c r="Y474" s="37"/>
    </row>
    <row r="475" spans="1:25" s="31" customFormat="1" ht="15" customHeight="1" x14ac:dyDescent="0.3">
      <c r="A475" s="36"/>
      <c r="B475" s="37">
        <v>44</v>
      </c>
      <c r="C475" s="29" t="s">
        <v>35</v>
      </c>
      <c r="D475" s="37">
        <v>2014</v>
      </c>
      <c r="E475" s="38">
        <v>0</v>
      </c>
      <c r="F475" s="38">
        <v>0</v>
      </c>
      <c r="G475" s="38">
        <v>0</v>
      </c>
      <c r="H475" s="38">
        <v>0</v>
      </c>
      <c r="I475" s="38">
        <v>0</v>
      </c>
      <c r="J475" s="38">
        <v>0</v>
      </c>
      <c r="K475" s="38">
        <v>0</v>
      </c>
      <c r="L475" s="38">
        <f>189494*1000000</f>
        <v>189494000000</v>
      </c>
      <c r="M475" s="38">
        <v>0</v>
      </c>
      <c r="N475" s="38">
        <v>0</v>
      </c>
      <c r="O475" s="48">
        <v>0</v>
      </c>
      <c r="P475" s="40">
        <v>0</v>
      </c>
      <c r="Q475" s="38">
        <v>0</v>
      </c>
      <c r="R475" s="38">
        <v>0</v>
      </c>
      <c r="S475" s="38">
        <v>0</v>
      </c>
      <c r="T475" s="38">
        <v>0</v>
      </c>
      <c r="U475" s="38">
        <v>0</v>
      </c>
      <c r="V475" s="38">
        <v>0</v>
      </c>
      <c r="W475" s="38">
        <v>0</v>
      </c>
      <c r="X475" s="38">
        <v>0</v>
      </c>
      <c r="Y475" s="37"/>
    </row>
    <row r="476" spans="1:25" s="31" customFormat="1" ht="15" customHeight="1" x14ac:dyDescent="0.3">
      <c r="A476" s="36"/>
      <c r="B476" s="37"/>
      <c r="C476" s="29"/>
      <c r="D476" s="37">
        <v>2015</v>
      </c>
      <c r="E476" s="38">
        <f>7425*1000000</f>
        <v>7425000000</v>
      </c>
      <c r="F476" s="38">
        <f xml:space="preserve">  (7425+6886+17597+800+1593+73639)*1000000</f>
        <v>107940000000</v>
      </c>
      <c r="G476" s="38">
        <f>610334*1000000</f>
        <v>610334000000</v>
      </c>
      <c r="H476" s="38">
        <f>14468*1000000</f>
        <v>14468000000</v>
      </c>
      <c r="I476" s="38">
        <f>519260*1000000</f>
        <v>519260000000</v>
      </c>
      <c r="J476" s="38">
        <f>-18343*1000000</f>
        <v>-18343000000</v>
      </c>
      <c r="K476" s="38">
        <f>91073*1000000</f>
        <v>91073000000</v>
      </c>
      <c r="L476" s="38">
        <f>221123*1000000</f>
        <v>221123000000</v>
      </c>
      <c r="M476" s="38">
        <f>-21807*1000000</f>
        <v>-21807000000</v>
      </c>
      <c r="N476" s="38">
        <f>-21715*1000000</f>
        <v>-21715000000</v>
      </c>
      <c r="O476" s="39">
        <v>0.56499999999999995</v>
      </c>
      <c r="P476" s="40" t="s">
        <v>240</v>
      </c>
      <c r="Q476" s="38">
        <v>2</v>
      </c>
      <c r="R476" s="38">
        <v>6</v>
      </c>
      <c r="S476" s="38">
        <v>3</v>
      </c>
      <c r="T476" s="38">
        <v>9</v>
      </c>
      <c r="U476" s="42">
        <v>0</v>
      </c>
      <c r="V476" s="38">
        <v>0</v>
      </c>
      <c r="W476" s="38">
        <v>0</v>
      </c>
      <c r="X476" s="38">
        <v>0</v>
      </c>
      <c r="Y476" s="37"/>
    </row>
    <row r="477" spans="1:25" s="31" customFormat="1" ht="15" customHeight="1" x14ac:dyDescent="0.3">
      <c r="A477" s="36"/>
      <c r="B477" s="37"/>
      <c r="C477" s="29"/>
      <c r="D477" s="37">
        <v>2016</v>
      </c>
      <c r="E477" s="38">
        <f>21590*1000000</f>
        <v>21590000000</v>
      </c>
      <c r="F477" s="38">
        <f>(21590+928+68248+578+6951+68637)*1000000</f>
        <v>166932000000</v>
      </c>
      <c r="G477" s="38">
        <f>802706*1000000</f>
        <v>802706000000</v>
      </c>
      <c r="H477" s="38">
        <f>63872*1000000</f>
        <v>63872000000</v>
      </c>
      <c r="I477" s="38">
        <f>637591*1000000</f>
        <v>637591000000</v>
      </c>
      <c r="J477" s="38">
        <f>27333*1000000</f>
        <v>27333000000</v>
      </c>
      <c r="K477" s="38">
        <f>144115*1000000</f>
        <v>144115000000</v>
      </c>
      <c r="L477" s="38">
        <f>297306*1000000</f>
        <v>297306000000</v>
      </c>
      <c r="M477" s="38">
        <f>25255*1000000</f>
        <v>25255000000</v>
      </c>
      <c r="N477" s="38">
        <f>22042*1000000</f>
        <v>22042000000</v>
      </c>
      <c r="O477" s="39">
        <v>0.54</v>
      </c>
      <c r="P477" s="40" t="s">
        <v>240</v>
      </c>
      <c r="Q477" s="38">
        <v>3</v>
      </c>
      <c r="R477" s="38">
        <v>7</v>
      </c>
      <c r="S477" s="38">
        <v>3</v>
      </c>
      <c r="T477" s="38">
        <v>10</v>
      </c>
      <c r="U477" s="42">
        <v>0</v>
      </c>
      <c r="V477" s="38">
        <v>0</v>
      </c>
      <c r="W477" s="38">
        <v>0</v>
      </c>
      <c r="X477" s="38">
        <v>0</v>
      </c>
      <c r="Y477" s="37"/>
    </row>
    <row r="478" spans="1:25" s="31" customFormat="1" ht="15" customHeight="1" x14ac:dyDescent="0.3">
      <c r="A478" s="36"/>
      <c r="B478" s="37"/>
      <c r="C478" s="29"/>
      <c r="D478" s="37">
        <v>2017</v>
      </c>
      <c r="E478" s="38">
        <f>21597*1000000</f>
        <v>21597000000</v>
      </c>
      <c r="F478" s="38">
        <f>(21597+94183+36552+872)*1000000</f>
        <v>153204000000</v>
      </c>
      <c r="G478" s="38">
        <f>978417*1000000</f>
        <v>978417000000</v>
      </c>
      <c r="H478" s="38">
        <f>51201*1000000</f>
        <v>51201000000</v>
      </c>
      <c r="I478" s="38">
        <f>775084*1000000</f>
        <v>775084000000</v>
      </c>
      <c r="J478" s="38">
        <f>53307*1000000</f>
        <v>53307000000</v>
      </c>
      <c r="K478" s="38">
        <f>182333*1000000</f>
        <v>182333000000</v>
      </c>
      <c r="L478" s="38">
        <f>436135*1000000</f>
        <v>436135000000</v>
      </c>
      <c r="M478" s="38">
        <f>30206*1000000</f>
        <v>30206000000</v>
      </c>
      <c r="N478" s="38">
        <f>25404*1000000</f>
        <v>25404000000</v>
      </c>
      <c r="O478" s="39">
        <v>0.54</v>
      </c>
      <c r="P478" s="40" t="s">
        <v>240</v>
      </c>
      <c r="Q478" s="38">
        <v>3</v>
      </c>
      <c r="R478" s="38">
        <v>5</v>
      </c>
      <c r="S478" s="38">
        <v>3</v>
      </c>
      <c r="T478" s="38">
        <v>8</v>
      </c>
      <c r="U478" s="42">
        <v>0</v>
      </c>
      <c r="V478" s="38">
        <v>0</v>
      </c>
      <c r="W478" s="38">
        <v>0</v>
      </c>
      <c r="X478" s="38">
        <v>0</v>
      </c>
      <c r="Y478" s="37"/>
    </row>
    <row r="479" spans="1:25" s="31" customFormat="1" ht="15" customHeight="1" x14ac:dyDescent="0.3">
      <c r="A479" s="36"/>
      <c r="B479" s="37"/>
      <c r="C479" s="29"/>
      <c r="D479" s="37">
        <v>2018</v>
      </c>
      <c r="E479" s="38">
        <f>67265*1000000</f>
        <v>67265000000</v>
      </c>
      <c r="F479" s="38">
        <f>(67265+27+118575+35441+2375)*1000000</f>
        <v>223683000000</v>
      </c>
      <c r="G479" s="38">
        <f>1390323*1000000</f>
        <v>1390323000000</v>
      </c>
      <c r="H479" s="38">
        <f>94527*1000000</f>
        <v>94527000000</v>
      </c>
      <c r="I479" s="38">
        <f>1117137*1000000</f>
        <v>1117137000000</v>
      </c>
      <c r="J479" s="38">
        <f>95565*1000000</f>
        <v>95565000000</v>
      </c>
      <c r="K479" s="38">
        <f>272186*1000000</f>
        <v>272186000000</v>
      </c>
      <c r="L479" s="38">
        <f>635586*1000000</f>
        <v>635586000000</v>
      </c>
      <c r="M479" s="38">
        <f>46416*1000000</f>
        <v>46416000000</v>
      </c>
      <c r="N479" s="38">
        <f>42601*1000000</f>
        <v>42601000000</v>
      </c>
      <c r="O479" s="39">
        <v>0.65039999999999998</v>
      </c>
      <c r="P479" s="40" t="s">
        <v>240</v>
      </c>
      <c r="Q479" s="38">
        <v>2</v>
      </c>
      <c r="R479" s="38">
        <v>4</v>
      </c>
      <c r="S479" s="38">
        <v>5</v>
      </c>
      <c r="T479" s="38">
        <v>9</v>
      </c>
      <c r="U479" s="42">
        <v>0</v>
      </c>
      <c r="V479" s="38">
        <v>0</v>
      </c>
      <c r="W479" s="38">
        <v>0</v>
      </c>
      <c r="X479" s="38">
        <v>0</v>
      </c>
      <c r="Y479" s="37"/>
    </row>
    <row r="480" spans="1:25" s="31" customFormat="1" ht="15" customHeight="1" x14ac:dyDescent="0.3">
      <c r="A480" s="36"/>
      <c r="B480" s="37"/>
      <c r="C480" s="29"/>
      <c r="D480" s="37">
        <v>2019</v>
      </c>
      <c r="E480" s="38">
        <f>70692*1000000</f>
        <v>70692000000</v>
      </c>
      <c r="F480" s="38">
        <f>(70692+7810+96037+149012+12464)*1000000</f>
        <v>336015000000</v>
      </c>
      <c r="G480" s="38">
        <f>1106579*1000000</f>
        <v>1106579000000</v>
      </c>
      <c r="H480" s="38">
        <f>124966*1000000</f>
        <v>124966000000</v>
      </c>
      <c r="I480" s="38">
        <f>915192*1000000</f>
        <v>915192000000</v>
      </c>
      <c r="J480" s="38">
        <f>29660*1000000</f>
        <v>29660000000</v>
      </c>
      <c r="K480" s="38">
        <f>191387*1000000</f>
        <v>191387000000</v>
      </c>
      <c r="L480" s="38">
        <f>37696*1000000</f>
        <v>37696000000</v>
      </c>
      <c r="M480" s="38">
        <f>7657*1000000</f>
        <v>7657000000</v>
      </c>
      <c r="N480" s="38">
        <f>7880*1000000</f>
        <v>7880000000</v>
      </c>
      <c r="O480" s="39">
        <v>0.65310000000000001</v>
      </c>
      <c r="P480" s="40" t="s">
        <v>240</v>
      </c>
      <c r="Q480" s="38">
        <v>2</v>
      </c>
      <c r="R480" s="38">
        <v>3</v>
      </c>
      <c r="S480" s="38">
        <v>3</v>
      </c>
      <c r="T480" s="38">
        <v>6</v>
      </c>
      <c r="U480" s="42">
        <v>0</v>
      </c>
      <c r="V480" s="38">
        <v>0</v>
      </c>
      <c r="W480" s="38">
        <v>0</v>
      </c>
      <c r="X480" s="38">
        <v>0</v>
      </c>
      <c r="Y480" s="37"/>
    </row>
    <row r="481" spans="1:25" s="31" customFormat="1" ht="15" customHeight="1" x14ac:dyDescent="0.3">
      <c r="A481" s="36"/>
      <c r="B481" s="37"/>
      <c r="C481" s="29"/>
      <c r="D481" s="37">
        <v>2020</v>
      </c>
      <c r="E481" s="38">
        <f>117091*1000000</f>
        <v>117091000000</v>
      </c>
      <c r="F481" s="38">
        <f>(117091+6736+99300+131164+12950)*1000000</f>
        <v>367241000000</v>
      </c>
      <c r="G481" s="38">
        <f>1002361*1000000</f>
        <v>1002361000000</v>
      </c>
      <c r="H481" s="38">
        <f>159233*1000000</f>
        <v>159233000000</v>
      </c>
      <c r="I481" s="38">
        <f>803885*1000000</f>
        <v>803885000000</v>
      </c>
      <c r="J481" s="38">
        <f>37425*1000000</f>
        <v>37425000000</v>
      </c>
      <c r="K481" s="38">
        <f>198476*1000000</f>
        <v>198476000000</v>
      </c>
      <c r="L481" s="38">
        <f>822804*1000000</f>
        <v>822804000000</v>
      </c>
      <c r="M481" s="38">
        <f>8324*1000000</f>
        <v>8324000000</v>
      </c>
      <c r="N481" s="38">
        <f>11351*1000000</f>
        <v>11351000000</v>
      </c>
      <c r="O481" s="39">
        <v>0.65310000000000001</v>
      </c>
      <c r="P481" s="40" t="s">
        <v>240</v>
      </c>
      <c r="Q481" s="38">
        <v>2</v>
      </c>
      <c r="R481" s="38">
        <v>3</v>
      </c>
      <c r="S481" s="38">
        <v>3</v>
      </c>
      <c r="T481" s="38">
        <v>6</v>
      </c>
      <c r="U481" s="42">
        <v>0</v>
      </c>
      <c r="V481" s="38">
        <v>0</v>
      </c>
      <c r="W481" s="38">
        <v>0</v>
      </c>
      <c r="X481" s="38">
        <v>0</v>
      </c>
      <c r="Y481" s="37"/>
    </row>
    <row r="482" spans="1:25" s="31" customFormat="1" ht="15" customHeight="1" x14ac:dyDescent="0.3">
      <c r="A482" s="36"/>
      <c r="B482" s="37"/>
      <c r="C482" s="29"/>
      <c r="D482" s="37">
        <v>2021</v>
      </c>
      <c r="E482" s="38">
        <f>102610*1000000</f>
        <v>102610000000</v>
      </c>
      <c r="F482" s="38">
        <f>(102610+2242+108250+120199+4000+14950)*1000000</f>
        <v>352251000000</v>
      </c>
      <c r="G482" s="38">
        <f>936527*1000000</f>
        <v>936527000000</v>
      </c>
      <c r="H482" s="38">
        <f>180791*1000000</f>
        <v>180791000000</v>
      </c>
      <c r="I482" s="38">
        <f>734623*1000000</f>
        <v>734623000000</v>
      </c>
      <c r="J482" s="38">
        <f>39886*1000000</f>
        <v>39886000000</v>
      </c>
      <c r="K482" s="38">
        <f>201904*1000000</f>
        <v>201904000000</v>
      </c>
      <c r="L482" s="38">
        <f>1445099*1000000</f>
        <v>1445099000000</v>
      </c>
      <c r="M482" s="38">
        <f>8734*1000000</f>
        <v>8734000000</v>
      </c>
      <c r="N482" s="38">
        <f>10292*1000000</f>
        <v>10292000000</v>
      </c>
      <c r="O482" s="39">
        <v>0.65310000000000001</v>
      </c>
      <c r="P482" s="40" t="s">
        <v>240</v>
      </c>
      <c r="Q482" s="38">
        <v>2</v>
      </c>
      <c r="R482" s="38">
        <v>3</v>
      </c>
      <c r="S482" s="38">
        <v>3</v>
      </c>
      <c r="T482" s="38">
        <v>6</v>
      </c>
      <c r="U482" s="42">
        <v>0</v>
      </c>
      <c r="V482" s="38">
        <v>0</v>
      </c>
      <c r="W482" s="38">
        <v>0</v>
      </c>
      <c r="X482" s="38">
        <v>0</v>
      </c>
      <c r="Y482" s="37"/>
    </row>
    <row r="483" spans="1:25" s="31" customFormat="1" ht="15" customHeight="1" x14ac:dyDescent="0.3">
      <c r="A483" s="36"/>
      <c r="B483" s="37"/>
      <c r="C483" s="29"/>
      <c r="D483" s="37">
        <v>2022</v>
      </c>
      <c r="E483" s="38">
        <f>59277*1000000</f>
        <v>59277000000</v>
      </c>
      <c r="F483" s="38">
        <f>(59277+32901+46233+120694+7969)*1000000</f>
        <v>267074000000</v>
      </c>
      <c r="G483" s="38">
        <f>(735547*1000000)</f>
        <v>735547000000</v>
      </c>
      <c r="H483" s="38">
        <f>128460*1000000</f>
        <v>128460000000</v>
      </c>
      <c r="I483" s="38">
        <f>508530*1000000</f>
        <v>508530000000</v>
      </c>
      <c r="J483" s="38">
        <f>41093*1000000</f>
        <v>41093000000</v>
      </c>
      <c r="K483" s="38">
        <f>227017*1000000</f>
        <v>227017000000</v>
      </c>
      <c r="L483" s="38">
        <f>1019434*1000000</f>
        <v>1019434000000</v>
      </c>
      <c r="M483" s="38">
        <f>12893*1000000</f>
        <v>12893000000</v>
      </c>
      <c r="N483" s="38">
        <f>12467*1000000</f>
        <v>12467000000</v>
      </c>
      <c r="O483" s="39">
        <v>0.65310000000000001</v>
      </c>
      <c r="P483" s="40" t="s">
        <v>240</v>
      </c>
      <c r="Q483" s="38">
        <v>2</v>
      </c>
      <c r="R483" s="38">
        <v>3</v>
      </c>
      <c r="S483" s="38">
        <v>3</v>
      </c>
      <c r="T483" s="38">
        <v>6</v>
      </c>
      <c r="U483" s="42">
        <v>0</v>
      </c>
      <c r="V483" s="38">
        <v>0</v>
      </c>
      <c r="W483" s="38">
        <v>0</v>
      </c>
      <c r="X483" s="38">
        <v>0</v>
      </c>
      <c r="Y483" s="37"/>
    </row>
    <row r="484" spans="1:25" s="31" customFormat="1" ht="15" customHeight="1" x14ac:dyDescent="0.3">
      <c r="A484" s="36"/>
      <c r="B484" s="37"/>
      <c r="C484" s="29"/>
      <c r="D484" s="37">
        <v>2023</v>
      </c>
      <c r="E484" s="38">
        <f>32258*1000000</f>
        <v>32258000000</v>
      </c>
      <c r="F484" s="38">
        <f>(35258+10719+80120+75275+12915)*1000000</f>
        <v>214287000000</v>
      </c>
      <c r="G484" s="38">
        <f>962805*1000000</f>
        <v>962805000000</v>
      </c>
      <c r="H484" s="38">
        <f>97800*1000000</f>
        <v>97800000000</v>
      </c>
      <c r="I484" s="38">
        <f>730399*1000000</f>
        <v>730399000000</v>
      </c>
      <c r="J484" s="38">
        <f>47838*1000000</f>
        <v>47838000000</v>
      </c>
      <c r="K484" s="38">
        <f>232406*1000000</f>
        <v>232406000000</v>
      </c>
      <c r="L484" s="38">
        <f>1243549*1000000</f>
        <v>1243549000000</v>
      </c>
      <c r="M484" s="38">
        <f>13315*1000000</f>
        <v>13315000000</v>
      </c>
      <c r="N484" s="38">
        <f>12692*1000000</f>
        <v>12692000000</v>
      </c>
      <c r="O484" s="39">
        <v>0.74850000000000005</v>
      </c>
      <c r="P484" s="40" t="s">
        <v>240</v>
      </c>
      <c r="Q484" s="38">
        <v>2</v>
      </c>
      <c r="R484" s="38">
        <v>3</v>
      </c>
      <c r="S484" s="38">
        <v>3</v>
      </c>
      <c r="T484" s="38">
        <v>6</v>
      </c>
      <c r="U484" s="42">
        <v>0</v>
      </c>
      <c r="V484" s="38">
        <v>0</v>
      </c>
      <c r="W484" s="38">
        <v>0</v>
      </c>
      <c r="X484" s="38">
        <v>0</v>
      </c>
      <c r="Y484" s="37"/>
    </row>
    <row r="485" spans="1:25" s="31" customFormat="1" ht="15" customHeight="1" x14ac:dyDescent="0.3">
      <c r="A485" s="36"/>
      <c r="B485" s="37"/>
      <c r="C485" s="29"/>
      <c r="D485" s="37">
        <v>2024</v>
      </c>
      <c r="E485" s="38">
        <f>10964*1000000</f>
        <v>10964000000</v>
      </c>
      <c r="F485" s="38">
        <f>(10964+5741+96420+48655+296+6337)*1000000</f>
        <v>168413000000</v>
      </c>
      <c r="G485" s="38">
        <f>1009145*1000000</f>
        <v>1009145000000</v>
      </c>
      <c r="H485" s="38">
        <f>74432*1000000</f>
        <v>74432000000</v>
      </c>
      <c r="I485" s="38">
        <f>769355*1000000</f>
        <v>769355000000</v>
      </c>
      <c r="J485" s="38">
        <f>58550*1000000</f>
        <v>58550000000</v>
      </c>
      <c r="K485" s="38">
        <f>239790*1000000</f>
        <v>239790000000</v>
      </c>
      <c r="L485" s="38">
        <f>1245566*1000000</f>
        <v>1245566000000</v>
      </c>
      <c r="M485" s="38">
        <f>14671*1000000</f>
        <v>14671000000</v>
      </c>
      <c r="N485" s="38">
        <f>17059*1000000</f>
        <v>17059000000</v>
      </c>
      <c r="O485" s="39">
        <v>0.74850000000000005</v>
      </c>
      <c r="P485" s="40" t="s">
        <v>240</v>
      </c>
      <c r="Q485" s="38">
        <v>2</v>
      </c>
      <c r="R485" s="38">
        <v>3</v>
      </c>
      <c r="S485" s="38">
        <v>3</v>
      </c>
      <c r="T485" s="38">
        <v>6</v>
      </c>
      <c r="U485" s="42">
        <v>0</v>
      </c>
      <c r="V485" s="38">
        <v>0</v>
      </c>
      <c r="W485" s="38">
        <v>0</v>
      </c>
      <c r="X485" s="38">
        <v>0</v>
      </c>
      <c r="Y485" s="37"/>
    </row>
    <row r="486" spans="1:25" s="31" customFormat="1" ht="15" customHeight="1" x14ac:dyDescent="0.3">
      <c r="A486" s="36"/>
      <c r="B486" s="37">
        <v>45</v>
      </c>
      <c r="C486" s="29" t="s">
        <v>36</v>
      </c>
      <c r="D486" s="37">
        <v>2014</v>
      </c>
      <c r="E486" s="38">
        <v>0</v>
      </c>
      <c r="F486" s="38">
        <v>0</v>
      </c>
      <c r="G486" s="38">
        <v>0</v>
      </c>
      <c r="H486" s="38">
        <v>0</v>
      </c>
      <c r="I486" s="38">
        <v>0</v>
      </c>
      <c r="J486" s="38">
        <v>0</v>
      </c>
      <c r="K486" s="38">
        <v>0</v>
      </c>
      <c r="L486" s="38">
        <v>0</v>
      </c>
      <c r="M486" s="38">
        <v>0</v>
      </c>
      <c r="N486" s="38">
        <v>0</v>
      </c>
      <c r="O486" s="41">
        <v>0</v>
      </c>
      <c r="P486" s="38">
        <v>0</v>
      </c>
      <c r="Q486" s="38">
        <v>0</v>
      </c>
      <c r="R486" s="38">
        <v>0</v>
      </c>
      <c r="S486" s="38"/>
      <c r="T486" s="38">
        <v>0</v>
      </c>
      <c r="U486" s="38">
        <v>0</v>
      </c>
      <c r="V486" s="38">
        <v>0</v>
      </c>
      <c r="W486" s="38">
        <v>0</v>
      </c>
      <c r="X486" s="38">
        <v>0</v>
      </c>
      <c r="Y486" s="37"/>
    </row>
    <row r="487" spans="1:25" s="31" customFormat="1" ht="15" customHeight="1" x14ac:dyDescent="0.3">
      <c r="A487" s="36"/>
      <c r="B487" s="37"/>
      <c r="C487" s="29"/>
      <c r="D487" s="37">
        <v>2015</v>
      </c>
      <c r="E487" s="38">
        <v>0</v>
      </c>
      <c r="F487" s="38">
        <v>0</v>
      </c>
      <c r="G487" s="38">
        <v>0</v>
      </c>
      <c r="H487" s="38">
        <v>0</v>
      </c>
      <c r="I487" s="38">
        <v>0</v>
      </c>
      <c r="J487" s="38">
        <v>0</v>
      </c>
      <c r="K487" s="38">
        <v>0</v>
      </c>
      <c r="L487" s="38">
        <v>0</v>
      </c>
      <c r="M487" s="38">
        <v>0</v>
      </c>
      <c r="N487" s="38">
        <v>0</v>
      </c>
      <c r="O487" s="41">
        <v>0</v>
      </c>
      <c r="P487" s="38">
        <v>0</v>
      </c>
      <c r="Q487" s="38">
        <v>0</v>
      </c>
      <c r="R487" s="38">
        <v>0</v>
      </c>
      <c r="S487" s="38"/>
      <c r="T487" s="38">
        <v>0</v>
      </c>
      <c r="U487" s="38">
        <v>0</v>
      </c>
      <c r="V487" s="38">
        <v>0</v>
      </c>
      <c r="W487" s="38">
        <v>0</v>
      </c>
      <c r="X487" s="38">
        <v>0</v>
      </c>
      <c r="Y487" s="37"/>
    </row>
    <row r="488" spans="1:25" s="31" customFormat="1" ht="15" customHeight="1" x14ac:dyDescent="0.3">
      <c r="A488" s="36"/>
      <c r="B488" s="37"/>
      <c r="C488" s="29"/>
      <c r="D488" s="37">
        <v>2016</v>
      </c>
      <c r="E488" s="38">
        <v>0</v>
      </c>
      <c r="F488" s="38">
        <v>0</v>
      </c>
      <c r="G488" s="38">
        <v>0</v>
      </c>
      <c r="H488" s="38">
        <v>0</v>
      </c>
      <c r="I488" s="38">
        <v>0</v>
      </c>
      <c r="J488" s="38">
        <v>0</v>
      </c>
      <c r="K488" s="38">
        <v>0</v>
      </c>
      <c r="L488" s="38">
        <v>0</v>
      </c>
      <c r="M488" s="38">
        <v>0</v>
      </c>
      <c r="N488" s="38">
        <v>0</v>
      </c>
      <c r="O488" s="41">
        <v>0</v>
      </c>
      <c r="P488" s="38">
        <v>0</v>
      </c>
      <c r="Q488" s="38">
        <v>0</v>
      </c>
      <c r="R488" s="38">
        <v>0</v>
      </c>
      <c r="S488" s="38"/>
      <c r="T488" s="38">
        <v>0</v>
      </c>
      <c r="U488" s="38">
        <v>0</v>
      </c>
      <c r="V488" s="38">
        <v>0</v>
      </c>
      <c r="W488" s="38">
        <v>0</v>
      </c>
      <c r="X488" s="38">
        <v>0</v>
      </c>
      <c r="Y488" s="37"/>
    </row>
    <row r="489" spans="1:25" s="31" customFormat="1" ht="15" customHeight="1" x14ac:dyDescent="0.3">
      <c r="A489" s="36"/>
      <c r="B489" s="37"/>
      <c r="C489" s="29"/>
      <c r="D489" s="37">
        <v>2017</v>
      </c>
      <c r="E489" s="38">
        <v>0</v>
      </c>
      <c r="F489" s="38">
        <v>0</v>
      </c>
      <c r="G489" s="38">
        <v>0</v>
      </c>
      <c r="H489" s="38">
        <v>0</v>
      </c>
      <c r="I489" s="38">
        <v>0</v>
      </c>
      <c r="J489" s="38">
        <v>0</v>
      </c>
      <c r="K489" s="38">
        <v>0</v>
      </c>
      <c r="L489" s="38">
        <v>0</v>
      </c>
      <c r="M489" s="38">
        <v>0</v>
      </c>
      <c r="N489" s="38">
        <v>0</v>
      </c>
      <c r="O489" s="41">
        <v>0</v>
      </c>
      <c r="P489" s="38">
        <v>0</v>
      </c>
      <c r="Q489" s="38">
        <v>0</v>
      </c>
      <c r="R489" s="38">
        <v>0</v>
      </c>
      <c r="S489" s="38"/>
      <c r="T489" s="38">
        <v>0</v>
      </c>
      <c r="U489" s="38">
        <v>0</v>
      </c>
      <c r="V489" s="38">
        <v>0</v>
      </c>
      <c r="W489" s="38">
        <v>0</v>
      </c>
      <c r="X489" s="38">
        <v>0</v>
      </c>
      <c r="Y489" s="37"/>
    </row>
    <row r="490" spans="1:25" s="31" customFormat="1" ht="15" customHeight="1" x14ac:dyDescent="0.3">
      <c r="A490" s="36"/>
      <c r="B490" s="37"/>
      <c r="C490" s="29"/>
      <c r="D490" s="37">
        <v>2018</v>
      </c>
      <c r="E490" s="38">
        <f>84835*1000000</f>
        <v>84835000000</v>
      </c>
      <c r="F490" s="38">
        <f>(84835+647+1482482)*1000000</f>
        <v>1567964000000</v>
      </c>
      <c r="G490" s="38">
        <f>28475766*1000000</f>
        <v>28475766000000</v>
      </c>
      <c r="H490" s="38">
        <f>36574*1000000</f>
        <v>36574000000</v>
      </c>
      <c r="I490" s="38">
        <f>22442944*1000000</f>
        <v>22442944000000</v>
      </c>
      <c r="J490" s="38">
        <f>927051*1000000</f>
        <v>927051000000</v>
      </c>
      <c r="K490" s="38">
        <f>6032822*1000000</f>
        <v>6032822000000</v>
      </c>
      <c r="L490" s="38">
        <f>12832078*1000000</f>
        <v>12832078000000</v>
      </c>
      <c r="M490" s="38">
        <f>114937*1000000</f>
        <v>114937000000</v>
      </c>
      <c r="N490" s="38">
        <f>-1719655*1000000</f>
        <v>-1719655000000</v>
      </c>
      <c r="O490" s="41">
        <v>0</v>
      </c>
      <c r="P490" s="38">
        <v>0</v>
      </c>
      <c r="Q490" s="38">
        <v>0</v>
      </c>
      <c r="R490" s="38">
        <v>0</v>
      </c>
      <c r="S490" s="38"/>
      <c r="T490" s="38">
        <v>0</v>
      </c>
      <c r="U490" s="38">
        <v>0</v>
      </c>
      <c r="V490" s="38">
        <v>0</v>
      </c>
      <c r="W490" s="38">
        <v>0</v>
      </c>
      <c r="X490" s="38">
        <v>0</v>
      </c>
      <c r="Y490" s="37"/>
    </row>
    <row r="491" spans="1:25" s="31" customFormat="1" ht="15" customHeight="1" x14ac:dyDescent="0.3">
      <c r="A491" s="36"/>
      <c r="B491" s="37"/>
      <c r="C491" s="29"/>
      <c r="D491" s="37">
        <v>2019</v>
      </c>
      <c r="E491" s="38">
        <f>80079*1000000</f>
        <v>80079000000</v>
      </c>
      <c r="F491" s="38">
        <f>(80079+1035+1057910)*1000000</f>
        <v>1139024000000</v>
      </c>
      <c r="G491" s="38">
        <f>32755714*1000000</f>
        <v>32755714000000</v>
      </c>
      <c r="H491" s="38">
        <f>47815*1000000</f>
        <v>47815000000</v>
      </c>
      <c r="I491" s="38">
        <f>25585556*1000000</f>
        <v>25585556000000</v>
      </c>
      <c r="J491" s="38">
        <f>1081170*1000000</f>
        <v>1081170000000</v>
      </c>
      <c r="K491" s="38">
        <f>7170158*1000000</f>
        <v>7170158000000</v>
      </c>
      <c r="L491" s="38">
        <f>13290306*1000000</f>
        <v>13290306000000</v>
      </c>
      <c r="M491" s="38">
        <f>154120*1000000</f>
        <v>154120000000</v>
      </c>
      <c r="N491" s="38">
        <f>1137336*1000000</f>
        <v>1137336000000</v>
      </c>
      <c r="O491" s="39">
        <v>0.49730000000000002</v>
      </c>
      <c r="P491" s="40" t="s">
        <v>224</v>
      </c>
      <c r="Q491" s="38">
        <v>2</v>
      </c>
      <c r="R491" s="38">
        <v>4</v>
      </c>
      <c r="S491" s="38">
        <v>3</v>
      </c>
      <c r="T491" s="38">
        <v>7</v>
      </c>
      <c r="U491" s="42">
        <v>0</v>
      </c>
      <c r="V491" s="38">
        <v>0</v>
      </c>
      <c r="W491" s="38">
        <v>0</v>
      </c>
      <c r="X491" s="38">
        <v>0</v>
      </c>
      <c r="Y491" s="37"/>
    </row>
    <row r="492" spans="1:25" s="31" customFormat="1" ht="15" customHeight="1" x14ac:dyDescent="0.3">
      <c r="A492" s="36"/>
      <c r="B492" s="37"/>
      <c r="C492" s="29"/>
      <c r="D492" s="37">
        <v>2020</v>
      </c>
      <c r="E492" s="38">
        <f>173713*1000000</f>
        <v>173713000000</v>
      </c>
      <c r="F492" s="38">
        <f>(173713+308+32013)*1000000</f>
        <v>206034000000</v>
      </c>
      <c r="G492" s="38">
        <f>28980403*1000000</f>
        <v>28980403000000</v>
      </c>
      <c r="H492" s="38">
        <f>75194*1000000</f>
        <v>75194000000</v>
      </c>
      <c r="I492" s="38">
        <f>23860505*1000000</f>
        <v>23860505000000</v>
      </c>
      <c r="J492" s="38">
        <f>2111223*1000000</f>
        <v>2111223000000</v>
      </c>
      <c r="K492" s="38">
        <f>28980403*1000000</f>
        <v>28980403000000</v>
      </c>
      <c r="L492" s="38">
        <f>12792471*1000000</f>
        <v>12792471000000</v>
      </c>
      <c r="M492" s="38">
        <f>1030053*1000000</f>
        <v>1030053000000</v>
      </c>
      <c r="N492" s="38">
        <f>-2050261*1000000</f>
        <v>-2050261000000</v>
      </c>
      <c r="O492" s="39">
        <v>0.49730000000000002</v>
      </c>
      <c r="P492" s="40" t="s">
        <v>224</v>
      </c>
      <c r="Q492" s="38">
        <v>2</v>
      </c>
      <c r="R492" s="38">
        <v>3</v>
      </c>
      <c r="S492" s="38">
        <v>3</v>
      </c>
      <c r="T492" s="38">
        <v>6</v>
      </c>
      <c r="U492" s="42">
        <v>0</v>
      </c>
      <c r="V492" s="38">
        <v>0</v>
      </c>
      <c r="W492" s="38">
        <v>0</v>
      </c>
      <c r="X492" s="38">
        <v>0</v>
      </c>
      <c r="Y492" s="37"/>
    </row>
    <row r="493" spans="1:25" s="31" customFormat="1" ht="15" customHeight="1" x14ac:dyDescent="0.3">
      <c r="A493" s="36"/>
      <c r="B493" s="37"/>
      <c r="C493" s="29"/>
      <c r="D493" s="37">
        <v>2021</v>
      </c>
      <c r="E493" s="38">
        <f>86815*1000000</f>
        <v>86815000000</v>
      </c>
      <c r="F493" s="38">
        <f>(86815+203+29194)*1000000</f>
        <v>116212000000</v>
      </c>
      <c r="G493" s="38">
        <f>48671323*1000000</f>
        <v>48671323000000</v>
      </c>
      <c r="H493" s="38">
        <f>64058*1000000</f>
        <v>64058000000</v>
      </c>
      <c r="I493" s="38">
        <f>29590943*1000000</f>
        <v>29590943000000</v>
      </c>
      <c r="J493" s="38">
        <f>2330513*1000000</f>
        <v>2330513000000</v>
      </c>
      <c r="K493" s="38">
        <f>19080381*1000000</f>
        <v>19080381000000</v>
      </c>
      <c r="L493" s="38">
        <f>15929160*1000000</f>
        <v>15929160000000</v>
      </c>
      <c r="M493" s="38">
        <f>219290*1000000</f>
        <v>219290000000</v>
      </c>
      <c r="N493" s="38">
        <f>13960484*1000000</f>
        <v>13960484000000</v>
      </c>
      <c r="O493" s="39">
        <v>0.49730000000000002</v>
      </c>
      <c r="P493" s="40" t="s">
        <v>224</v>
      </c>
      <c r="Q493" s="38">
        <v>2</v>
      </c>
      <c r="R493" s="38">
        <v>3</v>
      </c>
      <c r="S493" s="38">
        <v>3</v>
      </c>
      <c r="T493" s="38">
        <v>6</v>
      </c>
      <c r="U493" s="42">
        <v>0</v>
      </c>
      <c r="V493" s="38">
        <v>0</v>
      </c>
      <c r="W493" s="38">
        <v>0</v>
      </c>
      <c r="X493" s="38">
        <v>0</v>
      </c>
      <c r="Y493" s="37"/>
    </row>
    <row r="494" spans="1:25" s="31" customFormat="1" ht="15" customHeight="1" x14ac:dyDescent="0.3">
      <c r="A494" s="36"/>
      <c r="B494" s="37"/>
      <c r="C494" s="29"/>
      <c r="D494" s="37">
        <v>2022</v>
      </c>
      <c r="E494" s="38">
        <f>162970*1000000</f>
        <v>162970000000</v>
      </c>
      <c r="F494" s="38">
        <f>(162970+63+451+32201)*1000000</f>
        <v>195685000000</v>
      </c>
      <c r="G494" s="38">
        <f>52585440*1000000</f>
        <v>52585440000000</v>
      </c>
      <c r="H494" s="38">
        <f>58234*1000000</f>
        <v>58234000000</v>
      </c>
      <c r="I494" s="38">
        <f>33995704*1000000</f>
        <v>33995704000000</v>
      </c>
      <c r="J494" s="38">
        <f>2593586*1000000</f>
        <v>2593586000000</v>
      </c>
      <c r="K494" s="38">
        <f>18586736*1000000</f>
        <v>18586736000000</v>
      </c>
      <c r="L494" s="38">
        <f>15542230*1000000</f>
        <v>15542230000000</v>
      </c>
      <c r="M494" s="38">
        <f>263073*1000000</f>
        <v>263073000000</v>
      </c>
      <c r="N494" s="38">
        <f>-490645*1000000</f>
        <v>-490645000000</v>
      </c>
      <c r="O494" s="39">
        <v>0.49730000000000002</v>
      </c>
      <c r="P494" s="40" t="s">
        <v>224</v>
      </c>
      <c r="Q494" s="38">
        <v>2</v>
      </c>
      <c r="R494" s="38">
        <v>3</v>
      </c>
      <c r="S494" s="38">
        <v>3</v>
      </c>
      <c r="T494" s="38">
        <v>6</v>
      </c>
      <c r="U494" s="42">
        <v>0</v>
      </c>
      <c r="V494" s="38">
        <v>0</v>
      </c>
      <c r="W494" s="38">
        <v>0</v>
      </c>
      <c r="X494" s="38">
        <v>0</v>
      </c>
      <c r="Y494" s="37"/>
    </row>
    <row r="495" spans="1:25" s="31" customFormat="1" ht="15" customHeight="1" x14ac:dyDescent="0.3">
      <c r="A495" s="36"/>
      <c r="B495" s="37"/>
      <c r="C495" s="29"/>
      <c r="D495" s="37">
        <v>2023</v>
      </c>
      <c r="E495" s="38">
        <f>140270*1000000</f>
        <v>140270000000</v>
      </c>
      <c r="F495" s="38">
        <f>(140270+1142+38461)*1000000</f>
        <v>179873000000</v>
      </c>
      <c r="G495" s="38">
        <f>55829030*1000000</f>
        <v>55829030000000</v>
      </c>
      <c r="H495" s="38">
        <f>24102*1000000</f>
        <v>24102000000</v>
      </c>
      <c r="I495" s="38">
        <f>37754189*1000000</f>
        <v>37754189000000</v>
      </c>
      <c r="J495" s="38">
        <f>2925129*1000000</f>
        <v>2925129000000</v>
      </c>
      <c r="K495" s="38">
        <f>18074841*1000000</f>
        <v>18074841000000</v>
      </c>
      <c r="L495" s="38">
        <f>15246341*1000000</f>
        <v>15246341000000</v>
      </c>
      <c r="M495" s="38">
        <f>331543*1000000</f>
        <v>331543000000</v>
      </c>
      <c r="N495" s="38">
        <f>-514894*1000000</f>
        <v>-514894000000</v>
      </c>
      <c r="O495" s="39">
        <v>0.49730000000000002</v>
      </c>
      <c r="P495" s="40" t="s">
        <v>224</v>
      </c>
      <c r="Q495" s="38">
        <v>2</v>
      </c>
      <c r="R495" s="38">
        <v>3</v>
      </c>
      <c r="S495" s="38">
        <v>3</v>
      </c>
      <c r="T495" s="38">
        <v>6</v>
      </c>
      <c r="U495" s="42">
        <v>0</v>
      </c>
      <c r="V495" s="38">
        <v>0</v>
      </c>
      <c r="W495" s="38">
        <v>0</v>
      </c>
      <c r="X495" s="38">
        <v>0</v>
      </c>
      <c r="Y495" s="37"/>
    </row>
    <row r="496" spans="1:25" s="31" customFormat="1" ht="15" customHeight="1" x14ac:dyDescent="0.3">
      <c r="A496" s="36"/>
      <c r="B496" s="37"/>
      <c r="C496" s="29"/>
      <c r="D496" s="37">
        <v>2024</v>
      </c>
      <c r="E496" s="38">
        <f>146932*1000000</f>
        <v>146932000000</v>
      </c>
      <c r="F496" s="38">
        <f>(146932+9+2148+47938)*1000000</f>
        <v>197027000000</v>
      </c>
      <c r="G496" s="38">
        <f>60598376*1000000</f>
        <v>60598376000000</v>
      </c>
      <c r="H496" s="38">
        <f>20557*1000000</f>
        <v>20557000000</v>
      </c>
      <c r="I496" s="38">
        <f>41497355*1000000</f>
        <v>41497355000000</v>
      </c>
      <c r="J496" s="38">
        <f>3203889*1000000</f>
        <v>3203889000000</v>
      </c>
      <c r="K496" s="38">
        <f>19101021*1000000</f>
        <v>19101021000000</v>
      </c>
      <c r="L496" s="38">
        <f>16433638*1000000</f>
        <v>16433638000000</v>
      </c>
      <c r="M496" s="38">
        <f>278761*1000000</f>
        <v>278761000000</v>
      </c>
      <c r="N496" s="38">
        <f>1026180*1000000</f>
        <v>1026180000000</v>
      </c>
      <c r="O496" s="39">
        <v>0.49730000000000002</v>
      </c>
      <c r="P496" s="40" t="s">
        <v>224</v>
      </c>
      <c r="Q496" s="38">
        <v>2</v>
      </c>
      <c r="R496" s="38">
        <v>3</v>
      </c>
      <c r="S496" s="38">
        <v>3</v>
      </c>
      <c r="T496" s="38">
        <v>6</v>
      </c>
      <c r="U496" s="42">
        <v>0</v>
      </c>
      <c r="V496" s="38">
        <v>0</v>
      </c>
      <c r="W496" s="38">
        <v>0</v>
      </c>
      <c r="X496" s="38">
        <v>0</v>
      </c>
      <c r="Y496" s="37"/>
    </row>
    <row r="497" spans="1:25" s="31" customFormat="1" ht="15" customHeight="1" x14ac:dyDescent="0.3">
      <c r="A497" s="36"/>
      <c r="B497" s="37">
        <v>46</v>
      </c>
      <c r="C497" s="29" t="s">
        <v>16</v>
      </c>
      <c r="D497" s="37">
        <v>2014</v>
      </c>
      <c r="E497" s="38">
        <v>0</v>
      </c>
      <c r="F497" s="38">
        <v>0</v>
      </c>
      <c r="G497" s="38">
        <v>0</v>
      </c>
      <c r="H497" s="38">
        <v>0</v>
      </c>
      <c r="I497" s="38">
        <v>0</v>
      </c>
      <c r="J497" s="38">
        <v>0</v>
      </c>
      <c r="K497" s="38">
        <v>0</v>
      </c>
      <c r="L497" s="38">
        <v>0</v>
      </c>
      <c r="M497" s="38">
        <v>0</v>
      </c>
      <c r="N497" s="38">
        <v>0</v>
      </c>
      <c r="O497" s="41">
        <v>0</v>
      </c>
      <c r="P497" s="38">
        <v>0</v>
      </c>
      <c r="Q497" s="38">
        <v>0</v>
      </c>
      <c r="R497" s="38">
        <v>0</v>
      </c>
      <c r="S497" s="38">
        <v>0</v>
      </c>
      <c r="T497" s="38">
        <v>0</v>
      </c>
      <c r="U497" s="38">
        <v>0</v>
      </c>
      <c r="V497" s="38">
        <v>0</v>
      </c>
      <c r="W497" s="38">
        <v>0</v>
      </c>
      <c r="X497" s="38">
        <v>0</v>
      </c>
      <c r="Y497" s="37"/>
    </row>
    <row r="498" spans="1:25" s="31" customFormat="1" ht="15" customHeight="1" x14ac:dyDescent="0.3">
      <c r="A498" s="36"/>
      <c r="B498" s="37"/>
      <c r="C498" s="29"/>
      <c r="D498" s="37">
        <v>2015</v>
      </c>
      <c r="E498" s="38">
        <v>0</v>
      </c>
      <c r="F498" s="38">
        <v>0</v>
      </c>
      <c r="G498" s="38">
        <v>0</v>
      </c>
      <c r="H498" s="38">
        <v>0</v>
      </c>
      <c r="I498" s="38">
        <v>0</v>
      </c>
      <c r="J498" s="38">
        <v>0</v>
      </c>
      <c r="K498" s="38">
        <v>0</v>
      </c>
      <c r="L498" s="38">
        <v>0</v>
      </c>
      <c r="M498" s="38">
        <v>0</v>
      </c>
      <c r="N498" s="38">
        <v>0</v>
      </c>
      <c r="O498" s="41">
        <v>0</v>
      </c>
      <c r="P498" s="38">
        <v>0</v>
      </c>
      <c r="Q498" s="38">
        <v>0</v>
      </c>
      <c r="R498" s="38">
        <v>0</v>
      </c>
      <c r="S498" s="38">
        <v>0</v>
      </c>
      <c r="T498" s="38">
        <v>0</v>
      </c>
      <c r="U498" s="38">
        <v>0</v>
      </c>
      <c r="V498" s="38">
        <v>0</v>
      </c>
      <c r="W498" s="38">
        <v>0</v>
      </c>
      <c r="X498" s="38">
        <v>0</v>
      </c>
      <c r="Y498" s="37"/>
    </row>
    <row r="499" spans="1:25" s="31" customFormat="1" ht="15" customHeight="1" x14ac:dyDescent="0.3">
      <c r="A499" s="36"/>
      <c r="B499" s="37"/>
      <c r="C499" s="29"/>
      <c r="D499" s="37">
        <v>2016</v>
      </c>
      <c r="E499" s="38">
        <f>2479*1000000</f>
        <v>2479000000</v>
      </c>
      <c r="F499" s="38">
        <f>(2479+1433+670+242)*1000000</f>
        <v>4824000000</v>
      </c>
      <c r="G499" s="38">
        <f>114403*1000000</f>
        <v>114403000000</v>
      </c>
      <c r="H499" s="38">
        <f>11864*1000000</f>
        <v>11864000000</v>
      </c>
      <c r="I499" s="38">
        <f>20220*1000000</f>
        <v>20220000000</v>
      </c>
      <c r="J499" s="38">
        <f>-19818*1000000</f>
        <v>-19818000000</v>
      </c>
      <c r="K499" s="38">
        <f>94182*1000000</f>
        <v>94182000000</v>
      </c>
      <c r="L499" s="38">
        <f>16350*1000000</f>
        <v>16350000000</v>
      </c>
      <c r="M499" s="38">
        <f>-9810*1000000</f>
        <v>-9810000000</v>
      </c>
      <c r="N499" s="38">
        <f>-9442*1000000</f>
        <v>-9442000000</v>
      </c>
      <c r="O499" s="41">
        <v>0</v>
      </c>
      <c r="P499" s="38">
        <v>0</v>
      </c>
      <c r="Q499" s="38">
        <v>0</v>
      </c>
      <c r="R499" s="38">
        <v>0</v>
      </c>
      <c r="S499" s="38">
        <v>0</v>
      </c>
      <c r="T499" s="38">
        <v>0</v>
      </c>
      <c r="U499" s="38">
        <v>0</v>
      </c>
      <c r="V499" s="38">
        <v>0</v>
      </c>
      <c r="W499" s="38">
        <v>0</v>
      </c>
      <c r="X499" s="38">
        <v>0</v>
      </c>
      <c r="Y499" s="37"/>
    </row>
    <row r="500" spans="1:25" s="31" customFormat="1" ht="15" customHeight="1" x14ac:dyDescent="0.3">
      <c r="A500" s="36"/>
      <c r="B500" s="37"/>
      <c r="C500" s="29"/>
      <c r="D500" s="37">
        <v>2017</v>
      </c>
      <c r="E500" s="38">
        <f>4305*1000000</f>
        <v>4305000000</v>
      </c>
      <c r="F500" s="38">
        <f>(4305+5909+281+1188+726)*1000000</f>
        <v>12409000000</v>
      </c>
      <c r="G500" s="38">
        <f>137120*1000000</f>
        <v>137120000000</v>
      </c>
      <c r="H500" s="38">
        <f>6577*1000000</f>
        <v>6577000000</v>
      </c>
      <c r="I500" s="38">
        <f>29540*1000000</f>
        <v>29540000000</v>
      </c>
      <c r="J500" s="38">
        <f>-23893*1000000</f>
        <v>-23893000000</v>
      </c>
      <c r="K500" s="38">
        <f>107580*1000000</f>
        <v>107580000000</v>
      </c>
      <c r="L500" s="38">
        <f>17596*1000000</f>
        <v>17596000000</v>
      </c>
      <c r="M500" s="38">
        <f>-3603*1000000</f>
        <v>-3603000000</v>
      </c>
      <c r="N500" s="38">
        <f>-26602*1000000</f>
        <v>-26602000000</v>
      </c>
      <c r="O500" s="39">
        <v>0.99990000000000001</v>
      </c>
      <c r="P500" s="40" t="s">
        <v>225</v>
      </c>
      <c r="Q500" s="38">
        <v>2</v>
      </c>
      <c r="R500" s="38">
        <v>4</v>
      </c>
      <c r="S500" s="38">
        <v>4</v>
      </c>
      <c r="T500" s="38">
        <f>SUM(R500:S500)</f>
        <v>8</v>
      </c>
      <c r="U500" s="42">
        <v>0</v>
      </c>
      <c r="V500" s="38">
        <v>0</v>
      </c>
      <c r="W500" s="38">
        <v>0</v>
      </c>
      <c r="X500" s="38">
        <v>0</v>
      </c>
      <c r="Y500" s="37"/>
    </row>
    <row r="501" spans="1:25" s="31" customFormat="1" ht="15" customHeight="1" x14ac:dyDescent="0.3">
      <c r="A501" s="36"/>
      <c r="B501" s="37"/>
      <c r="C501" s="29"/>
      <c r="D501" s="37">
        <v>2018</v>
      </c>
      <c r="E501" s="38">
        <f>2591*1000000</f>
        <v>2591000000</v>
      </c>
      <c r="F501" s="38">
        <f>(2591+15172+76+1293+314)*1000000</f>
        <v>19446000000</v>
      </c>
      <c r="G501" s="38">
        <f>162534*1000000</f>
        <v>162534000000</v>
      </c>
      <c r="H501" s="38">
        <f>8121*1000000</f>
        <v>8121000000</v>
      </c>
      <c r="I501" s="38">
        <f>62507*1000000</f>
        <v>62507000000</v>
      </c>
      <c r="J501" s="38">
        <f>-26912*1000000</f>
        <v>-26912000000</v>
      </c>
      <c r="K501" s="38">
        <f>100027*1000000</f>
        <v>100027000000</v>
      </c>
      <c r="L501" s="38">
        <f>60120*1000000</f>
        <v>60120000000</v>
      </c>
      <c r="M501" s="38">
        <f>2255*-1000000</f>
        <v>-2255000000</v>
      </c>
      <c r="N501" s="38">
        <f>-22553*1000000</f>
        <v>-22553000000</v>
      </c>
      <c r="O501" s="39">
        <v>1</v>
      </c>
      <c r="P501" s="40" t="s">
        <v>225</v>
      </c>
      <c r="Q501" s="38">
        <v>3</v>
      </c>
      <c r="R501" s="38">
        <v>4</v>
      </c>
      <c r="S501" s="38">
        <v>3</v>
      </c>
      <c r="T501" s="38">
        <f t="shared" ref="T501:T507" si="45">SUM(R501:S501)</f>
        <v>7</v>
      </c>
      <c r="U501" s="42">
        <v>0</v>
      </c>
      <c r="V501" s="38">
        <v>0</v>
      </c>
      <c r="W501" s="38">
        <v>0</v>
      </c>
      <c r="X501" s="38">
        <v>0</v>
      </c>
      <c r="Y501" s="37"/>
    </row>
    <row r="502" spans="1:25" s="31" customFormat="1" ht="15" customHeight="1" x14ac:dyDescent="0.3">
      <c r="A502" s="36"/>
      <c r="B502" s="37"/>
      <c r="C502" s="29"/>
      <c r="D502" s="37">
        <v>2019</v>
      </c>
      <c r="E502" s="38">
        <f>5282*1000000</f>
        <v>5282000000</v>
      </c>
      <c r="F502" s="38">
        <f>(5282+11069+293+2736+518)*1000000</f>
        <v>19898000000</v>
      </c>
      <c r="G502" s="38">
        <f>170462*1000000</f>
        <v>170462000000</v>
      </c>
      <c r="H502" s="38">
        <f>12494*1000000</f>
        <v>12494000000</v>
      </c>
      <c r="I502" s="38">
        <f>67971*1000000</f>
        <v>67971000000</v>
      </c>
      <c r="J502" s="38">
        <f>-34649*1000000</f>
        <v>-34649000000</v>
      </c>
      <c r="K502" s="38">
        <f>102491*1000000</f>
        <v>102491000000</v>
      </c>
      <c r="L502" s="38">
        <f>32771*1000000</f>
        <v>32771000000</v>
      </c>
      <c r="M502" s="38">
        <f>-9452*1000000</f>
        <v>-9452000000</v>
      </c>
      <c r="N502" s="38">
        <f>-8932*1000000</f>
        <v>-8932000000</v>
      </c>
      <c r="O502" s="39">
        <v>1</v>
      </c>
      <c r="P502" s="40" t="s">
        <v>225</v>
      </c>
      <c r="Q502" s="38">
        <v>2</v>
      </c>
      <c r="R502" s="38">
        <v>4</v>
      </c>
      <c r="S502" s="38">
        <v>3</v>
      </c>
      <c r="T502" s="38">
        <f t="shared" si="45"/>
        <v>7</v>
      </c>
      <c r="U502" s="42">
        <v>0</v>
      </c>
      <c r="V502" s="38">
        <v>0</v>
      </c>
      <c r="W502" s="38">
        <v>0</v>
      </c>
      <c r="X502" s="38">
        <v>0</v>
      </c>
      <c r="Y502" s="37"/>
    </row>
    <row r="503" spans="1:25" s="31" customFormat="1" ht="15" customHeight="1" x14ac:dyDescent="0.3">
      <c r="A503" s="36"/>
      <c r="B503" s="37"/>
      <c r="C503" s="29"/>
      <c r="D503" s="37">
        <v>2020</v>
      </c>
      <c r="E503" s="38">
        <f>3680*1000000</f>
        <v>3680000000</v>
      </c>
      <c r="F503" s="38">
        <f>(3680+14283+2353+5735+464)*1000000</f>
        <v>26515000000</v>
      </c>
      <c r="G503" s="38">
        <f>184950*1000000</f>
        <v>184950000000</v>
      </c>
      <c r="H503" s="38">
        <f>15643*1000000</f>
        <v>15643000000</v>
      </c>
      <c r="I503" s="38">
        <f>80527*1000000</f>
        <v>80527000000</v>
      </c>
      <c r="J503" s="38">
        <f>-59726*1000000</f>
        <v>-59726000000</v>
      </c>
      <c r="K503" s="38">
        <f>104423*1000000</f>
        <v>104423000000</v>
      </c>
      <c r="L503" s="38">
        <f>22461*1000000</f>
        <v>22461000000</v>
      </c>
      <c r="M503" s="38">
        <f>-25584*1000000</f>
        <v>-25584000000</v>
      </c>
      <c r="N503" s="38">
        <f>-18068*1000000</f>
        <v>-18068000000</v>
      </c>
      <c r="O503" s="39">
        <v>1</v>
      </c>
      <c r="P503" s="40" t="s">
        <v>225</v>
      </c>
      <c r="Q503" s="38">
        <v>2</v>
      </c>
      <c r="R503" s="38">
        <v>3</v>
      </c>
      <c r="S503" s="38">
        <v>2</v>
      </c>
      <c r="T503" s="38">
        <f t="shared" si="45"/>
        <v>5</v>
      </c>
      <c r="U503" s="42">
        <v>0</v>
      </c>
      <c r="V503" s="38">
        <v>0</v>
      </c>
      <c r="W503" s="38">
        <v>0</v>
      </c>
      <c r="X503" s="38">
        <v>0</v>
      </c>
      <c r="Y503" s="37"/>
    </row>
    <row r="504" spans="1:25" s="31" customFormat="1" ht="15" customHeight="1" x14ac:dyDescent="0.3">
      <c r="A504" s="36"/>
      <c r="B504" s="37"/>
      <c r="C504" s="29"/>
      <c r="D504" s="37">
        <v>2021</v>
      </c>
      <c r="E504" s="38">
        <f>2420*1000000</f>
        <v>2420000000</v>
      </c>
      <c r="F504" s="38">
        <f>(2420+12852+7391+21517+418)*1000000</f>
        <v>44598000000</v>
      </c>
      <c r="G504" s="38">
        <f>235603*1000000</f>
        <v>235603000000</v>
      </c>
      <c r="H504" s="38">
        <f>31877*1000000</f>
        <v>31877000000</v>
      </c>
      <c r="I504" s="38">
        <f>128595*1000000</f>
        <v>128595000000</v>
      </c>
      <c r="J504" s="38">
        <f>-106878*1000000</f>
        <v>-106878000000</v>
      </c>
      <c r="K504" s="38">
        <f>107008*1000000</f>
        <v>107008000000</v>
      </c>
      <c r="L504" s="38">
        <f>61460*1000000</f>
        <v>61460000000</v>
      </c>
      <c r="M504" s="38">
        <f>-48047*1000000</f>
        <v>-48047000000</v>
      </c>
      <c r="N504" s="38">
        <f>-25102*1000000</f>
        <v>-25102000000</v>
      </c>
      <c r="O504" s="39">
        <v>0.99990000000000001</v>
      </c>
      <c r="P504" s="40" t="s">
        <v>225</v>
      </c>
      <c r="Q504" s="38">
        <v>2</v>
      </c>
      <c r="R504" s="38">
        <v>3</v>
      </c>
      <c r="S504" s="38">
        <v>3</v>
      </c>
      <c r="T504" s="38">
        <f t="shared" si="45"/>
        <v>6</v>
      </c>
      <c r="U504" s="42">
        <v>0</v>
      </c>
      <c r="V504" s="38">
        <v>0</v>
      </c>
      <c r="W504" s="38">
        <v>0</v>
      </c>
      <c r="X504" s="38">
        <v>0</v>
      </c>
      <c r="Y504" s="37"/>
    </row>
    <row r="505" spans="1:25" s="31" customFormat="1" ht="15" customHeight="1" x14ac:dyDescent="0.3">
      <c r="A505" s="36"/>
      <c r="B505" s="37"/>
      <c r="C505" s="29"/>
      <c r="D505" s="37">
        <v>2022</v>
      </c>
      <c r="E505" s="38">
        <f>2704*1000000</f>
        <v>2704000000</v>
      </c>
      <c r="F505" s="38">
        <f>(2704+10244+9782+3339+251)*1000000</f>
        <v>26320000000</v>
      </c>
      <c r="G505" s="38">
        <f>238711*1000000</f>
        <v>238711000000</v>
      </c>
      <c r="H505" s="38">
        <f>21296*1000000</f>
        <v>21296000000</v>
      </c>
      <c r="I505" s="38">
        <f>131396*1000000</f>
        <v>131396000000</v>
      </c>
      <c r="J505" s="38">
        <f>-115844*1000000</f>
        <v>-115844000000</v>
      </c>
      <c r="K505" s="38">
        <f>107315*1000000</f>
        <v>107315000000</v>
      </c>
      <c r="L505" s="38">
        <f>62965*1000000</f>
        <v>62965000000</v>
      </c>
      <c r="M505" s="38">
        <f>-6200*1000000</f>
        <v>-6200000000</v>
      </c>
      <c r="N505" s="38">
        <f>-7021*1000000</f>
        <v>-7021000000</v>
      </c>
      <c r="O505" s="39">
        <v>1</v>
      </c>
      <c r="P505" s="40" t="s">
        <v>225</v>
      </c>
      <c r="Q505" s="38">
        <v>2</v>
      </c>
      <c r="R505" s="38">
        <v>3</v>
      </c>
      <c r="S505" s="38">
        <v>3</v>
      </c>
      <c r="T505" s="38">
        <f t="shared" si="45"/>
        <v>6</v>
      </c>
      <c r="U505" s="42">
        <v>0</v>
      </c>
      <c r="V505" s="38">
        <v>0</v>
      </c>
      <c r="W505" s="38">
        <v>0</v>
      </c>
      <c r="X505" s="38">
        <v>0</v>
      </c>
      <c r="Y505" s="37"/>
    </row>
    <row r="506" spans="1:25" s="31" customFormat="1" ht="15" customHeight="1" x14ac:dyDescent="0.3">
      <c r="A506" s="36"/>
      <c r="B506" s="37"/>
      <c r="C506" s="29"/>
      <c r="D506" s="37">
        <v>2023</v>
      </c>
      <c r="E506" s="38">
        <f>10705*1000000</f>
        <v>10705000000</v>
      </c>
      <c r="F506" s="38">
        <f>(10705+9615+13774+3763+387)*1000000</f>
        <v>38244000000</v>
      </c>
      <c r="G506" s="38">
        <f>287420*1000000</f>
        <v>287420000000</v>
      </c>
      <c r="H506" s="38">
        <f>22209*1000000</f>
        <v>22209000000</v>
      </c>
      <c r="I506" s="38">
        <f>165984*1000000</f>
        <v>165984000000</v>
      </c>
      <c r="J506" s="38">
        <f>-136026*1000000</f>
        <v>-136026000000</v>
      </c>
      <c r="K506" s="38">
        <f>121437*1000000</f>
        <v>121437000000</v>
      </c>
      <c r="L506" s="38">
        <f>92968*1000000</f>
        <v>92968000000</v>
      </c>
      <c r="M506" s="38">
        <f>-17507*1000000</f>
        <v>-17507000000</v>
      </c>
      <c r="N506" s="38">
        <f>-17306*1000000</f>
        <v>-17306000000</v>
      </c>
      <c r="O506" s="39">
        <v>0.99990000000000001</v>
      </c>
      <c r="P506" s="40" t="s">
        <v>225</v>
      </c>
      <c r="Q506" s="38">
        <v>2</v>
      </c>
      <c r="R506" s="38">
        <v>3</v>
      </c>
      <c r="S506" s="38">
        <v>3</v>
      </c>
      <c r="T506" s="38">
        <f t="shared" si="45"/>
        <v>6</v>
      </c>
      <c r="U506" s="42">
        <v>0</v>
      </c>
      <c r="V506" s="38">
        <v>0</v>
      </c>
      <c r="W506" s="38">
        <v>0</v>
      </c>
      <c r="X506" s="38">
        <v>0</v>
      </c>
      <c r="Y506" s="37"/>
    </row>
    <row r="507" spans="1:25" s="31" customFormat="1" ht="15" customHeight="1" x14ac:dyDescent="0.3">
      <c r="A507" s="36"/>
      <c r="B507" s="37"/>
      <c r="C507" s="29"/>
      <c r="D507" s="37">
        <v>2024</v>
      </c>
      <c r="E507" s="38">
        <f>5701*1000000</f>
        <v>5701000000</v>
      </c>
      <c r="F507" s="38">
        <f>(5701+5229+11463+5566+345)*1000000</f>
        <v>28304000000</v>
      </c>
      <c r="G507" s="38">
        <f>306445*1000000</f>
        <v>306445000000</v>
      </c>
      <c r="H507" s="38">
        <f>21991*1000000</f>
        <v>21991000000</v>
      </c>
      <c r="I507" s="38">
        <f>178221*1000000</f>
        <v>178221000000</v>
      </c>
      <c r="J507" s="38">
        <f>-145772*1000000</f>
        <v>-145772000000</v>
      </c>
      <c r="K507" s="38">
        <f>128224*1000000</f>
        <v>128224000000</v>
      </c>
      <c r="L507" s="38">
        <f>124384*1000000</f>
        <v>124384000000</v>
      </c>
      <c r="M507" s="38">
        <f>-11274*1000000</f>
        <v>-11274000000</v>
      </c>
      <c r="N507" s="38">
        <f>-9212*1000000</f>
        <v>-9212000000</v>
      </c>
      <c r="O507" s="39">
        <v>0.99990000000000001</v>
      </c>
      <c r="P507" s="40" t="s">
        <v>225</v>
      </c>
      <c r="Q507" s="38">
        <v>2</v>
      </c>
      <c r="R507" s="38">
        <v>3</v>
      </c>
      <c r="S507" s="38">
        <v>2</v>
      </c>
      <c r="T507" s="38">
        <f t="shared" si="45"/>
        <v>5</v>
      </c>
      <c r="U507" s="42">
        <v>0</v>
      </c>
      <c r="V507" s="38">
        <v>0</v>
      </c>
      <c r="W507" s="38">
        <v>0</v>
      </c>
      <c r="X507" s="38">
        <v>0</v>
      </c>
      <c r="Y507" s="37"/>
    </row>
    <row r="508" spans="1:25" s="31" customFormat="1" ht="15" customHeight="1" x14ac:dyDescent="0.3">
      <c r="A508" s="36"/>
      <c r="B508" s="37">
        <v>47</v>
      </c>
      <c r="C508" s="29" t="s">
        <v>17</v>
      </c>
      <c r="D508" s="37">
        <v>2014</v>
      </c>
      <c r="E508" s="38">
        <v>0</v>
      </c>
      <c r="F508" s="38">
        <v>0</v>
      </c>
      <c r="G508" s="38">
        <v>0</v>
      </c>
      <c r="H508" s="38">
        <v>0</v>
      </c>
      <c r="I508" s="38">
        <v>0</v>
      </c>
      <c r="J508" s="38">
        <v>0</v>
      </c>
      <c r="K508" s="38">
        <v>0</v>
      </c>
      <c r="L508" s="38">
        <v>0</v>
      </c>
      <c r="M508" s="38">
        <v>0</v>
      </c>
      <c r="N508" s="38">
        <v>0</v>
      </c>
      <c r="O508" s="41">
        <v>0</v>
      </c>
      <c r="P508" s="38">
        <v>0</v>
      </c>
      <c r="Q508" s="38">
        <v>0</v>
      </c>
      <c r="R508" s="38">
        <v>0</v>
      </c>
      <c r="S508" s="38">
        <v>0</v>
      </c>
      <c r="T508" s="38">
        <v>0</v>
      </c>
      <c r="U508" s="38">
        <v>0</v>
      </c>
      <c r="V508" s="38">
        <v>0</v>
      </c>
      <c r="W508" s="38">
        <v>0</v>
      </c>
      <c r="X508" s="38">
        <v>0</v>
      </c>
      <c r="Y508" s="37"/>
    </row>
    <row r="509" spans="1:25" s="31" customFormat="1" ht="15" customHeight="1" x14ac:dyDescent="0.3">
      <c r="A509" s="36"/>
      <c r="B509" s="37"/>
      <c r="C509" s="29"/>
      <c r="D509" s="37">
        <v>2015</v>
      </c>
      <c r="E509" s="38">
        <v>0</v>
      </c>
      <c r="F509" s="38">
        <v>0</v>
      </c>
      <c r="G509" s="38">
        <v>0</v>
      </c>
      <c r="H509" s="38">
        <v>0</v>
      </c>
      <c r="I509" s="38">
        <v>0</v>
      </c>
      <c r="J509" s="38">
        <v>0</v>
      </c>
      <c r="K509" s="38">
        <v>0</v>
      </c>
      <c r="L509" s="38">
        <v>0</v>
      </c>
      <c r="M509" s="38">
        <v>0</v>
      </c>
      <c r="N509" s="38">
        <v>0</v>
      </c>
      <c r="O509" s="41">
        <v>0</v>
      </c>
      <c r="P509" s="38">
        <v>0</v>
      </c>
      <c r="Q509" s="38">
        <v>0</v>
      </c>
      <c r="R509" s="38">
        <v>0</v>
      </c>
      <c r="S509" s="38">
        <v>0</v>
      </c>
      <c r="T509" s="38">
        <v>0</v>
      </c>
      <c r="U509" s="38">
        <v>0</v>
      </c>
      <c r="V509" s="38">
        <v>0</v>
      </c>
      <c r="W509" s="38">
        <v>0</v>
      </c>
      <c r="X509" s="38">
        <v>0</v>
      </c>
      <c r="Y509" s="37"/>
    </row>
    <row r="510" spans="1:25" s="31" customFormat="1" ht="15" customHeight="1" x14ac:dyDescent="0.3">
      <c r="A510" s="36"/>
      <c r="B510" s="37"/>
      <c r="C510" s="29"/>
      <c r="D510" s="37">
        <v>2016</v>
      </c>
      <c r="E510" s="38">
        <v>0</v>
      </c>
      <c r="F510" s="38">
        <v>0</v>
      </c>
      <c r="G510" s="38">
        <v>0</v>
      </c>
      <c r="H510" s="38">
        <v>0</v>
      </c>
      <c r="I510" s="38">
        <v>0</v>
      </c>
      <c r="J510" s="38">
        <v>0</v>
      </c>
      <c r="K510" s="38">
        <v>0</v>
      </c>
      <c r="L510" s="38">
        <v>0</v>
      </c>
      <c r="M510" s="38">
        <v>0</v>
      </c>
      <c r="N510" s="38">
        <v>0</v>
      </c>
      <c r="O510" s="41">
        <v>0</v>
      </c>
      <c r="P510" s="38">
        <v>0</v>
      </c>
      <c r="Q510" s="38">
        <v>0</v>
      </c>
      <c r="R510" s="38">
        <v>0</v>
      </c>
      <c r="S510" s="38">
        <v>0</v>
      </c>
      <c r="T510" s="38">
        <v>0</v>
      </c>
      <c r="U510" s="38">
        <v>0</v>
      </c>
      <c r="V510" s="38">
        <v>0</v>
      </c>
      <c r="W510" s="38">
        <v>0</v>
      </c>
      <c r="X510" s="38">
        <v>0</v>
      </c>
      <c r="Y510" s="37"/>
    </row>
    <row r="511" spans="1:25" s="31" customFormat="1" ht="15" customHeight="1" x14ac:dyDescent="0.3">
      <c r="A511" s="36"/>
      <c r="B511" s="37"/>
      <c r="C511" s="29"/>
      <c r="D511" s="37">
        <v>2017</v>
      </c>
      <c r="E511" s="38">
        <v>0</v>
      </c>
      <c r="F511" s="38">
        <v>0</v>
      </c>
      <c r="G511" s="38">
        <v>0</v>
      </c>
      <c r="H511" s="38">
        <v>0</v>
      </c>
      <c r="I511" s="38">
        <v>0</v>
      </c>
      <c r="J511" s="38">
        <v>0</v>
      </c>
      <c r="K511" s="38">
        <v>0</v>
      </c>
      <c r="L511" s="38">
        <v>0</v>
      </c>
      <c r="M511" s="38">
        <v>0</v>
      </c>
      <c r="N511" s="38">
        <v>0</v>
      </c>
      <c r="O511" s="41">
        <v>0</v>
      </c>
      <c r="P511" s="38">
        <v>0</v>
      </c>
      <c r="Q511" s="38">
        <v>0</v>
      </c>
      <c r="R511" s="38">
        <v>0</v>
      </c>
      <c r="S511" s="38">
        <v>0</v>
      </c>
      <c r="T511" s="38">
        <v>0</v>
      </c>
      <c r="U511" s="38">
        <v>0</v>
      </c>
      <c r="V511" s="38">
        <v>0</v>
      </c>
      <c r="W511" s="38">
        <v>0</v>
      </c>
      <c r="X511" s="38">
        <v>0</v>
      </c>
      <c r="Y511" s="37"/>
    </row>
    <row r="512" spans="1:25" s="31" customFormat="1" ht="15" customHeight="1" x14ac:dyDescent="0.3">
      <c r="A512" s="36"/>
      <c r="B512" s="37"/>
      <c r="C512" s="29"/>
      <c r="D512" s="37">
        <v>2018</v>
      </c>
      <c r="E512" s="38">
        <v>0</v>
      </c>
      <c r="F512" s="38">
        <v>0</v>
      </c>
      <c r="G512" s="38">
        <v>0</v>
      </c>
      <c r="H512" s="38">
        <v>0</v>
      </c>
      <c r="I512" s="38">
        <v>0</v>
      </c>
      <c r="J512" s="38">
        <v>0</v>
      </c>
      <c r="K512" s="38">
        <v>0</v>
      </c>
      <c r="L512" s="38">
        <v>0</v>
      </c>
      <c r="M512" s="38">
        <v>0</v>
      </c>
      <c r="N512" s="38">
        <v>0</v>
      </c>
      <c r="O512" s="41">
        <v>0</v>
      </c>
      <c r="P512" s="38">
        <v>0</v>
      </c>
      <c r="Q512" s="38">
        <v>0</v>
      </c>
      <c r="R512" s="38">
        <v>0</v>
      </c>
      <c r="S512" s="38">
        <v>0</v>
      </c>
      <c r="T512" s="38">
        <v>0</v>
      </c>
      <c r="U512" s="38">
        <v>0</v>
      </c>
      <c r="V512" s="38">
        <v>0</v>
      </c>
      <c r="W512" s="38">
        <v>0</v>
      </c>
      <c r="X512" s="38">
        <v>0</v>
      </c>
      <c r="Y512" s="37"/>
    </row>
    <row r="513" spans="1:25" s="31" customFormat="1" ht="15" customHeight="1" x14ac:dyDescent="0.3">
      <c r="A513" s="36"/>
      <c r="B513" s="37"/>
      <c r="C513" s="29"/>
      <c r="D513" s="37">
        <v>2019</v>
      </c>
      <c r="E513" s="38">
        <f>76437.9*1000000</f>
        <v>76437900000</v>
      </c>
      <c r="F513" s="38">
        <f>(76437.9+50273.9+9417.78+32393.7+3005.21)*1000000</f>
        <v>171528490000</v>
      </c>
      <c r="G513" s="38">
        <f>504064.36*1000000</f>
        <v>504064360000</v>
      </c>
      <c r="H513" s="38">
        <f>31570.13*1000000</f>
        <v>31570130000</v>
      </c>
      <c r="I513" s="38">
        <f>395992.1*1000000</f>
        <v>395992100000</v>
      </c>
      <c r="J513" s="38">
        <f>-174124.77*1000000</f>
        <v>-174124770000</v>
      </c>
      <c r="K513" s="38">
        <f>108072.26*1000000</f>
        <v>108072260000</v>
      </c>
      <c r="L513" s="38">
        <f>368855.96*1000000</f>
        <v>368855960000</v>
      </c>
      <c r="M513" s="38">
        <f>-22332.19*1000000</f>
        <v>-22332190000</v>
      </c>
      <c r="N513" s="38">
        <f>-18252.96*1000000</f>
        <v>-18252960000</v>
      </c>
      <c r="O513" s="48">
        <v>0</v>
      </c>
      <c r="P513" s="38">
        <v>0</v>
      </c>
      <c r="Q513" s="38">
        <v>0</v>
      </c>
      <c r="R513" s="38">
        <v>0</v>
      </c>
      <c r="S513" s="38">
        <v>0</v>
      </c>
      <c r="T513" s="38">
        <v>0</v>
      </c>
      <c r="U513" s="38">
        <v>0</v>
      </c>
      <c r="V513" s="38">
        <v>0</v>
      </c>
      <c r="W513" s="38">
        <v>0</v>
      </c>
      <c r="X513" s="38">
        <v>0</v>
      </c>
      <c r="Y513" s="37"/>
    </row>
    <row r="514" spans="1:25" s="31" customFormat="1" ht="15" customHeight="1" x14ac:dyDescent="0.3">
      <c r="A514" s="36"/>
      <c r="B514" s="37"/>
      <c r="C514" s="29"/>
      <c r="D514" s="37">
        <v>2020</v>
      </c>
      <c r="E514" s="38">
        <f>79350.78*1000000</f>
        <v>79350780000</v>
      </c>
      <c r="F514" s="38">
        <f>(79350.78+14975.94+3450.23+27438.05+365.35)*1000000</f>
        <v>125580350000</v>
      </c>
      <c r="G514" s="38">
        <f>384395.64*1000000</f>
        <v>384395640000</v>
      </c>
      <c r="H514" s="38">
        <f>75595.85*1000000</f>
        <v>75595850000</v>
      </c>
      <c r="I514" s="38">
        <f>284215.06*1000000</f>
        <v>284215060000</v>
      </c>
      <c r="J514" s="38">
        <f>-192016.45*1000000</f>
        <v>-192016450000</v>
      </c>
      <c r="K514" s="38">
        <f>100180.58*1000000</f>
        <v>100180580000</v>
      </c>
      <c r="L514" s="38">
        <f>275257.53*1000000</f>
        <v>275257530000</v>
      </c>
      <c r="M514" s="38">
        <f>-14638*1000000</f>
        <v>-14638000000</v>
      </c>
      <c r="N514" s="38">
        <f>-17891.67*1000000</f>
        <v>-17891670000</v>
      </c>
      <c r="O514" s="39">
        <v>0.99980000000000002</v>
      </c>
      <c r="P514" s="40" t="s">
        <v>226</v>
      </c>
      <c r="Q514" s="38">
        <v>2</v>
      </c>
      <c r="R514" s="38">
        <v>3</v>
      </c>
      <c r="S514" s="38">
        <v>3</v>
      </c>
      <c r="T514" s="38">
        <v>6</v>
      </c>
      <c r="U514" s="42">
        <v>0</v>
      </c>
      <c r="V514" s="38">
        <v>0</v>
      </c>
      <c r="W514" s="38">
        <v>0</v>
      </c>
      <c r="X514" s="38">
        <v>0</v>
      </c>
      <c r="Y514" s="37"/>
    </row>
    <row r="515" spans="1:25" s="31" customFormat="1" ht="15" customHeight="1" x14ac:dyDescent="0.3">
      <c r="A515" s="36"/>
      <c r="B515" s="37"/>
      <c r="C515" s="29"/>
      <c r="D515" s="37">
        <v>2021</v>
      </c>
      <c r="E515" s="38">
        <f>49674.1*1000000</f>
        <v>49674100000</v>
      </c>
      <c r="F515" s="38">
        <f>(49674.1+8514.29+23670.47+20925.83+1534.09)*1000000</f>
        <v>104318780000</v>
      </c>
      <c r="G515" s="38">
        <f>376601.33*1000000</f>
        <v>376601330000</v>
      </c>
      <c r="H515" s="38">
        <f>33850.26*1000000</f>
        <v>33850260000.000004</v>
      </c>
      <c r="I515" s="38">
        <f>264800.47*1000000</f>
        <v>264800469999.99997</v>
      </c>
      <c r="J515" s="38">
        <f>-195396.17*1000000</f>
        <v>-195396170000</v>
      </c>
      <c r="K515" s="38">
        <f>111800.86*1000000</f>
        <v>111800860000</v>
      </c>
      <c r="L515" s="38">
        <f>224439.49*1000000</f>
        <v>224439490000</v>
      </c>
      <c r="M515" s="38">
        <f>15023.53*1000000</f>
        <v>15023530000</v>
      </c>
      <c r="N515" s="38">
        <f>-3379.72*1000000</f>
        <v>-3379720000</v>
      </c>
      <c r="O515" s="39">
        <v>0.99980000000000002</v>
      </c>
      <c r="P515" s="40" t="s">
        <v>226</v>
      </c>
      <c r="Q515" s="38">
        <v>2</v>
      </c>
      <c r="R515" s="38">
        <v>3</v>
      </c>
      <c r="S515" s="38">
        <v>3</v>
      </c>
      <c r="T515" s="38">
        <v>6</v>
      </c>
      <c r="U515" s="42">
        <v>0</v>
      </c>
      <c r="V515" s="38">
        <v>0</v>
      </c>
      <c r="W515" s="38">
        <v>0</v>
      </c>
      <c r="X515" s="38">
        <v>0</v>
      </c>
      <c r="Y515" s="37"/>
    </row>
    <row r="516" spans="1:25" s="31" customFormat="1" ht="15" customHeight="1" x14ac:dyDescent="0.3">
      <c r="A516" s="36"/>
      <c r="B516" s="37"/>
      <c r="C516" s="29"/>
      <c r="D516" s="37">
        <v>2022</v>
      </c>
      <c r="E516" s="38">
        <f>58940*1000000</f>
        <v>58940000000</v>
      </c>
      <c r="F516" s="38">
        <f>(58940+17282+18247+2580+3089)*1000000</f>
        <v>100138000000</v>
      </c>
      <c r="G516" s="38">
        <f>371969*1000000</f>
        <v>371969000000</v>
      </c>
      <c r="H516" s="38">
        <f>22509*1000000</f>
        <v>22509000000</v>
      </c>
      <c r="I516" s="38">
        <f>257990*1000000</f>
        <v>257990000000</v>
      </c>
      <c r="J516" s="38">
        <f>-188971*1000000</f>
        <v>-188971000000</v>
      </c>
      <c r="K516" s="38">
        <f>113978*1000000</f>
        <v>113978000000</v>
      </c>
      <c r="L516" s="38">
        <f>279789*1000000</f>
        <v>279789000000</v>
      </c>
      <c r="M516" s="38">
        <f>11939*1000000</f>
        <v>11939000000</v>
      </c>
      <c r="N516" s="38">
        <f>2177*1000000</f>
        <v>2177000000</v>
      </c>
      <c r="O516" s="39">
        <v>0.99980000000000002</v>
      </c>
      <c r="P516" s="40" t="s">
        <v>226</v>
      </c>
      <c r="Q516" s="38">
        <v>2</v>
      </c>
      <c r="R516" s="38">
        <v>3</v>
      </c>
      <c r="S516" s="38">
        <v>3</v>
      </c>
      <c r="T516" s="38">
        <v>6</v>
      </c>
      <c r="U516" s="42">
        <v>0</v>
      </c>
      <c r="V516" s="38">
        <v>0</v>
      </c>
      <c r="W516" s="38">
        <v>0</v>
      </c>
      <c r="X516" s="38">
        <v>0</v>
      </c>
      <c r="Y516" s="37"/>
    </row>
    <row r="517" spans="1:25" s="31" customFormat="1" ht="15" customHeight="1" x14ac:dyDescent="0.3">
      <c r="A517" s="36"/>
      <c r="B517" s="37"/>
      <c r="C517" s="29"/>
      <c r="D517" s="37">
        <v>2023</v>
      </c>
      <c r="E517" s="38">
        <f>114339*1000000</f>
        <v>114339000000</v>
      </c>
      <c r="F517" s="38">
        <f>(114339+17801+9591+12237+2350)*1000000</f>
        <v>156318000000</v>
      </c>
      <c r="G517" s="38">
        <f>405875*1000000</f>
        <v>405875000000</v>
      </c>
      <c r="H517" s="38">
        <f>29303*1000000</f>
        <v>29303000000</v>
      </c>
      <c r="I517" s="38">
        <f>282722*1000000</f>
        <v>282722000000</v>
      </c>
      <c r="J517" s="38">
        <f>-176192*1000000</f>
        <v>-176192000000</v>
      </c>
      <c r="K517" s="38">
        <f>123153*1000000</f>
        <v>123153000000</v>
      </c>
      <c r="L517" s="38">
        <f>303943*1000000</f>
        <v>303943000000</v>
      </c>
      <c r="M517" s="38">
        <f>19703*1000000</f>
        <v>19703000000</v>
      </c>
      <c r="N517" s="38">
        <f>3175*1000000</f>
        <v>3175000000</v>
      </c>
      <c r="O517" s="39">
        <v>0.99980000000000002</v>
      </c>
      <c r="P517" s="40" t="s">
        <v>226</v>
      </c>
      <c r="Q517" s="38">
        <v>2</v>
      </c>
      <c r="R517" s="38">
        <v>2</v>
      </c>
      <c r="S517" s="38">
        <v>3</v>
      </c>
      <c r="T517" s="38">
        <v>5</v>
      </c>
      <c r="U517" s="42">
        <v>0</v>
      </c>
      <c r="V517" s="38">
        <v>0</v>
      </c>
      <c r="W517" s="38">
        <v>0</v>
      </c>
      <c r="X517" s="38">
        <v>0</v>
      </c>
      <c r="Y517" s="37"/>
    </row>
    <row r="518" spans="1:25" s="31" customFormat="1" ht="15" customHeight="1" x14ac:dyDescent="0.3">
      <c r="A518" s="36"/>
      <c r="B518" s="37"/>
      <c r="C518" s="29"/>
      <c r="D518" s="37">
        <v>2024</v>
      </c>
      <c r="E518" s="38">
        <f>55979*1000000</f>
        <v>55979000000</v>
      </c>
      <c r="F518" s="38">
        <f>(55979+8437+16337+5365+4784)*1000000</f>
        <v>90902000000</v>
      </c>
      <c r="G518" s="38">
        <f>693393*1000000</f>
        <v>693393000000</v>
      </c>
      <c r="H518" s="38">
        <f>33572*1000000</f>
        <v>33572000000</v>
      </c>
      <c r="I518" s="38">
        <f>522397*1000000</f>
        <v>522397000000</v>
      </c>
      <c r="J518" s="38">
        <f>-127172*1000000</f>
        <v>-127172000000</v>
      </c>
      <c r="K518" s="38">
        <f>170996*1000000</f>
        <v>170996000000</v>
      </c>
      <c r="L518" s="38">
        <f>686531*1000000</f>
        <v>686531000000</v>
      </c>
      <c r="M518" s="38">
        <f>61787*1000000</f>
        <v>61787000000</v>
      </c>
      <c r="N518" s="38">
        <f>47213*1000000</f>
        <v>47213000000</v>
      </c>
      <c r="O518" s="39">
        <v>0.99980000000000002</v>
      </c>
      <c r="P518" s="40" t="s">
        <v>226</v>
      </c>
      <c r="Q518" s="38">
        <v>3</v>
      </c>
      <c r="R518" s="38">
        <v>3</v>
      </c>
      <c r="S518" s="38">
        <v>3</v>
      </c>
      <c r="T518" s="38">
        <v>6</v>
      </c>
      <c r="U518" s="42">
        <v>0</v>
      </c>
      <c r="V518" s="38">
        <v>0</v>
      </c>
      <c r="W518" s="38">
        <v>0</v>
      </c>
      <c r="X518" s="38">
        <v>0</v>
      </c>
      <c r="Y518" s="37"/>
    </row>
    <row r="519" spans="1:25" s="31" customFormat="1" ht="15" customHeight="1" x14ac:dyDescent="0.3">
      <c r="A519" s="36"/>
      <c r="B519" s="37">
        <v>48</v>
      </c>
      <c r="C519" s="29" t="s">
        <v>26</v>
      </c>
      <c r="D519" s="37">
        <v>2014</v>
      </c>
      <c r="E519" s="38">
        <v>0</v>
      </c>
      <c r="F519" s="38">
        <v>0</v>
      </c>
      <c r="G519" s="38">
        <v>0</v>
      </c>
      <c r="H519" s="38">
        <v>0</v>
      </c>
      <c r="I519" s="38">
        <v>0</v>
      </c>
      <c r="J519" s="38">
        <v>0</v>
      </c>
      <c r="K519" s="38">
        <v>0</v>
      </c>
      <c r="L519" s="38">
        <f>8327184*1000000</f>
        <v>8327184000000</v>
      </c>
      <c r="M519" s="38">
        <v>0</v>
      </c>
      <c r="N519" s="38">
        <v>0</v>
      </c>
      <c r="O519" s="38">
        <v>0</v>
      </c>
      <c r="P519" s="38">
        <v>0</v>
      </c>
      <c r="Q519" s="38">
        <v>0</v>
      </c>
      <c r="R519" s="38">
        <v>0</v>
      </c>
      <c r="S519" s="38">
        <v>0</v>
      </c>
      <c r="T519" s="38">
        <v>0</v>
      </c>
      <c r="U519" s="38">
        <v>0</v>
      </c>
      <c r="V519" s="38">
        <v>0</v>
      </c>
      <c r="W519" s="38">
        <v>0</v>
      </c>
      <c r="X519" s="38">
        <v>0</v>
      </c>
      <c r="Y519" s="37"/>
    </row>
    <row r="520" spans="1:25" s="31" customFormat="1" ht="15" customHeight="1" x14ac:dyDescent="0.3">
      <c r="A520" s="36"/>
      <c r="B520" s="37"/>
      <c r="C520" s="29"/>
      <c r="D520" s="37">
        <v>2015</v>
      </c>
      <c r="E520" s="38">
        <f>265187.87*1000000</f>
        <v>265187870000</v>
      </c>
      <c r="F520" s="38">
        <f>(265187.87+33899.92+5808.23+5.19+23810.5+2651.24)*1000000</f>
        <v>331362949999.99994</v>
      </c>
      <c r="G520" s="38">
        <f>15348592.39*1000000</f>
        <v>15348592390000</v>
      </c>
      <c r="H520" s="38">
        <f>367867.52*1000000</f>
        <v>367867520000</v>
      </c>
      <c r="I520" s="38">
        <f>8125147.14*1000000</f>
        <v>8125147140000</v>
      </c>
      <c r="J520" s="38">
        <f>242242.46*1000000</f>
        <v>242242460000</v>
      </c>
      <c r="K520" s="38">
        <f>7223445.25*1000000</f>
        <v>7223445250000</v>
      </c>
      <c r="L520" s="38">
        <f>5425573*1000000</f>
        <v>5425573000000</v>
      </c>
      <c r="M520" s="38">
        <f>-1854702*1000000</f>
        <v>-1854702000000</v>
      </c>
      <c r="N520" s="38">
        <f>-1863354*1000000</f>
        <v>-1863354000000</v>
      </c>
      <c r="O520" s="39">
        <v>0.5</v>
      </c>
      <c r="P520" s="40" t="s">
        <v>241</v>
      </c>
      <c r="Q520" s="38">
        <v>2</v>
      </c>
      <c r="R520" s="38">
        <v>4</v>
      </c>
      <c r="S520" s="38">
        <v>8</v>
      </c>
      <c r="T520" s="38">
        <f>SUM(R520:S520)</f>
        <v>12</v>
      </c>
      <c r="U520" s="42">
        <v>0</v>
      </c>
      <c r="V520" s="38">
        <v>0</v>
      </c>
      <c r="W520" s="38">
        <v>0</v>
      </c>
      <c r="X520" s="38">
        <v>0</v>
      </c>
      <c r="Y520" s="37"/>
    </row>
    <row r="521" spans="1:25" s="31" customFormat="1" ht="15" customHeight="1" x14ac:dyDescent="0.3">
      <c r="A521" s="36"/>
      <c r="B521" s="37"/>
      <c r="C521" s="29"/>
      <c r="D521" s="37">
        <v>2016</v>
      </c>
      <c r="E521" s="38">
        <f>356416.43*1000000</f>
        <v>356416430000</v>
      </c>
      <c r="F521" s="38">
        <f>(356416.43+18083.5+7457.02+1231.6+22663.27+3047)*1000000</f>
        <v>408898820000</v>
      </c>
      <c r="G521" s="38">
        <f>15860037.15*1000000</f>
        <v>15860037150000</v>
      </c>
      <c r="H521" s="38">
        <f>642036.84*1000000</f>
        <v>642036840000</v>
      </c>
      <c r="I521" s="38">
        <f>8086322.48*1000000</f>
        <v>8086322480000</v>
      </c>
      <c r="J521" s="38">
        <f>550511.74*1000000</f>
        <v>550511740000</v>
      </c>
      <c r="K521" s="38">
        <f>7773714.67*1000000</f>
        <v>7773714670000</v>
      </c>
      <c r="L521" s="38">
        <f>7196031.15*1000000</f>
        <v>7196031150000</v>
      </c>
      <c r="M521" s="38">
        <f>338923.52*1000000</f>
        <v>338923520000</v>
      </c>
      <c r="N521" s="38">
        <f>550269.42*1000000</f>
        <v>550269420000</v>
      </c>
      <c r="O521" s="39">
        <v>0.5</v>
      </c>
      <c r="P521" s="40" t="s">
        <v>241</v>
      </c>
      <c r="Q521" s="38">
        <v>2</v>
      </c>
      <c r="R521" s="38">
        <v>4</v>
      </c>
      <c r="S521" s="38">
        <v>5</v>
      </c>
      <c r="T521" s="38">
        <f t="shared" ref="T521:T529" si="46">SUM(R521:S521)</f>
        <v>9</v>
      </c>
      <c r="U521" s="42">
        <v>0</v>
      </c>
      <c r="V521" s="38">
        <v>0</v>
      </c>
      <c r="W521" s="38">
        <v>0</v>
      </c>
      <c r="X521" s="38">
        <v>0</v>
      </c>
      <c r="Y521" s="37"/>
    </row>
    <row r="522" spans="1:25" s="31" customFormat="1" ht="15" customHeight="1" x14ac:dyDescent="0.3">
      <c r="A522" s="36"/>
      <c r="B522" s="37"/>
      <c r="C522" s="29"/>
      <c r="D522" s="37">
        <v>2017</v>
      </c>
      <c r="E522" s="38">
        <f>647361.66*1000000</f>
        <v>647361660000</v>
      </c>
      <c r="F522" s="38">
        <f>(647361.66+11716.14+1768.44+38918.52+4081.37+23523.97)*1000000</f>
        <v>727370100000</v>
      </c>
      <c r="G522" s="38">
        <f>15534781.44*1000000</f>
        <v>15534781440000</v>
      </c>
      <c r="H522" s="38">
        <f>471887.3*1000000</f>
        <v>471887300000</v>
      </c>
      <c r="I522" s="38">
        <f>7024267.46*1000000</f>
        <v>7024267460000</v>
      </c>
      <c r="J522" s="38">
        <f>940017.43*1000000</f>
        <v>940017430000</v>
      </c>
      <c r="K522" s="38">
        <f>8510513.98*1000000</f>
        <v>8510513980000</v>
      </c>
      <c r="L522" s="38">
        <f>5435903.01*1000000</f>
        <v>5435903010000</v>
      </c>
      <c r="M522" s="38">
        <f>521121.21*1000000</f>
        <v>521121210000</v>
      </c>
      <c r="N522" s="38">
        <f>841634.6*1000000</f>
        <v>841634600000</v>
      </c>
      <c r="O522" s="39">
        <v>0.5</v>
      </c>
      <c r="P522" s="40" t="s">
        <v>241</v>
      </c>
      <c r="Q522" s="38">
        <v>2</v>
      </c>
      <c r="R522" s="38">
        <v>4</v>
      </c>
      <c r="S522" s="38">
        <v>5</v>
      </c>
      <c r="T522" s="38">
        <f t="shared" si="46"/>
        <v>9</v>
      </c>
      <c r="U522" s="42">
        <v>0</v>
      </c>
      <c r="V522" s="38">
        <v>0</v>
      </c>
      <c r="W522" s="38">
        <v>0</v>
      </c>
      <c r="X522" s="38">
        <v>0</v>
      </c>
      <c r="Y522" s="37"/>
    </row>
    <row r="523" spans="1:25" s="31" customFormat="1" ht="15" customHeight="1" x14ac:dyDescent="0.3">
      <c r="A523" s="36"/>
      <c r="B523" s="37"/>
      <c r="C523" s="29"/>
      <c r="D523" s="37">
        <v>2018</v>
      </c>
      <c r="E523" s="38">
        <f>664326.49*1000000</f>
        <v>664326490000</v>
      </c>
      <c r="F523" s="38">
        <f>(664326.49+37308+527.51+21144.11+13441.31+48263.06)*1000000</f>
        <v>785010480000</v>
      </c>
      <c r="G523" s="38">
        <f>14646070.81*1000000</f>
        <v>14646070810000</v>
      </c>
      <c r="H523" s="38">
        <f>661481.23*1000000</f>
        <v>661481230000</v>
      </c>
      <c r="I523" s="38">
        <f>7543035.99*1000000</f>
        <v>7543035990000</v>
      </c>
      <c r="J523" s="38">
        <f>25364.42*1000000</f>
        <v>25364420000</v>
      </c>
      <c r="K523" s="38">
        <f>7103034.82*1000000</f>
        <v>7103034820000</v>
      </c>
      <c r="L523" s="38">
        <f>5336891.01*1000000</f>
        <v>5336891010000</v>
      </c>
      <c r="M523" s="38">
        <f>366740.79*1000000</f>
        <v>366740790000</v>
      </c>
      <c r="N523" s="38">
        <f>-154565.01*1000000</f>
        <v>-154565010000</v>
      </c>
      <c r="O523" s="39">
        <v>0.5</v>
      </c>
      <c r="P523" s="40" t="s">
        <v>241</v>
      </c>
      <c r="Q523" s="38">
        <v>2</v>
      </c>
      <c r="R523" s="38">
        <v>4</v>
      </c>
      <c r="S523" s="38">
        <v>6</v>
      </c>
      <c r="T523" s="38">
        <f t="shared" si="46"/>
        <v>10</v>
      </c>
      <c r="U523" s="42">
        <v>0</v>
      </c>
      <c r="V523" s="38">
        <v>0</v>
      </c>
      <c r="W523" s="38">
        <v>0</v>
      </c>
      <c r="X523" s="38">
        <v>0</v>
      </c>
      <c r="Y523" s="37"/>
    </row>
    <row r="524" spans="1:25" s="31" customFormat="1" ht="15" customHeight="1" x14ac:dyDescent="0.3">
      <c r="A524" s="36"/>
      <c r="B524" s="37"/>
      <c r="C524" s="29"/>
      <c r="D524" s="37">
        <v>2019</v>
      </c>
      <c r="E524" s="38">
        <f>614297.26*1000000</f>
        <v>614297260000</v>
      </c>
      <c r="F524" s="38">
        <f>(614297.26+40204.29+1311.71+22884.9+3150.93+22720.2)*1000000</f>
        <v>704569290000</v>
      </c>
      <c r="G524" s="38">
        <f>15520643.35*1000000</f>
        <v>15520643350000</v>
      </c>
      <c r="H524" s="38">
        <f>420773.56*1000000</f>
        <v>420773560000</v>
      </c>
      <c r="I524" s="38">
        <f>7778429.18*1000000</f>
        <v>7778429180000</v>
      </c>
      <c r="J524" s="38">
        <f>276204.74*1000000</f>
        <v>276204740000</v>
      </c>
      <c r="K524" s="38">
        <f>7742214.17*1000000</f>
        <v>7742214170000</v>
      </c>
      <c r="L524" s="38">
        <f>4657274.11*1000000</f>
        <v>4657274110000</v>
      </c>
      <c r="M524" s="38">
        <f>266725.33*1000000</f>
        <v>266725330000.00003</v>
      </c>
      <c r="N524" s="38">
        <f>623756.88*1000000</f>
        <v>623756880000</v>
      </c>
      <c r="O524" s="39">
        <v>0.8</v>
      </c>
      <c r="P524" s="40" t="s">
        <v>242</v>
      </c>
      <c r="Q524" s="38">
        <v>2</v>
      </c>
      <c r="R524" s="38">
        <v>5</v>
      </c>
      <c r="S524" s="38">
        <v>5</v>
      </c>
      <c r="T524" s="38">
        <f t="shared" si="46"/>
        <v>10</v>
      </c>
      <c r="U524" s="42">
        <v>0</v>
      </c>
      <c r="V524" s="38">
        <f>5+(2*3)</f>
        <v>11</v>
      </c>
      <c r="W524" s="38">
        <f t="shared" ref="W524:W529" si="47">V524</f>
        <v>11</v>
      </c>
      <c r="X524" s="38">
        <f>5+(2*2)</f>
        <v>9</v>
      </c>
      <c r="Y524" s="37"/>
    </row>
    <row r="525" spans="1:25" s="31" customFormat="1" ht="15" customHeight="1" x14ac:dyDescent="0.3">
      <c r="A525" s="36"/>
      <c r="B525" s="37"/>
      <c r="C525" s="29"/>
      <c r="D525" s="37">
        <v>2020</v>
      </c>
      <c r="E525" s="38">
        <f>714060.1*1000000</f>
        <v>714060100000</v>
      </c>
      <c r="F525" s="38">
        <f>(729060.1+44906.27+3357.73+8745.84+2593.47+341142)*1000000</f>
        <v>1129805410000</v>
      </c>
      <c r="G525" s="38">
        <f>15214292.14*1000000</f>
        <v>15214292140000</v>
      </c>
      <c r="H525" s="38">
        <f>499314.92*1000000</f>
        <v>499314920000</v>
      </c>
      <c r="I525" s="38">
        <f>7172374.42*1000000</f>
        <v>7172374420000</v>
      </c>
      <c r="J525" s="38">
        <f>480336.5*1000000</f>
        <v>480336500000</v>
      </c>
      <c r="K525" s="38">
        <f>8041917.72*1000000</f>
        <v>8041917720000</v>
      </c>
      <c r="L525" s="38">
        <f>4666016.57*1000000</f>
        <v>4666016570000</v>
      </c>
      <c r="M525" s="38">
        <f>368190.06*1000000</f>
        <v>368190060000</v>
      </c>
      <c r="N525" s="38">
        <f>428300.98*1000000</f>
        <v>428300980000</v>
      </c>
      <c r="O525" s="39">
        <v>0.8</v>
      </c>
      <c r="P525" s="40" t="s">
        <v>242</v>
      </c>
      <c r="Q525" s="38">
        <v>3</v>
      </c>
      <c r="R525" s="38">
        <v>6</v>
      </c>
      <c r="S525" s="38">
        <v>6</v>
      </c>
      <c r="T525" s="38">
        <f t="shared" si="46"/>
        <v>12</v>
      </c>
      <c r="U525" s="42">
        <v>0</v>
      </c>
      <c r="V525" s="38">
        <f>6+(2*4)</f>
        <v>14</v>
      </c>
      <c r="W525" s="38">
        <f t="shared" si="47"/>
        <v>14</v>
      </c>
      <c r="X525" s="38">
        <f>6+(2*2)</f>
        <v>10</v>
      </c>
      <c r="Y525" s="37"/>
    </row>
    <row r="526" spans="1:25" s="31" customFormat="1" ht="15" customHeight="1" x14ac:dyDescent="0.3">
      <c r="A526" s="36"/>
      <c r="B526" s="37"/>
      <c r="C526" s="29"/>
      <c r="D526" s="37">
        <v>2021</v>
      </c>
      <c r="E526" s="38">
        <f>1400954.15*1000000</f>
        <v>1400954150000</v>
      </c>
      <c r="F526" s="38">
        <f>(1400954.15+22344.87+16119.73+10586.11+19213.69+103210.2)*1000000</f>
        <v>1572428750000</v>
      </c>
      <c r="G526" s="38">
        <f>15792655.92*1000000</f>
        <v>15792655920000</v>
      </c>
      <c r="H526" s="38">
        <f>667619.49*1000000</f>
        <v>667619490000</v>
      </c>
      <c r="I526" s="38">
        <f>8197149.65*1000000</f>
        <v>8197149650000</v>
      </c>
      <c r="J526" s="38">
        <f>76832.35*1000000</f>
        <v>76832350000</v>
      </c>
      <c r="K526" s="38">
        <f>7595506.27*1000000</f>
        <v>7595506270000</v>
      </c>
      <c r="L526" s="38">
        <f>4382318.61*1000000</f>
        <v>4382318610000.0005</v>
      </c>
      <c r="M526" s="38">
        <f>98940.39*1000000</f>
        <v>98940390000</v>
      </c>
      <c r="N526" s="38">
        <f>60534.92*1000000</f>
        <v>60534920000</v>
      </c>
      <c r="O526" s="39">
        <v>0.8</v>
      </c>
      <c r="P526" s="40" t="s">
        <v>242</v>
      </c>
      <c r="Q526" s="38">
        <v>3</v>
      </c>
      <c r="R526" s="38">
        <v>6</v>
      </c>
      <c r="S526" s="38">
        <v>7</v>
      </c>
      <c r="T526" s="38">
        <f t="shared" si="46"/>
        <v>13</v>
      </c>
      <c r="U526" s="42">
        <v>0</v>
      </c>
      <c r="V526" s="38">
        <f>6+(2*4)</f>
        <v>14</v>
      </c>
      <c r="W526" s="38">
        <f t="shared" si="47"/>
        <v>14</v>
      </c>
      <c r="X526" s="38">
        <f>7+(2*3)</f>
        <v>13</v>
      </c>
      <c r="Y526" s="37"/>
    </row>
    <row r="527" spans="1:25" s="31" customFormat="1" ht="15" customHeight="1" x14ac:dyDescent="0.3">
      <c r="A527" s="36"/>
      <c r="B527" s="37"/>
      <c r="C527" s="29"/>
      <c r="D527" s="37">
        <v>2022</v>
      </c>
      <c r="E527" s="38">
        <f>1324005.27*1000000</f>
        <v>1324005270000</v>
      </c>
      <c r="F527" s="38">
        <f>(1324005.27+51202.81+9823.39+32808.48+16700.67+168178.18)*1000000</f>
        <v>1602718799999.9998</v>
      </c>
      <c r="G527" s="38">
        <f>14863256.24*1000000</f>
        <v>14863256240000</v>
      </c>
      <c r="H527" s="38">
        <f>659902.54*1000000</f>
        <v>659902540000</v>
      </c>
      <c r="I527" s="38">
        <f>7291622.44*1000000</f>
        <v>7291622440000</v>
      </c>
      <c r="J527" s="38">
        <f>359464.6*1000000</f>
        <v>359464600000</v>
      </c>
      <c r="K527" s="38">
        <f>7571633.8*1000000</f>
        <v>7571633800000</v>
      </c>
      <c r="L527" s="38">
        <f>3883960.76*1000000</f>
        <v>3883960760000</v>
      </c>
      <c r="M527" s="38">
        <f>373340.9*1000000</f>
        <v>373340900000</v>
      </c>
      <c r="N527" s="38">
        <f>42396.02*1000000</f>
        <v>42396020000</v>
      </c>
      <c r="O527" s="39">
        <v>0.8</v>
      </c>
      <c r="P527" s="40" t="s">
        <v>242</v>
      </c>
      <c r="Q527" s="38">
        <v>3</v>
      </c>
      <c r="R527" s="38">
        <v>6</v>
      </c>
      <c r="S527" s="38">
        <v>6</v>
      </c>
      <c r="T527" s="38">
        <f t="shared" si="46"/>
        <v>12</v>
      </c>
      <c r="U527" s="42">
        <v>0</v>
      </c>
      <c r="V527" s="38">
        <f>6+(2*4)</f>
        <v>14</v>
      </c>
      <c r="W527" s="38">
        <f t="shared" si="47"/>
        <v>14</v>
      </c>
      <c r="X527" s="38">
        <f>6+(2*2)</f>
        <v>10</v>
      </c>
      <c r="Y527" s="37"/>
    </row>
    <row r="528" spans="1:25" s="31" customFormat="1" ht="15" customHeight="1" x14ac:dyDescent="0.3">
      <c r="A528" s="36"/>
      <c r="B528" s="37"/>
      <c r="C528" s="29"/>
      <c r="D528" s="37">
        <v>2023</v>
      </c>
      <c r="E528" s="38">
        <f>759438.29*1000000</f>
        <v>759438290000</v>
      </c>
      <c r="F528" s="38">
        <f>(759438.29+47951.71+31873.25+20425.12+1137.72+145795.79)*1000000</f>
        <v>1006621880000</v>
      </c>
      <c r="G528" s="38">
        <f>14368742.35*1000000</f>
        <v>14368742350000</v>
      </c>
      <c r="H528" s="38">
        <f>810615.19*1000000</f>
        <v>810615190000</v>
      </c>
      <c r="I528" s="38">
        <f>6927405.08*1000000</f>
        <v>6927405080000</v>
      </c>
      <c r="J528" s="38">
        <f>181660.7*1000000</f>
        <v>181660700000</v>
      </c>
      <c r="K528" s="38">
        <f>7441337.27*1000000</f>
        <v>7441337270000</v>
      </c>
      <c r="L528" s="38">
        <f>3759759.12*1000000</f>
        <v>3759759120000</v>
      </c>
      <c r="M528" s="38">
        <f>135130*1000000</f>
        <v>135130000000</v>
      </c>
      <c r="N528" s="38">
        <f>125376.97*1000000</f>
        <v>125376970000</v>
      </c>
      <c r="O528" s="39">
        <v>0.8</v>
      </c>
      <c r="P528" s="40" t="s">
        <v>242</v>
      </c>
      <c r="Q528" s="38">
        <v>3</v>
      </c>
      <c r="R528" s="38">
        <v>6</v>
      </c>
      <c r="S528" s="38">
        <v>6</v>
      </c>
      <c r="T528" s="38">
        <f t="shared" si="46"/>
        <v>12</v>
      </c>
      <c r="U528" s="42">
        <v>0</v>
      </c>
      <c r="V528" s="38">
        <f>6+(2*4)</f>
        <v>14</v>
      </c>
      <c r="W528" s="38">
        <f t="shared" si="47"/>
        <v>14</v>
      </c>
      <c r="X528" s="38">
        <f>6+(2*2)</f>
        <v>10</v>
      </c>
      <c r="Y528" s="37"/>
    </row>
    <row r="529" spans="1:25" s="31" customFormat="1" ht="15" customHeight="1" x14ac:dyDescent="0.3">
      <c r="A529" s="36"/>
      <c r="B529" s="37"/>
      <c r="C529" s="29"/>
      <c r="D529" s="37">
        <v>2024</v>
      </c>
      <c r="E529" s="38">
        <f>612858.62*1000000</f>
        <v>612858620000</v>
      </c>
      <c r="F529" s="38">
        <f>(612858.62+71806.27+11736.64+50619.95+164071.27)*1000000</f>
        <v>911092750000</v>
      </c>
      <c r="G529" s="38">
        <f>14072702.04*1000000</f>
        <v>14072702040000</v>
      </c>
      <c r="H529" s="38">
        <f>873359.75*1000000</f>
        <v>873359750000</v>
      </c>
      <c r="I529" s="38">
        <f>6479775.3*1000000</f>
        <v>6479775300000</v>
      </c>
      <c r="J529" s="38">
        <f>446387.54*1000000</f>
        <v>446387540000</v>
      </c>
      <c r="K529" s="38">
        <f>7592926.74*1000000</f>
        <v>7592926740000</v>
      </c>
      <c r="L529" s="38">
        <f>4049259.25*1000000</f>
        <v>4049259250000</v>
      </c>
      <c r="M529" s="38">
        <f>394264.54*1000000</f>
        <v>394264540000</v>
      </c>
      <c r="N529" s="38">
        <f>226258.03*1000000</f>
        <v>226258030000</v>
      </c>
      <c r="O529" s="39">
        <v>0.8</v>
      </c>
      <c r="P529" s="40" t="s">
        <v>242</v>
      </c>
      <c r="Q529" s="38">
        <v>3</v>
      </c>
      <c r="R529" s="38">
        <v>6</v>
      </c>
      <c r="S529" s="38">
        <v>6</v>
      </c>
      <c r="T529" s="38">
        <f t="shared" si="46"/>
        <v>12</v>
      </c>
      <c r="U529" s="42">
        <v>0</v>
      </c>
      <c r="V529" s="38">
        <f>6+(2*4)</f>
        <v>14</v>
      </c>
      <c r="W529" s="38">
        <f t="shared" si="47"/>
        <v>14</v>
      </c>
      <c r="X529" s="38">
        <f>6+(2*2)</f>
        <v>10</v>
      </c>
      <c r="Y529" s="37"/>
    </row>
    <row r="530" spans="1:25" s="31" customFormat="1" ht="15" customHeight="1" x14ac:dyDescent="0.3">
      <c r="A530" s="36"/>
      <c r="B530" s="37">
        <v>49</v>
      </c>
      <c r="C530" s="29" t="s">
        <v>38</v>
      </c>
      <c r="D530" s="37">
        <v>2014</v>
      </c>
      <c r="E530" s="38">
        <v>0</v>
      </c>
      <c r="F530" s="38">
        <v>0</v>
      </c>
      <c r="G530" s="38">
        <v>0</v>
      </c>
      <c r="H530" s="38">
        <v>0</v>
      </c>
      <c r="I530" s="38">
        <v>0</v>
      </c>
      <c r="J530" s="38">
        <v>0</v>
      </c>
      <c r="K530" s="38">
        <v>0</v>
      </c>
      <c r="L530" s="38">
        <v>0</v>
      </c>
      <c r="M530" s="38">
        <v>0</v>
      </c>
      <c r="N530" s="38">
        <v>0</v>
      </c>
      <c r="O530" s="41">
        <v>0</v>
      </c>
      <c r="P530" s="38">
        <v>0</v>
      </c>
      <c r="Q530" s="38">
        <v>0</v>
      </c>
      <c r="R530" s="38">
        <v>0</v>
      </c>
      <c r="S530" s="38">
        <v>0</v>
      </c>
      <c r="T530" s="38">
        <v>0</v>
      </c>
      <c r="U530" s="38">
        <v>0</v>
      </c>
      <c r="V530" s="38">
        <v>0</v>
      </c>
      <c r="W530" s="38">
        <v>0</v>
      </c>
      <c r="X530" s="38">
        <v>0</v>
      </c>
      <c r="Y530" s="37"/>
    </row>
    <row r="531" spans="1:25" s="31" customFormat="1" ht="15" customHeight="1" x14ac:dyDescent="0.3">
      <c r="A531" s="36"/>
      <c r="B531" s="37"/>
      <c r="C531" s="29"/>
      <c r="D531" s="37">
        <v>2015</v>
      </c>
      <c r="E531" s="38">
        <v>0</v>
      </c>
      <c r="F531" s="38">
        <v>0</v>
      </c>
      <c r="G531" s="38">
        <v>0</v>
      </c>
      <c r="H531" s="38">
        <v>0</v>
      </c>
      <c r="I531" s="38">
        <v>0</v>
      </c>
      <c r="J531" s="38">
        <v>0</v>
      </c>
      <c r="K531" s="38">
        <v>0</v>
      </c>
      <c r="L531" s="38">
        <v>0</v>
      </c>
      <c r="M531" s="38">
        <v>0</v>
      </c>
      <c r="N531" s="38">
        <v>0</v>
      </c>
      <c r="O531" s="41">
        <v>0</v>
      </c>
      <c r="P531" s="38">
        <v>0</v>
      </c>
      <c r="Q531" s="38">
        <v>0</v>
      </c>
      <c r="R531" s="38">
        <v>0</v>
      </c>
      <c r="S531" s="38">
        <v>0</v>
      </c>
      <c r="T531" s="38">
        <v>0</v>
      </c>
      <c r="U531" s="38">
        <v>0</v>
      </c>
      <c r="V531" s="38">
        <v>0</v>
      </c>
      <c r="W531" s="38">
        <v>0</v>
      </c>
      <c r="X531" s="38">
        <v>0</v>
      </c>
      <c r="Y531" s="37"/>
    </row>
    <row r="532" spans="1:25" s="31" customFormat="1" ht="15" customHeight="1" x14ac:dyDescent="0.3">
      <c r="A532" s="36"/>
      <c r="B532" s="37"/>
      <c r="C532" s="29"/>
      <c r="D532" s="37">
        <v>2016</v>
      </c>
      <c r="E532" s="38">
        <f>3349*1000000</f>
        <v>3349000000</v>
      </c>
      <c r="F532" s="38">
        <f>(3349+905+673)*1000000</f>
        <v>4927000000</v>
      </c>
      <c r="G532" s="38">
        <f>130830*1000000</f>
        <v>130830000000</v>
      </c>
      <c r="H532" s="38">
        <f>22162*1000000</f>
        <v>22162000000</v>
      </c>
      <c r="I532" s="38">
        <f>22162*1000000</f>
        <v>22162000000</v>
      </c>
      <c r="J532" s="38">
        <f>3668*1000000</f>
        <v>3668000000</v>
      </c>
      <c r="K532" s="38">
        <f>108668*1000000</f>
        <v>108668000000</v>
      </c>
      <c r="L532" s="38">
        <f>3721*1000000</f>
        <v>3721000000</v>
      </c>
      <c r="M532" s="38">
        <f>3668*1000000</f>
        <v>3668000000</v>
      </c>
      <c r="N532" s="38">
        <f>3668*1000000</f>
        <v>3668000000</v>
      </c>
      <c r="O532" s="48">
        <v>0</v>
      </c>
      <c r="P532" s="38">
        <v>0</v>
      </c>
      <c r="Q532" s="38">
        <v>0</v>
      </c>
      <c r="R532" s="38">
        <v>0</v>
      </c>
      <c r="S532" s="38">
        <v>0</v>
      </c>
      <c r="T532" s="38">
        <v>0</v>
      </c>
      <c r="U532" s="38">
        <v>0</v>
      </c>
      <c r="V532" s="38">
        <v>0</v>
      </c>
      <c r="W532" s="38">
        <v>0</v>
      </c>
      <c r="X532" s="38">
        <v>0</v>
      </c>
      <c r="Y532" s="37"/>
    </row>
    <row r="533" spans="1:25" s="31" customFormat="1" ht="15" customHeight="1" x14ac:dyDescent="0.3">
      <c r="A533" s="36"/>
      <c r="B533" s="37"/>
      <c r="C533" s="29"/>
      <c r="D533" s="37">
        <v>2017</v>
      </c>
      <c r="E533" s="38">
        <f>905*1000000</f>
        <v>905000000</v>
      </c>
      <c r="F533" s="38">
        <f>(905+10+836)*1000000</f>
        <v>1751000000</v>
      </c>
      <c r="G533" s="38">
        <f>113846*1000000</f>
        <v>113846000000</v>
      </c>
      <c r="H533" s="38">
        <f>142*1000000</f>
        <v>142000000</v>
      </c>
      <c r="I533" s="38">
        <f>3076*1000000</f>
        <v>3076000000</v>
      </c>
      <c r="J533" s="38">
        <f>3770*1000000</f>
        <v>3770000000</v>
      </c>
      <c r="K533" s="38">
        <f>110770*1000000</f>
        <v>110770000000</v>
      </c>
      <c r="L533" s="38">
        <f>9768*1000000</f>
        <v>9768000000</v>
      </c>
      <c r="M533" s="38">
        <f>97*1000000</f>
        <v>97000000</v>
      </c>
      <c r="N533" s="38">
        <f>2102*1000000</f>
        <v>2102000000</v>
      </c>
      <c r="O533" s="39">
        <v>0.99990000000000001</v>
      </c>
      <c r="P533" s="40" t="s">
        <v>227</v>
      </c>
      <c r="Q533" s="38">
        <v>2</v>
      </c>
      <c r="R533" s="38">
        <v>3</v>
      </c>
      <c r="S533" s="38">
        <v>3</v>
      </c>
      <c r="T533" s="38">
        <f>SUM(R533:S533)</f>
        <v>6</v>
      </c>
      <c r="U533" s="42">
        <v>0</v>
      </c>
      <c r="V533" s="38">
        <v>0</v>
      </c>
      <c r="W533" s="38">
        <v>0</v>
      </c>
      <c r="X533" s="38">
        <v>0</v>
      </c>
      <c r="Y533" s="37"/>
    </row>
    <row r="534" spans="1:25" s="31" customFormat="1" ht="15" customHeight="1" x14ac:dyDescent="0.3">
      <c r="A534" s="36"/>
      <c r="B534" s="37"/>
      <c r="C534" s="29"/>
      <c r="D534" s="37">
        <v>2018</v>
      </c>
      <c r="E534" s="38">
        <f>2863*1000000</f>
        <v>2863000000</v>
      </c>
      <c r="F534" s="38">
        <f>(2863+84+1+931)*1000000</f>
        <v>3879000000</v>
      </c>
      <c r="G534" s="38">
        <f>259861*1000000</f>
        <v>259861000000</v>
      </c>
      <c r="H534" s="38">
        <f>3721000000</f>
        <v>3721000000</v>
      </c>
      <c r="I534" s="38">
        <f>149392*1000000</f>
        <v>149392000000</v>
      </c>
      <c r="J534" s="38">
        <f>5668*1000000</f>
        <v>5668000000</v>
      </c>
      <c r="K534" s="38">
        <f>110469*1000000</f>
        <v>110469000000</v>
      </c>
      <c r="L534" s="38">
        <f>188782*1000000</f>
        <v>188782000000</v>
      </c>
      <c r="M534" s="38">
        <f>1831*1000000</f>
        <v>1831000000</v>
      </c>
      <c r="N534" s="38">
        <f>-302*1000000</f>
        <v>-302000000</v>
      </c>
      <c r="O534" s="39">
        <v>0.99990000000000001</v>
      </c>
      <c r="P534" s="40" t="s">
        <v>227</v>
      </c>
      <c r="Q534" s="38">
        <v>2</v>
      </c>
      <c r="R534" s="38">
        <v>3</v>
      </c>
      <c r="S534" s="38">
        <v>3</v>
      </c>
      <c r="T534" s="38">
        <f t="shared" ref="T534:T540" si="48">SUM(R534:S534)</f>
        <v>6</v>
      </c>
      <c r="U534" s="42">
        <v>0</v>
      </c>
      <c r="V534" s="38">
        <v>0</v>
      </c>
      <c r="W534" s="38">
        <v>0</v>
      </c>
      <c r="X534" s="38">
        <v>0</v>
      </c>
      <c r="Y534" s="37"/>
    </row>
    <row r="535" spans="1:25" s="31" customFormat="1" ht="15" customHeight="1" x14ac:dyDescent="0.3">
      <c r="A535" s="36"/>
      <c r="B535" s="37"/>
      <c r="C535" s="29"/>
      <c r="D535" s="37">
        <v>2019</v>
      </c>
      <c r="E535" s="38">
        <f>4734*1000000</f>
        <v>4734000000</v>
      </c>
      <c r="F535" s="38">
        <f>(4734+41+3+3177)*1000000</f>
        <v>7955000000</v>
      </c>
      <c r="G535" s="38">
        <f>1042407*1000000</f>
        <v>1042407000000</v>
      </c>
      <c r="H535" s="38">
        <f>28024*1000000</f>
        <v>28024000000</v>
      </c>
      <c r="I535" s="38">
        <f>861477*1000000</f>
        <v>861477000000</v>
      </c>
      <c r="J535" s="38">
        <f>7239*1000000</f>
        <v>7239000000</v>
      </c>
      <c r="K535" s="38">
        <f>180930*1000000</f>
        <v>180930000000</v>
      </c>
      <c r="L535" s="38">
        <f>968921*1000000</f>
        <v>968921000000</v>
      </c>
      <c r="M535" s="38">
        <f>1487*1000000</f>
        <v>1487000000</v>
      </c>
      <c r="N535" s="38">
        <f>20461*1000000</f>
        <v>20461000000</v>
      </c>
      <c r="O535" s="39">
        <v>0.99990000000000001</v>
      </c>
      <c r="P535" s="40" t="s">
        <v>227</v>
      </c>
      <c r="Q535" s="38">
        <v>2</v>
      </c>
      <c r="R535" s="38">
        <v>3</v>
      </c>
      <c r="S535" s="38">
        <v>3</v>
      </c>
      <c r="T535" s="38">
        <f t="shared" si="48"/>
        <v>6</v>
      </c>
      <c r="U535" s="42">
        <v>0</v>
      </c>
      <c r="V535" s="38">
        <v>0</v>
      </c>
      <c r="W535" s="38">
        <v>0</v>
      </c>
      <c r="X535" s="38">
        <v>0</v>
      </c>
      <c r="Y535" s="37"/>
    </row>
    <row r="536" spans="1:25" s="31" customFormat="1" ht="15" customHeight="1" x14ac:dyDescent="0.3">
      <c r="A536" s="36"/>
      <c r="B536" s="37"/>
      <c r="C536" s="29"/>
      <c r="D536" s="37">
        <v>2020</v>
      </c>
      <c r="E536" s="38">
        <f>1691*1000000</f>
        <v>1691000000</v>
      </c>
      <c r="F536" s="38">
        <f>(1691+164+359+3918)*1000000</f>
        <v>6132000000</v>
      </c>
      <c r="G536" s="38">
        <f>1732276*1000000</f>
        <v>1732276000000</v>
      </c>
      <c r="H536" s="38">
        <f>13512*1000000</f>
        <v>13512000000</v>
      </c>
      <c r="I536" s="38">
        <f>1414625*1000000</f>
        <v>1414625000000</v>
      </c>
      <c r="J536" s="38">
        <f>13348*1000000</f>
        <v>13348000000</v>
      </c>
      <c r="K536" s="38">
        <f>317651*1000000</f>
        <v>317651000000</v>
      </c>
      <c r="L536" s="38">
        <f>1993925*1000000</f>
        <v>1993925000000</v>
      </c>
      <c r="M536" s="38">
        <f>5994*1000000</f>
        <v>5994000000</v>
      </c>
      <c r="N536" s="38">
        <f>6721*1000000</f>
        <v>6721000000</v>
      </c>
      <c r="O536" s="39">
        <v>0.99990000000000001</v>
      </c>
      <c r="P536" s="40" t="s">
        <v>227</v>
      </c>
      <c r="Q536" s="38">
        <v>2</v>
      </c>
      <c r="R536" s="38">
        <v>3</v>
      </c>
      <c r="S536" s="38">
        <v>2</v>
      </c>
      <c r="T536" s="38">
        <f t="shared" si="48"/>
        <v>5</v>
      </c>
      <c r="U536" s="42">
        <v>0</v>
      </c>
      <c r="V536" s="38">
        <v>0</v>
      </c>
      <c r="W536" s="38">
        <v>0</v>
      </c>
      <c r="X536" s="38">
        <v>0</v>
      </c>
      <c r="Y536" s="37"/>
    </row>
    <row r="537" spans="1:25" s="31" customFormat="1" ht="15" customHeight="1" x14ac:dyDescent="0.3">
      <c r="A537" s="36"/>
      <c r="B537" s="37"/>
      <c r="C537" s="29"/>
      <c r="D537" s="37">
        <v>2021</v>
      </c>
      <c r="E537" s="38">
        <f>1736*1000000</f>
        <v>1736000000</v>
      </c>
      <c r="F537" s="38">
        <f>(1736+367+38+7384)*1000000</f>
        <v>9525000000</v>
      </c>
      <c r="G537" s="38">
        <f>2538317*1000000</f>
        <v>2538317000000</v>
      </c>
      <c r="H537" s="38">
        <f>10556*1000000</f>
        <v>10556000000</v>
      </c>
      <c r="I537" s="38">
        <f>2164223*1000000</f>
        <v>2164223000000</v>
      </c>
      <c r="J537" s="38">
        <f>21501*1000000</f>
        <v>21501000000</v>
      </c>
      <c r="K537" s="38">
        <f>374094*1000000</f>
        <v>374094000000</v>
      </c>
      <c r="L537" s="38">
        <f>1814955*1000000</f>
        <v>1814955000000</v>
      </c>
      <c r="M537" s="38">
        <f>7846*1000000</f>
        <v>7846000000</v>
      </c>
      <c r="N537" s="38">
        <f>56443*1000000</f>
        <v>56443000000</v>
      </c>
      <c r="O537" s="39">
        <v>0.99990000000000001</v>
      </c>
      <c r="P537" s="40" t="s">
        <v>227</v>
      </c>
      <c r="Q537" s="38">
        <v>2</v>
      </c>
      <c r="R537" s="38">
        <v>3</v>
      </c>
      <c r="S537" s="38">
        <v>3</v>
      </c>
      <c r="T537" s="38">
        <f t="shared" si="48"/>
        <v>6</v>
      </c>
      <c r="U537" s="42">
        <v>0</v>
      </c>
      <c r="V537" s="38">
        <v>0</v>
      </c>
      <c r="W537" s="38">
        <v>0</v>
      </c>
      <c r="X537" s="38">
        <v>0</v>
      </c>
      <c r="Y537" s="37"/>
    </row>
    <row r="538" spans="1:25" s="31" customFormat="1" ht="15" customHeight="1" x14ac:dyDescent="0.3">
      <c r="A538" s="36"/>
      <c r="B538" s="37"/>
      <c r="C538" s="29"/>
      <c r="D538" s="37">
        <v>2022</v>
      </c>
      <c r="E538" s="38">
        <f>4922*1000000</f>
        <v>4922000000</v>
      </c>
      <c r="F538" s="38">
        <f>(4922+235+377+80+8005)*1000000</f>
        <v>13619000000</v>
      </c>
      <c r="G538" s="38">
        <f>2772112*1000000</f>
        <v>2772112000000</v>
      </c>
      <c r="H538" s="38">
        <f>6926*1000000</f>
        <v>6926000000</v>
      </c>
      <c r="I538" s="38">
        <f>2389973*1000000</f>
        <v>2389973000000</v>
      </c>
      <c r="J538" s="38">
        <f>30082*1000000</f>
        <v>30082000000</v>
      </c>
      <c r="K538" s="38">
        <f>382139*1000000</f>
        <v>382139000000</v>
      </c>
      <c r="L538" s="38">
        <f>1961068*1000000</f>
        <v>1961068000000</v>
      </c>
      <c r="M538" s="38">
        <f>8211*1000000</f>
        <v>8211000000</v>
      </c>
      <c r="N538" s="38">
        <f>8045*1000000</f>
        <v>8045000000</v>
      </c>
      <c r="O538" s="39">
        <v>0.99990000000000001</v>
      </c>
      <c r="P538" s="40" t="s">
        <v>227</v>
      </c>
      <c r="Q538" s="38">
        <v>2</v>
      </c>
      <c r="R538" s="38">
        <v>3</v>
      </c>
      <c r="S538" s="38">
        <v>3</v>
      </c>
      <c r="T538" s="38">
        <f t="shared" si="48"/>
        <v>6</v>
      </c>
      <c r="U538" s="42">
        <v>0</v>
      </c>
      <c r="V538" s="38">
        <v>0</v>
      </c>
      <c r="W538" s="38">
        <v>0</v>
      </c>
      <c r="X538" s="38">
        <v>0</v>
      </c>
      <c r="Y538" s="37"/>
    </row>
    <row r="539" spans="1:25" s="31" customFormat="1" ht="15" customHeight="1" x14ac:dyDescent="0.3">
      <c r="A539" s="36"/>
      <c r="B539" s="37"/>
      <c r="C539" s="29"/>
      <c r="D539" s="37">
        <v>2023</v>
      </c>
      <c r="E539" s="38">
        <f>55003*1000000</f>
        <v>55003000000</v>
      </c>
      <c r="F539" s="38">
        <f>(55003+394+1233+397+13697)*1000000</f>
        <v>70724000000</v>
      </c>
      <c r="G539" s="38">
        <f>2933798*1000000</f>
        <v>2933798000000</v>
      </c>
      <c r="H539" s="38">
        <f>8482*1000000</f>
        <v>8482000000</v>
      </c>
      <c r="I539" s="38">
        <f>2410494*1000000</f>
        <v>2410494000000</v>
      </c>
      <c r="J539" s="38">
        <f>39634*1000000</f>
        <v>39634000000</v>
      </c>
      <c r="K539" s="38">
        <f>373304*1000000</f>
        <v>373304000000</v>
      </c>
      <c r="L539" s="38">
        <f>1809911*1000000</f>
        <v>1809911000000</v>
      </c>
      <c r="M539" s="38">
        <f>9136*1000000</f>
        <v>9136000000</v>
      </c>
      <c r="N539" s="38">
        <f>-108834*1000000</f>
        <v>-108834000000</v>
      </c>
      <c r="O539" s="39">
        <v>0.99990000000000001</v>
      </c>
      <c r="P539" s="40" t="s">
        <v>227</v>
      </c>
      <c r="Q539" s="38">
        <v>2</v>
      </c>
      <c r="R539" s="38">
        <v>3</v>
      </c>
      <c r="S539" s="38">
        <v>3</v>
      </c>
      <c r="T539" s="38">
        <f t="shared" si="48"/>
        <v>6</v>
      </c>
      <c r="U539" s="42">
        <v>0</v>
      </c>
      <c r="V539" s="38">
        <v>0</v>
      </c>
      <c r="W539" s="38">
        <v>0</v>
      </c>
      <c r="X539" s="38">
        <v>0</v>
      </c>
      <c r="Y539" s="37"/>
    </row>
    <row r="540" spans="1:25" s="31" customFormat="1" ht="15" customHeight="1" x14ac:dyDescent="0.3">
      <c r="A540" s="36"/>
      <c r="B540" s="37"/>
      <c r="C540" s="29"/>
      <c r="D540" s="37">
        <v>2024</v>
      </c>
      <c r="E540" s="38">
        <f>18763*1000000</f>
        <v>18763000000</v>
      </c>
      <c r="F540" s="38">
        <f>(18763+163+2870+215+1951)*1000000</f>
        <v>23962000000</v>
      </c>
      <c r="G540" s="38">
        <f>3369312*1000000</f>
        <v>3369312000000</v>
      </c>
      <c r="H540" s="38">
        <f>12454*1000000</f>
        <v>12454000000</v>
      </c>
      <c r="I540" s="38">
        <f>2651807*1000000</f>
        <v>2651807000000</v>
      </c>
      <c r="J540" s="38">
        <f>8206*1000000</f>
        <v>8206000000</v>
      </c>
      <c r="K540" s="38">
        <f>367505*1000000</f>
        <v>367505000000</v>
      </c>
      <c r="L540" s="38">
        <f>1905784*1000000</f>
        <v>1905784000000</v>
      </c>
      <c r="M540" s="38">
        <f>-32326*1000000</f>
        <v>-32326000000</v>
      </c>
      <c r="N540" s="38">
        <f>-85799*1000000</f>
        <v>-85799000000</v>
      </c>
      <c r="O540" s="39">
        <v>0.99990000000000001</v>
      </c>
      <c r="P540" s="40" t="s">
        <v>227</v>
      </c>
      <c r="Q540" s="38">
        <v>2</v>
      </c>
      <c r="R540" s="38">
        <v>3</v>
      </c>
      <c r="S540" s="38">
        <v>3</v>
      </c>
      <c r="T540" s="38">
        <f t="shared" si="48"/>
        <v>6</v>
      </c>
      <c r="U540" s="42">
        <v>0</v>
      </c>
      <c r="V540" s="38">
        <v>0</v>
      </c>
      <c r="W540" s="38">
        <v>0</v>
      </c>
      <c r="X540" s="38">
        <v>0</v>
      </c>
      <c r="Y540" s="37"/>
    </row>
    <row r="541" spans="1:25" s="31" customFormat="1" ht="15" customHeight="1" x14ac:dyDescent="0.3">
      <c r="A541" s="36"/>
      <c r="B541" s="37">
        <v>50</v>
      </c>
      <c r="C541" s="29" t="s">
        <v>39</v>
      </c>
      <c r="D541" s="37">
        <v>2014</v>
      </c>
      <c r="E541" s="38">
        <v>0</v>
      </c>
      <c r="F541" s="38">
        <v>0</v>
      </c>
      <c r="G541" s="38">
        <v>0</v>
      </c>
      <c r="H541" s="38">
        <v>0</v>
      </c>
      <c r="I541" s="38">
        <v>0</v>
      </c>
      <c r="J541" s="38">
        <v>0</v>
      </c>
      <c r="K541" s="38">
        <v>0</v>
      </c>
      <c r="L541" s="38">
        <f>4517540*1000000</f>
        <v>4517540000000</v>
      </c>
      <c r="M541" s="38">
        <v>0</v>
      </c>
      <c r="N541" s="38">
        <v>0</v>
      </c>
      <c r="O541" s="41">
        <v>0</v>
      </c>
      <c r="P541" s="38">
        <v>0</v>
      </c>
      <c r="Q541" s="38">
        <v>0</v>
      </c>
      <c r="R541" s="38">
        <v>0</v>
      </c>
      <c r="S541" s="38">
        <v>0</v>
      </c>
      <c r="T541" s="38">
        <v>0</v>
      </c>
      <c r="U541" s="41">
        <v>0</v>
      </c>
      <c r="V541" s="41">
        <v>0</v>
      </c>
      <c r="W541" s="41">
        <v>0</v>
      </c>
      <c r="X541" s="41">
        <v>0</v>
      </c>
      <c r="Y541" s="37"/>
    </row>
    <row r="542" spans="1:25" s="31" customFormat="1" ht="15" customHeight="1" x14ac:dyDescent="0.3">
      <c r="A542" s="36"/>
      <c r="B542" s="37"/>
      <c r="C542" s="29"/>
      <c r="D542" s="37">
        <v>2015</v>
      </c>
      <c r="E542" s="38">
        <f>96041*1000000</f>
        <v>96041000000</v>
      </c>
      <c r="F542" s="38">
        <f>(96041+12860+39882+30142+14187)*1000000</f>
        <v>193112000000</v>
      </c>
      <c r="G542" s="38">
        <f>8887980*1000000</f>
        <v>8887980000000</v>
      </c>
      <c r="H542" s="38">
        <f>292900*1000000</f>
        <v>292900000000</v>
      </c>
      <c r="I542" s="38">
        <f>4282242*1000000</f>
        <v>4282242000000</v>
      </c>
      <c r="J542" s="38">
        <f>680960*1000000</f>
        <v>680960000000</v>
      </c>
      <c r="K542" s="38">
        <f>4605738*1000000</f>
        <v>4605738000000</v>
      </c>
      <c r="L542" s="38">
        <f>4294471*1000000</f>
        <v>4294471000000</v>
      </c>
      <c r="M542" s="38">
        <f>344783*1000000</f>
        <v>344783000000</v>
      </c>
      <c r="N542" s="38">
        <f>319848*1000000</f>
        <v>319848000000</v>
      </c>
      <c r="O542" s="39">
        <v>0.95</v>
      </c>
      <c r="P542" s="40" t="s">
        <v>228</v>
      </c>
      <c r="Q542" s="38">
        <v>4</v>
      </c>
      <c r="R542" s="38">
        <v>8</v>
      </c>
      <c r="S542" s="38">
        <v>5</v>
      </c>
      <c r="T542" s="38">
        <f>SUM(R542:S542)</f>
        <v>13</v>
      </c>
      <c r="U542" s="42">
        <v>0</v>
      </c>
      <c r="V542" s="41">
        <v>0</v>
      </c>
      <c r="W542" s="41">
        <v>0</v>
      </c>
      <c r="X542" s="41">
        <v>0</v>
      </c>
      <c r="Y542" s="37"/>
    </row>
    <row r="543" spans="1:25" s="31" customFormat="1" ht="15" customHeight="1" x14ac:dyDescent="0.3">
      <c r="A543" s="36"/>
      <c r="B543" s="37"/>
      <c r="C543" s="29"/>
      <c r="D543" s="37">
        <v>2016</v>
      </c>
      <c r="E543" s="38">
        <f>74325*1000000</f>
        <v>74325000000</v>
      </c>
      <c r="F543" s="38">
        <f>(74325+12936+50146+50523+11453)*1000000</f>
        <v>199383000000</v>
      </c>
      <c r="G543" s="38">
        <f>9079542*1000000</f>
        <v>9079542000000</v>
      </c>
      <c r="H543" s="38">
        <f>274769*1000000</f>
        <v>274769000000</v>
      </c>
      <c r="I543" s="38">
        <f>4321332*1000000</f>
        <v>4321332000000</v>
      </c>
      <c r="J543" s="38">
        <f>812855*1000000</f>
        <v>812855000000</v>
      </c>
      <c r="K543" s="38">
        <f>4758210*1000000</f>
        <v>4758210000000</v>
      </c>
      <c r="L543" s="38">
        <f>4281101*1000000</f>
        <v>4281101000000</v>
      </c>
      <c r="M543" s="38">
        <f>341420*1000000</f>
        <v>341420000000</v>
      </c>
      <c r="N543" s="38">
        <f>365939*1000000</f>
        <v>365939000000</v>
      </c>
      <c r="O543" s="39">
        <v>0.95</v>
      </c>
      <c r="P543" s="40" t="s">
        <v>228</v>
      </c>
      <c r="Q543" s="38">
        <v>4</v>
      </c>
      <c r="R543" s="38">
        <v>8</v>
      </c>
      <c r="S543" s="38">
        <v>5</v>
      </c>
      <c r="T543" s="38">
        <f t="shared" ref="T543:T551" si="49">SUM(R543:S543)</f>
        <v>13</v>
      </c>
      <c r="U543" s="42">
        <v>0</v>
      </c>
      <c r="V543" s="41">
        <v>0</v>
      </c>
      <c r="W543" s="41">
        <v>0</v>
      </c>
      <c r="X543" s="41">
        <v>0</v>
      </c>
      <c r="Y543" s="37"/>
    </row>
    <row r="544" spans="1:25" s="31" customFormat="1" ht="15" customHeight="1" x14ac:dyDescent="0.3">
      <c r="A544" s="36"/>
      <c r="B544" s="37"/>
      <c r="C544" s="29"/>
      <c r="D544" s="37">
        <v>2017</v>
      </c>
      <c r="E544" s="38">
        <f>78164*1000000</f>
        <v>78164000000</v>
      </c>
      <c r="F544" s="38">
        <f>(78164+20182+23058+18582+53467)*1000000</f>
        <v>193453000000</v>
      </c>
      <c r="G544" s="38">
        <f>9158871*1000000</f>
        <v>9158871000000</v>
      </c>
      <c r="H544" s="38">
        <f>314014*1000000</f>
        <v>314014000000</v>
      </c>
      <c r="I544" s="38">
        <f>4186739*1000000</f>
        <v>4186739000000</v>
      </c>
      <c r="J544" s="38">
        <f>931122*1000000</f>
        <v>931122000000</v>
      </c>
      <c r="K544" s="38">
        <f>4972132*1000000</f>
        <v>4972132000000</v>
      </c>
      <c r="L544" s="38">
        <f>4921585*1000000</f>
        <v>4921585000000</v>
      </c>
      <c r="M544" s="38">
        <f>365371*1000000</f>
        <v>365371000000</v>
      </c>
      <c r="N544" s="38">
        <f>459410*1000000</f>
        <v>459410000000</v>
      </c>
      <c r="O544" s="39">
        <v>0.95</v>
      </c>
      <c r="P544" s="40" t="s">
        <v>228</v>
      </c>
      <c r="Q544" s="38">
        <v>4</v>
      </c>
      <c r="R544" s="38">
        <v>8</v>
      </c>
      <c r="S544" s="38">
        <v>5</v>
      </c>
      <c r="T544" s="38">
        <f t="shared" si="49"/>
        <v>13</v>
      </c>
      <c r="U544" s="42">
        <v>0</v>
      </c>
      <c r="V544" s="41">
        <v>0</v>
      </c>
      <c r="W544" s="41">
        <v>0</v>
      </c>
      <c r="X544" s="41">
        <v>0</v>
      </c>
      <c r="Y544" s="37"/>
    </row>
    <row r="545" spans="1:25" s="31" customFormat="1" ht="15" customHeight="1" x14ac:dyDescent="0.3">
      <c r="A545" s="36"/>
      <c r="B545" s="37"/>
      <c r="C545" s="29"/>
      <c r="D545" s="37">
        <v>2018</v>
      </c>
      <c r="E545" s="38">
        <f>66285*1000000</f>
        <v>66285000000</v>
      </c>
      <c r="F545" s="38">
        <f>(66285+29336+22703+44324+52706)*1000000</f>
        <v>215354000000</v>
      </c>
      <c r="G545" s="38">
        <f>9082567*1000000</f>
        <v>9082567000000</v>
      </c>
      <c r="H545" s="38">
        <f>318030*1000000</f>
        <v>318030000000</v>
      </c>
      <c r="I545" s="38">
        <f>4207935*1000000</f>
        <v>4207935000000</v>
      </c>
      <c r="J545" s="38">
        <f>965528*1000000</f>
        <v>965528000000</v>
      </c>
      <c r="K545" s="38">
        <f>4874632*1000000</f>
        <v>4874632000000</v>
      </c>
      <c r="L545" s="38">
        <f>4208934*1000000</f>
        <v>4208934000000</v>
      </c>
      <c r="M545" s="38">
        <f>398212*1000000</f>
        <v>398212000000</v>
      </c>
      <c r="N545" s="38">
        <f>276069*1000000</f>
        <v>276069000000</v>
      </c>
      <c r="O545" s="39">
        <v>0.95</v>
      </c>
      <c r="P545" s="40" t="s">
        <v>228</v>
      </c>
      <c r="Q545" s="38">
        <v>4</v>
      </c>
      <c r="R545" s="38">
        <v>8</v>
      </c>
      <c r="S545" s="38">
        <v>5</v>
      </c>
      <c r="T545" s="38">
        <f t="shared" si="49"/>
        <v>13</v>
      </c>
      <c r="U545" s="42">
        <v>0</v>
      </c>
      <c r="V545" s="41">
        <v>0</v>
      </c>
      <c r="W545" s="41">
        <v>0</v>
      </c>
      <c r="X545" s="41">
        <v>0</v>
      </c>
      <c r="Y545" s="37"/>
    </row>
    <row r="546" spans="1:25" s="31" customFormat="1" ht="15" customHeight="1" x14ac:dyDescent="0.3">
      <c r="A546" s="36"/>
      <c r="B546" s="37"/>
      <c r="C546" s="29"/>
      <c r="D546" s="37">
        <v>2019</v>
      </c>
      <c r="E546" s="38">
        <f>82757*1000000</f>
        <v>82757000000</v>
      </c>
      <c r="F546" s="38">
        <f>(82757+40734+35078+71878+52182)*1000000</f>
        <v>282629000000</v>
      </c>
      <c r="G546" s="38">
        <f>9112658*1000000</f>
        <v>9112658000000</v>
      </c>
      <c r="H546" s="38">
        <f>387921*1000000</f>
        <v>387921000000</v>
      </c>
      <c r="I546" s="38">
        <f>4129518*1000000</f>
        <v>4129518000000</v>
      </c>
      <c r="J546" s="38">
        <f>975527*1000000</f>
        <v>975527000000</v>
      </c>
      <c r="K546" s="38">
        <f>4983140*1000000</f>
        <v>4983140000000</v>
      </c>
      <c r="L546" s="38">
        <f>4345798*1000000</f>
        <v>4345798000000</v>
      </c>
      <c r="M546" s="38">
        <f>416929*1000000</f>
        <v>416929000000</v>
      </c>
      <c r="N546" s="38">
        <f>514097*1000000</f>
        <v>514097000000</v>
      </c>
      <c r="O546" s="39">
        <v>0.95</v>
      </c>
      <c r="P546" s="40" t="s">
        <v>228</v>
      </c>
      <c r="Q546" s="38">
        <v>4</v>
      </c>
      <c r="R546" s="38">
        <v>8</v>
      </c>
      <c r="S546" s="38">
        <v>5</v>
      </c>
      <c r="T546" s="38">
        <f t="shared" si="49"/>
        <v>13</v>
      </c>
      <c r="U546" s="42">
        <v>0</v>
      </c>
      <c r="V546" s="41">
        <v>0</v>
      </c>
      <c r="W546" s="41">
        <v>0</v>
      </c>
      <c r="X546" s="41">
        <v>0</v>
      </c>
      <c r="Y546" s="37"/>
    </row>
    <row r="547" spans="1:25" s="31" customFormat="1" ht="15" customHeight="1" x14ac:dyDescent="0.3">
      <c r="A547" s="36"/>
      <c r="B547" s="37"/>
      <c r="C547" s="29"/>
      <c r="D547" s="37">
        <v>2020</v>
      </c>
      <c r="E547" s="38">
        <f>102468*1000000</f>
        <v>102468000000</v>
      </c>
      <c r="F547" s="38">
        <f>(102468+57622+61358+135326+49646)*1000000</f>
        <v>406420000000</v>
      </c>
      <c r="G547" s="38">
        <f>9641705*1000000</f>
        <v>9641705000000</v>
      </c>
      <c r="H547" s="38">
        <f>527908*1000000</f>
        <v>527908000000</v>
      </c>
      <c r="I547" s="38">
        <f>4274240*1000000</f>
        <v>4274240000000</v>
      </c>
      <c r="J547" s="38">
        <f>1191538*1000000</f>
        <v>1191538000000</v>
      </c>
      <c r="K547" s="38">
        <f>5267465*1000000</f>
        <v>5267465000000</v>
      </c>
      <c r="L547" s="38">
        <f>2792914*1000000</f>
        <v>2792914000000</v>
      </c>
      <c r="M547" s="38">
        <f>435182*1000000</f>
        <v>435182000000</v>
      </c>
      <c r="N547" s="38">
        <f>497792*1000000</f>
        <v>497792000000</v>
      </c>
      <c r="O547" s="39">
        <v>0.95</v>
      </c>
      <c r="P547" s="40" t="s">
        <v>228</v>
      </c>
      <c r="Q547" s="38">
        <v>4</v>
      </c>
      <c r="R547" s="38">
        <v>7</v>
      </c>
      <c r="S547" s="38">
        <v>4</v>
      </c>
      <c r="T547" s="38">
        <f t="shared" si="49"/>
        <v>11</v>
      </c>
      <c r="U547" s="42">
        <v>0</v>
      </c>
      <c r="V547" s="41">
        <v>0</v>
      </c>
      <c r="W547" s="41">
        <v>0</v>
      </c>
      <c r="X547" s="41">
        <v>0</v>
      </c>
      <c r="Y547" s="37"/>
    </row>
    <row r="548" spans="1:25" s="31" customFormat="1" ht="15" customHeight="1" x14ac:dyDescent="0.3">
      <c r="A548" s="36"/>
      <c r="B548" s="37"/>
      <c r="C548" s="29"/>
      <c r="D548" s="37">
        <v>2021</v>
      </c>
      <c r="E548" s="38">
        <f>113896*1000000</f>
        <v>113896000000</v>
      </c>
      <c r="F548" s="38">
        <f>(113896+87831+62793+181348+32917)*1000000</f>
        <v>478785000000</v>
      </c>
      <c r="G548" s="38">
        <f>9598517*1000000</f>
        <v>9598517000000</v>
      </c>
      <c r="H548" s="38">
        <f>398551*1000000</f>
        <v>398551000000</v>
      </c>
      <c r="I548" s="38">
        <f>4387355*1000000</f>
        <v>4387355000000</v>
      </c>
      <c r="J548" s="38">
        <f>1156065*1000000</f>
        <v>1156065000000</v>
      </c>
      <c r="K548" s="38">
        <f>5211162*1000000</f>
        <v>5211162000000</v>
      </c>
      <c r="L548" s="38">
        <f>2693933*1000000</f>
        <v>2693933000000</v>
      </c>
      <c r="M548" s="38">
        <f>407086*1000000</f>
        <v>407086000000</v>
      </c>
      <c r="N548" s="38">
        <f>386645*1000000</f>
        <v>386645000000</v>
      </c>
      <c r="O548" s="39">
        <v>0.95</v>
      </c>
      <c r="P548" s="40" t="s">
        <v>228</v>
      </c>
      <c r="Q548" s="38">
        <v>4</v>
      </c>
      <c r="R548" s="38">
        <v>7</v>
      </c>
      <c r="S548" s="38">
        <v>5</v>
      </c>
      <c r="T548" s="38">
        <f t="shared" si="49"/>
        <v>12</v>
      </c>
      <c r="U548" s="42">
        <v>0</v>
      </c>
      <c r="V548" s="41">
        <v>0</v>
      </c>
      <c r="W548" s="41">
        <v>0</v>
      </c>
      <c r="X548" s="41">
        <v>0</v>
      </c>
      <c r="Y548" s="37"/>
    </row>
    <row r="549" spans="1:25" s="31" customFormat="1" ht="15" customHeight="1" x14ac:dyDescent="0.3">
      <c r="A549" s="36"/>
      <c r="B549" s="37"/>
      <c r="C549" s="29"/>
      <c r="D549" s="37">
        <v>2022</v>
      </c>
      <c r="E549" s="38">
        <f>151307*1000000</f>
        <v>151307000000</v>
      </c>
      <c r="F549" s="38">
        <f>(151307+115893+68147+171817+37987)*1000000</f>
        <v>545151000000</v>
      </c>
      <c r="G549" s="38">
        <f>8650793*1000000</f>
        <v>8650793000000</v>
      </c>
      <c r="H549" s="38">
        <f>403065*1000000</f>
        <v>403065000000</v>
      </c>
      <c r="I549" s="38">
        <f>4125395*1000000</f>
        <v>4125395000000</v>
      </c>
      <c r="J549" s="38">
        <f>528871*1000000</f>
        <v>528871000000</v>
      </c>
      <c r="K549" s="38">
        <f>4525398*1000000</f>
        <v>4525398000000</v>
      </c>
      <c r="L549" s="38">
        <f>2571759*1000000</f>
        <v>2571759000000</v>
      </c>
      <c r="M549" s="38">
        <f>435222*1000000</f>
        <v>435222000000</v>
      </c>
      <c r="N549" s="38">
        <f>394699*1000000</f>
        <v>394699000000</v>
      </c>
      <c r="O549" s="39">
        <v>0.95</v>
      </c>
      <c r="P549" s="40" t="s">
        <v>228</v>
      </c>
      <c r="Q549" s="38">
        <v>4</v>
      </c>
      <c r="R549" s="38">
        <v>8</v>
      </c>
      <c r="S549" s="38">
        <v>4</v>
      </c>
      <c r="T549" s="38">
        <f t="shared" si="49"/>
        <v>12</v>
      </c>
      <c r="U549" s="42">
        <v>0</v>
      </c>
      <c r="V549" s="41">
        <v>0</v>
      </c>
      <c r="W549" s="41">
        <v>0</v>
      </c>
      <c r="X549" s="41">
        <v>0</v>
      </c>
      <c r="Y549" s="37"/>
    </row>
    <row r="550" spans="1:25" s="31" customFormat="1" ht="15" customHeight="1" x14ac:dyDescent="0.3">
      <c r="A550" s="36"/>
      <c r="B550" s="37"/>
      <c r="C550" s="29"/>
      <c r="D550" s="37">
        <v>2023</v>
      </c>
      <c r="E550" s="38">
        <f>189217*1000000</f>
        <v>189217000000</v>
      </c>
      <c r="F550" s="38">
        <f>(189217+112778+81506+243141+40569)*1000000</f>
        <v>667211000000</v>
      </c>
      <c r="G550" s="38">
        <f>8978472*1000000</f>
        <v>8978472000000</v>
      </c>
      <c r="H550" s="38">
        <f>485978*1000000</f>
        <v>485978000000</v>
      </c>
      <c r="I550" s="38">
        <f>4236878*1000000</f>
        <v>4236878000000</v>
      </c>
      <c r="J550" s="38">
        <f>705746*1000000</f>
        <v>705746000000</v>
      </c>
      <c r="K550" s="38">
        <f>4741594*1000000</f>
        <v>4741594000000</v>
      </c>
      <c r="L550" s="38">
        <f>2538508*1000000</f>
        <v>2538508000000</v>
      </c>
      <c r="M550" s="38">
        <f>437691*1000000</f>
        <v>437691000000</v>
      </c>
      <c r="N550" s="38">
        <f>448983*1000000</f>
        <v>448983000000</v>
      </c>
      <c r="O550" s="39">
        <v>0.95</v>
      </c>
      <c r="P550" s="40" t="s">
        <v>228</v>
      </c>
      <c r="Q550" s="38">
        <v>4</v>
      </c>
      <c r="R550" s="38">
        <v>8</v>
      </c>
      <c r="S550" s="38">
        <v>3</v>
      </c>
      <c r="T550" s="38">
        <f t="shared" si="49"/>
        <v>11</v>
      </c>
      <c r="U550" s="42">
        <v>0</v>
      </c>
      <c r="V550" s="41">
        <v>0</v>
      </c>
      <c r="W550" s="41">
        <v>0</v>
      </c>
      <c r="X550" s="41">
        <v>0</v>
      </c>
      <c r="Y550" s="37"/>
    </row>
    <row r="551" spans="1:25" s="31" customFormat="1" ht="15" customHeight="1" x14ac:dyDescent="0.3">
      <c r="A551" s="36"/>
      <c r="B551" s="37"/>
      <c r="C551" s="29"/>
      <c r="D551" s="37">
        <v>2024</v>
      </c>
      <c r="E551" s="38">
        <f>225368*1000000</f>
        <v>225368000000</v>
      </c>
      <c r="F551" s="38">
        <f>(225368+88231+77661+213127+48188)*1000000</f>
        <v>652575000000</v>
      </c>
      <c r="G551" s="38">
        <f>8986258*1000000</f>
        <v>8986258000000</v>
      </c>
      <c r="H551" s="38">
        <f>532821*1000000</f>
        <v>532821000000</v>
      </c>
      <c r="I551" s="38">
        <f>4274543*1000000</f>
        <v>4274543000000</v>
      </c>
      <c r="J551" s="38">
        <f>754481*1000000</f>
        <v>754481000000</v>
      </c>
      <c r="K551" s="38">
        <f>4711715*1000000</f>
        <v>4711715000000</v>
      </c>
      <c r="L551" s="38">
        <f>2385587*1000000</f>
        <v>2385587000000</v>
      </c>
      <c r="M551" s="38">
        <f>361932*1000000</f>
        <v>361932000000</v>
      </c>
      <c r="N551" s="38">
        <f>285520*1000000</f>
        <v>285520000000</v>
      </c>
      <c r="O551" s="39">
        <v>0.95</v>
      </c>
      <c r="P551" s="40" t="s">
        <v>228</v>
      </c>
      <c r="Q551" s="38">
        <v>2</v>
      </c>
      <c r="R551" s="38">
        <v>4</v>
      </c>
      <c r="S551" s="38">
        <v>4</v>
      </c>
      <c r="T551" s="38">
        <f t="shared" si="49"/>
        <v>8</v>
      </c>
      <c r="U551" s="42">
        <v>0</v>
      </c>
      <c r="V551" s="41">
        <v>0</v>
      </c>
      <c r="W551" s="41">
        <v>0</v>
      </c>
      <c r="X551" s="41">
        <v>0</v>
      </c>
      <c r="Y551" s="37"/>
    </row>
    <row r="552" spans="1:25" s="31" customFormat="1" ht="15" customHeight="1" x14ac:dyDescent="0.3">
      <c r="A552" s="36"/>
      <c r="B552" s="37">
        <v>51</v>
      </c>
      <c r="C552" s="29" t="s">
        <v>48</v>
      </c>
      <c r="D552" s="37">
        <v>2014</v>
      </c>
      <c r="E552" s="38">
        <v>0</v>
      </c>
      <c r="F552" s="38">
        <v>0</v>
      </c>
      <c r="G552" s="38">
        <v>0</v>
      </c>
      <c r="H552" s="38">
        <v>0</v>
      </c>
      <c r="I552" s="38">
        <v>0</v>
      </c>
      <c r="J552" s="38">
        <v>0</v>
      </c>
      <c r="K552" s="38">
        <v>0</v>
      </c>
      <c r="L552" s="38">
        <v>0</v>
      </c>
      <c r="M552" s="38">
        <v>0</v>
      </c>
      <c r="N552" s="38">
        <v>0</v>
      </c>
      <c r="O552" s="41">
        <v>0</v>
      </c>
      <c r="P552" s="38">
        <f t="shared" ref="P552:P557" si="50">O552</f>
        <v>0</v>
      </c>
      <c r="Q552" s="38">
        <f t="shared" ref="Q552:Q557" si="51">P552</f>
        <v>0</v>
      </c>
      <c r="R552" s="38">
        <f t="shared" ref="R552:R557" si="52">Q552</f>
        <v>0</v>
      </c>
      <c r="S552" s="38">
        <f t="shared" ref="S552:S557" si="53">R552</f>
        <v>0</v>
      </c>
      <c r="T552" s="38">
        <f t="shared" ref="T552:T557" si="54">S552</f>
        <v>0</v>
      </c>
      <c r="U552" s="38">
        <f t="shared" ref="U552:U557" si="55">T552</f>
        <v>0</v>
      </c>
      <c r="V552" s="38">
        <f t="shared" ref="V552:V557" si="56">U552</f>
        <v>0</v>
      </c>
      <c r="W552" s="38">
        <f t="shared" ref="W552:W561" si="57">V552</f>
        <v>0</v>
      </c>
      <c r="X552" s="38">
        <f t="shared" ref="X552:X557" si="58">W552</f>
        <v>0</v>
      </c>
      <c r="Y552" s="37"/>
    </row>
    <row r="553" spans="1:25" s="31" customFormat="1" ht="15" customHeight="1" x14ac:dyDescent="0.3">
      <c r="A553" s="36"/>
      <c r="B553" s="37"/>
      <c r="C553" s="29"/>
      <c r="D553" s="37">
        <v>2015</v>
      </c>
      <c r="E553" s="38">
        <v>0</v>
      </c>
      <c r="F553" s="38">
        <v>0</v>
      </c>
      <c r="G553" s="38">
        <v>0</v>
      </c>
      <c r="H553" s="38">
        <v>0</v>
      </c>
      <c r="I553" s="38">
        <v>0</v>
      </c>
      <c r="J553" s="38">
        <v>0</v>
      </c>
      <c r="K553" s="38">
        <v>0</v>
      </c>
      <c r="L553" s="38">
        <v>0</v>
      </c>
      <c r="M553" s="38">
        <v>0</v>
      </c>
      <c r="N553" s="38">
        <v>0</v>
      </c>
      <c r="O553" s="41">
        <v>0</v>
      </c>
      <c r="P553" s="38">
        <f t="shared" si="50"/>
        <v>0</v>
      </c>
      <c r="Q553" s="38">
        <f t="shared" si="51"/>
        <v>0</v>
      </c>
      <c r="R553" s="38">
        <f t="shared" si="52"/>
        <v>0</v>
      </c>
      <c r="S553" s="38">
        <f t="shared" si="53"/>
        <v>0</v>
      </c>
      <c r="T553" s="38">
        <f t="shared" si="54"/>
        <v>0</v>
      </c>
      <c r="U553" s="38">
        <f t="shared" si="55"/>
        <v>0</v>
      </c>
      <c r="V553" s="38">
        <f t="shared" si="56"/>
        <v>0</v>
      </c>
      <c r="W553" s="38">
        <f t="shared" si="57"/>
        <v>0</v>
      </c>
      <c r="X553" s="38">
        <f t="shared" si="58"/>
        <v>0</v>
      </c>
      <c r="Y553" s="37"/>
    </row>
    <row r="554" spans="1:25" s="31" customFormat="1" ht="15" customHeight="1" x14ac:dyDescent="0.3">
      <c r="A554" s="36"/>
      <c r="B554" s="37"/>
      <c r="C554" s="29"/>
      <c r="D554" s="37">
        <v>2016</v>
      </c>
      <c r="E554" s="38">
        <v>0</v>
      </c>
      <c r="F554" s="38">
        <v>0</v>
      </c>
      <c r="G554" s="38">
        <v>0</v>
      </c>
      <c r="H554" s="38">
        <v>0</v>
      </c>
      <c r="I554" s="38">
        <v>0</v>
      </c>
      <c r="J554" s="38">
        <v>0</v>
      </c>
      <c r="K554" s="38">
        <v>0</v>
      </c>
      <c r="L554" s="38">
        <v>0</v>
      </c>
      <c r="M554" s="38">
        <v>0</v>
      </c>
      <c r="N554" s="38">
        <v>0</v>
      </c>
      <c r="O554" s="41">
        <v>0</v>
      </c>
      <c r="P554" s="38">
        <f t="shared" si="50"/>
        <v>0</v>
      </c>
      <c r="Q554" s="38">
        <f t="shared" si="51"/>
        <v>0</v>
      </c>
      <c r="R554" s="38">
        <f t="shared" si="52"/>
        <v>0</v>
      </c>
      <c r="S554" s="38">
        <f t="shared" si="53"/>
        <v>0</v>
      </c>
      <c r="T554" s="38">
        <f t="shared" si="54"/>
        <v>0</v>
      </c>
      <c r="U554" s="38">
        <f t="shared" si="55"/>
        <v>0</v>
      </c>
      <c r="V554" s="38">
        <f t="shared" si="56"/>
        <v>0</v>
      </c>
      <c r="W554" s="38">
        <f t="shared" si="57"/>
        <v>0</v>
      </c>
      <c r="X554" s="38">
        <f t="shared" si="58"/>
        <v>0</v>
      </c>
      <c r="Y554" s="37"/>
    </row>
    <row r="555" spans="1:25" s="31" customFormat="1" ht="15" customHeight="1" x14ac:dyDescent="0.3">
      <c r="A555" s="36"/>
      <c r="B555" s="37"/>
      <c r="C555" s="29"/>
      <c r="D555" s="37">
        <v>2017</v>
      </c>
      <c r="E555" s="38">
        <v>0</v>
      </c>
      <c r="F555" s="38">
        <v>0</v>
      </c>
      <c r="G555" s="38">
        <v>0</v>
      </c>
      <c r="H555" s="38">
        <v>0</v>
      </c>
      <c r="I555" s="38">
        <v>0</v>
      </c>
      <c r="J555" s="38">
        <v>0</v>
      </c>
      <c r="K555" s="38">
        <v>0</v>
      </c>
      <c r="L555" s="38">
        <v>0</v>
      </c>
      <c r="M555" s="38">
        <v>0</v>
      </c>
      <c r="N555" s="38">
        <v>0</v>
      </c>
      <c r="O555" s="41">
        <v>0</v>
      </c>
      <c r="P555" s="38">
        <f t="shared" si="50"/>
        <v>0</v>
      </c>
      <c r="Q555" s="38">
        <f t="shared" si="51"/>
        <v>0</v>
      </c>
      <c r="R555" s="38">
        <f t="shared" si="52"/>
        <v>0</v>
      </c>
      <c r="S555" s="38">
        <f t="shared" si="53"/>
        <v>0</v>
      </c>
      <c r="T555" s="38">
        <f t="shared" si="54"/>
        <v>0</v>
      </c>
      <c r="U555" s="38">
        <f t="shared" si="55"/>
        <v>0</v>
      </c>
      <c r="V555" s="38">
        <f t="shared" si="56"/>
        <v>0</v>
      </c>
      <c r="W555" s="38">
        <f t="shared" si="57"/>
        <v>0</v>
      </c>
      <c r="X555" s="38">
        <f t="shared" si="58"/>
        <v>0</v>
      </c>
      <c r="Y555" s="37"/>
    </row>
    <row r="556" spans="1:25" s="31" customFormat="1" ht="15" customHeight="1" x14ac:dyDescent="0.3">
      <c r="A556" s="36"/>
      <c r="B556" s="37"/>
      <c r="C556" s="29"/>
      <c r="D556" s="37">
        <v>2018</v>
      </c>
      <c r="E556" s="38">
        <v>0</v>
      </c>
      <c r="F556" s="38">
        <v>0</v>
      </c>
      <c r="G556" s="38">
        <v>0</v>
      </c>
      <c r="H556" s="38">
        <v>0</v>
      </c>
      <c r="I556" s="38">
        <v>0</v>
      </c>
      <c r="J556" s="38">
        <v>0</v>
      </c>
      <c r="K556" s="38">
        <v>0</v>
      </c>
      <c r="L556" s="38">
        <v>0</v>
      </c>
      <c r="M556" s="38">
        <v>0</v>
      </c>
      <c r="N556" s="38">
        <v>0</v>
      </c>
      <c r="O556" s="41">
        <v>0</v>
      </c>
      <c r="P556" s="38">
        <f t="shared" si="50"/>
        <v>0</v>
      </c>
      <c r="Q556" s="38">
        <f t="shared" si="51"/>
        <v>0</v>
      </c>
      <c r="R556" s="38">
        <f t="shared" si="52"/>
        <v>0</v>
      </c>
      <c r="S556" s="38">
        <f t="shared" si="53"/>
        <v>0</v>
      </c>
      <c r="T556" s="38">
        <f t="shared" si="54"/>
        <v>0</v>
      </c>
      <c r="U556" s="38">
        <f t="shared" si="55"/>
        <v>0</v>
      </c>
      <c r="V556" s="38">
        <f t="shared" si="56"/>
        <v>0</v>
      </c>
      <c r="W556" s="38">
        <f t="shared" si="57"/>
        <v>0</v>
      </c>
      <c r="X556" s="38">
        <f t="shared" si="58"/>
        <v>0</v>
      </c>
      <c r="Y556" s="37"/>
    </row>
    <row r="557" spans="1:25" s="31" customFormat="1" ht="15" customHeight="1" x14ac:dyDescent="0.3">
      <c r="A557" s="36"/>
      <c r="B557" s="37"/>
      <c r="C557" s="29"/>
      <c r="D557" s="37">
        <v>2019</v>
      </c>
      <c r="E557" s="38">
        <f>8182*1000000</f>
        <v>8182000000</v>
      </c>
      <c r="F557" s="38">
        <f>(8182+36136+38374+10116+6137)*1000000</f>
        <v>98945000000</v>
      </c>
      <c r="G557" s="38">
        <f>1697933*1000000</f>
        <v>1697933000000</v>
      </c>
      <c r="H557" s="38">
        <f>44411*1000000</f>
        <v>44411000000</v>
      </c>
      <c r="I557" s="38">
        <f>1534233*1000000</f>
        <v>1534233000000</v>
      </c>
      <c r="J557" s="38">
        <f>-235654*1000000</f>
        <v>-235654000000</v>
      </c>
      <c r="K557" s="38">
        <f>163700*1000000</f>
        <v>163700000000</v>
      </c>
      <c r="L557" s="38">
        <f>696810*1000000</f>
        <v>696810000000</v>
      </c>
      <c r="M557" s="38">
        <f>383*1000000</f>
        <v>383000000</v>
      </c>
      <c r="N557" s="38">
        <f>-39394*1000000</f>
        <v>-39394000000</v>
      </c>
      <c r="O557" s="48">
        <v>0</v>
      </c>
      <c r="P557" s="38">
        <f t="shared" si="50"/>
        <v>0</v>
      </c>
      <c r="Q557" s="38">
        <f t="shared" si="51"/>
        <v>0</v>
      </c>
      <c r="R557" s="38">
        <f t="shared" si="52"/>
        <v>0</v>
      </c>
      <c r="S557" s="38">
        <f t="shared" si="53"/>
        <v>0</v>
      </c>
      <c r="T557" s="38">
        <f t="shared" si="54"/>
        <v>0</v>
      </c>
      <c r="U557" s="38">
        <f t="shared" si="55"/>
        <v>0</v>
      </c>
      <c r="V557" s="38">
        <f t="shared" si="56"/>
        <v>0</v>
      </c>
      <c r="W557" s="38">
        <f t="shared" si="57"/>
        <v>0</v>
      </c>
      <c r="X557" s="38">
        <f t="shared" si="58"/>
        <v>0</v>
      </c>
      <c r="Y557" s="37"/>
    </row>
    <row r="558" spans="1:25" s="31" customFormat="1" ht="15" customHeight="1" x14ac:dyDescent="0.3">
      <c r="A558" s="36"/>
      <c r="B558" s="37"/>
      <c r="C558" s="29"/>
      <c r="D558" s="37">
        <v>2020</v>
      </c>
      <c r="E558" s="38">
        <f>29333*1000000</f>
        <v>29333000000</v>
      </c>
      <c r="F558" s="38">
        <f>(29333+72622+44278+14252+9142)*1000000</f>
        <v>169627000000</v>
      </c>
      <c r="G558" s="38">
        <f>1957853*1000000</f>
        <v>1957853000000</v>
      </c>
      <c r="H558" s="38">
        <f>95681*1000000</f>
        <v>95681000000</v>
      </c>
      <c r="I558" s="38">
        <f>1628341*1000000</f>
        <v>1628341000000</v>
      </c>
      <c r="J558" s="38">
        <f>-217267*1000000</f>
        <v>-217267000000</v>
      </c>
      <c r="K558" s="38">
        <f>329512*1000000</f>
        <v>329512000000</v>
      </c>
      <c r="L558" s="38">
        <f>536949*1000000</f>
        <v>536949000000</v>
      </c>
      <c r="M558" s="38">
        <f>-1764*1000000</f>
        <v>-1764000000</v>
      </c>
      <c r="N558" s="38">
        <f>22811*1000000</f>
        <v>22811000000</v>
      </c>
      <c r="O558" s="39">
        <v>0.71389999999999998</v>
      </c>
      <c r="P558" s="40" t="s">
        <v>229</v>
      </c>
      <c r="Q558" s="38">
        <v>2</v>
      </c>
      <c r="R558" s="38">
        <v>4</v>
      </c>
      <c r="S558" s="38">
        <v>4</v>
      </c>
      <c r="T558" s="38">
        <f>SUM(R558:S558)</f>
        <v>8</v>
      </c>
      <c r="U558" s="42">
        <v>0</v>
      </c>
      <c r="V558" s="38">
        <f>4+(2*3)+(2*1)</f>
        <v>12</v>
      </c>
      <c r="W558" s="38">
        <f t="shared" si="57"/>
        <v>12</v>
      </c>
      <c r="X558" s="38">
        <f>4+(2*3)</f>
        <v>10</v>
      </c>
      <c r="Y558" s="37"/>
    </row>
    <row r="559" spans="1:25" s="31" customFormat="1" ht="15" customHeight="1" x14ac:dyDescent="0.3">
      <c r="A559" s="36"/>
      <c r="B559" s="37"/>
      <c r="C559" s="29"/>
      <c r="D559" s="37">
        <v>2021</v>
      </c>
      <c r="E559" s="38">
        <f>43702.9*1000000</f>
        <v>43702900000</v>
      </c>
      <c r="F559" s="38">
        <f>(43702.9+145513.8+47143+16421+11420)*1000000</f>
        <v>264200699999.99994</v>
      </c>
      <c r="G559" s="38">
        <f>2100153*1000000</f>
        <v>2100153000000</v>
      </c>
      <c r="H559" s="38">
        <f>76167*1000000</f>
        <v>76167000000</v>
      </c>
      <c r="I559" s="38">
        <f>1743934*1000000</f>
        <v>1743934000000</v>
      </c>
      <c r="J559" s="38">
        <f>-168313*1000000</f>
        <v>-168313000000</v>
      </c>
      <c r="K559" s="38">
        <f>356219*1000000</f>
        <v>356219000000</v>
      </c>
      <c r="L559" s="38">
        <f>566930*1000000</f>
        <v>566930000000</v>
      </c>
      <c r="M559" s="38">
        <f>49748*1000000</f>
        <v>49748000000</v>
      </c>
      <c r="N559" s="38">
        <f>26708*1000000</f>
        <v>26708000000</v>
      </c>
      <c r="O559" s="39">
        <v>0.71389999999999998</v>
      </c>
      <c r="P559" s="40" t="s">
        <v>229</v>
      </c>
      <c r="Q559" s="38">
        <v>2</v>
      </c>
      <c r="R559" s="38">
        <v>4</v>
      </c>
      <c r="S559" s="38">
        <v>3</v>
      </c>
      <c r="T559" s="38">
        <f>SUM(R559:S559)</f>
        <v>7</v>
      </c>
      <c r="U559" s="42">
        <v>0</v>
      </c>
      <c r="V559" s="38">
        <f>4+(2*4)</f>
        <v>12</v>
      </c>
      <c r="W559" s="38">
        <f t="shared" si="57"/>
        <v>12</v>
      </c>
      <c r="X559" s="38">
        <f>3+(2*3)</f>
        <v>9</v>
      </c>
      <c r="Y559" s="37"/>
    </row>
    <row r="560" spans="1:25" s="31" customFormat="1" ht="15" customHeight="1" x14ac:dyDescent="0.3">
      <c r="A560" s="36"/>
      <c r="B560" s="37"/>
      <c r="C560" s="29"/>
      <c r="D560" s="37">
        <v>2022</v>
      </c>
      <c r="E560" s="38">
        <f>123888*1000000</f>
        <v>123888000000</v>
      </c>
      <c r="F560" s="38">
        <f>(123888+236783+29665+25368+15005)*1000000</f>
        <v>430709000000</v>
      </c>
      <c r="G560" s="38">
        <f>2377506*1000000</f>
        <v>2377506000000</v>
      </c>
      <c r="H560" s="38">
        <f>208363*1000000</f>
        <v>208363000000</v>
      </c>
      <c r="I560" s="38">
        <f>1955230*1000000</f>
        <v>1955230000000</v>
      </c>
      <c r="J560" s="38">
        <f>-87338*1000000</f>
        <v>-87338000000</v>
      </c>
      <c r="K560" s="38">
        <f>422277*1000000</f>
        <v>422277000000</v>
      </c>
      <c r="L560" s="38">
        <f>793256*1000000</f>
        <v>793256000000</v>
      </c>
      <c r="M560" s="38">
        <f>72016*1000000</f>
        <v>72016000000</v>
      </c>
      <c r="N560" s="38">
        <f>66058*1000000</f>
        <v>66058000000</v>
      </c>
      <c r="O560" s="39">
        <v>0.71389999999999998</v>
      </c>
      <c r="P560" s="40" t="s">
        <v>229</v>
      </c>
      <c r="Q560" s="38">
        <v>2</v>
      </c>
      <c r="R560" s="38">
        <v>4</v>
      </c>
      <c r="S560" s="38">
        <v>4</v>
      </c>
      <c r="T560" s="38">
        <f>SUM(R560:S560)</f>
        <v>8</v>
      </c>
      <c r="U560" s="42">
        <v>0</v>
      </c>
      <c r="V560" s="38">
        <f>4+(2*4)</f>
        <v>12</v>
      </c>
      <c r="W560" s="38">
        <f t="shared" si="57"/>
        <v>12</v>
      </c>
      <c r="X560" s="38">
        <f>4+(2*3)</f>
        <v>10</v>
      </c>
      <c r="Y560" s="37"/>
    </row>
    <row r="561" spans="1:25" s="31" customFormat="1" ht="15" customHeight="1" x14ac:dyDescent="0.3">
      <c r="A561" s="36"/>
      <c r="B561" s="37"/>
      <c r="C561" s="29"/>
      <c r="D561" s="37">
        <v>2023</v>
      </c>
      <c r="E561" s="38">
        <f>26287*1000000</f>
        <v>26287000000</v>
      </c>
      <c r="F561" s="38">
        <f>(26287+228762+7279+14638+20477)*1000000</f>
        <v>297443000000</v>
      </c>
      <c r="G561" s="38">
        <f>2877857*1000000</f>
        <v>2877857000000</v>
      </c>
      <c r="H561" s="38">
        <f>151372*1000000</f>
        <v>151372000000</v>
      </c>
      <c r="I561" s="38">
        <f>2326080*1000000</f>
        <v>2326080000000</v>
      </c>
      <c r="J561" s="38">
        <f>316*1000000</f>
        <v>316000000</v>
      </c>
      <c r="K561" s="38">
        <f>515777*1000000</f>
        <v>515777000000</v>
      </c>
      <c r="L561" s="38">
        <f>1070524*1000000</f>
        <v>1070524000000</v>
      </c>
      <c r="M561" s="38">
        <f>92117*1000000</f>
        <v>92117000000</v>
      </c>
      <c r="N561" s="38">
        <f>93500*1000000</f>
        <v>93500000000</v>
      </c>
      <c r="O561" s="39">
        <v>0.71389999999999998</v>
      </c>
      <c r="P561" s="40" t="s">
        <v>229</v>
      </c>
      <c r="Q561" s="38">
        <v>2</v>
      </c>
      <c r="R561" s="38">
        <v>4</v>
      </c>
      <c r="S561" s="38">
        <v>3</v>
      </c>
      <c r="T561" s="38">
        <f>SUM(R561:S561)</f>
        <v>7</v>
      </c>
      <c r="U561" s="42">
        <v>0</v>
      </c>
      <c r="V561" s="38">
        <f>4+(2*4)</f>
        <v>12</v>
      </c>
      <c r="W561" s="38">
        <f t="shared" si="57"/>
        <v>12</v>
      </c>
      <c r="X561" s="38">
        <f>3+(2*2)</f>
        <v>7</v>
      </c>
      <c r="Y561" s="37"/>
    </row>
    <row r="562" spans="1:25" s="31" customFormat="1" ht="15" customHeight="1" x14ac:dyDescent="0.3">
      <c r="A562" s="36"/>
      <c r="B562" s="37"/>
      <c r="C562" s="29"/>
      <c r="D562" s="37">
        <v>2024</v>
      </c>
      <c r="E562" s="38">
        <f>6924*1000000</f>
        <v>6924000000</v>
      </c>
      <c r="F562" s="38">
        <f>(6924+170575+15636+23787+25050)*1000000</f>
        <v>241972000000</v>
      </c>
      <c r="G562" s="38">
        <f>3111702*1000000</f>
        <v>3111702000000</v>
      </c>
      <c r="H562" s="38">
        <f>128256*1000000</f>
        <v>128256000000</v>
      </c>
      <c r="I562" s="38">
        <f>2505638*1000000</f>
        <v>2505638000000</v>
      </c>
      <c r="J562" s="38">
        <f>97154*1000000</f>
        <v>97154000000</v>
      </c>
      <c r="K562" s="38">
        <f>606065*1000000</f>
        <v>606065000000</v>
      </c>
      <c r="L562" s="38">
        <f>1370324*1000000</f>
        <v>1370324000000</v>
      </c>
      <c r="M562" s="38">
        <f>103156*1000000</f>
        <v>103156000000</v>
      </c>
      <c r="N562" s="38">
        <f>90541*1000000</f>
        <v>90541000000</v>
      </c>
      <c r="O562" s="39">
        <v>0.71389999999999998</v>
      </c>
      <c r="P562" s="40" t="s">
        <v>229</v>
      </c>
      <c r="Q562" s="38">
        <v>2</v>
      </c>
      <c r="R562" s="38">
        <v>3</v>
      </c>
      <c r="S562" s="38">
        <v>3</v>
      </c>
      <c r="T562" s="38">
        <f>SUM(R562:S562)</f>
        <v>6</v>
      </c>
      <c r="U562" s="42">
        <v>0</v>
      </c>
      <c r="V562" s="38">
        <v>0</v>
      </c>
      <c r="W562" s="38">
        <v>0</v>
      </c>
      <c r="X562" s="38">
        <v>0</v>
      </c>
      <c r="Y562" s="37"/>
    </row>
    <row r="563" spans="1:25" s="31" customFormat="1" ht="15" customHeight="1" x14ac:dyDescent="0.3">
      <c r="A563" s="36"/>
      <c r="B563" s="37">
        <v>52</v>
      </c>
      <c r="C563" s="29" t="s">
        <v>37</v>
      </c>
      <c r="D563" s="37">
        <v>2014</v>
      </c>
      <c r="E563" s="38">
        <v>0</v>
      </c>
      <c r="F563" s="38">
        <v>0</v>
      </c>
      <c r="G563" s="38">
        <v>0</v>
      </c>
      <c r="H563" s="38">
        <v>0</v>
      </c>
      <c r="I563" s="38">
        <v>0</v>
      </c>
      <c r="J563" s="38">
        <v>0</v>
      </c>
      <c r="K563" s="38">
        <v>0</v>
      </c>
      <c r="L563" s="38">
        <f>47938.56*1000000</f>
        <v>47938560000</v>
      </c>
      <c r="M563" s="38">
        <v>0</v>
      </c>
      <c r="N563" s="38">
        <v>0</v>
      </c>
      <c r="O563" s="48">
        <v>0</v>
      </c>
      <c r="P563" s="40">
        <v>0</v>
      </c>
      <c r="Q563" s="40">
        <v>0</v>
      </c>
      <c r="R563" s="40">
        <v>0</v>
      </c>
      <c r="S563" s="40">
        <v>0</v>
      </c>
      <c r="T563" s="40">
        <v>0</v>
      </c>
      <c r="U563" s="40">
        <v>0</v>
      </c>
      <c r="V563" s="40">
        <v>0</v>
      </c>
      <c r="W563" s="40">
        <v>0</v>
      </c>
      <c r="X563" s="40">
        <v>0</v>
      </c>
      <c r="Y563" s="37"/>
    </row>
    <row r="564" spans="1:25" s="31" customFormat="1" ht="15" customHeight="1" x14ac:dyDescent="0.3">
      <c r="A564" s="36"/>
      <c r="B564" s="37"/>
      <c r="C564" s="29"/>
      <c r="D564" s="37">
        <v>2015</v>
      </c>
      <c r="E564" s="38">
        <f>10655*1000000</f>
        <v>10655000000</v>
      </c>
      <c r="F564" s="38">
        <f>(10655+4366+1510+474)*1000000</f>
        <v>17005000000</v>
      </c>
      <c r="G564" s="38">
        <f>233945*1000000</f>
        <v>233945000000</v>
      </c>
      <c r="H564" s="38">
        <f>16676*1000000</f>
        <v>16676000000</v>
      </c>
      <c r="I564" s="38">
        <f>91182*1000000</f>
        <v>91182000000</v>
      </c>
      <c r="J564" s="38">
        <f>42927*1000000</f>
        <v>42927000000</v>
      </c>
      <c r="K564" s="38">
        <f>142763*1000000</f>
        <v>142763000000</v>
      </c>
      <c r="L564" s="38">
        <f>199837*1000000</f>
        <v>199837000000</v>
      </c>
      <c r="M564" s="38">
        <f>46330*1000000</f>
        <v>46330000000</v>
      </c>
      <c r="N564" s="38">
        <f>37215*1000000</f>
        <v>37215000000</v>
      </c>
      <c r="O564" s="48">
        <v>0</v>
      </c>
      <c r="P564" s="40">
        <v>0</v>
      </c>
      <c r="Q564" s="40">
        <v>0</v>
      </c>
      <c r="R564" s="40">
        <v>0</v>
      </c>
      <c r="S564" s="40">
        <v>0</v>
      </c>
      <c r="T564" s="40">
        <v>0</v>
      </c>
      <c r="U564" s="40">
        <v>0</v>
      </c>
      <c r="V564" s="40">
        <v>0</v>
      </c>
      <c r="W564" s="40">
        <v>0</v>
      </c>
      <c r="X564" s="40">
        <v>0</v>
      </c>
      <c r="Y564" s="37"/>
    </row>
    <row r="565" spans="1:25" s="31" customFormat="1" ht="15" customHeight="1" x14ac:dyDescent="0.3">
      <c r="A565" s="36"/>
      <c r="B565" s="37"/>
      <c r="C565" s="29"/>
      <c r="D565" s="37">
        <v>2016</v>
      </c>
      <c r="E565" s="38">
        <f>65184*1000000</f>
        <v>65184000000</v>
      </c>
      <c r="F565" s="38">
        <f>(65184+11019+2060+530)*1000000</f>
        <v>78793000000</v>
      </c>
      <c r="G565" s="38">
        <f>423296*1000000</f>
        <v>423296000000</v>
      </c>
      <c r="H565" s="38">
        <f>28414*1000000</f>
        <v>28414000000</v>
      </c>
      <c r="I565" s="38">
        <f>206951*1000000</f>
        <v>206951000000</v>
      </c>
      <c r="J565" s="38">
        <f>116701*1000000</f>
        <v>116701000000</v>
      </c>
      <c r="K565" s="38">
        <f>216345*1000000</f>
        <v>216345000000</v>
      </c>
      <c r="L565" s="38">
        <f>366750*1000000</f>
        <v>366750000000</v>
      </c>
      <c r="M565" s="38">
        <f>94506*1000000</f>
        <v>94506000000</v>
      </c>
      <c r="N565" s="38">
        <f>73582*1000000</f>
        <v>73582000000</v>
      </c>
      <c r="O565" s="39">
        <v>0.99990000000000001</v>
      </c>
      <c r="P565" s="40" t="s">
        <v>243</v>
      </c>
      <c r="Q565" s="38">
        <v>2</v>
      </c>
      <c r="R565" s="38">
        <v>3</v>
      </c>
      <c r="S565" s="38">
        <v>4</v>
      </c>
      <c r="T565" s="38">
        <v>7</v>
      </c>
      <c r="U565" s="40">
        <v>0</v>
      </c>
      <c r="V565" s="40">
        <v>0</v>
      </c>
      <c r="W565" s="40">
        <v>0</v>
      </c>
      <c r="X565" s="40">
        <v>0</v>
      </c>
      <c r="Y565" s="37"/>
    </row>
    <row r="566" spans="1:25" s="31" customFormat="1" ht="15" customHeight="1" x14ac:dyDescent="0.3">
      <c r="A566" s="36"/>
      <c r="B566" s="37"/>
      <c r="C566" s="29"/>
      <c r="D566" s="37">
        <v>2017</v>
      </c>
      <c r="E566" s="38">
        <f>60639*1000000</f>
        <v>60639000000</v>
      </c>
      <c r="F566" s="38">
        <f>(60639+7324+979+2762+1863)*1000000</f>
        <v>73567000000</v>
      </c>
      <c r="G566" s="38">
        <f>741105*1000000</f>
        <v>741105000000</v>
      </c>
      <c r="H566" s="38">
        <f>43747*1000000</f>
        <v>43747000000</v>
      </c>
      <c r="I566" s="38">
        <f>438079*1000000</f>
        <v>438079000000</v>
      </c>
      <c r="J566" s="38">
        <f>87358*1000000</f>
        <v>87358000000</v>
      </c>
      <c r="K566" s="38">
        <f>303026*1000000</f>
        <v>303026000000</v>
      </c>
      <c r="L566" s="38">
        <f>613079*1000000</f>
        <v>613079000000</v>
      </c>
      <c r="M566" s="38">
        <f>108706*1000000</f>
        <v>108706000000</v>
      </c>
      <c r="N566" s="38">
        <f>86750*1000000</f>
        <v>86750000000</v>
      </c>
      <c r="O566" s="39">
        <v>0.51</v>
      </c>
      <c r="P566" s="40" t="s">
        <v>243</v>
      </c>
      <c r="Q566" s="38">
        <v>2</v>
      </c>
      <c r="R566" s="38">
        <v>4</v>
      </c>
      <c r="S566" s="38">
        <v>4</v>
      </c>
      <c r="T566" s="38">
        <v>8</v>
      </c>
      <c r="U566" s="40">
        <v>0</v>
      </c>
      <c r="V566" s="40">
        <v>0</v>
      </c>
      <c r="W566" s="40">
        <v>0</v>
      </c>
      <c r="X566" s="40">
        <v>0</v>
      </c>
      <c r="Y566" s="37"/>
    </row>
    <row r="567" spans="1:25" s="31" customFormat="1" ht="15" customHeight="1" x14ac:dyDescent="0.3">
      <c r="A567" s="36"/>
      <c r="B567" s="37"/>
      <c r="C567" s="29"/>
      <c r="D567" s="37">
        <v>2018</v>
      </c>
      <c r="E567" s="38">
        <f>45733*1000000</f>
        <v>45733000000</v>
      </c>
      <c r="F567" s="38">
        <f>(45733+6940+2359+7809+1796)*1000000</f>
        <v>64637000000</v>
      </c>
      <c r="G567" s="38">
        <f>1011939*1000000</f>
        <v>1011939000000</v>
      </c>
      <c r="H567" s="38">
        <f>57508*1000000</f>
        <v>57508000000</v>
      </c>
      <c r="I567" s="38">
        <f>736719*1000000</f>
        <v>736719000000</v>
      </c>
      <c r="J567" s="38">
        <f>60045*1000000</f>
        <v>60045000000</v>
      </c>
      <c r="K567" s="38">
        <f>275220*1000000</f>
        <v>275220000000</v>
      </c>
      <c r="L567" s="38">
        <f>730541*1000000</f>
        <v>730541000000</v>
      </c>
      <c r="M567" s="38">
        <f>87796*1000000</f>
        <v>87796000000</v>
      </c>
      <c r="N567" s="38">
        <f>59551*1000000</f>
        <v>59551000000</v>
      </c>
      <c r="O567" s="39">
        <v>0.51</v>
      </c>
      <c r="P567" s="40" t="s">
        <v>243</v>
      </c>
      <c r="Q567" s="38">
        <v>2</v>
      </c>
      <c r="R567" s="38">
        <v>4</v>
      </c>
      <c r="S567" s="38">
        <v>3</v>
      </c>
      <c r="T567" s="38">
        <v>7</v>
      </c>
      <c r="U567" s="40">
        <v>0</v>
      </c>
      <c r="V567" s="40">
        <v>0</v>
      </c>
      <c r="W567" s="40">
        <v>0</v>
      </c>
      <c r="X567" s="40">
        <v>0</v>
      </c>
      <c r="Y567" s="37"/>
    </row>
    <row r="568" spans="1:25" s="31" customFormat="1" ht="15" customHeight="1" x14ac:dyDescent="0.3">
      <c r="A568" s="36"/>
      <c r="B568" s="37"/>
      <c r="C568" s="29"/>
      <c r="D568" s="37">
        <v>2019</v>
      </c>
      <c r="E568" s="38">
        <f>44217*1000000</f>
        <v>44217000000</v>
      </c>
      <c r="F568" s="38">
        <f>(44217+7666+3164+13485+1639)*1000000</f>
        <v>70171000000</v>
      </c>
      <c r="G568" s="38">
        <f>1335416*1000000</f>
        <v>1335416000000</v>
      </c>
      <c r="H568" s="38">
        <f>91711*1000000</f>
        <v>91711000000</v>
      </c>
      <c r="I568" s="38">
        <f>1066523*1000000</f>
        <v>1066523000000</v>
      </c>
      <c r="J568" s="38">
        <f>54936*1000000</f>
        <v>54936000000</v>
      </c>
      <c r="K568" s="38">
        <f>268893*1000000</f>
        <v>268893000000</v>
      </c>
      <c r="L568" s="38">
        <f>787264*1000000</f>
        <v>787264000000</v>
      </c>
      <c r="M568" s="38">
        <f>70840*1000000</f>
        <v>70840000000</v>
      </c>
      <c r="N568" s="38">
        <f>53718*1000000</f>
        <v>53718000000</v>
      </c>
      <c r="O568" s="39">
        <v>0.51</v>
      </c>
      <c r="P568" s="40" t="s">
        <v>243</v>
      </c>
      <c r="Q568" s="38">
        <v>3</v>
      </c>
      <c r="R568" s="38">
        <v>5</v>
      </c>
      <c r="S568" s="38">
        <v>4</v>
      </c>
      <c r="T568" s="38">
        <v>9</v>
      </c>
      <c r="U568" s="40">
        <v>0</v>
      </c>
      <c r="V568" s="40">
        <v>0</v>
      </c>
      <c r="W568" s="40">
        <v>0</v>
      </c>
      <c r="X568" s="40">
        <v>0</v>
      </c>
      <c r="Y568" s="37"/>
    </row>
    <row r="569" spans="1:25" s="31" customFormat="1" ht="15" customHeight="1" x14ac:dyDescent="0.3">
      <c r="A569" s="36"/>
      <c r="B569" s="37"/>
      <c r="C569" s="29"/>
      <c r="D569" s="37">
        <v>2020</v>
      </c>
      <c r="E569" s="38">
        <f>47780*1000000</f>
        <v>47780000000</v>
      </c>
      <c r="F569" s="38">
        <f>(47780+4584+4149+14585+1728)*1000000</f>
        <v>72826000000</v>
      </c>
      <c r="G569" s="38">
        <f>(1779231*1000000)</f>
        <v>1779231000000</v>
      </c>
      <c r="H569" s="38">
        <f>126756*1000000</f>
        <v>126756000000</v>
      </c>
      <c r="I569" s="38">
        <f>1458930*1000000</f>
        <v>1458930000000</v>
      </c>
      <c r="J569" s="38">
        <f>105322*1000000</f>
        <v>105322000000</v>
      </c>
      <c r="K569" s="38">
        <f>320301*1000000</f>
        <v>320301000000</v>
      </c>
      <c r="L569" s="38">
        <f>876812*1000000</f>
        <v>876812000000</v>
      </c>
      <c r="M569" s="38">
        <f>60421*1000000</f>
        <v>60421000000</v>
      </c>
      <c r="N569" s="38">
        <f>51407*1000000</f>
        <v>51407000000</v>
      </c>
      <c r="O569" s="39">
        <v>0.51</v>
      </c>
      <c r="P569" s="40" t="s">
        <v>243</v>
      </c>
      <c r="Q569" s="38">
        <v>2</v>
      </c>
      <c r="R569" s="38">
        <v>4</v>
      </c>
      <c r="S569" s="38">
        <v>3</v>
      </c>
      <c r="T569" s="38">
        <v>7</v>
      </c>
      <c r="U569" s="40">
        <v>0</v>
      </c>
      <c r="V569" s="40">
        <v>0</v>
      </c>
      <c r="W569" s="40">
        <v>0</v>
      </c>
      <c r="X569" s="40">
        <v>0</v>
      </c>
      <c r="Y569" s="37"/>
    </row>
    <row r="570" spans="1:25" s="31" customFormat="1" ht="15" customHeight="1" x14ac:dyDescent="0.3">
      <c r="A570" s="36"/>
      <c r="B570" s="37"/>
      <c r="C570" s="29"/>
      <c r="D570" s="37">
        <v>2021</v>
      </c>
      <c r="E570" s="38">
        <f>59599*1000000</f>
        <v>59599000000</v>
      </c>
      <c r="F570" s="38">
        <f>(59599+5814+3530+32976+2269)*1000000</f>
        <v>104188000000</v>
      </c>
      <c r="G570" s="38">
        <f>2080340*1000000</f>
        <v>2080340000000</v>
      </c>
      <c r="H570" s="38">
        <f>115737*1000000</f>
        <v>115737000000</v>
      </c>
      <c r="I570" s="38">
        <f>1712216*1000000</f>
        <v>1712216000000</v>
      </c>
      <c r="J570" s="38">
        <f>152447*1000000</f>
        <v>152447000000</v>
      </c>
      <c r="K570" s="38">
        <f>368124*1000000</f>
        <v>368124000000</v>
      </c>
      <c r="L570" s="38">
        <f>981091*1000000</f>
        <v>981091000000</v>
      </c>
      <c r="M570" s="38">
        <f>56653*1000000</f>
        <v>56653000000</v>
      </c>
      <c r="N570" s="38">
        <f>47823*1000000</f>
        <v>47823000000</v>
      </c>
      <c r="O570" s="39">
        <v>0.51</v>
      </c>
      <c r="P570" s="40" t="s">
        <v>243</v>
      </c>
      <c r="Q570" s="38">
        <v>2</v>
      </c>
      <c r="R570" s="38">
        <v>4</v>
      </c>
      <c r="S570" s="38">
        <v>3</v>
      </c>
      <c r="T570" s="38">
        <v>7</v>
      </c>
      <c r="U570" s="40">
        <v>0</v>
      </c>
      <c r="V570" s="40">
        <v>0</v>
      </c>
      <c r="W570" s="40">
        <v>0</v>
      </c>
      <c r="X570" s="40">
        <v>0</v>
      </c>
      <c r="Y570" s="37"/>
    </row>
    <row r="571" spans="1:25" s="31" customFormat="1" ht="15" customHeight="1" x14ac:dyDescent="0.3">
      <c r="A571" s="36"/>
      <c r="B571" s="37"/>
      <c r="C571" s="29"/>
      <c r="D571" s="37">
        <v>2022</v>
      </c>
      <c r="E571" s="38">
        <f>31917*1000000</f>
        <v>31917000000</v>
      </c>
      <c r="F571" s="38">
        <f>(31917+4355+1872+36856+4609)*1000000</f>
        <v>79609000000</v>
      </c>
      <c r="G571" s="38">
        <f>1986810*1000000</f>
        <v>1986810000000</v>
      </c>
      <c r="H571" s="38">
        <f>131702*1000000</f>
        <v>131702000000</v>
      </c>
      <c r="I571" s="38">
        <f>1560197*1000000</f>
        <v>1560197000000</v>
      </c>
      <c r="J571" s="38">
        <f>214229*1000000</f>
        <v>214229000000</v>
      </c>
      <c r="K571" s="38">
        <f>426613*1000000</f>
        <v>426613000000</v>
      </c>
      <c r="L571" s="38">
        <f>541248*1000000</f>
        <v>541248000000</v>
      </c>
      <c r="M571" s="38">
        <f>74874*1000000</f>
        <v>74874000000</v>
      </c>
      <c r="N571" s="38">
        <f>58489*1000000</f>
        <v>58489000000</v>
      </c>
      <c r="O571" s="39">
        <v>0.51</v>
      </c>
      <c r="P571" s="40" t="s">
        <v>243</v>
      </c>
      <c r="Q571" s="38">
        <v>2</v>
      </c>
      <c r="R571" s="38">
        <v>3</v>
      </c>
      <c r="S571" s="38">
        <v>4</v>
      </c>
      <c r="T571" s="38">
        <v>7</v>
      </c>
      <c r="U571" s="40">
        <v>0</v>
      </c>
      <c r="V571" s="40">
        <v>0</v>
      </c>
      <c r="W571" s="40">
        <v>0</v>
      </c>
      <c r="X571" s="40">
        <v>0</v>
      </c>
      <c r="Y571" s="37"/>
    </row>
    <row r="572" spans="1:25" s="31" customFormat="1" ht="15" customHeight="1" x14ac:dyDescent="0.3">
      <c r="A572" s="36"/>
      <c r="B572" s="37"/>
      <c r="C572" s="29"/>
      <c r="D572" s="37">
        <v>2023</v>
      </c>
      <c r="E572" s="38">
        <f>34356*1000000</f>
        <v>34356000000</v>
      </c>
      <c r="F572" s="38">
        <f>(34356+5375+3016+23137+7375)*1000000</f>
        <v>73259000000</v>
      </c>
      <c r="G572" s="38">
        <f>2162993*1000000</f>
        <v>2162993000000</v>
      </c>
      <c r="H572" s="38">
        <f>108267*1000000</f>
        <v>108267000000</v>
      </c>
      <c r="I572" s="38">
        <f>1690987*1000000</f>
        <v>1690987000000</v>
      </c>
      <c r="J572" s="38">
        <f>253813*1000000</f>
        <v>253813000000</v>
      </c>
      <c r="K572" s="38">
        <f>472006*1000000</f>
        <v>472006000000</v>
      </c>
      <c r="L572" s="38">
        <f>814433*1000000</f>
        <v>814433000000</v>
      </c>
      <c r="M572" s="38">
        <f>44866*1000000</f>
        <v>44866000000</v>
      </c>
      <c r="N572" s="38">
        <f>45393*1000000</f>
        <v>45393000000</v>
      </c>
      <c r="O572" s="39">
        <v>0.51</v>
      </c>
      <c r="P572" s="40" t="s">
        <v>243</v>
      </c>
      <c r="Q572" s="38">
        <v>2</v>
      </c>
      <c r="R572" s="38">
        <v>3</v>
      </c>
      <c r="S572" s="38">
        <v>4</v>
      </c>
      <c r="T572" s="38">
        <v>7</v>
      </c>
      <c r="U572" s="40">
        <v>0</v>
      </c>
      <c r="V572" s="40">
        <v>0</v>
      </c>
      <c r="W572" s="40">
        <v>0</v>
      </c>
      <c r="X572" s="40">
        <v>0</v>
      </c>
      <c r="Y572" s="37"/>
    </row>
    <row r="573" spans="1:25" s="31" customFormat="1" ht="15" customHeight="1" x14ac:dyDescent="0.3">
      <c r="A573" s="36"/>
      <c r="B573" s="37"/>
      <c r="C573" s="29"/>
      <c r="D573" s="37">
        <v>2024</v>
      </c>
      <c r="E573" s="38">
        <f>48762*1000000</f>
        <v>48762000000</v>
      </c>
      <c r="F573" s="38">
        <f>(48762+11736+2047+26577+15532)*1000000</f>
        <v>104654000000</v>
      </c>
      <c r="G573" s="38">
        <f>2029003*1000000</f>
        <v>2029003000000</v>
      </c>
      <c r="H573" s="38">
        <f>134237*1000000</f>
        <v>134237000000</v>
      </c>
      <c r="I573" s="38">
        <f>1528209*1000000</f>
        <v>1528209000000</v>
      </c>
      <c r="J573" s="38">
        <f>295207*1000000</f>
        <v>295207000000</v>
      </c>
      <c r="K573" s="38">
        <f>500794*1000000</f>
        <v>500794000000</v>
      </c>
      <c r="L573" s="38">
        <f>498333*1000000</f>
        <v>498333000000</v>
      </c>
      <c r="M573" s="38">
        <f>43224*1000000</f>
        <v>43224000000</v>
      </c>
      <c r="N573" s="38">
        <f>28788*1000000</f>
        <v>28788000000</v>
      </c>
      <c r="O573" s="39">
        <v>0.51</v>
      </c>
      <c r="P573" s="40" t="s">
        <v>243</v>
      </c>
      <c r="Q573" s="38">
        <v>2</v>
      </c>
      <c r="R573" s="38">
        <v>3</v>
      </c>
      <c r="S573" s="38">
        <v>3</v>
      </c>
      <c r="T573" s="38">
        <v>6</v>
      </c>
      <c r="U573" s="40">
        <v>0</v>
      </c>
      <c r="V573" s="40">
        <v>0</v>
      </c>
      <c r="W573" s="40">
        <v>0</v>
      </c>
      <c r="X573" s="40">
        <v>0</v>
      </c>
      <c r="Y573" s="37"/>
    </row>
    <row r="574" spans="1:25" s="31" customFormat="1" ht="15" customHeight="1" x14ac:dyDescent="0.3">
      <c r="A574" s="36"/>
      <c r="B574" s="37">
        <v>53</v>
      </c>
      <c r="C574" s="29" t="s">
        <v>43</v>
      </c>
      <c r="D574" s="37">
        <v>2014</v>
      </c>
      <c r="E574" s="38">
        <v>0</v>
      </c>
      <c r="F574" s="38">
        <v>0</v>
      </c>
      <c r="G574" s="38">
        <v>0</v>
      </c>
      <c r="H574" s="38">
        <v>0</v>
      </c>
      <c r="I574" s="38">
        <v>0</v>
      </c>
      <c r="J574" s="38">
        <v>0</v>
      </c>
      <c r="K574" s="38">
        <v>0</v>
      </c>
      <c r="L574" s="38">
        <v>0</v>
      </c>
      <c r="M574" s="38">
        <v>0</v>
      </c>
      <c r="N574" s="38">
        <v>0</v>
      </c>
      <c r="O574" s="38">
        <v>0</v>
      </c>
      <c r="P574" s="38">
        <v>0</v>
      </c>
      <c r="Q574" s="38">
        <v>0</v>
      </c>
      <c r="R574" s="38">
        <v>0</v>
      </c>
      <c r="S574" s="38">
        <v>0</v>
      </c>
      <c r="T574" s="38">
        <v>0</v>
      </c>
      <c r="U574" s="38">
        <v>0</v>
      </c>
      <c r="V574" s="40">
        <v>0</v>
      </c>
      <c r="W574" s="40">
        <v>0</v>
      </c>
      <c r="X574" s="40">
        <v>0</v>
      </c>
      <c r="Y574" s="37"/>
    </row>
    <row r="575" spans="1:25" s="31" customFormat="1" ht="15" customHeight="1" x14ac:dyDescent="0.3">
      <c r="A575" s="36"/>
      <c r="B575" s="37"/>
      <c r="C575" s="29"/>
      <c r="D575" s="37">
        <v>2015</v>
      </c>
      <c r="E575" s="38">
        <v>0</v>
      </c>
      <c r="F575" s="38">
        <v>0</v>
      </c>
      <c r="G575" s="38">
        <v>0</v>
      </c>
      <c r="H575" s="38">
        <v>0</v>
      </c>
      <c r="I575" s="38">
        <v>0</v>
      </c>
      <c r="J575" s="38">
        <v>0</v>
      </c>
      <c r="K575" s="38">
        <v>0</v>
      </c>
      <c r="L575" s="38">
        <v>0</v>
      </c>
      <c r="M575" s="38">
        <v>0</v>
      </c>
      <c r="N575" s="38">
        <v>0</v>
      </c>
      <c r="O575" s="38">
        <v>0</v>
      </c>
      <c r="P575" s="38">
        <v>0</v>
      </c>
      <c r="Q575" s="38">
        <v>0</v>
      </c>
      <c r="R575" s="38">
        <v>0</v>
      </c>
      <c r="S575" s="38">
        <v>0</v>
      </c>
      <c r="T575" s="38">
        <v>0</v>
      </c>
      <c r="U575" s="38">
        <v>0</v>
      </c>
      <c r="V575" s="40">
        <v>0</v>
      </c>
      <c r="W575" s="40">
        <v>0</v>
      </c>
      <c r="X575" s="40">
        <v>0</v>
      </c>
      <c r="Y575" s="37"/>
    </row>
    <row r="576" spans="1:25" s="31" customFormat="1" ht="15" customHeight="1" x14ac:dyDescent="0.3">
      <c r="A576" s="36"/>
      <c r="B576" s="37"/>
      <c r="C576" s="29"/>
      <c r="D576" s="37">
        <v>2016</v>
      </c>
      <c r="E576" s="38">
        <f>667406*1000000</f>
        <v>667406000000</v>
      </c>
      <c r="F576" s="38">
        <f>(667406+2008165+95798+253555)*1000000</f>
        <v>3024924000000</v>
      </c>
      <c r="G576" s="38">
        <f>60793273*1000000</f>
        <v>60793273000000</v>
      </c>
      <c r="H576" s="38">
        <f>3004966*1000000</f>
        <v>3004966000000</v>
      </c>
      <c r="I576" s="38">
        <f>54215523*1000000</f>
        <v>54215523000000</v>
      </c>
      <c r="J576" s="38">
        <f>6456250*1000000</f>
        <v>6456250000000</v>
      </c>
      <c r="K576" s="38">
        <f>6557750*1000000</f>
        <v>6557750000000</v>
      </c>
      <c r="L576" s="38">
        <f>29178392*1000000</f>
        <v>29178392000000</v>
      </c>
      <c r="M576" s="38">
        <f>6370547*1000000</f>
        <v>6370547000000</v>
      </c>
      <c r="N576" s="38">
        <f>4947088*1000000</f>
        <v>4947088000000</v>
      </c>
      <c r="O576" s="53">
        <v>0</v>
      </c>
      <c r="P576" s="38">
        <v>0</v>
      </c>
      <c r="Q576" s="38">
        <v>0</v>
      </c>
      <c r="R576" s="38">
        <v>0</v>
      </c>
      <c r="S576" s="38">
        <v>0</v>
      </c>
      <c r="T576" s="38">
        <v>0</v>
      </c>
      <c r="U576" s="38">
        <v>0</v>
      </c>
      <c r="V576" s="40">
        <v>0</v>
      </c>
      <c r="W576" s="40">
        <v>0</v>
      </c>
      <c r="X576" s="40">
        <v>0</v>
      </c>
      <c r="Y576" s="37"/>
    </row>
    <row r="577" spans="1:25" s="31" customFormat="1" ht="15" customHeight="1" x14ac:dyDescent="0.3">
      <c r="A577" s="36"/>
      <c r="B577" s="37"/>
      <c r="C577" s="29"/>
      <c r="D577" s="37">
        <v>2017</v>
      </c>
      <c r="E577" s="38">
        <f>779166*1000000</f>
        <v>779166000000</v>
      </c>
      <c r="F577" s="38">
        <f>(779166+1534317+115130+742+125019)*1000000</f>
        <v>2554374000000</v>
      </c>
      <c r="G577" s="38">
        <f>71757702*1000000</f>
        <v>71757702000000</v>
      </c>
      <c r="H577" s="38">
        <f>3056753*1000000</f>
        <v>3056753000000</v>
      </c>
      <c r="I577" s="38">
        <f>65472980*1000000</f>
        <v>65472980000000</v>
      </c>
      <c r="J577" s="38">
        <f>6163222*1000000</f>
        <v>6163222000000</v>
      </c>
      <c r="K577" s="38">
        <f>6284722*1000000</f>
        <v>6284722000000</v>
      </c>
      <c r="L577" s="38">
        <f>35586650*1000000</f>
        <v>35586650000000</v>
      </c>
      <c r="M577" s="38">
        <f>6779940*1000000</f>
        <v>6779940000000</v>
      </c>
      <c r="N577" s="38">
        <f>5450673*1000000</f>
        <v>5450673000000</v>
      </c>
      <c r="O577" s="39">
        <v>0.94599999999999995</v>
      </c>
      <c r="P577" s="40" t="s">
        <v>248</v>
      </c>
      <c r="Q577" s="38">
        <v>3</v>
      </c>
      <c r="R577" s="38">
        <v>6</v>
      </c>
      <c r="S577" s="38">
        <v>7</v>
      </c>
      <c r="T577" s="38">
        <f>SUM(R577:S577)</f>
        <v>13</v>
      </c>
      <c r="U577" s="42">
        <v>0</v>
      </c>
      <c r="V577" s="40">
        <v>0</v>
      </c>
      <c r="W577" s="40">
        <v>0</v>
      </c>
      <c r="X577" s="40">
        <v>0</v>
      </c>
      <c r="Y577" s="37"/>
    </row>
    <row r="578" spans="1:25" s="31" customFormat="1" ht="15" customHeight="1" x14ac:dyDescent="0.3">
      <c r="A578" s="36"/>
      <c r="B578" s="37"/>
      <c r="C578" s="29"/>
      <c r="D578" s="37">
        <v>2018</v>
      </c>
      <c r="E578" s="38">
        <f>481274*1000000</f>
        <v>481274000000</v>
      </c>
      <c r="F578" s="38">
        <f>(481274+1141719+97928+17952+121804)*1000000</f>
        <v>1860677000000</v>
      </c>
      <c r="G578" s="38">
        <f>67767980*1000000</f>
        <v>67767980000000</v>
      </c>
      <c r="H578" s="38">
        <f>3204706*1000000</f>
        <v>3204706000000</v>
      </c>
      <c r="I578" s="38">
        <f>64175512*1000000</f>
        <v>64175512000000</v>
      </c>
      <c r="J578" s="38">
        <f>5470968*1000000</f>
        <v>5470968000000</v>
      </c>
      <c r="K578" s="38">
        <f>5592468*1000000</f>
        <v>5592468000000</v>
      </c>
      <c r="L578" s="38">
        <f>22028628*1000000</f>
        <v>22028628000000</v>
      </c>
      <c r="M578" s="38">
        <f>5992082*1000000</f>
        <v>5992082000000</v>
      </c>
      <c r="N578" s="38">
        <f>4643399*1000000</f>
        <v>4643399000000</v>
      </c>
      <c r="O578" s="39">
        <v>0.94599999999999995</v>
      </c>
      <c r="P578" s="40" t="s">
        <v>248</v>
      </c>
      <c r="Q578" s="38">
        <v>3</v>
      </c>
      <c r="R578" s="38">
        <v>6</v>
      </c>
      <c r="S578" s="38">
        <v>7</v>
      </c>
      <c r="T578" s="38">
        <f t="shared" ref="T578:T583" si="59">SUM(R578:S578)</f>
        <v>13</v>
      </c>
      <c r="U578" s="42">
        <v>0</v>
      </c>
      <c r="V578" s="40">
        <v>0</v>
      </c>
      <c r="W578" s="40">
        <v>0</v>
      </c>
      <c r="X578" s="40">
        <v>0</v>
      </c>
      <c r="Y578" s="37"/>
    </row>
    <row r="579" spans="1:25" s="31" customFormat="1" ht="15" customHeight="1" x14ac:dyDescent="0.3">
      <c r="A579" s="36"/>
      <c r="B579" s="37"/>
      <c r="C579" s="29"/>
      <c r="D579" s="37">
        <v>2019</v>
      </c>
      <c r="E579" s="38">
        <f>443213*1000000</f>
        <v>443213000000</v>
      </c>
      <c r="F579" s="38">
        <f>(443213+762607+89702+124311)*1000000</f>
        <v>1419833000000</v>
      </c>
      <c r="G579" s="38">
        <f>71619133*1000000</f>
        <v>71619133000000</v>
      </c>
      <c r="H579" s="38">
        <f>4422507*1000000</f>
        <v>4422507000000</v>
      </c>
      <c r="I579" s="38">
        <f>66178403*1000000</f>
        <v>66178403000000</v>
      </c>
      <c r="J579" s="38">
        <f>5319230*1000000</f>
        <v>5319230000000</v>
      </c>
      <c r="K579" s="38">
        <f>5440730*1000000</f>
        <v>5440730000000</v>
      </c>
      <c r="L579" s="38">
        <f>27574236*1000000</f>
        <v>27574236000000</v>
      </c>
      <c r="M579" s="38">
        <f>5246361*1000000</f>
        <v>5246361000000</v>
      </c>
      <c r="N579" s="38">
        <f>4089773*1000000</f>
        <v>4089773000000</v>
      </c>
      <c r="O579" s="39">
        <v>0.94599999999999995</v>
      </c>
      <c r="P579" s="40" t="s">
        <v>248</v>
      </c>
      <c r="Q579" s="38">
        <v>3</v>
      </c>
      <c r="R579" s="38">
        <v>6</v>
      </c>
      <c r="S579" s="38">
        <v>5</v>
      </c>
      <c r="T579" s="38">
        <f t="shared" si="59"/>
        <v>11</v>
      </c>
      <c r="U579" s="42">
        <v>0</v>
      </c>
      <c r="V579" s="40">
        <v>0</v>
      </c>
      <c r="W579" s="40">
        <v>0</v>
      </c>
      <c r="X579" s="40">
        <v>0</v>
      </c>
      <c r="Y579" s="37"/>
    </row>
    <row r="580" spans="1:25" s="31" customFormat="1" ht="15" customHeight="1" x14ac:dyDescent="0.3">
      <c r="A580" s="36"/>
      <c r="B580" s="37"/>
      <c r="C580" s="29"/>
      <c r="D580" s="37">
        <v>2020</v>
      </c>
      <c r="E580" s="38">
        <f>614033*1000000</f>
        <v>614033000000</v>
      </c>
      <c r="F580" s="38">
        <f>(614033+469318+133071+153779+103254)*1000000</f>
        <v>1473455000000</v>
      </c>
      <c r="G580" s="38">
        <f>67396709*1000000</f>
        <v>67396709000000</v>
      </c>
      <c r="H580" s="38">
        <f>3739598*1000000</f>
        <v>3739598000000</v>
      </c>
      <c r="I580" s="38">
        <f>62024901*1000000</f>
        <v>62024901000000</v>
      </c>
      <c r="J580" s="38">
        <f>5020308*1000000</f>
        <v>5020308000000</v>
      </c>
      <c r="K580" s="38">
        <f>5371808*1000000</f>
        <v>5371808000000</v>
      </c>
      <c r="L580" s="38">
        <f>20331240*1000000</f>
        <v>20331240000000</v>
      </c>
      <c r="M580" s="38">
        <f>5526292*1000000</f>
        <v>5526292000000</v>
      </c>
      <c r="N580" s="38">
        <f>4326583*1000000</f>
        <v>4326583000000</v>
      </c>
      <c r="O580" s="39">
        <v>0.94599999999999995</v>
      </c>
      <c r="P580" s="40" t="s">
        <v>248</v>
      </c>
      <c r="Q580" s="38">
        <v>4</v>
      </c>
      <c r="R580" s="38">
        <v>7</v>
      </c>
      <c r="S580" s="38">
        <v>8</v>
      </c>
      <c r="T580" s="38">
        <f t="shared" si="59"/>
        <v>15</v>
      </c>
      <c r="U580" s="42">
        <v>0</v>
      </c>
      <c r="V580" s="40">
        <v>0</v>
      </c>
      <c r="W580" s="40">
        <v>0</v>
      </c>
      <c r="X580" s="40">
        <v>0</v>
      </c>
      <c r="Y580" s="37"/>
    </row>
    <row r="581" spans="1:25" s="31" customFormat="1" ht="15" customHeight="1" x14ac:dyDescent="0.3">
      <c r="A581" s="36"/>
      <c r="B581" s="37"/>
      <c r="C581" s="29"/>
      <c r="D581" s="37">
        <v>2021</v>
      </c>
      <c r="E581" s="38">
        <f>849255*1000000</f>
        <v>849255000000</v>
      </c>
      <c r="F581" s="38">
        <f>(849255+484562+168918+218387+105536)*1000000</f>
        <v>1826658000000</v>
      </c>
      <c r="G581" s="38">
        <f>64403397*1000000</f>
        <v>64403397000000</v>
      </c>
      <c r="H581" s="38">
        <f>3016962*1000000</f>
        <v>3016962000000</v>
      </c>
      <c r="I581" s="38">
        <f>59445139*1000000</f>
        <v>59445139000000</v>
      </c>
      <c r="J581" s="38">
        <f>4836758*1000000</f>
        <v>4836758000000</v>
      </c>
      <c r="K581" s="38">
        <f>4958258*1000000</f>
        <v>4958258000000</v>
      </c>
      <c r="L581" s="38">
        <f>22889988*1000000</f>
        <v>22889988000000</v>
      </c>
      <c r="M581" s="38">
        <f>3196368*1000000</f>
        <v>3196368000000</v>
      </c>
      <c r="N581" s="38">
        <f>2921159*1000000</f>
        <v>2921159000000</v>
      </c>
      <c r="O581" s="39">
        <v>0.94599999999999995</v>
      </c>
      <c r="P581" s="40" t="s">
        <v>248</v>
      </c>
      <c r="Q581" s="38">
        <v>5</v>
      </c>
      <c r="R581" s="38">
        <v>8</v>
      </c>
      <c r="S581" s="38">
        <v>6</v>
      </c>
      <c r="T581" s="38">
        <f t="shared" si="59"/>
        <v>14</v>
      </c>
      <c r="U581" s="42">
        <v>0</v>
      </c>
      <c r="V581" s="40">
        <v>0</v>
      </c>
      <c r="W581" s="40">
        <v>0</v>
      </c>
      <c r="X581" s="40">
        <v>0</v>
      </c>
      <c r="Y581" s="37"/>
    </row>
    <row r="582" spans="1:25" s="31" customFormat="1" ht="15" customHeight="1" x14ac:dyDescent="0.3">
      <c r="A582" s="36"/>
      <c r="B582" s="37"/>
      <c r="C582" s="29"/>
      <c r="D582" s="37">
        <v>2022</v>
      </c>
      <c r="E582" s="38">
        <f>981446*1000000</f>
        <v>981446000000</v>
      </c>
      <c r="F582" s="38">
        <f>(981446+439911+124849+207982+149034)*1000000</f>
        <v>1903222000000</v>
      </c>
      <c r="G582" s="38">
        <f>61327114*1000000</f>
        <v>61327114000000</v>
      </c>
      <c r="H582" s="38">
        <f>2725654*1000000</f>
        <v>2725654000000</v>
      </c>
      <c r="I582" s="38">
        <f>55627695*1000000</f>
        <v>55627695000000</v>
      </c>
      <c r="J582" s="38">
        <f>5483943*1000000</f>
        <v>5483943000000</v>
      </c>
      <c r="K582" s="38">
        <f>5699419*1000000</f>
        <v>5699419000000</v>
      </c>
      <c r="L582" s="38">
        <f>20934106*1000000</f>
        <v>20934106000000</v>
      </c>
      <c r="M582" s="38">
        <f>2737015*1000000</f>
        <v>2737015000000</v>
      </c>
      <c r="N582" s="38">
        <f>2288272*1000000</f>
        <v>2288272000000</v>
      </c>
      <c r="O582" s="39">
        <v>0.94620000000000004</v>
      </c>
      <c r="P582" s="40" t="s">
        <v>248</v>
      </c>
      <c r="Q582" s="38">
        <v>4</v>
      </c>
      <c r="R582" s="38">
        <v>7</v>
      </c>
      <c r="S582" s="38">
        <v>6</v>
      </c>
      <c r="T582" s="38">
        <f t="shared" si="59"/>
        <v>13</v>
      </c>
      <c r="U582" s="42">
        <v>0</v>
      </c>
      <c r="V582" s="40">
        <v>0</v>
      </c>
      <c r="W582" s="40">
        <v>0</v>
      </c>
      <c r="X582" s="40">
        <v>0</v>
      </c>
      <c r="Y582" s="37"/>
    </row>
    <row r="583" spans="1:25" s="31" customFormat="1" ht="15" customHeight="1" x14ac:dyDescent="0.3">
      <c r="A583" s="36"/>
      <c r="B583" s="37"/>
      <c r="C583" s="29"/>
      <c r="D583" s="37">
        <v>2023</v>
      </c>
      <c r="E583" s="38">
        <f>1493603*1000000</f>
        <v>1493603000000</v>
      </c>
      <c r="F583" s="38">
        <f>(1493603+436308+246693+97241+183935)*1000000</f>
        <v>2457780000000</v>
      </c>
      <c r="G583" s="38">
        <f>60222226*1000000</f>
        <v>60222226000000</v>
      </c>
      <c r="H583" s="38">
        <f>2422273*1000000</f>
        <v>2422273000000</v>
      </c>
      <c r="I583" s="38">
        <f>54070771*1000000</f>
        <v>54070771000000</v>
      </c>
      <c r="J583" s="38">
        <f>5931917*1000000</f>
        <v>5931917000000</v>
      </c>
      <c r="K583" s="38">
        <f>6151455*1000000</f>
        <v>6151455000000</v>
      </c>
      <c r="L583" s="38">
        <f>23629695*1000000</f>
        <v>23629695000000</v>
      </c>
      <c r="M583" s="38">
        <f>2388466*1000000</f>
        <v>2388466000000</v>
      </c>
      <c r="N583" s="38">
        <f>1988032*1000000</f>
        <v>1988032000000</v>
      </c>
      <c r="O583" s="39">
        <v>0.94620000000000004</v>
      </c>
      <c r="P583" s="40" t="s">
        <v>248</v>
      </c>
      <c r="Q583" s="38">
        <v>4</v>
      </c>
      <c r="R583" s="38">
        <v>7</v>
      </c>
      <c r="S583" s="38">
        <v>6</v>
      </c>
      <c r="T583" s="38">
        <f t="shared" si="59"/>
        <v>13</v>
      </c>
      <c r="U583" s="42">
        <v>0</v>
      </c>
      <c r="V583" s="40">
        <v>0</v>
      </c>
      <c r="W583" s="40">
        <v>0</v>
      </c>
      <c r="X583" s="40">
        <v>0</v>
      </c>
      <c r="Y583" s="37"/>
    </row>
    <row r="584" spans="1:25" s="31" customFormat="1" ht="15" customHeight="1" x14ac:dyDescent="0.3">
      <c r="A584" s="36"/>
      <c r="B584" s="37"/>
      <c r="C584" s="29"/>
      <c r="D584" s="37">
        <v>2024</v>
      </c>
      <c r="E584" s="38">
        <f>1772845*1000000</f>
        <v>1772845000000</v>
      </c>
      <c r="F584" s="38">
        <f>(1772845+516590+309520+32419+296695)*1000000</f>
        <v>2928069000000</v>
      </c>
      <c r="G584" s="38">
        <f>57560023*1000000</f>
        <v>57560023000000</v>
      </c>
      <c r="H584" s="38">
        <f>2557916*1000000</f>
        <v>2557916000000</v>
      </c>
      <c r="I584" s="38">
        <f>50954919*1000000</f>
        <v>50954919000000</v>
      </c>
      <c r="J584" s="38">
        <f>6382781*1000000</f>
        <v>6382781000000</v>
      </c>
      <c r="K584" s="38">
        <f>6605104*1000000</f>
        <v>6605104000000</v>
      </c>
      <c r="L584" s="38">
        <f>21974346*1000000</f>
        <v>21974346000000</v>
      </c>
      <c r="M584" s="38">
        <f>1740986*1000000</f>
        <v>1740986000000</v>
      </c>
      <c r="N584" s="38">
        <f>1552649*1000000</f>
        <v>1552649000000</v>
      </c>
      <c r="O584" s="39">
        <v>0.94620000000000004</v>
      </c>
      <c r="P584" s="40" t="s">
        <v>248</v>
      </c>
      <c r="Q584" s="38">
        <v>3</v>
      </c>
      <c r="R584" s="38">
        <v>6</v>
      </c>
      <c r="S584" s="38">
        <v>6</v>
      </c>
      <c r="T584" s="38">
        <f>SUM(R584:S584)</f>
        <v>12</v>
      </c>
      <c r="U584" s="42">
        <v>0</v>
      </c>
      <c r="V584" s="40">
        <v>0</v>
      </c>
      <c r="W584" s="40">
        <v>0</v>
      </c>
      <c r="X584" s="40">
        <v>0</v>
      </c>
      <c r="Y584" s="37"/>
    </row>
    <row r="585" spans="1:25" s="31" customFormat="1" ht="15" customHeight="1" x14ac:dyDescent="0.3">
      <c r="A585" s="36"/>
      <c r="B585" s="37">
        <v>54</v>
      </c>
      <c r="C585" s="45" t="s">
        <v>150</v>
      </c>
      <c r="D585" s="37">
        <v>2014</v>
      </c>
      <c r="E585" s="38">
        <v>0</v>
      </c>
      <c r="F585" s="38">
        <v>0</v>
      </c>
      <c r="G585" s="38">
        <v>0</v>
      </c>
      <c r="H585" s="38">
        <v>0</v>
      </c>
      <c r="I585" s="38">
        <v>0</v>
      </c>
      <c r="J585" s="38">
        <v>0</v>
      </c>
      <c r="K585" s="38">
        <v>0</v>
      </c>
      <c r="L585" s="38">
        <v>0</v>
      </c>
      <c r="M585" s="38">
        <v>0</v>
      </c>
      <c r="N585" s="38">
        <v>0</v>
      </c>
      <c r="O585" s="41">
        <v>0</v>
      </c>
      <c r="P585" s="38">
        <v>0</v>
      </c>
      <c r="Q585" s="38">
        <v>0</v>
      </c>
      <c r="R585" s="38">
        <v>0</v>
      </c>
      <c r="S585" s="38"/>
      <c r="T585" s="38">
        <v>0</v>
      </c>
      <c r="U585" s="38">
        <v>0</v>
      </c>
      <c r="V585" s="38">
        <v>0</v>
      </c>
      <c r="W585" s="38">
        <v>0</v>
      </c>
      <c r="X585" s="38">
        <v>0</v>
      </c>
      <c r="Y585" s="37"/>
    </row>
    <row r="586" spans="1:25" s="31" customFormat="1" ht="15" customHeight="1" x14ac:dyDescent="0.3">
      <c r="A586" s="36"/>
      <c r="B586" s="37"/>
      <c r="C586" s="45"/>
      <c r="D586" s="37">
        <v>2015</v>
      </c>
      <c r="E586" s="38">
        <v>0</v>
      </c>
      <c r="F586" s="38">
        <v>0</v>
      </c>
      <c r="G586" s="38">
        <v>0</v>
      </c>
      <c r="H586" s="38">
        <v>0</v>
      </c>
      <c r="I586" s="38">
        <v>0</v>
      </c>
      <c r="J586" s="38">
        <v>0</v>
      </c>
      <c r="K586" s="38">
        <v>0</v>
      </c>
      <c r="L586" s="38">
        <v>0</v>
      </c>
      <c r="M586" s="38">
        <v>0</v>
      </c>
      <c r="N586" s="38">
        <v>0</v>
      </c>
      <c r="O586" s="41">
        <v>0</v>
      </c>
      <c r="P586" s="38">
        <v>0</v>
      </c>
      <c r="Q586" s="38">
        <v>0</v>
      </c>
      <c r="R586" s="38">
        <v>0</v>
      </c>
      <c r="S586" s="38"/>
      <c r="T586" s="38">
        <v>0</v>
      </c>
      <c r="U586" s="38">
        <v>0</v>
      </c>
      <c r="V586" s="38">
        <v>0</v>
      </c>
      <c r="W586" s="38">
        <v>0</v>
      </c>
      <c r="X586" s="38">
        <v>0</v>
      </c>
      <c r="Y586" s="37"/>
    </row>
    <row r="587" spans="1:25" s="31" customFormat="1" ht="15" customHeight="1" x14ac:dyDescent="0.3">
      <c r="A587" s="36"/>
      <c r="B587" s="37"/>
      <c r="C587" s="45"/>
      <c r="D587" s="37">
        <v>2016</v>
      </c>
      <c r="E587" s="38">
        <v>0</v>
      </c>
      <c r="F587" s="38">
        <v>0</v>
      </c>
      <c r="G587" s="38">
        <v>0</v>
      </c>
      <c r="H587" s="38">
        <v>0</v>
      </c>
      <c r="I587" s="38">
        <v>0</v>
      </c>
      <c r="J587" s="38">
        <v>0</v>
      </c>
      <c r="K587" s="38">
        <v>0</v>
      </c>
      <c r="L587" s="38">
        <v>0</v>
      </c>
      <c r="M587" s="38">
        <v>0</v>
      </c>
      <c r="N587" s="38">
        <v>0</v>
      </c>
      <c r="O587" s="41">
        <v>0</v>
      </c>
      <c r="P587" s="38">
        <v>0</v>
      </c>
      <c r="Q587" s="38">
        <v>0</v>
      </c>
      <c r="R587" s="38">
        <v>0</v>
      </c>
      <c r="S587" s="38"/>
      <c r="T587" s="38">
        <v>0</v>
      </c>
      <c r="U587" s="38">
        <v>0</v>
      </c>
      <c r="V587" s="38">
        <v>0</v>
      </c>
      <c r="W587" s="38">
        <v>0</v>
      </c>
      <c r="X587" s="38">
        <v>0</v>
      </c>
      <c r="Y587" s="37"/>
    </row>
    <row r="588" spans="1:25" s="31" customFormat="1" ht="15" customHeight="1" x14ac:dyDescent="0.3">
      <c r="A588" s="36"/>
      <c r="B588" s="37"/>
      <c r="C588" s="45"/>
      <c r="D588" s="37">
        <v>2017</v>
      </c>
      <c r="E588" s="38">
        <v>0</v>
      </c>
      <c r="F588" s="38">
        <v>0</v>
      </c>
      <c r="G588" s="38">
        <v>0</v>
      </c>
      <c r="H588" s="38">
        <v>0</v>
      </c>
      <c r="I588" s="38">
        <v>0</v>
      </c>
      <c r="J588" s="38">
        <v>0</v>
      </c>
      <c r="K588" s="38">
        <v>0</v>
      </c>
      <c r="L588" s="38">
        <v>0</v>
      </c>
      <c r="M588" s="38">
        <v>0</v>
      </c>
      <c r="N588" s="38">
        <v>0</v>
      </c>
      <c r="O588" s="41">
        <v>0</v>
      </c>
      <c r="P588" s="38">
        <v>0</v>
      </c>
      <c r="Q588" s="38">
        <v>0</v>
      </c>
      <c r="R588" s="38">
        <v>0</v>
      </c>
      <c r="S588" s="38"/>
      <c r="T588" s="38">
        <v>0</v>
      </c>
      <c r="U588" s="38">
        <v>0</v>
      </c>
      <c r="V588" s="38">
        <v>0</v>
      </c>
      <c r="W588" s="38">
        <v>0</v>
      </c>
      <c r="X588" s="38">
        <v>0</v>
      </c>
      <c r="Y588" s="37"/>
    </row>
    <row r="589" spans="1:25" s="31" customFormat="1" ht="15" customHeight="1" x14ac:dyDescent="0.3">
      <c r="A589" s="36"/>
      <c r="B589" s="37"/>
      <c r="C589" s="45"/>
      <c r="D589" s="37">
        <v>2018</v>
      </c>
      <c r="E589" s="38">
        <v>0</v>
      </c>
      <c r="F589" s="38">
        <v>0</v>
      </c>
      <c r="G589" s="38">
        <v>0</v>
      </c>
      <c r="H589" s="38">
        <v>0</v>
      </c>
      <c r="I589" s="38">
        <v>0</v>
      </c>
      <c r="J589" s="38">
        <v>0</v>
      </c>
      <c r="K589" s="38">
        <v>0</v>
      </c>
      <c r="L589" s="38">
        <v>0</v>
      </c>
      <c r="M589" s="38">
        <v>0</v>
      </c>
      <c r="N589" s="38">
        <v>0</v>
      </c>
      <c r="O589" s="41">
        <v>0</v>
      </c>
      <c r="P589" s="38">
        <v>0</v>
      </c>
      <c r="Q589" s="38">
        <v>0</v>
      </c>
      <c r="R589" s="38">
        <v>0</v>
      </c>
      <c r="S589" s="38"/>
      <c r="T589" s="38">
        <v>0</v>
      </c>
      <c r="U589" s="38">
        <v>0</v>
      </c>
      <c r="V589" s="38">
        <v>0</v>
      </c>
      <c r="W589" s="38">
        <v>0</v>
      </c>
      <c r="X589" s="38">
        <v>0</v>
      </c>
      <c r="Y589" s="37"/>
    </row>
    <row r="590" spans="1:25" s="31" customFormat="1" ht="15" customHeight="1" x14ac:dyDescent="0.3">
      <c r="A590" s="36"/>
      <c r="B590" s="37"/>
      <c r="C590" s="45"/>
      <c r="D590" s="37">
        <v>2019</v>
      </c>
      <c r="E590" s="38">
        <v>0</v>
      </c>
      <c r="F590" s="38">
        <v>0</v>
      </c>
      <c r="G590" s="38">
        <v>0</v>
      </c>
      <c r="H590" s="38">
        <v>0</v>
      </c>
      <c r="I590" s="38">
        <v>0</v>
      </c>
      <c r="J590" s="38">
        <v>0</v>
      </c>
      <c r="K590" s="38">
        <v>0</v>
      </c>
      <c r="L590" s="38">
        <v>0</v>
      </c>
      <c r="M590" s="38">
        <v>0</v>
      </c>
      <c r="N590" s="38">
        <v>0</v>
      </c>
      <c r="O590" s="41">
        <v>0</v>
      </c>
      <c r="P590" s="38">
        <v>0</v>
      </c>
      <c r="Q590" s="38">
        <v>0</v>
      </c>
      <c r="R590" s="38">
        <v>0</v>
      </c>
      <c r="S590" s="38"/>
      <c r="T590" s="38">
        <v>0</v>
      </c>
      <c r="U590" s="38">
        <v>0</v>
      </c>
      <c r="V590" s="38">
        <v>0</v>
      </c>
      <c r="W590" s="38">
        <v>0</v>
      </c>
      <c r="X590" s="38">
        <v>0</v>
      </c>
      <c r="Y590" s="37"/>
    </row>
    <row r="591" spans="1:25" s="31" customFormat="1" ht="15" customHeight="1" x14ac:dyDescent="0.3">
      <c r="A591" s="36"/>
      <c r="B591" s="37"/>
      <c r="C591" s="45"/>
      <c r="D591" s="37">
        <v>2020</v>
      </c>
      <c r="E591" s="38">
        <v>0</v>
      </c>
      <c r="F591" s="38">
        <v>0</v>
      </c>
      <c r="G591" s="38">
        <v>0</v>
      </c>
      <c r="H591" s="38">
        <v>0</v>
      </c>
      <c r="I591" s="38">
        <v>0</v>
      </c>
      <c r="J591" s="38">
        <v>0</v>
      </c>
      <c r="K591" s="38">
        <v>0</v>
      </c>
      <c r="L591" s="38">
        <v>0</v>
      </c>
      <c r="M591" s="38">
        <v>0</v>
      </c>
      <c r="N591" s="38">
        <v>0</v>
      </c>
      <c r="O591" s="41">
        <v>0</v>
      </c>
      <c r="P591" s="38">
        <v>0</v>
      </c>
      <c r="Q591" s="38">
        <v>0</v>
      </c>
      <c r="R591" s="38">
        <v>0</v>
      </c>
      <c r="S591" s="38"/>
      <c r="T591" s="38">
        <v>0</v>
      </c>
      <c r="U591" s="38">
        <v>0</v>
      </c>
      <c r="V591" s="38">
        <v>0</v>
      </c>
      <c r="W591" s="38">
        <v>0</v>
      </c>
      <c r="X591" s="38">
        <v>0</v>
      </c>
      <c r="Y591" s="37"/>
    </row>
    <row r="592" spans="1:25" s="31" customFormat="1" ht="15" customHeight="1" x14ac:dyDescent="0.3">
      <c r="A592" s="36"/>
      <c r="B592" s="37"/>
      <c r="C592" s="45"/>
      <c r="D592" s="37">
        <v>2021</v>
      </c>
      <c r="E592" s="38">
        <f xml:space="preserve">  80562*1000000</f>
        <v>80562000000</v>
      </c>
      <c r="F592" s="38">
        <f>(80562)*1000000</f>
        <v>80562000000</v>
      </c>
      <c r="G592" s="38">
        <f>101008*1000000</f>
        <v>101008000000</v>
      </c>
      <c r="H592" s="38">
        <f>402*1000000</f>
        <v>402000000</v>
      </c>
      <c r="I592" s="38">
        <f>402*1000000</f>
        <v>402000000</v>
      </c>
      <c r="J592" s="38">
        <f>606*1000000</f>
        <v>606000000</v>
      </c>
      <c r="K592" s="38">
        <f>(100000+606)*1000000</f>
        <v>100606000000</v>
      </c>
      <c r="L592" s="38">
        <f>722*1000000</f>
        <v>722000000</v>
      </c>
      <c r="M592" s="38">
        <f>750*1000000</f>
        <v>750000000</v>
      </c>
      <c r="N592" s="38">
        <f>606*1000000</f>
        <v>606000000</v>
      </c>
      <c r="O592" s="41">
        <v>0</v>
      </c>
      <c r="P592" s="38">
        <v>0</v>
      </c>
      <c r="Q592" s="38">
        <v>0</v>
      </c>
      <c r="R592" s="38">
        <v>0</v>
      </c>
      <c r="S592" s="38"/>
      <c r="T592" s="38">
        <v>0</v>
      </c>
      <c r="U592" s="38">
        <v>0</v>
      </c>
      <c r="V592" s="38">
        <v>0</v>
      </c>
      <c r="W592" s="38">
        <v>0</v>
      </c>
      <c r="X592" s="38">
        <v>0</v>
      </c>
      <c r="Y592" s="37"/>
    </row>
    <row r="593" spans="1:25" s="31" customFormat="1" ht="15" customHeight="1" x14ac:dyDescent="0.3">
      <c r="A593" s="36"/>
      <c r="B593" s="37"/>
      <c r="C593" s="45"/>
      <c r="D593" s="37">
        <v>2022</v>
      </c>
      <c r="E593" s="38">
        <f>909028*1000000</f>
        <v>909028000000</v>
      </c>
      <c r="F593" s="38">
        <f>(909028+173353)*1000000</f>
        <v>1082381000000</v>
      </c>
      <c r="G593" s="38">
        <f>6700834*1000000</f>
        <v>6700834000000</v>
      </c>
      <c r="H593" s="38">
        <f>(24176+3662+36886+426580)*1000000</f>
        <v>491304000000</v>
      </c>
      <c r="I593" s="38">
        <f>(24176+3662+385142+75370+62848+426657+36886+426580)*1000000</f>
        <v>1441321000000</v>
      </c>
      <c r="J593" s="38">
        <f>390977*1000000</f>
        <v>390977000000</v>
      </c>
      <c r="K593" s="38">
        <f>(100000+107+390977)*1000000</f>
        <v>491084000000</v>
      </c>
      <c r="L593" s="38">
        <f>1688761*1000000</f>
        <v>1688761000000</v>
      </c>
      <c r="M593" s="38">
        <f>465464*1000000</f>
        <v>465464000000</v>
      </c>
      <c r="N593" s="38">
        <f>390478*1000000</f>
        <v>390478000000</v>
      </c>
      <c r="O593" s="39">
        <v>0.99990000000000001</v>
      </c>
      <c r="P593" s="40" t="s">
        <v>234</v>
      </c>
      <c r="Q593" s="38">
        <v>2</v>
      </c>
      <c r="R593" s="38">
        <v>3</v>
      </c>
      <c r="S593" s="38">
        <v>3</v>
      </c>
      <c r="T593" s="38">
        <f>SUM(R593:S593)</f>
        <v>6</v>
      </c>
      <c r="U593" s="38">
        <v>0</v>
      </c>
      <c r="V593" s="38">
        <v>0</v>
      </c>
      <c r="W593" s="38">
        <v>0</v>
      </c>
      <c r="X593" s="38">
        <v>0</v>
      </c>
      <c r="Y593" s="37"/>
    </row>
    <row r="594" spans="1:25" s="31" customFormat="1" ht="15" customHeight="1" x14ac:dyDescent="0.3">
      <c r="A594" s="36"/>
      <c r="B594" s="37"/>
      <c r="C594" s="45"/>
      <c r="D594" s="37">
        <v>2023</v>
      </c>
      <c r="E594" s="38">
        <f>778196*1000000</f>
        <v>778196000000</v>
      </c>
      <c r="F594" s="38">
        <f>(778196+185634)*1000000</f>
        <v>963830000000</v>
      </c>
      <c r="G594" s="38">
        <f>6672476*1000000</f>
        <v>6672476000000</v>
      </c>
      <c r="H594" s="38">
        <f>(39072+2293+42738+491812)*1000000</f>
        <v>575915000000</v>
      </c>
      <c r="I594" s="38">
        <f>(39072+2293+432094+68585+85875+560483+42738+491812)*1000000</f>
        <v>1722952000000</v>
      </c>
      <c r="J594" s="38">
        <f>622231*1000000</f>
        <v>622231000000</v>
      </c>
      <c r="K594" s="38">
        <f>(100000+537+622231)*1000000</f>
        <v>722768000000</v>
      </c>
      <c r="L594" s="38">
        <f>2105655*1000000</f>
        <v>2105655000000</v>
      </c>
      <c r="M594" s="38">
        <f>655656*1000000</f>
        <v>655656000000</v>
      </c>
      <c r="N594" s="38">
        <f>537250*1000000</f>
        <v>537250000000</v>
      </c>
      <c r="O594" s="39">
        <v>0.99990000000000001</v>
      </c>
      <c r="P594" s="40" t="s">
        <v>234</v>
      </c>
      <c r="Q594" s="38">
        <v>2</v>
      </c>
      <c r="R594" s="38">
        <v>3</v>
      </c>
      <c r="S594" s="38">
        <v>2</v>
      </c>
      <c r="T594" s="38">
        <f>SUM(R594:S594)</f>
        <v>5</v>
      </c>
      <c r="U594" s="38">
        <v>0</v>
      </c>
      <c r="V594" s="38">
        <v>0</v>
      </c>
      <c r="W594" s="38">
        <v>0</v>
      </c>
      <c r="X594" s="38">
        <v>0</v>
      </c>
      <c r="Y594" s="37"/>
    </row>
    <row r="595" spans="1:25" s="31" customFormat="1" ht="15" customHeight="1" x14ac:dyDescent="0.3">
      <c r="A595" s="36"/>
      <c r="B595" s="37"/>
      <c r="C595" s="45"/>
      <c r="D595" s="37">
        <v>2024</v>
      </c>
      <c r="E595" s="38">
        <f>744603*1000000</f>
        <v>744603000000</v>
      </c>
      <c r="F595" s="38">
        <f>(744603+208421)*1000000</f>
        <v>953024000000</v>
      </c>
      <c r="G595" s="38">
        <f>6628170*1000000</f>
        <v>6628170000000</v>
      </c>
      <c r="H595" s="38">
        <f>(8712+10262+522322)*1000000</f>
        <v>541296000000</v>
      </c>
      <c r="I595" s="38">
        <f>(8712+10262+370761+62343+123841+1009071+522322)*1000000</f>
        <v>2107312000000</v>
      </c>
      <c r="J595" s="38">
        <f>684348*1000000</f>
        <v>684348000000</v>
      </c>
      <c r="K595" s="38">
        <f>(100000+896+684348)*1000000</f>
        <v>785244000000</v>
      </c>
      <c r="L595" s="38">
        <f>2174982*1000000</f>
        <v>2174982000000</v>
      </c>
      <c r="M595" s="38">
        <f>247989*1000000</f>
        <v>247989000000</v>
      </c>
      <c r="N595" s="38">
        <f>264302*1000000</f>
        <v>264302000000</v>
      </c>
      <c r="O595" s="39">
        <v>0.99990000000000001</v>
      </c>
      <c r="P595" s="40" t="s">
        <v>234</v>
      </c>
      <c r="Q595" s="38">
        <v>1</v>
      </c>
      <c r="R595" s="38">
        <v>2</v>
      </c>
      <c r="S595" s="38">
        <v>3</v>
      </c>
      <c r="T595" s="38">
        <f>SUM(R595:S595)</f>
        <v>5</v>
      </c>
      <c r="U595" s="38">
        <v>0</v>
      </c>
      <c r="V595" s="38">
        <v>0</v>
      </c>
      <c r="W595" s="38">
        <v>0</v>
      </c>
      <c r="X595" s="38">
        <v>0</v>
      </c>
      <c r="Y595" s="37"/>
    </row>
    <row r="596" spans="1:25" s="31" customFormat="1" ht="15" customHeight="1" x14ac:dyDescent="0.3">
      <c r="A596" s="36"/>
      <c r="B596" s="37">
        <v>55</v>
      </c>
      <c r="C596" s="29" t="s">
        <v>40</v>
      </c>
      <c r="D596" s="37">
        <v>2014</v>
      </c>
      <c r="E596" s="38">
        <v>0</v>
      </c>
      <c r="F596" s="38">
        <v>0</v>
      </c>
      <c r="G596" s="38">
        <v>0</v>
      </c>
      <c r="H596" s="38">
        <v>0</v>
      </c>
      <c r="I596" s="38">
        <v>0</v>
      </c>
      <c r="J596" s="38">
        <v>0</v>
      </c>
      <c r="K596" s="38">
        <v>0</v>
      </c>
      <c r="L596" s="38">
        <f>1723072*1000000</f>
        <v>1723072000000</v>
      </c>
      <c r="M596" s="38">
        <v>0</v>
      </c>
      <c r="N596" s="38">
        <v>0</v>
      </c>
      <c r="O596" s="38">
        <v>0</v>
      </c>
      <c r="P596" s="38">
        <v>0</v>
      </c>
      <c r="Q596" s="38">
        <v>0</v>
      </c>
      <c r="R596" s="38">
        <v>0</v>
      </c>
      <c r="S596" s="38">
        <v>0</v>
      </c>
      <c r="T596" s="38">
        <v>0</v>
      </c>
      <c r="U596" s="38">
        <v>0</v>
      </c>
      <c r="V596" s="38">
        <v>0</v>
      </c>
      <c r="W596" s="38">
        <v>0</v>
      </c>
      <c r="X596" s="38">
        <v>0</v>
      </c>
      <c r="Y596" s="37"/>
    </row>
    <row r="597" spans="1:25" s="31" customFormat="1" ht="15" customHeight="1" x14ac:dyDescent="0.3">
      <c r="A597" s="36"/>
      <c r="B597" s="37"/>
      <c r="C597" s="29"/>
      <c r="D597" s="37">
        <v>2015</v>
      </c>
      <c r="E597" s="38">
        <f>106373*1000000</f>
        <v>106373000000</v>
      </c>
      <c r="F597" s="38">
        <f>(106373+10091+39059+77118+161636)*1000000</f>
        <v>394277000000</v>
      </c>
      <c r="G597" s="38">
        <f>6060345*1000000</f>
        <v>6060345000000</v>
      </c>
      <c r="H597" s="38">
        <f>329271*1000000</f>
        <v>329271000000</v>
      </c>
      <c r="I597" s="38">
        <f>4994243*1000000</f>
        <v>4994243000000</v>
      </c>
      <c r="J597" s="38">
        <f>480340*1000000</f>
        <v>480340000000</v>
      </c>
      <c r="K597" s="38">
        <f>1066111*1000000</f>
        <v>1066111000000</v>
      </c>
      <c r="L597" s="38">
        <f>1238066*1000000</f>
        <v>1238066000000</v>
      </c>
      <c r="M597" s="38">
        <f>96931*1000000</f>
        <v>96931000000</v>
      </c>
      <c r="N597" s="38">
        <f>-102535*1000000</f>
        <v>-102535000000</v>
      </c>
      <c r="O597" s="39">
        <v>0.97870000000000001</v>
      </c>
      <c r="P597" s="49" t="s">
        <v>231</v>
      </c>
      <c r="Q597" s="38">
        <v>1</v>
      </c>
      <c r="R597" s="38">
        <v>3</v>
      </c>
      <c r="S597" s="38">
        <v>4</v>
      </c>
      <c r="T597" s="38">
        <v>7</v>
      </c>
      <c r="U597" s="38">
        <v>0</v>
      </c>
      <c r="V597" s="38">
        <v>0</v>
      </c>
      <c r="W597" s="38">
        <v>0</v>
      </c>
      <c r="X597" s="38">
        <v>0</v>
      </c>
      <c r="Y597" s="37"/>
    </row>
    <row r="598" spans="1:25" s="31" customFormat="1" ht="15" customHeight="1" x14ac:dyDescent="0.3">
      <c r="A598" s="36"/>
      <c r="B598" s="37"/>
      <c r="C598" s="29"/>
      <c r="D598" s="37">
        <v>2016</v>
      </c>
      <c r="E598" s="38">
        <f>142893*1000000</f>
        <v>142893000000</v>
      </c>
      <c r="F598" s="38">
        <f>(142893+14734+78508+35322+88776+166443)*1000000</f>
        <v>526676000000</v>
      </c>
      <c r="G598" s="38">
        <f>9618219*1000000</f>
        <v>9618219000000</v>
      </c>
      <c r="H598" s="38">
        <f>629809*1000000</f>
        <v>629809000000</v>
      </c>
      <c r="I598" s="38">
        <f>8329631*1000000</f>
        <v>8329631000000</v>
      </c>
      <c r="J598" s="38">
        <f>225585*1000000</f>
        <v>225585000000</v>
      </c>
      <c r="K598" s="38">
        <f>1288588*1000000</f>
        <v>1288588000000</v>
      </c>
      <c r="L598" s="38">
        <f>2218993*1000000</f>
        <v>2218993000000</v>
      </c>
      <c r="M598" s="38">
        <f>-254061*1000000</f>
        <v>-254061000000</v>
      </c>
      <c r="N598" s="38">
        <f>-62379*1000000</f>
        <v>-62379000000</v>
      </c>
      <c r="O598" s="39">
        <v>0.97609999999999997</v>
      </c>
      <c r="P598" s="49" t="s">
        <v>231</v>
      </c>
      <c r="Q598" s="38">
        <v>1</v>
      </c>
      <c r="R598" s="38">
        <v>3</v>
      </c>
      <c r="S598" s="38">
        <v>3</v>
      </c>
      <c r="T598" s="38">
        <v>6</v>
      </c>
      <c r="U598" s="38">
        <v>0</v>
      </c>
      <c r="V598" s="38">
        <v>0</v>
      </c>
      <c r="W598" s="38">
        <v>0</v>
      </c>
      <c r="X598" s="38">
        <v>0</v>
      </c>
      <c r="Y598" s="37"/>
    </row>
    <row r="599" spans="1:25" s="31" customFormat="1" ht="15" customHeight="1" x14ac:dyDescent="0.3">
      <c r="A599" s="36"/>
      <c r="B599" s="37"/>
      <c r="C599" s="29"/>
      <c r="D599" s="37">
        <v>2017</v>
      </c>
      <c r="E599" s="38">
        <f>111576*1000000</f>
        <v>111576000000</v>
      </c>
      <c r="F599" s="38">
        <f>(111576+19115+74640+29081+74894+94036)*1000000</f>
        <v>403342000000</v>
      </c>
      <c r="G599" s="38">
        <f>11742806*1000000</f>
        <v>11742806000000</v>
      </c>
      <c r="H599" s="38">
        <f>748107*1000000</f>
        <v>748107000000</v>
      </c>
      <c r="I599" s="38">
        <f>10191827*1000000</f>
        <v>10191827000000</v>
      </c>
      <c r="J599" s="38">
        <f>-126873*1000000</f>
        <v>-126873000000</v>
      </c>
      <c r="K599" s="38">
        <f>1550979*1000000</f>
        <v>1550979000000</v>
      </c>
      <c r="L599" s="38">
        <f>3961709*1000000</f>
        <v>3961709000000</v>
      </c>
      <c r="M599" s="38">
        <f>-351462*1000000</f>
        <v>-351462000000</v>
      </c>
      <c r="N599" s="38">
        <f>-185323*1000000</f>
        <v>-185323000000</v>
      </c>
      <c r="O599" s="39">
        <v>0.97609999999999997</v>
      </c>
      <c r="P599" s="49" t="s">
        <v>231</v>
      </c>
      <c r="Q599" s="38">
        <v>2</v>
      </c>
      <c r="R599" s="38">
        <v>3</v>
      </c>
      <c r="S599" s="38">
        <v>5</v>
      </c>
      <c r="T599" s="38">
        <v>8</v>
      </c>
      <c r="U599" s="38">
        <v>0</v>
      </c>
      <c r="V599" s="38">
        <v>0</v>
      </c>
      <c r="W599" s="38">
        <v>0</v>
      </c>
      <c r="X599" s="38">
        <v>0</v>
      </c>
      <c r="Y599" s="37"/>
    </row>
    <row r="600" spans="1:25" s="31" customFormat="1" ht="15" customHeight="1" x14ac:dyDescent="0.3">
      <c r="A600" s="36"/>
      <c r="B600" s="37"/>
      <c r="C600" s="29"/>
      <c r="D600" s="37">
        <v>2018</v>
      </c>
      <c r="E600" s="38">
        <f>141319*1000000</f>
        <v>141319000000</v>
      </c>
      <c r="F600" s="38">
        <f>(141319+20096+67198+68304+83782+99764)*1000000</f>
        <v>480463000000</v>
      </c>
      <c r="G600" s="38">
        <f>11996023*1000000</f>
        <v>11996023000000</v>
      </c>
      <c r="H600" s="38">
        <f>844384*1000000</f>
        <v>844384000000</v>
      </c>
      <c r="I600" s="38">
        <f>10500179*1000000</f>
        <v>10500179000000</v>
      </c>
      <c r="J600" s="38">
        <f>50104*1000000</f>
        <v>50104000000</v>
      </c>
      <c r="K600" s="38">
        <f>1495844*1000000</f>
        <v>1495844000000</v>
      </c>
      <c r="L600" s="38">
        <f>3060261*1000000</f>
        <v>3060261000000</v>
      </c>
      <c r="M600" s="38">
        <f>178320*1000000</f>
        <v>178320000000</v>
      </c>
      <c r="N600" s="38">
        <f>-53891*1000000</f>
        <v>-53891000000</v>
      </c>
      <c r="O600" s="39">
        <v>0.95860000000000001</v>
      </c>
      <c r="P600" s="49" t="s">
        <v>231</v>
      </c>
      <c r="Q600" s="38">
        <v>2</v>
      </c>
      <c r="R600" s="38">
        <v>4</v>
      </c>
      <c r="S600" s="38">
        <v>5</v>
      </c>
      <c r="T600" s="38">
        <v>9</v>
      </c>
      <c r="U600" s="38">
        <v>0</v>
      </c>
      <c r="V600" s="38">
        <v>0</v>
      </c>
      <c r="W600" s="38">
        <v>0</v>
      </c>
      <c r="X600" s="38">
        <v>0</v>
      </c>
      <c r="Y600" s="37"/>
    </row>
    <row r="601" spans="1:25" s="31" customFormat="1" ht="15" customHeight="1" x14ac:dyDescent="0.3">
      <c r="A601" s="36"/>
      <c r="B601" s="37"/>
      <c r="C601" s="29"/>
      <c r="D601" s="37">
        <v>2019</v>
      </c>
      <c r="E601" s="38">
        <f>154932*1000000</f>
        <v>154932000000</v>
      </c>
      <c r="F601" s="38">
        <f>(154932+13110+77802+64611+36075+95043)*1000000</f>
        <v>441573000000</v>
      </c>
      <c r="G601" s="38">
        <f>13386719*1000000</f>
        <v>13386719000000</v>
      </c>
      <c r="H601" s="38">
        <f>928508*1000000</f>
        <v>928508000000</v>
      </c>
      <c r="I601" s="38">
        <f>12002435*1000000</f>
        <v>12002435000000</v>
      </c>
      <c r="J601" s="38">
        <f>-251927*1000000</f>
        <v>-251927000000</v>
      </c>
      <c r="K601" s="38">
        <f>1384284*1000000</f>
        <v>1384284000000</v>
      </c>
      <c r="L601" s="38">
        <f>4186864*1000000</f>
        <v>4186864000000</v>
      </c>
      <c r="M601" s="38">
        <f>-302032*1000000</f>
        <v>-302032000000</v>
      </c>
      <c r="N601" s="38">
        <f>-111560*1000000</f>
        <v>-111560000000</v>
      </c>
      <c r="O601" s="39">
        <v>0.95860000000000001</v>
      </c>
      <c r="P601" s="49" t="s">
        <v>231</v>
      </c>
      <c r="Q601" s="38">
        <v>2</v>
      </c>
      <c r="R601" s="38">
        <v>4</v>
      </c>
      <c r="S601" s="38">
        <v>6</v>
      </c>
      <c r="T601" s="38">
        <v>10</v>
      </c>
      <c r="U601" s="38">
        <v>0</v>
      </c>
      <c r="V601" s="38">
        <v>0</v>
      </c>
      <c r="W601" s="38">
        <v>0</v>
      </c>
      <c r="X601" s="38">
        <v>0</v>
      </c>
      <c r="Y601" s="37"/>
    </row>
    <row r="602" spans="1:25" s="31" customFormat="1" ht="15" customHeight="1" x14ac:dyDescent="0.3">
      <c r="A602" s="36"/>
      <c r="B602" s="37"/>
      <c r="C602" s="29"/>
      <c r="D602" s="37">
        <v>2020</v>
      </c>
      <c r="E602" s="38">
        <f>213569*1000000</f>
        <v>213569000000</v>
      </c>
      <c r="F602" s="38">
        <f>(213569+12189+112626+53161+32603+93678)*1000000</f>
        <v>517826000000</v>
      </c>
      <c r="G602" s="38">
        <f>14446272*1000000</f>
        <v>14446272000000</v>
      </c>
      <c r="H602" s="38">
        <f>993385*1000000</f>
        <v>993385000000</v>
      </c>
      <c r="I602" s="38">
        <f>13324758*1000000</f>
        <v>13324758000000</v>
      </c>
      <c r="J602" s="38">
        <f>-571594*1000000</f>
        <v>-571594000000</v>
      </c>
      <c r="K602" s="38">
        <f>1121514*1000000</f>
        <v>1121514000000</v>
      </c>
      <c r="L602" s="38">
        <f>3860580*1000000</f>
        <v>3860580000000</v>
      </c>
      <c r="M602" s="38">
        <f>-301688*1000000</f>
        <v>-301688000000</v>
      </c>
      <c r="N602" s="38">
        <f>-259241*1000000</f>
        <v>-259241000000</v>
      </c>
      <c r="O602" s="39">
        <v>0.95860000000000001</v>
      </c>
      <c r="P602" s="49" t="s">
        <v>231</v>
      </c>
      <c r="Q602" s="38">
        <v>2</v>
      </c>
      <c r="R602" s="38">
        <v>4</v>
      </c>
      <c r="S602" s="38">
        <v>6</v>
      </c>
      <c r="T602" s="38">
        <v>10</v>
      </c>
      <c r="U602" s="38">
        <v>0</v>
      </c>
      <c r="V602" s="38">
        <v>0</v>
      </c>
      <c r="W602" s="38">
        <v>0</v>
      </c>
      <c r="X602" s="38">
        <v>0</v>
      </c>
      <c r="Y602" s="37"/>
    </row>
    <row r="603" spans="1:25" s="31" customFormat="1" ht="15" customHeight="1" x14ac:dyDescent="0.3">
      <c r="A603" s="36"/>
      <c r="B603" s="37"/>
      <c r="C603" s="29"/>
      <c r="D603" s="37">
        <v>2021</v>
      </c>
      <c r="E603" s="38">
        <f>612657*1000000</f>
        <v>612657000000</v>
      </c>
      <c r="F603" s="38">
        <f>(621657+12972+142378+160427+19235+88280)*1000000</f>
        <v>1044949000000</v>
      </c>
      <c r="G603" s="38">
        <f>15389456*1000000</f>
        <v>15389456000000</v>
      </c>
      <c r="H603" s="38">
        <f>1116255*1000000</f>
        <v>1116255000000</v>
      </c>
      <c r="I603" s="38">
        <f>14152151*1000000</f>
        <v>14152151000000</v>
      </c>
      <c r="J603" s="38">
        <f>-706518*1000000</f>
        <v>-706518000000</v>
      </c>
      <c r="K603" s="38">
        <f>1237305*1000000</f>
        <v>1237305000000</v>
      </c>
      <c r="L603" s="38">
        <f>4632725*1000000</f>
        <v>4632725000000</v>
      </c>
      <c r="M603" s="38">
        <f>-141422*1000000</f>
        <v>-141422000000</v>
      </c>
      <c r="N603" s="38">
        <f>-183548*1000000</f>
        <v>-183548000000</v>
      </c>
      <c r="O603" s="39">
        <v>0.95860000000000001</v>
      </c>
      <c r="P603" s="49" t="s">
        <v>231</v>
      </c>
      <c r="Q603" s="38">
        <v>2</v>
      </c>
      <c r="R603" s="38">
        <v>4</v>
      </c>
      <c r="S603" s="38">
        <v>6</v>
      </c>
      <c r="T603" s="38">
        <v>10</v>
      </c>
      <c r="U603" s="38">
        <v>0</v>
      </c>
      <c r="V603" s="38">
        <v>0</v>
      </c>
      <c r="W603" s="38">
        <v>0</v>
      </c>
      <c r="X603" s="38">
        <v>0</v>
      </c>
      <c r="Y603" s="37"/>
    </row>
    <row r="604" spans="1:25" s="31" customFormat="1" ht="15" customHeight="1" x14ac:dyDescent="0.3">
      <c r="A604" s="36"/>
      <c r="B604" s="37"/>
      <c r="C604" s="29"/>
      <c r="D604" s="37">
        <v>2022</v>
      </c>
      <c r="E604" s="38">
        <f>197932*1000000</f>
        <v>197932000000</v>
      </c>
      <c r="F604" s="38">
        <f>(197932+9132+152510+73452+30783+96111)*1000000</f>
        <v>559920000000</v>
      </c>
      <c r="G604" s="38">
        <f>20936453*1000000</f>
        <v>20936453000000</v>
      </c>
      <c r="H604" s="38">
        <f>1093068*1000000</f>
        <v>1093068000000</v>
      </c>
      <c r="I604" s="38">
        <f>13701913*1000000</f>
        <v>13701913000000</v>
      </c>
      <c r="J604" s="38">
        <f>-786390*1000000</f>
        <v>-786390000000</v>
      </c>
      <c r="K604" s="38">
        <f>7234540*1000000</f>
        <v>7234540000000</v>
      </c>
      <c r="L604" s="38">
        <f>5012314*1000000</f>
        <v>5012314000000</v>
      </c>
      <c r="M604" s="38">
        <f>-57220*1000000</f>
        <v>-57220000000</v>
      </c>
      <c r="N604" s="38">
        <f>-250764*1000000</f>
        <v>-250764000000</v>
      </c>
      <c r="O604" s="39">
        <v>0.95860000000000001</v>
      </c>
      <c r="P604" s="49" t="s">
        <v>231</v>
      </c>
      <c r="Q604" s="38">
        <v>2</v>
      </c>
      <c r="R604" s="38">
        <v>4</v>
      </c>
      <c r="S604" s="38">
        <v>7</v>
      </c>
      <c r="T604" s="38">
        <v>11</v>
      </c>
      <c r="U604" s="38">
        <v>0</v>
      </c>
      <c r="V604" s="38">
        <v>0</v>
      </c>
      <c r="W604" s="38">
        <v>0</v>
      </c>
      <c r="X604" s="38">
        <v>0</v>
      </c>
      <c r="Y604" s="37"/>
    </row>
    <row r="605" spans="1:25" s="31" customFormat="1" ht="15" customHeight="1" x14ac:dyDescent="0.3">
      <c r="A605" s="36"/>
      <c r="B605" s="37"/>
      <c r="C605" s="29"/>
      <c r="D605" s="37">
        <v>2023</v>
      </c>
      <c r="E605" s="38">
        <f>570845*1000000</f>
        <v>570845000000</v>
      </c>
      <c r="F605" s="38">
        <f>(570845+19293+199281+69084+17735+105253)*1000000</f>
        <v>981491000000</v>
      </c>
      <c r="G605" s="38">
        <f>20527159*1000000</f>
        <v>20527159000000</v>
      </c>
      <c r="H605" s="38">
        <f>1147074*1000000</f>
        <v>1147074000000</v>
      </c>
      <c r="I605" s="38">
        <f>12752277*1000000</f>
        <v>12752277000000</v>
      </c>
      <c r="J605" s="38">
        <f>-990482*1000000</f>
        <v>-990482000000</v>
      </c>
      <c r="K605" s="38">
        <f>7055589*1000000</f>
        <v>7055589000000</v>
      </c>
      <c r="L605" s="38">
        <f>4525904*1000000</f>
        <v>4525904000000</v>
      </c>
      <c r="M605" s="38">
        <f>-155896*1000000</f>
        <v>-155896000000</v>
      </c>
      <c r="N605" s="38">
        <f>-133955*1000000</f>
        <v>-133955000000</v>
      </c>
      <c r="O605" s="39">
        <v>0.95860000000000001</v>
      </c>
      <c r="P605" s="49" t="s">
        <v>231</v>
      </c>
      <c r="Q605" s="38">
        <v>2</v>
      </c>
      <c r="R605" s="38">
        <v>3</v>
      </c>
      <c r="S605" s="38">
        <v>8</v>
      </c>
      <c r="T605" s="38">
        <v>10</v>
      </c>
      <c r="U605" s="38">
        <v>0</v>
      </c>
      <c r="V605" s="38">
        <v>0</v>
      </c>
      <c r="W605" s="38">
        <v>0</v>
      </c>
      <c r="X605" s="38">
        <v>0</v>
      </c>
      <c r="Y605" s="37"/>
    </row>
    <row r="606" spans="1:25" s="31" customFormat="1" ht="15" customHeight="1" x14ac:dyDescent="0.3">
      <c r="A606" s="36"/>
      <c r="B606" s="37"/>
      <c r="C606" s="29"/>
      <c r="D606" s="37">
        <v>2024</v>
      </c>
      <c r="E606" s="38">
        <f>591242*1000000</f>
        <v>591242000000</v>
      </c>
      <c r="F606" s="38">
        <f>(591242+22120+209160+124844+19422+102986)*1000000</f>
        <v>1069774000000</v>
      </c>
      <c r="G606" s="38">
        <f>19441396*1000000</f>
        <v>19441396000000</v>
      </c>
      <c r="H606" s="38">
        <f>1224064*1000000</f>
        <v>1224064000000</v>
      </c>
      <c r="I606" s="38">
        <f>11478728*1000000</f>
        <v>11478728000000</v>
      </c>
      <c r="J606" s="38">
        <f>-938525*1000000</f>
        <v>-938525000000</v>
      </c>
      <c r="K606" s="38">
        <f>7077686*1000000</f>
        <v>7077686000000</v>
      </c>
      <c r="L606" s="38">
        <f>3644303*1000000</f>
        <v>3644303000000</v>
      </c>
      <c r="M606" s="38">
        <f>49100*1000000</f>
        <v>49100000000</v>
      </c>
      <c r="N606" s="38">
        <f>22096*1000000</f>
        <v>22096000000</v>
      </c>
      <c r="O606" s="39">
        <v>0.95860000000000001</v>
      </c>
      <c r="P606" s="49" t="s">
        <v>231</v>
      </c>
      <c r="Q606" s="38">
        <v>3</v>
      </c>
      <c r="R606" s="38">
        <v>6</v>
      </c>
      <c r="S606" s="38">
        <v>7</v>
      </c>
      <c r="T606" s="38">
        <v>13</v>
      </c>
      <c r="U606" s="38">
        <v>0</v>
      </c>
      <c r="V606" s="38">
        <v>0</v>
      </c>
      <c r="W606" s="38">
        <v>0</v>
      </c>
      <c r="X606" s="38">
        <v>0</v>
      </c>
      <c r="Y606" s="37"/>
    </row>
    <row r="607" spans="1:25" s="31" customFormat="1" ht="15" customHeight="1" x14ac:dyDescent="0.3">
      <c r="A607" s="36"/>
      <c r="B607" s="37">
        <v>56</v>
      </c>
      <c r="C607" s="29" t="s">
        <v>47</v>
      </c>
      <c r="D607" s="37">
        <v>2014</v>
      </c>
      <c r="E607" s="38">
        <v>0</v>
      </c>
      <c r="F607" s="38">
        <v>0</v>
      </c>
      <c r="G607" s="38">
        <v>0</v>
      </c>
      <c r="H607" s="38">
        <v>0</v>
      </c>
      <c r="I607" s="38">
        <v>0</v>
      </c>
      <c r="J607" s="38">
        <v>0</v>
      </c>
      <c r="K607" s="38">
        <v>0</v>
      </c>
      <c r="L607" s="38">
        <f>128999*1000000</f>
        <v>128999000000</v>
      </c>
      <c r="M607" s="38">
        <v>0</v>
      </c>
      <c r="N607" s="38">
        <v>0</v>
      </c>
      <c r="O607" s="48">
        <v>0</v>
      </c>
      <c r="P607" s="40">
        <v>0</v>
      </c>
      <c r="Q607" s="40">
        <v>0</v>
      </c>
      <c r="R607" s="40">
        <v>0</v>
      </c>
      <c r="S607" s="40">
        <v>0</v>
      </c>
      <c r="T607" s="40">
        <v>0</v>
      </c>
      <c r="U607" s="40">
        <v>0</v>
      </c>
      <c r="V607" s="40">
        <v>0</v>
      </c>
      <c r="W607" s="40">
        <v>0</v>
      </c>
      <c r="X607" s="40">
        <v>0</v>
      </c>
      <c r="Y607" s="37"/>
    </row>
    <row r="608" spans="1:25" s="31" customFormat="1" ht="15" customHeight="1" x14ac:dyDescent="0.3">
      <c r="A608" s="36"/>
      <c r="B608" s="37"/>
      <c r="C608" s="29"/>
      <c r="D608" s="37">
        <v>2015</v>
      </c>
      <c r="E608" s="38">
        <f>32603*1000000</f>
        <v>32603000000</v>
      </c>
      <c r="F608" s="38">
        <f>(32603+16052+3976+4153+2039)*1000000</f>
        <v>58823000000</v>
      </c>
      <c r="G608" s="38">
        <f>791528*1000000</f>
        <v>791528000000</v>
      </c>
      <c r="H608" s="38">
        <f>(6075+3120+7161+4723+38794+42794)*1000000</f>
        <v>102667000000</v>
      </c>
      <c r="I608" s="38">
        <f>302295*1000000</f>
        <v>302295000000</v>
      </c>
      <c r="J608" s="38">
        <f>-537620*1000000</f>
        <v>-537620000000</v>
      </c>
      <c r="K608" s="38">
        <f>489233*1000000</f>
        <v>489233000000</v>
      </c>
      <c r="L608" s="38">
        <f>195573*1000000</f>
        <v>195573000000</v>
      </c>
      <c r="M608" s="38">
        <f>-129475*1000000</f>
        <v>-129475000000</v>
      </c>
      <c r="N608" s="38">
        <f>-141190*1000000</f>
        <v>-141190000000</v>
      </c>
      <c r="O608" s="39">
        <v>0.96199999999999997</v>
      </c>
      <c r="P608" s="40" t="s">
        <v>233</v>
      </c>
      <c r="Q608" s="38">
        <v>2</v>
      </c>
      <c r="R608" s="38">
        <v>4</v>
      </c>
      <c r="S608" s="38">
        <v>5</v>
      </c>
      <c r="T608" s="38">
        <v>9</v>
      </c>
      <c r="U608" s="40">
        <v>0</v>
      </c>
      <c r="V608" s="40">
        <v>0</v>
      </c>
      <c r="W608" s="40">
        <v>0</v>
      </c>
      <c r="X608" s="40">
        <v>0</v>
      </c>
      <c r="Y608" s="37"/>
    </row>
    <row r="609" spans="1:25" s="31" customFormat="1" ht="15" customHeight="1" x14ac:dyDescent="0.3">
      <c r="A609" s="36"/>
      <c r="B609" s="37"/>
      <c r="C609" s="29"/>
      <c r="D609" s="37">
        <v>2016</v>
      </c>
      <c r="E609" s="38">
        <f>46458*1000000</f>
        <v>46458000000</v>
      </c>
      <c r="F609" s="38">
        <f>(46458+22225+3161+1794+928)*1000000</f>
        <v>74566000000</v>
      </c>
      <c r="G609" s="38">
        <f>1192863*1000000</f>
        <v>1192863000000</v>
      </c>
      <c r="H609" s="38">
        <f>(6760+3321+15813+3626+59578+63239)*1000000</f>
        <v>152337000000</v>
      </c>
      <c r="I609" s="38">
        <f>578596*1000000</f>
        <v>578596000000</v>
      </c>
      <c r="J609" s="38">
        <f>-835501*1000000</f>
        <v>-835501000000</v>
      </c>
      <c r="K609" s="38">
        <f>614267*1000000</f>
        <v>614267000000</v>
      </c>
      <c r="L609" s="38">
        <f>448400*1000000</f>
        <v>448400000000</v>
      </c>
      <c r="M609" s="38">
        <f>-292869*1000000</f>
        <v>-292869000000</v>
      </c>
      <c r="N609" s="38">
        <f>-294967*1000000</f>
        <v>-294967000000</v>
      </c>
      <c r="O609" s="39">
        <v>0.96199999999999997</v>
      </c>
      <c r="P609" s="40" t="s">
        <v>233</v>
      </c>
      <c r="Q609" s="38">
        <v>2</v>
      </c>
      <c r="R609" s="38">
        <v>4</v>
      </c>
      <c r="S609" s="38">
        <v>6</v>
      </c>
      <c r="T609" s="38">
        <v>10</v>
      </c>
      <c r="U609" s="40">
        <v>0</v>
      </c>
      <c r="V609" s="40">
        <v>0</v>
      </c>
      <c r="W609" s="40">
        <v>0</v>
      </c>
      <c r="X609" s="40">
        <v>0</v>
      </c>
      <c r="Y609" s="37"/>
    </row>
    <row r="610" spans="1:25" s="31" customFormat="1" ht="15" customHeight="1" x14ac:dyDescent="0.3">
      <c r="A610" s="36"/>
      <c r="B610" s="37"/>
      <c r="C610" s="29"/>
      <c r="D610" s="37">
        <v>2017</v>
      </c>
      <c r="E610" s="38">
        <f>24936*1000000</f>
        <v>24936000000</v>
      </c>
      <c r="F610" s="38">
        <f>(24936+29827+3080+8630+4027)*1000000</f>
        <v>70500000000</v>
      </c>
      <c r="G610" s="38">
        <f>2300432*1000000</f>
        <v>2300432000000</v>
      </c>
      <c r="H610" s="38">
        <f>155284*1000000</f>
        <v>155284000000</v>
      </c>
      <c r="I610" s="38">
        <f>838485*1000000</f>
        <v>838485000000</v>
      </c>
      <c r="J610" s="38">
        <f>-1095490*1000000</f>
        <v>-1095490000000</v>
      </c>
      <c r="K610" s="38">
        <f>1461947*1000000</f>
        <v>1461947000000</v>
      </c>
      <c r="L610" s="38">
        <f>574741*1000000</f>
        <v>574741000000</v>
      </c>
      <c r="M610" s="38">
        <f>-258234*1000000</f>
        <v>-258234000000</v>
      </c>
      <c r="N610" s="38">
        <f>-254335*1000000</f>
        <v>-254335000000</v>
      </c>
      <c r="O610" s="39">
        <v>0.97799999999999998</v>
      </c>
      <c r="P610" s="40" t="s">
        <v>233</v>
      </c>
      <c r="Q610" s="38">
        <v>2</v>
      </c>
      <c r="R610" s="38">
        <v>4</v>
      </c>
      <c r="S610" s="38">
        <v>5</v>
      </c>
      <c r="T610" s="38">
        <v>9</v>
      </c>
      <c r="U610" s="40">
        <v>0</v>
      </c>
      <c r="V610" s="40">
        <v>0</v>
      </c>
      <c r="W610" s="40">
        <v>0</v>
      </c>
      <c r="X610" s="40">
        <v>0</v>
      </c>
      <c r="Y610" s="37"/>
    </row>
    <row r="611" spans="1:25" s="31" customFormat="1" ht="15" customHeight="1" x14ac:dyDescent="0.3">
      <c r="A611" s="36"/>
      <c r="B611" s="37"/>
      <c r="C611" s="29"/>
      <c r="D611" s="37">
        <v>2018</v>
      </c>
      <c r="E611" s="38">
        <f>28515*1000000</f>
        <v>28515000000</v>
      </c>
      <c r="F611" s="38">
        <f>(28515+31315+17498+2678+5045)*1000000</f>
        <v>85051000000</v>
      </c>
      <c r="G611" s="38">
        <f>2364703*1000000</f>
        <v>2364703000000</v>
      </c>
      <c r="H611" s="38">
        <f>154994*1000000</f>
        <v>154994000000</v>
      </c>
      <c r="I611" s="38">
        <f>1053155*1000000</f>
        <v>1053155000000</v>
      </c>
      <c r="J611" s="38">
        <f>-1319707*1000000</f>
        <v>-1319707000000</v>
      </c>
      <c r="K611" s="38">
        <f>1311548*1000000</f>
        <v>1311548000000</v>
      </c>
      <c r="L611" s="38">
        <f>567430*1000000</f>
        <v>567430000000</v>
      </c>
      <c r="M611" s="38">
        <f>-210607*1000000</f>
        <v>-210607000000</v>
      </c>
      <c r="N611" s="38">
        <f>-238404*1000000</f>
        <v>-238404000000</v>
      </c>
      <c r="O611" s="39">
        <v>0.97799999999999998</v>
      </c>
      <c r="P611" s="40" t="s">
        <v>233</v>
      </c>
      <c r="Q611" s="38">
        <v>2</v>
      </c>
      <c r="R611" s="38">
        <v>4</v>
      </c>
      <c r="S611" s="38">
        <v>5</v>
      </c>
      <c r="T611" s="38">
        <v>9</v>
      </c>
      <c r="U611" s="40">
        <v>0</v>
      </c>
      <c r="V611" s="40">
        <v>0</v>
      </c>
      <c r="W611" s="40">
        <v>0</v>
      </c>
      <c r="X611" s="40">
        <v>0</v>
      </c>
      <c r="Y611" s="37"/>
    </row>
    <row r="612" spans="1:25" s="31" customFormat="1" ht="15" customHeight="1" x14ac:dyDescent="0.3">
      <c r="A612" s="36"/>
      <c r="B612" s="37"/>
      <c r="C612" s="29"/>
      <c r="D612" s="37">
        <v>2019</v>
      </c>
      <c r="E612" s="38">
        <f>39511*1000000</f>
        <v>39511000000</v>
      </c>
      <c r="F612" s="38">
        <f>(39511+40206+16586+2130)*1000000</f>
        <v>98433000000</v>
      </c>
      <c r="G612" s="38">
        <f>2454333*1000000</f>
        <v>2454333000000</v>
      </c>
      <c r="H612" s="38">
        <f>161274*1000000</f>
        <v>161274000000</v>
      </c>
      <c r="I612" s="38">
        <f>1296816*1000000</f>
        <v>1296816000000</v>
      </c>
      <c r="J612" s="38">
        <f>-1508069*1000000</f>
        <v>-1508069000000</v>
      </c>
      <c r="K612" s="38">
        <f>1157517*1000000</f>
        <v>1157517000000</v>
      </c>
      <c r="L612" s="38">
        <f>781453*1000000</f>
        <v>781453000000</v>
      </c>
      <c r="M612" s="38">
        <f>-173450*1000000</f>
        <v>-173450000000</v>
      </c>
      <c r="N612" s="38">
        <f>154007*1000000</f>
        <v>154007000000</v>
      </c>
      <c r="O612" s="39">
        <v>0.97799999999999998</v>
      </c>
      <c r="P612" s="40" t="s">
        <v>233</v>
      </c>
      <c r="Q612" s="38">
        <v>2</v>
      </c>
      <c r="R612" s="38">
        <v>4</v>
      </c>
      <c r="S612" s="38">
        <v>6</v>
      </c>
      <c r="T612" s="38">
        <v>10</v>
      </c>
      <c r="U612" s="40">
        <v>0</v>
      </c>
      <c r="V612" s="40">
        <v>0</v>
      </c>
      <c r="W612" s="40">
        <v>0</v>
      </c>
      <c r="X612" s="40">
        <v>0</v>
      </c>
      <c r="Y612" s="37"/>
    </row>
    <row r="613" spans="1:25" s="31" customFormat="1" ht="15" customHeight="1" x14ac:dyDescent="0.3">
      <c r="A613" s="36"/>
      <c r="B613" s="37"/>
      <c r="C613" s="29"/>
      <c r="D613" s="37">
        <v>2020</v>
      </c>
      <c r="E613" s="38">
        <f>34126*1000000</f>
        <v>34126000000</v>
      </c>
      <c r="F613" s="38">
        <f>(34126+42415+518+19360+2068)*1000000</f>
        <v>98487000000</v>
      </c>
      <c r="G613" s="38">
        <f>2494484*1000000</f>
        <v>2494484000000</v>
      </c>
      <c r="H613" s="38">
        <f>193663*1000000</f>
        <v>193663000000</v>
      </c>
      <c r="I613" s="38">
        <f>1440826*1000000</f>
        <v>1440826000000</v>
      </c>
      <c r="J613" s="38">
        <f>-1637018*1000000</f>
        <v>-1637018000000</v>
      </c>
      <c r="K613" s="38">
        <f>1054658*1000000</f>
        <v>1054658000000</v>
      </c>
      <c r="L613" s="38">
        <f>603900*1000000</f>
        <v>603900000000</v>
      </c>
      <c r="M613" s="38">
        <f>-119858*1000000</f>
        <v>-119858000000</v>
      </c>
      <c r="N613" s="38">
        <f>-102691*1000000</f>
        <v>-102691000000</v>
      </c>
      <c r="O613" s="39">
        <v>0.97799999999999998</v>
      </c>
      <c r="P613" s="40" t="s">
        <v>233</v>
      </c>
      <c r="Q613" s="38">
        <v>2</v>
      </c>
      <c r="R613" s="38">
        <v>4</v>
      </c>
      <c r="S613" s="38">
        <v>6</v>
      </c>
      <c r="T613" s="38">
        <v>10</v>
      </c>
      <c r="U613" s="40">
        <v>0</v>
      </c>
      <c r="V613" s="40">
        <v>0</v>
      </c>
      <c r="W613" s="40">
        <v>0</v>
      </c>
      <c r="X613" s="40">
        <v>0</v>
      </c>
      <c r="Y613" s="37"/>
    </row>
    <row r="614" spans="1:25" s="31" customFormat="1" ht="15" customHeight="1" x14ac:dyDescent="0.3">
      <c r="A614" s="36"/>
      <c r="B614" s="37"/>
      <c r="C614" s="29"/>
      <c r="D614" s="37">
        <v>2021</v>
      </c>
      <c r="E614" s="38">
        <f>32567*1000000</f>
        <v>32567000000</v>
      </c>
      <c r="F614" s="38">
        <f>(32567+42312+4619+33894+1371)*1000000</f>
        <v>114763000000</v>
      </c>
      <c r="G614" s="38">
        <f>2367310*1000000</f>
        <v>2367310000000</v>
      </c>
      <c r="H614" s="38">
        <f>199660*1000000</f>
        <v>199660000000</v>
      </c>
      <c r="I614" s="38">
        <f>1506170*1000000</f>
        <v>1506170000000</v>
      </c>
      <c r="J614" s="38">
        <f>-1848505*1000000</f>
        <v>-1848505000000</v>
      </c>
      <c r="K614" s="38">
        <f>861140*1000000</f>
        <v>861140000000</v>
      </c>
      <c r="L614" s="38">
        <f>599499*1000000</f>
        <v>599499000000</v>
      </c>
      <c r="M614" s="38">
        <f>-206170*1000000</f>
        <v>-206170000000</v>
      </c>
      <c r="N614" s="38">
        <f>-193518*1000000</f>
        <v>-193518000000</v>
      </c>
      <c r="O614" s="39">
        <v>0.98</v>
      </c>
      <c r="P614" s="40" t="s">
        <v>233</v>
      </c>
      <c r="Q614" s="38">
        <v>2</v>
      </c>
      <c r="R614" s="38">
        <v>3</v>
      </c>
      <c r="S614" s="38">
        <v>6</v>
      </c>
      <c r="T614" s="38">
        <v>9</v>
      </c>
      <c r="U614" s="40">
        <v>0</v>
      </c>
      <c r="V614" s="40">
        <v>0</v>
      </c>
      <c r="W614" s="40">
        <v>0</v>
      </c>
      <c r="X614" s="40">
        <v>0</v>
      </c>
      <c r="Y614" s="37"/>
    </row>
    <row r="615" spans="1:25" s="31" customFormat="1" ht="15" customHeight="1" x14ac:dyDescent="0.3">
      <c r="A615" s="36"/>
      <c r="B615" s="37"/>
      <c r="C615" s="29"/>
      <c r="D615" s="37">
        <v>2022</v>
      </c>
      <c r="E615" s="38">
        <f>53688*1000000</f>
        <v>53688000000</v>
      </c>
      <c r="F615" s="38">
        <f>(53688+66401+7661+30432+7800)*1000000</f>
        <v>165982000000</v>
      </c>
      <c r="G615" s="38">
        <f>2250592*1000000</f>
        <v>2250592000000</v>
      </c>
      <c r="H615" s="38">
        <f>188609*1000000</f>
        <v>188609000000</v>
      </c>
      <c r="I615" s="38">
        <f>1559745*1000000</f>
        <v>1559745000000</v>
      </c>
      <c r="J615" s="38">
        <f>-1941439*1000000</f>
        <v>-1941439000000</v>
      </c>
      <c r="K615" s="38">
        <f>690847*1000000</f>
        <v>690847000000</v>
      </c>
      <c r="L615" s="38">
        <f>825458*1000000</f>
        <v>825458000000</v>
      </c>
      <c r="M615" s="38">
        <f>-87552*1000000</f>
        <v>-87552000000</v>
      </c>
      <c r="N615" s="38">
        <f>-170293*1000000</f>
        <v>-170293000000</v>
      </c>
      <c r="O615" s="39">
        <v>0.97799999999999998</v>
      </c>
      <c r="P615" s="40" t="s">
        <v>233</v>
      </c>
      <c r="Q615" s="38">
        <v>2</v>
      </c>
      <c r="R615" s="38">
        <v>4</v>
      </c>
      <c r="S615" s="38">
        <v>6</v>
      </c>
      <c r="T615" s="38">
        <v>10</v>
      </c>
      <c r="U615" s="40">
        <v>0</v>
      </c>
      <c r="V615" s="40">
        <v>0</v>
      </c>
      <c r="W615" s="40">
        <v>0</v>
      </c>
      <c r="X615" s="40">
        <v>0</v>
      </c>
      <c r="Y615" s="37"/>
    </row>
    <row r="616" spans="1:25" s="31" customFormat="1" ht="15" customHeight="1" x14ac:dyDescent="0.3">
      <c r="A616" s="36"/>
      <c r="B616" s="37"/>
      <c r="C616" s="29"/>
      <c r="D616" s="37">
        <v>2023</v>
      </c>
      <c r="E616" s="38">
        <f>42465*1000000</f>
        <v>42465000000</v>
      </c>
      <c r="F616" s="38">
        <f>(42465+45078+10127+11950+6797)*1000000</f>
        <v>116417000000</v>
      </c>
      <c r="G616" s="38">
        <f>2041725*1000000</f>
        <v>2041725000000</v>
      </c>
      <c r="H616" s="38">
        <f>158195*1000000</f>
        <v>158195000000</v>
      </c>
      <c r="I616" s="38">
        <f>1548212*1000000</f>
        <v>1548212000000</v>
      </c>
      <c r="J616" s="38">
        <f>-2141320*1000000</f>
        <v>-2141320000000</v>
      </c>
      <c r="K616" s="38">
        <f>493513*1000000</f>
        <v>493513000000</v>
      </c>
      <c r="L616" s="38">
        <f>717570*1000000</f>
        <v>717570000000</v>
      </c>
      <c r="M616" s="38">
        <f>-193047*1000000</f>
        <v>-193047000000</v>
      </c>
      <c r="N616" s="38">
        <f>-197334*1000000</f>
        <v>-197334000000</v>
      </c>
      <c r="O616" s="39">
        <v>0.97799999999999998</v>
      </c>
      <c r="P616" s="40" t="s">
        <v>233</v>
      </c>
      <c r="Q616" s="38">
        <v>2</v>
      </c>
      <c r="R616" s="38">
        <v>4</v>
      </c>
      <c r="S616" s="38">
        <v>6</v>
      </c>
      <c r="T616" s="38">
        <v>10</v>
      </c>
      <c r="U616" s="40">
        <v>0</v>
      </c>
      <c r="V616" s="40">
        <v>0</v>
      </c>
      <c r="W616" s="40">
        <v>0</v>
      </c>
      <c r="X616" s="40">
        <v>0</v>
      </c>
      <c r="Y616" s="37"/>
    </row>
    <row r="617" spans="1:25" s="31" customFormat="1" ht="15" customHeight="1" x14ac:dyDescent="0.3">
      <c r="A617" s="36"/>
      <c r="B617" s="37"/>
      <c r="C617" s="29"/>
      <c r="D617" s="37">
        <v>2024</v>
      </c>
      <c r="E617" s="38">
        <f>56002*1000000</f>
        <v>56002000000</v>
      </c>
      <c r="F617" s="38">
        <f>(56022+47554+8311+13333+18325+7621)*1000000</f>
        <v>151166000000</v>
      </c>
      <c r="G617" s="38">
        <f>1857834*1000000</f>
        <v>1857834000000</v>
      </c>
      <c r="H617" s="38">
        <f>195205*1000000</f>
        <v>195205000000</v>
      </c>
      <c r="I617" s="38">
        <f>1544940*1000000</f>
        <v>1544940000000</v>
      </c>
      <c r="J617" s="38">
        <f>-2323509*1000000</f>
        <v>-2323509000000</v>
      </c>
      <c r="K617" s="38">
        <f>312893*1000000</f>
        <v>312893000000</v>
      </c>
      <c r="L617" s="38">
        <f>714813*1000000</f>
        <v>714813000000</v>
      </c>
      <c r="M617" s="38">
        <f>-176313*1000000</f>
        <v>-176313000000</v>
      </c>
      <c r="N617" s="38">
        <f>-180619*1000000</f>
        <v>-180619000000</v>
      </c>
      <c r="O617" s="39">
        <v>0.97799999999999998</v>
      </c>
      <c r="P617" s="40" t="s">
        <v>233</v>
      </c>
      <c r="Q617" s="38">
        <v>2</v>
      </c>
      <c r="R617" s="38">
        <v>4</v>
      </c>
      <c r="S617" s="38">
        <v>6</v>
      </c>
      <c r="T617" s="38">
        <v>10</v>
      </c>
      <c r="U617" s="40">
        <v>0</v>
      </c>
      <c r="V617" s="40">
        <v>0</v>
      </c>
      <c r="W617" s="40">
        <v>0</v>
      </c>
      <c r="X617" s="40">
        <v>0</v>
      </c>
      <c r="Y617" s="37"/>
    </row>
    <row r="618" spans="1:25" s="31" customFormat="1" ht="15" customHeight="1" x14ac:dyDescent="0.3">
      <c r="A618" s="36"/>
      <c r="B618" s="37">
        <v>57</v>
      </c>
      <c r="C618" s="29" t="s">
        <v>41</v>
      </c>
      <c r="D618" s="37">
        <v>2014</v>
      </c>
      <c r="E618" s="38">
        <v>0</v>
      </c>
      <c r="F618" s="38">
        <v>0</v>
      </c>
      <c r="G618" s="38">
        <v>0</v>
      </c>
      <c r="H618" s="38">
        <v>0</v>
      </c>
      <c r="I618" s="38">
        <v>0</v>
      </c>
      <c r="J618" s="38">
        <v>0</v>
      </c>
      <c r="K618" s="38">
        <v>0</v>
      </c>
      <c r="L618" s="38">
        <v>0</v>
      </c>
      <c r="M618" s="38">
        <v>0</v>
      </c>
      <c r="N618" s="38">
        <v>0</v>
      </c>
      <c r="O618" s="41">
        <v>0</v>
      </c>
      <c r="P618" s="38">
        <v>0</v>
      </c>
      <c r="Q618" s="38">
        <v>0</v>
      </c>
      <c r="R618" s="38">
        <v>0</v>
      </c>
      <c r="S618" s="38"/>
      <c r="T618" s="38">
        <v>0</v>
      </c>
      <c r="U618" s="38">
        <v>0</v>
      </c>
      <c r="V618" s="38">
        <v>0</v>
      </c>
      <c r="W618" s="38">
        <v>0</v>
      </c>
      <c r="X618" s="38">
        <v>0</v>
      </c>
      <c r="Y618" s="37"/>
    </row>
    <row r="619" spans="1:25" s="31" customFormat="1" ht="15" customHeight="1" x14ac:dyDescent="0.3">
      <c r="A619" s="36"/>
      <c r="B619" s="37"/>
      <c r="C619" s="29"/>
      <c r="D619" s="37">
        <v>2015</v>
      </c>
      <c r="E619" s="38">
        <v>0</v>
      </c>
      <c r="F619" s="38">
        <v>0</v>
      </c>
      <c r="G619" s="38">
        <v>0</v>
      </c>
      <c r="H619" s="38">
        <v>0</v>
      </c>
      <c r="I619" s="38">
        <v>0</v>
      </c>
      <c r="J619" s="38">
        <v>0</v>
      </c>
      <c r="K619" s="38">
        <v>0</v>
      </c>
      <c r="L619" s="38">
        <v>0</v>
      </c>
      <c r="M619" s="38">
        <v>0</v>
      </c>
      <c r="N619" s="38">
        <v>0</v>
      </c>
      <c r="O619" s="41">
        <v>0</v>
      </c>
      <c r="P619" s="38">
        <v>0</v>
      </c>
      <c r="Q619" s="38">
        <v>0</v>
      </c>
      <c r="R619" s="38">
        <v>0</v>
      </c>
      <c r="S619" s="38"/>
      <c r="T619" s="38">
        <v>0</v>
      </c>
      <c r="U619" s="38">
        <v>0</v>
      </c>
      <c r="V619" s="38">
        <v>0</v>
      </c>
      <c r="W619" s="38">
        <v>0</v>
      </c>
      <c r="X619" s="38">
        <v>0</v>
      </c>
      <c r="Y619" s="37"/>
    </row>
    <row r="620" spans="1:25" s="31" customFormat="1" ht="15" customHeight="1" x14ac:dyDescent="0.3">
      <c r="A620" s="36"/>
      <c r="B620" s="37"/>
      <c r="C620" s="29"/>
      <c r="D620" s="37">
        <v>2016</v>
      </c>
      <c r="E620" s="38">
        <v>0</v>
      </c>
      <c r="F620" s="38">
        <v>0</v>
      </c>
      <c r="G620" s="38">
        <v>0</v>
      </c>
      <c r="H620" s="38">
        <v>0</v>
      </c>
      <c r="I620" s="38">
        <v>0</v>
      </c>
      <c r="J620" s="38">
        <v>0</v>
      </c>
      <c r="K620" s="38">
        <v>0</v>
      </c>
      <c r="L620" s="38">
        <v>0</v>
      </c>
      <c r="M620" s="38">
        <v>0</v>
      </c>
      <c r="N620" s="38">
        <v>0</v>
      </c>
      <c r="O620" s="41">
        <v>0</v>
      </c>
      <c r="P620" s="38">
        <v>0</v>
      </c>
      <c r="Q620" s="38">
        <v>0</v>
      </c>
      <c r="R620" s="38">
        <v>0</v>
      </c>
      <c r="S620" s="38"/>
      <c r="T620" s="38">
        <v>0</v>
      </c>
      <c r="U620" s="38">
        <v>0</v>
      </c>
      <c r="V620" s="38">
        <v>0</v>
      </c>
      <c r="W620" s="38">
        <v>0</v>
      </c>
      <c r="X620" s="38">
        <v>0</v>
      </c>
      <c r="Y620" s="37"/>
    </row>
    <row r="621" spans="1:25" s="31" customFormat="1" ht="15" customHeight="1" x14ac:dyDescent="0.3">
      <c r="A621" s="36"/>
      <c r="B621" s="37"/>
      <c r="C621" s="29"/>
      <c r="D621" s="37">
        <v>2017</v>
      </c>
      <c r="E621" s="38">
        <f>446*1000000</f>
        <v>446000000</v>
      </c>
      <c r="F621" s="38">
        <f>(446+70+23+210)*1000000</f>
        <v>749000000</v>
      </c>
      <c r="G621" s="38">
        <f>198763*1000000</f>
        <v>198763000000</v>
      </c>
      <c r="H621" s="38">
        <f>1784*1000000</f>
        <v>1784000000</v>
      </c>
      <c r="I621" s="38">
        <f>27813*1000000</f>
        <v>27813000000</v>
      </c>
      <c r="J621" s="38">
        <f>11173*1000000</f>
        <v>11173000000</v>
      </c>
      <c r="K621" s="38">
        <f>170950*1000000</f>
        <v>170950000000</v>
      </c>
      <c r="L621" s="38">
        <f>42922*1000000</f>
        <v>42922000000</v>
      </c>
      <c r="M621" s="38">
        <f>10304*1000000</f>
        <v>10304000000</v>
      </c>
      <c r="N621" s="38">
        <f>24103*1000000</f>
        <v>24103000000</v>
      </c>
      <c r="O621" s="41">
        <v>0</v>
      </c>
      <c r="P621" s="38">
        <v>0</v>
      </c>
      <c r="Q621" s="38">
        <v>0</v>
      </c>
      <c r="R621" s="38">
        <v>0</v>
      </c>
      <c r="S621" s="38"/>
      <c r="T621" s="38">
        <v>0</v>
      </c>
      <c r="U621" s="38">
        <v>0</v>
      </c>
      <c r="V621" s="38">
        <v>0</v>
      </c>
      <c r="W621" s="38">
        <v>0</v>
      </c>
      <c r="X621" s="38">
        <v>0</v>
      </c>
      <c r="Y621" s="37"/>
    </row>
    <row r="622" spans="1:25" s="31" customFormat="1" ht="15" customHeight="1" x14ac:dyDescent="0.3">
      <c r="A622" s="36"/>
      <c r="B622" s="37"/>
      <c r="C622" s="29"/>
      <c r="D622" s="37">
        <v>2018</v>
      </c>
      <c r="E622" s="38">
        <f>1746*1000000</f>
        <v>1746000000</v>
      </c>
      <c r="F622" s="38">
        <f>(1746+61+22+841)*1000000</f>
        <v>2670000000</v>
      </c>
      <c r="G622" s="38">
        <f>412000*1000000</f>
        <v>412000000000</v>
      </c>
      <c r="H622" s="38">
        <f>686*1000000</f>
        <v>686000000</v>
      </c>
      <c r="I622" s="38">
        <f>249155*1000000</f>
        <v>249155000000</v>
      </c>
      <c r="J622" s="38">
        <f>11620*1000000</f>
        <v>11620000000</v>
      </c>
      <c r="K622" s="38">
        <f>162845*1000000</f>
        <v>162845000000</v>
      </c>
      <c r="L622" s="38">
        <f>261891*1000000</f>
        <v>261891000000</v>
      </c>
      <c r="M622" s="38">
        <f>1605*1000000</f>
        <v>1605000000</v>
      </c>
      <c r="N622" s="38">
        <f>-8105*1000000</f>
        <v>-8105000000</v>
      </c>
      <c r="O622" s="39">
        <v>0.99329999999999996</v>
      </c>
      <c r="P622" s="40" t="s">
        <v>232</v>
      </c>
      <c r="Q622" s="40">
        <v>2</v>
      </c>
      <c r="R622" s="38">
        <v>3</v>
      </c>
      <c r="S622" s="38">
        <v>2</v>
      </c>
      <c r="T622" s="38">
        <v>5</v>
      </c>
      <c r="U622" s="38">
        <v>0</v>
      </c>
      <c r="V622" s="38">
        <v>0</v>
      </c>
      <c r="W622" s="38">
        <v>0</v>
      </c>
      <c r="X622" s="38">
        <v>0</v>
      </c>
      <c r="Y622" s="37"/>
    </row>
    <row r="623" spans="1:25" s="31" customFormat="1" ht="15" customHeight="1" x14ac:dyDescent="0.3">
      <c r="A623" s="36"/>
      <c r="B623" s="37"/>
      <c r="C623" s="29"/>
      <c r="D623" s="37">
        <v>2019</v>
      </c>
      <c r="E623" s="38">
        <f>10880*1000000</f>
        <v>10880000000</v>
      </c>
      <c r="F623" s="38">
        <f>(10880+20+35+1590)*1000000</f>
        <v>12525000000</v>
      </c>
      <c r="G623" s="38">
        <f>421315*1000000</f>
        <v>421315000000</v>
      </c>
      <c r="H623" s="38">
        <f>11575*1000000</f>
        <v>11575000000</v>
      </c>
      <c r="I623" s="38">
        <f>232698*1000000</f>
        <v>232698000000</v>
      </c>
      <c r="J623" s="38">
        <f>40985*1000000</f>
        <v>40985000000</v>
      </c>
      <c r="K623" s="38">
        <f>188614*1000000</f>
        <v>188614000000</v>
      </c>
      <c r="L623" s="38">
        <f>385912*1000000</f>
        <v>385912000000</v>
      </c>
      <c r="M623" s="38">
        <f>29710*1000000</f>
        <v>29710000000</v>
      </c>
      <c r="N623" s="38">
        <f>25772*1000000</f>
        <v>25772000000</v>
      </c>
      <c r="O623" s="39">
        <v>0.99329999999999996</v>
      </c>
      <c r="P623" s="40" t="s">
        <v>232</v>
      </c>
      <c r="Q623" s="40">
        <v>2</v>
      </c>
      <c r="R623" s="38">
        <v>3</v>
      </c>
      <c r="S623" s="38">
        <v>4</v>
      </c>
      <c r="T623" s="38">
        <v>7</v>
      </c>
      <c r="U623" s="38">
        <v>0</v>
      </c>
      <c r="V623" s="38">
        <v>0</v>
      </c>
      <c r="W623" s="38">
        <v>0</v>
      </c>
      <c r="X623" s="38">
        <v>0</v>
      </c>
      <c r="Y623" s="37"/>
    </row>
    <row r="624" spans="1:25" s="31" customFormat="1" ht="15" customHeight="1" x14ac:dyDescent="0.3">
      <c r="A624" s="36"/>
      <c r="B624" s="37"/>
      <c r="C624" s="29"/>
      <c r="D624" s="37">
        <v>2020</v>
      </c>
      <c r="E624" s="38">
        <f>4248*1000000</f>
        <v>4248000000</v>
      </c>
      <c r="F624" s="38">
        <f>(4248+10+119+2464)*1000000</f>
        <v>6841000000</v>
      </c>
      <c r="G624" s="38">
        <f>257248*1000000</f>
        <v>257248000000</v>
      </c>
      <c r="H624" s="38">
        <f>2806*1000000</f>
        <v>2806000000</v>
      </c>
      <c r="I624" s="38">
        <f>92098*1000000</f>
        <v>92098000000</v>
      </c>
      <c r="J624" s="38">
        <f>17951*1000000</f>
        <v>17951000000</v>
      </c>
      <c r="K624" s="38">
        <f>175149*1000000</f>
        <v>175149000000</v>
      </c>
      <c r="L624" s="38">
        <f>132298*1000000</f>
        <v>132298000000</v>
      </c>
      <c r="M624" s="38">
        <f>10962*1000000</f>
        <v>10962000000</v>
      </c>
      <c r="N624" s="38">
        <f>1376*1000000</f>
        <v>1376000000</v>
      </c>
      <c r="O624" s="39">
        <v>0.99329999999999996</v>
      </c>
      <c r="P624" s="40" t="s">
        <v>232</v>
      </c>
      <c r="Q624" s="38">
        <v>2</v>
      </c>
      <c r="R624" s="38">
        <v>3</v>
      </c>
      <c r="S624" s="38">
        <v>4</v>
      </c>
      <c r="T624" s="38">
        <v>7</v>
      </c>
      <c r="U624" s="38">
        <v>0</v>
      </c>
      <c r="V624" s="38">
        <v>0</v>
      </c>
      <c r="W624" s="38">
        <v>0</v>
      </c>
      <c r="X624" s="38">
        <v>0</v>
      </c>
      <c r="Y624" s="37"/>
    </row>
    <row r="625" spans="1:25" s="31" customFormat="1" ht="15" customHeight="1" x14ac:dyDescent="0.3">
      <c r="A625" s="36"/>
      <c r="B625" s="37"/>
      <c r="C625" s="29"/>
      <c r="D625" s="37">
        <v>2021</v>
      </c>
      <c r="E625" s="38">
        <f>15181*1000000</f>
        <v>15181000000</v>
      </c>
      <c r="F625" s="38">
        <f>(15181+19+81+184+1985)*1000000</f>
        <v>17450000000</v>
      </c>
      <c r="G625" s="38">
        <f>483985*1000000</f>
        <v>483985000000</v>
      </c>
      <c r="H625" s="38">
        <f>9610*1000000</f>
        <v>9610000000</v>
      </c>
      <c r="I625" s="38">
        <f>221034*1000000</f>
        <v>221034000000</v>
      </c>
      <c r="J625" s="38">
        <f>20248*1000000</f>
        <v>20248000000</v>
      </c>
      <c r="K625" s="38">
        <f>262951*1000000</f>
        <v>262951000000</v>
      </c>
      <c r="L625" s="38">
        <f>278853*1000000</f>
        <v>278853000000</v>
      </c>
      <c r="M625" s="38">
        <f>2448*1000000</f>
        <v>2448000000</v>
      </c>
      <c r="N625" s="38">
        <f>87802*1000000</f>
        <v>87802000000</v>
      </c>
      <c r="O625" s="39">
        <v>0.99329999999999996</v>
      </c>
      <c r="P625" s="40" t="s">
        <v>232</v>
      </c>
      <c r="Q625" s="38">
        <v>2</v>
      </c>
      <c r="R625" s="38">
        <v>3</v>
      </c>
      <c r="S625" s="38">
        <v>3</v>
      </c>
      <c r="T625" s="38">
        <v>6</v>
      </c>
      <c r="U625" s="38">
        <v>0</v>
      </c>
      <c r="V625" s="38">
        <v>0</v>
      </c>
      <c r="W625" s="38">
        <v>0</v>
      </c>
      <c r="X625" s="38">
        <v>0</v>
      </c>
      <c r="Y625" s="37"/>
    </row>
    <row r="626" spans="1:25" s="31" customFormat="1" ht="15" customHeight="1" x14ac:dyDescent="0.3">
      <c r="A626" s="36"/>
      <c r="B626" s="37"/>
      <c r="C626" s="29"/>
      <c r="D626" s="37">
        <v>2022</v>
      </c>
      <c r="E626" s="38">
        <f>520*1000000</f>
        <v>520000000</v>
      </c>
      <c r="F626" s="38">
        <f>(520+24+259+2063)*1000000</f>
        <v>2866000000</v>
      </c>
      <c r="G626" s="38">
        <f>366488*1000000</f>
        <v>366488000000</v>
      </c>
      <c r="H626" s="38">
        <f>2080*1000000</f>
        <v>2080000000</v>
      </c>
      <c r="I626" s="38">
        <f>211147*1000000</f>
        <v>211147000000</v>
      </c>
      <c r="J626" s="38">
        <f>7508*1000000</f>
        <v>7508000000</v>
      </c>
      <c r="K626" s="38">
        <f>155341*1000000</f>
        <v>155341000000</v>
      </c>
      <c r="L626" s="38">
        <f>350408*1000000</f>
        <v>350408000000</v>
      </c>
      <c r="M626" s="38">
        <f>6844*1000000</f>
        <v>6844000000</v>
      </c>
      <c r="N626" s="38">
        <f>-87610*1000000</f>
        <v>-87610000000</v>
      </c>
      <c r="O626" s="39">
        <v>0.99329999999999996</v>
      </c>
      <c r="P626" s="40" t="s">
        <v>232</v>
      </c>
      <c r="Q626" s="38">
        <v>2</v>
      </c>
      <c r="R626" s="38">
        <v>3</v>
      </c>
      <c r="S626" s="38">
        <v>3</v>
      </c>
      <c r="T626" s="38">
        <v>6</v>
      </c>
      <c r="U626" s="38">
        <v>0</v>
      </c>
      <c r="V626" s="38">
        <v>0</v>
      </c>
      <c r="W626" s="38">
        <v>0</v>
      </c>
      <c r="X626" s="38">
        <v>0</v>
      </c>
      <c r="Y626" s="37"/>
    </row>
    <row r="627" spans="1:25" s="31" customFormat="1" ht="15" customHeight="1" x14ac:dyDescent="0.3">
      <c r="A627" s="36"/>
      <c r="B627" s="37"/>
      <c r="C627" s="29"/>
      <c r="D627" s="37">
        <v>2023</v>
      </c>
      <c r="E627" s="38">
        <f>1438*1000000</f>
        <v>1438000000</v>
      </c>
      <c r="F627" s="38">
        <f>(1438+649+247+997)*1000000</f>
        <v>3331000000</v>
      </c>
      <c r="G627" s="38">
        <f>148210*1000000</f>
        <v>148210000000</v>
      </c>
      <c r="H627" s="38">
        <f>4029*1000000</f>
        <v>4029000000</v>
      </c>
      <c r="I627" s="38">
        <f>22046*1000000</f>
        <v>22046000000</v>
      </c>
      <c r="J627" s="38">
        <f>8674*1000000</f>
        <v>8674000000</v>
      </c>
      <c r="K627" s="38">
        <f>126164*1000000</f>
        <v>126164000000</v>
      </c>
      <c r="L627" s="38">
        <f>28443*1000000</f>
        <v>28443000000</v>
      </c>
      <c r="M627" s="38">
        <f>1023*1000000</f>
        <v>1023000000</v>
      </c>
      <c r="N627" s="38">
        <f>-29177*1000000</f>
        <v>-29177000000</v>
      </c>
      <c r="O627" s="39">
        <v>0.99329999999999996</v>
      </c>
      <c r="P627" s="40" t="s">
        <v>232</v>
      </c>
      <c r="Q627" s="38">
        <v>2</v>
      </c>
      <c r="R627" s="38">
        <v>3</v>
      </c>
      <c r="S627" s="38">
        <v>3</v>
      </c>
      <c r="T627" s="38">
        <v>6</v>
      </c>
      <c r="U627" s="38">
        <v>0</v>
      </c>
      <c r="V627" s="38">
        <v>0</v>
      </c>
      <c r="W627" s="38">
        <v>0</v>
      </c>
      <c r="X627" s="38">
        <v>0</v>
      </c>
      <c r="Y627" s="37"/>
    </row>
    <row r="628" spans="1:25" s="31" customFormat="1" ht="15" customHeight="1" x14ac:dyDescent="0.3">
      <c r="A628" s="36"/>
      <c r="B628" s="37"/>
      <c r="C628" s="29"/>
      <c r="D628" s="37">
        <v>2024</v>
      </c>
      <c r="E628" s="38">
        <f>6281*1000000</f>
        <v>6281000000</v>
      </c>
      <c r="F628" s="38">
        <f>(6281+7133+12353+1147+5684)*1000000</f>
        <v>32598000000</v>
      </c>
      <c r="G628" s="38">
        <f>179384*1000000</f>
        <v>179384000000</v>
      </c>
      <c r="H628" s="38">
        <f>4948*1000000</f>
        <v>4948000000</v>
      </c>
      <c r="I628" s="38">
        <f>46736*1000000</f>
        <v>46736000000</v>
      </c>
      <c r="J628" s="38">
        <f>17902*1000000</f>
        <v>17902000000</v>
      </c>
      <c r="K628" s="38">
        <f>132651*1000000</f>
        <v>132651000000</v>
      </c>
      <c r="L628" s="38">
        <f>46996*1000000</f>
        <v>46996000000</v>
      </c>
      <c r="M628" s="38">
        <f>7547*1000000</f>
        <v>7547000000</v>
      </c>
      <c r="N628" s="38">
        <f>6487*1000000</f>
        <v>6487000000</v>
      </c>
      <c r="O628" s="39">
        <v>0.99329999999999996</v>
      </c>
      <c r="P628" s="40" t="s">
        <v>232</v>
      </c>
      <c r="Q628" s="38">
        <v>2</v>
      </c>
      <c r="R628" s="38">
        <v>3</v>
      </c>
      <c r="S628" s="38">
        <v>3</v>
      </c>
      <c r="T628" s="38">
        <v>6</v>
      </c>
      <c r="U628" s="38">
        <v>0</v>
      </c>
      <c r="V628" s="38">
        <v>0</v>
      </c>
      <c r="W628" s="38">
        <v>0</v>
      </c>
      <c r="X628" s="38">
        <v>0</v>
      </c>
      <c r="Y628" s="37"/>
    </row>
    <row r="629" spans="1:25" s="31" customFormat="1" ht="15" customHeight="1" x14ac:dyDescent="0.3">
      <c r="A629" s="36"/>
      <c r="B629" s="37">
        <v>58</v>
      </c>
      <c r="C629" s="45" t="s">
        <v>49</v>
      </c>
      <c r="D629" s="37">
        <v>2014</v>
      </c>
      <c r="E629" s="38">
        <v>0</v>
      </c>
      <c r="F629" s="38">
        <v>0</v>
      </c>
      <c r="G629" s="38">
        <v>0</v>
      </c>
      <c r="H629" s="38">
        <v>0</v>
      </c>
      <c r="I629" s="38">
        <v>0</v>
      </c>
      <c r="J629" s="38">
        <v>0</v>
      </c>
      <c r="K629" s="38">
        <v>0</v>
      </c>
      <c r="L629" s="38">
        <v>0</v>
      </c>
      <c r="M629" s="38">
        <v>0</v>
      </c>
      <c r="N629" s="38">
        <v>0</v>
      </c>
      <c r="O629" s="41">
        <v>0</v>
      </c>
      <c r="P629" s="41">
        <v>0</v>
      </c>
      <c r="Q629" s="38">
        <v>0</v>
      </c>
      <c r="R629" s="38">
        <v>0</v>
      </c>
      <c r="S629" s="38">
        <v>0</v>
      </c>
      <c r="T629" s="38">
        <v>0</v>
      </c>
      <c r="U629" s="38">
        <v>0</v>
      </c>
      <c r="V629" s="38">
        <v>0</v>
      </c>
      <c r="W629" s="38">
        <f t="shared" ref="W629:W639" si="60">V629</f>
        <v>0</v>
      </c>
      <c r="X629" s="38">
        <v>0</v>
      </c>
      <c r="Y629" s="37"/>
    </row>
    <row r="630" spans="1:25" s="31" customFormat="1" ht="15" customHeight="1" x14ac:dyDescent="0.3">
      <c r="A630" s="36"/>
      <c r="B630" s="37"/>
      <c r="C630" s="45"/>
      <c r="D630" s="37">
        <v>2015</v>
      </c>
      <c r="E630" s="38">
        <v>0</v>
      </c>
      <c r="F630" s="38">
        <v>0</v>
      </c>
      <c r="G630" s="38">
        <v>0</v>
      </c>
      <c r="H630" s="38">
        <v>0</v>
      </c>
      <c r="I630" s="38">
        <v>0</v>
      </c>
      <c r="J630" s="38">
        <v>0</v>
      </c>
      <c r="K630" s="38">
        <v>0</v>
      </c>
      <c r="L630" s="38">
        <v>0</v>
      </c>
      <c r="M630" s="38">
        <v>0</v>
      </c>
      <c r="N630" s="38">
        <v>0</v>
      </c>
      <c r="O630" s="41">
        <v>0</v>
      </c>
      <c r="P630" s="41">
        <v>0</v>
      </c>
      <c r="Q630" s="38">
        <v>0</v>
      </c>
      <c r="R630" s="38">
        <v>0</v>
      </c>
      <c r="S630" s="38">
        <v>0</v>
      </c>
      <c r="T630" s="38">
        <v>0</v>
      </c>
      <c r="U630" s="38">
        <v>0</v>
      </c>
      <c r="V630" s="38">
        <v>0</v>
      </c>
      <c r="W630" s="38">
        <f t="shared" si="60"/>
        <v>0</v>
      </c>
      <c r="X630" s="38">
        <v>0</v>
      </c>
      <c r="Y630" s="37"/>
    </row>
    <row r="631" spans="1:25" s="31" customFormat="1" ht="15" customHeight="1" x14ac:dyDescent="0.3">
      <c r="A631" s="36"/>
      <c r="B631" s="37"/>
      <c r="C631" s="45"/>
      <c r="D631" s="37">
        <v>2016</v>
      </c>
      <c r="E631" s="38">
        <v>0</v>
      </c>
      <c r="F631" s="38">
        <v>0</v>
      </c>
      <c r="G631" s="38">
        <v>0</v>
      </c>
      <c r="H631" s="38">
        <v>0</v>
      </c>
      <c r="I631" s="38">
        <v>0</v>
      </c>
      <c r="J631" s="38">
        <v>0</v>
      </c>
      <c r="K631" s="38">
        <v>0</v>
      </c>
      <c r="L631" s="38">
        <v>0</v>
      </c>
      <c r="M631" s="38">
        <v>0</v>
      </c>
      <c r="N631" s="38">
        <v>0</v>
      </c>
      <c r="O631" s="41">
        <v>0</v>
      </c>
      <c r="P631" s="41">
        <v>0</v>
      </c>
      <c r="Q631" s="38">
        <v>0</v>
      </c>
      <c r="R631" s="38">
        <v>0</v>
      </c>
      <c r="S631" s="38">
        <v>0</v>
      </c>
      <c r="T631" s="38">
        <v>0</v>
      </c>
      <c r="U631" s="38">
        <v>0</v>
      </c>
      <c r="V631" s="38">
        <v>0</v>
      </c>
      <c r="W631" s="38">
        <f t="shared" si="60"/>
        <v>0</v>
      </c>
      <c r="X631" s="38">
        <v>0</v>
      </c>
      <c r="Y631" s="37"/>
    </row>
    <row r="632" spans="1:25" s="31" customFormat="1" ht="15" customHeight="1" x14ac:dyDescent="0.3">
      <c r="A632" s="36"/>
      <c r="B632" s="37"/>
      <c r="C632" s="45"/>
      <c r="D632" s="37">
        <v>2017</v>
      </c>
      <c r="E632" s="38">
        <v>0</v>
      </c>
      <c r="F632" s="38">
        <v>0</v>
      </c>
      <c r="G632" s="38">
        <v>0</v>
      </c>
      <c r="H632" s="38">
        <v>0</v>
      </c>
      <c r="I632" s="38">
        <v>0</v>
      </c>
      <c r="J632" s="38">
        <v>0</v>
      </c>
      <c r="K632" s="38">
        <v>0</v>
      </c>
      <c r="L632" s="38">
        <v>0</v>
      </c>
      <c r="M632" s="38">
        <v>0</v>
      </c>
      <c r="N632" s="38">
        <v>0</v>
      </c>
      <c r="O632" s="41">
        <v>0</v>
      </c>
      <c r="P632" s="41">
        <v>0</v>
      </c>
      <c r="Q632" s="38">
        <v>0</v>
      </c>
      <c r="R632" s="38">
        <v>0</v>
      </c>
      <c r="S632" s="38">
        <v>0</v>
      </c>
      <c r="T632" s="38">
        <v>0</v>
      </c>
      <c r="U632" s="38">
        <v>0</v>
      </c>
      <c r="V632" s="38">
        <v>0</v>
      </c>
      <c r="W632" s="38">
        <f t="shared" si="60"/>
        <v>0</v>
      </c>
      <c r="X632" s="38">
        <v>0</v>
      </c>
      <c r="Y632" s="37"/>
    </row>
    <row r="633" spans="1:25" s="31" customFormat="1" ht="15" customHeight="1" x14ac:dyDescent="0.3">
      <c r="A633" s="36"/>
      <c r="B633" s="37"/>
      <c r="C633" s="45"/>
      <c r="D633" s="37">
        <v>2018</v>
      </c>
      <c r="E633" s="38">
        <v>0</v>
      </c>
      <c r="F633" s="38">
        <v>0</v>
      </c>
      <c r="G633" s="38">
        <v>0</v>
      </c>
      <c r="H633" s="38">
        <v>0</v>
      </c>
      <c r="I633" s="38">
        <v>0</v>
      </c>
      <c r="J633" s="38">
        <v>0</v>
      </c>
      <c r="K633" s="38">
        <v>0</v>
      </c>
      <c r="L633" s="38">
        <v>0</v>
      </c>
      <c r="M633" s="38">
        <v>0</v>
      </c>
      <c r="N633" s="38">
        <v>0</v>
      </c>
      <c r="O633" s="41">
        <v>0</v>
      </c>
      <c r="P633" s="41">
        <v>0</v>
      </c>
      <c r="Q633" s="38">
        <v>0</v>
      </c>
      <c r="R633" s="38">
        <v>0</v>
      </c>
      <c r="S633" s="38">
        <v>0</v>
      </c>
      <c r="T633" s="38">
        <v>0</v>
      </c>
      <c r="U633" s="38">
        <v>0</v>
      </c>
      <c r="V633" s="38">
        <v>0</v>
      </c>
      <c r="W633" s="38">
        <f t="shared" si="60"/>
        <v>0</v>
      </c>
      <c r="X633" s="38">
        <v>0</v>
      </c>
      <c r="Y633" s="37"/>
    </row>
    <row r="634" spans="1:25" s="31" customFormat="1" ht="15" customHeight="1" x14ac:dyDescent="0.3">
      <c r="A634" s="36"/>
      <c r="B634" s="37"/>
      <c r="C634" s="45"/>
      <c r="D634" s="37">
        <v>2019</v>
      </c>
      <c r="E634" s="38">
        <v>0</v>
      </c>
      <c r="F634" s="38">
        <v>0</v>
      </c>
      <c r="G634" s="38">
        <v>0</v>
      </c>
      <c r="H634" s="38">
        <v>0</v>
      </c>
      <c r="I634" s="38">
        <v>0</v>
      </c>
      <c r="J634" s="38">
        <v>0</v>
      </c>
      <c r="K634" s="38">
        <v>0</v>
      </c>
      <c r="L634" s="38">
        <v>0</v>
      </c>
      <c r="M634" s="38">
        <v>0</v>
      </c>
      <c r="N634" s="38">
        <v>0</v>
      </c>
      <c r="O634" s="41">
        <v>0</v>
      </c>
      <c r="P634" s="41">
        <v>0</v>
      </c>
      <c r="Q634" s="38">
        <v>0</v>
      </c>
      <c r="R634" s="38">
        <v>0</v>
      </c>
      <c r="S634" s="38">
        <v>0</v>
      </c>
      <c r="T634" s="38">
        <v>0</v>
      </c>
      <c r="U634" s="38">
        <v>0</v>
      </c>
      <c r="V634" s="38">
        <v>0</v>
      </c>
      <c r="W634" s="38">
        <f t="shared" si="60"/>
        <v>0</v>
      </c>
      <c r="X634" s="38">
        <v>0</v>
      </c>
      <c r="Y634" s="37"/>
    </row>
    <row r="635" spans="1:25" s="31" customFormat="1" ht="15" customHeight="1" x14ac:dyDescent="0.3">
      <c r="A635" s="36"/>
      <c r="B635" s="37"/>
      <c r="C635" s="45"/>
      <c r="D635" s="37">
        <v>2020</v>
      </c>
      <c r="E635" s="38">
        <f>34692*1000000</f>
        <v>34692000000</v>
      </c>
      <c r="F635" s="38">
        <f>(34692+47004+22241+15342+3701)*1000000</f>
        <v>122980000000</v>
      </c>
      <c r="G635" s="38">
        <f>1657001*1000000</f>
        <v>1657001000000</v>
      </c>
      <c r="H635" s="38">
        <f>224870*1000000</f>
        <v>224870000000</v>
      </c>
      <c r="I635" s="38">
        <f>1238970*1000000</f>
        <v>1238970000000</v>
      </c>
      <c r="J635" s="38">
        <f>-2196973*1000000</f>
        <v>-2196973000000</v>
      </c>
      <c r="K635" s="38">
        <f>418031*1000000</f>
        <v>418031000000</v>
      </c>
      <c r="L635" s="38">
        <f>747357*1000000</f>
        <v>747357000000</v>
      </c>
      <c r="M635" s="38">
        <f>-258849*1000000</f>
        <v>-258849000000</v>
      </c>
      <c r="N635" s="38">
        <f>-244725*1000000</f>
        <v>-244725000000</v>
      </c>
      <c r="O635" s="39">
        <v>0.8367</v>
      </c>
      <c r="P635" s="40" t="s">
        <v>230</v>
      </c>
      <c r="Q635" s="38">
        <v>2</v>
      </c>
      <c r="R635" s="38">
        <v>4</v>
      </c>
      <c r="S635" s="38">
        <v>5</v>
      </c>
      <c r="T635" s="38">
        <f>SUM(R635:S635)</f>
        <v>9</v>
      </c>
      <c r="U635" s="42">
        <v>0</v>
      </c>
      <c r="V635" s="38">
        <f>4+(2*2)+(2*1)</f>
        <v>10</v>
      </c>
      <c r="W635" s="38">
        <f t="shared" si="60"/>
        <v>10</v>
      </c>
      <c r="X635" s="38">
        <f>5+(2*2)</f>
        <v>9</v>
      </c>
      <c r="Y635" s="37"/>
    </row>
    <row r="636" spans="1:25" s="31" customFormat="1" ht="15" customHeight="1" x14ac:dyDescent="0.3">
      <c r="A636" s="36"/>
      <c r="B636" s="37"/>
      <c r="C636" s="45"/>
      <c r="D636" s="37">
        <v>2021</v>
      </c>
      <c r="E636" s="38">
        <f>44531*1000000</f>
        <v>44531000000</v>
      </c>
      <c r="F636" s="38">
        <f>(44531+49953+27139+44367+5191)*1000000</f>
        <v>171181000000</v>
      </c>
      <c r="G636" s="38">
        <f>1706301*1000000</f>
        <v>1706301000000</v>
      </c>
      <c r="H636" s="38">
        <f>240029*1000000</f>
        <v>240029000000</v>
      </c>
      <c r="I636" s="38">
        <f>1456771*1000000</f>
        <v>1456771000000</v>
      </c>
      <c r="J636" s="38">
        <f>-2487821*1000000</f>
        <v>-2487821000000</v>
      </c>
      <c r="K636" s="38">
        <f>249530*1000000</f>
        <v>249530000000</v>
      </c>
      <c r="L636" s="38">
        <f>814562*1000000</f>
        <v>814562000000</v>
      </c>
      <c r="M636" s="38">
        <f>-291905*1000000</f>
        <v>-291905000000</v>
      </c>
      <c r="N636" s="38">
        <f>-293500*1000000</f>
        <v>-293500000000</v>
      </c>
      <c r="O636" s="39">
        <v>0.84</v>
      </c>
      <c r="P636" s="40" t="s">
        <v>230</v>
      </c>
      <c r="Q636" s="38">
        <v>0</v>
      </c>
      <c r="R636" s="38">
        <v>2</v>
      </c>
      <c r="S636" s="38">
        <v>5</v>
      </c>
      <c r="T636" s="38">
        <f>SUM(R636:S636)</f>
        <v>7</v>
      </c>
      <c r="U636" s="42">
        <v>0</v>
      </c>
      <c r="V636" s="38">
        <f>2+(2*1)</f>
        <v>4</v>
      </c>
      <c r="W636" s="38">
        <f t="shared" si="60"/>
        <v>4</v>
      </c>
      <c r="X636" s="38">
        <f>5+(2*3)</f>
        <v>11</v>
      </c>
      <c r="Y636" s="37"/>
    </row>
    <row r="637" spans="1:25" s="31" customFormat="1" ht="15" customHeight="1" x14ac:dyDescent="0.3">
      <c r="A637" s="36"/>
      <c r="B637" s="37"/>
      <c r="C637" s="45"/>
      <c r="D637" s="37">
        <v>2022</v>
      </c>
      <c r="E637" s="38">
        <f>38336*1000000</f>
        <v>38336000000</v>
      </c>
      <c r="F637" s="38">
        <f>(38336+37953+45804+19220+7134)*1000000</f>
        <v>148447000000</v>
      </c>
      <c r="G637" s="38">
        <f>2050028*1000000</f>
        <v>2050028000000</v>
      </c>
      <c r="H637" s="38">
        <f>273984*1000000</f>
        <v>273984000000</v>
      </c>
      <c r="I637" s="38">
        <f>1692392*1000000</f>
        <v>1692392000000</v>
      </c>
      <c r="J637" s="38">
        <f>-2483898*1000000</f>
        <v>-2483898000000</v>
      </c>
      <c r="K637" s="38">
        <f>357636*1000000</f>
        <v>357636000000</v>
      </c>
      <c r="L637" s="38">
        <f>956647*1000000</f>
        <v>956647000000</v>
      </c>
      <c r="M637" s="38">
        <f>3782*1000000</f>
        <v>3782000000</v>
      </c>
      <c r="N637" s="38">
        <f>-1895*1000000</f>
        <v>-1895000000</v>
      </c>
      <c r="O637" s="39">
        <v>0.84</v>
      </c>
      <c r="P637" s="40" t="s">
        <v>230</v>
      </c>
      <c r="Q637" s="38">
        <v>2</v>
      </c>
      <c r="R637" s="38">
        <v>4</v>
      </c>
      <c r="S637" s="38">
        <v>5</v>
      </c>
      <c r="T637" s="38">
        <f>SUM(R637:S637)</f>
        <v>9</v>
      </c>
      <c r="U637" s="42">
        <v>0</v>
      </c>
      <c r="V637" s="38">
        <f>4+(2*1)+(2*1)</f>
        <v>8</v>
      </c>
      <c r="W637" s="38">
        <f t="shared" si="60"/>
        <v>8</v>
      </c>
      <c r="X637" s="38">
        <f>5+(2*2)+(2*1)</f>
        <v>11</v>
      </c>
      <c r="Y637" s="37"/>
    </row>
    <row r="638" spans="1:25" s="31" customFormat="1" ht="15" customHeight="1" x14ac:dyDescent="0.3">
      <c r="A638" s="36"/>
      <c r="B638" s="37"/>
      <c r="C638" s="45"/>
      <c r="D638" s="37">
        <v>2023</v>
      </c>
      <c r="E638" s="38">
        <f>129690*1000000</f>
        <v>129690000000</v>
      </c>
      <c r="F638" s="38">
        <f>(129690+35509+42847+34657+9736)*1000000</f>
        <v>252439000000</v>
      </c>
      <c r="G638" s="38">
        <f>2178462*1000000</f>
        <v>2178462000000</v>
      </c>
      <c r="H638" s="38">
        <f>277508*1000000</f>
        <v>277508000000</v>
      </c>
      <c r="I638" s="38">
        <f>1931437*1000000</f>
        <v>1931437000000</v>
      </c>
      <c r="J638" s="38">
        <f>-2613219*1000000</f>
        <v>-2613219000000</v>
      </c>
      <c r="K638" s="38">
        <f>247025*1000000</f>
        <v>247025000000</v>
      </c>
      <c r="L638" s="38">
        <f>894928*1000000</f>
        <v>894928000000</v>
      </c>
      <c r="M638" s="38">
        <f>-130513*1000000</f>
        <v>-130513000000</v>
      </c>
      <c r="N638" s="38">
        <f>-110609*1000000</f>
        <v>-110609000000</v>
      </c>
      <c r="O638" s="39">
        <v>0.84</v>
      </c>
      <c r="P638" s="40" t="s">
        <v>230</v>
      </c>
      <c r="Q638" s="38">
        <v>2</v>
      </c>
      <c r="R638" s="38">
        <v>5</v>
      </c>
      <c r="S638" s="38">
        <v>4</v>
      </c>
      <c r="T638" s="38">
        <f>SUM(R638:S638)</f>
        <v>9</v>
      </c>
      <c r="U638" s="42">
        <v>0</v>
      </c>
      <c r="V638" s="38">
        <f>5+(2*3)+(2*1)</f>
        <v>13</v>
      </c>
      <c r="W638" s="38">
        <f t="shared" si="60"/>
        <v>13</v>
      </c>
      <c r="X638" s="38">
        <f>4+(2*2)</f>
        <v>8</v>
      </c>
      <c r="Y638" s="37"/>
    </row>
    <row r="639" spans="1:25" s="31" customFormat="1" ht="15" customHeight="1" x14ac:dyDescent="0.3">
      <c r="A639" s="91"/>
      <c r="B639" s="37"/>
      <c r="C639" s="45"/>
      <c r="D639" s="37">
        <v>2024</v>
      </c>
      <c r="E639" s="38">
        <f>34315*1000000</f>
        <v>34315000000</v>
      </c>
      <c r="F639" s="38">
        <f>(34315+43213+33081+51762+12205)*1000000</f>
        <v>174576000000</v>
      </c>
      <c r="G639" s="38">
        <f>2347784*1000000</f>
        <v>2347784000000</v>
      </c>
      <c r="H639" s="38">
        <f>216375*1000000</f>
        <v>216375000000</v>
      </c>
      <c r="I639" s="38">
        <f>2058022*1000000</f>
        <v>2058022000000</v>
      </c>
      <c r="J639" s="38">
        <f>-2686792*1000000</f>
        <v>-2686792000000</v>
      </c>
      <c r="K639" s="38">
        <f>289762*1000000</f>
        <v>289762000000</v>
      </c>
      <c r="L639" s="38">
        <f>851398*1000000</f>
        <v>851398000000</v>
      </c>
      <c r="M639" s="38">
        <f>-78321*1000000</f>
        <v>-78321000000</v>
      </c>
      <c r="N639" s="38">
        <f>-97265*1000000</f>
        <v>-97265000000</v>
      </c>
      <c r="O639" s="39">
        <v>0.84</v>
      </c>
      <c r="P639" s="40" t="s">
        <v>230</v>
      </c>
      <c r="Q639" s="38">
        <v>2</v>
      </c>
      <c r="R639" s="38">
        <v>4</v>
      </c>
      <c r="S639" s="38">
        <v>4</v>
      </c>
      <c r="T639" s="38">
        <f>SUM(R639:S639)</f>
        <v>8</v>
      </c>
      <c r="U639" s="42">
        <v>0</v>
      </c>
      <c r="V639" s="38">
        <f>4+(2*3)</f>
        <v>10</v>
      </c>
      <c r="W639" s="38">
        <f t="shared" si="60"/>
        <v>10</v>
      </c>
      <c r="X639" s="38">
        <f>4+(2*2)</f>
        <v>8</v>
      </c>
      <c r="Y639" s="37"/>
    </row>
    <row r="640" spans="1:25" s="54" customFormat="1" ht="15" customHeight="1" x14ac:dyDescent="0.3">
      <c r="A640" s="63" t="s">
        <v>154</v>
      </c>
      <c r="B640" s="64">
        <v>59</v>
      </c>
      <c r="C640" s="55" t="s">
        <v>59</v>
      </c>
      <c r="D640" s="64">
        <v>2014</v>
      </c>
      <c r="E640" s="65">
        <v>0</v>
      </c>
      <c r="F640" s="65">
        <v>0</v>
      </c>
      <c r="G640" s="65">
        <v>0</v>
      </c>
      <c r="H640" s="65">
        <v>0</v>
      </c>
      <c r="I640" s="65">
        <v>0</v>
      </c>
      <c r="J640" s="65">
        <v>0</v>
      </c>
      <c r="K640" s="65">
        <v>0</v>
      </c>
      <c r="L640" s="65">
        <v>0</v>
      </c>
      <c r="M640" s="65">
        <v>0</v>
      </c>
      <c r="N640" s="65">
        <v>0</v>
      </c>
      <c r="O640" s="65">
        <v>0</v>
      </c>
      <c r="P640" s="65">
        <v>0</v>
      </c>
      <c r="Q640" s="65">
        <v>0</v>
      </c>
      <c r="R640" s="65">
        <v>0</v>
      </c>
      <c r="S640" s="65">
        <v>0</v>
      </c>
      <c r="T640" s="65">
        <v>0</v>
      </c>
      <c r="U640" s="65">
        <v>0</v>
      </c>
      <c r="V640" s="65">
        <v>0</v>
      </c>
      <c r="W640" s="65">
        <v>0</v>
      </c>
      <c r="X640" s="65">
        <v>0</v>
      </c>
      <c r="Y640" s="64"/>
    </row>
    <row r="641" spans="1:25" s="54" customFormat="1" ht="15" customHeight="1" x14ac:dyDescent="0.3">
      <c r="A641" s="63"/>
      <c r="B641" s="64"/>
      <c r="C641" s="55"/>
      <c r="D641" s="64">
        <v>2015</v>
      </c>
      <c r="E641" s="65">
        <v>0</v>
      </c>
      <c r="F641" s="65">
        <v>0</v>
      </c>
      <c r="G641" s="65">
        <v>0</v>
      </c>
      <c r="H641" s="65">
        <v>0</v>
      </c>
      <c r="I641" s="65">
        <v>0</v>
      </c>
      <c r="J641" s="65">
        <v>0</v>
      </c>
      <c r="K641" s="65">
        <v>0</v>
      </c>
      <c r="L641" s="65">
        <v>0</v>
      </c>
      <c r="M641" s="65">
        <v>0</v>
      </c>
      <c r="N641" s="65">
        <v>0</v>
      </c>
      <c r="O641" s="65">
        <v>0</v>
      </c>
      <c r="P641" s="65">
        <v>0</v>
      </c>
      <c r="Q641" s="65">
        <v>0</v>
      </c>
      <c r="R641" s="65">
        <v>0</v>
      </c>
      <c r="S641" s="65">
        <v>0</v>
      </c>
      <c r="T641" s="65">
        <v>0</v>
      </c>
      <c r="U641" s="65">
        <v>0</v>
      </c>
      <c r="V641" s="65">
        <v>0</v>
      </c>
      <c r="W641" s="65">
        <v>0</v>
      </c>
      <c r="X641" s="65">
        <v>0</v>
      </c>
      <c r="Y641" s="64"/>
    </row>
    <row r="642" spans="1:25" s="54" customFormat="1" ht="15" customHeight="1" x14ac:dyDescent="0.3">
      <c r="A642" s="63"/>
      <c r="B642" s="64"/>
      <c r="C642" s="55"/>
      <c r="D642" s="64">
        <v>2016</v>
      </c>
      <c r="E642" s="65">
        <v>0</v>
      </c>
      <c r="F642" s="65">
        <v>0</v>
      </c>
      <c r="G642" s="65">
        <v>0</v>
      </c>
      <c r="H642" s="65">
        <v>0</v>
      </c>
      <c r="I642" s="65">
        <v>0</v>
      </c>
      <c r="J642" s="65">
        <v>0</v>
      </c>
      <c r="K642" s="65">
        <v>0</v>
      </c>
      <c r="L642" s="65">
        <v>0</v>
      </c>
      <c r="M642" s="65">
        <v>0</v>
      </c>
      <c r="N642" s="65">
        <v>0</v>
      </c>
      <c r="O642" s="65">
        <v>0</v>
      </c>
      <c r="P642" s="65">
        <v>0</v>
      </c>
      <c r="Q642" s="65">
        <v>0</v>
      </c>
      <c r="R642" s="65">
        <v>0</v>
      </c>
      <c r="S642" s="65">
        <v>0</v>
      </c>
      <c r="T642" s="65">
        <v>0</v>
      </c>
      <c r="U642" s="65">
        <v>0</v>
      </c>
      <c r="V642" s="65">
        <v>0</v>
      </c>
      <c r="W642" s="65">
        <v>0</v>
      </c>
      <c r="X642" s="65">
        <v>0</v>
      </c>
      <c r="Y642" s="64"/>
    </row>
    <row r="643" spans="1:25" s="54" customFormat="1" ht="15" customHeight="1" x14ac:dyDescent="0.3">
      <c r="A643" s="63"/>
      <c r="B643" s="64"/>
      <c r="C643" s="55"/>
      <c r="D643" s="64">
        <v>2017</v>
      </c>
      <c r="E643" s="65">
        <v>0</v>
      </c>
      <c r="F643" s="65">
        <v>0</v>
      </c>
      <c r="G643" s="65">
        <v>0</v>
      </c>
      <c r="H643" s="65">
        <v>0</v>
      </c>
      <c r="I643" s="65">
        <v>0</v>
      </c>
      <c r="J643" s="65">
        <v>0</v>
      </c>
      <c r="K643" s="65">
        <v>0</v>
      </c>
      <c r="L643" s="65">
        <v>0</v>
      </c>
      <c r="M643" s="65">
        <v>0</v>
      </c>
      <c r="N643" s="65">
        <v>0</v>
      </c>
      <c r="O643" s="65">
        <v>0</v>
      </c>
      <c r="P643" s="65">
        <v>0</v>
      </c>
      <c r="Q643" s="65">
        <v>0</v>
      </c>
      <c r="R643" s="65">
        <v>0</v>
      </c>
      <c r="S643" s="65">
        <v>0</v>
      </c>
      <c r="T643" s="65">
        <v>0</v>
      </c>
      <c r="U643" s="65">
        <v>0</v>
      </c>
      <c r="V643" s="65">
        <v>0</v>
      </c>
      <c r="W643" s="65">
        <v>0</v>
      </c>
      <c r="X643" s="65">
        <v>0</v>
      </c>
      <c r="Y643" s="64"/>
    </row>
    <row r="644" spans="1:25" s="54" customFormat="1" ht="15" customHeight="1" x14ac:dyDescent="0.3">
      <c r="A644" s="63"/>
      <c r="B644" s="64"/>
      <c r="C644" s="55"/>
      <c r="D644" s="64">
        <v>2018</v>
      </c>
      <c r="E644" s="65">
        <v>0</v>
      </c>
      <c r="F644" s="65">
        <v>0</v>
      </c>
      <c r="G644" s="65">
        <v>0</v>
      </c>
      <c r="H644" s="65">
        <v>0</v>
      </c>
      <c r="I644" s="65">
        <v>0</v>
      </c>
      <c r="J644" s="65">
        <v>0</v>
      </c>
      <c r="K644" s="65">
        <v>0</v>
      </c>
      <c r="L644" s="65">
        <v>0</v>
      </c>
      <c r="M644" s="65">
        <v>0</v>
      </c>
      <c r="N644" s="65">
        <v>0</v>
      </c>
      <c r="O644" s="65">
        <v>0</v>
      </c>
      <c r="P644" s="65">
        <v>0</v>
      </c>
      <c r="Q644" s="65">
        <v>0</v>
      </c>
      <c r="R644" s="65">
        <v>0</v>
      </c>
      <c r="S644" s="65">
        <v>0</v>
      </c>
      <c r="T644" s="65">
        <v>0</v>
      </c>
      <c r="U644" s="65">
        <v>0</v>
      </c>
      <c r="V644" s="65">
        <v>0</v>
      </c>
      <c r="W644" s="65">
        <v>0</v>
      </c>
      <c r="X644" s="65">
        <v>0</v>
      </c>
      <c r="Y644" s="64"/>
    </row>
    <row r="645" spans="1:25" s="54" customFormat="1" ht="15" customHeight="1" x14ac:dyDescent="0.3">
      <c r="A645" s="63"/>
      <c r="B645" s="64"/>
      <c r="C645" s="55"/>
      <c r="D645" s="64">
        <v>2019</v>
      </c>
      <c r="E645" s="65">
        <f>88956*1000000</f>
        <v>88956000000</v>
      </c>
      <c r="F645" s="65">
        <f>(88956+105064+406724+502+4342)*100000</f>
        <v>60558800000</v>
      </c>
      <c r="G645" s="65">
        <f>1222801*1000000</f>
        <v>1222801000000</v>
      </c>
      <c r="H645" s="65">
        <f>225165*1000000</f>
        <v>225165000000</v>
      </c>
      <c r="I645" s="65">
        <f>836701*1000000</f>
        <v>836701000000</v>
      </c>
      <c r="J645" s="65">
        <f>76999*1000000</f>
        <v>76999000000</v>
      </c>
      <c r="K645" s="65">
        <f>386100*1000000</f>
        <v>386100000000</v>
      </c>
      <c r="L645" s="65">
        <f>250196*1000000</f>
        <v>250196000000</v>
      </c>
      <c r="M645" s="65">
        <f>85996*1000000</f>
        <v>85996000000</v>
      </c>
      <c r="N645" s="65">
        <f>74896*1000000</f>
        <v>74896000000</v>
      </c>
      <c r="O645" s="65">
        <v>0</v>
      </c>
      <c r="P645" s="65">
        <v>0</v>
      </c>
      <c r="Q645" s="65">
        <v>0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0</v>
      </c>
      <c r="Y645" s="64"/>
    </row>
    <row r="646" spans="1:25" s="54" customFormat="1" ht="15" customHeight="1" x14ac:dyDescent="0.3">
      <c r="A646" s="63"/>
      <c r="B646" s="64"/>
      <c r="C646" s="55"/>
      <c r="D646" s="64">
        <v>2020</v>
      </c>
      <c r="E646" s="65">
        <f>16190*1000000</f>
        <v>16190000000</v>
      </c>
      <c r="F646" s="65">
        <f>(16190+88137+431222+2069+4529)*1000000</f>
        <v>542147000000</v>
      </c>
      <c r="G646" s="65">
        <f>1153735*1000000</f>
        <v>1153735000000</v>
      </c>
      <c r="H646" s="65">
        <f>164785*1000000</f>
        <v>164785000000</v>
      </c>
      <c r="I646" s="65">
        <f>764761*1000000</f>
        <v>764761000000</v>
      </c>
      <c r="J646" s="65">
        <f>78164*1000000</f>
        <v>78164000000</v>
      </c>
      <c r="K646" s="65">
        <f>388974*1000000</f>
        <v>388974000000</v>
      </c>
      <c r="L646" s="65">
        <f>152690*1000000</f>
        <v>152690000000</v>
      </c>
      <c r="M646" s="65">
        <f>94423*1000000</f>
        <v>94423000000</v>
      </c>
      <c r="N646" s="65">
        <f>78044*1000000</f>
        <v>78044000000</v>
      </c>
      <c r="O646" s="66">
        <v>0.99990000000000001</v>
      </c>
      <c r="P646" s="67" t="s">
        <v>250</v>
      </c>
      <c r="Q646" s="65">
        <v>2</v>
      </c>
      <c r="R646" s="65">
        <v>3</v>
      </c>
      <c r="S646" s="65">
        <v>3</v>
      </c>
      <c r="T646" s="65">
        <f>SUM(R646:S646)</f>
        <v>6</v>
      </c>
      <c r="U646" s="68">
        <v>0</v>
      </c>
      <c r="V646" s="65">
        <v>0</v>
      </c>
      <c r="W646" s="65">
        <v>0</v>
      </c>
      <c r="X646" s="65">
        <v>0</v>
      </c>
      <c r="Y646" s="64"/>
    </row>
    <row r="647" spans="1:25" s="54" customFormat="1" ht="15" customHeight="1" x14ac:dyDescent="0.3">
      <c r="A647" s="63"/>
      <c r="B647" s="64"/>
      <c r="C647" s="55"/>
      <c r="D647" s="64">
        <v>2021</v>
      </c>
      <c r="E647" s="65">
        <f>24188*1000000</f>
        <v>24188000000</v>
      </c>
      <c r="F647" s="65">
        <f>(24188+79146+419997+2176+2466)*1000000</f>
        <v>527973000000</v>
      </c>
      <c r="G647" s="65">
        <f>1145364*1000000</f>
        <v>1145364000000</v>
      </c>
      <c r="H647" s="65">
        <f>188316*1000000</f>
        <v>188316000000</v>
      </c>
      <c r="I647" s="65">
        <f>760574*1000000</f>
        <v>760574000000</v>
      </c>
      <c r="J647" s="65">
        <f>76268*1000000</f>
        <v>76268000000</v>
      </c>
      <c r="K647" s="65">
        <f>384789*1000000</f>
        <v>384789000000</v>
      </c>
      <c r="L647" s="65">
        <f>149716*1000000</f>
        <v>149716000000</v>
      </c>
      <c r="M647" s="65">
        <f>90826*1000000</f>
        <v>90826000000</v>
      </c>
      <c r="N647" s="65">
        <f>70990*1000000</f>
        <v>70990000000</v>
      </c>
      <c r="O647" s="66">
        <v>0.99990000000000001</v>
      </c>
      <c r="P647" s="67" t="s">
        <v>250</v>
      </c>
      <c r="Q647" s="65">
        <v>2</v>
      </c>
      <c r="R647" s="65">
        <v>3</v>
      </c>
      <c r="S647" s="65">
        <v>3</v>
      </c>
      <c r="T647" s="65">
        <f>SUM(R647:S647)</f>
        <v>6</v>
      </c>
      <c r="U647" s="68">
        <v>0</v>
      </c>
      <c r="V647" s="65">
        <v>0</v>
      </c>
      <c r="W647" s="65">
        <v>0</v>
      </c>
      <c r="X647" s="65">
        <v>0</v>
      </c>
      <c r="Y647" s="64"/>
    </row>
    <row r="648" spans="1:25" s="54" customFormat="1" ht="15" customHeight="1" x14ac:dyDescent="0.3">
      <c r="A648" s="63"/>
      <c r="B648" s="64"/>
      <c r="C648" s="55"/>
      <c r="D648" s="64">
        <v>2022</v>
      </c>
      <c r="E648" s="65">
        <f>47706*1000000</f>
        <v>47706000000</v>
      </c>
      <c r="F648" s="65">
        <f>(47706+94376+455465+34344+3819)*1000000</f>
        <v>635710000000</v>
      </c>
      <c r="G648" s="65">
        <f>1200901*1000000</f>
        <v>1200901000000</v>
      </c>
      <c r="H648" s="65">
        <f>195114*1000000</f>
        <v>195114000000</v>
      </c>
      <c r="I648" s="65">
        <f>809235*1000000</f>
        <v>809235000000</v>
      </c>
      <c r="J648" s="65">
        <f>86389*1000000</f>
        <v>86389000000</v>
      </c>
      <c r="K648" s="65">
        <f>391666*1000000</f>
        <v>391666000000</v>
      </c>
      <c r="L648" s="65">
        <f>157409*1000000</f>
        <v>157409000000</v>
      </c>
      <c r="M648" s="65">
        <f>99232*1000000</f>
        <v>99232000000</v>
      </c>
      <c r="N648" s="65">
        <f>77054*1000000</f>
        <v>77054000000</v>
      </c>
      <c r="O648" s="66">
        <v>0.99990000000000001</v>
      </c>
      <c r="P648" s="67" t="s">
        <v>250</v>
      </c>
      <c r="Q648" s="65">
        <v>2</v>
      </c>
      <c r="R648" s="65">
        <v>3</v>
      </c>
      <c r="S648" s="65">
        <v>4</v>
      </c>
      <c r="T648" s="65">
        <f>SUM(R648:S648)</f>
        <v>7</v>
      </c>
      <c r="U648" s="68">
        <v>0</v>
      </c>
      <c r="V648" s="65">
        <v>0</v>
      </c>
      <c r="W648" s="65">
        <v>0</v>
      </c>
      <c r="X648" s="65">
        <v>0</v>
      </c>
      <c r="Y648" s="64"/>
    </row>
    <row r="649" spans="1:25" s="54" customFormat="1" ht="15" customHeight="1" x14ac:dyDescent="0.3">
      <c r="A649" s="63"/>
      <c r="B649" s="64"/>
      <c r="C649" s="55"/>
      <c r="D649" s="64">
        <v>2023</v>
      </c>
      <c r="E649" s="65">
        <f>47153*1000000</f>
        <v>47153000000</v>
      </c>
      <c r="F649" s="65">
        <f>(47153+119100+457257+21167+5899)*1000000</f>
        <v>650576000000</v>
      </c>
      <c r="G649" s="65">
        <f>1229251*1000000</f>
        <v>1229251000000</v>
      </c>
      <c r="H649" s="65">
        <f>182849*1000000</f>
        <v>182849000000</v>
      </c>
      <c r="I649" s="65">
        <f>782248*1000000</f>
        <v>782248000000</v>
      </c>
      <c r="J649" s="65">
        <f>140097*1000000</f>
        <v>140097000000</v>
      </c>
      <c r="K649" s="65">
        <f>447003*1000000</f>
        <v>447003000000</v>
      </c>
      <c r="L649" s="65">
        <f>199244*1000000</f>
        <v>199244000000</v>
      </c>
      <c r="M649" s="65">
        <f>162458*1000000</f>
        <v>162458000000</v>
      </c>
      <c r="N649" s="65">
        <f>133013*1000000</f>
        <v>133013000000</v>
      </c>
      <c r="O649" s="66">
        <v>0.99990000000000001</v>
      </c>
      <c r="P649" s="67" t="s">
        <v>250</v>
      </c>
      <c r="Q649" s="65">
        <v>3</v>
      </c>
      <c r="R649" s="65">
        <v>4</v>
      </c>
      <c r="S649" s="65">
        <v>4</v>
      </c>
      <c r="T649" s="65">
        <f>SUM(R649:S649)</f>
        <v>8</v>
      </c>
      <c r="U649" s="68">
        <v>0</v>
      </c>
      <c r="V649" s="65">
        <v>0</v>
      </c>
      <c r="W649" s="65">
        <v>0</v>
      </c>
      <c r="X649" s="65">
        <v>0</v>
      </c>
      <c r="Y649" s="64"/>
    </row>
    <row r="650" spans="1:25" s="54" customFormat="1" ht="15" customHeight="1" x14ac:dyDescent="0.3">
      <c r="A650" s="63"/>
      <c r="B650" s="64"/>
      <c r="C650" s="55"/>
      <c r="D650" s="64">
        <v>2024</v>
      </c>
      <c r="E650" s="65">
        <f>94149*1000000</f>
        <v>94149000000</v>
      </c>
      <c r="F650" s="65">
        <f>(94149+174450+512351+7305+8520)*1000000</f>
        <v>796775000000</v>
      </c>
      <c r="G650" s="65">
        <f>1460518*1000000</f>
        <v>1460518000000</v>
      </c>
      <c r="H650" s="65">
        <f>214218*1000000</f>
        <v>214218000000</v>
      </c>
      <c r="I650" s="65">
        <f>(861055*1000000)</f>
        <v>861055000000</v>
      </c>
      <c r="J650" s="65">
        <f>295585*1000000</f>
        <v>295585000000</v>
      </c>
      <c r="K650" s="65">
        <f>599463*1000000</f>
        <v>599463000000</v>
      </c>
      <c r="L650" s="65">
        <f>219787*1000000</f>
        <v>219787000000</v>
      </c>
      <c r="M650" s="65">
        <f>190319*1000000</f>
        <v>190319000000</v>
      </c>
      <c r="N650" s="65">
        <f>151251*1000000</f>
        <v>151251000000</v>
      </c>
      <c r="O650" s="66">
        <v>0.99990000000000001</v>
      </c>
      <c r="P650" s="67" t="s">
        <v>250</v>
      </c>
      <c r="Q650" s="65">
        <v>3</v>
      </c>
      <c r="R650" s="65">
        <v>4</v>
      </c>
      <c r="S650" s="65">
        <v>4</v>
      </c>
      <c r="T650" s="65">
        <f>SUM(R650:S650)</f>
        <v>8</v>
      </c>
      <c r="U650" s="68">
        <v>0</v>
      </c>
      <c r="V650" s="65">
        <v>0</v>
      </c>
      <c r="W650" s="65">
        <v>0</v>
      </c>
      <c r="X650" s="65">
        <v>0</v>
      </c>
      <c r="Y650" s="64"/>
    </row>
    <row r="651" spans="1:25" s="54" customFormat="1" ht="15" customHeight="1" x14ac:dyDescent="0.3">
      <c r="A651" s="63"/>
      <c r="B651" s="64">
        <v>60</v>
      </c>
      <c r="C651" s="55" t="s">
        <v>63</v>
      </c>
      <c r="D651" s="64">
        <v>2014</v>
      </c>
      <c r="E651" s="65">
        <v>0</v>
      </c>
      <c r="F651" s="65">
        <v>0</v>
      </c>
      <c r="G651" s="65">
        <v>0</v>
      </c>
      <c r="H651" s="65">
        <v>0</v>
      </c>
      <c r="I651" s="65">
        <v>0</v>
      </c>
      <c r="J651" s="65">
        <v>0</v>
      </c>
      <c r="K651" s="65">
        <v>0</v>
      </c>
      <c r="L651" s="65">
        <v>0</v>
      </c>
      <c r="M651" s="65">
        <v>0</v>
      </c>
      <c r="N651" s="65">
        <v>0</v>
      </c>
      <c r="O651" s="65">
        <v>0</v>
      </c>
      <c r="P651" s="65">
        <v>0</v>
      </c>
      <c r="Q651" s="65">
        <v>0</v>
      </c>
      <c r="R651" s="65">
        <v>0</v>
      </c>
      <c r="S651" s="65">
        <v>0</v>
      </c>
      <c r="T651" s="65">
        <v>0</v>
      </c>
      <c r="U651" s="65">
        <v>0</v>
      </c>
      <c r="V651" s="65">
        <v>0</v>
      </c>
      <c r="W651" s="65">
        <v>0</v>
      </c>
      <c r="X651" s="65">
        <v>0</v>
      </c>
      <c r="Y651" s="64"/>
    </row>
    <row r="652" spans="1:25" s="54" customFormat="1" ht="15" customHeight="1" x14ac:dyDescent="0.3">
      <c r="A652" s="63"/>
      <c r="B652" s="64"/>
      <c r="C652" s="55"/>
      <c r="D652" s="64">
        <v>2015</v>
      </c>
      <c r="E652" s="65">
        <v>0</v>
      </c>
      <c r="F652" s="65">
        <v>0</v>
      </c>
      <c r="G652" s="65">
        <v>0</v>
      </c>
      <c r="H652" s="65">
        <v>0</v>
      </c>
      <c r="I652" s="65">
        <v>0</v>
      </c>
      <c r="J652" s="65">
        <v>0</v>
      </c>
      <c r="K652" s="65">
        <v>0</v>
      </c>
      <c r="L652" s="65">
        <v>0</v>
      </c>
      <c r="M652" s="65">
        <v>0</v>
      </c>
      <c r="N652" s="65">
        <v>0</v>
      </c>
      <c r="O652" s="65">
        <v>0</v>
      </c>
      <c r="P652" s="65">
        <v>0</v>
      </c>
      <c r="Q652" s="65">
        <v>0</v>
      </c>
      <c r="R652" s="65">
        <v>0</v>
      </c>
      <c r="S652" s="65">
        <v>0</v>
      </c>
      <c r="T652" s="65">
        <v>0</v>
      </c>
      <c r="U652" s="65">
        <v>0</v>
      </c>
      <c r="V652" s="65">
        <v>0</v>
      </c>
      <c r="W652" s="65">
        <v>0</v>
      </c>
      <c r="X652" s="65">
        <v>0</v>
      </c>
      <c r="Y652" s="64"/>
    </row>
    <row r="653" spans="1:25" s="54" customFormat="1" ht="15" customHeight="1" x14ac:dyDescent="0.3">
      <c r="A653" s="63"/>
      <c r="B653" s="64"/>
      <c r="C653" s="55"/>
      <c r="D653" s="64">
        <v>2016</v>
      </c>
      <c r="E653" s="65">
        <v>0</v>
      </c>
      <c r="F653" s="65">
        <v>0</v>
      </c>
      <c r="G653" s="65">
        <v>0</v>
      </c>
      <c r="H653" s="65">
        <v>0</v>
      </c>
      <c r="I653" s="65">
        <v>0</v>
      </c>
      <c r="J653" s="65">
        <v>0</v>
      </c>
      <c r="K653" s="65">
        <v>0</v>
      </c>
      <c r="L653" s="65">
        <v>0</v>
      </c>
      <c r="M653" s="65">
        <v>0</v>
      </c>
      <c r="N653" s="65">
        <v>0</v>
      </c>
      <c r="O653" s="65">
        <v>0</v>
      </c>
      <c r="P653" s="65">
        <v>0</v>
      </c>
      <c r="Q653" s="65">
        <v>0</v>
      </c>
      <c r="R653" s="65">
        <v>0</v>
      </c>
      <c r="S653" s="65">
        <v>0</v>
      </c>
      <c r="T653" s="65">
        <v>0</v>
      </c>
      <c r="U653" s="65">
        <v>0</v>
      </c>
      <c r="V653" s="65">
        <v>0</v>
      </c>
      <c r="W653" s="65">
        <v>0</v>
      </c>
      <c r="X653" s="65">
        <v>0</v>
      </c>
      <c r="Y653" s="64"/>
    </row>
    <row r="654" spans="1:25" s="54" customFormat="1" ht="15" customHeight="1" x14ac:dyDescent="0.3">
      <c r="A654" s="63"/>
      <c r="B654" s="64"/>
      <c r="C654" s="55"/>
      <c r="D654" s="64">
        <v>2017</v>
      </c>
      <c r="E654" s="65">
        <v>0</v>
      </c>
      <c r="F654" s="65">
        <v>0</v>
      </c>
      <c r="G654" s="65">
        <v>0</v>
      </c>
      <c r="H654" s="65">
        <v>0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0</v>
      </c>
      <c r="O654" s="65">
        <v>0</v>
      </c>
      <c r="P654" s="65">
        <v>0</v>
      </c>
      <c r="Q654" s="65">
        <v>0</v>
      </c>
      <c r="R654" s="65">
        <v>0</v>
      </c>
      <c r="S654" s="65">
        <v>0</v>
      </c>
      <c r="T654" s="65">
        <v>0</v>
      </c>
      <c r="U654" s="65">
        <v>0</v>
      </c>
      <c r="V654" s="65">
        <v>0</v>
      </c>
      <c r="W654" s="65">
        <v>0</v>
      </c>
      <c r="X654" s="65">
        <v>0</v>
      </c>
      <c r="Y654" s="64"/>
    </row>
    <row r="655" spans="1:25" s="54" customFormat="1" ht="15" customHeight="1" x14ac:dyDescent="0.3">
      <c r="A655" s="63"/>
      <c r="B655" s="64"/>
      <c r="C655" s="55"/>
      <c r="D655" s="64">
        <v>2018</v>
      </c>
      <c r="E655" s="65">
        <v>0</v>
      </c>
      <c r="F655" s="65">
        <v>0</v>
      </c>
      <c r="G655" s="65">
        <v>0</v>
      </c>
      <c r="H655" s="65">
        <v>0</v>
      </c>
      <c r="I655" s="65">
        <v>0</v>
      </c>
      <c r="J655" s="65">
        <v>0</v>
      </c>
      <c r="K655" s="65">
        <v>0</v>
      </c>
      <c r="L655" s="65">
        <v>0</v>
      </c>
      <c r="M655" s="65">
        <v>0</v>
      </c>
      <c r="N655" s="65">
        <v>0</v>
      </c>
      <c r="O655" s="65">
        <v>0</v>
      </c>
      <c r="P655" s="65">
        <v>0</v>
      </c>
      <c r="Q655" s="65">
        <v>0</v>
      </c>
      <c r="R655" s="65">
        <v>0</v>
      </c>
      <c r="S655" s="65">
        <v>0</v>
      </c>
      <c r="T655" s="65">
        <v>0</v>
      </c>
      <c r="U655" s="65">
        <v>0</v>
      </c>
      <c r="V655" s="65">
        <v>0</v>
      </c>
      <c r="W655" s="65">
        <v>0</v>
      </c>
      <c r="X655" s="65">
        <v>0</v>
      </c>
      <c r="Y655" s="64"/>
    </row>
    <row r="656" spans="1:25" s="54" customFormat="1" ht="15" customHeight="1" x14ac:dyDescent="0.3">
      <c r="A656" s="63"/>
      <c r="B656" s="64"/>
      <c r="C656" s="55"/>
      <c r="D656" s="64">
        <v>2019</v>
      </c>
      <c r="E656" s="65">
        <v>0</v>
      </c>
      <c r="F656" s="65">
        <v>0</v>
      </c>
      <c r="G656" s="65">
        <v>0</v>
      </c>
      <c r="H656" s="65">
        <v>0</v>
      </c>
      <c r="I656" s="65">
        <v>0</v>
      </c>
      <c r="J656" s="65">
        <v>0</v>
      </c>
      <c r="K656" s="65">
        <v>0</v>
      </c>
      <c r="L656" s="65">
        <v>0</v>
      </c>
      <c r="M656" s="65">
        <v>0</v>
      </c>
      <c r="N656" s="65">
        <v>0</v>
      </c>
      <c r="O656" s="65">
        <v>0</v>
      </c>
      <c r="P656" s="65">
        <v>0</v>
      </c>
      <c r="Q656" s="65">
        <v>0</v>
      </c>
      <c r="R656" s="65">
        <v>0</v>
      </c>
      <c r="S656" s="65">
        <v>0</v>
      </c>
      <c r="T656" s="65">
        <v>0</v>
      </c>
      <c r="U656" s="65">
        <v>0</v>
      </c>
      <c r="V656" s="65">
        <v>0</v>
      </c>
      <c r="W656" s="65">
        <v>0</v>
      </c>
      <c r="X656" s="65">
        <v>0</v>
      </c>
      <c r="Y656" s="64"/>
    </row>
    <row r="657" spans="1:25" s="54" customFormat="1" ht="15" customHeight="1" x14ac:dyDescent="0.3">
      <c r="A657" s="63"/>
      <c r="B657" s="64"/>
      <c r="C657" s="55"/>
      <c r="D657" s="64">
        <v>2020</v>
      </c>
      <c r="E657" s="65">
        <f>35644*1000000</f>
        <v>35644000000</v>
      </c>
      <c r="F657" s="65">
        <f>(35644+57458+38043+4771)*1000000</f>
        <v>135916000000</v>
      </c>
      <c r="G657" s="65">
        <f>426700*1000000</f>
        <v>426700000000</v>
      </c>
      <c r="H657" s="65">
        <f>85038*1000000</f>
        <v>85038000000</v>
      </c>
      <c r="I657" s="65">
        <f>200258*1000000</f>
        <v>200258000000</v>
      </c>
      <c r="J657" s="65">
        <f>107623*1000000</f>
        <v>107623000000</v>
      </c>
      <c r="K657" s="65">
        <f>226442*1000000</f>
        <v>226442000000</v>
      </c>
      <c r="L657" s="65">
        <f>102511*1000000</f>
        <v>102511000000</v>
      </c>
      <c r="M657" s="65">
        <f>8120*1000000</f>
        <v>8120000000</v>
      </c>
      <c r="N657" s="65">
        <f>10618*1000000</f>
        <v>10618000000</v>
      </c>
      <c r="O657" s="65">
        <v>0</v>
      </c>
      <c r="P657" s="65">
        <v>0</v>
      </c>
      <c r="Q657" s="65">
        <v>0</v>
      </c>
      <c r="R657" s="65">
        <v>0</v>
      </c>
      <c r="S657" s="65">
        <v>0</v>
      </c>
      <c r="T657" s="65">
        <v>0</v>
      </c>
      <c r="U657" s="65">
        <v>0</v>
      </c>
      <c r="V657" s="65">
        <v>0</v>
      </c>
      <c r="W657" s="65">
        <v>0</v>
      </c>
      <c r="X657" s="65">
        <v>0</v>
      </c>
      <c r="Y657" s="64"/>
    </row>
    <row r="658" spans="1:25" s="54" customFormat="1" ht="15" customHeight="1" x14ac:dyDescent="0.3">
      <c r="A658" s="63"/>
      <c r="B658" s="64"/>
      <c r="C658" s="55"/>
      <c r="D658" s="64">
        <v>2021</v>
      </c>
      <c r="E658" s="65">
        <f>16571*1000000</f>
        <v>16571000000</v>
      </c>
      <c r="F658" s="65">
        <f>(16571+57903+33751+197984+4021+73)*1000000</f>
        <v>310303000000</v>
      </c>
      <c r="G658" s="65">
        <f>587684*1000000</f>
        <v>587684000000</v>
      </c>
      <c r="H658" s="65">
        <f>70345*1000000</f>
        <v>70345000000</v>
      </c>
      <c r="I658" s="65">
        <f>400530*1000000</f>
        <v>400530000000</v>
      </c>
      <c r="J658" s="65">
        <f>69672*1000000</f>
        <v>69672000000</v>
      </c>
      <c r="K658" s="65">
        <f>187468*1000000</f>
        <v>187468000000</v>
      </c>
      <c r="L658" s="65">
        <f>95301*1000000</f>
        <v>95301000000</v>
      </c>
      <c r="M658" s="65">
        <f>15296*1000000</f>
        <v>15296000000</v>
      </c>
      <c r="N658" s="65">
        <f>11025*1000000</f>
        <v>11025000000</v>
      </c>
      <c r="O658" s="66">
        <v>0.65</v>
      </c>
      <c r="P658" s="67" t="s">
        <v>251</v>
      </c>
      <c r="Q658" s="65">
        <v>2</v>
      </c>
      <c r="R658" s="65">
        <v>4</v>
      </c>
      <c r="S658" s="65">
        <v>3</v>
      </c>
      <c r="T658" s="65">
        <f>SUM(R658:S658)</f>
        <v>7</v>
      </c>
      <c r="U658" s="68">
        <v>0</v>
      </c>
      <c r="V658" s="65">
        <v>0</v>
      </c>
      <c r="W658" s="65">
        <v>0</v>
      </c>
      <c r="X658" s="65">
        <v>0</v>
      </c>
      <c r="Y658" s="64"/>
    </row>
    <row r="659" spans="1:25" s="54" customFormat="1" ht="15" customHeight="1" x14ac:dyDescent="0.3">
      <c r="A659" s="63"/>
      <c r="B659" s="64"/>
      <c r="C659" s="55"/>
      <c r="D659" s="64">
        <v>2022</v>
      </c>
      <c r="E659" s="65">
        <f>22433*1000000</f>
        <v>22433000000</v>
      </c>
      <c r="F659" s="65">
        <f>(22433+57809+33678+187291+3519)*1000000</f>
        <v>304730000000</v>
      </c>
      <c r="G659" s="65">
        <f>610818*1000000</f>
        <v>610818000000</v>
      </c>
      <c r="H659" s="65">
        <f>80237*1000000</f>
        <v>80237000000</v>
      </c>
      <c r="I659" s="65">
        <f>400512*1000000</f>
        <v>400512000000</v>
      </c>
      <c r="J659" s="65">
        <f>90807*1000000</f>
        <v>90807000000</v>
      </c>
      <c r="K659" s="65">
        <f>210306*1000000</f>
        <v>210306000000</v>
      </c>
      <c r="L659" s="65">
        <f>109295*1000000</f>
        <v>109295000000</v>
      </c>
      <c r="M659" s="65">
        <f>27700*1000000</f>
        <v>27700000000</v>
      </c>
      <c r="N659" s="65">
        <f>22839*1000000</f>
        <v>22839000000</v>
      </c>
      <c r="O659" s="66">
        <v>0.65300000000000002</v>
      </c>
      <c r="P659" s="67" t="s">
        <v>251</v>
      </c>
      <c r="Q659" s="65">
        <v>2</v>
      </c>
      <c r="R659" s="65">
        <v>4</v>
      </c>
      <c r="S659" s="65">
        <v>3</v>
      </c>
      <c r="T659" s="65">
        <f>SUM(R659:S659)</f>
        <v>7</v>
      </c>
      <c r="U659" s="68">
        <v>0</v>
      </c>
      <c r="V659" s="65">
        <v>0</v>
      </c>
      <c r="W659" s="65">
        <v>0</v>
      </c>
      <c r="X659" s="65">
        <v>0</v>
      </c>
      <c r="Y659" s="64"/>
    </row>
    <row r="660" spans="1:25" s="54" customFormat="1" ht="15" customHeight="1" x14ac:dyDescent="0.3">
      <c r="A660" s="63"/>
      <c r="B660" s="64"/>
      <c r="C660" s="55"/>
      <c r="D660" s="64">
        <v>2023</v>
      </c>
      <c r="E660" s="65">
        <f>15897*1000000</f>
        <v>15897000000</v>
      </c>
      <c r="F660" s="65">
        <f>(15897+57136+34119+138788+3016)*1000000</f>
        <v>248956000000</v>
      </c>
      <c r="G660" s="65">
        <f>594083*1000000</f>
        <v>594083000000</v>
      </c>
      <c r="H660" s="65">
        <f>109480*1000000</f>
        <v>109480000000</v>
      </c>
      <c r="I660" s="65">
        <f>376583*1000000</f>
        <v>376583000000</v>
      </c>
      <c r="J660" s="65">
        <f>98777*1000000</f>
        <v>98777000000</v>
      </c>
      <c r="K660" s="65">
        <f>217500*1000000</f>
        <v>217500000000</v>
      </c>
      <c r="L660" s="65">
        <f>108744*1000000</f>
        <v>108744000000</v>
      </c>
      <c r="M660" s="65">
        <f>11859*1000000</f>
        <v>11859000000</v>
      </c>
      <c r="N660" s="65">
        <f>7193*1000000</f>
        <v>7193000000</v>
      </c>
      <c r="O660" s="66">
        <v>0.65</v>
      </c>
      <c r="P660" s="67" t="s">
        <v>251</v>
      </c>
      <c r="Q660" s="65">
        <v>2</v>
      </c>
      <c r="R660" s="65">
        <v>4</v>
      </c>
      <c r="S660" s="65">
        <v>3</v>
      </c>
      <c r="T660" s="65">
        <f>SUM(R660:S660)</f>
        <v>7</v>
      </c>
      <c r="U660" s="68">
        <v>0</v>
      </c>
      <c r="V660" s="65">
        <v>0</v>
      </c>
      <c r="W660" s="65">
        <v>0</v>
      </c>
      <c r="X660" s="65">
        <v>0</v>
      </c>
      <c r="Y660" s="64"/>
    </row>
    <row r="661" spans="1:25" s="54" customFormat="1" ht="15" customHeight="1" x14ac:dyDescent="0.3">
      <c r="A661" s="63"/>
      <c r="B661" s="64"/>
      <c r="C661" s="55"/>
      <c r="D661" s="64">
        <v>2024</v>
      </c>
      <c r="E661" s="65">
        <f>23292*1000000</f>
        <v>23292000000</v>
      </c>
      <c r="F661" s="65">
        <f>(23292+60122+91+182838+1830+41247+2389)*1000000</f>
        <v>311809000000</v>
      </c>
      <c r="G661" s="65">
        <f>683086*1000000</f>
        <v>683086000000</v>
      </c>
      <c r="H661" s="65">
        <f>115062*1000000</f>
        <v>115062000000</v>
      </c>
      <c r="I661" s="65">
        <f>420720*1000000</f>
        <v>420720000000</v>
      </c>
      <c r="J661" s="65">
        <f>122336*1000000</f>
        <v>122336000000</v>
      </c>
      <c r="K661" s="65">
        <f>262366*1000000</f>
        <v>262366000000</v>
      </c>
      <c r="L661" s="65">
        <f>105302*1000000</f>
        <v>105302000000</v>
      </c>
      <c r="M661" s="65">
        <f>8407*1000000</f>
        <v>8407000000</v>
      </c>
      <c r="N661" s="65">
        <f>25756*1000000</f>
        <v>25756000000</v>
      </c>
      <c r="O661" s="66">
        <v>0.65</v>
      </c>
      <c r="P661" s="67" t="s">
        <v>251</v>
      </c>
      <c r="Q661" s="65">
        <v>2</v>
      </c>
      <c r="R661" s="65">
        <v>4</v>
      </c>
      <c r="S661" s="65">
        <v>4</v>
      </c>
      <c r="T661" s="65">
        <f>SUM(R661:S661)</f>
        <v>8</v>
      </c>
      <c r="U661" s="68">
        <v>0</v>
      </c>
      <c r="V661" s="65">
        <v>0</v>
      </c>
      <c r="W661" s="65">
        <v>0</v>
      </c>
      <c r="X661" s="65">
        <v>0</v>
      </c>
      <c r="Y661" s="64"/>
    </row>
    <row r="662" spans="1:25" s="54" customFormat="1" ht="15" customHeight="1" x14ac:dyDescent="0.3">
      <c r="A662" s="63"/>
      <c r="B662" s="64">
        <v>61</v>
      </c>
      <c r="C662" s="55" t="s">
        <v>61</v>
      </c>
      <c r="D662" s="64">
        <v>2014</v>
      </c>
      <c r="E662" s="65">
        <v>0</v>
      </c>
      <c r="F662" s="65">
        <v>0</v>
      </c>
      <c r="G662" s="65">
        <v>0</v>
      </c>
      <c r="H662" s="65">
        <v>0</v>
      </c>
      <c r="I662" s="65">
        <v>0</v>
      </c>
      <c r="J662" s="65">
        <v>0</v>
      </c>
      <c r="K662" s="65">
        <v>0</v>
      </c>
      <c r="L662" s="65">
        <f>438295*1000000</f>
        <v>438295000000</v>
      </c>
      <c r="M662" s="65">
        <v>0</v>
      </c>
      <c r="N662" s="65">
        <v>0</v>
      </c>
      <c r="O662" s="65">
        <v>0</v>
      </c>
      <c r="P662" s="65">
        <v>0</v>
      </c>
      <c r="Q662" s="65">
        <v>0</v>
      </c>
      <c r="R662" s="65">
        <v>0</v>
      </c>
      <c r="S662" s="65">
        <v>0</v>
      </c>
      <c r="T662" s="65">
        <v>0</v>
      </c>
      <c r="U662" s="65">
        <v>0</v>
      </c>
      <c r="V662" s="65">
        <v>0</v>
      </c>
      <c r="W662" s="65">
        <v>0</v>
      </c>
      <c r="X662" s="65">
        <v>0</v>
      </c>
      <c r="Y662" s="64"/>
    </row>
    <row r="663" spans="1:25" s="54" customFormat="1" ht="15" customHeight="1" x14ac:dyDescent="0.3">
      <c r="A663" s="63"/>
      <c r="B663" s="64"/>
      <c r="C663" s="55"/>
      <c r="D663" s="64">
        <v>2015</v>
      </c>
      <c r="E663" s="65">
        <f>51173*1000000</f>
        <v>51173000000</v>
      </c>
      <c r="F663" s="65">
        <f>(51173+135165+81648+2135+978696)*1000000</f>
        <v>1248817000000</v>
      </c>
      <c r="G663" s="65">
        <f>2137811*1000000</f>
        <v>2137811000000</v>
      </c>
      <c r="H663" s="65">
        <f>263629*1000000</f>
        <v>263629000000</v>
      </c>
      <c r="I663" s="65">
        <f>1685896*1000000</f>
        <v>1685896000000</v>
      </c>
      <c r="J663" s="65">
        <f>266759*1000000</f>
        <v>266759000000</v>
      </c>
      <c r="K663" s="65">
        <f>451915*1000000</f>
        <v>451915000000</v>
      </c>
      <c r="L663" s="65">
        <f>516969*1000000</f>
        <v>516969000000</v>
      </c>
      <c r="M663" s="65">
        <f>37409*1000000</f>
        <v>37409000000</v>
      </c>
      <c r="N663" s="65">
        <f>44788*1000000</f>
        <v>44788000000</v>
      </c>
      <c r="O663" s="66">
        <v>0.97750000000000004</v>
      </c>
      <c r="P663" s="67" t="s">
        <v>197</v>
      </c>
      <c r="Q663" s="65">
        <v>3</v>
      </c>
      <c r="R663" s="65">
        <v>5</v>
      </c>
      <c r="S663" s="65">
        <v>4</v>
      </c>
      <c r="T663" s="65">
        <f>SUM(R663:S663)</f>
        <v>9</v>
      </c>
      <c r="U663" s="68">
        <v>0</v>
      </c>
      <c r="V663" s="65">
        <v>0</v>
      </c>
      <c r="W663" s="65">
        <v>0</v>
      </c>
      <c r="X663" s="65">
        <v>0</v>
      </c>
      <c r="Y663" s="64"/>
    </row>
    <row r="664" spans="1:25" s="54" customFormat="1" ht="15" customHeight="1" x14ac:dyDescent="0.3">
      <c r="A664" s="63"/>
      <c r="B664" s="64"/>
      <c r="C664" s="55"/>
      <c r="D664" s="64">
        <v>2016</v>
      </c>
      <c r="E664" s="65">
        <f>23890*1000000</f>
        <v>23890000000</v>
      </c>
      <c r="F664" s="65">
        <f>(23890+116463+104550+1863+741698)*1000000</f>
        <v>988464000000</v>
      </c>
      <c r="G664" s="65">
        <f>1872156*1000000</f>
        <v>1872156000000</v>
      </c>
      <c r="H664" s="65">
        <f>290615*1000000</f>
        <v>290615000000</v>
      </c>
      <c r="I664" s="65">
        <f>1480566*1000000</f>
        <v>1480566000000</v>
      </c>
      <c r="J664" s="65">
        <f>200646*1000000</f>
        <v>200646000000</v>
      </c>
      <c r="K664" s="65">
        <f>391590*1000000</f>
        <v>391590000000</v>
      </c>
      <c r="L664" s="65">
        <f>493786*1000000</f>
        <v>493786000000</v>
      </c>
      <c r="M664" s="65">
        <f>-46551*1000000</f>
        <v>-46551000000</v>
      </c>
      <c r="N664" s="65">
        <f>-60325*1000000</f>
        <v>-60325000000</v>
      </c>
      <c r="O664" s="66">
        <v>0.97750000000000004</v>
      </c>
      <c r="P664" s="67" t="s">
        <v>197</v>
      </c>
      <c r="Q664" s="65">
        <v>3</v>
      </c>
      <c r="R664" s="65">
        <v>5</v>
      </c>
      <c r="S664" s="65">
        <v>3</v>
      </c>
      <c r="T664" s="65">
        <f t="shared" ref="T664:T672" si="61">SUM(R664:S664)</f>
        <v>8</v>
      </c>
      <c r="U664" s="68">
        <v>0</v>
      </c>
      <c r="V664" s="65">
        <v>0</v>
      </c>
      <c r="W664" s="65">
        <v>0</v>
      </c>
      <c r="X664" s="65">
        <v>0</v>
      </c>
      <c r="Y664" s="64"/>
    </row>
    <row r="665" spans="1:25" s="54" customFormat="1" ht="15" customHeight="1" x14ac:dyDescent="0.3">
      <c r="A665" s="63"/>
      <c r="B665" s="64"/>
      <c r="C665" s="55"/>
      <c r="D665" s="64">
        <v>2017</v>
      </c>
      <c r="E665" s="65">
        <f>19871*1000000</f>
        <v>19871000000</v>
      </c>
      <c r="F665" s="65">
        <f>(19781+170817+45195+545661+26143+1432)*1000000</f>
        <v>809029000000</v>
      </c>
      <c r="G665" s="65">
        <f>2305493*1000000</f>
        <v>2305493000000</v>
      </c>
      <c r="H665" s="65">
        <f>427191*1000000</f>
        <v>427191000000</v>
      </c>
      <c r="I665" s="65">
        <f>1363489*1000000</f>
        <v>1363489000000</v>
      </c>
      <c r="J665" s="65">
        <f>156390*1000000</f>
        <v>156390000000</v>
      </c>
      <c r="K665" s="65">
        <f>942004*1000000</f>
        <v>942004000000</v>
      </c>
      <c r="L665" s="65">
        <f>489354*1000000</f>
        <v>489354000000</v>
      </c>
      <c r="M665" s="65">
        <f>-38837*1000000</f>
        <v>-38837000000</v>
      </c>
      <c r="N665" s="65">
        <f>-28586*1000000</f>
        <v>-28586000000</v>
      </c>
      <c r="O665" s="66">
        <v>0.97750000000000004</v>
      </c>
      <c r="P665" s="67" t="s">
        <v>197</v>
      </c>
      <c r="Q665" s="65">
        <v>3</v>
      </c>
      <c r="R665" s="65">
        <v>4</v>
      </c>
      <c r="S665" s="65">
        <v>3</v>
      </c>
      <c r="T665" s="65">
        <f t="shared" si="61"/>
        <v>7</v>
      </c>
      <c r="U665" s="68">
        <v>0</v>
      </c>
      <c r="V665" s="65">
        <v>0</v>
      </c>
      <c r="W665" s="65">
        <v>0</v>
      </c>
      <c r="X665" s="65">
        <v>0</v>
      </c>
      <c r="Y665" s="64"/>
    </row>
    <row r="666" spans="1:25" s="54" customFormat="1" ht="15" customHeight="1" x14ac:dyDescent="0.3">
      <c r="A666" s="63"/>
      <c r="B666" s="64"/>
      <c r="C666" s="55"/>
      <c r="D666" s="64">
        <v>2018</v>
      </c>
      <c r="E666" s="65">
        <f>18697*1000000</f>
        <v>18697000000</v>
      </c>
      <c r="F666" s="65">
        <f>(18697+162247+93615+859159)*1000000</f>
        <v>1133718000000</v>
      </c>
      <c r="G666" s="65">
        <f>2550221*1000000</f>
        <v>2550221000000</v>
      </c>
      <c r="H666" s="65">
        <f>394336*1000000</f>
        <v>394336000000</v>
      </c>
      <c r="I666" s="65">
        <f>1629372*1000000</f>
        <v>1629372000000</v>
      </c>
      <c r="J666" s="65">
        <f>160889*1000000</f>
        <v>160889000000</v>
      </c>
      <c r="K666" s="65">
        <f>911906*1000000</f>
        <v>911906000000</v>
      </c>
      <c r="L666" s="65">
        <f>547852*1000000</f>
        <v>547852000000</v>
      </c>
      <c r="M666" s="65">
        <f>-16752*1000000</f>
        <v>-16752000000</v>
      </c>
      <c r="N666" s="65">
        <f>-30098*1000000</f>
        <v>-30098000000</v>
      </c>
      <c r="O666" s="66">
        <v>0.97750000000000004</v>
      </c>
      <c r="P666" s="67" t="s">
        <v>197</v>
      </c>
      <c r="Q666" s="65">
        <v>3</v>
      </c>
      <c r="R666" s="65">
        <v>5</v>
      </c>
      <c r="S666" s="65">
        <v>3</v>
      </c>
      <c r="T666" s="65">
        <f t="shared" si="61"/>
        <v>8</v>
      </c>
      <c r="U666" s="68">
        <v>0</v>
      </c>
      <c r="V666" s="65">
        <v>0</v>
      </c>
      <c r="W666" s="65">
        <v>0</v>
      </c>
      <c r="X666" s="65">
        <v>0</v>
      </c>
      <c r="Y666" s="64"/>
    </row>
    <row r="667" spans="1:25" s="54" customFormat="1" ht="15" customHeight="1" x14ac:dyDescent="0.3">
      <c r="A667" s="63"/>
      <c r="B667" s="64"/>
      <c r="C667" s="55"/>
      <c r="D667" s="64">
        <v>2019</v>
      </c>
      <c r="E667" s="65">
        <f>24499*1000000</f>
        <v>24499000000</v>
      </c>
      <c r="F667" s="65">
        <f>(24499+121536+77036+593378)*1000000</f>
        <v>816449000000</v>
      </c>
      <c r="G667" s="65">
        <f>2424572*1000000</f>
        <v>2424572000000</v>
      </c>
      <c r="H667" s="65">
        <f>527360*1000000</f>
        <v>527360000000</v>
      </c>
      <c r="I667" s="65">
        <f>1486614*1000000</f>
        <v>1486614000000</v>
      </c>
      <c r="J667" s="65">
        <f>151664*1000000</f>
        <v>151664000000</v>
      </c>
      <c r="K667" s="65">
        <f>928182*1000000</f>
        <v>928182000000</v>
      </c>
      <c r="L667" s="65">
        <f>650695*1000000</f>
        <v>650695000000</v>
      </c>
      <c r="M667" s="65">
        <f>-10654*1000000</f>
        <v>-10654000000</v>
      </c>
      <c r="N667" s="65">
        <f>16276*1000000</f>
        <v>16276000000</v>
      </c>
      <c r="O667" s="66">
        <v>0.97750000000000004</v>
      </c>
      <c r="P667" s="67" t="s">
        <v>197</v>
      </c>
      <c r="Q667" s="65">
        <v>3</v>
      </c>
      <c r="R667" s="65">
        <v>4</v>
      </c>
      <c r="S667" s="65">
        <v>4</v>
      </c>
      <c r="T667" s="65">
        <f t="shared" si="61"/>
        <v>8</v>
      </c>
      <c r="U667" s="68">
        <v>0</v>
      </c>
      <c r="V667" s="65">
        <v>0</v>
      </c>
      <c r="W667" s="65">
        <v>0</v>
      </c>
      <c r="X667" s="65">
        <v>0</v>
      </c>
      <c r="Y667" s="64"/>
    </row>
    <row r="668" spans="1:25" s="54" customFormat="1" ht="15" customHeight="1" x14ac:dyDescent="0.3">
      <c r="A668" s="63"/>
      <c r="B668" s="64"/>
      <c r="C668" s="55"/>
      <c r="D668" s="64">
        <v>2020</v>
      </c>
      <c r="E668" s="65">
        <f>67793*1000000</f>
        <v>67793000000</v>
      </c>
      <c r="F668" s="65">
        <f>(67793+104645+117674+653128)*1000000</f>
        <v>943240000000</v>
      </c>
      <c r="G668" s="65">
        <f>2420320*1000000</f>
        <v>2420320000000</v>
      </c>
      <c r="H668" s="65">
        <f>526458*1000000</f>
        <v>526458000000</v>
      </c>
      <c r="I668" s="65">
        <f>1510673*1000000</f>
        <v>1510673000000</v>
      </c>
      <c r="J668" s="65">
        <f>104798*1000000</f>
        <v>104798000000</v>
      </c>
      <c r="K668" s="65">
        <f>899031*1000000</f>
        <v>899031000000</v>
      </c>
      <c r="L668" s="65">
        <f>480255*1000000</f>
        <v>480255000000</v>
      </c>
      <c r="M668" s="65">
        <f>-53341*1000000</f>
        <v>-53341000000</v>
      </c>
      <c r="N668" s="65">
        <f>-29151*1000000</f>
        <v>-29151000000</v>
      </c>
      <c r="O668" s="66">
        <v>0.97750000000000004</v>
      </c>
      <c r="P668" s="67" t="s">
        <v>197</v>
      </c>
      <c r="Q668" s="65">
        <v>3</v>
      </c>
      <c r="R668" s="65">
        <v>4</v>
      </c>
      <c r="S668" s="65">
        <v>4</v>
      </c>
      <c r="T668" s="65">
        <f t="shared" si="61"/>
        <v>8</v>
      </c>
      <c r="U668" s="68">
        <v>0</v>
      </c>
      <c r="V668" s="65">
        <v>0</v>
      </c>
      <c r="W668" s="65">
        <v>0</v>
      </c>
      <c r="X668" s="65">
        <v>0</v>
      </c>
      <c r="Y668" s="64"/>
    </row>
    <row r="669" spans="1:25" s="54" customFormat="1" ht="15" customHeight="1" x14ac:dyDescent="0.3">
      <c r="A669" s="63"/>
      <c r="B669" s="64"/>
      <c r="C669" s="55"/>
      <c r="D669" s="64">
        <v>2021</v>
      </c>
      <c r="E669" s="65">
        <f>51743*1000000</f>
        <v>51743000000</v>
      </c>
      <c r="F669" s="65">
        <f>(51743+85041+204858+578249)*1000000</f>
        <v>919891000000</v>
      </c>
      <c r="G669" s="65">
        <f>2187497*1000000</f>
        <v>2187497000000</v>
      </c>
      <c r="H669" s="65">
        <f>509008*1000000</f>
        <v>509008000000</v>
      </c>
      <c r="I669" s="65">
        <f>1318945*1000000</f>
        <v>1318945000000</v>
      </c>
      <c r="J669" s="65">
        <f>78472*1000000</f>
        <v>78472000000</v>
      </c>
      <c r="K669" s="65">
        <f>856410*1000000</f>
        <v>856410000000</v>
      </c>
      <c r="L669" s="65">
        <f>260859*1000000</f>
        <v>260859000000</v>
      </c>
      <c r="M669" s="65">
        <f>-25276*1000000</f>
        <v>-25276000000</v>
      </c>
      <c r="N669" s="65">
        <f>-42621*1000000</f>
        <v>-42621000000</v>
      </c>
      <c r="O669" s="66">
        <v>0.97750000000000004</v>
      </c>
      <c r="P669" s="67" t="s">
        <v>197</v>
      </c>
      <c r="Q669" s="65">
        <v>3</v>
      </c>
      <c r="R669" s="65">
        <v>5</v>
      </c>
      <c r="S669" s="65">
        <v>3</v>
      </c>
      <c r="T669" s="65">
        <f t="shared" si="61"/>
        <v>8</v>
      </c>
      <c r="U669" s="68">
        <v>0</v>
      </c>
      <c r="V669" s="65">
        <v>0</v>
      </c>
      <c r="W669" s="65">
        <v>0</v>
      </c>
      <c r="X669" s="65">
        <v>0</v>
      </c>
      <c r="Y669" s="64"/>
    </row>
    <row r="670" spans="1:25" s="54" customFormat="1" ht="15" customHeight="1" x14ac:dyDescent="0.3">
      <c r="A670" s="63"/>
      <c r="B670" s="64"/>
      <c r="C670" s="55"/>
      <c r="D670" s="64">
        <v>2022</v>
      </c>
      <c r="E670" s="65">
        <f>84045*1000000</f>
        <v>84045000000</v>
      </c>
      <c r="F670" s="65">
        <f>(84045+70094+136577+495715)*1000000</f>
        <v>786431000000</v>
      </c>
      <c r="G670" s="65">
        <f>2029348*1000000</f>
        <v>2029348000000</v>
      </c>
      <c r="H670" s="65">
        <f>442021*1000000</f>
        <v>442021000000</v>
      </c>
      <c r="I670" s="65">
        <f>1181869*1000000</f>
        <v>1181869000000</v>
      </c>
      <c r="J670" s="65">
        <f>84019*1000000</f>
        <v>84019000000</v>
      </c>
      <c r="K670" s="65">
        <f>834909*1000000</f>
        <v>834909000000</v>
      </c>
      <c r="L670" s="65">
        <f>248679*1000000</f>
        <v>248679000000</v>
      </c>
      <c r="M670" s="65">
        <f>4542*1000000</f>
        <v>4542000000</v>
      </c>
      <c r="N670" s="65">
        <f>-21501*1000000</f>
        <v>-21501000000</v>
      </c>
      <c r="O670" s="66">
        <v>0.97750000000000004</v>
      </c>
      <c r="P670" s="67" t="s">
        <v>197</v>
      </c>
      <c r="Q670" s="65">
        <v>2</v>
      </c>
      <c r="R670" s="65">
        <v>4</v>
      </c>
      <c r="S670" s="65">
        <v>4</v>
      </c>
      <c r="T670" s="65">
        <f t="shared" si="61"/>
        <v>8</v>
      </c>
      <c r="U670" s="68">
        <v>0</v>
      </c>
      <c r="V670" s="65">
        <v>0</v>
      </c>
      <c r="W670" s="65">
        <v>0</v>
      </c>
      <c r="X670" s="65">
        <v>0</v>
      </c>
      <c r="Y670" s="64"/>
    </row>
    <row r="671" spans="1:25" s="54" customFormat="1" ht="15" customHeight="1" x14ac:dyDescent="0.3">
      <c r="A671" s="63"/>
      <c r="B671" s="64"/>
      <c r="C671" s="55"/>
      <c r="D671" s="64">
        <v>2023</v>
      </c>
      <c r="E671" s="65">
        <f>60186*1000000</f>
        <v>60186000000</v>
      </c>
      <c r="F671" s="65">
        <f>(60186+137157+126772+442492)*1000000</f>
        <v>766607000000</v>
      </c>
      <c r="G671" s="65">
        <f>2056708*1000000</f>
        <v>2056708000000</v>
      </c>
      <c r="H671" s="65">
        <f>443480*1000000</f>
        <v>443480000000</v>
      </c>
      <c r="I671" s="65">
        <f>1189715*1000000</f>
        <v>1189715000000</v>
      </c>
      <c r="J671" s="65">
        <f>100802*1000000</f>
        <v>100802000000</v>
      </c>
      <c r="K671" s="65">
        <f>854359*1000000</f>
        <v>854359000000</v>
      </c>
      <c r="L671" s="65">
        <f>293316*1000000</f>
        <v>293316000000</v>
      </c>
      <c r="M671" s="65">
        <f>16566*1000000</f>
        <v>16566000000</v>
      </c>
      <c r="N671" s="65">
        <f>19450*1000000</f>
        <v>19450000000</v>
      </c>
      <c r="O671" s="66">
        <v>0.97750000000000004</v>
      </c>
      <c r="P671" s="67" t="s">
        <v>197</v>
      </c>
      <c r="Q671" s="65">
        <v>1</v>
      </c>
      <c r="R671" s="65">
        <v>3</v>
      </c>
      <c r="S671" s="65">
        <v>4</v>
      </c>
      <c r="T671" s="65">
        <f t="shared" si="61"/>
        <v>7</v>
      </c>
      <c r="U671" s="68">
        <v>0</v>
      </c>
      <c r="V671" s="65">
        <v>0</v>
      </c>
      <c r="W671" s="65">
        <v>0</v>
      </c>
      <c r="X671" s="65">
        <v>0</v>
      </c>
      <c r="Y671" s="64"/>
    </row>
    <row r="672" spans="1:25" s="54" customFormat="1" ht="15" customHeight="1" x14ac:dyDescent="0.3">
      <c r="A672" s="63"/>
      <c r="B672" s="64"/>
      <c r="C672" s="55"/>
      <c r="D672" s="64">
        <v>2024</v>
      </c>
      <c r="E672" s="65">
        <f>95105*1000000</f>
        <v>95105000000</v>
      </c>
      <c r="F672" s="65">
        <f>(95105+144153+76206+420439)*1000000</f>
        <v>735903000000</v>
      </c>
      <c r="G672" s="65">
        <f>1997940*1000000</f>
        <v>1997940000000</v>
      </c>
      <c r="H672" s="65">
        <f>353964*1000000</f>
        <v>353964000000</v>
      </c>
      <c r="I672" s="65">
        <f>1112875*1000000</f>
        <v>1112875000000</v>
      </c>
      <c r="J672" s="65">
        <f xml:space="preserve">                   112368*1000000</f>
        <v>112368000000</v>
      </c>
      <c r="K672" s="65">
        <f>872174*1000000</f>
        <v>872174000000</v>
      </c>
      <c r="L672" s="65">
        <f>302030*1000000</f>
        <v>302030000000</v>
      </c>
      <c r="M672" s="65">
        <f>27197*1000000</f>
        <v>27197000000</v>
      </c>
      <c r="N672" s="65">
        <f>23815*1000000</f>
        <v>23815000000</v>
      </c>
      <c r="O672" s="66">
        <v>0.97750000000000004</v>
      </c>
      <c r="P672" s="67" t="s">
        <v>197</v>
      </c>
      <c r="Q672" s="65">
        <v>2</v>
      </c>
      <c r="R672" s="65">
        <v>3</v>
      </c>
      <c r="S672" s="65">
        <v>4</v>
      </c>
      <c r="T672" s="65">
        <f t="shared" si="61"/>
        <v>7</v>
      </c>
      <c r="U672" s="68">
        <v>0</v>
      </c>
      <c r="V672" s="65">
        <v>0</v>
      </c>
      <c r="W672" s="65">
        <v>0</v>
      </c>
      <c r="X672" s="65">
        <v>0</v>
      </c>
      <c r="Y672" s="64"/>
    </row>
    <row r="673" spans="1:25" s="54" customFormat="1" ht="15" customHeight="1" x14ac:dyDescent="0.3">
      <c r="A673" s="63"/>
      <c r="B673" s="64">
        <v>62</v>
      </c>
      <c r="C673" s="55" t="s">
        <v>62</v>
      </c>
      <c r="D673" s="64">
        <v>2014</v>
      </c>
      <c r="E673" s="65">
        <v>0</v>
      </c>
      <c r="F673" s="65">
        <v>0</v>
      </c>
      <c r="G673" s="65">
        <v>0</v>
      </c>
      <c r="H673" s="65">
        <v>0</v>
      </c>
      <c r="I673" s="65">
        <v>0</v>
      </c>
      <c r="J673" s="65">
        <v>0</v>
      </c>
      <c r="K673" s="65">
        <v>0</v>
      </c>
      <c r="L673" s="65">
        <v>0</v>
      </c>
      <c r="M673" s="65">
        <v>0</v>
      </c>
      <c r="N673" s="65">
        <v>0</v>
      </c>
      <c r="O673" s="65">
        <v>0</v>
      </c>
      <c r="P673" s="65">
        <v>0</v>
      </c>
      <c r="Q673" s="65">
        <v>0</v>
      </c>
      <c r="R673" s="65">
        <v>0</v>
      </c>
      <c r="S673" s="65">
        <v>0</v>
      </c>
      <c r="T673" s="65">
        <v>0</v>
      </c>
      <c r="U673" s="65">
        <v>0</v>
      </c>
      <c r="V673" s="65">
        <v>0</v>
      </c>
      <c r="W673" s="65">
        <v>0</v>
      </c>
      <c r="X673" s="65">
        <v>0</v>
      </c>
      <c r="Y673" s="64"/>
    </row>
    <row r="674" spans="1:25" s="54" customFormat="1" ht="15" customHeight="1" x14ac:dyDescent="0.3">
      <c r="A674" s="63"/>
      <c r="B674" s="64"/>
      <c r="C674" s="55"/>
      <c r="D674" s="64">
        <v>2015</v>
      </c>
      <c r="E674" s="65">
        <v>0</v>
      </c>
      <c r="F674" s="65">
        <v>0</v>
      </c>
      <c r="G674" s="65">
        <v>0</v>
      </c>
      <c r="H674" s="65">
        <v>0</v>
      </c>
      <c r="I674" s="65">
        <v>0</v>
      </c>
      <c r="J674" s="65">
        <v>0</v>
      </c>
      <c r="K674" s="65">
        <v>0</v>
      </c>
      <c r="L674" s="65">
        <v>0</v>
      </c>
      <c r="M674" s="65">
        <v>0</v>
      </c>
      <c r="N674" s="65">
        <v>0</v>
      </c>
      <c r="O674" s="65">
        <v>0</v>
      </c>
      <c r="P674" s="65">
        <v>0</v>
      </c>
      <c r="Q674" s="65">
        <v>0</v>
      </c>
      <c r="R674" s="65">
        <v>0</v>
      </c>
      <c r="S674" s="65">
        <v>0</v>
      </c>
      <c r="T674" s="65">
        <v>0</v>
      </c>
      <c r="U674" s="65">
        <v>0</v>
      </c>
      <c r="V674" s="65">
        <v>0</v>
      </c>
      <c r="W674" s="65">
        <v>0</v>
      </c>
      <c r="X674" s="65">
        <v>0</v>
      </c>
      <c r="Y674" s="64"/>
    </row>
    <row r="675" spans="1:25" s="54" customFormat="1" ht="15" customHeight="1" x14ac:dyDescent="0.3">
      <c r="A675" s="63"/>
      <c r="B675" s="64"/>
      <c r="C675" s="55"/>
      <c r="D675" s="64">
        <v>2016</v>
      </c>
      <c r="E675" s="65">
        <v>0</v>
      </c>
      <c r="F675" s="65">
        <v>0</v>
      </c>
      <c r="G675" s="65">
        <v>0</v>
      </c>
      <c r="H675" s="65">
        <v>0</v>
      </c>
      <c r="I675" s="65">
        <v>0</v>
      </c>
      <c r="J675" s="65">
        <v>0</v>
      </c>
      <c r="K675" s="65">
        <v>0</v>
      </c>
      <c r="L675" s="65">
        <v>0</v>
      </c>
      <c r="M675" s="65">
        <v>0</v>
      </c>
      <c r="N675" s="65">
        <v>0</v>
      </c>
      <c r="O675" s="65">
        <v>0</v>
      </c>
      <c r="P675" s="65">
        <v>0</v>
      </c>
      <c r="Q675" s="65">
        <v>0</v>
      </c>
      <c r="R675" s="65">
        <v>0</v>
      </c>
      <c r="S675" s="65">
        <v>0</v>
      </c>
      <c r="T675" s="65">
        <v>0</v>
      </c>
      <c r="U675" s="65">
        <v>0</v>
      </c>
      <c r="V675" s="65">
        <v>0</v>
      </c>
      <c r="W675" s="65">
        <v>0</v>
      </c>
      <c r="X675" s="65">
        <v>0</v>
      </c>
      <c r="Y675" s="64"/>
    </row>
    <row r="676" spans="1:25" s="54" customFormat="1" ht="15" customHeight="1" x14ac:dyDescent="0.3">
      <c r="A676" s="63"/>
      <c r="B676" s="64"/>
      <c r="C676" s="55"/>
      <c r="D676" s="64">
        <v>2017</v>
      </c>
      <c r="E676" s="65">
        <v>0</v>
      </c>
      <c r="F676" s="65">
        <v>0</v>
      </c>
      <c r="G676" s="65">
        <v>0</v>
      </c>
      <c r="H676" s="65">
        <v>0</v>
      </c>
      <c r="I676" s="65">
        <v>0</v>
      </c>
      <c r="J676" s="65">
        <v>0</v>
      </c>
      <c r="K676" s="65">
        <v>0</v>
      </c>
      <c r="L676" s="65">
        <v>0</v>
      </c>
      <c r="M676" s="65">
        <v>0</v>
      </c>
      <c r="N676" s="65">
        <v>0</v>
      </c>
      <c r="O676" s="65">
        <v>0</v>
      </c>
      <c r="P676" s="65">
        <v>0</v>
      </c>
      <c r="Q676" s="65">
        <v>0</v>
      </c>
      <c r="R676" s="65">
        <v>0</v>
      </c>
      <c r="S676" s="65">
        <v>0</v>
      </c>
      <c r="T676" s="65">
        <v>0</v>
      </c>
      <c r="U676" s="65">
        <v>0</v>
      </c>
      <c r="V676" s="65">
        <v>0</v>
      </c>
      <c r="W676" s="65">
        <v>0</v>
      </c>
      <c r="X676" s="65">
        <v>0</v>
      </c>
      <c r="Y676" s="64"/>
    </row>
    <row r="677" spans="1:25" s="54" customFormat="1" ht="15" customHeight="1" x14ac:dyDescent="0.3">
      <c r="A677" s="63"/>
      <c r="B677" s="64"/>
      <c r="C677" s="55"/>
      <c r="D677" s="64">
        <v>2018</v>
      </c>
      <c r="E677" s="65">
        <f>7453.51*1000000</f>
        <v>7453510000</v>
      </c>
      <c r="F677" s="65">
        <f>(7453.51+28540.3+324.38+48036.22+11014.99+1608.22+1238.82)*1000000</f>
        <v>98216440000.000015</v>
      </c>
      <c r="G677" s="65">
        <f>341369.41*1000000</f>
        <v>341369410000</v>
      </c>
      <c r="H677" s="65">
        <f>106322.81*1000000</f>
        <v>106322810000</v>
      </c>
      <c r="I677" s="65">
        <f>187058.94*1000000</f>
        <v>187058940000</v>
      </c>
      <c r="J677" s="65">
        <f>94450.81*1000000</f>
        <v>94450810000</v>
      </c>
      <c r="K677" s="65">
        <f>154310.47*1000000</f>
        <v>154310470000</v>
      </c>
      <c r="L677" s="65">
        <f>63456.62*1000000</f>
        <v>63456620000</v>
      </c>
      <c r="M677" s="65">
        <f>10939.64*1000000</f>
        <v>10939640000</v>
      </c>
      <c r="N677" s="65">
        <f>5948.44*1000000</f>
        <v>5948440000</v>
      </c>
      <c r="O677" s="65">
        <v>0</v>
      </c>
      <c r="P677" s="65">
        <v>0</v>
      </c>
      <c r="Q677" s="65">
        <v>0</v>
      </c>
      <c r="R677" s="65">
        <v>0</v>
      </c>
      <c r="S677" s="65">
        <v>0</v>
      </c>
      <c r="T677" s="65">
        <v>0</v>
      </c>
      <c r="U677" s="65">
        <v>0</v>
      </c>
      <c r="V677" s="65">
        <v>0</v>
      </c>
      <c r="W677" s="65">
        <v>0</v>
      </c>
      <c r="X677" s="65">
        <v>0</v>
      </c>
      <c r="Y677" s="64"/>
    </row>
    <row r="678" spans="1:25" s="54" customFormat="1" ht="15" customHeight="1" x14ac:dyDescent="0.3">
      <c r="A678" s="63"/>
      <c r="B678" s="64"/>
      <c r="C678" s="55"/>
      <c r="D678" s="64">
        <v>2019</v>
      </c>
      <c r="E678" s="65">
        <f>12471.5*1000000</f>
        <v>12471500000</v>
      </c>
      <c r="F678" s="65">
        <f>(12471.5+32086.98+2026.63+54773.43+11873.86+5217.62+1294.54)*1000000</f>
        <v>119744559999.99998</v>
      </c>
      <c r="G678" s="65">
        <f>369621.33*1000000</f>
        <v>369621330000</v>
      </c>
      <c r="H678" s="65">
        <f>106487.04*1000000</f>
        <v>106487040000</v>
      </c>
      <c r="I678" s="65">
        <f>201400.59*1000000</f>
        <v>201400590000</v>
      </c>
      <c r="J678" s="65">
        <f>48665.45*1000000</f>
        <v>48665450000</v>
      </c>
      <c r="K678" s="65">
        <f>168220.73*1000000</f>
        <v>168220730000</v>
      </c>
      <c r="L678" s="65">
        <f>75559.86*1000000</f>
        <v>75559860000</v>
      </c>
      <c r="M678" s="65">
        <f>9483.31*1000000</f>
        <v>9483310000</v>
      </c>
      <c r="N678" s="65">
        <f>13910.27*1000000</f>
        <v>13910270000</v>
      </c>
      <c r="O678" s="66">
        <v>0.5</v>
      </c>
      <c r="P678" s="67" t="s">
        <v>252</v>
      </c>
      <c r="Q678" s="65">
        <v>2</v>
      </c>
      <c r="R678" s="65">
        <v>4</v>
      </c>
      <c r="S678" s="65">
        <v>4</v>
      </c>
      <c r="T678" s="65">
        <f t="shared" ref="T678:T683" si="62">SUM(R678:S678)</f>
        <v>8</v>
      </c>
      <c r="U678" s="68">
        <v>0</v>
      </c>
      <c r="V678" s="65">
        <v>0</v>
      </c>
      <c r="W678" s="65">
        <v>0</v>
      </c>
      <c r="X678" s="65">
        <v>0</v>
      </c>
      <c r="Y678" s="64"/>
    </row>
    <row r="679" spans="1:25" s="54" customFormat="1" ht="15" customHeight="1" x14ac:dyDescent="0.3">
      <c r="A679" s="63"/>
      <c r="B679" s="64"/>
      <c r="C679" s="55"/>
      <c r="D679" s="64">
        <v>2020</v>
      </c>
      <c r="E679" s="65">
        <f>11280.55*1000000</f>
        <v>11280550000</v>
      </c>
      <c r="F679" s="65">
        <f>(11280.55+44217.31+2184.35+59067.58+14880.96+12696.93+947.39)*1000000</f>
        <v>145275070000</v>
      </c>
      <c r="G679" s="65">
        <f>387906.76*1000000</f>
        <v>387906760000</v>
      </c>
      <c r="H679" s="65">
        <f>97254.11*1000000</f>
        <v>97254110000</v>
      </c>
      <c r="I679" s="65">
        <f>201597.76*1000000</f>
        <v>201597760000</v>
      </c>
      <c r="J679" s="65">
        <f>62178.22*1000000</f>
        <v>62178220000</v>
      </c>
      <c r="K679" s="65">
        <f>186309*1000000</f>
        <v>186309000000</v>
      </c>
      <c r="L679" s="65">
        <f>77902.5*1000000</f>
        <v>77902500000</v>
      </c>
      <c r="M679" s="65">
        <f>14630.01*1000000</f>
        <v>14630010000</v>
      </c>
      <c r="N679" s="65">
        <f>18088.27*1000000</f>
        <v>18088270000</v>
      </c>
      <c r="O679" s="66">
        <v>0.5</v>
      </c>
      <c r="P679" s="67" t="s">
        <v>252</v>
      </c>
      <c r="Q679" s="65">
        <v>2</v>
      </c>
      <c r="R679" s="65">
        <v>4</v>
      </c>
      <c r="S679" s="65">
        <v>3</v>
      </c>
      <c r="T679" s="65">
        <f t="shared" si="62"/>
        <v>7</v>
      </c>
      <c r="U679" s="68">
        <v>0</v>
      </c>
      <c r="V679" s="65">
        <v>0</v>
      </c>
      <c r="W679" s="65">
        <v>0</v>
      </c>
      <c r="X679" s="65">
        <v>0</v>
      </c>
      <c r="Y679" s="64"/>
    </row>
    <row r="680" spans="1:25" s="54" customFormat="1" ht="15" customHeight="1" x14ac:dyDescent="0.3">
      <c r="A680" s="63"/>
      <c r="B680" s="64"/>
      <c r="C680" s="55"/>
      <c r="D680" s="64">
        <v>2021</v>
      </c>
      <c r="E680" s="65">
        <f>29331.25*1000000</f>
        <v>29331250000</v>
      </c>
      <c r="F680" s="65">
        <f>(29331.25+47695.99+7036.62+133593.71+15320.13+19446.91+957.28)*1000000</f>
        <v>253381890000</v>
      </c>
      <c r="G680" s="65">
        <f>496279.22*1000000</f>
        <v>496279220000</v>
      </c>
      <c r="H680" s="65">
        <f>104758.65*1000000</f>
        <v>104758650000</v>
      </c>
      <c r="I680" s="65">
        <f>289225.3*1000000</f>
        <v>289225300000</v>
      </c>
      <c r="J680" s="65">
        <f>84650.92*1000000</f>
        <v>84650920000</v>
      </c>
      <c r="K680" s="65">
        <f>207053.92*1000000</f>
        <v>207053920000</v>
      </c>
      <c r="L680" s="65">
        <f>91812.52*1000000</f>
        <v>91812520000</v>
      </c>
      <c r="M680" s="65">
        <f>25340.49*1000000</f>
        <v>25340490000</v>
      </c>
      <c r="N680" s="65">
        <f>20744.92*1000000</f>
        <v>20744920000</v>
      </c>
      <c r="O680" s="66">
        <v>0.5</v>
      </c>
      <c r="P680" s="67" t="s">
        <v>252</v>
      </c>
      <c r="Q680" s="65">
        <v>2</v>
      </c>
      <c r="R680" s="65">
        <v>4</v>
      </c>
      <c r="S680" s="65">
        <v>3</v>
      </c>
      <c r="T680" s="65">
        <f t="shared" si="62"/>
        <v>7</v>
      </c>
      <c r="U680" s="68">
        <v>0</v>
      </c>
      <c r="V680" s="65">
        <v>0</v>
      </c>
      <c r="W680" s="65">
        <v>0</v>
      </c>
      <c r="X680" s="65">
        <v>0</v>
      </c>
      <c r="Y680" s="64"/>
    </row>
    <row r="681" spans="1:25" s="54" customFormat="1" ht="15" customHeight="1" x14ac:dyDescent="0.3">
      <c r="A681" s="63"/>
      <c r="B681" s="64"/>
      <c r="C681" s="55"/>
      <c r="D681" s="64">
        <v>2022</v>
      </c>
      <c r="E681" s="65">
        <f>32027.37*1000000</f>
        <v>32027370000</v>
      </c>
      <c r="F681" s="65">
        <f>(32027.37+69342.13+5383.59+112842.69+9048.71+21608.39+1269.67)*1000000</f>
        <v>251522550000.00003</v>
      </c>
      <c r="G681" s="65">
        <f>(516469.17)*1000000</f>
        <v>516469170000</v>
      </c>
      <c r="H681" s="65">
        <f>121282.13*1000000</f>
        <v>121282130000</v>
      </c>
      <c r="I681" s="65">
        <f>296077.3*1000000</f>
        <v>296077300000</v>
      </c>
      <c r="J681" s="65">
        <f>112826.96*1000000</f>
        <v>112826960000</v>
      </c>
      <c r="K681" s="65">
        <f>220391.87*1000000</f>
        <v>220391870000</v>
      </c>
      <c r="L681" s="65">
        <f>109315.67*1000000</f>
        <v>109315670000</v>
      </c>
      <c r="M681" s="65">
        <f>34793.84*1000000</f>
        <v>34793840000</v>
      </c>
      <c r="N681" s="65">
        <f>15585.22*1000000</f>
        <v>15585220000</v>
      </c>
      <c r="O681" s="66">
        <v>0.5</v>
      </c>
      <c r="P681" s="67" t="s">
        <v>252</v>
      </c>
      <c r="Q681" s="65">
        <v>2</v>
      </c>
      <c r="R681" s="65">
        <v>4</v>
      </c>
      <c r="S681" s="65">
        <v>3</v>
      </c>
      <c r="T681" s="65">
        <f t="shared" si="62"/>
        <v>7</v>
      </c>
      <c r="U681" s="68">
        <v>0</v>
      </c>
      <c r="V681" s="65">
        <v>0</v>
      </c>
      <c r="W681" s="65">
        <v>0</v>
      </c>
      <c r="X681" s="65">
        <v>0</v>
      </c>
      <c r="Y681" s="64"/>
    </row>
    <row r="682" spans="1:25" s="54" customFormat="1" ht="15" customHeight="1" x14ac:dyDescent="0.3">
      <c r="A682" s="63"/>
      <c r="B682" s="64"/>
      <c r="C682" s="55"/>
      <c r="D682" s="64">
        <v>2023</v>
      </c>
      <c r="E682" s="65">
        <f>22749.7*1000000</f>
        <v>22749700000</v>
      </c>
      <c r="F682" s="65">
        <f>(22749.7+103991.53+6218.85+107500.86+9142.04+57890.67+1622.02)*1000000</f>
        <v>309115670000.00006</v>
      </c>
      <c r="G682" s="65">
        <f>595658.54*1000000</f>
        <v>595658540000</v>
      </c>
      <c r="H682" s="65">
        <f>133271.3*1000000</f>
        <v>133271299999.99998</v>
      </c>
      <c r="I682" s="65">
        <f>352472.4*1000000</f>
        <v>352472400000</v>
      </c>
      <c r="J682" s="65">
        <f>136273.34*1000000</f>
        <v>136273340000</v>
      </c>
      <c r="K682" s="65">
        <f>243286.13*1000000</f>
        <v>243286130000</v>
      </c>
      <c r="L682" s="65">
        <f>140013.24*1000000</f>
        <v>140013240000</v>
      </c>
      <c r="M682" s="65">
        <f>31267.78*1000000</f>
        <v>31267780000</v>
      </c>
      <c r="N682" s="65">
        <f>25794.26*1000000</f>
        <v>25794260000</v>
      </c>
      <c r="O682" s="66">
        <v>0.5</v>
      </c>
      <c r="P682" s="67" t="s">
        <v>252</v>
      </c>
      <c r="Q682" s="65">
        <v>2</v>
      </c>
      <c r="R682" s="65">
        <v>4</v>
      </c>
      <c r="S682" s="65">
        <v>3</v>
      </c>
      <c r="T682" s="65">
        <f t="shared" si="62"/>
        <v>7</v>
      </c>
      <c r="U682" s="68">
        <v>0</v>
      </c>
      <c r="V682" s="65">
        <v>0</v>
      </c>
      <c r="W682" s="65">
        <v>0</v>
      </c>
      <c r="X682" s="65">
        <v>0</v>
      </c>
      <c r="Y682" s="64"/>
    </row>
    <row r="683" spans="1:25" s="54" customFormat="1" ht="15" customHeight="1" x14ac:dyDescent="0.3">
      <c r="A683" s="63"/>
      <c r="B683" s="64"/>
      <c r="C683" s="55"/>
      <c r="D683" s="64">
        <v>2024</v>
      </c>
      <c r="E683" s="65">
        <f>25784.86*1000000</f>
        <v>25784860000</v>
      </c>
      <c r="F683" s="65">
        <f>(25784.86+152493.6+10446.41+142632.04+5557.19+46083.75+2085.27)*1000000</f>
        <v>385083120000.00006</v>
      </c>
      <c r="G683" s="65">
        <f>697102.86*1000000</f>
        <v>697102860000</v>
      </c>
      <c r="H683" s="65">
        <f>164999.5*1000000</f>
        <v>164999500000</v>
      </c>
      <c r="I683" s="65">
        <f>440863.04*1000000</f>
        <v>440863040000</v>
      </c>
      <c r="J683" s="65">
        <f>156263.31*1000000</f>
        <v>156263310000</v>
      </c>
      <c r="K683" s="65">
        <f>256239.82*1000000</f>
        <v>256239820000</v>
      </c>
      <c r="L683" s="65">
        <f>166119.96*1000000</f>
        <v>166119960000</v>
      </c>
      <c r="M683" s="65">
        <f>22968.21*1000000</f>
        <v>22968210000</v>
      </c>
      <c r="N683" s="65">
        <f>13053.68*1000000</f>
        <v>13053680000</v>
      </c>
      <c r="O683" s="66">
        <v>0.5</v>
      </c>
      <c r="P683" s="67" t="s">
        <v>252</v>
      </c>
      <c r="Q683" s="65">
        <v>2</v>
      </c>
      <c r="R683" s="65">
        <v>4</v>
      </c>
      <c r="S683" s="65">
        <v>3</v>
      </c>
      <c r="T683" s="65">
        <f t="shared" si="62"/>
        <v>7</v>
      </c>
      <c r="U683" s="68">
        <v>0</v>
      </c>
      <c r="V683" s="65">
        <v>0</v>
      </c>
      <c r="W683" s="65">
        <v>0</v>
      </c>
      <c r="X683" s="65">
        <v>0</v>
      </c>
      <c r="Y683" s="64"/>
    </row>
    <row r="684" spans="1:25" s="54" customFormat="1" ht="15" customHeight="1" x14ac:dyDescent="0.3">
      <c r="A684" s="63"/>
      <c r="B684" s="64">
        <v>63</v>
      </c>
      <c r="C684" s="55" t="s">
        <v>60</v>
      </c>
      <c r="D684" s="64">
        <v>2014</v>
      </c>
      <c r="E684" s="65">
        <v>0</v>
      </c>
      <c r="F684" s="65">
        <v>0</v>
      </c>
      <c r="G684" s="65">
        <v>0</v>
      </c>
      <c r="H684" s="65">
        <v>0</v>
      </c>
      <c r="I684" s="65">
        <v>0</v>
      </c>
      <c r="J684" s="65">
        <v>0</v>
      </c>
      <c r="K684" s="65">
        <v>0</v>
      </c>
      <c r="L684" s="65">
        <v>10988151687</v>
      </c>
      <c r="M684" s="65">
        <v>0</v>
      </c>
      <c r="N684" s="65">
        <v>0</v>
      </c>
      <c r="O684" s="65">
        <v>0</v>
      </c>
      <c r="P684" s="65">
        <v>0</v>
      </c>
      <c r="Q684" s="65">
        <v>0</v>
      </c>
      <c r="R684" s="65">
        <v>0</v>
      </c>
      <c r="S684" s="65">
        <v>0</v>
      </c>
      <c r="T684" s="65">
        <v>0</v>
      </c>
      <c r="U684" s="65">
        <v>0</v>
      </c>
      <c r="V684" s="65">
        <v>0</v>
      </c>
      <c r="W684" s="65">
        <v>0</v>
      </c>
      <c r="X684" s="65">
        <v>0</v>
      </c>
      <c r="Y684" s="64"/>
    </row>
    <row r="685" spans="1:25" s="54" customFormat="1" ht="15" customHeight="1" x14ac:dyDescent="0.3">
      <c r="A685" s="63"/>
      <c r="B685" s="64"/>
      <c r="C685" s="55"/>
      <c r="D685" s="64">
        <v>2015</v>
      </c>
      <c r="E685" s="65">
        <f>79342741759</f>
        <v>79342741759</v>
      </c>
      <c r="F685" s="65">
        <f>E685+352829953758+297364359710+674282311343+102662347084</f>
        <v>1506481713654</v>
      </c>
      <c r="G685" s="65">
        <f>2091538245349</f>
        <v>2091538245349</v>
      </c>
      <c r="H685" s="65">
        <f>1500985683943-868060797-39553980218</f>
        <v>1460563642928</v>
      </c>
      <c r="I685" s="65">
        <f>1500985683943</f>
        <v>1500985683943</v>
      </c>
      <c r="J685" s="65">
        <f>7824863830+65215316565</f>
        <v>73040180395</v>
      </c>
      <c r="K685" s="65">
        <f>590552561406</f>
        <v>590552561406</v>
      </c>
      <c r="L685" s="65">
        <f>404504466904</f>
        <v>404504466904</v>
      </c>
      <c r="M685" s="65">
        <f>38562534548</f>
        <v>38562534548</v>
      </c>
      <c r="N685" s="65">
        <v>43205419672</v>
      </c>
      <c r="O685" s="66">
        <v>0.99990000000000001</v>
      </c>
      <c r="P685" s="67" t="s">
        <v>254</v>
      </c>
      <c r="Q685" s="65">
        <v>0</v>
      </c>
      <c r="R685" s="65">
        <v>4</v>
      </c>
      <c r="S685" s="65">
        <v>4</v>
      </c>
      <c r="T685" s="65">
        <f>SUM(R685:S685)</f>
        <v>8</v>
      </c>
      <c r="U685" s="68">
        <v>0</v>
      </c>
      <c r="V685" s="65">
        <f>4+(2*1)</f>
        <v>6</v>
      </c>
      <c r="W685" s="65">
        <f t="shared" ref="W685:W693" si="63">V685</f>
        <v>6</v>
      </c>
      <c r="X685" s="65">
        <f>4+(2*3)</f>
        <v>10</v>
      </c>
      <c r="Y685" s="64"/>
    </row>
    <row r="686" spans="1:25" s="54" customFormat="1" ht="15" customHeight="1" x14ac:dyDescent="0.3">
      <c r="A686" s="63"/>
      <c r="B686" s="64"/>
      <c r="C686" s="55"/>
      <c r="D686" s="64">
        <v>2016</v>
      </c>
      <c r="E686" s="65">
        <f>72557687985</f>
        <v>72557687985</v>
      </c>
      <c r="F686" s="65">
        <f>G686-29633368364-2901113153-2586066418-22455361966</f>
        <v>1789731053581</v>
      </c>
      <c r="G686" s="65">
        <f>1847306963482</f>
        <v>1847306963482</v>
      </c>
      <c r="H686" s="65">
        <f>I686-1077934573-45407259324</f>
        <v>1198742833687</v>
      </c>
      <c r="I686" s="65">
        <f>1245228027584</f>
        <v>1245228027584</v>
      </c>
      <c r="J686" s="65">
        <f>48870012516+36727450541</f>
        <v>85597463057</v>
      </c>
      <c r="K686" s="65">
        <f>602078935898</f>
        <v>602078935898</v>
      </c>
      <c r="L686" s="65">
        <f>235728975561</f>
        <v>235728975561</v>
      </c>
      <c r="M686" s="65">
        <f>10441495991</f>
        <v>10441495991</v>
      </c>
      <c r="N686" s="65">
        <v>14717553647</v>
      </c>
      <c r="O686" s="66">
        <v>0.99990000000000001</v>
      </c>
      <c r="P686" s="67" t="s">
        <v>254</v>
      </c>
      <c r="Q686" s="65">
        <v>1</v>
      </c>
      <c r="R686" s="65">
        <v>4</v>
      </c>
      <c r="S686" s="65">
        <v>4</v>
      </c>
      <c r="T686" s="65">
        <f t="shared" ref="T686:T693" si="64">SUM(R686:S686)</f>
        <v>8</v>
      </c>
      <c r="U686" s="68">
        <v>0</v>
      </c>
      <c r="V686" s="65">
        <f>4+(2*1)</f>
        <v>6</v>
      </c>
      <c r="W686" s="65">
        <f t="shared" si="63"/>
        <v>6</v>
      </c>
      <c r="X686" s="65">
        <f>4+(2*2)+(3*1)</f>
        <v>11</v>
      </c>
      <c r="Y686" s="64"/>
    </row>
    <row r="687" spans="1:25" s="54" customFormat="1" ht="15" customHeight="1" x14ac:dyDescent="0.3">
      <c r="A687" s="63"/>
      <c r="B687" s="64"/>
      <c r="C687" s="55"/>
      <c r="D687" s="64">
        <v>2017</v>
      </c>
      <c r="E687" s="65">
        <f>132438667412</f>
        <v>132438667412</v>
      </c>
      <c r="F687" s="65">
        <f>G687-47343412750-2205123569-21167517101</f>
        <v>1488053245940</v>
      </c>
      <c r="G687" s="65">
        <f>1558769299360</f>
        <v>1558769299360</v>
      </c>
      <c r="H687" s="65">
        <f>I687-2739908182-185000000000-47705121729</f>
        <v>888978343853</v>
      </c>
      <c r="I687" s="65">
        <f>1124423373764</f>
        <v>1124423373764</v>
      </c>
      <c r="J687" s="65">
        <f>63587566163-174779519067</f>
        <v>-111191952904</v>
      </c>
      <c r="K687" s="65">
        <f>434345925596</f>
        <v>434345925596</v>
      </c>
      <c r="L687" s="65">
        <v>238883039983</v>
      </c>
      <c r="M687" s="65">
        <f>-191357078452</f>
        <v>-191357078452</v>
      </c>
      <c r="N687" s="65">
        <f>-172575486513</f>
        <v>-172575486513</v>
      </c>
      <c r="O687" s="66">
        <v>0.99990000000000001</v>
      </c>
      <c r="P687" s="67" t="s">
        <v>254</v>
      </c>
      <c r="Q687" s="65">
        <v>1</v>
      </c>
      <c r="R687" s="65">
        <v>4</v>
      </c>
      <c r="S687" s="65">
        <v>4</v>
      </c>
      <c r="T687" s="65">
        <f t="shared" si="64"/>
        <v>8</v>
      </c>
      <c r="U687" s="68">
        <v>0</v>
      </c>
      <c r="V687" s="65">
        <f>4+(2*1)</f>
        <v>6</v>
      </c>
      <c r="W687" s="65">
        <f t="shared" si="63"/>
        <v>6</v>
      </c>
      <c r="X687" s="65">
        <f>4+(2*2)+(3*1)</f>
        <v>11</v>
      </c>
      <c r="Y687" s="64"/>
    </row>
    <row r="688" spans="1:25" s="54" customFormat="1" ht="15" customHeight="1" x14ac:dyDescent="0.3">
      <c r="A688" s="63"/>
      <c r="B688" s="64"/>
      <c r="C688" s="55"/>
      <c r="D688" s="64">
        <v>2018</v>
      </c>
      <c r="E688" s="65">
        <f>55636851068</f>
        <v>55636851068</v>
      </c>
      <c r="F688" s="65">
        <f>G688-47118118542-2204343580-17378632594</f>
        <v>1437313331247</v>
      </c>
      <c r="G688" s="65">
        <f>1504014425963</f>
        <v>1504014425963</v>
      </c>
      <c r="H688" s="65">
        <f>I688-4383453170-257000000000-39773939810</f>
        <v>763972708661</v>
      </c>
      <c r="I688" s="65">
        <f>1065130101641</f>
        <v>1065130101641</v>
      </c>
      <c r="J688" s="65">
        <f>63587566163-160135484509</f>
        <v>-96547918346</v>
      </c>
      <c r="K688" s="65">
        <f>438884324322</f>
        <v>438884324322</v>
      </c>
      <c r="L688" s="65">
        <f>171562632066</f>
        <v>171562632066</v>
      </c>
      <c r="M688" s="65">
        <f>163831180</f>
        <v>163831180</v>
      </c>
      <c r="N688" s="65">
        <v>3614820369</v>
      </c>
      <c r="O688" s="66">
        <v>0.99990000000000001</v>
      </c>
      <c r="P688" s="67" t="s">
        <v>254</v>
      </c>
      <c r="Q688" s="65">
        <v>1</v>
      </c>
      <c r="R688" s="65">
        <v>4</v>
      </c>
      <c r="S688" s="65">
        <v>3</v>
      </c>
      <c r="T688" s="65">
        <f t="shared" si="64"/>
        <v>7</v>
      </c>
      <c r="U688" s="68">
        <v>0</v>
      </c>
      <c r="V688" s="65">
        <f>4+(2*2)</f>
        <v>8</v>
      </c>
      <c r="W688" s="65">
        <f t="shared" si="63"/>
        <v>8</v>
      </c>
      <c r="X688" s="65">
        <f>3+(2*3)</f>
        <v>9</v>
      </c>
      <c r="Y688" s="64"/>
    </row>
    <row r="689" spans="1:25" s="54" customFormat="1" ht="15" customHeight="1" x14ac:dyDescent="0.3">
      <c r="A689" s="63"/>
      <c r="B689" s="64"/>
      <c r="C689" s="55"/>
      <c r="D689" s="64">
        <v>2019</v>
      </c>
      <c r="E689" s="65">
        <f>208408624619</f>
        <v>208408624619</v>
      </c>
      <c r="F689" s="65">
        <f>G689-43994704660-2204341984-15404081827</f>
        <v>1752720892150</v>
      </c>
      <c r="G689" s="65">
        <f>1814324020621</f>
        <v>1814324020621</v>
      </c>
      <c r="H689" s="65">
        <f>I689-7649249882-407000000000-22120682006</f>
        <v>928279045262</v>
      </c>
      <c r="I689" s="65">
        <f>1365048977150</f>
        <v>1365048977150</v>
      </c>
      <c r="J689" s="65">
        <f>63587566163-157713921866</f>
        <v>-94126355703</v>
      </c>
      <c r="K689" s="65">
        <f>449275043471</f>
        <v>449275043471</v>
      </c>
      <c r="L689" s="65">
        <v>181917321292</v>
      </c>
      <c r="M689" s="65">
        <f>11335441429</f>
        <v>11335441429</v>
      </c>
      <c r="N689" s="65">
        <f>6764502320</f>
        <v>6764502320</v>
      </c>
      <c r="O689" s="66">
        <v>0.99990000000000001</v>
      </c>
      <c r="P689" s="67" t="s">
        <v>254</v>
      </c>
      <c r="Q689" s="65">
        <v>0</v>
      </c>
      <c r="R689" s="65">
        <v>2</v>
      </c>
      <c r="S689" s="65">
        <v>2</v>
      </c>
      <c r="T689" s="65">
        <f t="shared" si="64"/>
        <v>4</v>
      </c>
      <c r="U689" s="68">
        <v>0</v>
      </c>
      <c r="V689" s="65">
        <f>2+(2*2)</f>
        <v>6</v>
      </c>
      <c r="W689" s="65">
        <f t="shared" si="63"/>
        <v>6</v>
      </c>
      <c r="X689" s="65">
        <f>2+(2*2)</f>
        <v>6</v>
      </c>
      <c r="Y689" s="64"/>
    </row>
    <row r="690" spans="1:25" s="54" customFormat="1" ht="15" customHeight="1" x14ac:dyDescent="0.3">
      <c r="A690" s="63"/>
      <c r="B690" s="64"/>
      <c r="C690" s="55"/>
      <c r="D690" s="64">
        <v>2020</v>
      </c>
      <c r="E690" s="65">
        <f>33781778493</f>
        <v>33781778493</v>
      </c>
      <c r="F690" s="65">
        <f>G690-41292985683-2287868569-13076338284</f>
        <v>1640322047066</v>
      </c>
      <c r="G690" s="65">
        <f>1696979239602</f>
        <v>1696979239602</v>
      </c>
      <c r="H690" s="65">
        <f>I690-1252891656-407000000000-21810533242</f>
        <v>808970689695</v>
      </c>
      <c r="I690" s="65">
        <f>1239034114593</f>
        <v>1239034114593</v>
      </c>
      <c r="J690" s="65">
        <f>63587566163-153823785621</f>
        <v>-90236219458</v>
      </c>
      <c r="K690" s="65">
        <f>457945125009</f>
        <v>457945125009</v>
      </c>
      <c r="L690" s="65">
        <f>127647349449</f>
        <v>127647349449</v>
      </c>
      <c r="M690" s="65">
        <f>3731813181</f>
        <v>3731813181</v>
      </c>
      <c r="N690" s="65">
        <f>2101704759</f>
        <v>2101704759</v>
      </c>
      <c r="O690" s="66">
        <v>0.99990000000000001</v>
      </c>
      <c r="P690" s="67" t="s">
        <v>254</v>
      </c>
      <c r="Q690" s="65">
        <v>1</v>
      </c>
      <c r="R690" s="65">
        <v>3</v>
      </c>
      <c r="S690" s="65">
        <v>3</v>
      </c>
      <c r="T690" s="65">
        <f t="shared" si="64"/>
        <v>6</v>
      </c>
      <c r="U690" s="68">
        <v>0</v>
      </c>
      <c r="V690" s="65">
        <f>3+(2*3)</f>
        <v>9</v>
      </c>
      <c r="W690" s="65">
        <f t="shared" si="63"/>
        <v>9</v>
      </c>
      <c r="X690" s="65">
        <f>3+(2*2)</f>
        <v>7</v>
      </c>
      <c r="Y690" s="64"/>
    </row>
    <row r="691" spans="1:25" s="54" customFormat="1" ht="15" customHeight="1" x14ac:dyDescent="0.3">
      <c r="A691" s="63"/>
      <c r="B691" s="64"/>
      <c r="C691" s="55"/>
      <c r="D691" s="64">
        <v>2021</v>
      </c>
      <c r="E691" s="65">
        <f>100004824768</f>
        <v>100004824768</v>
      </c>
      <c r="F691" s="65">
        <f>G691-45542886313-2835987675-13688433893</f>
        <v>1633942575063</v>
      </c>
      <c r="G691" s="65">
        <f>1696009882944</f>
        <v>1696009882944</v>
      </c>
      <c r="H691" s="65">
        <f>I691-1784069737-407000000000-24154752710</f>
        <v>786685333487</v>
      </c>
      <c r="I691" s="65">
        <f>1219624155934</f>
        <v>1219624155934</v>
      </c>
      <c r="J691" s="65">
        <f>63587566163-138579743038</f>
        <v>-74992176875</v>
      </c>
      <c r="K691" s="65">
        <f>476385727010</f>
        <v>476385727010</v>
      </c>
      <c r="L691" s="65">
        <f>174162389426</f>
        <v>174162389426</v>
      </c>
      <c r="M691" s="65">
        <f>13086248637</f>
        <v>13086248637</v>
      </c>
      <c r="N691" s="65">
        <f>16779893824</f>
        <v>16779893824</v>
      </c>
      <c r="O691" s="66">
        <v>0.99990000000000001</v>
      </c>
      <c r="P691" s="67" t="s">
        <v>254</v>
      </c>
      <c r="Q691" s="65">
        <v>1</v>
      </c>
      <c r="R691" s="65">
        <v>3</v>
      </c>
      <c r="S691" s="65">
        <v>4</v>
      </c>
      <c r="T691" s="65">
        <f t="shared" si="64"/>
        <v>7</v>
      </c>
      <c r="U691" s="68">
        <v>0</v>
      </c>
      <c r="V691" s="65">
        <f>3+(2*3)</f>
        <v>9</v>
      </c>
      <c r="W691" s="65">
        <f t="shared" si="63"/>
        <v>9</v>
      </c>
      <c r="X691" s="65">
        <f>4+(2*3)</f>
        <v>10</v>
      </c>
      <c r="Y691" s="64"/>
    </row>
    <row r="692" spans="1:25" s="54" customFormat="1" ht="15" customHeight="1" x14ac:dyDescent="0.3">
      <c r="A692" s="63"/>
      <c r="B692" s="64"/>
      <c r="C692" s="55"/>
      <c r="D692" s="64">
        <v>2022</v>
      </c>
      <c r="E692" s="65">
        <v>36610363739</v>
      </c>
      <c r="F692" s="65">
        <f>G692-52250123057-14670478557</f>
        <v>1740014557272</v>
      </c>
      <c r="G692" s="65">
        <f>1806935158886</f>
        <v>1806935158886</v>
      </c>
      <c r="H692" s="65">
        <f>I692-2942725558-407000000000-16360959811</f>
        <v>888717028449</v>
      </c>
      <c r="I692" s="65">
        <f>1315020713818</f>
        <v>1315020713818</v>
      </c>
      <c r="J692" s="65">
        <f>63587566163-121519610878</f>
        <v>-57932044715</v>
      </c>
      <c r="K692" s="65">
        <f>491914445068</f>
        <v>491914445068</v>
      </c>
      <c r="L692" s="65">
        <f>170519596149</f>
        <v>170519596149</v>
      </c>
      <c r="M692" s="65">
        <f>5395376717</f>
        <v>5395376717</v>
      </c>
      <c r="N692" s="65">
        <f>13583332925</f>
        <v>13583332925</v>
      </c>
      <c r="O692" s="66">
        <v>0.99990000000000001</v>
      </c>
      <c r="P692" s="67" t="s">
        <v>254</v>
      </c>
      <c r="Q692" s="65">
        <v>1</v>
      </c>
      <c r="R692" s="65">
        <v>3</v>
      </c>
      <c r="S692" s="65">
        <v>4</v>
      </c>
      <c r="T692" s="65">
        <f t="shared" si="64"/>
        <v>7</v>
      </c>
      <c r="U692" s="68">
        <v>0</v>
      </c>
      <c r="V692" s="65">
        <f>3+(2*2)</f>
        <v>7</v>
      </c>
      <c r="W692" s="65">
        <f t="shared" si="63"/>
        <v>7</v>
      </c>
      <c r="X692" s="65">
        <f>4+(2*4)</f>
        <v>12</v>
      </c>
      <c r="Y692" s="64"/>
    </row>
    <row r="693" spans="1:25" s="54" customFormat="1" ht="15" customHeight="1" x14ac:dyDescent="0.3">
      <c r="A693" s="63"/>
      <c r="B693" s="64"/>
      <c r="C693" s="55"/>
      <c r="D693" s="64">
        <v>2023</v>
      </c>
      <c r="E693" s="65">
        <f>46775430043</f>
        <v>46775430043</v>
      </c>
      <c r="F693" s="65">
        <f>G693-58178167901-6902014191</f>
        <v>2169656448484</v>
      </c>
      <c r="G693" s="65">
        <f>2234736630576</f>
        <v>2234736630576</v>
      </c>
      <c r="H693" s="65">
        <f>I693-8592447590-407000000000-16672243950</f>
        <v>1335805044604</v>
      </c>
      <c r="I693" s="65">
        <f>1768069736144</f>
        <v>1768069736144</v>
      </c>
      <c r="J693" s="65">
        <f>63587566163-150609042967</f>
        <v>-87021476804</v>
      </c>
      <c r="K693" s="65">
        <f>466666894432</f>
        <v>466666894432</v>
      </c>
      <c r="L693" s="65">
        <f>125200905143</f>
        <v>125200905143</v>
      </c>
      <c r="M693" s="65">
        <f>1634343512</f>
        <v>1634343512</v>
      </c>
      <c r="N693" s="65">
        <f>7640395584</f>
        <v>7640395584</v>
      </c>
      <c r="O693" s="66">
        <v>0.99990000000000001</v>
      </c>
      <c r="P693" s="67" t="s">
        <v>254</v>
      </c>
      <c r="Q693" s="65">
        <v>1</v>
      </c>
      <c r="R693" s="65">
        <v>3</v>
      </c>
      <c r="S693" s="65">
        <v>3</v>
      </c>
      <c r="T693" s="65">
        <f t="shared" si="64"/>
        <v>6</v>
      </c>
      <c r="U693" s="68">
        <v>0</v>
      </c>
      <c r="V693" s="65">
        <f>3+(2*2)</f>
        <v>7</v>
      </c>
      <c r="W693" s="65">
        <f t="shared" si="63"/>
        <v>7</v>
      </c>
      <c r="X693" s="65">
        <f>3+(2*3)</f>
        <v>9</v>
      </c>
      <c r="Y693" s="64"/>
    </row>
    <row r="694" spans="1:25" s="54" customFormat="1" ht="15" customHeight="1" x14ac:dyDescent="0.3">
      <c r="A694" s="63"/>
      <c r="B694" s="64"/>
      <c r="C694" s="55"/>
      <c r="D694" s="64">
        <v>2024</v>
      </c>
      <c r="E694" s="65">
        <f>21769*1000000</f>
        <v>21769000000</v>
      </c>
      <c r="F694" s="65">
        <f>(2539539-100686-3799-6576)*1000000</f>
        <v>2428478000000</v>
      </c>
      <c r="G694" s="65">
        <f>2539539*1000000</f>
        <v>2539539000000</v>
      </c>
      <c r="H694" s="65">
        <f>149500*1000000</f>
        <v>149500000000</v>
      </c>
      <c r="I694" s="65">
        <f>1766098*1000000</f>
        <v>1766098000000</v>
      </c>
      <c r="J694" s="65">
        <f>-90332*1000000</f>
        <v>-90332000000</v>
      </c>
      <c r="K694" s="65">
        <f>366442*1000000</f>
        <v>366442000000</v>
      </c>
      <c r="L694" s="65">
        <f>95407*1000000</f>
        <v>95407000000</v>
      </c>
      <c r="M694" s="65">
        <f>-82503*1000000</f>
        <v>-82503000000</v>
      </c>
      <c r="N694" s="65">
        <f>-90332*1000000</f>
        <v>-90332000000</v>
      </c>
      <c r="O694" s="66">
        <v>0.99990000000000001</v>
      </c>
      <c r="P694" s="67" t="s">
        <v>254</v>
      </c>
      <c r="Q694" s="65">
        <v>1</v>
      </c>
      <c r="R694" s="65">
        <v>3</v>
      </c>
      <c r="S694" s="65">
        <v>3</v>
      </c>
      <c r="T694" s="65">
        <f>SUM(R694:S694)</f>
        <v>6</v>
      </c>
      <c r="U694" s="68">
        <v>0</v>
      </c>
      <c r="V694" s="65">
        <f>3+(2*2)</f>
        <v>7</v>
      </c>
      <c r="W694" s="65">
        <f>V694</f>
        <v>7</v>
      </c>
      <c r="X694" s="65">
        <f>3+(2*3)</f>
        <v>9</v>
      </c>
      <c r="Y694" s="64"/>
    </row>
    <row r="695" spans="1:25" s="54" customFormat="1" ht="15" customHeight="1" x14ac:dyDescent="0.3">
      <c r="A695" s="63"/>
      <c r="B695" s="64">
        <v>64</v>
      </c>
      <c r="C695" s="76" t="s">
        <v>131</v>
      </c>
      <c r="D695" s="64">
        <v>2014</v>
      </c>
      <c r="E695" s="65">
        <v>0</v>
      </c>
      <c r="F695" s="65">
        <v>0</v>
      </c>
      <c r="G695" s="65">
        <v>0</v>
      </c>
      <c r="H695" s="65">
        <v>0</v>
      </c>
      <c r="I695" s="65">
        <v>0</v>
      </c>
      <c r="J695" s="65">
        <v>0</v>
      </c>
      <c r="K695" s="65">
        <v>0</v>
      </c>
      <c r="L695" s="65">
        <v>0</v>
      </c>
      <c r="M695" s="65">
        <v>0</v>
      </c>
      <c r="N695" s="65">
        <v>0</v>
      </c>
      <c r="O695" s="65">
        <v>0</v>
      </c>
      <c r="P695" s="65">
        <v>0</v>
      </c>
      <c r="Q695" s="65">
        <v>0</v>
      </c>
      <c r="R695" s="65">
        <v>0</v>
      </c>
      <c r="S695" s="65">
        <v>0</v>
      </c>
      <c r="T695" s="65">
        <v>0</v>
      </c>
      <c r="U695" s="65">
        <v>0</v>
      </c>
      <c r="V695" s="65">
        <v>0</v>
      </c>
      <c r="W695" s="65">
        <v>0</v>
      </c>
      <c r="X695" s="65">
        <v>0</v>
      </c>
      <c r="Y695" s="64"/>
    </row>
    <row r="696" spans="1:25" s="54" customFormat="1" ht="15" customHeight="1" x14ac:dyDescent="0.3">
      <c r="A696" s="63"/>
      <c r="B696" s="64"/>
      <c r="C696" s="76"/>
      <c r="D696" s="64">
        <v>2015</v>
      </c>
      <c r="E696" s="65">
        <v>0</v>
      </c>
      <c r="F696" s="65">
        <v>0</v>
      </c>
      <c r="G696" s="65">
        <v>0</v>
      </c>
      <c r="H696" s="65">
        <v>0</v>
      </c>
      <c r="I696" s="65">
        <v>0</v>
      </c>
      <c r="J696" s="65">
        <v>0</v>
      </c>
      <c r="K696" s="65">
        <v>0</v>
      </c>
      <c r="L696" s="65">
        <v>0</v>
      </c>
      <c r="M696" s="65">
        <v>0</v>
      </c>
      <c r="N696" s="65">
        <v>0</v>
      </c>
      <c r="O696" s="65">
        <v>0</v>
      </c>
      <c r="P696" s="65">
        <v>0</v>
      </c>
      <c r="Q696" s="65">
        <v>0</v>
      </c>
      <c r="R696" s="65">
        <v>0</v>
      </c>
      <c r="S696" s="65">
        <v>0</v>
      </c>
      <c r="T696" s="65">
        <v>0</v>
      </c>
      <c r="U696" s="65">
        <v>0</v>
      </c>
      <c r="V696" s="65">
        <v>0</v>
      </c>
      <c r="W696" s="65">
        <v>0</v>
      </c>
      <c r="X696" s="65">
        <v>0</v>
      </c>
      <c r="Y696" s="64"/>
    </row>
    <row r="697" spans="1:25" s="54" customFormat="1" ht="15" customHeight="1" x14ac:dyDescent="0.3">
      <c r="A697" s="63"/>
      <c r="B697" s="64"/>
      <c r="C697" s="76"/>
      <c r="D697" s="64">
        <v>2016</v>
      </c>
      <c r="E697" s="65">
        <v>0</v>
      </c>
      <c r="F697" s="65">
        <v>0</v>
      </c>
      <c r="G697" s="65">
        <v>0</v>
      </c>
      <c r="H697" s="65">
        <v>0</v>
      </c>
      <c r="I697" s="65">
        <v>0</v>
      </c>
      <c r="J697" s="65">
        <v>0</v>
      </c>
      <c r="K697" s="65">
        <v>0</v>
      </c>
      <c r="L697" s="65">
        <v>0</v>
      </c>
      <c r="M697" s="65">
        <v>0</v>
      </c>
      <c r="N697" s="65">
        <v>0</v>
      </c>
      <c r="O697" s="65">
        <v>0</v>
      </c>
      <c r="P697" s="65">
        <v>0</v>
      </c>
      <c r="Q697" s="65">
        <v>0</v>
      </c>
      <c r="R697" s="65">
        <v>0</v>
      </c>
      <c r="S697" s="65">
        <v>0</v>
      </c>
      <c r="T697" s="65">
        <v>0</v>
      </c>
      <c r="U697" s="65">
        <v>0</v>
      </c>
      <c r="V697" s="65">
        <v>0</v>
      </c>
      <c r="W697" s="65">
        <v>0</v>
      </c>
      <c r="X697" s="65">
        <v>0</v>
      </c>
      <c r="Y697" s="64"/>
    </row>
    <row r="698" spans="1:25" s="54" customFormat="1" ht="15" customHeight="1" x14ac:dyDescent="0.3">
      <c r="A698" s="63"/>
      <c r="B698" s="64"/>
      <c r="C698" s="76"/>
      <c r="D698" s="64">
        <v>2017</v>
      </c>
      <c r="E698" s="65">
        <f>16001*1000000</f>
        <v>16001000000</v>
      </c>
      <c r="F698" s="65">
        <f>(16001+2508)*1000000</f>
        <v>18509000000</v>
      </c>
      <c r="G698" s="65">
        <f>111934*1000000</f>
        <v>111934000000</v>
      </c>
      <c r="H698" s="65">
        <f>(55+0.22)*1000000</f>
        <v>55220000</v>
      </c>
      <c r="I698" s="65">
        <f>11439*1000000</f>
        <v>11439000000</v>
      </c>
      <c r="J698" s="65">
        <f>57*1000000</f>
        <v>57000000</v>
      </c>
      <c r="K698" s="65">
        <f>100495*1000000</f>
        <v>100495000000</v>
      </c>
      <c r="L698" s="65">
        <f>410*1000000</f>
        <v>410000000</v>
      </c>
      <c r="M698" s="65">
        <f>8*1000000</f>
        <v>8000000</v>
      </c>
      <c r="N698" s="65">
        <f>57*1000000</f>
        <v>57000000</v>
      </c>
      <c r="O698" s="66">
        <v>0.99</v>
      </c>
      <c r="P698" s="65" t="s">
        <v>67</v>
      </c>
      <c r="Q698" s="65">
        <v>2</v>
      </c>
      <c r="R698" s="65">
        <v>3</v>
      </c>
      <c r="S698" s="65">
        <v>3</v>
      </c>
      <c r="T698" s="65">
        <f>SUM(R698:S698)</f>
        <v>6</v>
      </c>
      <c r="U698" s="68">
        <v>0</v>
      </c>
      <c r="V698" s="65">
        <v>0</v>
      </c>
      <c r="W698" s="65">
        <v>0</v>
      </c>
      <c r="X698" s="65">
        <v>0</v>
      </c>
      <c r="Y698" s="64"/>
    </row>
    <row r="699" spans="1:25" s="54" customFormat="1" ht="15" customHeight="1" x14ac:dyDescent="0.3">
      <c r="A699" s="63"/>
      <c r="B699" s="64"/>
      <c r="C699" s="76"/>
      <c r="D699" s="64">
        <v>2018</v>
      </c>
      <c r="E699" s="65">
        <f>43309*1000000</f>
        <v>43309000000</v>
      </c>
      <c r="F699" s="65">
        <f>(43309+60959+20807+5756)*1000000</f>
        <v>130831000000</v>
      </c>
      <c r="G699" s="65">
        <f>532259*1000000</f>
        <v>532259000000</v>
      </c>
      <c r="H699" s="65">
        <f>(6795+1205+3193+18075)*1000000</f>
        <v>29268000000</v>
      </c>
      <c r="I699" s="65">
        <f>246438*1000000</f>
        <v>246438000000</v>
      </c>
      <c r="J699" s="65">
        <f>28675*1000000</f>
        <v>28675000000</v>
      </c>
      <c r="K699" s="65">
        <f>214517*1000000</f>
        <v>214517000000</v>
      </c>
      <c r="L699" s="65">
        <f>218342*1000000</f>
        <v>218342000000</v>
      </c>
      <c r="M699" s="65">
        <f>34560*1000000</f>
        <v>34560000000</v>
      </c>
      <c r="N699" s="65">
        <f>28617*1000000</f>
        <v>28617000000</v>
      </c>
      <c r="O699" s="66">
        <v>0.99470000000000003</v>
      </c>
      <c r="P699" s="65" t="s">
        <v>67</v>
      </c>
      <c r="Q699" s="65">
        <v>2</v>
      </c>
      <c r="R699" s="65">
        <v>3</v>
      </c>
      <c r="S699" s="65">
        <v>3</v>
      </c>
      <c r="T699" s="65">
        <f t="shared" ref="T699:T705" si="65">SUM(R699:S699)</f>
        <v>6</v>
      </c>
      <c r="U699" s="68">
        <v>0</v>
      </c>
      <c r="V699" s="65">
        <v>0</v>
      </c>
      <c r="W699" s="65">
        <v>0</v>
      </c>
      <c r="X699" s="65">
        <v>0</v>
      </c>
      <c r="Y699" s="64"/>
    </row>
    <row r="700" spans="1:25" s="54" customFormat="1" ht="15" customHeight="1" x14ac:dyDescent="0.3">
      <c r="A700" s="63"/>
      <c r="B700" s="64"/>
      <c r="C700" s="76"/>
      <c r="D700" s="64">
        <v>2019</v>
      </c>
      <c r="E700" s="65">
        <f>58364*1000000</f>
        <v>58364000000</v>
      </c>
      <c r="F700" s="65">
        <f>(58364+53183+24824+20045)*1000000</f>
        <v>156416000000</v>
      </c>
      <c r="G700" s="65">
        <f>597964*1000000</f>
        <v>597964000000</v>
      </c>
      <c r="H700" s="65">
        <f>(10434+998+1377+16789)*1000000</f>
        <v>29598000000</v>
      </c>
      <c r="I700" s="65">
        <f>288105*1000000</f>
        <v>288105000000</v>
      </c>
      <c r="J700" s="65">
        <f>36894*1000000</f>
        <v>36894000000</v>
      </c>
      <c r="K700" s="65">
        <f>224771*1000000</f>
        <v>224771000000</v>
      </c>
      <c r="L700" s="65">
        <f>215412*1000000</f>
        <v>215412000000</v>
      </c>
      <c r="M700" s="65">
        <f>22494*1000000</f>
        <v>22494000000</v>
      </c>
      <c r="N700" s="65">
        <f>19664*1000000</f>
        <v>19664000000</v>
      </c>
      <c r="O700" s="66">
        <v>0.99470000000000003</v>
      </c>
      <c r="P700" s="65" t="s">
        <v>67</v>
      </c>
      <c r="Q700" s="65">
        <v>2</v>
      </c>
      <c r="R700" s="65">
        <v>3</v>
      </c>
      <c r="S700" s="65">
        <v>3</v>
      </c>
      <c r="T700" s="65">
        <f t="shared" si="65"/>
        <v>6</v>
      </c>
      <c r="U700" s="68">
        <v>0</v>
      </c>
      <c r="V700" s="65">
        <v>0</v>
      </c>
      <c r="W700" s="65">
        <v>0</v>
      </c>
      <c r="X700" s="65">
        <v>0</v>
      </c>
      <c r="Y700" s="64"/>
    </row>
    <row r="701" spans="1:25" s="54" customFormat="1" ht="15" customHeight="1" x14ac:dyDescent="0.3">
      <c r="A701" s="63"/>
      <c r="B701" s="64"/>
      <c r="C701" s="76"/>
      <c r="D701" s="64">
        <v>2020</v>
      </c>
      <c r="E701" s="65">
        <f>61394*1000000</f>
        <v>61394000000</v>
      </c>
      <c r="F701" s="65">
        <f>(61394+69407+19364+37211)*1000000</f>
        <v>187376000000</v>
      </c>
      <c r="G701" s="65">
        <f>730449*1000000</f>
        <v>730449000000</v>
      </c>
      <c r="H701" s="65">
        <f>(5931+2641+2227+24753)*1000000</f>
        <v>35552000000</v>
      </c>
      <c r="I701" s="65">
        <f>369381*1000000</f>
        <v>369381000000</v>
      </c>
      <c r="J701" s="65">
        <f>50144*1000000</f>
        <v>50144000000</v>
      </c>
      <c r="K701" s="65">
        <f>240113*1000000</f>
        <v>240113000000</v>
      </c>
      <c r="L701" s="65">
        <f>248528*1000000</f>
        <v>248528000000</v>
      </c>
      <c r="M701" s="65">
        <f>29139*1000000</f>
        <v>29139000000</v>
      </c>
      <c r="N701" s="65">
        <f>25992*1000000</f>
        <v>25992000000</v>
      </c>
      <c r="O701" s="66">
        <v>0.99470000000000003</v>
      </c>
      <c r="P701" s="65" t="s">
        <v>67</v>
      </c>
      <c r="Q701" s="65">
        <v>2</v>
      </c>
      <c r="R701" s="65">
        <v>4</v>
      </c>
      <c r="S701" s="65">
        <v>3</v>
      </c>
      <c r="T701" s="65">
        <f t="shared" si="65"/>
        <v>7</v>
      </c>
      <c r="U701" s="68">
        <v>0</v>
      </c>
      <c r="V701" s="65">
        <v>0</v>
      </c>
      <c r="W701" s="65">
        <v>0</v>
      </c>
      <c r="X701" s="65">
        <v>0</v>
      </c>
      <c r="Y701" s="64"/>
    </row>
    <row r="702" spans="1:25" s="54" customFormat="1" ht="15" customHeight="1" x14ac:dyDescent="0.3">
      <c r="A702" s="63"/>
      <c r="B702" s="64"/>
      <c r="C702" s="76"/>
      <c r="D702" s="64">
        <v>2021</v>
      </c>
      <c r="E702" s="65">
        <f>88675*1000000</f>
        <v>88675000000</v>
      </c>
      <c r="F702" s="65">
        <f>(88675+69911+19498+48758)*1000000</f>
        <v>226842000000</v>
      </c>
      <c r="G702" s="65">
        <f>882584*1000000</f>
        <v>882584000000</v>
      </c>
      <c r="H702" s="65">
        <f>(3616+3488+2999+29004)*1000000</f>
        <v>39107000000</v>
      </c>
      <c r="I702" s="65">
        <f>492812*1000000</f>
        <v>492812000000</v>
      </c>
      <c r="J702" s="65">
        <f>69761*1000000</f>
        <v>69761000000</v>
      </c>
      <c r="K702" s="65">
        <f>259262*1000000</f>
        <v>259262000000</v>
      </c>
      <c r="L702" s="65">
        <f>359483*1000000</f>
        <v>359483000000</v>
      </c>
      <c r="M702" s="65">
        <f>41731*1000000</f>
        <v>41731000000</v>
      </c>
      <c r="N702" s="65">
        <f>35445*1000000</f>
        <v>35445000000</v>
      </c>
      <c r="O702" s="66">
        <v>0.99470000000000003</v>
      </c>
      <c r="P702" s="65" t="s">
        <v>67</v>
      </c>
      <c r="Q702" s="65">
        <v>2</v>
      </c>
      <c r="R702" s="65">
        <v>4</v>
      </c>
      <c r="S702" s="65">
        <v>3</v>
      </c>
      <c r="T702" s="65">
        <f t="shared" si="65"/>
        <v>7</v>
      </c>
      <c r="U702" s="68">
        <v>0</v>
      </c>
      <c r="V702" s="65">
        <v>0</v>
      </c>
      <c r="W702" s="65">
        <v>0</v>
      </c>
      <c r="X702" s="65">
        <v>0</v>
      </c>
      <c r="Y702" s="64"/>
    </row>
    <row r="703" spans="1:25" s="54" customFormat="1" ht="15" customHeight="1" x14ac:dyDescent="0.3">
      <c r="A703" s="63"/>
      <c r="B703" s="64"/>
      <c r="C703" s="76"/>
      <c r="D703" s="64">
        <v>2022</v>
      </c>
      <c r="E703" s="65">
        <f>94129*1000000</f>
        <v>94129000000</v>
      </c>
      <c r="F703" s="65">
        <f>(94129+30685+14074+65442)*1000000</f>
        <v>204330000000</v>
      </c>
      <c r="G703" s="65">
        <f>1025085*1000000</f>
        <v>1025085000000</v>
      </c>
      <c r="H703" s="65">
        <f>(7267+4548+4525+86139)*1000000</f>
        <v>102479000000</v>
      </c>
      <c r="I703" s="65">
        <f>583035*1000000</f>
        <v>583035000000</v>
      </c>
      <c r="J703" s="69">
        <f>95204*1000000</f>
        <v>95204000000</v>
      </c>
      <c r="K703" s="65">
        <f>297572*1000000</f>
        <v>297572000000</v>
      </c>
      <c r="L703" s="65">
        <f>435833*1000000</f>
        <v>435833000000</v>
      </c>
      <c r="M703" s="65">
        <f>60741*1000000</f>
        <v>60741000000</v>
      </c>
      <c r="N703" s="65">
        <f>50293*1000000</f>
        <v>50293000000</v>
      </c>
      <c r="O703" s="66">
        <v>0.94499999999999995</v>
      </c>
      <c r="P703" s="65" t="s">
        <v>67</v>
      </c>
      <c r="Q703" s="65">
        <v>2</v>
      </c>
      <c r="R703" s="65">
        <v>4</v>
      </c>
      <c r="S703" s="65">
        <v>3</v>
      </c>
      <c r="T703" s="65">
        <f t="shared" si="65"/>
        <v>7</v>
      </c>
      <c r="U703" s="68">
        <v>0</v>
      </c>
      <c r="V703" s="65">
        <v>0</v>
      </c>
      <c r="W703" s="65">
        <v>0</v>
      </c>
      <c r="X703" s="65">
        <v>0</v>
      </c>
      <c r="Y703" s="64"/>
    </row>
    <row r="704" spans="1:25" s="54" customFormat="1" ht="15" customHeight="1" x14ac:dyDescent="0.3">
      <c r="A704" s="63"/>
      <c r="B704" s="64"/>
      <c r="C704" s="76"/>
      <c r="D704" s="64">
        <v>2023</v>
      </c>
      <c r="E704" s="65">
        <f>132591*1000000</f>
        <v>132591000000</v>
      </c>
      <c r="F704" s="65">
        <f>(132591+28698+17662+20734)*1000000</f>
        <v>199685000000</v>
      </c>
      <c r="G704" s="65">
        <f>1368246*1000000</f>
        <v>1368246000000</v>
      </c>
      <c r="H704" s="65">
        <f>(6451+2841+4819+88359)*1000000</f>
        <v>102470000000</v>
      </c>
      <c r="I704" s="65">
        <f>820409*1000000</f>
        <v>820409000000</v>
      </c>
      <c r="J704" s="65">
        <f>134353*1000000</f>
        <v>134353000000</v>
      </c>
      <c r="K704" s="65">
        <f>337181*1000000</f>
        <v>337181000000</v>
      </c>
      <c r="L704" s="65">
        <f>495125*1000000</f>
        <v>495125000000</v>
      </c>
      <c r="M704" s="65">
        <f>83170*1000000</f>
        <v>83170000000</v>
      </c>
      <c r="N704" s="65">
        <f>70305*1000000</f>
        <v>70305000000</v>
      </c>
      <c r="O704" s="66">
        <v>0.94499999999999995</v>
      </c>
      <c r="P704" s="65" t="s">
        <v>67</v>
      </c>
      <c r="Q704" s="65">
        <v>2</v>
      </c>
      <c r="R704" s="65">
        <v>3</v>
      </c>
      <c r="S704" s="65">
        <v>3</v>
      </c>
      <c r="T704" s="65">
        <f t="shared" si="65"/>
        <v>6</v>
      </c>
      <c r="U704" s="68">
        <v>0</v>
      </c>
      <c r="V704" s="65">
        <v>0</v>
      </c>
      <c r="W704" s="65">
        <v>0</v>
      </c>
      <c r="X704" s="65">
        <v>0</v>
      </c>
      <c r="Y704" s="64"/>
    </row>
    <row r="705" spans="1:25" s="54" customFormat="1" ht="15" customHeight="1" x14ac:dyDescent="0.3">
      <c r="A705" s="63"/>
      <c r="B705" s="64"/>
      <c r="C705" s="76"/>
      <c r="D705" s="64">
        <v>2024</v>
      </c>
      <c r="E705" s="65">
        <f>83273*1000000</f>
        <v>83273000000</v>
      </c>
      <c r="F705" s="65">
        <f>(83273+29634+4200+2186)*1000000</f>
        <v>119293000000</v>
      </c>
      <c r="G705" s="65">
        <f>1631846*1000000</f>
        <v>1631846000000</v>
      </c>
      <c r="H705" s="65">
        <f>(3892+4590+8232+78181)*1000000</f>
        <v>94895000000</v>
      </c>
      <c r="I705" s="65">
        <f>1542453*1000000</f>
        <v>1542453000000</v>
      </c>
      <c r="J705" s="65">
        <f>136200*1000000</f>
        <v>136200000000</v>
      </c>
      <c r="K705" s="65">
        <f>337333*1000000</f>
        <v>337333000000</v>
      </c>
      <c r="L705" s="65">
        <f>489801*1000000</f>
        <v>489801000000</v>
      </c>
      <c r="M705" s="69">
        <f>100463*1000000</f>
        <v>100463000000</v>
      </c>
      <c r="N705" s="65">
        <f>88194*1000000</f>
        <v>88194000000</v>
      </c>
      <c r="O705" s="66">
        <v>0.94499999999999995</v>
      </c>
      <c r="P705" s="65" t="s">
        <v>67</v>
      </c>
      <c r="Q705" s="65">
        <v>2</v>
      </c>
      <c r="R705" s="65">
        <v>3</v>
      </c>
      <c r="S705" s="65">
        <v>3</v>
      </c>
      <c r="T705" s="65">
        <f t="shared" si="65"/>
        <v>6</v>
      </c>
      <c r="U705" s="68">
        <v>0</v>
      </c>
      <c r="V705" s="65">
        <v>0</v>
      </c>
      <c r="W705" s="65">
        <v>0</v>
      </c>
      <c r="X705" s="65">
        <v>0</v>
      </c>
      <c r="Y705" s="64"/>
    </row>
    <row r="706" spans="1:25" s="54" customFormat="1" ht="15" customHeight="1" x14ac:dyDescent="0.3">
      <c r="A706" s="63"/>
      <c r="B706" s="64">
        <v>65</v>
      </c>
      <c r="C706" s="55" t="s">
        <v>64</v>
      </c>
      <c r="D706" s="64">
        <v>2014</v>
      </c>
      <c r="E706" s="65">
        <v>0</v>
      </c>
      <c r="F706" s="65">
        <v>0</v>
      </c>
      <c r="G706" s="65">
        <v>0</v>
      </c>
      <c r="H706" s="65">
        <v>0</v>
      </c>
      <c r="I706" s="65">
        <v>0</v>
      </c>
      <c r="J706" s="65">
        <v>0</v>
      </c>
      <c r="K706" s="65">
        <v>0</v>
      </c>
      <c r="L706" s="65">
        <v>0</v>
      </c>
      <c r="M706" s="65">
        <v>0</v>
      </c>
      <c r="N706" s="65">
        <v>0</v>
      </c>
      <c r="O706" s="65">
        <v>0</v>
      </c>
      <c r="P706" s="65">
        <v>0</v>
      </c>
      <c r="Q706" s="65">
        <v>0</v>
      </c>
      <c r="R706" s="65">
        <v>0</v>
      </c>
      <c r="S706" s="65">
        <v>0</v>
      </c>
      <c r="T706" s="65">
        <v>0</v>
      </c>
      <c r="U706" s="65">
        <v>0</v>
      </c>
      <c r="V706" s="65">
        <v>0</v>
      </c>
      <c r="W706" s="65">
        <v>0</v>
      </c>
      <c r="X706" s="65">
        <v>0</v>
      </c>
      <c r="Y706" s="64"/>
    </row>
    <row r="707" spans="1:25" s="54" customFormat="1" ht="15" customHeight="1" x14ac:dyDescent="0.3">
      <c r="A707" s="63"/>
      <c r="B707" s="64"/>
      <c r="C707" s="55"/>
      <c r="D707" s="64">
        <v>2015</v>
      </c>
      <c r="E707" s="65">
        <v>0</v>
      </c>
      <c r="F707" s="65">
        <v>0</v>
      </c>
      <c r="G707" s="65">
        <v>0</v>
      </c>
      <c r="H707" s="65">
        <v>0</v>
      </c>
      <c r="I707" s="65">
        <v>0</v>
      </c>
      <c r="J707" s="65">
        <v>0</v>
      </c>
      <c r="K707" s="65">
        <v>0</v>
      </c>
      <c r="L707" s="65">
        <v>0</v>
      </c>
      <c r="M707" s="65">
        <v>0</v>
      </c>
      <c r="N707" s="65">
        <v>0</v>
      </c>
      <c r="O707" s="65">
        <v>0</v>
      </c>
      <c r="P707" s="65">
        <v>0</v>
      </c>
      <c r="Q707" s="65">
        <v>0</v>
      </c>
      <c r="R707" s="65">
        <v>0</v>
      </c>
      <c r="S707" s="65">
        <v>0</v>
      </c>
      <c r="T707" s="65">
        <v>0</v>
      </c>
      <c r="U707" s="65">
        <v>0</v>
      </c>
      <c r="V707" s="65">
        <v>0</v>
      </c>
      <c r="W707" s="65">
        <v>0</v>
      </c>
      <c r="X707" s="65">
        <v>0</v>
      </c>
      <c r="Y707" s="64"/>
    </row>
    <row r="708" spans="1:25" s="54" customFormat="1" ht="15" customHeight="1" x14ac:dyDescent="0.3">
      <c r="A708" s="63"/>
      <c r="B708" s="64"/>
      <c r="C708" s="55"/>
      <c r="D708" s="64">
        <v>2016</v>
      </c>
      <c r="E708" s="65">
        <v>0</v>
      </c>
      <c r="F708" s="65">
        <v>0</v>
      </c>
      <c r="G708" s="65">
        <v>0</v>
      </c>
      <c r="H708" s="65">
        <v>0</v>
      </c>
      <c r="I708" s="65">
        <v>0</v>
      </c>
      <c r="J708" s="65">
        <v>0</v>
      </c>
      <c r="K708" s="65">
        <v>0</v>
      </c>
      <c r="L708" s="65">
        <v>0</v>
      </c>
      <c r="M708" s="65">
        <v>0</v>
      </c>
      <c r="N708" s="65">
        <v>0</v>
      </c>
      <c r="O708" s="65">
        <v>0</v>
      </c>
      <c r="P708" s="65">
        <v>0</v>
      </c>
      <c r="Q708" s="65">
        <v>0</v>
      </c>
      <c r="R708" s="65">
        <v>0</v>
      </c>
      <c r="S708" s="65">
        <v>0</v>
      </c>
      <c r="T708" s="65">
        <v>0</v>
      </c>
      <c r="U708" s="65">
        <v>0</v>
      </c>
      <c r="V708" s="65">
        <v>0</v>
      </c>
      <c r="W708" s="65">
        <v>0</v>
      </c>
      <c r="X708" s="65">
        <v>0</v>
      </c>
      <c r="Y708" s="64"/>
    </row>
    <row r="709" spans="1:25" s="54" customFormat="1" ht="15" customHeight="1" x14ac:dyDescent="0.3">
      <c r="A709" s="63"/>
      <c r="B709" s="64"/>
      <c r="C709" s="55"/>
      <c r="D709" s="64">
        <v>2017</v>
      </c>
      <c r="E709" s="65">
        <v>0</v>
      </c>
      <c r="F709" s="65">
        <v>0</v>
      </c>
      <c r="G709" s="65">
        <v>0</v>
      </c>
      <c r="H709" s="65">
        <v>0</v>
      </c>
      <c r="I709" s="65">
        <v>0</v>
      </c>
      <c r="J709" s="65">
        <v>0</v>
      </c>
      <c r="K709" s="65">
        <v>0</v>
      </c>
      <c r="L709" s="65">
        <v>0</v>
      </c>
      <c r="M709" s="65">
        <v>0</v>
      </c>
      <c r="N709" s="65">
        <v>0</v>
      </c>
      <c r="O709" s="65">
        <v>0</v>
      </c>
      <c r="P709" s="65">
        <v>0</v>
      </c>
      <c r="Q709" s="65">
        <v>0</v>
      </c>
      <c r="R709" s="65">
        <v>0</v>
      </c>
      <c r="S709" s="65">
        <v>0</v>
      </c>
      <c r="T709" s="65">
        <v>0</v>
      </c>
      <c r="U709" s="65">
        <v>0</v>
      </c>
      <c r="V709" s="65">
        <v>0</v>
      </c>
      <c r="W709" s="65">
        <v>0</v>
      </c>
      <c r="X709" s="65">
        <v>0</v>
      </c>
      <c r="Y709" s="64"/>
    </row>
    <row r="710" spans="1:25" s="54" customFormat="1" ht="15" customHeight="1" x14ac:dyDescent="0.3">
      <c r="A710" s="63"/>
      <c r="B710" s="64"/>
      <c r="C710" s="55"/>
      <c r="D710" s="64">
        <v>2018</v>
      </c>
      <c r="E710" s="65">
        <v>0</v>
      </c>
      <c r="F710" s="65">
        <v>0</v>
      </c>
      <c r="G710" s="65">
        <v>0</v>
      </c>
      <c r="H710" s="65">
        <v>0</v>
      </c>
      <c r="I710" s="65">
        <v>0</v>
      </c>
      <c r="J710" s="65">
        <v>0</v>
      </c>
      <c r="K710" s="65">
        <v>0</v>
      </c>
      <c r="L710" s="65">
        <v>0</v>
      </c>
      <c r="M710" s="65">
        <v>0</v>
      </c>
      <c r="N710" s="65">
        <v>0</v>
      </c>
      <c r="O710" s="65">
        <v>0</v>
      </c>
      <c r="P710" s="65">
        <v>0</v>
      </c>
      <c r="Q710" s="65">
        <v>0</v>
      </c>
      <c r="R710" s="65">
        <v>0</v>
      </c>
      <c r="S710" s="65">
        <v>0</v>
      </c>
      <c r="T710" s="65">
        <v>0</v>
      </c>
      <c r="U710" s="65">
        <v>0</v>
      </c>
      <c r="V710" s="65">
        <v>0</v>
      </c>
      <c r="W710" s="65">
        <v>0</v>
      </c>
      <c r="X710" s="65">
        <v>0</v>
      </c>
      <c r="Y710" s="64"/>
    </row>
    <row r="711" spans="1:25" s="54" customFormat="1" ht="15" customHeight="1" x14ac:dyDescent="0.3">
      <c r="A711" s="63"/>
      <c r="B711" s="64"/>
      <c r="C711" s="55"/>
      <c r="D711" s="64">
        <v>2019</v>
      </c>
      <c r="E711" s="65">
        <v>0</v>
      </c>
      <c r="F711" s="65">
        <v>0</v>
      </c>
      <c r="G711" s="65">
        <v>0</v>
      </c>
      <c r="H711" s="65">
        <v>0</v>
      </c>
      <c r="I711" s="65">
        <v>0</v>
      </c>
      <c r="J711" s="65">
        <v>0</v>
      </c>
      <c r="K711" s="65">
        <v>0</v>
      </c>
      <c r="L711" s="65">
        <v>0</v>
      </c>
      <c r="M711" s="65">
        <v>0</v>
      </c>
      <c r="N711" s="65">
        <v>0</v>
      </c>
      <c r="O711" s="65">
        <v>0</v>
      </c>
      <c r="P711" s="65">
        <v>0</v>
      </c>
      <c r="Q711" s="65">
        <v>0</v>
      </c>
      <c r="R711" s="65">
        <v>0</v>
      </c>
      <c r="S711" s="65">
        <v>0</v>
      </c>
      <c r="T711" s="65">
        <v>0</v>
      </c>
      <c r="U711" s="65">
        <v>0</v>
      </c>
      <c r="V711" s="65">
        <v>0</v>
      </c>
      <c r="W711" s="65">
        <v>0</v>
      </c>
      <c r="X711" s="65">
        <v>0</v>
      </c>
      <c r="Y711" s="64"/>
    </row>
    <row r="712" spans="1:25" s="54" customFormat="1" ht="15" customHeight="1" x14ac:dyDescent="0.3">
      <c r="A712" s="63"/>
      <c r="B712" s="64"/>
      <c r="C712" s="55"/>
      <c r="D712" s="64">
        <v>2020</v>
      </c>
      <c r="E712" s="65">
        <v>0</v>
      </c>
      <c r="F712" s="65">
        <v>0</v>
      </c>
      <c r="G712" s="65">
        <v>0</v>
      </c>
      <c r="H712" s="65">
        <v>0</v>
      </c>
      <c r="I712" s="65">
        <v>0</v>
      </c>
      <c r="J712" s="65">
        <v>0</v>
      </c>
      <c r="K712" s="65">
        <v>0</v>
      </c>
      <c r="L712" s="65">
        <v>0</v>
      </c>
      <c r="M712" s="65">
        <v>0</v>
      </c>
      <c r="N712" s="65">
        <v>0</v>
      </c>
      <c r="O712" s="65">
        <v>0</v>
      </c>
      <c r="P712" s="65">
        <v>0</v>
      </c>
      <c r="Q712" s="65">
        <v>0</v>
      </c>
      <c r="R712" s="65">
        <v>0</v>
      </c>
      <c r="S712" s="65">
        <v>0</v>
      </c>
      <c r="T712" s="65">
        <v>0</v>
      </c>
      <c r="U712" s="65">
        <v>0</v>
      </c>
      <c r="V712" s="65">
        <v>0</v>
      </c>
      <c r="W712" s="65">
        <v>0</v>
      </c>
      <c r="X712" s="65">
        <v>0</v>
      </c>
      <c r="Y712" s="64"/>
    </row>
    <row r="713" spans="1:25" s="54" customFormat="1" ht="15" customHeight="1" x14ac:dyDescent="0.3">
      <c r="A713" s="63"/>
      <c r="B713" s="64"/>
      <c r="C713" s="55"/>
      <c r="D713" s="64">
        <v>2021</v>
      </c>
      <c r="E713" s="65">
        <v>0</v>
      </c>
      <c r="F713" s="65">
        <v>0</v>
      </c>
      <c r="G713" s="65">
        <v>0</v>
      </c>
      <c r="H713" s="65">
        <v>0</v>
      </c>
      <c r="I713" s="65">
        <v>0</v>
      </c>
      <c r="J713" s="65">
        <v>0</v>
      </c>
      <c r="K713" s="65">
        <v>0</v>
      </c>
      <c r="L713" s="65">
        <v>0</v>
      </c>
      <c r="M713" s="65">
        <v>0</v>
      </c>
      <c r="N713" s="65">
        <v>0</v>
      </c>
      <c r="O713" s="65">
        <v>0</v>
      </c>
      <c r="P713" s="65">
        <v>0</v>
      </c>
      <c r="Q713" s="65">
        <v>0</v>
      </c>
      <c r="R713" s="65">
        <v>0</v>
      </c>
      <c r="S713" s="65">
        <v>0</v>
      </c>
      <c r="T713" s="65">
        <v>0</v>
      </c>
      <c r="U713" s="65">
        <v>0</v>
      </c>
      <c r="V713" s="65">
        <v>0</v>
      </c>
      <c r="W713" s="65">
        <v>0</v>
      </c>
      <c r="X713" s="65">
        <v>0</v>
      </c>
      <c r="Y713" s="64"/>
    </row>
    <row r="714" spans="1:25" s="54" customFormat="1" ht="15" customHeight="1" x14ac:dyDescent="0.3">
      <c r="A714" s="63"/>
      <c r="B714" s="64"/>
      <c r="C714" s="55"/>
      <c r="D714" s="64">
        <v>2022</v>
      </c>
      <c r="E714" s="65">
        <f>91623245*1000</f>
        <v>91623245000</v>
      </c>
      <c r="F714" s="65">
        <f>(91623245+449072235+695247230+49795512+61644953+12755963476+5105984)*1000</f>
        <v>14108452635000</v>
      </c>
      <c r="G714" s="65">
        <f>16603575802*1000</f>
        <v>16603575802000</v>
      </c>
      <c r="H714" s="65">
        <f>(52104119+549972252+67981372+474032214+504692342+131398794)*1000</f>
        <v>1780181093000</v>
      </c>
      <c r="I714" s="65">
        <f>9433322174*1000</f>
        <v>9433322174000</v>
      </c>
      <c r="J714" s="69">
        <f>(30000000+6887794329)*1000</f>
        <v>6917794329000</v>
      </c>
      <c r="K714" s="65">
        <f>7171253628*1000</f>
        <v>7171253628000</v>
      </c>
      <c r="L714" s="65">
        <f>4270835457*1000</f>
        <v>4270835457000</v>
      </c>
      <c r="M714" s="65">
        <f>1365772405*1000</f>
        <v>1365772405000</v>
      </c>
      <c r="N714" s="65">
        <f>887676316*1000</f>
        <v>887676316000</v>
      </c>
      <c r="O714" s="65">
        <v>0</v>
      </c>
      <c r="P714" s="65">
        <v>0</v>
      </c>
      <c r="Q714" s="65">
        <v>0</v>
      </c>
      <c r="R714" s="65">
        <v>0</v>
      </c>
      <c r="S714" s="65">
        <v>0</v>
      </c>
      <c r="T714" s="65">
        <v>0</v>
      </c>
      <c r="U714" s="65">
        <v>0</v>
      </c>
      <c r="V714" s="65">
        <v>0</v>
      </c>
      <c r="W714" s="65">
        <v>0</v>
      </c>
      <c r="X714" s="65">
        <v>0</v>
      </c>
      <c r="Y714" s="64"/>
    </row>
    <row r="715" spans="1:25" s="54" customFormat="1" ht="15" customHeight="1" x14ac:dyDescent="0.3">
      <c r="A715" s="63"/>
      <c r="B715" s="64"/>
      <c r="C715" s="55"/>
      <c r="D715" s="64">
        <v>2023</v>
      </c>
      <c r="E715" s="65">
        <f>92463705*1000</f>
        <v>92463705000</v>
      </c>
      <c r="F715" s="65">
        <f>(92463+443151168+732789977+87128024+65210446+14158647413+5105984)*1000</f>
        <v>15492125475000</v>
      </c>
      <c r="G715" s="65">
        <f>18377880959*1000</f>
        <v>18377880959000</v>
      </c>
      <c r="H715" s="65">
        <f>(80353059+519957155+63671675+459271661+357239053+128792931)*1000</f>
        <v>1609285534000</v>
      </c>
      <c r="I715" s="65">
        <f>10626007747*1000</f>
        <v>10626007747000</v>
      </c>
      <c r="J715" s="65">
        <f>(30000000+7644887524)*1000</f>
        <v>7674887524000</v>
      </c>
      <c r="K715" s="65">
        <f>7751873212*1000</f>
        <v>7751873212000</v>
      </c>
      <c r="L715" s="65">
        <f>5053588674*1000</f>
        <v>5053588674000</v>
      </c>
      <c r="M715" s="65">
        <f>1564878157*1000</f>
        <v>1564878157000</v>
      </c>
      <c r="N715" s="65">
        <f>1224519584*1000</f>
        <v>1224519584000</v>
      </c>
      <c r="O715" s="66">
        <v>0.95699999999999996</v>
      </c>
      <c r="P715" s="67" t="s">
        <v>255</v>
      </c>
      <c r="Q715" s="65">
        <v>2</v>
      </c>
      <c r="R715" s="65">
        <v>4</v>
      </c>
      <c r="S715" s="65">
        <v>7</v>
      </c>
      <c r="T715" s="65">
        <f>SUM(R715:S715)</f>
        <v>11</v>
      </c>
      <c r="U715" s="68">
        <v>0</v>
      </c>
      <c r="V715" s="65">
        <v>0</v>
      </c>
      <c r="W715" s="65">
        <v>0</v>
      </c>
      <c r="X715" s="65">
        <v>0</v>
      </c>
      <c r="Y715" s="64"/>
    </row>
    <row r="716" spans="1:25" s="54" customFormat="1" ht="15" customHeight="1" x14ac:dyDescent="0.3">
      <c r="A716" s="63"/>
      <c r="B716" s="64"/>
      <c r="C716" s="55"/>
      <c r="D716" s="64">
        <v>2024</v>
      </c>
      <c r="E716" s="65">
        <f>77518221*1000</f>
        <v>77518221000</v>
      </c>
      <c r="F716" s="65">
        <f>(77518221+385934560+998386580+331061041+80045299+15271997804+510594)*1000</f>
        <v>17145454099000</v>
      </c>
      <c r="G716" s="65">
        <f>20178714079*1000</f>
        <v>20178714079000</v>
      </c>
      <c r="H716" s="65">
        <f>(277375362+670171439+70416768+342777395+272318843+188056937)*1000</f>
        <v>1821116744000</v>
      </c>
      <c r="I716" s="65">
        <f>11819625314*1000</f>
        <v>11819625314000</v>
      </c>
      <c r="J716" s="65">
        <f>(30000000+8438576589)*1000</f>
        <v>8468576589000</v>
      </c>
      <c r="K716" s="65">
        <f>8359088765*1000</f>
        <v>8359088765000</v>
      </c>
      <c r="L716" s="65">
        <f>6029133282*1000</f>
        <v>6029133282000</v>
      </c>
      <c r="M716" s="69">
        <f>1703138046*1000</f>
        <v>1703138046000</v>
      </c>
      <c r="N716" s="65">
        <f>1329615553*1000</f>
        <v>1329615553000</v>
      </c>
      <c r="O716" s="66">
        <v>0.95699999999999996</v>
      </c>
      <c r="P716" s="67" t="s">
        <v>255</v>
      </c>
      <c r="Q716" s="65">
        <v>2</v>
      </c>
      <c r="R716" s="65">
        <v>4</v>
      </c>
      <c r="S716" s="65">
        <v>6</v>
      </c>
      <c r="T716" s="65">
        <f>SUM(R716:S716)</f>
        <v>10</v>
      </c>
      <c r="U716" s="68">
        <v>0</v>
      </c>
      <c r="V716" s="65">
        <v>0</v>
      </c>
      <c r="W716" s="65">
        <v>0</v>
      </c>
      <c r="X716" s="65">
        <v>0</v>
      </c>
      <c r="Y716" s="64"/>
    </row>
    <row r="717" spans="1:25" s="54" customFormat="1" ht="15" customHeight="1" x14ac:dyDescent="0.3">
      <c r="A717" s="63"/>
      <c r="B717" s="64">
        <v>66</v>
      </c>
      <c r="C717" s="55" t="s">
        <v>67</v>
      </c>
      <c r="D717" s="64">
        <v>2014</v>
      </c>
      <c r="E717" s="65">
        <v>0</v>
      </c>
      <c r="F717" s="65">
        <v>0</v>
      </c>
      <c r="G717" s="65">
        <v>0</v>
      </c>
      <c r="H717" s="65">
        <v>0</v>
      </c>
      <c r="I717" s="65">
        <v>0</v>
      </c>
      <c r="J717" s="65">
        <v>0</v>
      </c>
      <c r="K717" s="65">
        <v>0</v>
      </c>
      <c r="L717" s="65">
        <v>0</v>
      </c>
      <c r="M717" s="65">
        <v>0</v>
      </c>
      <c r="N717" s="65">
        <v>0</v>
      </c>
      <c r="O717" s="65">
        <v>0</v>
      </c>
      <c r="P717" s="65">
        <v>0</v>
      </c>
      <c r="Q717" s="65">
        <v>0</v>
      </c>
      <c r="R717" s="65">
        <v>0</v>
      </c>
      <c r="S717" s="65">
        <v>0</v>
      </c>
      <c r="T717" s="65">
        <v>0</v>
      </c>
      <c r="U717" s="65">
        <v>0</v>
      </c>
      <c r="V717" s="65">
        <v>0</v>
      </c>
      <c r="W717" s="65">
        <v>0</v>
      </c>
      <c r="X717" s="65">
        <v>0</v>
      </c>
      <c r="Y717" s="64"/>
    </row>
    <row r="718" spans="1:25" s="54" customFormat="1" ht="15" customHeight="1" x14ac:dyDescent="0.3">
      <c r="A718" s="63"/>
      <c r="B718" s="64"/>
      <c r="C718" s="55"/>
      <c r="D718" s="64">
        <v>2015</v>
      </c>
      <c r="E718" s="65">
        <f>94934436742</f>
        <v>94934436742</v>
      </c>
      <c r="F718" s="65">
        <f>(94934+116125+104906+190472+3184)*1000000</f>
        <v>509621000000</v>
      </c>
      <c r="G718" s="65">
        <f>2075168653798</f>
        <v>2075168653798</v>
      </c>
      <c r="H718" s="65">
        <f>315034*1000000</f>
        <v>315034000000</v>
      </c>
      <c r="I718" s="65">
        <f>1470570630031</f>
        <v>1470570630031</v>
      </c>
      <c r="J718" s="65">
        <f>755503487+182093881450</f>
        <v>182849384937</v>
      </c>
      <c r="K718" s="65">
        <f>576540204055</f>
        <v>576540204055</v>
      </c>
      <c r="L718" s="65">
        <f>1222390*1000000</f>
        <v>1222390000000</v>
      </c>
      <c r="M718" s="65">
        <f>219705537586</f>
        <v>219705537586</v>
      </c>
      <c r="N718" s="65">
        <f>180892*1000000</f>
        <v>180892000000</v>
      </c>
      <c r="O718" s="66">
        <v>0.42459999999999998</v>
      </c>
      <c r="P718" s="67" t="s">
        <v>256</v>
      </c>
      <c r="Q718" s="65">
        <v>2</v>
      </c>
      <c r="R718" s="65">
        <v>4</v>
      </c>
      <c r="S718" s="65">
        <v>5</v>
      </c>
      <c r="T718" s="65">
        <f>SUM(R718:S718)</f>
        <v>9</v>
      </c>
      <c r="U718" s="68">
        <v>0</v>
      </c>
      <c r="V718" s="65">
        <f>4+(2*2)</f>
        <v>8</v>
      </c>
      <c r="W718" s="65">
        <f t="shared" ref="W718:W770" si="66">V718</f>
        <v>8</v>
      </c>
      <c r="X718" s="65">
        <f>5+(2*3)</f>
        <v>11</v>
      </c>
      <c r="Y718" s="64"/>
    </row>
    <row r="719" spans="1:25" s="54" customFormat="1" ht="15" customHeight="1" x14ac:dyDescent="0.3">
      <c r="A719" s="63"/>
      <c r="B719" s="64"/>
      <c r="C719" s="55"/>
      <c r="D719" s="64">
        <v>2016</v>
      </c>
      <c r="E719" s="65">
        <f>93449*1000000</f>
        <v>93449000000</v>
      </c>
      <c r="F719" s="65">
        <f>(93449+193902+125401+242254+3246)*1000000</f>
        <v>658252000000</v>
      </c>
      <c r="G719" s="65">
        <f>2313046*1000000</f>
        <v>2313046000000</v>
      </c>
      <c r="H719" s="65">
        <f>269693*1000000</f>
        <v>269693000000</v>
      </c>
      <c r="I719" s="65">
        <f>1585275*1000000</f>
        <v>1585275000000</v>
      </c>
      <c r="J719" s="65">
        <f>199702*1000000</f>
        <v>199702000000</v>
      </c>
      <c r="K719" s="65">
        <f>689345*1000000</f>
        <v>689345000000</v>
      </c>
      <c r="L719" s="65">
        <f>1468383*1000000</f>
        <v>1468383000000</v>
      </c>
      <c r="M719" s="65">
        <f>243292*1000000</f>
        <v>243292000000</v>
      </c>
      <c r="N719" s="65">
        <f>199223*1000000</f>
        <v>199223000000</v>
      </c>
      <c r="O719" s="66">
        <v>0.42459999999999998</v>
      </c>
      <c r="P719" s="67" t="s">
        <v>256</v>
      </c>
      <c r="Q719" s="65">
        <v>3</v>
      </c>
      <c r="R719" s="65">
        <v>5</v>
      </c>
      <c r="S719" s="65">
        <v>5</v>
      </c>
      <c r="T719" s="65">
        <f t="shared" ref="T719:T726" si="67">SUM(R719:S719)</f>
        <v>10</v>
      </c>
      <c r="U719" s="68">
        <v>0</v>
      </c>
      <c r="V719" s="65">
        <f>5+(2*3)</f>
        <v>11</v>
      </c>
      <c r="W719" s="65">
        <f t="shared" si="66"/>
        <v>11</v>
      </c>
      <c r="X719" s="65">
        <f>5+(2*3)</f>
        <v>11</v>
      </c>
      <c r="Y719" s="64"/>
    </row>
    <row r="720" spans="1:25" s="54" customFormat="1" ht="15" customHeight="1" x14ac:dyDescent="0.3">
      <c r="A720" s="63"/>
      <c r="B720" s="64"/>
      <c r="C720" s="55"/>
      <c r="D720" s="64">
        <v>2017</v>
      </c>
      <c r="E720" s="65">
        <f>141136*1000000</f>
        <v>141136000000</v>
      </c>
      <c r="F720" s="65">
        <f>(141136+168788+118136+213067+4004)*1000000</f>
        <v>645131000000</v>
      </c>
      <c r="G720" s="65">
        <f>2690394*1000000</f>
        <v>2690394000000</v>
      </c>
      <c r="H720" s="65">
        <f>381206*1000000</f>
        <v>381206000000</v>
      </c>
      <c r="I720" s="65">
        <f>1830348*1000000</f>
        <v>1830348000000</v>
      </c>
      <c r="J720" s="65">
        <f>167677*1000000</f>
        <v>167677000000</v>
      </c>
      <c r="K720" s="65">
        <f>813386*1000000</f>
        <v>813386000000</v>
      </c>
      <c r="L720" s="65">
        <f>1701124*1000000</f>
        <v>1701124000000</v>
      </c>
      <c r="M720" s="65">
        <f>202435*1000000</f>
        <v>202435000000</v>
      </c>
      <c r="N720" s="65">
        <f>172087*1000000</f>
        <v>172087000000</v>
      </c>
      <c r="O720" s="66">
        <v>0.42459999999999998</v>
      </c>
      <c r="P720" s="67" t="s">
        <v>256</v>
      </c>
      <c r="Q720" s="65">
        <v>3</v>
      </c>
      <c r="R720" s="65">
        <v>5</v>
      </c>
      <c r="S720" s="65">
        <v>4</v>
      </c>
      <c r="T720" s="65">
        <f t="shared" si="67"/>
        <v>9</v>
      </c>
      <c r="U720" s="68">
        <v>0</v>
      </c>
      <c r="V720" s="65">
        <f>5+(2*3)</f>
        <v>11</v>
      </c>
      <c r="W720" s="65">
        <f t="shared" si="66"/>
        <v>11</v>
      </c>
      <c r="X720" s="65">
        <f>4+(2*2)</f>
        <v>8</v>
      </c>
      <c r="Y720" s="64"/>
    </row>
    <row r="721" spans="1:25" s="54" customFormat="1" ht="15" customHeight="1" x14ac:dyDescent="0.3">
      <c r="A721" s="63"/>
      <c r="B721" s="64"/>
      <c r="C721" s="55"/>
      <c r="D721" s="64">
        <v>2018</v>
      </c>
      <c r="E721" s="65">
        <f>88830*1000000</f>
        <v>88830000000</v>
      </c>
      <c r="F721" s="65">
        <f>(88830+210704+121342+204074+4658)*1000000</f>
        <v>629608000000</v>
      </c>
      <c r="G721" s="65">
        <f>2661545*1000000</f>
        <v>2661545000000</v>
      </c>
      <c r="H721" s="65">
        <f>358956*1000000</f>
        <v>358956000000</v>
      </c>
      <c r="I721" s="65">
        <f>1759497*1000000</f>
        <v>1759497000000</v>
      </c>
      <c r="J721" s="65">
        <f>602342*1000000</f>
        <v>602342000000</v>
      </c>
      <c r="K721" s="65">
        <f>902048*1000000</f>
        <v>902048000000</v>
      </c>
      <c r="L721" s="65">
        <f>1968881*1000000</f>
        <v>1968881000000</v>
      </c>
      <c r="M721" s="65">
        <f>206240*1000000</f>
        <v>206240000000</v>
      </c>
      <c r="N721" s="65">
        <f>160182*1000000</f>
        <v>160182000000</v>
      </c>
      <c r="O721" s="66">
        <v>0.45669999999999999</v>
      </c>
      <c r="P721" s="67" t="s">
        <v>256</v>
      </c>
      <c r="Q721" s="65">
        <v>3</v>
      </c>
      <c r="R721" s="65">
        <v>5</v>
      </c>
      <c r="S721" s="65">
        <v>6</v>
      </c>
      <c r="T721" s="65">
        <f t="shared" si="67"/>
        <v>11</v>
      </c>
      <c r="U721" s="68">
        <v>0</v>
      </c>
      <c r="V721" s="65">
        <f>5+(2*4)+(3*2)</f>
        <v>19</v>
      </c>
      <c r="W721" s="65">
        <f t="shared" si="66"/>
        <v>19</v>
      </c>
      <c r="X721" s="65">
        <f>5+(2*3)</f>
        <v>11</v>
      </c>
      <c r="Y721" s="64"/>
    </row>
    <row r="722" spans="1:25" s="54" customFormat="1" ht="15" customHeight="1" x14ac:dyDescent="0.3">
      <c r="A722" s="63"/>
      <c r="B722" s="64"/>
      <c r="C722" s="55"/>
      <c r="D722" s="64">
        <v>2019</v>
      </c>
      <c r="E722" s="65">
        <f>90054*1000000</f>
        <v>90054000000</v>
      </c>
      <c r="F722" s="65">
        <f>(90054+120396+94567+692260+4358)*1000000</f>
        <v>1001635000000</v>
      </c>
      <c r="G722" s="65">
        <f>3040661*1000000</f>
        <v>3040661000000</v>
      </c>
      <c r="H722" s="65">
        <f>248305*1000000</f>
        <v>248305000000</v>
      </c>
      <c r="I722" s="65">
        <f>(2164631*1000000)</f>
        <v>2164631000000</v>
      </c>
      <c r="J722" s="65">
        <f>565295*1000000</f>
        <v>565295000000</v>
      </c>
      <c r="K722" s="65">
        <f>876030*1000000</f>
        <v>876030000000</v>
      </c>
      <c r="L722" s="65">
        <f>1921991*1000000</f>
        <v>1921991000000</v>
      </c>
      <c r="M722" s="65">
        <f>64193*1000000</f>
        <v>64193000000</v>
      </c>
      <c r="N722" s="65">
        <f>79913*1000000</f>
        <v>79913000000</v>
      </c>
      <c r="O722" s="66">
        <v>0.43030000000000002</v>
      </c>
      <c r="P722" s="67" t="s">
        <v>256</v>
      </c>
      <c r="Q722" s="65">
        <v>3</v>
      </c>
      <c r="R722" s="65">
        <v>5</v>
      </c>
      <c r="S722" s="65">
        <v>5</v>
      </c>
      <c r="T722" s="65">
        <f t="shared" si="67"/>
        <v>10</v>
      </c>
      <c r="U722" s="68">
        <v>0</v>
      </c>
      <c r="V722" s="65">
        <f>5+(2*3)</f>
        <v>11</v>
      </c>
      <c r="W722" s="65">
        <f t="shared" si="66"/>
        <v>11</v>
      </c>
      <c r="X722" s="65">
        <f>5+(2*2)</f>
        <v>9</v>
      </c>
      <c r="Y722" s="64"/>
    </row>
    <row r="723" spans="1:25" s="54" customFormat="1" ht="15" customHeight="1" x14ac:dyDescent="0.3">
      <c r="A723" s="63"/>
      <c r="B723" s="64"/>
      <c r="C723" s="55"/>
      <c r="D723" s="64">
        <v>2020</v>
      </c>
      <c r="E723" s="65">
        <f>76566*1000000</f>
        <v>76566000000</v>
      </c>
      <c r="F723" s="65">
        <f>(76556+184532+111574+758785+2465)*1000000</f>
        <v>1133912000000</v>
      </c>
      <c r="G723" s="65">
        <f>2996972*1000000</f>
        <v>2996972000000</v>
      </c>
      <c r="H723" s="65">
        <f>236618*1000000</f>
        <v>236618000000</v>
      </c>
      <c r="I723" s="65">
        <f>2089872*1000000</f>
        <v>2089872000000</v>
      </c>
      <c r="J723" s="65">
        <f>591359*1000000</f>
        <v>591359000000</v>
      </c>
      <c r="K723" s="65">
        <f>907100*1000000</f>
        <v>907100000000</v>
      </c>
      <c r="L723" s="65">
        <f>1746255*1000000</f>
        <v>1746255000000</v>
      </c>
      <c r="M723" s="65">
        <f>71223*1000000</f>
        <v>71223000000</v>
      </c>
      <c r="N723" s="65">
        <f>75949*1000000</f>
        <v>75949000000</v>
      </c>
      <c r="O723" s="66">
        <v>0.43219999999999997</v>
      </c>
      <c r="P723" s="67" t="s">
        <v>256</v>
      </c>
      <c r="Q723" s="65">
        <v>3</v>
      </c>
      <c r="R723" s="65">
        <v>5</v>
      </c>
      <c r="S723" s="65">
        <v>5</v>
      </c>
      <c r="T723" s="65">
        <f t="shared" si="67"/>
        <v>10</v>
      </c>
      <c r="U723" s="68">
        <v>0</v>
      </c>
      <c r="V723" s="65">
        <f>5+(2*3)+(3*1)</f>
        <v>14</v>
      </c>
      <c r="W723" s="65">
        <f t="shared" si="66"/>
        <v>14</v>
      </c>
      <c r="X723" s="65">
        <f>5</f>
        <v>5</v>
      </c>
      <c r="Y723" s="64"/>
    </row>
    <row r="724" spans="1:25" s="54" customFormat="1" ht="15" customHeight="1" x14ac:dyDescent="0.3">
      <c r="A724" s="63"/>
      <c r="B724" s="64"/>
      <c r="C724" s="55"/>
      <c r="D724" s="64">
        <v>2021</v>
      </c>
      <c r="E724" s="65">
        <f>86626*1000000</f>
        <v>86626000000</v>
      </c>
      <c r="F724" s="65">
        <f>(86626+325367+100980+761613+2607)*1000000</f>
        <v>1277193000000</v>
      </c>
      <c r="G724" s="65">
        <f>3088637*1000000</f>
        <v>3088637000000</v>
      </c>
      <c r="H724" s="65">
        <f>250428*1000000</f>
        <v>250428000000</v>
      </c>
      <c r="I724" s="65">
        <f>2137056*1000000</f>
        <v>2137056000000</v>
      </c>
      <c r="J724" s="65">
        <f>618290*1000000</f>
        <v>618290000000</v>
      </c>
      <c r="K724" s="65">
        <f>951581*1000000</f>
        <v>951581000000</v>
      </c>
      <c r="L724" s="65">
        <f>2461515*1000000</f>
        <v>2461515000000</v>
      </c>
      <c r="M724" s="65">
        <f>75110*1000000</f>
        <v>75110000000</v>
      </c>
      <c r="N724" s="65">
        <f>74899*1000000</f>
        <v>74899000000</v>
      </c>
      <c r="O724" s="66">
        <v>0.43219999999999997</v>
      </c>
      <c r="P724" s="67" t="s">
        <v>256</v>
      </c>
      <c r="Q724" s="65">
        <v>3</v>
      </c>
      <c r="R724" s="65">
        <v>5</v>
      </c>
      <c r="S724" s="65">
        <v>5</v>
      </c>
      <c r="T724" s="65">
        <f t="shared" si="67"/>
        <v>10</v>
      </c>
      <c r="U724" s="68">
        <v>0</v>
      </c>
      <c r="V724" s="65">
        <f>5+(2*3)+(3*1)</f>
        <v>14</v>
      </c>
      <c r="W724" s="65">
        <f t="shared" si="66"/>
        <v>14</v>
      </c>
      <c r="X724" s="65">
        <f>5</f>
        <v>5</v>
      </c>
      <c r="Y724" s="64"/>
    </row>
    <row r="725" spans="1:25" s="54" customFormat="1" ht="15" customHeight="1" x14ac:dyDescent="0.3">
      <c r="A725" s="63"/>
      <c r="B725" s="64"/>
      <c r="C725" s="55"/>
      <c r="D725" s="64">
        <v>2022</v>
      </c>
      <c r="E725" s="65">
        <f>294840*1000000</f>
        <v>294840000000</v>
      </c>
      <c r="F725" s="65">
        <f>(294840+134444+129274+707711+8378)*1000000</f>
        <v>1274647000000</v>
      </c>
      <c r="G725" s="65">
        <f>3550161*1000000</f>
        <v>3550161000000</v>
      </c>
      <c r="H725" s="65">
        <f>526695*1000000</f>
        <v>526695000000</v>
      </c>
      <c r="I725" s="65">
        <f>2547358*1000000</f>
        <v>2547358000000</v>
      </c>
      <c r="J725" s="65">
        <f>661376*1000000</f>
        <v>661376000000</v>
      </c>
      <c r="K725" s="65">
        <f>1002803*1000000</f>
        <v>1002803000000</v>
      </c>
      <c r="L725" s="65">
        <f>3322138*1000000</f>
        <v>3322138000000</v>
      </c>
      <c r="M725" s="65">
        <f>95320*1000000</f>
        <v>95320000000</v>
      </c>
      <c r="N725" s="65">
        <f>94736*1000000</f>
        <v>94736000000</v>
      </c>
      <c r="O725" s="66">
        <v>0.4456</v>
      </c>
      <c r="P725" s="67" t="s">
        <v>256</v>
      </c>
      <c r="Q725" s="65">
        <v>3</v>
      </c>
      <c r="R725" s="65">
        <v>4</v>
      </c>
      <c r="S725" s="65">
        <v>5</v>
      </c>
      <c r="T725" s="65">
        <f t="shared" si="67"/>
        <v>9</v>
      </c>
      <c r="U725" s="68">
        <v>0</v>
      </c>
      <c r="V725" s="65">
        <f>4+(2*2)+(3*1)</f>
        <v>11</v>
      </c>
      <c r="W725" s="65">
        <f t="shared" si="66"/>
        <v>11</v>
      </c>
      <c r="X725" s="65">
        <f>5</f>
        <v>5</v>
      </c>
      <c r="Y725" s="64"/>
    </row>
    <row r="726" spans="1:25" s="54" customFormat="1" ht="15" customHeight="1" x14ac:dyDescent="0.3">
      <c r="A726" s="63"/>
      <c r="B726" s="64"/>
      <c r="C726" s="55"/>
      <c r="D726" s="64">
        <v>2023</v>
      </c>
      <c r="E726" s="65">
        <f>238005*1000000</f>
        <v>238005000000</v>
      </c>
      <c r="F726" s="65">
        <f>(238005+228643+388821+605089+7893)*1000000</f>
        <v>1468451000000</v>
      </c>
      <c r="G726" s="65">
        <f>3862435*1000000</f>
        <v>3862435000000</v>
      </c>
      <c r="H726" s="65">
        <f>325275*1000000</f>
        <v>325275000000</v>
      </c>
      <c r="I726" s="65">
        <f>2781458*1000000</f>
        <v>2781458000000</v>
      </c>
      <c r="J726" s="65">
        <f>715985*1000000</f>
        <v>715985000000</v>
      </c>
      <c r="K726" s="65">
        <f>1080977*1000000</f>
        <v>1080977000000</v>
      </c>
      <c r="L726" s="65">
        <f>3533000*1000000</f>
        <v>3533000000000</v>
      </c>
      <c r="M726" s="65">
        <f>109686*1000000</f>
        <v>109686000000</v>
      </c>
      <c r="N726" s="65">
        <f>130076*1000000</f>
        <v>130076000000</v>
      </c>
      <c r="O726" s="66">
        <v>0.45679999999999998</v>
      </c>
      <c r="P726" s="67" t="s">
        <v>256</v>
      </c>
      <c r="Q726" s="65">
        <v>3</v>
      </c>
      <c r="R726" s="65">
        <v>5</v>
      </c>
      <c r="S726" s="65">
        <v>5</v>
      </c>
      <c r="T726" s="65">
        <f t="shared" si="67"/>
        <v>10</v>
      </c>
      <c r="U726" s="68">
        <v>0</v>
      </c>
      <c r="V726" s="65">
        <f>5+(2*4)+(3*1)</f>
        <v>16</v>
      </c>
      <c r="W726" s="65">
        <f t="shared" si="66"/>
        <v>16</v>
      </c>
      <c r="X726" s="65">
        <v>5</v>
      </c>
      <c r="Y726" s="64"/>
    </row>
    <row r="727" spans="1:25" s="54" customFormat="1" ht="15" customHeight="1" x14ac:dyDescent="0.3">
      <c r="A727" s="63"/>
      <c r="B727" s="64"/>
      <c r="C727" s="55"/>
      <c r="D727" s="64">
        <v>2024</v>
      </c>
      <c r="E727" s="65">
        <v>0</v>
      </c>
      <c r="F727" s="65">
        <v>0</v>
      </c>
      <c r="G727" s="65">
        <v>0</v>
      </c>
      <c r="H727" s="65">
        <v>0</v>
      </c>
      <c r="I727" s="65">
        <v>0</v>
      </c>
      <c r="J727" s="65">
        <v>0</v>
      </c>
      <c r="K727" s="65">
        <v>0</v>
      </c>
      <c r="L727" s="65">
        <v>0</v>
      </c>
      <c r="M727" s="65">
        <v>0</v>
      </c>
      <c r="N727" s="65">
        <v>0</v>
      </c>
      <c r="O727" s="65">
        <v>0</v>
      </c>
      <c r="P727" s="65">
        <v>0</v>
      </c>
      <c r="Q727" s="65">
        <v>0</v>
      </c>
      <c r="R727" s="65">
        <v>0</v>
      </c>
      <c r="S727" s="65">
        <v>0</v>
      </c>
      <c r="T727" s="65">
        <v>0</v>
      </c>
      <c r="U727" s="65">
        <v>0</v>
      </c>
      <c r="V727" s="65">
        <v>0</v>
      </c>
      <c r="W727" s="65">
        <v>0</v>
      </c>
      <c r="X727" s="65">
        <v>0</v>
      </c>
      <c r="Y727" s="64"/>
    </row>
    <row r="728" spans="1:25" s="54" customFormat="1" ht="15" customHeight="1" x14ac:dyDescent="0.3">
      <c r="A728" s="63"/>
      <c r="B728" s="64">
        <v>67</v>
      </c>
      <c r="C728" s="55" t="s">
        <v>68</v>
      </c>
      <c r="D728" s="64">
        <v>2014</v>
      </c>
      <c r="E728" s="65">
        <v>0</v>
      </c>
      <c r="F728" s="65">
        <v>0</v>
      </c>
      <c r="G728" s="65">
        <v>0</v>
      </c>
      <c r="H728" s="65">
        <v>0</v>
      </c>
      <c r="I728" s="65">
        <v>0</v>
      </c>
      <c r="J728" s="65">
        <v>0</v>
      </c>
      <c r="K728" s="65">
        <v>0</v>
      </c>
      <c r="L728" s="65">
        <f>39242*1000000</f>
        <v>39242000000</v>
      </c>
      <c r="M728" s="65">
        <v>0</v>
      </c>
      <c r="N728" s="65">
        <v>0</v>
      </c>
      <c r="O728" s="65">
        <v>0</v>
      </c>
      <c r="P728" s="65">
        <v>0</v>
      </c>
      <c r="Q728" s="65">
        <v>0</v>
      </c>
      <c r="R728" s="65">
        <v>0</v>
      </c>
      <c r="S728" s="65">
        <v>0</v>
      </c>
      <c r="T728" s="65">
        <v>0</v>
      </c>
      <c r="U728" s="65">
        <v>0</v>
      </c>
      <c r="V728" s="65">
        <v>0</v>
      </c>
      <c r="W728" s="65">
        <v>0</v>
      </c>
      <c r="X728" s="65">
        <v>0</v>
      </c>
      <c r="Y728" s="64"/>
    </row>
    <row r="729" spans="1:25" s="54" customFormat="1" ht="15" customHeight="1" x14ac:dyDescent="0.3">
      <c r="A729" s="63"/>
      <c r="B729" s="64"/>
      <c r="C729" s="55"/>
      <c r="D729" s="64">
        <v>2015</v>
      </c>
      <c r="E729" s="65">
        <f>4963*1000000</f>
        <v>4963000000</v>
      </c>
      <c r="F729" s="65">
        <f>(4963+31410+2515+136)*1000000</f>
        <v>39024000000</v>
      </c>
      <c r="G729" s="69">
        <f>180728*1000000</f>
        <v>180728000000</v>
      </c>
      <c r="H729" s="65">
        <f>33415*1000000</f>
        <v>33415000000</v>
      </c>
      <c r="I729" s="65">
        <f>74919*1000000</f>
        <v>74919000000</v>
      </c>
      <c r="J729" s="65">
        <f>31044*1000000</f>
        <v>31044000000</v>
      </c>
      <c r="K729" s="65">
        <f>105809*1000000</f>
        <v>105809000000</v>
      </c>
      <c r="L729" s="65">
        <f>51507*1000000</f>
        <v>51507000000</v>
      </c>
      <c r="M729" s="65">
        <f>5949*1000000</f>
        <v>5949000000</v>
      </c>
      <c r="N729" s="65">
        <f>5147*1000000</f>
        <v>5147000000</v>
      </c>
      <c r="O729" s="65">
        <v>0</v>
      </c>
      <c r="P729" s="65">
        <v>0</v>
      </c>
      <c r="Q729" s="65">
        <v>0</v>
      </c>
      <c r="R729" s="65">
        <v>0</v>
      </c>
      <c r="S729" s="65">
        <v>0</v>
      </c>
      <c r="T729" s="65">
        <v>0</v>
      </c>
      <c r="U729" s="65">
        <v>0</v>
      </c>
      <c r="V729" s="65">
        <v>0</v>
      </c>
      <c r="W729" s="65">
        <v>0</v>
      </c>
      <c r="X729" s="65">
        <v>0</v>
      </c>
      <c r="Y729" s="64"/>
    </row>
    <row r="730" spans="1:25" s="54" customFormat="1" ht="15" customHeight="1" x14ac:dyDescent="0.3">
      <c r="A730" s="63"/>
      <c r="B730" s="64"/>
      <c r="C730" s="55"/>
      <c r="D730" s="64">
        <v>2016</v>
      </c>
      <c r="E730" s="65">
        <f>5280*1000000</f>
        <v>5280000000</v>
      </c>
      <c r="F730" s="65">
        <f>(5280+26923+1122+372+371.97)*1000000</f>
        <v>34068970000</v>
      </c>
      <c r="G730" s="65">
        <f>172481*1000000</f>
        <v>172481000000</v>
      </c>
      <c r="H730" s="65">
        <f>21018*1000000</f>
        <v>21018000000</v>
      </c>
      <c r="I730" s="65">
        <f>60594*1000000</f>
        <v>60594000000</v>
      </c>
      <c r="J730" s="65">
        <f>34173*1000000</f>
        <v>34173000000</v>
      </c>
      <c r="K730" s="65">
        <f>111886*1000000</f>
        <v>111886000000</v>
      </c>
      <c r="L730" s="65">
        <f>57130*1000000</f>
        <v>57130000000</v>
      </c>
      <c r="M730" s="65">
        <f>7519*1000000</f>
        <v>7519000000</v>
      </c>
      <c r="N730" s="65">
        <f>8314*1000000</f>
        <v>8314000000</v>
      </c>
      <c r="O730" s="66">
        <v>0.58109999999999995</v>
      </c>
      <c r="P730" s="67" t="s">
        <v>257</v>
      </c>
      <c r="Q730" s="65">
        <v>2</v>
      </c>
      <c r="R730" s="65">
        <v>4</v>
      </c>
      <c r="S730" s="65">
        <v>4</v>
      </c>
      <c r="T730" s="65">
        <f>SUM(R730:S730)</f>
        <v>8</v>
      </c>
      <c r="U730" s="68">
        <v>0.04</v>
      </c>
      <c r="V730" s="65">
        <f>4+(2*3)+(3*2)</f>
        <v>16</v>
      </c>
      <c r="W730" s="65">
        <f t="shared" si="66"/>
        <v>16</v>
      </c>
      <c r="X730" s="65">
        <f>4+(2*2)</f>
        <v>8</v>
      </c>
      <c r="Y730" s="64"/>
    </row>
    <row r="731" spans="1:25" s="54" customFormat="1" ht="15" customHeight="1" x14ac:dyDescent="0.3">
      <c r="A731" s="63"/>
      <c r="B731" s="64"/>
      <c r="C731" s="55"/>
      <c r="D731" s="64">
        <v>2017</v>
      </c>
      <c r="E731" s="65">
        <f>5793.65*1000000</f>
        <v>5793650000</v>
      </c>
      <c r="F731" s="65">
        <f>(5793.65+26266.12+5923.7+14217.78+385.58)*1000000</f>
        <v>52586829999.999992</v>
      </c>
      <c r="G731" s="65">
        <f>171728.99*1000000</f>
        <v>171728990000</v>
      </c>
      <c r="H731" s="65">
        <f>16282.12*1000000</f>
        <v>16282120000</v>
      </c>
      <c r="I731" s="65">
        <f>60090.32*1000000</f>
        <v>60090320000</v>
      </c>
      <c r="J731" s="65">
        <f>34961.63*1000000</f>
        <v>34961630000</v>
      </c>
      <c r="K731" s="65">
        <f>111638.67*1000000</f>
        <v>111638670000</v>
      </c>
      <c r="L731" s="65">
        <f>58105.99*1000000</f>
        <v>58105990000</v>
      </c>
      <c r="M731" s="65">
        <f>6117.84*1000000</f>
        <v>6117840000</v>
      </c>
      <c r="N731" s="65">
        <f>4135.47*1000000</f>
        <v>4135470000.0000005</v>
      </c>
      <c r="O731" s="66">
        <v>0.58109999999999995</v>
      </c>
      <c r="P731" s="67" t="s">
        <v>257</v>
      </c>
      <c r="Q731" s="65">
        <v>2</v>
      </c>
      <c r="R731" s="65">
        <v>4</v>
      </c>
      <c r="S731" s="65">
        <v>5</v>
      </c>
      <c r="T731" s="65">
        <f t="shared" ref="T731:T738" si="68">SUM(R731:S731)</f>
        <v>9</v>
      </c>
      <c r="U731" s="68">
        <v>0.04</v>
      </c>
      <c r="V731" s="65">
        <f>4+(2*3)+(3*2)</f>
        <v>16</v>
      </c>
      <c r="W731" s="65">
        <f t="shared" si="66"/>
        <v>16</v>
      </c>
      <c r="X731" s="65">
        <f>5+(2*3)</f>
        <v>11</v>
      </c>
      <c r="Y731" s="64"/>
    </row>
    <row r="732" spans="1:25" s="54" customFormat="1" ht="15" customHeight="1" x14ac:dyDescent="0.3">
      <c r="A732" s="63"/>
      <c r="B732" s="64"/>
      <c r="C732" s="55"/>
      <c r="D732" s="64">
        <v>2018</v>
      </c>
      <c r="E732" s="65">
        <f>7097.6*1000000</f>
        <v>7097600000</v>
      </c>
      <c r="F732" s="65">
        <f>(7097.6+23692.15+8504.65+11082.32+295.11)*1000000</f>
        <v>50671830000</v>
      </c>
      <c r="G732" s="65">
        <f>171191.55*1000000</f>
        <v>171191550000</v>
      </c>
      <c r="H732" s="65">
        <f>17807.91*1000000</f>
        <v>17807910000</v>
      </c>
      <c r="I732" s="65">
        <f>58748.17*1000000</f>
        <v>58748170000</v>
      </c>
      <c r="J732" s="65">
        <f>36535.84*1000000</f>
        <v>36535840000</v>
      </c>
      <c r="K732" s="65">
        <f>112443.38*1000000</f>
        <v>112443380000</v>
      </c>
      <c r="L732" s="65">
        <f>59521.92*1000000</f>
        <v>59521920000</v>
      </c>
      <c r="M732" s="65">
        <f>6051.5*1000000</f>
        <v>6051500000</v>
      </c>
      <c r="N732" s="65">
        <f>4379.71*1000000</f>
        <v>4379710000</v>
      </c>
      <c r="O732" s="70">
        <v>0</v>
      </c>
      <c r="P732" s="70">
        <v>0</v>
      </c>
      <c r="Q732" s="70">
        <v>0</v>
      </c>
      <c r="R732" s="70">
        <v>0</v>
      </c>
      <c r="S732" s="70">
        <v>0</v>
      </c>
      <c r="T732" s="70">
        <v>0</v>
      </c>
      <c r="U732" s="70">
        <v>0</v>
      </c>
      <c r="V732" s="70">
        <v>0</v>
      </c>
      <c r="W732" s="70">
        <v>0</v>
      </c>
      <c r="X732" s="70">
        <v>0</v>
      </c>
      <c r="Y732" s="64"/>
    </row>
    <row r="733" spans="1:25" s="54" customFormat="1" ht="15" customHeight="1" x14ac:dyDescent="0.3">
      <c r="A733" s="63"/>
      <c r="B733" s="64"/>
      <c r="C733" s="55"/>
      <c r="D733" s="64">
        <v>2019</v>
      </c>
      <c r="E733" s="65">
        <f>4414.5*1000000</f>
        <v>4414500000</v>
      </c>
      <c r="F733" s="65">
        <f>(4414.5+29363.72+9263.63+15819.02+323.6)*1000000</f>
        <v>59184469999.999992</v>
      </c>
      <c r="G733" s="65">
        <f>186330.43*1000000</f>
        <v>186330430000</v>
      </c>
      <c r="H733" s="65">
        <f>21915.24*1000000</f>
        <v>21915240000</v>
      </c>
      <c r="I733" s="65">
        <f>72134.67*1000000</f>
        <v>72134670000</v>
      </c>
      <c r="J733" s="65">
        <f>39481.21*1000000</f>
        <v>39481210000</v>
      </c>
      <c r="K733" s="65">
        <f>114195.75*1000000</f>
        <v>114195750000</v>
      </c>
      <c r="L733" s="65">
        <f>73231.6*1000000</f>
        <v>73231600000</v>
      </c>
      <c r="M733" s="65">
        <f>8202.84*1000000</f>
        <v>8202840000</v>
      </c>
      <c r="N733" s="65">
        <f>5451.08*1000000</f>
        <v>5451080000</v>
      </c>
      <c r="O733" s="66">
        <v>0.58109999999999995</v>
      </c>
      <c r="P733" s="67" t="s">
        <v>257</v>
      </c>
      <c r="Q733" s="65">
        <v>2</v>
      </c>
      <c r="R733" s="65">
        <v>4</v>
      </c>
      <c r="S733" s="65">
        <v>5</v>
      </c>
      <c r="T733" s="65">
        <f t="shared" si="68"/>
        <v>9</v>
      </c>
      <c r="U733" s="68">
        <v>0.04</v>
      </c>
      <c r="V733" s="65">
        <f>4+(2*2)+3</f>
        <v>11</v>
      </c>
      <c r="W733" s="65">
        <f t="shared" si="66"/>
        <v>11</v>
      </c>
      <c r="X733" s="65">
        <f>5+(2*3)</f>
        <v>11</v>
      </c>
      <c r="Y733" s="64"/>
    </row>
    <row r="734" spans="1:25" s="54" customFormat="1" ht="15" customHeight="1" x14ac:dyDescent="0.3">
      <c r="A734" s="63"/>
      <c r="B734" s="64"/>
      <c r="C734" s="55"/>
      <c r="D734" s="64">
        <v>2020</v>
      </c>
      <c r="E734" s="65">
        <f>4582.64*1000000</f>
        <v>4582640000</v>
      </c>
      <c r="F734" s="65">
        <f>(4582.64+25795.76+6783.18+30949.06+260.95)*1000000</f>
        <v>68371590000</v>
      </c>
      <c r="G734" s="65">
        <f>211221.34*1000000</f>
        <v>211221340000</v>
      </c>
      <c r="H734" s="65">
        <f>22478.03*1000000</f>
        <v>22478030000</v>
      </c>
      <c r="I734" s="65">
        <f>92001.97*1000000</f>
        <v>92001970000</v>
      </c>
      <c r="J734" s="65">
        <f>43532.27*1000000</f>
        <v>43532270000</v>
      </c>
      <c r="K734" s="65">
        <f>119219.37*1000000</f>
        <v>119219370000</v>
      </c>
      <c r="L734" s="65">
        <f>73668.17*1000000</f>
        <v>73668170000</v>
      </c>
      <c r="M734" s="65">
        <f>9016.32*1000000</f>
        <v>9016320000</v>
      </c>
      <c r="N734" s="65">
        <f>8472.43*1000000</f>
        <v>8472430000</v>
      </c>
      <c r="O734" s="66">
        <v>0.58109999999999995</v>
      </c>
      <c r="P734" s="67" t="s">
        <v>257</v>
      </c>
      <c r="Q734" s="65">
        <v>2</v>
      </c>
      <c r="R734" s="65">
        <v>4</v>
      </c>
      <c r="S734" s="65">
        <v>5</v>
      </c>
      <c r="T734" s="65">
        <f t="shared" si="68"/>
        <v>9</v>
      </c>
      <c r="U734" s="68">
        <v>0.04</v>
      </c>
      <c r="V734" s="65">
        <f>4+(2*2)+3</f>
        <v>11</v>
      </c>
      <c r="W734" s="65">
        <f t="shared" si="66"/>
        <v>11</v>
      </c>
      <c r="X734" s="65">
        <f>5+(2*3)</f>
        <v>11</v>
      </c>
      <c r="Y734" s="64"/>
    </row>
    <row r="735" spans="1:25" s="54" customFormat="1" ht="15" customHeight="1" x14ac:dyDescent="0.3">
      <c r="A735" s="63"/>
      <c r="B735" s="64"/>
      <c r="C735" s="55"/>
      <c r="D735" s="64">
        <v>2021</v>
      </c>
      <c r="E735" s="65">
        <f>5713.61*1000000</f>
        <v>5713610000</v>
      </c>
      <c r="F735" s="65">
        <f>(5713.61+30226.05+4201.92+19113.26+414.56)*1000000</f>
        <v>59669399999.999992</v>
      </c>
      <c r="G735" s="65">
        <f>208178.18*1000000</f>
        <v>208178180000</v>
      </c>
      <c r="H735" s="65">
        <f>23644.35*1000000</f>
        <v>23644350000</v>
      </c>
      <c r="I735" s="65">
        <f>81256.9*1000000</f>
        <v>81256900000</v>
      </c>
      <c r="J735" s="65">
        <f>45079.24*1000000</f>
        <v>45079240000</v>
      </c>
      <c r="K735" s="65">
        <f>126921.28*1000000</f>
        <v>126921280000</v>
      </c>
      <c r="L735" s="65">
        <f>64350.92*1000000</f>
        <v>64350920000</v>
      </c>
      <c r="M735" s="65">
        <f>9019.48*1000000</f>
        <v>9019480000</v>
      </c>
      <c r="N735" s="65">
        <f>8169*1000000</f>
        <v>8169000000</v>
      </c>
      <c r="O735" s="66">
        <v>0.58109999999999995</v>
      </c>
      <c r="P735" s="67" t="s">
        <v>257</v>
      </c>
      <c r="Q735" s="65">
        <v>2</v>
      </c>
      <c r="R735" s="65">
        <v>4</v>
      </c>
      <c r="S735" s="65">
        <v>5</v>
      </c>
      <c r="T735" s="65">
        <f t="shared" si="68"/>
        <v>9</v>
      </c>
      <c r="U735" s="68">
        <v>0.04</v>
      </c>
      <c r="V735" s="65">
        <f>4+(2*2)+(3*1)</f>
        <v>11</v>
      </c>
      <c r="W735" s="65">
        <f t="shared" si="66"/>
        <v>11</v>
      </c>
      <c r="X735" s="65">
        <f>5+(2*5)</f>
        <v>15</v>
      </c>
      <c r="Y735" s="64"/>
    </row>
    <row r="736" spans="1:25" s="54" customFormat="1" ht="15" customHeight="1" x14ac:dyDescent="0.3">
      <c r="A736" s="63"/>
      <c r="B736" s="64"/>
      <c r="C736" s="55"/>
      <c r="D736" s="64">
        <v>2022</v>
      </c>
      <c r="E736" s="65">
        <f>9569.53*1000000</f>
        <v>9569530000</v>
      </c>
      <c r="F736" s="65">
        <f>(9569.53+32812.5+7855.03+23743.78+430.53)*1000000</f>
        <v>74411370000</v>
      </c>
      <c r="G736" s="65">
        <f>217432.64*1000000</f>
        <v>217432640000</v>
      </c>
      <c r="H736" s="65">
        <f>27204.76*1000000</f>
        <v>27204760000</v>
      </c>
      <c r="I736" s="65">
        <f>95058.41*1000000</f>
        <v>95058410000</v>
      </c>
      <c r="J736" s="65">
        <f>47491.88*1000000</f>
        <v>47491880000</v>
      </c>
      <c r="K736" s="65">
        <f>122374.23*1000000</f>
        <v>122374230000</v>
      </c>
      <c r="L736" s="65">
        <f>87808.93*1000000</f>
        <v>87808930000</v>
      </c>
      <c r="M736" s="65">
        <f>9268.17*1000000</f>
        <v>9268170000</v>
      </c>
      <c r="N736" s="65">
        <f>6873.98*1000000</f>
        <v>6873980000</v>
      </c>
      <c r="O736" s="66">
        <v>0.58109999999999995</v>
      </c>
      <c r="P736" s="67" t="s">
        <v>257</v>
      </c>
      <c r="Q736" s="65">
        <v>2</v>
      </c>
      <c r="R736" s="65">
        <v>4</v>
      </c>
      <c r="S736" s="65">
        <v>5</v>
      </c>
      <c r="T736" s="65">
        <f t="shared" si="68"/>
        <v>9</v>
      </c>
      <c r="U736" s="68">
        <v>0.04</v>
      </c>
      <c r="V736" s="65">
        <f>4+(2*2)+3</f>
        <v>11</v>
      </c>
      <c r="W736" s="65">
        <f t="shared" si="66"/>
        <v>11</v>
      </c>
      <c r="X736" s="65">
        <f>5+(2*4)</f>
        <v>13</v>
      </c>
      <c r="Y736" s="64"/>
    </row>
    <row r="737" spans="1:25" s="54" customFormat="1" ht="15" customHeight="1" x14ac:dyDescent="0.3">
      <c r="A737" s="63"/>
      <c r="B737" s="64"/>
      <c r="C737" s="55"/>
      <c r="D737" s="64">
        <v>2023</v>
      </c>
      <c r="E737" s="65">
        <f>9607.7*1000000</f>
        <v>9607700000</v>
      </c>
      <c r="F737" s="65">
        <f>(9607.7+26833.18+9773.38+206505.85+622.57)*1000000</f>
        <v>253342680000.00003</v>
      </c>
      <c r="G737" s="65">
        <f>408529.73*1000000</f>
        <v>408529730000</v>
      </c>
      <c r="H737" s="65">
        <f>40349.41*1000000</f>
        <v>40349410000</v>
      </c>
      <c r="I737" s="65">
        <f>280807.32*1000000</f>
        <v>280807320000</v>
      </c>
      <c r="J737" s="65">
        <f>45073.96*1000000</f>
        <v>45073960000</v>
      </c>
      <c r="K737" s="65">
        <f>127722.41*1000000</f>
        <v>127722410000</v>
      </c>
      <c r="L737" s="65">
        <f>87695.57*1000000</f>
        <v>87695570000</v>
      </c>
      <c r="M737" s="65">
        <f>5423.15*1000000</f>
        <v>5423150000</v>
      </c>
      <c r="N737" s="65">
        <f>4831.56*1000000</f>
        <v>4831560000</v>
      </c>
      <c r="O737" s="66">
        <v>0.58530000000000004</v>
      </c>
      <c r="P737" s="67" t="s">
        <v>257</v>
      </c>
      <c r="Q737" s="65">
        <v>2</v>
      </c>
      <c r="R737" s="65">
        <v>4</v>
      </c>
      <c r="S737" s="65">
        <v>5</v>
      </c>
      <c r="T737" s="65">
        <f t="shared" si="68"/>
        <v>9</v>
      </c>
      <c r="U737" s="68">
        <v>0.04</v>
      </c>
      <c r="V737" s="65">
        <f>4+(2*2)+3</f>
        <v>11</v>
      </c>
      <c r="W737" s="65">
        <f t="shared" si="66"/>
        <v>11</v>
      </c>
      <c r="X737" s="65">
        <f>5+(2*4)</f>
        <v>13</v>
      </c>
      <c r="Y737" s="64"/>
    </row>
    <row r="738" spans="1:25" s="54" customFormat="1" ht="15" customHeight="1" x14ac:dyDescent="0.3">
      <c r="A738" s="63"/>
      <c r="B738" s="64"/>
      <c r="C738" s="55"/>
      <c r="D738" s="64">
        <v>2024</v>
      </c>
      <c r="E738" s="65">
        <f>10923.1*1000000</f>
        <v>10923100000</v>
      </c>
      <c r="F738" s="65">
        <f>(10923.1+37887.55+3003.46+102181.25+615.7)*1000000</f>
        <v>154611060000</v>
      </c>
      <c r="G738" s="65">
        <f>308465.38*1000000</f>
        <v>308465380000</v>
      </c>
      <c r="H738" s="65">
        <f>42785.83*1000000</f>
        <v>42785830000</v>
      </c>
      <c r="I738" s="65">
        <f>178804.2*1000000</f>
        <v>178804200000</v>
      </c>
      <c r="J738" s="65">
        <f>46943.81*1000000</f>
        <v>46943810000</v>
      </c>
      <c r="K738" s="65">
        <f>129661.18*1000000</f>
        <v>129661180000</v>
      </c>
      <c r="L738" s="65">
        <f>60089.74*1000000</f>
        <v>60089740000</v>
      </c>
      <c r="M738" s="65">
        <f>4580.9*1000000</f>
        <v>4580900000</v>
      </c>
      <c r="N738" s="65">
        <f>4237.86*1000000</f>
        <v>4237859999.9999995</v>
      </c>
      <c r="O738" s="66">
        <v>0.58899999999999997</v>
      </c>
      <c r="P738" s="67" t="s">
        <v>257</v>
      </c>
      <c r="Q738" s="65">
        <v>2</v>
      </c>
      <c r="R738" s="65">
        <v>3</v>
      </c>
      <c r="S738" s="65">
        <v>5</v>
      </c>
      <c r="T738" s="65">
        <f t="shared" si="68"/>
        <v>8</v>
      </c>
      <c r="U738" s="68">
        <v>0.04</v>
      </c>
      <c r="V738" s="65">
        <f>3+(2)+3</f>
        <v>8</v>
      </c>
      <c r="W738" s="65">
        <f t="shared" si="66"/>
        <v>8</v>
      </c>
      <c r="X738" s="65">
        <f>5+(2*2)</f>
        <v>9</v>
      </c>
      <c r="Y738" s="64"/>
    </row>
    <row r="739" spans="1:25" s="54" customFormat="1" ht="15" customHeight="1" x14ac:dyDescent="0.3">
      <c r="A739" s="63"/>
      <c r="B739" s="64">
        <v>68</v>
      </c>
      <c r="C739" s="55" t="s">
        <v>69</v>
      </c>
      <c r="D739" s="64">
        <v>2014</v>
      </c>
      <c r="E739" s="65">
        <v>0</v>
      </c>
      <c r="F739" s="65">
        <v>0</v>
      </c>
      <c r="G739" s="65">
        <v>0</v>
      </c>
      <c r="H739" s="65">
        <v>0</v>
      </c>
      <c r="I739" s="65">
        <v>0</v>
      </c>
      <c r="J739" s="65">
        <v>0</v>
      </c>
      <c r="K739" s="65">
        <v>0</v>
      </c>
      <c r="L739" s="65">
        <f>1292992*1000000</f>
        <v>1292992000000</v>
      </c>
      <c r="M739" s="65">
        <v>0</v>
      </c>
      <c r="N739" s="65">
        <v>0</v>
      </c>
      <c r="O739" s="65">
        <v>0</v>
      </c>
      <c r="P739" s="65">
        <v>0</v>
      </c>
      <c r="Q739" s="65">
        <v>0</v>
      </c>
      <c r="R739" s="65">
        <v>0</v>
      </c>
      <c r="S739" s="65">
        <v>0</v>
      </c>
      <c r="T739" s="65">
        <v>0</v>
      </c>
      <c r="U739" s="65">
        <v>0</v>
      </c>
      <c r="V739" s="65">
        <v>0</v>
      </c>
      <c r="W739" s="65">
        <v>0</v>
      </c>
      <c r="X739" s="65">
        <v>0</v>
      </c>
      <c r="Y739" s="64"/>
    </row>
    <row r="740" spans="1:25" s="54" customFormat="1" ht="15" customHeight="1" x14ac:dyDescent="0.3">
      <c r="A740" s="63"/>
      <c r="B740" s="64"/>
      <c r="C740" s="55"/>
      <c r="D740" s="64">
        <v>2015</v>
      </c>
      <c r="E740" s="65">
        <f>1071101499*1000</f>
        <v>1071101499000</v>
      </c>
      <c r="F740" s="65">
        <f>(1071101499+357059251+5228432+11884236+38592896+8799844+3787082)*1000</f>
        <v>1496453240000</v>
      </c>
      <c r="G740" s="65">
        <f>2846759759*1000</f>
        <v>2846759759000</v>
      </c>
      <c r="H740" s="65">
        <f>(23706546+5242493+1520769735+24875222+5215228)*1000</f>
        <v>1579809224000</v>
      </c>
      <c r="I740" s="65">
        <f>1625205582*1000</f>
        <v>1625205582000</v>
      </c>
      <c r="J740" s="65">
        <f>(5500000+737317816)*1000</f>
        <v>742817816000</v>
      </c>
      <c r="K740" s="65">
        <f>1222352590*1000</f>
        <v>1222352590000</v>
      </c>
      <c r="L740" s="65">
        <f>1378910415*1000</f>
        <v>1378910415000</v>
      </c>
      <c r="M740" s="65">
        <f>278975994*1000</f>
        <v>278975994000</v>
      </c>
      <c r="N740" s="65">
        <f>268564704*1000</f>
        <v>268564704000</v>
      </c>
      <c r="O740" s="66">
        <v>0.2</v>
      </c>
      <c r="P740" s="67" t="s">
        <v>325</v>
      </c>
      <c r="Q740" s="65">
        <v>2</v>
      </c>
      <c r="R740" s="65">
        <v>4</v>
      </c>
      <c r="S740" s="65">
        <v>4</v>
      </c>
      <c r="T740" s="65">
        <f>SUM(R740:S740)</f>
        <v>8</v>
      </c>
      <c r="U740" s="68">
        <v>0</v>
      </c>
      <c r="V740" s="65">
        <f>4+2+3</f>
        <v>9</v>
      </c>
      <c r="W740" s="65">
        <f t="shared" si="66"/>
        <v>9</v>
      </c>
      <c r="X740" s="65">
        <f>4</f>
        <v>4</v>
      </c>
      <c r="Y740" s="64"/>
    </row>
    <row r="741" spans="1:25" s="54" customFormat="1" ht="15" customHeight="1" x14ac:dyDescent="0.3">
      <c r="A741" s="63"/>
      <c r="B741" s="64"/>
      <c r="C741" s="55"/>
      <c r="D741" s="64">
        <v>2016</v>
      </c>
      <c r="E741" s="65">
        <f>862527281*1000</f>
        <v>862527281000</v>
      </c>
      <c r="F741" s="65">
        <f>(862527281+256000551+4211131+6625008+45030067+8375223+24106)*1000</f>
        <v>1182793367000</v>
      </c>
      <c r="G741" s="65">
        <f>2813838947*1000</f>
        <v>2813838947000</v>
      </c>
      <c r="H741" s="65">
        <f>(23456352+5390575+1443888929+45558315+11289432)*1000</f>
        <v>1529583603000</v>
      </c>
      <c r="I741" s="65">
        <f>1582165362*1000</f>
        <v>1582165362000</v>
      </c>
      <c r="J741" s="65">
        <f>(5750000+830672128)*1000</f>
        <v>836422128000</v>
      </c>
      <c r="K741" s="65">
        <f>1232196934*1000</f>
        <v>1232196934000</v>
      </c>
      <c r="L741" s="65">
        <f>1318080691*1000</f>
        <v>1318080691000</v>
      </c>
      <c r="M741" s="65">
        <f>197206138*1000</f>
        <v>197206138000</v>
      </c>
      <c r="N741" s="65">
        <f>173481650*1000</f>
        <v>173481650000</v>
      </c>
      <c r="O741" s="66">
        <v>0.2</v>
      </c>
      <c r="P741" s="67" t="s">
        <v>325</v>
      </c>
      <c r="Q741" s="65">
        <v>2</v>
      </c>
      <c r="R741" s="65">
        <v>4</v>
      </c>
      <c r="S741" s="65">
        <v>4</v>
      </c>
      <c r="T741" s="65">
        <f t="shared" ref="T741:T749" si="69">SUM(R741:S741)</f>
        <v>8</v>
      </c>
      <c r="U741" s="68">
        <v>0</v>
      </c>
      <c r="V741" s="65">
        <f>4+2+3</f>
        <v>9</v>
      </c>
      <c r="W741" s="65">
        <f t="shared" si="66"/>
        <v>9</v>
      </c>
      <c r="X741" s="65">
        <f>4</f>
        <v>4</v>
      </c>
      <c r="Y741" s="64"/>
    </row>
    <row r="742" spans="1:25" s="54" customFormat="1" ht="15" customHeight="1" x14ac:dyDescent="0.3">
      <c r="A742" s="63"/>
      <c r="B742" s="64"/>
      <c r="C742" s="55"/>
      <c r="D742" s="64">
        <v>2017</v>
      </c>
      <c r="E742" s="65">
        <f>505500828*1000</f>
        <v>505500828000</v>
      </c>
      <c r="F742" s="65">
        <f>(505500828+192904620+1402343+61578080+42571985+7425696)*1000</f>
        <v>811383552000</v>
      </c>
      <c r="G742" s="65">
        <f>2966605878*1000</f>
        <v>2966605878000</v>
      </c>
      <c r="H742" s="65">
        <f>(24471229+5392820+1467447840+24062424+26839777)*1000</f>
        <v>1548214090000</v>
      </c>
      <c r="I742" s="65">
        <f>1591479311*1000</f>
        <v>1591479311000</v>
      </c>
      <c r="J742" s="65">
        <f>(6000000+935658708)*1000</f>
        <v>941658708000</v>
      </c>
      <c r="K742" s="65">
        <f>1375352652*1000</f>
        <v>1375352652000</v>
      </c>
      <c r="L742" s="65">
        <f>1247260864*1000</f>
        <v>1247260864000</v>
      </c>
      <c r="M742" s="65">
        <f>165019709*1000</f>
        <v>165019709000</v>
      </c>
      <c r="N742" s="65">
        <f>160822141*1000</f>
        <v>160822141000</v>
      </c>
      <c r="O742" s="66">
        <v>0.62329999999999997</v>
      </c>
      <c r="P742" s="67" t="s">
        <v>326</v>
      </c>
      <c r="Q742" s="65">
        <v>2</v>
      </c>
      <c r="R742" s="65">
        <v>5</v>
      </c>
      <c r="S742" s="65">
        <v>4</v>
      </c>
      <c r="T742" s="65">
        <f t="shared" si="69"/>
        <v>9</v>
      </c>
      <c r="U742" s="68">
        <v>0</v>
      </c>
      <c r="V742" s="65">
        <f>5+4+3</f>
        <v>12</v>
      </c>
      <c r="W742" s="65">
        <f t="shared" si="66"/>
        <v>12</v>
      </c>
      <c r="X742" s="65">
        <f>4</f>
        <v>4</v>
      </c>
      <c r="Y742" s="64"/>
    </row>
    <row r="743" spans="1:25" s="54" customFormat="1" ht="15" customHeight="1" x14ac:dyDescent="0.3">
      <c r="A743" s="63"/>
      <c r="B743" s="64"/>
      <c r="C743" s="55"/>
      <c r="D743" s="64">
        <v>2018</v>
      </c>
      <c r="E743" s="65">
        <f>711046435*1000</f>
        <v>711046435000</v>
      </c>
      <c r="F743" s="65">
        <f>(711046435+163179324+3060555+52842734+40528690+9293770)*1000</f>
        <v>979951508000</v>
      </c>
      <c r="G743" s="65">
        <f>2890427512*1000</f>
        <v>2890427512000</v>
      </c>
      <c r="H743" s="65">
        <f>(39372714+3376748+1379869291+17455525+9424610)*1000</f>
        <v>1449498888000</v>
      </c>
      <c r="I743" s="65">
        <f>1556041961*1000</f>
        <v>1556041961000</v>
      </c>
      <c r="J743" s="65">
        <f>(6250000+949711484)*1000</f>
        <v>955961484000</v>
      </c>
      <c r="K743" s="65">
        <f>1334408933*1000</f>
        <v>1334408933000</v>
      </c>
      <c r="L743" s="65">
        <f>1217339878*1000</f>
        <v>1217339878000</v>
      </c>
      <c r="M743" s="65">
        <f>50829464*1000</f>
        <v>50829464000</v>
      </c>
      <c r="N743" s="65">
        <f>69110393*1000</f>
        <v>69110393000</v>
      </c>
      <c r="O743" s="66">
        <v>0.62329999999999997</v>
      </c>
      <c r="P743" s="67" t="s">
        <v>326</v>
      </c>
      <c r="Q743" s="65">
        <v>2</v>
      </c>
      <c r="R743" s="65">
        <v>4</v>
      </c>
      <c r="S743" s="65">
        <v>3</v>
      </c>
      <c r="T743" s="65">
        <f t="shared" si="69"/>
        <v>7</v>
      </c>
      <c r="U743" s="68">
        <v>0</v>
      </c>
      <c r="V743" s="65">
        <f>4+4+3</f>
        <v>11</v>
      </c>
      <c r="W743" s="65">
        <f t="shared" si="66"/>
        <v>11</v>
      </c>
      <c r="X743" s="65">
        <f>3+4</f>
        <v>7</v>
      </c>
      <c r="Y743" s="64"/>
    </row>
    <row r="744" spans="1:25" s="54" customFormat="1" ht="15" customHeight="1" x14ac:dyDescent="0.3">
      <c r="A744" s="63"/>
      <c r="B744" s="64"/>
      <c r="C744" s="55"/>
      <c r="D744" s="64">
        <v>2019</v>
      </c>
      <c r="E744" s="65">
        <f>1026642680*1000</f>
        <v>1026642680000</v>
      </c>
      <c r="F744" s="65">
        <f>(1026642680+65098409+2891196+34917102+35151230+8638568)*1000</f>
        <v>1173339185000</v>
      </c>
      <c r="G744" s="65">
        <f>2579654391*1000</f>
        <v>2579654391000</v>
      </c>
      <c r="H744" s="65">
        <f>(10450350+620331+1176381808+11848233+1467708)*1000</f>
        <v>1200768430000</v>
      </c>
      <c r="I744" s="65">
        <f>1325948582*1000</f>
        <v>1325948582000</v>
      </c>
      <c r="J744" s="65">
        <f>(6500000+920275436)*1000</f>
        <v>926775436000</v>
      </c>
      <c r="K744" s="65">
        <f>1253704378*1000</f>
        <v>1253704378000</v>
      </c>
      <c r="L744" s="65">
        <f>1094421461*1000</f>
        <v>1094421461000</v>
      </c>
      <c r="M744" s="65">
        <f>79923584*1000</f>
        <v>79923584000</v>
      </c>
      <c r="N744" s="65">
        <f>87524342*1000</f>
        <v>87524342000</v>
      </c>
      <c r="O744" s="66">
        <v>0.62329999999999997</v>
      </c>
      <c r="P744" s="67" t="s">
        <v>326</v>
      </c>
      <c r="Q744" s="65">
        <v>3</v>
      </c>
      <c r="R744" s="65">
        <v>4</v>
      </c>
      <c r="S744" s="65">
        <v>3</v>
      </c>
      <c r="T744" s="65">
        <f t="shared" si="69"/>
        <v>7</v>
      </c>
      <c r="U744" s="68">
        <v>0</v>
      </c>
      <c r="V744" s="65">
        <f>4+4+3</f>
        <v>11</v>
      </c>
      <c r="W744" s="65">
        <f t="shared" si="66"/>
        <v>11</v>
      </c>
      <c r="X744" s="65">
        <f>3+2</f>
        <v>5</v>
      </c>
      <c r="Y744" s="64"/>
    </row>
    <row r="745" spans="1:25" s="54" customFormat="1" ht="15" customHeight="1" x14ac:dyDescent="0.3">
      <c r="A745" s="63"/>
      <c r="B745" s="64"/>
      <c r="C745" s="55"/>
      <c r="D745" s="64">
        <v>2020</v>
      </c>
      <c r="E745" s="65">
        <f>625083696*1000</f>
        <v>625083696000</v>
      </c>
      <c r="F745" s="65">
        <f>(625083696+76506001+2620870+17518311+21963304+4625128)*1000</f>
        <v>748317310000</v>
      </c>
      <c r="G745" s="65">
        <f>2477781648*1000</f>
        <v>2477781648000</v>
      </c>
      <c r="H745" s="65">
        <f>(3714232+3972163+911539508+16549069+28256531)*1000</f>
        <v>964031503000</v>
      </c>
      <c r="I745" s="65">
        <f>1090545646*1000</f>
        <v>1090545646000</v>
      </c>
      <c r="J745" s="65">
        <f>(6750000+1021737189)*1000</f>
        <v>1028487189000</v>
      </c>
      <c r="K745" s="65">
        <f>1387236002*1000</f>
        <v>1387236002000</v>
      </c>
      <c r="L745" s="65">
        <f>903418454*1000</f>
        <v>903418454000</v>
      </c>
      <c r="M745" s="65">
        <f>160874837*1000</f>
        <v>160874837000</v>
      </c>
      <c r="N745" s="65">
        <f>138190287*1000</f>
        <v>138190287000</v>
      </c>
      <c r="O745" s="66">
        <v>0.62329999999999997</v>
      </c>
      <c r="P745" s="67" t="s">
        <v>326</v>
      </c>
      <c r="Q745" s="65">
        <v>3</v>
      </c>
      <c r="R745" s="65">
        <v>4</v>
      </c>
      <c r="S745" s="65">
        <v>4</v>
      </c>
      <c r="T745" s="65">
        <f t="shared" si="69"/>
        <v>8</v>
      </c>
      <c r="U745" s="68">
        <v>0</v>
      </c>
      <c r="V745" s="65">
        <f>4+4+3</f>
        <v>11</v>
      </c>
      <c r="W745" s="65">
        <f t="shared" si="66"/>
        <v>11</v>
      </c>
      <c r="X745" s="65">
        <f>4+4</f>
        <v>8</v>
      </c>
      <c r="Y745" s="64"/>
    </row>
    <row r="746" spans="1:25" s="54" customFormat="1" ht="15" customHeight="1" x14ac:dyDescent="0.3">
      <c r="A746" s="63"/>
      <c r="B746" s="64"/>
      <c r="C746" s="55"/>
      <c r="D746" s="64">
        <v>2021</v>
      </c>
      <c r="E746" s="65">
        <f>385152941*1000</f>
        <v>385152941000</v>
      </c>
      <c r="F746" s="65">
        <f>(385152941+83234661+888932+25694312+66409917+3518290)*1000</f>
        <v>564899053000</v>
      </c>
      <c r="G746" s="65">
        <f>2495890568*1000</f>
        <v>2495890568000</v>
      </c>
      <c r="H746" s="65">
        <f>(3136681+15978424+817022686+17517577+8966586)*1000</f>
        <v>862621954000</v>
      </c>
      <c r="I746" s="65">
        <f>983787506*1000</f>
        <v>983787506000</v>
      </c>
      <c r="J746" s="65">
        <f>(7000000+1137206566)*1000</f>
        <v>1144206566000</v>
      </c>
      <c r="K746" s="65">
        <f>1512103062*1000</f>
        <v>1512103062000</v>
      </c>
      <c r="L746" s="65">
        <f>777394503*1000</f>
        <v>777394503000</v>
      </c>
      <c r="M746" s="65">
        <f>174699981*1000</f>
        <v>174699981000</v>
      </c>
      <c r="N746" s="65">
        <f>157351069*1000</f>
        <v>157351069000</v>
      </c>
      <c r="O746" s="66">
        <v>0.62329999999999997</v>
      </c>
      <c r="P746" s="67" t="s">
        <v>326</v>
      </c>
      <c r="Q746" s="65">
        <v>3</v>
      </c>
      <c r="R746" s="65">
        <v>4</v>
      </c>
      <c r="S746" s="65">
        <v>4</v>
      </c>
      <c r="T746" s="65">
        <f t="shared" si="69"/>
        <v>8</v>
      </c>
      <c r="U746" s="68">
        <v>0</v>
      </c>
      <c r="V746" s="65">
        <f>4+4+3</f>
        <v>11</v>
      </c>
      <c r="W746" s="65">
        <f t="shared" si="66"/>
        <v>11</v>
      </c>
      <c r="X746" s="65">
        <f>4+4</f>
        <v>8</v>
      </c>
      <c r="Y746" s="64"/>
    </row>
    <row r="747" spans="1:25" s="54" customFormat="1" ht="15" customHeight="1" x14ac:dyDescent="0.3">
      <c r="A747" s="63"/>
      <c r="B747" s="64"/>
      <c r="C747" s="55"/>
      <c r="D747" s="64">
        <v>2022</v>
      </c>
      <c r="E747" s="65">
        <f>445550439*1000</f>
        <v>445550439000</v>
      </c>
      <c r="F747" s="65">
        <f>(445550439+74310125+6046962+19409206+75811922+3541330)*1000</f>
        <v>624669984000</v>
      </c>
      <c r="G747" s="65">
        <f>2472105924*1000</f>
        <v>2472105924000</v>
      </c>
      <c r="H747" s="65">
        <f>(8036881+11086216+787735748+14060038+3540820)*1000</f>
        <v>824459703000</v>
      </c>
      <c r="I747" s="65">
        <f>966617847*1000</f>
        <v>966617847000</v>
      </c>
      <c r="J747" s="65">
        <f>(7250000+1177501003)*1000</f>
        <v>1184751003000</v>
      </c>
      <c r="K747" s="65">
        <f>1505488077*1000</f>
        <v>1505488077000</v>
      </c>
      <c r="L747" s="65">
        <f>738132307*1000</f>
        <v>738132307000</v>
      </c>
      <c r="M747" s="65">
        <f>105991095*1000</f>
        <v>105991095000</v>
      </c>
      <c r="N747" s="65">
        <f>91138279*1000</f>
        <v>91138279000</v>
      </c>
      <c r="O747" s="66">
        <v>0.62329999999999997</v>
      </c>
      <c r="P747" s="67" t="s">
        <v>326</v>
      </c>
      <c r="Q747" s="65">
        <v>3</v>
      </c>
      <c r="R747" s="65">
        <v>4</v>
      </c>
      <c r="S747" s="65">
        <v>4</v>
      </c>
      <c r="T747" s="65">
        <f t="shared" si="69"/>
        <v>8</v>
      </c>
      <c r="U747" s="68">
        <v>0</v>
      </c>
      <c r="V747" s="65">
        <f>4+4+3</f>
        <v>11</v>
      </c>
      <c r="W747" s="65">
        <f t="shared" si="66"/>
        <v>11</v>
      </c>
      <c r="X747" s="65">
        <f>4+4</f>
        <v>8</v>
      </c>
      <c r="Y747" s="64"/>
    </row>
    <row r="748" spans="1:25" s="54" customFormat="1" ht="15" customHeight="1" x14ac:dyDescent="0.3">
      <c r="A748" s="63"/>
      <c r="B748" s="64"/>
      <c r="C748" s="55"/>
      <c r="D748" s="64">
        <v>2023</v>
      </c>
      <c r="E748" s="65">
        <f>722652379*1000</f>
        <v>722652379000</v>
      </c>
      <c r="F748" s="65">
        <f>(722652379+95450831+7355202+20874409+139107755+3503334)*1000</f>
        <v>988943910000</v>
      </c>
      <c r="G748" s="65">
        <f>2664450707*1000</f>
        <v>2664450707000</v>
      </c>
      <c r="H748" s="65">
        <f>(2931349+29100798+940024531+17295474+3849437)*1000</f>
        <v>993201589000</v>
      </c>
      <c r="I748" s="65">
        <f>1115590529*1000</f>
        <v>1115590529000</v>
      </c>
      <c r="J748" s="65">
        <f>(7500000+1261832310)*1000</f>
        <v>1269332310000</v>
      </c>
      <c r="K748" s="65">
        <f>1548860178*1000</f>
        <v>1548860178000</v>
      </c>
      <c r="L748" s="65">
        <f>855193929*1000</f>
        <v>855193929000</v>
      </c>
      <c r="M748" s="65">
        <f>68578074*1000</f>
        <v>68578074000</v>
      </c>
      <c r="N748" s="65">
        <f>84575723*1000</f>
        <v>84575723000</v>
      </c>
      <c r="O748" s="66">
        <v>0.94769999999999999</v>
      </c>
      <c r="P748" s="67" t="s">
        <v>327</v>
      </c>
      <c r="Q748" s="65">
        <v>2</v>
      </c>
      <c r="R748" s="65">
        <v>4</v>
      </c>
      <c r="S748" s="65">
        <v>3</v>
      </c>
      <c r="T748" s="65">
        <f t="shared" si="69"/>
        <v>7</v>
      </c>
      <c r="U748" s="68">
        <v>0</v>
      </c>
      <c r="V748" s="65">
        <f>4+(2*4)</f>
        <v>12</v>
      </c>
      <c r="W748" s="65">
        <f t="shared" si="66"/>
        <v>12</v>
      </c>
      <c r="X748" s="65">
        <f>3+2</f>
        <v>5</v>
      </c>
      <c r="Y748" s="64"/>
    </row>
    <row r="749" spans="1:25" s="54" customFormat="1" ht="15" customHeight="1" x14ac:dyDescent="0.3">
      <c r="A749" s="63"/>
      <c r="B749" s="64"/>
      <c r="C749" s="55"/>
      <c r="D749" s="64">
        <v>2024</v>
      </c>
      <c r="E749" s="65">
        <f>422870963*1000</f>
        <v>422870963000</v>
      </c>
      <c r="F749" s="65">
        <f>(422870963+107503172+46066876+9342393+136348361+2887619)*1000</f>
        <v>725019384000</v>
      </c>
      <c r="G749" s="65">
        <f>2751906616*1000</f>
        <v>2751906616000</v>
      </c>
      <c r="H749" s="65">
        <f>(16954809+15867586+995280234+17508029+1299143)*1000</f>
        <v>1046909801000</v>
      </c>
      <c r="I749" s="65">
        <f>1192828879*1000</f>
        <v>1192828879000</v>
      </c>
      <c r="J749" s="65">
        <f>(7750000+1341639534)*1000</f>
        <v>1349389534000</v>
      </c>
      <c r="K749" s="65">
        <f>1559077737*1000</f>
        <v>1559077737000</v>
      </c>
      <c r="L749" s="65">
        <f>916057920*1000</f>
        <v>916057920000</v>
      </c>
      <c r="M749" s="65">
        <f>67474640*1000</f>
        <v>67474640000</v>
      </c>
      <c r="N749" s="65">
        <f>80050275*1000</f>
        <v>80050275000</v>
      </c>
      <c r="O749" s="66">
        <v>0.86760000000000004</v>
      </c>
      <c r="P749" s="67" t="s">
        <v>327</v>
      </c>
      <c r="Q749" s="65">
        <v>2</v>
      </c>
      <c r="R749" s="65">
        <v>4</v>
      </c>
      <c r="S749" s="65">
        <v>4</v>
      </c>
      <c r="T749" s="65">
        <f t="shared" si="69"/>
        <v>8</v>
      </c>
      <c r="U749" s="68">
        <v>0</v>
      </c>
      <c r="V749" s="65">
        <f>4+(2*3)</f>
        <v>10</v>
      </c>
      <c r="W749" s="65">
        <f t="shared" si="66"/>
        <v>10</v>
      </c>
      <c r="X749" s="65">
        <f>4+2</f>
        <v>6</v>
      </c>
      <c r="Y749" s="64"/>
    </row>
    <row r="750" spans="1:25" s="54" customFormat="1" ht="15" customHeight="1" x14ac:dyDescent="0.3">
      <c r="A750" s="63"/>
      <c r="B750" s="64">
        <v>69</v>
      </c>
      <c r="C750" s="55" t="s">
        <v>70</v>
      </c>
      <c r="D750" s="64">
        <v>2014</v>
      </c>
      <c r="E750" s="65">
        <v>0</v>
      </c>
      <c r="F750" s="65">
        <v>0</v>
      </c>
      <c r="G750" s="65">
        <v>0</v>
      </c>
      <c r="H750" s="65">
        <v>0</v>
      </c>
      <c r="I750" s="65">
        <v>0</v>
      </c>
      <c r="J750" s="65">
        <v>0</v>
      </c>
      <c r="K750" s="65">
        <v>0</v>
      </c>
      <c r="L750" s="65">
        <v>0</v>
      </c>
      <c r="M750" s="65">
        <v>0</v>
      </c>
      <c r="N750" s="65">
        <v>0</v>
      </c>
      <c r="O750" s="65">
        <v>0</v>
      </c>
      <c r="P750" s="65">
        <v>0</v>
      </c>
      <c r="Q750" s="65">
        <v>0</v>
      </c>
      <c r="R750" s="65">
        <v>0</v>
      </c>
      <c r="S750" s="65">
        <v>0</v>
      </c>
      <c r="T750" s="65">
        <v>0</v>
      </c>
      <c r="U750" s="65">
        <v>0</v>
      </c>
      <c r="V750" s="65">
        <v>0</v>
      </c>
      <c r="W750" s="65">
        <v>0</v>
      </c>
      <c r="X750" s="65">
        <v>0</v>
      </c>
      <c r="Y750" s="64"/>
    </row>
    <row r="751" spans="1:25" s="54" customFormat="1" ht="15" customHeight="1" x14ac:dyDescent="0.3">
      <c r="A751" s="63"/>
      <c r="B751" s="64"/>
      <c r="C751" s="55"/>
      <c r="D751" s="64">
        <v>2015</v>
      </c>
      <c r="E751" s="65">
        <v>0</v>
      </c>
      <c r="F751" s="65">
        <v>0</v>
      </c>
      <c r="G751" s="65">
        <v>0</v>
      </c>
      <c r="H751" s="65">
        <v>0</v>
      </c>
      <c r="I751" s="65">
        <v>0</v>
      </c>
      <c r="J751" s="65">
        <v>0</v>
      </c>
      <c r="K751" s="65">
        <v>0</v>
      </c>
      <c r="L751" s="65">
        <v>0</v>
      </c>
      <c r="M751" s="65">
        <v>0</v>
      </c>
      <c r="N751" s="65">
        <v>0</v>
      </c>
      <c r="O751" s="65">
        <v>0</v>
      </c>
      <c r="P751" s="65">
        <v>0</v>
      </c>
      <c r="Q751" s="65">
        <v>0</v>
      </c>
      <c r="R751" s="65">
        <v>0</v>
      </c>
      <c r="S751" s="65">
        <v>0</v>
      </c>
      <c r="T751" s="65">
        <v>0</v>
      </c>
      <c r="U751" s="65">
        <v>0</v>
      </c>
      <c r="V751" s="65">
        <v>0</v>
      </c>
      <c r="W751" s="65">
        <v>0</v>
      </c>
      <c r="X751" s="65">
        <v>0</v>
      </c>
      <c r="Y751" s="64"/>
    </row>
    <row r="752" spans="1:25" s="54" customFormat="1" ht="15" customHeight="1" x14ac:dyDescent="0.3">
      <c r="A752" s="63"/>
      <c r="B752" s="64"/>
      <c r="C752" s="55"/>
      <c r="D752" s="64">
        <v>2016</v>
      </c>
      <c r="E752" s="65">
        <v>0</v>
      </c>
      <c r="F752" s="65">
        <v>0</v>
      </c>
      <c r="G752" s="65">
        <v>0</v>
      </c>
      <c r="H752" s="65">
        <v>0</v>
      </c>
      <c r="I752" s="65">
        <v>0</v>
      </c>
      <c r="J752" s="65">
        <v>0</v>
      </c>
      <c r="K752" s="65">
        <v>0</v>
      </c>
      <c r="L752" s="65">
        <v>0</v>
      </c>
      <c r="M752" s="65">
        <v>0</v>
      </c>
      <c r="N752" s="65">
        <v>0</v>
      </c>
      <c r="O752" s="65">
        <v>0</v>
      </c>
      <c r="P752" s="65">
        <v>0</v>
      </c>
      <c r="Q752" s="65">
        <v>0</v>
      </c>
      <c r="R752" s="65">
        <v>0</v>
      </c>
      <c r="S752" s="65">
        <v>0</v>
      </c>
      <c r="T752" s="65">
        <v>0</v>
      </c>
      <c r="U752" s="65">
        <v>0</v>
      </c>
      <c r="V752" s="65">
        <v>0</v>
      </c>
      <c r="W752" s="65">
        <v>0</v>
      </c>
      <c r="X752" s="65">
        <v>0</v>
      </c>
      <c r="Y752" s="64"/>
    </row>
    <row r="753" spans="1:25" s="54" customFormat="1" ht="15" customHeight="1" x14ac:dyDescent="0.3">
      <c r="A753" s="63"/>
      <c r="B753" s="64"/>
      <c r="C753" s="55"/>
      <c r="D753" s="64">
        <v>2017</v>
      </c>
      <c r="E753" s="67">
        <f>7655.69*1000000</f>
        <v>7655690000</v>
      </c>
      <c r="F753" s="69">
        <f>(7655.69+38054.11+1291.5+42534.08+83.39+725.53+2411.5)*1000000</f>
        <v>92755800000</v>
      </c>
      <c r="G753" s="65">
        <f>390722.63*1000000</f>
        <v>390722630000</v>
      </c>
      <c r="H753" s="65">
        <f>52944.07*1000000</f>
        <v>52944070000</v>
      </c>
      <c r="I753" s="65">
        <f>238868.79*1000000</f>
        <v>238868790000</v>
      </c>
      <c r="J753" s="65">
        <f>73558.49*1000000</f>
        <v>73558490000</v>
      </c>
      <c r="K753" s="65">
        <f>151853.84*1000000</f>
        <v>151853840000</v>
      </c>
      <c r="L753" s="65">
        <f>80430.4*1000000</f>
        <v>80430400000</v>
      </c>
      <c r="M753" s="65">
        <f>28760.08*1000000</f>
        <v>28760080000</v>
      </c>
      <c r="N753" s="65">
        <f>25574.79*1000000</f>
        <v>25574790000</v>
      </c>
      <c r="O753" s="65">
        <v>0</v>
      </c>
      <c r="P753" s="65">
        <v>0</v>
      </c>
      <c r="Q753" s="65">
        <v>0</v>
      </c>
      <c r="R753" s="65">
        <v>0</v>
      </c>
      <c r="S753" s="65">
        <v>0</v>
      </c>
      <c r="T753" s="65">
        <v>0</v>
      </c>
      <c r="U753" s="65">
        <v>0</v>
      </c>
      <c r="V753" s="65">
        <v>0</v>
      </c>
      <c r="W753" s="65">
        <v>0</v>
      </c>
      <c r="X753" s="65">
        <v>0</v>
      </c>
      <c r="Y753" s="64"/>
    </row>
    <row r="754" spans="1:25" s="54" customFormat="1" ht="15" customHeight="1" x14ac:dyDescent="0.3">
      <c r="A754" s="63"/>
      <c r="B754" s="64"/>
      <c r="C754" s="55"/>
      <c r="D754" s="64">
        <v>2018</v>
      </c>
      <c r="E754" s="67">
        <f>7243.52*1000000</f>
        <v>7243520000</v>
      </c>
      <c r="F754" s="65">
        <f>(7243.52+34438.92+1925.61+66004.9+1.36+1064.27+2852.56)*1000000</f>
        <v>113531140000</v>
      </c>
      <c r="G754" s="65">
        <f>445745.74*1000000</f>
        <v>445745740000</v>
      </c>
      <c r="H754" s="65">
        <f>54765.32*1000000</f>
        <v>54765320000</v>
      </c>
      <c r="I754" s="65">
        <f>281514.92*1000000</f>
        <v>281514920000</v>
      </c>
      <c r="J754" s="65">
        <f>82643.65*1000000</f>
        <v>82643650000</v>
      </c>
      <c r="K754" s="65">
        <f>164230.81*1000000</f>
        <v>164230810000</v>
      </c>
      <c r="L754" s="65">
        <f>93442.49*1000000</f>
        <v>93442490000</v>
      </c>
      <c r="M754" s="65">
        <f>33743.28*1000000</f>
        <v>33743280000</v>
      </c>
      <c r="N754" s="65">
        <f>30203.87*1000000</f>
        <v>30203870000</v>
      </c>
      <c r="O754" s="66">
        <v>0.75370000000000004</v>
      </c>
      <c r="P754" s="71" t="s">
        <v>258</v>
      </c>
      <c r="Q754" s="65">
        <v>2</v>
      </c>
      <c r="R754" s="65">
        <v>3</v>
      </c>
      <c r="S754" s="65">
        <v>3</v>
      </c>
      <c r="T754" s="65">
        <f>SUM(R754:S754)</f>
        <v>6</v>
      </c>
      <c r="U754" s="68">
        <v>0</v>
      </c>
      <c r="V754" s="65">
        <f>3</f>
        <v>3</v>
      </c>
      <c r="W754" s="65">
        <f t="shared" si="66"/>
        <v>3</v>
      </c>
      <c r="X754" s="65">
        <f>3+(2*3)</f>
        <v>9</v>
      </c>
      <c r="Y754" s="64"/>
    </row>
    <row r="755" spans="1:25" s="54" customFormat="1" ht="15" customHeight="1" x14ac:dyDescent="0.3">
      <c r="A755" s="63"/>
      <c r="B755" s="64"/>
      <c r="C755" s="55"/>
      <c r="D755" s="64">
        <v>2019</v>
      </c>
      <c r="E755" s="65">
        <f>32668.86*1000000</f>
        <v>32668860000</v>
      </c>
      <c r="F755" s="65">
        <f>(32705.27+26705.27+245.5+69484.58+12.09+10588.61+3367.38)*1000000</f>
        <v>143108700000</v>
      </c>
      <c r="G755" s="65">
        <f>541929.7*1000000</f>
        <v>541929699999.99994</v>
      </c>
      <c r="H755" s="65">
        <f>50782.82*1000000</f>
        <v>50782820000</v>
      </c>
      <c r="I755" s="65">
        <f>363903.83*1000000</f>
        <v>363903830000</v>
      </c>
      <c r="J755" s="65">
        <f>91511.2*1000000</f>
        <v>91511200000</v>
      </c>
      <c r="K755" s="65">
        <f>178025.87*1000000</f>
        <v>178025870000</v>
      </c>
      <c r="L755" s="65">
        <f>104586.65*1000000</f>
        <v>104586650000</v>
      </c>
      <c r="M755" s="65">
        <f>44165.27*1000000</f>
        <v>44165270000</v>
      </c>
      <c r="N755" s="65">
        <f>37361.45*1000000</f>
        <v>37361450000</v>
      </c>
      <c r="O755" s="66">
        <v>0.75370000000000004</v>
      </c>
      <c r="P755" s="71" t="s">
        <v>258</v>
      </c>
      <c r="Q755" s="65">
        <v>2</v>
      </c>
      <c r="R755" s="65">
        <v>3</v>
      </c>
      <c r="S755" s="65">
        <v>4</v>
      </c>
      <c r="T755" s="65">
        <f t="shared" ref="T755:T760" si="70">SUM(R755:S755)</f>
        <v>7</v>
      </c>
      <c r="U755" s="68">
        <v>0</v>
      </c>
      <c r="V755" s="65">
        <f>3+2</f>
        <v>5</v>
      </c>
      <c r="W755" s="65">
        <f t="shared" si="66"/>
        <v>5</v>
      </c>
      <c r="X755" s="65">
        <f>4+(2*4)</f>
        <v>12</v>
      </c>
      <c r="Y755" s="64"/>
    </row>
    <row r="756" spans="1:25" s="54" customFormat="1" ht="15" customHeight="1" x14ac:dyDescent="0.3">
      <c r="A756" s="63"/>
      <c r="B756" s="64"/>
      <c r="C756" s="55"/>
      <c r="D756" s="64">
        <v>2020</v>
      </c>
      <c r="E756" s="65">
        <f>18575.05*1000000</f>
        <v>18575050000</v>
      </c>
      <c r="F756" s="65">
        <f>(18575.05+46833.08+1882.25+128326.78+91.64+6336.51+3694.41)*1000000</f>
        <v>205739720000.00003</v>
      </c>
      <c r="G756" s="65">
        <f>651096.71*1000000</f>
        <v>651096710000</v>
      </c>
      <c r="H756" s="65">
        <f>69018.2*1000000</f>
        <v>69018200000</v>
      </c>
      <c r="I756" s="65">
        <f>461577.7*1000000</f>
        <v>461577700000</v>
      </c>
      <c r="J756" s="65">
        <f>95394.34*1000000</f>
        <v>95394340000</v>
      </c>
      <c r="K756" s="65">
        <f>189519*1000000</f>
        <v>189519000000</v>
      </c>
      <c r="L756" s="65">
        <f>105562.4*1000000</f>
        <v>105562400000</v>
      </c>
      <c r="M756" s="65">
        <f>47208.02*1000000</f>
        <v>47208020000</v>
      </c>
      <c r="N756" s="65">
        <f>42154.15*1000000</f>
        <v>42154150000</v>
      </c>
      <c r="O756" s="66">
        <v>0.75370000000000004</v>
      </c>
      <c r="P756" s="71" t="s">
        <v>258</v>
      </c>
      <c r="Q756" s="65">
        <v>2</v>
      </c>
      <c r="R756" s="65">
        <v>3</v>
      </c>
      <c r="S756" s="65">
        <v>4</v>
      </c>
      <c r="T756" s="65">
        <f t="shared" si="70"/>
        <v>7</v>
      </c>
      <c r="U756" s="68">
        <v>0</v>
      </c>
      <c r="V756" s="65">
        <f>3+2</f>
        <v>5</v>
      </c>
      <c r="W756" s="65">
        <f t="shared" si="66"/>
        <v>5</v>
      </c>
      <c r="X756" s="65">
        <f>4+(2*5)</f>
        <v>14</v>
      </c>
      <c r="Y756" s="64"/>
    </row>
    <row r="757" spans="1:25" s="54" customFormat="1" ht="15" customHeight="1" x14ac:dyDescent="0.3">
      <c r="A757" s="63"/>
      <c r="B757" s="64"/>
      <c r="C757" s="55"/>
      <c r="D757" s="64">
        <v>2021</v>
      </c>
      <c r="E757" s="65">
        <f>23053.97*1000000</f>
        <v>23053970000</v>
      </c>
      <c r="F757" s="65">
        <f>(23053.97+86123.53+1250.98+86146.12+52.59+13961.15+3940.18)*1000000</f>
        <v>214528519999.99997</v>
      </c>
      <c r="G757" s="65">
        <f>638850.14*1000000</f>
        <v>638850140000</v>
      </c>
      <c r="H757" s="65">
        <f>90856.49*1000000</f>
        <v>90856490000</v>
      </c>
      <c r="I757" s="65">
        <f>451562.71*1000000</f>
        <v>451562710000</v>
      </c>
      <c r="J757" s="65">
        <f>84315.6*1000000</f>
        <v>84315600000</v>
      </c>
      <c r="K757" s="65">
        <f>187287.43*1000000</f>
        <v>187287430000</v>
      </c>
      <c r="L757" s="65">
        <f>89587.5*1000000</f>
        <v>89587500000</v>
      </c>
      <c r="M757" s="65">
        <f>33320.01*1000000</f>
        <v>33320010000.000004</v>
      </c>
      <c r="N757" s="65">
        <f>31535.62*1000000</f>
        <v>31535620000</v>
      </c>
      <c r="O757" s="66">
        <v>0.75370000000000004</v>
      </c>
      <c r="P757" s="71" t="s">
        <v>258</v>
      </c>
      <c r="Q757" s="65">
        <v>2</v>
      </c>
      <c r="R757" s="65">
        <v>3</v>
      </c>
      <c r="S757" s="65">
        <v>5</v>
      </c>
      <c r="T757" s="65">
        <f t="shared" si="70"/>
        <v>8</v>
      </c>
      <c r="U757" s="68">
        <v>0</v>
      </c>
      <c r="V757" s="65">
        <f>3+(2*2)</f>
        <v>7</v>
      </c>
      <c r="W757" s="65">
        <f t="shared" si="66"/>
        <v>7</v>
      </c>
      <c r="X757" s="65">
        <f>5+(2*4)</f>
        <v>13</v>
      </c>
      <c r="Y757" s="64"/>
    </row>
    <row r="758" spans="1:25" s="54" customFormat="1" ht="15" customHeight="1" x14ac:dyDescent="0.3">
      <c r="A758" s="63"/>
      <c r="B758" s="64"/>
      <c r="C758" s="55"/>
      <c r="D758" s="64">
        <v>2022</v>
      </c>
      <c r="E758" s="65">
        <f>39551.15*1000000</f>
        <v>39551150000</v>
      </c>
      <c r="F758" s="65">
        <f>(39551.15+60890.71+2718.1+115805.89+48.17+17504.23+4310.81)*1000000</f>
        <v>240829060000.00003</v>
      </c>
      <c r="G758" s="65">
        <f>717529.21*1000000</f>
        <v>717529210000</v>
      </c>
      <c r="H758" s="65">
        <f>74198.98*1000000</f>
        <v>74198980000</v>
      </c>
      <c r="I758" s="65">
        <f>512266.59*1000000</f>
        <v>512266590000</v>
      </c>
      <c r="J758" s="65">
        <f>94738*1000000</f>
        <v>94738000000</v>
      </c>
      <c r="K758" s="65">
        <f>205262.62*1000000</f>
        <v>205262620000</v>
      </c>
      <c r="L758" s="65">
        <f>140140.96*1000000</f>
        <v>140140960000</v>
      </c>
      <c r="M758" s="65">
        <f>46535.4*1000000</f>
        <v>46535400000</v>
      </c>
      <c r="N758" s="65">
        <f>42879.19*1000000</f>
        <v>42879190000</v>
      </c>
      <c r="O758" s="66">
        <v>0.75370000000000004</v>
      </c>
      <c r="P758" s="71" t="s">
        <v>258</v>
      </c>
      <c r="Q758" s="65">
        <v>2</v>
      </c>
      <c r="R758" s="65">
        <v>3</v>
      </c>
      <c r="S758" s="65">
        <v>5</v>
      </c>
      <c r="T758" s="65">
        <f t="shared" si="70"/>
        <v>8</v>
      </c>
      <c r="U758" s="68">
        <v>0</v>
      </c>
      <c r="V758" s="65">
        <f>3+(2*2)</f>
        <v>7</v>
      </c>
      <c r="W758" s="65">
        <f t="shared" si="66"/>
        <v>7</v>
      </c>
      <c r="X758" s="65">
        <f>5+(2*2)</f>
        <v>9</v>
      </c>
      <c r="Y758" s="64"/>
    </row>
    <row r="759" spans="1:25" s="54" customFormat="1" ht="15" customHeight="1" x14ac:dyDescent="0.3">
      <c r="A759" s="63"/>
      <c r="B759" s="64"/>
      <c r="C759" s="55"/>
      <c r="D759" s="64">
        <v>2023</v>
      </c>
      <c r="E759" s="65">
        <f>44663.13*1000000</f>
        <v>44663130000</v>
      </c>
      <c r="F759" s="65">
        <f>(44663.13+68278.31+2375.16+165442.9+342.17+19127.62+4542.54)*1000000</f>
        <v>304771829999.99994</v>
      </c>
      <c r="G759" s="65">
        <f>862563.24*1000000</f>
        <v>862563240000</v>
      </c>
      <c r="H759" s="65">
        <f>82051.45*1000000</f>
        <v>82051450000</v>
      </c>
      <c r="I759" s="65">
        <f>603190.08*1000000</f>
        <v>603190080000</v>
      </c>
      <c r="J759" s="65">
        <f>95793.77*1000000</f>
        <v>95793770000</v>
      </c>
      <c r="K759" s="65">
        <f>259373.16*1000000</f>
        <v>259373160000</v>
      </c>
      <c r="L759" s="65">
        <f>143645.16*1000000</f>
        <v>143645160000</v>
      </c>
      <c r="M759" s="65">
        <f>54633.59*1000000</f>
        <v>54633590000</v>
      </c>
      <c r="N759" s="65">
        <f>42350.27*1000000</f>
        <v>42350270000</v>
      </c>
      <c r="O759" s="66">
        <v>0.67589999999999995</v>
      </c>
      <c r="P759" s="71" t="s">
        <v>258</v>
      </c>
      <c r="Q759" s="65">
        <v>2</v>
      </c>
      <c r="R759" s="65">
        <v>3</v>
      </c>
      <c r="S759" s="65">
        <v>4</v>
      </c>
      <c r="T759" s="65">
        <f t="shared" si="70"/>
        <v>7</v>
      </c>
      <c r="U759" s="68">
        <v>0</v>
      </c>
      <c r="V759" s="65">
        <f>3+2</f>
        <v>5</v>
      </c>
      <c r="W759" s="65">
        <f t="shared" si="66"/>
        <v>5</v>
      </c>
      <c r="X759" s="65">
        <f>4+(2*3)+3</f>
        <v>13</v>
      </c>
      <c r="Y759" s="64"/>
    </row>
    <row r="760" spans="1:25" s="54" customFormat="1" ht="15" customHeight="1" x14ac:dyDescent="0.3">
      <c r="A760" s="63"/>
      <c r="B760" s="64"/>
      <c r="C760" s="55"/>
      <c r="D760" s="64">
        <v>2024</v>
      </c>
      <c r="E760" s="65">
        <f>77439.34*1000000</f>
        <v>77439340000</v>
      </c>
      <c r="F760" s="65">
        <f>(77439.34+41878.92+2318.13+119577.84+68.42+21518.67+5286.34)*1000000</f>
        <v>268087660000.00003</v>
      </c>
      <c r="G760" s="65">
        <f>914639.76*1000000</f>
        <v>914639760000</v>
      </c>
      <c r="H760" s="65">
        <f>95242.45*1000000</f>
        <v>95242450000</v>
      </c>
      <c r="I760" s="65">
        <f>640518.16*1000000</f>
        <v>640518160000</v>
      </c>
      <c r="J760" s="65">
        <f>102357.18*1000000</f>
        <v>102357180000</v>
      </c>
      <c r="K760" s="65">
        <f>274121.6*1000000</f>
        <v>274121599999.99997</v>
      </c>
      <c r="L760" s="65">
        <f>182014.1*1000000</f>
        <v>182014100000</v>
      </c>
      <c r="M760" s="65">
        <f>58465.82*1000000</f>
        <v>58465820000</v>
      </c>
      <c r="N760" s="65">
        <f>48834.84*1000000</f>
        <v>48834840000</v>
      </c>
      <c r="O760" s="66">
        <v>0.67589999999999995</v>
      </c>
      <c r="P760" s="71" t="s">
        <v>258</v>
      </c>
      <c r="Q760" s="65">
        <v>2</v>
      </c>
      <c r="R760" s="65">
        <v>3</v>
      </c>
      <c r="S760" s="65">
        <v>4</v>
      </c>
      <c r="T760" s="65">
        <f t="shared" si="70"/>
        <v>7</v>
      </c>
      <c r="U760" s="68">
        <v>0</v>
      </c>
      <c r="V760" s="65">
        <f>3+2</f>
        <v>5</v>
      </c>
      <c r="W760" s="65">
        <f t="shared" si="66"/>
        <v>5</v>
      </c>
      <c r="X760" s="65">
        <f>4+(2*2)+3</f>
        <v>11</v>
      </c>
      <c r="Y760" s="64"/>
    </row>
    <row r="761" spans="1:25" s="54" customFormat="1" ht="15" customHeight="1" x14ac:dyDescent="0.3">
      <c r="A761" s="63"/>
      <c r="B761" s="64">
        <v>70</v>
      </c>
      <c r="C761" s="55" t="s">
        <v>71</v>
      </c>
      <c r="D761" s="64">
        <v>2014</v>
      </c>
      <c r="E761" s="65">
        <v>0</v>
      </c>
      <c r="F761" s="65">
        <v>0</v>
      </c>
      <c r="G761" s="65">
        <v>0</v>
      </c>
      <c r="H761" s="65">
        <v>0</v>
      </c>
      <c r="I761" s="65">
        <v>0</v>
      </c>
      <c r="J761" s="65">
        <v>0</v>
      </c>
      <c r="K761" s="65">
        <v>0</v>
      </c>
      <c r="L761" s="65">
        <f>131940785*1000</f>
        <v>131940785000</v>
      </c>
      <c r="M761" s="65">
        <v>0</v>
      </c>
      <c r="N761" s="65">
        <v>0</v>
      </c>
      <c r="O761" s="65">
        <v>0</v>
      </c>
      <c r="P761" s="65">
        <v>0</v>
      </c>
      <c r="Q761" s="65">
        <v>0</v>
      </c>
      <c r="R761" s="65">
        <v>0</v>
      </c>
      <c r="S761" s="65">
        <v>0</v>
      </c>
      <c r="T761" s="65">
        <v>0</v>
      </c>
      <c r="U761" s="65">
        <v>0</v>
      </c>
      <c r="V761" s="65">
        <v>0</v>
      </c>
      <c r="W761" s="65">
        <v>0</v>
      </c>
      <c r="X761" s="65">
        <v>0</v>
      </c>
      <c r="Y761" s="64"/>
    </row>
    <row r="762" spans="1:25" s="54" customFormat="1" ht="15" customHeight="1" x14ac:dyDescent="0.3">
      <c r="A762" s="63"/>
      <c r="B762" s="64"/>
      <c r="C762" s="55"/>
      <c r="D762" s="64">
        <v>2015</v>
      </c>
      <c r="E762" s="65">
        <f>6983516*1000</f>
        <v>6983516000</v>
      </c>
      <c r="F762" s="65">
        <f>(6983516+752441+117499668+5752011+9839241+163500)*1000</f>
        <v>140990377000</v>
      </c>
      <c r="G762" s="65">
        <f>494002999*1000</f>
        <v>494002999000</v>
      </c>
      <c r="H762" s="65">
        <f>(333297913-12017472-245100141)*1000</f>
        <v>76180300000</v>
      </c>
      <c r="I762" s="65">
        <f>333297913*1000</f>
        <v>333297913000</v>
      </c>
      <c r="J762" s="65">
        <f>(7331862+67300593)*1000</f>
        <v>74632455000</v>
      </c>
      <c r="K762" s="65">
        <f>160705086*1000</f>
        <v>160705086000</v>
      </c>
      <c r="L762" s="65">
        <f>176303360*1000</f>
        <v>176303360000</v>
      </c>
      <c r="M762" s="65">
        <f>30471312*1000</f>
        <v>30471312000</v>
      </c>
      <c r="N762" s="65">
        <f>28199274*1000</f>
        <v>28199274000</v>
      </c>
      <c r="O762" s="66">
        <v>0.35460000000000003</v>
      </c>
      <c r="P762" s="67" t="s">
        <v>313</v>
      </c>
      <c r="Q762" s="65">
        <v>2</v>
      </c>
      <c r="R762" s="65">
        <v>4</v>
      </c>
      <c r="S762" s="65">
        <v>4</v>
      </c>
      <c r="T762" s="65">
        <f>SUM(R762:S762)</f>
        <v>8</v>
      </c>
      <c r="U762" s="68">
        <v>6.7999999999999996E-3</v>
      </c>
      <c r="V762" s="65">
        <f>3+(2*2)+3</f>
        <v>10</v>
      </c>
      <c r="W762" s="65">
        <f t="shared" si="66"/>
        <v>10</v>
      </c>
      <c r="X762" s="65">
        <f>4+(2*3)</f>
        <v>10</v>
      </c>
      <c r="Y762" s="64"/>
    </row>
    <row r="763" spans="1:25" s="54" customFormat="1" ht="15" customHeight="1" x14ac:dyDescent="0.3">
      <c r="A763" s="63"/>
      <c r="B763" s="64"/>
      <c r="C763" s="55"/>
      <c r="D763" s="64">
        <v>2016</v>
      </c>
      <c r="E763" s="65">
        <f>20921179*1000</f>
        <v>20921179000</v>
      </c>
      <c r="F763" s="65">
        <f>(20921179+1629179+120212473+12989745+6933511+90001150)*1000</f>
        <v>252687237000</v>
      </c>
      <c r="G763" s="65">
        <f>525898830*1000</f>
        <v>525898830000</v>
      </c>
      <c r="H763" s="65">
        <f>(352247208-281563544-12267844)*1000</f>
        <v>58415820000</v>
      </c>
      <c r="I763" s="65">
        <f>352247208*1000</f>
        <v>352247208000</v>
      </c>
      <c r="J763" s="65">
        <f>(8741826+78679769)*1000</f>
        <v>87421595000</v>
      </c>
      <c r="K763" s="65">
        <f>173651622*1000</f>
        <v>173651622000</v>
      </c>
      <c r="L763" s="65">
        <f>202273834*1000</f>
        <v>202273834000</v>
      </c>
      <c r="M763" s="65">
        <f>18730381*1000</f>
        <v>18730381000</v>
      </c>
      <c r="N763" s="65">
        <f>15304781*1000</f>
        <v>15304781000</v>
      </c>
      <c r="O763" s="66">
        <v>0.35460000000000003</v>
      </c>
      <c r="P763" s="67" t="s">
        <v>313</v>
      </c>
      <c r="Q763" s="65">
        <v>3</v>
      </c>
      <c r="R763" s="65">
        <v>6</v>
      </c>
      <c r="S763" s="65">
        <v>3</v>
      </c>
      <c r="T763" s="65">
        <f t="shared" ref="T763:T771" si="71">SUM(R763:S763)</f>
        <v>9</v>
      </c>
      <c r="U763" s="68">
        <v>6.7999999999999996E-3</v>
      </c>
      <c r="V763" s="65">
        <f>5+(2*3)+3</f>
        <v>14</v>
      </c>
      <c r="W763" s="65">
        <f t="shared" si="66"/>
        <v>14</v>
      </c>
      <c r="X763" s="65">
        <f>3+4</f>
        <v>7</v>
      </c>
      <c r="Y763" s="64"/>
    </row>
    <row r="764" spans="1:25" s="54" customFormat="1" ht="15" customHeight="1" x14ac:dyDescent="0.3">
      <c r="A764" s="63"/>
      <c r="B764" s="64"/>
      <c r="C764" s="55"/>
      <c r="D764" s="64">
        <v>2017</v>
      </c>
      <c r="E764" s="65">
        <f>21799624*1000</f>
        <v>21799624000</v>
      </c>
      <c r="F764" s="65">
        <f>(21799624+2216185+137894866+25111779+13085548+131006437)*1000</f>
        <v>331114439000</v>
      </c>
      <c r="G764" s="65">
        <f>738183659*1000</f>
        <v>738183659000</v>
      </c>
      <c r="H764" s="65">
        <f>(470635644-336878876-14618370)*1000</f>
        <v>119138398000</v>
      </c>
      <c r="I764" s="65">
        <f>470635644*1000</f>
        <v>470635644000</v>
      </c>
      <c r="J764" s="65">
        <f>(9507065+85863910)*1000</f>
        <v>95370975000</v>
      </c>
      <c r="K764" s="65">
        <f>267548015*1000</f>
        <v>267548015000</v>
      </c>
      <c r="L764" s="65">
        <f>226042676*1000</f>
        <v>226042676000</v>
      </c>
      <c r="M764" s="65">
        <f>13929913*1000</f>
        <v>13929913000</v>
      </c>
      <c r="N764" s="65">
        <f>13511398*1000</f>
        <v>13511398000</v>
      </c>
      <c r="O764" s="66">
        <v>0.35460000000000003</v>
      </c>
      <c r="P764" s="67" t="s">
        <v>313</v>
      </c>
      <c r="Q764" s="65">
        <v>3</v>
      </c>
      <c r="R764" s="65">
        <v>6</v>
      </c>
      <c r="S764" s="65">
        <v>3</v>
      </c>
      <c r="T764" s="65">
        <f t="shared" si="71"/>
        <v>9</v>
      </c>
      <c r="U764" s="68">
        <v>6.7999999999999996E-3</v>
      </c>
      <c r="V764" s="65">
        <f>5+(2*3)+3</f>
        <v>14</v>
      </c>
      <c r="W764" s="65">
        <f t="shared" si="66"/>
        <v>14</v>
      </c>
      <c r="X764" s="65">
        <f>3+4</f>
        <v>7</v>
      </c>
      <c r="Y764" s="64"/>
    </row>
    <row r="765" spans="1:25" s="54" customFormat="1" ht="15" customHeight="1" x14ac:dyDescent="0.3">
      <c r="A765" s="63"/>
      <c r="B765" s="64"/>
      <c r="C765" s="55"/>
      <c r="D765" s="64">
        <v>2018</v>
      </c>
      <c r="E765" s="65">
        <f>23975854*1000</f>
        <v>23975854000</v>
      </c>
      <c r="F765" s="65">
        <f>(23975854+3573547+139015064+35241672+8481617+229641378)*1000</f>
        <v>439929132000</v>
      </c>
      <c r="G765" s="65">
        <f>874472888*1000</f>
        <v>874472888000</v>
      </c>
      <c r="H765" s="65">
        <f>(593110979-450259212-11927220)*1000</f>
        <v>130924547000</v>
      </c>
      <c r="I765" s="65">
        <f>593110979*1000</f>
        <v>593110979000</v>
      </c>
      <c r="J765" s="65">
        <f>(10182635+102754350)*1000</f>
        <v>112936985000</v>
      </c>
      <c r="K765" s="65">
        <f>281361909*1000</f>
        <v>281361909000</v>
      </c>
      <c r="L765" s="65">
        <f>264899142*1000</f>
        <v>264899142000</v>
      </c>
      <c r="M765" s="65">
        <f>15214756*1000</f>
        <v>15214756000</v>
      </c>
      <c r="N765" s="65">
        <f>13936519*1000</f>
        <v>13936519000</v>
      </c>
      <c r="O765" s="66">
        <v>0.35460000000000003</v>
      </c>
      <c r="P765" s="67" t="s">
        <v>313</v>
      </c>
      <c r="Q765" s="65">
        <v>4</v>
      </c>
      <c r="R765" s="65">
        <v>7</v>
      </c>
      <c r="S765" s="65">
        <v>3</v>
      </c>
      <c r="T765" s="65">
        <f t="shared" si="71"/>
        <v>10</v>
      </c>
      <c r="U765" s="68">
        <v>6.7999999999999996E-3</v>
      </c>
      <c r="V765" s="65">
        <f>6+(2*4)+(3*2)</f>
        <v>20</v>
      </c>
      <c r="W765" s="65">
        <f t="shared" si="66"/>
        <v>20</v>
      </c>
      <c r="X765" s="65">
        <f>3+4</f>
        <v>7</v>
      </c>
      <c r="Y765" s="64"/>
    </row>
    <row r="766" spans="1:25" s="54" customFormat="1" ht="15" customHeight="1" x14ac:dyDescent="0.3">
      <c r="A766" s="63"/>
      <c r="B766" s="64"/>
      <c r="C766" s="55"/>
      <c r="D766" s="64">
        <v>2019</v>
      </c>
      <c r="E766" s="65">
        <f>25446117*1000</f>
        <v>25446117000</v>
      </c>
      <c r="F766" s="65">
        <f>(25446117+3020251+140867986+28846599+4837171+243772164)*1000</f>
        <v>446790288000</v>
      </c>
      <c r="G766" s="65">
        <f>857520585*1000</f>
        <v>857520585000</v>
      </c>
      <c r="H766" s="65">
        <f>(566035087-470546105-12353132)*1000</f>
        <v>83135850000</v>
      </c>
      <c r="I766" s="65">
        <f>566035087*1000</f>
        <v>566035087000</v>
      </c>
      <c r="J766" s="65">
        <f>(10879461+111988213)*1000</f>
        <v>122867674000</v>
      </c>
      <c r="K766" s="65">
        <f>291485498*1000</f>
        <v>291485498000</v>
      </c>
      <c r="L766" s="65">
        <f>250804486*1000</f>
        <v>250804486000</v>
      </c>
      <c r="M766" s="65">
        <f>7942780*1000</f>
        <v>7942780000</v>
      </c>
      <c r="N766" s="65">
        <f>8009060*1000</f>
        <v>8009060000</v>
      </c>
      <c r="O766" s="66">
        <v>0.35460000000000003</v>
      </c>
      <c r="P766" s="67" t="s">
        <v>313</v>
      </c>
      <c r="Q766" s="65">
        <v>3</v>
      </c>
      <c r="R766" s="65">
        <v>5</v>
      </c>
      <c r="S766" s="65">
        <v>4</v>
      </c>
      <c r="T766" s="65">
        <f t="shared" si="71"/>
        <v>9</v>
      </c>
      <c r="U766" s="68">
        <v>6.7999999999999996E-3</v>
      </c>
      <c r="V766" s="65">
        <f>4+(2*3)+3</f>
        <v>13</v>
      </c>
      <c r="W766" s="65">
        <f t="shared" si="66"/>
        <v>13</v>
      </c>
      <c r="X766" s="65">
        <f>4+(2*3)+3</f>
        <v>13</v>
      </c>
      <c r="Y766" s="64"/>
    </row>
    <row r="767" spans="1:25" s="54" customFormat="1" ht="15" customHeight="1" x14ac:dyDescent="0.3">
      <c r="A767" s="63"/>
      <c r="B767" s="64"/>
      <c r="C767" s="55"/>
      <c r="D767" s="64">
        <v>2020</v>
      </c>
      <c r="E767" s="65">
        <f>26810850*1000</f>
        <v>26810850000</v>
      </c>
      <c r="F767" s="65">
        <f>(26810850+1246808+118590809+26371721+4727059+249459844)*1000</f>
        <v>427207091000</v>
      </c>
      <c r="G767" s="65">
        <f>(871769183)*1000</f>
        <v>871769183000</v>
      </c>
      <c r="H767" s="65">
        <f>(557997452-441066879-14956979)*1000</f>
        <v>101973594000</v>
      </c>
      <c r="I767" s="65">
        <f>557997452*1000</f>
        <v>557997452000</v>
      </c>
      <c r="J767" s="65">
        <f>(11279914+137830672)*1000</f>
        <v>149110586000</v>
      </c>
      <c r="K767" s="65">
        <f>313771731*1000</f>
        <v>313771731000</v>
      </c>
      <c r="L767" s="65">
        <f>231470118*1000</f>
        <v>231470118000</v>
      </c>
      <c r="M767" s="65">
        <f>18627452*1000</f>
        <v>18627452000</v>
      </c>
      <c r="N767" s="65">
        <f>23668304*1000</f>
        <v>23668304000</v>
      </c>
      <c r="O767" s="66">
        <v>0.35460000000000003</v>
      </c>
      <c r="P767" s="67" t="s">
        <v>313</v>
      </c>
      <c r="Q767" s="65">
        <v>3</v>
      </c>
      <c r="R767" s="65">
        <v>5</v>
      </c>
      <c r="S767" s="65">
        <v>4</v>
      </c>
      <c r="T767" s="65">
        <f t="shared" si="71"/>
        <v>9</v>
      </c>
      <c r="U767" s="68">
        <v>6.7999999999999996E-3</v>
      </c>
      <c r="V767" s="65">
        <f>4+(2*3)+(3*1)</f>
        <v>13</v>
      </c>
      <c r="W767" s="65">
        <f t="shared" si="66"/>
        <v>13</v>
      </c>
      <c r="X767" s="65">
        <f>4+(2*3)+(3*1)</f>
        <v>13</v>
      </c>
      <c r="Y767" s="64"/>
    </row>
    <row r="768" spans="1:25" s="54" customFormat="1" ht="15" customHeight="1" x14ac:dyDescent="0.3">
      <c r="A768" s="63"/>
      <c r="B768" s="64"/>
      <c r="C768" s="55"/>
      <c r="D768" s="64">
        <v>2021</v>
      </c>
      <c r="E768" s="65">
        <f>19190856*1000</f>
        <v>19190856000</v>
      </c>
      <c r="F768" s="65">
        <f>(19190856+381335+105762931+38392071+4686914+278956493)*1000</f>
        <v>447370600000</v>
      </c>
      <c r="G768" s="65">
        <f>954657152*1000</f>
        <v>954657152000</v>
      </c>
      <c r="H768" s="65">
        <f>(598914085-459769149-13044864)*1000</f>
        <v>126100072000</v>
      </c>
      <c r="I768" s="65">
        <f>498914085*1000</f>
        <v>498914085000</v>
      </c>
      <c r="J768" s="65">
        <f>(12463329+154643305)*1000</f>
        <v>167106634000</v>
      </c>
      <c r="K768" s="65">
        <f>355742467*1000</f>
        <v>355742467000</v>
      </c>
      <c r="L768" s="65">
        <f>205396484*1000</f>
        <v>205396484000</v>
      </c>
      <c r="M768" s="65">
        <f>12315070*1000</f>
        <v>12315070000</v>
      </c>
      <c r="N768" s="65">
        <f>16469192*1000</f>
        <v>16469192000</v>
      </c>
      <c r="O768" s="66">
        <v>0.35460000000000003</v>
      </c>
      <c r="P768" s="67" t="s">
        <v>313</v>
      </c>
      <c r="Q768" s="65">
        <v>3</v>
      </c>
      <c r="R768" s="65">
        <v>5</v>
      </c>
      <c r="S768" s="65">
        <v>4</v>
      </c>
      <c r="T768" s="65">
        <f t="shared" si="71"/>
        <v>9</v>
      </c>
      <c r="U768" s="68">
        <v>6.7999999999999996E-3</v>
      </c>
      <c r="V768" s="65">
        <f>4+(3*2)+3</f>
        <v>13</v>
      </c>
      <c r="W768" s="65">
        <f t="shared" si="66"/>
        <v>13</v>
      </c>
      <c r="X768" s="65">
        <f>4+(2*3)+(3*2)</f>
        <v>16</v>
      </c>
      <c r="Y768" s="64"/>
    </row>
    <row r="769" spans="1:25" s="54" customFormat="1" ht="15" customHeight="1" x14ac:dyDescent="0.3">
      <c r="A769" s="63"/>
      <c r="B769" s="64"/>
      <c r="C769" s="55"/>
      <c r="D769" s="64">
        <v>2022</v>
      </c>
      <c r="E769" s="65">
        <f>27234576*1000</f>
        <v>27234576000</v>
      </c>
      <c r="F769" s="65">
        <f>(27234576+974718+88103143+46651825+5217807+336413490)*1000</f>
        <v>504595559000</v>
      </c>
      <c r="G769" s="65">
        <f>989810930*1000</f>
        <v>989810930000</v>
      </c>
      <c r="H769" s="65">
        <f>(620559335-10712423-518815378)*1000</f>
        <v>91031534000</v>
      </c>
      <c r="I769" s="65">
        <f>620559335*1000</f>
        <v>620559335000</v>
      </c>
      <c r="J769" s="65">
        <f>(13286789+165381215)*1000</f>
        <v>178668004000</v>
      </c>
      <c r="K769" s="65">
        <f>369251595*1000</f>
        <v>369251595000</v>
      </c>
      <c r="L769" s="65">
        <f>223493529*1000</f>
        <v>223493529000</v>
      </c>
      <c r="M769" s="65">
        <f>5978020*1000</f>
        <v>5978020000</v>
      </c>
      <c r="N769" s="65">
        <f>5147620*1000</f>
        <v>5147620000</v>
      </c>
      <c r="O769" s="66">
        <v>0.35460000000000003</v>
      </c>
      <c r="P769" s="67" t="s">
        <v>313</v>
      </c>
      <c r="Q769" s="65">
        <v>3</v>
      </c>
      <c r="R769" s="65">
        <v>5</v>
      </c>
      <c r="S769" s="65">
        <v>5</v>
      </c>
      <c r="T769" s="65">
        <f t="shared" si="71"/>
        <v>10</v>
      </c>
      <c r="U769" s="68">
        <v>6.7999999999999996E-3</v>
      </c>
      <c r="V769" s="65">
        <f>4+(3*2)+3</f>
        <v>13</v>
      </c>
      <c r="W769" s="65">
        <f t="shared" si="66"/>
        <v>13</v>
      </c>
      <c r="X769" s="65">
        <f>5+(2*3)+(3*2)</f>
        <v>17</v>
      </c>
      <c r="Y769" s="64"/>
    </row>
    <row r="770" spans="1:25" s="54" customFormat="1" ht="15" customHeight="1" x14ac:dyDescent="0.3">
      <c r="A770" s="63"/>
      <c r="B770" s="64"/>
      <c r="C770" s="55"/>
      <c r="D770" s="64">
        <v>2023</v>
      </c>
      <c r="E770" s="65">
        <f>16191590*1000</f>
        <v>16191590000</v>
      </c>
      <c r="F770" s="65">
        <f>(16191590+1313300+68574386+66095237+4917233+317130033)*1000</f>
        <v>474221779000</v>
      </c>
      <c r="G770" s="65">
        <f>970378457*1000</f>
        <v>970378457000</v>
      </c>
      <c r="H770" s="65">
        <f>(582681646-11425827-478613356)*1000</f>
        <v>92642463000</v>
      </c>
      <c r="I770" s="65">
        <f>582681646*1000</f>
        <v>582681646000</v>
      </c>
      <c r="J770" s="65">
        <f>(13544170+177907366)*1000</f>
        <v>191451536000</v>
      </c>
      <c r="K770" s="65">
        <f>387696811*1000</f>
        <v>387696811000</v>
      </c>
      <c r="L770" s="65">
        <f>186592956*1000</f>
        <v>186592956000</v>
      </c>
      <c r="M770" s="65">
        <f>6818059*1000</f>
        <v>6818059000</v>
      </c>
      <c r="N770" s="65">
        <f>5826993*1000</f>
        <v>5826993000</v>
      </c>
      <c r="O770" s="66">
        <v>0.35460000000000003</v>
      </c>
      <c r="P770" s="67" t="s">
        <v>313</v>
      </c>
      <c r="Q770" s="65">
        <v>3</v>
      </c>
      <c r="R770" s="65">
        <v>5</v>
      </c>
      <c r="S770" s="65">
        <v>4</v>
      </c>
      <c r="T770" s="65">
        <f t="shared" si="71"/>
        <v>9</v>
      </c>
      <c r="U770" s="68">
        <v>6.7999999999999996E-3</v>
      </c>
      <c r="V770" s="65">
        <f>4+(3*2)+3</f>
        <v>13</v>
      </c>
      <c r="W770" s="65">
        <f t="shared" si="66"/>
        <v>13</v>
      </c>
      <c r="X770" s="65">
        <f>4+(2*3)+(3*2)</f>
        <v>16</v>
      </c>
      <c r="Y770" s="64"/>
    </row>
    <row r="771" spans="1:25" s="54" customFormat="1" ht="15" customHeight="1" x14ac:dyDescent="0.3">
      <c r="A771" s="63"/>
      <c r="B771" s="64"/>
      <c r="C771" s="55"/>
      <c r="D771" s="64">
        <v>2024</v>
      </c>
      <c r="E771" s="65">
        <f>9987853*1000</f>
        <v>9987853000</v>
      </c>
      <c r="F771" s="65">
        <f>(9987853+1563880+59143433+69247711+5210171+217574476)*1000</f>
        <v>362727524000</v>
      </c>
      <c r="G771" s="65">
        <f>903498744*1000</f>
        <v>903498744000</v>
      </c>
      <c r="H771" s="65">
        <f>(481266234-11016979-359529093)*1000</f>
        <v>110720162000</v>
      </c>
      <c r="I771" s="65">
        <f>481266234*1000</f>
        <v>481266234000</v>
      </c>
      <c r="J771" s="65">
        <f>(13835519+196373683)*1000</f>
        <v>210209202000</v>
      </c>
      <c r="K771" s="65">
        <f>422232510*1000</f>
        <v>422232510000</v>
      </c>
      <c r="L771" s="65">
        <f>165551135*1000</f>
        <v>165551135000</v>
      </c>
      <c r="M771" s="65">
        <f>2143505*1000</f>
        <v>2143505000</v>
      </c>
      <c r="N771" s="65">
        <f>9899005*1000</f>
        <v>9899005000</v>
      </c>
      <c r="O771" s="66">
        <v>0.35460000000000003</v>
      </c>
      <c r="P771" s="67" t="s">
        <v>313</v>
      </c>
      <c r="Q771" s="65">
        <v>2</v>
      </c>
      <c r="R771" s="65">
        <v>4</v>
      </c>
      <c r="S771" s="65">
        <v>4</v>
      </c>
      <c r="T771" s="65">
        <f t="shared" si="71"/>
        <v>8</v>
      </c>
      <c r="U771" s="68">
        <v>6.7999999999999996E-3</v>
      </c>
      <c r="V771" s="65">
        <f>4+(3*2)+3</f>
        <v>13</v>
      </c>
      <c r="W771" s="65">
        <f>V771</f>
        <v>13</v>
      </c>
      <c r="X771" s="65">
        <f>4+(2*3)+(3*2)</f>
        <v>16</v>
      </c>
      <c r="Y771" s="64"/>
    </row>
    <row r="772" spans="1:25" s="54" customFormat="1" ht="15" customHeight="1" x14ac:dyDescent="0.3">
      <c r="A772" s="63"/>
      <c r="B772" s="64">
        <v>71</v>
      </c>
      <c r="C772" s="55" t="s">
        <v>73</v>
      </c>
      <c r="D772" s="64">
        <v>2014</v>
      </c>
      <c r="E772" s="65">
        <v>0</v>
      </c>
      <c r="F772" s="65">
        <v>0</v>
      </c>
      <c r="G772" s="65">
        <v>0</v>
      </c>
      <c r="H772" s="65">
        <v>0</v>
      </c>
      <c r="I772" s="65">
        <v>0</v>
      </c>
      <c r="J772" s="65">
        <v>0</v>
      </c>
      <c r="K772" s="65">
        <v>0</v>
      </c>
      <c r="L772" s="65">
        <f>128874*1000000</f>
        <v>128874000000</v>
      </c>
      <c r="M772" s="65">
        <v>0</v>
      </c>
      <c r="N772" s="65">
        <v>0</v>
      </c>
      <c r="O772" s="65">
        <v>0</v>
      </c>
      <c r="P772" s="65">
        <v>0</v>
      </c>
      <c r="Q772" s="65">
        <v>0</v>
      </c>
      <c r="R772" s="65">
        <v>0</v>
      </c>
      <c r="S772" s="65">
        <v>0</v>
      </c>
      <c r="T772" s="65">
        <v>0</v>
      </c>
      <c r="U772" s="65">
        <v>0</v>
      </c>
      <c r="V772" s="65">
        <v>0</v>
      </c>
      <c r="W772" s="65">
        <v>0</v>
      </c>
      <c r="X772" s="65">
        <v>0</v>
      </c>
      <c r="Y772" s="64"/>
    </row>
    <row r="773" spans="1:25" s="54" customFormat="1" ht="15" customHeight="1" x14ac:dyDescent="0.3">
      <c r="A773" s="63"/>
      <c r="B773" s="64"/>
      <c r="C773" s="55"/>
      <c r="D773" s="64">
        <v>2015</v>
      </c>
      <c r="E773" s="65">
        <f>6835*1000000</f>
        <v>6835000000</v>
      </c>
      <c r="F773" s="65">
        <f>(6835+43747+12029+1024+87868)*1000000</f>
        <v>151503000000</v>
      </c>
      <c r="G773" s="65">
        <f>393493*1000000</f>
        <v>393493000000</v>
      </c>
      <c r="H773" s="65">
        <f>65534*1000000</f>
        <v>65534000000</v>
      </c>
      <c r="I773" s="65">
        <f>248326*1000000</f>
        <v>248326000000</v>
      </c>
      <c r="J773" s="65">
        <f>95484*1000000</f>
        <v>95484000000</v>
      </c>
      <c r="K773" s="65">
        <f>145167*1000000</f>
        <v>145167000000</v>
      </c>
      <c r="L773" s="65">
        <f>131281*1000000</f>
        <v>131281000000</v>
      </c>
      <c r="M773" s="65">
        <f>29625*1000000</f>
        <v>29625000000</v>
      </c>
      <c r="N773" s="65">
        <f>25175*1000000</f>
        <v>25175000000</v>
      </c>
      <c r="O773" s="66">
        <v>0.22220000000000001</v>
      </c>
      <c r="P773" s="67" t="s">
        <v>259</v>
      </c>
      <c r="Q773" s="65">
        <v>2</v>
      </c>
      <c r="R773" s="65">
        <v>4</v>
      </c>
      <c r="S773" s="65">
        <v>3</v>
      </c>
      <c r="T773" s="65">
        <f>SUM(R773:S773)</f>
        <v>7</v>
      </c>
      <c r="U773" s="72">
        <v>0.32219999999999999</v>
      </c>
      <c r="V773" s="65">
        <v>0</v>
      </c>
      <c r="W773" s="65">
        <v>0</v>
      </c>
      <c r="X773" s="65">
        <v>0</v>
      </c>
      <c r="Y773" s="64"/>
    </row>
    <row r="774" spans="1:25" s="54" customFormat="1" ht="15" customHeight="1" x14ac:dyDescent="0.3">
      <c r="A774" s="63"/>
      <c r="B774" s="64"/>
      <c r="C774" s="55"/>
      <c r="D774" s="64">
        <v>2016</v>
      </c>
      <c r="E774" s="65">
        <f>9311*1000000</f>
        <v>9311000000</v>
      </c>
      <c r="F774" s="65">
        <f>(9311+42053+1707+1041+101031)*1000000</f>
        <v>155143000000</v>
      </c>
      <c r="G774" s="65">
        <f>445968*1000000</f>
        <v>445968000000</v>
      </c>
      <c r="H774" s="65">
        <f>83251*1000000</f>
        <v>83251000000</v>
      </c>
      <c r="I774" s="65">
        <f>278889*1000000</f>
        <v>278889000000</v>
      </c>
      <c r="J774" s="65">
        <f>116758*1000000</f>
        <v>116758000000</v>
      </c>
      <c r="K774" s="65">
        <f>167079*1000000</f>
        <v>167079000000</v>
      </c>
      <c r="L774" s="65">
        <f>141786*1000000</f>
        <v>141786000000</v>
      </c>
      <c r="M774" s="65">
        <f>48105*1000000</f>
        <v>48105000000</v>
      </c>
      <c r="N774" s="65">
        <f>39913*1000000</f>
        <v>39913000000</v>
      </c>
      <c r="O774" s="66">
        <v>0.22220000000000001</v>
      </c>
      <c r="P774" s="67" t="s">
        <v>259</v>
      </c>
      <c r="Q774" s="65">
        <v>2</v>
      </c>
      <c r="R774" s="65">
        <v>4</v>
      </c>
      <c r="S774" s="65">
        <v>3</v>
      </c>
      <c r="T774" s="65">
        <f t="shared" ref="T774:T782" si="72">SUM(R774:S774)</f>
        <v>7</v>
      </c>
      <c r="U774" s="72">
        <v>0.32219999999999999</v>
      </c>
      <c r="V774" s="65">
        <v>0</v>
      </c>
      <c r="W774" s="65">
        <v>0</v>
      </c>
      <c r="X774" s="65">
        <v>0</v>
      </c>
      <c r="Y774" s="64"/>
    </row>
    <row r="775" spans="1:25" s="54" customFormat="1" ht="15" customHeight="1" x14ac:dyDescent="0.3">
      <c r="A775" s="63"/>
      <c r="B775" s="64"/>
      <c r="C775" s="55"/>
      <c r="D775" s="64">
        <v>2017</v>
      </c>
      <c r="E775" s="65">
        <f>9700*1000000</f>
        <v>9700000000</v>
      </c>
      <c r="F775" s="65">
        <f>(9700+43649+98+60611+2468+1657)*1000000</f>
        <v>118183000000</v>
      </c>
      <c r="G775" s="65">
        <f>413902*1000000</f>
        <v>413902000000</v>
      </c>
      <c r="H775" s="65">
        <f>74365*1000000</f>
        <v>74365000000</v>
      </c>
      <c r="I775" s="65">
        <f>232219*1000000</f>
        <v>232219000000</v>
      </c>
      <c r="J775" s="65">
        <f>131268*1000000</f>
        <v>131268000000</v>
      </c>
      <c r="K775" s="65">
        <f>181683*1000000</f>
        <v>181683000000</v>
      </c>
      <c r="L775" s="65">
        <f>146978*1000000</f>
        <v>146978000000</v>
      </c>
      <c r="M775" s="65">
        <f>47815*1000000</f>
        <v>47815000000</v>
      </c>
      <c r="N775" s="65">
        <f>37937*1000000</f>
        <v>37937000000</v>
      </c>
      <c r="O775" s="66">
        <v>0.25319999999999998</v>
      </c>
      <c r="P775" s="67" t="s">
        <v>259</v>
      </c>
      <c r="Q775" s="65">
        <v>2</v>
      </c>
      <c r="R775" s="65">
        <v>4</v>
      </c>
      <c r="S775" s="65">
        <v>3</v>
      </c>
      <c r="T775" s="65">
        <f t="shared" si="72"/>
        <v>7</v>
      </c>
      <c r="U775" s="72">
        <v>0.36709999999999998</v>
      </c>
      <c r="V775" s="65">
        <v>0</v>
      </c>
      <c r="W775" s="65">
        <v>0</v>
      </c>
      <c r="X775" s="65">
        <v>0</v>
      </c>
      <c r="Y775" s="64"/>
    </row>
    <row r="776" spans="1:25" s="54" customFormat="1" ht="15" customHeight="1" x14ac:dyDescent="0.3">
      <c r="A776" s="63"/>
      <c r="B776" s="64"/>
      <c r="C776" s="55"/>
      <c r="D776" s="64">
        <v>2018</v>
      </c>
      <c r="E776" s="65">
        <f>10773*1000000</f>
        <v>10773000000</v>
      </c>
      <c r="F776" s="65">
        <f>(10773+49051+70+67995+1731+1570)*1000000</f>
        <v>131190000000</v>
      </c>
      <c r="G776" s="65">
        <f>458423*1000000</f>
        <v>458423000000</v>
      </c>
      <c r="H776" s="65">
        <f>88296*1000000</f>
        <v>88296000000</v>
      </c>
      <c r="I776" s="65">
        <f>259710*1000000</f>
        <v>259710000000</v>
      </c>
      <c r="J776" s="65">
        <f>148043*1000000</f>
        <v>148043000000</v>
      </c>
      <c r="K776" s="65">
        <f>198713*1000000</f>
        <v>198713000000</v>
      </c>
      <c r="L776" s="65">
        <f>156403*1000000</f>
        <v>156403000000</v>
      </c>
      <c r="M776" s="65">
        <f>49525*1000000</f>
        <v>49525000000</v>
      </c>
      <c r="N776" s="65">
        <f>41364*1000000</f>
        <v>41364000000</v>
      </c>
      <c r="O776" s="66">
        <v>0.25319999999999998</v>
      </c>
      <c r="P776" s="67" t="s">
        <v>259</v>
      </c>
      <c r="Q776" s="65">
        <v>2</v>
      </c>
      <c r="R776" s="65">
        <v>4</v>
      </c>
      <c r="S776" s="65">
        <v>3</v>
      </c>
      <c r="T776" s="65">
        <f t="shared" si="72"/>
        <v>7</v>
      </c>
      <c r="U776" s="72">
        <v>0.36709999999999998</v>
      </c>
      <c r="V776" s="65">
        <v>0</v>
      </c>
      <c r="W776" s="65">
        <v>0</v>
      </c>
      <c r="X776" s="65">
        <v>0</v>
      </c>
      <c r="Y776" s="64"/>
    </row>
    <row r="777" spans="1:25" s="54" customFormat="1" ht="15" customHeight="1" x14ac:dyDescent="0.3">
      <c r="A777" s="63"/>
      <c r="B777" s="64"/>
      <c r="C777" s="55"/>
      <c r="D777" s="64">
        <v>2019</v>
      </c>
      <c r="E777" s="65">
        <f>7504*1000000</f>
        <v>7504000000</v>
      </c>
      <c r="F777" s="65">
        <f>(604+48801+862+67504+1171+1583)*1000000</f>
        <v>120525000000</v>
      </c>
      <c r="G777" s="65">
        <f>475599*1000000</f>
        <v>475599000000</v>
      </c>
      <c r="H777" s="65">
        <f>83426*1000000</f>
        <v>83426000000</v>
      </c>
      <c r="I777" s="65">
        <f>266476*1000000</f>
        <v>266476000000</v>
      </c>
      <c r="J777" s="65">
        <f>158040*1000000</f>
        <v>158040000000</v>
      </c>
      <c r="K777" s="65">
        <f>209123*1000000</f>
        <v>209123000000</v>
      </c>
      <c r="L777" s="65">
        <f>168383*1000000</f>
        <v>168383000000</v>
      </c>
      <c r="M777" s="65">
        <f>48250*1000000</f>
        <v>48250000000</v>
      </c>
      <c r="N777" s="65">
        <f>40854*1000000</f>
        <v>40854000000</v>
      </c>
      <c r="O777" s="66">
        <v>0.25319999999999998</v>
      </c>
      <c r="P777" s="67" t="s">
        <v>259</v>
      </c>
      <c r="Q777" s="65">
        <v>2</v>
      </c>
      <c r="R777" s="65">
        <v>4</v>
      </c>
      <c r="S777" s="65">
        <v>3</v>
      </c>
      <c r="T777" s="65">
        <f t="shared" si="72"/>
        <v>7</v>
      </c>
      <c r="U777" s="72">
        <v>0.36709999999999998</v>
      </c>
      <c r="V777" s="65">
        <v>0</v>
      </c>
      <c r="W777" s="65">
        <v>0</v>
      </c>
      <c r="X777" s="65">
        <v>0</v>
      </c>
      <c r="Y777" s="64"/>
    </row>
    <row r="778" spans="1:25" s="54" customFormat="1" ht="15" customHeight="1" x14ac:dyDescent="0.3">
      <c r="A778" s="63"/>
      <c r="B778" s="64"/>
      <c r="C778" s="55"/>
      <c r="D778" s="64">
        <v>2020</v>
      </c>
      <c r="E778" s="65">
        <f>11370*1000000</f>
        <v>11370000000</v>
      </c>
      <c r="F778" s="65">
        <f>(11370+51768+1196+82265+9469+1378)*1000000</f>
        <v>157446000000</v>
      </c>
      <c r="G778" s="65">
        <f>491590*1000000</f>
        <v>491590000000</v>
      </c>
      <c r="H778" s="65">
        <f>84355*1000000</f>
        <v>84355000000</v>
      </c>
      <c r="I778" s="65">
        <f>250475*1000000</f>
        <v>250475000000</v>
      </c>
      <c r="J778" s="65">
        <f>179484*1000000</f>
        <v>179484000000</v>
      </c>
      <c r="K778" s="65">
        <f>231115*1000000</f>
        <v>231115000000</v>
      </c>
      <c r="L778" s="65">
        <f>164859*1000000</f>
        <v>164859000000</v>
      </c>
      <c r="M778" s="65">
        <f>63300*1000000</f>
        <v>63300000000</v>
      </c>
      <c r="N778" s="65">
        <f>52437*1000000</f>
        <v>52437000000</v>
      </c>
      <c r="O778" s="66">
        <v>0.25319999999999998</v>
      </c>
      <c r="P778" s="67" t="s">
        <v>259</v>
      </c>
      <c r="Q778" s="65">
        <v>2</v>
      </c>
      <c r="R778" s="65">
        <v>4</v>
      </c>
      <c r="S778" s="65">
        <v>3</v>
      </c>
      <c r="T778" s="65">
        <f t="shared" si="72"/>
        <v>7</v>
      </c>
      <c r="U778" s="72">
        <v>0.36709999999999998</v>
      </c>
      <c r="V778" s="65">
        <v>0</v>
      </c>
      <c r="W778" s="65">
        <v>0</v>
      </c>
      <c r="X778" s="65">
        <v>0</v>
      </c>
      <c r="Y778" s="64"/>
    </row>
    <row r="779" spans="1:25" s="54" customFormat="1" ht="15" customHeight="1" x14ac:dyDescent="0.3">
      <c r="A779" s="63"/>
      <c r="B779" s="64"/>
      <c r="C779" s="55"/>
      <c r="D779" s="64">
        <v>2021</v>
      </c>
      <c r="E779" s="65">
        <f>9272*1000000</f>
        <v>9272000000</v>
      </c>
      <c r="F779" s="65">
        <f>(9272+59472+99+131731+1272+1434)*1000000</f>
        <v>203280000000</v>
      </c>
      <c r="G779" s="65">
        <f>558562*1000000</f>
        <v>558562000000</v>
      </c>
      <c r="H779" s="65">
        <f>73439*1000000</f>
        <v>73439000000</v>
      </c>
      <c r="I779" s="65">
        <f>322732*1000000</f>
        <v>322732000000</v>
      </c>
      <c r="J779" s="65">
        <f>183744*1000000</f>
        <v>183744000000</v>
      </c>
      <c r="K779" s="65">
        <f>235830*1000000</f>
        <v>235830000000</v>
      </c>
      <c r="L779" s="65">
        <f>163692*1000000</f>
        <v>163692000000</v>
      </c>
      <c r="M779" s="65">
        <f>48675*1000000</f>
        <v>48675000000</v>
      </c>
      <c r="N779" s="65">
        <f>40159*1000000</f>
        <v>40159000000</v>
      </c>
      <c r="O779" s="66">
        <v>0.25319999999999998</v>
      </c>
      <c r="P779" s="67" t="s">
        <v>259</v>
      </c>
      <c r="Q779" s="65">
        <v>2</v>
      </c>
      <c r="R779" s="65">
        <v>4</v>
      </c>
      <c r="S779" s="65">
        <v>3</v>
      </c>
      <c r="T779" s="65">
        <f t="shared" si="72"/>
        <v>7</v>
      </c>
      <c r="U779" s="72">
        <v>0.36709999999999998</v>
      </c>
      <c r="V779" s="65">
        <v>0</v>
      </c>
      <c r="W779" s="65">
        <v>0</v>
      </c>
      <c r="X779" s="65">
        <v>0</v>
      </c>
      <c r="Y779" s="64"/>
    </row>
    <row r="780" spans="1:25" s="54" customFormat="1" ht="15" customHeight="1" x14ac:dyDescent="0.3">
      <c r="A780" s="63"/>
      <c r="B780" s="64"/>
      <c r="C780" s="55"/>
      <c r="D780" s="64">
        <v>2022</v>
      </c>
      <c r="E780" s="65">
        <f>10828*1000000</f>
        <v>10828000000</v>
      </c>
      <c r="F780" s="65">
        <f>(10828+58713+33+199599+7937+1414)*1000000</f>
        <v>278524000000</v>
      </c>
      <c r="G780" s="65">
        <f>633061*1000000</f>
        <v>633061000000</v>
      </c>
      <c r="H780" s="65">
        <f>44117*1000000</f>
        <v>44117000000</v>
      </c>
      <c r="I780" s="65">
        <f>375508*1000000</f>
        <v>375508000000</v>
      </c>
      <c r="J780" s="65">
        <f>204553*1000000</f>
        <v>204553000000</v>
      </c>
      <c r="K780" s="65">
        <f>257553*1000000</f>
        <v>257553000000</v>
      </c>
      <c r="L780" s="65">
        <f>169503*1000000</f>
        <v>169503000000</v>
      </c>
      <c r="M780" s="65">
        <f>62285*1000000</f>
        <v>62285000000</v>
      </c>
      <c r="N780" s="65">
        <f>49054*1000000</f>
        <v>49054000000</v>
      </c>
      <c r="O780" s="66">
        <v>0.25319999999999998</v>
      </c>
      <c r="P780" s="67" t="s">
        <v>259</v>
      </c>
      <c r="Q780" s="65">
        <v>2</v>
      </c>
      <c r="R780" s="65">
        <v>4</v>
      </c>
      <c r="S780" s="65">
        <v>3</v>
      </c>
      <c r="T780" s="65">
        <f t="shared" si="72"/>
        <v>7</v>
      </c>
      <c r="U780" s="72">
        <v>0.36709999999999998</v>
      </c>
      <c r="V780" s="65">
        <v>0</v>
      </c>
      <c r="W780" s="65">
        <v>0</v>
      </c>
      <c r="X780" s="65">
        <v>0</v>
      </c>
      <c r="Y780" s="64"/>
    </row>
    <row r="781" spans="1:25" s="54" customFormat="1" ht="15" customHeight="1" x14ac:dyDescent="0.3">
      <c r="A781" s="63"/>
      <c r="B781" s="64"/>
      <c r="C781" s="55"/>
      <c r="D781" s="64">
        <v>2023</v>
      </c>
      <c r="E781" s="65">
        <f>7135*1000000</f>
        <v>7135000000</v>
      </c>
      <c r="F781" s="65">
        <f>(7135+60962+37+270320+637+1516)*1000000</f>
        <v>340607000000</v>
      </c>
      <c r="G781" s="65">
        <f>720422*1000000</f>
        <v>720422000000</v>
      </c>
      <c r="H781" s="65">
        <f>39662*1000000</f>
        <v>39662000000</v>
      </c>
      <c r="I781" s="65">
        <f>474715*1000000</f>
        <v>474715000000</v>
      </c>
      <c r="J781" s="65">
        <f>192407*1000000</f>
        <v>192407000000</v>
      </c>
      <c r="K781" s="65">
        <f>245707*1000000</f>
        <v>245707000000</v>
      </c>
      <c r="L781" s="65">
        <f>180773*1000000</f>
        <v>180773000000</v>
      </c>
      <c r="M781" s="65">
        <f>27903*1000000</f>
        <v>27903000000</v>
      </c>
      <c r="N781" s="65">
        <f>23154*1000000</f>
        <v>23154000000</v>
      </c>
      <c r="O781" s="66">
        <v>0.25319999999999998</v>
      </c>
      <c r="P781" s="67" t="s">
        <v>259</v>
      </c>
      <c r="Q781" s="65">
        <v>2</v>
      </c>
      <c r="R781" s="65">
        <v>4</v>
      </c>
      <c r="S781" s="65">
        <v>3</v>
      </c>
      <c r="T781" s="65">
        <f t="shared" si="72"/>
        <v>7</v>
      </c>
      <c r="U781" s="72">
        <v>0.36709999999999998</v>
      </c>
      <c r="V781" s="65">
        <v>0</v>
      </c>
      <c r="W781" s="65">
        <v>0</v>
      </c>
      <c r="X781" s="65">
        <v>0</v>
      </c>
      <c r="Y781" s="64"/>
    </row>
    <row r="782" spans="1:25" s="54" customFormat="1" ht="15" customHeight="1" x14ac:dyDescent="0.3">
      <c r="A782" s="63"/>
      <c r="B782" s="64"/>
      <c r="C782" s="55"/>
      <c r="D782" s="64">
        <v>2024</v>
      </c>
      <c r="E782" s="65">
        <f>11100*1000000</f>
        <v>11100000000</v>
      </c>
      <c r="F782" s="65">
        <f>(11100+53946+55+192220+11650+1374)*1000000</f>
        <v>270345000000</v>
      </c>
      <c r="G782" s="65">
        <f>708738*1000000</f>
        <v>708738000000</v>
      </c>
      <c r="H782" s="65">
        <f>38377*1000000</f>
        <v>38377000000</v>
      </c>
      <c r="I782" s="65">
        <f>394905*1000000</f>
        <v>394905000000</v>
      </c>
      <c r="J782" s="65">
        <f>260233*1000000</f>
        <v>260233000000</v>
      </c>
      <c r="K782" s="65">
        <f>313833*1000000</f>
        <v>313833000000</v>
      </c>
      <c r="L782" s="65">
        <f>182263*1000000</f>
        <v>182263000000</v>
      </c>
      <c r="M782" s="65">
        <f>33468*1000000</f>
        <v>33468000000</v>
      </c>
      <c r="N782" s="65">
        <f>81125*1000000</f>
        <v>81125000000</v>
      </c>
      <c r="O782" s="66">
        <v>0.25319999999999998</v>
      </c>
      <c r="P782" s="67" t="s">
        <v>259</v>
      </c>
      <c r="Q782" s="65">
        <v>2</v>
      </c>
      <c r="R782" s="65">
        <v>4</v>
      </c>
      <c r="S782" s="65">
        <v>3</v>
      </c>
      <c r="T782" s="65">
        <f t="shared" si="72"/>
        <v>7</v>
      </c>
      <c r="U782" s="72">
        <v>0.36709999999999998</v>
      </c>
      <c r="V782" s="65">
        <v>0</v>
      </c>
      <c r="W782" s="65">
        <v>0</v>
      </c>
      <c r="X782" s="65">
        <v>0</v>
      </c>
      <c r="Y782" s="64"/>
    </row>
    <row r="783" spans="1:25" s="54" customFormat="1" ht="15" customHeight="1" x14ac:dyDescent="0.3">
      <c r="A783" s="63"/>
      <c r="B783" s="64">
        <v>72</v>
      </c>
      <c r="C783" s="55" t="s">
        <v>75</v>
      </c>
      <c r="D783" s="64">
        <v>2014</v>
      </c>
      <c r="E783" s="65">
        <v>0</v>
      </c>
      <c r="F783" s="65">
        <v>0</v>
      </c>
      <c r="G783" s="65">
        <v>0</v>
      </c>
      <c r="H783" s="65">
        <v>0</v>
      </c>
      <c r="I783" s="65">
        <v>0</v>
      </c>
      <c r="J783" s="65">
        <v>0</v>
      </c>
      <c r="K783" s="65">
        <v>0</v>
      </c>
      <c r="L783" s="65">
        <f>8492*1000000</f>
        <v>8492000000</v>
      </c>
      <c r="M783" s="65">
        <v>0</v>
      </c>
      <c r="N783" s="65">
        <v>0</v>
      </c>
      <c r="O783" s="65">
        <v>0</v>
      </c>
      <c r="P783" s="65">
        <v>0</v>
      </c>
      <c r="Q783" s="65">
        <v>0</v>
      </c>
      <c r="R783" s="65">
        <v>0</v>
      </c>
      <c r="S783" s="65">
        <v>0</v>
      </c>
      <c r="T783" s="65">
        <v>0</v>
      </c>
      <c r="U783" s="65">
        <v>0</v>
      </c>
      <c r="V783" s="65">
        <v>0</v>
      </c>
      <c r="W783" s="65">
        <v>0</v>
      </c>
      <c r="X783" s="65">
        <v>0</v>
      </c>
      <c r="Y783" s="64"/>
    </row>
    <row r="784" spans="1:25" s="54" customFormat="1" ht="15" customHeight="1" x14ac:dyDescent="0.3">
      <c r="A784" s="63"/>
      <c r="B784" s="64"/>
      <c r="C784" s="55"/>
      <c r="D784" s="64">
        <v>2015</v>
      </c>
      <c r="E784" s="65">
        <f>32672*1000000</f>
        <v>32672000000</v>
      </c>
      <c r="F784" s="65">
        <f>(32672+74418+19318+514+71134)*1000000</f>
        <v>198056000000</v>
      </c>
      <c r="G784" s="65">
        <f>376932*1000000</f>
        <v>376932000000</v>
      </c>
      <c r="H784" s="65">
        <f>71272*1000000</f>
        <v>71272000000</v>
      </c>
      <c r="I784" s="65">
        <f>258179*1000000</f>
        <v>258179000000</v>
      </c>
      <c r="J784" s="65">
        <f>-1111*1000000</f>
        <v>-1111000000</v>
      </c>
      <c r="K784" s="65">
        <f>118753*1000000</f>
        <v>118753000000</v>
      </c>
      <c r="L784" s="65">
        <f>79099*1000000</f>
        <v>79099000000</v>
      </c>
      <c r="M784" s="65">
        <f>4078*1000000</f>
        <v>4078000000</v>
      </c>
      <c r="N784" s="65">
        <f>6347*1000000</f>
        <v>6347000000</v>
      </c>
      <c r="O784" s="66">
        <v>0.6</v>
      </c>
      <c r="P784" s="67" t="s">
        <v>260</v>
      </c>
      <c r="Q784" s="65">
        <v>2</v>
      </c>
      <c r="R784" s="65">
        <v>4</v>
      </c>
      <c r="S784" s="65">
        <v>3</v>
      </c>
      <c r="T784" s="65">
        <f>SUM(R784:S784)</f>
        <v>7</v>
      </c>
      <c r="U784" s="68">
        <v>0</v>
      </c>
      <c r="V784" s="65">
        <v>0</v>
      </c>
      <c r="W784" s="65">
        <v>0</v>
      </c>
      <c r="X784" s="65">
        <v>0</v>
      </c>
      <c r="Y784" s="64"/>
    </row>
    <row r="785" spans="1:25" s="54" customFormat="1" ht="15" customHeight="1" x14ac:dyDescent="0.3">
      <c r="A785" s="63"/>
      <c r="B785" s="64"/>
      <c r="C785" s="55"/>
      <c r="D785" s="64">
        <v>2016</v>
      </c>
      <c r="E785" s="65">
        <f>35713*1000000</f>
        <v>35713000000</v>
      </c>
      <c r="F785" s="65">
        <f>(35713+70969+25856+1422+100296)*1000000</f>
        <v>234256000000</v>
      </c>
      <c r="G785" s="65">
        <f>505969*1000000</f>
        <v>505969000000</v>
      </c>
      <c r="H785" s="65">
        <f>65619*1000000</f>
        <v>65619000000</v>
      </c>
      <c r="I785" s="65">
        <f>360390*1000000</f>
        <v>360390000000</v>
      </c>
      <c r="J785" s="65">
        <f>14781*1000000</f>
        <v>14781000000</v>
      </c>
      <c r="K785" s="65">
        <f>145579*1000000</f>
        <v>145579000000</v>
      </c>
      <c r="L785" s="65">
        <f>225764*1000000</f>
        <v>225764000000</v>
      </c>
      <c r="M785" s="65">
        <f>17858*1000000</f>
        <v>17858000000</v>
      </c>
      <c r="N785" s="65">
        <f>15826*1000000</f>
        <v>15826000000</v>
      </c>
      <c r="O785" s="66">
        <v>0.6</v>
      </c>
      <c r="P785" s="67" t="s">
        <v>260</v>
      </c>
      <c r="Q785" s="65">
        <v>2</v>
      </c>
      <c r="R785" s="65">
        <v>4</v>
      </c>
      <c r="S785" s="65">
        <v>3</v>
      </c>
      <c r="T785" s="65">
        <f t="shared" ref="T785:T793" si="73">SUM(R785:S785)</f>
        <v>7</v>
      </c>
      <c r="U785" s="68">
        <v>0</v>
      </c>
      <c r="V785" s="65">
        <v>0</v>
      </c>
      <c r="W785" s="65">
        <v>0</v>
      </c>
      <c r="X785" s="65">
        <v>0</v>
      </c>
      <c r="Y785" s="64"/>
    </row>
    <row r="786" spans="1:25" s="54" customFormat="1" ht="15" customHeight="1" x14ac:dyDescent="0.3">
      <c r="A786" s="63"/>
      <c r="B786" s="64"/>
      <c r="C786" s="55"/>
      <c r="D786" s="64">
        <v>2017</v>
      </c>
      <c r="E786" s="65">
        <f>76275*1000000</f>
        <v>76275000000</v>
      </c>
      <c r="F786" s="65">
        <f>(76275+195447+2239+131874+31711+1452)*1000000</f>
        <v>438998000000</v>
      </c>
      <c r="G786" s="65">
        <f>786758*1000000</f>
        <v>786758000000</v>
      </c>
      <c r="H786" s="65">
        <f>171672*1000000</f>
        <v>171672000000</v>
      </c>
      <c r="I786" s="65">
        <f>610792*1000000</f>
        <v>610792000000</v>
      </c>
      <c r="J786" s="65">
        <f>37863*1000000</f>
        <v>37863000000</v>
      </c>
      <c r="K786" s="65">
        <f>175966*1000000</f>
        <v>175966000000</v>
      </c>
      <c r="L786" s="65">
        <f>335012*1000000</f>
        <v>335012000000</v>
      </c>
      <c r="M786" s="65">
        <f>15088*1000000</f>
        <v>15088000000</v>
      </c>
      <c r="N786" s="65">
        <f>30388*1000000</f>
        <v>30388000000</v>
      </c>
      <c r="O786" s="66">
        <v>0.6</v>
      </c>
      <c r="P786" s="67" t="s">
        <v>260</v>
      </c>
      <c r="Q786" s="65">
        <v>2</v>
      </c>
      <c r="R786" s="65">
        <v>4</v>
      </c>
      <c r="S786" s="65">
        <v>3</v>
      </c>
      <c r="T786" s="65">
        <f t="shared" si="73"/>
        <v>7</v>
      </c>
      <c r="U786" s="68">
        <v>0</v>
      </c>
      <c r="V786" s="65">
        <v>0</v>
      </c>
      <c r="W786" s="65">
        <v>0</v>
      </c>
      <c r="X786" s="65">
        <v>0</v>
      </c>
      <c r="Y786" s="64"/>
    </row>
    <row r="787" spans="1:25" s="54" customFormat="1" ht="15" customHeight="1" x14ac:dyDescent="0.3">
      <c r="A787" s="63"/>
      <c r="B787" s="64"/>
      <c r="C787" s="55"/>
      <c r="D787" s="64">
        <v>2018</v>
      </c>
      <c r="E787" s="65">
        <f>80224*1000000</f>
        <v>80224000000</v>
      </c>
      <c r="F787" s="65">
        <f>(80224+280557+3054+217529+27021+1026)*1000000</f>
        <v>609411000000</v>
      </c>
      <c r="G787" s="65">
        <f>1105918*1000000</f>
        <v>1105918000000</v>
      </c>
      <c r="H787" s="65">
        <f>254286*1000000</f>
        <v>254286000000</v>
      </c>
      <c r="I787" s="65">
        <f>879111*1000000</f>
        <v>879111000000</v>
      </c>
      <c r="J787" s="65">
        <f>94124*1000000</f>
        <v>94124000000</v>
      </c>
      <c r="K787" s="65">
        <f>226807*1000000</f>
        <v>226807000000</v>
      </c>
      <c r="L787" s="65">
        <f>476292*1000000</f>
        <v>476292000000</v>
      </c>
      <c r="M787" s="65">
        <f>82497*1000000</f>
        <v>82497000000</v>
      </c>
      <c r="N787" s="65">
        <f>50842*1000000</f>
        <v>50842000000</v>
      </c>
      <c r="O787" s="66">
        <v>0.6</v>
      </c>
      <c r="P787" s="67" t="s">
        <v>260</v>
      </c>
      <c r="Q787" s="65">
        <v>2</v>
      </c>
      <c r="R787" s="65">
        <v>4</v>
      </c>
      <c r="S787" s="65">
        <v>3</v>
      </c>
      <c r="T787" s="65">
        <f t="shared" si="73"/>
        <v>7</v>
      </c>
      <c r="U787" s="68">
        <v>0</v>
      </c>
      <c r="V787" s="65">
        <v>0</v>
      </c>
      <c r="W787" s="65">
        <v>0</v>
      </c>
      <c r="X787" s="65">
        <v>0</v>
      </c>
      <c r="Y787" s="64"/>
    </row>
    <row r="788" spans="1:25" s="54" customFormat="1" ht="15" customHeight="1" x14ac:dyDescent="0.3">
      <c r="A788" s="63"/>
      <c r="B788" s="64"/>
      <c r="C788" s="55"/>
      <c r="D788" s="64">
        <v>2019</v>
      </c>
      <c r="E788" s="65">
        <f>43439*1000000</f>
        <v>43439000000</v>
      </c>
      <c r="F788" s="65">
        <f>(43439+318353+22042+115386+59908+714)*1000000</f>
        <v>559842000000</v>
      </c>
      <c r="G788" s="65">
        <f>1092838*1000000</f>
        <v>1092838000000</v>
      </c>
      <c r="H788" s="65">
        <f>331285*1000000</f>
        <v>331285000000</v>
      </c>
      <c r="I788" s="65">
        <f>798690*1000000</f>
        <v>798690000000</v>
      </c>
      <c r="J788" s="65">
        <f>130762*1000000</f>
        <v>130762000000</v>
      </c>
      <c r="K788" s="65">
        <f>294148*1000000</f>
        <v>294148000000</v>
      </c>
      <c r="L788" s="65">
        <f>502179*1000000</f>
        <v>502179000000</v>
      </c>
      <c r="M788" s="65">
        <f>68103*1000000</f>
        <v>68103000000</v>
      </c>
      <c r="N788" s="65">
        <f>67340*1000000</f>
        <v>67340000000</v>
      </c>
      <c r="O788" s="66">
        <v>0.6</v>
      </c>
      <c r="P788" s="67" t="s">
        <v>260</v>
      </c>
      <c r="Q788" s="65">
        <v>2</v>
      </c>
      <c r="R788" s="65">
        <v>4</v>
      </c>
      <c r="S788" s="65">
        <v>6</v>
      </c>
      <c r="T788" s="65">
        <f t="shared" si="73"/>
        <v>10</v>
      </c>
      <c r="U788" s="68">
        <v>0</v>
      </c>
      <c r="V788" s="65">
        <v>0</v>
      </c>
      <c r="W788" s="65">
        <v>0</v>
      </c>
      <c r="X788" s="65">
        <v>0</v>
      </c>
      <c r="Y788" s="64"/>
    </row>
    <row r="789" spans="1:25" s="54" customFormat="1" ht="15" customHeight="1" x14ac:dyDescent="0.3">
      <c r="A789" s="63"/>
      <c r="B789" s="64"/>
      <c r="C789" s="55"/>
      <c r="D789" s="64">
        <v>2020</v>
      </c>
      <c r="E789" s="65">
        <f>45164*1000000</f>
        <v>45164000000</v>
      </c>
      <c r="F789" s="65">
        <f>(45164+311846+4431+181261+60339+483)*1000000</f>
        <v>603524000000</v>
      </c>
      <c r="G789" s="65">
        <f>1071885*1000000</f>
        <v>1071885000000</v>
      </c>
      <c r="H789" s="65">
        <f>290993*1000000</f>
        <v>290993000000</v>
      </c>
      <c r="I789" s="65">
        <f>768086*1000000</f>
        <v>768086000000</v>
      </c>
      <c r="J789" s="65">
        <f>131447*1000000</f>
        <v>131447000000</v>
      </c>
      <c r="K789" s="65">
        <f>303799*1000000</f>
        <v>303799000000</v>
      </c>
      <c r="L789" s="65">
        <f>373156*1000000</f>
        <v>373156000000</v>
      </c>
      <c r="M789" s="65">
        <f>759*1000000</f>
        <v>759000000</v>
      </c>
      <c r="N789" s="65">
        <f>9651*1000000</f>
        <v>9651000000</v>
      </c>
      <c r="O789" s="66">
        <v>0.6</v>
      </c>
      <c r="P789" s="67" t="s">
        <v>260</v>
      </c>
      <c r="Q789" s="65">
        <v>2</v>
      </c>
      <c r="R789" s="65">
        <v>4</v>
      </c>
      <c r="S789" s="65">
        <v>6</v>
      </c>
      <c r="T789" s="65">
        <f t="shared" si="73"/>
        <v>10</v>
      </c>
      <c r="U789" s="68">
        <v>0</v>
      </c>
      <c r="V789" s="65">
        <v>0</v>
      </c>
      <c r="W789" s="65">
        <v>0</v>
      </c>
      <c r="X789" s="65">
        <v>0</v>
      </c>
      <c r="Y789" s="64"/>
    </row>
    <row r="790" spans="1:25" s="54" customFormat="1" ht="15" customHeight="1" x14ac:dyDescent="0.3">
      <c r="A790" s="63"/>
      <c r="B790" s="64"/>
      <c r="C790" s="55"/>
      <c r="D790" s="64">
        <v>2021</v>
      </c>
      <c r="E790" s="65">
        <f>52302*1000000</f>
        <v>52302000000</v>
      </c>
      <c r="F790" s="65">
        <f>(52302+319766+5645+160241+91553+437)*1000000</f>
        <v>629944000000</v>
      </c>
      <c r="G790" s="65">
        <f>1104816*1000000</f>
        <v>1104816000000</v>
      </c>
      <c r="H790" s="65">
        <f>333827*1000000</f>
        <v>333827000000</v>
      </c>
      <c r="I790" s="65">
        <f>759838*1000000</f>
        <v>759838000000</v>
      </c>
      <c r="J790" s="65">
        <f>147639*1000000</f>
        <v>147639000000</v>
      </c>
      <c r="K790" s="65">
        <f>344977*1000000</f>
        <v>344977000000</v>
      </c>
      <c r="L790" s="65">
        <f>391331*1000000</f>
        <v>391331000000</v>
      </c>
      <c r="M790" s="65">
        <f>18708*1000000</f>
        <v>18708000000</v>
      </c>
      <c r="N790" s="65">
        <f>11178*1000000</f>
        <v>11178000000</v>
      </c>
      <c r="O790" s="66">
        <v>0.6</v>
      </c>
      <c r="P790" s="67" t="s">
        <v>260</v>
      </c>
      <c r="Q790" s="65">
        <v>2</v>
      </c>
      <c r="R790" s="65">
        <v>4</v>
      </c>
      <c r="S790" s="65">
        <v>6</v>
      </c>
      <c r="T790" s="65">
        <f t="shared" si="73"/>
        <v>10</v>
      </c>
      <c r="U790" s="68">
        <v>0</v>
      </c>
      <c r="V790" s="65">
        <v>0</v>
      </c>
      <c r="W790" s="65">
        <v>0</v>
      </c>
      <c r="X790" s="65">
        <v>0</v>
      </c>
      <c r="Y790" s="64"/>
    </row>
    <row r="791" spans="1:25" s="54" customFormat="1" ht="15" customHeight="1" x14ac:dyDescent="0.3">
      <c r="A791" s="63"/>
      <c r="B791" s="64"/>
      <c r="C791" s="55"/>
      <c r="D791" s="64">
        <v>2022</v>
      </c>
      <c r="E791" s="65">
        <f>23285*1000000</f>
        <v>23285000000</v>
      </c>
      <c r="F791" s="65">
        <f>(23285+325584+4271+114679+52190+452)*1000000</f>
        <v>520461000000</v>
      </c>
      <c r="G791" s="65">
        <f>1001209*1000000</f>
        <v>1001209000000</v>
      </c>
      <c r="H791" s="65">
        <f>257723*1000000</f>
        <v>257723000000</v>
      </c>
      <c r="I791" s="65">
        <f>640355*1000000</f>
        <v>640355000000</v>
      </c>
      <c r="J791" s="65">
        <f>166761*1000000</f>
        <v>166761000000</v>
      </c>
      <c r="K791" s="65">
        <f>360854*1000000</f>
        <v>360854000000</v>
      </c>
      <c r="L791" s="65">
        <f>445137*1000000</f>
        <v>445137000000</v>
      </c>
      <c r="M791" s="65">
        <f>18715*1000000</f>
        <v>18715000000</v>
      </c>
      <c r="N791" s="65">
        <f>15877*1000000</f>
        <v>15877000000</v>
      </c>
      <c r="O791" s="66">
        <v>0.6</v>
      </c>
      <c r="P791" s="67" t="s">
        <v>260</v>
      </c>
      <c r="Q791" s="65">
        <v>2</v>
      </c>
      <c r="R791" s="65">
        <v>4</v>
      </c>
      <c r="S791" s="65">
        <v>6</v>
      </c>
      <c r="T791" s="65">
        <f t="shared" si="73"/>
        <v>10</v>
      </c>
      <c r="U791" s="68">
        <v>0</v>
      </c>
      <c r="V791" s="65">
        <v>0</v>
      </c>
      <c r="W791" s="65">
        <v>0</v>
      </c>
      <c r="X791" s="65">
        <v>0</v>
      </c>
      <c r="Y791" s="64"/>
    </row>
    <row r="792" spans="1:25" s="54" customFormat="1" ht="15" customHeight="1" x14ac:dyDescent="0.3">
      <c r="A792" s="63"/>
      <c r="B792" s="64"/>
      <c r="C792" s="55"/>
      <c r="D792" s="64">
        <v>2023</v>
      </c>
      <c r="E792" s="65">
        <f>33864*1000000</f>
        <v>33864000000</v>
      </c>
      <c r="F792" s="65">
        <f>(33864+317897+11819+126044+29675+569)*1000000</f>
        <v>519868000000</v>
      </c>
      <c r="G792" s="65">
        <f>1085786*1000000</f>
        <v>1085786000000</v>
      </c>
      <c r="H792" s="65">
        <f>301484*1000000</f>
        <v>301484000000</v>
      </c>
      <c r="I792" s="65">
        <f>704866*1000000</f>
        <v>704866000000</v>
      </c>
      <c r="J792" s="65">
        <f>186143*1000000</f>
        <v>186143000000</v>
      </c>
      <c r="K792" s="65">
        <f>380920*1000000</f>
        <v>380920000000</v>
      </c>
      <c r="L792" s="65">
        <f>493673*1000000</f>
        <v>493673000000</v>
      </c>
      <c r="M792" s="65">
        <f>18615*1000000</f>
        <v>18615000000</v>
      </c>
      <c r="N792" s="65">
        <f>20066*1000000</f>
        <v>20066000000</v>
      </c>
      <c r="O792" s="66">
        <v>0.6</v>
      </c>
      <c r="P792" s="67" t="s">
        <v>260</v>
      </c>
      <c r="Q792" s="65">
        <v>2</v>
      </c>
      <c r="R792" s="65">
        <v>4</v>
      </c>
      <c r="S792" s="65">
        <v>6</v>
      </c>
      <c r="T792" s="65">
        <f t="shared" si="73"/>
        <v>10</v>
      </c>
      <c r="U792" s="68">
        <v>0</v>
      </c>
      <c r="V792" s="65">
        <v>0</v>
      </c>
      <c r="W792" s="65">
        <v>0</v>
      </c>
      <c r="X792" s="65">
        <v>0</v>
      </c>
      <c r="Y792" s="64"/>
    </row>
    <row r="793" spans="1:25" s="54" customFormat="1" ht="15" customHeight="1" x14ac:dyDescent="0.3">
      <c r="A793" s="63"/>
      <c r="B793" s="64"/>
      <c r="C793" s="55"/>
      <c r="D793" s="64">
        <v>2024</v>
      </c>
      <c r="E793" s="65">
        <f>50553*1000000</f>
        <v>50553000000</v>
      </c>
      <c r="F793" s="65">
        <f>(50553+347615+2113+83530+48402+461)*1000000</f>
        <v>532674000000</v>
      </c>
      <c r="G793" s="65">
        <f>1007550*1000000</f>
        <v>1007550000000</v>
      </c>
      <c r="H793" s="65">
        <f>255706*1000000</f>
        <v>255706000000</v>
      </c>
      <c r="I793" s="65">
        <f>604592*1000000</f>
        <v>604592000000</v>
      </c>
      <c r="J793" s="65">
        <f>208249*1000000</f>
        <v>208249000000</v>
      </c>
      <c r="K793" s="65">
        <f>402958*1000000</f>
        <v>402958000000</v>
      </c>
      <c r="L793" s="65">
        <f>505519*1000000</f>
        <v>505519000000</v>
      </c>
      <c r="M793" s="65">
        <f>28966*1000000</f>
        <v>28966000000</v>
      </c>
      <c r="N793" s="65">
        <f>22038*1000000</f>
        <v>22038000000</v>
      </c>
      <c r="O793" s="66">
        <v>0.6</v>
      </c>
      <c r="P793" s="67" t="s">
        <v>260</v>
      </c>
      <c r="Q793" s="65">
        <v>2</v>
      </c>
      <c r="R793" s="65">
        <v>3</v>
      </c>
      <c r="S793" s="65">
        <v>6</v>
      </c>
      <c r="T793" s="65">
        <f t="shared" si="73"/>
        <v>9</v>
      </c>
      <c r="U793" s="68">
        <v>0</v>
      </c>
      <c r="V793" s="65">
        <v>0</v>
      </c>
      <c r="W793" s="65">
        <v>0</v>
      </c>
      <c r="X793" s="65">
        <v>0</v>
      </c>
      <c r="Y793" s="64"/>
    </row>
    <row r="794" spans="1:25" s="54" customFormat="1" ht="15" customHeight="1" x14ac:dyDescent="0.3">
      <c r="A794" s="63"/>
      <c r="B794" s="64">
        <v>73</v>
      </c>
      <c r="C794" s="55" t="s">
        <v>96</v>
      </c>
      <c r="D794" s="64">
        <v>2014</v>
      </c>
      <c r="E794" s="65">
        <v>0</v>
      </c>
      <c r="F794" s="65">
        <v>0</v>
      </c>
      <c r="G794" s="65">
        <v>0</v>
      </c>
      <c r="H794" s="65">
        <v>0</v>
      </c>
      <c r="I794" s="65">
        <v>0</v>
      </c>
      <c r="J794" s="65">
        <v>0</v>
      </c>
      <c r="K794" s="65">
        <v>0</v>
      </c>
      <c r="L794" s="65">
        <v>0</v>
      </c>
      <c r="M794" s="65">
        <v>0</v>
      </c>
      <c r="N794" s="65">
        <v>0</v>
      </c>
      <c r="O794" s="65">
        <v>0</v>
      </c>
      <c r="P794" s="65">
        <v>0</v>
      </c>
      <c r="Q794" s="65">
        <v>0</v>
      </c>
      <c r="R794" s="65">
        <v>0</v>
      </c>
      <c r="S794" s="65">
        <v>0</v>
      </c>
      <c r="T794" s="65">
        <v>0</v>
      </c>
      <c r="U794" s="65">
        <v>0</v>
      </c>
      <c r="V794" s="65">
        <v>0</v>
      </c>
      <c r="W794" s="65">
        <v>0</v>
      </c>
      <c r="X794" s="65">
        <v>0</v>
      </c>
      <c r="Y794" s="64"/>
    </row>
    <row r="795" spans="1:25" s="54" customFormat="1" ht="15" customHeight="1" x14ac:dyDescent="0.3">
      <c r="A795" s="63"/>
      <c r="B795" s="64"/>
      <c r="C795" s="55"/>
      <c r="D795" s="64">
        <v>2015</v>
      </c>
      <c r="E795" s="65">
        <v>0</v>
      </c>
      <c r="F795" s="65">
        <v>0</v>
      </c>
      <c r="G795" s="65">
        <v>0</v>
      </c>
      <c r="H795" s="65">
        <v>0</v>
      </c>
      <c r="I795" s="65">
        <v>0</v>
      </c>
      <c r="J795" s="65">
        <v>0</v>
      </c>
      <c r="K795" s="65">
        <v>0</v>
      </c>
      <c r="L795" s="65">
        <v>0</v>
      </c>
      <c r="M795" s="65">
        <v>0</v>
      </c>
      <c r="N795" s="65">
        <v>0</v>
      </c>
      <c r="O795" s="65">
        <v>0</v>
      </c>
      <c r="P795" s="65">
        <v>0</v>
      </c>
      <c r="Q795" s="65">
        <v>0</v>
      </c>
      <c r="R795" s="65">
        <v>0</v>
      </c>
      <c r="S795" s="65">
        <v>0</v>
      </c>
      <c r="T795" s="65">
        <v>0</v>
      </c>
      <c r="U795" s="65">
        <v>0</v>
      </c>
      <c r="V795" s="65">
        <v>0</v>
      </c>
      <c r="W795" s="65">
        <v>0</v>
      </c>
      <c r="X795" s="65">
        <v>0</v>
      </c>
      <c r="Y795" s="64"/>
    </row>
    <row r="796" spans="1:25" s="54" customFormat="1" ht="15" customHeight="1" x14ac:dyDescent="0.3">
      <c r="A796" s="63"/>
      <c r="B796" s="64"/>
      <c r="C796" s="55"/>
      <c r="D796" s="64">
        <v>2016</v>
      </c>
      <c r="E796" s="65">
        <v>0</v>
      </c>
      <c r="F796" s="65">
        <v>0</v>
      </c>
      <c r="G796" s="65">
        <v>0</v>
      </c>
      <c r="H796" s="65">
        <v>0</v>
      </c>
      <c r="I796" s="65">
        <v>0</v>
      </c>
      <c r="J796" s="65">
        <v>0</v>
      </c>
      <c r="K796" s="65">
        <v>0</v>
      </c>
      <c r="L796" s="65">
        <v>0</v>
      </c>
      <c r="M796" s="65">
        <v>0</v>
      </c>
      <c r="N796" s="65">
        <v>0</v>
      </c>
      <c r="O796" s="65">
        <v>0</v>
      </c>
      <c r="P796" s="65">
        <v>0</v>
      </c>
      <c r="Q796" s="65">
        <v>0</v>
      </c>
      <c r="R796" s="65">
        <v>0</v>
      </c>
      <c r="S796" s="65">
        <v>0</v>
      </c>
      <c r="T796" s="65">
        <v>0</v>
      </c>
      <c r="U796" s="65">
        <v>0</v>
      </c>
      <c r="V796" s="65">
        <v>0</v>
      </c>
      <c r="W796" s="65">
        <v>0</v>
      </c>
      <c r="X796" s="65">
        <v>0</v>
      </c>
      <c r="Y796" s="64"/>
    </row>
    <row r="797" spans="1:25" s="54" customFormat="1" ht="15" customHeight="1" x14ac:dyDescent="0.3">
      <c r="A797" s="63"/>
      <c r="B797" s="64"/>
      <c r="C797" s="55"/>
      <c r="D797" s="64">
        <v>2017</v>
      </c>
      <c r="E797" s="65">
        <v>0</v>
      </c>
      <c r="F797" s="65">
        <v>0</v>
      </c>
      <c r="G797" s="65">
        <v>0</v>
      </c>
      <c r="H797" s="65">
        <v>0</v>
      </c>
      <c r="I797" s="65">
        <v>0</v>
      </c>
      <c r="J797" s="65">
        <v>0</v>
      </c>
      <c r="K797" s="65">
        <v>0</v>
      </c>
      <c r="L797" s="65">
        <v>0</v>
      </c>
      <c r="M797" s="65">
        <v>0</v>
      </c>
      <c r="N797" s="65">
        <v>0</v>
      </c>
      <c r="O797" s="65">
        <v>0</v>
      </c>
      <c r="P797" s="65">
        <v>0</v>
      </c>
      <c r="Q797" s="65">
        <v>0</v>
      </c>
      <c r="R797" s="65">
        <v>0</v>
      </c>
      <c r="S797" s="65">
        <v>0</v>
      </c>
      <c r="T797" s="65">
        <v>0</v>
      </c>
      <c r="U797" s="65">
        <v>0</v>
      </c>
      <c r="V797" s="65">
        <v>0</v>
      </c>
      <c r="W797" s="65">
        <v>0</v>
      </c>
      <c r="X797" s="65">
        <v>0</v>
      </c>
      <c r="Y797" s="64"/>
    </row>
    <row r="798" spans="1:25" s="54" customFormat="1" ht="15" customHeight="1" x14ac:dyDescent="0.3">
      <c r="A798" s="63"/>
      <c r="B798" s="64"/>
      <c r="C798" s="55"/>
      <c r="D798" s="64">
        <v>2018</v>
      </c>
      <c r="E798" s="65">
        <v>0</v>
      </c>
      <c r="F798" s="65">
        <v>0</v>
      </c>
      <c r="G798" s="65">
        <v>0</v>
      </c>
      <c r="H798" s="65">
        <v>0</v>
      </c>
      <c r="I798" s="65">
        <v>0</v>
      </c>
      <c r="J798" s="65">
        <v>0</v>
      </c>
      <c r="K798" s="65">
        <v>0</v>
      </c>
      <c r="L798" s="65">
        <v>0</v>
      </c>
      <c r="M798" s="65">
        <v>0</v>
      </c>
      <c r="N798" s="65">
        <v>0</v>
      </c>
      <c r="O798" s="65">
        <v>0</v>
      </c>
      <c r="P798" s="65">
        <v>0</v>
      </c>
      <c r="Q798" s="65">
        <v>0</v>
      </c>
      <c r="R798" s="65">
        <v>0</v>
      </c>
      <c r="S798" s="65">
        <v>0</v>
      </c>
      <c r="T798" s="65">
        <v>0</v>
      </c>
      <c r="U798" s="65">
        <v>0</v>
      </c>
      <c r="V798" s="65">
        <v>0</v>
      </c>
      <c r="W798" s="65">
        <v>0</v>
      </c>
      <c r="X798" s="65">
        <v>0</v>
      </c>
      <c r="Y798" s="64"/>
    </row>
    <row r="799" spans="1:25" s="54" customFormat="1" ht="15" customHeight="1" x14ac:dyDescent="0.3">
      <c r="A799" s="63"/>
      <c r="B799" s="64"/>
      <c r="C799" s="55"/>
      <c r="D799" s="64">
        <v>2019</v>
      </c>
      <c r="E799" s="65">
        <f>4143*1000000</f>
        <v>4143000000</v>
      </c>
      <c r="F799" s="65">
        <f>(4143+469)*1000000</f>
        <v>4612000000</v>
      </c>
      <c r="G799" s="65">
        <f>200264*1000000</f>
        <v>200264000000</v>
      </c>
      <c r="H799" s="65">
        <f>59*1000000</f>
        <v>59000000</v>
      </c>
      <c r="I799" s="65">
        <f>59*1000000</f>
        <v>59000000</v>
      </c>
      <c r="J799" s="65">
        <f>205*1000000</f>
        <v>205000000</v>
      </c>
      <c r="K799" s="65">
        <f>200205*1000000</f>
        <v>200205000000</v>
      </c>
      <c r="L799" s="65">
        <v>0</v>
      </c>
      <c r="M799" s="65">
        <v>0</v>
      </c>
      <c r="N799" s="65">
        <v>0</v>
      </c>
      <c r="O799" s="65">
        <v>0</v>
      </c>
      <c r="P799" s="65">
        <v>0</v>
      </c>
      <c r="Q799" s="65">
        <v>0</v>
      </c>
      <c r="R799" s="65">
        <v>0</v>
      </c>
      <c r="S799" s="65">
        <v>0</v>
      </c>
      <c r="T799" s="65">
        <v>0</v>
      </c>
      <c r="U799" s="65">
        <v>0</v>
      </c>
      <c r="V799" s="65">
        <v>0</v>
      </c>
      <c r="W799" s="65">
        <v>0</v>
      </c>
      <c r="X799" s="65">
        <v>0</v>
      </c>
      <c r="Y799" s="64"/>
    </row>
    <row r="800" spans="1:25" s="54" customFormat="1" ht="15" customHeight="1" x14ac:dyDescent="0.3">
      <c r="A800" s="63"/>
      <c r="B800" s="64"/>
      <c r="C800" s="55"/>
      <c r="D800" s="64">
        <v>2020</v>
      </c>
      <c r="E800" s="65">
        <f>19444*1000000</f>
        <v>19444000000</v>
      </c>
      <c r="F800" s="65">
        <f>(19444+48201+64988+38387+950)*1000000</f>
        <v>171970000000</v>
      </c>
      <c r="G800" s="65">
        <f>361478*1000000</f>
        <v>361478000000</v>
      </c>
      <c r="H800" s="65">
        <f>96944*1000000</f>
        <v>96944000000</v>
      </c>
      <c r="I800" s="65">
        <f>158187*1000000</f>
        <v>158187000000</v>
      </c>
      <c r="J800" s="65">
        <f>3305*1000000</f>
        <v>3305000000</v>
      </c>
      <c r="K800" s="65">
        <f>203291*1000000</f>
        <v>203291000000</v>
      </c>
      <c r="L800" s="65">
        <f>7462*1000000</f>
        <v>7462000000</v>
      </c>
      <c r="M800" s="65">
        <f>1004*1000000</f>
        <v>1004000000</v>
      </c>
      <c r="N800" s="65">
        <f>3086*1000000</f>
        <v>3086000000</v>
      </c>
      <c r="O800" s="66">
        <v>0.98</v>
      </c>
      <c r="P800" s="67" t="s">
        <v>261</v>
      </c>
      <c r="Q800" s="65">
        <v>1</v>
      </c>
      <c r="R800" s="65">
        <v>3</v>
      </c>
      <c r="S800" s="65">
        <v>4</v>
      </c>
      <c r="T800" s="65">
        <f>SUM(R800:S800)</f>
        <v>7</v>
      </c>
      <c r="U800" s="68">
        <v>0</v>
      </c>
      <c r="V800" s="65">
        <f>3+(2*2)</f>
        <v>7</v>
      </c>
      <c r="W800" s="65">
        <f>V801</f>
        <v>7</v>
      </c>
      <c r="X800" s="65">
        <v>0</v>
      </c>
      <c r="Y800" s="64"/>
    </row>
    <row r="801" spans="1:25" s="54" customFormat="1" ht="15" customHeight="1" x14ac:dyDescent="0.3">
      <c r="A801" s="63"/>
      <c r="B801" s="64"/>
      <c r="C801" s="55"/>
      <c r="D801" s="64">
        <v>2021</v>
      </c>
      <c r="E801" s="65">
        <f>8865*1000000</f>
        <v>8865000000</v>
      </c>
      <c r="F801" s="65">
        <f>(8865+85395+28221+107947+2992+1172)*1000000</f>
        <v>234592000000</v>
      </c>
      <c r="G801" s="65">
        <f>451600*1000000</f>
        <v>451600000000</v>
      </c>
      <c r="H801" s="65">
        <f>83232*1000000</f>
        <v>83232000000</v>
      </c>
      <c r="I801" s="65">
        <f>243171*1000000</f>
        <v>243171000000</v>
      </c>
      <c r="J801" s="65">
        <f>10460*1000000</f>
        <v>10460000000</v>
      </c>
      <c r="K801" s="65">
        <f>208429*1000000</f>
        <v>208429000000</v>
      </c>
      <c r="L801" s="65">
        <f>45463*1000000</f>
        <v>45463000000</v>
      </c>
      <c r="M801" s="65">
        <f>7383*1000000</f>
        <v>7383000000</v>
      </c>
      <c r="N801" s="65">
        <f>5139*1000000</f>
        <v>5139000000</v>
      </c>
      <c r="O801" s="66">
        <v>0.98</v>
      </c>
      <c r="P801" s="67" t="s">
        <v>261</v>
      </c>
      <c r="Q801" s="65">
        <v>1</v>
      </c>
      <c r="R801" s="65">
        <v>3</v>
      </c>
      <c r="S801" s="65">
        <v>4</v>
      </c>
      <c r="T801" s="65">
        <f>SUM(R801:S801)</f>
        <v>7</v>
      </c>
      <c r="U801" s="68">
        <v>0</v>
      </c>
      <c r="V801" s="65">
        <f>3+(2*2)</f>
        <v>7</v>
      </c>
      <c r="W801" s="65">
        <f>V801</f>
        <v>7</v>
      </c>
      <c r="X801" s="65">
        <v>0</v>
      </c>
      <c r="Y801" s="64"/>
    </row>
    <row r="802" spans="1:25" s="54" customFormat="1" ht="15" customHeight="1" x14ac:dyDescent="0.3">
      <c r="A802" s="63"/>
      <c r="B802" s="64"/>
      <c r="C802" s="55"/>
      <c r="D802" s="64">
        <v>2022</v>
      </c>
      <c r="E802" s="65">
        <f>11649*1000000</f>
        <v>11649000000</v>
      </c>
      <c r="F802" s="65">
        <f>(11649+77171+50287+128312+12315+1396)*1000000</f>
        <v>281130000000</v>
      </c>
      <c r="G802" s="65">
        <f>513082*1000000</f>
        <v>513082000000</v>
      </c>
      <c r="H802" s="65">
        <f>104582*1000000</f>
        <v>104582000000</v>
      </c>
      <c r="I802" s="65">
        <f>295528*1000000</f>
        <v>295528000000</v>
      </c>
      <c r="J802" s="65">
        <f>18661*1000000</f>
        <v>18661000000</v>
      </c>
      <c r="K802" s="65">
        <f>217554*1000000</f>
        <v>217554000000</v>
      </c>
      <c r="L802" s="65">
        <f>80669*1000000</f>
        <v>80669000000</v>
      </c>
      <c r="M802" s="65">
        <f>9399*1000000</f>
        <v>9399000000</v>
      </c>
      <c r="N802" s="65">
        <f>9125*1000000</f>
        <v>9125000000</v>
      </c>
      <c r="O802" s="66">
        <v>0.98</v>
      </c>
      <c r="P802" s="67" t="s">
        <v>261</v>
      </c>
      <c r="Q802" s="65">
        <v>1</v>
      </c>
      <c r="R802" s="65">
        <v>3</v>
      </c>
      <c r="S802" s="65">
        <v>3</v>
      </c>
      <c r="T802" s="65">
        <f>SUM(R802:S802)</f>
        <v>6</v>
      </c>
      <c r="U802" s="68">
        <v>0</v>
      </c>
      <c r="V802" s="65">
        <f>3+(2*2)</f>
        <v>7</v>
      </c>
      <c r="W802" s="65">
        <f>V802</f>
        <v>7</v>
      </c>
      <c r="X802" s="65">
        <f>3</f>
        <v>3</v>
      </c>
      <c r="Y802" s="64"/>
    </row>
    <row r="803" spans="1:25" s="54" customFormat="1" ht="15" customHeight="1" x14ac:dyDescent="0.3">
      <c r="A803" s="63"/>
      <c r="B803" s="64"/>
      <c r="C803" s="55"/>
      <c r="D803" s="64">
        <v>2023</v>
      </c>
      <c r="E803" s="65">
        <f>7021*1000000</f>
        <v>7021000000</v>
      </c>
      <c r="F803" s="65">
        <f>(7021+122652+9530+199596+20284+1905)*1000000</f>
        <v>360988000000</v>
      </c>
      <c r="G803" s="65">
        <f>624335*1000000</f>
        <v>624335000000</v>
      </c>
      <c r="H803" s="65">
        <f>93855*1000000</f>
        <v>93855000000</v>
      </c>
      <c r="I803" s="65">
        <f>394741*1000000</f>
        <v>394741000000</v>
      </c>
      <c r="J803" s="65">
        <f>27917*1000000</f>
        <v>27917000000</v>
      </c>
      <c r="K803" s="65">
        <f>229594*1000000</f>
        <v>229594000000</v>
      </c>
      <c r="L803" s="65">
        <f>102085*1000000</f>
        <v>102085000000</v>
      </c>
      <c r="M803" s="65">
        <f>6858*1000000</f>
        <v>6858000000</v>
      </c>
      <c r="N803" s="65">
        <f>12040*1000000</f>
        <v>12040000000</v>
      </c>
      <c r="O803" s="66">
        <v>0.98</v>
      </c>
      <c r="P803" s="67" t="s">
        <v>261</v>
      </c>
      <c r="Q803" s="65">
        <v>1</v>
      </c>
      <c r="R803" s="65">
        <v>3</v>
      </c>
      <c r="S803" s="65">
        <v>3</v>
      </c>
      <c r="T803" s="65">
        <f>SUM(R803:S803)</f>
        <v>6</v>
      </c>
      <c r="U803" s="68">
        <v>0</v>
      </c>
      <c r="V803" s="65">
        <f>3+(2*2)</f>
        <v>7</v>
      </c>
      <c r="W803" s="65">
        <f>V803</f>
        <v>7</v>
      </c>
      <c r="X803" s="65">
        <f>3</f>
        <v>3</v>
      </c>
      <c r="Y803" s="64"/>
    </row>
    <row r="804" spans="1:25" s="54" customFormat="1" ht="15" customHeight="1" x14ac:dyDescent="0.3">
      <c r="A804" s="63"/>
      <c r="B804" s="64"/>
      <c r="C804" s="55"/>
      <c r="D804" s="64">
        <v>2024</v>
      </c>
      <c r="E804" s="65">
        <f>5328*1000000</f>
        <v>5328000000</v>
      </c>
      <c r="F804" s="65">
        <f>(5328+107630+71632+236290+54686+1871)*1000000</f>
        <v>477437000000</v>
      </c>
      <c r="G804" s="65">
        <f>714332*1000000</f>
        <v>714332000000</v>
      </c>
      <c r="H804" s="65">
        <f>131053*1000000</f>
        <v>131053000000</v>
      </c>
      <c r="I804" s="65">
        <f>468345*1000000</f>
        <v>468345000000</v>
      </c>
      <c r="J804" s="65">
        <f>45999*1000000</f>
        <v>45999000000</v>
      </c>
      <c r="K804" s="65">
        <f>245987*1000000</f>
        <v>245987000000</v>
      </c>
      <c r="L804" s="65">
        <f>124463*1000000</f>
        <v>124463000000</v>
      </c>
      <c r="M804" s="65">
        <f>18573*1000000</f>
        <v>18573000000</v>
      </c>
      <c r="N804" s="65">
        <f>16393*1000000</f>
        <v>16393000000</v>
      </c>
      <c r="O804" s="66">
        <v>0.98</v>
      </c>
      <c r="P804" s="67" t="s">
        <v>261</v>
      </c>
      <c r="Q804" s="65">
        <v>1</v>
      </c>
      <c r="R804" s="65">
        <v>3</v>
      </c>
      <c r="S804" s="65">
        <v>4</v>
      </c>
      <c r="T804" s="65">
        <f>SUM(R804:S804)</f>
        <v>7</v>
      </c>
      <c r="U804" s="68">
        <v>0</v>
      </c>
      <c r="V804" s="65">
        <f>3+(2*2)</f>
        <v>7</v>
      </c>
      <c r="W804" s="65">
        <f>V804</f>
        <v>7</v>
      </c>
      <c r="X804" s="65">
        <v>4</v>
      </c>
      <c r="Y804" s="64"/>
    </row>
    <row r="805" spans="1:25" s="54" customFormat="1" ht="15" customHeight="1" x14ac:dyDescent="0.3">
      <c r="A805" s="63"/>
      <c r="B805" s="64">
        <v>74</v>
      </c>
      <c r="C805" s="55" t="s">
        <v>76</v>
      </c>
      <c r="D805" s="64">
        <v>2014</v>
      </c>
      <c r="E805" s="65">
        <v>0</v>
      </c>
      <c r="F805" s="65">
        <v>0</v>
      </c>
      <c r="G805" s="65">
        <v>0</v>
      </c>
      <c r="H805" s="65">
        <v>0</v>
      </c>
      <c r="I805" s="65">
        <v>0</v>
      </c>
      <c r="J805" s="65">
        <v>0</v>
      </c>
      <c r="K805" s="65">
        <v>0</v>
      </c>
      <c r="L805" s="65">
        <f>1240901*1000000</f>
        <v>1240901000000</v>
      </c>
      <c r="M805" s="65">
        <v>0</v>
      </c>
      <c r="N805" s="65">
        <v>0</v>
      </c>
      <c r="O805" s="65">
        <v>0</v>
      </c>
      <c r="P805" s="65">
        <v>0</v>
      </c>
      <c r="Q805" s="65">
        <v>0</v>
      </c>
      <c r="R805" s="65">
        <v>0</v>
      </c>
      <c r="S805" s="65">
        <v>0</v>
      </c>
      <c r="T805" s="65">
        <v>0</v>
      </c>
      <c r="U805" s="65">
        <v>0</v>
      </c>
      <c r="V805" s="65">
        <v>0</v>
      </c>
      <c r="W805" s="65">
        <v>0</v>
      </c>
      <c r="X805" s="65">
        <v>0</v>
      </c>
      <c r="Y805" s="64"/>
    </row>
    <row r="806" spans="1:25" s="54" customFormat="1" ht="15" customHeight="1" x14ac:dyDescent="0.3">
      <c r="A806" s="63"/>
      <c r="B806" s="64"/>
      <c r="C806" s="55"/>
      <c r="D806" s="64">
        <v>2015</v>
      </c>
      <c r="E806" s="65">
        <f>326915100126</f>
        <v>326915100126</v>
      </c>
      <c r="F806" s="65">
        <f>(326915+865132+494963+12675+2529986)*1000000</f>
        <v>4229671000000</v>
      </c>
      <c r="G806" s="65">
        <f>9225611*1000000</f>
        <v>9225611000000</v>
      </c>
      <c r="H806" s="65">
        <f>1448447*1000000</f>
        <v>1448447000000</v>
      </c>
      <c r="I806" s="65">
        <f>4963028593627</f>
        <v>4963028593627</v>
      </c>
      <c r="J806" s="65">
        <f>2119378*1000000</f>
        <v>2119378000000</v>
      </c>
      <c r="K806" s="65">
        <f>4262582*1000000</f>
        <v>4262582000000</v>
      </c>
      <c r="L806" s="65">
        <f>1335665*1000000</f>
        <v>1335665000000</v>
      </c>
      <c r="M806" s="65">
        <f>223630*1000000</f>
        <v>223630000000</v>
      </c>
      <c r="N806" s="65">
        <f>155591*1000000</f>
        <v>155591000000</v>
      </c>
      <c r="O806" s="66">
        <v>0.33</v>
      </c>
      <c r="P806" s="67" t="s">
        <v>281</v>
      </c>
      <c r="Q806" s="65">
        <v>3</v>
      </c>
      <c r="R806" s="65">
        <v>5</v>
      </c>
      <c r="S806" s="65">
        <v>4</v>
      </c>
      <c r="T806" s="65">
        <f>SUM(R806:S806)</f>
        <v>9</v>
      </c>
      <c r="U806" s="68">
        <v>0.33</v>
      </c>
      <c r="V806" s="65">
        <v>0</v>
      </c>
      <c r="W806" s="65">
        <v>0</v>
      </c>
      <c r="X806" s="65">
        <v>0</v>
      </c>
      <c r="Y806" s="64"/>
    </row>
    <row r="807" spans="1:25" s="54" customFormat="1" ht="15" customHeight="1" x14ac:dyDescent="0.3">
      <c r="A807" s="63"/>
      <c r="B807" s="64"/>
      <c r="C807" s="55"/>
      <c r="D807" s="64">
        <v>2016</v>
      </c>
      <c r="E807" s="65">
        <f>320420*1000000</f>
        <v>320420000000</v>
      </c>
      <c r="F807" s="65">
        <f>(320420+724617+484284+3548+2021833+3548)*1000000</f>
        <v>3558250000000</v>
      </c>
      <c r="G807" s="65">
        <f>8734642*1000000</f>
        <v>8734642000000</v>
      </c>
      <c r="H807" s="65">
        <f>1425025*1000000</f>
        <v>1425025000000</v>
      </c>
      <c r="I807" s="65">
        <f>4357497*1000000</f>
        <v>4357497000000</v>
      </c>
      <c r="J807" s="65">
        <f>2607427*1000000</f>
        <v>2607427000000</v>
      </c>
      <c r="K807" s="65">
        <f>4337145*1000000</f>
        <v>4337145000000</v>
      </c>
      <c r="L807" s="65">
        <f>1268484*1000000</f>
        <v>1268484000000</v>
      </c>
      <c r="M807" s="65">
        <f>543609*1000000</f>
        <v>543609000000</v>
      </c>
      <c r="N807" s="65">
        <f>1426619*1000000</f>
        <v>1426619000000</v>
      </c>
      <c r="O807" s="66">
        <v>0.33</v>
      </c>
      <c r="P807" s="67" t="s">
        <v>281</v>
      </c>
      <c r="Q807" s="65">
        <v>3</v>
      </c>
      <c r="R807" s="65">
        <v>5</v>
      </c>
      <c r="S807" s="65">
        <v>4</v>
      </c>
      <c r="T807" s="65">
        <f t="shared" ref="T807:T815" si="74">SUM(R807:S807)</f>
        <v>9</v>
      </c>
      <c r="U807" s="68">
        <v>0.33</v>
      </c>
      <c r="V807" s="65">
        <v>0</v>
      </c>
      <c r="W807" s="65">
        <v>0</v>
      </c>
      <c r="X807" s="65">
        <v>0</v>
      </c>
      <c r="Y807" s="64"/>
    </row>
    <row r="808" spans="1:25" s="54" customFormat="1" ht="15" customHeight="1" x14ac:dyDescent="0.3">
      <c r="A808" s="63"/>
      <c r="B808" s="64"/>
      <c r="C808" s="55"/>
      <c r="D808" s="64">
        <v>2017</v>
      </c>
      <c r="E808" s="65">
        <f>331648*1000000</f>
        <v>331648000000</v>
      </c>
      <c r="F808" s="65">
        <f>(331648+1253608+339405+1953944+6109)*1000000</f>
        <v>3884714000000</v>
      </c>
      <c r="G808" s="65">
        <f>8918691*1000000</f>
        <v>8918691000000</v>
      </c>
      <c r="H808" s="65">
        <f>1977547*1000000</f>
        <v>1977547000000</v>
      </c>
      <c r="I808" s="65">
        <f>4928001*1000000</f>
        <v>4928001000000</v>
      </c>
      <c r="J808" s="65">
        <f>2987933*1000000</f>
        <v>2987933000000</v>
      </c>
      <c r="K808" s="65">
        <f>3990690*1000000</f>
        <v>3990690000000</v>
      </c>
      <c r="L808" s="65">
        <f>1132021*1000000</f>
        <v>1132021000000</v>
      </c>
      <c r="M808" s="65">
        <f>375574*1000000</f>
        <v>375574000000</v>
      </c>
      <c r="N808" s="65">
        <f>-379089*1000000</f>
        <v>-379089000000</v>
      </c>
      <c r="O808" s="66">
        <v>0.33</v>
      </c>
      <c r="P808" s="67" t="s">
        <v>281</v>
      </c>
      <c r="Q808" s="65">
        <v>3</v>
      </c>
      <c r="R808" s="65">
        <v>4</v>
      </c>
      <c r="S808" s="65">
        <v>4</v>
      </c>
      <c r="T808" s="65">
        <f t="shared" si="74"/>
        <v>8</v>
      </c>
      <c r="U808" s="68">
        <v>0.33</v>
      </c>
      <c r="V808" s="65">
        <v>0</v>
      </c>
      <c r="W808" s="65">
        <v>0</v>
      </c>
      <c r="X808" s="65">
        <v>0</v>
      </c>
      <c r="Y808" s="64"/>
    </row>
    <row r="809" spans="1:25" s="54" customFormat="1" ht="15" customHeight="1" x14ac:dyDescent="0.3">
      <c r="A809" s="63"/>
      <c r="B809" s="64"/>
      <c r="C809" s="55"/>
      <c r="D809" s="64">
        <v>2018</v>
      </c>
      <c r="E809" s="65">
        <f>439345*1000000</f>
        <v>439345000000</v>
      </c>
      <c r="F809" s="65">
        <f>(439345+877957+480058+2063929+12384)*1000000</f>
        <v>3873673000000</v>
      </c>
      <c r="G809" s="65">
        <f>9398031*1000000</f>
        <v>9398031000000</v>
      </c>
      <c r="H809" s="65">
        <f>1817846*1000000</f>
        <v>1817846000000</v>
      </c>
      <c r="I809" s="65">
        <f>4904882*1000000</f>
        <v>4904882000000</v>
      </c>
      <c r="J809" s="65">
        <f>3102208*1000000</f>
        <v>3102208000000</v>
      </c>
      <c r="K809" s="65">
        <f>4493149*1000000</f>
        <v>4493149000000</v>
      </c>
      <c r="L809" s="65">
        <f>1306016*1000000</f>
        <v>1306016000000</v>
      </c>
      <c r="M809" s="65">
        <f>322542*1000000</f>
        <v>322542000000</v>
      </c>
      <c r="N809" s="65">
        <f>690212*1000000</f>
        <v>690212000000</v>
      </c>
      <c r="O809" s="66">
        <v>0.33</v>
      </c>
      <c r="P809" s="67" t="s">
        <v>281</v>
      </c>
      <c r="Q809" s="65">
        <v>3</v>
      </c>
      <c r="R809" s="65">
        <v>5</v>
      </c>
      <c r="S809" s="65">
        <v>4</v>
      </c>
      <c r="T809" s="65">
        <f t="shared" si="74"/>
        <v>9</v>
      </c>
      <c r="U809" s="68">
        <v>0.33</v>
      </c>
      <c r="V809" s="65">
        <v>0</v>
      </c>
      <c r="W809" s="65">
        <v>0</v>
      </c>
      <c r="X809" s="65">
        <v>0</v>
      </c>
      <c r="Y809" s="64"/>
    </row>
    <row r="810" spans="1:25" s="54" customFormat="1" ht="15" customHeight="1" x14ac:dyDescent="0.3">
      <c r="A810" s="63"/>
      <c r="B810" s="64"/>
      <c r="C810" s="55"/>
      <c r="D810" s="64">
        <v>2019</v>
      </c>
      <c r="E810" s="65">
        <f>332382*1000000</f>
        <v>332382000000</v>
      </c>
      <c r="F810" s="65">
        <f>(332382+794548+349100+2645713+11336)*1000000</f>
        <v>4133079000000</v>
      </c>
      <c r="G810" s="65">
        <f>10790332*1000000</f>
        <v>10790332000000</v>
      </c>
      <c r="H810" s="65">
        <f>1626780*1000000</f>
        <v>1626780000000</v>
      </c>
      <c r="I810" s="65">
        <f>5259275*1000000</f>
        <v>5259275000000</v>
      </c>
      <c r="J810" s="65">
        <f>3295752*1000000</f>
        <v>3295752000000</v>
      </c>
      <c r="K810" s="65">
        <f>5531057*1000000</f>
        <v>5531057000000</v>
      </c>
      <c r="L810" s="65">
        <f>1409957*1000000</f>
        <v>1409957000000</v>
      </c>
      <c r="M810" s="65">
        <f>280885*1000000</f>
        <v>280885000000</v>
      </c>
      <c r="N810" s="65">
        <f>1097058*1000000</f>
        <v>1097058000000</v>
      </c>
      <c r="O810" s="66">
        <v>0.33</v>
      </c>
      <c r="P810" s="67" t="s">
        <v>281</v>
      </c>
      <c r="Q810" s="65">
        <v>2</v>
      </c>
      <c r="R810" s="65">
        <v>4</v>
      </c>
      <c r="S810" s="65">
        <v>5</v>
      </c>
      <c r="T810" s="65">
        <f t="shared" si="74"/>
        <v>9</v>
      </c>
      <c r="U810" s="68">
        <v>0.33</v>
      </c>
      <c r="V810" s="65">
        <v>0</v>
      </c>
      <c r="W810" s="65">
        <v>0</v>
      </c>
      <c r="X810" s="65">
        <v>0</v>
      </c>
      <c r="Y810" s="64"/>
    </row>
    <row r="811" spans="1:25" s="54" customFormat="1" ht="15" customHeight="1" x14ac:dyDescent="0.3">
      <c r="A811" s="63"/>
      <c r="B811" s="64"/>
      <c r="C811" s="55"/>
      <c r="D811" s="64">
        <v>2020</v>
      </c>
      <c r="E811" s="65">
        <f>373054*1000000</f>
        <v>373054000000</v>
      </c>
      <c r="F811" s="65">
        <f>(373054+701146+379721+2482094+10390)*1000000</f>
        <v>3946405000000</v>
      </c>
      <c r="G811" s="65">
        <f>10589546*1000000</f>
        <v>10589546000000</v>
      </c>
      <c r="H811" s="65">
        <f>1404323*1000000</f>
        <v>1404323000000</v>
      </c>
      <c r="I811" s="65">
        <f>4838640*1000000</f>
        <v>4838640000000</v>
      </c>
      <c r="J811" s="65">
        <f>3561450*1000000</f>
        <v>3561450000000</v>
      </c>
      <c r="K811" s="65">
        <f>5750905*1000000</f>
        <v>5750905000000</v>
      </c>
      <c r="L811" s="65">
        <f>1277144*1000000</f>
        <v>1277144000000</v>
      </c>
      <c r="M811" s="65">
        <f>373168*1000000</f>
        <v>373168000000</v>
      </c>
      <c r="N811" s="65">
        <f>296078*1000000</f>
        <v>296078000000</v>
      </c>
      <c r="O811" s="66">
        <v>0.33</v>
      </c>
      <c r="P811" s="67" t="s">
        <v>281</v>
      </c>
      <c r="Q811" s="65">
        <v>2</v>
      </c>
      <c r="R811" s="65">
        <v>4</v>
      </c>
      <c r="S811" s="65">
        <v>5</v>
      </c>
      <c r="T811" s="65">
        <f t="shared" si="74"/>
        <v>9</v>
      </c>
      <c r="U811" s="68">
        <v>0.33</v>
      </c>
      <c r="V811" s="65">
        <v>0</v>
      </c>
      <c r="W811" s="65">
        <v>0</v>
      </c>
      <c r="X811" s="65">
        <v>0</v>
      </c>
      <c r="Y811" s="64"/>
    </row>
    <row r="812" spans="1:25" s="54" customFormat="1" ht="15" customHeight="1" x14ac:dyDescent="0.3">
      <c r="A812" s="63"/>
      <c r="B812" s="64"/>
      <c r="C812" s="55"/>
      <c r="D812" s="64">
        <v>2021</v>
      </c>
      <c r="E812" s="65">
        <f>374062*1000000</f>
        <v>374062000000</v>
      </c>
      <c r="F812" s="65">
        <f>(374062+996795+18224+2772745+347673+15381)*1000000</f>
        <v>4524880000000</v>
      </c>
      <c r="G812" s="65">
        <f>12170557*1000000</f>
        <v>12170557000000</v>
      </c>
      <c r="H812" s="65">
        <f>1546917*1000000</f>
        <v>1546917000000</v>
      </c>
      <c r="I812" s="65">
        <f>5339467*1000000</f>
        <v>5339467000000</v>
      </c>
      <c r="J812" s="65">
        <f>3813709*1000000</f>
        <v>3813709000000</v>
      </c>
      <c r="K812" s="65">
        <f>6771089*1000000</f>
        <v>6771089000000</v>
      </c>
      <c r="L812" s="65">
        <f>1156314*1000000</f>
        <v>1156314000000</v>
      </c>
      <c r="M812" s="65">
        <f>334876*1000000</f>
        <v>334876000000</v>
      </c>
      <c r="N812" s="65">
        <f>1072763*1000000</f>
        <v>1072763000000</v>
      </c>
      <c r="O812" s="66">
        <v>0.33</v>
      </c>
      <c r="P812" s="67" t="s">
        <v>281</v>
      </c>
      <c r="Q812" s="65">
        <v>2</v>
      </c>
      <c r="R812" s="65">
        <v>4</v>
      </c>
      <c r="S812" s="65">
        <v>5</v>
      </c>
      <c r="T812" s="65">
        <f t="shared" si="74"/>
        <v>9</v>
      </c>
      <c r="U812" s="68">
        <v>0.33</v>
      </c>
      <c r="V812" s="65">
        <v>0</v>
      </c>
      <c r="W812" s="65">
        <v>0</v>
      </c>
      <c r="X812" s="65">
        <v>0</v>
      </c>
      <c r="Y812" s="64"/>
    </row>
    <row r="813" spans="1:25" s="54" customFormat="1" ht="15" customHeight="1" x14ac:dyDescent="0.3">
      <c r="A813" s="63"/>
      <c r="B813" s="64"/>
      <c r="C813" s="55"/>
      <c r="D813" s="64">
        <v>2022</v>
      </c>
      <c r="E813" s="65">
        <f>599935*1000000</f>
        <v>599935000000</v>
      </c>
      <c r="F813" s="65">
        <f>(599935+1203236+58759+3106354+18230+472387+24233)*1000000</f>
        <v>5483134000000</v>
      </c>
      <c r="G813" s="65">
        <f>13092783*1000000</f>
        <v>13092783000000</v>
      </c>
      <c r="H813" s="65">
        <f>1889979*1000000</f>
        <v>1889979000000</v>
      </c>
      <c r="I813" s="65">
        <f>6228902*1000000</f>
        <v>6228902000000</v>
      </c>
      <c r="J813" s="65">
        <f>4102935*1000000</f>
        <v>4102935000000</v>
      </c>
      <c r="K813" s="65">
        <f>6863880*1000000</f>
        <v>6863880000000</v>
      </c>
      <c r="L813" s="65">
        <f>1221082*1000000</f>
        <v>1221082000000</v>
      </c>
      <c r="M813" s="65">
        <f>388437*1000000</f>
        <v>388437000000</v>
      </c>
      <c r="N813" s="65">
        <f>156972*1000000</f>
        <v>156972000000</v>
      </c>
      <c r="O813" s="66">
        <v>0.33</v>
      </c>
      <c r="P813" s="67" t="s">
        <v>281</v>
      </c>
      <c r="Q813" s="65">
        <v>2</v>
      </c>
      <c r="R813" s="65">
        <v>4</v>
      </c>
      <c r="S813" s="65">
        <v>5</v>
      </c>
      <c r="T813" s="65">
        <f t="shared" si="74"/>
        <v>9</v>
      </c>
      <c r="U813" s="68">
        <v>0.33</v>
      </c>
      <c r="V813" s="65">
        <v>0</v>
      </c>
      <c r="W813" s="65">
        <v>0</v>
      </c>
      <c r="X813" s="65">
        <v>0</v>
      </c>
      <c r="Y813" s="64"/>
    </row>
    <row r="814" spans="1:25" s="54" customFormat="1" ht="15" customHeight="1" x14ac:dyDescent="0.3">
      <c r="A814" s="63"/>
      <c r="B814" s="64"/>
      <c r="C814" s="55"/>
      <c r="D814" s="64">
        <v>2023</v>
      </c>
      <c r="E814" s="65">
        <f>654659*1000000</f>
        <v>654659000000</v>
      </c>
      <c r="F814" s="65">
        <f>(654659+1231439+29728+3925896+37629+453505+25814)*1000000</f>
        <v>6358670000000</v>
      </c>
      <c r="G814" s="65">
        <f>14409652*1000000</f>
        <v>14409652000000</v>
      </c>
      <c r="H814" s="65">
        <f>1976992*1000000</f>
        <v>1976992000000</v>
      </c>
      <c r="I814" s="65">
        <f>7236140*1000000</f>
        <v>7236140000000</v>
      </c>
      <c r="J814" s="65">
        <f>4488197*1000000</f>
        <v>4488197000000</v>
      </c>
      <c r="K814" s="65">
        <f>7173512*1000000</f>
        <v>7173512000000</v>
      </c>
      <c r="L814" s="65">
        <f>1439078*1000000</f>
        <v>1439078000000</v>
      </c>
      <c r="M814" s="65">
        <f>455387*1000000</f>
        <v>455387000000</v>
      </c>
      <c r="N814" s="65">
        <f>333652*1000000</f>
        <v>333652000000</v>
      </c>
      <c r="O814" s="66">
        <v>0.33</v>
      </c>
      <c r="P814" s="67" t="s">
        <v>281</v>
      </c>
      <c r="Q814" s="65">
        <v>2</v>
      </c>
      <c r="R814" s="65">
        <v>4</v>
      </c>
      <c r="S814" s="65">
        <v>5</v>
      </c>
      <c r="T814" s="65">
        <f t="shared" si="74"/>
        <v>9</v>
      </c>
      <c r="U814" s="68">
        <v>0.33</v>
      </c>
      <c r="V814" s="65">
        <v>0</v>
      </c>
      <c r="W814" s="65">
        <v>0</v>
      </c>
      <c r="X814" s="65">
        <v>0</v>
      </c>
      <c r="Y814" s="64"/>
    </row>
    <row r="815" spans="1:25" s="54" customFormat="1" ht="15" customHeight="1" x14ac:dyDescent="0.3">
      <c r="A815" s="63"/>
      <c r="B815" s="64"/>
      <c r="C815" s="55"/>
      <c r="D815" s="64">
        <v>2024</v>
      </c>
      <c r="E815" s="65">
        <f>771614*1000000</f>
        <v>771614000000</v>
      </c>
      <c r="F815" s="65">
        <f>(771614+1380719+47038+4088946+49089+571403+29295)*1000000</f>
        <v>6938104000000</v>
      </c>
      <c r="G815" s="65">
        <f>16164429*1000000</f>
        <v>16164429000000</v>
      </c>
      <c r="H815" s="65">
        <f>2194910*1000000</f>
        <v>2194910000000</v>
      </c>
      <c r="I815" s="65">
        <f>7597445*1000000</f>
        <v>7597445000000</v>
      </c>
      <c r="J815" s="65">
        <f>5103357*1000000</f>
        <v>5103357000000</v>
      </c>
      <c r="K815" s="65">
        <f>8566984*1000000</f>
        <v>8566984000000</v>
      </c>
      <c r="L815" s="65">
        <f>1560311*1000000</f>
        <v>1560311000000</v>
      </c>
      <c r="M815" s="65">
        <f>642036*1000000</f>
        <v>642036000000</v>
      </c>
      <c r="N815" s="65">
        <f>147451*1000000</f>
        <v>147451000000</v>
      </c>
      <c r="O815" s="66">
        <v>0.33</v>
      </c>
      <c r="P815" s="67" t="s">
        <v>281</v>
      </c>
      <c r="Q815" s="65">
        <v>2</v>
      </c>
      <c r="R815" s="65">
        <v>4</v>
      </c>
      <c r="S815" s="65">
        <v>5</v>
      </c>
      <c r="T815" s="65">
        <f t="shared" si="74"/>
        <v>9</v>
      </c>
      <c r="U815" s="68">
        <v>0.33</v>
      </c>
      <c r="V815" s="65">
        <v>0</v>
      </c>
      <c r="W815" s="65">
        <v>0</v>
      </c>
      <c r="X815" s="65">
        <v>0</v>
      </c>
      <c r="Y815" s="64"/>
    </row>
    <row r="816" spans="1:25" s="54" customFormat="1" ht="15" customHeight="1" x14ac:dyDescent="0.3">
      <c r="A816" s="63"/>
      <c r="B816" s="64">
        <v>75</v>
      </c>
      <c r="C816" s="76" t="s">
        <v>130</v>
      </c>
      <c r="D816" s="64">
        <v>2014</v>
      </c>
      <c r="E816" s="65">
        <v>0</v>
      </c>
      <c r="F816" s="65">
        <v>0</v>
      </c>
      <c r="G816" s="65">
        <v>0</v>
      </c>
      <c r="H816" s="65">
        <v>0</v>
      </c>
      <c r="I816" s="65">
        <v>0</v>
      </c>
      <c r="J816" s="65">
        <v>0</v>
      </c>
      <c r="K816" s="65">
        <v>0</v>
      </c>
      <c r="L816" s="65">
        <v>0</v>
      </c>
      <c r="M816" s="65">
        <v>0</v>
      </c>
      <c r="N816" s="65">
        <v>0</v>
      </c>
      <c r="O816" s="65">
        <v>0</v>
      </c>
      <c r="P816" s="65">
        <v>0</v>
      </c>
      <c r="Q816" s="65">
        <v>0</v>
      </c>
      <c r="R816" s="65">
        <v>0</v>
      </c>
      <c r="S816" s="65">
        <v>0</v>
      </c>
      <c r="T816" s="65">
        <v>0</v>
      </c>
      <c r="U816" s="65">
        <v>0</v>
      </c>
      <c r="V816" s="65">
        <v>0</v>
      </c>
      <c r="W816" s="65">
        <v>0</v>
      </c>
      <c r="X816" s="65">
        <v>0</v>
      </c>
      <c r="Y816" s="64" t="s">
        <v>303</v>
      </c>
    </row>
    <row r="817" spans="1:25" s="54" customFormat="1" ht="15" customHeight="1" x14ac:dyDescent="0.3">
      <c r="A817" s="63"/>
      <c r="B817" s="64"/>
      <c r="C817" s="76"/>
      <c r="D817" s="64">
        <v>2015</v>
      </c>
      <c r="E817" s="65">
        <v>0</v>
      </c>
      <c r="F817" s="65">
        <v>0</v>
      </c>
      <c r="G817" s="65">
        <v>0</v>
      </c>
      <c r="H817" s="65">
        <v>0</v>
      </c>
      <c r="I817" s="65">
        <v>0</v>
      </c>
      <c r="J817" s="65">
        <v>0</v>
      </c>
      <c r="K817" s="65">
        <v>0</v>
      </c>
      <c r="L817" s="65">
        <v>0</v>
      </c>
      <c r="M817" s="65">
        <v>0</v>
      </c>
      <c r="N817" s="65">
        <v>0</v>
      </c>
      <c r="O817" s="65">
        <v>0</v>
      </c>
      <c r="P817" s="65">
        <v>0</v>
      </c>
      <c r="Q817" s="65">
        <v>0</v>
      </c>
      <c r="R817" s="65">
        <v>0</v>
      </c>
      <c r="S817" s="65">
        <v>0</v>
      </c>
      <c r="T817" s="65">
        <v>0</v>
      </c>
      <c r="U817" s="65">
        <v>0</v>
      </c>
      <c r="V817" s="65">
        <v>0</v>
      </c>
      <c r="W817" s="65">
        <v>0</v>
      </c>
      <c r="X817" s="65">
        <v>0</v>
      </c>
      <c r="Y817" s="64"/>
    </row>
    <row r="818" spans="1:25" s="54" customFormat="1" ht="15" customHeight="1" x14ac:dyDescent="0.3">
      <c r="A818" s="63"/>
      <c r="B818" s="64"/>
      <c r="C818" s="76"/>
      <c r="D818" s="64">
        <v>2016</v>
      </c>
      <c r="E818" s="65">
        <v>0</v>
      </c>
      <c r="F818" s="65">
        <v>0</v>
      </c>
      <c r="G818" s="65">
        <v>0</v>
      </c>
      <c r="H818" s="65">
        <v>0</v>
      </c>
      <c r="I818" s="65">
        <v>0</v>
      </c>
      <c r="J818" s="65">
        <v>0</v>
      </c>
      <c r="K818" s="65">
        <v>0</v>
      </c>
      <c r="L818" s="65">
        <v>0</v>
      </c>
      <c r="M818" s="65">
        <v>0</v>
      </c>
      <c r="N818" s="65">
        <v>0</v>
      </c>
      <c r="O818" s="65">
        <v>0</v>
      </c>
      <c r="P818" s="65">
        <v>0</v>
      </c>
      <c r="Q818" s="65">
        <v>0</v>
      </c>
      <c r="R818" s="65">
        <v>0</v>
      </c>
      <c r="S818" s="65">
        <v>0</v>
      </c>
      <c r="T818" s="65">
        <v>0</v>
      </c>
      <c r="U818" s="65">
        <v>0</v>
      </c>
      <c r="V818" s="65">
        <v>0</v>
      </c>
      <c r="W818" s="65">
        <v>0</v>
      </c>
      <c r="X818" s="65">
        <v>0</v>
      </c>
      <c r="Y818" s="64"/>
    </row>
    <row r="819" spans="1:25" s="54" customFormat="1" ht="15" customHeight="1" x14ac:dyDescent="0.3">
      <c r="A819" s="63"/>
      <c r="B819" s="64"/>
      <c r="C819" s="76"/>
      <c r="D819" s="64">
        <v>2017</v>
      </c>
      <c r="E819" s="65">
        <v>0</v>
      </c>
      <c r="F819" s="65">
        <v>0</v>
      </c>
      <c r="G819" s="65">
        <v>0</v>
      </c>
      <c r="H819" s="65">
        <v>0</v>
      </c>
      <c r="I819" s="65">
        <v>0</v>
      </c>
      <c r="J819" s="65">
        <v>0</v>
      </c>
      <c r="K819" s="65">
        <v>0</v>
      </c>
      <c r="L819" s="65">
        <v>0</v>
      </c>
      <c r="M819" s="65">
        <v>0</v>
      </c>
      <c r="N819" s="65">
        <v>0</v>
      </c>
      <c r="O819" s="65">
        <v>0</v>
      </c>
      <c r="P819" s="65">
        <v>0</v>
      </c>
      <c r="Q819" s="65">
        <v>0</v>
      </c>
      <c r="R819" s="65">
        <v>0</v>
      </c>
      <c r="S819" s="65">
        <v>0</v>
      </c>
      <c r="T819" s="65">
        <v>0</v>
      </c>
      <c r="U819" s="65">
        <v>0</v>
      </c>
      <c r="V819" s="65">
        <v>0</v>
      </c>
      <c r="W819" s="65">
        <v>0</v>
      </c>
      <c r="X819" s="65">
        <v>0</v>
      </c>
      <c r="Y819" s="64"/>
    </row>
    <row r="820" spans="1:25" s="54" customFormat="1" ht="15" customHeight="1" x14ac:dyDescent="0.3">
      <c r="A820" s="63"/>
      <c r="B820" s="64"/>
      <c r="C820" s="76"/>
      <c r="D820" s="64">
        <v>2018</v>
      </c>
      <c r="E820" s="65">
        <v>0</v>
      </c>
      <c r="F820" s="65">
        <v>0</v>
      </c>
      <c r="G820" s="65">
        <v>0</v>
      </c>
      <c r="H820" s="65">
        <v>0</v>
      </c>
      <c r="I820" s="65">
        <v>0</v>
      </c>
      <c r="J820" s="65">
        <v>0</v>
      </c>
      <c r="K820" s="65">
        <v>0</v>
      </c>
      <c r="L820" s="65">
        <v>0</v>
      </c>
      <c r="M820" s="65">
        <v>0</v>
      </c>
      <c r="N820" s="65">
        <v>0</v>
      </c>
      <c r="O820" s="65">
        <v>0</v>
      </c>
      <c r="P820" s="65">
        <v>0</v>
      </c>
      <c r="Q820" s="65">
        <v>0</v>
      </c>
      <c r="R820" s="65">
        <v>0</v>
      </c>
      <c r="S820" s="65">
        <v>0</v>
      </c>
      <c r="T820" s="65">
        <v>0</v>
      </c>
      <c r="U820" s="65">
        <v>0</v>
      </c>
      <c r="V820" s="65">
        <v>0</v>
      </c>
      <c r="W820" s="65">
        <v>0</v>
      </c>
      <c r="X820" s="65">
        <v>0</v>
      </c>
      <c r="Y820" s="64"/>
    </row>
    <row r="821" spans="1:25" s="54" customFormat="1" ht="15" customHeight="1" x14ac:dyDescent="0.3">
      <c r="A821" s="63"/>
      <c r="B821" s="64"/>
      <c r="C821" s="76"/>
      <c r="D821" s="64">
        <v>2019</v>
      </c>
      <c r="E821" s="65">
        <v>0</v>
      </c>
      <c r="F821" s="65">
        <v>0</v>
      </c>
      <c r="G821" s="65">
        <v>0</v>
      </c>
      <c r="H821" s="65">
        <v>0</v>
      </c>
      <c r="I821" s="65">
        <v>0</v>
      </c>
      <c r="J821" s="65">
        <v>0</v>
      </c>
      <c r="K821" s="65">
        <v>0</v>
      </c>
      <c r="L821" s="65">
        <v>0</v>
      </c>
      <c r="M821" s="65">
        <v>0</v>
      </c>
      <c r="N821" s="65">
        <v>0</v>
      </c>
      <c r="O821" s="65">
        <v>0</v>
      </c>
      <c r="P821" s="65">
        <v>0</v>
      </c>
      <c r="Q821" s="65">
        <v>0</v>
      </c>
      <c r="R821" s="65">
        <v>0</v>
      </c>
      <c r="S821" s="65">
        <v>0</v>
      </c>
      <c r="T821" s="65">
        <v>0</v>
      </c>
      <c r="U821" s="65">
        <v>0</v>
      </c>
      <c r="V821" s="65">
        <v>0</v>
      </c>
      <c r="W821" s="65">
        <v>0</v>
      </c>
      <c r="X821" s="65">
        <v>0</v>
      </c>
      <c r="Y821" s="64"/>
    </row>
    <row r="822" spans="1:25" s="54" customFormat="1" ht="15" customHeight="1" x14ac:dyDescent="0.3">
      <c r="A822" s="63"/>
      <c r="B822" s="64"/>
      <c r="C822" s="76"/>
      <c r="D822" s="64">
        <v>2020</v>
      </c>
      <c r="E822" s="65">
        <v>0</v>
      </c>
      <c r="F822" s="65">
        <v>0</v>
      </c>
      <c r="G822" s="65">
        <v>0</v>
      </c>
      <c r="H822" s="65">
        <v>0</v>
      </c>
      <c r="I822" s="65">
        <v>0</v>
      </c>
      <c r="J822" s="65">
        <v>0</v>
      </c>
      <c r="K822" s="65">
        <v>0</v>
      </c>
      <c r="L822" s="65">
        <v>0</v>
      </c>
      <c r="M822" s="65">
        <v>0</v>
      </c>
      <c r="N822" s="65">
        <v>0</v>
      </c>
      <c r="O822" s="65">
        <v>0</v>
      </c>
      <c r="P822" s="65">
        <v>0</v>
      </c>
      <c r="Q822" s="65">
        <v>0</v>
      </c>
      <c r="R822" s="65">
        <v>0</v>
      </c>
      <c r="S822" s="65">
        <v>0</v>
      </c>
      <c r="T822" s="65">
        <v>0</v>
      </c>
      <c r="U822" s="65">
        <v>0</v>
      </c>
      <c r="V822" s="65">
        <v>0</v>
      </c>
      <c r="W822" s="65">
        <v>0</v>
      </c>
      <c r="X822" s="65">
        <v>0</v>
      </c>
      <c r="Y822" s="64"/>
    </row>
    <row r="823" spans="1:25" s="54" customFormat="1" ht="15" customHeight="1" x14ac:dyDescent="0.3">
      <c r="A823" s="63"/>
      <c r="B823" s="64"/>
      <c r="C823" s="76"/>
      <c r="D823" s="64">
        <v>2021</v>
      </c>
      <c r="E823" s="65">
        <v>0</v>
      </c>
      <c r="F823" s="65">
        <v>0</v>
      </c>
      <c r="G823" s="65">
        <v>0</v>
      </c>
      <c r="H823" s="65">
        <v>0</v>
      </c>
      <c r="I823" s="65">
        <v>0</v>
      </c>
      <c r="J823" s="65">
        <v>0</v>
      </c>
      <c r="K823" s="65">
        <v>0</v>
      </c>
      <c r="L823" s="65">
        <v>0</v>
      </c>
      <c r="M823" s="65">
        <v>0</v>
      </c>
      <c r="N823" s="65">
        <v>0</v>
      </c>
      <c r="O823" s="65">
        <v>0</v>
      </c>
      <c r="P823" s="65">
        <v>0</v>
      </c>
      <c r="Q823" s="65">
        <v>0</v>
      </c>
      <c r="R823" s="65">
        <v>0</v>
      </c>
      <c r="S823" s="65">
        <v>0</v>
      </c>
      <c r="T823" s="65">
        <v>0</v>
      </c>
      <c r="U823" s="65">
        <v>0</v>
      </c>
      <c r="V823" s="65">
        <v>0</v>
      </c>
      <c r="W823" s="65">
        <v>0</v>
      </c>
      <c r="X823" s="65">
        <v>0</v>
      </c>
      <c r="Y823" s="64"/>
    </row>
    <row r="824" spans="1:25" s="54" customFormat="1" ht="15" customHeight="1" x14ac:dyDescent="0.3">
      <c r="A824" s="63"/>
      <c r="B824" s="64"/>
      <c r="C824" s="76"/>
      <c r="D824" s="64">
        <v>2022</v>
      </c>
      <c r="E824" s="65">
        <v>0</v>
      </c>
      <c r="F824" s="65">
        <v>0</v>
      </c>
      <c r="G824" s="65">
        <v>0</v>
      </c>
      <c r="H824" s="65">
        <v>0</v>
      </c>
      <c r="I824" s="65">
        <v>0</v>
      </c>
      <c r="J824" s="65">
        <v>0</v>
      </c>
      <c r="K824" s="65">
        <v>0</v>
      </c>
      <c r="L824" s="65">
        <v>0</v>
      </c>
      <c r="M824" s="65">
        <v>0</v>
      </c>
      <c r="N824" s="65">
        <v>0</v>
      </c>
      <c r="O824" s="65">
        <v>0</v>
      </c>
      <c r="P824" s="65">
        <v>0</v>
      </c>
      <c r="Q824" s="65">
        <v>0</v>
      </c>
      <c r="R824" s="65">
        <v>0</v>
      </c>
      <c r="S824" s="65">
        <v>0</v>
      </c>
      <c r="T824" s="65">
        <v>0</v>
      </c>
      <c r="U824" s="65">
        <v>0</v>
      </c>
      <c r="V824" s="65">
        <v>0</v>
      </c>
      <c r="W824" s="65">
        <v>0</v>
      </c>
      <c r="X824" s="65">
        <v>0</v>
      </c>
      <c r="Y824" s="64"/>
    </row>
    <row r="825" spans="1:25" s="54" customFormat="1" ht="15" customHeight="1" x14ac:dyDescent="0.3">
      <c r="A825" s="63"/>
      <c r="B825" s="64"/>
      <c r="C825" s="76"/>
      <c r="D825" s="64">
        <v>2023</v>
      </c>
      <c r="E825" s="65">
        <v>0</v>
      </c>
      <c r="F825" s="65">
        <v>0</v>
      </c>
      <c r="G825" s="65">
        <v>0</v>
      </c>
      <c r="H825" s="65">
        <v>0</v>
      </c>
      <c r="I825" s="65">
        <v>0</v>
      </c>
      <c r="J825" s="65">
        <v>0</v>
      </c>
      <c r="K825" s="65">
        <v>0</v>
      </c>
      <c r="L825" s="65">
        <v>0</v>
      </c>
      <c r="M825" s="65">
        <v>0</v>
      </c>
      <c r="N825" s="65">
        <v>0</v>
      </c>
      <c r="O825" s="65">
        <v>0</v>
      </c>
      <c r="P825" s="65">
        <v>0</v>
      </c>
      <c r="Q825" s="65">
        <v>0</v>
      </c>
      <c r="R825" s="65">
        <v>0</v>
      </c>
      <c r="S825" s="65">
        <v>0</v>
      </c>
      <c r="T825" s="65">
        <v>0</v>
      </c>
      <c r="U825" s="65">
        <v>0</v>
      </c>
      <c r="V825" s="65">
        <v>0</v>
      </c>
      <c r="W825" s="65">
        <v>0</v>
      </c>
      <c r="X825" s="65">
        <v>0</v>
      </c>
      <c r="Y825" s="64"/>
    </row>
    <row r="826" spans="1:25" s="54" customFormat="1" ht="15" customHeight="1" x14ac:dyDescent="0.3">
      <c r="A826" s="63"/>
      <c r="B826" s="64"/>
      <c r="C826" s="76"/>
      <c r="D826" s="64">
        <v>2024</v>
      </c>
      <c r="E826" s="65">
        <v>0</v>
      </c>
      <c r="F826" s="65">
        <v>0</v>
      </c>
      <c r="G826" s="65">
        <v>0</v>
      </c>
      <c r="H826" s="65">
        <v>0</v>
      </c>
      <c r="I826" s="65">
        <v>0</v>
      </c>
      <c r="J826" s="65">
        <v>0</v>
      </c>
      <c r="K826" s="65">
        <v>0</v>
      </c>
      <c r="L826" s="65">
        <v>0</v>
      </c>
      <c r="M826" s="65">
        <v>0</v>
      </c>
      <c r="N826" s="65">
        <v>0</v>
      </c>
      <c r="O826" s="65">
        <v>0</v>
      </c>
      <c r="P826" s="65">
        <v>0</v>
      </c>
      <c r="Q826" s="65">
        <v>0</v>
      </c>
      <c r="R826" s="65">
        <v>0</v>
      </c>
      <c r="S826" s="65">
        <v>0</v>
      </c>
      <c r="T826" s="65">
        <v>0</v>
      </c>
      <c r="U826" s="65">
        <v>0</v>
      </c>
      <c r="V826" s="65">
        <v>0</v>
      </c>
      <c r="W826" s="65">
        <v>0</v>
      </c>
      <c r="X826" s="65">
        <v>0</v>
      </c>
      <c r="Y826" s="64"/>
    </row>
    <row r="827" spans="1:25" s="54" customFormat="1" ht="15" customHeight="1" x14ac:dyDescent="0.3">
      <c r="A827" s="63"/>
      <c r="B827" s="64">
        <v>76</v>
      </c>
      <c r="C827" s="55" t="s">
        <v>79</v>
      </c>
      <c r="D827" s="64">
        <v>2014</v>
      </c>
      <c r="E827" s="65">
        <v>0</v>
      </c>
      <c r="F827" s="65">
        <v>0</v>
      </c>
      <c r="G827" s="65">
        <v>0</v>
      </c>
      <c r="H827" s="65">
        <v>0</v>
      </c>
      <c r="I827" s="65">
        <v>0</v>
      </c>
      <c r="J827" s="65">
        <v>0</v>
      </c>
      <c r="K827" s="65">
        <v>0</v>
      </c>
      <c r="L827" s="65">
        <v>0</v>
      </c>
      <c r="M827" s="65">
        <v>0</v>
      </c>
      <c r="N827" s="65">
        <v>0</v>
      </c>
      <c r="O827" s="65">
        <v>0</v>
      </c>
      <c r="P827" s="65">
        <v>0</v>
      </c>
      <c r="Q827" s="65">
        <v>0</v>
      </c>
      <c r="R827" s="65">
        <v>0</v>
      </c>
      <c r="S827" s="65">
        <v>0</v>
      </c>
      <c r="T827" s="65">
        <v>0</v>
      </c>
      <c r="U827" s="65">
        <v>0</v>
      </c>
      <c r="V827" s="65">
        <v>0</v>
      </c>
      <c r="W827" s="65">
        <v>0</v>
      </c>
      <c r="X827" s="65">
        <v>0</v>
      </c>
      <c r="Y827" s="64"/>
    </row>
    <row r="828" spans="1:25" s="54" customFormat="1" ht="15" customHeight="1" x14ac:dyDescent="0.3">
      <c r="A828" s="63"/>
      <c r="B828" s="64"/>
      <c r="C828" s="55"/>
      <c r="D828" s="64">
        <v>2015</v>
      </c>
      <c r="E828" s="65">
        <v>0</v>
      </c>
      <c r="F828" s="65">
        <v>0</v>
      </c>
      <c r="G828" s="65">
        <v>0</v>
      </c>
      <c r="H828" s="65">
        <v>0</v>
      </c>
      <c r="I828" s="65">
        <v>0</v>
      </c>
      <c r="J828" s="65">
        <v>0</v>
      </c>
      <c r="K828" s="65">
        <v>0</v>
      </c>
      <c r="L828" s="65">
        <v>0</v>
      </c>
      <c r="M828" s="65">
        <v>0</v>
      </c>
      <c r="N828" s="65">
        <v>0</v>
      </c>
      <c r="O828" s="65">
        <v>0</v>
      </c>
      <c r="P828" s="65">
        <v>0</v>
      </c>
      <c r="Q828" s="65">
        <v>0</v>
      </c>
      <c r="R828" s="65">
        <v>0</v>
      </c>
      <c r="S828" s="65">
        <v>0</v>
      </c>
      <c r="T828" s="65">
        <v>0</v>
      </c>
      <c r="U828" s="65">
        <v>0</v>
      </c>
      <c r="V828" s="65">
        <v>0</v>
      </c>
      <c r="W828" s="65">
        <v>0</v>
      </c>
      <c r="X828" s="65">
        <v>0</v>
      </c>
      <c r="Y828" s="64"/>
    </row>
    <row r="829" spans="1:25" s="54" customFormat="1" ht="15" customHeight="1" x14ac:dyDescent="0.3">
      <c r="A829" s="63"/>
      <c r="B829" s="64"/>
      <c r="C829" s="55"/>
      <c r="D829" s="64">
        <v>2016</v>
      </c>
      <c r="E829" s="65">
        <v>0</v>
      </c>
      <c r="F829" s="65">
        <v>0</v>
      </c>
      <c r="G829" s="65">
        <v>0</v>
      </c>
      <c r="H829" s="65">
        <v>0</v>
      </c>
      <c r="I829" s="65">
        <v>0</v>
      </c>
      <c r="J829" s="65">
        <v>0</v>
      </c>
      <c r="K829" s="65">
        <v>0</v>
      </c>
      <c r="L829" s="65">
        <v>0</v>
      </c>
      <c r="M829" s="65">
        <v>0</v>
      </c>
      <c r="N829" s="65">
        <v>0</v>
      </c>
      <c r="O829" s="65">
        <v>0</v>
      </c>
      <c r="P829" s="65">
        <v>0</v>
      </c>
      <c r="Q829" s="65">
        <v>0</v>
      </c>
      <c r="R829" s="65">
        <v>0</v>
      </c>
      <c r="S829" s="65">
        <v>0</v>
      </c>
      <c r="T829" s="65">
        <v>0</v>
      </c>
      <c r="U829" s="65">
        <v>0</v>
      </c>
      <c r="V829" s="65">
        <v>0</v>
      </c>
      <c r="W829" s="65">
        <v>0</v>
      </c>
      <c r="X829" s="65">
        <v>0</v>
      </c>
      <c r="Y829" s="64"/>
    </row>
    <row r="830" spans="1:25" s="54" customFormat="1" ht="15" customHeight="1" x14ac:dyDescent="0.3">
      <c r="A830" s="63"/>
      <c r="B830" s="64"/>
      <c r="C830" s="55"/>
      <c r="D830" s="64">
        <v>2017</v>
      </c>
      <c r="E830" s="65">
        <v>0</v>
      </c>
      <c r="F830" s="65">
        <v>0</v>
      </c>
      <c r="G830" s="65">
        <v>0</v>
      </c>
      <c r="H830" s="65">
        <v>0</v>
      </c>
      <c r="I830" s="65">
        <v>0</v>
      </c>
      <c r="J830" s="65">
        <v>0</v>
      </c>
      <c r="K830" s="65">
        <v>0</v>
      </c>
      <c r="L830" s="65">
        <v>0</v>
      </c>
      <c r="M830" s="65">
        <v>0</v>
      </c>
      <c r="N830" s="65">
        <v>0</v>
      </c>
      <c r="O830" s="65">
        <v>0</v>
      </c>
      <c r="P830" s="65">
        <v>0</v>
      </c>
      <c r="Q830" s="65">
        <v>0</v>
      </c>
      <c r="R830" s="65">
        <v>0</v>
      </c>
      <c r="S830" s="65">
        <v>0</v>
      </c>
      <c r="T830" s="65">
        <v>0</v>
      </c>
      <c r="U830" s="65">
        <v>0</v>
      </c>
      <c r="V830" s="65">
        <v>0</v>
      </c>
      <c r="W830" s="65">
        <v>0</v>
      </c>
      <c r="X830" s="65">
        <v>0</v>
      </c>
      <c r="Y830" s="64"/>
    </row>
    <row r="831" spans="1:25" s="54" customFormat="1" ht="15" customHeight="1" x14ac:dyDescent="0.3">
      <c r="A831" s="63"/>
      <c r="B831" s="64"/>
      <c r="C831" s="55"/>
      <c r="D831" s="64">
        <v>2018</v>
      </c>
      <c r="E831" s="65">
        <v>0</v>
      </c>
      <c r="F831" s="65">
        <v>0</v>
      </c>
      <c r="G831" s="65">
        <v>0</v>
      </c>
      <c r="H831" s="65">
        <v>0</v>
      </c>
      <c r="I831" s="65">
        <v>0</v>
      </c>
      <c r="J831" s="65">
        <v>0</v>
      </c>
      <c r="K831" s="65">
        <v>0</v>
      </c>
      <c r="L831" s="65">
        <v>0</v>
      </c>
      <c r="M831" s="65">
        <v>0</v>
      </c>
      <c r="N831" s="65">
        <v>0</v>
      </c>
      <c r="O831" s="65">
        <v>0</v>
      </c>
      <c r="P831" s="65">
        <v>0</v>
      </c>
      <c r="Q831" s="65">
        <v>0</v>
      </c>
      <c r="R831" s="65">
        <v>0</v>
      </c>
      <c r="S831" s="65">
        <v>0</v>
      </c>
      <c r="T831" s="65">
        <v>0</v>
      </c>
      <c r="U831" s="65">
        <v>0</v>
      </c>
      <c r="V831" s="65">
        <v>0</v>
      </c>
      <c r="W831" s="65">
        <v>0</v>
      </c>
      <c r="X831" s="65">
        <v>0</v>
      </c>
      <c r="Y831" s="64"/>
    </row>
    <row r="832" spans="1:25" s="54" customFormat="1" ht="15" customHeight="1" x14ac:dyDescent="0.3">
      <c r="A832" s="63"/>
      <c r="B832" s="64"/>
      <c r="C832" s="55"/>
      <c r="D832" s="64">
        <v>2019</v>
      </c>
      <c r="E832" s="65">
        <f>42180151*1000</f>
        <v>42180151000</v>
      </c>
      <c r="F832" s="65">
        <f>(42180151+192392661+5825053+780492+505689763+595503)*1000</f>
        <v>747463623000</v>
      </c>
      <c r="G832" s="65">
        <f>(1158038755*1000)</f>
        <v>1158038755000</v>
      </c>
      <c r="H832" s="65">
        <f>(12078323+13025732+157875274+11722146+1306578+3795500+5098414)*1000</f>
        <v>204901967000</v>
      </c>
      <c r="I832" s="65">
        <f>823936164*1000</f>
        <v>823936164000</v>
      </c>
      <c r="J832" s="65">
        <f>(9600000+290601088)*1000</f>
        <v>300201088000</v>
      </c>
      <c r="K832" s="65">
        <f>334102591*1000</f>
        <v>334102591000</v>
      </c>
      <c r="L832" s="65">
        <f>204107653*1000</f>
        <v>204107653000</v>
      </c>
      <c r="M832" s="65">
        <f>33647050*1000</f>
        <v>33647050000</v>
      </c>
      <c r="N832" s="65">
        <f>25155527*1000</f>
        <v>25155527000</v>
      </c>
      <c r="O832" s="65">
        <v>0</v>
      </c>
      <c r="P832" s="65">
        <v>0</v>
      </c>
      <c r="Q832" s="65">
        <v>0</v>
      </c>
      <c r="R832" s="65">
        <v>0</v>
      </c>
      <c r="S832" s="65">
        <v>0</v>
      </c>
      <c r="T832" s="65">
        <v>0</v>
      </c>
      <c r="U832" s="65">
        <v>0</v>
      </c>
      <c r="V832" s="65">
        <v>0</v>
      </c>
      <c r="W832" s="65">
        <v>0</v>
      </c>
      <c r="X832" s="65">
        <v>0</v>
      </c>
      <c r="Y832" s="64"/>
    </row>
    <row r="833" spans="1:25" s="54" customFormat="1" ht="15" customHeight="1" x14ac:dyDescent="0.3">
      <c r="A833" s="63"/>
      <c r="B833" s="64"/>
      <c r="C833" s="55"/>
      <c r="D833" s="64">
        <v>2020</v>
      </c>
      <c r="E833" s="65">
        <f>14269577*1000</f>
        <v>14269577000</v>
      </c>
      <c r="F833" s="65">
        <f>(14269577+135512003+6365584+716170+314704061+344730)*1000</f>
        <v>471912125000</v>
      </c>
      <c r="G833" s="65">
        <f>859876511*1000</f>
        <v>859876511000</v>
      </c>
      <c r="H833" s="65">
        <f>(24303612+7361635+62190379+10452226+1190239+7034632+2149648+9007801)*1000</f>
        <v>123690172000</v>
      </c>
      <c r="I833" s="65">
        <f>508174714*1000</f>
        <v>508174714000</v>
      </c>
      <c r="J833" s="65">
        <f>(9600000+302429702)*1000</f>
        <v>312029702000</v>
      </c>
      <c r="K833" s="65">
        <f>351701797*1000</f>
        <v>351701797000</v>
      </c>
      <c r="L833" s="65">
        <f>181587155*1000</f>
        <v>181587155000</v>
      </c>
      <c r="M833" s="65">
        <f>31060958*1000</f>
        <v>31060958000</v>
      </c>
      <c r="N833" s="65">
        <f>32575206*1000</f>
        <v>32575206000</v>
      </c>
      <c r="O833" s="66">
        <v>0.73329999999999995</v>
      </c>
      <c r="P833" s="67" t="s">
        <v>220</v>
      </c>
      <c r="Q833" s="65">
        <v>2</v>
      </c>
      <c r="R833" s="65">
        <v>4</v>
      </c>
      <c r="S833" s="65">
        <v>5</v>
      </c>
      <c r="T833" s="65">
        <f>SUM(R833:S833)</f>
        <v>9</v>
      </c>
      <c r="U833" s="68">
        <v>0</v>
      </c>
      <c r="V833" s="65">
        <f>4+(2*2)+(3*1)</f>
        <v>11</v>
      </c>
      <c r="W833" s="65">
        <f>V833</f>
        <v>11</v>
      </c>
      <c r="X833" s="65">
        <f>5+2</f>
        <v>7</v>
      </c>
      <c r="Y833" s="64"/>
    </row>
    <row r="834" spans="1:25" s="54" customFormat="1" ht="15" customHeight="1" x14ac:dyDescent="0.3">
      <c r="A834" s="63"/>
      <c r="B834" s="64"/>
      <c r="C834" s="55"/>
      <c r="D834" s="64">
        <v>2021</v>
      </c>
      <c r="E834" s="65">
        <f>11241496*1000</f>
        <v>11241496000</v>
      </c>
      <c r="F834" s="65">
        <f>(11241496+124483909+17002410+664490+269768559+285863)*1000</f>
        <v>423446727000</v>
      </c>
      <c r="G834" s="65">
        <f>822740369*1000</f>
        <v>822740369000</v>
      </c>
      <c r="H834" s="65">
        <f>(14196893+3148203+78235945+8352375+1204546+4139948+2279645+494444+4378952+281793)*1000</f>
        <v>116712744000</v>
      </c>
      <c r="I834" s="65">
        <f>462797631*1000</f>
        <v>462797631000</v>
      </c>
      <c r="J834" s="65">
        <f>(9600000+304474061)*1000</f>
        <v>314074061000</v>
      </c>
      <c r="K834" s="65">
        <f>359942738*1000</f>
        <v>359942738000</v>
      </c>
      <c r="L834" s="65">
        <f>172428003*1000</f>
        <v>172428003000</v>
      </c>
      <c r="M834" s="65">
        <f>22837331*1000</f>
        <v>22837331000</v>
      </c>
      <c r="N834" s="65">
        <f>26480941*1000</f>
        <v>26480941000</v>
      </c>
      <c r="O834" s="66">
        <v>0.73329999999999995</v>
      </c>
      <c r="P834" s="67" t="s">
        <v>220</v>
      </c>
      <c r="Q834" s="65">
        <v>2</v>
      </c>
      <c r="R834" s="65">
        <v>4</v>
      </c>
      <c r="S834" s="65">
        <v>5</v>
      </c>
      <c r="T834" s="65">
        <f>SUM(R834:S834)</f>
        <v>9</v>
      </c>
      <c r="U834" s="68">
        <v>0</v>
      </c>
      <c r="V834" s="65">
        <f>4+(2*2)+(3*1)</f>
        <v>11</v>
      </c>
      <c r="W834" s="65">
        <f>V834</f>
        <v>11</v>
      </c>
      <c r="X834" s="65">
        <f>5+2</f>
        <v>7</v>
      </c>
      <c r="Y834" s="64"/>
    </row>
    <row r="835" spans="1:25" s="54" customFormat="1" ht="15" customHeight="1" x14ac:dyDescent="0.3">
      <c r="A835" s="63"/>
      <c r="B835" s="64"/>
      <c r="C835" s="55"/>
      <c r="D835" s="64">
        <v>2022</v>
      </c>
      <c r="E835" s="65">
        <f>12911272*1000</f>
        <v>12911272000</v>
      </c>
      <c r="F835" s="65">
        <f>(12911272+175411036+7912029+618088+282408632+2302332)*1000</f>
        <v>481563389000</v>
      </c>
      <c r="G835" s="65">
        <f>888973513*1000</f>
        <v>888973513000</v>
      </c>
      <c r="H835" s="65">
        <f>(16494394+43995869+113800400+8579373+1073925+7319544+4256315+2657328+6695253+179000)*1000</f>
        <v>205051401000</v>
      </c>
      <c r="I835" s="65">
        <f>823847643*1000</f>
        <v>823847643000</v>
      </c>
      <c r="J835" s="65">
        <f>(9600000+315059361)*1000</f>
        <v>324659361000</v>
      </c>
      <c r="K835" s="65">
        <f>365125870*1000</f>
        <v>365125870000</v>
      </c>
      <c r="L835" s="65">
        <f>188235414*1000</f>
        <v>188235414000</v>
      </c>
      <c r="M835" s="65">
        <f>25124569*1000</f>
        <v>25124569000</v>
      </c>
      <c r="N835" s="65">
        <f>17253935*1000</f>
        <v>17253935000</v>
      </c>
      <c r="O835" s="66">
        <v>0.73329999999999995</v>
      </c>
      <c r="P835" s="67" t="s">
        <v>220</v>
      </c>
      <c r="Q835" s="65">
        <v>2</v>
      </c>
      <c r="R835" s="65">
        <v>4</v>
      </c>
      <c r="S835" s="65">
        <v>5</v>
      </c>
      <c r="T835" s="65">
        <f>SUM(R835:S835)</f>
        <v>9</v>
      </c>
      <c r="U835" s="68">
        <v>0</v>
      </c>
      <c r="V835" s="65">
        <f>4+(2*2)+(3*1)</f>
        <v>11</v>
      </c>
      <c r="W835" s="65">
        <f>V835</f>
        <v>11</v>
      </c>
      <c r="X835" s="65">
        <f>5+2</f>
        <v>7</v>
      </c>
      <c r="Y835" s="64"/>
    </row>
    <row r="836" spans="1:25" s="54" customFormat="1" ht="15" customHeight="1" x14ac:dyDescent="0.3">
      <c r="A836" s="63"/>
      <c r="B836" s="64"/>
      <c r="C836" s="55"/>
      <c r="D836" s="64">
        <v>2023</v>
      </c>
      <c r="E836" s="65">
        <f>13693684*1000</f>
        <v>13693684000</v>
      </c>
      <c r="F836" s="65">
        <f>(13693684+162625026+10883253+544115+362864189+311498)*1000</f>
        <v>550921765000</v>
      </c>
      <c r="G836" s="65">
        <f>982940217*1000</f>
        <v>982940217000</v>
      </c>
      <c r="H836" s="65">
        <f>(9092868+8275435+110475554+7885805+3268330+4283433+2591903+2271495+8528830+873461)*1000</f>
        <v>157547114000</v>
      </c>
      <c r="I836" s="65">
        <f>611216174*1000</f>
        <v>611216174000</v>
      </c>
      <c r="J836" s="65">
        <f>(9600000+323425352)*1000</f>
        <v>333025352000</v>
      </c>
      <c r="K836" s="65">
        <f>371724043*1000</f>
        <v>371724043000</v>
      </c>
      <c r="L836" s="65">
        <f>207737044*1000</f>
        <v>207737044000</v>
      </c>
      <c r="M836" s="65">
        <f>26354319*1000</f>
        <v>26354319000</v>
      </c>
      <c r="N836" s="65">
        <f>19270173*1000</f>
        <v>19270173000</v>
      </c>
      <c r="O836" s="66">
        <v>0.73329999999999995</v>
      </c>
      <c r="P836" s="67" t="s">
        <v>220</v>
      </c>
      <c r="Q836" s="65">
        <v>1</v>
      </c>
      <c r="R836" s="65">
        <v>3</v>
      </c>
      <c r="S836" s="65">
        <v>4</v>
      </c>
      <c r="T836" s="65">
        <f>SUM(R836:S836)</f>
        <v>7</v>
      </c>
      <c r="U836" s="68">
        <v>0</v>
      </c>
      <c r="V836" s="65">
        <f>3+(2*2)</f>
        <v>7</v>
      </c>
      <c r="W836" s="65">
        <f>V836</f>
        <v>7</v>
      </c>
      <c r="X836" s="65">
        <f>3+2</f>
        <v>5</v>
      </c>
      <c r="Y836" s="64"/>
    </row>
    <row r="837" spans="1:25" s="54" customFormat="1" ht="15" customHeight="1" x14ac:dyDescent="0.3">
      <c r="A837" s="63"/>
      <c r="B837" s="64"/>
      <c r="C837" s="55"/>
      <c r="D837" s="64">
        <v>2024</v>
      </c>
      <c r="E837" s="65">
        <f>13927163*1000</f>
        <v>13927163000</v>
      </c>
      <c r="F837" s="65">
        <f>(13927163+152142625+9426753+1110017+407131618+1930153)*1000</f>
        <v>585668329000</v>
      </c>
      <c r="G837" s="65">
        <f>1082550737*1000</f>
        <v>1082550737000</v>
      </c>
      <c r="H837" s="65">
        <f>(4062294+5756178+96469476+7088592+10469476+8871694+1272965+6962236+10791389+479887)*1000</f>
        <v>152224187000</v>
      </c>
      <c r="I837" s="65">
        <f>684080375*1000</f>
        <v>684080375000</v>
      </c>
      <c r="J837" s="65">
        <f>(9600000+338191163)*1000</f>
        <v>347791163000</v>
      </c>
      <c r="K837" s="65">
        <f>398470362*1000</f>
        <v>398470362000</v>
      </c>
      <c r="L837" s="65">
        <f>241094309*1000</f>
        <v>241094309000</v>
      </c>
      <c r="M837" s="65">
        <f>333251634*1000</f>
        <v>333251634000</v>
      </c>
      <c r="N837" s="65">
        <f>42106319*1000</f>
        <v>42106319000</v>
      </c>
      <c r="O837" s="66">
        <v>0.73329999999999995</v>
      </c>
      <c r="P837" s="67" t="s">
        <v>220</v>
      </c>
      <c r="Q837" s="65">
        <v>2</v>
      </c>
      <c r="R837" s="65">
        <v>4</v>
      </c>
      <c r="S837" s="65">
        <v>4</v>
      </c>
      <c r="T837" s="65">
        <f>SUM(R837:S837)</f>
        <v>8</v>
      </c>
      <c r="U837" s="68">
        <v>0</v>
      </c>
      <c r="V837" s="65">
        <f>4+(2*2)</f>
        <v>8</v>
      </c>
      <c r="W837" s="65">
        <f>V837</f>
        <v>8</v>
      </c>
      <c r="X837" s="65">
        <f>4+2</f>
        <v>6</v>
      </c>
      <c r="Y837" s="64"/>
    </row>
    <row r="838" spans="1:25" s="54" customFormat="1" ht="15" customHeight="1" x14ac:dyDescent="0.3">
      <c r="A838" s="63"/>
      <c r="B838" s="64">
        <v>77</v>
      </c>
      <c r="C838" s="55" t="s">
        <v>119</v>
      </c>
      <c r="D838" s="64">
        <v>2014</v>
      </c>
      <c r="E838" s="65">
        <v>0</v>
      </c>
      <c r="F838" s="65">
        <v>0</v>
      </c>
      <c r="G838" s="65">
        <v>0</v>
      </c>
      <c r="H838" s="65">
        <v>0</v>
      </c>
      <c r="I838" s="65">
        <v>0</v>
      </c>
      <c r="J838" s="65">
        <v>0</v>
      </c>
      <c r="K838" s="65">
        <v>0</v>
      </c>
      <c r="L838" s="65">
        <v>0</v>
      </c>
      <c r="M838" s="65">
        <v>0</v>
      </c>
      <c r="N838" s="65">
        <v>0</v>
      </c>
      <c r="O838" s="65">
        <v>0</v>
      </c>
      <c r="P838" s="65">
        <v>0</v>
      </c>
      <c r="Q838" s="65">
        <v>0</v>
      </c>
      <c r="R838" s="65">
        <v>0</v>
      </c>
      <c r="S838" s="65">
        <v>0</v>
      </c>
      <c r="T838" s="65">
        <v>0</v>
      </c>
      <c r="U838" s="65">
        <v>0</v>
      </c>
      <c r="V838" s="65">
        <v>0</v>
      </c>
      <c r="W838" s="65">
        <v>0</v>
      </c>
      <c r="X838" s="65">
        <v>0</v>
      </c>
      <c r="Y838" s="64"/>
    </row>
    <row r="839" spans="1:25" s="54" customFormat="1" ht="15" customHeight="1" x14ac:dyDescent="0.3">
      <c r="A839" s="63"/>
      <c r="B839" s="64"/>
      <c r="C839" s="55"/>
      <c r="D839" s="64">
        <v>2015</v>
      </c>
      <c r="E839" s="65">
        <v>0</v>
      </c>
      <c r="F839" s="65">
        <v>0</v>
      </c>
      <c r="G839" s="65">
        <v>0</v>
      </c>
      <c r="H839" s="65">
        <v>0</v>
      </c>
      <c r="I839" s="65">
        <v>0</v>
      </c>
      <c r="J839" s="65">
        <v>0</v>
      </c>
      <c r="K839" s="65">
        <v>0</v>
      </c>
      <c r="L839" s="65">
        <v>0</v>
      </c>
      <c r="M839" s="65">
        <v>0</v>
      </c>
      <c r="N839" s="65">
        <v>0</v>
      </c>
      <c r="O839" s="65">
        <v>0</v>
      </c>
      <c r="P839" s="65">
        <v>0</v>
      </c>
      <c r="Q839" s="65">
        <v>0</v>
      </c>
      <c r="R839" s="65">
        <v>0</v>
      </c>
      <c r="S839" s="65">
        <v>0</v>
      </c>
      <c r="T839" s="65">
        <v>0</v>
      </c>
      <c r="U839" s="65">
        <v>0</v>
      </c>
      <c r="V839" s="65">
        <v>0</v>
      </c>
      <c r="W839" s="65">
        <v>0</v>
      </c>
      <c r="X839" s="65">
        <v>0</v>
      </c>
      <c r="Y839" s="64"/>
    </row>
    <row r="840" spans="1:25" s="54" customFormat="1" ht="15" customHeight="1" x14ac:dyDescent="0.3">
      <c r="A840" s="63"/>
      <c r="B840" s="64"/>
      <c r="C840" s="55"/>
      <c r="D840" s="64">
        <v>2016</v>
      </c>
      <c r="E840" s="65">
        <v>0</v>
      </c>
      <c r="F840" s="65">
        <v>0</v>
      </c>
      <c r="G840" s="65">
        <v>0</v>
      </c>
      <c r="H840" s="65">
        <v>0</v>
      </c>
      <c r="I840" s="65">
        <v>0</v>
      </c>
      <c r="J840" s="65">
        <v>0</v>
      </c>
      <c r="K840" s="65">
        <v>0</v>
      </c>
      <c r="L840" s="65">
        <v>0</v>
      </c>
      <c r="M840" s="65">
        <v>0</v>
      </c>
      <c r="N840" s="65">
        <v>0</v>
      </c>
      <c r="O840" s="65">
        <v>0</v>
      </c>
      <c r="P840" s="65">
        <v>0</v>
      </c>
      <c r="Q840" s="65">
        <v>0</v>
      </c>
      <c r="R840" s="65">
        <v>0</v>
      </c>
      <c r="S840" s="65">
        <v>0</v>
      </c>
      <c r="T840" s="65">
        <v>0</v>
      </c>
      <c r="U840" s="65">
        <v>0</v>
      </c>
      <c r="V840" s="65">
        <v>0</v>
      </c>
      <c r="W840" s="65">
        <v>0</v>
      </c>
      <c r="X840" s="65">
        <v>0</v>
      </c>
      <c r="Y840" s="64"/>
    </row>
    <row r="841" spans="1:25" s="54" customFormat="1" ht="15" customHeight="1" x14ac:dyDescent="0.3">
      <c r="A841" s="63"/>
      <c r="B841" s="64"/>
      <c r="C841" s="55"/>
      <c r="D841" s="64">
        <v>2017</v>
      </c>
      <c r="E841" s="65">
        <v>0</v>
      </c>
      <c r="F841" s="65">
        <v>0</v>
      </c>
      <c r="G841" s="65">
        <v>0</v>
      </c>
      <c r="H841" s="65">
        <v>0</v>
      </c>
      <c r="I841" s="65">
        <v>0</v>
      </c>
      <c r="J841" s="65">
        <v>0</v>
      </c>
      <c r="K841" s="65">
        <v>0</v>
      </c>
      <c r="L841" s="65">
        <v>0</v>
      </c>
      <c r="M841" s="65">
        <v>0</v>
      </c>
      <c r="N841" s="65">
        <v>0</v>
      </c>
      <c r="O841" s="65">
        <v>0</v>
      </c>
      <c r="P841" s="65">
        <v>0</v>
      </c>
      <c r="Q841" s="65">
        <v>0</v>
      </c>
      <c r="R841" s="65">
        <v>0</v>
      </c>
      <c r="S841" s="65">
        <v>0</v>
      </c>
      <c r="T841" s="65">
        <v>0</v>
      </c>
      <c r="U841" s="65">
        <v>0</v>
      </c>
      <c r="V841" s="65">
        <v>0</v>
      </c>
      <c r="W841" s="65">
        <v>0</v>
      </c>
      <c r="X841" s="65">
        <v>0</v>
      </c>
      <c r="Y841" s="64"/>
    </row>
    <row r="842" spans="1:25" s="54" customFormat="1" ht="15" customHeight="1" x14ac:dyDescent="0.3">
      <c r="A842" s="63"/>
      <c r="B842" s="64"/>
      <c r="C842" s="55"/>
      <c r="D842" s="64">
        <v>2018</v>
      </c>
      <c r="E842" s="65">
        <f>24744.06*1000000</f>
        <v>24744060000</v>
      </c>
      <c r="F842" s="65">
        <f>(24744.06+14714.33+10386.78+109349.87+78160.74+565.63)*1000000</f>
        <v>237921409999.99997</v>
      </c>
      <c r="G842" s="65">
        <f>364590.55*1000000</f>
        <v>364590550000</v>
      </c>
      <c r="H842" s="65">
        <f>95091.04*1000000</f>
        <v>95091040000</v>
      </c>
      <c r="I842" s="65">
        <f>246931.46*1000000</f>
        <v>246931460000</v>
      </c>
      <c r="J842" s="65">
        <f>-75476.09*1000000</f>
        <v>-75476090000</v>
      </c>
      <c r="K842" s="65">
        <f>117659.09*1000000</f>
        <v>117659090000</v>
      </c>
      <c r="L842" s="65">
        <f>49274.84*1000000</f>
        <v>49274840000</v>
      </c>
      <c r="M842" s="65">
        <f>-502.74*1000000</f>
        <v>-502740000</v>
      </c>
      <c r="N842" s="65">
        <f>5145.9*1000000</f>
        <v>5145900000</v>
      </c>
      <c r="O842" s="65">
        <v>0</v>
      </c>
      <c r="P842" s="65">
        <v>0</v>
      </c>
      <c r="Q842" s="65">
        <v>0</v>
      </c>
      <c r="R842" s="65">
        <v>0</v>
      </c>
      <c r="S842" s="65">
        <v>0</v>
      </c>
      <c r="T842" s="65">
        <v>0</v>
      </c>
      <c r="U842" s="65">
        <v>0</v>
      </c>
      <c r="V842" s="65">
        <v>0</v>
      </c>
      <c r="W842" s="65">
        <v>0</v>
      </c>
      <c r="X842" s="65">
        <v>0</v>
      </c>
      <c r="Y842" s="64"/>
    </row>
    <row r="843" spans="1:25" s="54" customFormat="1" ht="15" customHeight="1" x14ac:dyDescent="0.3">
      <c r="A843" s="63"/>
      <c r="B843" s="64"/>
      <c r="C843" s="55"/>
      <c r="D843" s="64">
        <v>2019</v>
      </c>
      <c r="E843" s="65">
        <f>18468.47*1000000</f>
        <v>18468470000</v>
      </c>
      <c r="F843" s="65">
        <f>(18468.47+11578.84+10332.76+29927.1+73241.14+398.75)*1000000</f>
        <v>143947060000</v>
      </c>
      <c r="G843" s="65">
        <f>255980.13*1000000</f>
        <v>255980130000</v>
      </c>
      <c r="H843" s="65">
        <f>56007.48*1000000</f>
        <v>56007480000</v>
      </c>
      <c r="I843" s="65">
        <f>137224.29*1000000</f>
        <v>137224290000.00002</v>
      </c>
      <c r="J843" s="65">
        <f>-71293.95*1000000</f>
        <v>-71293950000</v>
      </c>
      <c r="K843" s="65">
        <f>118755.84*1000000</f>
        <v>118755840000</v>
      </c>
      <c r="L843" s="65">
        <f>32906.23*1000000</f>
        <v>32906230000.000004</v>
      </c>
      <c r="M843" s="65">
        <f>7463.4*1000000</f>
        <v>7463400000</v>
      </c>
      <c r="N843" s="65">
        <f>1096.75*1000000</f>
        <v>1096750000</v>
      </c>
      <c r="O843" s="66">
        <v>0.55810000000000004</v>
      </c>
      <c r="P843" s="67" t="s">
        <v>279</v>
      </c>
      <c r="Q843" s="65">
        <v>0</v>
      </c>
      <c r="R843" s="65">
        <v>4</v>
      </c>
      <c r="S843" s="65">
        <v>3</v>
      </c>
      <c r="T843" s="65">
        <f t="shared" ref="T843:T848" si="75">SUM(R843:S843)</f>
        <v>7</v>
      </c>
      <c r="U843" s="68">
        <v>5.67E-2</v>
      </c>
      <c r="V843" s="65">
        <f>4</f>
        <v>4</v>
      </c>
      <c r="W843" s="65">
        <f t="shared" ref="W843:W848" si="76">V843</f>
        <v>4</v>
      </c>
      <c r="X843" s="65">
        <f>3+(2*3)</f>
        <v>9</v>
      </c>
      <c r="Y843" s="64"/>
    </row>
    <row r="844" spans="1:25" s="54" customFormat="1" ht="15" customHeight="1" x14ac:dyDescent="0.3">
      <c r="A844" s="63"/>
      <c r="B844" s="64"/>
      <c r="C844" s="55"/>
      <c r="D844" s="64">
        <v>2020</v>
      </c>
      <c r="E844" s="65">
        <f>9060.34*1000000</f>
        <v>9060340000</v>
      </c>
      <c r="F844" s="65">
        <f>(9060.34+22904.45+11642.03+95229.57+65571.27+214.8)*1000000</f>
        <v>204622460000.00003</v>
      </c>
      <c r="G844" s="65">
        <f>314220.79*1000000</f>
        <v>314220790000</v>
      </c>
      <c r="H844" s="65">
        <f>43036.94*1000000</f>
        <v>43036940000</v>
      </c>
      <c r="I844" s="65">
        <f>207512.45*1000000</f>
        <v>207512450000</v>
      </c>
      <c r="J844" s="65">
        <f>-85959.44*1000000</f>
        <v>-85959440000</v>
      </c>
      <c r="K844" s="65">
        <f>106708.34*1000000</f>
        <v>106708340000</v>
      </c>
      <c r="L844" s="65">
        <f>32319.75*1000000</f>
        <v>32319750000</v>
      </c>
      <c r="M844" s="65">
        <f>-11296.79*1000000</f>
        <v>-11296790000</v>
      </c>
      <c r="N844" s="65">
        <f>-12047.5*1000000</f>
        <v>-12047500000</v>
      </c>
      <c r="O844" s="66">
        <v>0.55810000000000004</v>
      </c>
      <c r="P844" s="67" t="s">
        <v>279</v>
      </c>
      <c r="Q844" s="65">
        <v>0</v>
      </c>
      <c r="R844" s="65">
        <v>4</v>
      </c>
      <c r="S844" s="65">
        <v>2</v>
      </c>
      <c r="T844" s="65">
        <f t="shared" si="75"/>
        <v>6</v>
      </c>
      <c r="U844" s="68">
        <v>5.67E-2</v>
      </c>
      <c r="V844" s="65">
        <v>4</v>
      </c>
      <c r="W844" s="65">
        <f t="shared" si="76"/>
        <v>4</v>
      </c>
      <c r="X844" s="65">
        <f>2+(2*2)</f>
        <v>6</v>
      </c>
      <c r="Y844" s="64"/>
    </row>
    <row r="845" spans="1:25" s="54" customFormat="1" ht="15" customHeight="1" x14ac:dyDescent="0.3">
      <c r="A845" s="63"/>
      <c r="B845" s="64"/>
      <c r="C845" s="55"/>
      <c r="D845" s="64">
        <v>2021</v>
      </c>
      <c r="E845" s="65">
        <f>4342.74*1000000</f>
        <v>4342740000</v>
      </c>
      <c r="F845" s="65">
        <f>(4342.74+4515.14+11579.61+48279.77+60184.18+1956.99+419.06)*1000000</f>
        <v>131277490000.00002</v>
      </c>
      <c r="G845" s="65">
        <f>240789.68*1000000</f>
        <v>240789680000</v>
      </c>
      <c r="H845" s="65">
        <f>35514.24*1000000</f>
        <v>35514240000</v>
      </c>
      <c r="I845" s="65">
        <f>153227.87*1000000</f>
        <v>153227870000</v>
      </c>
      <c r="J845" s="65">
        <f>-105214.42*1000000</f>
        <v>-105214420000</v>
      </c>
      <c r="K845" s="65">
        <f>87561.81*1000000</f>
        <v>87561810000</v>
      </c>
      <c r="L845" s="65">
        <f>43736.69*1000000</f>
        <v>43736690000</v>
      </c>
      <c r="M845" s="65">
        <f>-28543.93*1000000</f>
        <v>-28543930000</v>
      </c>
      <c r="N845" s="65">
        <f>-19146.53*1000000</f>
        <v>-19146530000</v>
      </c>
      <c r="O845" s="66">
        <v>0.55810000000000004</v>
      </c>
      <c r="P845" s="67" t="s">
        <v>279</v>
      </c>
      <c r="Q845" s="65">
        <v>0</v>
      </c>
      <c r="R845" s="65">
        <v>3</v>
      </c>
      <c r="S845" s="65">
        <v>2</v>
      </c>
      <c r="T845" s="65">
        <f t="shared" si="75"/>
        <v>5</v>
      </c>
      <c r="U845" s="68">
        <v>5.67E-2</v>
      </c>
      <c r="V845" s="65">
        <f>3</f>
        <v>3</v>
      </c>
      <c r="W845" s="65">
        <f t="shared" si="76"/>
        <v>3</v>
      </c>
      <c r="X845" s="65">
        <f>2+(2*2)</f>
        <v>6</v>
      </c>
      <c r="Y845" s="64"/>
    </row>
    <row r="846" spans="1:25" s="54" customFormat="1" ht="15" customHeight="1" x14ac:dyDescent="0.3">
      <c r="A846" s="63"/>
      <c r="B846" s="64"/>
      <c r="C846" s="55"/>
      <c r="D846" s="64">
        <v>2022</v>
      </c>
      <c r="E846" s="65">
        <f>32102.15*1000000</f>
        <v>32102150000</v>
      </c>
      <c r="F846" s="65">
        <f>(32102.15+1184.06+205.49+29217.02+38867.18+6297.94+433.95)*1000000</f>
        <v>108307790000</v>
      </c>
      <c r="G846" s="65">
        <f>218360.48*1000000</f>
        <v>218360480000</v>
      </c>
      <c r="H846" s="65">
        <f>37382.4*1000000</f>
        <v>37382400000</v>
      </c>
      <c r="I846" s="65">
        <f>115249.34*1000000</f>
        <v>115249340000</v>
      </c>
      <c r="J846" s="65">
        <f>-162114.1*1000000</f>
        <v>-162114100000</v>
      </c>
      <c r="K846" s="65">
        <f>103111.14*1000000</f>
        <v>103111140000</v>
      </c>
      <c r="L846" s="65">
        <f>24804.74*1000000</f>
        <v>24804740000</v>
      </c>
      <c r="M846" s="65">
        <f>-64922.84*1000000</f>
        <v>-64922840000</v>
      </c>
      <c r="N846" s="65">
        <f>-54450.67*1000000</f>
        <v>-54450670000</v>
      </c>
      <c r="O846" s="66">
        <v>0.38919999999999999</v>
      </c>
      <c r="P846" s="67" t="s">
        <v>279</v>
      </c>
      <c r="Q846" s="65">
        <v>2</v>
      </c>
      <c r="R846" s="65">
        <v>3</v>
      </c>
      <c r="S846" s="65">
        <v>3</v>
      </c>
      <c r="T846" s="65">
        <f t="shared" si="75"/>
        <v>6</v>
      </c>
      <c r="U846" s="68">
        <v>3.9600000000000003E-2</v>
      </c>
      <c r="V846" s="65">
        <v>3</v>
      </c>
      <c r="W846" s="65">
        <f t="shared" si="76"/>
        <v>3</v>
      </c>
      <c r="X846" s="65">
        <f>3+4+3</f>
        <v>10</v>
      </c>
      <c r="Y846" s="64"/>
    </row>
    <row r="847" spans="1:25" s="54" customFormat="1" ht="15" customHeight="1" x14ac:dyDescent="0.3">
      <c r="A847" s="63"/>
      <c r="B847" s="64"/>
      <c r="C847" s="55"/>
      <c r="D847" s="64">
        <v>2023</v>
      </c>
      <c r="E847" s="65">
        <f>17635*1000000</f>
        <v>17635000000</v>
      </c>
      <c r="F847" s="65">
        <f>(17635+13876+204+17502+3754+11265+438)*1000000</f>
        <v>64674000000</v>
      </c>
      <c r="G847" s="65">
        <f>252198*1000000</f>
        <v>252198000000</v>
      </c>
      <c r="H847" s="65">
        <f>93465*1000000</f>
        <v>93465000000</v>
      </c>
      <c r="I847" s="65">
        <f>147057*1000000</f>
        <v>147057000000</v>
      </c>
      <c r="J847" s="65">
        <f>-186172*1000000</f>
        <v>-186172000000</v>
      </c>
      <c r="K847" s="65">
        <f>105142*1000000</f>
        <v>105142000000</v>
      </c>
      <c r="L847" s="65">
        <f>71422*1000000</f>
        <v>71422000000</v>
      </c>
      <c r="M847" s="65">
        <f>-38454*1000000</f>
        <v>-38454000000</v>
      </c>
      <c r="N847" s="65">
        <f>-22969*1000000</f>
        <v>-22969000000</v>
      </c>
      <c r="O847" s="66">
        <v>0.38969999999999999</v>
      </c>
      <c r="P847" s="67" t="s">
        <v>280</v>
      </c>
      <c r="Q847" s="65">
        <v>0</v>
      </c>
      <c r="R847" s="65">
        <v>3</v>
      </c>
      <c r="S847" s="65">
        <v>3</v>
      </c>
      <c r="T847" s="65">
        <f t="shared" si="75"/>
        <v>6</v>
      </c>
      <c r="U847" s="68">
        <v>0.40639999999999998</v>
      </c>
      <c r="V847" s="65">
        <v>3</v>
      </c>
      <c r="W847" s="65">
        <f t="shared" si="76"/>
        <v>3</v>
      </c>
      <c r="X847" s="65">
        <f>3+4+3</f>
        <v>10</v>
      </c>
      <c r="Y847" s="64"/>
    </row>
    <row r="848" spans="1:25" s="54" customFormat="1" ht="15" customHeight="1" x14ac:dyDescent="0.3">
      <c r="A848" s="63"/>
      <c r="B848" s="64"/>
      <c r="C848" s="55"/>
      <c r="D848" s="64">
        <v>2024</v>
      </c>
      <c r="E848" s="65">
        <f>19076*1000000</f>
        <v>19076000000</v>
      </c>
      <c r="F848" s="65">
        <f>(19076+16503+203+4193+2693+6915+472)*1000000</f>
        <v>50055000000</v>
      </c>
      <c r="G848" s="65">
        <f>256066*1000000</f>
        <v>256066000000</v>
      </c>
      <c r="H848" s="65">
        <f>433710*1000000</f>
        <v>433710000000</v>
      </c>
      <c r="I848" s="65">
        <f>88564*1000000</f>
        <v>88564000000</v>
      </c>
      <c r="J848" s="65">
        <f>-169714*1000000</f>
        <v>-169714000000</v>
      </c>
      <c r="K848" s="65">
        <f>167502*1000000</f>
        <v>167502000000</v>
      </c>
      <c r="L848" s="65">
        <f>229954*1000000</f>
        <v>229954000000</v>
      </c>
      <c r="M848" s="65">
        <f>14342*1000000</f>
        <v>14342000000</v>
      </c>
      <c r="N848" s="65">
        <f>17360*1000000</f>
        <v>17360000000</v>
      </c>
      <c r="O848" s="66">
        <v>0.48089999999999999</v>
      </c>
      <c r="P848" s="67" t="s">
        <v>280</v>
      </c>
      <c r="Q848" s="65">
        <v>2</v>
      </c>
      <c r="R848" s="65">
        <v>3</v>
      </c>
      <c r="S848" s="65">
        <v>3</v>
      </c>
      <c r="T848" s="65">
        <f t="shared" si="75"/>
        <v>6</v>
      </c>
      <c r="U848" s="68">
        <v>0.49509999999999998</v>
      </c>
      <c r="V848" s="65">
        <f>3</f>
        <v>3</v>
      </c>
      <c r="W848" s="65">
        <f t="shared" si="76"/>
        <v>3</v>
      </c>
      <c r="X848" s="65">
        <f>3+4+3</f>
        <v>10</v>
      </c>
      <c r="Y848" s="64"/>
    </row>
    <row r="849" spans="1:25" s="54" customFormat="1" ht="15" customHeight="1" x14ac:dyDescent="0.3">
      <c r="A849" s="63"/>
      <c r="B849" s="64">
        <v>78</v>
      </c>
      <c r="C849" s="55" t="s">
        <v>80</v>
      </c>
      <c r="D849" s="64">
        <v>2014</v>
      </c>
      <c r="E849" s="65">
        <v>0</v>
      </c>
      <c r="F849" s="65">
        <v>0</v>
      </c>
      <c r="G849" s="65">
        <v>0</v>
      </c>
      <c r="H849" s="65">
        <v>0</v>
      </c>
      <c r="I849" s="65">
        <v>0</v>
      </c>
      <c r="J849" s="65">
        <v>0</v>
      </c>
      <c r="K849" s="65">
        <v>0</v>
      </c>
      <c r="L849" s="65">
        <f>28628692*1000</f>
        <v>28628692000</v>
      </c>
      <c r="M849" s="65">
        <v>0</v>
      </c>
      <c r="N849" s="65">
        <v>0</v>
      </c>
      <c r="O849" s="65">
        <v>0</v>
      </c>
      <c r="P849" s="65">
        <v>0</v>
      </c>
      <c r="Q849" s="65">
        <v>0</v>
      </c>
      <c r="R849" s="65">
        <v>0</v>
      </c>
      <c r="S849" s="65">
        <v>0</v>
      </c>
      <c r="T849" s="65">
        <v>0</v>
      </c>
      <c r="U849" s="65">
        <v>0</v>
      </c>
      <c r="V849" s="65">
        <v>0</v>
      </c>
      <c r="W849" s="65">
        <v>0</v>
      </c>
      <c r="X849" s="65">
        <v>0</v>
      </c>
      <c r="Y849" s="64"/>
    </row>
    <row r="850" spans="1:25" s="54" customFormat="1" ht="15" customHeight="1" x14ac:dyDescent="0.3">
      <c r="A850" s="63"/>
      <c r="B850" s="64"/>
      <c r="C850" s="55"/>
      <c r="D850" s="64">
        <v>2015</v>
      </c>
      <c r="E850" s="65">
        <f>6601232*1000</f>
        <v>6601232000</v>
      </c>
      <c r="F850" s="65">
        <f>(6601232+4814909+1276344+323811+14058315+100000+1027143)*1000</f>
        <v>28201754000</v>
      </c>
      <c r="G850" s="65">
        <f>158115174*1000</f>
        <v>158115174000</v>
      </c>
      <c r="H850" s="65">
        <f>(896680+5254218+1651551+280382+733824+1027921+1201252)*1000</f>
        <v>11045828000</v>
      </c>
      <c r="I850" s="65">
        <f>46437132*1000</f>
        <v>46437132000</v>
      </c>
      <c r="J850" s="65">
        <f>(10132920+1545122)*1000</f>
        <v>11678042000</v>
      </c>
      <c r="K850" s="65">
        <f>111678042*1000</f>
        <v>111678042000</v>
      </c>
      <c r="L850" s="65">
        <f>40635712*1000</f>
        <v>40635712000</v>
      </c>
      <c r="M850" s="65">
        <f>2712837*1000</f>
        <v>2712837000</v>
      </c>
      <c r="N850" s="65">
        <f>2117225*1000</f>
        <v>2117225000</v>
      </c>
      <c r="O850" s="65">
        <v>0</v>
      </c>
      <c r="P850" s="65">
        <v>0</v>
      </c>
      <c r="Q850" s="65">
        <v>0</v>
      </c>
      <c r="R850" s="65">
        <v>0</v>
      </c>
      <c r="S850" s="65">
        <v>0</v>
      </c>
      <c r="T850" s="65">
        <v>0</v>
      </c>
      <c r="U850" s="65">
        <v>0</v>
      </c>
      <c r="V850" s="65">
        <v>0</v>
      </c>
      <c r="W850" s="65">
        <v>0</v>
      </c>
      <c r="X850" s="65">
        <v>0</v>
      </c>
      <c r="Y850" s="64"/>
    </row>
    <row r="851" spans="1:25" s="54" customFormat="1" ht="15" customHeight="1" x14ac:dyDescent="0.3">
      <c r="A851" s="63"/>
      <c r="B851" s="64"/>
      <c r="C851" s="55"/>
      <c r="D851" s="64">
        <v>2016</v>
      </c>
      <c r="E851" s="65">
        <f>4634506*1000</f>
        <v>4634506000</v>
      </c>
      <c r="F851" s="65">
        <f>(4634508+9582943+2453820+447578+13197810+100000+754035)*1000</f>
        <v>31170694000</v>
      </c>
      <c r="G851" s="65">
        <f>157375377*1000</f>
        <v>157375377000</v>
      </c>
      <c r="H851" s="65">
        <f>(735612+10130736+1529259+272084+832250+1490397+1332067)*1000</f>
        <v>16322405000</v>
      </c>
      <c r="I851" s="65">
        <f>53805659*1000</f>
        <v>53805659000</v>
      </c>
      <c r="J851" s="65">
        <f>(12249920+1319698)*1000</f>
        <v>13569618000</v>
      </c>
      <c r="K851" s="65">
        <f>113569618*1000</f>
        <v>113569618000</v>
      </c>
      <c r="L851" s="65">
        <f>56877863*1000</f>
        <v>56877863000</v>
      </c>
      <c r="M851" s="65">
        <f>3770791*1000</f>
        <v>3770791000</v>
      </c>
      <c r="N851" s="65">
        <f>2082770*1000</f>
        <v>2082770000</v>
      </c>
      <c r="O851" s="65">
        <v>0</v>
      </c>
      <c r="P851" s="65">
        <v>0</v>
      </c>
      <c r="Q851" s="65">
        <v>0</v>
      </c>
      <c r="R851" s="65">
        <v>0</v>
      </c>
      <c r="S851" s="65">
        <v>0</v>
      </c>
      <c r="T851" s="65">
        <v>0</v>
      </c>
      <c r="U851" s="65">
        <v>0</v>
      </c>
      <c r="V851" s="65">
        <v>0</v>
      </c>
      <c r="W851" s="65">
        <v>0</v>
      </c>
      <c r="X851" s="65">
        <v>0</v>
      </c>
      <c r="Y851" s="64"/>
    </row>
    <row r="852" spans="1:25" s="54" customFormat="1" ht="15" customHeight="1" x14ac:dyDescent="0.3">
      <c r="A852" s="63"/>
      <c r="B852" s="64"/>
      <c r="C852" s="55"/>
      <c r="D852" s="64">
        <v>2017</v>
      </c>
      <c r="E852" s="65">
        <f>9777699*1000</f>
        <v>9777699000</v>
      </c>
      <c r="F852" s="65">
        <f>(9777699+5165528+2550539+619022+9640489+100000+939518)*1000</f>
        <v>28792795000</v>
      </c>
      <c r="G852" s="65">
        <f>165304046*1000</f>
        <v>165304046000</v>
      </c>
      <c r="H852" s="65">
        <f>(1049997+3672529+2820964+679527+306503+738379+2798636)*1000</f>
        <v>12066535000</v>
      </c>
      <c r="I852" s="65">
        <f>50322916*1000</f>
        <v>50322916000</v>
      </c>
      <c r="J852" s="65">
        <f>(14331920+649210)*1000</f>
        <v>14981130000</v>
      </c>
      <c r="K852" s="65">
        <f>114981130*1000</f>
        <v>114981130000</v>
      </c>
      <c r="L852" s="65">
        <f>58863746*1000</f>
        <v>58863746000</v>
      </c>
      <c r="M852" s="65">
        <f>2440050*1000</f>
        <v>2440050000</v>
      </c>
      <c r="N852" s="65">
        <f>1343981*1000</f>
        <v>1343981000</v>
      </c>
      <c r="O852" s="65">
        <v>0</v>
      </c>
      <c r="P852" s="65">
        <v>0</v>
      </c>
      <c r="Q852" s="65">
        <v>0</v>
      </c>
      <c r="R852" s="65">
        <v>0</v>
      </c>
      <c r="S852" s="65">
        <v>0</v>
      </c>
      <c r="T852" s="65">
        <v>0</v>
      </c>
      <c r="U852" s="65">
        <v>0</v>
      </c>
      <c r="V852" s="65">
        <v>0</v>
      </c>
      <c r="W852" s="65">
        <v>0</v>
      </c>
      <c r="X852" s="65">
        <v>0</v>
      </c>
      <c r="Y852" s="64"/>
    </row>
    <row r="853" spans="1:25" s="54" customFormat="1" ht="15" customHeight="1" x14ac:dyDescent="0.3">
      <c r="A853" s="63"/>
      <c r="B853" s="64"/>
      <c r="C853" s="55"/>
      <c r="D853" s="64">
        <v>2018</v>
      </c>
      <c r="E853" s="65">
        <f>22988*1000000</f>
        <v>22988000000</v>
      </c>
      <c r="F853" s="65">
        <f>(22988+11994+1215+52054+1988+603)*1000000</f>
        <v>90842000000</v>
      </c>
      <c r="G853" s="65">
        <f>229521*1000000</f>
        <v>229521000000</v>
      </c>
      <c r="H853" s="65">
        <f>29307*1000000</f>
        <v>29307000000</v>
      </c>
      <c r="I853" s="65">
        <f>101582*1000000</f>
        <v>101582000000</v>
      </c>
      <c r="J853" s="65">
        <f>20347*1000000</f>
        <v>20347000000</v>
      </c>
      <c r="K853" s="65">
        <f>127939*1000000</f>
        <v>127939000000</v>
      </c>
      <c r="L853" s="65">
        <f>55045*1000000</f>
        <v>55045000000</v>
      </c>
      <c r="M853" s="65">
        <f>7035*1000000</f>
        <v>7035000000</v>
      </c>
      <c r="N853" s="65">
        <f>5366*1000000</f>
        <v>5366000000</v>
      </c>
      <c r="O853" s="66">
        <v>0.78</v>
      </c>
      <c r="P853" s="67" t="s">
        <v>328</v>
      </c>
      <c r="Q853" s="65">
        <v>2</v>
      </c>
      <c r="R853" s="65">
        <v>3</v>
      </c>
      <c r="S853" s="65">
        <v>3</v>
      </c>
      <c r="T853" s="65">
        <f t="shared" ref="T853:T859" si="77">SUM(R853:S853)</f>
        <v>6</v>
      </c>
      <c r="U853" s="68">
        <v>0</v>
      </c>
      <c r="V853" s="65">
        <v>0</v>
      </c>
      <c r="W853" s="65">
        <v>0</v>
      </c>
      <c r="X853" s="65">
        <v>0</v>
      </c>
      <c r="Y853" s="64"/>
    </row>
    <row r="854" spans="1:25" s="54" customFormat="1" ht="15" customHeight="1" x14ac:dyDescent="0.3">
      <c r="A854" s="63"/>
      <c r="B854" s="64"/>
      <c r="C854" s="55"/>
      <c r="D854" s="64">
        <v>2019</v>
      </c>
      <c r="E854" s="65">
        <f>27604952*1000</f>
        <v>27604952000</v>
      </c>
      <c r="F854" s="65">
        <f>(27604952+10951088+2097145+612943+30089228+5000+1487207)*1000</f>
        <v>72847563000</v>
      </c>
      <c r="G854" s="65">
        <f>211559644*1000</f>
        <v>211559644000</v>
      </c>
      <c r="H854" s="65">
        <f>(203632+10392723+2576632+580584+173892+2331241+881389)*1000</f>
        <v>17140093000</v>
      </c>
      <c r="I854" s="65">
        <f>80881175*1000</f>
        <v>80881175000</v>
      </c>
      <c r="J854" s="65">
        <f>23327763*1000</f>
        <v>23327763000</v>
      </c>
      <c r="K854" s="65">
        <f>130678469*1000</f>
        <v>130678469000</v>
      </c>
      <c r="L854" s="65">
        <f>94159068*1000</f>
        <v>94159068000</v>
      </c>
      <c r="M854" s="65">
        <f>7680865*1000</f>
        <v>7680865000</v>
      </c>
      <c r="N854" s="65">
        <f>5349521*1000</f>
        <v>5349521000</v>
      </c>
      <c r="O854" s="66">
        <v>0.78</v>
      </c>
      <c r="P854" s="67" t="s">
        <v>328</v>
      </c>
      <c r="Q854" s="65">
        <v>2</v>
      </c>
      <c r="R854" s="65">
        <v>3</v>
      </c>
      <c r="S854" s="65">
        <v>3</v>
      </c>
      <c r="T854" s="65">
        <f t="shared" si="77"/>
        <v>6</v>
      </c>
      <c r="U854" s="68">
        <v>0</v>
      </c>
      <c r="V854" s="65">
        <v>0</v>
      </c>
      <c r="W854" s="65">
        <v>0</v>
      </c>
      <c r="X854" s="65">
        <v>0</v>
      </c>
      <c r="Y854" s="64"/>
    </row>
    <row r="855" spans="1:25" s="54" customFormat="1" ht="15" customHeight="1" x14ac:dyDescent="0.3">
      <c r="A855" s="63"/>
      <c r="B855" s="64"/>
      <c r="C855" s="55"/>
      <c r="D855" s="64">
        <v>2020</v>
      </c>
      <c r="E855" s="65">
        <f>30393939*1000</f>
        <v>30393939000</v>
      </c>
      <c r="F855" s="65">
        <f>(30393939+16993480+2017016+599938+20573451+14000+729124)*1000</f>
        <v>71320948000</v>
      </c>
      <c r="G855" s="65">
        <f>207903297*1000</f>
        <v>207903297000</v>
      </c>
      <c r="H855" s="65">
        <f>(962437+9616243+5868448+986834+673219+240349)*1000</f>
        <v>18347530000</v>
      </c>
      <c r="I855" s="65">
        <f>75897105*1000</f>
        <v>75897105000</v>
      </c>
      <c r="J855" s="65">
        <f>22066155*1000</f>
        <v>22066155000</v>
      </c>
      <c r="K855" s="65">
        <f>132006192*1000</f>
        <v>132006192000</v>
      </c>
      <c r="L855" s="65">
        <f>106005667*1000</f>
        <v>106005667000</v>
      </c>
      <c r="M855" s="65">
        <f>3632223*1000</f>
        <v>3632223000</v>
      </c>
      <c r="N855" s="65">
        <f>1222362*1000</f>
        <v>1222362000</v>
      </c>
      <c r="O855" s="66">
        <v>0.78</v>
      </c>
      <c r="P855" s="67" t="s">
        <v>328</v>
      </c>
      <c r="Q855" s="65">
        <v>2</v>
      </c>
      <c r="R855" s="65">
        <v>3</v>
      </c>
      <c r="S855" s="65">
        <v>3</v>
      </c>
      <c r="T855" s="65">
        <f t="shared" si="77"/>
        <v>6</v>
      </c>
      <c r="U855" s="68">
        <v>0</v>
      </c>
      <c r="V855" s="65">
        <v>0</v>
      </c>
      <c r="W855" s="65">
        <v>0</v>
      </c>
      <c r="X855" s="65">
        <v>0</v>
      </c>
      <c r="Y855" s="64"/>
    </row>
    <row r="856" spans="1:25" s="54" customFormat="1" ht="15" customHeight="1" x14ac:dyDescent="0.3">
      <c r="A856" s="63"/>
      <c r="B856" s="64"/>
      <c r="C856" s="55"/>
      <c r="D856" s="64">
        <v>2021</v>
      </c>
      <c r="E856" s="65">
        <f>33102*1000000</f>
        <v>33102000000</v>
      </c>
      <c r="F856" s="65">
        <f>(33102+7543+5751+5168+1956+294)*1000000</f>
        <v>53814000000</v>
      </c>
      <c r="G856" s="65">
        <f>179676*1000000</f>
        <v>179676000000</v>
      </c>
      <c r="H856" s="65">
        <f>26323*1000000</f>
        <v>26323000000</v>
      </c>
      <c r="I856" s="65">
        <f>76165*1000000</f>
        <v>76165000000</v>
      </c>
      <c r="J856" s="65">
        <f>1034*1000000</f>
        <v>1034000000</v>
      </c>
      <c r="K856" s="65">
        <f>100981*1000000</f>
        <v>100981000000</v>
      </c>
      <c r="L856" s="65">
        <f>60948*1000000</f>
        <v>60948000000</v>
      </c>
      <c r="M856" s="65">
        <f>-39402*1000000</f>
        <v>-39402000000</v>
      </c>
      <c r="N856" s="65">
        <f>-30971*1000000</f>
        <v>-30971000000</v>
      </c>
      <c r="O856" s="66">
        <v>0.78</v>
      </c>
      <c r="P856" s="67" t="s">
        <v>328</v>
      </c>
      <c r="Q856" s="65">
        <v>2</v>
      </c>
      <c r="R856" s="65">
        <v>3</v>
      </c>
      <c r="S856" s="65">
        <v>3</v>
      </c>
      <c r="T856" s="65">
        <f t="shared" si="77"/>
        <v>6</v>
      </c>
      <c r="U856" s="68">
        <v>0</v>
      </c>
      <c r="V856" s="65">
        <v>0</v>
      </c>
      <c r="W856" s="65">
        <v>0</v>
      </c>
      <c r="X856" s="65">
        <v>0</v>
      </c>
      <c r="Y856" s="64"/>
    </row>
    <row r="857" spans="1:25" s="54" customFormat="1" ht="15" customHeight="1" x14ac:dyDescent="0.3">
      <c r="A857" s="63"/>
      <c r="B857" s="64"/>
      <c r="C857" s="55"/>
      <c r="D857" s="64">
        <v>2022</v>
      </c>
      <c r="E857" s="65">
        <f>90199*1000000</f>
        <v>90199000000</v>
      </c>
      <c r="F857" s="65">
        <f>(90199+18754+1655+11611+1465+540)*1000000</f>
        <v>124224000000</v>
      </c>
      <c r="G857" s="65">
        <f>269647*1000000</f>
        <v>269647000000</v>
      </c>
      <c r="H857" s="65">
        <f>51134*1000000</f>
        <v>51134000000</v>
      </c>
      <c r="I857" s="65">
        <f>154580*1000000</f>
        <v>154580000000</v>
      </c>
      <c r="J857" s="65">
        <f>2380*1000000</f>
        <v>2380000000</v>
      </c>
      <c r="K857" s="65">
        <f>115067*1000000</f>
        <v>115067000000</v>
      </c>
      <c r="L857" s="65">
        <f>122792*1000000</f>
        <v>122792000000</v>
      </c>
      <c r="M857" s="65">
        <f>13388*1000000</f>
        <v>13388000000</v>
      </c>
      <c r="N857" s="65">
        <f>11323*1000000</f>
        <v>11323000000</v>
      </c>
      <c r="O857" s="66">
        <v>0.78</v>
      </c>
      <c r="P857" s="67" t="s">
        <v>328</v>
      </c>
      <c r="Q857" s="65">
        <v>2</v>
      </c>
      <c r="R857" s="65">
        <v>3</v>
      </c>
      <c r="S857" s="65">
        <v>3</v>
      </c>
      <c r="T857" s="65">
        <f t="shared" si="77"/>
        <v>6</v>
      </c>
      <c r="U857" s="68">
        <v>0</v>
      </c>
      <c r="V857" s="65">
        <v>0</v>
      </c>
      <c r="W857" s="65">
        <v>0</v>
      </c>
      <c r="X857" s="65">
        <v>0</v>
      </c>
      <c r="Y857" s="64"/>
    </row>
    <row r="858" spans="1:25" s="54" customFormat="1" ht="15" customHeight="1" x14ac:dyDescent="0.3">
      <c r="A858" s="63"/>
      <c r="B858" s="64"/>
      <c r="C858" s="55"/>
      <c r="D858" s="64">
        <v>2023</v>
      </c>
      <c r="E858" s="65">
        <f>100609*1000000</f>
        <v>100609000000</v>
      </c>
      <c r="F858" s="65">
        <f>(100609+28636+1318+9860+931+741)*1000000</f>
        <v>142095000000</v>
      </c>
      <c r="G858" s="65">
        <f>387608*1000000</f>
        <v>387608000000</v>
      </c>
      <c r="H858" s="65">
        <f>64300*1000000</f>
        <v>64300000000</v>
      </c>
      <c r="I858" s="65">
        <f>268834*1000000</f>
        <v>268834000000</v>
      </c>
      <c r="J858" s="65">
        <f>14926*1000000</f>
        <v>14926000000</v>
      </c>
      <c r="K858" s="65">
        <f>118774*1000000</f>
        <v>118774000000</v>
      </c>
      <c r="L858" s="65">
        <f>160557*1000000</f>
        <v>160557000000</v>
      </c>
      <c r="M858" s="65">
        <f>1826*1000000</f>
        <v>1826000000</v>
      </c>
      <c r="N858" s="65">
        <f>2621*1000000</f>
        <v>2621000000</v>
      </c>
      <c r="O858" s="66">
        <v>0.78</v>
      </c>
      <c r="P858" s="67" t="s">
        <v>328</v>
      </c>
      <c r="Q858" s="65">
        <v>2</v>
      </c>
      <c r="R858" s="65">
        <v>3</v>
      </c>
      <c r="S858" s="65">
        <v>3</v>
      </c>
      <c r="T858" s="65">
        <f t="shared" si="77"/>
        <v>6</v>
      </c>
      <c r="U858" s="68">
        <v>0</v>
      </c>
      <c r="V858" s="65">
        <v>0</v>
      </c>
      <c r="W858" s="65">
        <v>0</v>
      </c>
      <c r="X858" s="65">
        <v>0</v>
      </c>
      <c r="Y858" s="64"/>
    </row>
    <row r="859" spans="1:25" s="54" customFormat="1" ht="15" customHeight="1" x14ac:dyDescent="0.3">
      <c r="A859" s="63"/>
      <c r="B859" s="64"/>
      <c r="C859" s="55"/>
      <c r="D859" s="64">
        <v>2024</v>
      </c>
      <c r="E859" s="65">
        <f>209064*1000000</f>
        <v>209064000000</v>
      </c>
      <c r="F859" s="65">
        <f>(209064+30100+4686+6209+924)*1000000</f>
        <v>250983000000</v>
      </c>
      <c r="G859" s="65">
        <f>576261*1000000</f>
        <v>576261000000</v>
      </c>
      <c r="H859" s="65">
        <f>118180*1000000</f>
        <v>118180000000</v>
      </c>
      <c r="I859" s="65">
        <f>413481*1000000</f>
        <v>413481000000</v>
      </c>
      <c r="J859" s="65">
        <f>53327*1000000</f>
        <v>53327000000</v>
      </c>
      <c r="K859" s="65">
        <f>162780*1000000</f>
        <v>162780000000</v>
      </c>
      <c r="L859" s="65">
        <f>270291*1000000</f>
        <v>270291000000</v>
      </c>
      <c r="M859" s="65">
        <f>47231*1000000</f>
        <v>47231000000</v>
      </c>
      <c r="N859" s="65">
        <f>38401*1000000</f>
        <v>38401000000</v>
      </c>
      <c r="O859" s="66">
        <v>0.78</v>
      </c>
      <c r="P859" s="67" t="s">
        <v>328</v>
      </c>
      <c r="Q859" s="65">
        <v>2</v>
      </c>
      <c r="R859" s="65">
        <v>3</v>
      </c>
      <c r="S859" s="65">
        <v>3</v>
      </c>
      <c r="T859" s="65">
        <f t="shared" si="77"/>
        <v>6</v>
      </c>
      <c r="U859" s="68">
        <v>0</v>
      </c>
      <c r="V859" s="65">
        <v>0</v>
      </c>
      <c r="W859" s="65">
        <v>0</v>
      </c>
      <c r="X859" s="65">
        <v>0</v>
      </c>
      <c r="Y859" s="64"/>
    </row>
    <row r="860" spans="1:25" s="54" customFormat="1" ht="15" customHeight="1" x14ac:dyDescent="0.3">
      <c r="A860" s="63"/>
      <c r="B860" s="64">
        <v>79</v>
      </c>
      <c r="C860" s="55" t="s">
        <v>97</v>
      </c>
      <c r="D860" s="64">
        <v>2014</v>
      </c>
      <c r="E860" s="65">
        <v>0</v>
      </c>
      <c r="F860" s="65">
        <v>0</v>
      </c>
      <c r="G860" s="65">
        <v>0</v>
      </c>
      <c r="H860" s="65">
        <v>0</v>
      </c>
      <c r="I860" s="65">
        <v>0</v>
      </c>
      <c r="J860" s="65">
        <v>0</v>
      </c>
      <c r="K860" s="65">
        <v>0</v>
      </c>
      <c r="L860" s="65">
        <f>100232.03*1000000</f>
        <v>100232030000</v>
      </c>
      <c r="M860" s="65">
        <v>0</v>
      </c>
      <c r="N860" s="65">
        <v>0</v>
      </c>
      <c r="O860" s="65">
        <v>0</v>
      </c>
      <c r="P860" s="65">
        <v>0</v>
      </c>
      <c r="Q860" s="65">
        <v>0</v>
      </c>
      <c r="R860" s="65">
        <v>0</v>
      </c>
      <c r="S860" s="65">
        <v>0</v>
      </c>
      <c r="T860" s="65">
        <v>0</v>
      </c>
      <c r="U860" s="65">
        <v>0</v>
      </c>
      <c r="V860" s="65">
        <v>0</v>
      </c>
      <c r="W860" s="65">
        <v>0</v>
      </c>
      <c r="X860" s="65">
        <v>0</v>
      </c>
      <c r="Y860" s="64"/>
    </row>
    <row r="861" spans="1:25" s="54" customFormat="1" ht="15" customHeight="1" x14ac:dyDescent="0.3">
      <c r="A861" s="63"/>
      <c r="B861" s="64"/>
      <c r="C861" s="55"/>
      <c r="D861" s="64">
        <v>2015</v>
      </c>
      <c r="E861" s="65">
        <f>115035.86*1000000</f>
        <v>115035860000</v>
      </c>
      <c r="F861" s="65">
        <f>(115035.86+164967.37+18617.93+471.88)*1000000</f>
        <v>299093040000</v>
      </c>
      <c r="G861" s="65">
        <f>726345.62*1000000</f>
        <v>726345620000</v>
      </c>
      <c r="H861" s="65">
        <f>142006.4*1000000</f>
        <v>142006400000</v>
      </c>
      <c r="I861" s="65">
        <f>604181.3*1000000</f>
        <v>604181300000</v>
      </c>
      <c r="J861" s="65">
        <f>23946.64*1000000</f>
        <v>23946640000</v>
      </c>
      <c r="K861" s="65">
        <f>122164.32*1000000</f>
        <v>122164320000</v>
      </c>
      <c r="L861" s="65">
        <f>89650.21*1000000</f>
        <v>89650210000</v>
      </c>
      <c r="M861" s="65">
        <f>20044.56*1000000</f>
        <v>20044560000</v>
      </c>
      <c r="N861" s="65">
        <f>15392.16*1000000</f>
        <v>15392160000</v>
      </c>
      <c r="O861" s="66">
        <v>0.99990000000000001</v>
      </c>
      <c r="P861" s="67" t="s">
        <v>262</v>
      </c>
      <c r="Q861" s="65">
        <v>1</v>
      </c>
      <c r="R861" s="65">
        <v>3</v>
      </c>
      <c r="S861" s="65">
        <v>3</v>
      </c>
      <c r="T861" s="65">
        <f>SUM(R861:S861)</f>
        <v>6</v>
      </c>
      <c r="U861" s="68">
        <v>0</v>
      </c>
      <c r="V861" s="65">
        <v>3</v>
      </c>
      <c r="W861" s="65">
        <f>V861</f>
        <v>3</v>
      </c>
      <c r="X861" s="65">
        <f>3</f>
        <v>3</v>
      </c>
      <c r="Y861" s="64"/>
    </row>
    <row r="862" spans="1:25" s="54" customFormat="1" ht="15" customHeight="1" x14ac:dyDescent="0.3">
      <c r="A862" s="63"/>
      <c r="B862" s="64"/>
      <c r="C862" s="55"/>
      <c r="D862" s="64">
        <v>2016</v>
      </c>
      <c r="E862" s="65">
        <f>74268.42*1000000</f>
        <v>74268420000</v>
      </c>
      <c r="F862" s="65">
        <f>(74268.42+253198.35+48110.67+188.63)*1000000</f>
        <v>375766070000</v>
      </c>
      <c r="G862" s="65">
        <f>865785.16*1000000</f>
        <v>865785160000</v>
      </c>
      <c r="H862" s="65">
        <f>197646.97*1000000</f>
        <v>197646970000</v>
      </c>
      <c r="I862" s="65">
        <f>718435.73*1000000</f>
        <v>718435730000</v>
      </c>
      <c r="J862" s="65">
        <f>46799.66*1000000</f>
        <v>46799660000</v>
      </c>
      <c r="K862" s="65">
        <f>147349.43*1000000</f>
        <v>147349430000</v>
      </c>
      <c r="L862" s="65">
        <f>223032.83*1000000</f>
        <v>223032830000</v>
      </c>
      <c r="M862" s="65">
        <f>39229.26*1000000</f>
        <v>39229260000</v>
      </c>
      <c r="N862" s="65">
        <f>25285.11*1000000</f>
        <v>25285110000</v>
      </c>
      <c r="O862" s="66">
        <v>0.99990000000000001</v>
      </c>
      <c r="P862" s="67" t="s">
        <v>262</v>
      </c>
      <c r="Q862" s="65">
        <v>1</v>
      </c>
      <c r="R862" s="65">
        <v>3</v>
      </c>
      <c r="S862" s="65">
        <v>3</v>
      </c>
      <c r="T862" s="65">
        <f t="shared" ref="T862:T870" si="78">SUM(R862:S862)</f>
        <v>6</v>
      </c>
      <c r="U862" s="68">
        <v>0</v>
      </c>
      <c r="V862" s="65">
        <v>3</v>
      </c>
      <c r="W862" s="65">
        <f>V862</f>
        <v>3</v>
      </c>
      <c r="X862" s="65">
        <v>3</v>
      </c>
      <c r="Y862" s="64"/>
    </row>
    <row r="863" spans="1:25" s="54" customFormat="1" ht="15" customHeight="1" x14ac:dyDescent="0.3">
      <c r="A863" s="63"/>
      <c r="B863" s="64"/>
      <c r="C863" s="55"/>
      <c r="D863" s="64">
        <v>2017</v>
      </c>
      <c r="E863" s="65">
        <f>67487.84*1000000</f>
        <v>67487840000</v>
      </c>
      <c r="F863" s="65">
        <f>(67487.84+239411.72+55103.69+214.47)*1000000</f>
        <v>362217720000</v>
      </c>
      <c r="G863" s="65">
        <f>927525.21*1000000</f>
        <v>927525210000</v>
      </c>
      <c r="H863" s="65">
        <f>168716.88*1000000</f>
        <v>168716880000</v>
      </c>
      <c r="I863" s="65">
        <f>729036.6*1000000</f>
        <v>729036600000</v>
      </c>
      <c r="J863" s="65">
        <f>48128.53*1000000</f>
        <v>48128530000</v>
      </c>
      <c r="K863" s="65">
        <f>198488.62*1000000</f>
        <v>198488620000</v>
      </c>
      <c r="L863" s="65">
        <f>220818.08*1000000</f>
        <v>220818080000</v>
      </c>
      <c r="M863" s="65">
        <f>1404.69*1000000</f>
        <v>1404690000</v>
      </c>
      <c r="N863" s="65">
        <f>1139.2*1000000</f>
        <v>1139200000</v>
      </c>
      <c r="O863" s="66">
        <v>0.75</v>
      </c>
      <c r="P863" s="67" t="s">
        <v>263</v>
      </c>
      <c r="Q863" s="65">
        <v>1</v>
      </c>
      <c r="R863" s="65">
        <v>3</v>
      </c>
      <c r="S863" s="65">
        <v>3</v>
      </c>
      <c r="T863" s="65">
        <f t="shared" si="78"/>
        <v>6</v>
      </c>
      <c r="U863" s="68">
        <v>0</v>
      </c>
      <c r="V863" s="65">
        <v>3</v>
      </c>
      <c r="W863" s="65">
        <f>V863</f>
        <v>3</v>
      </c>
      <c r="X863" s="65">
        <v>3</v>
      </c>
      <c r="Y863" s="64"/>
    </row>
    <row r="864" spans="1:25" s="54" customFormat="1" ht="15" customHeight="1" x14ac:dyDescent="0.3">
      <c r="A864" s="63"/>
      <c r="B864" s="64"/>
      <c r="C864" s="55"/>
      <c r="D864" s="64">
        <v>2018</v>
      </c>
      <c r="E864" s="65">
        <f>56331.08*1000000</f>
        <v>56331080000</v>
      </c>
      <c r="F864" s="65">
        <f>(56331.08+119080.15+83410.36+552877.8+366.42)*1000000</f>
        <v>812065810000</v>
      </c>
      <c r="G864" s="65">
        <f>1045273.9*1000000</f>
        <v>1045273900000</v>
      </c>
      <c r="H864" s="65">
        <f>88808.67*1000000</f>
        <v>88808670000</v>
      </c>
      <c r="I864" s="65">
        <f>823379.54*1000000</f>
        <v>823379540000</v>
      </c>
      <c r="J864" s="65">
        <f>-128312.45*1000000</f>
        <v>-128312450000</v>
      </c>
      <c r="K864" s="65">
        <f>21894.36*1000000</f>
        <v>21894360000</v>
      </c>
      <c r="L864" s="65">
        <f>126252.09*1000000</f>
        <v>126252090000</v>
      </c>
      <c r="M864" s="65">
        <f>-192401.07*1000000</f>
        <v>-192401070000</v>
      </c>
      <c r="N864" s="65">
        <f>-177602.76*1000000</f>
        <v>-177602760000</v>
      </c>
      <c r="O864" s="66">
        <v>0.75</v>
      </c>
      <c r="P864" s="67" t="s">
        <v>263</v>
      </c>
      <c r="Q864" s="65">
        <v>4</v>
      </c>
      <c r="R864" s="65">
        <v>7</v>
      </c>
      <c r="S864" s="65">
        <v>6</v>
      </c>
      <c r="T864" s="65">
        <f t="shared" si="78"/>
        <v>13</v>
      </c>
      <c r="U864" s="68">
        <v>0</v>
      </c>
      <c r="V864" s="65">
        <v>0</v>
      </c>
      <c r="W864" s="65">
        <v>0</v>
      </c>
      <c r="X864" s="65">
        <v>0</v>
      </c>
      <c r="Y864" s="64"/>
    </row>
    <row r="865" spans="1:25" s="54" customFormat="1" ht="15" customHeight="1" x14ac:dyDescent="0.3">
      <c r="A865" s="63"/>
      <c r="B865" s="64"/>
      <c r="C865" s="55"/>
      <c r="D865" s="64">
        <v>2019</v>
      </c>
      <c r="E865" s="65">
        <f>12771.41*1000000</f>
        <v>12771410000</v>
      </c>
      <c r="F865" s="65">
        <f>(12771.41+117129.38+82622.73+263121.26+357.06)*1000000</f>
        <v>476001840000</v>
      </c>
      <c r="G865" s="65">
        <f>617588.47*1000000</f>
        <v>617588470000</v>
      </c>
      <c r="H865" s="65">
        <f>56343.74*1000000</f>
        <v>56343740000</v>
      </c>
      <c r="I865" s="65">
        <f>418595.6*1000000</f>
        <v>418595600000</v>
      </c>
      <c r="J865" s="65">
        <f>-153878.91*1000000</f>
        <v>-153878910000</v>
      </c>
      <c r="K865" s="65">
        <f>111492.87*1000000</f>
        <v>111492870000</v>
      </c>
      <c r="L865" s="65">
        <f>149084.65*1000000</f>
        <v>149084650000</v>
      </c>
      <c r="M865" s="65">
        <f>-20744.71*1000000</f>
        <v>-20744710000</v>
      </c>
      <c r="N865" s="65">
        <f>-26822.05*1000000</f>
        <v>-26822050000</v>
      </c>
      <c r="O865" s="66">
        <v>0.8</v>
      </c>
      <c r="P865" s="67" t="s">
        <v>263</v>
      </c>
      <c r="Q865" s="65">
        <v>3</v>
      </c>
      <c r="R865" s="65">
        <v>6</v>
      </c>
      <c r="S865" s="65">
        <v>5</v>
      </c>
      <c r="T865" s="65">
        <f t="shared" si="78"/>
        <v>11</v>
      </c>
      <c r="U865" s="68">
        <v>0</v>
      </c>
      <c r="V865" s="65">
        <v>0</v>
      </c>
      <c r="W865" s="65">
        <v>0</v>
      </c>
      <c r="X865" s="65">
        <v>0</v>
      </c>
      <c r="Y865" s="64"/>
    </row>
    <row r="866" spans="1:25" s="54" customFormat="1" ht="15" customHeight="1" x14ac:dyDescent="0.3">
      <c r="A866" s="63"/>
      <c r="B866" s="64"/>
      <c r="C866" s="55"/>
      <c r="D866" s="64">
        <v>2020</v>
      </c>
      <c r="E866" s="65">
        <f>43432*1000000</f>
        <v>43432000000</v>
      </c>
      <c r="F866" s="65">
        <f>(43432+157175+277.402+330693+435)*1000000</f>
        <v>532012402000</v>
      </c>
      <c r="G866" s="65">
        <f>1015763*1000000</f>
        <v>1015763000000</v>
      </c>
      <c r="H866" s="65">
        <f>139301*1000000</f>
        <v>139301000000</v>
      </c>
      <c r="I866" s="65">
        <f>804279*1000000</f>
        <v>804279000000</v>
      </c>
      <c r="J866" s="65">
        <f>-142371*1000000</f>
        <v>-142371000000</v>
      </c>
      <c r="K866" s="65">
        <f>123984*1000000</f>
        <v>123984000000</v>
      </c>
      <c r="L866" s="65">
        <f>357222*1000000</f>
        <v>357222000000</v>
      </c>
      <c r="M866" s="65">
        <f>8426*1000000</f>
        <v>8426000000</v>
      </c>
      <c r="N866" s="65">
        <f>12878*1000000</f>
        <v>12878000000</v>
      </c>
      <c r="O866" s="66">
        <v>0.79869999999999997</v>
      </c>
      <c r="P866" s="67" t="s">
        <v>263</v>
      </c>
      <c r="Q866" s="65">
        <v>3</v>
      </c>
      <c r="R866" s="65">
        <v>6</v>
      </c>
      <c r="S866" s="65">
        <v>5</v>
      </c>
      <c r="T866" s="65">
        <f t="shared" si="78"/>
        <v>11</v>
      </c>
      <c r="U866" s="68">
        <v>0</v>
      </c>
      <c r="V866" s="65">
        <v>0</v>
      </c>
      <c r="W866" s="65">
        <v>0</v>
      </c>
      <c r="X866" s="65">
        <v>0</v>
      </c>
      <c r="Y866" s="64"/>
    </row>
    <row r="867" spans="1:25" s="54" customFormat="1" ht="15" customHeight="1" x14ac:dyDescent="0.3">
      <c r="A867" s="63"/>
      <c r="B867" s="64"/>
      <c r="C867" s="55"/>
      <c r="D867" s="64">
        <v>2021</v>
      </c>
      <c r="E867" s="65">
        <f>307376*1000000</f>
        <v>307376000000</v>
      </c>
      <c r="F867" s="65">
        <f>(307376+134152+138036+459181+488)*1000000</f>
        <v>1039233000000</v>
      </c>
      <c r="G867" s="65">
        <f>1306165*1000000</f>
        <v>1306165000000</v>
      </c>
      <c r="H867" s="65">
        <f>471302*1000000</f>
        <v>471302000000</v>
      </c>
      <c r="I867" s="65">
        <f>1256018*1000000</f>
        <v>1256018000000</v>
      </c>
      <c r="J867" s="65">
        <f>-302614*1000000</f>
        <v>-302614000000</v>
      </c>
      <c r="K867" s="65">
        <f>-37353*1000000</f>
        <v>-37353000000</v>
      </c>
      <c r="L867" s="65">
        <f>384118*1000000</f>
        <v>384118000000</v>
      </c>
      <c r="M867" s="65">
        <f>-167002*1000000</f>
        <v>-167002000000</v>
      </c>
      <c r="N867" s="65">
        <f>-161336*1000000</f>
        <v>-161336000000</v>
      </c>
      <c r="O867" s="66">
        <v>0.79869999999999997</v>
      </c>
      <c r="P867" s="67" t="s">
        <v>263</v>
      </c>
      <c r="Q867" s="65">
        <v>2</v>
      </c>
      <c r="R867" s="65">
        <v>5</v>
      </c>
      <c r="S867" s="65">
        <v>4</v>
      </c>
      <c r="T867" s="65">
        <f t="shared" si="78"/>
        <v>9</v>
      </c>
      <c r="U867" s="68">
        <v>0</v>
      </c>
      <c r="V867" s="65">
        <v>0</v>
      </c>
      <c r="W867" s="65">
        <v>0</v>
      </c>
      <c r="X867" s="65">
        <v>0</v>
      </c>
      <c r="Y867" s="64"/>
    </row>
    <row r="868" spans="1:25" s="54" customFormat="1" ht="15" customHeight="1" x14ac:dyDescent="0.3">
      <c r="A868" s="63"/>
      <c r="B868" s="64"/>
      <c r="C868" s="55"/>
      <c r="D868" s="64">
        <v>2022</v>
      </c>
      <c r="E868" s="65">
        <f>178408*1000000</f>
        <v>178408000000</v>
      </c>
      <c r="F868" s="65">
        <f>(178408+148747+324256+187950+1883)*1000000</f>
        <v>841244000000</v>
      </c>
      <c r="G868" s="65">
        <f>1207430*1000000</f>
        <v>1207430000000</v>
      </c>
      <c r="H868" s="65">
        <f>363664*1000000</f>
        <v>363664000000</v>
      </c>
      <c r="I868" s="65">
        <f>984909*1000000</f>
        <v>984909000000</v>
      </c>
      <c r="J868" s="65">
        <f>-383623*1000000</f>
        <v>-383623000000</v>
      </c>
      <c r="K868" s="65">
        <f>135021*1000000</f>
        <v>135021000000</v>
      </c>
      <c r="L868" s="65">
        <f>274862*1000000</f>
        <v>274862000000</v>
      </c>
      <c r="M868" s="65">
        <f>-75238*1000000</f>
        <v>-75238000000</v>
      </c>
      <c r="N868" s="65">
        <f>-77626*1000000</f>
        <v>-77626000000</v>
      </c>
      <c r="O868" s="66">
        <v>0.79869999999999997</v>
      </c>
      <c r="P868" s="67" t="s">
        <v>263</v>
      </c>
      <c r="Q868" s="65">
        <v>3</v>
      </c>
      <c r="R868" s="65">
        <v>6</v>
      </c>
      <c r="S868" s="65">
        <v>3</v>
      </c>
      <c r="T868" s="65">
        <f t="shared" si="78"/>
        <v>9</v>
      </c>
      <c r="U868" s="68">
        <v>0</v>
      </c>
      <c r="V868" s="65">
        <v>0</v>
      </c>
      <c r="W868" s="65">
        <v>0</v>
      </c>
      <c r="X868" s="65">
        <v>0</v>
      </c>
      <c r="Y868" s="64"/>
    </row>
    <row r="869" spans="1:25" s="54" customFormat="1" ht="15" customHeight="1" x14ac:dyDescent="0.3">
      <c r="A869" s="63"/>
      <c r="B869" s="64"/>
      <c r="C869" s="55"/>
      <c r="D869" s="64">
        <v>2023</v>
      </c>
      <c r="E869" s="65">
        <f>171038*1000000</f>
        <v>171038000000</v>
      </c>
      <c r="F869" s="65">
        <f>(171038+128083+3295+165245+154394+1788)*1000000</f>
        <v>623843000000</v>
      </c>
      <c r="G869" s="65">
        <f>952959*1000000</f>
        <v>952959000000</v>
      </c>
      <c r="H869" s="65">
        <f>308755*1000000</f>
        <v>308755000000</v>
      </c>
      <c r="I869" s="65">
        <f>739769*1000000</f>
        <v>739769000000</v>
      </c>
      <c r="J869" s="65">
        <f>-393334*1000000</f>
        <v>-393334000000</v>
      </c>
      <c r="K869" s="65">
        <f>125690*1000000</f>
        <v>125690000000</v>
      </c>
      <c r="L869" s="65">
        <f>388972*1000000</f>
        <v>388972000000</v>
      </c>
      <c r="M869" s="65">
        <f>-21421*1000000</f>
        <v>-21421000000</v>
      </c>
      <c r="N869" s="65">
        <f>-29796*1000000</f>
        <v>-29796000000</v>
      </c>
      <c r="O869" s="66">
        <v>0.79869999999999997</v>
      </c>
      <c r="P869" s="67" t="s">
        <v>263</v>
      </c>
      <c r="Q869" s="65">
        <v>3</v>
      </c>
      <c r="R869" s="65">
        <v>6</v>
      </c>
      <c r="S869" s="65">
        <v>3</v>
      </c>
      <c r="T869" s="65">
        <f t="shared" si="78"/>
        <v>9</v>
      </c>
      <c r="U869" s="68">
        <v>0</v>
      </c>
      <c r="V869" s="65">
        <v>0</v>
      </c>
      <c r="W869" s="65">
        <v>0</v>
      </c>
      <c r="X869" s="65">
        <v>0</v>
      </c>
      <c r="Y869" s="64"/>
    </row>
    <row r="870" spans="1:25" s="54" customFormat="1" ht="15" customHeight="1" x14ac:dyDescent="0.3">
      <c r="A870" s="63"/>
      <c r="B870" s="64"/>
      <c r="C870" s="55"/>
      <c r="D870" s="64">
        <v>2024</v>
      </c>
      <c r="E870" s="65">
        <f>104435*1000000</f>
        <v>104435000000</v>
      </c>
      <c r="F870" s="65">
        <f>(104435+108744+2458+228773+63565+1970)*1000000</f>
        <v>509945000000</v>
      </c>
      <c r="G870" s="65">
        <f>880166*1000000</f>
        <v>880166000000</v>
      </c>
      <c r="H870" s="65">
        <f>144736*1000000</f>
        <v>144736000000</v>
      </c>
      <c r="I870" s="65">
        <f>639262*1000000</f>
        <v>639262000000</v>
      </c>
      <c r="J870" s="65">
        <f>-406518*1000000</f>
        <v>-406518000000</v>
      </c>
      <c r="K870" s="65">
        <f>110404*1000000</f>
        <v>110404000000</v>
      </c>
      <c r="L870" s="65">
        <f>335852*1000000</f>
        <v>335852000000</v>
      </c>
      <c r="M870" s="65">
        <f>-17675*1000000</f>
        <v>-17675000000</v>
      </c>
      <c r="N870" s="65">
        <f>-15285*1000000</f>
        <v>-15285000000</v>
      </c>
      <c r="O870" s="66">
        <v>0.79869999999999997</v>
      </c>
      <c r="P870" s="67" t="s">
        <v>263</v>
      </c>
      <c r="Q870" s="65">
        <v>3</v>
      </c>
      <c r="R870" s="65">
        <v>5</v>
      </c>
      <c r="S870" s="65">
        <v>5</v>
      </c>
      <c r="T870" s="65">
        <f t="shared" si="78"/>
        <v>10</v>
      </c>
      <c r="U870" s="68">
        <v>0</v>
      </c>
      <c r="V870" s="65">
        <v>0</v>
      </c>
      <c r="W870" s="65">
        <v>0</v>
      </c>
      <c r="X870" s="65">
        <v>0</v>
      </c>
      <c r="Y870" s="64"/>
    </row>
    <row r="871" spans="1:25" s="54" customFormat="1" ht="15" customHeight="1" x14ac:dyDescent="0.3">
      <c r="A871" s="63"/>
      <c r="B871" s="64">
        <v>80</v>
      </c>
      <c r="C871" s="55" t="s">
        <v>81</v>
      </c>
      <c r="D871" s="64">
        <v>2014</v>
      </c>
      <c r="E871" s="65">
        <v>0</v>
      </c>
      <c r="F871" s="65">
        <v>0</v>
      </c>
      <c r="G871" s="65">
        <v>0</v>
      </c>
      <c r="H871" s="65">
        <v>0</v>
      </c>
      <c r="I871" s="65">
        <v>0</v>
      </c>
      <c r="J871" s="65">
        <v>0</v>
      </c>
      <c r="K871" s="65">
        <v>0</v>
      </c>
      <c r="L871" s="65">
        <f>206520*1000000</f>
        <v>206520000000</v>
      </c>
      <c r="M871" s="65">
        <v>0</v>
      </c>
      <c r="N871" s="65">
        <v>0</v>
      </c>
      <c r="O871" s="65">
        <v>0</v>
      </c>
      <c r="P871" s="65">
        <v>0</v>
      </c>
      <c r="Q871" s="65">
        <v>0</v>
      </c>
      <c r="R871" s="65">
        <v>0</v>
      </c>
      <c r="S871" s="65">
        <v>0</v>
      </c>
      <c r="T871" s="65">
        <v>0</v>
      </c>
      <c r="U871" s="65">
        <v>0</v>
      </c>
      <c r="V871" s="65">
        <v>0</v>
      </c>
      <c r="W871" s="65">
        <v>0</v>
      </c>
      <c r="X871" s="65">
        <v>0</v>
      </c>
      <c r="Y871" s="64"/>
    </row>
    <row r="872" spans="1:25" s="54" customFormat="1" ht="15" customHeight="1" x14ac:dyDescent="0.3">
      <c r="A872" s="63"/>
      <c r="B872" s="64"/>
      <c r="C872" s="55"/>
      <c r="D872" s="64">
        <v>2015</v>
      </c>
      <c r="E872" s="65">
        <f>108708*1000000</f>
        <v>108708000000</v>
      </c>
      <c r="F872" s="65">
        <f>(108708+294242+426+709811+2388)*1000000</f>
        <v>1115575000000</v>
      </c>
      <c r="G872" s="65">
        <f>1425414*1000000</f>
        <v>1425414000000</v>
      </c>
      <c r="H872" s="65">
        <f>(17829+334911+30963+6480+35476)*1000000</f>
        <v>425659000000</v>
      </c>
      <c r="I872" s="65">
        <f>1242670*1000000</f>
        <v>1242670000000</v>
      </c>
      <c r="J872" s="65">
        <f>(16400+85151)*1000000</f>
        <v>101551000000</v>
      </c>
      <c r="K872" s="65">
        <f>182744*1000000</f>
        <v>182744000000</v>
      </c>
      <c r="L872" s="65">
        <f>222434*1000000</f>
        <v>222434000000</v>
      </c>
      <c r="M872" s="65">
        <f>27189*1000000</f>
        <v>27189000000</v>
      </c>
      <c r="N872" s="65">
        <f>21534*1000000</f>
        <v>21534000000</v>
      </c>
      <c r="O872" s="66">
        <v>0.8</v>
      </c>
      <c r="P872" s="67" t="s">
        <v>268</v>
      </c>
      <c r="Q872" s="65">
        <v>2</v>
      </c>
      <c r="R872" s="65">
        <v>3</v>
      </c>
      <c r="S872" s="65">
        <v>3</v>
      </c>
      <c r="T872" s="65">
        <f>SUM(R872:S872)</f>
        <v>6</v>
      </c>
      <c r="U872" s="68">
        <v>0</v>
      </c>
      <c r="V872" s="65">
        <v>0</v>
      </c>
      <c r="W872" s="65">
        <v>0</v>
      </c>
      <c r="X872" s="65">
        <v>0</v>
      </c>
      <c r="Y872" s="64"/>
    </row>
    <row r="873" spans="1:25" s="54" customFormat="1" ht="15" customHeight="1" x14ac:dyDescent="0.3">
      <c r="A873" s="63"/>
      <c r="B873" s="64"/>
      <c r="C873" s="55"/>
      <c r="D873" s="64">
        <v>2016</v>
      </c>
      <c r="E873" s="65">
        <f>88094*1000000</f>
        <v>88094000000</v>
      </c>
      <c r="F873" s="65">
        <f>(88094+240265+1323+766921+1473)*1000000</f>
        <v>1098076000000</v>
      </c>
      <c r="G873" s="65">
        <f>1447531*1000000</f>
        <v>1447531000000</v>
      </c>
      <c r="H873" s="65">
        <f>(6594+245618+34349+2314+35822)*1000000</f>
        <v>324697000000</v>
      </c>
      <c r="I873" s="65">
        <f>1245274*1000000</f>
        <v>1245274000000</v>
      </c>
      <c r="J873" s="65">
        <f>(16400+104358)*1000000</f>
        <v>120758000000</v>
      </c>
      <c r="K873" s="65">
        <f>202257*1000000</f>
        <v>202257000000</v>
      </c>
      <c r="L873" s="65">
        <f>221392*1000000</f>
        <v>221392000000</v>
      </c>
      <c r="M873" s="65">
        <f>26323*1000000</f>
        <v>26323000000</v>
      </c>
      <c r="N873" s="65">
        <f>20589*1000000</f>
        <v>20589000000</v>
      </c>
      <c r="O873" s="66">
        <v>0.8</v>
      </c>
      <c r="P873" s="67" t="s">
        <v>268</v>
      </c>
      <c r="Q873" s="65">
        <v>2</v>
      </c>
      <c r="R873" s="65">
        <v>3</v>
      </c>
      <c r="S873" s="65">
        <v>3</v>
      </c>
      <c r="T873" s="65">
        <f t="shared" ref="T873:T881" si="79">SUM(R873:S873)</f>
        <v>6</v>
      </c>
      <c r="U873" s="68">
        <v>0</v>
      </c>
      <c r="V873" s="65">
        <v>0</v>
      </c>
      <c r="W873" s="65">
        <v>0</v>
      </c>
      <c r="X873" s="65">
        <v>0</v>
      </c>
      <c r="Y873" s="64"/>
    </row>
    <row r="874" spans="1:25" s="54" customFormat="1" ht="15" customHeight="1" x14ac:dyDescent="0.3">
      <c r="A874" s="63"/>
      <c r="B874" s="64"/>
      <c r="C874" s="55"/>
      <c r="D874" s="64">
        <v>2017</v>
      </c>
      <c r="E874" s="65">
        <f>59117*1000000</f>
        <v>59117000000</v>
      </c>
      <c r="F874" s="65">
        <f>(59117+323897+3890+762869+51302+2227)*1000000</f>
        <v>1203302000000</v>
      </c>
      <c r="G874" s="65">
        <f>1546804*1000000</f>
        <v>1546804000000</v>
      </c>
      <c r="H874" s="65">
        <f>383500*1000000</f>
        <v>383500000000</v>
      </c>
      <c r="I874" s="65">
        <f>1320815*1000000</f>
        <v>1320815000000</v>
      </c>
      <c r="J874" s="65">
        <f>130684*1000000</f>
        <v>130684000000</v>
      </c>
      <c r="K874" s="65">
        <f>212684*1000000</f>
        <v>212684000000</v>
      </c>
      <c r="L874" s="65">
        <f>215845*1000000</f>
        <v>215845000000</v>
      </c>
      <c r="M874" s="65">
        <f>12244*1000000</f>
        <v>12244000000</v>
      </c>
      <c r="N874" s="65">
        <f>10427*1000000</f>
        <v>10427000000</v>
      </c>
      <c r="O874" s="66">
        <v>0.8</v>
      </c>
      <c r="P874" s="67" t="s">
        <v>268</v>
      </c>
      <c r="Q874" s="65">
        <v>2</v>
      </c>
      <c r="R874" s="65">
        <v>3</v>
      </c>
      <c r="S874" s="65">
        <v>3</v>
      </c>
      <c r="T874" s="65">
        <f t="shared" si="79"/>
        <v>6</v>
      </c>
      <c r="U874" s="68">
        <v>0</v>
      </c>
      <c r="V874" s="65">
        <v>0</v>
      </c>
      <c r="W874" s="65">
        <v>0</v>
      </c>
      <c r="X874" s="65">
        <v>0</v>
      </c>
      <c r="Y874" s="64"/>
    </row>
    <row r="875" spans="1:25" s="54" customFormat="1" ht="15" customHeight="1" x14ac:dyDescent="0.3">
      <c r="A875" s="63"/>
      <c r="B875" s="64"/>
      <c r="C875" s="55"/>
      <c r="D875" s="64">
        <v>2018</v>
      </c>
      <c r="E875" s="65">
        <f>96053*1000000</f>
        <v>96053000000</v>
      </c>
      <c r="F875" s="65">
        <f>(96053+280734+5472+930916+102559+2297)*1000000</f>
        <v>1418031000000</v>
      </c>
      <c r="G875" s="65">
        <f>1778439*1000000</f>
        <v>1778439000000</v>
      </c>
      <c r="H875" s="65">
        <f>360699*1000000</f>
        <v>360699000000</v>
      </c>
      <c r="I875" s="65">
        <f>1505101*1000000</f>
        <v>1505101000000</v>
      </c>
      <c r="J875" s="65">
        <f>148454*1000000</f>
        <v>148454000000</v>
      </c>
      <c r="K875" s="65">
        <f>230454*1000000</f>
        <v>230454000000</v>
      </c>
      <c r="L875" s="65">
        <f>268956*1000000</f>
        <v>268956000000</v>
      </c>
      <c r="M875" s="65">
        <f>24256*1000000</f>
        <v>24256000000</v>
      </c>
      <c r="N875" s="65">
        <f>17770*1000000</f>
        <v>17770000000</v>
      </c>
      <c r="O875" s="66">
        <v>0.8</v>
      </c>
      <c r="P875" s="67" t="s">
        <v>268</v>
      </c>
      <c r="Q875" s="65">
        <v>2</v>
      </c>
      <c r="R875" s="65">
        <v>3</v>
      </c>
      <c r="S875" s="65">
        <v>4</v>
      </c>
      <c r="T875" s="65">
        <f t="shared" si="79"/>
        <v>7</v>
      </c>
      <c r="U875" s="68">
        <v>0</v>
      </c>
      <c r="V875" s="65">
        <v>0</v>
      </c>
      <c r="W875" s="65">
        <v>0</v>
      </c>
      <c r="X875" s="65">
        <v>0</v>
      </c>
      <c r="Y875" s="64"/>
    </row>
    <row r="876" spans="1:25" s="54" customFormat="1" ht="15" customHeight="1" x14ac:dyDescent="0.3">
      <c r="A876" s="63"/>
      <c r="B876" s="64"/>
      <c r="C876" s="55"/>
      <c r="D876" s="64">
        <v>2019</v>
      </c>
      <c r="E876" s="65">
        <f>134197*1000000</f>
        <v>134197000000</v>
      </c>
      <c r="F876" s="65">
        <f>(134197+273338+6809+871812+127932+2218)*1000000</f>
        <v>1416306000000</v>
      </c>
      <c r="G876" s="65">
        <f>1785466*1000000</f>
        <v>1785466000000</v>
      </c>
      <c r="H876" s="65">
        <f>356029*1000000</f>
        <v>356029000000</v>
      </c>
      <c r="I876" s="65">
        <f>1485112*1000000</f>
        <v>1485112000000</v>
      </c>
      <c r="J876" s="65">
        <f>187322*1000000</f>
        <v>187322000000</v>
      </c>
      <c r="K876" s="65">
        <f>269322*1000000</f>
        <v>269322000000</v>
      </c>
      <c r="L876" s="65">
        <f>325392*1000000</f>
        <v>325392000000</v>
      </c>
      <c r="M876" s="65">
        <f>49805*1000000</f>
        <v>49805000000</v>
      </c>
      <c r="N876" s="65">
        <f>38867*1000000</f>
        <v>38867000000</v>
      </c>
      <c r="O876" s="66">
        <v>0.8</v>
      </c>
      <c r="P876" s="67" t="s">
        <v>268</v>
      </c>
      <c r="Q876" s="65">
        <v>2</v>
      </c>
      <c r="R876" s="65">
        <v>3</v>
      </c>
      <c r="S876" s="65">
        <v>3</v>
      </c>
      <c r="T876" s="65">
        <f t="shared" si="79"/>
        <v>6</v>
      </c>
      <c r="U876" s="68">
        <v>0</v>
      </c>
      <c r="V876" s="65">
        <v>0</v>
      </c>
      <c r="W876" s="65">
        <v>0</v>
      </c>
      <c r="X876" s="65">
        <v>0</v>
      </c>
      <c r="Y876" s="64"/>
    </row>
    <row r="877" spans="1:25" s="54" customFormat="1" ht="15" customHeight="1" x14ac:dyDescent="0.3">
      <c r="A877" s="63"/>
      <c r="B877" s="64"/>
      <c r="C877" s="55"/>
      <c r="D877" s="64">
        <v>2020</v>
      </c>
      <c r="E877" s="65">
        <f>54712*1000000</f>
        <v>54712000000</v>
      </c>
      <c r="F877" s="65">
        <f>(54712+254178+2651+743098+181260+2121)*1000000</f>
        <v>1238020000000</v>
      </c>
      <c r="G877" s="65">
        <f>1618403*1000000</f>
        <v>1618403000000</v>
      </c>
      <c r="H877" s="65">
        <f>348478*1000000</f>
        <v>348478000000</v>
      </c>
      <c r="I877" s="65">
        <f>1332323*1000000</f>
        <v>1332323000000</v>
      </c>
      <c r="J877" s="65">
        <f>198899*1000000</f>
        <v>198899000000</v>
      </c>
      <c r="K877" s="65">
        <f>282749*1000000</f>
        <v>282749000000</v>
      </c>
      <c r="L877" s="65">
        <f>278765*1000000</f>
        <v>278765000000</v>
      </c>
      <c r="M877" s="65">
        <f>18285*1000000</f>
        <v>18285000000</v>
      </c>
      <c r="N877" s="65">
        <f>13427*1000000</f>
        <v>13427000000</v>
      </c>
      <c r="O877" s="66">
        <v>0.8</v>
      </c>
      <c r="P877" s="67" t="s">
        <v>268</v>
      </c>
      <c r="Q877" s="65">
        <v>2</v>
      </c>
      <c r="R877" s="65">
        <v>2</v>
      </c>
      <c r="S877" s="65">
        <v>4</v>
      </c>
      <c r="T877" s="65">
        <f t="shared" si="79"/>
        <v>6</v>
      </c>
      <c r="U877" s="68">
        <v>0</v>
      </c>
      <c r="V877" s="65">
        <v>0</v>
      </c>
      <c r="W877" s="65">
        <v>0</v>
      </c>
      <c r="X877" s="65">
        <v>0</v>
      </c>
      <c r="Y877" s="64"/>
    </row>
    <row r="878" spans="1:25" s="54" customFormat="1" ht="15" customHeight="1" x14ac:dyDescent="0.3">
      <c r="A878" s="63"/>
      <c r="B878" s="64"/>
      <c r="C878" s="55"/>
      <c r="D878" s="64">
        <v>2021</v>
      </c>
      <c r="E878" s="65">
        <f>80474*1000000</f>
        <v>80474000000</v>
      </c>
      <c r="F878" s="65">
        <f>(80474+234575+3870+765849+201777+2036)*1000000</f>
        <v>1288581000000</v>
      </c>
      <c r="G878" s="65">
        <f>1662278*1000000</f>
        <v>1662278000000</v>
      </c>
      <c r="H878" s="65">
        <f>359383*1000000</f>
        <v>359383000000</v>
      </c>
      <c r="I878" s="65">
        <f>1362813*1000000</f>
        <v>1362813000000</v>
      </c>
      <c r="J878" s="65">
        <f>214497*1000000</f>
        <v>214497000000</v>
      </c>
      <c r="K878" s="65">
        <f>299465*1000000</f>
        <v>299465000000</v>
      </c>
      <c r="L878" s="65">
        <f>281332*1000000</f>
        <v>281332000000</v>
      </c>
      <c r="M878" s="65">
        <f>19479*1000000</f>
        <v>19479000000</v>
      </c>
      <c r="N878" s="65">
        <f>16716*1000000</f>
        <v>16716000000</v>
      </c>
      <c r="O878" s="66">
        <v>0.8</v>
      </c>
      <c r="P878" s="67" t="s">
        <v>268</v>
      </c>
      <c r="Q878" s="65">
        <v>2</v>
      </c>
      <c r="R878" s="65">
        <v>3</v>
      </c>
      <c r="S878" s="65">
        <v>4</v>
      </c>
      <c r="T878" s="65">
        <f t="shared" si="79"/>
        <v>7</v>
      </c>
      <c r="U878" s="68">
        <v>0</v>
      </c>
      <c r="V878" s="65">
        <v>0</v>
      </c>
      <c r="W878" s="65">
        <v>0</v>
      </c>
      <c r="X878" s="65">
        <v>0</v>
      </c>
      <c r="Y878" s="64"/>
    </row>
    <row r="879" spans="1:25" s="54" customFormat="1" ht="15" customHeight="1" x14ac:dyDescent="0.3">
      <c r="A879" s="63"/>
      <c r="B879" s="64"/>
      <c r="C879" s="55"/>
      <c r="D879" s="64">
        <v>2022</v>
      </c>
      <c r="E879" s="65">
        <f>71352*1000000</f>
        <v>71352000000</v>
      </c>
      <c r="F879" s="65">
        <f>(71352+205279+612+1023369+184825+1471)*1000000</f>
        <v>1486908000000</v>
      </c>
      <c r="G879" s="65">
        <f>2086886*1000000</f>
        <v>2086886000000</v>
      </c>
      <c r="H879" s="65">
        <f>471420*1000000</f>
        <v>471420000000</v>
      </c>
      <c r="I879" s="65">
        <f>1771107*1000000</f>
        <v>1771107000000</v>
      </c>
      <c r="J879" s="65">
        <f>222314*1000000</f>
        <v>222314000000</v>
      </c>
      <c r="K879" s="65">
        <f>307721*1000000</f>
        <v>307721000000</v>
      </c>
      <c r="L879" s="65">
        <f>297010*1000000</f>
        <v>297010000000</v>
      </c>
      <c r="M879" s="65">
        <f>8827*1000000</f>
        <v>8827000000</v>
      </c>
      <c r="N879" s="65">
        <f>8256*1000000</f>
        <v>8256000000</v>
      </c>
      <c r="O879" s="66">
        <v>0.8</v>
      </c>
      <c r="P879" s="67" t="s">
        <v>268</v>
      </c>
      <c r="Q879" s="65">
        <v>2</v>
      </c>
      <c r="R879" s="65">
        <v>2</v>
      </c>
      <c r="S879" s="65">
        <v>4</v>
      </c>
      <c r="T879" s="65">
        <f t="shared" si="79"/>
        <v>6</v>
      </c>
      <c r="U879" s="68">
        <v>0</v>
      </c>
      <c r="V879" s="65">
        <v>0</v>
      </c>
      <c r="W879" s="65">
        <v>0</v>
      </c>
      <c r="X879" s="65">
        <v>0</v>
      </c>
      <c r="Y879" s="64"/>
    </row>
    <row r="880" spans="1:25" s="54" customFormat="1" ht="15" customHeight="1" x14ac:dyDescent="0.3">
      <c r="A880" s="63"/>
      <c r="B880" s="64"/>
      <c r="C880" s="55"/>
      <c r="D880" s="64">
        <v>2023</v>
      </c>
      <c r="E880" s="65">
        <f>12531*1000000</f>
        <v>12531000000</v>
      </c>
      <c r="F880" s="65">
        <f>(12531+122646+445+706104+358780+1524)*1000000</f>
        <v>1202030000000</v>
      </c>
      <c r="G880" s="65">
        <f>1616151*1000000</f>
        <v>1616151000000</v>
      </c>
      <c r="H880" s="65">
        <f>364675*1000000</f>
        <v>364675000000</v>
      </c>
      <c r="I880" s="65">
        <f>1289836*1000000</f>
        <v>1289836000000</v>
      </c>
      <c r="J880" s="65">
        <f>241245*1000000</f>
        <v>241245000000</v>
      </c>
      <c r="K880" s="65">
        <f>326315*1000000</f>
        <v>326315000000</v>
      </c>
      <c r="L880" s="65">
        <f>311904*1000000</f>
        <v>311904000000</v>
      </c>
      <c r="M880" s="65">
        <f>21717*1000000</f>
        <v>21717000000</v>
      </c>
      <c r="N880" s="65">
        <f>18594*1000000</f>
        <v>18594000000</v>
      </c>
      <c r="O880" s="66">
        <v>0.8</v>
      </c>
      <c r="P880" s="67" t="s">
        <v>268</v>
      </c>
      <c r="Q880" s="65">
        <v>1</v>
      </c>
      <c r="R880" s="65">
        <v>1</v>
      </c>
      <c r="S880" s="65">
        <v>3</v>
      </c>
      <c r="T880" s="65">
        <f t="shared" si="79"/>
        <v>4</v>
      </c>
      <c r="U880" s="68">
        <v>0</v>
      </c>
      <c r="V880" s="65">
        <v>0</v>
      </c>
      <c r="W880" s="65">
        <v>0</v>
      </c>
      <c r="X880" s="65">
        <v>0</v>
      </c>
      <c r="Y880" s="64"/>
    </row>
    <row r="881" spans="1:25" s="54" customFormat="1" ht="15" customHeight="1" x14ac:dyDescent="0.3">
      <c r="A881" s="63"/>
      <c r="B881" s="64"/>
      <c r="C881" s="55"/>
      <c r="D881" s="64">
        <v>2024</v>
      </c>
      <c r="E881" s="65">
        <f>9750*1000000</f>
        <v>9750000000</v>
      </c>
      <c r="F881" s="65">
        <f>(9750+140286+96+560892+228345+2090)*1000000</f>
        <v>941459000000</v>
      </c>
      <c r="G881" s="65">
        <f>1596064*1000000</f>
        <v>1596064000000</v>
      </c>
      <c r="H881" s="65">
        <f>529310*1000000</f>
        <v>529310000000</v>
      </c>
      <c r="I881" s="65">
        <f>1323407*1000000</f>
        <v>1323407000000</v>
      </c>
      <c r="J881" s="65">
        <f>178243*1000000</f>
        <v>178243000000</v>
      </c>
      <c r="K881" s="65">
        <f>264419*1000000</f>
        <v>264419000000</v>
      </c>
      <c r="L881" s="65">
        <f>209439*1000000</f>
        <v>209439000000</v>
      </c>
      <c r="M881" s="65">
        <f>-87750*1000000</f>
        <v>-87750000000</v>
      </c>
      <c r="N881" s="65">
        <f>-61897*1000000</f>
        <v>-61897000000</v>
      </c>
      <c r="O881" s="66">
        <v>0.8</v>
      </c>
      <c r="P881" s="67" t="s">
        <v>268</v>
      </c>
      <c r="Q881" s="65">
        <v>2</v>
      </c>
      <c r="R881" s="65">
        <v>3</v>
      </c>
      <c r="S881" s="65">
        <v>4</v>
      </c>
      <c r="T881" s="65">
        <f t="shared" si="79"/>
        <v>7</v>
      </c>
      <c r="U881" s="68">
        <v>0</v>
      </c>
      <c r="V881" s="65">
        <v>0</v>
      </c>
      <c r="W881" s="65">
        <v>0</v>
      </c>
      <c r="X881" s="65">
        <v>0</v>
      </c>
      <c r="Y881" s="64"/>
    </row>
    <row r="882" spans="1:25" s="54" customFormat="1" ht="15" customHeight="1" x14ac:dyDescent="0.3">
      <c r="A882" s="63"/>
      <c r="B882" s="64">
        <v>81</v>
      </c>
      <c r="C882" s="55" t="s">
        <v>82</v>
      </c>
      <c r="D882" s="64">
        <v>2014</v>
      </c>
      <c r="E882" s="65">
        <v>0</v>
      </c>
      <c r="F882" s="65">
        <v>0</v>
      </c>
      <c r="G882" s="65">
        <v>0</v>
      </c>
      <c r="H882" s="65">
        <v>0</v>
      </c>
      <c r="I882" s="65">
        <v>0</v>
      </c>
      <c r="J882" s="65">
        <v>0</v>
      </c>
      <c r="K882" s="65">
        <v>0</v>
      </c>
      <c r="L882" s="65">
        <v>0</v>
      </c>
      <c r="M882" s="65">
        <v>0</v>
      </c>
      <c r="N882" s="65">
        <v>0</v>
      </c>
      <c r="O882" s="65">
        <v>0</v>
      </c>
      <c r="P882" s="65">
        <v>0</v>
      </c>
      <c r="Q882" s="65">
        <v>0</v>
      </c>
      <c r="R882" s="65">
        <v>0</v>
      </c>
      <c r="S882" s="65">
        <v>0</v>
      </c>
      <c r="T882" s="65">
        <v>0</v>
      </c>
      <c r="U882" s="65">
        <v>0</v>
      </c>
      <c r="V882" s="65">
        <v>0</v>
      </c>
      <c r="W882" s="65">
        <v>0</v>
      </c>
      <c r="X882" s="65">
        <v>0</v>
      </c>
      <c r="Y882" s="64"/>
    </row>
    <row r="883" spans="1:25" s="54" customFormat="1" ht="15" customHeight="1" x14ac:dyDescent="0.3">
      <c r="A883" s="63"/>
      <c r="B883" s="64"/>
      <c r="C883" s="55"/>
      <c r="D883" s="64">
        <v>2015</v>
      </c>
      <c r="E883" s="65">
        <v>0</v>
      </c>
      <c r="F883" s="65">
        <v>0</v>
      </c>
      <c r="G883" s="65">
        <v>0</v>
      </c>
      <c r="H883" s="65">
        <v>0</v>
      </c>
      <c r="I883" s="65">
        <v>0</v>
      </c>
      <c r="J883" s="65">
        <v>0</v>
      </c>
      <c r="K883" s="65">
        <v>0</v>
      </c>
      <c r="L883" s="65">
        <v>0</v>
      </c>
      <c r="M883" s="65">
        <v>0</v>
      </c>
      <c r="N883" s="65">
        <v>0</v>
      </c>
      <c r="O883" s="65">
        <v>0</v>
      </c>
      <c r="P883" s="65">
        <v>0</v>
      </c>
      <c r="Q883" s="65">
        <v>0</v>
      </c>
      <c r="R883" s="65">
        <v>0</v>
      </c>
      <c r="S883" s="65">
        <v>0</v>
      </c>
      <c r="T883" s="65">
        <v>0</v>
      </c>
      <c r="U883" s="65">
        <v>0</v>
      </c>
      <c r="V883" s="65">
        <v>0</v>
      </c>
      <c r="W883" s="65">
        <v>0</v>
      </c>
      <c r="X883" s="65">
        <v>0</v>
      </c>
      <c r="Y883" s="64"/>
    </row>
    <row r="884" spans="1:25" s="54" customFormat="1" ht="15" customHeight="1" x14ac:dyDescent="0.3">
      <c r="A884" s="63"/>
      <c r="B884" s="64"/>
      <c r="C884" s="55"/>
      <c r="D884" s="64">
        <v>2016</v>
      </c>
      <c r="E884" s="65">
        <v>0</v>
      </c>
      <c r="F884" s="65">
        <v>0</v>
      </c>
      <c r="G884" s="65">
        <v>0</v>
      </c>
      <c r="H884" s="65">
        <v>0</v>
      </c>
      <c r="I884" s="65">
        <v>0</v>
      </c>
      <c r="J884" s="65">
        <v>0</v>
      </c>
      <c r="K884" s="65">
        <v>0</v>
      </c>
      <c r="L884" s="65">
        <v>0</v>
      </c>
      <c r="M884" s="65">
        <v>0</v>
      </c>
      <c r="N884" s="65">
        <v>0</v>
      </c>
      <c r="O884" s="65">
        <v>0</v>
      </c>
      <c r="P884" s="65">
        <v>0</v>
      </c>
      <c r="Q884" s="65">
        <v>0</v>
      </c>
      <c r="R884" s="65">
        <v>0</v>
      </c>
      <c r="S884" s="65">
        <v>0</v>
      </c>
      <c r="T884" s="65">
        <v>0</v>
      </c>
      <c r="U884" s="65">
        <v>0</v>
      </c>
      <c r="V884" s="65">
        <v>0</v>
      </c>
      <c r="W884" s="65">
        <v>0</v>
      </c>
      <c r="X884" s="65">
        <v>0</v>
      </c>
      <c r="Y884" s="64"/>
    </row>
    <row r="885" spans="1:25" s="54" customFormat="1" ht="15" customHeight="1" x14ac:dyDescent="0.3">
      <c r="A885" s="63"/>
      <c r="B885" s="64"/>
      <c r="C885" s="55"/>
      <c r="D885" s="64">
        <v>2017</v>
      </c>
      <c r="E885" s="65">
        <v>0</v>
      </c>
      <c r="F885" s="65">
        <v>0</v>
      </c>
      <c r="G885" s="65">
        <v>0</v>
      </c>
      <c r="H885" s="65">
        <v>0</v>
      </c>
      <c r="I885" s="65">
        <v>0</v>
      </c>
      <c r="J885" s="65">
        <v>0</v>
      </c>
      <c r="K885" s="65">
        <v>0</v>
      </c>
      <c r="L885" s="65">
        <v>0</v>
      </c>
      <c r="M885" s="65">
        <v>0</v>
      </c>
      <c r="N885" s="65">
        <v>0</v>
      </c>
      <c r="O885" s="65">
        <v>0</v>
      </c>
      <c r="P885" s="65">
        <v>0</v>
      </c>
      <c r="Q885" s="65">
        <v>0</v>
      </c>
      <c r="R885" s="65">
        <v>0</v>
      </c>
      <c r="S885" s="65">
        <v>0</v>
      </c>
      <c r="T885" s="65">
        <v>0</v>
      </c>
      <c r="U885" s="65">
        <v>0</v>
      </c>
      <c r="V885" s="65">
        <v>0</v>
      </c>
      <c r="W885" s="65">
        <v>0</v>
      </c>
      <c r="X885" s="65">
        <v>0</v>
      </c>
      <c r="Y885" s="64"/>
    </row>
    <row r="886" spans="1:25" s="54" customFormat="1" ht="15" customHeight="1" x14ac:dyDescent="0.3">
      <c r="A886" s="63"/>
      <c r="B886" s="64"/>
      <c r="C886" s="55"/>
      <c r="D886" s="64">
        <v>2018</v>
      </c>
      <c r="E886" s="65">
        <f>9531405*1000</f>
        <v>9531405000</v>
      </c>
      <c r="F886" s="65">
        <f>(9531405+270506948+7342042+3238289+3376872+145627860)*1000</f>
        <v>439623416000</v>
      </c>
      <c r="G886" s="65">
        <f>628464862*1000</f>
        <v>628464862000</v>
      </c>
      <c r="H886" s="65">
        <f>(364592692-9750714-240872178)*1000</f>
        <v>113969800000</v>
      </c>
      <c r="I886" s="65">
        <f>364592692*1000</f>
        <v>364592692000</v>
      </c>
      <c r="J886" s="65">
        <f>(600000+36992967)*1000</f>
        <v>37592967000</v>
      </c>
      <c r="K886" s="65">
        <f>263872170*1000</f>
        <v>263872170000</v>
      </c>
      <c r="L886" s="65">
        <f>138709796*1000</f>
        <v>138709796000</v>
      </c>
      <c r="M886" s="65">
        <f>-26701088*1000</f>
        <v>-26701088000</v>
      </c>
      <c r="N886" s="65">
        <f>-24686106*1000</f>
        <v>-24686106000</v>
      </c>
      <c r="O886" s="65">
        <v>0</v>
      </c>
      <c r="P886" s="65">
        <v>0</v>
      </c>
      <c r="Q886" s="65">
        <v>0</v>
      </c>
      <c r="R886" s="65">
        <v>0</v>
      </c>
      <c r="S886" s="65">
        <v>0</v>
      </c>
      <c r="T886" s="65">
        <v>0</v>
      </c>
      <c r="U886" s="65">
        <v>0</v>
      </c>
      <c r="V886" s="65">
        <v>0</v>
      </c>
      <c r="W886" s="65">
        <v>0</v>
      </c>
      <c r="X886" s="65">
        <v>0</v>
      </c>
      <c r="Y886" s="64"/>
    </row>
    <row r="887" spans="1:25" s="54" customFormat="1" ht="15" customHeight="1" x14ac:dyDescent="0.3">
      <c r="A887" s="63"/>
      <c r="B887" s="64"/>
      <c r="C887" s="55"/>
      <c r="D887" s="64">
        <v>2019</v>
      </c>
      <c r="E887" s="65">
        <f>4673515*1000</f>
        <v>4673515000</v>
      </c>
      <c r="F887" s="65">
        <f>(4673515+215436596+46824086+5014460+6266384+151514051)*1000</f>
        <v>429729092000</v>
      </c>
      <c r="G887" s="65">
        <f>582236244*1000</f>
        <v>582236244000</v>
      </c>
      <c r="H887" s="65">
        <f>(433311390-13050682-261156603)*1000</f>
        <v>159104105000</v>
      </c>
      <c r="I887" s="65">
        <f>433311390*1000</f>
        <v>433311390000</v>
      </c>
      <c r="J887" s="65">
        <f>(600000-78459728)*1000</f>
        <v>-77859728000</v>
      </c>
      <c r="K887" s="65">
        <f>148924854*1000</f>
        <v>148924854000</v>
      </c>
      <c r="L887" s="65">
        <f>107284306*1000</f>
        <v>107284306000</v>
      </c>
      <c r="M887" s="65">
        <f>-114954132*1000</f>
        <v>-114954132000</v>
      </c>
      <c r="N887" s="65">
        <f>-114947315*1000</f>
        <v>-114947315000</v>
      </c>
      <c r="O887" s="66">
        <v>0.62150000000000005</v>
      </c>
      <c r="P887" s="67" t="s">
        <v>76</v>
      </c>
      <c r="Q887" s="65">
        <v>3</v>
      </c>
      <c r="R887" s="65">
        <v>4</v>
      </c>
      <c r="S887" s="65">
        <v>3</v>
      </c>
      <c r="T887" s="65">
        <f t="shared" ref="T887:T892" si="80">SUM(R887:S887)</f>
        <v>7</v>
      </c>
      <c r="U887" s="68">
        <v>0</v>
      </c>
      <c r="V887" s="65">
        <f>4+(2*2)</f>
        <v>8</v>
      </c>
      <c r="W887" s="65">
        <f t="shared" ref="W887:W892" si="81">V887</f>
        <v>8</v>
      </c>
      <c r="X887" s="65">
        <f>4+(2*1)</f>
        <v>6</v>
      </c>
      <c r="Y887" s="64"/>
    </row>
    <row r="888" spans="1:25" s="54" customFormat="1" ht="15" customHeight="1" x14ac:dyDescent="0.3">
      <c r="A888" s="63"/>
      <c r="B888" s="64"/>
      <c r="C888" s="55"/>
      <c r="D888" s="64">
        <v>2020</v>
      </c>
      <c r="E888" s="65">
        <f>13411781*1000</f>
        <v>13411781000</v>
      </c>
      <c r="F888" s="65">
        <f>(13411781+136089278+17320898+1918847+7559879+232866189)*1000</f>
        <v>409166872000</v>
      </c>
      <c r="G888" s="65">
        <f>577744818*1000</f>
        <v>577744818000</v>
      </c>
      <c r="H888" s="65">
        <f>(472175668-11277613-3182732-357255433)*1000</f>
        <v>100459890000</v>
      </c>
      <c r="I888" s="65">
        <f>472175668*1000</f>
        <v>472175668000</v>
      </c>
      <c r="J888" s="65">
        <f>(600000-127621437)*1000</f>
        <v>-127021437000</v>
      </c>
      <c r="K888" s="65">
        <f>105569150*1000</f>
        <v>105569150000</v>
      </c>
      <c r="L888" s="65">
        <f>135250057*1000</f>
        <v>135250057000</v>
      </c>
      <c r="M888" s="65">
        <f>9797219*1000</f>
        <v>9797219000</v>
      </c>
      <c r="N888" s="65">
        <f>12480110*1000</f>
        <v>12480110000</v>
      </c>
      <c r="O888" s="66">
        <v>0.62150000000000005</v>
      </c>
      <c r="P888" s="67" t="s">
        <v>76</v>
      </c>
      <c r="Q888" s="65">
        <v>3</v>
      </c>
      <c r="R888" s="65">
        <v>4</v>
      </c>
      <c r="S888" s="65">
        <v>6</v>
      </c>
      <c r="T888" s="65">
        <f t="shared" si="80"/>
        <v>10</v>
      </c>
      <c r="U888" s="68">
        <v>0</v>
      </c>
      <c r="V888" s="65">
        <f>4+(2*2)</f>
        <v>8</v>
      </c>
      <c r="W888" s="65">
        <f t="shared" si="81"/>
        <v>8</v>
      </c>
      <c r="X888" s="65">
        <f>6+(2*1)</f>
        <v>8</v>
      </c>
      <c r="Y888" s="64"/>
    </row>
    <row r="889" spans="1:25" s="54" customFormat="1" ht="15" customHeight="1" x14ac:dyDescent="0.3">
      <c r="A889" s="63"/>
      <c r="B889" s="64"/>
      <c r="C889" s="55"/>
      <c r="D889" s="64">
        <v>2021</v>
      </c>
      <c r="E889" s="65">
        <f>5516123*1000</f>
        <v>5516123000</v>
      </c>
      <c r="F889" s="65">
        <f>(5516123+109916557+24590288+2432026+8295629+295545688)*1000</f>
        <v>446296311000</v>
      </c>
      <c r="G889" s="65">
        <f>666903763*1000</f>
        <v>666903763000</v>
      </c>
      <c r="H889" s="65">
        <f>(2256865+31984989+18363403+13681648+2500397+3184437+6461726)*1000</f>
        <v>78433465000</v>
      </c>
      <c r="I889" s="65">
        <f>544767542*1000</f>
        <v>544767542000</v>
      </c>
      <c r="J889" s="65">
        <f>(600000-112205766)*1000</f>
        <v>-111605766000</v>
      </c>
      <c r="K889" s="65">
        <f>122136221*1000</f>
        <v>122136221000</v>
      </c>
      <c r="L889" s="65">
        <f>196501415*1000</f>
        <v>196501415000</v>
      </c>
      <c r="M889" s="65">
        <f>18379569*1000</f>
        <v>18379569000</v>
      </c>
      <c r="N889" s="65">
        <f>16567071*1000</f>
        <v>16567071000</v>
      </c>
      <c r="O889" s="66">
        <v>0.62150000000000005</v>
      </c>
      <c r="P889" s="67" t="s">
        <v>76</v>
      </c>
      <c r="Q889" s="65">
        <v>3</v>
      </c>
      <c r="R889" s="65">
        <v>4</v>
      </c>
      <c r="S889" s="65">
        <v>6</v>
      </c>
      <c r="T889" s="65">
        <f t="shared" si="80"/>
        <v>10</v>
      </c>
      <c r="U889" s="68">
        <v>0</v>
      </c>
      <c r="V889" s="65">
        <f>4+(2*2)</f>
        <v>8</v>
      </c>
      <c r="W889" s="65">
        <f t="shared" si="81"/>
        <v>8</v>
      </c>
      <c r="X889" s="65">
        <f>6+(2*1)</f>
        <v>8</v>
      </c>
      <c r="Y889" s="64"/>
    </row>
    <row r="890" spans="1:25" s="54" customFormat="1" ht="15" customHeight="1" x14ac:dyDescent="0.3">
      <c r="A890" s="63"/>
      <c r="B890" s="64"/>
      <c r="C890" s="55"/>
      <c r="D890" s="64">
        <v>2022</v>
      </c>
      <c r="E890" s="65">
        <f>12997983*1000</f>
        <v>12997983000</v>
      </c>
      <c r="F890" s="65">
        <f>(12997983+98637749+118734669+2213172+5176210+478006031)*1000</f>
        <v>715765814000</v>
      </c>
      <c r="G890" s="65">
        <f>933279448*1000</f>
        <v>933279448000</v>
      </c>
      <c r="H890" s="65">
        <f>(723212185-10352555-1707732-652624527)*1000</f>
        <v>58527371000</v>
      </c>
      <c r="I890" s="65">
        <f>723212185*1000</f>
        <v>723212185000</v>
      </c>
      <c r="J890" s="65">
        <f>(600000-119675149)*1000</f>
        <v>-119075149000</v>
      </c>
      <c r="K890" s="65">
        <f>210067263*1000</f>
        <v>210067263000</v>
      </c>
      <c r="L890" s="65">
        <f>236147536*1000</f>
        <v>236147536000</v>
      </c>
      <c r="M890" s="65">
        <f>-7050650*1000</f>
        <v>-7050650000</v>
      </c>
      <c r="N890" s="65">
        <f>-8682082*1000</f>
        <v>-8682082000</v>
      </c>
      <c r="O890" s="66">
        <v>0.62580000000000002</v>
      </c>
      <c r="P890" s="67" t="s">
        <v>76</v>
      </c>
      <c r="Q890" s="65">
        <v>3</v>
      </c>
      <c r="R890" s="65">
        <v>4</v>
      </c>
      <c r="S890" s="65">
        <v>6</v>
      </c>
      <c r="T890" s="65">
        <f t="shared" si="80"/>
        <v>10</v>
      </c>
      <c r="U890" s="68">
        <v>0</v>
      </c>
      <c r="V890" s="65">
        <f>4+(2*2)</f>
        <v>8</v>
      </c>
      <c r="W890" s="65">
        <f t="shared" si="81"/>
        <v>8</v>
      </c>
      <c r="X890" s="65">
        <f>6+(2*1)</f>
        <v>8</v>
      </c>
      <c r="Y890" s="64"/>
    </row>
    <row r="891" spans="1:25" s="54" customFormat="1" ht="15" customHeight="1" x14ac:dyDescent="0.3">
      <c r="A891" s="63"/>
      <c r="B891" s="64"/>
      <c r="C891" s="55"/>
      <c r="D891" s="64">
        <v>2023</v>
      </c>
      <c r="E891" s="65">
        <f>12798662*1000</f>
        <v>12798662000</v>
      </c>
      <c r="F891" s="65">
        <f>(12798662+88140102+108578540+11864234+11110685+486264041)*1000</f>
        <v>718756264000</v>
      </c>
      <c r="G891" s="65">
        <f>997499063*1000</f>
        <v>997499063000</v>
      </c>
      <c r="H891" s="65">
        <f>(781519952-30000000-11694755-856219-699587307)*1000</f>
        <v>39381671000</v>
      </c>
      <c r="I891" s="65">
        <f>781419952*1000</f>
        <v>781419952000</v>
      </c>
      <c r="J891" s="65">
        <f>(600000-114696418)*1000</f>
        <v>-114096418000</v>
      </c>
      <c r="K891" s="65">
        <f>215979111*1000</f>
        <v>215979111000</v>
      </c>
      <c r="L891" s="65">
        <f>264772211*1000</f>
        <v>264772211000</v>
      </c>
      <c r="M891" s="65">
        <f>1459490*1000</f>
        <v>1459490000</v>
      </c>
      <c r="N891" s="65">
        <f>5911484*1000</f>
        <v>5911484000</v>
      </c>
      <c r="O891" s="66">
        <v>0.62580000000000002</v>
      </c>
      <c r="P891" s="67" t="s">
        <v>76</v>
      </c>
      <c r="Q891" s="65">
        <v>2</v>
      </c>
      <c r="R891" s="65">
        <v>3</v>
      </c>
      <c r="S891" s="65">
        <v>5</v>
      </c>
      <c r="T891" s="65">
        <f t="shared" si="80"/>
        <v>8</v>
      </c>
      <c r="U891" s="68">
        <v>0</v>
      </c>
      <c r="V891" s="65">
        <f>3+(2*1)</f>
        <v>5</v>
      </c>
      <c r="W891" s="65">
        <f t="shared" si="81"/>
        <v>5</v>
      </c>
      <c r="X891" s="65">
        <f>5+(2*2)</f>
        <v>9</v>
      </c>
      <c r="Y891" s="64"/>
    </row>
    <row r="892" spans="1:25" s="54" customFormat="1" ht="15" customHeight="1" x14ac:dyDescent="0.3">
      <c r="A892" s="63"/>
      <c r="B892" s="64"/>
      <c r="C892" s="55"/>
      <c r="D892" s="64">
        <v>2024</v>
      </c>
      <c r="E892" s="65">
        <f>13573988*1000</f>
        <v>13573988000</v>
      </c>
      <c r="F892" s="65">
        <f>(13573988+133963975+122493644+903461+12804227+494390233)*1000</f>
        <v>778129528000</v>
      </c>
      <c r="G892" s="65">
        <f>1071029173*1000</f>
        <v>1071029173000</v>
      </c>
      <c r="H892" s="65">
        <f>(847738126-30000000-12057709-4894036-706262624)*1000</f>
        <v>94523757000</v>
      </c>
      <c r="I892" s="65">
        <f>847738126*1000</f>
        <v>847738126000</v>
      </c>
      <c r="J892" s="65">
        <f>(725991-107884965)*1000</f>
        <v>-107158974000</v>
      </c>
      <c r="K892" s="65">
        <f>223291047*1000</f>
        <v>223291047000</v>
      </c>
      <c r="L892" s="65">
        <f>274305097*1000</f>
        <v>274305097000</v>
      </c>
      <c r="M892" s="65">
        <f>5822749*1000</f>
        <v>5822749000</v>
      </c>
      <c r="N892" s="65">
        <f>7185945*1000</f>
        <v>7185945000</v>
      </c>
      <c r="O892" s="66">
        <v>0.62580000000000002</v>
      </c>
      <c r="P892" s="67" t="s">
        <v>76</v>
      </c>
      <c r="Q892" s="65">
        <v>2</v>
      </c>
      <c r="R892" s="65">
        <v>3</v>
      </c>
      <c r="S892" s="65">
        <v>5</v>
      </c>
      <c r="T892" s="65">
        <f t="shared" si="80"/>
        <v>8</v>
      </c>
      <c r="U892" s="68">
        <v>0</v>
      </c>
      <c r="V892" s="65">
        <f>3+2</f>
        <v>5</v>
      </c>
      <c r="W892" s="65">
        <f t="shared" si="81"/>
        <v>5</v>
      </c>
      <c r="X892" s="65">
        <f>5+(2*2)</f>
        <v>9</v>
      </c>
      <c r="Y892" s="64"/>
    </row>
    <row r="893" spans="1:25" s="54" customFormat="1" ht="15" customHeight="1" x14ac:dyDescent="0.3">
      <c r="A893" s="63"/>
      <c r="B893" s="64">
        <v>82</v>
      </c>
      <c r="C893" s="55" t="s">
        <v>83</v>
      </c>
      <c r="D893" s="64">
        <v>2014</v>
      </c>
      <c r="E893" s="65">
        <v>0</v>
      </c>
      <c r="F893" s="65">
        <v>0</v>
      </c>
      <c r="G893" s="65">
        <v>0</v>
      </c>
      <c r="H893" s="65">
        <v>0</v>
      </c>
      <c r="I893" s="65">
        <v>0</v>
      </c>
      <c r="J893" s="65">
        <v>0</v>
      </c>
      <c r="K893" s="65">
        <v>0</v>
      </c>
      <c r="L893" s="65">
        <v>0</v>
      </c>
      <c r="M893" s="65">
        <v>0</v>
      </c>
      <c r="N893" s="65">
        <v>0</v>
      </c>
      <c r="O893" s="65">
        <v>0</v>
      </c>
      <c r="P893" s="65">
        <v>0</v>
      </c>
      <c r="Q893" s="65">
        <v>0</v>
      </c>
      <c r="R893" s="65">
        <v>0</v>
      </c>
      <c r="S893" s="65">
        <v>0</v>
      </c>
      <c r="T893" s="65">
        <v>0</v>
      </c>
      <c r="U893" s="65">
        <v>0</v>
      </c>
      <c r="V893" s="65">
        <v>0</v>
      </c>
      <c r="W893" s="65">
        <v>0</v>
      </c>
      <c r="X893" s="65">
        <v>0</v>
      </c>
      <c r="Y893" s="64"/>
    </row>
    <row r="894" spans="1:25" s="54" customFormat="1" ht="15" customHeight="1" x14ac:dyDescent="0.3">
      <c r="A894" s="63"/>
      <c r="B894" s="64"/>
      <c r="C894" s="55"/>
      <c r="D894" s="64">
        <v>2015</v>
      </c>
      <c r="E894" s="65">
        <v>0</v>
      </c>
      <c r="F894" s="65">
        <v>0</v>
      </c>
      <c r="G894" s="65">
        <v>0</v>
      </c>
      <c r="H894" s="65">
        <v>0</v>
      </c>
      <c r="I894" s="65">
        <v>0</v>
      </c>
      <c r="J894" s="65">
        <v>0</v>
      </c>
      <c r="K894" s="65">
        <v>0</v>
      </c>
      <c r="L894" s="65">
        <v>0</v>
      </c>
      <c r="M894" s="65">
        <v>0</v>
      </c>
      <c r="N894" s="65">
        <v>0</v>
      </c>
      <c r="O894" s="65">
        <v>0</v>
      </c>
      <c r="P894" s="65">
        <v>0</v>
      </c>
      <c r="Q894" s="65">
        <v>0</v>
      </c>
      <c r="R894" s="65">
        <v>0</v>
      </c>
      <c r="S894" s="65">
        <v>0</v>
      </c>
      <c r="T894" s="65">
        <v>0</v>
      </c>
      <c r="U894" s="65">
        <v>0</v>
      </c>
      <c r="V894" s="65">
        <v>0</v>
      </c>
      <c r="W894" s="65">
        <v>0</v>
      </c>
      <c r="X894" s="65">
        <v>0</v>
      </c>
      <c r="Y894" s="64"/>
    </row>
    <row r="895" spans="1:25" s="54" customFormat="1" ht="15" customHeight="1" x14ac:dyDescent="0.3">
      <c r="A895" s="63"/>
      <c r="B895" s="64"/>
      <c r="C895" s="55"/>
      <c r="D895" s="64">
        <v>2016</v>
      </c>
      <c r="E895" s="65">
        <v>0</v>
      </c>
      <c r="F895" s="65">
        <v>0</v>
      </c>
      <c r="G895" s="65">
        <v>0</v>
      </c>
      <c r="H895" s="65">
        <v>0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0</v>
      </c>
      <c r="O895" s="65">
        <v>0</v>
      </c>
      <c r="P895" s="65">
        <v>0</v>
      </c>
      <c r="Q895" s="65">
        <v>0</v>
      </c>
      <c r="R895" s="65">
        <v>0</v>
      </c>
      <c r="S895" s="65">
        <v>0</v>
      </c>
      <c r="T895" s="65">
        <v>0</v>
      </c>
      <c r="U895" s="65">
        <v>0</v>
      </c>
      <c r="V895" s="65">
        <v>0</v>
      </c>
      <c r="W895" s="65">
        <v>0</v>
      </c>
      <c r="X895" s="65">
        <v>0</v>
      </c>
      <c r="Y895" s="64"/>
    </row>
    <row r="896" spans="1:25" s="54" customFormat="1" ht="15" customHeight="1" x14ac:dyDescent="0.3">
      <c r="A896" s="63"/>
      <c r="B896" s="64"/>
      <c r="C896" s="55"/>
      <c r="D896" s="64">
        <v>2017</v>
      </c>
      <c r="E896" s="65">
        <v>0</v>
      </c>
      <c r="F896" s="65">
        <v>0</v>
      </c>
      <c r="G896" s="65">
        <v>0</v>
      </c>
      <c r="H896" s="65">
        <v>0</v>
      </c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0</v>
      </c>
      <c r="O896" s="65">
        <v>0</v>
      </c>
      <c r="P896" s="65">
        <v>0</v>
      </c>
      <c r="Q896" s="65">
        <v>0</v>
      </c>
      <c r="R896" s="65">
        <v>0</v>
      </c>
      <c r="S896" s="65">
        <v>0</v>
      </c>
      <c r="T896" s="65">
        <v>0</v>
      </c>
      <c r="U896" s="65">
        <v>0</v>
      </c>
      <c r="V896" s="65">
        <v>0</v>
      </c>
      <c r="W896" s="65">
        <v>0</v>
      </c>
      <c r="X896" s="65">
        <v>0</v>
      </c>
      <c r="Y896" s="64"/>
    </row>
    <row r="897" spans="1:25" s="54" customFormat="1" ht="15" customHeight="1" x14ac:dyDescent="0.3">
      <c r="A897" s="63"/>
      <c r="B897" s="64"/>
      <c r="C897" s="55"/>
      <c r="D897" s="64">
        <v>2018</v>
      </c>
      <c r="E897" s="65">
        <v>0</v>
      </c>
      <c r="F897" s="65">
        <v>0</v>
      </c>
      <c r="G897" s="65">
        <v>0</v>
      </c>
      <c r="H897" s="65">
        <v>0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0</v>
      </c>
      <c r="O897" s="65">
        <v>0</v>
      </c>
      <c r="P897" s="65">
        <v>0</v>
      </c>
      <c r="Q897" s="65">
        <v>0</v>
      </c>
      <c r="R897" s="65">
        <v>0</v>
      </c>
      <c r="S897" s="65">
        <v>0</v>
      </c>
      <c r="T897" s="65">
        <v>0</v>
      </c>
      <c r="U897" s="65">
        <v>0</v>
      </c>
      <c r="V897" s="65">
        <v>0</v>
      </c>
      <c r="W897" s="65">
        <v>0</v>
      </c>
      <c r="X897" s="65">
        <v>0</v>
      </c>
      <c r="Y897" s="64"/>
    </row>
    <row r="898" spans="1:25" s="54" customFormat="1" ht="15" customHeight="1" x14ac:dyDescent="0.3">
      <c r="A898" s="63"/>
      <c r="B898" s="64"/>
      <c r="C898" s="55"/>
      <c r="D898" s="64">
        <v>2019</v>
      </c>
      <c r="E898" s="65">
        <v>0</v>
      </c>
      <c r="F898" s="65">
        <v>0</v>
      </c>
      <c r="G898" s="65">
        <v>0</v>
      </c>
      <c r="H898" s="65">
        <v>0</v>
      </c>
      <c r="I898" s="65">
        <v>0</v>
      </c>
      <c r="J898" s="65">
        <v>0</v>
      </c>
      <c r="K898" s="65">
        <v>0</v>
      </c>
      <c r="L898" s="65">
        <v>0</v>
      </c>
      <c r="M898" s="65">
        <v>0</v>
      </c>
      <c r="N898" s="65">
        <v>0</v>
      </c>
      <c r="O898" s="65">
        <v>0</v>
      </c>
      <c r="P898" s="65">
        <v>0</v>
      </c>
      <c r="Q898" s="65">
        <v>0</v>
      </c>
      <c r="R898" s="65">
        <v>0</v>
      </c>
      <c r="S898" s="65">
        <v>0</v>
      </c>
      <c r="T898" s="65">
        <v>0</v>
      </c>
      <c r="U898" s="65">
        <v>0</v>
      </c>
      <c r="V898" s="65">
        <v>0</v>
      </c>
      <c r="W898" s="65">
        <v>0</v>
      </c>
      <c r="X898" s="65">
        <v>0</v>
      </c>
      <c r="Y898" s="64"/>
    </row>
    <row r="899" spans="1:25" s="54" customFormat="1" ht="15" customHeight="1" x14ac:dyDescent="0.3">
      <c r="A899" s="63"/>
      <c r="B899" s="64"/>
      <c r="C899" s="55"/>
      <c r="D899" s="64">
        <v>2020</v>
      </c>
      <c r="E899" s="65">
        <f>6723*1000000</f>
        <v>6723000000</v>
      </c>
      <c r="F899" s="65">
        <f>(6723+31899+53334+15706+9797)*1000000</f>
        <v>117459000000</v>
      </c>
      <c r="G899" s="65">
        <f>268957*1000000</f>
        <v>268957000000</v>
      </c>
      <c r="H899" s="65">
        <f>67462*1000000</f>
        <v>67462000000</v>
      </c>
      <c r="I899" s="65">
        <f>113494*1000000</f>
        <v>113494000000</v>
      </c>
      <c r="J899" s="65">
        <f>33591*1000000</f>
        <v>33591000000</v>
      </c>
      <c r="K899" s="65">
        <f>127713*1000000</f>
        <v>127713000000</v>
      </c>
      <c r="L899" s="65">
        <f>122493*1000000</f>
        <v>122493000000</v>
      </c>
      <c r="M899" s="65">
        <f>229*1000000</f>
        <v>229000000</v>
      </c>
      <c r="N899" s="65">
        <f>397*1000000</f>
        <v>397000000</v>
      </c>
      <c r="O899" s="65">
        <v>0</v>
      </c>
      <c r="P899" s="65">
        <v>0</v>
      </c>
      <c r="Q899" s="65">
        <v>0</v>
      </c>
      <c r="R899" s="65">
        <v>0</v>
      </c>
      <c r="S899" s="65">
        <v>0</v>
      </c>
      <c r="T899" s="65">
        <v>0</v>
      </c>
      <c r="U899" s="65">
        <v>0</v>
      </c>
      <c r="V899" s="65">
        <v>0</v>
      </c>
      <c r="W899" s="65">
        <v>0</v>
      </c>
      <c r="X899" s="65">
        <v>0</v>
      </c>
      <c r="Y899" s="64"/>
    </row>
    <row r="900" spans="1:25" s="54" customFormat="1" ht="15" customHeight="1" x14ac:dyDescent="0.3">
      <c r="A900" s="63"/>
      <c r="B900" s="64"/>
      <c r="C900" s="55"/>
      <c r="D900" s="64">
        <v>2021</v>
      </c>
      <c r="E900" s="65">
        <f>37957*1000000</f>
        <v>37957000000</v>
      </c>
      <c r="F900" s="65">
        <f>(37957+58747+75709+5577)*1000000</f>
        <v>177990000000</v>
      </c>
      <c r="G900" s="65">
        <f>300393*1000000</f>
        <v>300393000000</v>
      </c>
      <c r="H900" s="65">
        <f>111761*1000000</f>
        <v>111761000000</v>
      </c>
      <c r="I900" s="65">
        <f>144392*1000000</f>
        <v>144392000000</v>
      </c>
      <c r="J900" s="65">
        <f>35723*1000000</f>
        <v>35723000000</v>
      </c>
      <c r="K900" s="65">
        <f>129301*1000000</f>
        <v>129301000000</v>
      </c>
      <c r="L900" s="65">
        <f>144362*1000000</f>
        <v>144362000000</v>
      </c>
      <c r="M900" s="65">
        <f>683*1000000</f>
        <v>683000000</v>
      </c>
      <c r="N900" s="65">
        <f>1588*1000000</f>
        <v>1588000000</v>
      </c>
      <c r="O900" s="66">
        <v>0.9919</v>
      </c>
      <c r="P900" s="67" t="s">
        <v>269</v>
      </c>
      <c r="Q900" s="65">
        <v>1</v>
      </c>
      <c r="R900" s="65">
        <v>3</v>
      </c>
      <c r="S900" s="65">
        <v>3</v>
      </c>
      <c r="T900" s="65">
        <f>SUM(R900:S900)</f>
        <v>6</v>
      </c>
      <c r="U900" s="68">
        <v>0</v>
      </c>
      <c r="V900" s="65">
        <f>3+2+3</f>
        <v>8</v>
      </c>
      <c r="W900" s="65">
        <f t="shared" ref="W900:W947" si="82">V900</f>
        <v>8</v>
      </c>
      <c r="X900" s="65">
        <v>0</v>
      </c>
      <c r="Y900" s="64"/>
    </row>
    <row r="901" spans="1:25" s="54" customFormat="1" ht="15" customHeight="1" x14ac:dyDescent="0.3">
      <c r="A901" s="63"/>
      <c r="B901" s="64"/>
      <c r="C901" s="55"/>
      <c r="D901" s="64">
        <v>2022</v>
      </c>
      <c r="E901" s="65">
        <f>75868*1000000</f>
        <v>75868000000</v>
      </c>
      <c r="F901" s="65">
        <f>(75868+101954+26359+19889)*1000000</f>
        <v>224070000000</v>
      </c>
      <c r="G901" s="65">
        <f>335530*1000000</f>
        <v>335530000000</v>
      </c>
      <c r="H901" s="65">
        <f>90895*1000000</f>
        <v>90895000000</v>
      </c>
      <c r="I901" s="65">
        <f>168087*1000000</f>
        <v>168087000000</v>
      </c>
      <c r="J901" s="65">
        <f>39195*1000000</f>
        <v>39195000000</v>
      </c>
      <c r="K901" s="65">
        <f>140743*1000000</f>
        <v>140743000000</v>
      </c>
      <c r="L901" s="65">
        <f>394181*1000000</f>
        <v>394181000000</v>
      </c>
      <c r="M901" s="65">
        <f>4011*1000000</f>
        <v>4011000000</v>
      </c>
      <c r="N901" s="65">
        <f>6442*1000000</f>
        <v>6442000000</v>
      </c>
      <c r="O901" s="66">
        <v>0.99229999999999996</v>
      </c>
      <c r="P901" s="67" t="s">
        <v>269</v>
      </c>
      <c r="Q901" s="65">
        <v>2</v>
      </c>
      <c r="R901" s="65">
        <v>3</v>
      </c>
      <c r="S901" s="65">
        <v>5</v>
      </c>
      <c r="T901" s="65">
        <f>SUM(R901:S901)</f>
        <v>8</v>
      </c>
      <c r="U901" s="68">
        <v>0</v>
      </c>
      <c r="V901" s="65">
        <f>3+2+3</f>
        <v>8</v>
      </c>
      <c r="W901" s="65">
        <f t="shared" si="82"/>
        <v>8</v>
      </c>
      <c r="X901" s="65">
        <v>0</v>
      </c>
      <c r="Y901" s="64"/>
    </row>
    <row r="902" spans="1:25" s="54" customFormat="1" ht="15" customHeight="1" x14ac:dyDescent="0.3">
      <c r="A902" s="63"/>
      <c r="B902" s="64"/>
      <c r="C902" s="55"/>
      <c r="D902" s="64">
        <v>2023</v>
      </c>
      <c r="E902" s="65">
        <f>322921*1000000</f>
        <v>322921000000</v>
      </c>
      <c r="F902" s="65">
        <f>(322921+38716+5565+27662)*1000000</f>
        <v>394864000000</v>
      </c>
      <c r="G902" s="65">
        <f>512116*1000000</f>
        <v>512116000000</v>
      </c>
      <c r="H902" s="65">
        <f>66752*1000000</f>
        <v>66752000000</v>
      </c>
      <c r="I902" s="65">
        <f>313912*1000000</f>
        <v>313912000000</v>
      </c>
      <c r="J902" s="65">
        <f>69149*1000000</f>
        <v>69149000000</v>
      </c>
      <c r="K902" s="65">
        <f>171505*1000000</f>
        <v>171505000000</v>
      </c>
      <c r="L902" s="65">
        <f>345939*1000000</f>
        <v>345939000000</v>
      </c>
      <c r="M902" s="65">
        <f>24028*1000000</f>
        <v>24028000000</v>
      </c>
      <c r="N902" s="65">
        <f>30761*1000000</f>
        <v>30761000000</v>
      </c>
      <c r="O902" s="66">
        <v>0.99229999999999996</v>
      </c>
      <c r="P902" s="67" t="s">
        <v>269</v>
      </c>
      <c r="Q902" s="65">
        <v>2</v>
      </c>
      <c r="R902" s="65">
        <v>3</v>
      </c>
      <c r="S902" s="65">
        <v>6</v>
      </c>
      <c r="T902" s="65">
        <f>SUM(R902:S902)</f>
        <v>9</v>
      </c>
      <c r="U902" s="68">
        <v>0</v>
      </c>
      <c r="V902" s="65">
        <f>3+2+3</f>
        <v>8</v>
      </c>
      <c r="W902" s="65">
        <f t="shared" si="82"/>
        <v>8</v>
      </c>
      <c r="X902" s="65">
        <v>0</v>
      </c>
      <c r="Y902" s="64"/>
    </row>
    <row r="903" spans="1:25" s="54" customFormat="1" ht="15" customHeight="1" x14ac:dyDescent="0.3">
      <c r="A903" s="63"/>
      <c r="B903" s="64"/>
      <c r="C903" s="55"/>
      <c r="D903" s="64">
        <v>2024</v>
      </c>
      <c r="E903" s="65">
        <f>372188*1000000</f>
        <v>372188000000</v>
      </c>
      <c r="F903" s="65">
        <f>(372188+53105+752+19469)*1000000</f>
        <v>445514000000</v>
      </c>
      <c r="G903" s="65">
        <f>554465*1000000</f>
        <v>554465000000</v>
      </c>
      <c r="H903" s="65">
        <f>61881*1000000</f>
        <v>61881000000</v>
      </c>
      <c r="I903" s="65">
        <f>293683*1000000</f>
        <v>293683000000</v>
      </c>
      <c r="J903" s="65">
        <f>98426*1000000</f>
        <v>98426000000</v>
      </c>
      <c r="K903" s="65">
        <f>260782*1000000</f>
        <v>260782000000</v>
      </c>
      <c r="L903" s="65">
        <f>475380*1000000</f>
        <v>475380000000</v>
      </c>
      <c r="M903" s="65">
        <f>31996*1000000</f>
        <v>31996000000</v>
      </c>
      <c r="N903" s="65">
        <f>29277*1000000</f>
        <v>29277000000</v>
      </c>
      <c r="O903" s="66">
        <v>0.99519999999999997</v>
      </c>
      <c r="P903" s="67" t="s">
        <v>269</v>
      </c>
      <c r="Q903" s="65">
        <v>2</v>
      </c>
      <c r="R903" s="65">
        <v>3</v>
      </c>
      <c r="S903" s="65">
        <v>6</v>
      </c>
      <c r="T903" s="65">
        <f>SUM(R903:S903)</f>
        <v>9</v>
      </c>
      <c r="U903" s="68">
        <v>0</v>
      </c>
      <c r="V903" s="65">
        <f>3+2+3</f>
        <v>8</v>
      </c>
      <c r="W903" s="65">
        <f t="shared" si="82"/>
        <v>8</v>
      </c>
      <c r="X903" s="65">
        <v>0</v>
      </c>
      <c r="Y903" s="64"/>
    </row>
    <row r="904" spans="1:25" s="54" customFormat="1" ht="15" customHeight="1" x14ac:dyDescent="0.3">
      <c r="A904" s="63"/>
      <c r="B904" s="64">
        <v>83</v>
      </c>
      <c r="C904" s="55" t="s">
        <v>98</v>
      </c>
      <c r="D904" s="64">
        <v>2014</v>
      </c>
      <c r="E904" s="65">
        <v>0</v>
      </c>
      <c r="F904" s="65">
        <v>0</v>
      </c>
      <c r="G904" s="65">
        <v>0</v>
      </c>
      <c r="H904" s="65">
        <v>0</v>
      </c>
      <c r="I904" s="65">
        <v>0</v>
      </c>
      <c r="J904" s="65">
        <v>0</v>
      </c>
      <c r="K904" s="65">
        <v>0</v>
      </c>
      <c r="L904" s="65">
        <f>1699889*1000000</f>
        <v>1699889000000</v>
      </c>
      <c r="M904" s="65">
        <v>0</v>
      </c>
      <c r="N904" s="65">
        <v>0</v>
      </c>
      <c r="O904" s="65">
        <v>0</v>
      </c>
      <c r="P904" s="65">
        <v>0</v>
      </c>
      <c r="Q904" s="65">
        <v>0</v>
      </c>
      <c r="R904" s="65">
        <v>0</v>
      </c>
      <c r="S904" s="65">
        <v>0</v>
      </c>
      <c r="T904" s="65">
        <v>0</v>
      </c>
      <c r="U904" s="65">
        <v>0</v>
      </c>
      <c r="V904" s="65">
        <v>0</v>
      </c>
      <c r="W904" s="65">
        <v>0</v>
      </c>
      <c r="X904" s="65">
        <v>0</v>
      </c>
      <c r="Y904" s="64"/>
    </row>
    <row r="905" spans="1:25" s="54" customFormat="1" ht="15" customHeight="1" x14ac:dyDescent="0.3">
      <c r="A905" s="63"/>
      <c r="B905" s="64"/>
      <c r="C905" s="55"/>
      <c r="D905" s="64">
        <v>2015</v>
      </c>
      <c r="E905" s="65">
        <f>1139467*1000000</f>
        <v>1139467000000</v>
      </c>
      <c r="F905" s="67">
        <f>(1139467+1452705+672193+11481+41975+5559375)*1000000</f>
        <v>8877196000000</v>
      </c>
      <c r="G905" s="65">
        <f>11393914*1000000</f>
        <v>11393914000000</v>
      </c>
      <c r="H905" s="65">
        <f>(9046986-6849095-70414)*1000000</f>
        <v>2127477000000</v>
      </c>
      <c r="I905" s="65">
        <f>9046986*1000000</f>
        <v>9046986000000</v>
      </c>
      <c r="J905" s="65">
        <f>384532*1000000</f>
        <v>384532000000</v>
      </c>
      <c r="K905" s="65">
        <f>2346927*1000000</f>
        <v>2346927000000</v>
      </c>
      <c r="L905" s="65">
        <f>1952536*1000000</f>
        <v>1952536000000</v>
      </c>
      <c r="M905" s="65">
        <f>482944*1000000</f>
        <v>482944000000</v>
      </c>
      <c r="N905" s="65">
        <f>401097*1000000</f>
        <v>401097000000</v>
      </c>
      <c r="O905" s="66">
        <v>1</v>
      </c>
      <c r="P905" s="67" t="s">
        <v>339</v>
      </c>
      <c r="Q905" s="65">
        <v>1</v>
      </c>
      <c r="R905" s="65">
        <v>5</v>
      </c>
      <c r="S905" s="65">
        <v>5</v>
      </c>
      <c r="T905" s="65">
        <f>SUM(R905:S905)</f>
        <v>10</v>
      </c>
      <c r="U905" s="68">
        <v>0</v>
      </c>
      <c r="V905" s="65">
        <f>5+(2*5)+(3*2)</f>
        <v>21</v>
      </c>
      <c r="W905" s="65">
        <f t="shared" si="82"/>
        <v>21</v>
      </c>
      <c r="X905" s="65">
        <f>5+(2*5)</f>
        <v>15</v>
      </c>
      <c r="Y905" s="64"/>
    </row>
    <row r="906" spans="1:25" s="54" customFormat="1" ht="15" customHeight="1" x14ac:dyDescent="0.3">
      <c r="A906" s="63"/>
      <c r="B906" s="64"/>
      <c r="C906" s="55"/>
      <c r="D906" s="64">
        <v>2016</v>
      </c>
      <c r="E906" s="65">
        <f>1004808*1000000</f>
        <v>1004808000000</v>
      </c>
      <c r="F906" s="65">
        <f>(1004808+2269739+927180+1644+96868+5333005)*1000000</f>
        <v>9633244000000</v>
      </c>
      <c r="G906" s="65">
        <f>12076472*1000000</f>
        <v>12076472000000</v>
      </c>
      <c r="H906" s="65">
        <f>(9376170-6561813-57999)*1000000</f>
        <v>2756358000000</v>
      </c>
      <c r="I906" s="65">
        <f>9376170*1000000</f>
        <v>9376170000000</v>
      </c>
      <c r="J906" s="65">
        <f>368297*1000000</f>
        <v>368297000000</v>
      </c>
      <c r="K906" s="65">
        <f>2700301*1000000</f>
        <v>2700301000000</v>
      </c>
      <c r="L906" s="65">
        <f>2289851*1000000</f>
        <v>2289851000000</v>
      </c>
      <c r="M906" s="65">
        <f>475203*1000000</f>
        <v>475203000000</v>
      </c>
      <c r="N906" s="65">
        <f>366412*1000000</f>
        <v>366412000000</v>
      </c>
      <c r="O906" s="66">
        <v>1</v>
      </c>
      <c r="P906" s="67" t="s">
        <v>339</v>
      </c>
      <c r="Q906" s="65">
        <v>1</v>
      </c>
      <c r="R906" s="65">
        <v>4</v>
      </c>
      <c r="S906" s="65">
        <v>4</v>
      </c>
      <c r="T906" s="65">
        <f t="shared" ref="T906:T913" si="83">SUM(R906:S906)</f>
        <v>8</v>
      </c>
      <c r="U906" s="68">
        <v>0</v>
      </c>
      <c r="V906" s="65">
        <f>4+(2*4)+3</f>
        <v>15</v>
      </c>
      <c r="W906" s="65">
        <f t="shared" si="82"/>
        <v>15</v>
      </c>
      <c r="X906" s="65">
        <f>4+(2*4)</f>
        <v>12</v>
      </c>
      <c r="Y906" s="64"/>
    </row>
    <row r="907" spans="1:25" s="54" customFormat="1" ht="15" customHeight="1" x14ac:dyDescent="0.3">
      <c r="A907" s="63"/>
      <c r="B907" s="64"/>
      <c r="C907" s="55"/>
      <c r="D907" s="64">
        <v>2017</v>
      </c>
      <c r="E907" s="65">
        <f>1752107*1000000</f>
        <v>1752107000000</v>
      </c>
      <c r="F907" s="65">
        <f>(1752107+2382042+2283988+1293+108680+3476974)*1000000</f>
        <v>10005084000000</v>
      </c>
      <c r="G907" s="69">
        <f>11752706*1000000</f>
        <v>11752706000000</v>
      </c>
      <c r="H907" s="65">
        <f>(8691107-4821531-106241)*1000000</f>
        <v>3763335000000</v>
      </c>
      <c r="I907" s="65">
        <f>8691107*1000000</f>
        <v>8691107000000</v>
      </c>
      <c r="J907" s="65">
        <f>(297012+663777)*1000000</f>
        <v>960789000000</v>
      </c>
      <c r="K907" s="65">
        <f>3029485*1000000</f>
        <v>3029485000000</v>
      </c>
      <c r="L907" s="65">
        <f>2653564*1000000</f>
        <v>2653564000000</v>
      </c>
      <c r="M907" s="65">
        <f>457232*1000000</f>
        <v>457232000000</v>
      </c>
      <c r="N907" s="65">
        <f>360724*1000000</f>
        <v>360724000000</v>
      </c>
      <c r="O907" s="66">
        <v>1</v>
      </c>
      <c r="P907" s="67" t="s">
        <v>339</v>
      </c>
      <c r="Q907" s="65">
        <v>1</v>
      </c>
      <c r="R907" s="65">
        <v>4</v>
      </c>
      <c r="S907" s="65">
        <v>5</v>
      </c>
      <c r="T907" s="65">
        <f t="shared" si="83"/>
        <v>9</v>
      </c>
      <c r="U907" s="68">
        <v>0</v>
      </c>
      <c r="V907" s="65">
        <f>4+(2*4)+3</f>
        <v>15</v>
      </c>
      <c r="W907" s="65">
        <f t="shared" si="82"/>
        <v>15</v>
      </c>
      <c r="X907" s="65">
        <f>5+(2*5)</f>
        <v>15</v>
      </c>
      <c r="Y907" s="64"/>
    </row>
    <row r="908" spans="1:25" s="54" customFormat="1" ht="15" customHeight="1" x14ac:dyDescent="0.3">
      <c r="A908" s="63"/>
      <c r="B908" s="64"/>
      <c r="C908" s="55"/>
      <c r="D908" s="64">
        <v>2018</v>
      </c>
      <c r="E908" s="65">
        <f>1461625*1000000</f>
        <v>1461625000000</v>
      </c>
      <c r="F908" s="65">
        <f>(1461625+2255008+2258678+51233+196344+4787594)*1000000</f>
        <v>11010482000000</v>
      </c>
      <c r="G908" s="65">
        <f>13475850*1000000</f>
        <v>13475850000000</v>
      </c>
      <c r="H908" s="65">
        <f>(10292519-6413281-67349)*1000000</f>
        <v>3811889000000</v>
      </c>
      <c r="I908" s="65">
        <f>10292519*1000000</f>
        <v>10292519000000</v>
      </c>
      <c r="J908" s="65">
        <f>(297012+845836)*1000000</f>
        <v>1142848000000</v>
      </c>
      <c r="K908" s="65">
        <f>3167976*1000000</f>
        <v>3167976000000</v>
      </c>
      <c r="L908" s="65">
        <f>2505009*1000000</f>
        <v>2505009000000</v>
      </c>
      <c r="M908" s="65">
        <f>239165*1000000</f>
        <v>239165000000</v>
      </c>
      <c r="N908" s="65">
        <f>201570*1000000</f>
        <v>201570000000</v>
      </c>
      <c r="O908" s="66">
        <v>1</v>
      </c>
      <c r="P908" s="67" t="s">
        <v>339</v>
      </c>
      <c r="Q908" s="65">
        <v>1</v>
      </c>
      <c r="R908" s="65">
        <v>4</v>
      </c>
      <c r="S908" s="65">
        <v>5</v>
      </c>
      <c r="T908" s="65">
        <f t="shared" si="83"/>
        <v>9</v>
      </c>
      <c r="U908" s="68">
        <v>0</v>
      </c>
      <c r="V908" s="65">
        <f>4+(2*4)+(3+2)</f>
        <v>17</v>
      </c>
      <c r="W908" s="65">
        <f t="shared" si="82"/>
        <v>17</v>
      </c>
      <c r="X908" s="65">
        <f>5+(2*5)+(3*2)</f>
        <v>21</v>
      </c>
      <c r="Y908" s="64"/>
    </row>
    <row r="909" spans="1:25" s="54" customFormat="1" ht="15" customHeight="1" x14ac:dyDescent="0.3">
      <c r="A909" s="63"/>
      <c r="B909" s="64"/>
      <c r="C909" s="55"/>
      <c r="D909" s="64">
        <v>2019</v>
      </c>
      <c r="E909" s="65">
        <f>1333816*1000000</f>
        <v>1333816000000</v>
      </c>
      <c r="F909" s="65">
        <f>(1333816+2247942+2304901+23016+151516+4006883)*1000000</f>
        <v>10068074000000</v>
      </c>
      <c r="G909" s="65">
        <f>12688036*1000000</f>
        <v>12688036000000</v>
      </c>
      <c r="H909" s="65">
        <f>(9400478-5884559-88205)*1000000</f>
        <v>3427714000000</v>
      </c>
      <c r="I909" s="65">
        <f>9400478*1000000</f>
        <v>9400478000000</v>
      </c>
      <c r="J909" s="65">
        <f>(297012+908125)*1000000</f>
        <v>1205137000000</v>
      </c>
      <c r="K909" s="65">
        <f>3267355*1000000</f>
        <v>3267355000000</v>
      </c>
      <c r="L909" s="65">
        <f>2659976*1000000</f>
        <v>2659976000000</v>
      </c>
      <c r="M909" s="65">
        <f>144031*1000000</f>
        <v>144031000000</v>
      </c>
      <c r="N909" s="65">
        <f>106528*1000000</f>
        <v>106528000000</v>
      </c>
      <c r="O909" s="66">
        <v>1</v>
      </c>
      <c r="P909" s="67" t="s">
        <v>339</v>
      </c>
      <c r="Q909" s="65">
        <v>0</v>
      </c>
      <c r="R909" s="65">
        <v>5</v>
      </c>
      <c r="S909" s="65">
        <v>5</v>
      </c>
      <c r="T909" s="65">
        <f t="shared" si="83"/>
        <v>10</v>
      </c>
      <c r="U909" s="68">
        <v>0</v>
      </c>
      <c r="V909" s="65">
        <f>5+(2*5)+(3*2)</f>
        <v>21</v>
      </c>
      <c r="W909" s="65">
        <f t="shared" si="82"/>
        <v>21</v>
      </c>
      <c r="X909" s="65">
        <f>5+(2*5)+(3*2)</f>
        <v>21</v>
      </c>
      <c r="Y909" s="64"/>
    </row>
    <row r="910" spans="1:25" s="54" customFormat="1" ht="15" customHeight="1" x14ac:dyDescent="0.3">
      <c r="A910" s="63"/>
      <c r="B910" s="64"/>
      <c r="C910" s="55"/>
      <c r="D910" s="64">
        <v>2020</v>
      </c>
      <c r="E910" s="65">
        <f>2108578*1000000</f>
        <v>2108578000000</v>
      </c>
      <c r="F910" s="65">
        <f>(2108578+1265776+1737633+5788+153+5726154)*1000000</f>
        <v>10844082000000</v>
      </c>
      <c r="G910" s="65">
        <f>13914348*1000000</f>
        <v>13914348000000</v>
      </c>
      <c r="H910" s="65">
        <f>(12975487-9781505-134241)*1000000</f>
        <v>3059741000000</v>
      </c>
      <c r="I910" s="65">
        <f>12975487*1000000</f>
        <v>12975487000000</v>
      </c>
      <c r="J910" s="65">
        <f>(297012-1474427)*1000000</f>
        <v>-1177415000000</v>
      </c>
      <c r="K910" s="65">
        <f>922556*1000000</f>
        <v>922556000000</v>
      </c>
      <c r="L910" s="65">
        <f>2410982*1000000</f>
        <v>2410982000000</v>
      </c>
      <c r="M910" s="65">
        <f>-91328*1000000</f>
        <v>-91328000000</v>
      </c>
      <c r="N910" s="65">
        <f>-252932*1000000</f>
        <v>-252932000000</v>
      </c>
      <c r="O910" s="66">
        <v>1</v>
      </c>
      <c r="P910" s="67" t="s">
        <v>339</v>
      </c>
      <c r="Q910" s="65">
        <v>2</v>
      </c>
      <c r="R910" s="65">
        <v>5</v>
      </c>
      <c r="S910" s="65">
        <v>6</v>
      </c>
      <c r="T910" s="65">
        <f t="shared" si="83"/>
        <v>11</v>
      </c>
      <c r="U910" s="68">
        <v>0</v>
      </c>
      <c r="V910" s="65">
        <f>5+(2*5)+(3*1)</f>
        <v>18</v>
      </c>
      <c r="W910" s="65">
        <f t="shared" si="82"/>
        <v>18</v>
      </c>
      <c r="X910" s="65">
        <f>6+(2*6)</f>
        <v>18</v>
      </c>
      <c r="Y910" s="64"/>
    </row>
    <row r="911" spans="1:25" s="54" customFormat="1" ht="15" customHeight="1" x14ac:dyDescent="0.3">
      <c r="A911" s="63"/>
      <c r="B911" s="64"/>
      <c r="C911" s="55"/>
      <c r="D911" s="64">
        <v>2021</v>
      </c>
      <c r="E911" s="65">
        <f>1131985*1000000</f>
        <v>1131985000000</v>
      </c>
      <c r="F911" s="65">
        <f>(1131985+946911+1721624+10531+233790+6446941)*1000000</f>
        <v>10491782000000</v>
      </c>
      <c r="G911" s="65">
        <f>14077069*1000000</f>
        <v>14077069000000</v>
      </c>
      <c r="H911" s="65">
        <f>(13118813-10187802-140621)*1000000</f>
        <v>2790390000000</v>
      </c>
      <c r="I911" s="65">
        <f>13118813*1000000</f>
        <v>13118813000000</v>
      </c>
      <c r="J911" s="65">
        <f>(297012-1456687)*1000000</f>
        <v>-1159675000000</v>
      </c>
      <c r="K911" s="65">
        <f>938868*1000000</f>
        <v>938868000000</v>
      </c>
      <c r="L911" s="65">
        <f>2340919*1000000</f>
        <v>2340919000000</v>
      </c>
      <c r="M911" s="65">
        <f>170964*1000000</f>
        <v>170964000000</v>
      </c>
      <c r="N911" s="65">
        <f>9402*1000000</f>
        <v>9402000000</v>
      </c>
      <c r="O911" s="66">
        <v>1</v>
      </c>
      <c r="P911" s="67" t="s">
        <v>339</v>
      </c>
      <c r="Q911" s="65">
        <v>2</v>
      </c>
      <c r="R911" s="65">
        <v>5</v>
      </c>
      <c r="S911" s="65">
        <v>6</v>
      </c>
      <c r="T911" s="65">
        <f t="shared" si="83"/>
        <v>11</v>
      </c>
      <c r="U911" s="68">
        <v>0</v>
      </c>
      <c r="V911" s="65">
        <f>5+(2*5)+(3*1)</f>
        <v>18</v>
      </c>
      <c r="W911" s="65">
        <f t="shared" si="82"/>
        <v>18</v>
      </c>
      <c r="X911" s="65">
        <f>6+(2*6)</f>
        <v>18</v>
      </c>
      <c r="Y911" s="64"/>
    </row>
    <row r="912" spans="1:25" s="54" customFormat="1" ht="15" customHeight="1" x14ac:dyDescent="0.3">
      <c r="A912" s="63"/>
      <c r="B912" s="64"/>
      <c r="C912" s="55"/>
      <c r="D912" s="64">
        <v>2022</v>
      </c>
      <c r="E912" s="65">
        <f>1079208*1000000</f>
        <v>1079208000000</v>
      </c>
      <c r="F912" s="65">
        <f>(1079208+971985+32558+7117868+349118+1123507)*1000000</f>
        <v>10674244000000</v>
      </c>
      <c r="G912" s="65">
        <f>12576512*1000000</f>
        <v>12576512000000</v>
      </c>
      <c r="H912" s="65">
        <f>3256663*1000000</f>
        <v>3256663000000</v>
      </c>
      <c r="I912" s="65">
        <f>12493562*1000000</f>
        <v>12493562000000</v>
      </c>
      <c r="J912" s="65">
        <f>-1109552*1000000</f>
        <v>-1109552000000</v>
      </c>
      <c r="K912" s="65">
        <f>2703441*1000000</f>
        <v>2703441000000</v>
      </c>
      <c r="L912" s="65">
        <f>1494489*1000000</f>
        <v>1494489000000</v>
      </c>
      <c r="M912" s="65">
        <f>286224*1000000</f>
        <v>286224000000</v>
      </c>
      <c r="N912" s="65">
        <f>231059*1000000</f>
        <v>231059000000</v>
      </c>
      <c r="O912" s="66">
        <v>1</v>
      </c>
      <c r="P912" s="67" t="s">
        <v>339</v>
      </c>
      <c r="Q912" s="65">
        <v>3</v>
      </c>
      <c r="R912" s="65">
        <v>5</v>
      </c>
      <c r="S912" s="65">
        <v>6</v>
      </c>
      <c r="T912" s="65">
        <f t="shared" si="83"/>
        <v>11</v>
      </c>
      <c r="U912" s="68">
        <v>0</v>
      </c>
      <c r="V912" s="65">
        <f>5+(2*5)+(3*1)</f>
        <v>18</v>
      </c>
      <c r="W912" s="65">
        <f t="shared" si="82"/>
        <v>18</v>
      </c>
      <c r="X912" s="65">
        <f>6+(2*6)</f>
        <v>18</v>
      </c>
      <c r="Y912" s="64"/>
    </row>
    <row r="913" spans="1:25" s="54" customFormat="1" ht="15" customHeight="1" x14ac:dyDescent="0.3">
      <c r="A913" s="63"/>
      <c r="B913" s="64"/>
      <c r="C913" s="55"/>
      <c r="D913" s="64">
        <v>2023</v>
      </c>
      <c r="E913" s="65">
        <f>538456*1000000</f>
        <v>538456000000</v>
      </c>
      <c r="F913" s="65">
        <f>(538456+1576864+16201+6319100+450253+1366232)*1000000</f>
        <v>10267106000000</v>
      </c>
      <c r="G913" s="65">
        <f>12154715*1000000</f>
        <v>12154715000000</v>
      </c>
      <c r="H913" s="65">
        <f>3758053*1000000</f>
        <v>3758053000000</v>
      </c>
      <c r="I913" s="65">
        <f>12043350*1000000</f>
        <v>12043350000000</v>
      </c>
      <c r="J913" s="65">
        <f>-984983*1000000</f>
        <v>-984983000000</v>
      </c>
      <c r="K913" s="65">
        <f>2866830*1000000</f>
        <v>2866830000000</v>
      </c>
      <c r="L913" s="65">
        <f>1272086*1000000</f>
        <v>1272086000000</v>
      </c>
      <c r="M913" s="65">
        <f>109011*1000000</f>
        <v>109011000000</v>
      </c>
      <c r="N913" s="65">
        <f>102889*1000000</f>
        <v>102889000000</v>
      </c>
      <c r="O913" s="66">
        <v>1</v>
      </c>
      <c r="P913" s="67" t="s">
        <v>339</v>
      </c>
      <c r="Q913" s="65">
        <v>2</v>
      </c>
      <c r="R913" s="65">
        <v>3</v>
      </c>
      <c r="S913" s="65">
        <v>6</v>
      </c>
      <c r="T913" s="65">
        <f t="shared" si="83"/>
        <v>9</v>
      </c>
      <c r="U913" s="68">
        <v>0</v>
      </c>
      <c r="V913" s="65">
        <f>3+(2*3)+3</f>
        <v>12</v>
      </c>
      <c r="W913" s="65">
        <f t="shared" si="82"/>
        <v>12</v>
      </c>
      <c r="X913" s="65">
        <f>6+(2*5)</f>
        <v>16</v>
      </c>
      <c r="Y913" s="64"/>
    </row>
    <row r="914" spans="1:25" s="54" customFormat="1" ht="15" customHeight="1" x14ac:dyDescent="0.3">
      <c r="A914" s="63"/>
      <c r="B914" s="64"/>
      <c r="C914" s="55"/>
      <c r="D914" s="64">
        <v>2024</v>
      </c>
      <c r="E914" s="65">
        <f>764117*1000000</f>
        <v>764117000000</v>
      </c>
      <c r="F914" s="65">
        <f>(764117+1898776+24132+5495397+537451+1554750+27413)*1000000</f>
        <v>10302036000000</v>
      </c>
      <c r="G914" s="65">
        <f>15005896*1000000</f>
        <v>15005896000000</v>
      </c>
      <c r="H914" s="65">
        <f>3814570*1000000</f>
        <v>3814570000000</v>
      </c>
      <c r="I914" s="65">
        <f>11763926*1000000</f>
        <v>11763926000000</v>
      </c>
      <c r="J914" s="65">
        <f>-827648*1000000</f>
        <v>-827648000000</v>
      </c>
      <c r="K914" s="65">
        <f>2991970*1000000</f>
        <v>2991970000000</v>
      </c>
      <c r="L914" s="65">
        <f>1529289*1000000</f>
        <v>1529289000000</v>
      </c>
      <c r="M914" s="65">
        <f>106769*1000000</f>
        <v>106769000000</v>
      </c>
      <c r="N914" s="65">
        <f>157332*1000000</f>
        <v>157332000000</v>
      </c>
      <c r="O914" s="66">
        <v>1</v>
      </c>
      <c r="P914" s="67" t="s">
        <v>339</v>
      </c>
      <c r="Q914" s="65">
        <v>0</v>
      </c>
      <c r="R914" s="65">
        <v>2</v>
      </c>
      <c r="S914" s="65">
        <v>5</v>
      </c>
      <c r="T914" s="65">
        <f>SUM(R914:S914)</f>
        <v>7</v>
      </c>
      <c r="U914" s="68">
        <v>0</v>
      </c>
      <c r="V914" s="65">
        <f>2+4</f>
        <v>6</v>
      </c>
      <c r="W914" s="65">
        <f t="shared" si="82"/>
        <v>6</v>
      </c>
      <c r="X914" s="65">
        <f>5+(2*4)</f>
        <v>13</v>
      </c>
      <c r="Y914" s="64"/>
    </row>
    <row r="915" spans="1:25" s="54" customFormat="1" ht="15" customHeight="1" x14ac:dyDescent="0.3">
      <c r="A915" s="63"/>
      <c r="B915" s="64">
        <v>84</v>
      </c>
      <c r="C915" s="55" t="s">
        <v>84</v>
      </c>
      <c r="D915" s="64">
        <v>2014</v>
      </c>
      <c r="E915" s="65">
        <v>0</v>
      </c>
      <c r="F915" s="65">
        <v>0</v>
      </c>
      <c r="G915" s="65">
        <v>0</v>
      </c>
      <c r="H915" s="65">
        <v>0</v>
      </c>
      <c r="I915" s="65">
        <v>0</v>
      </c>
      <c r="J915" s="65">
        <v>0</v>
      </c>
      <c r="K915" s="65">
        <v>0</v>
      </c>
      <c r="L915" s="65">
        <f>154795*1000000</f>
        <v>154795000000</v>
      </c>
      <c r="M915" s="65">
        <v>0</v>
      </c>
      <c r="N915" s="65">
        <v>0</v>
      </c>
      <c r="O915" s="65">
        <v>0</v>
      </c>
      <c r="P915" s="65">
        <v>0</v>
      </c>
      <c r="Q915" s="65">
        <v>0</v>
      </c>
      <c r="R915" s="65">
        <v>0</v>
      </c>
      <c r="S915" s="65">
        <v>0</v>
      </c>
      <c r="T915" s="65">
        <v>0</v>
      </c>
      <c r="U915" s="65">
        <v>0</v>
      </c>
      <c r="V915" s="65">
        <v>0</v>
      </c>
      <c r="W915" s="65">
        <v>0</v>
      </c>
      <c r="X915" s="65">
        <v>0</v>
      </c>
      <c r="Y915" s="64"/>
    </row>
    <row r="916" spans="1:25" s="54" customFormat="1" ht="15" customHeight="1" x14ac:dyDescent="0.3">
      <c r="A916" s="63"/>
      <c r="B916" s="64"/>
      <c r="C916" s="55"/>
      <c r="D916" s="64">
        <v>2015</v>
      </c>
      <c r="E916" s="65">
        <f>16669*1000000</f>
        <v>16669000000</v>
      </c>
      <c r="F916" s="65">
        <f>(16669+61634+23980+649+3113+714+4257+56832)*1000000</f>
        <v>167848000000</v>
      </c>
      <c r="G916" s="65">
        <f>390083*1000000</f>
        <v>390083000000</v>
      </c>
      <c r="H916" s="69">
        <f>(223867-6231-4118)*1000000</f>
        <v>213518000000</v>
      </c>
      <c r="I916" s="65">
        <f>223867*1000000</f>
        <v>223867000000</v>
      </c>
      <c r="J916" s="65">
        <f>55350*1000000</f>
        <v>55350000000</v>
      </c>
      <c r="K916" s="65">
        <f>166216*1000000</f>
        <v>166216000000</v>
      </c>
      <c r="L916" s="65">
        <f>164725*1000000</f>
        <v>164725000000</v>
      </c>
      <c r="M916" s="65">
        <f>22086*1000000</f>
        <v>22086000000</v>
      </c>
      <c r="N916" s="65">
        <f>19107*1000000</f>
        <v>19107000000</v>
      </c>
      <c r="O916" s="66">
        <v>0.90329999999999999</v>
      </c>
      <c r="P916" s="67" t="s">
        <v>270</v>
      </c>
      <c r="Q916" s="65">
        <v>2</v>
      </c>
      <c r="R916" s="65">
        <v>3</v>
      </c>
      <c r="S916" s="65">
        <v>4</v>
      </c>
      <c r="T916" s="65">
        <f>SUM(R916:S916)</f>
        <v>7</v>
      </c>
      <c r="U916" s="68">
        <v>0</v>
      </c>
      <c r="V916" s="65">
        <f>3+(2*3)</f>
        <v>9</v>
      </c>
      <c r="W916" s="65">
        <f t="shared" si="82"/>
        <v>9</v>
      </c>
      <c r="X916" s="65">
        <f>4+(2*1)</f>
        <v>6</v>
      </c>
      <c r="Y916" s="64"/>
    </row>
    <row r="917" spans="1:25" s="54" customFormat="1" ht="15" customHeight="1" x14ac:dyDescent="0.3">
      <c r="A917" s="63"/>
      <c r="B917" s="64"/>
      <c r="C917" s="55"/>
      <c r="D917" s="64">
        <v>2016</v>
      </c>
      <c r="E917" s="65">
        <f>11601*1000000</f>
        <v>11601000000</v>
      </c>
      <c r="F917" s="65">
        <f>(11601+63845+7584+693+4620+714+6385+72203)*1000000</f>
        <v>167645000000</v>
      </c>
      <c r="G917" s="65">
        <f>427049*1000000</f>
        <v>427049000000</v>
      </c>
      <c r="H917" s="65">
        <f>(243519-9547-3669)*1000000</f>
        <v>230303000000</v>
      </c>
      <c r="I917" s="65">
        <f>243519*1000000</f>
        <v>243519000000</v>
      </c>
      <c r="J917" s="65">
        <f>72371*1000000</f>
        <v>72371000000</v>
      </c>
      <c r="K917" s="65">
        <f>183530*1000000</f>
        <v>183530000000</v>
      </c>
      <c r="L917" s="65">
        <f>160245*1000000</f>
        <v>160245000000</v>
      </c>
      <c r="M917" s="65">
        <f>28243*1000000</f>
        <v>28243000000</v>
      </c>
      <c r="N917" s="65">
        <f>23994*1000000</f>
        <v>23994000000</v>
      </c>
      <c r="O917" s="66">
        <v>0.87609999999999999</v>
      </c>
      <c r="P917" s="67" t="s">
        <v>270</v>
      </c>
      <c r="Q917" s="65">
        <v>2</v>
      </c>
      <c r="R917" s="65">
        <v>3</v>
      </c>
      <c r="S917" s="65">
        <v>4</v>
      </c>
      <c r="T917" s="65">
        <f t="shared" ref="T917:T925" si="84">SUM(R917:S917)</f>
        <v>7</v>
      </c>
      <c r="U917" s="68">
        <v>0</v>
      </c>
      <c r="V917" s="65">
        <f>3+(2*3)</f>
        <v>9</v>
      </c>
      <c r="W917" s="65">
        <f t="shared" si="82"/>
        <v>9</v>
      </c>
      <c r="X917" s="65">
        <f>4+(2*1)</f>
        <v>6</v>
      </c>
      <c r="Y917" s="64"/>
    </row>
    <row r="918" spans="1:25" s="54" customFormat="1" ht="15" customHeight="1" x14ac:dyDescent="0.3">
      <c r="A918" s="63"/>
      <c r="B918" s="64"/>
      <c r="C918" s="55"/>
      <c r="D918" s="64">
        <v>2017</v>
      </c>
      <c r="E918" s="65">
        <f>14520*1000000</f>
        <v>14520000000</v>
      </c>
      <c r="F918" s="65">
        <f>(14520+76508+14347+751+3610+714+13696+67811)*1000000</f>
        <v>191957000000</v>
      </c>
      <c r="G918" s="65">
        <f>446108*1000000</f>
        <v>446108000000</v>
      </c>
      <c r="H918" s="65">
        <f>(234664-6310-2956)*1000000</f>
        <v>225398000000</v>
      </c>
      <c r="I918" s="65">
        <f>234664*1000000</f>
        <v>234664000000</v>
      </c>
      <c r="J918" s="65">
        <f>86593*1000000</f>
        <v>86593000000</v>
      </c>
      <c r="K918" s="65">
        <f>211444*1000000</f>
        <v>211444000000</v>
      </c>
      <c r="L918" s="65">
        <f>143477*1000000</f>
        <v>143477000000</v>
      </c>
      <c r="M918" s="65">
        <f>26630*1000000</f>
        <v>26630000000</v>
      </c>
      <c r="N918" s="65">
        <f>35617*1000000</f>
        <v>35617000000</v>
      </c>
      <c r="O918" s="66">
        <v>0.77439999999999998</v>
      </c>
      <c r="P918" s="67" t="s">
        <v>270</v>
      </c>
      <c r="Q918" s="65">
        <v>2</v>
      </c>
      <c r="R918" s="65">
        <v>3</v>
      </c>
      <c r="S918" s="65">
        <v>4</v>
      </c>
      <c r="T918" s="65">
        <f t="shared" si="84"/>
        <v>7</v>
      </c>
      <c r="U918" s="68">
        <v>0</v>
      </c>
      <c r="V918" s="65">
        <f>3+(2*3)</f>
        <v>9</v>
      </c>
      <c r="W918" s="65">
        <f t="shared" si="82"/>
        <v>9</v>
      </c>
      <c r="X918" s="65">
        <f>4+(2*1)</f>
        <v>6</v>
      </c>
      <c r="Y918" s="64"/>
    </row>
    <row r="919" spans="1:25" s="54" customFormat="1" ht="15" customHeight="1" x14ac:dyDescent="0.3">
      <c r="A919" s="63"/>
      <c r="B919" s="64"/>
      <c r="C919" s="55"/>
      <c r="D919" s="64">
        <v>2018</v>
      </c>
      <c r="E919" s="65">
        <f>11676*1000000</f>
        <v>11676000000</v>
      </c>
      <c r="F919" s="65">
        <f>(11676+83935+13126+903+3357+714+11340+96821)*1000000</f>
        <v>221872000000</v>
      </c>
      <c r="G919" s="65">
        <f>478439*1000000</f>
        <v>478439000000</v>
      </c>
      <c r="H919" s="65">
        <f>(258813-5756-2458)*1000000</f>
        <v>250599000000</v>
      </c>
      <c r="I919" s="65">
        <f>258813*1000000</f>
        <v>258813000000</v>
      </c>
      <c r="J919" s="65">
        <f>100457*1000000</f>
        <v>100457000000</v>
      </c>
      <c r="K919" s="65">
        <f>219626*1000000</f>
        <v>219626000000</v>
      </c>
      <c r="L919" s="65">
        <f>151463*1000000</f>
        <v>151463000000</v>
      </c>
      <c r="M919" s="65">
        <f>29616*1000000</f>
        <v>29616000000</v>
      </c>
      <c r="N919" s="65">
        <f>20084*1000000</f>
        <v>20084000000</v>
      </c>
      <c r="O919" s="66">
        <v>0.77390000000000003</v>
      </c>
      <c r="P919" s="67" t="s">
        <v>270</v>
      </c>
      <c r="Q919" s="65">
        <v>2</v>
      </c>
      <c r="R919" s="65">
        <v>3</v>
      </c>
      <c r="S919" s="65">
        <v>4</v>
      </c>
      <c r="T919" s="65">
        <f t="shared" si="84"/>
        <v>7</v>
      </c>
      <c r="U919" s="68">
        <v>0</v>
      </c>
      <c r="V919" s="65">
        <f>3+(2*3)</f>
        <v>9</v>
      </c>
      <c r="W919" s="65">
        <f t="shared" si="82"/>
        <v>9</v>
      </c>
      <c r="X919" s="65">
        <f>4+(2*1)</f>
        <v>6</v>
      </c>
      <c r="Y919" s="64"/>
    </row>
    <row r="920" spans="1:25" s="54" customFormat="1" ht="15" customHeight="1" x14ac:dyDescent="0.3">
      <c r="A920" s="63"/>
      <c r="B920" s="64"/>
      <c r="C920" s="55"/>
      <c r="D920" s="64">
        <v>2019</v>
      </c>
      <c r="E920" s="65">
        <f>9181*1000000</f>
        <v>9181000000</v>
      </c>
      <c r="F920" s="65">
        <f>(9181+68212+24373+862+10468+7895+96413)*1000000</f>
        <v>217404000000</v>
      </c>
      <c r="G920" s="65">
        <f>447670*1000000</f>
        <v>447670000000</v>
      </c>
      <c r="H920" s="65">
        <f>(238307-1560-1753)*1000000</f>
        <v>234994000000</v>
      </c>
      <c r="I920" s="65">
        <f>238307*1000000</f>
        <v>238307000000</v>
      </c>
      <c r="J920" s="65">
        <f>88545*1000000</f>
        <v>88545000000</v>
      </c>
      <c r="K920" s="65">
        <f>209363*1000000</f>
        <v>209363000000</v>
      </c>
      <c r="L920" s="65">
        <f>129246*1000000</f>
        <v>129246000000</v>
      </c>
      <c r="M920" s="65">
        <f>2598*1000000</f>
        <v>2598000000</v>
      </c>
      <c r="N920" s="65">
        <f>2873*1000000</f>
        <v>2873000000</v>
      </c>
      <c r="O920" s="66">
        <v>0.77390000000000003</v>
      </c>
      <c r="P920" s="67" t="s">
        <v>270</v>
      </c>
      <c r="Q920" s="65">
        <v>2</v>
      </c>
      <c r="R920" s="65">
        <v>4</v>
      </c>
      <c r="S920" s="65">
        <v>4</v>
      </c>
      <c r="T920" s="65">
        <f t="shared" si="84"/>
        <v>8</v>
      </c>
      <c r="U920" s="68">
        <v>0</v>
      </c>
      <c r="V920" s="65">
        <f>4+(2*2)</f>
        <v>8</v>
      </c>
      <c r="W920" s="65">
        <f t="shared" si="82"/>
        <v>8</v>
      </c>
      <c r="X920" s="65">
        <f>4+(2*1)</f>
        <v>6</v>
      </c>
      <c r="Y920" s="64"/>
    </row>
    <row r="921" spans="1:25" s="54" customFormat="1" ht="15" customHeight="1" x14ac:dyDescent="0.3">
      <c r="A921" s="63"/>
      <c r="B921" s="64"/>
      <c r="C921" s="55"/>
      <c r="D921" s="64">
        <v>2020</v>
      </c>
      <c r="E921" s="65">
        <f>10218*1000000</f>
        <v>10218000000</v>
      </c>
      <c r="F921" s="65">
        <f>(10218+53492+43449+394+7716+9656+39179)*1000000</f>
        <v>164104000000</v>
      </c>
      <c r="G921" s="65">
        <f>365764*1000000</f>
        <v>365764000000</v>
      </c>
      <c r="H921" s="65">
        <f>(156229-8521-1929)*1000000</f>
        <v>145779000000</v>
      </c>
      <c r="I921" s="65">
        <f>156229*1000000</f>
        <v>156229000000</v>
      </c>
      <c r="J921" s="65">
        <f>82778*1000000</f>
        <v>82778000000</v>
      </c>
      <c r="K921" s="65">
        <f>209535*1000000</f>
        <v>209535000000</v>
      </c>
      <c r="L921" s="65">
        <f>89569*1000000</f>
        <v>89569000000</v>
      </c>
      <c r="M921" s="65">
        <f>-6406*1000000</f>
        <v>-6406000000</v>
      </c>
      <c r="N921" s="65">
        <f>172*1000000</f>
        <v>172000000</v>
      </c>
      <c r="O921" s="66">
        <v>0.77390000000000003</v>
      </c>
      <c r="P921" s="67" t="s">
        <v>270</v>
      </c>
      <c r="Q921" s="65">
        <v>2</v>
      </c>
      <c r="R921" s="65">
        <v>4</v>
      </c>
      <c r="S921" s="65">
        <v>4</v>
      </c>
      <c r="T921" s="65">
        <f t="shared" si="84"/>
        <v>8</v>
      </c>
      <c r="U921" s="68">
        <v>0</v>
      </c>
      <c r="V921" s="65">
        <f>4+(2*2)</f>
        <v>8</v>
      </c>
      <c r="W921" s="65">
        <f t="shared" si="82"/>
        <v>8</v>
      </c>
      <c r="X921" s="65">
        <f>4</f>
        <v>4</v>
      </c>
      <c r="Y921" s="64"/>
    </row>
    <row r="922" spans="1:25" s="54" customFormat="1" ht="15" customHeight="1" x14ac:dyDescent="0.3">
      <c r="A922" s="63"/>
      <c r="B922" s="64"/>
      <c r="C922" s="55"/>
      <c r="D922" s="64">
        <v>2021</v>
      </c>
      <c r="E922" s="65">
        <f>8302*1000000</f>
        <v>8302000000</v>
      </c>
      <c r="F922" s="65">
        <f>(8302+69038+51369+733+8078+11675+95042)*1000000</f>
        <v>244237000000</v>
      </c>
      <c r="G922" s="65">
        <f>527852*1000000</f>
        <v>527852000000</v>
      </c>
      <c r="H922" s="65">
        <f>(219398-3324-2163)*1000000</f>
        <v>213911000000</v>
      </c>
      <c r="I922" s="65">
        <f>219398*1000000</f>
        <v>219398000000</v>
      </c>
      <c r="J922" s="65">
        <f>81124*1000000</f>
        <v>81124000000</v>
      </c>
      <c r="K922" s="65">
        <f>308454*1000000</f>
        <v>308454000000</v>
      </c>
      <c r="L922" s="65">
        <f>91981*1000000</f>
        <v>91981000000</v>
      </c>
      <c r="M922" s="65">
        <f>1129*1000000</f>
        <v>1129000000</v>
      </c>
      <c r="N922" s="65">
        <f>719*1000000</f>
        <v>719000000</v>
      </c>
      <c r="O922" s="66">
        <v>0.77390000000000003</v>
      </c>
      <c r="P922" s="67" t="s">
        <v>270</v>
      </c>
      <c r="Q922" s="65">
        <v>2</v>
      </c>
      <c r="R922" s="65">
        <v>4</v>
      </c>
      <c r="S922" s="65">
        <v>5</v>
      </c>
      <c r="T922" s="65">
        <f t="shared" si="84"/>
        <v>9</v>
      </c>
      <c r="U922" s="68">
        <v>0</v>
      </c>
      <c r="V922" s="65">
        <f>4+(2*2)</f>
        <v>8</v>
      </c>
      <c r="W922" s="65">
        <f t="shared" si="82"/>
        <v>8</v>
      </c>
      <c r="X922" s="65">
        <f>5+2</f>
        <v>7</v>
      </c>
      <c r="Y922" s="64"/>
    </row>
    <row r="923" spans="1:25" s="54" customFormat="1" ht="15" customHeight="1" x14ac:dyDescent="0.3">
      <c r="A923" s="63"/>
      <c r="B923" s="64"/>
      <c r="C923" s="55"/>
      <c r="D923" s="64">
        <v>2022</v>
      </c>
      <c r="E923" s="65">
        <f>9785*1000000</f>
        <v>9785000000</v>
      </c>
      <c r="F923" s="65">
        <f>(9785+59265+35550+867+8347+11250+84131)*1000000</f>
        <v>209195000000</v>
      </c>
      <c r="G923" s="65">
        <f>499032*1000000</f>
        <v>499032000000</v>
      </c>
      <c r="H923" s="65">
        <f>(181190-1163-2731)*1000000</f>
        <v>177296000000</v>
      </c>
      <c r="I923" s="65">
        <f>181190*1000000</f>
        <v>181190000000</v>
      </c>
      <c r="J923" s="65">
        <f>81698*1000000</f>
        <v>81698000000</v>
      </c>
      <c r="K923" s="65">
        <f>317842*1000000</f>
        <v>317842000000</v>
      </c>
      <c r="L923" s="65">
        <f>74976*1000000</f>
        <v>74976000000</v>
      </c>
      <c r="M923" s="65">
        <f>1028*1000000</f>
        <v>1028000000</v>
      </c>
      <c r="N923" s="65">
        <f>9388*1000000</f>
        <v>9388000000</v>
      </c>
      <c r="O923" s="66">
        <v>0.77390000000000003</v>
      </c>
      <c r="P923" s="67" t="s">
        <v>270</v>
      </c>
      <c r="Q923" s="65">
        <v>2</v>
      </c>
      <c r="R923" s="65">
        <v>4</v>
      </c>
      <c r="S923" s="65">
        <v>5</v>
      </c>
      <c r="T923" s="65">
        <f t="shared" si="84"/>
        <v>9</v>
      </c>
      <c r="U923" s="68">
        <v>0</v>
      </c>
      <c r="V923" s="65">
        <f>4+(2*2)</f>
        <v>8</v>
      </c>
      <c r="W923" s="65">
        <f t="shared" si="82"/>
        <v>8</v>
      </c>
      <c r="X923" s="65">
        <f>5+2</f>
        <v>7</v>
      </c>
      <c r="Y923" s="64"/>
    </row>
    <row r="924" spans="1:25" s="54" customFormat="1" ht="15" customHeight="1" x14ac:dyDescent="0.3">
      <c r="A924" s="63"/>
      <c r="B924" s="64"/>
      <c r="C924" s="55"/>
      <c r="D924" s="64">
        <v>2023</v>
      </c>
      <c r="E924" s="65">
        <f>9958*1000000</f>
        <v>9958000000</v>
      </c>
      <c r="F924" s="65">
        <f>(9958+64716+39739+1512+8558+9289+69606)*1000000</f>
        <v>203378000000</v>
      </c>
      <c r="G924" s="65">
        <f>498723*1000000</f>
        <v>498723000000</v>
      </c>
      <c r="H924" s="65">
        <f>(174349-2749-1975)*1000000</f>
        <v>169625000000</v>
      </c>
      <c r="I924" s="65">
        <f>174349*1000000</f>
        <v>174349000000</v>
      </c>
      <c r="J924" s="65">
        <f>85718*1000000</f>
        <v>85718000000</v>
      </c>
      <c r="K924" s="65">
        <f>324374*1000000</f>
        <v>324374000000</v>
      </c>
      <c r="L924" s="65">
        <f>95725*1000000</f>
        <v>95725000000</v>
      </c>
      <c r="M924" s="65">
        <f>4818*1000000</f>
        <v>4818000000</v>
      </c>
      <c r="N924" s="65">
        <f>6532*1000000</f>
        <v>6532000000</v>
      </c>
      <c r="O924" s="66">
        <v>0.77390000000000003</v>
      </c>
      <c r="P924" s="67" t="s">
        <v>270</v>
      </c>
      <c r="Q924" s="65">
        <v>2</v>
      </c>
      <c r="R924" s="65">
        <v>4</v>
      </c>
      <c r="S924" s="65">
        <v>4</v>
      </c>
      <c r="T924" s="65">
        <f t="shared" si="84"/>
        <v>8</v>
      </c>
      <c r="U924" s="68">
        <v>0</v>
      </c>
      <c r="V924" s="65">
        <f>4+(2*2)</f>
        <v>8</v>
      </c>
      <c r="W924" s="65">
        <f t="shared" si="82"/>
        <v>8</v>
      </c>
      <c r="X924" s="65">
        <f>4+2</f>
        <v>6</v>
      </c>
      <c r="Y924" s="64"/>
    </row>
    <row r="925" spans="1:25" s="54" customFormat="1" ht="15" customHeight="1" x14ac:dyDescent="0.3">
      <c r="A925" s="63"/>
      <c r="B925" s="64"/>
      <c r="C925" s="55"/>
      <c r="D925" s="64">
        <v>2024</v>
      </c>
      <c r="E925" s="65">
        <f>8710*1000000</f>
        <v>8710000000</v>
      </c>
      <c r="F925" s="65">
        <f>(8710+70753+26839+1575+10824+10286+124026)*1000000</f>
        <v>253013000000</v>
      </c>
      <c r="G925" s="65">
        <f>573438*1000000</f>
        <v>573438000000</v>
      </c>
      <c r="H925" s="65">
        <f>(246340-462-2813)*1000000</f>
        <v>243065000000</v>
      </c>
      <c r="I925" s="65">
        <f>246340*1000000</f>
        <v>246340000000</v>
      </c>
      <c r="J925" s="65">
        <f>90488*1000000</f>
        <v>90488000000</v>
      </c>
      <c r="K925" s="65">
        <f>327097*1000000</f>
        <v>327097000000</v>
      </c>
      <c r="L925" s="65">
        <f>104448*1000000</f>
        <v>104448000000</v>
      </c>
      <c r="M925" s="65">
        <f>4157*1000000</f>
        <v>4157000000</v>
      </c>
      <c r="N925" s="65">
        <f>2724*1000000</f>
        <v>2724000000</v>
      </c>
      <c r="O925" s="66">
        <v>0.77390000000000003</v>
      </c>
      <c r="P925" s="67" t="s">
        <v>270</v>
      </c>
      <c r="Q925" s="65">
        <v>2</v>
      </c>
      <c r="R925" s="65">
        <v>4</v>
      </c>
      <c r="S925" s="65">
        <v>4</v>
      </c>
      <c r="T925" s="65">
        <f t="shared" si="84"/>
        <v>8</v>
      </c>
      <c r="U925" s="68">
        <v>0</v>
      </c>
      <c r="V925" s="65">
        <f>4+(2*3)</f>
        <v>10</v>
      </c>
      <c r="W925" s="65">
        <f t="shared" si="82"/>
        <v>10</v>
      </c>
      <c r="X925" s="65">
        <f>4+(2*3)</f>
        <v>10</v>
      </c>
      <c r="Y925" s="64"/>
    </row>
    <row r="926" spans="1:25" s="54" customFormat="1" ht="15" customHeight="1" x14ac:dyDescent="0.3">
      <c r="A926" s="63"/>
      <c r="B926" s="64">
        <v>85</v>
      </c>
      <c r="C926" s="55" t="s">
        <v>99</v>
      </c>
      <c r="D926" s="64">
        <v>2014</v>
      </c>
      <c r="E926" s="65">
        <v>0</v>
      </c>
      <c r="F926" s="65">
        <v>0</v>
      </c>
      <c r="G926" s="65">
        <v>0</v>
      </c>
      <c r="H926" s="65">
        <v>0</v>
      </c>
      <c r="I926" s="65">
        <v>0</v>
      </c>
      <c r="J926" s="65">
        <v>0</v>
      </c>
      <c r="K926" s="65">
        <v>0</v>
      </c>
      <c r="L926" s="65">
        <f>627851*1000000</f>
        <v>627851000000</v>
      </c>
      <c r="M926" s="65">
        <v>0</v>
      </c>
      <c r="N926" s="65">
        <v>0</v>
      </c>
      <c r="O926" s="65">
        <v>0</v>
      </c>
      <c r="P926" s="65">
        <v>0</v>
      </c>
      <c r="Q926" s="65">
        <v>0</v>
      </c>
      <c r="R926" s="65">
        <v>0</v>
      </c>
      <c r="S926" s="65">
        <v>0</v>
      </c>
      <c r="T926" s="65">
        <v>0</v>
      </c>
      <c r="U926" s="65">
        <v>0</v>
      </c>
      <c r="V926" s="65">
        <v>0</v>
      </c>
      <c r="W926" s="65">
        <v>0</v>
      </c>
      <c r="X926" s="65">
        <v>0</v>
      </c>
      <c r="Y926" s="64"/>
    </row>
    <row r="927" spans="1:25" s="54" customFormat="1" ht="15" customHeight="1" x14ac:dyDescent="0.3">
      <c r="A927" s="63"/>
      <c r="B927" s="64"/>
      <c r="C927" s="55"/>
      <c r="D927" s="64">
        <v>2015</v>
      </c>
      <c r="E927" s="65">
        <f>78169*1000000</f>
        <v>78169000000</v>
      </c>
      <c r="F927" s="65">
        <f>(78169+58927+79395+117673+100344+122350)*1000000</f>
        <v>556858000000</v>
      </c>
      <c r="G927" s="65">
        <f>1561827*1000000</f>
        <v>1561827000000</v>
      </c>
      <c r="H927" s="65">
        <f>(857350-17484)*1000000</f>
        <v>839866000000</v>
      </c>
      <c r="I927" s="65">
        <f>857350*1000000</f>
        <v>857350000000</v>
      </c>
      <c r="J927" s="65">
        <f>(508526+106419)*1000000</f>
        <v>614945000000</v>
      </c>
      <c r="K927" s="65">
        <f>704477*1000000</f>
        <v>704477000000</v>
      </c>
      <c r="L927" s="65">
        <f>721935*1000000</f>
        <v>721935000000</v>
      </c>
      <c r="M927" s="65">
        <f>128315*1000000</f>
        <v>128315000000</v>
      </c>
      <c r="N927" s="65">
        <f>101580*1000000</f>
        <v>101580000000</v>
      </c>
      <c r="O927" s="66">
        <v>0.93799999999999994</v>
      </c>
      <c r="P927" s="67" t="s">
        <v>271</v>
      </c>
      <c r="Q927" s="65">
        <v>1</v>
      </c>
      <c r="R927" s="65">
        <v>4</v>
      </c>
      <c r="S927" s="65">
        <v>4</v>
      </c>
      <c r="T927" s="65">
        <f>SUM(R927:S927)</f>
        <v>8</v>
      </c>
      <c r="U927" s="68">
        <v>0</v>
      </c>
      <c r="V927" s="65">
        <f>4+(2*2)</f>
        <v>8</v>
      </c>
      <c r="W927" s="65">
        <f t="shared" si="82"/>
        <v>8</v>
      </c>
      <c r="X927" s="65">
        <f>4+(2*3)</f>
        <v>10</v>
      </c>
      <c r="Y927" s="64"/>
    </row>
    <row r="928" spans="1:25" s="54" customFormat="1" ht="15" customHeight="1" x14ac:dyDescent="0.3">
      <c r="A928" s="63"/>
      <c r="B928" s="64"/>
      <c r="C928" s="55"/>
      <c r="D928" s="64">
        <v>2016</v>
      </c>
      <c r="E928" s="65">
        <f>71830*1000000</f>
        <v>71830000000</v>
      </c>
      <c r="F928" s="65">
        <f>(71830+69734+88555+161447+56626+159999)*1000000</f>
        <v>608191000000</v>
      </c>
      <c r="G928" s="65">
        <f>1616165*1000000</f>
        <v>1616165000000</v>
      </c>
      <c r="H928" s="65">
        <f>(867760-22622)*1000000</f>
        <v>845138000000</v>
      </c>
      <c r="I928" s="65">
        <f>867760*1000000</f>
        <v>867760000000</v>
      </c>
      <c r="J928" s="65">
        <f>(602849+58256)*1000000</f>
        <v>661105000000</v>
      </c>
      <c r="K928" s="65">
        <f>748405*1000000</f>
        <v>748405000000</v>
      </c>
      <c r="L928" s="65">
        <f>633995*1000000</f>
        <v>633995000000</v>
      </c>
      <c r="M928" s="65">
        <f>71223*1000000</f>
        <v>71223000000</v>
      </c>
      <c r="N928" s="65">
        <f>62049*1000000</f>
        <v>62049000000</v>
      </c>
      <c r="O928" s="66">
        <v>0.93799999999999994</v>
      </c>
      <c r="P928" s="67" t="s">
        <v>271</v>
      </c>
      <c r="Q928" s="65">
        <v>1</v>
      </c>
      <c r="R928" s="65">
        <v>4</v>
      </c>
      <c r="S928" s="65">
        <v>4</v>
      </c>
      <c r="T928" s="65">
        <f t="shared" ref="T928:T936" si="85">SUM(R928:S928)</f>
        <v>8</v>
      </c>
      <c r="U928" s="68">
        <v>0</v>
      </c>
      <c r="V928" s="65">
        <f>4+(2*2)</f>
        <v>8</v>
      </c>
      <c r="W928" s="65">
        <f t="shared" si="82"/>
        <v>8</v>
      </c>
      <c r="X928" s="65">
        <f>4+(2*3)</f>
        <v>10</v>
      </c>
      <c r="Y928" s="64"/>
    </row>
    <row r="929" spans="1:25" s="54" customFormat="1" ht="15" customHeight="1" x14ac:dyDescent="0.3">
      <c r="A929" s="63"/>
      <c r="B929" s="64"/>
      <c r="C929" s="55"/>
      <c r="D929" s="64">
        <v>2017</v>
      </c>
      <c r="E929" s="65">
        <f>97285*1000000</f>
        <v>97285000000</v>
      </c>
      <c r="F929" s="65">
        <f>(97285+69327+10208+411301+74008+1246)*1000000</f>
        <v>663375000000</v>
      </c>
      <c r="G929" s="65">
        <f>1972319*1000000</f>
        <v>1972319000000</v>
      </c>
      <c r="H929" s="69">
        <f>149256*1000000</f>
        <v>149256000000</v>
      </c>
      <c r="I929" s="65">
        <f>1122332*1000000</f>
        <v>1122332000000</v>
      </c>
      <c r="J929" s="65">
        <f>755656*1000000</f>
        <v>755656000000</v>
      </c>
      <c r="K929" s="65">
        <f>849987*1000000</f>
        <v>849987000000</v>
      </c>
      <c r="L929" s="65">
        <f>530488*1000000</f>
        <v>530488000000</v>
      </c>
      <c r="M929" s="65">
        <f>138498*1000000</f>
        <v>138498000000</v>
      </c>
      <c r="N929" s="65">
        <f>112228*1000000</f>
        <v>112228000000</v>
      </c>
      <c r="O929" s="66">
        <v>0.93799999999999994</v>
      </c>
      <c r="P929" s="67" t="s">
        <v>271</v>
      </c>
      <c r="Q929" s="65">
        <v>1</v>
      </c>
      <c r="R929" s="65">
        <v>3</v>
      </c>
      <c r="S929" s="65">
        <v>4</v>
      </c>
      <c r="T929" s="65">
        <f t="shared" si="85"/>
        <v>7</v>
      </c>
      <c r="U929" s="68">
        <v>0</v>
      </c>
      <c r="V929" s="65">
        <f>3+(2*2)</f>
        <v>7</v>
      </c>
      <c r="W929" s="65">
        <f t="shared" si="82"/>
        <v>7</v>
      </c>
      <c r="X929" s="65">
        <f>4+(2*3)</f>
        <v>10</v>
      </c>
      <c r="Y929" s="64"/>
    </row>
    <row r="930" spans="1:25" s="54" customFormat="1" ht="15" customHeight="1" x14ac:dyDescent="0.3">
      <c r="A930" s="63"/>
      <c r="B930" s="64"/>
      <c r="C930" s="55"/>
      <c r="D930" s="64">
        <v>2018</v>
      </c>
      <c r="E930" s="65">
        <f>90099*1000000</f>
        <v>90099000000</v>
      </c>
      <c r="F930" s="65">
        <f>(90099+143177+11964+479964+75828+2474)*1000000</f>
        <v>803506000000</v>
      </c>
      <c r="G930" s="65">
        <f>2152910*1000000</f>
        <v>2152910000000</v>
      </c>
      <c r="H930" s="65">
        <f>262242*1000000</f>
        <v>262242000000</v>
      </c>
      <c r="I930" s="65">
        <f>1237414*1000000</f>
        <v>1237414000000</v>
      </c>
      <c r="J930" s="65">
        <f>837334*1000000</f>
        <v>837334000000</v>
      </c>
      <c r="K930" s="65">
        <f>915495*1000000</f>
        <v>915495000000</v>
      </c>
      <c r="L930" s="65">
        <f>649694*1000000</f>
        <v>649694000000</v>
      </c>
      <c r="M930" s="65">
        <f>119447*1000000</f>
        <v>119447000000</v>
      </c>
      <c r="N930" s="65">
        <f>77533*1000000</f>
        <v>77533000000</v>
      </c>
      <c r="O930" s="66">
        <v>0.93799999999999994</v>
      </c>
      <c r="P930" s="67" t="s">
        <v>271</v>
      </c>
      <c r="Q930" s="65">
        <v>1</v>
      </c>
      <c r="R930" s="65">
        <v>3</v>
      </c>
      <c r="S930" s="65">
        <v>4</v>
      </c>
      <c r="T930" s="65">
        <f t="shared" si="85"/>
        <v>7</v>
      </c>
      <c r="U930" s="68">
        <v>0</v>
      </c>
      <c r="V930" s="65">
        <f>3+(2*2)</f>
        <v>7</v>
      </c>
      <c r="W930" s="65">
        <f t="shared" si="82"/>
        <v>7</v>
      </c>
      <c r="X930" s="65">
        <f>4+(2*4)</f>
        <v>12</v>
      </c>
      <c r="Y930" s="64"/>
    </row>
    <row r="931" spans="1:25" s="54" customFormat="1" ht="15" customHeight="1" x14ac:dyDescent="0.3">
      <c r="A931" s="63"/>
      <c r="B931" s="64"/>
      <c r="C931" s="55"/>
      <c r="D931" s="64">
        <v>2019</v>
      </c>
      <c r="E931" s="65">
        <f>128503*1000000</f>
        <v>128503000000</v>
      </c>
      <c r="F931" s="65">
        <f>(128503+185431+14983+978321+69093+5196)*1000000</f>
        <v>1381527000000</v>
      </c>
      <c r="G931" s="65">
        <f>3001696*1000000</f>
        <v>3001696000000</v>
      </c>
      <c r="H931" s="65">
        <f>402832*1000000</f>
        <v>402832000000</v>
      </c>
      <c r="I931" s="65">
        <f>1977319*1000000</f>
        <v>1977319000000</v>
      </c>
      <c r="J931" s="65">
        <f>936716*1000000</f>
        <v>936716000000</v>
      </c>
      <c r="K931" s="65">
        <f>1024377*1000000</f>
        <v>1024377000000</v>
      </c>
      <c r="L931" s="65">
        <f>672644*1000000</f>
        <v>672644000000</v>
      </c>
      <c r="M931" s="65">
        <f>148287*1000000</f>
        <v>148287000000</v>
      </c>
      <c r="N931" s="65">
        <f>129057*1000000</f>
        <v>129057000000</v>
      </c>
      <c r="O931" s="66">
        <v>0.93799999999999994</v>
      </c>
      <c r="P931" s="67" t="s">
        <v>271</v>
      </c>
      <c r="Q931" s="65">
        <v>1</v>
      </c>
      <c r="R931" s="65">
        <v>3</v>
      </c>
      <c r="S931" s="65">
        <v>4</v>
      </c>
      <c r="T931" s="65">
        <f t="shared" si="85"/>
        <v>7</v>
      </c>
      <c r="U931" s="68">
        <v>0</v>
      </c>
      <c r="V931" s="65">
        <f>3+(2*2)</f>
        <v>7</v>
      </c>
      <c r="W931" s="65">
        <f t="shared" si="82"/>
        <v>7</v>
      </c>
      <c r="X931" s="65">
        <f>4+(2*4)</f>
        <v>12</v>
      </c>
      <c r="Y931" s="64"/>
    </row>
    <row r="932" spans="1:25" s="54" customFormat="1" ht="15" customHeight="1" x14ac:dyDescent="0.3">
      <c r="A932" s="63"/>
      <c r="B932" s="64"/>
      <c r="C932" s="55"/>
      <c r="D932" s="64">
        <v>2020</v>
      </c>
      <c r="E932" s="65">
        <f>197973*1000000</f>
        <v>197973000000</v>
      </c>
      <c r="F932" s="65">
        <f>(197973+149589+19707+1178893+6431+73573+2534)*1000000</f>
        <v>1628700000000</v>
      </c>
      <c r="G932" s="65">
        <f>3337722*1000000</f>
        <v>3337722000000</v>
      </c>
      <c r="H932" s="65">
        <f>390634*1000000</f>
        <v>390634000000</v>
      </c>
      <c r="I932" s="65">
        <f>2249497*1000000</f>
        <v>2249497000000</v>
      </c>
      <c r="J932" s="65">
        <f>984563*1000000</f>
        <v>984563000000</v>
      </c>
      <c r="K932" s="65">
        <f>1088225*1000000</f>
        <v>1088225000000</v>
      </c>
      <c r="L932" s="65">
        <f>592879*1000000</f>
        <v>592879000000</v>
      </c>
      <c r="M932" s="65">
        <f>72645*1000000</f>
        <v>72645000000</v>
      </c>
      <c r="N932" s="65">
        <f>70258*1000000</f>
        <v>70258000000</v>
      </c>
      <c r="O932" s="66">
        <v>0.93799999999999994</v>
      </c>
      <c r="P932" s="67" t="s">
        <v>271</v>
      </c>
      <c r="Q932" s="65">
        <v>2</v>
      </c>
      <c r="R932" s="65">
        <v>4</v>
      </c>
      <c r="S932" s="65">
        <v>4</v>
      </c>
      <c r="T932" s="65">
        <f t="shared" si="85"/>
        <v>8</v>
      </c>
      <c r="U932" s="68">
        <v>0</v>
      </c>
      <c r="V932" s="65">
        <f>4+(2*4)</f>
        <v>12</v>
      </c>
      <c r="W932" s="65">
        <f t="shared" si="82"/>
        <v>12</v>
      </c>
      <c r="X932" s="65">
        <f>4+(2*4)</f>
        <v>12</v>
      </c>
      <c r="Y932" s="64"/>
    </row>
    <row r="933" spans="1:25" s="54" customFormat="1" ht="15" customHeight="1" x14ac:dyDescent="0.3">
      <c r="A933" s="63"/>
      <c r="B933" s="64"/>
      <c r="C933" s="55"/>
      <c r="D933" s="64">
        <v>2021</v>
      </c>
      <c r="E933" s="65">
        <f>118678*1000000</f>
        <v>118678000000</v>
      </c>
      <c r="F933" s="65">
        <f>(118678+179526+16059+1119295+75287+6003)*1000000</f>
        <v>1514848000000</v>
      </c>
      <c r="G933" s="65">
        <f>3327804*1000000</f>
        <v>3327804000000</v>
      </c>
      <c r="H933" s="65">
        <f>354040*1000000</f>
        <v>354040000000</v>
      </c>
      <c r="I933" s="65">
        <f>2187167*1000000</f>
        <v>2187167000000</v>
      </c>
      <c r="J933" s="65">
        <f>1064883*1000000</f>
        <v>1064883000000</v>
      </c>
      <c r="K933" s="65">
        <f>1140637*1000000</f>
        <v>1140637000000</v>
      </c>
      <c r="L933" s="65">
        <f>607975*1000000</f>
        <v>607975000000</v>
      </c>
      <c r="M933" s="65">
        <f>71404*1000000</f>
        <v>71404000000</v>
      </c>
      <c r="N933" s="65">
        <f>38628*1000000</f>
        <v>38628000000</v>
      </c>
      <c r="O933" s="66">
        <v>0.93799999999999994</v>
      </c>
      <c r="P933" s="67" t="s">
        <v>271</v>
      </c>
      <c r="Q933" s="65">
        <v>2</v>
      </c>
      <c r="R933" s="65">
        <v>4</v>
      </c>
      <c r="S933" s="65">
        <v>4</v>
      </c>
      <c r="T933" s="65">
        <f t="shared" si="85"/>
        <v>8</v>
      </c>
      <c r="U933" s="68">
        <v>0</v>
      </c>
      <c r="V933" s="65">
        <f>4+(2*4)</f>
        <v>12</v>
      </c>
      <c r="W933" s="65">
        <f t="shared" si="82"/>
        <v>12</v>
      </c>
      <c r="X933" s="65">
        <f>4+(3*2)</f>
        <v>10</v>
      </c>
      <c r="Y933" s="64"/>
    </row>
    <row r="934" spans="1:25" s="54" customFormat="1" ht="15" customHeight="1" x14ac:dyDescent="0.3">
      <c r="A934" s="63"/>
      <c r="B934" s="64"/>
      <c r="C934" s="55"/>
      <c r="D934" s="64">
        <v>2022</v>
      </c>
      <c r="E934" s="65">
        <f>333107*1000000</f>
        <v>333107000000</v>
      </c>
      <c r="F934" s="65">
        <f>(333107+176210+24590+1254528+142718)*1000000</f>
        <v>1931153000000</v>
      </c>
      <c r="G934" s="65">
        <f>3595146*1000000</f>
        <v>3595146000000</v>
      </c>
      <c r="H934" s="65">
        <f>442158*1000000</f>
        <v>442158000000</v>
      </c>
      <c r="I934" s="65">
        <f>2393678*1000000</f>
        <v>2393678000000</v>
      </c>
      <c r="J934" s="65">
        <f>1148968*1000000</f>
        <v>1148968000000</v>
      </c>
      <c r="K934" s="65">
        <f>1201468*1000000</f>
        <v>1201468000000</v>
      </c>
      <c r="L934" s="65">
        <f>685776*1000000</f>
        <v>685776000000</v>
      </c>
      <c r="M934" s="65">
        <f>106775*1000000</f>
        <v>106775000000</v>
      </c>
      <c r="N934" s="65">
        <f>70208*1000000</f>
        <v>70208000000</v>
      </c>
      <c r="O934" s="66">
        <v>0.93799999999999994</v>
      </c>
      <c r="P934" s="67" t="s">
        <v>271</v>
      </c>
      <c r="Q934" s="65">
        <v>2</v>
      </c>
      <c r="R934" s="65">
        <v>4</v>
      </c>
      <c r="S934" s="65">
        <v>4</v>
      </c>
      <c r="T934" s="65">
        <f t="shared" si="85"/>
        <v>8</v>
      </c>
      <c r="U934" s="68">
        <v>0</v>
      </c>
      <c r="V934" s="65">
        <f>4+(2*4)</f>
        <v>12</v>
      </c>
      <c r="W934" s="65">
        <f t="shared" si="82"/>
        <v>12</v>
      </c>
      <c r="X934" s="65">
        <f>4+(3*2)</f>
        <v>10</v>
      </c>
      <c r="Y934" s="64"/>
    </row>
    <row r="935" spans="1:25" s="54" customFormat="1" ht="15" customHeight="1" x14ac:dyDescent="0.3">
      <c r="A935" s="63"/>
      <c r="B935" s="64"/>
      <c r="C935" s="55"/>
      <c r="D935" s="64">
        <v>2023</v>
      </c>
      <c r="E935" s="65">
        <f>534740*1000000</f>
        <v>534740000000</v>
      </c>
      <c r="F935" s="65">
        <f>(534740+199606+15507+1321162+216389)*1000000</f>
        <v>2287404000000</v>
      </c>
      <c r="G935" s="65">
        <f>4115086*1000000</f>
        <v>4115086000000</v>
      </c>
      <c r="H935" s="65">
        <f>787043*1000000</f>
        <v>787043000000</v>
      </c>
      <c r="I935" s="65">
        <f>2796593*1000000</f>
        <v>2796593000000</v>
      </c>
      <c r="J935" s="65">
        <f>1264219*1000000</f>
        <v>1264219000000</v>
      </c>
      <c r="K935" s="65">
        <f>1318493*1000000</f>
        <v>1318493000000</v>
      </c>
      <c r="L935" s="65">
        <f>821741*1000000</f>
        <v>821741000000</v>
      </c>
      <c r="M935" s="65">
        <f>151385*1000000</f>
        <v>151385000000</v>
      </c>
      <c r="N935" s="65">
        <f>125684*1000000</f>
        <v>125684000000</v>
      </c>
      <c r="O935" s="66">
        <v>0.93799999999999994</v>
      </c>
      <c r="P935" s="67" t="s">
        <v>271</v>
      </c>
      <c r="Q935" s="65">
        <v>2</v>
      </c>
      <c r="R935" s="65">
        <v>3</v>
      </c>
      <c r="S935" s="65">
        <v>4</v>
      </c>
      <c r="T935" s="65">
        <f t="shared" si="85"/>
        <v>7</v>
      </c>
      <c r="U935" s="68">
        <v>0</v>
      </c>
      <c r="V935" s="65">
        <f>3+(2*3)</f>
        <v>9</v>
      </c>
      <c r="W935" s="65">
        <f t="shared" si="82"/>
        <v>9</v>
      </c>
      <c r="X935" s="65">
        <f>4+(2*3)</f>
        <v>10</v>
      </c>
      <c r="Y935" s="64"/>
    </row>
    <row r="936" spans="1:25" s="54" customFormat="1" ht="15" customHeight="1" x14ac:dyDescent="0.3">
      <c r="A936" s="63"/>
      <c r="B936" s="64"/>
      <c r="C936" s="55"/>
      <c r="D936" s="64">
        <v>2024</v>
      </c>
      <c r="E936" s="65">
        <f>422746*1000000</f>
        <v>422746000000</v>
      </c>
      <c r="F936" s="65">
        <f>(422746+284660+28742+1156722+222314+8747)*1000000</f>
        <v>2123931000000</v>
      </c>
      <c r="G936" s="65">
        <f>4320584*1000000</f>
        <v>4320584000000</v>
      </c>
      <c r="H936" s="65">
        <f>1041274*1000000</f>
        <v>1041274000000</v>
      </c>
      <c r="I936" s="65">
        <f>2891027*1000000</f>
        <v>2891027000000</v>
      </c>
      <c r="J936" s="65">
        <f>1413710*1000000</f>
        <v>1413710000000</v>
      </c>
      <c r="K936" s="65">
        <f>1429557*1000000</f>
        <v>1429557000000</v>
      </c>
      <c r="L936" s="65">
        <f>813904*1000000</f>
        <v>813904000000</v>
      </c>
      <c r="M936" s="65">
        <f>187817*1000000</f>
        <v>187817000000</v>
      </c>
      <c r="N936" s="65">
        <f>124293*1000000</f>
        <v>124293000000</v>
      </c>
      <c r="O936" s="66">
        <v>0.93799999999999994</v>
      </c>
      <c r="P936" s="67" t="s">
        <v>271</v>
      </c>
      <c r="Q936" s="65">
        <v>2</v>
      </c>
      <c r="R936" s="65">
        <v>4</v>
      </c>
      <c r="S936" s="65">
        <v>4</v>
      </c>
      <c r="T936" s="65">
        <f t="shared" si="85"/>
        <v>8</v>
      </c>
      <c r="U936" s="68">
        <v>0</v>
      </c>
      <c r="V936" s="65">
        <f>4+(2*4)</f>
        <v>12</v>
      </c>
      <c r="W936" s="65">
        <f t="shared" si="82"/>
        <v>12</v>
      </c>
      <c r="X936" s="65" t="s">
        <v>205</v>
      </c>
      <c r="Y936" s="64"/>
    </row>
    <row r="937" spans="1:25" s="54" customFormat="1" ht="15" customHeight="1" x14ac:dyDescent="0.3">
      <c r="A937" s="63"/>
      <c r="B937" s="64">
        <v>86</v>
      </c>
      <c r="C937" s="76" t="s">
        <v>132</v>
      </c>
      <c r="D937" s="64">
        <v>2014</v>
      </c>
      <c r="E937" s="65">
        <v>0</v>
      </c>
      <c r="F937" s="65">
        <v>0</v>
      </c>
      <c r="G937" s="65">
        <v>0</v>
      </c>
      <c r="H937" s="65">
        <v>0</v>
      </c>
      <c r="I937" s="65">
        <v>0</v>
      </c>
      <c r="J937" s="65">
        <v>0</v>
      </c>
      <c r="K937" s="65">
        <v>0</v>
      </c>
      <c r="L937" s="65">
        <v>0</v>
      </c>
      <c r="M937" s="65">
        <v>0</v>
      </c>
      <c r="N937" s="65">
        <v>0</v>
      </c>
      <c r="O937" s="65">
        <v>0</v>
      </c>
      <c r="P937" s="65">
        <v>0</v>
      </c>
      <c r="Q937" s="65">
        <v>0</v>
      </c>
      <c r="R937" s="65">
        <v>0</v>
      </c>
      <c r="S937" s="65">
        <v>0</v>
      </c>
      <c r="T937" s="65">
        <v>0</v>
      </c>
      <c r="U937" s="65">
        <v>0</v>
      </c>
      <c r="V937" s="65">
        <v>0</v>
      </c>
      <c r="W937" s="65">
        <v>0</v>
      </c>
      <c r="X937" s="65">
        <v>0</v>
      </c>
      <c r="Y937" s="64"/>
    </row>
    <row r="938" spans="1:25" s="54" customFormat="1" ht="15" customHeight="1" x14ac:dyDescent="0.3">
      <c r="A938" s="63"/>
      <c r="B938" s="64"/>
      <c r="C938" s="76"/>
      <c r="D938" s="64">
        <v>2015</v>
      </c>
      <c r="E938" s="65">
        <v>0</v>
      </c>
      <c r="F938" s="65">
        <v>0</v>
      </c>
      <c r="G938" s="65">
        <v>0</v>
      </c>
      <c r="H938" s="65">
        <v>0</v>
      </c>
      <c r="I938" s="65">
        <v>0</v>
      </c>
      <c r="J938" s="65">
        <v>0</v>
      </c>
      <c r="K938" s="65">
        <v>0</v>
      </c>
      <c r="L938" s="65">
        <v>0</v>
      </c>
      <c r="M938" s="65">
        <v>0</v>
      </c>
      <c r="N938" s="65">
        <v>0</v>
      </c>
      <c r="O938" s="65">
        <v>0</v>
      </c>
      <c r="P938" s="65">
        <v>0</v>
      </c>
      <c r="Q938" s="65">
        <v>0</v>
      </c>
      <c r="R938" s="65">
        <v>0</v>
      </c>
      <c r="S938" s="65">
        <v>0</v>
      </c>
      <c r="T938" s="65">
        <v>0</v>
      </c>
      <c r="U938" s="65">
        <v>0</v>
      </c>
      <c r="V938" s="65">
        <v>0</v>
      </c>
      <c r="W938" s="65">
        <v>0</v>
      </c>
      <c r="X938" s="65">
        <v>0</v>
      </c>
      <c r="Y938" s="64"/>
    </row>
    <row r="939" spans="1:25" s="54" customFormat="1" ht="15" customHeight="1" x14ac:dyDescent="0.3">
      <c r="A939" s="63"/>
      <c r="B939" s="64"/>
      <c r="C939" s="76"/>
      <c r="D939" s="64">
        <v>2016</v>
      </c>
      <c r="E939" s="65">
        <f>15239*1000000</f>
        <v>15239000000</v>
      </c>
      <c r="F939" s="65">
        <f>(15239+35140+1166)*1000000</f>
        <v>51545000000</v>
      </c>
      <c r="G939" s="65">
        <f>259049*1000000</f>
        <v>259049000000</v>
      </c>
      <c r="H939" s="65">
        <f>(12564+465+9029+4734+33989)*1000000</f>
        <v>60781000000</v>
      </c>
      <c r="I939" s="65">
        <f>143626*1000000</f>
        <v>143626000000</v>
      </c>
      <c r="J939" s="65">
        <f>12722*1000000</f>
        <v>12722000000</v>
      </c>
      <c r="K939" s="65">
        <f>87541*1000000</f>
        <v>87541000000</v>
      </c>
      <c r="L939" s="65">
        <f>70555*1000000</f>
        <v>70555000000</v>
      </c>
      <c r="M939" s="65">
        <f>17398*1000000</f>
        <v>17398000000</v>
      </c>
      <c r="N939" s="65">
        <f>12722*1000000</f>
        <v>12722000000</v>
      </c>
      <c r="O939" s="66">
        <v>0.95499999999999996</v>
      </c>
      <c r="P939" s="67" t="s">
        <v>98</v>
      </c>
      <c r="Q939" s="65">
        <v>0</v>
      </c>
      <c r="R939" s="65">
        <v>3</v>
      </c>
      <c r="S939" s="65">
        <v>3</v>
      </c>
      <c r="T939" s="65">
        <f>SUM(R939:S939)</f>
        <v>6</v>
      </c>
      <c r="U939" s="68">
        <v>0</v>
      </c>
      <c r="V939" s="65">
        <f>3</f>
        <v>3</v>
      </c>
      <c r="W939" s="65">
        <f t="shared" si="82"/>
        <v>3</v>
      </c>
      <c r="X939" s="65">
        <f>3+(2*3)</f>
        <v>9</v>
      </c>
      <c r="Y939" s="64"/>
    </row>
    <row r="940" spans="1:25" s="54" customFormat="1" ht="15" customHeight="1" x14ac:dyDescent="0.3">
      <c r="A940" s="63"/>
      <c r="B940" s="64"/>
      <c r="C940" s="76"/>
      <c r="D940" s="64">
        <v>2017</v>
      </c>
      <c r="E940" s="65">
        <f>9439*1000000</f>
        <v>9439000000</v>
      </c>
      <c r="F940" s="65">
        <f>(9439+30326+12285)*1000000</f>
        <v>52050000000</v>
      </c>
      <c r="G940" s="65">
        <f>262108*1000000</f>
        <v>262108000000</v>
      </c>
      <c r="H940" s="65">
        <f>(13691+2508+5753+482+354+24062)*1000000</f>
        <v>46850000000</v>
      </c>
      <c r="I940" s="65">
        <f>134857*1000000</f>
        <v>134857000000</v>
      </c>
      <c r="J940" s="65">
        <f>1088*1000000</f>
        <v>1088000000</v>
      </c>
      <c r="K940" s="65">
        <f>95137*1000000</f>
        <v>95137000000</v>
      </c>
      <c r="L940" s="65">
        <f>60036*1000000</f>
        <v>60036000000</v>
      </c>
      <c r="M940" s="65">
        <f>1272*1000000</f>
        <v>1272000000</v>
      </c>
      <c r="N940" s="65">
        <f>3753*1000000</f>
        <v>3753000000</v>
      </c>
      <c r="O940" s="66">
        <v>0.96499999999999997</v>
      </c>
      <c r="P940" s="67" t="s">
        <v>98</v>
      </c>
      <c r="Q940" s="65">
        <v>2</v>
      </c>
      <c r="R940" s="65">
        <v>3</v>
      </c>
      <c r="S940" s="65">
        <v>3</v>
      </c>
      <c r="T940" s="65">
        <f t="shared" ref="T940:T947" si="86">SUM(R940:S940)</f>
        <v>6</v>
      </c>
      <c r="U940" s="68">
        <v>0</v>
      </c>
      <c r="V940" s="65">
        <v>3</v>
      </c>
      <c r="W940" s="65">
        <f t="shared" si="82"/>
        <v>3</v>
      </c>
      <c r="X940" s="65">
        <f>3+(2*3)</f>
        <v>9</v>
      </c>
      <c r="Y940" s="64"/>
    </row>
    <row r="941" spans="1:25" s="54" customFormat="1" ht="15" customHeight="1" x14ac:dyDescent="0.3">
      <c r="A941" s="63"/>
      <c r="B941" s="64"/>
      <c r="C941" s="76"/>
      <c r="D941" s="64">
        <v>2018</v>
      </c>
      <c r="E941" s="65">
        <f>4509*1000000</f>
        <v>4509000000</v>
      </c>
      <c r="F941" s="65">
        <f>(4509+43878+14191)*1000000</f>
        <v>62578000000</v>
      </c>
      <c r="G941" s="65">
        <f>256197*1000000</f>
        <v>256197000000</v>
      </c>
      <c r="H941" s="65">
        <f>(12514+3052+6781+634+76+46307)*1000000</f>
        <v>69364000000</v>
      </c>
      <c r="I941" s="65">
        <f>144562*1000000</f>
        <v>144562000000</v>
      </c>
      <c r="J941" s="65">
        <f>1591*1000000</f>
        <v>1591000000</v>
      </c>
      <c r="K941" s="65">
        <f>96280*1000000</f>
        <v>96280000000</v>
      </c>
      <c r="L941" s="65">
        <f>66707*1000000</f>
        <v>66707000000</v>
      </c>
      <c r="M941" s="65">
        <f>1385*1000000</f>
        <v>1385000000</v>
      </c>
      <c r="N941" s="65">
        <f>1591*1000000</f>
        <v>1591000000</v>
      </c>
      <c r="O941" s="66">
        <v>0.96499999999999997</v>
      </c>
      <c r="P941" s="67" t="s">
        <v>98</v>
      </c>
      <c r="Q941" s="65">
        <v>0</v>
      </c>
      <c r="R941" s="65">
        <v>2</v>
      </c>
      <c r="S941" s="65">
        <v>1</v>
      </c>
      <c r="T941" s="65">
        <f t="shared" si="86"/>
        <v>3</v>
      </c>
      <c r="U941" s="68">
        <v>0</v>
      </c>
      <c r="V941" s="65">
        <f>2</f>
        <v>2</v>
      </c>
      <c r="W941" s="65">
        <f t="shared" si="82"/>
        <v>2</v>
      </c>
      <c r="X941" s="65">
        <f>1+2+3</f>
        <v>6</v>
      </c>
      <c r="Y941" s="64"/>
    </row>
    <row r="942" spans="1:25" s="54" customFormat="1" ht="15" customHeight="1" x14ac:dyDescent="0.3">
      <c r="A942" s="63"/>
      <c r="B942" s="64"/>
      <c r="C942" s="76"/>
      <c r="D942" s="64">
        <v>2019</v>
      </c>
      <c r="E942" s="65">
        <f>9362*1000000</f>
        <v>9362000000</v>
      </c>
      <c r="F942" s="65">
        <f>(9362+81012+39574)*1000000</f>
        <v>129948000000</v>
      </c>
      <c r="G942" s="65">
        <f>300364*1000000</f>
        <v>300364000000</v>
      </c>
      <c r="H942" s="65">
        <f>(9887+791+7879+2499+273+71249)*1000000</f>
        <v>92578000000</v>
      </c>
      <c r="I942" s="65">
        <f>176045*1000000</f>
        <v>176045000000</v>
      </c>
      <c r="J942" s="65">
        <f>23681*1000000</f>
        <v>23681000000</v>
      </c>
      <c r="K942" s="65">
        <f>104117*1000000</f>
        <v>104117000000</v>
      </c>
      <c r="L942" s="65">
        <f>78835*1000000</f>
        <v>78835000000</v>
      </c>
      <c r="M942" s="65">
        <f>8540*1000000</f>
        <v>8540000000</v>
      </c>
      <c r="N942" s="65">
        <f>8279*1000000</f>
        <v>8279000000</v>
      </c>
      <c r="O942" s="66">
        <v>0.96499999999999997</v>
      </c>
      <c r="P942" s="67" t="s">
        <v>98</v>
      </c>
      <c r="Q942" s="65">
        <v>1</v>
      </c>
      <c r="R942" s="65">
        <v>2</v>
      </c>
      <c r="S942" s="65">
        <v>2</v>
      </c>
      <c r="T942" s="65">
        <f t="shared" si="86"/>
        <v>4</v>
      </c>
      <c r="U942" s="68">
        <v>0</v>
      </c>
      <c r="V942" s="65">
        <f>2+2</f>
        <v>4</v>
      </c>
      <c r="W942" s="65">
        <f t="shared" si="82"/>
        <v>4</v>
      </c>
      <c r="X942" s="65">
        <f>2+4+3</f>
        <v>9</v>
      </c>
      <c r="Y942" s="64"/>
    </row>
    <row r="943" spans="1:25" s="54" customFormat="1" ht="15" customHeight="1" x14ac:dyDescent="0.3">
      <c r="A943" s="63"/>
      <c r="B943" s="64"/>
      <c r="C943" s="76"/>
      <c r="D943" s="64">
        <v>2020</v>
      </c>
      <c r="E943" s="65">
        <f>6108*1000000</f>
        <v>6108000000</v>
      </c>
      <c r="F943" s="65">
        <f>(6108+94052+24980+1492+155501)*1000000</f>
        <v>282133000000</v>
      </c>
      <c r="G943" s="65">
        <f>462210*1000000</f>
        <v>462210000000</v>
      </c>
      <c r="H943" s="65">
        <f>(14423+12689+8250+3821+127+917+61547)*1000000</f>
        <v>101774000000</v>
      </c>
      <c r="I943" s="65">
        <f>414010*1000000</f>
        <v>414010000000</v>
      </c>
      <c r="J943" s="65">
        <f>-59055*1000000</f>
        <v>-59055000000</v>
      </c>
      <c r="K943" s="65">
        <f>31897*1000000</f>
        <v>31897000000</v>
      </c>
      <c r="L943" s="65">
        <f>82528*1000000</f>
        <v>82528000000</v>
      </c>
      <c r="M943" s="65">
        <f>3582*1000000</f>
        <v>3582000000</v>
      </c>
      <c r="N943" s="65">
        <f>7*1000000</f>
        <v>7000000</v>
      </c>
      <c r="O943" s="66">
        <v>0.96499999999999997</v>
      </c>
      <c r="P943" s="67" t="s">
        <v>98</v>
      </c>
      <c r="Q943" s="65">
        <v>2</v>
      </c>
      <c r="R943" s="65">
        <v>4</v>
      </c>
      <c r="S943" s="65">
        <v>4</v>
      </c>
      <c r="T943" s="65">
        <f t="shared" si="86"/>
        <v>8</v>
      </c>
      <c r="U943" s="68">
        <v>0</v>
      </c>
      <c r="V943" s="65">
        <v>0</v>
      </c>
      <c r="W943" s="65">
        <v>0</v>
      </c>
      <c r="X943" s="65">
        <v>0</v>
      </c>
      <c r="Y943" s="64"/>
    </row>
    <row r="944" spans="1:25" s="54" customFormat="1" ht="15" customHeight="1" x14ac:dyDescent="0.3">
      <c r="A944" s="63"/>
      <c r="B944" s="64"/>
      <c r="C944" s="76"/>
      <c r="D944" s="64">
        <v>2021</v>
      </c>
      <c r="E944" s="65">
        <f>10537*1000000</f>
        <v>10537000000</v>
      </c>
      <c r="F944" s="65">
        <f>(10537+83626+21767+45+154330)*1000000</f>
        <v>270305000000</v>
      </c>
      <c r="G944" s="65">
        <f>430360*1000000</f>
        <v>430360000000</v>
      </c>
      <c r="H944" s="65">
        <f>(18309+12117+7913+2106+347+917+59966)*1000000</f>
        <v>101675000000</v>
      </c>
      <c r="I944" s="65">
        <f>433870*1000000</f>
        <v>433870000000</v>
      </c>
      <c r="J944" s="65">
        <f>-52868*1000000</f>
        <v>-52868000000</v>
      </c>
      <c r="K944" s="65">
        <f>37602*1000000</f>
        <v>37602000000</v>
      </c>
      <c r="L944" s="65">
        <f>96647*1000000</f>
        <v>96647000000</v>
      </c>
      <c r="M944" s="65">
        <f>7379*1000000</f>
        <v>7379000000</v>
      </c>
      <c r="N944" s="65">
        <f>5785*1000000</f>
        <v>5785000000</v>
      </c>
      <c r="O944" s="66">
        <v>0.96499999999999997</v>
      </c>
      <c r="P944" s="67" t="s">
        <v>98</v>
      </c>
      <c r="Q944" s="65">
        <v>2</v>
      </c>
      <c r="R944" s="65">
        <v>3</v>
      </c>
      <c r="S944" s="65">
        <v>3</v>
      </c>
      <c r="T944" s="65">
        <f t="shared" si="86"/>
        <v>6</v>
      </c>
      <c r="U944" s="68">
        <v>0</v>
      </c>
      <c r="V944" s="65">
        <v>0</v>
      </c>
      <c r="W944" s="65">
        <v>0</v>
      </c>
      <c r="X944" s="65">
        <v>0</v>
      </c>
      <c r="Y944" s="64"/>
    </row>
    <row r="945" spans="1:25" s="54" customFormat="1" ht="15" customHeight="1" x14ac:dyDescent="0.3">
      <c r="A945" s="63"/>
      <c r="B945" s="64"/>
      <c r="C945" s="76"/>
      <c r="D945" s="64">
        <v>2022</v>
      </c>
      <c r="E945" s="65">
        <f>4486*1000000</f>
        <v>4486000000</v>
      </c>
      <c r="F945" s="65">
        <f>(4486+49711+5308+3+206673+19566+15197+2497)*1000000</f>
        <v>303441000000</v>
      </c>
      <c r="G945" s="65">
        <f>567878*1000000</f>
        <v>567878000000</v>
      </c>
      <c r="H945" s="65">
        <f>(22294+8446+11640+1410+777+917+64268)*1000000</f>
        <v>109752000000</v>
      </c>
      <c r="I945" s="65">
        <f>501977*1000000</f>
        <v>501977000000</v>
      </c>
      <c r="J945" s="65">
        <f>--38369*1000000</f>
        <v>38369000000</v>
      </c>
      <c r="K945" s="65">
        <f>52085*1000000</f>
        <v>52085000000</v>
      </c>
      <c r="L945" s="65">
        <f>106698*1000000</f>
        <v>106698000000</v>
      </c>
      <c r="M945" s="65">
        <f>18880*1000000</f>
        <v>18880000000</v>
      </c>
      <c r="N945" s="65">
        <f>14499*1000000</f>
        <v>14499000000</v>
      </c>
      <c r="O945" s="66">
        <v>0.96499999999999997</v>
      </c>
      <c r="P945" s="67" t="s">
        <v>98</v>
      </c>
      <c r="Q945" s="65">
        <v>2</v>
      </c>
      <c r="R945" s="65">
        <v>3</v>
      </c>
      <c r="S945" s="65">
        <v>4</v>
      </c>
      <c r="T945" s="65">
        <f t="shared" si="86"/>
        <v>7</v>
      </c>
      <c r="U945" s="68">
        <v>0</v>
      </c>
      <c r="V945" s="65">
        <v>0</v>
      </c>
      <c r="W945" s="65">
        <v>0</v>
      </c>
      <c r="X945" s="65">
        <v>0</v>
      </c>
      <c r="Y945" s="64"/>
    </row>
    <row r="946" spans="1:25" s="54" customFormat="1" ht="15" customHeight="1" x14ac:dyDescent="0.3">
      <c r="A946" s="63"/>
      <c r="B946" s="64"/>
      <c r="C946" s="76"/>
      <c r="D946" s="64">
        <v>2023</v>
      </c>
      <c r="E946" s="65">
        <f>2068*1000000</f>
        <v>2068000000</v>
      </c>
      <c r="F946" s="65">
        <f>(2068+66100+4416+143+207342)*1000000</f>
        <v>280069000000</v>
      </c>
      <c r="G946" s="65">
        <f>580720*1000000</f>
        <v>580720000000</v>
      </c>
      <c r="H946" s="65">
        <f>(25181+7306+10628+1108+831+917+57743)*1000000</f>
        <v>103714000000</v>
      </c>
      <c r="I946" s="65">
        <f>496049*1000000</f>
        <v>496049000000</v>
      </c>
      <c r="J946" s="65">
        <f>-28906*1000000</f>
        <v>-28906000000</v>
      </c>
      <c r="K946" s="65">
        <f>61841*1000000</f>
        <v>61841000000</v>
      </c>
      <c r="L946" s="65">
        <f>98777*1000000</f>
        <v>98777000000</v>
      </c>
      <c r="M946" s="65">
        <f>12607*1000000</f>
        <v>12607000000</v>
      </c>
      <c r="N946" s="65">
        <f>9463*1000000</f>
        <v>9463000000</v>
      </c>
      <c r="O946" s="66">
        <v>0.96499999999999997</v>
      </c>
      <c r="P946" s="67" t="s">
        <v>98</v>
      </c>
      <c r="Q946" s="65">
        <v>2</v>
      </c>
      <c r="R946" s="65">
        <v>3</v>
      </c>
      <c r="S946" s="65">
        <v>3</v>
      </c>
      <c r="T946" s="65">
        <f t="shared" si="86"/>
        <v>6</v>
      </c>
      <c r="U946" s="68">
        <v>0</v>
      </c>
      <c r="V946" s="65">
        <f>3+4</f>
        <v>7</v>
      </c>
      <c r="W946" s="65">
        <f t="shared" si="82"/>
        <v>7</v>
      </c>
      <c r="X946" s="65">
        <f>3+4</f>
        <v>7</v>
      </c>
      <c r="Y946" s="64"/>
    </row>
    <row r="947" spans="1:25" s="54" customFormat="1" ht="15" customHeight="1" x14ac:dyDescent="0.3">
      <c r="A947" s="63"/>
      <c r="B947" s="64"/>
      <c r="C947" s="76"/>
      <c r="D947" s="64">
        <v>2024</v>
      </c>
      <c r="E947" s="65">
        <f>1823*1000000</f>
        <v>1823000000</v>
      </c>
      <c r="F947" s="65">
        <f>(1823+61904+75347+2469+201225+19512+11040+590)*1000000</f>
        <v>373910000000</v>
      </c>
      <c r="G947" s="65">
        <f>603899*1000000</f>
        <v>603899000000</v>
      </c>
      <c r="H947" s="65">
        <f>(75220+23158+8671+213+959+917+49304)*1000000</f>
        <v>158442000000</v>
      </c>
      <c r="I947" s="65">
        <f>520310*1000000</f>
        <v>520310000000</v>
      </c>
      <c r="J947" s="65">
        <f>-19186*1000000</f>
        <v>-19186000000</v>
      </c>
      <c r="K947" s="65">
        <f>71716*1000000</f>
        <v>71716000000</v>
      </c>
      <c r="L947" s="65">
        <f>122931*1000000</f>
        <v>122931000000</v>
      </c>
      <c r="M947" s="65">
        <f>12502*1000000</f>
        <v>12502000000</v>
      </c>
      <c r="N947" s="65">
        <f>9720*1000000</f>
        <v>9720000000</v>
      </c>
      <c r="O947" s="66">
        <v>0.96499999999999997</v>
      </c>
      <c r="P947" s="67" t="s">
        <v>98</v>
      </c>
      <c r="Q947" s="65">
        <v>2</v>
      </c>
      <c r="R947" s="65">
        <v>3</v>
      </c>
      <c r="S947" s="65">
        <v>3</v>
      </c>
      <c r="T947" s="65">
        <f t="shared" si="86"/>
        <v>6</v>
      </c>
      <c r="U947" s="68">
        <v>0</v>
      </c>
      <c r="V947" s="65">
        <f>3+4</f>
        <v>7</v>
      </c>
      <c r="W947" s="65">
        <f t="shared" si="82"/>
        <v>7</v>
      </c>
      <c r="X947" s="65">
        <f>3+4</f>
        <v>7</v>
      </c>
      <c r="Y947" s="64"/>
    </row>
    <row r="948" spans="1:25" s="54" customFormat="1" ht="15" customHeight="1" x14ac:dyDescent="0.3">
      <c r="A948" s="63"/>
      <c r="B948" s="64">
        <v>87</v>
      </c>
      <c r="C948" s="73" t="s">
        <v>129</v>
      </c>
      <c r="D948" s="64">
        <v>2014</v>
      </c>
      <c r="E948" s="65">
        <v>0</v>
      </c>
      <c r="F948" s="65">
        <v>0</v>
      </c>
      <c r="G948" s="65">
        <v>0</v>
      </c>
      <c r="H948" s="65">
        <v>0</v>
      </c>
      <c r="I948" s="65">
        <v>0</v>
      </c>
      <c r="J948" s="65">
        <v>0</v>
      </c>
      <c r="K948" s="65">
        <v>0</v>
      </c>
      <c r="L948" s="65">
        <v>0</v>
      </c>
      <c r="M948" s="65">
        <v>0</v>
      </c>
      <c r="N948" s="65">
        <v>0</v>
      </c>
      <c r="O948" s="65">
        <v>0</v>
      </c>
      <c r="P948" s="65">
        <v>0</v>
      </c>
      <c r="Q948" s="65">
        <v>0</v>
      </c>
      <c r="R948" s="65">
        <v>0</v>
      </c>
      <c r="S948" s="65">
        <v>0</v>
      </c>
      <c r="T948" s="65">
        <v>0</v>
      </c>
      <c r="U948" s="65">
        <v>0</v>
      </c>
      <c r="V948" s="65">
        <v>0</v>
      </c>
      <c r="W948" s="65">
        <v>0</v>
      </c>
      <c r="X948" s="65">
        <v>0</v>
      </c>
      <c r="Y948" s="64" t="s">
        <v>273</v>
      </c>
    </row>
    <row r="949" spans="1:25" s="54" customFormat="1" ht="15" customHeight="1" x14ac:dyDescent="0.3">
      <c r="A949" s="63"/>
      <c r="B949" s="64"/>
      <c r="C949" s="73"/>
      <c r="D949" s="64">
        <v>2015</v>
      </c>
      <c r="E949" s="65">
        <v>0</v>
      </c>
      <c r="F949" s="65">
        <v>0</v>
      </c>
      <c r="G949" s="65">
        <v>0</v>
      </c>
      <c r="H949" s="65">
        <v>0</v>
      </c>
      <c r="I949" s="65">
        <v>0</v>
      </c>
      <c r="J949" s="65">
        <v>0</v>
      </c>
      <c r="K949" s="65">
        <v>0</v>
      </c>
      <c r="L949" s="65">
        <v>0</v>
      </c>
      <c r="M949" s="65">
        <v>0</v>
      </c>
      <c r="N949" s="65">
        <v>0</v>
      </c>
      <c r="O949" s="65">
        <v>0</v>
      </c>
      <c r="P949" s="65">
        <v>0</v>
      </c>
      <c r="Q949" s="65">
        <v>0</v>
      </c>
      <c r="R949" s="65">
        <v>0</v>
      </c>
      <c r="S949" s="65">
        <v>0</v>
      </c>
      <c r="T949" s="65">
        <v>0</v>
      </c>
      <c r="U949" s="65">
        <v>0</v>
      </c>
      <c r="V949" s="65">
        <v>0</v>
      </c>
      <c r="W949" s="65">
        <v>0</v>
      </c>
      <c r="X949" s="65">
        <v>0</v>
      </c>
      <c r="Y949" s="64"/>
    </row>
    <row r="950" spans="1:25" s="54" customFormat="1" ht="15" customHeight="1" x14ac:dyDescent="0.3">
      <c r="A950" s="63"/>
      <c r="B950" s="64"/>
      <c r="C950" s="73"/>
      <c r="D950" s="64">
        <v>2016</v>
      </c>
      <c r="E950" s="65">
        <v>0</v>
      </c>
      <c r="F950" s="65">
        <v>0</v>
      </c>
      <c r="G950" s="65">
        <v>0</v>
      </c>
      <c r="H950" s="65">
        <v>0</v>
      </c>
      <c r="I950" s="65">
        <v>0</v>
      </c>
      <c r="J950" s="65">
        <v>0</v>
      </c>
      <c r="K950" s="65">
        <v>0</v>
      </c>
      <c r="L950" s="65">
        <v>0</v>
      </c>
      <c r="M950" s="65">
        <v>0</v>
      </c>
      <c r="N950" s="65">
        <v>0</v>
      </c>
      <c r="O950" s="65">
        <v>0</v>
      </c>
      <c r="P950" s="65">
        <v>0</v>
      </c>
      <c r="Q950" s="65">
        <v>0</v>
      </c>
      <c r="R950" s="65">
        <v>0</v>
      </c>
      <c r="S950" s="65">
        <v>0</v>
      </c>
      <c r="T950" s="65">
        <v>0</v>
      </c>
      <c r="U950" s="65">
        <v>0</v>
      </c>
      <c r="V950" s="65">
        <v>0</v>
      </c>
      <c r="W950" s="65">
        <v>0</v>
      </c>
      <c r="X950" s="65">
        <v>0</v>
      </c>
      <c r="Y950" s="64"/>
    </row>
    <row r="951" spans="1:25" s="54" customFormat="1" ht="15" customHeight="1" x14ac:dyDescent="0.3">
      <c r="A951" s="63"/>
      <c r="B951" s="64"/>
      <c r="C951" s="73"/>
      <c r="D951" s="64">
        <v>2017</v>
      </c>
      <c r="E951" s="65">
        <v>0</v>
      </c>
      <c r="F951" s="65">
        <v>0</v>
      </c>
      <c r="G951" s="65">
        <v>0</v>
      </c>
      <c r="H951" s="65">
        <v>0</v>
      </c>
      <c r="I951" s="65">
        <v>0</v>
      </c>
      <c r="J951" s="65">
        <v>0</v>
      </c>
      <c r="K951" s="65">
        <v>0</v>
      </c>
      <c r="L951" s="65">
        <v>0</v>
      </c>
      <c r="M951" s="65">
        <v>0</v>
      </c>
      <c r="N951" s="65">
        <v>0</v>
      </c>
      <c r="O951" s="65">
        <v>0</v>
      </c>
      <c r="P951" s="65">
        <v>0</v>
      </c>
      <c r="Q951" s="65">
        <v>0</v>
      </c>
      <c r="R951" s="65">
        <v>0</v>
      </c>
      <c r="S951" s="65">
        <v>0</v>
      </c>
      <c r="T951" s="65">
        <v>0</v>
      </c>
      <c r="U951" s="65">
        <v>0</v>
      </c>
      <c r="V951" s="65">
        <v>0</v>
      </c>
      <c r="W951" s="65">
        <v>0</v>
      </c>
      <c r="X951" s="65">
        <v>0</v>
      </c>
      <c r="Y951" s="64"/>
    </row>
    <row r="952" spans="1:25" s="54" customFormat="1" ht="15" customHeight="1" x14ac:dyDescent="0.3">
      <c r="A952" s="63"/>
      <c r="B952" s="64"/>
      <c r="C952" s="73"/>
      <c r="D952" s="64">
        <v>2018</v>
      </c>
      <c r="E952" s="65">
        <v>0</v>
      </c>
      <c r="F952" s="65">
        <v>0</v>
      </c>
      <c r="G952" s="65">
        <v>0</v>
      </c>
      <c r="H952" s="65">
        <v>0</v>
      </c>
      <c r="I952" s="65">
        <v>0</v>
      </c>
      <c r="J952" s="65">
        <v>0</v>
      </c>
      <c r="K952" s="65">
        <v>0</v>
      </c>
      <c r="L952" s="65">
        <v>0</v>
      </c>
      <c r="M952" s="65">
        <v>0</v>
      </c>
      <c r="N952" s="65">
        <v>0</v>
      </c>
      <c r="O952" s="65">
        <v>0</v>
      </c>
      <c r="P952" s="65">
        <v>0</v>
      </c>
      <c r="Q952" s="65">
        <v>0</v>
      </c>
      <c r="R952" s="65">
        <v>0</v>
      </c>
      <c r="S952" s="65">
        <v>0</v>
      </c>
      <c r="T952" s="65">
        <v>0</v>
      </c>
      <c r="U952" s="65">
        <v>0</v>
      </c>
      <c r="V952" s="65">
        <v>0</v>
      </c>
      <c r="W952" s="65">
        <v>0</v>
      </c>
      <c r="X952" s="65">
        <v>0</v>
      </c>
      <c r="Y952" s="64"/>
    </row>
    <row r="953" spans="1:25" s="54" customFormat="1" ht="15" customHeight="1" x14ac:dyDescent="0.3">
      <c r="A953" s="63"/>
      <c r="B953" s="64"/>
      <c r="C953" s="73"/>
      <c r="D953" s="64">
        <v>2019</v>
      </c>
      <c r="E953" s="65">
        <v>0</v>
      </c>
      <c r="F953" s="65">
        <v>0</v>
      </c>
      <c r="G953" s="65">
        <v>0</v>
      </c>
      <c r="H953" s="65">
        <v>0</v>
      </c>
      <c r="I953" s="65">
        <v>0</v>
      </c>
      <c r="J953" s="65">
        <v>0</v>
      </c>
      <c r="K953" s="65">
        <v>0</v>
      </c>
      <c r="L953" s="65">
        <v>0</v>
      </c>
      <c r="M953" s="65">
        <v>0</v>
      </c>
      <c r="N953" s="65">
        <v>0</v>
      </c>
      <c r="O953" s="65">
        <v>0</v>
      </c>
      <c r="P953" s="65">
        <v>0</v>
      </c>
      <c r="Q953" s="65">
        <v>0</v>
      </c>
      <c r="R953" s="65">
        <v>0</v>
      </c>
      <c r="S953" s="65">
        <v>0</v>
      </c>
      <c r="T953" s="65">
        <v>0</v>
      </c>
      <c r="U953" s="65">
        <v>0</v>
      </c>
      <c r="V953" s="65">
        <v>0</v>
      </c>
      <c r="W953" s="65">
        <v>0</v>
      </c>
      <c r="X953" s="65">
        <v>0</v>
      </c>
      <c r="Y953" s="64"/>
    </row>
    <row r="954" spans="1:25" s="54" customFormat="1" ht="15" customHeight="1" x14ac:dyDescent="0.3">
      <c r="A954" s="63"/>
      <c r="B954" s="64"/>
      <c r="C954" s="73"/>
      <c r="D954" s="64">
        <v>2020</v>
      </c>
      <c r="E954" s="65">
        <v>0</v>
      </c>
      <c r="F954" s="65">
        <v>0</v>
      </c>
      <c r="G954" s="65">
        <v>0</v>
      </c>
      <c r="H954" s="65">
        <v>0</v>
      </c>
      <c r="I954" s="65">
        <v>0</v>
      </c>
      <c r="J954" s="65">
        <v>0</v>
      </c>
      <c r="K954" s="65">
        <v>0</v>
      </c>
      <c r="L954" s="65">
        <v>0</v>
      </c>
      <c r="M954" s="65">
        <v>0</v>
      </c>
      <c r="N954" s="65">
        <v>0</v>
      </c>
      <c r="O954" s="65">
        <v>0</v>
      </c>
      <c r="P954" s="65">
        <v>0</v>
      </c>
      <c r="Q954" s="65">
        <v>0</v>
      </c>
      <c r="R954" s="65">
        <v>0</v>
      </c>
      <c r="S954" s="65">
        <v>0</v>
      </c>
      <c r="T954" s="65">
        <v>0</v>
      </c>
      <c r="U954" s="65">
        <v>0</v>
      </c>
      <c r="V954" s="65">
        <v>0</v>
      </c>
      <c r="W954" s="65">
        <v>0</v>
      </c>
      <c r="X954" s="65">
        <v>0</v>
      </c>
      <c r="Y954" s="64"/>
    </row>
    <row r="955" spans="1:25" s="54" customFormat="1" ht="15" customHeight="1" x14ac:dyDescent="0.3">
      <c r="A955" s="63"/>
      <c r="B955" s="64"/>
      <c r="C955" s="73"/>
      <c r="D955" s="64">
        <v>2021</v>
      </c>
      <c r="E955" s="65">
        <v>0</v>
      </c>
      <c r="F955" s="65">
        <v>0</v>
      </c>
      <c r="G955" s="65">
        <v>0</v>
      </c>
      <c r="H955" s="65">
        <v>0</v>
      </c>
      <c r="I955" s="65">
        <v>0</v>
      </c>
      <c r="J955" s="65">
        <v>0</v>
      </c>
      <c r="K955" s="65">
        <v>0</v>
      </c>
      <c r="L955" s="65">
        <v>0</v>
      </c>
      <c r="M955" s="65">
        <v>0</v>
      </c>
      <c r="N955" s="65">
        <v>0</v>
      </c>
      <c r="O955" s="65">
        <v>0</v>
      </c>
      <c r="P955" s="65">
        <v>0</v>
      </c>
      <c r="Q955" s="65">
        <v>0</v>
      </c>
      <c r="R955" s="65">
        <v>0</v>
      </c>
      <c r="S955" s="65">
        <v>0</v>
      </c>
      <c r="T955" s="65">
        <v>0</v>
      </c>
      <c r="U955" s="65">
        <v>0</v>
      </c>
      <c r="V955" s="65">
        <v>0</v>
      </c>
      <c r="W955" s="65">
        <v>0</v>
      </c>
      <c r="X955" s="65">
        <v>0</v>
      </c>
      <c r="Y955" s="64"/>
    </row>
    <row r="956" spans="1:25" s="54" customFormat="1" ht="15" customHeight="1" x14ac:dyDescent="0.3">
      <c r="A956" s="63"/>
      <c r="B956" s="64"/>
      <c r="C956" s="73"/>
      <c r="D956" s="64">
        <v>2022</v>
      </c>
      <c r="E956" s="65">
        <v>0</v>
      </c>
      <c r="F956" s="65">
        <v>0</v>
      </c>
      <c r="G956" s="65">
        <v>0</v>
      </c>
      <c r="H956" s="65">
        <v>0</v>
      </c>
      <c r="I956" s="65">
        <v>0</v>
      </c>
      <c r="J956" s="65">
        <v>0</v>
      </c>
      <c r="K956" s="65">
        <v>0</v>
      </c>
      <c r="L956" s="65">
        <v>0</v>
      </c>
      <c r="M956" s="65">
        <v>0</v>
      </c>
      <c r="N956" s="65">
        <v>0</v>
      </c>
      <c r="O956" s="65">
        <v>0</v>
      </c>
      <c r="P956" s="65">
        <v>0</v>
      </c>
      <c r="Q956" s="65">
        <v>0</v>
      </c>
      <c r="R956" s="65">
        <v>0</v>
      </c>
      <c r="S956" s="65">
        <v>0</v>
      </c>
      <c r="T956" s="65">
        <v>0</v>
      </c>
      <c r="U956" s="65">
        <v>0</v>
      </c>
      <c r="V956" s="65">
        <v>0</v>
      </c>
      <c r="W956" s="65">
        <v>0</v>
      </c>
      <c r="X956" s="65">
        <v>0</v>
      </c>
      <c r="Y956" s="64"/>
    </row>
    <row r="957" spans="1:25" s="54" customFormat="1" ht="15" customHeight="1" x14ac:dyDescent="0.3">
      <c r="A957" s="63"/>
      <c r="B957" s="64"/>
      <c r="C957" s="73"/>
      <c r="D957" s="64">
        <v>2023</v>
      </c>
      <c r="E957" s="65">
        <v>0</v>
      </c>
      <c r="F957" s="65">
        <v>0</v>
      </c>
      <c r="G957" s="65">
        <v>0</v>
      </c>
      <c r="H957" s="65">
        <v>0</v>
      </c>
      <c r="I957" s="65">
        <v>0</v>
      </c>
      <c r="J957" s="65">
        <v>0</v>
      </c>
      <c r="K957" s="65">
        <v>0</v>
      </c>
      <c r="L957" s="65">
        <v>0</v>
      </c>
      <c r="M957" s="65">
        <v>0</v>
      </c>
      <c r="N957" s="65">
        <v>0</v>
      </c>
      <c r="O957" s="65">
        <v>0</v>
      </c>
      <c r="P957" s="65">
        <v>0</v>
      </c>
      <c r="Q957" s="65">
        <v>0</v>
      </c>
      <c r="R957" s="65">
        <v>0</v>
      </c>
      <c r="S957" s="65">
        <v>0</v>
      </c>
      <c r="T957" s="65">
        <v>0</v>
      </c>
      <c r="U957" s="65">
        <v>0</v>
      </c>
      <c r="V957" s="65">
        <v>0</v>
      </c>
      <c r="W957" s="65">
        <v>0</v>
      </c>
      <c r="X957" s="65">
        <v>0</v>
      </c>
      <c r="Y957" s="64"/>
    </row>
    <row r="958" spans="1:25" s="54" customFormat="1" ht="15" customHeight="1" x14ac:dyDescent="0.3">
      <c r="A958" s="63"/>
      <c r="B958" s="64"/>
      <c r="C958" s="73"/>
      <c r="D958" s="64">
        <v>2024</v>
      </c>
      <c r="E958" s="65">
        <v>0</v>
      </c>
      <c r="F958" s="65">
        <v>0</v>
      </c>
      <c r="G958" s="65">
        <v>0</v>
      </c>
      <c r="H958" s="65">
        <v>0</v>
      </c>
      <c r="I958" s="65">
        <v>0</v>
      </c>
      <c r="J958" s="65">
        <v>0</v>
      </c>
      <c r="K958" s="65">
        <v>0</v>
      </c>
      <c r="L958" s="65">
        <v>0</v>
      </c>
      <c r="M958" s="65">
        <v>0</v>
      </c>
      <c r="N958" s="65">
        <v>0</v>
      </c>
      <c r="O958" s="65">
        <v>0</v>
      </c>
      <c r="P958" s="65">
        <v>0</v>
      </c>
      <c r="Q958" s="65">
        <v>0</v>
      </c>
      <c r="R958" s="65">
        <v>0</v>
      </c>
      <c r="S958" s="65">
        <v>0</v>
      </c>
      <c r="T958" s="65">
        <v>0</v>
      </c>
      <c r="U958" s="65">
        <v>0</v>
      </c>
      <c r="V958" s="65">
        <v>0</v>
      </c>
      <c r="W958" s="65">
        <v>0</v>
      </c>
      <c r="X958" s="65">
        <v>0</v>
      </c>
      <c r="Y958" s="64"/>
    </row>
    <row r="959" spans="1:25" s="54" customFormat="1" ht="15" customHeight="1" x14ac:dyDescent="0.3">
      <c r="A959" s="63"/>
      <c r="B959" s="64">
        <v>88</v>
      </c>
      <c r="C959" s="55" t="s">
        <v>100</v>
      </c>
      <c r="D959" s="64">
        <v>2014</v>
      </c>
      <c r="E959" s="65">
        <v>0</v>
      </c>
      <c r="F959" s="65">
        <v>0</v>
      </c>
      <c r="G959" s="65">
        <v>0</v>
      </c>
      <c r="H959" s="65">
        <v>0</v>
      </c>
      <c r="I959" s="65">
        <v>0</v>
      </c>
      <c r="J959" s="65">
        <v>0</v>
      </c>
      <c r="K959" s="65">
        <v>0</v>
      </c>
      <c r="L959" s="65">
        <v>0</v>
      </c>
      <c r="M959" s="65">
        <v>0</v>
      </c>
      <c r="N959" s="65">
        <v>0</v>
      </c>
      <c r="O959" s="65">
        <v>0</v>
      </c>
      <c r="P959" s="65">
        <v>0</v>
      </c>
      <c r="Q959" s="65">
        <v>0</v>
      </c>
      <c r="R959" s="65">
        <v>0</v>
      </c>
      <c r="S959" s="65">
        <v>0</v>
      </c>
      <c r="T959" s="65">
        <v>0</v>
      </c>
      <c r="U959" s="65">
        <v>0</v>
      </c>
      <c r="V959" s="65">
        <v>0</v>
      </c>
      <c r="W959" s="65">
        <v>0</v>
      </c>
      <c r="X959" s="65">
        <v>0</v>
      </c>
      <c r="Y959" s="64" t="s">
        <v>190</v>
      </c>
    </row>
    <row r="960" spans="1:25" s="54" customFormat="1" ht="15" customHeight="1" x14ac:dyDescent="0.3">
      <c r="A960" s="63"/>
      <c r="B960" s="64"/>
      <c r="C960" s="55"/>
      <c r="D960" s="64">
        <v>2015</v>
      </c>
      <c r="E960" s="65">
        <v>0</v>
      </c>
      <c r="F960" s="65">
        <v>0</v>
      </c>
      <c r="G960" s="65">
        <v>0</v>
      </c>
      <c r="H960" s="65">
        <v>0</v>
      </c>
      <c r="I960" s="65">
        <v>0</v>
      </c>
      <c r="J960" s="65">
        <v>0</v>
      </c>
      <c r="K960" s="65">
        <v>0</v>
      </c>
      <c r="L960" s="65">
        <v>0</v>
      </c>
      <c r="M960" s="65">
        <v>0</v>
      </c>
      <c r="N960" s="65">
        <v>0</v>
      </c>
      <c r="O960" s="65">
        <v>0</v>
      </c>
      <c r="P960" s="65">
        <v>0</v>
      </c>
      <c r="Q960" s="65">
        <v>0</v>
      </c>
      <c r="R960" s="65">
        <v>0</v>
      </c>
      <c r="S960" s="65">
        <v>0</v>
      </c>
      <c r="T960" s="65">
        <v>0</v>
      </c>
      <c r="U960" s="65">
        <v>0</v>
      </c>
      <c r="V960" s="65">
        <v>0</v>
      </c>
      <c r="W960" s="65">
        <v>0</v>
      </c>
      <c r="X960" s="65">
        <v>0</v>
      </c>
      <c r="Y960" s="64"/>
    </row>
    <row r="961" spans="1:25" s="54" customFormat="1" ht="15" customHeight="1" x14ac:dyDescent="0.3">
      <c r="A961" s="63"/>
      <c r="B961" s="64"/>
      <c r="C961" s="55"/>
      <c r="D961" s="64">
        <v>2016</v>
      </c>
      <c r="E961" s="65">
        <v>0</v>
      </c>
      <c r="F961" s="65">
        <v>0</v>
      </c>
      <c r="G961" s="65">
        <v>0</v>
      </c>
      <c r="H961" s="65">
        <v>0</v>
      </c>
      <c r="I961" s="65">
        <v>0</v>
      </c>
      <c r="J961" s="65">
        <v>0</v>
      </c>
      <c r="K961" s="65">
        <v>0</v>
      </c>
      <c r="L961" s="65">
        <v>0</v>
      </c>
      <c r="M961" s="65">
        <v>0</v>
      </c>
      <c r="N961" s="65">
        <v>0</v>
      </c>
      <c r="O961" s="65">
        <v>0</v>
      </c>
      <c r="P961" s="65">
        <v>0</v>
      </c>
      <c r="Q961" s="65">
        <v>0</v>
      </c>
      <c r="R961" s="65">
        <v>0</v>
      </c>
      <c r="S961" s="65">
        <v>0</v>
      </c>
      <c r="T961" s="65">
        <v>0</v>
      </c>
      <c r="U961" s="65">
        <v>0</v>
      </c>
      <c r="V961" s="65">
        <v>0</v>
      </c>
      <c r="W961" s="65">
        <v>0</v>
      </c>
      <c r="X961" s="65">
        <v>0</v>
      </c>
      <c r="Y961" s="64"/>
    </row>
    <row r="962" spans="1:25" s="54" customFormat="1" ht="15" customHeight="1" x14ac:dyDescent="0.3">
      <c r="A962" s="63"/>
      <c r="B962" s="64"/>
      <c r="C962" s="55"/>
      <c r="D962" s="64">
        <v>2017</v>
      </c>
      <c r="E962" s="65">
        <v>0</v>
      </c>
      <c r="F962" s="65">
        <v>0</v>
      </c>
      <c r="G962" s="65">
        <v>0</v>
      </c>
      <c r="H962" s="65">
        <v>0</v>
      </c>
      <c r="I962" s="65">
        <v>0</v>
      </c>
      <c r="J962" s="65">
        <v>0</v>
      </c>
      <c r="K962" s="65">
        <v>0</v>
      </c>
      <c r="L962" s="65">
        <v>0</v>
      </c>
      <c r="M962" s="65">
        <v>0</v>
      </c>
      <c r="N962" s="65">
        <v>0</v>
      </c>
      <c r="O962" s="65">
        <v>0</v>
      </c>
      <c r="P962" s="65">
        <v>0</v>
      </c>
      <c r="Q962" s="65">
        <v>0</v>
      </c>
      <c r="R962" s="65">
        <v>0</v>
      </c>
      <c r="S962" s="65">
        <v>0</v>
      </c>
      <c r="T962" s="65">
        <v>0</v>
      </c>
      <c r="U962" s="65">
        <v>0</v>
      </c>
      <c r="V962" s="65">
        <v>0</v>
      </c>
      <c r="W962" s="65">
        <v>0</v>
      </c>
      <c r="X962" s="65">
        <v>0</v>
      </c>
      <c r="Y962" s="64"/>
    </row>
    <row r="963" spans="1:25" s="54" customFormat="1" ht="15" customHeight="1" x14ac:dyDescent="0.3">
      <c r="A963" s="63"/>
      <c r="B963" s="64"/>
      <c r="C963" s="55"/>
      <c r="D963" s="64">
        <v>2018</v>
      </c>
      <c r="E963" s="65">
        <v>0</v>
      </c>
      <c r="F963" s="65">
        <v>0</v>
      </c>
      <c r="G963" s="65">
        <v>0</v>
      </c>
      <c r="H963" s="65">
        <v>0</v>
      </c>
      <c r="I963" s="65">
        <v>0</v>
      </c>
      <c r="J963" s="65">
        <v>0</v>
      </c>
      <c r="K963" s="65">
        <v>0</v>
      </c>
      <c r="L963" s="65">
        <v>0</v>
      </c>
      <c r="M963" s="65">
        <v>0</v>
      </c>
      <c r="N963" s="65">
        <v>0</v>
      </c>
      <c r="O963" s="65">
        <v>0</v>
      </c>
      <c r="P963" s="65">
        <v>0</v>
      </c>
      <c r="Q963" s="65">
        <v>0</v>
      </c>
      <c r="R963" s="65">
        <v>0</v>
      </c>
      <c r="S963" s="65">
        <v>0</v>
      </c>
      <c r="T963" s="65">
        <v>0</v>
      </c>
      <c r="U963" s="65">
        <v>0</v>
      </c>
      <c r="V963" s="65">
        <v>0</v>
      </c>
      <c r="W963" s="65">
        <v>0</v>
      </c>
      <c r="X963" s="65">
        <v>0</v>
      </c>
      <c r="Y963" s="64"/>
    </row>
    <row r="964" spans="1:25" s="54" customFormat="1" ht="15" customHeight="1" x14ac:dyDescent="0.3">
      <c r="A964" s="63"/>
      <c r="B964" s="64"/>
      <c r="C964" s="55"/>
      <c r="D964" s="64">
        <v>2019</v>
      </c>
      <c r="E964" s="65">
        <v>0</v>
      </c>
      <c r="F964" s="65">
        <v>0</v>
      </c>
      <c r="G964" s="65">
        <v>0</v>
      </c>
      <c r="H964" s="65">
        <v>0</v>
      </c>
      <c r="I964" s="65">
        <v>0</v>
      </c>
      <c r="J964" s="65">
        <v>0</v>
      </c>
      <c r="K964" s="65">
        <v>0</v>
      </c>
      <c r="L964" s="65">
        <v>0</v>
      </c>
      <c r="M964" s="65">
        <v>0</v>
      </c>
      <c r="N964" s="65">
        <v>0</v>
      </c>
      <c r="O964" s="65">
        <v>0</v>
      </c>
      <c r="P964" s="65">
        <v>0</v>
      </c>
      <c r="Q964" s="65">
        <v>0</v>
      </c>
      <c r="R964" s="65">
        <v>0</v>
      </c>
      <c r="S964" s="65">
        <v>0</v>
      </c>
      <c r="T964" s="65">
        <v>0</v>
      </c>
      <c r="U964" s="65">
        <v>0</v>
      </c>
      <c r="V964" s="65">
        <v>0</v>
      </c>
      <c r="W964" s="65">
        <v>0</v>
      </c>
      <c r="X964" s="65">
        <v>0</v>
      </c>
      <c r="Y964" s="64"/>
    </row>
    <row r="965" spans="1:25" s="54" customFormat="1" ht="15" customHeight="1" x14ac:dyDescent="0.3">
      <c r="A965" s="63"/>
      <c r="B965" s="64"/>
      <c r="C965" s="55"/>
      <c r="D965" s="64">
        <v>2020</v>
      </c>
      <c r="E965" s="65">
        <v>0</v>
      </c>
      <c r="F965" s="65">
        <v>0</v>
      </c>
      <c r="G965" s="65">
        <v>0</v>
      </c>
      <c r="H965" s="65">
        <v>0</v>
      </c>
      <c r="I965" s="65">
        <v>0</v>
      </c>
      <c r="J965" s="65">
        <v>0</v>
      </c>
      <c r="K965" s="65">
        <v>0</v>
      </c>
      <c r="L965" s="65">
        <v>0</v>
      </c>
      <c r="M965" s="65">
        <v>0</v>
      </c>
      <c r="N965" s="65">
        <v>0</v>
      </c>
      <c r="O965" s="65">
        <v>0</v>
      </c>
      <c r="P965" s="65">
        <v>0</v>
      </c>
      <c r="Q965" s="65">
        <v>0</v>
      </c>
      <c r="R965" s="65">
        <v>0</v>
      </c>
      <c r="S965" s="65">
        <v>0</v>
      </c>
      <c r="T965" s="65">
        <v>0</v>
      </c>
      <c r="U965" s="65">
        <v>0</v>
      </c>
      <c r="V965" s="65">
        <v>0</v>
      </c>
      <c r="W965" s="65">
        <v>0</v>
      </c>
      <c r="X965" s="65">
        <v>0</v>
      </c>
      <c r="Y965" s="64"/>
    </row>
    <row r="966" spans="1:25" s="54" customFormat="1" ht="15" customHeight="1" x14ac:dyDescent="0.3">
      <c r="A966" s="63"/>
      <c r="B966" s="64"/>
      <c r="C966" s="55"/>
      <c r="D966" s="64">
        <v>2021</v>
      </c>
      <c r="E966" s="65">
        <v>0</v>
      </c>
      <c r="F966" s="65">
        <v>0</v>
      </c>
      <c r="G966" s="65">
        <v>0</v>
      </c>
      <c r="H966" s="65">
        <v>0</v>
      </c>
      <c r="I966" s="65">
        <v>0</v>
      </c>
      <c r="J966" s="65">
        <v>0</v>
      </c>
      <c r="K966" s="65">
        <v>0</v>
      </c>
      <c r="L966" s="65">
        <v>0</v>
      </c>
      <c r="M966" s="65">
        <v>0</v>
      </c>
      <c r="N966" s="65">
        <v>0</v>
      </c>
      <c r="O966" s="65">
        <v>0</v>
      </c>
      <c r="P966" s="65">
        <v>0</v>
      </c>
      <c r="Q966" s="65">
        <v>0</v>
      </c>
      <c r="R966" s="65">
        <v>0</v>
      </c>
      <c r="S966" s="65">
        <v>0</v>
      </c>
      <c r="T966" s="65">
        <v>0</v>
      </c>
      <c r="U966" s="65">
        <v>0</v>
      </c>
      <c r="V966" s="65">
        <v>0</v>
      </c>
      <c r="W966" s="65">
        <v>0</v>
      </c>
      <c r="X966" s="65">
        <v>0</v>
      </c>
      <c r="Y966" s="64"/>
    </row>
    <row r="967" spans="1:25" s="54" customFormat="1" ht="15" customHeight="1" x14ac:dyDescent="0.3">
      <c r="A967" s="63"/>
      <c r="B967" s="64"/>
      <c r="C967" s="55"/>
      <c r="D967" s="64">
        <v>2022</v>
      </c>
      <c r="E967" s="65">
        <v>0</v>
      </c>
      <c r="F967" s="65">
        <v>0</v>
      </c>
      <c r="G967" s="65">
        <v>0</v>
      </c>
      <c r="H967" s="65">
        <v>0</v>
      </c>
      <c r="I967" s="65">
        <v>0</v>
      </c>
      <c r="J967" s="65">
        <v>0</v>
      </c>
      <c r="K967" s="65">
        <v>0</v>
      </c>
      <c r="L967" s="65">
        <v>0</v>
      </c>
      <c r="M967" s="65">
        <v>0</v>
      </c>
      <c r="N967" s="65">
        <v>0</v>
      </c>
      <c r="O967" s="65">
        <v>0</v>
      </c>
      <c r="P967" s="65">
        <v>0</v>
      </c>
      <c r="Q967" s="65">
        <v>0</v>
      </c>
      <c r="R967" s="65">
        <v>0</v>
      </c>
      <c r="S967" s="65">
        <v>0</v>
      </c>
      <c r="T967" s="65">
        <v>0</v>
      </c>
      <c r="U967" s="65">
        <v>0</v>
      </c>
      <c r="V967" s="65">
        <v>0</v>
      </c>
      <c r="W967" s="65">
        <v>0</v>
      </c>
      <c r="X967" s="65">
        <v>0</v>
      </c>
      <c r="Y967" s="64"/>
    </row>
    <row r="968" spans="1:25" s="54" customFormat="1" ht="15" customHeight="1" x14ac:dyDescent="0.3">
      <c r="A968" s="63"/>
      <c r="B968" s="64"/>
      <c r="C968" s="55"/>
      <c r="D968" s="64">
        <v>2023</v>
      </c>
      <c r="E968" s="65">
        <v>0</v>
      </c>
      <c r="F968" s="65">
        <v>0</v>
      </c>
      <c r="G968" s="65">
        <v>0</v>
      </c>
      <c r="H968" s="65">
        <v>0</v>
      </c>
      <c r="I968" s="65">
        <v>0</v>
      </c>
      <c r="J968" s="65">
        <v>0</v>
      </c>
      <c r="K968" s="65">
        <v>0</v>
      </c>
      <c r="L968" s="65">
        <v>0</v>
      </c>
      <c r="M968" s="65">
        <v>0</v>
      </c>
      <c r="N968" s="65">
        <v>0</v>
      </c>
      <c r="O968" s="65">
        <v>0</v>
      </c>
      <c r="P968" s="65">
        <v>0</v>
      </c>
      <c r="Q968" s="65">
        <v>0</v>
      </c>
      <c r="R968" s="65">
        <v>0</v>
      </c>
      <c r="S968" s="65">
        <v>0</v>
      </c>
      <c r="T968" s="65">
        <v>0</v>
      </c>
      <c r="U968" s="65">
        <v>0</v>
      </c>
      <c r="V968" s="65">
        <v>0</v>
      </c>
      <c r="W968" s="65">
        <v>0</v>
      </c>
      <c r="X968" s="65">
        <v>0</v>
      </c>
      <c r="Y968" s="64"/>
    </row>
    <row r="969" spans="1:25" s="54" customFormat="1" ht="15" customHeight="1" x14ac:dyDescent="0.3">
      <c r="A969" s="63"/>
      <c r="B969" s="64"/>
      <c r="C969" s="55"/>
      <c r="D969" s="64">
        <v>2024</v>
      </c>
      <c r="E969" s="65">
        <v>0</v>
      </c>
      <c r="F969" s="65">
        <v>0</v>
      </c>
      <c r="G969" s="65">
        <v>0</v>
      </c>
      <c r="H969" s="65">
        <v>0</v>
      </c>
      <c r="I969" s="65">
        <v>0</v>
      </c>
      <c r="J969" s="65">
        <v>0</v>
      </c>
      <c r="K969" s="65">
        <v>0</v>
      </c>
      <c r="L969" s="65">
        <v>0</v>
      </c>
      <c r="M969" s="65">
        <v>0</v>
      </c>
      <c r="N969" s="65">
        <v>0</v>
      </c>
      <c r="O969" s="65">
        <v>0</v>
      </c>
      <c r="P969" s="65">
        <v>0</v>
      </c>
      <c r="Q969" s="65">
        <v>0</v>
      </c>
      <c r="R969" s="65">
        <v>0</v>
      </c>
      <c r="S969" s="65">
        <v>0</v>
      </c>
      <c r="T969" s="65">
        <v>0</v>
      </c>
      <c r="U969" s="65">
        <v>0</v>
      </c>
      <c r="V969" s="65">
        <v>0</v>
      </c>
      <c r="W969" s="65">
        <v>0</v>
      </c>
      <c r="X969" s="65">
        <v>0</v>
      </c>
      <c r="Y969" s="64"/>
    </row>
    <row r="970" spans="1:25" s="54" customFormat="1" ht="15" customHeight="1" x14ac:dyDescent="0.3">
      <c r="A970" s="63"/>
      <c r="B970" s="64">
        <v>89</v>
      </c>
      <c r="C970" s="55" t="s">
        <v>101</v>
      </c>
      <c r="D970" s="64">
        <v>2014</v>
      </c>
      <c r="E970" s="65">
        <v>0</v>
      </c>
      <c r="F970" s="65">
        <v>0</v>
      </c>
      <c r="G970" s="65">
        <v>0</v>
      </c>
      <c r="H970" s="65">
        <v>0</v>
      </c>
      <c r="I970" s="65">
        <v>0</v>
      </c>
      <c r="J970" s="65">
        <v>0</v>
      </c>
      <c r="K970" s="65">
        <v>0</v>
      </c>
      <c r="L970" s="65">
        <f>201979681270</f>
        <v>201979681270</v>
      </c>
      <c r="M970" s="65">
        <v>0</v>
      </c>
      <c r="N970" s="65">
        <v>0</v>
      </c>
      <c r="O970" s="65">
        <v>0</v>
      </c>
      <c r="P970" s="65">
        <v>0</v>
      </c>
      <c r="Q970" s="65">
        <v>0</v>
      </c>
      <c r="R970" s="65">
        <v>0</v>
      </c>
      <c r="S970" s="65">
        <v>0</v>
      </c>
      <c r="T970" s="65">
        <v>0</v>
      </c>
      <c r="U970" s="65">
        <v>0</v>
      </c>
      <c r="V970" s="65">
        <v>0</v>
      </c>
      <c r="W970" s="65">
        <v>0</v>
      </c>
      <c r="X970" s="65">
        <v>0</v>
      </c>
      <c r="Y970" s="64"/>
    </row>
    <row r="971" spans="1:25" s="54" customFormat="1" ht="15" customHeight="1" x14ac:dyDescent="0.3">
      <c r="A971" s="63"/>
      <c r="B971" s="64"/>
      <c r="C971" s="55"/>
      <c r="D971" s="64">
        <v>2015</v>
      </c>
      <c r="E971" s="65">
        <f>6000217899</f>
        <v>6000217899</v>
      </c>
      <c r="F971" s="65">
        <f>E971+82743642+85826218343+11588628489+11331526426+182107490+2379780725+33308969777</f>
        <v>150700192791</v>
      </c>
      <c r="G971" s="65">
        <f>559080454850</f>
        <v>559080454850</v>
      </c>
      <c r="H971" s="65">
        <f>I971-13622704000-180536029704</f>
        <v>139680162903</v>
      </c>
      <c r="I971" s="65">
        <f>333838896607</f>
        <v>333838896607</v>
      </c>
      <c r="J971" s="65">
        <f>100000000+44978261315</f>
        <v>45078261315</v>
      </c>
      <c r="K971" s="65">
        <f>225241558243</f>
        <v>225241558243</v>
      </c>
      <c r="L971" s="65">
        <f>181766616047</f>
        <v>181766616047</v>
      </c>
      <c r="M971" s="65">
        <f>9451458779</f>
        <v>9451458779</v>
      </c>
      <c r="N971" s="65">
        <f>9171050031</f>
        <v>9171050031</v>
      </c>
      <c r="O971" s="66">
        <v>0.52600000000000002</v>
      </c>
      <c r="P971" s="67" t="s">
        <v>299</v>
      </c>
      <c r="Q971" s="65">
        <v>2</v>
      </c>
      <c r="R971" s="65">
        <v>3</v>
      </c>
      <c r="S971" s="65">
        <v>4</v>
      </c>
      <c r="T971" s="65">
        <f>SUM(R971:S971)</f>
        <v>7</v>
      </c>
      <c r="U971" s="68">
        <v>0</v>
      </c>
      <c r="V971" s="69">
        <f>3+4+3</f>
        <v>10</v>
      </c>
      <c r="W971" s="65">
        <f t="shared" ref="W971:W980" si="87">V971</f>
        <v>10</v>
      </c>
      <c r="X971" s="65">
        <f>4+4</f>
        <v>8</v>
      </c>
      <c r="Y971" s="64"/>
    </row>
    <row r="972" spans="1:25" s="54" customFormat="1" ht="15" customHeight="1" x14ac:dyDescent="0.3">
      <c r="A972" s="63"/>
      <c r="B972" s="64"/>
      <c r="C972" s="55"/>
      <c r="D972" s="64">
        <v>2016</v>
      </c>
      <c r="E972" s="65">
        <f>4959849789</f>
        <v>4959849789</v>
      </c>
      <c r="F972" s="65">
        <f>E972+29003362+80175407394+6917702169+11382906352+2027425184+87374493215</f>
        <v>192866787465</v>
      </c>
      <c r="G972" s="65">
        <f>617651155745</f>
        <v>617651155745</v>
      </c>
      <c r="H972" s="65">
        <f>I972-15253257000-186034021280</f>
        <v>146731297668</v>
      </c>
      <c r="I972" s="65">
        <f>348018575948</f>
        <v>348018575948</v>
      </c>
      <c r="J972" s="65">
        <f>150000000+88223519606</f>
        <v>88373519606</v>
      </c>
      <c r="K972" s="65">
        <f>269632579797</f>
        <v>269632579797</v>
      </c>
      <c r="L972" s="65">
        <f>147412728798</f>
        <v>147412728798</v>
      </c>
      <c r="M972" s="65">
        <f>44418078188</f>
        <v>44418078188</v>
      </c>
      <c r="N972" s="65">
        <f>41755380041</f>
        <v>41755380041</v>
      </c>
      <c r="O972" s="66">
        <v>0.63200000000000001</v>
      </c>
      <c r="P972" s="67" t="s">
        <v>299</v>
      </c>
      <c r="Q972" s="65">
        <v>3</v>
      </c>
      <c r="R972" s="65">
        <v>4</v>
      </c>
      <c r="S972" s="65">
        <v>4</v>
      </c>
      <c r="T972" s="65">
        <f t="shared" ref="T972:T980" si="88">SUM(R972:S972)</f>
        <v>8</v>
      </c>
      <c r="U972" s="68">
        <v>0</v>
      </c>
      <c r="V972" s="65">
        <f>4+4+3</f>
        <v>11</v>
      </c>
      <c r="W972" s="65">
        <f t="shared" si="87"/>
        <v>11</v>
      </c>
      <c r="X972" s="65">
        <f>4+4</f>
        <v>8</v>
      </c>
      <c r="Y972" s="64"/>
    </row>
    <row r="973" spans="1:25" s="54" customFormat="1" ht="15" customHeight="1" x14ac:dyDescent="0.3">
      <c r="A973" s="63"/>
      <c r="B973" s="64"/>
      <c r="C973" s="55"/>
      <c r="D973" s="64">
        <v>2017</v>
      </c>
      <c r="E973" s="65">
        <f>3063169002</f>
        <v>3063169002</v>
      </c>
      <c r="F973" s="65">
        <f>E973+21755720+113476086563+13986354548+12174889005+2514688946+123016373814</f>
        <v>268253317598</v>
      </c>
      <c r="G973" s="65">
        <f>858490283480</f>
        <v>858490283480</v>
      </c>
      <c r="H973" s="65">
        <f>I973-14642983000-233483356743</f>
        <v>155395632847</v>
      </c>
      <c r="I973" s="65">
        <f>403521972590</f>
        <v>403521972590</v>
      </c>
      <c r="J973" s="65">
        <f>200000000+144839631118</f>
        <v>145039631118</v>
      </c>
      <c r="K973" s="65">
        <f>454968310890</f>
        <v>454968310890</v>
      </c>
      <c r="L973" s="65">
        <f>124465270859</f>
        <v>124465270859</v>
      </c>
      <c r="M973" s="65">
        <f>52663921606</f>
        <v>52663921606</v>
      </c>
      <c r="N973" s="65">
        <f>52743811762</f>
        <v>52743811762</v>
      </c>
      <c r="O973" s="66">
        <v>0.63500000000000001</v>
      </c>
      <c r="P973" s="67" t="s">
        <v>299</v>
      </c>
      <c r="Q973" s="65">
        <v>3</v>
      </c>
      <c r="R973" s="65">
        <v>4</v>
      </c>
      <c r="S973" s="65">
        <v>3</v>
      </c>
      <c r="T973" s="65">
        <f t="shared" si="88"/>
        <v>7</v>
      </c>
      <c r="U973" s="68">
        <v>0</v>
      </c>
      <c r="V973" s="65">
        <f>4+4+3</f>
        <v>11</v>
      </c>
      <c r="W973" s="65">
        <f t="shared" si="87"/>
        <v>11</v>
      </c>
      <c r="X973" s="65">
        <f>3+2</f>
        <v>5</v>
      </c>
      <c r="Y973" s="64"/>
    </row>
    <row r="974" spans="1:25" s="54" customFormat="1" ht="15" customHeight="1" x14ac:dyDescent="0.3">
      <c r="A974" s="63"/>
      <c r="B974" s="64"/>
      <c r="C974" s="55"/>
      <c r="D974" s="64">
        <v>2018</v>
      </c>
      <c r="E974" s="65">
        <f>5853410707</f>
        <v>5853410707</v>
      </c>
      <c r="F974" s="65">
        <f>E974+5695950+141393596454+26280788985+12864574994+7717961287+133703082559</f>
        <v>327819110936</v>
      </c>
      <c r="G974" s="65">
        <f>969866560976</f>
        <v>969866560976</v>
      </c>
      <c r="H974" s="65">
        <f>I974-1419438000-260964662533</f>
        <v>187888163205</v>
      </c>
      <c r="I974" s="65">
        <f>450272263738</f>
        <v>450272263738</v>
      </c>
      <c r="J974" s="65">
        <f>250000000+213532118205</f>
        <v>213782118205</v>
      </c>
      <c r="K974" s="65">
        <f>519594297238</f>
        <v>519594297238</v>
      </c>
      <c r="L974" s="65">
        <f>135633770098</f>
        <v>135633770098</v>
      </c>
      <c r="M974" s="65">
        <f>72568168863</f>
        <v>72568168863</v>
      </c>
      <c r="N974" s="65">
        <f>69900405337</f>
        <v>69900405337</v>
      </c>
      <c r="O974" s="66">
        <v>0.77659999999999996</v>
      </c>
      <c r="P974" s="67" t="s">
        <v>299</v>
      </c>
      <c r="Q974" s="65">
        <v>3</v>
      </c>
      <c r="R974" s="65">
        <v>4</v>
      </c>
      <c r="S974" s="65">
        <v>3</v>
      </c>
      <c r="T974" s="65">
        <f t="shared" si="88"/>
        <v>7</v>
      </c>
      <c r="U974" s="68">
        <v>0</v>
      </c>
      <c r="V974" s="65">
        <f>4+4+3</f>
        <v>11</v>
      </c>
      <c r="W974" s="65">
        <f t="shared" si="87"/>
        <v>11</v>
      </c>
      <c r="X974" s="65">
        <f>3+2</f>
        <v>5</v>
      </c>
      <c r="Y974" s="64"/>
    </row>
    <row r="975" spans="1:25" s="54" customFormat="1" ht="15" customHeight="1" x14ac:dyDescent="0.3">
      <c r="A975" s="63"/>
      <c r="B975" s="64"/>
      <c r="C975" s="55"/>
      <c r="D975" s="64">
        <v>2019</v>
      </c>
      <c r="E975" s="65">
        <f>10327839284</f>
        <v>10327839284</v>
      </c>
      <c r="F975" s="65">
        <f>E975+11736375+107397784947+60102707851+8281893868+11190946006+130941453733</f>
        <v>328254362064</v>
      </c>
      <c r="G975" s="65">
        <f>975687462693</f>
        <v>975687462693</v>
      </c>
      <c r="H975" s="65">
        <f>I975-16796551000-258884647156</f>
        <v>169711432103</v>
      </c>
      <c r="I975" s="65">
        <f>445392630259</f>
        <v>445392630259</v>
      </c>
      <c r="J975" s="65">
        <f>300000000+224048262795</f>
        <v>224348262795</v>
      </c>
      <c r="K975" s="65">
        <f>530294832434</f>
        <v>530294832434</v>
      </c>
      <c r="L975" s="65">
        <f>175174507884</f>
        <v>175174507884</v>
      </c>
      <c r="M975" s="65">
        <f>11013910061</f>
        <v>11013910061</v>
      </c>
      <c r="N975" s="65">
        <f>9408511340</f>
        <v>9408511340</v>
      </c>
      <c r="O975" s="66">
        <v>0.72629999999999995</v>
      </c>
      <c r="P975" s="67" t="s">
        <v>299</v>
      </c>
      <c r="Q975" s="65">
        <v>2</v>
      </c>
      <c r="R975" s="65">
        <v>3</v>
      </c>
      <c r="S975" s="65">
        <v>3</v>
      </c>
      <c r="T975" s="65">
        <f t="shared" si="88"/>
        <v>6</v>
      </c>
      <c r="U975" s="68">
        <v>0</v>
      </c>
      <c r="V975" s="65">
        <f t="shared" ref="V975:V980" si="89">3+4+3</f>
        <v>10</v>
      </c>
      <c r="W975" s="65">
        <f t="shared" si="87"/>
        <v>10</v>
      </c>
      <c r="X975" s="65">
        <f t="shared" ref="X975:X980" si="90">3+2+3</f>
        <v>8</v>
      </c>
      <c r="Y975" s="64"/>
    </row>
    <row r="976" spans="1:25" s="54" customFormat="1" ht="15" customHeight="1" x14ac:dyDescent="0.3">
      <c r="A976" s="63"/>
      <c r="B976" s="64"/>
      <c r="C976" s="55"/>
      <c r="D976" s="64">
        <v>2020</v>
      </c>
      <c r="E976" s="65">
        <f>27753266725</f>
        <v>27753266725</v>
      </c>
      <c r="F976" s="65">
        <f>E976+10035000+106128409949+148962330950+7680263492+12067320338+237751180761</f>
        <v>540352807215</v>
      </c>
      <c r="G976" s="65">
        <f>990991744064</f>
        <v>990991744064</v>
      </c>
      <c r="H976" s="65">
        <f>I976-17557634000-400520204774</f>
        <v>129463585915</v>
      </c>
      <c r="I976" s="65">
        <f>547541424689</f>
        <v>547541424689</v>
      </c>
      <c r="J976" s="65">
        <f>350000000+137012245559</f>
        <v>137362245559</v>
      </c>
      <c r="K976" s="65">
        <f>443450319375</f>
        <v>443450319375</v>
      </c>
      <c r="L976" s="65">
        <f>185567699856</f>
        <v>185567699856</v>
      </c>
      <c r="M976" s="65">
        <f>-99983145556</f>
        <v>-99983145556</v>
      </c>
      <c r="N976" s="65">
        <f>-88526593736</f>
        <v>-88526593736</v>
      </c>
      <c r="O976" s="66">
        <v>0.69910000000000005</v>
      </c>
      <c r="P976" s="67" t="s">
        <v>299</v>
      </c>
      <c r="Q976" s="65">
        <v>2</v>
      </c>
      <c r="R976" s="65">
        <v>3</v>
      </c>
      <c r="S976" s="65">
        <v>3</v>
      </c>
      <c r="T976" s="65">
        <f t="shared" si="88"/>
        <v>6</v>
      </c>
      <c r="U976" s="68">
        <v>0</v>
      </c>
      <c r="V976" s="65">
        <f t="shared" si="89"/>
        <v>10</v>
      </c>
      <c r="W976" s="65">
        <f t="shared" si="87"/>
        <v>10</v>
      </c>
      <c r="X976" s="65">
        <f t="shared" si="90"/>
        <v>8</v>
      </c>
      <c r="Y976" s="64"/>
    </row>
    <row r="977" spans="1:25" s="54" customFormat="1" ht="15" customHeight="1" x14ac:dyDescent="0.3">
      <c r="A977" s="63"/>
      <c r="B977" s="64"/>
      <c r="C977" s="55"/>
      <c r="D977" s="64">
        <v>2021</v>
      </c>
      <c r="E977" s="65">
        <f>27286512817</f>
        <v>27286512817</v>
      </c>
      <c r="F977" s="65">
        <f>E977+65234343420+132635142107+5243671084+25737796822+188451309212</f>
        <v>444588775462</v>
      </c>
      <c r="G977" s="65">
        <f>981089572950</f>
        <v>981089572950</v>
      </c>
      <c r="H977" s="65">
        <f>I977-19392056000-414031827927</f>
        <v>84785705077</v>
      </c>
      <c r="I977" s="65">
        <f>518209589004</f>
        <v>518209589004</v>
      </c>
      <c r="J977" s="65">
        <f>350000000+156553863542</f>
        <v>156903863542</v>
      </c>
      <c r="K977" s="65">
        <f>462879983946</f>
        <v>462879983946</v>
      </c>
      <c r="L977" s="65">
        <f>204553620643</f>
        <v>204553620643</v>
      </c>
      <c r="M977" s="65">
        <f>12308010250</f>
        <v>12308010250</v>
      </c>
      <c r="N977" s="65">
        <f>19550788783</f>
        <v>19550788783</v>
      </c>
      <c r="O977" s="66">
        <v>0.69910000000000005</v>
      </c>
      <c r="P977" s="67" t="s">
        <v>299</v>
      </c>
      <c r="Q977" s="65">
        <v>2</v>
      </c>
      <c r="R977" s="65">
        <v>3</v>
      </c>
      <c r="S977" s="65">
        <v>3</v>
      </c>
      <c r="T977" s="65">
        <f t="shared" si="88"/>
        <v>6</v>
      </c>
      <c r="U977" s="68">
        <v>0</v>
      </c>
      <c r="V977" s="65">
        <f t="shared" si="89"/>
        <v>10</v>
      </c>
      <c r="W977" s="65">
        <f t="shared" si="87"/>
        <v>10</v>
      </c>
      <c r="X977" s="65">
        <f t="shared" si="90"/>
        <v>8</v>
      </c>
      <c r="Y977" s="64"/>
    </row>
    <row r="978" spans="1:25" s="54" customFormat="1" ht="15" customHeight="1" x14ac:dyDescent="0.3">
      <c r="A978" s="63"/>
      <c r="B978" s="64"/>
      <c r="C978" s="55"/>
      <c r="D978" s="64">
        <v>2022</v>
      </c>
      <c r="E978" s="65">
        <f>89523370375</f>
        <v>89523370375</v>
      </c>
      <c r="F978" s="65">
        <f>E978+91051389327+155613592947+27746314600+39386564226+215420995574</f>
        <v>618742227049</v>
      </c>
      <c r="G978" s="65">
        <f>1063470852516</f>
        <v>1063470852516</v>
      </c>
      <c r="H978" s="65">
        <f>I978-14464564000-509124959531</f>
        <v>162928979422</v>
      </c>
      <c r="I978" s="65">
        <f>686518502953</f>
        <v>686518502953</v>
      </c>
      <c r="J978" s="65">
        <f>400000000+72052349563</f>
        <v>72452349563</v>
      </c>
      <c r="K978" s="65">
        <f>376952349563</f>
        <v>376952349563</v>
      </c>
      <c r="L978" s="65">
        <f>338955618944</f>
        <v>338955618944</v>
      </c>
      <c r="M978" s="65">
        <f>-86840603201</f>
        <v>-86840603201</v>
      </c>
      <c r="N978" s="65">
        <f>-86331829021</f>
        <v>-86331829021</v>
      </c>
      <c r="O978" s="66">
        <v>0.69910000000000005</v>
      </c>
      <c r="P978" s="67" t="s">
        <v>299</v>
      </c>
      <c r="Q978" s="65">
        <v>2</v>
      </c>
      <c r="R978" s="65">
        <v>3</v>
      </c>
      <c r="S978" s="65">
        <v>3</v>
      </c>
      <c r="T978" s="65">
        <f t="shared" si="88"/>
        <v>6</v>
      </c>
      <c r="U978" s="68">
        <v>0</v>
      </c>
      <c r="V978" s="65">
        <f t="shared" si="89"/>
        <v>10</v>
      </c>
      <c r="W978" s="65">
        <f t="shared" si="87"/>
        <v>10</v>
      </c>
      <c r="X978" s="65">
        <f t="shared" si="90"/>
        <v>8</v>
      </c>
      <c r="Y978" s="64"/>
    </row>
    <row r="979" spans="1:25" s="54" customFormat="1" ht="15" customHeight="1" x14ac:dyDescent="0.3">
      <c r="A979" s="63"/>
      <c r="B979" s="64"/>
      <c r="C979" s="55"/>
      <c r="D979" s="64">
        <v>2023</v>
      </c>
      <c r="E979" s="65">
        <f>15366595260</f>
        <v>15366595260</v>
      </c>
      <c r="F979" s="65">
        <f>E979+104835704824+112281275614+9880569326+73803192837+185189376583</f>
        <v>501356714444</v>
      </c>
      <c r="G979" s="65">
        <f>961063073477</f>
        <v>961063073477</v>
      </c>
      <c r="H979" s="65">
        <f>I979-16912249000-483687401934</f>
        <v>75021397740</v>
      </c>
      <c r="I979" s="65">
        <f>575621048674</f>
        <v>575621048674</v>
      </c>
      <c r="J979" s="65">
        <f>400000000+79657104143</f>
        <v>80057104143</v>
      </c>
      <c r="K979" s="65">
        <f>385442024803</f>
        <v>385442024803</v>
      </c>
      <c r="L979" s="65">
        <f>382281211729</f>
        <v>382281211729</v>
      </c>
      <c r="M979" s="65">
        <f>12349579697</f>
        <v>12349579697</v>
      </c>
      <c r="N979" s="65">
        <f>7568967642</f>
        <v>7568967642</v>
      </c>
      <c r="O979" s="66">
        <v>0.69030000000000002</v>
      </c>
      <c r="P979" s="67" t="s">
        <v>299</v>
      </c>
      <c r="Q979" s="65">
        <v>2</v>
      </c>
      <c r="R979" s="65">
        <v>3</v>
      </c>
      <c r="S979" s="65">
        <v>3</v>
      </c>
      <c r="T979" s="65">
        <f t="shared" si="88"/>
        <v>6</v>
      </c>
      <c r="U979" s="68">
        <v>0</v>
      </c>
      <c r="V979" s="65">
        <f t="shared" si="89"/>
        <v>10</v>
      </c>
      <c r="W979" s="65">
        <f t="shared" si="87"/>
        <v>10</v>
      </c>
      <c r="X979" s="65">
        <f t="shared" si="90"/>
        <v>8</v>
      </c>
      <c r="Y979" s="64"/>
    </row>
    <row r="980" spans="1:25" s="54" customFormat="1" ht="15" customHeight="1" x14ac:dyDescent="0.3">
      <c r="A980" s="63"/>
      <c r="B980" s="64"/>
      <c r="C980" s="55"/>
      <c r="D980" s="64">
        <v>2024</v>
      </c>
      <c r="E980" s="65">
        <f>18714740122</f>
        <v>18714740122</v>
      </c>
      <c r="F980" s="65">
        <f>E980+74203736204+82582067084+6710556157+114640834617+346888126955</f>
        <v>643740061139</v>
      </c>
      <c r="G980" s="65">
        <f>1108514523644</f>
        <v>1108514523644</v>
      </c>
      <c r="H980" s="65">
        <f>I980-15824017000-620966988990</f>
        <v>80749877256</v>
      </c>
      <c r="I980" s="65">
        <f>717540883246</f>
        <v>717540883246</v>
      </c>
      <c r="J980" s="65">
        <f>450000000+85217810605</f>
        <v>85667810605</v>
      </c>
      <c r="K980" s="65">
        <f>390973640398</f>
        <v>390973640398</v>
      </c>
      <c r="L980" s="65">
        <f>373958451506</f>
        <v>373958451506</v>
      </c>
      <c r="M980" s="65">
        <f>9736244072</f>
        <v>9736244072</v>
      </c>
      <c r="N980" s="65">
        <f>7077123622</f>
        <v>7077123622</v>
      </c>
      <c r="O980" s="66">
        <v>0.69030000000000002</v>
      </c>
      <c r="P980" s="67" t="s">
        <v>299</v>
      </c>
      <c r="Q980" s="65">
        <v>2</v>
      </c>
      <c r="R980" s="65">
        <v>3</v>
      </c>
      <c r="S980" s="65">
        <v>3</v>
      </c>
      <c r="T980" s="65">
        <f t="shared" si="88"/>
        <v>6</v>
      </c>
      <c r="U980" s="68">
        <v>0</v>
      </c>
      <c r="V980" s="65">
        <f t="shared" si="89"/>
        <v>10</v>
      </c>
      <c r="W980" s="65">
        <f t="shared" si="87"/>
        <v>10</v>
      </c>
      <c r="X980" s="65">
        <f t="shared" si="90"/>
        <v>8</v>
      </c>
      <c r="Y980" s="64"/>
    </row>
    <row r="981" spans="1:25" s="54" customFormat="1" ht="15" customHeight="1" x14ac:dyDescent="0.3">
      <c r="A981" s="63"/>
      <c r="B981" s="64">
        <v>90</v>
      </c>
      <c r="C981" s="55" t="s">
        <v>93</v>
      </c>
      <c r="D981" s="64">
        <v>2014</v>
      </c>
      <c r="E981" s="65">
        <v>0</v>
      </c>
      <c r="F981" s="65">
        <v>0</v>
      </c>
      <c r="G981" s="65">
        <v>0</v>
      </c>
      <c r="H981" s="65">
        <v>0</v>
      </c>
      <c r="I981" s="65">
        <v>0</v>
      </c>
      <c r="J981" s="65">
        <v>0</v>
      </c>
      <c r="K981" s="65">
        <v>0</v>
      </c>
      <c r="L981" s="65">
        <f>49657*1000000</f>
        <v>49657000000</v>
      </c>
      <c r="M981" s="65">
        <v>0</v>
      </c>
      <c r="N981" s="65">
        <v>0</v>
      </c>
      <c r="O981" s="65">
        <v>0</v>
      </c>
      <c r="P981" s="65">
        <v>0</v>
      </c>
      <c r="Q981" s="65">
        <v>0</v>
      </c>
      <c r="R981" s="65">
        <v>0</v>
      </c>
      <c r="S981" s="65">
        <v>0</v>
      </c>
      <c r="T981" s="65">
        <v>0</v>
      </c>
      <c r="U981" s="65">
        <v>0</v>
      </c>
      <c r="V981" s="65">
        <v>0</v>
      </c>
      <c r="W981" s="65">
        <v>0</v>
      </c>
      <c r="X981" s="65">
        <v>0</v>
      </c>
      <c r="Y981" s="64"/>
    </row>
    <row r="982" spans="1:25" s="54" customFormat="1" ht="15" customHeight="1" x14ac:dyDescent="0.3">
      <c r="A982" s="63"/>
      <c r="B982" s="64"/>
      <c r="C982" s="55"/>
      <c r="D982" s="64">
        <v>2015</v>
      </c>
      <c r="E982" s="65">
        <f>6765*1000000</f>
        <v>6765000000</v>
      </c>
      <c r="F982" s="65">
        <f>(6765+64224+24+4162+77368+745)*1000000</f>
        <v>153288000000</v>
      </c>
      <c r="G982" s="65">
        <f>431955*1000000</f>
        <v>431955000000</v>
      </c>
      <c r="H982" s="65">
        <f>72703*1000000</f>
        <v>72703000000</v>
      </c>
      <c r="I982" s="65">
        <f>267054*1000000</f>
        <v>267054000000</v>
      </c>
      <c r="J982" s="65">
        <f>54911*1000000</f>
        <v>54911000000</v>
      </c>
      <c r="K982" s="65">
        <f>164901*1000000</f>
        <v>164901000000</v>
      </c>
      <c r="L982" s="65">
        <f>89277*1000000</f>
        <v>89277000000</v>
      </c>
      <c r="M982" s="65">
        <f>39237*1000000</f>
        <v>39237000000</v>
      </c>
      <c r="N982" s="65">
        <f>33021*1000000</f>
        <v>33021000000</v>
      </c>
      <c r="O982" s="66">
        <v>0.56899999999999995</v>
      </c>
      <c r="P982" s="67" t="s">
        <v>274</v>
      </c>
      <c r="Q982" s="65">
        <v>1</v>
      </c>
      <c r="R982" s="65">
        <v>3</v>
      </c>
      <c r="S982" s="65">
        <v>3</v>
      </c>
      <c r="T982" s="65">
        <f>SUM(R982:S982)</f>
        <v>6</v>
      </c>
      <c r="U982" s="68">
        <v>0.125</v>
      </c>
      <c r="V982" s="65">
        <v>0</v>
      </c>
      <c r="W982" s="65">
        <v>0</v>
      </c>
      <c r="X982" s="65">
        <v>0</v>
      </c>
      <c r="Y982" s="64"/>
    </row>
    <row r="983" spans="1:25" s="54" customFormat="1" ht="15" customHeight="1" x14ac:dyDescent="0.3">
      <c r="A983" s="63"/>
      <c r="B983" s="64"/>
      <c r="C983" s="55"/>
      <c r="D983" s="64">
        <v>2016</v>
      </c>
      <c r="E983" s="65">
        <f>6518*1000000</f>
        <v>6518000000</v>
      </c>
      <c r="F983" s="65">
        <f>(6518+90270+123+91+13443+135636+1616)*1000000</f>
        <v>247697000000</v>
      </c>
      <c r="G983" s="65">
        <f>594080*1000000</f>
        <v>594080000000</v>
      </c>
      <c r="H983" s="65">
        <f>83019*1000000</f>
        <v>83019000000</v>
      </c>
      <c r="I983" s="65">
        <f>388016*1000000</f>
        <v>388016000000</v>
      </c>
      <c r="J983" s="65">
        <f>95451*1000000</f>
        <v>95451000000</v>
      </c>
      <c r="K983" s="65">
        <f>206064*1000000</f>
        <v>206064000000</v>
      </c>
      <c r="L983" s="65">
        <f>132150*1000000</f>
        <v>132150000000</v>
      </c>
      <c r="M983" s="65">
        <f>48750*1000000</f>
        <v>48750000000</v>
      </c>
      <c r="N983" s="65">
        <f>41163*1000000</f>
        <v>41163000000</v>
      </c>
      <c r="O983" s="66">
        <v>0.56899999999999995</v>
      </c>
      <c r="P983" s="67" t="s">
        <v>274</v>
      </c>
      <c r="Q983" s="65">
        <v>1</v>
      </c>
      <c r="R983" s="65">
        <v>3</v>
      </c>
      <c r="S983" s="65">
        <v>3</v>
      </c>
      <c r="T983" s="65">
        <f t="shared" ref="T983:T991" si="91">SUM(R983:S983)</f>
        <v>6</v>
      </c>
      <c r="U983" s="68">
        <v>0.125</v>
      </c>
      <c r="V983" s="65">
        <v>0</v>
      </c>
      <c r="W983" s="65">
        <v>0</v>
      </c>
      <c r="X983" s="65">
        <v>0</v>
      </c>
      <c r="Y983" s="64"/>
    </row>
    <row r="984" spans="1:25" s="54" customFormat="1" ht="15" customHeight="1" x14ac:dyDescent="0.3">
      <c r="A984" s="63"/>
      <c r="B984" s="64"/>
      <c r="C984" s="55"/>
      <c r="D984" s="64">
        <v>2017</v>
      </c>
      <c r="E984" s="65">
        <f>15010*1000000</f>
        <v>15010000000</v>
      </c>
      <c r="F984" s="65">
        <f>(15010+106695+27+156295+75+46651+2286+1745)*1000000</f>
        <v>328784000000</v>
      </c>
      <c r="G984" s="65">
        <f>782898*1000000</f>
        <v>782898000000</v>
      </c>
      <c r="H984" s="65">
        <f>106657*1000000</f>
        <v>106657000000</v>
      </c>
      <c r="I984" s="65">
        <f>509983*1000000</f>
        <v>509983000000</v>
      </c>
      <c r="J984" s="65">
        <f>162401*1000000</f>
        <v>162401000000</v>
      </c>
      <c r="K984" s="65">
        <f>272915*1000000</f>
        <v>272915000000</v>
      </c>
      <c r="L984" s="65">
        <f>211270*1000000</f>
        <v>211270000000</v>
      </c>
      <c r="M984" s="65">
        <f>82901*1000000</f>
        <v>82901000000</v>
      </c>
      <c r="N984" s="65">
        <f>66851*1000000</f>
        <v>66851000000</v>
      </c>
      <c r="O984" s="66">
        <v>0.56899999999999995</v>
      </c>
      <c r="P984" s="67" t="s">
        <v>274</v>
      </c>
      <c r="Q984" s="65">
        <v>2</v>
      </c>
      <c r="R984" s="65">
        <v>4</v>
      </c>
      <c r="S984" s="65">
        <v>3</v>
      </c>
      <c r="T984" s="65">
        <f t="shared" si="91"/>
        <v>7</v>
      </c>
      <c r="U984" s="68">
        <v>0.125</v>
      </c>
      <c r="V984" s="65">
        <v>0</v>
      </c>
      <c r="W984" s="65">
        <v>0</v>
      </c>
      <c r="X984" s="65">
        <v>0</v>
      </c>
      <c r="Y984" s="64"/>
    </row>
    <row r="985" spans="1:25" s="54" customFormat="1" ht="15" customHeight="1" x14ac:dyDescent="0.3">
      <c r="A985" s="63"/>
      <c r="B985" s="64"/>
      <c r="C985" s="55"/>
      <c r="D985" s="64">
        <v>2018</v>
      </c>
      <c r="E985" s="65">
        <f>37175*1000000</f>
        <v>37175000000</v>
      </c>
      <c r="F985" s="65">
        <f>(37175+86518+44+253492+79+11223+2088)*1000000</f>
        <v>390619000000</v>
      </c>
      <c r="G985" s="65">
        <f>1026523*1000000</f>
        <v>1026523000000</v>
      </c>
      <c r="H985" s="65">
        <f>87834*1000000</f>
        <v>87834000000</v>
      </c>
      <c r="I985" s="65">
        <f>691064*1000000</f>
        <v>691064000000</v>
      </c>
      <c r="J985" s="65">
        <f>225222*1000000</f>
        <v>225222000000</v>
      </c>
      <c r="K985" s="65">
        <f>335459*1000000</f>
        <v>335459000000</v>
      </c>
      <c r="L985" s="65">
        <f>252456*1000000</f>
        <v>252456000000</v>
      </c>
      <c r="M985" s="65">
        <f>74782*1000000</f>
        <v>74782000000</v>
      </c>
      <c r="N985" s="65">
        <f>62098*1000000</f>
        <v>62098000000</v>
      </c>
      <c r="O985" s="66">
        <v>0.56899999999999995</v>
      </c>
      <c r="P985" s="67" t="s">
        <v>274</v>
      </c>
      <c r="Q985" s="65">
        <v>2</v>
      </c>
      <c r="R985" s="65">
        <v>3</v>
      </c>
      <c r="S985" s="65">
        <v>2</v>
      </c>
      <c r="T985" s="65">
        <f t="shared" si="91"/>
        <v>5</v>
      </c>
      <c r="U985" s="68">
        <v>0.125</v>
      </c>
      <c r="V985" s="65">
        <v>0</v>
      </c>
      <c r="W985" s="65">
        <v>0</v>
      </c>
      <c r="X985" s="65">
        <v>0</v>
      </c>
      <c r="Y985" s="64"/>
    </row>
    <row r="986" spans="1:25" s="54" customFormat="1" ht="15" customHeight="1" x14ac:dyDescent="0.3">
      <c r="A986" s="63"/>
      <c r="B986" s="64"/>
      <c r="C986" s="55"/>
      <c r="D986" s="64">
        <v>2019</v>
      </c>
      <c r="E986" s="65">
        <f>18216*1000000</f>
        <v>18216000000</v>
      </c>
      <c r="F986" s="65">
        <f>(18216+93028+53+227868+106+13256+2234)*1000000</f>
        <v>354761000000</v>
      </c>
      <c r="G986" s="65">
        <f>1118465*1000000</f>
        <v>1118465000000</v>
      </c>
      <c r="H986" s="65">
        <f>100487*1000000</f>
        <v>100487000000</v>
      </c>
      <c r="I986" s="65">
        <f>703404*1000000</f>
        <v>703404000000</v>
      </c>
      <c r="J986" s="65">
        <f>303476*1000000</f>
        <v>303476000000</v>
      </c>
      <c r="K986" s="65">
        <f>415061*1000000</f>
        <v>415061000000</v>
      </c>
      <c r="L986" s="65">
        <f>291202*1000000</f>
        <v>291202000000</v>
      </c>
      <c r="M986" s="65">
        <f>91893*1000000</f>
        <v>91893000000</v>
      </c>
      <c r="N986" s="65">
        <f>79602*1000000</f>
        <v>79602000000</v>
      </c>
      <c r="O986" s="66">
        <v>0.56899999999999995</v>
      </c>
      <c r="P986" s="67" t="s">
        <v>274</v>
      </c>
      <c r="Q986" s="65">
        <v>2</v>
      </c>
      <c r="R986" s="65">
        <v>3</v>
      </c>
      <c r="S986" s="65">
        <v>3</v>
      </c>
      <c r="T986" s="65">
        <f t="shared" si="91"/>
        <v>6</v>
      </c>
      <c r="U986" s="68">
        <v>0.125</v>
      </c>
      <c r="V986" s="65">
        <v>0</v>
      </c>
      <c r="W986" s="65">
        <v>0</v>
      </c>
      <c r="X986" s="65">
        <v>0</v>
      </c>
      <c r="Y986" s="64"/>
    </row>
    <row r="987" spans="1:25" s="54" customFormat="1" ht="15" customHeight="1" x14ac:dyDescent="0.3">
      <c r="A987" s="63"/>
      <c r="B987" s="64"/>
      <c r="C987" s="55"/>
      <c r="D987" s="64">
        <v>2020</v>
      </c>
      <c r="E987" s="65">
        <f>40357*1000000</f>
        <v>40357000000</v>
      </c>
      <c r="F987" s="65">
        <f>(40357+116932+37+747337+21+1878+2903)*1000000</f>
        <v>909465000000</v>
      </c>
      <c r="G987" s="65">
        <f>1702005*1000000</f>
        <v>1702005000000</v>
      </c>
      <c r="H987" s="65">
        <f>119555*1000000</f>
        <v>119555000000</v>
      </c>
      <c r="I987" s="65">
        <f>1178813*1000000</f>
        <v>1178813000000</v>
      </c>
      <c r="J987" s="65">
        <f>406833*1000000</f>
        <v>406833000000</v>
      </c>
      <c r="K987" s="65">
        <f>523192*1000000</f>
        <v>523192000000</v>
      </c>
      <c r="L987" s="65">
        <f>324522*1000000</f>
        <v>324522000000</v>
      </c>
      <c r="M987" s="65">
        <f>120017*1000000</f>
        <v>120017000000</v>
      </c>
      <c r="N987" s="65">
        <f>107521*1000000</f>
        <v>107521000000</v>
      </c>
      <c r="O987" s="66">
        <v>0.88</v>
      </c>
      <c r="P987" s="67" t="s">
        <v>274</v>
      </c>
      <c r="Q987" s="65">
        <v>2</v>
      </c>
      <c r="R987" s="65">
        <v>3</v>
      </c>
      <c r="S987" s="65">
        <v>3</v>
      </c>
      <c r="T987" s="65">
        <f t="shared" si="91"/>
        <v>6</v>
      </c>
      <c r="U987" s="68">
        <v>8.2500000000000004E-2</v>
      </c>
      <c r="V987" s="65">
        <v>0</v>
      </c>
      <c r="W987" s="65">
        <v>0</v>
      </c>
      <c r="X987" s="65">
        <v>0</v>
      </c>
      <c r="Y987" s="64"/>
    </row>
    <row r="988" spans="1:25" s="54" customFormat="1" ht="15" customHeight="1" x14ac:dyDescent="0.3">
      <c r="A988" s="63"/>
      <c r="B988" s="64"/>
      <c r="C988" s="55"/>
      <c r="D988" s="64">
        <v>2021</v>
      </c>
      <c r="E988" s="65">
        <f>36595*1000000</f>
        <v>36595000000</v>
      </c>
      <c r="F988" s="65">
        <f>(36595+119887+174+957653-88+38114+2549)*1000000</f>
        <v>1154884000000</v>
      </c>
      <c r="G988" s="65">
        <f>2024029*1000000</f>
        <v>2024029000000</v>
      </c>
      <c r="H988" s="65">
        <f>152595*1000000</f>
        <v>152595000000</v>
      </c>
      <c r="I988" s="65">
        <f>1417106*1000000</f>
        <v>1417106000000</v>
      </c>
      <c r="J988" s="65">
        <f>495580*1000000</f>
        <v>495580000000</v>
      </c>
      <c r="K988" s="65">
        <f>606923*1000000</f>
        <v>606923000000</v>
      </c>
      <c r="L988" s="65">
        <f>295244*1000000</f>
        <v>295244000000</v>
      </c>
      <c r="M988" s="65">
        <f>102713*1000000</f>
        <v>102713000000</v>
      </c>
      <c r="N988" s="65">
        <f>83387*1000000</f>
        <v>83387000000</v>
      </c>
      <c r="O988" s="66">
        <v>0.88</v>
      </c>
      <c r="P988" s="67" t="s">
        <v>274</v>
      </c>
      <c r="Q988" s="65">
        <v>1</v>
      </c>
      <c r="R988" s="65">
        <v>2</v>
      </c>
      <c r="S988" s="65">
        <v>4</v>
      </c>
      <c r="T988" s="65">
        <f t="shared" si="91"/>
        <v>6</v>
      </c>
      <c r="U988" s="68">
        <v>8.2500000000000004E-2</v>
      </c>
      <c r="V988" s="65">
        <v>0</v>
      </c>
      <c r="W988" s="65">
        <v>0</v>
      </c>
      <c r="X988" s="65">
        <v>0</v>
      </c>
      <c r="Y988" s="64"/>
    </row>
    <row r="989" spans="1:25" s="54" customFormat="1" ht="15" customHeight="1" x14ac:dyDescent="0.3">
      <c r="A989" s="63"/>
      <c r="B989" s="64"/>
      <c r="C989" s="55"/>
      <c r="D989" s="64">
        <v>2022</v>
      </c>
      <c r="E989" s="65">
        <f>41330*1000000</f>
        <v>41330000000</v>
      </c>
      <c r="F989" s="65">
        <f>(41330+114781+28+914203-90+43155+3557)*1000000</f>
        <v>1116964000000</v>
      </c>
      <c r="G989" s="65">
        <f>2022456*1000000</f>
        <v>2022456000000</v>
      </c>
      <c r="H989" s="65">
        <f>104736*1000000</f>
        <v>104736000000</v>
      </c>
      <c r="I989" s="65">
        <f>1351600*1000000</f>
        <v>1351600000000</v>
      </c>
      <c r="J989" s="65">
        <f>558610*1000000</f>
        <v>558610000000</v>
      </c>
      <c r="K989" s="65">
        <f>670856*1000000</f>
        <v>670856000000</v>
      </c>
      <c r="L989" s="65">
        <f>285067*1000000</f>
        <v>285067000000</v>
      </c>
      <c r="M989" s="65">
        <f>70483*1000000</f>
        <v>70483000000</v>
      </c>
      <c r="N989" s="65">
        <f>63985*1000000</f>
        <v>63985000000</v>
      </c>
      <c r="O989" s="66">
        <v>0.96</v>
      </c>
      <c r="P989" s="67" t="s">
        <v>274</v>
      </c>
      <c r="Q989" s="65">
        <v>2</v>
      </c>
      <c r="R989" s="65">
        <v>3</v>
      </c>
      <c r="S989" s="65">
        <v>4</v>
      </c>
      <c r="T989" s="65">
        <f t="shared" si="91"/>
        <v>7</v>
      </c>
      <c r="U989" s="68">
        <v>2.75E-2</v>
      </c>
      <c r="V989" s="65">
        <v>0</v>
      </c>
      <c r="W989" s="65">
        <v>0</v>
      </c>
      <c r="X989" s="65">
        <v>0</v>
      </c>
      <c r="Y989" s="64"/>
    </row>
    <row r="990" spans="1:25" s="54" customFormat="1" ht="15" customHeight="1" x14ac:dyDescent="0.3">
      <c r="A990" s="63"/>
      <c r="B990" s="64"/>
      <c r="C990" s="55"/>
      <c r="D990" s="64">
        <v>2023</v>
      </c>
      <c r="E990" s="65">
        <f>40708*1000000</f>
        <v>40708000000</v>
      </c>
      <c r="F990" s="65">
        <f>(40708+189673+49+893016-339+61927+15110+4502)*1000000</f>
        <v>1204646000000</v>
      </c>
      <c r="G990" s="65">
        <f>2148834*1000000</f>
        <v>2148834000000</v>
      </c>
      <c r="H990" s="65">
        <f>183912*1000000</f>
        <v>183912000000</v>
      </c>
      <c r="I990" s="65">
        <f>1431367*1000000</f>
        <v>1431367000000</v>
      </c>
      <c r="J990" s="65">
        <f>606367*1000000</f>
        <v>606367000000</v>
      </c>
      <c r="K990" s="65">
        <f>717467*1000000</f>
        <v>717467000000</v>
      </c>
      <c r="L990" s="65">
        <f>285034*1000000</f>
        <v>285034000000</v>
      </c>
      <c r="M990" s="65">
        <f>51037*1000000</f>
        <v>51037000000</v>
      </c>
      <c r="N990" s="65">
        <f>46743*1000000</f>
        <v>46743000000</v>
      </c>
      <c r="O990" s="66">
        <v>0.995</v>
      </c>
      <c r="P990" s="67" t="s">
        <v>274</v>
      </c>
      <c r="Q990" s="65">
        <v>2</v>
      </c>
      <c r="R990" s="65">
        <v>3</v>
      </c>
      <c r="S990" s="65">
        <v>4</v>
      </c>
      <c r="T990" s="65">
        <f t="shared" si="91"/>
        <v>7</v>
      </c>
      <c r="U990" s="68">
        <v>5.0000000000000001E-3</v>
      </c>
      <c r="V990" s="65">
        <v>0</v>
      </c>
      <c r="W990" s="65">
        <v>0</v>
      </c>
      <c r="X990" s="65">
        <v>0</v>
      </c>
      <c r="Y990" s="64"/>
    </row>
    <row r="991" spans="1:25" s="54" customFormat="1" ht="15" customHeight="1" x14ac:dyDescent="0.3">
      <c r="A991" s="63"/>
      <c r="B991" s="64"/>
      <c r="C991" s="55"/>
      <c r="D991" s="64">
        <v>2024</v>
      </c>
      <c r="E991" s="65">
        <f>24982*1000000</f>
        <v>24982000000</v>
      </c>
      <c r="F991" s="65">
        <f>(24982+167710+42+855493-76+69549+4049)*1000000</f>
        <v>1121749000000</v>
      </c>
      <c r="G991" s="65">
        <f>2133757*1000000</f>
        <v>2133757000000</v>
      </c>
      <c r="H991" s="65">
        <f>187808*1000000</f>
        <v>187808000000</v>
      </c>
      <c r="I991" s="65">
        <f>1377998*1000000</f>
        <v>1377998000000</v>
      </c>
      <c r="J991" s="65">
        <f>644602*1000000</f>
        <v>644602000000</v>
      </c>
      <c r="K991" s="65">
        <f>755759*1000000</f>
        <v>755759000000</v>
      </c>
      <c r="L991" s="65">
        <f>304457*1000000</f>
        <v>304457000000</v>
      </c>
      <c r="M991" s="65">
        <f>40620*1000000</f>
        <v>40620000000</v>
      </c>
      <c r="N991" s="65">
        <f>38215*1000000</f>
        <v>38215000000</v>
      </c>
      <c r="O991" s="66">
        <v>0.99990000000000001</v>
      </c>
      <c r="P991" s="67" t="s">
        <v>274</v>
      </c>
      <c r="Q991" s="65">
        <v>1</v>
      </c>
      <c r="R991" s="65">
        <v>2</v>
      </c>
      <c r="S991" s="65">
        <v>3</v>
      </c>
      <c r="T991" s="65">
        <f t="shared" si="91"/>
        <v>5</v>
      </c>
      <c r="U991" s="68">
        <v>1E-4</v>
      </c>
      <c r="V991" s="65">
        <v>0</v>
      </c>
      <c r="W991" s="65">
        <v>0</v>
      </c>
      <c r="X991" s="65">
        <v>0</v>
      </c>
      <c r="Y991" s="64"/>
    </row>
    <row r="992" spans="1:25" s="54" customFormat="1" ht="15" customHeight="1" x14ac:dyDescent="0.3">
      <c r="A992" s="63"/>
      <c r="B992" s="64">
        <v>91</v>
      </c>
      <c r="C992" s="55" t="s">
        <v>88</v>
      </c>
      <c r="D992" s="64">
        <v>2014</v>
      </c>
      <c r="E992" s="65">
        <v>0</v>
      </c>
      <c r="F992" s="65">
        <v>0</v>
      </c>
      <c r="G992" s="65">
        <v>0</v>
      </c>
      <c r="H992" s="65">
        <v>0</v>
      </c>
      <c r="I992" s="65">
        <v>0</v>
      </c>
      <c r="J992" s="65">
        <v>0</v>
      </c>
      <c r="K992" s="65">
        <v>0</v>
      </c>
      <c r="L992" s="74">
        <f>540949*1000000</f>
        <v>540949000000</v>
      </c>
      <c r="M992" s="65">
        <v>0</v>
      </c>
      <c r="N992" s="65">
        <v>0</v>
      </c>
      <c r="O992" s="65">
        <v>0</v>
      </c>
      <c r="P992" s="65">
        <v>0</v>
      </c>
      <c r="Q992" s="65">
        <v>0</v>
      </c>
      <c r="R992" s="65">
        <v>0</v>
      </c>
      <c r="S992" s="65">
        <v>0</v>
      </c>
      <c r="T992" s="65">
        <v>0</v>
      </c>
      <c r="U992" s="65">
        <v>0</v>
      </c>
      <c r="V992" s="65">
        <v>0</v>
      </c>
      <c r="W992" s="65">
        <v>0</v>
      </c>
      <c r="X992" s="65">
        <v>0</v>
      </c>
      <c r="Y992" s="64"/>
    </row>
    <row r="993" spans="1:25" s="54" customFormat="1" ht="15" customHeight="1" x14ac:dyDescent="0.3">
      <c r="A993" s="63"/>
      <c r="B993" s="64"/>
      <c r="C993" s="55"/>
      <c r="D993" s="64">
        <v>2015</v>
      </c>
      <c r="E993" s="65">
        <f>18659*1000000</f>
        <v>18659000000</v>
      </c>
      <c r="F993" s="65">
        <f>(18659+213812+82675+1351088+11331)*1000000</f>
        <v>1677565000000</v>
      </c>
      <c r="G993" s="65">
        <f>2926660*1000000</f>
        <v>2926660000000</v>
      </c>
      <c r="H993" s="65">
        <f>367727*1000000</f>
        <v>367727000000</v>
      </c>
      <c r="I993" s="65">
        <f>2200288*1000000</f>
        <v>2200288000000</v>
      </c>
      <c r="J993" s="65">
        <f>580621*1000000</f>
        <v>580621000000</v>
      </c>
      <c r="K993" s="65">
        <f>726372*1000000</f>
        <v>726372000000</v>
      </c>
      <c r="L993" s="74">
        <f>545262*1000000</f>
        <v>545262000000</v>
      </c>
      <c r="M993" s="65">
        <f>243801*1000000</f>
        <v>243801000000</v>
      </c>
      <c r="N993" s="65">
        <f>177826*1000000</f>
        <v>177826000000</v>
      </c>
      <c r="O993" s="66">
        <v>0.8</v>
      </c>
      <c r="P993" s="67" t="s">
        <v>275</v>
      </c>
      <c r="Q993" s="65">
        <v>2</v>
      </c>
      <c r="R993" s="65">
        <v>4</v>
      </c>
      <c r="S993" s="65">
        <v>4</v>
      </c>
      <c r="T993" s="65">
        <f>SUM(R993:S993)</f>
        <v>8</v>
      </c>
      <c r="U993" s="68">
        <v>0</v>
      </c>
      <c r="V993" s="65">
        <v>0</v>
      </c>
      <c r="W993" s="65">
        <v>0</v>
      </c>
      <c r="X993" s="65">
        <v>0</v>
      </c>
      <c r="Y993" s="64"/>
    </row>
    <row r="994" spans="1:25" s="54" customFormat="1" ht="15" customHeight="1" x14ac:dyDescent="0.3">
      <c r="A994" s="63"/>
      <c r="B994" s="64"/>
      <c r="C994" s="55"/>
      <c r="D994" s="64">
        <v>2016</v>
      </c>
      <c r="E994" s="65">
        <f>25147*1000000</f>
        <v>25147000000</v>
      </c>
      <c r="F994" s="65">
        <f>(25147+199624+57640+949402+9923)*1000000</f>
        <v>1241736000000</v>
      </c>
      <c r="G994" s="65">
        <f>2513178*1000000</f>
        <v>2513178000000</v>
      </c>
      <c r="H994" s="65">
        <f>338229*1000000</f>
        <v>338229000000</v>
      </c>
      <c r="I994" s="65">
        <f>1724253*1000000</f>
        <v>1724253000000</v>
      </c>
      <c r="J994" s="65">
        <f>634211*1000000</f>
        <v>634211000000</v>
      </c>
      <c r="K994" s="65">
        <f>788925*1000000</f>
        <v>788925000000</v>
      </c>
      <c r="L994" s="74">
        <f>484071*1000000</f>
        <v>484071000000</v>
      </c>
      <c r="M994" s="65">
        <f>193275*1000000</f>
        <v>193275000000</v>
      </c>
      <c r="N994" s="65">
        <f>154934*1000000</f>
        <v>154934000000</v>
      </c>
      <c r="O994" s="66">
        <v>0.8</v>
      </c>
      <c r="P994" s="67" t="s">
        <v>275</v>
      </c>
      <c r="Q994" s="65">
        <v>3</v>
      </c>
      <c r="R994" s="65">
        <v>4</v>
      </c>
      <c r="S994" s="65">
        <v>5</v>
      </c>
      <c r="T994" s="65">
        <f t="shared" ref="T994:T1002" si="92">SUM(R994:S994)</f>
        <v>9</v>
      </c>
      <c r="U994" s="68">
        <v>0</v>
      </c>
      <c r="V994" s="65">
        <v>0</v>
      </c>
      <c r="W994" s="65">
        <v>0</v>
      </c>
      <c r="X994" s="65">
        <v>0</v>
      </c>
      <c r="Y994" s="64"/>
    </row>
    <row r="995" spans="1:25" s="54" customFormat="1" ht="15" customHeight="1" x14ac:dyDescent="0.3">
      <c r="A995" s="63"/>
      <c r="B995" s="64"/>
      <c r="C995" s="55"/>
      <c r="D995" s="64">
        <v>2017</v>
      </c>
      <c r="E995" s="65">
        <f>32520*1000000</f>
        <v>32520000000</v>
      </c>
      <c r="F995" s="65">
        <f>(32520+275668+253559+882578+3792+28644+8734)*1000000</f>
        <v>1485495000000</v>
      </c>
      <c r="G995" s="65">
        <f>2547394*1000000</f>
        <v>2547394000000</v>
      </c>
      <c r="H995" s="65">
        <f>372558*1000000</f>
        <v>372558000000</v>
      </c>
      <c r="I995" s="65">
        <f>1704424*1000000</f>
        <v>1704424000000</v>
      </c>
      <c r="J995" s="65">
        <f>702970*1000000</f>
        <v>702970000000</v>
      </c>
      <c r="K995" s="65">
        <f>842970*1000000</f>
        <v>842970000000</v>
      </c>
      <c r="L995" s="74">
        <f>475494*1000000</f>
        <v>475494000000</v>
      </c>
      <c r="M995" s="65">
        <f>134222*1000000</f>
        <v>134222000000</v>
      </c>
      <c r="N995" s="65">
        <f>127030*1000000</f>
        <v>127030000000</v>
      </c>
      <c r="O995" s="66">
        <v>0.8</v>
      </c>
      <c r="P995" s="67" t="s">
        <v>275</v>
      </c>
      <c r="Q995" s="65">
        <v>3</v>
      </c>
      <c r="R995" s="65">
        <v>4</v>
      </c>
      <c r="S995" s="65">
        <v>5</v>
      </c>
      <c r="T995" s="65">
        <f t="shared" si="92"/>
        <v>9</v>
      </c>
      <c r="U995" s="68">
        <v>0</v>
      </c>
      <c r="V995" s="65">
        <v>0</v>
      </c>
      <c r="W995" s="65">
        <v>0</v>
      </c>
      <c r="X995" s="65">
        <v>0</v>
      </c>
      <c r="Y995" s="64"/>
    </row>
    <row r="996" spans="1:25" s="54" customFormat="1" ht="15" customHeight="1" x14ac:dyDescent="0.3">
      <c r="A996" s="63"/>
      <c r="B996" s="64"/>
      <c r="C996" s="55"/>
      <c r="D996" s="64">
        <v>2018</v>
      </c>
      <c r="E996" s="65">
        <f>22729*1000000</f>
        <v>22729000000</v>
      </c>
      <c r="F996" s="65">
        <f>(22729+368564+45544+1125911+17851+360574+10324)*1000000</f>
        <v>1951497000000</v>
      </c>
      <c r="G996" s="65">
        <f>3374090*1000000</f>
        <v>3374090000000</v>
      </c>
      <c r="H996" s="65">
        <f>842161*1000000</f>
        <v>842161000000</v>
      </c>
      <c r="I996" s="65">
        <f>2498964*1000000</f>
        <v>2498964000000</v>
      </c>
      <c r="J996" s="65">
        <f>735126*1000000</f>
        <v>735126000000</v>
      </c>
      <c r="K996" s="65">
        <f>875126*1000000</f>
        <v>875126000000</v>
      </c>
      <c r="L996" s="74">
        <f>524481*1000000</f>
        <v>524481000000</v>
      </c>
      <c r="M996" s="65">
        <f>146520*1000000</f>
        <v>146520000000</v>
      </c>
      <c r="N996" s="65">
        <f>83039*1000000</f>
        <v>83039000000</v>
      </c>
      <c r="O996" s="66">
        <v>0.8</v>
      </c>
      <c r="P996" s="67" t="s">
        <v>275</v>
      </c>
      <c r="Q996" s="65">
        <v>3</v>
      </c>
      <c r="R996" s="65">
        <v>4</v>
      </c>
      <c r="S996" s="65">
        <v>5</v>
      </c>
      <c r="T996" s="65">
        <f t="shared" si="92"/>
        <v>9</v>
      </c>
      <c r="U996" s="68">
        <v>0</v>
      </c>
      <c r="V996" s="65">
        <v>0</v>
      </c>
      <c r="W996" s="65">
        <v>0</v>
      </c>
      <c r="X996" s="65">
        <v>0</v>
      </c>
      <c r="Y996" s="64"/>
    </row>
    <row r="997" spans="1:25" s="54" customFormat="1" ht="15" customHeight="1" x14ac:dyDescent="0.3">
      <c r="A997" s="63"/>
      <c r="B997" s="64"/>
      <c r="C997" s="55"/>
      <c r="D997" s="64">
        <v>2019</v>
      </c>
      <c r="E997" s="65">
        <f>27048*1000000</f>
        <v>27048000000</v>
      </c>
      <c r="F997" s="65">
        <f>(27048+405430+63254+1170661+6428+210435+9665)*1000000</f>
        <v>1892921000000</v>
      </c>
      <c r="G997" s="65">
        <f>3475230*1000000</f>
        <v>3475230000000</v>
      </c>
      <c r="H997" s="65">
        <f>760848*1000000</f>
        <v>760848000000</v>
      </c>
      <c r="I997" s="65">
        <f>2523111*1000000</f>
        <v>2523111000000</v>
      </c>
      <c r="J997" s="65">
        <f>812119*1000000</f>
        <v>812119000000</v>
      </c>
      <c r="K997" s="65">
        <f>952119*1000000</f>
        <v>952119000000</v>
      </c>
      <c r="L997" s="65">
        <f>548286*1000000</f>
        <v>548286000000</v>
      </c>
      <c r="M997" s="65">
        <f>142222*1000000</f>
        <v>142222000000</v>
      </c>
      <c r="N997" s="65">
        <f>133709*1000000</f>
        <v>133709000000</v>
      </c>
      <c r="O997" s="66">
        <v>0.8</v>
      </c>
      <c r="P997" s="67" t="s">
        <v>275</v>
      </c>
      <c r="Q997" s="65">
        <v>2</v>
      </c>
      <c r="R997" s="65">
        <v>4</v>
      </c>
      <c r="S997" s="65">
        <v>5</v>
      </c>
      <c r="T997" s="65">
        <f t="shared" si="92"/>
        <v>9</v>
      </c>
      <c r="U997" s="68">
        <v>0</v>
      </c>
      <c r="V997" s="65">
        <v>0</v>
      </c>
      <c r="W997" s="65">
        <v>0</v>
      </c>
      <c r="X997" s="65">
        <v>0</v>
      </c>
      <c r="Y997" s="64"/>
    </row>
    <row r="998" spans="1:25" s="54" customFormat="1" ht="15" customHeight="1" x14ac:dyDescent="0.3">
      <c r="A998" s="63"/>
      <c r="B998" s="64"/>
      <c r="C998" s="55"/>
      <c r="D998" s="64">
        <v>2020</v>
      </c>
      <c r="E998" s="65">
        <f>41179*1000000</f>
        <v>41179000000</v>
      </c>
      <c r="F998" s="65">
        <f>(41179+573992+87750+2617439+5611+194813+10155)*1000000</f>
        <v>3530939000000</v>
      </c>
      <c r="G998" s="65">
        <f>5184821*1000000</f>
        <v>5184821000000</v>
      </c>
      <c r="H998" s="65">
        <f>884413*1000000</f>
        <v>884413000000</v>
      </c>
      <c r="I998" s="65">
        <f>4165154*1000000</f>
        <v>4165154000000</v>
      </c>
      <c r="J998" s="65">
        <f>879667*1000000</f>
        <v>879667000000</v>
      </c>
      <c r="K998" s="65">
        <f>1019667*1000000</f>
        <v>1019667000000</v>
      </c>
      <c r="L998" s="65">
        <f>530540*1000000</f>
        <v>530540000000</v>
      </c>
      <c r="M998" s="65">
        <f>89245*1000000</f>
        <v>89245000000</v>
      </c>
      <c r="N998" s="65">
        <f>98223*1000000</f>
        <v>98223000000</v>
      </c>
      <c r="O998" s="66">
        <v>0.8</v>
      </c>
      <c r="P998" s="67" t="s">
        <v>275</v>
      </c>
      <c r="Q998" s="65">
        <v>2</v>
      </c>
      <c r="R998" s="65">
        <v>4</v>
      </c>
      <c r="S998" s="65">
        <v>5</v>
      </c>
      <c r="T998" s="65">
        <f t="shared" si="92"/>
        <v>9</v>
      </c>
      <c r="U998" s="68">
        <v>0</v>
      </c>
      <c r="V998" s="65">
        <v>0</v>
      </c>
      <c r="W998" s="65">
        <v>0</v>
      </c>
      <c r="X998" s="65">
        <v>0</v>
      </c>
      <c r="Y998" s="64"/>
    </row>
    <row r="999" spans="1:25" s="54" customFormat="1" ht="15" customHeight="1" x14ac:dyDescent="0.3">
      <c r="A999" s="63"/>
      <c r="B999" s="64"/>
      <c r="C999" s="55"/>
      <c r="D999" s="64">
        <v>2021</v>
      </c>
      <c r="E999" s="65">
        <f>78954*1000000</f>
        <v>78954000000</v>
      </c>
      <c r="F999" s="65">
        <f>(78954+391035+69882+2414662+5056+255816+10128)*1000000</f>
        <v>3225533000000</v>
      </c>
      <c r="G999" s="65">
        <f>5087106*1000000</f>
        <v>5087106000000</v>
      </c>
      <c r="H999" s="65">
        <f>903737*1000000</f>
        <v>903737000000</v>
      </c>
      <c r="I999" s="65">
        <f>3990215*1000000</f>
        <v>3990215000000</v>
      </c>
      <c r="J999" s="65">
        <f>956891*1000000</f>
        <v>956891000000</v>
      </c>
      <c r="K999" s="65">
        <f>1096891*1000000</f>
        <v>1096891000000</v>
      </c>
      <c r="L999" s="65">
        <f>611835*1000000</f>
        <v>611835000000</v>
      </c>
      <c r="M999" s="65">
        <f>197437*1000000</f>
        <v>197437000000</v>
      </c>
      <c r="N999" s="65">
        <f>150262*1000000</f>
        <v>150262000000</v>
      </c>
      <c r="O999" s="66">
        <v>0.8</v>
      </c>
      <c r="P999" s="67" t="s">
        <v>275</v>
      </c>
      <c r="Q999" s="65">
        <v>2</v>
      </c>
      <c r="R999" s="65">
        <v>4</v>
      </c>
      <c r="S999" s="65">
        <v>5</v>
      </c>
      <c r="T999" s="65">
        <f t="shared" si="92"/>
        <v>9</v>
      </c>
      <c r="U999" s="68">
        <v>0</v>
      </c>
      <c r="V999" s="65">
        <v>0</v>
      </c>
      <c r="W999" s="65">
        <v>0</v>
      </c>
      <c r="X999" s="65">
        <v>0</v>
      </c>
      <c r="Y999" s="64"/>
    </row>
    <row r="1000" spans="1:25" s="54" customFormat="1" ht="15" customHeight="1" x14ac:dyDescent="0.3">
      <c r="A1000" s="63"/>
      <c r="B1000" s="64"/>
      <c r="C1000" s="55"/>
      <c r="D1000" s="64">
        <v>2022</v>
      </c>
      <c r="E1000" s="65">
        <f>29336*1000000</f>
        <v>29336000000</v>
      </c>
      <c r="F1000" s="65">
        <f>(29336+606454+122122+1787065+8634+170189+11029)*1000000</f>
        <v>2734829000000</v>
      </c>
      <c r="G1000" s="65">
        <f>4655875*1000000</f>
        <v>4655875000000</v>
      </c>
      <c r="H1000" s="65">
        <f>1085174*1000000</f>
        <v>1085174000000</v>
      </c>
      <c r="I1000" s="65">
        <f>3593551*1000000</f>
        <v>3593551000000</v>
      </c>
      <c r="J1000" s="65">
        <f>922324*1000000</f>
        <v>922324000000</v>
      </c>
      <c r="K1000" s="65">
        <f>1062324*1000000</f>
        <v>1062324000000</v>
      </c>
      <c r="L1000" s="65">
        <f>669942*1000000</f>
        <v>669942000000</v>
      </c>
      <c r="M1000" s="65">
        <f>201252*1000000</f>
        <v>201252000000</v>
      </c>
      <c r="N1000" s="65">
        <f>134116*1000000</f>
        <v>134116000000</v>
      </c>
      <c r="O1000" s="66">
        <v>0.8</v>
      </c>
      <c r="P1000" s="67" t="s">
        <v>275</v>
      </c>
      <c r="Q1000" s="65">
        <v>2</v>
      </c>
      <c r="R1000" s="65">
        <v>4</v>
      </c>
      <c r="S1000" s="65">
        <v>5</v>
      </c>
      <c r="T1000" s="65">
        <f t="shared" si="92"/>
        <v>9</v>
      </c>
      <c r="U1000" s="68">
        <v>0</v>
      </c>
      <c r="V1000" s="65">
        <v>0</v>
      </c>
      <c r="W1000" s="65">
        <v>0</v>
      </c>
      <c r="X1000" s="65">
        <v>0</v>
      </c>
      <c r="Y1000" s="64"/>
    </row>
    <row r="1001" spans="1:25" s="54" customFormat="1" ht="15" customHeight="1" x14ac:dyDescent="0.3">
      <c r="A1001" s="63"/>
      <c r="B1001" s="64"/>
      <c r="C1001" s="55"/>
      <c r="D1001" s="64">
        <v>2023</v>
      </c>
      <c r="E1001" s="65">
        <f>23209*1000000</f>
        <v>23209000000</v>
      </c>
      <c r="F1001" s="65">
        <f>(23209+700253+59062+1304079+5336+340622+16571)*1000000</f>
        <v>2449132000000</v>
      </c>
      <c r="G1001" s="65">
        <f>4304220*1000000</f>
        <v>4304220000000</v>
      </c>
      <c r="H1001" s="65">
        <f>1044353*1000000</f>
        <v>1044353000000</v>
      </c>
      <c r="I1001" s="65">
        <f>3072578*1000000</f>
        <v>3072578000000</v>
      </c>
      <c r="J1001" s="65">
        <f>1091642*1000000</f>
        <v>1091642000000</v>
      </c>
      <c r="K1001" s="65">
        <f>1231642*1000000</f>
        <v>1231642000000</v>
      </c>
      <c r="L1001" s="65">
        <f>740368*1000000</f>
        <v>740368000000</v>
      </c>
      <c r="M1001" s="65">
        <f>249532*1000000</f>
        <v>249532000000</v>
      </c>
      <c r="N1001" s="65">
        <f>212388*1000000</f>
        <v>212388000000</v>
      </c>
      <c r="O1001" s="66">
        <v>0.8</v>
      </c>
      <c r="P1001" s="67" t="s">
        <v>242</v>
      </c>
      <c r="Q1001" s="65">
        <v>2</v>
      </c>
      <c r="R1001" s="65">
        <v>4</v>
      </c>
      <c r="S1001" s="65">
        <v>5</v>
      </c>
      <c r="T1001" s="65">
        <f t="shared" si="92"/>
        <v>9</v>
      </c>
      <c r="U1001" s="68">
        <v>0</v>
      </c>
      <c r="V1001" s="65">
        <v>0</v>
      </c>
      <c r="W1001" s="65">
        <v>0</v>
      </c>
      <c r="X1001" s="65">
        <v>0</v>
      </c>
      <c r="Y1001" s="64"/>
    </row>
    <row r="1002" spans="1:25" s="54" customFormat="1" ht="15" customHeight="1" x14ac:dyDescent="0.3">
      <c r="A1002" s="63"/>
      <c r="B1002" s="64"/>
      <c r="C1002" s="55"/>
      <c r="D1002" s="64">
        <v>2024</v>
      </c>
      <c r="E1002" s="65">
        <f>7974*1000000</f>
        <v>7974000000</v>
      </c>
      <c r="F1002" s="65">
        <f>(7974+602830+46658+1244204+10319+324701+17235)*1000000</f>
        <v>2253921000000</v>
      </c>
      <c r="G1002" s="65">
        <f>4131880*1000000</f>
        <v>4131880000000</v>
      </c>
      <c r="H1002" s="65">
        <f>978116*1000000</f>
        <v>978116000000</v>
      </c>
      <c r="I1002" s="65">
        <f>3003809*1000000</f>
        <v>3003809000000</v>
      </c>
      <c r="J1002" s="65">
        <f>988071*1000000</f>
        <v>988071000000</v>
      </c>
      <c r="K1002" s="65">
        <f>1128071*1000000</f>
        <v>1128071000000</v>
      </c>
      <c r="L1002" s="65">
        <f>841839*1000000</f>
        <v>841839000000</v>
      </c>
      <c r="M1002" s="65">
        <f>133267*1000000</f>
        <v>133267000000</v>
      </c>
      <c r="N1002" s="65">
        <f>104313*1000000</f>
        <v>104313000000</v>
      </c>
      <c r="O1002" s="66">
        <v>0.8</v>
      </c>
      <c r="P1002" s="67" t="s">
        <v>242</v>
      </c>
      <c r="Q1002" s="65">
        <v>2</v>
      </c>
      <c r="R1002" s="65">
        <v>4</v>
      </c>
      <c r="S1002" s="65">
        <v>5</v>
      </c>
      <c r="T1002" s="65">
        <f t="shared" si="92"/>
        <v>9</v>
      </c>
      <c r="U1002" s="68">
        <v>0</v>
      </c>
      <c r="V1002" s="65">
        <v>0</v>
      </c>
      <c r="W1002" s="65">
        <v>0</v>
      </c>
      <c r="X1002" s="65">
        <v>0</v>
      </c>
      <c r="Y1002" s="64"/>
    </row>
    <row r="1003" spans="1:25" s="54" customFormat="1" ht="15" customHeight="1" x14ac:dyDescent="0.3">
      <c r="A1003" s="63"/>
      <c r="B1003" s="64">
        <v>92</v>
      </c>
      <c r="C1003" s="55" t="s">
        <v>94</v>
      </c>
      <c r="D1003" s="64">
        <v>2014</v>
      </c>
      <c r="E1003" s="65">
        <v>0</v>
      </c>
      <c r="F1003" s="65">
        <v>0</v>
      </c>
      <c r="G1003" s="65">
        <v>0</v>
      </c>
      <c r="H1003" s="65">
        <v>0</v>
      </c>
      <c r="I1003" s="65">
        <v>0</v>
      </c>
      <c r="J1003" s="65">
        <v>0</v>
      </c>
      <c r="K1003" s="65">
        <v>0</v>
      </c>
      <c r="L1003" s="65">
        <f>729069511*1000</f>
        <v>729069511000</v>
      </c>
      <c r="M1003" s="65">
        <v>0</v>
      </c>
      <c r="N1003" s="65">
        <v>0</v>
      </c>
      <c r="O1003" s="65">
        <v>0</v>
      </c>
      <c r="P1003" s="65">
        <v>0</v>
      </c>
      <c r="Q1003" s="65">
        <v>0</v>
      </c>
      <c r="R1003" s="65">
        <v>0</v>
      </c>
      <c r="S1003" s="65">
        <v>0</v>
      </c>
      <c r="T1003" s="65">
        <v>0</v>
      </c>
      <c r="U1003" s="65">
        <v>0</v>
      </c>
      <c r="V1003" s="65">
        <v>0</v>
      </c>
      <c r="W1003" s="65">
        <v>0</v>
      </c>
      <c r="X1003" s="65">
        <v>0</v>
      </c>
      <c r="Y1003" s="64"/>
    </row>
    <row r="1004" spans="1:25" s="54" customFormat="1" ht="15" customHeight="1" x14ac:dyDescent="0.3">
      <c r="A1004" s="63"/>
      <c r="B1004" s="64"/>
      <c r="C1004" s="55"/>
      <c r="D1004" s="64">
        <v>2015</v>
      </c>
      <c r="E1004" s="65">
        <f>18403395*1000</f>
        <v>18403395000</v>
      </c>
      <c r="F1004" s="65">
        <f>(18403579+117615170+20551866+18390203+239311278)*1000</f>
        <v>414272096000</v>
      </c>
      <c r="G1004" s="65">
        <f>2627811764*1000</f>
        <v>2627811764000</v>
      </c>
      <c r="H1004" s="65">
        <f>(168894+2108582+79724869+4217726+63901437+2134257+32701643)*1000</f>
        <v>184957408000</v>
      </c>
      <c r="I1004" s="65">
        <f>1119285041*1000</f>
        <v>1119285041000</v>
      </c>
      <c r="J1004" s="65">
        <f>(30000000+758599100)*1000</f>
        <v>788599100000</v>
      </c>
      <c r="K1004" s="65">
        <f>1508526723*1000</f>
        <v>1508526723000</v>
      </c>
      <c r="L1004" s="65">
        <f>757076355*1000</f>
        <v>757076355000</v>
      </c>
      <c r="M1004" s="65">
        <f>211949051*1000</f>
        <v>211949051000</v>
      </c>
      <c r="N1004" s="65">
        <f>193750252*1000</f>
        <v>193750252000</v>
      </c>
      <c r="O1004" s="66">
        <v>0.55610000000000004</v>
      </c>
      <c r="P1004" s="67" t="s">
        <v>314</v>
      </c>
      <c r="Q1004" s="65">
        <v>2</v>
      </c>
      <c r="R1004" s="65">
        <v>4</v>
      </c>
      <c r="S1004" s="65">
        <v>6</v>
      </c>
      <c r="T1004" s="65">
        <f>SUM(R1004:S1004)</f>
        <v>10</v>
      </c>
      <c r="U1004" s="68">
        <v>0</v>
      </c>
      <c r="V1004" s="65">
        <v>0</v>
      </c>
      <c r="W1004" s="65">
        <v>0</v>
      </c>
      <c r="X1004" s="65">
        <v>0</v>
      </c>
      <c r="Y1004" s="64"/>
    </row>
    <row r="1005" spans="1:25" s="54" customFormat="1" ht="15" customHeight="1" x14ac:dyDescent="0.3">
      <c r="A1005" s="63"/>
      <c r="B1005" s="64"/>
      <c r="C1005" s="55"/>
      <c r="D1005" s="64">
        <v>2016</v>
      </c>
      <c r="E1005" s="65">
        <f>52831381*1000</f>
        <v>52831381000</v>
      </c>
      <c r="F1005" s="65">
        <f>(52831381+156849632+50848078+703379396)*1000</f>
        <v>963908487000</v>
      </c>
      <c r="G1005" s="65">
        <f>3436388457*1000</f>
        <v>3436388457000</v>
      </c>
      <c r="H1005" s="65">
        <f>(19308586+135560262+6030663+8623549+46859504+333111+51953799)*1000</f>
        <v>268669474000</v>
      </c>
      <c r="I1005" s="65">
        <f>1672629954*1000</f>
        <v>1672629954000</v>
      </c>
      <c r="J1005" s="65">
        <f>(33000000+885880707)*1000</f>
        <v>918880707000</v>
      </c>
      <c r="K1005" s="65">
        <f>(1763758503*1000)</f>
        <v>1763758503000</v>
      </c>
      <c r="L1005" s="65">
        <f>748068685*1000</f>
        <v>748068685000</v>
      </c>
      <c r="M1005" s="65">
        <f>138846826*1000</f>
        <v>138846826000</v>
      </c>
      <c r="N1005" s="65">
        <f>130306422*1000</f>
        <v>130306422000</v>
      </c>
      <c r="O1005" s="66">
        <v>0.8</v>
      </c>
      <c r="P1005" s="67" t="s">
        <v>315</v>
      </c>
      <c r="Q1005" s="65">
        <v>2</v>
      </c>
      <c r="R1005" s="65">
        <v>4</v>
      </c>
      <c r="S1005" s="65">
        <v>6</v>
      </c>
      <c r="T1005" s="65">
        <f t="shared" ref="T1005:T1013" si="93">SUM(R1005:S1005)</f>
        <v>10</v>
      </c>
      <c r="U1005" s="68">
        <v>0</v>
      </c>
      <c r="V1005" s="65">
        <v>0</v>
      </c>
      <c r="W1005" s="65">
        <v>0</v>
      </c>
      <c r="X1005" s="65">
        <v>0</v>
      </c>
      <c r="Y1005" s="64"/>
    </row>
    <row r="1006" spans="1:25" s="54" customFormat="1" ht="15" customHeight="1" x14ac:dyDescent="0.3">
      <c r="A1006" s="63"/>
      <c r="B1006" s="64"/>
      <c r="C1006" s="55"/>
      <c r="D1006" s="64">
        <v>2017</v>
      </c>
      <c r="E1006" s="65">
        <f>61418035*1000</f>
        <v>61418035000</v>
      </c>
      <c r="F1006" s="65">
        <f>(61418035+278139048+74960041+1579569+922386090)*1000</f>
        <v>1338482783000</v>
      </c>
      <c r="G1006" s="65">
        <f>3886960940*1000</f>
        <v>3886960940000</v>
      </c>
      <c r="H1006" s="65">
        <f>(20312140+219467043+3672073+2950305+46983996+56957987)*1000</f>
        <v>350343544000</v>
      </c>
      <c r="I1006" s="65">
        <f>2032951536*1000</f>
        <v>2032951536000</v>
      </c>
      <c r="J1006" s="65">
        <f>(36000000+966058197)*1000</f>
        <v>1002058197000</v>
      </c>
      <c r="K1006" s="65">
        <f>1854009404*1000</f>
        <v>1854009404000</v>
      </c>
      <c r="L1006" s="65">
        <f>768738026*1000</f>
        <v>768738026000</v>
      </c>
      <c r="M1006" s="65">
        <f>135713877*1000</f>
        <v>135713877000</v>
      </c>
      <c r="N1006" s="65">
        <f>123189910*1000</f>
        <v>123189910000</v>
      </c>
      <c r="O1006" s="66">
        <v>0.8</v>
      </c>
      <c r="P1006" s="67" t="s">
        <v>315</v>
      </c>
      <c r="Q1006" s="65">
        <v>2</v>
      </c>
      <c r="R1006" s="65">
        <v>4</v>
      </c>
      <c r="S1006" s="65">
        <v>7</v>
      </c>
      <c r="T1006" s="65">
        <f t="shared" si="93"/>
        <v>11</v>
      </c>
      <c r="U1006" s="68">
        <v>0</v>
      </c>
      <c r="V1006" s="65">
        <v>0</v>
      </c>
      <c r="W1006" s="65">
        <v>0</v>
      </c>
      <c r="X1006" s="65">
        <v>0</v>
      </c>
      <c r="Y1006" s="64"/>
    </row>
    <row r="1007" spans="1:25" s="54" customFormat="1" ht="15" customHeight="1" x14ac:dyDescent="0.3">
      <c r="A1007" s="63"/>
      <c r="B1007" s="64"/>
      <c r="C1007" s="55"/>
      <c r="D1007" s="64">
        <v>2018</v>
      </c>
      <c r="E1007" s="65">
        <f>66521167*1000</f>
        <v>66521167000</v>
      </c>
      <c r="F1007" s="65">
        <f>(66521167+297728932+142277492+4713459+1243730219)*1000</f>
        <v>1754971269000</v>
      </c>
      <c r="G1007" s="65">
        <f>4280729979*1000</f>
        <v>4280729979000</v>
      </c>
      <c r="H1007" s="65">
        <f>(27709111+183085171+9222542+777145+47305094+91882903)*1000</f>
        <v>359981966000</v>
      </c>
      <c r="I1007" s="65">
        <f>2454424995*1000</f>
        <v>2454424995000</v>
      </c>
      <c r="J1007" s="65">
        <f>(36000000+994305112)*1000</f>
        <v>1030305112000</v>
      </c>
      <c r="K1007" s="65">
        <f>1826304984*1000</f>
        <v>1826304984000</v>
      </c>
      <c r="L1007" s="65">
        <f>728317736*1000</f>
        <v>728317736000</v>
      </c>
      <c r="M1007" s="65">
        <f>54333348*1000</f>
        <v>54333348000</v>
      </c>
      <c r="N1007" s="65">
        <f>28246915*1000</f>
        <v>28246915000</v>
      </c>
      <c r="O1007" s="66">
        <v>0.8</v>
      </c>
      <c r="P1007" s="67" t="s">
        <v>315</v>
      </c>
      <c r="Q1007" s="65">
        <v>2</v>
      </c>
      <c r="R1007" s="65">
        <v>4</v>
      </c>
      <c r="S1007" s="65">
        <v>8</v>
      </c>
      <c r="T1007" s="65">
        <f t="shared" si="93"/>
        <v>12</v>
      </c>
      <c r="U1007" s="68">
        <v>0</v>
      </c>
      <c r="V1007" s="65">
        <v>0</v>
      </c>
      <c r="W1007" s="65">
        <v>0</v>
      </c>
      <c r="X1007" s="65">
        <v>0</v>
      </c>
      <c r="Y1007" s="64"/>
    </row>
    <row r="1008" spans="1:25" s="54" customFormat="1" ht="15" customHeight="1" x14ac:dyDescent="0.3">
      <c r="A1008" s="63"/>
      <c r="B1008" s="64"/>
      <c r="C1008" s="55"/>
      <c r="D1008" s="64">
        <v>2019</v>
      </c>
      <c r="E1008" s="65">
        <f>42965502*1000</f>
        <v>42965502000</v>
      </c>
      <c r="F1008" s="65">
        <f>(42965502+221882076+77436170+5183007+1379846886)*1000</f>
        <v>1727313641000</v>
      </c>
      <c r="G1008" s="65">
        <f>4626630367*1000</f>
        <v>4626630367000</v>
      </c>
      <c r="H1008" s="65">
        <f>(15719412+207533459+3982533+662918+80910741+87228154)*1000</f>
        <v>396037217000</v>
      </c>
      <c r="I1008" s="65">
        <f>2675535753*1000</f>
        <v>2675535753000</v>
      </c>
      <c r="J1008" s="65">
        <f>(42000000+1061365422)*1000</f>
        <v>1103365422000</v>
      </c>
      <c r="K1008" s="65">
        <f>1951094614*1000</f>
        <v>1951094614000</v>
      </c>
      <c r="L1008" s="65">
        <f>779573143*1000</f>
        <v>779573143000</v>
      </c>
      <c r="M1008" s="65">
        <f>78933529*1000</f>
        <v>78933529000</v>
      </c>
      <c r="N1008" s="65">
        <f>73060310*1000</f>
        <v>73060310000</v>
      </c>
      <c r="O1008" s="66">
        <v>0.8</v>
      </c>
      <c r="P1008" s="67" t="s">
        <v>315</v>
      </c>
      <c r="Q1008" s="65">
        <v>2</v>
      </c>
      <c r="R1008" s="65">
        <v>4</v>
      </c>
      <c r="S1008" s="65">
        <v>6</v>
      </c>
      <c r="T1008" s="65">
        <f t="shared" si="93"/>
        <v>10</v>
      </c>
      <c r="U1008" s="68">
        <v>0</v>
      </c>
      <c r="V1008" s="65">
        <f t="shared" ref="V1008:V1013" si="94">4+2+3</f>
        <v>9</v>
      </c>
      <c r="W1008" s="65">
        <f t="shared" ref="W1008:W1013" si="95">V1008</f>
        <v>9</v>
      </c>
      <c r="X1008" s="65">
        <f t="shared" ref="X1008:X1013" si="96">6+(2*4)</f>
        <v>14</v>
      </c>
      <c r="Y1008" s="64"/>
    </row>
    <row r="1009" spans="1:25" s="54" customFormat="1" ht="15" customHeight="1" x14ac:dyDescent="0.3">
      <c r="A1009" s="63"/>
      <c r="B1009" s="64"/>
      <c r="C1009" s="55"/>
      <c r="D1009" s="64">
        <v>2020</v>
      </c>
      <c r="E1009" s="65">
        <f>1002410482*1000</f>
        <v>1002410482000</v>
      </c>
      <c r="F1009" s="65">
        <f>(1002410482+217981506+141664194+1424907875)*1000</f>
        <v>2786964057000</v>
      </c>
      <c r="G1009" s="65">
        <f>4737130041*1000</f>
        <v>4737130041000</v>
      </c>
      <c r="H1009" s="65">
        <f>(15983557+191282476+52779343+766566+133976911+111205495)*1000</f>
        <v>505994348000</v>
      </c>
      <c r="I1009" s="65">
        <f>2730755387*1000</f>
        <v>2730755387000</v>
      </c>
      <c r="J1009" s="65">
        <f>(45000000+1015572113)*1000</f>
        <v>1060572113000</v>
      </c>
      <c r="K1009" s="65">
        <f>2006374654*1000</f>
        <v>2006374654000</v>
      </c>
      <c r="L1009" s="65">
        <f>767768686*1000</f>
        <v>767768686000</v>
      </c>
      <c r="M1009" s="65">
        <f>123855201*1000</f>
        <v>123855201000</v>
      </c>
      <c r="N1009" s="65">
        <f>107253266*1000</f>
        <v>107253266000</v>
      </c>
      <c r="O1009" s="66">
        <v>0.8</v>
      </c>
      <c r="P1009" s="67" t="s">
        <v>315</v>
      </c>
      <c r="Q1009" s="65">
        <v>2</v>
      </c>
      <c r="R1009" s="65">
        <v>4</v>
      </c>
      <c r="S1009" s="65">
        <v>6</v>
      </c>
      <c r="T1009" s="65">
        <f t="shared" si="93"/>
        <v>10</v>
      </c>
      <c r="U1009" s="68">
        <v>0</v>
      </c>
      <c r="V1009" s="65">
        <f t="shared" si="94"/>
        <v>9</v>
      </c>
      <c r="W1009" s="65">
        <f t="shared" si="95"/>
        <v>9</v>
      </c>
      <c r="X1009" s="65">
        <f t="shared" si="96"/>
        <v>14</v>
      </c>
      <c r="Y1009" s="64"/>
    </row>
    <row r="1010" spans="1:25" s="54" customFormat="1" ht="15" customHeight="1" x14ac:dyDescent="0.3">
      <c r="A1010" s="63"/>
      <c r="B1010" s="64"/>
      <c r="C1010" s="55"/>
      <c r="D1010" s="64">
        <v>2021</v>
      </c>
      <c r="E1010" s="65">
        <f>104029021*1000</f>
        <v>104029021000</v>
      </c>
      <c r="F1010" s="65">
        <f>(104029021+269076452+118371198+1484658852)*1000</f>
        <v>1976135523000</v>
      </c>
      <c r="G1010" s="65">
        <f>4652817906*1000</f>
        <v>4652817906000</v>
      </c>
      <c r="H1010" s="65">
        <f>(12389079+194213614+14110924+457952+149536536+117528885)*1000</f>
        <v>488236990000</v>
      </c>
      <c r="I1010" s="65">
        <f>2793055857*1000</f>
        <v>2793055857000</v>
      </c>
      <c r="J1010" s="65">
        <f>(48000000+911932956)*1000</f>
        <v>959932956000</v>
      </c>
      <c r="K1010" s="65">
        <f>1859762049*1000</f>
        <v>1859762049000</v>
      </c>
      <c r="L1010" s="65">
        <f>787324359*1000</f>
        <v>787324359000</v>
      </c>
      <c r="M1010" s="65">
        <f>161169331*1000</f>
        <v>161169331000</v>
      </c>
      <c r="N1010" s="65">
        <f>149438469*1000</f>
        <v>149438469000</v>
      </c>
      <c r="O1010" s="66">
        <v>0.8</v>
      </c>
      <c r="P1010" s="67" t="s">
        <v>315</v>
      </c>
      <c r="Q1010" s="65">
        <v>2</v>
      </c>
      <c r="R1010" s="65">
        <v>4</v>
      </c>
      <c r="S1010" s="65">
        <v>6</v>
      </c>
      <c r="T1010" s="65">
        <f t="shared" si="93"/>
        <v>10</v>
      </c>
      <c r="U1010" s="68">
        <v>0</v>
      </c>
      <c r="V1010" s="65">
        <f t="shared" si="94"/>
        <v>9</v>
      </c>
      <c r="W1010" s="65">
        <f t="shared" si="95"/>
        <v>9</v>
      </c>
      <c r="X1010" s="65">
        <f t="shared" si="96"/>
        <v>14</v>
      </c>
      <c r="Y1010" s="64"/>
    </row>
    <row r="1011" spans="1:25" s="54" customFormat="1" ht="15" customHeight="1" x14ac:dyDescent="0.3">
      <c r="A1011" s="63"/>
      <c r="B1011" s="64"/>
      <c r="C1011" s="55"/>
      <c r="D1011" s="64">
        <v>2022</v>
      </c>
      <c r="E1011" s="65">
        <f>77402505*1000</f>
        <v>77402505000</v>
      </c>
      <c r="F1011" s="65">
        <f>(77402505+243996577+88381283+1605462792)*1000</f>
        <v>2015243157000</v>
      </c>
      <c r="G1011" s="65">
        <f>4705846343*1000</f>
        <v>4705846343000</v>
      </c>
      <c r="H1011" s="65">
        <f>(3783019+158819846+16840172+439370+161298140+148670519)*1000</f>
        <v>489851066000</v>
      </c>
      <c r="I1011" s="65">
        <f>3005509450*1000</f>
        <v>3005509450000</v>
      </c>
      <c r="J1011" s="65">
        <f>(51000000+829398157)*1000</f>
        <v>880398157000</v>
      </c>
      <c r="K1011" s="65">
        <f>1700336893*1000</f>
        <v>1700336893000</v>
      </c>
      <c r="L1011" s="65">
        <f>878518069*1000</f>
        <v>878518069000</v>
      </c>
      <c r="M1011" s="65">
        <f>192812423*1000</f>
        <v>192812423000</v>
      </c>
      <c r="N1011" s="65">
        <f>169774422*1000</f>
        <v>169774422000</v>
      </c>
      <c r="O1011" s="66">
        <v>0.8</v>
      </c>
      <c r="P1011" s="67" t="s">
        <v>315</v>
      </c>
      <c r="Q1011" s="65">
        <v>2</v>
      </c>
      <c r="R1011" s="65">
        <v>4</v>
      </c>
      <c r="S1011" s="65">
        <v>6</v>
      </c>
      <c r="T1011" s="65">
        <f t="shared" si="93"/>
        <v>10</v>
      </c>
      <c r="U1011" s="68">
        <v>0</v>
      </c>
      <c r="V1011" s="65">
        <f t="shared" si="94"/>
        <v>9</v>
      </c>
      <c r="W1011" s="65">
        <f t="shared" si="95"/>
        <v>9</v>
      </c>
      <c r="X1011" s="65">
        <f t="shared" si="96"/>
        <v>14</v>
      </c>
      <c r="Y1011" s="64"/>
    </row>
    <row r="1012" spans="1:25" s="54" customFormat="1" ht="15" customHeight="1" x14ac:dyDescent="0.3">
      <c r="A1012" s="63"/>
      <c r="B1012" s="64"/>
      <c r="C1012" s="55"/>
      <c r="D1012" s="64">
        <v>2023</v>
      </c>
      <c r="E1012" s="65">
        <f>97176075*1000</f>
        <v>97176075000</v>
      </c>
      <c r="F1012" s="65">
        <f>(97176075+237960575+85652722+1850453406)*1000</f>
        <v>2271242778000</v>
      </c>
      <c r="G1012" s="65">
        <f>5116000794*1000</f>
        <v>5116000794000</v>
      </c>
      <c r="H1012" s="65">
        <f>(7645439+30912236+180267177+6899043+130346+151856966+144954890)*1000</f>
        <v>522666097000</v>
      </c>
      <c r="I1012" s="65">
        <f>3410344046*1000</f>
        <v>3410344046000</v>
      </c>
      <c r="J1012" s="65">
        <f>(54000000+874750252)*1000</f>
        <v>928750252000</v>
      </c>
      <c r="K1012" s="65">
        <f>1705656748*1000</f>
        <v>1705656748000</v>
      </c>
      <c r="L1012" s="65">
        <f>924323713*1000</f>
        <v>924323713000</v>
      </c>
      <c r="M1012" s="65">
        <f>157763030*1000</f>
        <v>157763030000</v>
      </c>
      <c r="N1012" s="65">
        <f>148073877*1000</f>
        <v>148073877000</v>
      </c>
      <c r="O1012" s="66">
        <v>0.8</v>
      </c>
      <c r="P1012" s="67" t="s">
        <v>315</v>
      </c>
      <c r="Q1012" s="65">
        <v>2</v>
      </c>
      <c r="R1012" s="65">
        <v>4</v>
      </c>
      <c r="S1012" s="65">
        <v>6</v>
      </c>
      <c r="T1012" s="65">
        <f t="shared" si="93"/>
        <v>10</v>
      </c>
      <c r="U1012" s="68">
        <v>0</v>
      </c>
      <c r="V1012" s="65">
        <f t="shared" si="94"/>
        <v>9</v>
      </c>
      <c r="W1012" s="65">
        <f t="shared" si="95"/>
        <v>9</v>
      </c>
      <c r="X1012" s="65">
        <f t="shared" si="96"/>
        <v>14</v>
      </c>
      <c r="Y1012" s="64"/>
    </row>
    <row r="1013" spans="1:25" s="54" customFormat="1" ht="15" customHeight="1" x14ac:dyDescent="0.3">
      <c r="A1013" s="63"/>
      <c r="B1013" s="64"/>
      <c r="C1013" s="55"/>
      <c r="D1013" s="64">
        <v>2024</v>
      </c>
      <c r="E1013" s="65">
        <f>86627441*1000</f>
        <v>86627441000</v>
      </c>
      <c r="F1013" s="65">
        <f>(86627441+316906875+95813490+1896015976)*1000</f>
        <v>2395363782000</v>
      </c>
      <c r="G1013" s="65">
        <f>5366438278*1000</f>
        <v>5366438278000</v>
      </c>
      <c r="H1013" s="65">
        <f>(38109471+39834352+200464382+18269487+330613+160633042+133878615)*1000</f>
        <v>591519962000</v>
      </c>
      <c r="I1013" s="65">
        <f>3548732475*1000</f>
        <v>3548732475000</v>
      </c>
      <c r="J1013" s="65">
        <f>(57000000+951737588)*1000</f>
        <v>1008737588000</v>
      </c>
      <c r="K1013" s="65">
        <f>1817705803*1000</f>
        <v>1817705803000</v>
      </c>
      <c r="L1013" s="65">
        <f>1039237526*1000</f>
        <v>1039237526000</v>
      </c>
      <c r="M1013" s="65">
        <f>247655387*1000</f>
        <v>247655387000</v>
      </c>
      <c r="N1013" s="65">
        <f>228593443*1000</f>
        <v>228593443000</v>
      </c>
      <c r="O1013" s="66">
        <v>0.8</v>
      </c>
      <c r="P1013" s="67" t="s">
        <v>315</v>
      </c>
      <c r="Q1013" s="65">
        <v>2</v>
      </c>
      <c r="R1013" s="65">
        <v>4</v>
      </c>
      <c r="S1013" s="65">
        <v>6</v>
      </c>
      <c r="T1013" s="65">
        <f t="shared" si="93"/>
        <v>10</v>
      </c>
      <c r="U1013" s="68">
        <v>0</v>
      </c>
      <c r="V1013" s="65">
        <f t="shared" si="94"/>
        <v>9</v>
      </c>
      <c r="W1013" s="65">
        <f t="shared" si="95"/>
        <v>9</v>
      </c>
      <c r="X1013" s="65">
        <f t="shared" si="96"/>
        <v>14</v>
      </c>
      <c r="Y1013" s="64"/>
    </row>
    <row r="1014" spans="1:25" s="54" customFormat="1" ht="15" customHeight="1" x14ac:dyDescent="0.3">
      <c r="A1014" s="63"/>
      <c r="B1014" s="64">
        <v>93</v>
      </c>
      <c r="C1014" s="55" t="s">
        <v>102</v>
      </c>
      <c r="D1014" s="64">
        <v>2014</v>
      </c>
      <c r="E1014" s="65">
        <v>0</v>
      </c>
      <c r="F1014" s="65">
        <v>0</v>
      </c>
      <c r="G1014" s="65">
        <v>0</v>
      </c>
      <c r="H1014" s="65">
        <v>0</v>
      </c>
      <c r="I1014" s="65">
        <v>0</v>
      </c>
      <c r="J1014" s="65">
        <v>0</v>
      </c>
      <c r="K1014" s="65">
        <v>0</v>
      </c>
      <c r="L1014" s="65">
        <f>62976*1000000</f>
        <v>62976000000</v>
      </c>
      <c r="M1014" s="65">
        <v>0</v>
      </c>
      <c r="N1014" s="65">
        <v>0</v>
      </c>
      <c r="O1014" s="65">
        <v>0</v>
      </c>
      <c r="P1014" s="65">
        <v>0</v>
      </c>
      <c r="Q1014" s="65">
        <v>0</v>
      </c>
      <c r="R1014" s="65">
        <v>0</v>
      </c>
      <c r="S1014" s="65">
        <v>0</v>
      </c>
      <c r="T1014" s="65">
        <v>0</v>
      </c>
      <c r="U1014" s="65">
        <v>0</v>
      </c>
      <c r="V1014" s="65">
        <v>0</v>
      </c>
      <c r="W1014" s="65">
        <v>0</v>
      </c>
      <c r="X1014" s="65">
        <v>0</v>
      </c>
      <c r="Y1014" s="64"/>
    </row>
    <row r="1015" spans="1:25" s="54" customFormat="1" ht="15" customHeight="1" x14ac:dyDescent="0.3">
      <c r="A1015" s="63"/>
      <c r="B1015" s="64"/>
      <c r="C1015" s="55"/>
      <c r="D1015" s="64">
        <v>2015</v>
      </c>
      <c r="E1015" s="65">
        <f>26979*1000000</f>
        <v>26979000000</v>
      </c>
      <c r="F1015" s="65">
        <f>(26979+145238+2404+145795+300969+78)*1000000</f>
        <v>621463000000</v>
      </c>
      <c r="G1015" s="65">
        <f>688536*1000000</f>
        <v>688536000000</v>
      </c>
      <c r="H1015" s="65">
        <f>230544*1000000</f>
        <v>230544000000</v>
      </c>
      <c r="I1015" s="65">
        <f>565655*1000000</f>
        <v>565655000000</v>
      </c>
      <c r="J1015" s="65">
        <f>6985*1000000</f>
        <v>6985000000</v>
      </c>
      <c r="K1015" s="65">
        <f>107881*1000000</f>
        <v>107881000000</v>
      </c>
      <c r="L1015" s="65">
        <f>49271*1000000</f>
        <v>49271000000</v>
      </c>
      <c r="M1015" s="65">
        <f>3015*1000000</f>
        <v>3015000000</v>
      </c>
      <c r="N1015" s="65">
        <f>2387*1000000</f>
        <v>2387000000</v>
      </c>
      <c r="O1015" s="66">
        <v>0.63590000000000002</v>
      </c>
      <c r="P1015" s="67" t="s">
        <v>316</v>
      </c>
      <c r="Q1015" s="65">
        <v>1</v>
      </c>
      <c r="R1015" s="65">
        <v>3</v>
      </c>
      <c r="S1015" s="65">
        <v>3</v>
      </c>
      <c r="T1015" s="65">
        <f>SUM(R1015:S1015)</f>
        <v>6</v>
      </c>
      <c r="U1015" s="68">
        <v>0</v>
      </c>
      <c r="V1015" s="65">
        <f>3+4</f>
        <v>7</v>
      </c>
      <c r="W1015" s="65">
        <f>V1015</f>
        <v>7</v>
      </c>
      <c r="X1015" s="65">
        <f>3+4</f>
        <v>7</v>
      </c>
      <c r="Y1015" s="64"/>
    </row>
    <row r="1016" spans="1:25" s="54" customFormat="1" ht="15" customHeight="1" x14ac:dyDescent="0.3">
      <c r="A1016" s="63"/>
      <c r="B1016" s="64"/>
      <c r="C1016" s="55"/>
      <c r="D1016" s="64">
        <v>2016</v>
      </c>
      <c r="E1016" s="65">
        <f>14031*1000000</f>
        <v>14031000000</v>
      </c>
      <c r="F1016" s="65">
        <f>(14031+97445+2594+136192+178000+147)*1000000</f>
        <v>428409000000</v>
      </c>
      <c r="G1016" s="65">
        <f>585160*1000000</f>
        <v>585160000000</v>
      </c>
      <c r="H1016" s="65">
        <f>170455*1000000</f>
        <v>170455000000</v>
      </c>
      <c r="I1016" s="65">
        <f>366409*1000000</f>
        <v>366409000000</v>
      </c>
      <c r="J1016" s="65">
        <f>15890*1000000</f>
        <v>15890000000</v>
      </c>
      <c r="K1016" s="65">
        <f>218751*1000000</f>
        <v>218751000000</v>
      </c>
      <c r="L1016" s="65">
        <f>40957*1000000</f>
        <v>40957000000</v>
      </c>
      <c r="M1016" s="65">
        <f>10086*1000000</f>
        <v>10086000000</v>
      </c>
      <c r="N1016" s="65">
        <f>8208*1000000</f>
        <v>8208000000</v>
      </c>
      <c r="O1016" s="66">
        <v>0.67779999999999996</v>
      </c>
      <c r="P1016" s="67" t="s">
        <v>317</v>
      </c>
      <c r="Q1016" s="65">
        <v>2</v>
      </c>
      <c r="R1016" s="65">
        <v>3</v>
      </c>
      <c r="S1016" s="65">
        <v>3</v>
      </c>
      <c r="T1016" s="65">
        <f t="shared" ref="T1016:T1024" si="97">SUM(R1016:S1016)</f>
        <v>6</v>
      </c>
      <c r="U1016" s="68">
        <v>0</v>
      </c>
      <c r="V1016" s="65">
        <v>3</v>
      </c>
      <c r="W1016" s="65">
        <f>V1016</f>
        <v>3</v>
      </c>
      <c r="X1016" s="65">
        <f>3+4</f>
        <v>7</v>
      </c>
      <c r="Y1016" s="64"/>
    </row>
    <row r="1017" spans="1:25" s="54" customFormat="1" ht="15" customHeight="1" x14ac:dyDescent="0.3">
      <c r="A1017" s="63"/>
      <c r="B1017" s="64"/>
      <c r="C1017" s="55"/>
      <c r="D1017" s="64">
        <v>2017</v>
      </c>
      <c r="E1017" s="65">
        <f>10518*1000000</f>
        <v>10518000000</v>
      </c>
      <c r="F1017" s="65">
        <f>(19518+125245+6363+362757+3317+154265+255)*1000000</f>
        <v>671720000000</v>
      </c>
      <c r="G1017" s="65">
        <f>803478*1000000</f>
        <v>803478000000</v>
      </c>
      <c r="H1017" s="65">
        <f>192539*1000000</f>
        <v>192539000000</v>
      </c>
      <c r="I1017" s="65">
        <f>577099*1000000</f>
        <v>577099000000</v>
      </c>
      <c r="J1017" s="65">
        <f>40004*1000000</f>
        <v>40004000000</v>
      </c>
      <c r="K1017" s="65">
        <f>226379*1000000</f>
        <v>226379000000</v>
      </c>
      <c r="L1017" s="65">
        <f>57620*1000000</f>
        <v>57620000000</v>
      </c>
      <c r="M1017" s="65">
        <f>12722*1000000</f>
        <v>12722000000</v>
      </c>
      <c r="N1017" s="65">
        <f>9454*1000000</f>
        <v>9454000000</v>
      </c>
      <c r="O1017" s="66">
        <v>0.67779999999999996</v>
      </c>
      <c r="P1017" s="67" t="s">
        <v>317</v>
      </c>
      <c r="Q1017" s="65">
        <v>2</v>
      </c>
      <c r="R1017" s="65">
        <v>4</v>
      </c>
      <c r="S1017" s="65">
        <v>4</v>
      </c>
      <c r="T1017" s="65">
        <f t="shared" si="97"/>
        <v>8</v>
      </c>
      <c r="U1017" s="68">
        <v>0</v>
      </c>
      <c r="V1017" s="65">
        <v>0</v>
      </c>
      <c r="W1017" s="65">
        <f>V1017</f>
        <v>0</v>
      </c>
      <c r="X1017" s="65">
        <v>0</v>
      </c>
      <c r="Y1017" s="64"/>
    </row>
    <row r="1018" spans="1:25" s="54" customFormat="1" ht="15" customHeight="1" x14ac:dyDescent="0.3">
      <c r="A1018" s="63"/>
      <c r="B1018" s="64"/>
      <c r="C1018" s="55"/>
      <c r="D1018" s="64">
        <v>2018</v>
      </c>
      <c r="E1018" s="65">
        <f>24705*1000000</f>
        <v>24705000000</v>
      </c>
      <c r="F1018" s="65">
        <f>(24705+158338+4854+558533+2581+140463+384)*1000000</f>
        <v>889858000000</v>
      </c>
      <c r="G1018" s="65">
        <f>1041532*1000000</f>
        <v>1041532000000</v>
      </c>
      <c r="H1018" s="65">
        <f>212641*1000000</f>
        <v>212641000000</v>
      </c>
      <c r="I1018" s="65">
        <f>806608*1000000</f>
        <v>806608000000</v>
      </c>
      <c r="J1018" s="65">
        <f>48116*1000000</f>
        <v>48116000000</v>
      </c>
      <c r="K1018" s="65">
        <f>234924*1000000</f>
        <v>234924000000</v>
      </c>
      <c r="L1018" s="65">
        <f>75764*1000000</f>
        <v>75764000000</v>
      </c>
      <c r="M1018" s="65">
        <f>17297*1000000</f>
        <v>17297000000</v>
      </c>
      <c r="N1018" s="65">
        <f>13783*1000000</f>
        <v>13783000000</v>
      </c>
      <c r="O1018" s="66">
        <v>0.70399999999999996</v>
      </c>
      <c r="P1018" s="67" t="s">
        <v>317</v>
      </c>
      <c r="Q1018" s="65">
        <v>1</v>
      </c>
      <c r="R1018" s="65">
        <v>3</v>
      </c>
      <c r="S1018" s="65">
        <v>4</v>
      </c>
      <c r="T1018" s="65">
        <f t="shared" si="97"/>
        <v>7</v>
      </c>
      <c r="U1018" s="68">
        <v>0</v>
      </c>
      <c r="V1018" s="65">
        <v>3</v>
      </c>
      <c r="W1018" s="65">
        <f>V1018</f>
        <v>3</v>
      </c>
      <c r="X1018" s="65">
        <f>4+2</f>
        <v>6</v>
      </c>
      <c r="Y1018" s="64"/>
    </row>
    <row r="1019" spans="1:25" s="54" customFormat="1" ht="15" customHeight="1" x14ac:dyDescent="0.3">
      <c r="A1019" s="63"/>
      <c r="B1019" s="64"/>
      <c r="C1019" s="55"/>
      <c r="D1019" s="64">
        <v>2019</v>
      </c>
      <c r="E1019" s="65">
        <f>17576*1000000</f>
        <v>17576000000</v>
      </c>
      <c r="F1019" s="65">
        <f>(17576+151080+926+776884+277+4866+480)*1000000</f>
        <v>952089000000</v>
      </c>
      <c r="G1019" s="65">
        <f>1221480*1000000</f>
        <v>1221480000000</v>
      </c>
      <c r="H1019" s="65">
        <f>189099*1000000</f>
        <v>189099000000</v>
      </c>
      <c r="I1019" s="65">
        <f>1038652*1000000</f>
        <v>1038652000000</v>
      </c>
      <c r="J1019" s="65">
        <f>-95491*1000000</f>
        <v>-95491000000</v>
      </c>
      <c r="K1019" s="65">
        <f>182828*1000000</f>
        <v>182828000000</v>
      </c>
      <c r="L1019" s="65">
        <f>114121*1000000</f>
        <v>114121000000</v>
      </c>
      <c r="M1019" s="65">
        <f>30281*1000000</f>
        <v>30281000000</v>
      </c>
      <c r="N1019" s="65">
        <f>21651*1000000</f>
        <v>21651000000</v>
      </c>
      <c r="O1019" s="66">
        <v>0.79800000000000004</v>
      </c>
      <c r="P1019" s="67" t="s">
        <v>317</v>
      </c>
      <c r="Q1019" s="65">
        <v>2</v>
      </c>
      <c r="R1019" s="65">
        <v>4</v>
      </c>
      <c r="S1019" s="65">
        <v>5</v>
      </c>
      <c r="T1019" s="65">
        <f t="shared" si="97"/>
        <v>9</v>
      </c>
      <c r="U1019" s="68">
        <v>0</v>
      </c>
      <c r="V1019" s="65">
        <v>0</v>
      </c>
      <c r="W1019" s="65">
        <f>V1019</f>
        <v>0</v>
      </c>
      <c r="X1019" s="65">
        <v>0</v>
      </c>
      <c r="Y1019" s="64"/>
    </row>
    <row r="1020" spans="1:25" s="54" customFormat="1" ht="15" customHeight="1" x14ac:dyDescent="0.3">
      <c r="A1020" s="63"/>
      <c r="B1020" s="64"/>
      <c r="C1020" s="55"/>
      <c r="D1020" s="64">
        <v>2020</v>
      </c>
      <c r="E1020" s="65">
        <f>29373*1000000</f>
        <v>29373000000</v>
      </c>
      <c r="F1020" s="65">
        <f>(29373+77060+757561+36873+179)*1000000</f>
        <v>901046000000</v>
      </c>
      <c r="G1020" s="65">
        <f>1204013*1000000</f>
        <v>1204013000000</v>
      </c>
      <c r="H1020" s="65">
        <f>117471*1000000</f>
        <v>117471000000</v>
      </c>
      <c r="I1020" s="65">
        <f>969383*1000000</f>
        <v>969383000000</v>
      </c>
      <c r="J1020" s="65">
        <f>-65550*1000000</f>
        <v>-65550000000</v>
      </c>
      <c r="K1020" s="65">
        <f>230431*1000000</f>
        <v>230431000000</v>
      </c>
      <c r="L1020" s="65">
        <f>114396*1000000</f>
        <v>114396000000</v>
      </c>
      <c r="M1020" s="65">
        <f>30637*1000000</f>
        <v>30637000000</v>
      </c>
      <c r="N1020" s="65">
        <f>29534*1000000</f>
        <v>29534000000</v>
      </c>
      <c r="O1020" s="66">
        <v>0.79800000000000004</v>
      </c>
      <c r="P1020" s="67" t="s">
        <v>317</v>
      </c>
      <c r="Q1020" s="65">
        <v>2</v>
      </c>
      <c r="R1020" s="65">
        <v>4</v>
      </c>
      <c r="S1020" s="65">
        <v>5</v>
      </c>
      <c r="T1020" s="65">
        <f t="shared" si="97"/>
        <v>9</v>
      </c>
      <c r="U1020" s="68">
        <v>0</v>
      </c>
      <c r="V1020" s="65">
        <v>0</v>
      </c>
      <c r="W1020" s="65">
        <v>0</v>
      </c>
      <c r="X1020" s="65">
        <v>0</v>
      </c>
      <c r="Y1020" s="64"/>
    </row>
    <row r="1021" spans="1:25" s="54" customFormat="1" ht="15" customHeight="1" x14ac:dyDescent="0.3">
      <c r="A1021" s="63"/>
      <c r="B1021" s="64"/>
      <c r="C1021" s="55"/>
      <c r="D1021" s="64">
        <v>2021</v>
      </c>
      <c r="E1021" s="65">
        <f>31916*1000000</f>
        <v>31916000000</v>
      </c>
      <c r="F1021" s="65">
        <f>(31916+44454+2141+1060787+188+21936+235)*1000000</f>
        <v>1161657000000</v>
      </c>
      <c r="G1021" s="65">
        <f>1538686*1000000</f>
        <v>1538686000000</v>
      </c>
      <c r="H1021" s="65">
        <f>125241*1000000</f>
        <v>125241000000</v>
      </c>
      <c r="I1021" s="65">
        <f>1287801*1000000</f>
        <v>1287801000000</v>
      </c>
      <c r="J1021" s="65">
        <f>-41921*1000000</f>
        <v>-41921000000</v>
      </c>
      <c r="K1021" s="65">
        <f>250885*1000000</f>
        <v>250885000000</v>
      </c>
      <c r="L1021" s="65">
        <f>131723*1000000</f>
        <v>131723000000</v>
      </c>
      <c r="M1021" s="65">
        <f>28649*1000000</f>
        <v>28649000000</v>
      </c>
      <c r="N1021" s="65">
        <f>24036*1000000</f>
        <v>24036000000</v>
      </c>
      <c r="O1021" s="66">
        <v>0.79800000000000004</v>
      </c>
      <c r="P1021" s="67" t="s">
        <v>317</v>
      </c>
      <c r="Q1021" s="65">
        <v>2</v>
      </c>
      <c r="R1021" s="65">
        <v>3</v>
      </c>
      <c r="S1021" s="65">
        <v>5</v>
      </c>
      <c r="T1021" s="65">
        <f t="shared" si="97"/>
        <v>8</v>
      </c>
      <c r="U1021" s="68">
        <v>0</v>
      </c>
      <c r="V1021" s="65">
        <v>0</v>
      </c>
      <c r="W1021" s="65">
        <v>0</v>
      </c>
      <c r="X1021" s="65">
        <v>0</v>
      </c>
      <c r="Y1021" s="64"/>
    </row>
    <row r="1022" spans="1:25" s="54" customFormat="1" ht="15" customHeight="1" x14ac:dyDescent="0.3">
      <c r="A1022" s="63"/>
      <c r="B1022" s="64"/>
      <c r="C1022" s="55"/>
      <c r="D1022" s="64">
        <v>2022</v>
      </c>
      <c r="E1022" s="65">
        <f>40420*1000000</f>
        <v>40420000000</v>
      </c>
      <c r="F1022" s="65">
        <f>(40420+34746+1110991+307+67191+547)*1000000</f>
        <v>1254202000000</v>
      </c>
      <c r="G1022" s="65">
        <f>1734932*1000000</f>
        <v>1734932000000</v>
      </c>
      <c r="H1022" s="65">
        <f>173851*1000000</f>
        <v>173851000000</v>
      </c>
      <c r="I1022" s="65">
        <f>1428957*1000000</f>
        <v>1428957000000</v>
      </c>
      <c r="J1022" s="65">
        <f>13682*1000000</f>
        <v>13682000000</v>
      </c>
      <c r="K1022" s="65">
        <f>305975*1000000</f>
        <v>305975000000</v>
      </c>
      <c r="L1022" s="65">
        <f>180069*1000000</f>
        <v>180069000000</v>
      </c>
      <c r="M1022" s="65">
        <f>54372*1000000</f>
        <v>54372000000</v>
      </c>
      <c r="N1022" s="65">
        <f>55602*1000000</f>
        <v>55602000000</v>
      </c>
      <c r="O1022" s="66">
        <v>0.79800000000000004</v>
      </c>
      <c r="P1022" s="67" t="s">
        <v>317</v>
      </c>
      <c r="Q1022" s="65">
        <v>2</v>
      </c>
      <c r="R1022" s="65">
        <v>3</v>
      </c>
      <c r="S1022" s="65">
        <v>6</v>
      </c>
      <c r="T1022" s="65">
        <f t="shared" si="97"/>
        <v>9</v>
      </c>
      <c r="U1022" s="68">
        <v>0</v>
      </c>
      <c r="V1022" s="65">
        <v>0</v>
      </c>
      <c r="W1022" s="65">
        <v>0</v>
      </c>
      <c r="X1022" s="65">
        <v>0</v>
      </c>
      <c r="Y1022" s="64"/>
    </row>
    <row r="1023" spans="1:25" s="54" customFormat="1" ht="15" customHeight="1" x14ac:dyDescent="0.3">
      <c r="A1023" s="63"/>
      <c r="B1023" s="64"/>
      <c r="C1023" s="55"/>
      <c r="D1023" s="64">
        <v>2023</v>
      </c>
      <c r="E1023" s="65">
        <f>54220*1000000</f>
        <v>54220000000</v>
      </c>
      <c r="F1023" s="65">
        <f>(54220+90312+2922+1116806+1823+60968+1025)*1000000</f>
        <v>1328076000000</v>
      </c>
      <c r="G1023" s="65">
        <f>1763338*1000000</f>
        <v>1763338000000</v>
      </c>
      <c r="H1023" s="65">
        <f>128803*1000000</f>
        <v>128803000000</v>
      </c>
      <c r="I1023" s="65">
        <f>1388194*1000000</f>
        <v>1388194000000</v>
      </c>
      <c r="J1023" s="65">
        <f>64822*1000000</f>
        <v>64822000000</v>
      </c>
      <c r="K1023" s="65">
        <f>355143*1000000</f>
        <v>355143000000</v>
      </c>
      <c r="L1023" s="65">
        <f>346584*1000000</f>
        <v>346584000000</v>
      </c>
      <c r="M1023" s="65">
        <f>69732*1000000</f>
        <v>69732000000</v>
      </c>
      <c r="N1023" s="65">
        <f>67483*1000000</f>
        <v>67483000000</v>
      </c>
      <c r="O1023" s="66">
        <v>0.79820000000000002</v>
      </c>
      <c r="P1023" s="67" t="s">
        <v>317</v>
      </c>
      <c r="Q1023" s="65">
        <v>2</v>
      </c>
      <c r="R1023" s="65">
        <v>4</v>
      </c>
      <c r="S1023" s="65">
        <v>4</v>
      </c>
      <c r="T1023" s="65">
        <f t="shared" si="97"/>
        <v>8</v>
      </c>
      <c r="U1023" s="68">
        <v>0</v>
      </c>
      <c r="V1023" s="65">
        <v>0</v>
      </c>
      <c r="W1023" s="65">
        <v>0</v>
      </c>
      <c r="X1023" s="65">
        <v>0</v>
      </c>
      <c r="Y1023" s="64"/>
    </row>
    <row r="1024" spans="1:25" s="54" customFormat="1" ht="15" customHeight="1" x14ac:dyDescent="0.3">
      <c r="A1024" s="63"/>
      <c r="B1024" s="64"/>
      <c r="C1024" s="55"/>
      <c r="D1024" s="64">
        <v>2024</v>
      </c>
      <c r="E1024" s="65">
        <f>39896*1000000</f>
        <v>39896000000</v>
      </c>
      <c r="F1024" s="65">
        <f>(39896+3171039+3841+2490788+902+236797+1327)*1000000</f>
        <v>5944590000000</v>
      </c>
      <c r="G1024" s="65">
        <f>6304848*1000000</f>
        <v>6304848000000</v>
      </c>
      <c r="H1024" s="65">
        <f>1094311*1000000</f>
        <v>1094311000000</v>
      </c>
      <c r="I1024" s="65">
        <f>5903549*1000000</f>
        <v>5903549000000</v>
      </c>
      <c r="J1024" s="65">
        <f>113372*1000000</f>
        <v>113372000000</v>
      </c>
      <c r="K1024" s="65">
        <f>401299*1000000</f>
        <v>401299000000</v>
      </c>
      <c r="L1024" s="65">
        <f>511066*1000000</f>
        <v>511066000000</v>
      </c>
      <c r="M1024" s="65">
        <f>83670*1000000</f>
        <v>83670000000</v>
      </c>
      <c r="N1024" s="65">
        <f>83670*1000000</f>
        <v>83670000000</v>
      </c>
      <c r="O1024" s="66">
        <v>0.79820000000000002</v>
      </c>
      <c r="P1024" s="67" t="s">
        <v>317</v>
      </c>
      <c r="Q1024" s="65">
        <v>2</v>
      </c>
      <c r="R1024" s="65">
        <v>3</v>
      </c>
      <c r="S1024" s="65">
        <v>5</v>
      </c>
      <c r="T1024" s="65">
        <f t="shared" si="97"/>
        <v>8</v>
      </c>
      <c r="U1024" s="68">
        <v>0</v>
      </c>
      <c r="V1024" s="65">
        <v>0</v>
      </c>
      <c r="W1024" s="65">
        <v>0</v>
      </c>
      <c r="X1024" s="65">
        <v>0</v>
      </c>
      <c r="Y1024" s="64"/>
    </row>
    <row r="1025" spans="1:25" s="54" customFormat="1" ht="15" customHeight="1" x14ac:dyDescent="0.3">
      <c r="A1025" s="63"/>
      <c r="B1025" s="64">
        <v>94</v>
      </c>
      <c r="C1025" s="55" t="s">
        <v>114</v>
      </c>
      <c r="D1025" s="64">
        <v>2014</v>
      </c>
      <c r="E1025" s="65">
        <v>0</v>
      </c>
      <c r="F1025" s="65">
        <v>0</v>
      </c>
      <c r="G1025" s="65">
        <v>0</v>
      </c>
      <c r="H1025" s="65">
        <v>0</v>
      </c>
      <c r="I1025" s="65">
        <v>0</v>
      </c>
      <c r="J1025" s="65">
        <v>0</v>
      </c>
      <c r="K1025" s="65">
        <v>0</v>
      </c>
      <c r="L1025" s="65">
        <f>409999.86*1000000</f>
        <v>409999860000</v>
      </c>
      <c r="M1025" s="65">
        <v>0</v>
      </c>
      <c r="N1025" s="65">
        <v>0</v>
      </c>
      <c r="O1025" s="65">
        <v>0</v>
      </c>
      <c r="P1025" s="65">
        <v>0</v>
      </c>
      <c r="Q1025" s="65">
        <v>0</v>
      </c>
      <c r="R1025" s="65">
        <v>0</v>
      </c>
      <c r="S1025" s="65">
        <v>0</v>
      </c>
      <c r="T1025" s="65">
        <v>0</v>
      </c>
      <c r="U1025" s="65">
        <v>0</v>
      </c>
      <c r="V1025" s="65">
        <v>0</v>
      </c>
      <c r="W1025" s="65">
        <v>0</v>
      </c>
      <c r="X1025" s="65">
        <v>0</v>
      </c>
      <c r="Y1025" s="64"/>
    </row>
    <row r="1026" spans="1:25" s="54" customFormat="1" ht="15" customHeight="1" x14ac:dyDescent="0.3">
      <c r="A1026" s="63"/>
      <c r="B1026" s="64"/>
      <c r="C1026" s="55"/>
      <c r="D1026" s="64">
        <v>2015</v>
      </c>
      <c r="E1026" s="65">
        <f>877059.85*1000000</f>
        <v>877059850000</v>
      </c>
      <c r="F1026" s="65">
        <f>(877059.85+182280.1+24134.67+204199.52+280.61)*1000000</f>
        <v>1287954750000</v>
      </c>
      <c r="G1026" s="65">
        <f>1609399.5*1000000</f>
        <v>1609399500000</v>
      </c>
      <c r="H1026" s="65">
        <f>688812.2*1000000</f>
        <v>688812200000</v>
      </c>
      <c r="I1026" s="65">
        <f>1264379.49*1000000</f>
        <v>1264379490000</v>
      </c>
      <c r="J1026" s="65">
        <f>309357.85*1000000</f>
        <v>309357850000</v>
      </c>
      <c r="K1026" s="65">
        <f>345020.01*1000000</f>
        <v>345020010000</v>
      </c>
      <c r="L1026" s="65">
        <f>502138.4*1000000</f>
        <v>502138400000</v>
      </c>
      <c r="M1026" s="65">
        <f>80721.69*1000000</f>
        <v>80721690000</v>
      </c>
      <c r="N1026" s="65">
        <f>74020.09*1000000</f>
        <v>74020090000</v>
      </c>
      <c r="O1026" s="66">
        <v>0.6</v>
      </c>
      <c r="P1026" s="67" t="s">
        <v>276</v>
      </c>
      <c r="Q1026" s="65">
        <v>2</v>
      </c>
      <c r="R1026" s="65">
        <v>3</v>
      </c>
      <c r="S1026" s="65">
        <v>5</v>
      </c>
      <c r="T1026" s="65">
        <f>SUM(R1026:S1026)</f>
        <v>8</v>
      </c>
      <c r="U1026" s="68">
        <v>0</v>
      </c>
      <c r="V1026" s="65">
        <v>0</v>
      </c>
      <c r="W1026" s="65">
        <v>0</v>
      </c>
      <c r="X1026" s="65">
        <v>0</v>
      </c>
      <c r="Y1026" s="64"/>
    </row>
    <row r="1027" spans="1:25" s="54" customFormat="1" ht="15" customHeight="1" x14ac:dyDescent="0.3">
      <c r="A1027" s="63"/>
      <c r="B1027" s="64"/>
      <c r="C1027" s="55"/>
      <c r="D1027" s="64">
        <v>2016</v>
      </c>
      <c r="E1027" s="65">
        <f>280548.03*1000000</f>
        <v>280548030000</v>
      </c>
      <c r="F1027" s="65">
        <f>(280548.03+125786.11+10994.61+249116.09+4447.03)*1000000</f>
        <v>670891870000</v>
      </c>
      <c r="G1027" s="65">
        <f>1527605.96*1000000</f>
        <v>1527605960000</v>
      </c>
      <c r="H1027" s="65">
        <f>601214.53*1000000</f>
        <v>601214530000</v>
      </c>
      <c r="I1027" s="65">
        <f>1157358.77*1000000</f>
        <v>1157358770000</v>
      </c>
      <c r="J1027" s="65">
        <f>336742.25*1000000</f>
        <v>336742250000</v>
      </c>
      <c r="K1027" s="65">
        <f>370247.19*1000000</f>
        <v>370247190000</v>
      </c>
      <c r="L1027" s="65">
        <f>473935.8*1000000</f>
        <v>473935800000</v>
      </c>
      <c r="M1027" s="65">
        <f>51514.6*1000000</f>
        <v>51514600000</v>
      </c>
      <c r="N1027" s="65">
        <f>49876.18*1000000</f>
        <v>49876180000</v>
      </c>
      <c r="O1027" s="66">
        <v>0.6</v>
      </c>
      <c r="P1027" s="67" t="s">
        <v>276</v>
      </c>
      <c r="Q1027" s="65">
        <v>2</v>
      </c>
      <c r="R1027" s="65">
        <v>3</v>
      </c>
      <c r="S1027" s="65">
        <v>5</v>
      </c>
      <c r="T1027" s="65">
        <f t="shared" ref="T1027:T1035" si="98">SUM(R1027:S1027)</f>
        <v>8</v>
      </c>
      <c r="U1027" s="68">
        <v>0</v>
      </c>
      <c r="V1027" s="65">
        <v>0</v>
      </c>
      <c r="W1027" s="65">
        <v>0</v>
      </c>
      <c r="X1027" s="65">
        <v>0</v>
      </c>
      <c r="Y1027" s="64"/>
    </row>
    <row r="1028" spans="1:25" s="54" customFormat="1" ht="15" customHeight="1" x14ac:dyDescent="0.3">
      <c r="A1028" s="63"/>
      <c r="B1028" s="64"/>
      <c r="C1028" s="55"/>
      <c r="D1028" s="64">
        <v>2017</v>
      </c>
      <c r="E1028" s="65">
        <f>167993*1000000</f>
        <v>167993000000</v>
      </c>
      <c r="F1028" s="65">
        <f>(167993+140404+10323+244815+5211)*1000000</f>
        <v>568746000000</v>
      </c>
      <c r="G1028" s="65">
        <f>1595563*1000000</f>
        <v>1595563000000</v>
      </c>
      <c r="H1028" s="65">
        <f>656686*1000000</f>
        <v>656686000000</v>
      </c>
      <c r="I1028" s="65">
        <f>1198772*1000000</f>
        <v>1198772000000</v>
      </c>
      <c r="J1028" s="65">
        <f>358026*1000000</f>
        <v>358026000000</v>
      </c>
      <c r="K1028" s="65">
        <f>396791*1000000</f>
        <v>396791000000</v>
      </c>
      <c r="L1028" s="65">
        <f>460014*1000000</f>
        <v>460014000000</v>
      </c>
      <c r="M1028" s="65">
        <f>42985*1000000</f>
        <v>42985000000</v>
      </c>
      <c r="N1028" s="65">
        <f>46544*1000000</f>
        <v>46544000000</v>
      </c>
      <c r="O1028" s="66">
        <v>0.6</v>
      </c>
      <c r="P1028" s="67" t="s">
        <v>276</v>
      </c>
      <c r="Q1028" s="65">
        <v>2</v>
      </c>
      <c r="R1028" s="65">
        <v>3</v>
      </c>
      <c r="S1028" s="65">
        <v>5</v>
      </c>
      <c r="T1028" s="65">
        <f t="shared" si="98"/>
        <v>8</v>
      </c>
      <c r="U1028" s="68">
        <v>0</v>
      </c>
      <c r="V1028" s="65">
        <v>0</v>
      </c>
      <c r="W1028" s="65">
        <v>0</v>
      </c>
      <c r="X1028" s="65">
        <v>0</v>
      </c>
      <c r="Y1028" s="64"/>
    </row>
    <row r="1029" spans="1:25" s="54" customFormat="1" ht="15" customHeight="1" x14ac:dyDescent="0.3">
      <c r="A1029" s="63"/>
      <c r="B1029" s="64"/>
      <c r="C1029" s="55"/>
      <c r="D1029" s="64">
        <v>2018</v>
      </c>
      <c r="E1029" s="65">
        <f>173241*1000000</f>
        <v>173241000000</v>
      </c>
      <c r="F1029" s="65">
        <f>(173241+129596+24167+260509+5482)*1000000</f>
        <v>592995000000</v>
      </c>
      <c r="G1029" s="65">
        <f>1741510*1000000</f>
        <v>1741510000000</v>
      </c>
      <c r="H1029" s="65">
        <f>752357*1000000</f>
        <v>752357000000</v>
      </c>
      <c r="I1029" s="65">
        <f>1317117*1000000</f>
        <v>1317117000000</v>
      </c>
      <c r="J1029" s="65">
        <f>391033*1000000</f>
        <v>391033000000</v>
      </c>
      <c r="K1029" s="65">
        <f>424393*1000000</f>
        <v>424393000000</v>
      </c>
      <c r="L1029" s="65">
        <f>478180*1000000</f>
        <v>478180000000</v>
      </c>
      <c r="M1029" s="65">
        <f>54954*1000000</f>
        <v>54954000000</v>
      </c>
      <c r="N1029" s="65">
        <f>51602*1000000</f>
        <v>51602000000</v>
      </c>
      <c r="O1029" s="66">
        <v>0.6</v>
      </c>
      <c r="P1029" s="67" t="s">
        <v>276</v>
      </c>
      <c r="Q1029" s="65">
        <v>2</v>
      </c>
      <c r="R1029" s="65">
        <v>3</v>
      </c>
      <c r="S1029" s="65">
        <v>5</v>
      </c>
      <c r="T1029" s="65">
        <f t="shared" si="98"/>
        <v>8</v>
      </c>
      <c r="U1029" s="68">
        <v>0</v>
      </c>
      <c r="V1029" s="65">
        <v>0</v>
      </c>
      <c r="W1029" s="65">
        <v>0</v>
      </c>
      <c r="X1029" s="65">
        <v>0</v>
      </c>
      <c r="Y1029" s="64"/>
    </row>
    <row r="1030" spans="1:25" s="54" customFormat="1" ht="15" customHeight="1" x14ac:dyDescent="0.3">
      <c r="A1030" s="63"/>
      <c r="B1030" s="64"/>
      <c r="C1030" s="55"/>
      <c r="D1030" s="64">
        <v>2019</v>
      </c>
      <c r="E1030" s="65">
        <f>124029*1000000</f>
        <v>124029000000</v>
      </c>
      <c r="F1030" s="65">
        <f>(124029+96052+42094+254017+5892)*1000000</f>
        <v>522084000000</v>
      </c>
      <c r="G1030" s="65">
        <f>1763884*1000000</f>
        <v>1763884000000</v>
      </c>
      <c r="H1030" s="65">
        <f>710207*1000000</f>
        <v>710207000000</v>
      </c>
      <c r="I1030" s="65">
        <f>1306926*1000000</f>
        <v>1306926000000</v>
      </c>
      <c r="J1030" s="65">
        <f>423499*1000000</f>
        <v>423499000000</v>
      </c>
      <c r="K1030" s="65">
        <f>456958*1000000</f>
        <v>456958000000</v>
      </c>
      <c r="L1030" s="65">
        <f>510734*1000000</f>
        <v>510734000000</v>
      </c>
      <c r="M1030" s="65">
        <f>63842*1000000</f>
        <v>63842000000</v>
      </c>
      <c r="N1030" s="65">
        <f>61565*1000000</f>
        <v>61565000000</v>
      </c>
      <c r="O1030" s="66">
        <v>0.6</v>
      </c>
      <c r="P1030" s="67" t="s">
        <v>276</v>
      </c>
      <c r="Q1030" s="65">
        <v>2</v>
      </c>
      <c r="R1030" s="65">
        <v>3</v>
      </c>
      <c r="S1030" s="65">
        <v>5</v>
      </c>
      <c r="T1030" s="65">
        <f t="shared" si="98"/>
        <v>8</v>
      </c>
      <c r="U1030" s="68">
        <v>0</v>
      </c>
      <c r="V1030" s="65">
        <v>0</v>
      </c>
      <c r="W1030" s="65">
        <v>0</v>
      </c>
      <c r="X1030" s="65">
        <v>0</v>
      </c>
      <c r="Y1030" s="64"/>
    </row>
    <row r="1031" spans="1:25" s="54" customFormat="1" ht="15" customHeight="1" x14ac:dyDescent="0.3">
      <c r="A1031" s="63"/>
      <c r="B1031" s="64"/>
      <c r="C1031" s="55"/>
      <c r="D1031" s="64">
        <v>2020</v>
      </c>
      <c r="E1031" s="65">
        <f>11540*1000000</f>
        <v>11540000000</v>
      </c>
      <c r="F1031" s="65">
        <f>(11540+61955+20321+178153+5230)*1000000</f>
        <v>277199000000</v>
      </c>
      <c r="G1031" s="65">
        <f>1554564*1000000</f>
        <v>1554564000000</v>
      </c>
      <c r="H1031" s="65">
        <f>543425*1000000</f>
        <v>543425000000</v>
      </c>
      <c r="I1031" s="65">
        <f>1057337*1000000</f>
        <v>1057337000000</v>
      </c>
      <c r="J1031" s="65">
        <f>463607*1000000</f>
        <v>463607000000</v>
      </c>
      <c r="K1031" s="65">
        <f>497227*1000000</f>
        <v>497227000000</v>
      </c>
      <c r="L1031" s="65">
        <f>502265*1000000</f>
        <v>502265000000</v>
      </c>
      <c r="M1031" s="65">
        <f>90778*1000000</f>
        <v>90778000000</v>
      </c>
      <c r="N1031" s="65">
        <f>80594*1000000</f>
        <v>80594000000</v>
      </c>
      <c r="O1031" s="66">
        <v>0.6</v>
      </c>
      <c r="P1031" s="67" t="s">
        <v>276</v>
      </c>
      <c r="Q1031" s="65">
        <v>2</v>
      </c>
      <c r="R1031" s="65">
        <v>3</v>
      </c>
      <c r="S1031" s="65">
        <v>6</v>
      </c>
      <c r="T1031" s="65">
        <f t="shared" si="98"/>
        <v>9</v>
      </c>
      <c r="U1031" s="68">
        <v>0</v>
      </c>
      <c r="V1031" s="65">
        <v>0</v>
      </c>
      <c r="W1031" s="65">
        <v>0</v>
      </c>
      <c r="X1031" s="65">
        <v>0</v>
      </c>
      <c r="Y1031" s="64"/>
    </row>
    <row r="1032" spans="1:25" s="54" customFormat="1" ht="15" customHeight="1" x14ac:dyDescent="0.3">
      <c r="A1032" s="63"/>
      <c r="B1032" s="64"/>
      <c r="C1032" s="55"/>
      <c r="D1032" s="64">
        <v>2021</v>
      </c>
      <c r="E1032" s="65">
        <f>11382*1000000</f>
        <v>11382000000</v>
      </c>
      <c r="F1032" s="65">
        <f>(11382+113388+15925+194214+3655)*1000000</f>
        <v>338564000000</v>
      </c>
      <c r="G1032" s="65">
        <f>1639874*1000000</f>
        <v>1639874000000</v>
      </c>
      <c r="H1032" s="65">
        <f>554772*1000000</f>
        <v>554772000000</v>
      </c>
      <c r="I1032" s="65">
        <f>1096132*1000000</f>
        <v>1096132000000</v>
      </c>
      <c r="J1032" s="65">
        <f>510051*1000000</f>
        <v>510051000000</v>
      </c>
      <c r="K1032" s="65">
        <f>543742*1000000</f>
        <v>543742000000</v>
      </c>
      <c r="L1032" s="65">
        <f>476728*1000000</f>
        <v>476728000000</v>
      </c>
      <c r="M1032" s="65">
        <f>107449*1000000</f>
        <v>107449000000</v>
      </c>
      <c r="N1032" s="65">
        <f>94515*1000000</f>
        <v>94515000000</v>
      </c>
      <c r="O1032" s="66">
        <v>0.6</v>
      </c>
      <c r="P1032" s="67" t="s">
        <v>276</v>
      </c>
      <c r="Q1032" s="65">
        <v>2</v>
      </c>
      <c r="R1032" s="65">
        <v>3</v>
      </c>
      <c r="S1032" s="65">
        <v>6</v>
      </c>
      <c r="T1032" s="65">
        <f t="shared" si="98"/>
        <v>9</v>
      </c>
      <c r="U1032" s="68">
        <v>0</v>
      </c>
      <c r="V1032" s="65">
        <v>0</v>
      </c>
      <c r="W1032" s="65">
        <v>0</v>
      </c>
      <c r="X1032" s="65">
        <v>0</v>
      </c>
      <c r="Y1032" s="64"/>
    </row>
    <row r="1033" spans="1:25" s="54" customFormat="1" ht="15" customHeight="1" x14ac:dyDescent="0.3">
      <c r="A1033" s="63"/>
      <c r="B1033" s="64"/>
      <c r="C1033" s="55"/>
      <c r="D1033" s="64">
        <v>2022</v>
      </c>
      <c r="E1033" s="65">
        <f>23518*1000000</f>
        <v>23518000000</v>
      </c>
      <c r="F1033" s="65">
        <f>(23518+141646+23305+225336+4678)*1000000</f>
        <v>418483000000</v>
      </c>
      <c r="G1033" s="65">
        <f>1939292*1000000</f>
        <v>1939292000000</v>
      </c>
      <c r="H1033" s="65">
        <f>662959*1000000</f>
        <v>662959000000</v>
      </c>
      <c r="I1033" s="65">
        <f>1288215*1000000</f>
        <v>1288215000000</v>
      </c>
      <c r="J1033" s="65">
        <f>617711*1000000</f>
        <v>617711000000</v>
      </c>
      <c r="K1033" s="65">
        <f>651077*1000000</f>
        <v>651077000000</v>
      </c>
      <c r="L1033" s="65">
        <f>504231*1000000</f>
        <v>504231000000</v>
      </c>
      <c r="M1033" s="65">
        <f>126002*1000000</f>
        <v>126002000000</v>
      </c>
      <c r="N1033" s="65">
        <f>107336*1000000</f>
        <v>107336000000</v>
      </c>
      <c r="O1033" s="66">
        <v>0.6</v>
      </c>
      <c r="P1033" s="67" t="s">
        <v>276</v>
      </c>
      <c r="Q1033" s="65">
        <v>2</v>
      </c>
      <c r="R1033" s="65">
        <v>3</v>
      </c>
      <c r="S1033" s="65">
        <v>6</v>
      </c>
      <c r="T1033" s="65">
        <f t="shared" si="98"/>
        <v>9</v>
      </c>
      <c r="U1033" s="68">
        <v>0</v>
      </c>
      <c r="V1033" s="65">
        <v>0</v>
      </c>
      <c r="W1033" s="65">
        <v>0</v>
      </c>
      <c r="X1033" s="65">
        <v>0</v>
      </c>
      <c r="Y1033" s="64"/>
    </row>
    <row r="1034" spans="1:25" s="54" customFormat="1" ht="15" customHeight="1" x14ac:dyDescent="0.3">
      <c r="A1034" s="63"/>
      <c r="B1034" s="64"/>
      <c r="C1034" s="55"/>
      <c r="D1034" s="64">
        <v>2023</v>
      </c>
      <c r="E1034" s="65">
        <f>70055*1000000</f>
        <v>70055000000</v>
      </c>
      <c r="F1034" s="65">
        <f>(70055+151662+277972+19081+6479)*1000000</f>
        <v>525249000000</v>
      </c>
      <c r="G1034" s="65">
        <f>2186737*1000000</f>
        <v>2186737000000</v>
      </c>
      <c r="H1034" s="65">
        <f>754896*1000000</f>
        <v>754896000000</v>
      </c>
      <c r="I1034" s="65">
        <f>1480307*1000000</f>
        <v>1480307000000</v>
      </c>
      <c r="J1034" s="65">
        <f>406205*1000000</f>
        <v>406205000000</v>
      </c>
      <c r="K1034" s="65">
        <f>706430*1000000</f>
        <v>706430000000</v>
      </c>
      <c r="L1034" s="65">
        <f>604788*1000000</f>
        <v>604788000000</v>
      </c>
      <c r="M1034" s="65">
        <f>124949*1000000</f>
        <v>124949000000</v>
      </c>
      <c r="N1034" s="65">
        <f>110353*1000000</f>
        <v>110353000000</v>
      </c>
      <c r="O1034" s="66">
        <v>0.6</v>
      </c>
      <c r="P1034" s="67" t="s">
        <v>276</v>
      </c>
      <c r="Q1034" s="65">
        <v>2</v>
      </c>
      <c r="R1034" s="65">
        <v>3</v>
      </c>
      <c r="S1034" s="65">
        <v>6</v>
      </c>
      <c r="T1034" s="65">
        <f t="shared" si="98"/>
        <v>9</v>
      </c>
      <c r="U1034" s="68">
        <v>0</v>
      </c>
      <c r="V1034" s="65">
        <f>3+(2*3)+3</f>
        <v>12</v>
      </c>
      <c r="W1034" s="65">
        <f>V1034</f>
        <v>12</v>
      </c>
      <c r="X1034" s="65">
        <f>6+2</f>
        <v>8</v>
      </c>
      <c r="Y1034" s="64"/>
    </row>
    <row r="1035" spans="1:25" s="54" customFormat="1" ht="15" customHeight="1" x14ac:dyDescent="0.3">
      <c r="A1035" s="63"/>
      <c r="B1035" s="64"/>
      <c r="C1035" s="55"/>
      <c r="D1035" s="64">
        <v>2024</v>
      </c>
      <c r="E1035" s="65">
        <f>52066*1000000</f>
        <v>52066000000</v>
      </c>
      <c r="F1035" s="65">
        <f>(52066+132677+285975+30493+7131)*1000000</f>
        <v>508342000000</v>
      </c>
      <c r="G1035" s="65">
        <f>2288683*1000000</f>
        <v>2288683000000</v>
      </c>
      <c r="H1035" s="65">
        <f>758191*1000000</f>
        <v>758191000000</v>
      </c>
      <c r="I1035" s="65">
        <f>1512006*1000000</f>
        <v>1512006000000</v>
      </c>
      <c r="J1035" s="65">
        <f>276431*1000000</f>
        <v>276431000000</v>
      </c>
      <c r="K1035" s="65">
        <f>776677*1000000</f>
        <v>776677000000</v>
      </c>
      <c r="L1035" s="65">
        <f>647787*1000000</f>
        <v>647787000000</v>
      </c>
      <c r="M1035" s="65">
        <f>145065*1000000</f>
        <v>145065000000</v>
      </c>
      <c r="N1035" s="65">
        <f>130247*1000000</f>
        <v>130247000000</v>
      </c>
      <c r="O1035" s="66">
        <v>0.6</v>
      </c>
      <c r="P1035" s="67" t="s">
        <v>276</v>
      </c>
      <c r="Q1035" s="65">
        <v>2</v>
      </c>
      <c r="R1035" s="65">
        <v>3</v>
      </c>
      <c r="S1035" s="65">
        <v>6</v>
      </c>
      <c r="T1035" s="65">
        <f t="shared" si="98"/>
        <v>9</v>
      </c>
      <c r="U1035" s="68">
        <v>0</v>
      </c>
      <c r="V1035" s="65">
        <f>3+(2*3)+3</f>
        <v>12</v>
      </c>
      <c r="W1035" s="65">
        <f>V1035</f>
        <v>12</v>
      </c>
      <c r="X1035" s="65">
        <f>6+2</f>
        <v>8</v>
      </c>
      <c r="Y1035" s="64"/>
    </row>
    <row r="1036" spans="1:25" s="54" customFormat="1" ht="15" customHeight="1" x14ac:dyDescent="0.3">
      <c r="A1036" s="63"/>
      <c r="B1036" s="64">
        <v>95</v>
      </c>
      <c r="C1036" s="55" t="s">
        <v>115</v>
      </c>
      <c r="D1036" s="64">
        <v>2014</v>
      </c>
      <c r="E1036" s="65">
        <v>0</v>
      </c>
      <c r="F1036" s="65">
        <v>0</v>
      </c>
      <c r="G1036" s="65">
        <v>0</v>
      </c>
      <c r="H1036" s="65">
        <v>0</v>
      </c>
      <c r="I1036" s="65">
        <v>0</v>
      </c>
      <c r="J1036" s="65">
        <v>0</v>
      </c>
      <c r="K1036" s="65">
        <v>0</v>
      </c>
      <c r="L1036" s="65">
        <v>0</v>
      </c>
      <c r="M1036" s="65">
        <v>0</v>
      </c>
      <c r="N1036" s="65">
        <v>0</v>
      </c>
      <c r="O1036" s="65">
        <v>0</v>
      </c>
      <c r="P1036" s="65">
        <v>0</v>
      </c>
      <c r="Q1036" s="65">
        <v>0</v>
      </c>
      <c r="R1036" s="65">
        <v>0</v>
      </c>
      <c r="S1036" s="65">
        <v>0</v>
      </c>
      <c r="T1036" s="65">
        <v>0</v>
      </c>
      <c r="U1036" s="65">
        <v>0</v>
      </c>
      <c r="V1036" s="65">
        <v>0</v>
      </c>
      <c r="W1036" s="65">
        <v>0</v>
      </c>
      <c r="X1036" s="65">
        <v>0</v>
      </c>
      <c r="Y1036" s="64"/>
    </row>
    <row r="1037" spans="1:25" s="54" customFormat="1" ht="15" customHeight="1" x14ac:dyDescent="0.3">
      <c r="A1037" s="63"/>
      <c r="B1037" s="64"/>
      <c r="C1037" s="55"/>
      <c r="D1037" s="64">
        <v>2015</v>
      </c>
      <c r="E1037" s="65">
        <v>0</v>
      </c>
      <c r="F1037" s="65">
        <v>0</v>
      </c>
      <c r="G1037" s="65">
        <v>0</v>
      </c>
      <c r="H1037" s="65">
        <v>0</v>
      </c>
      <c r="I1037" s="65">
        <v>0</v>
      </c>
      <c r="J1037" s="65">
        <v>0</v>
      </c>
      <c r="K1037" s="65">
        <v>0</v>
      </c>
      <c r="L1037" s="65">
        <v>0</v>
      </c>
      <c r="M1037" s="65">
        <v>0</v>
      </c>
      <c r="N1037" s="65">
        <v>0</v>
      </c>
      <c r="O1037" s="65">
        <v>0</v>
      </c>
      <c r="P1037" s="65">
        <v>0</v>
      </c>
      <c r="Q1037" s="65">
        <v>0</v>
      </c>
      <c r="R1037" s="65">
        <v>0</v>
      </c>
      <c r="S1037" s="65">
        <v>0</v>
      </c>
      <c r="T1037" s="65">
        <v>0</v>
      </c>
      <c r="U1037" s="65">
        <v>0</v>
      </c>
      <c r="V1037" s="65">
        <v>0</v>
      </c>
      <c r="W1037" s="65">
        <v>0</v>
      </c>
      <c r="X1037" s="65">
        <v>0</v>
      </c>
      <c r="Y1037" s="64"/>
    </row>
    <row r="1038" spans="1:25" s="54" customFormat="1" ht="15" customHeight="1" x14ac:dyDescent="0.3">
      <c r="A1038" s="63"/>
      <c r="B1038" s="64"/>
      <c r="C1038" s="55"/>
      <c r="D1038" s="64">
        <v>2016</v>
      </c>
      <c r="E1038" s="65">
        <v>0</v>
      </c>
      <c r="F1038" s="65">
        <v>0</v>
      </c>
      <c r="G1038" s="65">
        <v>0</v>
      </c>
      <c r="H1038" s="65">
        <v>0</v>
      </c>
      <c r="I1038" s="65">
        <v>0</v>
      </c>
      <c r="J1038" s="65">
        <v>0</v>
      </c>
      <c r="K1038" s="65">
        <v>0</v>
      </c>
      <c r="L1038" s="65">
        <v>0</v>
      </c>
      <c r="M1038" s="65">
        <v>0</v>
      </c>
      <c r="N1038" s="65">
        <v>0</v>
      </c>
      <c r="O1038" s="65">
        <v>0</v>
      </c>
      <c r="P1038" s="65">
        <v>0</v>
      </c>
      <c r="Q1038" s="65">
        <v>0</v>
      </c>
      <c r="R1038" s="65">
        <v>0</v>
      </c>
      <c r="S1038" s="65">
        <v>0</v>
      </c>
      <c r="T1038" s="65">
        <v>0</v>
      </c>
      <c r="U1038" s="65">
        <v>0</v>
      </c>
      <c r="V1038" s="65">
        <v>0</v>
      </c>
      <c r="W1038" s="65">
        <v>0</v>
      </c>
      <c r="X1038" s="65">
        <v>0</v>
      </c>
      <c r="Y1038" s="64"/>
    </row>
    <row r="1039" spans="1:25" s="54" customFormat="1" ht="15" customHeight="1" x14ac:dyDescent="0.3">
      <c r="A1039" s="63"/>
      <c r="B1039" s="64"/>
      <c r="C1039" s="55"/>
      <c r="D1039" s="64">
        <v>2017</v>
      </c>
      <c r="E1039" s="65">
        <v>0</v>
      </c>
      <c r="F1039" s="65">
        <v>0</v>
      </c>
      <c r="G1039" s="65">
        <v>0</v>
      </c>
      <c r="H1039" s="65">
        <v>0</v>
      </c>
      <c r="I1039" s="65">
        <v>0</v>
      </c>
      <c r="J1039" s="65">
        <v>0</v>
      </c>
      <c r="K1039" s="65">
        <v>0</v>
      </c>
      <c r="L1039" s="65">
        <v>0</v>
      </c>
      <c r="M1039" s="65">
        <v>0</v>
      </c>
      <c r="N1039" s="65">
        <v>0</v>
      </c>
      <c r="O1039" s="65">
        <v>0</v>
      </c>
      <c r="P1039" s="65">
        <v>0</v>
      </c>
      <c r="Q1039" s="65">
        <v>0</v>
      </c>
      <c r="R1039" s="65">
        <v>0</v>
      </c>
      <c r="S1039" s="65">
        <v>0</v>
      </c>
      <c r="T1039" s="65">
        <v>0</v>
      </c>
      <c r="U1039" s="65">
        <v>0</v>
      </c>
      <c r="V1039" s="65">
        <v>0</v>
      </c>
      <c r="W1039" s="65">
        <v>0</v>
      </c>
      <c r="X1039" s="65">
        <v>0</v>
      </c>
      <c r="Y1039" s="64"/>
    </row>
    <row r="1040" spans="1:25" s="54" customFormat="1" ht="15" customHeight="1" x14ac:dyDescent="0.3">
      <c r="A1040" s="63"/>
      <c r="B1040" s="64"/>
      <c r="C1040" s="55"/>
      <c r="D1040" s="64">
        <v>2018</v>
      </c>
      <c r="E1040" s="65">
        <v>0</v>
      </c>
      <c r="F1040" s="65">
        <v>0</v>
      </c>
      <c r="G1040" s="65">
        <v>0</v>
      </c>
      <c r="H1040" s="65">
        <v>0</v>
      </c>
      <c r="I1040" s="65">
        <v>0</v>
      </c>
      <c r="J1040" s="65">
        <v>0</v>
      </c>
      <c r="K1040" s="65">
        <v>0</v>
      </c>
      <c r="L1040" s="65">
        <v>0</v>
      </c>
      <c r="M1040" s="65">
        <v>0</v>
      </c>
      <c r="N1040" s="65">
        <v>0</v>
      </c>
      <c r="O1040" s="65">
        <v>0</v>
      </c>
      <c r="P1040" s="65">
        <v>0</v>
      </c>
      <c r="Q1040" s="65">
        <v>0</v>
      </c>
      <c r="R1040" s="65">
        <v>0</v>
      </c>
      <c r="S1040" s="65">
        <v>0</v>
      </c>
      <c r="T1040" s="65">
        <v>0</v>
      </c>
      <c r="U1040" s="65">
        <v>0</v>
      </c>
      <c r="V1040" s="65">
        <v>0</v>
      </c>
      <c r="W1040" s="65">
        <v>0</v>
      </c>
      <c r="X1040" s="65">
        <v>0</v>
      </c>
      <c r="Y1040" s="64"/>
    </row>
    <row r="1041" spans="1:25" s="54" customFormat="1" ht="15" customHeight="1" x14ac:dyDescent="0.3">
      <c r="A1041" s="63"/>
      <c r="B1041" s="64"/>
      <c r="C1041" s="55"/>
      <c r="D1041" s="64">
        <v>2019</v>
      </c>
      <c r="E1041" s="65">
        <f>5835330900</f>
        <v>5835330900</v>
      </c>
      <c r="F1041" s="65">
        <f>(5835330900+7917465613+35570499998+1272222302+21702491006+739078995)</f>
        <v>73037088814</v>
      </c>
      <c r="G1041" s="65">
        <f>196174651501</f>
        <v>196174651501</v>
      </c>
      <c r="H1041" s="65">
        <f>22048943947+13864381126+1074935786+490231069+380921610+4817113463</f>
        <v>42676527001</v>
      </c>
      <c r="I1041" s="65">
        <f>84964649275</f>
        <v>84964649275</v>
      </c>
      <c r="J1041" s="65">
        <f>1168476004-57864894251</f>
        <v>-56696418247</v>
      </c>
      <c r="K1041" s="65">
        <f>111210002226</f>
        <v>111210002226</v>
      </c>
      <c r="L1041" s="65">
        <f>39959637824</f>
        <v>39959637824</v>
      </c>
      <c r="M1041" s="65">
        <f>7022307637</f>
        <v>7022307637</v>
      </c>
      <c r="N1041" s="65">
        <f>5205588810</f>
        <v>5205588810</v>
      </c>
      <c r="O1041" s="66">
        <v>0.22600000000000001</v>
      </c>
      <c r="P1041" s="67" t="s">
        <v>278</v>
      </c>
      <c r="Q1041" s="65">
        <v>1</v>
      </c>
      <c r="R1041" s="65">
        <v>2</v>
      </c>
      <c r="S1041" s="65">
        <v>3</v>
      </c>
      <c r="T1041" s="65">
        <f t="shared" ref="T1041:T1046" si="99">SUM(R1041:S1041)</f>
        <v>5</v>
      </c>
      <c r="U1041" s="68">
        <v>0</v>
      </c>
      <c r="V1041" s="65">
        <v>0</v>
      </c>
      <c r="W1041" s="65">
        <v>0</v>
      </c>
      <c r="X1041" s="65">
        <v>0</v>
      </c>
      <c r="Y1041" s="64"/>
    </row>
    <row r="1042" spans="1:25" s="54" customFormat="1" ht="15" customHeight="1" x14ac:dyDescent="0.3">
      <c r="A1042" s="63"/>
      <c r="B1042" s="64"/>
      <c r="C1042" s="55"/>
      <c r="D1042" s="64">
        <v>2020</v>
      </c>
      <c r="E1042" s="65">
        <f>4181*1000000</f>
        <v>4181000000</v>
      </c>
      <c r="F1042" s="65">
        <f>(4181+8770+326+12381+36076+464)*1000000</f>
        <v>62198000000</v>
      </c>
      <c r="G1042" s="65">
        <f>199744*1000000</f>
        <v>199744000000</v>
      </c>
      <c r="H1042" s="65">
        <f>61586*1000000</f>
        <v>61586000000</v>
      </c>
      <c r="I1042" s="65">
        <f>88331*1000000</f>
        <v>88331000000</v>
      </c>
      <c r="J1042" s="65">
        <f>-56066*1000000</f>
        <v>-56066000000</v>
      </c>
      <c r="K1042" s="65">
        <f>111413*1000000</f>
        <v>111413000000</v>
      </c>
      <c r="L1042" s="65">
        <f>31267*1000000</f>
        <v>31267000000</v>
      </c>
      <c r="M1042" s="65">
        <f>3747*1000000</f>
        <v>3747000000</v>
      </c>
      <c r="N1042" s="65">
        <f>203*1000000</f>
        <v>203000000</v>
      </c>
      <c r="O1042" s="66">
        <v>0.22600000000000001</v>
      </c>
      <c r="P1042" s="67" t="s">
        <v>278</v>
      </c>
      <c r="Q1042" s="65">
        <v>1</v>
      </c>
      <c r="R1042" s="65">
        <v>2</v>
      </c>
      <c r="S1042" s="65">
        <v>3</v>
      </c>
      <c r="T1042" s="65">
        <f t="shared" si="99"/>
        <v>5</v>
      </c>
      <c r="U1042" s="68">
        <v>0</v>
      </c>
      <c r="V1042" s="65">
        <v>0</v>
      </c>
      <c r="W1042" s="65">
        <v>0</v>
      </c>
      <c r="X1042" s="65">
        <v>0</v>
      </c>
      <c r="Y1042" s="64"/>
    </row>
    <row r="1043" spans="1:25" s="54" customFormat="1" ht="15" customHeight="1" x14ac:dyDescent="0.3">
      <c r="A1043" s="63"/>
      <c r="B1043" s="64"/>
      <c r="C1043" s="55"/>
      <c r="D1043" s="64">
        <v>2021</v>
      </c>
      <c r="E1043" s="65">
        <f>3689*1000000</f>
        <v>3689000000</v>
      </c>
      <c r="F1043" s="65">
        <f>(3689+2762+14745+31618+245)*1000000</f>
        <v>53059000000</v>
      </c>
      <c r="G1043" s="65">
        <f>173288*1000000</f>
        <v>173288000000</v>
      </c>
      <c r="H1043" s="65">
        <f>34249*1000000</f>
        <v>34249000000</v>
      </c>
      <c r="I1043" s="65">
        <f>57845*1000000</f>
        <v>57845000000</v>
      </c>
      <c r="J1043" s="65">
        <f>-55611*1000000</f>
        <v>-55611000000</v>
      </c>
      <c r="K1043" s="65">
        <f>115443*1000000</f>
        <v>115443000000</v>
      </c>
      <c r="L1043" s="65">
        <f>27446*1000000</f>
        <v>27446000000</v>
      </c>
      <c r="M1043" s="65">
        <f>292*1000000</f>
        <v>292000000</v>
      </c>
      <c r="N1043" s="65">
        <f>4029*1000000</f>
        <v>4029000000</v>
      </c>
      <c r="O1043" s="66">
        <v>0.22600000000000001</v>
      </c>
      <c r="P1043" s="67" t="s">
        <v>278</v>
      </c>
      <c r="Q1043" s="65">
        <v>1</v>
      </c>
      <c r="R1043" s="65">
        <v>2</v>
      </c>
      <c r="S1043" s="65">
        <v>3</v>
      </c>
      <c r="T1043" s="65">
        <f t="shared" si="99"/>
        <v>5</v>
      </c>
      <c r="U1043" s="68">
        <v>0</v>
      </c>
      <c r="V1043" s="65">
        <v>0</v>
      </c>
      <c r="W1043" s="65">
        <v>0</v>
      </c>
      <c r="X1043" s="65">
        <v>0</v>
      </c>
      <c r="Y1043" s="64"/>
    </row>
    <row r="1044" spans="1:25" s="54" customFormat="1" ht="15" customHeight="1" x14ac:dyDescent="0.3">
      <c r="A1044" s="63"/>
      <c r="B1044" s="64"/>
      <c r="C1044" s="55"/>
      <c r="D1044" s="64">
        <v>2022</v>
      </c>
      <c r="E1044" s="65">
        <f>4294*1000000</f>
        <v>4294000000</v>
      </c>
      <c r="F1044" s="65">
        <f>(4294+4344+7512+26795+245)*1000000</f>
        <v>43190000000</v>
      </c>
      <c r="G1044" s="65">
        <f>163542*1000000</f>
        <v>163542000000</v>
      </c>
      <c r="H1044" s="65">
        <f>29853*1000000</f>
        <v>29853000000</v>
      </c>
      <c r="I1044" s="65">
        <f>61026*1000000</f>
        <v>61026000000</v>
      </c>
      <c r="J1044" s="65">
        <f>-68281*1000000</f>
        <v>-68281000000</v>
      </c>
      <c r="K1044" s="65">
        <f>102516*1000000</f>
        <v>102516000000</v>
      </c>
      <c r="L1044" s="65">
        <f>14902*1000000</f>
        <v>14902000000</v>
      </c>
      <c r="M1044" s="65">
        <f>-16378*1000000</f>
        <v>-16378000000</v>
      </c>
      <c r="N1044" s="65">
        <f>-12927*1000000</f>
        <v>-12927000000</v>
      </c>
      <c r="O1044" s="66">
        <v>0.22600000000000001</v>
      </c>
      <c r="P1044" s="67" t="s">
        <v>278</v>
      </c>
      <c r="Q1044" s="65">
        <v>1</v>
      </c>
      <c r="R1044" s="65">
        <v>2</v>
      </c>
      <c r="S1044" s="65">
        <v>3</v>
      </c>
      <c r="T1044" s="65">
        <f t="shared" si="99"/>
        <v>5</v>
      </c>
      <c r="U1044" s="68">
        <v>0</v>
      </c>
      <c r="V1044" s="65">
        <v>0</v>
      </c>
      <c r="W1044" s="65">
        <v>0</v>
      </c>
      <c r="X1044" s="65">
        <v>0</v>
      </c>
      <c r="Y1044" s="64"/>
    </row>
    <row r="1045" spans="1:25" s="54" customFormat="1" ht="15" customHeight="1" x14ac:dyDescent="0.3">
      <c r="A1045" s="63"/>
      <c r="B1045" s="64"/>
      <c r="C1045" s="55"/>
      <c r="D1045" s="64">
        <v>2023</v>
      </c>
      <c r="E1045" s="65">
        <f>3490*1000000</f>
        <v>3490000000</v>
      </c>
      <c r="F1045" s="65">
        <f>(3490+7743+36138+8823+181)*1000000</f>
        <v>56375000000</v>
      </c>
      <c r="G1045" s="65">
        <f>180812*1000000</f>
        <v>180812000000</v>
      </c>
      <c r="H1045" s="65">
        <f>46121*1000000</f>
        <v>46121000000</v>
      </c>
      <c r="I1045" s="65">
        <f>80434*1000000</f>
        <v>80434000000</v>
      </c>
      <c r="J1045" s="65">
        <f>-73641*1000000</f>
        <v>-73641000000</v>
      </c>
      <c r="K1045" s="65">
        <f>100378*1000000</f>
        <v>100378000000</v>
      </c>
      <c r="L1045" s="65">
        <f>48533*1000000</f>
        <v>48533000000</v>
      </c>
      <c r="M1045" s="65">
        <f>-5389*1000000</f>
        <v>-5389000000</v>
      </c>
      <c r="N1045" s="65">
        <f>-2138*1000000</f>
        <v>-2138000000</v>
      </c>
      <c r="O1045" s="66">
        <v>0.22600000000000001</v>
      </c>
      <c r="P1045" s="67" t="s">
        <v>278</v>
      </c>
      <c r="Q1045" s="65">
        <v>1</v>
      </c>
      <c r="R1045" s="65">
        <v>2</v>
      </c>
      <c r="S1045" s="65">
        <v>3</v>
      </c>
      <c r="T1045" s="65">
        <f t="shared" si="99"/>
        <v>5</v>
      </c>
      <c r="U1045" s="68">
        <v>0</v>
      </c>
      <c r="V1045" s="65">
        <v>0</v>
      </c>
      <c r="W1045" s="65">
        <v>0</v>
      </c>
      <c r="X1045" s="65">
        <v>0</v>
      </c>
      <c r="Y1045" s="64"/>
    </row>
    <row r="1046" spans="1:25" s="54" customFormat="1" ht="15" customHeight="1" x14ac:dyDescent="0.3">
      <c r="A1046" s="63"/>
      <c r="B1046" s="64"/>
      <c r="C1046" s="55"/>
      <c r="D1046" s="64">
        <v>2024</v>
      </c>
      <c r="E1046" s="65">
        <f>16918*1000000</f>
        <v>16918000000</v>
      </c>
      <c r="F1046" s="65">
        <f>(16918+26218+24131+9184+267)*1000000</f>
        <v>76718000000</v>
      </c>
      <c r="G1046" s="65">
        <f>237329*1000000</f>
        <v>237329000000</v>
      </c>
      <c r="H1046" s="65">
        <f>48097*1000000</f>
        <v>48097000000</v>
      </c>
      <c r="I1046" s="65">
        <f>97296*1000000</f>
        <v>97296000000</v>
      </c>
      <c r="J1046" s="65">
        <f>-74357*1000000</f>
        <v>-74357000000</v>
      </c>
      <c r="K1046" s="65">
        <f>140032*1000000</f>
        <v>140032000000</v>
      </c>
      <c r="L1046" s="65">
        <f>81067*1000000</f>
        <v>81067000000</v>
      </c>
      <c r="M1046" s="65">
        <f>-1370*1000000</f>
        <v>-1370000000</v>
      </c>
      <c r="N1046" s="65">
        <f>-345*1000000</f>
        <v>-345000000</v>
      </c>
      <c r="O1046" s="66">
        <v>0.64339999999999997</v>
      </c>
      <c r="P1046" s="67" t="s">
        <v>277</v>
      </c>
      <c r="Q1046" s="65">
        <v>2</v>
      </c>
      <c r="R1046" s="65">
        <v>3</v>
      </c>
      <c r="S1046" s="65">
        <v>3</v>
      </c>
      <c r="T1046" s="65">
        <f t="shared" si="99"/>
        <v>6</v>
      </c>
      <c r="U1046" s="68">
        <v>0</v>
      </c>
      <c r="V1046" s="65">
        <v>0</v>
      </c>
      <c r="W1046" s="65">
        <v>0</v>
      </c>
      <c r="X1046" s="65">
        <v>0</v>
      </c>
      <c r="Y1046" s="64"/>
    </row>
    <row r="1047" spans="1:25" s="54" customFormat="1" ht="15" customHeight="1" x14ac:dyDescent="0.3">
      <c r="A1047" s="63"/>
      <c r="B1047" s="64">
        <v>96</v>
      </c>
      <c r="C1047" s="55" t="s">
        <v>116</v>
      </c>
      <c r="D1047" s="64">
        <v>2014</v>
      </c>
      <c r="E1047" s="65">
        <v>0</v>
      </c>
      <c r="F1047" s="65">
        <v>0</v>
      </c>
      <c r="G1047" s="65">
        <v>0</v>
      </c>
      <c r="H1047" s="65">
        <v>0</v>
      </c>
      <c r="I1047" s="65">
        <v>0</v>
      </c>
      <c r="J1047" s="65">
        <v>0</v>
      </c>
      <c r="K1047" s="65">
        <v>0</v>
      </c>
      <c r="L1047" s="65">
        <v>0</v>
      </c>
      <c r="M1047" s="65">
        <v>0</v>
      </c>
      <c r="N1047" s="65">
        <v>0</v>
      </c>
      <c r="O1047" s="65">
        <v>0</v>
      </c>
      <c r="P1047" s="65">
        <v>0</v>
      </c>
      <c r="Q1047" s="65">
        <v>0</v>
      </c>
      <c r="R1047" s="65">
        <v>0</v>
      </c>
      <c r="S1047" s="65">
        <v>0</v>
      </c>
      <c r="T1047" s="65">
        <v>0</v>
      </c>
      <c r="U1047" s="65">
        <v>0</v>
      </c>
      <c r="V1047" s="65">
        <v>0</v>
      </c>
      <c r="W1047" s="65">
        <v>0</v>
      </c>
      <c r="X1047" s="65">
        <v>0</v>
      </c>
      <c r="Y1047" s="64"/>
    </row>
    <row r="1048" spans="1:25" s="54" customFormat="1" ht="15" customHeight="1" x14ac:dyDescent="0.3">
      <c r="A1048" s="63"/>
      <c r="B1048" s="64"/>
      <c r="C1048" s="55"/>
      <c r="D1048" s="64">
        <v>2015</v>
      </c>
      <c r="E1048" s="65">
        <f>36399601119</f>
        <v>36399601119</v>
      </c>
      <c r="F1048" s="65">
        <f>(E1048+3160246+155193789279+874151801+34763309376+20337221119+38760510+2054703877+8062009285+555171750590)</f>
        <v>812898457202</v>
      </c>
      <c r="G1048" s="65">
        <f>1422094069358</f>
        <v>1422094069358</v>
      </c>
      <c r="H1048" s="65">
        <f>1147680454337-25412166466-980840753185</f>
        <v>141427534686</v>
      </c>
      <c r="I1048" s="65">
        <f>1147680454337</f>
        <v>1147680454337</v>
      </c>
      <c r="J1048" s="65">
        <f>126746250405+34425747189</f>
        <v>161171997594</v>
      </c>
      <c r="K1048" s="65">
        <f>274413615021</f>
        <v>274413615021</v>
      </c>
      <c r="L1048" s="65">
        <f>311249973074</f>
        <v>311249973074</v>
      </c>
      <c r="M1048" s="65">
        <f>79479258285</f>
        <v>79479258285</v>
      </c>
      <c r="N1048" s="65">
        <f>63323652330</f>
        <v>63323652330</v>
      </c>
      <c r="O1048" s="65">
        <v>0</v>
      </c>
      <c r="P1048" s="65">
        <v>0</v>
      </c>
      <c r="Q1048" s="65">
        <v>0</v>
      </c>
      <c r="R1048" s="65">
        <v>0</v>
      </c>
      <c r="S1048" s="65">
        <v>0</v>
      </c>
      <c r="T1048" s="65">
        <v>0</v>
      </c>
      <c r="U1048" s="65">
        <v>0</v>
      </c>
      <c r="V1048" s="65">
        <v>0</v>
      </c>
      <c r="W1048" s="65">
        <v>0</v>
      </c>
      <c r="X1048" s="65">
        <v>0</v>
      </c>
      <c r="Y1048" s="64"/>
    </row>
    <row r="1049" spans="1:25" s="54" customFormat="1" ht="15" customHeight="1" x14ac:dyDescent="0.3">
      <c r="A1049" s="63"/>
      <c r="B1049" s="64"/>
      <c r="C1049" s="55"/>
      <c r="D1049" s="64">
        <v>2016</v>
      </c>
      <c r="E1049" s="65">
        <f>42596023134</f>
        <v>42596023134</v>
      </c>
      <c r="F1049" s="65">
        <f>(425960231334+44673242+197024579931+46378551+46853379369+6878287061+2894343372+484107347199)</f>
        <v>1163809220059</v>
      </c>
      <c r="G1049" s="65">
        <f>1434654843880</f>
        <v>1434654843880</v>
      </c>
      <c r="H1049" s="69">
        <f>1124163800820-23397677832-955607593307</f>
        <v>145158529681</v>
      </c>
      <c r="I1049" s="65">
        <f>1124162800820</f>
        <v>1124162800820</v>
      </c>
      <c r="J1049" s="65">
        <f>170319631801+35687798880</f>
        <v>206007430681</v>
      </c>
      <c r="K1049" s="65">
        <f>310491043060</f>
        <v>310491043060</v>
      </c>
      <c r="L1049" s="65">
        <f>334335437786</f>
        <v>334335437786</v>
      </c>
      <c r="M1049" s="65">
        <f>77829512162</f>
        <v>77829512162</v>
      </c>
      <c r="N1049" s="65">
        <f>63334978929</f>
        <v>63334978929</v>
      </c>
      <c r="O1049" s="66">
        <v>0.25559999999999999</v>
      </c>
      <c r="P1049" s="67" t="s">
        <v>282</v>
      </c>
      <c r="Q1049" s="65">
        <v>0</v>
      </c>
      <c r="R1049" s="65">
        <v>4</v>
      </c>
      <c r="S1049" s="65">
        <v>5</v>
      </c>
      <c r="T1049" s="65">
        <f>SUM(R1049:S1049)</f>
        <v>9</v>
      </c>
      <c r="U1049" s="68">
        <v>0.46860000000000002</v>
      </c>
      <c r="V1049" s="69">
        <f>4+(4*2)+(3*3)</f>
        <v>21</v>
      </c>
      <c r="W1049" s="65">
        <f t="shared" ref="W1049:W1057" si="100">V1049</f>
        <v>21</v>
      </c>
      <c r="X1049" s="65">
        <f>5+(2*2)</f>
        <v>9</v>
      </c>
      <c r="Y1049" s="64"/>
    </row>
    <row r="1050" spans="1:25" s="54" customFormat="1" ht="15" customHeight="1" x14ac:dyDescent="0.3">
      <c r="A1050" s="63"/>
      <c r="B1050" s="64"/>
      <c r="C1050" s="55"/>
      <c r="D1050" s="64">
        <v>2017</v>
      </c>
      <c r="E1050" s="65">
        <f>58834584316</f>
        <v>58834584316</v>
      </c>
      <c r="F1050" s="65">
        <f>(E1050+106761+150026381013+95902252317+16148718092+25028514942+442381360117)</f>
        <v>788321917558</v>
      </c>
      <c r="G1050" s="65">
        <f>1418524795003</f>
        <v>1418524795003</v>
      </c>
      <c r="H1050" s="65">
        <f>1062228874493-26019348332-859990299369</f>
        <v>176219226792</v>
      </c>
      <c r="I1050" s="65">
        <f>1062228874493</f>
        <v>1062228874493</v>
      </c>
      <c r="J1050" s="65">
        <f>212242098156+32028179483</f>
        <v>244270277639</v>
      </c>
      <c r="K1050" s="65">
        <f>356295920510</f>
        <v>356295920510</v>
      </c>
      <c r="L1050" s="65">
        <f>325795692449</f>
        <v>325795692449</v>
      </c>
      <c r="M1050" s="65">
        <f>73843996987</f>
        <v>73843996987</v>
      </c>
      <c r="N1050" s="65">
        <f>60408579794</f>
        <v>60408579794</v>
      </c>
      <c r="O1050" s="66">
        <v>0.27689999999999998</v>
      </c>
      <c r="P1050" s="67" t="s">
        <v>282</v>
      </c>
      <c r="Q1050" s="65">
        <v>3</v>
      </c>
      <c r="R1050" s="65">
        <v>4</v>
      </c>
      <c r="S1050" s="65">
        <v>5</v>
      </c>
      <c r="T1050" s="65">
        <f t="shared" ref="T1050:T1057" si="101">SUM(R1050:S1050)</f>
        <v>9</v>
      </c>
      <c r="U1050" s="68">
        <v>0.46860000000000002</v>
      </c>
      <c r="V1050" s="65">
        <f>4+(4*2)+(3*3)</f>
        <v>21</v>
      </c>
      <c r="W1050" s="65">
        <f t="shared" si="100"/>
        <v>21</v>
      </c>
      <c r="X1050" s="65">
        <f>5+(2*2)</f>
        <v>9</v>
      </c>
      <c r="Y1050" s="64"/>
    </row>
    <row r="1051" spans="1:25" s="54" customFormat="1" ht="15" customHeight="1" x14ac:dyDescent="0.3">
      <c r="A1051" s="63"/>
      <c r="B1051" s="64"/>
      <c r="C1051" s="55"/>
      <c r="D1051" s="64">
        <v>2018</v>
      </c>
      <c r="E1051" s="65">
        <f>47582389796</f>
        <v>47582389796</v>
      </c>
      <c r="F1051" s="65">
        <f>47582389796+191983400214+83837798495+48030231712+420331689+4560330767+433818300123</f>
        <v>810232782796</v>
      </c>
      <c r="G1051" s="65">
        <f>1478007061719</f>
        <v>1478007061719</v>
      </c>
      <c r="H1051" s="65">
        <f>1072221723281-21756197545-885027011432</f>
        <v>165438514304</v>
      </c>
      <c r="I1051" s="65">
        <f>1072221723281</f>
        <v>1072221723281</v>
      </c>
      <c r="J1051" s="65">
        <f>251710651281+48566286627</f>
        <v>300276937908</v>
      </c>
      <c r="K1051" s="65">
        <f>405785338438</f>
        <v>405785338438</v>
      </c>
      <c r="L1051" s="65">
        <f>352488318320</f>
        <v>352488318320</v>
      </c>
      <c r="M1051" s="65">
        <f>88198904566</f>
        <v>88198904566</v>
      </c>
      <c r="N1051" s="65">
        <f>70945360128</f>
        <v>70945360128</v>
      </c>
      <c r="O1051" s="66">
        <v>0.27689999999999998</v>
      </c>
      <c r="P1051" s="67" t="s">
        <v>282</v>
      </c>
      <c r="Q1051" s="65">
        <v>3</v>
      </c>
      <c r="R1051" s="65">
        <v>4</v>
      </c>
      <c r="S1051" s="65">
        <v>5</v>
      </c>
      <c r="T1051" s="65">
        <f t="shared" si="101"/>
        <v>9</v>
      </c>
      <c r="U1051" s="68">
        <v>0.46860000000000002</v>
      </c>
      <c r="V1051" s="65">
        <f>4+(4*2)+(3*3)</f>
        <v>21</v>
      </c>
      <c r="W1051" s="65">
        <f t="shared" si="100"/>
        <v>21</v>
      </c>
      <c r="X1051" s="65">
        <f>5+2</f>
        <v>7</v>
      </c>
      <c r="Y1051" s="64"/>
    </row>
    <row r="1052" spans="1:25" s="54" customFormat="1" ht="15" customHeight="1" x14ac:dyDescent="0.3">
      <c r="A1052" s="63"/>
      <c r="B1052" s="64"/>
      <c r="C1052" s="55"/>
      <c r="D1052" s="64">
        <v>2019</v>
      </c>
      <c r="E1052" s="65">
        <f>35967111031</f>
        <v>35967111031</v>
      </c>
      <c r="F1052" s="65">
        <f>35967111031+257089177176+87954156687+52890512333+12167674442+433520076941</f>
        <v>879588708610</v>
      </c>
      <c r="G1052" s="65">
        <f>1548001829554</f>
        <v>1548001829554</v>
      </c>
      <c r="H1052" s="65">
        <f>1104712550189-27703172574-902128973084</f>
        <v>174880404531</v>
      </c>
      <c r="I1052" s="65">
        <f>1104712550189</f>
        <v>1104712550189</v>
      </c>
      <c r="J1052" s="65">
        <f>258434889209+30411989844</f>
        <v>288846879053</v>
      </c>
      <c r="K1052" s="65">
        <f>443289279365</f>
        <v>443289279365</v>
      </c>
      <c r="L1052" s="65">
        <f>359657973516</f>
        <v>359657973516</v>
      </c>
      <c r="M1052" s="65">
        <f>75010199318</f>
        <v>75010199318</v>
      </c>
      <c r="N1052" s="65">
        <f>61534181086</f>
        <v>61534181086</v>
      </c>
      <c r="O1052" s="66">
        <v>0.27689999999999998</v>
      </c>
      <c r="P1052" s="67" t="s">
        <v>282</v>
      </c>
      <c r="Q1052" s="65">
        <v>3</v>
      </c>
      <c r="R1052" s="65">
        <v>4</v>
      </c>
      <c r="S1052" s="65">
        <v>5</v>
      </c>
      <c r="T1052" s="65">
        <f t="shared" si="101"/>
        <v>9</v>
      </c>
      <c r="U1052" s="68">
        <v>0.46860000000000002</v>
      </c>
      <c r="V1052" s="65">
        <f>4+(4*2)+(3*3)</f>
        <v>21</v>
      </c>
      <c r="W1052" s="65">
        <f t="shared" si="100"/>
        <v>21</v>
      </c>
      <c r="X1052" s="65">
        <f>5+2</f>
        <v>7</v>
      </c>
      <c r="Y1052" s="64"/>
    </row>
    <row r="1053" spans="1:25" s="54" customFormat="1" ht="15" customHeight="1" x14ac:dyDescent="0.3">
      <c r="A1053" s="63"/>
      <c r="B1053" s="64"/>
      <c r="C1053" s="55"/>
      <c r="D1053" s="64">
        <v>2020</v>
      </c>
      <c r="E1053" s="65">
        <f>78276193765</f>
        <v>78276193765</v>
      </c>
      <c r="F1053" s="65">
        <f>E1053+826496884+277532193426+85983940+73535474540+52840483223+190133501206+349850357300</f>
        <v>1023080684284</v>
      </c>
      <c r="G1053" s="65">
        <f>1516562973028</f>
        <v>1516562973028</v>
      </c>
      <c r="H1053" s="65">
        <f>1013381758085-21754657733-822444629198</f>
        <v>169182471154</v>
      </c>
      <c r="I1053" s="65">
        <f>1013381758085</f>
        <v>1013381758085</v>
      </c>
      <c r="J1053" s="65">
        <f>304915471128+39115766136</f>
        <v>344031237264</v>
      </c>
      <c r="K1053" s="65">
        <f>503181214943</f>
        <v>503181214943</v>
      </c>
      <c r="L1053" s="65">
        <f>339072465808</f>
        <v>339072465808</v>
      </c>
      <c r="M1053" s="65">
        <f>76829288523</f>
        <v>76829288523</v>
      </c>
      <c r="N1053" s="65">
        <f>76278294005</f>
        <v>76278294005</v>
      </c>
      <c r="O1053" s="66">
        <v>0.31</v>
      </c>
      <c r="P1053" s="67" t="s">
        <v>282</v>
      </c>
      <c r="Q1053" s="65">
        <v>2</v>
      </c>
      <c r="R1053" s="65">
        <v>3</v>
      </c>
      <c r="S1053" s="65">
        <v>5</v>
      </c>
      <c r="T1053" s="65">
        <f t="shared" si="101"/>
        <v>8</v>
      </c>
      <c r="U1053" s="68">
        <v>0.50170000000000003</v>
      </c>
      <c r="V1053" s="65">
        <f>3+(3*2)+(2*3)</f>
        <v>15</v>
      </c>
      <c r="W1053" s="65">
        <f t="shared" si="100"/>
        <v>15</v>
      </c>
      <c r="X1053" s="65">
        <f>5+2</f>
        <v>7</v>
      </c>
      <c r="Y1053" s="64"/>
    </row>
    <row r="1054" spans="1:25" s="54" customFormat="1" ht="15" customHeight="1" x14ac:dyDescent="0.3">
      <c r="A1054" s="63"/>
      <c r="B1054" s="64"/>
      <c r="C1054" s="55"/>
      <c r="D1054" s="64">
        <v>2021</v>
      </c>
      <c r="E1054" s="65">
        <f>63562053431</f>
        <v>63562053431</v>
      </c>
      <c r="F1054" s="65">
        <f>E1054+41159534+369137066688+51929274828+56042854761+33334762270+156130683890</f>
        <v>730177855402</v>
      </c>
      <c r="G1054" s="65">
        <f>1411160148272</f>
        <v>1411160148272</v>
      </c>
      <c r="H1054" s="65">
        <f>862113850198-18325051027-621012899296</f>
        <v>222775899875</v>
      </c>
      <c r="I1054" s="65">
        <f>862113850198</f>
        <v>862113850198</v>
      </c>
      <c r="J1054" s="65">
        <f>356463826863+36157305278</f>
        <v>392621132141</v>
      </c>
      <c r="K1054" s="65">
        <f>549046298074</f>
        <v>549046298074</v>
      </c>
      <c r="L1054" s="65">
        <f>335624261996</f>
        <v>335624261996</v>
      </c>
      <c r="M1054" s="65">
        <f>77767898297</f>
        <v>77767898297</v>
      </c>
      <c r="N1054" s="65">
        <f>59863973819</f>
        <v>59863973819</v>
      </c>
      <c r="O1054" s="66">
        <v>0.31509999999999999</v>
      </c>
      <c r="P1054" s="67" t="s">
        <v>282</v>
      </c>
      <c r="Q1054" s="65">
        <v>2</v>
      </c>
      <c r="R1054" s="65">
        <v>3</v>
      </c>
      <c r="S1054" s="65">
        <v>5</v>
      </c>
      <c r="T1054" s="65">
        <f t="shared" si="101"/>
        <v>8</v>
      </c>
      <c r="U1054" s="68">
        <v>0.50680000000000003</v>
      </c>
      <c r="V1054" s="65">
        <f>3+(3*2)+(2*3)</f>
        <v>15</v>
      </c>
      <c r="W1054" s="65">
        <f t="shared" si="100"/>
        <v>15</v>
      </c>
      <c r="X1054" s="65">
        <f>5+2</f>
        <v>7</v>
      </c>
      <c r="Y1054" s="64"/>
    </row>
    <row r="1055" spans="1:25" s="54" customFormat="1" ht="15" customHeight="1" x14ac:dyDescent="0.3">
      <c r="A1055" s="63"/>
      <c r="B1055" s="64"/>
      <c r="C1055" s="55"/>
      <c r="D1055" s="64">
        <v>2022</v>
      </c>
      <c r="E1055" s="65">
        <f>60289877256</f>
        <v>60289877256</v>
      </c>
      <c r="F1055" s="65">
        <f>E1055+65124379+474769650116+39988397418+23973980088+18485609902+219590403960</f>
        <v>837163043119</v>
      </c>
      <c r="G1055" s="65">
        <f>1627241657686</f>
        <v>1627241657686</v>
      </c>
      <c r="H1055" s="65">
        <f>1013123874462-30098199512-760435697073</f>
        <v>222589977877</v>
      </c>
      <c r="I1055" s="65">
        <f>1013123874462</f>
        <v>1013123874462</v>
      </c>
      <c r="J1055" s="65">
        <f>404685414180+50337738819</f>
        <v>455023152999</v>
      </c>
      <c r="K1055" s="65">
        <f>614117783224</f>
        <v>614117783224</v>
      </c>
      <c r="L1055" s="65">
        <f>436486285686</f>
        <v>436486285686</v>
      </c>
      <c r="M1055" s="65">
        <f>90091897136</f>
        <v>90091897136</v>
      </c>
      <c r="N1055" s="65">
        <f>81808341042</f>
        <v>81808341042</v>
      </c>
      <c r="O1055" s="66">
        <v>0.31509999999999999</v>
      </c>
      <c r="P1055" s="67" t="s">
        <v>282</v>
      </c>
      <c r="Q1055" s="65">
        <v>2</v>
      </c>
      <c r="R1055" s="65">
        <v>3</v>
      </c>
      <c r="S1055" s="65">
        <v>5</v>
      </c>
      <c r="T1055" s="65">
        <f t="shared" si="101"/>
        <v>8</v>
      </c>
      <c r="U1055" s="68">
        <v>0.50680000000000003</v>
      </c>
      <c r="V1055" s="65">
        <f>3+(3*2)+(2*3)</f>
        <v>15</v>
      </c>
      <c r="W1055" s="65">
        <f t="shared" si="100"/>
        <v>15</v>
      </c>
      <c r="X1055" s="65">
        <f>5+2</f>
        <v>7</v>
      </c>
      <c r="Y1055" s="64"/>
    </row>
    <row r="1056" spans="1:25" s="54" customFormat="1" ht="15" customHeight="1" x14ac:dyDescent="0.3">
      <c r="A1056" s="63"/>
      <c r="B1056" s="64"/>
      <c r="C1056" s="55"/>
      <c r="D1056" s="64">
        <v>2023</v>
      </c>
      <c r="E1056" s="65">
        <f>52983049082</f>
        <v>52983049082</v>
      </c>
      <c r="F1056" s="65">
        <f>E1056+24115923+568122883495+97208409596+20341940928+32957249363+239943393785</f>
        <v>1011581042172</v>
      </c>
      <c r="G1056" s="65">
        <f>1850769013354</f>
        <v>1850769013354</v>
      </c>
      <c r="H1056" s="65">
        <f>1172290013843-37260070705-821825453834</f>
        <v>313204489304</v>
      </c>
      <c r="I1056" s="65">
        <f>1172290013843</f>
        <v>1172290013843</v>
      </c>
      <c r="J1056" s="65">
        <f>471399331396+48927581995</f>
        <v>520326913391</v>
      </c>
      <c r="K1056" s="65">
        <f>678478999511</f>
        <v>678478999511</v>
      </c>
      <c r="L1056" s="65">
        <f>522389382057</f>
        <v>522389382057</v>
      </c>
      <c r="M1056" s="65">
        <f>106229973998</f>
        <v>106229973998</v>
      </c>
      <c r="N1056" s="65">
        <f>84142519498</f>
        <v>84142519498</v>
      </c>
      <c r="O1056" s="66">
        <v>0.31509999999999999</v>
      </c>
      <c r="P1056" s="67" t="s">
        <v>282</v>
      </c>
      <c r="Q1056" s="65">
        <v>2</v>
      </c>
      <c r="R1056" s="65">
        <v>4</v>
      </c>
      <c r="S1056" s="65">
        <v>5</v>
      </c>
      <c r="T1056" s="65">
        <f t="shared" si="101"/>
        <v>9</v>
      </c>
      <c r="U1056" s="68">
        <v>0.50680000000000003</v>
      </c>
      <c r="V1056" s="65">
        <f>4+(2*4)+(3*2)</f>
        <v>18</v>
      </c>
      <c r="W1056" s="65">
        <f t="shared" si="100"/>
        <v>18</v>
      </c>
      <c r="X1056" s="65">
        <f>5+(2*2)</f>
        <v>9</v>
      </c>
      <c r="Y1056" s="64"/>
    </row>
    <row r="1057" spans="1:25" s="54" customFormat="1" ht="15" customHeight="1" x14ac:dyDescent="0.3">
      <c r="A1057" s="63"/>
      <c r="B1057" s="64"/>
      <c r="C1057" s="55"/>
      <c r="D1057" s="64">
        <v>2024</v>
      </c>
      <c r="E1057" s="65">
        <f>82533283904</f>
        <v>82533283904</v>
      </c>
      <c r="F1057" s="65">
        <f>E1057+565339395387+69534205570+19733473685+9162139991+252743778791</f>
        <v>999046277328</v>
      </c>
      <c r="G1057" s="65">
        <f>1748726624469</f>
        <v>1748726624469</v>
      </c>
      <c r="H1057" s="65">
        <f>1060235701791-40606985681-671730395441</f>
        <v>347898320669</v>
      </c>
      <c r="I1057" s="65">
        <f>1060235701791</f>
        <v>1060235701791</v>
      </c>
      <c r="J1057" s="65">
        <f>540407817287-7262396489</f>
        <v>533145420798</v>
      </c>
      <c r="K1057" s="65">
        <f>688490922678</f>
        <v>688490922678</v>
      </c>
      <c r="L1057" s="65">
        <f>420689854684</f>
        <v>420689854684</v>
      </c>
      <c r="M1057" s="65">
        <f>41916383803</f>
        <v>41916383803</v>
      </c>
      <c r="N1057" s="65">
        <f>29800515520</f>
        <v>29800515520</v>
      </c>
      <c r="O1057" s="66">
        <v>0.31509999999999999</v>
      </c>
      <c r="P1057" s="67" t="s">
        <v>282</v>
      </c>
      <c r="Q1057" s="65">
        <v>2</v>
      </c>
      <c r="R1057" s="65">
        <v>4</v>
      </c>
      <c r="S1057" s="65">
        <v>5</v>
      </c>
      <c r="T1057" s="65">
        <f t="shared" si="101"/>
        <v>9</v>
      </c>
      <c r="U1057" s="68">
        <v>0.50680000000000003</v>
      </c>
      <c r="V1057" s="65">
        <f>4+(2*4)+(3*2)</f>
        <v>18</v>
      </c>
      <c r="W1057" s="65">
        <f t="shared" si="100"/>
        <v>18</v>
      </c>
      <c r="X1057" s="65">
        <f>5+(2*2)</f>
        <v>9</v>
      </c>
      <c r="Y1057" s="64"/>
    </row>
    <row r="1058" spans="1:25" s="54" customFormat="1" ht="15" customHeight="1" x14ac:dyDescent="0.3">
      <c r="A1058" s="63"/>
      <c r="B1058" s="64">
        <v>97</v>
      </c>
      <c r="C1058" s="55" t="s">
        <v>117</v>
      </c>
      <c r="D1058" s="64">
        <v>2014</v>
      </c>
      <c r="E1058" s="65">
        <v>0</v>
      </c>
      <c r="F1058" s="65">
        <v>0</v>
      </c>
      <c r="G1058" s="65">
        <v>0</v>
      </c>
      <c r="H1058" s="65">
        <v>0</v>
      </c>
      <c r="I1058" s="65">
        <v>0</v>
      </c>
      <c r="J1058" s="65">
        <v>0</v>
      </c>
      <c r="K1058" s="65">
        <v>0</v>
      </c>
      <c r="L1058" s="65">
        <v>0</v>
      </c>
      <c r="M1058" s="65">
        <v>0</v>
      </c>
      <c r="N1058" s="65">
        <v>0</v>
      </c>
      <c r="O1058" s="65">
        <v>0</v>
      </c>
      <c r="P1058" s="65">
        <v>0</v>
      </c>
      <c r="Q1058" s="65">
        <v>0</v>
      </c>
      <c r="R1058" s="65">
        <v>0</v>
      </c>
      <c r="S1058" s="65">
        <v>0</v>
      </c>
      <c r="T1058" s="65">
        <v>0</v>
      </c>
      <c r="U1058" s="65">
        <v>0</v>
      </c>
      <c r="V1058" s="65">
        <v>0</v>
      </c>
      <c r="W1058" s="65">
        <v>0</v>
      </c>
      <c r="X1058" s="65">
        <v>0</v>
      </c>
      <c r="Y1058" s="64"/>
    </row>
    <row r="1059" spans="1:25" s="54" customFormat="1" ht="15" customHeight="1" x14ac:dyDescent="0.3">
      <c r="A1059" s="63"/>
      <c r="B1059" s="64"/>
      <c r="C1059" s="55"/>
      <c r="D1059" s="64">
        <v>2015</v>
      </c>
      <c r="E1059" s="65">
        <v>0</v>
      </c>
      <c r="F1059" s="65">
        <v>0</v>
      </c>
      <c r="G1059" s="65">
        <v>0</v>
      </c>
      <c r="H1059" s="65">
        <v>0</v>
      </c>
      <c r="I1059" s="65">
        <v>0</v>
      </c>
      <c r="J1059" s="65">
        <v>0</v>
      </c>
      <c r="K1059" s="65">
        <v>0</v>
      </c>
      <c r="L1059" s="65">
        <v>0</v>
      </c>
      <c r="M1059" s="65">
        <v>0</v>
      </c>
      <c r="N1059" s="65">
        <v>0</v>
      </c>
      <c r="O1059" s="65">
        <v>0</v>
      </c>
      <c r="P1059" s="65">
        <v>0</v>
      </c>
      <c r="Q1059" s="65">
        <v>0</v>
      </c>
      <c r="R1059" s="65">
        <v>0</v>
      </c>
      <c r="S1059" s="65">
        <v>0</v>
      </c>
      <c r="T1059" s="65">
        <v>0</v>
      </c>
      <c r="U1059" s="65">
        <v>0</v>
      </c>
      <c r="V1059" s="65">
        <v>0</v>
      </c>
      <c r="W1059" s="65">
        <v>0</v>
      </c>
      <c r="X1059" s="65">
        <v>0</v>
      </c>
      <c r="Y1059" s="64"/>
    </row>
    <row r="1060" spans="1:25" s="54" customFormat="1" ht="15" customHeight="1" x14ac:dyDescent="0.3">
      <c r="A1060" s="63"/>
      <c r="B1060" s="64"/>
      <c r="C1060" s="55"/>
      <c r="D1060" s="64">
        <v>2016</v>
      </c>
      <c r="E1060" s="65">
        <v>0</v>
      </c>
      <c r="F1060" s="65">
        <v>0</v>
      </c>
      <c r="G1060" s="65">
        <v>0</v>
      </c>
      <c r="H1060" s="65">
        <v>0</v>
      </c>
      <c r="I1060" s="65">
        <v>0</v>
      </c>
      <c r="J1060" s="65">
        <v>0</v>
      </c>
      <c r="K1060" s="65">
        <v>0</v>
      </c>
      <c r="L1060" s="65">
        <v>0</v>
      </c>
      <c r="M1060" s="65">
        <v>0</v>
      </c>
      <c r="N1060" s="65">
        <v>0</v>
      </c>
      <c r="O1060" s="65">
        <v>0</v>
      </c>
      <c r="P1060" s="65">
        <v>0</v>
      </c>
      <c r="Q1060" s="65">
        <v>0</v>
      </c>
      <c r="R1060" s="65">
        <v>0</v>
      </c>
      <c r="S1060" s="65">
        <v>0</v>
      </c>
      <c r="T1060" s="65">
        <v>0</v>
      </c>
      <c r="U1060" s="65">
        <v>0</v>
      </c>
      <c r="V1060" s="65">
        <v>0</v>
      </c>
      <c r="W1060" s="65">
        <v>0</v>
      </c>
      <c r="X1060" s="65">
        <v>0</v>
      </c>
      <c r="Y1060" s="64"/>
    </row>
    <row r="1061" spans="1:25" s="54" customFormat="1" ht="15" customHeight="1" x14ac:dyDescent="0.3">
      <c r="A1061" s="63"/>
      <c r="B1061" s="64"/>
      <c r="C1061" s="55"/>
      <c r="D1061" s="64">
        <v>2017</v>
      </c>
      <c r="E1061" s="65">
        <f>4947*1000000</f>
        <v>4947000000</v>
      </c>
      <c r="F1061" s="65">
        <f>(4947+92128+20132+63044+781+889)*1000000</f>
        <v>181921000000</v>
      </c>
      <c r="G1061" s="65">
        <f>443187*1000000</f>
        <v>443187000000</v>
      </c>
      <c r="H1061" s="65">
        <f>36385*1000000</f>
        <v>36385000000</v>
      </c>
      <c r="I1061" s="65">
        <f>230178*1000000</f>
        <v>230178000000</v>
      </c>
      <c r="J1061" s="65">
        <f>160742*1000000</f>
        <v>160742000000</v>
      </c>
      <c r="K1061" s="65">
        <f>213009*1000000</f>
        <v>213009000000</v>
      </c>
      <c r="L1061" s="65">
        <f>257734*1000000</f>
        <v>257734000000</v>
      </c>
      <c r="M1061" s="65">
        <f>26594*1000000</f>
        <v>26594000000</v>
      </c>
      <c r="N1061" s="65">
        <f>16400*1000000</f>
        <v>16400000000</v>
      </c>
      <c r="O1061" s="65">
        <v>0</v>
      </c>
      <c r="P1061" s="65">
        <v>0</v>
      </c>
      <c r="Q1061" s="65">
        <v>0</v>
      </c>
      <c r="R1061" s="65">
        <v>0</v>
      </c>
      <c r="S1061" s="65">
        <v>0</v>
      </c>
      <c r="T1061" s="65">
        <v>0</v>
      </c>
      <c r="U1061" s="65">
        <v>0</v>
      </c>
      <c r="V1061" s="65">
        <v>0</v>
      </c>
      <c r="W1061" s="65">
        <v>0</v>
      </c>
      <c r="X1061" s="65">
        <v>0</v>
      </c>
      <c r="Y1061" s="64"/>
    </row>
    <row r="1062" spans="1:25" s="54" customFormat="1" ht="15" customHeight="1" x14ac:dyDescent="0.3">
      <c r="A1062" s="63"/>
      <c r="B1062" s="64"/>
      <c r="C1062" s="55"/>
      <c r="D1062" s="64">
        <v>2018</v>
      </c>
      <c r="E1062" s="65">
        <f>9622*1000000</f>
        <v>9622000000</v>
      </c>
      <c r="F1062" s="65">
        <f>(9622+171168+8162+35924+976)*1000000</f>
        <v>225852000000</v>
      </c>
      <c r="G1062" s="65">
        <f>543888*1000000</f>
        <v>543888000000</v>
      </c>
      <c r="H1062" s="65">
        <f>51794*1000000</f>
        <v>51794000000</v>
      </c>
      <c r="I1062" s="65">
        <f>288430*1000000</f>
        <v>288430000000</v>
      </c>
      <c r="J1062" s="65">
        <f>203191*1000000</f>
        <v>203191000000</v>
      </c>
      <c r="K1062" s="65">
        <f>255458*1000000</f>
        <v>255458000000</v>
      </c>
      <c r="L1062" s="65">
        <f>368758*1000000</f>
        <v>368758000000</v>
      </c>
      <c r="M1062" s="65">
        <f>55465*1000000</f>
        <v>55465000000</v>
      </c>
      <c r="N1062" s="65">
        <f>42448*1000000</f>
        <v>42448000000</v>
      </c>
      <c r="O1062" s="66">
        <v>0.95</v>
      </c>
      <c r="P1062" s="67" t="s">
        <v>235</v>
      </c>
      <c r="Q1062" s="65">
        <v>3</v>
      </c>
      <c r="R1062" s="65">
        <v>4</v>
      </c>
      <c r="S1062" s="65">
        <v>4</v>
      </c>
      <c r="T1062" s="65">
        <f t="shared" ref="T1062:T1068" si="102">SUM(R1062:S1062)</f>
        <v>8</v>
      </c>
      <c r="U1062" s="68">
        <v>0</v>
      </c>
      <c r="V1062" s="65">
        <v>0</v>
      </c>
      <c r="W1062" s="65">
        <v>0</v>
      </c>
      <c r="X1062" s="65">
        <v>0</v>
      </c>
      <c r="Y1062" s="64"/>
    </row>
    <row r="1063" spans="1:25" s="54" customFormat="1" ht="15" customHeight="1" x14ac:dyDescent="0.3">
      <c r="A1063" s="63"/>
      <c r="B1063" s="64"/>
      <c r="C1063" s="55"/>
      <c r="D1063" s="64">
        <v>2019</v>
      </c>
      <c r="E1063" s="65">
        <f>52011*1000000</f>
        <v>52011000000</v>
      </c>
      <c r="F1063" s="65">
        <f>(52011+129366+15854+13745+1838)*1000000</f>
        <v>212814000000</v>
      </c>
      <c r="G1063" s="65">
        <f>606281*1000000</f>
        <v>606281000000</v>
      </c>
      <c r="H1063" s="65">
        <f>57546*1000000</f>
        <v>57546000000</v>
      </c>
      <c r="I1063" s="65">
        <f>318537*1000000</f>
        <v>318537000000</v>
      </c>
      <c r="J1063" s="65">
        <f>235476*1000000</f>
        <v>235476000000</v>
      </c>
      <c r="K1063" s="65">
        <f>287743*1000000</f>
        <v>287743000000</v>
      </c>
      <c r="L1063" s="65">
        <f>566454*1000000</f>
        <v>566454000000</v>
      </c>
      <c r="M1063" s="65">
        <f>43691*1000000</f>
        <v>43691000000</v>
      </c>
      <c r="N1063" s="65">
        <f>32292*1000000</f>
        <v>32292000000</v>
      </c>
      <c r="O1063" s="66">
        <v>0.95</v>
      </c>
      <c r="P1063" s="67" t="s">
        <v>235</v>
      </c>
      <c r="Q1063" s="65">
        <v>2</v>
      </c>
      <c r="R1063" s="65">
        <v>4</v>
      </c>
      <c r="S1063" s="65">
        <v>3</v>
      </c>
      <c r="T1063" s="65">
        <f t="shared" si="102"/>
        <v>7</v>
      </c>
      <c r="U1063" s="68">
        <v>0</v>
      </c>
      <c r="V1063" s="65">
        <v>0</v>
      </c>
      <c r="W1063" s="65">
        <v>0</v>
      </c>
      <c r="X1063" s="65">
        <v>0</v>
      </c>
      <c r="Y1063" s="64"/>
    </row>
    <row r="1064" spans="1:25" s="54" customFormat="1" ht="15" customHeight="1" x14ac:dyDescent="0.3">
      <c r="A1064" s="63"/>
      <c r="B1064" s="64"/>
      <c r="C1064" s="55"/>
      <c r="D1064" s="64">
        <v>2020</v>
      </c>
      <c r="E1064" s="65">
        <f>44795*1000000</f>
        <v>44795000000</v>
      </c>
      <c r="F1064" s="65">
        <f>(44795+183234+15188+23967+1509)*1000000</f>
        <v>268693000000</v>
      </c>
      <c r="G1064" s="65">
        <f>606330*1000000</f>
        <v>606330000000</v>
      </c>
      <c r="H1064" s="65">
        <f>49670*1000000</f>
        <v>49670000000</v>
      </c>
      <c r="I1064" s="65">
        <f>282787*1000000</f>
        <v>282787000000</v>
      </c>
      <c r="J1064" s="65">
        <f>271276*1000000</f>
        <v>271276000000</v>
      </c>
      <c r="K1064" s="65">
        <f>323542*1000000</f>
        <v>323542000000</v>
      </c>
      <c r="L1064" s="65">
        <f>640387*1000000</f>
        <v>640387000000</v>
      </c>
      <c r="M1064" s="65">
        <f>40696*1000000</f>
        <v>40696000000</v>
      </c>
      <c r="N1064" s="65">
        <f>35799*1000000</f>
        <v>35799000000</v>
      </c>
      <c r="O1064" s="66">
        <v>0.95</v>
      </c>
      <c r="P1064" s="67" t="s">
        <v>235</v>
      </c>
      <c r="Q1064" s="65">
        <v>2</v>
      </c>
      <c r="R1064" s="65">
        <v>4</v>
      </c>
      <c r="S1064" s="65">
        <v>3</v>
      </c>
      <c r="T1064" s="65">
        <f t="shared" si="102"/>
        <v>7</v>
      </c>
      <c r="U1064" s="68">
        <v>0</v>
      </c>
      <c r="V1064" s="65">
        <v>0</v>
      </c>
      <c r="W1064" s="65">
        <v>0</v>
      </c>
      <c r="X1064" s="65">
        <v>0</v>
      </c>
      <c r="Y1064" s="64"/>
    </row>
    <row r="1065" spans="1:25" s="54" customFormat="1" ht="15" customHeight="1" x14ac:dyDescent="0.3">
      <c r="A1065" s="63"/>
      <c r="B1065" s="64"/>
      <c r="C1065" s="55"/>
      <c r="D1065" s="64">
        <v>2021</v>
      </c>
      <c r="E1065" s="65">
        <f>26894*1000000</f>
        <v>26894000000</v>
      </c>
      <c r="F1065" s="65">
        <f>(26894+231792+18890+33+5488+1201)*1000000</f>
        <v>284298000000</v>
      </c>
      <c r="G1065" s="65">
        <f>734486*1000000</f>
        <v>734486000000</v>
      </c>
      <c r="H1065" s="65">
        <f>101252*1000000</f>
        <v>101252000000</v>
      </c>
      <c r="I1065" s="65">
        <f>362441*1000000</f>
        <v>362441000000</v>
      </c>
      <c r="J1065" s="65">
        <f>319778*1000000</f>
        <v>319778000000</v>
      </c>
      <c r="K1065" s="65">
        <f>372044*1000000</f>
        <v>372044000000</v>
      </c>
      <c r="L1065" s="65">
        <f>688785*1000000</f>
        <v>688785000000</v>
      </c>
      <c r="M1065" s="65">
        <f>58069*1000000</f>
        <v>58069000000</v>
      </c>
      <c r="N1065" s="65">
        <f>44502*1000000</f>
        <v>44502000000</v>
      </c>
      <c r="O1065" s="66">
        <v>0.95</v>
      </c>
      <c r="P1065" s="67" t="s">
        <v>235</v>
      </c>
      <c r="Q1065" s="65">
        <v>2</v>
      </c>
      <c r="R1065" s="65">
        <v>4</v>
      </c>
      <c r="S1065" s="65">
        <v>3</v>
      </c>
      <c r="T1065" s="65">
        <f t="shared" si="102"/>
        <v>7</v>
      </c>
      <c r="U1065" s="68">
        <v>0</v>
      </c>
      <c r="V1065" s="65">
        <v>0</v>
      </c>
      <c r="W1065" s="65">
        <v>0</v>
      </c>
      <c r="X1065" s="65">
        <v>0</v>
      </c>
      <c r="Y1065" s="64"/>
    </row>
    <row r="1066" spans="1:25" s="54" customFormat="1" ht="15" customHeight="1" x14ac:dyDescent="0.3">
      <c r="A1066" s="63"/>
      <c r="B1066" s="64"/>
      <c r="C1066" s="55"/>
      <c r="D1066" s="64">
        <v>2022</v>
      </c>
      <c r="E1066" s="65">
        <f>9318*1000000</f>
        <v>9318000000</v>
      </c>
      <c r="F1066" s="65">
        <f>(9318+279005+21436+7573+619)*1000000</f>
        <v>317951000000</v>
      </c>
      <c r="G1066" s="65">
        <f>693414*1000000</f>
        <v>693414000000</v>
      </c>
      <c r="H1066" s="65">
        <f>67472*1000000</f>
        <v>67472000000</v>
      </c>
      <c r="I1066" s="65">
        <f>316695*1000000</f>
        <v>316695000000</v>
      </c>
      <c r="J1066" s="65">
        <f>324453*1000000</f>
        <v>324453000000</v>
      </c>
      <c r="K1066" s="65">
        <f>376719*1000000</f>
        <v>376719000000</v>
      </c>
      <c r="L1066" s="65">
        <f>897491*1000000</f>
        <v>897491000000</v>
      </c>
      <c r="M1066" s="65">
        <f>14961*1000000</f>
        <v>14961000000</v>
      </c>
      <c r="N1066" s="65">
        <f>4674*1000000</f>
        <v>4674000000</v>
      </c>
      <c r="O1066" s="66">
        <v>0.95</v>
      </c>
      <c r="P1066" s="67" t="s">
        <v>235</v>
      </c>
      <c r="Q1066" s="65">
        <v>2</v>
      </c>
      <c r="R1066" s="65">
        <v>4</v>
      </c>
      <c r="S1066" s="65">
        <v>3</v>
      </c>
      <c r="T1066" s="65">
        <f t="shared" si="102"/>
        <v>7</v>
      </c>
      <c r="U1066" s="68">
        <v>0</v>
      </c>
      <c r="V1066" s="65">
        <v>0</v>
      </c>
      <c r="W1066" s="65">
        <v>0</v>
      </c>
      <c r="X1066" s="65">
        <v>0</v>
      </c>
      <c r="Y1066" s="64"/>
    </row>
    <row r="1067" spans="1:25" s="54" customFormat="1" ht="15" customHeight="1" x14ac:dyDescent="0.3">
      <c r="A1067" s="63"/>
      <c r="B1067" s="64"/>
      <c r="C1067" s="55"/>
      <c r="D1067" s="64">
        <v>2023</v>
      </c>
      <c r="E1067" s="65">
        <f>37949*1000000</f>
        <v>37949000000</v>
      </c>
      <c r="F1067" s="65">
        <f>(37949+192369+3879+26207+6448+406)*1000000</f>
        <v>267258000000</v>
      </c>
      <c r="G1067" s="65">
        <f>842799*1000000</f>
        <v>842799000000</v>
      </c>
      <c r="H1067" s="65">
        <f>129755*1000000</f>
        <v>129755000000</v>
      </c>
      <c r="I1067" s="65">
        <f>447854*1000000</f>
        <v>447854000000</v>
      </c>
      <c r="J1067" s="65">
        <f>342679*1000000</f>
        <v>342679000000</v>
      </c>
      <c r="K1067" s="65">
        <f>394945*1000000</f>
        <v>394945000000</v>
      </c>
      <c r="L1067" s="65">
        <f>1063564*1000000</f>
        <v>1063564000000</v>
      </c>
      <c r="M1067" s="65">
        <f>18744*1000000</f>
        <v>18744000000</v>
      </c>
      <c r="N1067" s="65">
        <f>14225*1000000</f>
        <v>14225000000</v>
      </c>
      <c r="O1067" s="66">
        <v>0.95</v>
      </c>
      <c r="P1067" s="67" t="s">
        <v>235</v>
      </c>
      <c r="Q1067" s="65">
        <v>2</v>
      </c>
      <c r="R1067" s="65">
        <v>4</v>
      </c>
      <c r="S1067" s="65">
        <v>2</v>
      </c>
      <c r="T1067" s="65">
        <f t="shared" si="102"/>
        <v>6</v>
      </c>
      <c r="U1067" s="68">
        <v>0</v>
      </c>
      <c r="V1067" s="65">
        <v>0</v>
      </c>
      <c r="W1067" s="65">
        <v>0</v>
      </c>
      <c r="X1067" s="65">
        <v>0</v>
      </c>
      <c r="Y1067" s="64"/>
    </row>
    <row r="1068" spans="1:25" s="54" customFormat="1" ht="15" customHeight="1" x14ac:dyDescent="0.3">
      <c r="A1068" s="63"/>
      <c r="B1068" s="64"/>
      <c r="C1068" s="55"/>
      <c r="D1068" s="64">
        <v>2024</v>
      </c>
      <c r="E1068" s="65">
        <f>29058*1000000</f>
        <v>29058000000</v>
      </c>
      <c r="F1068" s="65">
        <f>(29058+214669+2230+27586+4392+406)*1000000</f>
        <v>278341000000</v>
      </c>
      <c r="G1068" s="65">
        <f>965173*1000000</f>
        <v>965173000000</v>
      </c>
      <c r="H1068" s="65">
        <f>147238*1000000</f>
        <v>147238000000</v>
      </c>
      <c r="I1068" s="65">
        <f>575206*1000000</f>
        <v>575206000000</v>
      </c>
      <c r="J1068" s="65">
        <f>337700*1000000</f>
        <v>337700000000</v>
      </c>
      <c r="K1068" s="65">
        <f>389967*1000000</f>
        <v>389967000000</v>
      </c>
      <c r="L1068" s="65">
        <f>1356384*1000000</f>
        <v>1356384000000</v>
      </c>
      <c r="M1068" s="65">
        <f>-3221*1000000</f>
        <v>-3221000000</v>
      </c>
      <c r="N1068" s="65">
        <f>-4978*1000000</f>
        <v>-4978000000</v>
      </c>
      <c r="O1068" s="66">
        <v>0.95</v>
      </c>
      <c r="P1068" s="67" t="s">
        <v>235</v>
      </c>
      <c r="Q1068" s="65">
        <v>2</v>
      </c>
      <c r="R1068" s="65">
        <v>4</v>
      </c>
      <c r="S1068" s="65">
        <v>2</v>
      </c>
      <c r="T1068" s="65">
        <f t="shared" si="102"/>
        <v>6</v>
      </c>
      <c r="U1068" s="68">
        <v>0</v>
      </c>
      <c r="V1068" s="65">
        <v>0</v>
      </c>
      <c r="W1068" s="65">
        <v>0</v>
      </c>
      <c r="X1068" s="65">
        <v>0</v>
      </c>
      <c r="Y1068" s="64"/>
    </row>
    <row r="1069" spans="1:25" s="54" customFormat="1" ht="15" customHeight="1" x14ac:dyDescent="0.3">
      <c r="A1069" s="63"/>
      <c r="B1069" s="64">
        <v>98</v>
      </c>
      <c r="C1069" s="55" t="s">
        <v>103</v>
      </c>
      <c r="D1069" s="64">
        <v>2014</v>
      </c>
      <c r="E1069" s="65">
        <v>0</v>
      </c>
      <c r="F1069" s="65">
        <v>0</v>
      </c>
      <c r="G1069" s="65">
        <v>0</v>
      </c>
      <c r="H1069" s="65">
        <v>0</v>
      </c>
      <c r="I1069" s="65">
        <v>0</v>
      </c>
      <c r="J1069" s="65">
        <v>0</v>
      </c>
      <c r="K1069" s="65">
        <v>0</v>
      </c>
      <c r="L1069" s="65">
        <v>0</v>
      </c>
      <c r="M1069" s="65">
        <v>0</v>
      </c>
      <c r="N1069" s="65">
        <v>0</v>
      </c>
      <c r="O1069" s="65">
        <v>0</v>
      </c>
      <c r="P1069" s="65">
        <v>0</v>
      </c>
      <c r="Q1069" s="65">
        <v>0</v>
      </c>
      <c r="R1069" s="65">
        <v>0</v>
      </c>
      <c r="S1069" s="65">
        <v>0</v>
      </c>
      <c r="T1069" s="65">
        <v>0</v>
      </c>
      <c r="U1069" s="65">
        <v>0</v>
      </c>
      <c r="V1069" s="65">
        <v>0</v>
      </c>
      <c r="W1069" s="65">
        <v>0</v>
      </c>
      <c r="X1069" s="65">
        <v>0</v>
      </c>
      <c r="Y1069" s="64"/>
    </row>
    <row r="1070" spans="1:25" s="54" customFormat="1" ht="15" customHeight="1" x14ac:dyDescent="0.3">
      <c r="A1070" s="63"/>
      <c r="B1070" s="64"/>
      <c r="C1070" s="55"/>
      <c r="D1070" s="64">
        <v>2015</v>
      </c>
      <c r="E1070" s="65">
        <v>0</v>
      </c>
      <c r="F1070" s="65">
        <v>0</v>
      </c>
      <c r="G1070" s="65">
        <v>0</v>
      </c>
      <c r="H1070" s="65">
        <v>0</v>
      </c>
      <c r="I1070" s="65">
        <v>0</v>
      </c>
      <c r="J1070" s="65">
        <v>0</v>
      </c>
      <c r="K1070" s="65">
        <v>0</v>
      </c>
      <c r="L1070" s="65">
        <v>0</v>
      </c>
      <c r="M1070" s="65">
        <v>0</v>
      </c>
      <c r="N1070" s="65">
        <v>0</v>
      </c>
      <c r="O1070" s="65">
        <v>0</v>
      </c>
      <c r="P1070" s="65">
        <v>0</v>
      </c>
      <c r="Q1070" s="65">
        <v>0</v>
      </c>
      <c r="R1070" s="65">
        <v>0</v>
      </c>
      <c r="S1070" s="65">
        <v>0</v>
      </c>
      <c r="T1070" s="65">
        <v>0</v>
      </c>
      <c r="U1070" s="65">
        <v>0</v>
      </c>
      <c r="V1070" s="65">
        <v>0</v>
      </c>
      <c r="W1070" s="65">
        <v>0</v>
      </c>
      <c r="X1070" s="65">
        <v>0</v>
      </c>
      <c r="Y1070" s="64"/>
    </row>
    <row r="1071" spans="1:25" s="54" customFormat="1" ht="15" customHeight="1" x14ac:dyDescent="0.3">
      <c r="A1071" s="63"/>
      <c r="B1071" s="64"/>
      <c r="C1071" s="55"/>
      <c r="D1071" s="64">
        <v>2016</v>
      </c>
      <c r="E1071" s="65">
        <v>0</v>
      </c>
      <c r="F1071" s="65">
        <v>0</v>
      </c>
      <c r="G1071" s="65">
        <v>0</v>
      </c>
      <c r="H1071" s="65">
        <v>0</v>
      </c>
      <c r="I1071" s="65">
        <v>0</v>
      </c>
      <c r="J1071" s="65">
        <v>0</v>
      </c>
      <c r="K1071" s="65">
        <v>0</v>
      </c>
      <c r="L1071" s="65">
        <v>0</v>
      </c>
      <c r="M1071" s="65">
        <v>0</v>
      </c>
      <c r="N1071" s="65">
        <v>0</v>
      </c>
      <c r="O1071" s="65">
        <v>0</v>
      </c>
      <c r="P1071" s="65">
        <v>0</v>
      </c>
      <c r="Q1071" s="65">
        <v>0</v>
      </c>
      <c r="R1071" s="65">
        <v>0</v>
      </c>
      <c r="S1071" s="65">
        <v>0</v>
      </c>
      <c r="T1071" s="65">
        <v>0</v>
      </c>
      <c r="U1071" s="65">
        <v>0</v>
      </c>
      <c r="V1071" s="65">
        <v>0</v>
      </c>
      <c r="W1071" s="65">
        <v>0</v>
      </c>
      <c r="X1071" s="65">
        <v>0</v>
      </c>
      <c r="Y1071" s="64"/>
    </row>
    <row r="1072" spans="1:25" s="54" customFormat="1" ht="15" customHeight="1" x14ac:dyDescent="0.3">
      <c r="A1072" s="63"/>
      <c r="B1072" s="64"/>
      <c r="C1072" s="55"/>
      <c r="D1072" s="64">
        <v>2017</v>
      </c>
      <c r="E1072" s="65">
        <f>22378.72*1000000</f>
        <v>22378720000</v>
      </c>
      <c r="F1072" s="65">
        <f>(22378.72+88+46980.03+14823.24+64859.97+531.84)*1000000</f>
        <v>149661800000.00003</v>
      </c>
      <c r="G1072" s="65">
        <f>438728.48*1000000</f>
        <v>438728480000</v>
      </c>
      <c r="H1072" s="65">
        <f>71592.79*1000000</f>
        <v>71592790000</v>
      </c>
      <c r="I1072" s="65">
        <f>282731.49*1000000</f>
        <v>282731490000</v>
      </c>
      <c r="J1072" s="65">
        <f>25716.21*1000000</f>
        <v>25716210000</v>
      </c>
      <c r="K1072" s="65">
        <f>155996.99*1000000</f>
        <v>155996990000</v>
      </c>
      <c r="L1072" s="65">
        <f>150971.79*1000000</f>
        <v>150971790000</v>
      </c>
      <c r="M1072" s="65">
        <f>1384.16*1000000</f>
        <v>1384160000</v>
      </c>
      <c r="N1072" s="65">
        <f>1379.87*1000000</f>
        <v>1379870000</v>
      </c>
      <c r="O1072" s="65">
        <v>0</v>
      </c>
      <c r="P1072" s="65">
        <v>0</v>
      </c>
      <c r="Q1072" s="65">
        <v>0</v>
      </c>
      <c r="R1072" s="65">
        <v>0</v>
      </c>
      <c r="S1072" s="65">
        <v>0</v>
      </c>
      <c r="T1072" s="65">
        <v>0</v>
      </c>
      <c r="U1072" s="65">
        <v>0</v>
      </c>
      <c r="V1072" s="65">
        <v>0</v>
      </c>
      <c r="W1072" s="65">
        <v>0</v>
      </c>
      <c r="X1072" s="65">
        <v>0</v>
      </c>
      <c r="Y1072" s="64"/>
    </row>
    <row r="1073" spans="1:25" s="54" customFormat="1" ht="15" customHeight="1" x14ac:dyDescent="0.3">
      <c r="A1073" s="63"/>
      <c r="B1073" s="64"/>
      <c r="C1073" s="55"/>
      <c r="D1073" s="64">
        <v>2018</v>
      </c>
      <c r="E1073" s="65">
        <f>16448.41*1000000</f>
        <v>16448410000</v>
      </c>
      <c r="F1073" s="65">
        <f>(16448.41+55602.25+24149.83+70788.45+433.91)*1000000</f>
        <v>167422850000</v>
      </c>
      <c r="G1073" s="65">
        <f>465529.95*1000000</f>
        <v>465529950000</v>
      </c>
      <c r="H1073" s="65">
        <f>90213.46*1000000</f>
        <v>90213460000</v>
      </c>
      <c r="I1073" s="65">
        <f>307879.87*1000000</f>
        <v>307879870000</v>
      </c>
      <c r="J1073" s="65">
        <f>26893.75*1000000</f>
        <v>26893750000</v>
      </c>
      <c r="K1073" s="65">
        <f>157650.08*1000000</f>
        <v>157650080000</v>
      </c>
      <c r="L1073" s="65">
        <f>137735.99*1000000</f>
        <v>137735990000</v>
      </c>
      <c r="M1073" s="65">
        <f>1501.57*1000000</f>
        <v>1501570000</v>
      </c>
      <c r="N1073" s="65">
        <f>1653.09*1000000</f>
        <v>1653090000</v>
      </c>
      <c r="O1073" s="66">
        <v>0.35</v>
      </c>
      <c r="P1073" s="67" t="s">
        <v>266</v>
      </c>
      <c r="Q1073" s="65">
        <v>2</v>
      </c>
      <c r="R1073" s="65">
        <v>3</v>
      </c>
      <c r="S1073" s="65">
        <v>3</v>
      </c>
      <c r="T1073" s="65">
        <f>SUM(R1073:S1073)</f>
        <v>6</v>
      </c>
      <c r="U1073" s="68">
        <v>0</v>
      </c>
      <c r="V1073" s="65">
        <v>0</v>
      </c>
      <c r="W1073" s="65">
        <v>0</v>
      </c>
      <c r="X1073" s="65">
        <v>0</v>
      </c>
      <c r="Y1073" s="64"/>
    </row>
    <row r="1074" spans="1:25" s="54" customFormat="1" ht="15" customHeight="1" x14ac:dyDescent="0.3">
      <c r="A1074" s="63"/>
      <c r="B1074" s="64"/>
      <c r="C1074" s="55"/>
      <c r="D1074" s="64">
        <v>2019</v>
      </c>
      <c r="E1074" s="65">
        <f>8853.68*1000000</f>
        <v>8853680000</v>
      </c>
      <c r="F1074" s="65">
        <f>(8853.68+70916.64+15919.48+118144.46+528.28)*1000000</f>
        <v>214362540000</v>
      </c>
      <c r="G1074" s="65">
        <f>530838.51*1000000</f>
        <v>530838510000</v>
      </c>
      <c r="H1074" s="65">
        <f>67526.82*1000000</f>
        <v>67526820000.000008</v>
      </c>
      <c r="I1074" s="65">
        <f>368782.69*1000000</f>
        <v>368782690000</v>
      </c>
      <c r="J1074" s="65">
        <f>31109.35*1000000</f>
        <v>31109350000</v>
      </c>
      <c r="K1074" s="65">
        <f>162055.82*1000000</f>
        <v>162055820000</v>
      </c>
      <c r="L1074" s="65">
        <f>173612.72*1000000</f>
        <v>173612720000</v>
      </c>
      <c r="M1074" s="65">
        <f>3146.26*1000000</f>
        <v>3146260000</v>
      </c>
      <c r="N1074" s="65">
        <f>4405.74*1000000</f>
        <v>4405740000</v>
      </c>
      <c r="O1074" s="66">
        <v>0.35</v>
      </c>
      <c r="P1074" s="67" t="s">
        <v>266</v>
      </c>
      <c r="Q1074" s="65">
        <v>2</v>
      </c>
      <c r="R1074" s="65">
        <v>3</v>
      </c>
      <c r="S1074" s="65">
        <v>3</v>
      </c>
      <c r="T1074" s="65">
        <f t="shared" ref="T1074:T1079" si="103">SUM(R1074:S1074)</f>
        <v>6</v>
      </c>
      <c r="U1074" s="68">
        <v>0</v>
      </c>
      <c r="V1074" s="65">
        <v>0</v>
      </c>
      <c r="W1074" s="65">
        <v>0</v>
      </c>
      <c r="X1074" s="65">
        <v>0</v>
      </c>
      <c r="Y1074" s="64"/>
    </row>
    <row r="1075" spans="1:25" s="54" customFormat="1" ht="15" customHeight="1" x14ac:dyDescent="0.3">
      <c r="A1075" s="63"/>
      <c r="B1075" s="64"/>
      <c r="C1075" s="55"/>
      <c r="D1075" s="64">
        <v>2020</v>
      </c>
      <c r="E1075" s="65">
        <f>9225.52*1000000</f>
        <v>9225520000</v>
      </c>
      <c r="F1075" s="65">
        <f>(9225.52+69143.43+8597.36+120668.52+658.45)*1000000</f>
        <v>208293280000.00003</v>
      </c>
      <c r="G1075" s="65">
        <f>602525.15*1000000</f>
        <v>602525150000</v>
      </c>
      <c r="H1075" s="65">
        <f>99569.21*1000000</f>
        <v>99569210000</v>
      </c>
      <c r="I1075" s="65">
        <f>405905.11*1000000</f>
        <v>405905110000</v>
      </c>
      <c r="J1075" s="65">
        <f>45684.7*1000000</f>
        <v>45684700000</v>
      </c>
      <c r="K1075" s="65">
        <f>196620.04*1000000</f>
        <v>196620040000</v>
      </c>
      <c r="L1075" s="65">
        <f>132027.93*1000000</f>
        <v>132027930000</v>
      </c>
      <c r="M1075" s="65">
        <f>17976.76*1000000</f>
        <v>17976760000</v>
      </c>
      <c r="N1075" s="65">
        <f>14776.2*1000000</f>
        <v>14776200000</v>
      </c>
      <c r="O1075" s="66">
        <v>0.39960000000000001</v>
      </c>
      <c r="P1075" s="67" t="s">
        <v>267</v>
      </c>
      <c r="Q1075" s="65">
        <v>1</v>
      </c>
      <c r="R1075" s="65">
        <v>2</v>
      </c>
      <c r="S1075" s="65">
        <v>3</v>
      </c>
      <c r="T1075" s="65">
        <f t="shared" si="103"/>
        <v>5</v>
      </c>
      <c r="U1075" s="68">
        <v>0.39960000000000001</v>
      </c>
      <c r="V1075" s="65">
        <v>0</v>
      </c>
      <c r="W1075" s="65">
        <v>0</v>
      </c>
      <c r="X1075" s="65">
        <v>0</v>
      </c>
      <c r="Y1075" s="64"/>
    </row>
    <row r="1076" spans="1:25" s="54" customFormat="1" ht="15" customHeight="1" x14ac:dyDescent="0.3">
      <c r="A1076" s="63"/>
      <c r="B1076" s="64"/>
      <c r="C1076" s="55"/>
      <c r="D1076" s="64">
        <v>2021</v>
      </c>
      <c r="E1076" s="65">
        <f>14606.4*1000000</f>
        <v>14606400000</v>
      </c>
      <c r="F1076" s="65">
        <f>(14606.4+79687.95+4560.14+74376.23+495.11)*1000000</f>
        <v>173725829999.99997</v>
      </c>
      <c r="G1076" s="65">
        <f>612411.54*1000000</f>
        <v>612411540000</v>
      </c>
      <c r="H1076" s="65">
        <f>105411.69*1000000</f>
        <v>105411690000</v>
      </c>
      <c r="I1076" s="65">
        <f>403668.91*1000000</f>
        <v>403668910000</v>
      </c>
      <c r="J1076" s="65">
        <f>12533.73*1000000</f>
        <v>12533730000</v>
      </c>
      <c r="K1076" s="65">
        <f>208742.63*1000000</f>
        <v>208742630000</v>
      </c>
      <c r="L1076" s="65">
        <f>149580.66*1000000</f>
        <v>149580660000</v>
      </c>
      <c r="M1076" s="65">
        <f>15937.75*1000000</f>
        <v>15937750000</v>
      </c>
      <c r="N1076" s="65">
        <f>12122.56*1000000</f>
        <v>12122560000</v>
      </c>
      <c r="O1076" s="66">
        <v>0.39960000000000001</v>
      </c>
      <c r="P1076" s="67" t="s">
        <v>267</v>
      </c>
      <c r="Q1076" s="65">
        <v>1</v>
      </c>
      <c r="R1076" s="65">
        <v>2</v>
      </c>
      <c r="S1076" s="65">
        <v>3</v>
      </c>
      <c r="T1076" s="65">
        <f t="shared" si="103"/>
        <v>5</v>
      </c>
      <c r="U1076" s="68">
        <v>0.39960000000000001</v>
      </c>
      <c r="V1076" s="65">
        <v>0</v>
      </c>
      <c r="W1076" s="65">
        <v>0</v>
      </c>
      <c r="X1076" s="65">
        <v>0</v>
      </c>
      <c r="Y1076" s="64"/>
    </row>
    <row r="1077" spans="1:25" s="54" customFormat="1" ht="15" customHeight="1" x14ac:dyDescent="0.3">
      <c r="A1077" s="63"/>
      <c r="B1077" s="64"/>
      <c r="C1077" s="55"/>
      <c r="D1077" s="64">
        <v>2022</v>
      </c>
      <c r="E1077" s="65">
        <f>29792.32*1000000</f>
        <v>29792320000</v>
      </c>
      <c r="F1077" s="65">
        <f>(29792.32+83538+6185.2+108041.9+1415.13)*1000000</f>
        <v>228972550000</v>
      </c>
      <c r="G1077" s="65">
        <f>767599.24*1000000</f>
        <v>767599240000</v>
      </c>
      <c r="H1077" s="65">
        <f>106391.24*1000000</f>
        <v>106391240000</v>
      </c>
      <c r="I1077" s="65">
        <f>540692.39*1000000</f>
        <v>540692390000</v>
      </c>
      <c r="J1077" s="65">
        <f>30358.32*1000000</f>
        <v>30358320000</v>
      </c>
      <c r="K1077" s="65">
        <f>226906.85*1000000</f>
        <v>226906850000</v>
      </c>
      <c r="L1077" s="65">
        <f>245922.26*1000000</f>
        <v>245922260000</v>
      </c>
      <c r="M1077" s="65">
        <f>20214.43*1000000</f>
        <v>20214430000</v>
      </c>
      <c r="N1077" s="65">
        <f>18174.95*1000000</f>
        <v>18174950000</v>
      </c>
      <c r="O1077" s="66">
        <v>0.39960000000000001</v>
      </c>
      <c r="P1077" s="67" t="s">
        <v>267</v>
      </c>
      <c r="Q1077" s="65">
        <v>1</v>
      </c>
      <c r="R1077" s="65">
        <v>2</v>
      </c>
      <c r="S1077" s="65">
        <v>3</v>
      </c>
      <c r="T1077" s="65">
        <f t="shared" si="103"/>
        <v>5</v>
      </c>
      <c r="U1077" s="68">
        <v>0.39960000000000001</v>
      </c>
      <c r="V1077" s="65">
        <v>0</v>
      </c>
      <c r="W1077" s="65">
        <v>0</v>
      </c>
      <c r="X1077" s="65">
        <v>0</v>
      </c>
      <c r="Y1077" s="64"/>
    </row>
    <row r="1078" spans="1:25" s="54" customFormat="1" ht="15" customHeight="1" x14ac:dyDescent="0.3">
      <c r="A1078" s="63"/>
      <c r="B1078" s="64"/>
      <c r="C1078" s="55"/>
      <c r="D1078" s="64">
        <v>2023</v>
      </c>
      <c r="E1078" s="65">
        <f>45895.16*1000000</f>
        <v>45895160000</v>
      </c>
      <c r="F1078" s="65">
        <f>(45895.16+105514.76+5.03+181678.58+7355.61+1249.42)*1000000</f>
        <v>341698559999.99994</v>
      </c>
      <c r="G1078" s="65">
        <f>914778.24*1000000</f>
        <v>914778240000</v>
      </c>
      <c r="H1078" s="65">
        <f>107575.74*1000000</f>
        <v>107575740000</v>
      </c>
      <c r="I1078" s="65">
        <f>657579.54*1000000</f>
        <v>657579540000</v>
      </c>
      <c r="J1078" s="65">
        <f>60823.66*1000000</f>
        <v>60823660000</v>
      </c>
      <c r="K1078" s="65">
        <f>257198.7*1000000</f>
        <v>257198700000</v>
      </c>
      <c r="L1078" s="65">
        <f>398089.66*1000000</f>
        <v>398089660000</v>
      </c>
      <c r="M1078" s="65">
        <f>40887.55*1000000</f>
        <v>40887550000</v>
      </c>
      <c r="N1078" s="65">
        <f>30291.85*1000000</f>
        <v>30291850000</v>
      </c>
      <c r="O1078" s="66">
        <v>0.39960000000000001</v>
      </c>
      <c r="P1078" s="67" t="s">
        <v>267</v>
      </c>
      <c r="Q1078" s="65">
        <v>2</v>
      </c>
      <c r="R1078" s="65">
        <v>3</v>
      </c>
      <c r="S1078" s="65">
        <v>3</v>
      </c>
      <c r="T1078" s="65">
        <f t="shared" si="103"/>
        <v>6</v>
      </c>
      <c r="U1078" s="68">
        <v>0.39960000000000001</v>
      </c>
      <c r="V1078" s="65">
        <v>0</v>
      </c>
      <c r="W1078" s="65">
        <v>0</v>
      </c>
      <c r="X1078" s="65">
        <v>0</v>
      </c>
      <c r="Y1078" s="64"/>
    </row>
    <row r="1079" spans="1:25" s="54" customFormat="1" ht="15" customHeight="1" x14ac:dyDescent="0.3">
      <c r="A1079" s="63"/>
      <c r="B1079" s="64"/>
      <c r="C1079" s="55"/>
      <c r="D1079" s="64">
        <v>2024</v>
      </c>
      <c r="E1079" s="65">
        <f>63011.1*1000000</f>
        <v>63011100000</v>
      </c>
      <c r="F1079" s="65">
        <f>(63011.1+82419.09+126161.73+25001.2+1334.36)*1000000</f>
        <v>297927480000</v>
      </c>
      <c r="G1079" s="65">
        <f>896022.68*1000000</f>
        <v>896022680000</v>
      </c>
      <c r="H1079" s="65">
        <f>82817.3*1000000</f>
        <v>82817300000</v>
      </c>
      <c r="I1079" s="65">
        <f>601065.43*1000000</f>
        <v>601065430000</v>
      </c>
      <c r="J1079" s="65">
        <f>98954.66*1000000</f>
        <v>98954660000</v>
      </c>
      <c r="K1079" s="65">
        <f>294957.25*1000000</f>
        <v>294957250000</v>
      </c>
      <c r="L1079" s="65">
        <f>417182.93*1000000</f>
        <v>417182930000</v>
      </c>
      <c r="M1079" s="65">
        <f>48744.08*1000000</f>
        <v>48744080000</v>
      </c>
      <c r="N1079" s="65">
        <f>37758.55*1000000</f>
        <v>37758550000</v>
      </c>
      <c r="O1079" s="66">
        <v>0.41689999999999999</v>
      </c>
      <c r="P1079" s="67" t="s">
        <v>267</v>
      </c>
      <c r="Q1079" s="65">
        <v>2</v>
      </c>
      <c r="R1079" s="65">
        <v>3</v>
      </c>
      <c r="S1079" s="65">
        <v>3</v>
      </c>
      <c r="T1079" s="65">
        <f t="shared" si="103"/>
        <v>6</v>
      </c>
      <c r="U1079" s="68">
        <v>0.41689999999999999</v>
      </c>
      <c r="V1079" s="65">
        <v>0</v>
      </c>
      <c r="W1079" s="65">
        <v>0</v>
      </c>
      <c r="X1079" s="65">
        <v>0</v>
      </c>
      <c r="Y1079" s="64"/>
    </row>
    <row r="1080" spans="1:25" s="54" customFormat="1" ht="15" customHeight="1" x14ac:dyDescent="0.3">
      <c r="A1080" s="63"/>
      <c r="B1080" s="64">
        <v>99</v>
      </c>
      <c r="C1080" s="55" t="s">
        <v>118</v>
      </c>
      <c r="D1080" s="64">
        <v>2014</v>
      </c>
      <c r="E1080" s="65">
        <v>0</v>
      </c>
      <c r="F1080" s="65">
        <v>0</v>
      </c>
      <c r="G1080" s="65">
        <v>0</v>
      </c>
      <c r="H1080" s="65">
        <v>0</v>
      </c>
      <c r="I1080" s="65">
        <v>0</v>
      </c>
      <c r="J1080" s="65">
        <v>0</v>
      </c>
      <c r="K1080" s="65">
        <v>0</v>
      </c>
      <c r="L1080" s="65">
        <v>0</v>
      </c>
      <c r="M1080" s="65">
        <v>0</v>
      </c>
      <c r="N1080" s="65">
        <v>0</v>
      </c>
      <c r="O1080" s="65">
        <v>0</v>
      </c>
      <c r="P1080" s="65">
        <v>0</v>
      </c>
      <c r="Q1080" s="65">
        <v>0</v>
      </c>
      <c r="R1080" s="65">
        <v>0</v>
      </c>
      <c r="S1080" s="65">
        <v>0</v>
      </c>
      <c r="T1080" s="65">
        <v>0</v>
      </c>
      <c r="U1080" s="65">
        <v>0</v>
      </c>
      <c r="V1080" s="65">
        <v>0</v>
      </c>
      <c r="W1080" s="65">
        <v>0</v>
      </c>
      <c r="X1080" s="65">
        <v>0</v>
      </c>
      <c r="Y1080" s="64"/>
    </row>
    <row r="1081" spans="1:25" s="54" customFormat="1" ht="15" customHeight="1" x14ac:dyDescent="0.3">
      <c r="A1081" s="63"/>
      <c r="B1081" s="64"/>
      <c r="C1081" s="55"/>
      <c r="D1081" s="64">
        <v>2015</v>
      </c>
      <c r="E1081" s="65">
        <v>0</v>
      </c>
      <c r="F1081" s="65">
        <v>0</v>
      </c>
      <c r="G1081" s="65">
        <v>0</v>
      </c>
      <c r="H1081" s="65">
        <v>0</v>
      </c>
      <c r="I1081" s="65">
        <v>0</v>
      </c>
      <c r="J1081" s="65">
        <v>0</v>
      </c>
      <c r="K1081" s="65">
        <v>0</v>
      </c>
      <c r="L1081" s="65">
        <v>0</v>
      </c>
      <c r="M1081" s="65">
        <v>0</v>
      </c>
      <c r="N1081" s="65">
        <v>0</v>
      </c>
      <c r="O1081" s="65">
        <v>0</v>
      </c>
      <c r="P1081" s="65">
        <v>0</v>
      </c>
      <c r="Q1081" s="65">
        <v>0</v>
      </c>
      <c r="R1081" s="65">
        <v>0</v>
      </c>
      <c r="S1081" s="65">
        <v>0</v>
      </c>
      <c r="T1081" s="65">
        <v>0</v>
      </c>
      <c r="U1081" s="65">
        <v>0</v>
      </c>
      <c r="V1081" s="65">
        <v>0</v>
      </c>
      <c r="W1081" s="65">
        <v>0</v>
      </c>
      <c r="X1081" s="65">
        <v>0</v>
      </c>
      <c r="Y1081" s="64"/>
    </row>
    <row r="1082" spans="1:25" s="54" customFormat="1" ht="15" customHeight="1" x14ac:dyDescent="0.3">
      <c r="A1082" s="63"/>
      <c r="B1082" s="64"/>
      <c r="C1082" s="55"/>
      <c r="D1082" s="64">
        <v>2016</v>
      </c>
      <c r="E1082" s="65">
        <v>0</v>
      </c>
      <c r="F1082" s="65">
        <v>0</v>
      </c>
      <c r="G1082" s="65">
        <v>0</v>
      </c>
      <c r="H1082" s="65">
        <v>0</v>
      </c>
      <c r="I1082" s="65">
        <v>0</v>
      </c>
      <c r="J1082" s="65">
        <v>0</v>
      </c>
      <c r="K1082" s="65">
        <v>0</v>
      </c>
      <c r="L1082" s="65">
        <v>0</v>
      </c>
      <c r="M1082" s="65">
        <v>0</v>
      </c>
      <c r="N1082" s="65">
        <v>0</v>
      </c>
      <c r="O1082" s="65">
        <v>0</v>
      </c>
      <c r="P1082" s="65">
        <v>0</v>
      </c>
      <c r="Q1082" s="65">
        <v>0</v>
      </c>
      <c r="R1082" s="65">
        <v>0</v>
      </c>
      <c r="S1082" s="65">
        <v>0</v>
      </c>
      <c r="T1082" s="65">
        <v>0</v>
      </c>
      <c r="U1082" s="65">
        <v>0</v>
      </c>
      <c r="V1082" s="65">
        <v>0</v>
      </c>
      <c r="W1082" s="65">
        <v>0</v>
      </c>
      <c r="X1082" s="65">
        <v>0</v>
      </c>
      <c r="Y1082" s="64"/>
    </row>
    <row r="1083" spans="1:25" s="54" customFormat="1" ht="15" customHeight="1" x14ac:dyDescent="0.3">
      <c r="A1083" s="63"/>
      <c r="B1083" s="64"/>
      <c r="C1083" s="55"/>
      <c r="D1083" s="64">
        <v>2017</v>
      </c>
      <c r="E1083" s="65">
        <v>0</v>
      </c>
      <c r="F1083" s="65">
        <v>0</v>
      </c>
      <c r="G1083" s="65">
        <v>0</v>
      </c>
      <c r="H1083" s="65">
        <v>0</v>
      </c>
      <c r="I1083" s="65">
        <v>0</v>
      </c>
      <c r="J1083" s="65">
        <v>0</v>
      </c>
      <c r="K1083" s="65">
        <v>0</v>
      </c>
      <c r="L1083" s="65">
        <v>0</v>
      </c>
      <c r="M1083" s="65">
        <v>0</v>
      </c>
      <c r="N1083" s="65">
        <v>0</v>
      </c>
      <c r="O1083" s="65">
        <v>0</v>
      </c>
      <c r="P1083" s="65">
        <v>0</v>
      </c>
      <c r="Q1083" s="65">
        <v>0</v>
      </c>
      <c r="R1083" s="65">
        <v>0</v>
      </c>
      <c r="S1083" s="65">
        <v>0</v>
      </c>
      <c r="T1083" s="65">
        <v>0</v>
      </c>
      <c r="U1083" s="65">
        <v>0</v>
      </c>
      <c r="V1083" s="65">
        <v>0</v>
      </c>
      <c r="W1083" s="65">
        <v>0</v>
      </c>
      <c r="X1083" s="65">
        <v>0</v>
      </c>
      <c r="Y1083" s="64"/>
    </row>
    <row r="1084" spans="1:25" s="54" customFormat="1" ht="15" customHeight="1" x14ac:dyDescent="0.3">
      <c r="A1084" s="63"/>
      <c r="B1084" s="64"/>
      <c r="C1084" s="55"/>
      <c r="D1084" s="64">
        <v>2018</v>
      </c>
      <c r="E1084" s="65">
        <v>0</v>
      </c>
      <c r="F1084" s="65">
        <v>0</v>
      </c>
      <c r="G1084" s="65">
        <v>0</v>
      </c>
      <c r="H1084" s="65">
        <v>0</v>
      </c>
      <c r="I1084" s="65">
        <v>0</v>
      </c>
      <c r="J1084" s="65">
        <v>0</v>
      </c>
      <c r="K1084" s="65">
        <v>0</v>
      </c>
      <c r="L1084" s="65">
        <v>0</v>
      </c>
      <c r="M1084" s="65">
        <v>0</v>
      </c>
      <c r="N1084" s="65">
        <v>0</v>
      </c>
      <c r="O1084" s="65">
        <v>0</v>
      </c>
      <c r="P1084" s="65">
        <v>0</v>
      </c>
      <c r="Q1084" s="65">
        <v>0</v>
      </c>
      <c r="R1084" s="65">
        <v>0</v>
      </c>
      <c r="S1084" s="65">
        <v>0</v>
      </c>
      <c r="T1084" s="65">
        <v>0</v>
      </c>
      <c r="U1084" s="65">
        <v>0</v>
      </c>
      <c r="V1084" s="65">
        <v>0</v>
      </c>
      <c r="W1084" s="65">
        <v>0</v>
      </c>
      <c r="X1084" s="65">
        <v>0</v>
      </c>
      <c r="Y1084" s="64"/>
    </row>
    <row r="1085" spans="1:25" s="54" customFormat="1" ht="15" customHeight="1" x14ac:dyDescent="0.3">
      <c r="A1085" s="63"/>
      <c r="B1085" s="64"/>
      <c r="C1085" s="55"/>
      <c r="D1085" s="64">
        <v>2019</v>
      </c>
      <c r="E1085" s="65">
        <v>0</v>
      </c>
      <c r="F1085" s="65">
        <v>0</v>
      </c>
      <c r="G1085" s="65">
        <v>0</v>
      </c>
      <c r="H1085" s="65">
        <v>0</v>
      </c>
      <c r="I1085" s="65">
        <v>0</v>
      </c>
      <c r="J1085" s="65">
        <v>0</v>
      </c>
      <c r="K1085" s="65">
        <v>0</v>
      </c>
      <c r="L1085" s="65">
        <v>0</v>
      </c>
      <c r="M1085" s="65">
        <v>0</v>
      </c>
      <c r="N1085" s="65">
        <v>0</v>
      </c>
      <c r="O1085" s="65">
        <v>0</v>
      </c>
      <c r="P1085" s="65">
        <v>0</v>
      </c>
      <c r="Q1085" s="65">
        <v>0</v>
      </c>
      <c r="R1085" s="65">
        <v>0</v>
      </c>
      <c r="S1085" s="65">
        <v>0</v>
      </c>
      <c r="T1085" s="65">
        <v>0</v>
      </c>
      <c r="U1085" s="65">
        <v>0</v>
      </c>
      <c r="V1085" s="65">
        <v>0</v>
      </c>
      <c r="W1085" s="65">
        <v>0</v>
      </c>
      <c r="X1085" s="65">
        <v>0</v>
      </c>
      <c r="Y1085" s="64"/>
    </row>
    <row r="1086" spans="1:25" s="54" customFormat="1" ht="15" customHeight="1" x14ac:dyDescent="0.3">
      <c r="A1086" s="63"/>
      <c r="B1086" s="64"/>
      <c r="C1086" s="55"/>
      <c r="D1086" s="64">
        <v>2020</v>
      </c>
      <c r="E1086" s="65">
        <v>0</v>
      </c>
      <c r="F1086" s="65">
        <v>0</v>
      </c>
      <c r="G1086" s="65">
        <v>0</v>
      </c>
      <c r="H1086" s="65">
        <v>0</v>
      </c>
      <c r="I1086" s="65">
        <v>0</v>
      </c>
      <c r="J1086" s="65">
        <v>0</v>
      </c>
      <c r="K1086" s="65">
        <v>0</v>
      </c>
      <c r="L1086" s="65">
        <v>0</v>
      </c>
      <c r="M1086" s="65">
        <v>0</v>
      </c>
      <c r="N1086" s="65">
        <v>0</v>
      </c>
      <c r="O1086" s="65">
        <v>0</v>
      </c>
      <c r="P1086" s="65">
        <v>0</v>
      </c>
      <c r="Q1086" s="65">
        <v>0</v>
      </c>
      <c r="R1086" s="65">
        <v>0</v>
      </c>
      <c r="S1086" s="65">
        <v>0</v>
      </c>
      <c r="T1086" s="65">
        <v>0</v>
      </c>
      <c r="U1086" s="65">
        <v>0</v>
      </c>
      <c r="V1086" s="65">
        <v>0</v>
      </c>
      <c r="W1086" s="65">
        <v>0</v>
      </c>
      <c r="X1086" s="65">
        <v>0</v>
      </c>
      <c r="Y1086" s="64"/>
    </row>
    <row r="1087" spans="1:25" s="54" customFormat="1" ht="15" customHeight="1" x14ac:dyDescent="0.3">
      <c r="A1087" s="63"/>
      <c r="B1087" s="64"/>
      <c r="C1087" s="55"/>
      <c r="D1087" s="64">
        <v>2021</v>
      </c>
      <c r="E1087" s="65">
        <f>45076*1000000</f>
        <v>45076000000</v>
      </c>
      <c r="F1087" s="65">
        <f>(45076+127359+87953+670899+3156)*1000000</f>
        <v>934443000000</v>
      </c>
      <c r="G1087" s="65">
        <f>1386012*1000000</f>
        <v>1386012000000</v>
      </c>
      <c r="H1087" s="65">
        <f>259571*1000000</f>
        <v>259571000000</v>
      </c>
      <c r="I1087" s="65">
        <f>1046453*1000000</f>
        <v>1046453000000</v>
      </c>
      <c r="J1087" s="65">
        <f>318318*1000000</f>
        <v>318318000000</v>
      </c>
      <c r="K1087" s="65">
        <f>339559*1000000</f>
        <v>339559000000</v>
      </c>
      <c r="L1087" s="65">
        <f>87925*1000000</f>
        <v>87925000000</v>
      </c>
      <c r="M1087" s="65">
        <f>36837*1000000</f>
        <v>36837000000</v>
      </c>
      <c r="N1087" s="65">
        <f>31712*1000000</f>
        <v>31712000000</v>
      </c>
      <c r="O1087" s="65">
        <v>0</v>
      </c>
      <c r="P1087" s="65">
        <v>0</v>
      </c>
      <c r="Q1087" s="65">
        <v>0</v>
      </c>
      <c r="R1087" s="65">
        <v>0</v>
      </c>
      <c r="S1087" s="65">
        <v>0</v>
      </c>
      <c r="T1087" s="65">
        <v>0</v>
      </c>
      <c r="U1087" s="65">
        <v>0</v>
      </c>
      <c r="V1087" s="65">
        <v>0</v>
      </c>
      <c r="W1087" s="65">
        <v>0</v>
      </c>
      <c r="X1087" s="65">
        <v>0</v>
      </c>
      <c r="Y1087" s="64"/>
    </row>
    <row r="1088" spans="1:25" s="54" customFormat="1" ht="15" customHeight="1" x14ac:dyDescent="0.3">
      <c r="A1088" s="63"/>
      <c r="B1088" s="64"/>
      <c r="C1088" s="55"/>
      <c r="D1088" s="64">
        <v>2022</v>
      </c>
      <c r="E1088" s="65">
        <f>94604*1000000</f>
        <v>94604000000</v>
      </c>
      <c r="F1088" s="65">
        <f>(94604+129705+145942+564017+3899)*1000000</f>
        <v>938167000000</v>
      </c>
      <c r="G1088" s="65">
        <f>1289972*1000000</f>
        <v>1289972000000</v>
      </c>
      <c r="H1088" s="65">
        <f>337904*1000000</f>
        <v>337904000000</v>
      </c>
      <c r="I1088" s="65">
        <f>1004525*1000000</f>
        <v>1004525000000</v>
      </c>
      <c r="J1088" s="65">
        <f>369529*1000000</f>
        <v>369529000000</v>
      </c>
      <c r="K1088" s="65">
        <f>385447*1000000</f>
        <v>385447000000</v>
      </c>
      <c r="L1088" s="65">
        <f>95563*1000000</f>
        <v>95563000000</v>
      </c>
      <c r="M1088" s="65">
        <f>71454*1000000</f>
        <v>71454000000</v>
      </c>
      <c r="N1088" s="65">
        <f>51852*1000000</f>
        <v>51852000000</v>
      </c>
      <c r="O1088" s="66">
        <v>0.7</v>
      </c>
      <c r="P1088" s="67" t="s">
        <v>265</v>
      </c>
      <c r="Q1088" s="65">
        <v>2</v>
      </c>
      <c r="R1088" s="65">
        <v>4</v>
      </c>
      <c r="S1088" s="65">
        <v>4</v>
      </c>
      <c r="T1088" s="65">
        <f>SUM(R1088:S1088)</f>
        <v>8</v>
      </c>
      <c r="U1088" s="68">
        <v>0</v>
      </c>
      <c r="V1088" s="65">
        <v>0</v>
      </c>
      <c r="W1088" s="65">
        <v>0</v>
      </c>
      <c r="X1088" s="65">
        <v>0</v>
      </c>
      <c r="Y1088" s="64"/>
    </row>
    <row r="1089" spans="1:25" s="54" customFormat="1" ht="15" customHeight="1" x14ac:dyDescent="0.3">
      <c r="A1089" s="63"/>
      <c r="B1089" s="64"/>
      <c r="C1089" s="55"/>
      <c r="D1089" s="64">
        <v>2023</v>
      </c>
      <c r="E1089" s="65">
        <f>1919*1000000</f>
        <v>1919000000</v>
      </c>
      <c r="F1089" s="65">
        <f>(1919+181738+129008+525780+4992)*1000000</f>
        <v>843437000000</v>
      </c>
      <c r="G1089" s="65">
        <f>1334934*1000000</f>
        <v>1334934000000</v>
      </c>
      <c r="H1089" s="65">
        <f>313105*1000000</f>
        <v>313105000000</v>
      </c>
      <c r="I1089" s="65">
        <f>935069*1000000</f>
        <v>935069000000</v>
      </c>
      <c r="J1089" s="65">
        <f>358988*1000000</f>
        <v>358988000000</v>
      </c>
      <c r="K1089" s="65">
        <f>399865*1000000</f>
        <v>399865000000</v>
      </c>
      <c r="L1089" s="65">
        <f>94388*1000000</f>
        <v>94388000000</v>
      </c>
      <c r="M1089" s="65">
        <f>31984*1000000</f>
        <v>31984000000</v>
      </c>
      <c r="N1089" s="65">
        <f>25782*1000000</f>
        <v>25782000000</v>
      </c>
      <c r="O1089" s="66">
        <v>0.7</v>
      </c>
      <c r="P1089" s="67" t="s">
        <v>265</v>
      </c>
      <c r="Q1089" s="65">
        <v>2</v>
      </c>
      <c r="R1089" s="65">
        <v>4</v>
      </c>
      <c r="S1089" s="65">
        <v>4</v>
      </c>
      <c r="T1089" s="65">
        <f>SUM(R1089:S1089)</f>
        <v>8</v>
      </c>
      <c r="U1089" s="68">
        <v>0</v>
      </c>
      <c r="V1089" s="65">
        <v>0</v>
      </c>
      <c r="W1089" s="65">
        <v>0</v>
      </c>
      <c r="X1089" s="65">
        <v>0</v>
      </c>
      <c r="Y1089" s="64"/>
    </row>
    <row r="1090" spans="1:25" s="54" customFormat="1" ht="15" customHeight="1" x14ac:dyDescent="0.3">
      <c r="A1090" s="63"/>
      <c r="B1090" s="64"/>
      <c r="C1090" s="55"/>
      <c r="D1090" s="64">
        <v>2024</v>
      </c>
      <c r="E1090" s="65">
        <f>2070*1000000</f>
        <v>2070000000</v>
      </c>
      <c r="F1090" s="65">
        <f>(2070+192070+93207+494714+84-43+6351)*1000000</f>
        <v>788453000000</v>
      </c>
      <c r="G1090" s="65">
        <f>1374888*1000000</f>
        <v>1374888000000</v>
      </c>
      <c r="H1090" s="65">
        <f>347075*1000000</f>
        <v>347075000000</v>
      </c>
      <c r="I1090" s="65">
        <f>939600*1000000</f>
        <v>939600000000</v>
      </c>
      <c r="J1090" s="65">
        <f>382400*1000000</f>
        <v>382400000000</v>
      </c>
      <c r="K1090" s="65">
        <f>435288*1000000</f>
        <v>435288000000</v>
      </c>
      <c r="L1090" s="65">
        <f>95474000000</f>
        <v>95474000000</v>
      </c>
      <c r="M1090" s="65">
        <f>43711*1000000</f>
        <v>43711000000</v>
      </c>
      <c r="N1090" s="65">
        <f>35423*1000000</f>
        <v>35423000000</v>
      </c>
      <c r="O1090" s="66">
        <v>0.7</v>
      </c>
      <c r="P1090" s="67" t="s">
        <v>265</v>
      </c>
      <c r="Q1090" s="65">
        <v>2</v>
      </c>
      <c r="R1090" s="65">
        <v>4</v>
      </c>
      <c r="S1090" s="65">
        <v>4</v>
      </c>
      <c r="T1090" s="65">
        <f>SUM(R1090:S1090)</f>
        <v>8</v>
      </c>
      <c r="U1090" s="68">
        <v>0</v>
      </c>
      <c r="V1090" s="65">
        <v>0</v>
      </c>
      <c r="W1090" s="65">
        <v>0</v>
      </c>
      <c r="X1090" s="65">
        <v>0</v>
      </c>
      <c r="Y1090" s="64"/>
    </row>
    <row r="1091" spans="1:25" s="54" customFormat="1" ht="15" customHeight="1" x14ac:dyDescent="0.3">
      <c r="A1091" s="63"/>
      <c r="B1091" s="64">
        <v>100</v>
      </c>
      <c r="C1091" s="55" t="s">
        <v>104</v>
      </c>
      <c r="D1091" s="64">
        <v>2014</v>
      </c>
      <c r="E1091" s="65">
        <v>0</v>
      </c>
      <c r="F1091" s="65">
        <v>0</v>
      </c>
      <c r="G1091" s="65">
        <v>0</v>
      </c>
      <c r="H1091" s="65">
        <v>0</v>
      </c>
      <c r="I1091" s="65">
        <v>0</v>
      </c>
      <c r="J1091" s="65">
        <v>0</v>
      </c>
      <c r="K1091" s="65">
        <v>0</v>
      </c>
      <c r="L1091" s="65">
        <f>33*1000000</f>
        <v>33000000</v>
      </c>
      <c r="M1091" s="65">
        <v>0</v>
      </c>
      <c r="N1091" s="65">
        <v>0</v>
      </c>
      <c r="O1091" s="65">
        <v>0</v>
      </c>
      <c r="P1091" s="65">
        <v>0</v>
      </c>
      <c r="Q1091" s="65">
        <v>0</v>
      </c>
      <c r="R1091" s="65">
        <v>0</v>
      </c>
      <c r="S1091" s="65">
        <v>0</v>
      </c>
      <c r="T1091" s="65">
        <v>0</v>
      </c>
      <c r="U1091" s="65">
        <v>0</v>
      </c>
      <c r="V1091" s="65">
        <v>0</v>
      </c>
      <c r="W1091" s="65">
        <v>0</v>
      </c>
      <c r="X1091" s="65">
        <v>0</v>
      </c>
      <c r="Y1091" s="64"/>
    </row>
    <row r="1092" spans="1:25" s="54" customFormat="1" ht="15" customHeight="1" x14ac:dyDescent="0.3">
      <c r="A1092" s="63"/>
      <c r="B1092" s="64"/>
      <c r="C1092" s="55"/>
      <c r="D1092" s="64">
        <v>2015</v>
      </c>
      <c r="E1092" s="65">
        <f>1564*1000000</f>
        <v>1564000000</v>
      </c>
      <c r="F1092" s="65">
        <f>(1564+2987+13+209)*1000000</f>
        <v>4773000000</v>
      </c>
      <c r="G1092" s="65">
        <f>122165*1000000</f>
        <v>122165000000</v>
      </c>
      <c r="H1092" s="65">
        <f>(82+1+42+131+211+3882)*1000000</f>
        <v>4349000000</v>
      </c>
      <c r="I1092" s="65">
        <f>9329*1000000</f>
        <v>9329000000</v>
      </c>
      <c r="J1092" s="69">
        <f>12836*1000000</f>
        <v>12836000000</v>
      </c>
      <c r="K1092" s="65">
        <f>112836*1000000</f>
        <v>112836000000</v>
      </c>
      <c r="L1092" s="65">
        <f>7546*1000000</f>
        <v>7546000000</v>
      </c>
      <c r="M1092" s="65">
        <f>3601*1000000</f>
        <v>3601000000</v>
      </c>
      <c r="N1092" s="65">
        <f>5718*1000000</f>
        <v>5718000000</v>
      </c>
      <c r="O1092" s="66">
        <v>0.99</v>
      </c>
      <c r="P1092" s="67" t="s">
        <v>120</v>
      </c>
      <c r="Q1092" s="65">
        <v>2</v>
      </c>
      <c r="R1092" s="65">
        <v>4</v>
      </c>
      <c r="S1092" s="65">
        <v>3</v>
      </c>
      <c r="T1092" s="65">
        <f>SUM(R1092:S1092)</f>
        <v>7</v>
      </c>
      <c r="U1092" s="68">
        <v>0</v>
      </c>
      <c r="V1092" s="65">
        <v>0</v>
      </c>
      <c r="W1092" s="65">
        <v>0</v>
      </c>
      <c r="X1092" s="65">
        <v>0</v>
      </c>
      <c r="Y1092" s="64"/>
    </row>
    <row r="1093" spans="1:25" s="54" customFormat="1" ht="15" customHeight="1" x14ac:dyDescent="0.3">
      <c r="A1093" s="63"/>
      <c r="B1093" s="64"/>
      <c r="C1093" s="55"/>
      <c r="D1093" s="64">
        <v>2016</v>
      </c>
      <c r="E1093" s="65">
        <f>2928*1000000</f>
        <v>2928000000</v>
      </c>
      <c r="F1093" s="65">
        <f>(2928+3453+15+495)*1000000</f>
        <v>6891000000</v>
      </c>
      <c r="G1093" s="65">
        <f>130238*1000000</f>
        <v>130238000000</v>
      </c>
      <c r="H1093" s="65">
        <f>(518+2+393+204+49+5062)*1000000</f>
        <v>6228000000</v>
      </c>
      <c r="I1093" s="65">
        <f>15992*1000000</f>
        <v>15992000000</v>
      </c>
      <c r="J1093" s="65">
        <f>14246*1000000</f>
        <v>14246000000</v>
      </c>
      <c r="K1093" s="69">
        <f>114246*1000000</f>
        <v>114246000000</v>
      </c>
      <c r="L1093" s="65">
        <f>11437*1000000</f>
        <v>11437000000</v>
      </c>
      <c r="M1093" s="65">
        <f>2697*1000000</f>
        <v>2697000000</v>
      </c>
      <c r="N1093" s="65">
        <f>1411*1000000</f>
        <v>1411000000</v>
      </c>
      <c r="O1093" s="66">
        <v>0.99</v>
      </c>
      <c r="P1093" s="67" t="s">
        <v>120</v>
      </c>
      <c r="Q1093" s="65">
        <v>2</v>
      </c>
      <c r="R1093" s="65">
        <v>4</v>
      </c>
      <c r="S1093" s="65">
        <v>3</v>
      </c>
      <c r="T1093" s="65">
        <f t="shared" ref="T1093:T1101" si="104">SUM(R1093:S1093)</f>
        <v>7</v>
      </c>
      <c r="U1093" s="68">
        <v>0</v>
      </c>
      <c r="V1093" s="65">
        <v>0</v>
      </c>
      <c r="W1093" s="65">
        <v>0</v>
      </c>
      <c r="X1093" s="65">
        <v>0</v>
      </c>
      <c r="Y1093" s="64"/>
    </row>
    <row r="1094" spans="1:25" s="54" customFormat="1" ht="15" customHeight="1" x14ac:dyDescent="0.3">
      <c r="A1094" s="63"/>
      <c r="B1094" s="64"/>
      <c r="C1094" s="55"/>
      <c r="D1094" s="64">
        <v>2017</v>
      </c>
      <c r="E1094" s="65">
        <f>1023*1000000</f>
        <v>1023000000</v>
      </c>
      <c r="F1094" s="65">
        <f>(1023+5344+24+650)*1000000</f>
        <v>7041000000</v>
      </c>
      <c r="G1094" s="65">
        <f>177485*1000000</f>
        <v>177485000000</v>
      </c>
      <c r="H1094" s="65">
        <f>8040*1000000</f>
        <v>8040000000</v>
      </c>
      <c r="I1094" s="65">
        <f>18475*1000000</f>
        <v>18475000000</v>
      </c>
      <c r="J1094" s="65">
        <f>9010*1000000</f>
        <v>9010000000</v>
      </c>
      <c r="K1094" s="65">
        <f>159010*1000000</f>
        <v>159010000000</v>
      </c>
      <c r="L1094" s="65">
        <f>13727*1000000</f>
        <v>13727000000</v>
      </c>
      <c r="M1094" s="65">
        <f>6006*1000000</f>
        <v>6006000000</v>
      </c>
      <c r="N1094" s="65">
        <f>9010*1000000</f>
        <v>9010000000</v>
      </c>
      <c r="O1094" s="66">
        <v>0.85</v>
      </c>
      <c r="P1094" s="67" t="s">
        <v>264</v>
      </c>
      <c r="Q1094" s="65">
        <v>2</v>
      </c>
      <c r="R1094" s="65">
        <v>3</v>
      </c>
      <c r="S1094" s="65">
        <v>3</v>
      </c>
      <c r="T1094" s="65">
        <f t="shared" si="104"/>
        <v>6</v>
      </c>
      <c r="U1094" s="68">
        <v>0</v>
      </c>
      <c r="V1094" s="65">
        <v>0</v>
      </c>
      <c r="W1094" s="65">
        <v>0</v>
      </c>
      <c r="X1094" s="65">
        <v>0</v>
      </c>
      <c r="Y1094" s="64"/>
    </row>
    <row r="1095" spans="1:25" s="54" customFormat="1" ht="15" customHeight="1" x14ac:dyDescent="0.3">
      <c r="A1095" s="63"/>
      <c r="B1095" s="64"/>
      <c r="C1095" s="55"/>
      <c r="D1095" s="64">
        <v>2018</v>
      </c>
      <c r="E1095" s="65">
        <f>1569*1000000</f>
        <v>1569000000</v>
      </c>
      <c r="F1095" s="65">
        <f>(1569+18552+4882+23+227)*1000000</f>
        <v>25253000000</v>
      </c>
      <c r="G1095" s="65">
        <f>311845*1000000</f>
        <v>311845000000</v>
      </c>
      <c r="H1095" s="65">
        <f>18070*1000000</f>
        <v>18070000000</v>
      </c>
      <c r="I1095" s="65">
        <f>42834*1000000</f>
        <v>42834000000</v>
      </c>
      <c r="J1095" s="65">
        <f>19011*1000000</f>
        <v>19011000000</v>
      </c>
      <c r="K1095" s="65">
        <f>269011*1000000</f>
        <v>269011000000</v>
      </c>
      <c r="L1095" s="65">
        <f>29119*1000000</f>
        <v>29119000000</v>
      </c>
      <c r="M1095" s="65">
        <f>6365*1000000</f>
        <v>6365000000</v>
      </c>
      <c r="N1095" s="65">
        <f>10001*1000000</f>
        <v>10001000000</v>
      </c>
      <c r="O1095" s="66">
        <v>0.69</v>
      </c>
      <c r="P1095" s="67" t="s">
        <v>264</v>
      </c>
      <c r="Q1095" s="65">
        <v>2</v>
      </c>
      <c r="R1095" s="65">
        <v>3</v>
      </c>
      <c r="S1095" s="65">
        <v>3</v>
      </c>
      <c r="T1095" s="65">
        <f t="shared" si="104"/>
        <v>6</v>
      </c>
      <c r="U1095" s="68">
        <v>0</v>
      </c>
      <c r="V1095" s="65">
        <v>0</v>
      </c>
      <c r="W1095" s="65">
        <v>0</v>
      </c>
      <c r="X1095" s="65">
        <v>0</v>
      </c>
      <c r="Y1095" s="64"/>
    </row>
    <row r="1096" spans="1:25" s="54" customFormat="1" ht="15" customHeight="1" x14ac:dyDescent="0.3">
      <c r="A1096" s="63"/>
      <c r="B1096" s="64"/>
      <c r="C1096" s="55"/>
      <c r="D1096" s="64">
        <v>2019</v>
      </c>
      <c r="E1096" s="65">
        <f>35938*1000000</f>
        <v>35938000000</v>
      </c>
      <c r="F1096" s="65">
        <f>(35938+50888+86491+200480+1988+199)*1000000</f>
        <v>375984000000</v>
      </c>
      <c r="G1096" s="65">
        <f>889636*1000000</f>
        <v>889636000000</v>
      </c>
      <c r="H1096" s="65">
        <f>141519*1000000</f>
        <v>141519000000</v>
      </c>
      <c r="I1096" s="65">
        <f>558559*1000000</f>
        <v>558559000000</v>
      </c>
      <c r="J1096" s="65">
        <f>81056*1000000</f>
        <v>81056000000</v>
      </c>
      <c r="K1096" s="65">
        <f>331077*1000000</f>
        <v>331077000000</v>
      </c>
      <c r="L1096" s="65">
        <f>415912*1000000</f>
        <v>415912000000</v>
      </c>
      <c r="M1096" s="65">
        <f>61945*1000000</f>
        <v>61945000000</v>
      </c>
      <c r="N1096" s="65">
        <f>62066*1000000</f>
        <v>62066000000</v>
      </c>
      <c r="O1096" s="66">
        <v>0.68600000000000005</v>
      </c>
      <c r="P1096" s="67" t="s">
        <v>264</v>
      </c>
      <c r="Q1096" s="65">
        <v>2</v>
      </c>
      <c r="R1096" s="65">
        <v>3</v>
      </c>
      <c r="S1096" s="65">
        <v>4</v>
      </c>
      <c r="T1096" s="65">
        <f t="shared" si="104"/>
        <v>7</v>
      </c>
      <c r="U1096" s="68">
        <v>0</v>
      </c>
      <c r="V1096" s="65">
        <v>0</v>
      </c>
      <c r="W1096" s="65">
        <v>0</v>
      </c>
      <c r="X1096" s="65">
        <v>0</v>
      </c>
      <c r="Y1096" s="64"/>
    </row>
    <row r="1097" spans="1:25" s="54" customFormat="1" ht="15" customHeight="1" x14ac:dyDescent="0.3">
      <c r="A1097" s="63"/>
      <c r="B1097" s="64"/>
      <c r="C1097" s="55"/>
      <c r="D1097" s="64">
        <v>2020</v>
      </c>
      <c r="E1097" s="65">
        <f>7009*1000000</f>
        <v>7009000000</v>
      </c>
      <c r="F1097" s="65">
        <f>(7009+41489+366+11984+3766+949)*1000000</f>
        <v>65563000000</v>
      </c>
      <c r="G1097" s="65">
        <f>767127*1000000</f>
        <v>767127000000</v>
      </c>
      <c r="H1097" s="65">
        <f>91855*1000000</f>
        <v>91855000000</v>
      </c>
      <c r="I1097" s="65">
        <f>456451*1000000</f>
        <v>456451000000</v>
      </c>
      <c r="J1097" s="65">
        <f>60843*1000000</f>
        <v>60843000000</v>
      </c>
      <c r="K1097" s="65">
        <f>310676*1000000</f>
        <v>310676000000</v>
      </c>
      <c r="L1097" s="65">
        <f>468817*1000000</f>
        <v>468817000000</v>
      </c>
      <c r="M1097" s="65">
        <f>21279*1000000</f>
        <v>21279000000</v>
      </c>
      <c r="N1097" s="65">
        <f>9599*1000000</f>
        <v>9599000000</v>
      </c>
      <c r="O1097" s="66">
        <v>0.68600000000000005</v>
      </c>
      <c r="P1097" s="67" t="s">
        <v>264</v>
      </c>
      <c r="Q1097" s="65">
        <v>2</v>
      </c>
      <c r="R1097" s="65">
        <v>3</v>
      </c>
      <c r="S1097" s="65">
        <v>4</v>
      </c>
      <c r="T1097" s="65">
        <f t="shared" si="104"/>
        <v>7</v>
      </c>
      <c r="U1097" s="68">
        <v>0</v>
      </c>
      <c r="V1097" s="65">
        <v>0</v>
      </c>
      <c r="W1097" s="65">
        <v>0</v>
      </c>
      <c r="X1097" s="65">
        <v>0</v>
      </c>
      <c r="Y1097" s="64"/>
    </row>
    <row r="1098" spans="1:25" s="54" customFormat="1" ht="15" customHeight="1" x14ac:dyDescent="0.3">
      <c r="A1098" s="63"/>
      <c r="B1098" s="64"/>
      <c r="C1098" s="55"/>
      <c r="D1098" s="64">
        <v>2021</v>
      </c>
      <c r="E1098" s="65">
        <f>10515*1000000</f>
        <v>10515000000</v>
      </c>
      <c r="F1098" s="65">
        <f>(10515+39003+29611+3859+610)*1000000</f>
        <v>83598000000</v>
      </c>
      <c r="G1098" s="65">
        <f>808290*1000000</f>
        <v>808290000000</v>
      </c>
      <c r="H1098" s="65">
        <f>113472*1000000</f>
        <v>113472000000</v>
      </c>
      <c r="I1098" s="65">
        <f>444935*1000000</f>
        <v>444935000000</v>
      </c>
      <c r="J1098" s="65">
        <f>113144*1000000</f>
        <v>113144000000</v>
      </c>
      <c r="K1098" s="65">
        <f>363354*1000000</f>
        <v>363354000000</v>
      </c>
      <c r="L1098" s="65">
        <f>281520*1000000</f>
        <v>281520000000</v>
      </c>
      <c r="M1098" s="65">
        <f>72416*1000000</f>
        <v>72416000000</v>
      </c>
      <c r="N1098" s="65">
        <f>52678*1000000</f>
        <v>52678000000</v>
      </c>
      <c r="O1098" s="66">
        <v>0.68600000000000005</v>
      </c>
      <c r="P1098" s="67" t="s">
        <v>264</v>
      </c>
      <c r="Q1098" s="65">
        <v>2</v>
      </c>
      <c r="R1098" s="65">
        <v>3</v>
      </c>
      <c r="S1098" s="65">
        <v>4</v>
      </c>
      <c r="T1098" s="65">
        <f t="shared" si="104"/>
        <v>7</v>
      </c>
      <c r="U1098" s="68">
        <v>0</v>
      </c>
      <c r="V1098" s="65">
        <v>0</v>
      </c>
      <c r="W1098" s="65">
        <v>0</v>
      </c>
      <c r="X1098" s="65">
        <v>0</v>
      </c>
      <c r="Y1098" s="64"/>
    </row>
    <row r="1099" spans="1:25" s="54" customFormat="1" ht="15" customHeight="1" x14ac:dyDescent="0.3">
      <c r="A1099" s="63"/>
      <c r="B1099" s="64"/>
      <c r="C1099" s="55"/>
      <c r="D1099" s="64">
        <v>2022</v>
      </c>
      <c r="E1099" s="65">
        <f>3837*1000000</f>
        <v>3837000000</v>
      </c>
      <c r="F1099" s="65">
        <f>(3837+78024+46921+2174+4962)*1000000</f>
        <v>135918000000</v>
      </c>
      <c r="G1099" s="65">
        <f>920252*1000000</f>
        <v>920252000000</v>
      </c>
      <c r="H1099" s="65">
        <f>97248*1000000</f>
        <v>97248000000</v>
      </c>
      <c r="I1099" s="65">
        <f>409815*1000000</f>
        <v>409815000000</v>
      </c>
      <c r="J1099" s="65">
        <f>257704*1000000</f>
        <v>257704000000</v>
      </c>
      <c r="K1099" s="65">
        <f>510437*1000000</f>
        <v>510437000000</v>
      </c>
      <c r="L1099" s="65">
        <f>619139*1000000</f>
        <v>619139000000</v>
      </c>
      <c r="M1099" s="65">
        <f>144998*1000000</f>
        <v>144998000000</v>
      </c>
      <c r="N1099" s="65">
        <f>147083*1000000</f>
        <v>147083000000</v>
      </c>
      <c r="O1099" s="66">
        <v>0.68600000000000005</v>
      </c>
      <c r="P1099" s="67" t="s">
        <v>264</v>
      </c>
      <c r="Q1099" s="65">
        <v>2</v>
      </c>
      <c r="R1099" s="65">
        <v>3</v>
      </c>
      <c r="S1099" s="65">
        <v>4</v>
      </c>
      <c r="T1099" s="65">
        <f t="shared" si="104"/>
        <v>7</v>
      </c>
      <c r="U1099" s="68">
        <v>0</v>
      </c>
      <c r="V1099" s="65">
        <v>0</v>
      </c>
      <c r="W1099" s="65">
        <v>0</v>
      </c>
      <c r="X1099" s="65">
        <v>0</v>
      </c>
      <c r="Y1099" s="64"/>
    </row>
    <row r="1100" spans="1:25" s="54" customFormat="1" ht="15" customHeight="1" x14ac:dyDescent="0.3">
      <c r="A1100" s="63"/>
      <c r="B1100" s="64"/>
      <c r="C1100" s="55"/>
      <c r="D1100" s="64">
        <v>2023</v>
      </c>
      <c r="E1100" s="65">
        <f>184673*1000000</f>
        <v>184673000000</v>
      </c>
      <c r="F1100" s="65">
        <f>(184673+262385+29+61840+136863+3716)*1000000</f>
        <v>649506000000</v>
      </c>
      <c r="G1100" s="65">
        <f>1176944*1000000</f>
        <v>1176944000000</v>
      </c>
      <c r="H1100" s="65">
        <f>82789*1000000</f>
        <v>82789000000</v>
      </c>
      <c r="I1100" s="65">
        <f>545751*1000000</f>
        <v>545751000000</v>
      </c>
      <c r="J1100" s="65">
        <f>377136*1000000</f>
        <v>377136000000</v>
      </c>
      <c r="K1100" s="65">
        <f>631193*1000000</f>
        <v>631193000000</v>
      </c>
      <c r="L1100" s="65">
        <f>1819945*1000000</f>
        <v>1819945000000</v>
      </c>
      <c r="M1100" s="65">
        <f>207051*1000000</f>
        <v>207051000000</v>
      </c>
      <c r="N1100" s="65">
        <f>220755*1000000</f>
        <v>220755000000</v>
      </c>
      <c r="O1100" s="66">
        <v>0.68600000000000005</v>
      </c>
      <c r="P1100" s="67" t="s">
        <v>264</v>
      </c>
      <c r="Q1100" s="65">
        <v>2</v>
      </c>
      <c r="R1100" s="65">
        <v>3</v>
      </c>
      <c r="S1100" s="65">
        <v>4</v>
      </c>
      <c r="T1100" s="65">
        <f t="shared" si="104"/>
        <v>7</v>
      </c>
      <c r="U1100" s="68">
        <v>0</v>
      </c>
      <c r="V1100" s="65">
        <v>0</v>
      </c>
      <c r="W1100" s="65">
        <v>0</v>
      </c>
      <c r="X1100" s="65">
        <v>0</v>
      </c>
      <c r="Y1100" s="64"/>
    </row>
    <row r="1101" spans="1:25" s="54" customFormat="1" ht="15" customHeight="1" x14ac:dyDescent="0.3">
      <c r="A1101" s="63"/>
      <c r="B1101" s="64"/>
      <c r="C1101" s="55"/>
      <c r="D1101" s="64">
        <v>2024</v>
      </c>
      <c r="E1101" s="65">
        <f>237041*1000000</f>
        <v>237041000000</v>
      </c>
      <c r="F1101" s="65">
        <f>(237041+457437+70945+1078+8997)*1000000</f>
        <v>775498000000</v>
      </c>
      <c r="G1101" s="65">
        <f>1733065*1000000</f>
        <v>1733065000000</v>
      </c>
      <c r="H1101" s="65">
        <f>70301*1000000</f>
        <v>70301000000</v>
      </c>
      <c r="I1101" s="65">
        <f>973123*1000000</f>
        <v>973123000000</v>
      </c>
      <c r="J1101" s="65">
        <f>510914*1000000</f>
        <v>510914000000</v>
      </c>
      <c r="K1101" s="65">
        <f>759942*1000000</f>
        <v>759942000000</v>
      </c>
      <c r="L1101" s="65">
        <f>3472261*1000000</f>
        <v>3472261000000</v>
      </c>
      <c r="M1101" s="65">
        <f>121399*1000000</f>
        <v>121399000000</v>
      </c>
      <c r="N1101" s="65">
        <f>133779*1000000</f>
        <v>133779000000</v>
      </c>
      <c r="O1101" s="66">
        <v>0.68600000000000005</v>
      </c>
      <c r="P1101" s="67" t="s">
        <v>264</v>
      </c>
      <c r="Q1101" s="65">
        <v>2</v>
      </c>
      <c r="R1101" s="65">
        <v>3</v>
      </c>
      <c r="S1101" s="65">
        <v>4</v>
      </c>
      <c r="T1101" s="65">
        <f t="shared" si="104"/>
        <v>7</v>
      </c>
      <c r="U1101" s="68">
        <v>0</v>
      </c>
      <c r="V1101" s="65">
        <v>0</v>
      </c>
      <c r="W1101" s="65">
        <v>0</v>
      </c>
      <c r="X1101" s="65">
        <v>0</v>
      </c>
      <c r="Y1101" s="64"/>
    </row>
    <row r="1102" spans="1:25" s="54" customFormat="1" ht="15" customHeight="1" x14ac:dyDescent="0.3">
      <c r="A1102" s="63"/>
      <c r="B1102" s="64">
        <v>101</v>
      </c>
      <c r="C1102" s="55" t="s">
        <v>120</v>
      </c>
      <c r="D1102" s="64">
        <v>2014</v>
      </c>
      <c r="E1102" s="65">
        <v>0</v>
      </c>
      <c r="F1102" s="65">
        <v>0</v>
      </c>
      <c r="G1102" s="65">
        <v>0</v>
      </c>
      <c r="H1102" s="65">
        <v>0</v>
      </c>
      <c r="I1102" s="65">
        <v>0</v>
      </c>
      <c r="J1102" s="65">
        <v>0</v>
      </c>
      <c r="K1102" s="65">
        <v>0</v>
      </c>
      <c r="L1102" s="65">
        <f>944266*1000000</f>
        <v>944266000000</v>
      </c>
      <c r="M1102" s="65">
        <v>0</v>
      </c>
      <c r="N1102" s="65">
        <v>0</v>
      </c>
      <c r="O1102" s="65">
        <v>0</v>
      </c>
      <c r="P1102" s="65">
        <v>0</v>
      </c>
      <c r="Q1102" s="65">
        <v>0</v>
      </c>
      <c r="R1102" s="65">
        <v>0</v>
      </c>
      <c r="S1102" s="65">
        <v>0</v>
      </c>
      <c r="T1102" s="65">
        <v>0</v>
      </c>
      <c r="U1102" s="65">
        <v>0</v>
      </c>
      <c r="V1102" s="65">
        <v>0</v>
      </c>
      <c r="W1102" s="65">
        <v>0</v>
      </c>
      <c r="X1102" s="65">
        <v>0</v>
      </c>
      <c r="Y1102" s="64"/>
    </row>
    <row r="1103" spans="1:25" s="54" customFormat="1" ht="15" customHeight="1" x14ac:dyDescent="0.3">
      <c r="A1103" s="63"/>
      <c r="B1103" s="64"/>
      <c r="C1103" s="55"/>
      <c r="D1103" s="64">
        <v>2015</v>
      </c>
      <c r="E1103" s="65">
        <f>68782*1000000</f>
        <v>68782000000</v>
      </c>
      <c r="F1103" s="65">
        <f>(68782+135526+306963+4739+14314+108778+627+3820+913160)*1000000</f>
        <v>1556709000000</v>
      </c>
      <c r="G1103" s="65">
        <f>6191014*1000000</f>
        <v>6191014000000</v>
      </c>
      <c r="H1103" s="65">
        <f>(3528172-111637-2927634)*1000000</f>
        <v>488901000000</v>
      </c>
      <c r="I1103" s="65">
        <f>3528172*1000000</f>
        <v>3528172000000</v>
      </c>
      <c r="J1103" s="65">
        <f>2485210*1000000</f>
        <v>2485210000000</v>
      </c>
      <c r="K1103" s="65">
        <f>2662842*1000000</f>
        <v>2662842000000</v>
      </c>
      <c r="L1103" s="65">
        <f>1160475*1000000</f>
        <v>1160475000000</v>
      </c>
      <c r="M1103" s="65">
        <f>495299*1000000</f>
        <v>495299000000</v>
      </c>
      <c r="N1103" s="65">
        <f>468372*1000000</f>
        <v>468372000000</v>
      </c>
      <c r="O1103" s="66">
        <v>0.99990000000000001</v>
      </c>
      <c r="P1103" s="67" t="s">
        <v>329</v>
      </c>
      <c r="Q1103" s="65">
        <v>2</v>
      </c>
      <c r="R1103" s="65">
        <v>4</v>
      </c>
      <c r="S1103" s="65">
        <v>6</v>
      </c>
      <c r="T1103" s="65">
        <f>SUM(R1103:S1103)</f>
        <v>10</v>
      </c>
      <c r="U1103" s="68">
        <v>0</v>
      </c>
      <c r="V1103" s="65">
        <v>0</v>
      </c>
      <c r="W1103" s="65">
        <v>0</v>
      </c>
      <c r="X1103" s="65">
        <v>0</v>
      </c>
      <c r="Y1103" s="64"/>
    </row>
    <row r="1104" spans="1:25" s="54" customFormat="1" ht="15" customHeight="1" x14ac:dyDescent="0.3">
      <c r="A1104" s="63"/>
      <c r="B1104" s="64"/>
      <c r="C1104" s="55"/>
      <c r="D1104" s="64">
        <v>2016</v>
      </c>
      <c r="E1104" s="65">
        <f>46755*1000000</f>
        <v>46755000000</v>
      </c>
      <c r="F1104" s="65">
        <f>(46755+148683+195421+4924+6036+58924+4321+50970+67+5335+656155)*1000000</f>
        <v>1177591000000</v>
      </c>
      <c r="G1104" s="65">
        <f>5916686*1000000</f>
        <v>5916686000000</v>
      </c>
      <c r="H1104" s="65">
        <f>(3209577-136737-2603149)*1000000</f>
        <v>469691000000</v>
      </c>
      <c r="I1104" s="65">
        <f>3209577*1000000</f>
        <v>3209577000000</v>
      </c>
      <c r="J1104" s="65">
        <f>2536544*1000000</f>
        <v>2536544000000</v>
      </c>
      <c r="K1104" s="65">
        <f>2707109*1000000</f>
        <v>2707109000000</v>
      </c>
      <c r="L1104" s="65">
        <f>1197099*1000000</f>
        <v>1197099000000</v>
      </c>
      <c r="M1104" s="65">
        <f>516842*1000000</f>
        <v>516842000000</v>
      </c>
      <c r="N1104" s="65">
        <f>483012*1000000</f>
        <v>483012000000</v>
      </c>
      <c r="O1104" s="66">
        <v>0.99990000000000001</v>
      </c>
      <c r="P1104" s="67" t="s">
        <v>329</v>
      </c>
      <c r="Q1104" s="65">
        <v>2</v>
      </c>
      <c r="R1104" s="65">
        <v>4</v>
      </c>
      <c r="S1104" s="65">
        <v>6</v>
      </c>
      <c r="T1104" s="65">
        <f t="shared" ref="T1104:T1112" si="105">SUM(R1104:S1104)</f>
        <v>10</v>
      </c>
      <c r="U1104" s="68">
        <v>0</v>
      </c>
      <c r="V1104" s="65">
        <v>0</v>
      </c>
      <c r="W1104" s="65">
        <v>0</v>
      </c>
      <c r="X1104" s="65">
        <v>0</v>
      </c>
      <c r="Y1104" s="64"/>
    </row>
    <row r="1105" spans="1:25" s="54" customFormat="1" ht="15" customHeight="1" x14ac:dyDescent="0.3">
      <c r="A1105" s="63"/>
      <c r="B1105" s="64"/>
      <c r="C1105" s="55"/>
      <c r="D1105" s="64">
        <v>2017</v>
      </c>
      <c r="E1105" s="65">
        <f>146390*1000000</f>
        <v>146390000000</v>
      </c>
      <c r="F1105" s="65">
        <f>(146390+162155+395077+4440+12971+90162+497+4612+1362207+795308)*1000000</f>
        <v>2973819000000</v>
      </c>
      <c r="G1105" s="65">
        <f>31271077*1000000</f>
        <v>31271077000000</v>
      </c>
      <c r="H1105" s="69">
        <f>(27953908-167060-52335-26113371)*1000000</f>
        <v>1621142000000</v>
      </c>
      <c r="I1105" s="65">
        <f>27953908*1000000</f>
        <v>27953908000000</v>
      </c>
      <c r="J1105" s="65">
        <f>3092769*1000000</f>
        <v>3092769000000</v>
      </c>
      <c r="K1105" s="65">
        <f>3317169*1000000</f>
        <v>3317169000000</v>
      </c>
      <c r="L1105" s="65">
        <f>10563288*1000000</f>
        <v>10563288000000</v>
      </c>
      <c r="M1105" s="65">
        <f>641458*1000000</f>
        <v>641458000000</v>
      </c>
      <c r="N1105" s="65">
        <f>567868*1000000</f>
        <v>567868000000</v>
      </c>
      <c r="O1105" s="66">
        <v>0.99990000000000001</v>
      </c>
      <c r="P1105" s="67" t="s">
        <v>329</v>
      </c>
      <c r="Q1105" s="65">
        <v>2</v>
      </c>
      <c r="R1105" s="65">
        <v>4</v>
      </c>
      <c r="S1105" s="65">
        <v>6</v>
      </c>
      <c r="T1105" s="65">
        <f t="shared" si="105"/>
        <v>10</v>
      </c>
      <c r="U1105" s="68">
        <v>0</v>
      </c>
      <c r="V1105" s="65">
        <v>0</v>
      </c>
      <c r="W1105" s="65">
        <v>0</v>
      </c>
      <c r="X1105" s="65">
        <v>0</v>
      </c>
      <c r="Y1105" s="64"/>
    </row>
    <row r="1106" spans="1:25" s="54" customFormat="1" ht="15" customHeight="1" x14ac:dyDescent="0.3">
      <c r="A1106" s="63"/>
      <c r="B1106" s="64"/>
      <c r="C1106" s="55"/>
      <c r="D1106" s="64">
        <v>2018</v>
      </c>
      <c r="E1106" s="65">
        <f>168843*1000000</f>
        <v>168843000000</v>
      </c>
      <c r="F1106" s="65">
        <f>(168843+29707+578528+3032+52816+78012+7884+142035+489+299912+1313831)*1000000</f>
        <v>2675089000000</v>
      </c>
      <c r="G1106" s="65">
        <f>39097329*1000000</f>
        <v>39097329000000</v>
      </c>
      <c r="H1106" s="65">
        <f>(35290723-162548-53436-33169454)*1000000</f>
        <v>1905285000000</v>
      </c>
      <c r="I1106" s="65">
        <f>35290723*1000000</f>
        <v>35290723000000</v>
      </c>
      <c r="J1106" s="65">
        <f>3537357*1000000</f>
        <v>3537357000000</v>
      </c>
      <c r="K1106" s="65">
        <f>3806605*1000000</f>
        <v>3806605000000</v>
      </c>
      <c r="L1106" s="65">
        <f>24680668*1000000</f>
        <v>24680668000000</v>
      </c>
      <c r="M1106" s="65">
        <f>555881*1000000</f>
        <v>555881000000</v>
      </c>
      <c r="N1106" s="65">
        <f>556878*1000000</f>
        <v>556878000000</v>
      </c>
      <c r="O1106" s="66">
        <v>0.99990000000000001</v>
      </c>
      <c r="P1106" s="67" t="s">
        <v>329</v>
      </c>
      <c r="Q1106" s="65">
        <v>2</v>
      </c>
      <c r="R1106" s="65">
        <v>4</v>
      </c>
      <c r="S1106" s="65">
        <v>6</v>
      </c>
      <c r="T1106" s="65">
        <f t="shared" si="105"/>
        <v>10</v>
      </c>
      <c r="U1106" s="68">
        <v>0</v>
      </c>
      <c r="V1106" s="65">
        <v>0</v>
      </c>
      <c r="W1106" s="65">
        <v>0</v>
      </c>
      <c r="X1106" s="65">
        <v>0</v>
      </c>
      <c r="Y1106" s="64"/>
    </row>
    <row r="1107" spans="1:25" s="54" customFormat="1" ht="15" customHeight="1" x14ac:dyDescent="0.3">
      <c r="A1107" s="63"/>
      <c r="B1107" s="64"/>
      <c r="C1107" s="55"/>
      <c r="D1107" s="64">
        <v>2019</v>
      </c>
      <c r="E1107" s="65">
        <f>270910*1000000</f>
        <v>270910000000</v>
      </c>
      <c r="F1107" s="65">
        <f>(270910+47759+829378+4035+187084+67988+16306+21849+10+71903+1249307)*1000000</f>
        <v>2766529000000</v>
      </c>
      <c r="G1107" s="65">
        <f>44577624*1000000</f>
        <v>44577624000000</v>
      </c>
      <c r="H1107" s="65">
        <f>(40201558-178047-3609-38231209)*1000000</f>
        <v>1788693000000</v>
      </c>
      <c r="I1107" s="65">
        <f>40201558*1000000</f>
        <v>40201558000000</v>
      </c>
      <c r="J1107" s="65">
        <f>4106114*1000000</f>
        <v>4106114000000</v>
      </c>
      <c r="K1107" s="65">
        <f>4376065*1000000</f>
        <v>4376065000000</v>
      </c>
      <c r="L1107" s="65">
        <f>28697265*1000000</f>
        <v>28697265000000</v>
      </c>
      <c r="M1107" s="65">
        <f>751488*1000000</f>
        <v>751488000000</v>
      </c>
      <c r="N1107" s="65">
        <f>757790*1000000</f>
        <v>757790000000</v>
      </c>
      <c r="O1107" s="66">
        <v>0.99990000000000001</v>
      </c>
      <c r="P1107" s="67" t="s">
        <v>329</v>
      </c>
      <c r="Q1107" s="65">
        <v>2</v>
      </c>
      <c r="R1107" s="65">
        <v>4</v>
      </c>
      <c r="S1107" s="65">
        <v>6</v>
      </c>
      <c r="T1107" s="65">
        <f t="shared" si="105"/>
        <v>10</v>
      </c>
      <c r="U1107" s="68">
        <v>0</v>
      </c>
      <c r="V1107" s="65">
        <v>0</v>
      </c>
      <c r="W1107" s="65">
        <v>0</v>
      </c>
      <c r="X1107" s="65">
        <v>0</v>
      </c>
      <c r="Y1107" s="64"/>
    </row>
    <row r="1108" spans="1:25" s="54" customFormat="1" ht="15" customHeight="1" x14ac:dyDescent="0.3">
      <c r="A1108" s="63"/>
      <c r="B1108" s="64"/>
      <c r="C1108" s="55"/>
      <c r="D1108" s="64">
        <v>2020</v>
      </c>
      <c r="E1108" s="65">
        <f>513921*1000000</f>
        <v>513921000000</v>
      </c>
      <c r="F1108" s="65">
        <f>(513921+30227+594843+3262+92947+94007+9596+199438+49+72654+1276093)*1000000</f>
        <v>2887037000000</v>
      </c>
      <c r="G1108" s="65">
        <f>44790941*1000000</f>
        <v>44790941000000</v>
      </c>
      <c r="H1108" s="65">
        <f>(39795144-80877-6401-3305-3110940-34666886)*1000000</f>
        <v>1926735000000</v>
      </c>
      <c r="I1108" s="65">
        <f>39795144*1000000</f>
        <v>39795144000000</v>
      </c>
      <c r="J1108" s="65">
        <f>4726123*1000000</f>
        <v>4726123000000</v>
      </c>
      <c r="K1108" s="65">
        <f>4995796*1000000</f>
        <v>4995796000000</v>
      </c>
      <c r="L1108" s="65">
        <f>29306719*1000000</f>
        <v>29306719000000</v>
      </c>
      <c r="M1108" s="65">
        <f>907615*1000000</f>
        <v>907615000000</v>
      </c>
      <c r="N1108" s="65">
        <f>892894*1000000</f>
        <v>892894000000</v>
      </c>
      <c r="O1108" s="66">
        <v>0.99990000000000001</v>
      </c>
      <c r="P1108" s="67" t="s">
        <v>329</v>
      </c>
      <c r="Q1108" s="65">
        <v>2</v>
      </c>
      <c r="R1108" s="65">
        <v>4</v>
      </c>
      <c r="S1108" s="65">
        <v>6</v>
      </c>
      <c r="T1108" s="65">
        <f t="shared" si="105"/>
        <v>10</v>
      </c>
      <c r="U1108" s="68">
        <v>0</v>
      </c>
      <c r="V1108" s="65">
        <v>0</v>
      </c>
      <c r="W1108" s="65">
        <v>0</v>
      </c>
      <c r="X1108" s="65">
        <v>0</v>
      </c>
      <c r="Y1108" s="64"/>
    </row>
    <row r="1109" spans="1:25" s="54" customFormat="1" ht="15" customHeight="1" x14ac:dyDescent="0.3">
      <c r="A1109" s="63"/>
      <c r="B1109" s="64"/>
      <c r="C1109" s="55"/>
      <c r="D1109" s="64">
        <v>2021</v>
      </c>
      <c r="E1109" s="65">
        <f>493638*1000000</f>
        <v>493638000000</v>
      </c>
      <c r="F1109" s="65">
        <f>(493638+33270+1209153+1227+136939+98388+4056+399592+42+186494+2101638)*1000000</f>
        <v>4664437000000</v>
      </c>
      <c r="G1109" s="65">
        <f>47706642*1000000</f>
        <v>47706642000000</v>
      </c>
      <c r="H1109" s="65">
        <f>(43197356-70637-4684-3551-3132782-38103923)*1000000</f>
        <v>1881779000000</v>
      </c>
      <c r="I1109" s="65">
        <f>43197356*1000000</f>
        <v>43197356000000</v>
      </c>
      <c r="J1109" s="65">
        <f>4229733*1000000</f>
        <v>4229733000000</v>
      </c>
      <c r="K1109" s="65">
        <f>4509286*1000000</f>
        <v>4509286000000</v>
      </c>
      <c r="L1109" s="65">
        <f>26644133*1000000</f>
        <v>26644133000000</v>
      </c>
      <c r="M1109" s="65">
        <f>219706*1000000</f>
        <v>219706000000</v>
      </c>
      <c r="N1109" s="65">
        <f>187812*1000000</f>
        <v>187812000000</v>
      </c>
      <c r="O1109" s="66">
        <v>0.99990000000000001</v>
      </c>
      <c r="P1109" s="67" t="s">
        <v>329</v>
      </c>
      <c r="Q1109" s="65">
        <v>2</v>
      </c>
      <c r="R1109" s="65">
        <v>5</v>
      </c>
      <c r="S1109" s="65">
        <v>7</v>
      </c>
      <c r="T1109" s="65">
        <f t="shared" si="105"/>
        <v>12</v>
      </c>
      <c r="U1109" s="68">
        <v>0</v>
      </c>
      <c r="V1109" s="65">
        <v>0</v>
      </c>
      <c r="W1109" s="65">
        <v>0</v>
      </c>
      <c r="X1109" s="65">
        <v>0</v>
      </c>
      <c r="Y1109" s="64"/>
    </row>
    <row r="1110" spans="1:25" s="54" customFormat="1" ht="15" customHeight="1" x14ac:dyDescent="0.3">
      <c r="A1110" s="63"/>
      <c r="B1110" s="64"/>
      <c r="C1110" s="55"/>
      <c r="D1110" s="64">
        <v>2022</v>
      </c>
      <c r="E1110" s="65">
        <f>428420*1000000</f>
        <v>428420000000</v>
      </c>
      <c r="F1110" s="65">
        <f>(428420+22588+586254+778+461312+451699+12675+586216+4+360885+2352227)*1000000</f>
        <v>5263058000000</v>
      </c>
      <c r="G1110" s="65">
        <f>45035755*1000000</f>
        <v>45035755000000</v>
      </c>
      <c r="H1110" s="65">
        <f>(40147435-57435-5047-1473-3544702-33578684)*1000000</f>
        <v>2960094000000</v>
      </c>
      <c r="I1110" s="65">
        <f>40147435*1000000</f>
        <v>40147435000000</v>
      </c>
      <c r="J1110" s="65">
        <f>4576356*1000000</f>
        <v>4576356000000</v>
      </c>
      <c r="K1110" s="65">
        <f>4888329*1000000</f>
        <v>4888329000000</v>
      </c>
      <c r="L1110" s="65">
        <f>21038525*1000000</f>
        <v>21038525000000</v>
      </c>
      <c r="M1110" s="65">
        <f>529848*1000000</f>
        <v>529848000000</v>
      </c>
      <c r="N1110" s="65">
        <f>353313*1000000</f>
        <v>353313000000</v>
      </c>
      <c r="O1110" s="66">
        <v>0.99990000000000001</v>
      </c>
      <c r="P1110" s="67" t="s">
        <v>329</v>
      </c>
      <c r="Q1110" s="65">
        <v>2</v>
      </c>
      <c r="R1110" s="65">
        <v>4</v>
      </c>
      <c r="S1110" s="65">
        <v>6</v>
      </c>
      <c r="T1110" s="65">
        <f t="shared" si="105"/>
        <v>10</v>
      </c>
      <c r="U1110" s="68">
        <v>0</v>
      </c>
      <c r="V1110" s="65">
        <v>0</v>
      </c>
      <c r="W1110" s="65">
        <v>0</v>
      </c>
      <c r="X1110" s="65">
        <v>0</v>
      </c>
      <c r="Y1110" s="64"/>
    </row>
    <row r="1111" spans="1:25" s="54" customFormat="1" ht="15" customHeight="1" x14ac:dyDescent="0.3">
      <c r="A1111" s="63"/>
      <c r="B1111" s="64"/>
      <c r="C1111" s="55"/>
      <c r="D1111" s="64">
        <v>2023</v>
      </c>
      <c r="E1111" s="65">
        <f>684066*1000000</f>
        <v>684066000000</v>
      </c>
      <c r="F1111" s="65">
        <f>(684066+4207+592878+2293+123264+179098+22622+434532+5+771107+2454473)*1000000</f>
        <v>5268545000000</v>
      </c>
      <c r="G1111" s="65">
        <f>40386010*1000000</f>
        <v>40386010000000</v>
      </c>
      <c r="H1111" s="65">
        <f>(34855780-73103-6012-49074-3761865-28410861)*1000000</f>
        <v>2554865000000</v>
      </c>
      <c r="I1111" s="65">
        <f>34855780*1000000</f>
        <v>34855780000000</v>
      </c>
      <c r="J1111" s="65">
        <f>5179528*1000000</f>
        <v>5179528000000</v>
      </c>
      <c r="K1111" s="65">
        <f>5530230*1000000</f>
        <v>5530230000000</v>
      </c>
      <c r="L1111" s="65">
        <f>15214654*1000000</f>
        <v>15214654000000</v>
      </c>
      <c r="M1111" s="65">
        <f>702670*1000000</f>
        <v>702670000000</v>
      </c>
      <c r="N1111" s="65">
        <f>670161*1000000</f>
        <v>670161000000</v>
      </c>
      <c r="O1111" s="66">
        <v>0.99990000000000001</v>
      </c>
      <c r="P1111" s="67" t="s">
        <v>329</v>
      </c>
      <c r="Q1111" s="65">
        <v>2</v>
      </c>
      <c r="R1111" s="65">
        <v>4</v>
      </c>
      <c r="S1111" s="65">
        <v>6</v>
      </c>
      <c r="T1111" s="65">
        <f t="shared" si="105"/>
        <v>10</v>
      </c>
      <c r="U1111" s="68">
        <v>0</v>
      </c>
      <c r="V1111" s="65">
        <v>0</v>
      </c>
      <c r="W1111" s="65">
        <v>0</v>
      </c>
      <c r="X1111" s="65">
        <v>0</v>
      </c>
      <c r="Y1111" s="64"/>
    </row>
    <row r="1112" spans="1:25" s="54" customFormat="1" ht="15" customHeight="1" x14ac:dyDescent="0.3">
      <c r="A1112" s="63"/>
      <c r="B1112" s="64"/>
      <c r="C1112" s="55"/>
      <c r="D1112" s="64">
        <v>2024</v>
      </c>
      <c r="E1112" s="65">
        <f>414121*1000000</f>
        <v>414121000000</v>
      </c>
      <c r="F1112" s="65">
        <f>(414121+37409+891838+3223+3462+261547+146380+149+856526+1766491)*1000000</f>
        <v>4381146000000</v>
      </c>
      <c r="G1112" s="65">
        <f>40268335*1000000</f>
        <v>40268335000000</v>
      </c>
      <c r="H1112" s="65">
        <f>(34166611-77022-6311-61204-3125330-28302213)*1000000</f>
        <v>2594531000000</v>
      </c>
      <c r="I1112" s="65">
        <f>34166611*1000000</f>
        <v>34166611000000</v>
      </c>
      <c r="J1112" s="65">
        <f>5796245*1000000</f>
        <v>5796245000000</v>
      </c>
      <c r="K1112" s="65">
        <f>6101724*1000000</f>
        <v>6101724000000</v>
      </c>
      <c r="L1112" s="65">
        <f>14635562*1000000</f>
        <v>14635562000000</v>
      </c>
      <c r="M1112" s="65">
        <f>773486*1000000</f>
        <v>773486000000</v>
      </c>
      <c r="N1112" s="65">
        <f>627880*1000000</f>
        <v>627880000000</v>
      </c>
      <c r="O1112" s="66">
        <v>0.99990000000000001</v>
      </c>
      <c r="P1112" s="67" t="s">
        <v>329</v>
      </c>
      <c r="Q1112" s="65">
        <v>2</v>
      </c>
      <c r="R1112" s="65">
        <v>3</v>
      </c>
      <c r="S1112" s="65">
        <v>6</v>
      </c>
      <c r="T1112" s="65">
        <f t="shared" si="105"/>
        <v>9</v>
      </c>
      <c r="U1112" s="68">
        <v>0</v>
      </c>
      <c r="V1112" s="65">
        <v>0</v>
      </c>
      <c r="W1112" s="65">
        <v>0</v>
      </c>
      <c r="X1112" s="65">
        <v>0</v>
      </c>
      <c r="Y1112" s="64"/>
    </row>
    <row r="1113" spans="1:25" s="54" customFormat="1" ht="15" customHeight="1" x14ac:dyDescent="0.3">
      <c r="A1113" s="63"/>
      <c r="B1113" s="64">
        <v>102</v>
      </c>
      <c r="C1113" s="76" t="s">
        <v>134</v>
      </c>
      <c r="D1113" s="64">
        <v>2014</v>
      </c>
      <c r="E1113" s="65">
        <v>0</v>
      </c>
      <c r="F1113" s="65">
        <v>0</v>
      </c>
      <c r="G1113" s="65">
        <v>0</v>
      </c>
      <c r="H1113" s="65">
        <v>0</v>
      </c>
      <c r="I1113" s="65">
        <v>0</v>
      </c>
      <c r="J1113" s="65">
        <v>0</v>
      </c>
      <c r="K1113" s="65">
        <v>0</v>
      </c>
      <c r="L1113" s="65">
        <v>0</v>
      </c>
      <c r="M1113" s="65">
        <v>0</v>
      </c>
      <c r="N1113" s="65">
        <v>0</v>
      </c>
      <c r="O1113" s="65">
        <v>0</v>
      </c>
      <c r="P1113" s="65">
        <v>0</v>
      </c>
      <c r="Q1113" s="65">
        <v>0</v>
      </c>
      <c r="R1113" s="65">
        <v>0</v>
      </c>
      <c r="S1113" s="65">
        <v>0</v>
      </c>
      <c r="T1113" s="65">
        <v>0</v>
      </c>
      <c r="U1113" s="65">
        <v>0</v>
      </c>
      <c r="V1113" s="65">
        <v>0</v>
      </c>
      <c r="W1113" s="65">
        <v>0</v>
      </c>
      <c r="X1113" s="65">
        <v>0</v>
      </c>
      <c r="Y1113" s="64"/>
    </row>
    <row r="1114" spans="1:25" s="54" customFormat="1" ht="15" customHeight="1" x14ac:dyDescent="0.3">
      <c r="A1114" s="63"/>
      <c r="B1114" s="64"/>
      <c r="C1114" s="76"/>
      <c r="D1114" s="64">
        <v>2015</v>
      </c>
      <c r="E1114" s="65">
        <f>7051*1000000</f>
        <v>7051000000</v>
      </c>
      <c r="F1114" s="65">
        <f>(7051+5881)*1000000</f>
        <v>12932000000</v>
      </c>
      <c r="G1114" s="65">
        <f>61417*1000000</f>
        <v>61417000000</v>
      </c>
      <c r="H1114" s="65">
        <f>(232+100+1008)*1000000</f>
        <v>1340000000</v>
      </c>
      <c r="I1114" s="65">
        <f>4196*1000000</f>
        <v>4196000000</v>
      </c>
      <c r="J1114" s="65">
        <f>48992*1000000</f>
        <v>48992000000</v>
      </c>
      <c r="K1114" s="65">
        <f>56992*1000000</f>
        <v>56992000000</v>
      </c>
      <c r="L1114" s="65">
        <f>7128*1000000</f>
        <v>7128000000</v>
      </c>
      <c r="M1114" s="65">
        <f>(89+456)*1000000</f>
        <v>545000000</v>
      </c>
      <c r="N1114" s="65">
        <f>181*1000000</f>
        <v>181000000</v>
      </c>
      <c r="O1114" s="65">
        <v>0</v>
      </c>
      <c r="P1114" s="65">
        <v>0</v>
      </c>
      <c r="Q1114" s="65">
        <v>0</v>
      </c>
      <c r="R1114" s="65">
        <v>0</v>
      </c>
      <c r="S1114" s="65">
        <v>0</v>
      </c>
      <c r="T1114" s="65">
        <v>0</v>
      </c>
      <c r="U1114" s="65">
        <v>0</v>
      </c>
      <c r="V1114" s="65">
        <v>0</v>
      </c>
      <c r="W1114" s="65">
        <v>0</v>
      </c>
      <c r="X1114" s="65">
        <v>0</v>
      </c>
      <c r="Y1114" s="64"/>
    </row>
    <row r="1115" spans="1:25" s="54" customFormat="1" ht="15" customHeight="1" x14ac:dyDescent="0.3">
      <c r="A1115" s="63"/>
      <c r="B1115" s="64"/>
      <c r="C1115" s="76"/>
      <c r="D1115" s="64">
        <v>2016</v>
      </c>
      <c r="E1115" s="65">
        <f>3615*1000000</f>
        <v>3615000000</v>
      </c>
      <c r="F1115" s="65">
        <f>(3615+2402+5258)*1000000</f>
        <v>11275000000</v>
      </c>
      <c r="G1115" s="65">
        <f>65069*1000000</f>
        <v>65069000000</v>
      </c>
      <c r="H1115" s="65">
        <f>(41+63+1077)*1000000</f>
        <v>1181000000</v>
      </c>
      <c r="I1115" s="65">
        <f>5077*1000000</f>
        <v>5077000000</v>
      </c>
      <c r="J1115" s="65">
        <f>49274*1000000</f>
        <v>49274000000</v>
      </c>
      <c r="K1115" s="65">
        <f>58299*1000000</f>
        <v>58299000000</v>
      </c>
      <c r="L1115" s="65">
        <f>9710*1000000</f>
        <v>9710000000</v>
      </c>
      <c r="M1115" s="65">
        <f>(-116+693)*1000000</f>
        <v>577000000</v>
      </c>
      <c r="N1115" s="65">
        <f>282*1000000</f>
        <v>282000000</v>
      </c>
      <c r="O1115" s="66">
        <v>0.6</v>
      </c>
      <c r="P1115" s="67" t="s">
        <v>338</v>
      </c>
      <c r="Q1115" s="65">
        <v>2</v>
      </c>
      <c r="R1115" s="65">
        <v>4</v>
      </c>
      <c r="S1115" s="65">
        <v>3</v>
      </c>
      <c r="T1115" s="65">
        <f>SUM(R1115:S1115)</f>
        <v>7</v>
      </c>
      <c r="U1115" s="68">
        <v>0.9</v>
      </c>
      <c r="V1115" s="65">
        <v>0</v>
      </c>
      <c r="W1115" s="65">
        <v>0</v>
      </c>
      <c r="X1115" s="65">
        <v>0</v>
      </c>
      <c r="Y1115" s="64"/>
    </row>
    <row r="1116" spans="1:25" s="54" customFormat="1" ht="15" customHeight="1" x14ac:dyDescent="0.3">
      <c r="A1116" s="63"/>
      <c r="B1116" s="64"/>
      <c r="C1116" s="76"/>
      <c r="D1116" s="64">
        <v>2017</v>
      </c>
      <c r="E1116" s="65">
        <f>4978*1000000</f>
        <v>4978000000</v>
      </c>
      <c r="F1116" s="65">
        <f>(4978+3365+5258)*1000000</f>
        <v>13601000000</v>
      </c>
      <c r="G1116" s="65">
        <f>66934*1000000</f>
        <v>66934000000</v>
      </c>
      <c r="H1116" s="65">
        <f>(71+40)*1000000</f>
        <v>111000000</v>
      </c>
      <c r="I1116" s="65">
        <f>(71+40+587+1461+1338+296+2447)*1000000</f>
        <v>6240000000</v>
      </c>
      <c r="J1116" s="65">
        <f>48621*1000000</f>
        <v>48621000000</v>
      </c>
      <c r="K1116" s="65">
        <f>(8000+1025+32+48621)*1000000</f>
        <v>57678000000</v>
      </c>
      <c r="L1116" s="65">
        <f>(6795+2+3962+1725)*1000000</f>
        <v>12484000000</v>
      </c>
      <c r="M1116" s="69">
        <f>190*1000000</f>
        <v>190000000</v>
      </c>
      <c r="N1116" s="65">
        <f>-3*1000000</f>
        <v>-3000000</v>
      </c>
      <c r="O1116" s="66">
        <v>0.6</v>
      </c>
      <c r="P1116" s="67" t="s">
        <v>338</v>
      </c>
      <c r="Q1116" s="65">
        <v>2</v>
      </c>
      <c r="R1116" s="65">
        <v>4</v>
      </c>
      <c r="S1116" s="65">
        <v>3</v>
      </c>
      <c r="T1116" s="65">
        <f t="shared" ref="T1116:T1123" si="106">SUM(R1116:S1116)</f>
        <v>7</v>
      </c>
      <c r="U1116" s="68">
        <v>0.9</v>
      </c>
      <c r="V1116" s="65">
        <v>0</v>
      </c>
      <c r="W1116" s="65">
        <v>0</v>
      </c>
      <c r="X1116" s="65">
        <v>0</v>
      </c>
      <c r="Y1116" s="64"/>
    </row>
    <row r="1117" spans="1:25" s="54" customFormat="1" ht="15" customHeight="1" x14ac:dyDescent="0.3">
      <c r="A1117" s="63"/>
      <c r="B1117" s="64"/>
      <c r="C1117" s="76"/>
      <c r="D1117" s="64">
        <v>2018</v>
      </c>
      <c r="E1117" s="65">
        <f>3718*1000000</f>
        <v>3718000000</v>
      </c>
      <c r="F1117" s="65">
        <f>(3718+3745+601+5270)*1000000</f>
        <v>13334000000</v>
      </c>
      <c r="G1117" s="65">
        <f>79330*1000000</f>
        <v>79330000000</v>
      </c>
      <c r="H1117" s="65">
        <f>(46+209+1346+40)*1000000</f>
        <v>1641000000</v>
      </c>
      <c r="I1117" s="65">
        <f>(46+209+1346+40+583+1763+651+188+1777)*1000000</f>
        <v>6603000000</v>
      </c>
      <c r="J1117" s="65">
        <f>58509*1000000</f>
        <v>58509000000</v>
      </c>
      <c r="K1117" s="65">
        <f>(8000+1025+243+58509)*1000000</f>
        <v>67777000000</v>
      </c>
      <c r="L1117" s="65">
        <f>(6888+32+3940+1492)*1000000</f>
        <v>12352000000</v>
      </c>
      <c r="M1117" s="65">
        <f>-40*1000000</f>
        <v>-40000000</v>
      </c>
      <c r="N1117" s="65">
        <f>-439*1000000</f>
        <v>-439000000</v>
      </c>
      <c r="O1117" s="66">
        <v>0.6</v>
      </c>
      <c r="P1117" s="67" t="s">
        <v>338</v>
      </c>
      <c r="Q1117" s="65">
        <v>2</v>
      </c>
      <c r="R1117" s="65">
        <v>4</v>
      </c>
      <c r="S1117" s="65">
        <v>3</v>
      </c>
      <c r="T1117" s="65">
        <f t="shared" si="106"/>
        <v>7</v>
      </c>
      <c r="U1117" s="68">
        <v>0.9</v>
      </c>
      <c r="V1117" s="65">
        <v>0</v>
      </c>
      <c r="W1117" s="65">
        <v>0</v>
      </c>
      <c r="X1117" s="65">
        <v>0</v>
      </c>
      <c r="Y1117" s="64"/>
    </row>
    <row r="1118" spans="1:25" s="54" customFormat="1" ht="15" customHeight="1" x14ac:dyDescent="0.3">
      <c r="A1118" s="63"/>
      <c r="B1118" s="64"/>
      <c r="C1118" s="76"/>
      <c r="D1118" s="64">
        <v>2019</v>
      </c>
      <c r="E1118" s="65">
        <f>5606*1000000</f>
        <v>5606000000</v>
      </c>
      <c r="F1118" s="65">
        <f>(5606+1999+7+5010)*1000000</f>
        <v>12622000000</v>
      </c>
      <c r="G1118" s="65">
        <f>78593*1000000</f>
        <v>78593000000</v>
      </c>
      <c r="H1118" s="65">
        <f>(4+189+79+2)*1000000</f>
        <v>274000000</v>
      </c>
      <c r="I1118" s="65">
        <f>(4+189+79+2+490+1959+381+1190+1920)*1000000</f>
        <v>6214000000</v>
      </c>
      <c r="J1118" s="65">
        <f>57720*1000000</f>
        <v>57720000000</v>
      </c>
      <c r="K1118" s="65">
        <f>(8000+1025-128+57720)*1000000</f>
        <v>66617000000</v>
      </c>
      <c r="L1118" s="65">
        <f>(5990+35+3925+1368)*1000000</f>
        <v>11318000000</v>
      </c>
      <c r="M1118" s="65">
        <f>-2267*1000000</f>
        <v>-2267000000</v>
      </c>
      <c r="N1118" s="65">
        <f>-1032*1000000</f>
        <v>-1032000000</v>
      </c>
      <c r="O1118" s="66">
        <v>0.6</v>
      </c>
      <c r="P1118" s="67" t="s">
        <v>338</v>
      </c>
      <c r="Q1118" s="65">
        <v>2</v>
      </c>
      <c r="R1118" s="65">
        <v>4</v>
      </c>
      <c r="S1118" s="65">
        <v>3</v>
      </c>
      <c r="T1118" s="65">
        <f t="shared" si="106"/>
        <v>7</v>
      </c>
      <c r="U1118" s="68">
        <v>0.9</v>
      </c>
      <c r="V1118" s="65">
        <v>0</v>
      </c>
      <c r="W1118" s="65">
        <v>0</v>
      </c>
      <c r="X1118" s="65">
        <v>0</v>
      </c>
      <c r="Y1118" s="64"/>
    </row>
    <row r="1119" spans="1:25" s="54" customFormat="1" ht="15" customHeight="1" x14ac:dyDescent="0.3">
      <c r="A1119" s="63"/>
      <c r="B1119" s="64"/>
      <c r="C1119" s="76"/>
      <c r="D1119" s="64">
        <v>2020</v>
      </c>
      <c r="E1119" s="65">
        <f>4725*1000000</f>
        <v>4725000000</v>
      </c>
      <c r="F1119" s="65">
        <f>(4725+2072+150+37)*1000000</f>
        <v>6984000000</v>
      </c>
      <c r="G1119" s="65">
        <f>74531*1000000</f>
        <v>74531000000</v>
      </c>
      <c r="H1119" s="65">
        <f>(319+301+44+36)*1000000</f>
        <v>700000000</v>
      </c>
      <c r="I1119" s="65">
        <f>(319+301+44+36+376+2482+286+1240+2222)*1000000</f>
        <v>7306000000</v>
      </c>
      <c r="J1119" s="65">
        <f>51286*1000000</f>
        <v>51286000000</v>
      </c>
      <c r="K1119" s="65">
        <f>(8000+10255-59+51286)*1000000</f>
        <v>69482000000</v>
      </c>
      <c r="L1119" s="65">
        <f>(5646+46+3012+1310)*1000000</f>
        <v>10014000000</v>
      </c>
      <c r="M1119" s="65">
        <f>-6421*1000000</f>
        <v>-6421000000</v>
      </c>
      <c r="N1119" s="65">
        <f>-6227*1000000</f>
        <v>-6227000000</v>
      </c>
      <c r="O1119" s="66">
        <v>0.6</v>
      </c>
      <c r="P1119" s="67" t="s">
        <v>338</v>
      </c>
      <c r="Q1119" s="65">
        <v>2</v>
      </c>
      <c r="R1119" s="65">
        <v>4</v>
      </c>
      <c r="S1119" s="65">
        <v>3</v>
      </c>
      <c r="T1119" s="65">
        <f t="shared" si="106"/>
        <v>7</v>
      </c>
      <c r="U1119" s="68">
        <v>0.9</v>
      </c>
      <c r="V1119" s="65">
        <v>0</v>
      </c>
      <c r="W1119" s="65">
        <v>0</v>
      </c>
      <c r="X1119" s="65">
        <v>0</v>
      </c>
      <c r="Y1119" s="64"/>
    </row>
    <row r="1120" spans="1:25" s="54" customFormat="1" ht="15" customHeight="1" x14ac:dyDescent="0.3">
      <c r="A1120" s="63"/>
      <c r="B1120" s="64"/>
      <c r="C1120" s="76"/>
      <c r="D1120" s="64">
        <v>2021</v>
      </c>
      <c r="E1120" s="65">
        <f>6874*1000000</f>
        <v>6874000000</v>
      </c>
      <c r="F1120" s="65">
        <f>(6874+1433+29+63)*1000000</f>
        <v>8399000000</v>
      </c>
      <c r="G1120" s="65">
        <f>74654*1000000</f>
        <v>74654000000</v>
      </c>
      <c r="H1120" s="65">
        <f>(42+211+555+185)*1000000</f>
        <v>993000000</v>
      </c>
      <c r="I1120" s="65">
        <f>(42+211+55+185+371+2251+1380+1141+1963)*1000000</f>
        <v>7599000000</v>
      </c>
      <c r="J1120" s="65">
        <f>50216*1000000</f>
        <v>50216000000</v>
      </c>
      <c r="K1120" s="65">
        <f>(8000+1025+11+50126)*1000000</f>
        <v>59162000000</v>
      </c>
      <c r="L1120" s="65">
        <f>(6055+80+2971+1004)*1000000</f>
        <v>10110000000</v>
      </c>
      <c r="M1120" s="65">
        <f>-1024*1000000</f>
        <v>-1024000000</v>
      </c>
      <c r="N1120" s="65">
        <f>-1009*1000000</f>
        <v>-1009000000</v>
      </c>
      <c r="O1120" s="66">
        <v>0.6</v>
      </c>
      <c r="P1120" s="67" t="s">
        <v>338</v>
      </c>
      <c r="Q1120" s="65">
        <v>2</v>
      </c>
      <c r="R1120" s="65">
        <v>4</v>
      </c>
      <c r="S1120" s="65">
        <v>3</v>
      </c>
      <c r="T1120" s="65">
        <f t="shared" si="106"/>
        <v>7</v>
      </c>
      <c r="U1120" s="68">
        <v>1</v>
      </c>
      <c r="V1120" s="65">
        <v>0</v>
      </c>
      <c r="W1120" s="65">
        <v>0</v>
      </c>
      <c r="X1120" s="65">
        <v>0</v>
      </c>
      <c r="Y1120" s="64"/>
    </row>
    <row r="1121" spans="1:25" s="54" customFormat="1" ht="15" customHeight="1" x14ac:dyDescent="0.3">
      <c r="A1121" s="63"/>
      <c r="B1121" s="64"/>
      <c r="C1121" s="76"/>
      <c r="D1121" s="64">
        <v>2022</v>
      </c>
      <c r="E1121" s="65">
        <f>4436*1000000</f>
        <v>4436000000</v>
      </c>
      <c r="F1121" s="65">
        <f>(4436+1586)*1000000</f>
        <v>6022000000</v>
      </c>
      <c r="G1121" s="65">
        <f>73360*1000000</f>
        <v>73360000000</v>
      </c>
      <c r="H1121" s="65">
        <f>(44+231+93+187)*1000000</f>
        <v>555000000</v>
      </c>
      <c r="I1121" s="65">
        <f>(44+231+93+187+348+2406+1385+994+1178)*1000000</f>
        <v>6866000000</v>
      </c>
      <c r="J1121" s="65">
        <f>36600*1000000</f>
        <v>36600000000</v>
      </c>
      <c r="K1121" s="65">
        <f>(8000+10255+11372-864+36600)*1000000</f>
        <v>65363000000</v>
      </c>
      <c r="L1121" s="65">
        <f>(5846+88+2351+2282)*1000000</f>
        <v>10567000000</v>
      </c>
      <c r="M1121" s="65">
        <f>-1407*1000000</f>
        <v>-1407000000</v>
      </c>
      <c r="N1121" s="65">
        <f>-1166*1000000</f>
        <v>-1166000000</v>
      </c>
      <c r="O1121" s="66">
        <v>0.6</v>
      </c>
      <c r="P1121" s="67" t="s">
        <v>338</v>
      </c>
      <c r="Q1121" s="65">
        <v>2</v>
      </c>
      <c r="R1121" s="65">
        <v>4</v>
      </c>
      <c r="S1121" s="65">
        <v>3</v>
      </c>
      <c r="T1121" s="65">
        <f t="shared" si="106"/>
        <v>7</v>
      </c>
      <c r="U1121" s="68">
        <v>1</v>
      </c>
      <c r="V1121" s="65">
        <v>0</v>
      </c>
      <c r="W1121" s="65">
        <v>0</v>
      </c>
      <c r="X1121" s="65">
        <v>0</v>
      </c>
      <c r="Y1121" s="64"/>
    </row>
    <row r="1122" spans="1:25" s="54" customFormat="1" ht="15" customHeight="1" x14ac:dyDescent="0.3">
      <c r="A1122" s="63"/>
      <c r="B1122" s="64"/>
      <c r="C1122" s="76"/>
      <c r="D1122" s="64">
        <v>2023</v>
      </c>
      <c r="E1122" s="65">
        <f>3645*1000000</f>
        <v>3645000000</v>
      </c>
      <c r="F1122" s="65">
        <f>(3645+1314)*1000000</f>
        <v>4959000000</v>
      </c>
      <c r="G1122" s="65">
        <f>74204*1000000</f>
        <v>74204000000</v>
      </c>
      <c r="H1122" s="65">
        <f>(22+338+63+313)*1000000</f>
        <v>736000000</v>
      </c>
      <c r="I1122" s="65">
        <f>(22+338+63+313+412+2153+2635+1224+1003)*1000000</f>
        <v>8163000000</v>
      </c>
      <c r="J1122" s="65">
        <f>35108*1000000</f>
        <v>35108000000</v>
      </c>
      <c r="K1122" s="65">
        <f>(8000+1025+11372-867+35108)*1000000</f>
        <v>54638000000</v>
      </c>
      <c r="L1122" s="65">
        <f>(5741+107+2785+1046)*1000000</f>
        <v>9679000000</v>
      </c>
      <c r="M1122" s="65">
        <f>-1932*1000000</f>
        <v>-1932000000</v>
      </c>
      <c r="N1122" s="65">
        <f>-1492*1000000</f>
        <v>-1492000000</v>
      </c>
      <c r="O1122" s="66">
        <v>0.6</v>
      </c>
      <c r="P1122" s="67" t="s">
        <v>338</v>
      </c>
      <c r="Q1122" s="65">
        <v>2</v>
      </c>
      <c r="R1122" s="65">
        <v>4</v>
      </c>
      <c r="S1122" s="65">
        <v>3</v>
      </c>
      <c r="T1122" s="65">
        <f t="shared" si="106"/>
        <v>7</v>
      </c>
      <c r="U1122" s="68">
        <v>1</v>
      </c>
      <c r="V1122" s="65">
        <v>0</v>
      </c>
      <c r="W1122" s="65">
        <v>0</v>
      </c>
      <c r="X1122" s="65">
        <v>0</v>
      </c>
      <c r="Y1122" s="64"/>
    </row>
    <row r="1123" spans="1:25" s="54" customFormat="1" ht="15" customHeight="1" x14ac:dyDescent="0.3">
      <c r="A1123" s="63"/>
      <c r="B1123" s="64"/>
      <c r="C1123" s="76"/>
      <c r="D1123" s="64">
        <v>2024</v>
      </c>
      <c r="E1123" s="65">
        <f>3585*1000000</f>
        <v>3585000000</v>
      </c>
      <c r="F1123" s="65">
        <f>(3585+55+1+2181)*1000000</f>
        <v>5822000000</v>
      </c>
      <c r="G1123" s="65">
        <f>67569*1000000</f>
        <v>67569000000</v>
      </c>
      <c r="H1123" s="65">
        <f>(59+45+19)*1000000</f>
        <v>123000000</v>
      </c>
      <c r="I1123" s="65">
        <f>(59+45+19+354+81+1267+55+793)*1000000</f>
        <v>2673000000</v>
      </c>
      <c r="J1123" s="65">
        <f>33255*1000000</f>
        <v>33255000000</v>
      </c>
      <c r="K1123" s="65">
        <f>(8000+1025+11372-1251+33255)*1000000</f>
        <v>52401000000</v>
      </c>
      <c r="L1123" s="65">
        <f>(3103+129+2391+1373)*1000000</f>
        <v>6996000000</v>
      </c>
      <c r="M1123" s="65">
        <f>-2855*1000000</f>
        <v>-2855000000</v>
      </c>
      <c r="N1123" s="65">
        <f>-1852*1000000</f>
        <v>-1852000000</v>
      </c>
      <c r="O1123" s="66">
        <v>0.6</v>
      </c>
      <c r="P1123" s="67" t="s">
        <v>338</v>
      </c>
      <c r="Q1123" s="65">
        <v>2</v>
      </c>
      <c r="R1123" s="65">
        <v>3</v>
      </c>
      <c r="S1123" s="65">
        <v>3</v>
      </c>
      <c r="T1123" s="65">
        <f t="shared" si="106"/>
        <v>6</v>
      </c>
      <c r="U1123" s="68">
        <v>1</v>
      </c>
      <c r="V1123" s="65">
        <f>3</f>
        <v>3</v>
      </c>
      <c r="W1123" s="65">
        <f>V1123</f>
        <v>3</v>
      </c>
      <c r="X1123" s="65">
        <f>3+2</f>
        <v>5</v>
      </c>
      <c r="Y1123" s="64"/>
    </row>
    <row r="1124" spans="1:25" s="54" customFormat="1" ht="15" customHeight="1" x14ac:dyDescent="0.3">
      <c r="A1124" s="63"/>
      <c r="B1124" s="64">
        <v>103</v>
      </c>
      <c r="C1124" s="55" t="s">
        <v>122</v>
      </c>
      <c r="D1124" s="64">
        <v>2014</v>
      </c>
      <c r="E1124" s="65">
        <v>0</v>
      </c>
      <c r="F1124" s="65">
        <v>0</v>
      </c>
      <c r="G1124" s="65">
        <v>0</v>
      </c>
      <c r="H1124" s="65">
        <v>0</v>
      </c>
      <c r="I1124" s="65">
        <v>0</v>
      </c>
      <c r="J1124" s="65">
        <v>0</v>
      </c>
      <c r="K1124" s="65">
        <v>0</v>
      </c>
      <c r="L1124" s="65">
        <f>31648*1000000</f>
        <v>31648000000</v>
      </c>
      <c r="M1124" s="65">
        <v>0</v>
      </c>
      <c r="N1124" s="65">
        <v>0</v>
      </c>
      <c r="O1124" s="65">
        <v>0</v>
      </c>
      <c r="P1124" s="65">
        <v>0</v>
      </c>
      <c r="Q1124" s="65">
        <v>0</v>
      </c>
      <c r="R1124" s="65">
        <v>0</v>
      </c>
      <c r="S1124" s="65">
        <v>0</v>
      </c>
      <c r="T1124" s="65">
        <v>0</v>
      </c>
      <c r="U1124" s="65">
        <v>0</v>
      </c>
      <c r="V1124" s="65">
        <v>0</v>
      </c>
      <c r="W1124" s="65">
        <v>0</v>
      </c>
      <c r="X1124" s="65">
        <v>0</v>
      </c>
      <c r="Y1124" s="64"/>
    </row>
    <row r="1125" spans="1:25" s="54" customFormat="1" ht="15" customHeight="1" x14ac:dyDescent="0.3">
      <c r="A1125" s="63"/>
      <c r="B1125" s="64"/>
      <c r="C1125" s="55"/>
      <c r="D1125" s="64">
        <v>2015</v>
      </c>
      <c r="E1125" s="65">
        <f>12417*1000000</f>
        <v>12417000000</v>
      </c>
      <c r="F1125" s="65">
        <f>(12417+22439+23473+133+83245)*1000000</f>
        <v>141707000000</v>
      </c>
      <c r="G1125" s="65">
        <f>261120*1000000</f>
        <v>261120000000</v>
      </c>
      <c r="H1125" s="74">
        <f>(138772-98861)*1000000</f>
        <v>39911000000</v>
      </c>
      <c r="I1125" s="65">
        <f>138772*1000000</f>
        <v>138772000000</v>
      </c>
      <c r="J1125" s="65">
        <f>29774*1000000</f>
        <v>29774000000</v>
      </c>
      <c r="K1125" s="65">
        <f>116417*1000000</f>
        <v>116417000000</v>
      </c>
      <c r="L1125" s="65">
        <f>29717*1000000</f>
        <v>29717000000</v>
      </c>
      <c r="M1125" s="65">
        <f>2354*1000000</f>
        <v>2354000000</v>
      </c>
      <c r="N1125" s="65">
        <f>3310*1000000</f>
        <v>3310000000</v>
      </c>
      <c r="O1125" s="66">
        <v>0.68979999999999997</v>
      </c>
      <c r="P1125" s="67" t="s">
        <v>283</v>
      </c>
      <c r="Q1125" s="65">
        <v>2</v>
      </c>
      <c r="R1125" s="65">
        <v>4</v>
      </c>
      <c r="S1125" s="65">
        <v>3</v>
      </c>
      <c r="T1125" s="65">
        <f>SUM(R1125:S1125)</f>
        <v>7</v>
      </c>
      <c r="U1125" s="68">
        <v>0</v>
      </c>
      <c r="V1125" s="65">
        <v>0</v>
      </c>
      <c r="W1125" s="65">
        <v>0</v>
      </c>
      <c r="X1125" s="65">
        <v>0</v>
      </c>
      <c r="Y1125" s="64"/>
    </row>
    <row r="1126" spans="1:25" s="54" customFormat="1" ht="15" customHeight="1" x14ac:dyDescent="0.3">
      <c r="A1126" s="63"/>
      <c r="B1126" s="64"/>
      <c r="C1126" s="55"/>
      <c r="D1126" s="64">
        <v>2016</v>
      </c>
      <c r="E1126" s="65">
        <f>10721*1000000</f>
        <v>10721000000</v>
      </c>
      <c r="F1126" s="65">
        <f>(10721+20406+8589+477+32795)*1000000</f>
        <v>72988000000</v>
      </c>
      <c r="G1126" s="65">
        <f>204210*1000000</f>
        <v>204210000000</v>
      </c>
      <c r="H1126" s="74">
        <f>(67978-48553)*1000000</f>
        <v>19425000000</v>
      </c>
      <c r="I1126" s="65">
        <f>67978*1000000</f>
        <v>67978000000</v>
      </c>
      <c r="J1126" s="65">
        <f>34014*1000000</f>
        <v>34014000000</v>
      </c>
      <c r="K1126" s="65">
        <f>128700*1000000</f>
        <v>128700000000</v>
      </c>
      <c r="L1126" s="65">
        <f>31015*1000000</f>
        <v>31015000000</v>
      </c>
      <c r="M1126" s="65">
        <f>4174*1000000</f>
        <v>4174000000</v>
      </c>
      <c r="N1126" s="65">
        <f>6274*1000000</f>
        <v>6274000000</v>
      </c>
      <c r="O1126" s="66">
        <v>0.63680000000000003</v>
      </c>
      <c r="P1126" s="67" t="s">
        <v>283</v>
      </c>
      <c r="Q1126" s="65">
        <v>2</v>
      </c>
      <c r="R1126" s="65">
        <v>4</v>
      </c>
      <c r="S1126" s="65">
        <v>3</v>
      </c>
      <c r="T1126" s="65">
        <f t="shared" ref="T1126:T1134" si="107">SUM(R1126:S1126)</f>
        <v>7</v>
      </c>
      <c r="U1126" s="68">
        <v>0</v>
      </c>
      <c r="V1126" s="65">
        <v>0</v>
      </c>
      <c r="W1126" s="65">
        <v>0</v>
      </c>
      <c r="X1126" s="65">
        <v>0</v>
      </c>
      <c r="Y1126" s="64"/>
    </row>
    <row r="1127" spans="1:25" s="54" customFormat="1" ht="15" customHeight="1" x14ac:dyDescent="0.3">
      <c r="A1127" s="63"/>
      <c r="B1127" s="64"/>
      <c r="C1127" s="55"/>
      <c r="D1127" s="64">
        <v>2017</v>
      </c>
      <c r="E1127" s="65">
        <f>4971*1000000</f>
        <v>4971000000</v>
      </c>
      <c r="F1127" s="65">
        <f>(4971+29936+14498+83+31842)*1000000</f>
        <v>81330000000</v>
      </c>
      <c r="G1127" s="65">
        <f>213492*1000000</f>
        <v>213492000000</v>
      </c>
      <c r="H1127" s="74">
        <f>(70561-50545)*1000000</f>
        <v>20016000000</v>
      </c>
      <c r="I1127" s="65">
        <f>70561*1000000</f>
        <v>70561000000</v>
      </c>
      <c r="J1127" s="65">
        <f>39064*1000000</f>
        <v>39064000000</v>
      </c>
      <c r="K1127" s="65">
        <f>133380*1000000</f>
        <v>133380000000</v>
      </c>
      <c r="L1127" s="65">
        <f>46665*1000000</f>
        <v>46665000000</v>
      </c>
      <c r="M1127" s="65">
        <f>5262*1000000</f>
        <v>5262000000</v>
      </c>
      <c r="N1127" s="65">
        <f>4681*1000000</f>
        <v>4681000000</v>
      </c>
      <c r="O1127" s="66">
        <v>0.63680000000000003</v>
      </c>
      <c r="P1127" s="67" t="s">
        <v>283</v>
      </c>
      <c r="Q1127" s="65">
        <v>1</v>
      </c>
      <c r="R1127" s="65">
        <v>3</v>
      </c>
      <c r="S1127" s="65">
        <v>2</v>
      </c>
      <c r="T1127" s="65">
        <f t="shared" si="107"/>
        <v>5</v>
      </c>
      <c r="U1127" s="68">
        <v>0</v>
      </c>
      <c r="V1127" s="65">
        <v>0</v>
      </c>
      <c r="W1127" s="65">
        <v>0</v>
      </c>
      <c r="X1127" s="65">
        <v>0</v>
      </c>
      <c r="Y1127" s="64"/>
    </row>
    <row r="1128" spans="1:25" s="54" customFormat="1" ht="15" customHeight="1" x14ac:dyDescent="0.3">
      <c r="A1128" s="63"/>
      <c r="B1128" s="64"/>
      <c r="C1128" s="55"/>
      <c r="D1128" s="64">
        <v>2018</v>
      </c>
      <c r="E1128" s="65">
        <f>9947*1000000</f>
        <v>9947000000</v>
      </c>
      <c r="F1128" s="65">
        <f>(9947+28641+14152+139+46570)*1000000</f>
        <v>99449000000</v>
      </c>
      <c r="G1128" s="65">
        <f>227819*1000000</f>
        <v>227819000000</v>
      </c>
      <c r="H1128" s="74">
        <f>(78253-61185)*1000000</f>
        <v>17068000000</v>
      </c>
      <c r="I1128" s="65">
        <f>78253*1000000</f>
        <v>78253000000</v>
      </c>
      <c r="J1128" s="65">
        <f>41953*1000000</f>
        <v>41953000000</v>
      </c>
      <c r="K1128" s="65">
        <f>137939*1000000</f>
        <v>137939000000</v>
      </c>
      <c r="L1128" s="65">
        <f>45931*1000000</f>
        <v>45931000000</v>
      </c>
      <c r="M1128" s="65">
        <f>3391*1000000</f>
        <v>3391000000</v>
      </c>
      <c r="N1128" s="65">
        <f>5562*1000000</f>
        <v>5562000000</v>
      </c>
      <c r="O1128" s="70">
        <v>0</v>
      </c>
      <c r="P1128" s="67">
        <v>0</v>
      </c>
      <c r="Q1128" s="65">
        <v>0</v>
      </c>
      <c r="R1128" s="65">
        <v>0</v>
      </c>
      <c r="S1128" s="65">
        <v>0</v>
      </c>
      <c r="T1128" s="65">
        <v>0</v>
      </c>
      <c r="U1128" s="75">
        <v>0</v>
      </c>
      <c r="V1128" s="65">
        <v>0</v>
      </c>
      <c r="W1128" s="65">
        <v>0</v>
      </c>
      <c r="X1128" s="65">
        <v>0</v>
      </c>
      <c r="Y1128" s="64"/>
    </row>
    <row r="1129" spans="1:25" s="54" customFormat="1" ht="15" customHeight="1" x14ac:dyDescent="0.3">
      <c r="A1129" s="63"/>
      <c r="B1129" s="64"/>
      <c r="C1129" s="55"/>
      <c r="D1129" s="64">
        <v>2019</v>
      </c>
      <c r="E1129" s="65">
        <f>23409*1000000</f>
        <v>23409000000</v>
      </c>
      <c r="F1129" s="65">
        <f>(29409+34331+5806+397+32606)*1000000</f>
        <v>102549000000</v>
      </c>
      <c r="G1129" s="65">
        <f>238823*1000000</f>
        <v>238823000000</v>
      </c>
      <c r="H1129" s="74">
        <f>(80937-62522)*1000000</f>
        <v>18415000000</v>
      </c>
      <c r="I1129" s="65">
        <f>80937*1000000</f>
        <v>80937000000</v>
      </c>
      <c r="J1129" s="65">
        <f>47355*1000000</f>
        <v>47355000000</v>
      </c>
      <c r="K1129" s="65">
        <f>114421*1000000</f>
        <v>114421000000</v>
      </c>
      <c r="L1129" s="65">
        <f>61354*1000000</f>
        <v>61354000000</v>
      </c>
      <c r="M1129" s="65">
        <f>5920*1000000</f>
        <v>5920000000</v>
      </c>
      <c r="N1129" s="65">
        <f>6482*1000000</f>
        <v>6482000000</v>
      </c>
      <c r="O1129" s="66">
        <v>0.63680000000000003</v>
      </c>
      <c r="P1129" s="67" t="s">
        <v>283</v>
      </c>
      <c r="Q1129" s="65">
        <v>2</v>
      </c>
      <c r="R1129" s="65">
        <v>3</v>
      </c>
      <c r="S1129" s="65">
        <v>3</v>
      </c>
      <c r="T1129" s="65">
        <f t="shared" si="107"/>
        <v>6</v>
      </c>
      <c r="U1129" s="68">
        <v>0</v>
      </c>
      <c r="V1129" s="65">
        <v>0</v>
      </c>
      <c r="W1129" s="65">
        <v>0</v>
      </c>
      <c r="X1129" s="65">
        <v>0</v>
      </c>
      <c r="Y1129" s="64"/>
    </row>
    <row r="1130" spans="1:25" s="54" customFormat="1" ht="15" customHeight="1" x14ac:dyDescent="0.3">
      <c r="A1130" s="63"/>
      <c r="B1130" s="64"/>
      <c r="C1130" s="55"/>
      <c r="D1130" s="64">
        <v>2020</v>
      </c>
      <c r="E1130" s="65">
        <f>64260*1000000</f>
        <v>64260000000</v>
      </c>
      <c r="F1130" s="65">
        <f>(64260+48754+7272+187+32564)*1000000</f>
        <v>153037000000</v>
      </c>
      <c r="G1130" s="65">
        <f>298910*1000000</f>
        <v>298910000000</v>
      </c>
      <c r="H1130" s="74">
        <f>(119908-85850)*1000000</f>
        <v>34058000000</v>
      </c>
      <c r="I1130" s="65">
        <f>119908*1000000</f>
        <v>119908000000</v>
      </c>
      <c r="J1130" s="65">
        <f>69606*1000000</f>
        <v>69606000000</v>
      </c>
      <c r="K1130" s="65">
        <f>179001*1000000</f>
        <v>179001000000</v>
      </c>
      <c r="L1130" s="65">
        <f>754994*1000000</f>
        <v>754994000000</v>
      </c>
      <c r="M1130" s="65">
        <f>21858*1000000</f>
        <v>21858000000</v>
      </c>
      <c r="N1130" s="65">
        <f>19752*1000000</f>
        <v>19752000000</v>
      </c>
      <c r="O1130" s="66">
        <v>0.63680000000000003</v>
      </c>
      <c r="P1130" s="67" t="s">
        <v>283</v>
      </c>
      <c r="Q1130" s="65">
        <v>2</v>
      </c>
      <c r="R1130" s="65">
        <v>3</v>
      </c>
      <c r="S1130" s="65">
        <v>3</v>
      </c>
      <c r="T1130" s="65">
        <f t="shared" si="107"/>
        <v>6</v>
      </c>
      <c r="U1130" s="68">
        <v>0</v>
      </c>
      <c r="V1130" s="65">
        <v>0</v>
      </c>
      <c r="W1130" s="65">
        <v>0</v>
      </c>
      <c r="X1130" s="65">
        <v>0</v>
      </c>
      <c r="Y1130" s="64"/>
    </row>
    <row r="1131" spans="1:25" s="54" customFormat="1" ht="15" customHeight="1" x14ac:dyDescent="0.3">
      <c r="A1131" s="63"/>
      <c r="B1131" s="64"/>
      <c r="C1131" s="55"/>
      <c r="D1131" s="64">
        <v>2021</v>
      </c>
      <c r="E1131" s="65">
        <f>30537*1000000</f>
        <v>30537000000</v>
      </c>
      <c r="F1131" s="65">
        <f>(30537+32965+6268+423+58679)*1000000</f>
        <v>128872000000</v>
      </c>
      <c r="G1131" s="65">
        <f>348144*1000000</f>
        <v>348144000000</v>
      </c>
      <c r="H1131" s="74">
        <f>(205149-158040)*1000000</f>
        <v>47109000000</v>
      </c>
      <c r="I1131" s="65">
        <f>H1131</f>
        <v>47109000000</v>
      </c>
      <c r="J1131" s="65">
        <f>46178*1000000</f>
        <v>46178000000</v>
      </c>
      <c r="K1131" s="65">
        <f>142995*1000000</f>
        <v>142995000000</v>
      </c>
      <c r="L1131" s="65">
        <f>791781*1000000</f>
        <v>791781000000</v>
      </c>
      <c r="M1131" s="65">
        <f>-21332*1000000</f>
        <v>-21332000000</v>
      </c>
      <c r="N1131" s="65">
        <f>-18953*1000000</f>
        <v>-18953000000</v>
      </c>
      <c r="O1131" s="66">
        <v>0.63680000000000003</v>
      </c>
      <c r="P1131" s="67" t="s">
        <v>283</v>
      </c>
      <c r="Q1131" s="65">
        <v>2</v>
      </c>
      <c r="R1131" s="65">
        <v>3</v>
      </c>
      <c r="S1131" s="65">
        <v>3</v>
      </c>
      <c r="T1131" s="65">
        <f t="shared" si="107"/>
        <v>6</v>
      </c>
      <c r="U1131" s="68">
        <v>0</v>
      </c>
      <c r="V1131" s="65">
        <v>0</v>
      </c>
      <c r="W1131" s="65">
        <v>0</v>
      </c>
      <c r="X1131" s="65">
        <v>0</v>
      </c>
      <c r="Y1131" s="64"/>
    </row>
    <row r="1132" spans="1:25" s="54" customFormat="1" ht="15" customHeight="1" x14ac:dyDescent="0.3">
      <c r="A1132" s="63"/>
      <c r="B1132" s="64"/>
      <c r="C1132" s="55"/>
      <c r="D1132" s="64">
        <v>2022</v>
      </c>
      <c r="E1132" s="65">
        <f>29622*1000000</f>
        <v>29622000000</v>
      </c>
      <c r="F1132" s="65">
        <f>(29622+34405+11292+534+40530)*1000000</f>
        <v>116383000000</v>
      </c>
      <c r="G1132" s="65">
        <f>362411*1000000</f>
        <v>362411000000</v>
      </c>
      <c r="H1132" s="74">
        <f>(208298-143086)*1000000</f>
        <v>65212000000</v>
      </c>
      <c r="I1132" s="65">
        <f>H1132</f>
        <v>65212000000</v>
      </c>
      <c r="J1132" s="65">
        <f>58394*1000000</f>
        <v>58394000000</v>
      </c>
      <c r="K1132" s="65">
        <f>154113*1000000</f>
        <v>154113000000</v>
      </c>
      <c r="L1132" s="65">
        <f>203056*1000000</f>
        <v>203056000000</v>
      </c>
      <c r="M1132" s="65">
        <f>12077*1000000</f>
        <v>12077000000</v>
      </c>
      <c r="N1132" s="65">
        <f>11119*1000000</f>
        <v>11119000000</v>
      </c>
      <c r="O1132" s="66">
        <v>0.63680000000000003</v>
      </c>
      <c r="P1132" s="67" t="s">
        <v>283</v>
      </c>
      <c r="Q1132" s="65">
        <v>2</v>
      </c>
      <c r="R1132" s="65">
        <v>3</v>
      </c>
      <c r="S1132" s="65">
        <v>3</v>
      </c>
      <c r="T1132" s="65">
        <f t="shared" si="107"/>
        <v>6</v>
      </c>
      <c r="U1132" s="68">
        <v>0</v>
      </c>
      <c r="V1132" s="65">
        <v>0</v>
      </c>
      <c r="W1132" s="65">
        <v>0</v>
      </c>
      <c r="X1132" s="65">
        <v>0</v>
      </c>
      <c r="Y1132" s="64"/>
    </row>
    <row r="1133" spans="1:25" s="54" customFormat="1" ht="15" customHeight="1" x14ac:dyDescent="0.3">
      <c r="A1133" s="63"/>
      <c r="B1133" s="64"/>
      <c r="C1133" s="55"/>
      <c r="D1133" s="64">
        <v>2023</v>
      </c>
      <c r="E1133" s="65">
        <f>17704*1000000</f>
        <v>17704000000</v>
      </c>
      <c r="F1133" s="65">
        <f>(17704+23756+8855+42939)*1000000</f>
        <v>93254000000</v>
      </c>
      <c r="G1133" s="65">
        <f>369134*1000000</f>
        <v>369134000000</v>
      </c>
      <c r="H1133" s="74">
        <f>51047*1000000</f>
        <v>51047000000</v>
      </c>
      <c r="I1133" s="65">
        <f>219718*1000000</f>
        <v>219718000000</v>
      </c>
      <c r="J1133" s="65">
        <f>59221*1000000</f>
        <v>59221000000</v>
      </c>
      <c r="K1133" s="65">
        <f>149416*1000000</f>
        <v>149416000000</v>
      </c>
      <c r="L1133" s="65">
        <f>439398*1000000</f>
        <v>439398000000</v>
      </c>
      <c r="M1133" s="65">
        <f>3859*1000000</f>
        <v>3859000000</v>
      </c>
      <c r="N1133" s="65">
        <f>-2255*1000000</f>
        <v>-2255000000</v>
      </c>
      <c r="O1133" s="66">
        <v>0.63680000000000003</v>
      </c>
      <c r="P1133" s="67" t="s">
        <v>283</v>
      </c>
      <c r="Q1133" s="65">
        <v>2</v>
      </c>
      <c r="R1133" s="65">
        <v>3</v>
      </c>
      <c r="S1133" s="65">
        <v>3</v>
      </c>
      <c r="T1133" s="65">
        <f t="shared" si="107"/>
        <v>6</v>
      </c>
      <c r="U1133" s="68">
        <v>0</v>
      </c>
      <c r="V1133" s="65">
        <v>0</v>
      </c>
      <c r="W1133" s="65">
        <v>0</v>
      </c>
      <c r="X1133" s="65">
        <v>0</v>
      </c>
      <c r="Y1133" s="64"/>
    </row>
    <row r="1134" spans="1:25" s="54" customFormat="1" ht="15" customHeight="1" x14ac:dyDescent="0.3">
      <c r="A1134" s="63"/>
      <c r="B1134" s="64"/>
      <c r="C1134" s="55"/>
      <c r="D1134" s="64">
        <v>2024</v>
      </c>
      <c r="E1134" s="65">
        <f>46047*1000000</f>
        <v>46047000000</v>
      </c>
      <c r="F1134" s="65">
        <f>(46047+58304+6902+75349+1171)*1000000</f>
        <v>187773000000</v>
      </c>
      <c r="G1134" s="65">
        <f>574269*1000000</f>
        <v>574269000000</v>
      </c>
      <c r="H1134" s="65">
        <f>80450*1000000</f>
        <v>80450000000</v>
      </c>
      <c r="I1134" s="65">
        <f>311972*1000000</f>
        <v>311972000000</v>
      </c>
      <c r="J1134" s="65">
        <f>66855*1000000</f>
        <v>66855000000</v>
      </c>
      <c r="K1134" s="65">
        <f>262297*1000000</f>
        <v>262297000000</v>
      </c>
      <c r="L1134" s="65">
        <f>226828*1000000</f>
        <v>226828000000</v>
      </c>
      <c r="M1134" s="65">
        <f>9796*1000000</f>
        <v>9796000000</v>
      </c>
      <c r="N1134" s="65">
        <f>10968*1000000</f>
        <v>10968000000</v>
      </c>
      <c r="O1134" s="66">
        <v>0.85</v>
      </c>
      <c r="P1134" s="67" t="s">
        <v>284</v>
      </c>
      <c r="Q1134" s="65">
        <v>2</v>
      </c>
      <c r="R1134" s="65">
        <v>4</v>
      </c>
      <c r="S1134" s="65">
        <v>4</v>
      </c>
      <c r="T1134" s="65">
        <f t="shared" si="107"/>
        <v>8</v>
      </c>
      <c r="U1134" s="68">
        <v>0</v>
      </c>
      <c r="V1134" s="65">
        <v>0</v>
      </c>
      <c r="W1134" s="65">
        <v>0</v>
      </c>
      <c r="X1134" s="65">
        <v>0</v>
      </c>
      <c r="Y1134" s="64"/>
    </row>
    <row r="1135" spans="1:25" s="54" customFormat="1" ht="15" customHeight="1" x14ac:dyDescent="0.3">
      <c r="A1135" s="63"/>
      <c r="B1135" s="64">
        <v>104</v>
      </c>
      <c r="C1135" s="55" t="s">
        <v>123</v>
      </c>
      <c r="D1135" s="64">
        <v>2014</v>
      </c>
      <c r="E1135" s="65">
        <v>0</v>
      </c>
      <c r="F1135" s="65">
        <v>0</v>
      </c>
      <c r="G1135" s="65">
        <v>0</v>
      </c>
      <c r="H1135" s="65">
        <v>0</v>
      </c>
      <c r="I1135" s="65">
        <v>0</v>
      </c>
      <c r="J1135" s="65">
        <v>0</v>
      </c>
      <c r="K1135" s="65">
        <v>0</v>
      </c>
      <c r="L1135" s="65">
        <f>195864*1000000</f>
        <v>195864000000</v>
      </c>
      <c r="M1135" s="65">
        <v>0</v>
      </c>
      <c r="N1135" s="65">
        <v>0</v>
      </c>
      <c r="O1135" s="65">
        <v>0</v>
      </c>
      <c r="P1135" s="65">
        <v>0</v>
      </c>
      <c r="Q1135" s="65">
        <v>0</v>
      </c>
      <c r="R1135" s="65">
        <v>0</v>
      </c>
      <c r="S1135" s="65">
        <v>0</v>
      </c>
      <c r="T1135" s="65">
        <v>0</v>
      </c>
      <c r="U1135" s="65">
        <v>0</v>
      </c>
      <c r="V1135" s="65">
        <v>0</v>
      </c>
      <c r="W1135" s="65">
        <v>0</v>
      </c>
      <c r="X1135" s="65">
        <v>0</v>
      </c>
      <c r="Y1135" s="64"/>
    </row>
    <row r="1136" spans="1:25" s="54" customFormat="1" ht="15" customHeight="1" x14ac:dyDescent="0.3">
      <c r="A1136" s="63"/>
      <c r="B1136" s="64"/>
      <c r="C1136" s="55"/>
      <c r="D1136" s="64">
        <v>2015</v>
      </c>
      <c r="E1136" s="65">
        <f>472*1000000</f>
        <v>472000000</v>
      </c>
      <c r="F1136" s="65">
        <f>(472+14005+518+1359+517)*1000000</f>
        <v>16871000000</v>
      </c>
      <c r="G1136" s="65">
        <f>580123*1000000</f>
        <v>580123000000</v>
      </c>
      <c r="H1136" s="65">
        <f>(440503-420971)*1000000</f>
        <v>19532000000</v>
      </c>
      <c r="I1136" s="65">
        <f>440503*1000000</f>
        <v>440503000000</v>
      </c>
      <c r="J1136" s="65">
        <f>39592*1000000</f>
        <v>39592000000</v>
      </c>
      <c r="K1136" s="65">
        <f>139620*1000000</f>
        <v>139620000000</v>
      </c>
      <c r="L1136" s="65">
        <f>235820*1000000</f>
        <v>235820000000</v>
      </c>
      <c r="M1136" s="65">
        <f>87755*1000000</f>
        <v>87755000000</v>
      </c>
      <c r="N1136" s="65">
        <f>75614*1000000</f>
        <v>75614000000</v>
      </c>
      <c r="O1136" s="66">
        <v>0.51</v>
      </c>
      <c r="P1136" s="67" t="s">
        <v>285</v>
      </c>
      <c r="Q1136" s="65">
        <v>2</v>
      </c>
      <c r="R1136" s="65">
        <v>4</v>
      </c>
      <c r="S1136" s="65">
        <v>3</v>
      </c>
      <c r="T1136" s="65">
        <f t="shared" ref="T1136:T1145" si="108">SUM(R1136:S1136)</f>
        <v>7</v>
      </c>
      <c r="U1136" s="68">
        <v>0</v>
      </c>
      <c r="V1136" s="65">
        <v>0</v>
      </c>
      <c r="W1136" s="65">
        <v>0</v>
      </c>
      <c r="X1136" s="65">
        <v>0</v>
      </c>
      <c r="Y1136" s="64"/>
    </row>
    <row r="1137" spans="1:25" s="54" customFormat="1" ht="15" customHeight="1" x14ac:dyDescent="0.3">
      <c r="A1137" s="63"/>
      <c r="B1137" s="64"/>
      <c r="C1137" s="55"/>
      <c r="D1137" s="64">
        <v>2016</v>
      </c>
      <c r="E1137" s="65">
        <f>153*1000000</f>
        <v>153000000</v>
      </c>
      <c r="F1137" s="65">
        <f>(153+18007+216+2672+75)*1000000</f>
        <v>21123000000</v>
      </c>
      <c r="G1137" s="65">
        <f>580699*1000000</f>
        <v>580699000000</v>
      </c>
      <c r="H1137" s="65">
        <f>(459993-416534)*1000000</f>
        <v>43459000000</v>
      </c>
      <c r="I1137" s="65">
        <f>459993*1000000</f>
        <v>459993000000</v>
      </c>
      <c r="J1137" s="65">
        <f>20719*1000000</f>
        <v>20719000000</v>
      </c>
      <c r="K1137" s="65">
        <f>120706*1000000</f>
        <v>120706000000</v>
      </c>
      <c r="L1137" s="65">
        <f>243122*1000000</f>
        <v>243122000000</v>
      </c>
      <c r="M1137" s="65">
        <f>81165*1000000</f>
        <v>81165000000</v>
      </c>
      <c r="N1137" s="65">
        <f>69254*1000000</f>
        <v>69254000000</v>
      </c>
      <c r="O1137" s="66">
        <v>0.51</v>
      </c>
      <c r="P1137" s="67" t="s">
        <v>285</v>
      </c>
      <c r="Q1137" s="65">
        <v>2</v>
      </c>
      <c r="R1137" s="65">
        <v>4</v>
      </c>
      <c r="S1137" s="65">
        <v>3</v>
      </c>
      <c r="T1137" s="65">
        <f t="shared" si="108"/>
        <v>7</v>
      </c>
      <c r="U1137" s="68">
        <v>0</v>
      </c>
      <c r="V1137" s="65">
        <v>0</v>
      </c>
      <c r="W1137" s="65">
        <v>0</v>
      </c>
      <c r="X1137" s="65">
        <v>0</v>
      </c>
      <c r="Y1137" s="64"/>
    </row>
    <row r="1138" spans="1:25" s="54" customFormat="1" ht="15" customHeight="1" x14ac:dyDescent="0.3">
      <c r="A1138" s="63"/>
      <c r="B1138" s="64"/>
      <c r="C1138" s="55"/>
      <c r="D1138" s="64">
        <v>2017</v>
      </c>
      <c r="E1138" s="65">
        <f>697*1000000</f>
        <v>697000000</v>
      </c>
      <c r="F1138" s="65">
        <f>(697+18760+26+23+3233)*1000000</f>
        <v>22739000000</v>
      </c>
      <c r="G1138" s="65">
        <f>582719*1000000</f>
        <v>582719000000</v>
      </c>
      <c r="H1138" s="65">
        <f>283014*1000000</f>
        <v>283014000000</v>
      </c>
      <c r="I1138" s="65">
        <f>442666*1000000</f>
        <v>442666000000</v>
      </c>
      <c r="J1138" s="65">
        <f>40127*1000000</f>
        <v>40127000000</v>
      </c>
      <c r="K1138" s="65">
        <f>140052*1000000</f>
        <v>140052000000</v>
      </c>
      <c r="L1138" s="65">
        <f>246408*1000000</f>
        <v>246408000000</v>
      </c>
      <c r="M1138" s="65">
        <f>111037*1000000</f>
        <v>111037000000</v>
      </c>
      <c r="N1138" s="65">
        <f>91177*1000000</f>
        <v>91177000000</v>
      </c>
      <c r="O1138" s="66">
        <v>0.51</v>
      </c>
      <c r="P1138" s="67" t="s">
        <v>285</v>
      </c>
      <c r="Q1138" s="65">
        <v>2</v>
      </c>
      <c r="R1138" s="65">
        <v>2</v>
      </c>
      <c r="S1138" s="65">
        <v>3</v>
      </c>
      <c r="T1138" s="65">
        <f t="shared" si="108"/>
        <v>5</v>
      </c>
      <c r="U1138" s="68">
        <v>0</v>
      </c>
      <c r="V1138" s="65">
        <v>0</v>
      </c>
      <c r="W1138" s="65">
        <v>0</v>
      </c>
      <c r="X1138" s="65">
        <v>0</v>
      </c>
      <c r="Y1138" s="64"/>
    </row>
    <row r="1139" spans="1:25" s="54" customFormat="1" ht="15" customHeight="1" x14ac:dyDescent="0.3">
      <c r="A1139" s="63"/>
      <c r="B1139" s="64"/>
      <c r="C1139" s="55"/>
      <c r="D1139" s="64">
        <v>2018</v>
      </c>
      <c r="E1139" s="65">
        <f>538*1000000</f>
        <v>538000000</v>
      </c>
      <c r="F1139" s="65">
        <f>(538+19871+5062+3)*1000000</f>
        <v>25474000000</v>
      </c>
      <c r="G1139" s="65">
        <f>584313*1000000</f>
        <v>584313000000</v>
      </c>
      <c r="H1139" s="65">
        <f>291073*1000000</f>
        <v>291073000000</v>
      </c>
      <c r="I1139" s="65">
        <f>448846*1000000</f>
        <v>448846000000</v>
      </c>
      <c r="J1139" s="65">
        <f>35346*1000000</f>
        <v>35346000000</v>
      </c>
      <c r="K1139" s="65">
        <f>135467*1000000</f>
        <v>135467000000</v>
      </c>
      <c r="L1139" s="65">
        <f>259888*1000000</f>
        <v>259888000000</v>
      </c>
      <c r="M1139" s="69">
        <f>92532*1000000</f>
        <v>92532000000</v>
      </c>
      <c r="N1139" s="65">
        <f>76205*1000000</f>
        <v>76205000000</v>
      </c>
      <c r="O1139" s="66">
        <v>0.51</v>
      </c>
      <c r="P1139" s="67" t="s">
        <v>285</v>
      </c>
      <c r="Q1139" s="65">
        <v>2</v>
      </c>
      <c r="R1139" s="65">
        <v>2</v>
      </c>
      <c r="S1139" s="65">
        <v>3</v>
      </c>
      <c r="T1139" s="65">
        <f t="shared" si="108"/>
        <v>5</v>
      </c>
      <c r="U1139" s="68">
        <v>0</v>
      </c>
      <c r="V1139" s="65">
        <v>0</v>
      </c>
      <c r="W1139" s="65">
        <v>0</v>
      </c>
      <c r="X1139" s="65">
        <v>0</v>
      </c>
      <c r="Y1139" s="64"/>
    </row>
    <row r="1140" spans="1:25" s="54" customFormat="1" ht="15" customHeight="1" x14ac:dyDescent="0.3">
      <c r="A1140" s="63"/>
      <c r="B1140" s="64"/>
      <c r="C1140" s="55"/>
      <c r="D1140" s="64">
        <v>2019</v>
      </c>
      <c r="E1140" s="65">
        <f>499*1000000</f>
        <v>499000000</v>
      </c>
      <c r="F1140" s="65">
        <f>(449+8863+4571+3)*1000000</f>
        <v>13886000000</v>
      </c>
      <c r="G1140" s="65">
        <f>492869*1000000</f>
        <v>492869000000</v>
      </c>
      <c r="H1140" s="65">
        <f>219056*1000000</f>
        <v>219056000000</v>
      </c>
      <c r="I1140" s="65">
        <f>346613*1000000</f>
        <v>346613000000</v>
      </c>
      <c r="J1140" s="65">
        <f>46262*1000000</f>
        <v>46262000000</v>
      </c>
      <c r="K1140" s="65">
        <f>146256*1000000</f>
        <v>146256000000</v>
      </c>
      <c r="L1140" s="65">
        <f>250678*1000000</f>
        <v>250678000000</v>
      </c>
      <c r="M1140" s="65">
        <f>94992*1000000</f>
        <v>94992000000</v>
      </c>
      <c r="N1140" s="65">
        <f>79859*1000000</f>
        <v>79859000000</v>
      </c>
      <c r="O1140" s="66">
        <v>0.51</v>
      </c>
      <c r="P1140" s="67" t="s">
        <v>285</v>
      </c>
      <c r="Q1140" s="65">
        <v>2</v>
      </c>
      <c r="R1140" s="65">
        <v>4</v>
      </c>
      <c r="S1140" s="65">
        <v>4</v>
      </c>
      <c r="T1140" s="65">
        <f t="shared" si="108"/>
        <v>8</v>
      </c>
      <c r="U1140" s="68">
        <v>0</v>
      </c>
      <c r="V1140" s="65">
        <v>0</v>
      </c>
      <c r="W1140" s="65">
        <v>0</v>
      </c>
      <c r="X1140" s="65">
        <v>0</v>
      </c>
      <c r="Y1140" s="64"/>
    </row>
    <row r="1141" spans="1:25" s="54" customFormat="1" ht="15" customHeight="1" x14ac:dyDescent="0.3">
      <c r="A1141" s="63"/>
      <c r="B1141" s="64"/>
      <c r="C1141" s="55"/>
      <c r="D1141" s="64">
        <v>2020</v>
      </c>
      <c r="E1141" s="65">
        <f>225*1000000</f>
        <v>225000000</v>
      </c>
      <c r="F1141" s="65">
        <f>(225+1180+3741+4)*1000000</f>
        <v>5150000000</v>
      </c>
      <c r="G1141" s="65">
        <f>330001*1000000</f>
        <v>330001000000</v>
      </c>
      <c r="H1141" s="65">
        <f>112999*1000000</f>
        <v>112999000000</v>
      </c>
      <c r="I1141" s="65">
        <f>190572*1000000</f>
        <v>190572000000</v>
      </c>
      <c r="J1141" s="65">
        <f>39436*1000000</f>
        <v>39436000000</v>
      </c>
      <c r="K1141" s="65">
        <f>139429*1000000</f>
        <v>139429000000</v>
      </c>
      <c r="L1141" s="65">
        <f>184417*1000000</f>
        <v>184417000000</v>
      </c>
      <c r="M1141" s="65">
        <f>113490*1000000</f>
        <v>113490000000</v>
      </c>
      <c r="N1141" s="65">
        <f>92901*1000000</f>
        <v>92901000000</v>
      </c>
      <c r="O1141" s="66">
        <v>0.51</v>
      </c>
      <c r="P1141" s="67" t="s">
        <v>285</v>
      </c>
      <c r="Q1141" s="65">
        <v>2</v>
      </c>
      <c r="R1141" s="65">
        <v>4</v>
      </c>
      <c r="S1141" s="65">
        <v>4</v>
      </c>
      <c r="T1141" s="65">
        <f t="shared" si="108"/>
        <v>8</v>
      </c>
      <c r="U1141" s="68">
        <v>0</v>
      </c>
      <c r="V1141" s="65">
        <v>0</v>
      </c>
      <c r="W1141" s="65">
        <v>0</v>
      </c>
      <c r="X1141" s="65">
        <v>0</v>
      </c>
      <c r="Y1141" s="64"/>
    </row>
    <row r="1142" spans="1:25" s="54" customFormat="1" ht="15" customHeight="1" x14ac:dyDescent="0.3">
      <c r="A1142" s="63"/>
      <c r="B1142" s="64"/>
      <c r="C1142" s="55"/>
      <c r="D1142" s="64">
        <v>2021</v>
      </c>
      <c r="E1142" s="65">
        <f>725*1000000</f>
        <v>725000000</v>
      </c>
      <c r="F1142" s="65">
        <f>(725+5034+2462+17)*1000000</f>
        <v>8238000000</v>
      </c>
      <c r="G1142" s="65">
        <f>321358*1000000</f>
        <v>321358000000</v>
      </c>
      <c r="H1142" s="65">
        <f>100656*1000000</f>
        <v>100656000000</v>
      </c>
      <c r="I1142" s="65">
        <f>162850*1000000</f>
        <v>162850000000</v>
      </c>
      <c r="J1142" s="65">
        <f>58550*1000000</f>
        <v>58550000000</v>
      </c>
      <c r="K1142" s="65">
        <f>158508*1000000</f>
        <v>158508000000</v>
      </c>
      <c r="L1142" s="65">
        <f>118413*1000000</f>
        <v>118413000000</v>
      </c>
      <c r="M1142" s="65">
        <f>53900*1000000</f>
        <v>53900000000</v>
      </c>
      <c r="N1142" s="65">
        <f>45634*1000000</f>
        <v>45634000000</v>
      </c>
      <c r="O1142" s="66">
        <v>0.51</v>
      </c>
      <c r="P1142" s="67" t="s">
        <v>285</v>
      </c>
      <c r="Q1142" s="65">
        <v>2</v>
      </c>
      <c r="R1142" s="65">
        <v>3</v>
      </c>
      <c r="S1142" s="65">
        <v>4</v>
      </c>
      <c r="T1142" s="65">
        <f t="shared" si="108"/>
        <v>7</v>
      </c>
      <c r="U1142" s="68">
        <v>0</v>
      </c>
      <c r="V1142" s="65">
        <v>0</v>
      </c>
      <c r="W1142" s="65">
        <v>0</v>
      </c>
      <c r="X1142" s="65">
        <v>0</v>
      </c>
      <c r="Y1142" s="64"/>
    </row>
    <row r="1143" spans="1:25" s="54" customFormat="1" ht="15" customHeight="1" x14ac:dyDescent="0.3">
      <c r="A1143" s="63"/>
      <c r="B1143" s="64"/>
      <c r="C1143" s="55"/>
      <c r="D1143" s="64">
        <v>2022</v>
      </c>
      <c r="E1143" s="65">
        <f>290*1000000</f>
        <v>290000000</v>
      </c>
      <c r="F1143" s="65">
        <f>(290+3510+2570+48)*1000000</f>
        <v>6418000000</v>
      </c>
      <c r="G1143" s="65">
        <f>390637*1000000</f>
        <v>390637000000</v>
      </c>
      <c r="H1143" s="65">
        <f>149594*1000000</f>
        <v>149594000000</v>
      </c>
      <c r="I1143" s="65">
        <f>227485*1000000</f>
        <v>227485000000</v>
      </c>
      <c r="J1143" s="65">
        <f>63085*1000000</f>
        <v>63085000000</v>
      </c>
      <c r="K1143" s="65">
        <f>163152*1000000</f>
        <v>163152000000</v>
      </c>
      <c r="L1143" s="65">
        <f>105315*1000000</f>
        <v>105315000000</v>
      </c>
      <c r="M1143" s="65">
        <f>38694*1000000</f>
        <v>38694000000</v>
      </c>
      <c r="N1143" s="65">
        <f>33533*1000000</f>
        <v>33533000000</v>
      </c>
      <c r="O1143" s="66">
        <v>0.51</v>
      </c>
      <c r="P1143" s="67" t="s">
        <v>285</v>
      </c>
      <c r="Q1143" s="65">
        <v>2</v>
      </c>
      <c r="R1143" s="65">
        <v>3</v>
      </c>
      <c r="S1143" s="65">
        <v>4</v>
      </c>
      <c r="T1143" s="65">
        <f t="shared" si="108"/>
        <v>7</v>
      </c>
      <c r="U1143" s="68">
        <v>0</v>
      </c>
      <c r="V1143" s="65">
        <v>0</v>
      </c>
      <c r="W1143" s="65">
        <v>0</v>
      </c>
      <c r="X1143" s="65">
        <v>0</v>
      </c>
      <c r="Y1143" s="64"/>
    </row>
    <row r="1144" spans="1:25" s="54" customFormat="1" ht="15" customHeight="1" x14ac:dyDescent="0.3">
      <c r="A1144" s="63"/>
      <c r="B1144" s="64"/>
      <c r="C1144" s="55"/>
      <c r="D1144" s="64">
        <v>2023</v>
      </c>
      <c r="E1144" s="65">
        <f>299*1000000</f>
        <v>299000000</v>
      </c>
      <c r="F1144" s="65">
        <f>(299+9566+2566+172)*1000000</f>
        <v>12603000000</v>
      </c>
      <c r="G1144" s="65">
        <f>495889*1000000</f>
        <v>495889000000</v>
      </c>
      <c r="H1144" s="65">
        <f>203228*1000000</f>
        <v>203228000000</v>
      </c>
      <c r="I1144" s="65">
        <f>304860*1000000</f>
        <v>304860000000</v>
      </c>
      <c r="J1144" s="65">
        <f>90849*1000000</f>
        <v>90849000000</v>
      </c>
      <c r="K1144" s="65">
        <f>191029*1000000</f>
        <v>191029000000</v>
      </c>
      <c r="L1144" s="65">
        <f>140448*1000000</f>
        <v>140448000000</v>
      </c>
      <c r="M1144" s="65">
        <f>46583*1000000</f>
        <v>46583000000</v>
      </c>
      <c r="N1144" s="65">
        <f>40962*1000000</f>
        <v>40962000000</v>
      </c>
      <c r="O1144" s="66">
        <v>0.51</v>
      </c>
      <c r="P1144" s="67" t="s">
        <v>285</v>
      </c>
      <c r="Q1144" s="65">
        <v>2</v>
      </c>
      <c r="R1144" s="65">
        <v>3</v>
      </c>
      <c r="S1144" s="65">
        <v>4</v>
      </c>
      <c r="T1144" s="65">
        <f t="shared" si="108"/>
        <v>7</v>
      </c>
      <c r="U1144" s="68">
        <v>0</v>
      </c>
      <c r="V1144" s="65">
        <v>0</v>
      </c>
      <c r="W1144" s="65">
        <v>0</v>
      </c>
      <c r="X1144" s="65">
        <v>0</v>
      </c>
      <c r="Y1144" s="64"/>
    </row>
    <row r="1145" spans="1:25" s="54" customFormat="1" ht="15" customHeight="1" x14ac:dyDescent="0.3">
      <c r="A1145" s="63"/>
      <c r="B1145" s="64"/>
      <c r="C1145" s="55"/>
      <c r="D1145" s="64">
        <v>2024</v>
      </c>
      <c r="E1145" s="65">
        <f>586*1000000</f>
        <v>586000000</v>
      </c>
      <c r="F1145" s="65">
        <f>(566+10581+3475+399)*1000000</f>
        <v>15021000000</v>
      </c>
      <c r="G1145" s="65">
        <f>637359*1000000</f>
        <v>637359000000</v>
      </c>
      <c r="H1145" s="65">
        <f>258144*1000000</f>
        <v>258144000000</v>
      </c>
      <c r="I1145" s="65">
        <f>388832*1000000</f>
        <v>388832000000</v>
      </c>
      <c r="J1145" s="65">
        <f>148368*1000000</f>
        <v>148368000000</v>
      </c>
      <c r="K1145" s="65">
        <f>248527*1000000</f>
        <v>248527000000</v>
      </c>
      <c r="L1145" s="65">
        <f>181654*1000000</f>
        <v>181654000000</v>
      </c>
      <c r="M1145" s="65">
        <f>65862*1000000</f>
        <v>65862000000</v>
      </c>
      <c r="N1145" s="65">
        <f>57498*1000000</f>
        <v>57498000000</v>
      </c>
      <c r="O1145" s="66">
        <v>0.51</v>
      </c>
      <c r="P1145" s="67" t="s">
        <v>285</v>
      </c>
      <c r="Q1145" s="65">
        <v>2</v>
      </c>
      <c r="R1145" s="65">
        <v>3</v>
      </c>
      <c r="S1145" s="65">
        <v>4</v>
      </c>
      <c r="T1145" s="65">
        <f t="shared" si="108"/>
        <v>7</v>
      </c>
      <c r="U1145" s="68">
        <v>0</v>
      </c>
      <c r="V1145" s="65">
        <v>0</v>
      </c>
      <c r="W1145" s="65">
        <v>0</v>
      </c>
      <c r="X1145" s="65">
        <v>0</v>
      </c>
      <c r="Y1145" s="64"/>
    </row>
    <row r="1146" spans="1:25" s="54" customFormat="1" ht="15" customHeight="1" x14ac:dyDescent="0.3">
      <c r="A1146" s="63"/>
      <c r="B1146" s="64">
        <v>105</v>
      </c>
      <c r="C1146" s="76" t="s">
        <v>135</v>
      </c>
      <c r="D1146" s="64">
        <v>2014</v>
      </c>
      <c r="E1146" s="65">
        <v>0</v>
      </c>
      <c r="F1146" s="65">
        <v>0</v>
      </c>
      <c r="G1146" s="65">
        <v>0</v>
      </c>
      <c r="H1146" s="65">
        <v>0</v>
      </c>
      <c r="I1146" s="65">
        <v>0</v>
      </c>
      <c r="J1146" s="65">
        <v>0</v>
      </c>
      <c r="K1146" s="65">
        <v>0</v>
      </c>
      <c r="L1146" s="65">
        <v>0</v>
      </c>
      <c r="M1146" s="65">
        <v>0</v>
      </c>
      <c r="N1146" s="65">
        <v>0</v>
      </c>
      <c r="O1146" s="65">
        <v>0</v>
      </c>
      <c r="P1146" s="65">
        <v>0</v>
      </c>
      <c r="Q1146" s="65">
        <v>0</v>
      </c>
      <c r="R1146" s="65">
        <v>0</v>
      </c>
      <c r="S1146" s="65">
        <v>0</v>
      </c>
      <c r="T1146" s="65">
        <v>0</v>
      </c>
      <c r="U1146" s="65">
        <v>0</v>
      </c>
      <c r="V1146" s="65">
        <v>0</v>
      </c>
      <c r="W1146" s="65">
        <v>0</v>
      </c>
      <c r="X1146" s="65">
        <v>0</v>
      </c>
      <c r="Y1146" s="64"/>
    </row>
    <row r="1147" spans="1:25" s="54" customFormat="1" ht="15" customHeight="1" x14ac:dyDescent="0.3">
      <c r="A1147" s="63"/>
      <c r="B1147" s="64"/>
      <c r="C1147" s="76"/>
      <c r="D1147" s="64">
        <v>2015</v>
      </c>
      <c r="E1147" s="65">
        <v>0</v>
      </c>
      <c r="F1147" s="65">
        <v>0</v>
      </c>
      <c r="G1147" s="65">
        <v>0</v>
      </c>
      <c r="H1147" s="65">
        <v>0</v>
      </c>
      <c r="I1147" s="65">
        <v>0</v>
      </c>
      <c r="J1147" s="65">
        <v>0</v>
      </c>
      <c r="K1147" s="65">
        <v>0</v>
      </c>
      <c r="L1147" s="65">
        <v>0</v>
      </c>
      <c r="M1147" s="65">
        <v>0</v>
      </c>
      <c r="N1147" s="65">
        <v>0</v>
      </c>
      <c r="O1147" s="65">
        <v>0</v>
      </c>
      <c r="P1147" s="65">
        <v>0</v>
      </c>
      <c r="Q1147" s="65">
        <v>0</v>
      </c>
      <c r="R1147" s="65">
        <v>0</v>
      </c>
      <c r="S1147" s="65">
        <v>0</v>
      </c>
      <c r="T1147" s="65">
        <v>0</v>
      </c>
      <c r="U1147" s="65">
        <v>0</v>
      </c>
      <c r="V1147" s="65">
        <v>0</v>
      </c>
      <c r="W1147" s="65">
        <v>0</v>
      </c>
      <c r="X1147" s="65">
        <v>0</v>
      </c>
      <c r="Y1147" s="64"/>
    </row>
    <row r="1148" spans="1:25" s="54" customFormat="1" ht="15" customHeight="1" x14ac:dyDescent="0.3">
      <c r="A1148" s="63"/>
      <c r="B1148" s="64"/>
      <c r="C1148" s="76"/>
      <c r="D1148" s="64">
        <v>2016</v>
      </c>
      <c r="E1148" s="65">
        <f>5384*1000000</f>
        <v>5384000000</v>
      </c>
      <c r="F1148" s="65">
        <f>(5384+4830+2114+12871)*1000000</f>
        <v>25199000000</v>
      </c>
      <c r="G1148" s="65">
        <f>133494*1000000</f>
        <v>133494000000</v>
      </c>
      <c r="H1148" s="65">
        <f>(1126+1690+2458+123+4000)*1000000</f>
        <v>9397000000</v>
      </c>
      <c r="I1148" s="65">
        <f>(1126+1690+10838+13521+2844+33692+2458+123+4000)*1000000</f>
        <v>70292000000</v>
      </c>
      <c r="J1148" s="65">
        <f>-20784*1000000</f>
        <v>-20784000000</v>
      </c>
      <c r="K1148" s="65">
        <f>(50000-20784)*1000000</f>
        <v>29216000000</v>
      </c>
      <c r="L1148" s="65">
        <f>55701*1000000</f>
        <v>55701000000</v>
      </c>
      <c r="M1148" s="65">
        <f>-26159*1000000</f>
        <v>-26159000000</v>
      </c>
      <c r="N1148" s="65">
        <f>-29418*1000000</f>
        <v>-29418000000</v>
      </c>
      <c r="O1148" s="65">
        <v>0</v>
      </c>
      <c r="P1148" s="65">
        <v>0</v>
      </c>
      <c r="Q1148" s="65">
        <v>0</v>
      </c>
      <c r="R1148" s="65">
        <v>0</v>
      </c>
      <c r="S1148" s="65">
        <v>0</v>
      </c>
      <c r="T1148" s="65">
        <v>0</v>
      </c>
      <c r="U1148" s="65">
        <v>0</v>
      </c>
      <c r="V1148" s="65">
        <v>0</v>
      </c>
      <c r="W1148" s="65">
        <v>0</v>
      </c>
      <c r="X1148" s="65">
        <v>0</v>
      </c>
      <c r="Y1148" s="64"/>
    </row>
    <row r="1149" spans="1:25" s="54" customFormat="1" ht="15" customHeight="1" x14ac:dyDescent="0.3">
      <c r="A1149" s="63"/>
      <c r="B1149" s="64"/>
      <c r="C1149" s="76"/>
      <c r="D1149" s="64">
        <v>2017</v>
      </c>
      <c r="E1149" s="65">
        <f>1839*1000000</f>
        <v>1839000000</v>
      </c>
      <c r="F1149" s="65">
        <f>(1839+940+1938+4081)*1000000</f>
        <v>8798000000</v>
      </c>
      <c r="G1149" s="65">
        <f>81636*1000000</f>
        <v>81636000000</v>
      </c>
      <c r="H1149" s="65">
        <f>(1118+1712+1975+2598)*1000000</f>
        <v>7403000000</v>
      </c>
      <c r="I1149" s="65">
        <f>(1118+1712+10629+7306+4133+670+14568+1975+2598)*1000000</f>
        <v>44709000000</v>
      </c>
      <c r="J1149" s="65">
        <f>-39026*1000000</f>
        <v>-39026000000</v>
      </c>
      <c r="K1149" s="65">
        <f>(50000+1-39026)*1000000</f>
        <v>10975000000</v>
      </c>
      <c r="L1149" s="65">
        <f>28499*1000000</f>
        <v>28499000000</v>
      </c>
      <c r="M1149" s="65">
        <f>-2549*1000000</f>
        <v>-2549000000</v>
      </c>
      <c r="N1149" s="65">
        <f>-4168*1000000</f>
        <v>-4168000000</v>
      </c>
      <c r="O1149" s="66">
        <v>0.95</v>
      </c>
      <c r="P1149" s="67" t="s">
        <v>337</v>
      </c>
      <c r="Q1149" s="65">
        <v>0</v>
      </c>
      <c r="R1149" s="65">
        <v>1</v>
      </c>
      <c r="S1149" s="65">
        <v>1</v>
      </c>
      <c r="T1149" s="65">
        <f>SUM(R1149:S1149)</f>
        <v>2</v>
      </c>
      <c r="U1149" s="68">
        <v>0</v>
      </c>
      <c r="V1149" s="65">
        <v>0</v>
      </c>
      <c r="W1149" s="65">
        <v>0</v>
      </c>
      <c r="X1149" s="65">
        <v>0</v>
      </c>
      <c r="Y1149" s="64"/>
    </row>
    <row r="1150" spans="1:25" s="54" customFormat="1" ht="15" customHeight="1" x14ac:dyDescent="0.3">
      <c r="A1150" s="63"/>
      <c r="B1150" s="64"/>
      <c r="C1150" s="76"/>
      <c r="D1150" s="64">
        <v>2018</v>
      </c>
      <c r="E1150" s="65">
        <f>1468*1000000</f>
        <v>1468000000</v>
      </c>
      <c r="F1150" s="65">
        <f>(1468+894+1491+3368)*1000000</f>
        <v>7221000000</v>
      </c>
      <c r="G1150" s="65">
        <f>130776*1000000</f>
        <v>130776000000</v>
      </c>
      <c r="H1150" s="65">
        <f>(160+1968+19+1935)*1000000</f>
        <v>4082000000</v>
      </c>
      <c r="I1150" s="65">
        <f>41119*1000000</f>
        <v>41119000000</v>
      </c>
      <c r="J1150" s="65">
        <f>-37582*1000000</f>
        <v>-37582000000</v>
      </c>
      <c r="K1150" s="65">
        <f>62614*1000000</f>
        <v>62614000000</v>
      </c>
      <c r="L1150" s="65">
        <f>11549*1000000</f>
        <v>11549000000</v>
      </c>
      <c r="M1150" s="65">
        <f>(612*1000000)</f>
        <v>612000000</v>
      </c>
      <c r="N1150" s="65">
        <f>1444*1000000</f>
        <v>1444000000</v>
      </c>
      <c r="O1150" s="66">
        <v>0.95</v>
      </c>
      <c r="P1150" s="67" t="s">
        <v>337</v>
      </c>
      <c r="Q1150" s="65">
        <v>2</v>
      </c>
      <c r="R1150" s="65">
        <v>3</v>
      </c>
      <c r="S1150" s="65">
        <v>2</v>
      </c>
      <c r="T1150" s="65">
        <f t="shared" ref="T1150:T1156" si="109">SUM(R1150:S1150)</f>
        <v>5</v>
      </c>
      <c r="U1150" s="68">
        <v>0</v>
      </c>
      <c r="V1150" s="65">
        <v>0</v>
      </c>
      <c r="W1150" s="65">
        <v>0</v>
      </c>
      <c r="X1150" s="65">
        <v>0</v>
      </c>
      <c r="Y1150" s="64"/>
    </row>
    <row r="1151" spans="1:25" s="54" customFormat="1" ht="15" customHeight="1" x14ac:dyDescent="0.3">
      <c r="A1151" s="63"/>
      <c r="B1151" s="64"/>
      <c r="C1151" s="76"/>
      <c r="D1151" s="64">
        <v>2019</v>
      </c>
      <c r="E1151" s="65">
        <f>2439*1000000</f>
        <v>2439000000</v>
      </c>
      <c r="F1151" s="65">
        <f>(2439+7304+3038+5533)*1000000</f>
        <v>18314000000</v>
      </c>
      <c r="G1151" s="65">
        <f>158605*1000000</f>
        <v>158605000000</v>
      </c>
      <c r="H1151" s="65">
        <f>(32+4761+47+14095)*1000000</f>
        <v>18935000000</v>
      </c>
      <c r="I1151" s="65">
        <f>57485*1000000</f>
        <v>57485000000</v>
      </c>
      <c r="J1151" s="65">
        <f>-36527*1000000</f>
        <v>-36527000000</v>
      </c>
      <c r="K1151" s="65">
        <f>(100000+2048-36527)*1000000</f>
        <v>65521000000</v>
      </c>
      <c r="L1151" s="65">
        <f>22581*1000000</f>
        <v>22581000000</v>
      </c>
      <c r="M1151" s="65">
        <f>607*1000000</f>
        <v>607000000</v>
      </c>
      <c r="N1151" s="65">
        <f>1055*1000000</f>
        <v>1055000000</v>
      </c>
      <c r="O1151" s="66">
        <v>0.95</v>
      </c>
      <c r="P1151" s="67" t="s">
        <v>337</v>
      </c>
      <c r="Q1151" s="65">
        <v>2</v>
      </c>
      <c r="R1151" s="65">
        <v>3</v>
      </c>
      <c r="S1151" s="65">
        <v>3</v>
      </c>
      <c r="T1151" s="65">
        <f t="shared" si="109"/>
        <v>6</v>
      </c>
      <c r="U1151" s="68">
        <v>2.5000000000000001E-2</v>
      </c>
      <c r="V1151" s="65">
        <v>0</v>
      </c>
      <c r="W1151" s="65">
        <v>0</v>
      </c>
      <c r="X1151" s="65">
        <v>0</v>
      </c>
      <c r="Y1151" s="64"/>
    </row>
    <row r="1152" spans="1:25" s="54" customFormat="1" ht="15" customHeight="1" x14ac:dyDescent="0.3">
      <c r="A1152" s="63"/>
      <c r="B1152" s="64"/>
      <c r="C1152" s="76"/>
      <c r="D1152" s="64">
        <v>2020</v>
      </c>
      <c r="E1152" s="65">
        <f>3260*1000000</f>
        <v>3260000000</v>
      </c>
      <c r="F1152" s="65">
        <f>(3260+18348+1653+14459)*1000000</f>
        <v>37720000000</v>
      </c>
      <c r="G1152" s="65">
        <f>189052*1000000</f>
        <v>189052000000</v>
      </c>
      <c r="H1152" s="65">
        <f>(1454+6311+66+12724)*1000000</f>
        <v>20555000000</v>
      </c>
      <c r="I1152" s="65">
        <f>69115*1000000</f>
        <v>69115000000</v>
      </c>
      <c r="J1152" s="65">
        <f>-32917*1000000</f>
        <v>-32917000000</v>
      </c>
      <c r="K1152" s="65">
        <f>(100000+1664-32917)*1000000</f>
        <v>68747000000</v>
      </c>
      <c r="L1152" s="65">
        <f>31534*1000000</f>
        <v>31534000000</v>
      </c>
      <c r="M1152" s="65">
        <f>4297*1000000</f>
        <v>4297000000</v>
      </c>
      <c r="N1152" s="65">
        <f>3485*1000000</f>
        <v>3485000000</v>
      </c>
      <c r="O1152" s="66">
        <v>0.95</v>
      </c>
      <c r="P1152" s="67" t="s">
        <v>337</v>
      </c>
      <c r="Q1152" s="65">
        <v>2</v>
      </c>
      <c r="R1152" s="65">
        <v>3</v>
      </c>
      <c r="S1152" s="65">
        <v>4</v>
      </c>
      <c r="T1152" s="65">
        <f t="shared" si="109"/>
        <v>7</v>
      </c>
      <c r="U1152" s="68">
        <v>2.5000000000000001E-2</v>
      </c>
      <c r="V1152" s="65">
        <v>0</v>
      </c>
      <c r="W1152" s="65">
        <v>0</v>
      </c>
      <c r="X1152" s="65">
        <v>0</v>
      </c>
      <c r="Y1152" s="64"/>
    </row>
    <row r="1153" spans="1:25" s="54" customFormat="1" ht="15" customHeight="1" x14ac:dyDescent="0.3">
      <c r="A1153" s="63"/>
      <c r="B1153" s="64"/>
      <c r="C1153" s="76"/>
      <c r="D1153" s="64">
        <v>2021</v>
      </c>
      <c r="E1153" s="65">
        <f>1969*1000000</f>
        <v>1969000000</v>
      </c>
      <c r="F1153" s="65">
        <f>(1969+23280+11990+34181)*1000000</f>
        <v>71420000000</v>
      </c>
      <c r="G1153" s="65">
        <f>214266*1000000</f>
        <v>214266000000</v>
      </c>
      <c r="H1153" s="65">
        <f>(1295+13185+81+10668)*1000000</f>
        <v>25229000000</v>
      </c>
      <c r="I1153" s="65">
        <f>103695*1000000</f>
        <v>103695000000</v>
      </c>
      <c r="J1153" s="65">
        <f>-27666*1000000</f>
        <v>-27666000000</v>
      </c>
      <c r="K1153" s="65">
        <f>(100000-1737-27666)*1000000</f>
        <v>70597000000</v>
      </c>
      <c r="L1153" s="65">
        <f>52735*1000000</f>
        <v>52735000000</v>
      </c>
      <c r="M1153" s="65">
        <f>2620*1000000</f>
        <v>2620000000</v>
      </c>
      <c r="N1153" s="65">
        <f>2610*1000000</f>
        <v>2610000000</v>
      </c>
      <c r="O1153" s="66">
        <v>0.95</v>
      </c>
      <c r="P1153" s="67" t="s">
        <v>337</v>
      </c>
      <c r="Q1153" s="65">
        <v>2</v>
      </c>
      <c r="R1153" s="65">
        <v>3</v>
      </c>
      <c r="S1153" s="65">
        <v>3</v>
      </c>
      <c r="T1153" s="65">
        <f t="shared" si="109"/>
        <v>6</v>
      </c>
      <c r="U1153" s="68">
        <v>2.5000000000000001E-2</v>
      </c>
      <c r="V1153" s="65">
        <v>0</v>
      </c>
      <c r="W1153" s="65">
        <v>0</v>
      </c>
      <c r="X1153" s="65">
        <v>0</v>
      </c>
      <c r="Y1153" s="64"/>
    </row>
    <row r="1154" spans="1:25" s="54" customFormat="1" ht="15" customHeight="1" x14ac:dyDescent="0.3">
      <c r="A1154" s="63"/>
      <c r="B1154" s="64"/>
      <c r="C1154" s="76"/>
      <c r="D1154" s="64">
        <v>2022</v>
      </c>
      <c r="E1154" s="65">
        <f>6204*1000000</f>
        <v>6204000000</v>
      </c>
      <c r="F1154" s="65">
        <f>(6204+23881+7626+36910)*1000000</f>
        <v>74621000000</v>
      </c>
      <c r="G1154" s="65">
        <f>294328*1000000</f>
        <v>294328000000</v>
      </c>
      <c r="H1154" s="65">
        <f>(1016+8651+2682+17079)*1000000</f>
        <v>29428000000</v>
      </c>
      <c r="I1154" s="65">
        <f>184450*1000000</f>
        <v>184450000000</v>
      </c>
      <c r="J1154" s="65">
        <f>-18210*1000000</f>
        <v>-18210000000</v>
      </c>
      <c r="K1154" s="65">
        <f>(100000-3761-18210)*1000000</f>
        <v>78029000000</v>
      </c>
      <c r="L1154" s="65">
        <f>86671*1000000</f>
        <v>86671000000</v>
      </c>
      <c r="M1154" s="65">
        <f>10538*1000000</f>
        <v>10538000000</v>
      </c>
      <c r="N1154" s="65">
        <f>8854*1000000</f>
        <v>8854000000</v>
      </c>
      <c r="O1154" s="66">
        <v>0.95</v>
      </c>
      <c r="P1154" s="67" t="s">
        <v>337</v>
      </c>
      <c r="Q1154" s="65">
        <v>2</v>
      </c>
      <c r="R1154" s="65">
        <v>3</v>
      </c>
      <c r="S1154" s="65">
        <v>3</v>
      </c>
      <c r="T1154" s="65">
        <f t="shared" si="109"/>
        <v>6</v>
      </c>
      <c r="U1154" s="68">
        <v>2.5000000000000001E-2</v>
      </c>
      <c r="V1154" s="65">
        <v>0</v>
      </c>
      <c r="W1154" s="65">
        <v>0</v>
      </c>
      <c r="X1154" s="65">
        <v>0</v>
      </c>
      <c r="Y1154" s="64"/>
    </row>
    <row r="1155" spans="1:25" s="54" customFormat="1" ht="15" customHeight="1" x14ac:dyDescent="0.3">
      <c r="A1155" s="63"/>
      <c r="B1155" s="64"/>
      <c r="C1155" s="76"/>
      <c r="D1155" s="64">
        <v>2023</v>
      </c>
      <c r="E1155" s="65">
        <f>5027*1000000</f>
        <v>5027000000</v>
      </c>
      <c r="F1155" s="65">
        <f>(5027+12526+20120+47162)*1000000</f>
        <v>84835000000</v>
      </c>
      <c r="G1155" s="65">
        <f>360413*1000000</f>
        <v>360413000000</v>
      </c>
      <c r="H1155" s="65">
        <f>(6528+8426+1888+13952)*1000000</f>
        <v>30794000000</v>
      </c>
      <c r="I1155" s="65">
        <f>258818*1000000</f>
        <v>258818000000</v>
      </c>
      <c r="J1155" s="65">
        <f>-11184*1000000</f>
        <v>-11184000000</v>
      </c>
      <c r="K1155" s="65">
        <f>(100000+1092-11184)*1000000</f>
        <v>89908000000</v>
      </c>
      <c r="L1155" s="65">
        <f>94953*1000000</f>
        <v>94953000000</v>
      </c>
      <c r="M1155" s="65">
        <f>14375*1000000</f>
        <v>14375000000</v>
      </c>
      <c r="N1155" s="65">
        <f>10394*1000000</f>
        <v>10394000000</v>
      </c>
      <c r="O1155" s="66">
        <v>0.95</v>
      </c>
      <c r="P1155" s="67" t="s">
        <v>337</v>
      </c>
      <c r="Q1155" s="65">
        <v>2</v>
      </c>
      <c r="R1155" s="65">
        <v>3</v>
      </c>
      <c r="S1155" s="65">
        <v>3</v>
      </c>
      <c r="T1155" s="65">
        <f t="shared" si="109"/>
        <v>6</v>
      </c>
      <c r="U1155" s="68">
        <v>2.5000000000000001E-2</v>
      </c>
      <c r="V1155" s="65">
        <v>0</v>
      </c>
      <c r="W1155" s="65">
        <v>0</v>
      </c>
      <c r="X1155" s="65">
        <v>0</v>
      </c>
      <c r="Y1155" s="64"/>
    </row>
    <row r="1156" spans="1:25" s="54" customFormat="1" ht="15" customHeight="1" x14ac:dyDescent="0.3">
      <c r="A1156" s="63"/>
      <c r="B1156" s="64"/>
      <c r="C1156" s="76"/>
      <c r="D1156" s="64">
        <v>2024</v>
      </c>
      <c r="E1156" s="65">
        <f>4899*1000000</f>
        <v>4899000000</v>
      </c>
      <c r="F1156" s="65">
        <f>(4899+13266+12160+28892)*1000000</f>
        <v>59217000000</v>
      </c>
      <c r="G1156" s="65">
        <f>365145*1000000</f>
        <v>365145000000</v>
      </c>
      <c r="H1156" s="65">
        <f>(11975+3385+448+10142)*1000000</f>
        <v>25950000000</v>
      </c>
      <c r="I1156" s="65">
        <f>230991*1000000</f>
        <v>230991000000</v>
      </c>
      <c r="J1156" s="65">
        <f>-7063*1000000</f>
        <v>-7063000000</v>
      </c>
      <c r="K1156" s="65">
        <f>(100000+3645-7063)*1000000</f>
        <v>96582000000</v>
      </c>
      <c r="L1156" s="65">
        <f>91172*1000000</f>
        <v>91172000000</v>
      </c>
      <c r="M1156" s="65">
        <f>5552*1000000</f>
        <v>5552000000</v>
      </c>
      <c r="N1156" s="65">
        <f>4121*1000000</f>
        <v>4121000000</v>
      </c>
      <c r="O1156" s="66">
        <v>0.95</v>
      </c>
      <c r="P1156" s="67" t="s">
        <v>337</v>
      </c>
      <c r="Q1156" s="65">
        <v>2</v>
      </c>
      <c r="R1156" s="65">
        <v>3</v>
      </c>
      <c r="S1156" s="65">
        <v>3</v>
      </c>
      <c r="T1156" s="65">
        <f t="shared" si="109"/>
        <v>6</v>
      </c>
      <c r="U1156" s="68">
        <v>9.5200000000000007E-2</v>
      </c>
      <c r="V1156" s="65">
        <v>0</v>
      </c>
      <c r="W1156" s="65">
        <v>0</v>
      </c>
      <c r="X1156" s="65">
        <v>0</v>
      </c>
      <c r="Y1156" s="64"/>
    </row>
    <row r="1157" spans="1:25" s="54" customFormat="1" ht="15" customHeight="1" x14ac:dyDescent="0.3">
      <c r="A1157" s="63"/>
      <c r="B1157" s="64">
        <v>106</v>
      </c>
      <c r="C1157" s="55" t="s">
        <v>124</v>
      </c>
      <c r="D1157" s="64">
        <v>2014</v>
      </c>
      <c r="E1157" s="65">
        <v>0</v>
      </c>
      <c r="F1157" s="65">
        <v>0</v>
      </c>
      <c r="G1157" s="65">
        <v>0</v>
      </c>
      <c r="H1157" s="65">
        <v>0</v>
      </c>
      <c r="I1157" s="65">
        <v>0</v>
      </c>
      <c r="J1157" s="65">
        <v>0</v>
      </c>
      <c r="K1157" s="65">
        <v>0</v>
      </c>
      <c r="L1157" s="65">
        <f>471337*1000000</f>
        <v>471337000000</v>
      </c>
      <c r="M1157" s="65">
        <v>0</v>
      </c>
      <c r="N1157" s="65">
        <v>0</v>
      </c>
      <c r="O1157" s="65">
        <v>0</v>
      </c>
      <c r="P1157" s="65">
        <v>0</v>
      </c>
      <c r="Q1157" s="65">
        <v>0</v>
      </c>
      <c r="R1157" s="65">
        <v>0</v>
      </c>
      <c r="S1157" s="65">
        <v>0</v>
      </c>
      <c r="T1157" s="65">
        <v>0</v>
      </c>
      <c r="U1157" s="65">
        <v>0</v>
      </c>
      <c r="V1157" s="65">
        <v>0</v>
      </c>
      <c r="W1157" s="65">
        <v>0</v>
      </c>
      <c r="X1157" s="65">
        <v>0</v>
      </c>
      <c r="Y1157" s="64"/>
    </row>
    <row r="1158" spans="1:25" s="54" customFormat="1" ht="15" customHeight="1" x14ac:dyDescent="0.3">
      <c r="A1158" s="63"/>
      <c r="B1158" s="64"/>
      <c r="C1158" s="55"/>
      <c r="D1158" s="64">
        <v>2015</v>
      </c>
      <c r="E1158" s="65">
        <f>52606*1000000</f>
        <v>52606000000</v>
      </c>
      <c r="F1158" s="65">
        <f>(52606+312061+2913+65268+1212104+5816)*1000000</f>
        <v>1650768000000</v>
      </c>
      <c r="G1158" s="65">
        <f>2895488*1000000</f>
        <v>2895488000000</v>
      </c>
      <c r="H1158" s="65">
        <f>511940*1000000</f>
        <v>511940000000</v>
      </c>
      <c r="I1158" s="65">
        <f>2133784*1000000</f>
        <v>2133784000000</v>
      </c>
      <c r="J1158" s="65">
        <f>365608*1000000</f>
        <v>365608000000</v>
      </c>
      <c r="K1158" s="65">
        <f>761704*1000000</f>
        <v>761704000000</v>
      </c>
      <c r="L1158" s="65">
        <f>541270*1000000</f>
        <v>541270000000</v>
      </c>
      <c r="M1158" s="65">
        <f>199316*1000000</f>
        <v>199316000000</v>
      </c>
      <c r="N1158" s="65">
        <f>164603*1000000</f>
        <v>164603000000</v>
      </c>
      <c r="O1158" s="66">
        <v>0.6</v>
      </c>
      <c r="P1158" s="67" t="s">
        <v>312</v>
      </c>
      <c r="Q1158" s="65">
        <v>0</v>
      </c>
      <c r="R1158" s="65">
        <v>4</v>
      </c>
      <c r="S1158" s="65">
        <v>4</v>
      </c>
      <c r="T1158" s="65">
        <f>SUM(R1158:S1158)</f>
        <v>8</v>
      </c>
      <c r="U1158" s="68">
        <v>0</v>
      </c>
      <c r="V1158" s="65">
        <v>0</v>
      </c>
      <c r="W1158" s="65">
        <v>0</v>
      </c>
      <c r="X1158" s="65">
        <v>0</v>
      </c>
      <c r="Y1158" s="64"/>
    </row>
    <row r="1159" spans="1:25" s="54" customFormat="1" ht="15" customHeight="1" x14ac:dyDescent="0.3">
      <c r="A1159" s="63"/>
      <c r="B1159" s="64"/>
      <c r="C1159" s="55"/>
      <c r="D1159" s="64">
        <v>2016</v>
      </c>
      <c r="E1159" s="65">
        <f>73479*1000000</f>
        <v>73479000000</v>
      </c>
      <c r="F1159" s="65">
        <f>(74479+411225+45521+818383+584+71005+12719)*1000000</f>
        <v>1433916000000</v>
      </c>
      <c r="G1159" s="65">
        <f>2337953*1000000</f>
        <v>2337953000000</v>
      </c>
      <c r="H1159" s="65">
        <f>584313*1000000</f>
        <v>584313000000</v>
      </c>
      <c r="I1159" s="65">
        <f>1848075*1000000</f>
        <v>1848075000000</v>
      </c>
      <c r="J1159" s="65">
        <f>390222*1000000</f>
        <v>390222000000</v>
      </c>
      <c r="K1159" s="65">
        <f>790735*1000000</f>
        <v>790735000000</v>
      </c>
      <c r="L1159" s="65">
        <f>553097*1000000</f>
        <v>553097000000</v>
      </c>
      <c r="M1159" s="65">
        <f>110495*1000000</f>
        <v>110495000000</v>
      </c>
      <c r="N1159" s="65">
        <f>93641*1000000</f>
        <v>93641000000</v>
      </c>
      <c r="O1159" s="66">
        <v>0.6</v>
      </c>
      <c r="P1159" s="67" t="s">
        <v>312</v>
      </c>
      <c r="Q1159" s="65">
        <v>0</v>
      </c>
      <c r="R1159" s="65">
        <v>4</v>
      </c>
      <c r="S1159" s="65">
        <v>4</v>
      </c>
      <c r="T1159" s="65">
        <f t="shared" ref="T1159:T1167" si="110">SUM(R1159:S1159)</f>
        <v>8</v>
      </c>
      <c r="U1159" s="68">
        <v>0</v>
      </c>
      <c r="V1159" s="65">
        <v>0</v>
      </c>
      <c r="W1159" s="65">
        <v>0</v>
      </c>
      <c r="X1159" s="65">
        <v>0</v>
      </c>
      <c r="Y1159" s="64"/>
    </row>
    <row r="1160" spans="1:25" s="54" customFormat="1" ht="15" customHeight="1" x14ac:dyDescent="0.3">
      <c r="A1160" s="63"/>
      <c r="B1160" s="64"/>
      <c r="C1160" s="55"/>
      <c r="D1160" s="64">
        <v>2017</v>
      </c>
      <c r="E1160" s="65">
        <f>28802*1000000</f>
        <v>28802000000</v>
      </c>
      <c r="F1160" s="65">
        <f>(28802+390827+482453+944+64987+10473)*1000000</f>
        <v>978486000000</v>
      </c>
      <c r="G1160" s="65">
        <f>2337953*1000000</f>
        <v>2337953000000</v>
      </c>
      <c r="H1160" s="65">
        <f>624845*1000000</f>
        <v>624845000000</v>
      </c>
      <c r="I1160" s="65">
        <f>1554785*1000000</f>
        <v>1554785000000</v>
      </c>
      <c r="J1160" s="65">
        <f>366438*1000000</f>
        <v>366438000000</v>
      </c>
      <c r="K1160" s="65">
        <f>783168*1000000</f>
        <v>783168000000</v>
      </c>
      <c r="L1160" s="65">
        <f>594731*1000000</f>
        <v>594731000000</v>
      </c>
      <c r="M1160" s="65">
        <f>140694*1000000</f>
        <v>140694000000</v>
      </c>
      <c r="N1160" s="65">
        <f>119205*1000000</f>
        <v>119205000000</v>
      </c>
      <c r="O1160" s="66">
        <v>0.6</v>
      </c>
      <c r="P1160" s="67" t="s">
        <v>312</v>
      </c>
      <c r="Q1160" s="65">
        <v>0</v>
      </c>
      <c r="R1160" s="65">
        <v>4</v>
      </c>
      <c r="S1160" s="65">
        <v>4</v>
      </c>
      <c r="T1160" s="65">
        <f t="shared" si="110"/>
        <v>8</v>
      </c>
      <c r="U1160" s="68">
        <v>0</v>
      </c>
      <c r="V1160" s="65">
        <v>0</v>
      </c>
      <c r="W1160" s="65">
        <v>0</v>
      </c>
      <c r="X1160" s="65">
        <v>0</v>
      </c>
      <c r="Y1160" s="64"/>
    </row>
    <row r="1161" spans="1:25" s="54" customFormat="1" ht="15" customHeight="1" x14ac:dyDescent="0.3">
      <c r="A1161" s="63"/>
      <c r="B1161" s="64"/>
      <c r="C1161" s="55"/>
      <c r="D1161" s="64">
        <v>2018</v>
      </c>
      <c r="E1161" s="65">
        <f>44025*1000000</f>
        <v>44025000000</v>
      </c>
      <c r="F1161" s="65">
        <f>(44025+376484+718590+1324+165798+11392)*1000000</f>
        <v>1317613000000</v>
      </c>
      <c r="G1161" s="65">
        <f>2952776*1000000</f>
        <v>2952776000000</v>
      </c>
      <c r="H1161" s="65">
        <f>446487*1000000</f>
        <v>446487000000</v>
      </c>
      <c r="I1161" s="65">
        <f>2095692*1000000</f>
        <v>2095692000000</v>
      </c>
      <c r="J1161" s="65">
        <f>484608*1000000</f>
        <v>484608000000</v>
      </c>
      <c r="K1161" s="65">
        <f>857084*1000000</f>
        <v>857084000000</v>
      </c>
      <c r="L1161" s="65">
        <f>683018*1000000</f>
        <v>683018000000</v>
      </c>
      <c r="M1161" s="65">
        <f>154769*1000000</f>
        <v>154769000000</v>
      </c>
      <c r="N1161" s="65">
        <f>129975*1000000</f>
        <v>129975000000</v>
      </c>
      <c r="O1161" s="66">
        <v>0.6</v>
      </c>
      <c r="P1161" s="67" t="s">
        <v>312</v>
      </c>
      <c r="Q1161" s="65">
        <v>2</v>
      </c>
      <c r="R1161" s="65">
        <v>4</v>
      </c>
      <c r="S1161" s="65">
        <v>3</v>
      </c>
      <c r="T1161" s="65">
        <f t="shared" si="110"/>
        <v>7</v>
      </c>
      <c r="U1161" s="68">
        <v>0</v>
      </c>
      <c r="V1161" s="65">
        <v>0</v>
      </c>
      <c r="W1161" s="65">
        <v>0</v>
      </c>
      <c r="X1161" s="65">
        <v>0</v>
      </c>
      <c r="Y1161" s="64"/>
    </row>
    <row r="1162" spans="1:25" s="54" customFormat="1" ht="15" customHeight="1" x14ac:dyDescent="0.3">
      <c r="A1162" s="63"/>
      <c r="B1162" s="64"/>
      <c r="C1162" s="55"/>
      <c r="D1162" s="64">
        <v>2019</v>
      </c>
      <c r="E1162" s="65">
        <f>41326*1000000</f>
        <v>41326000000</v>
      </c>
      <c r="F1162" s="65">
        <f>(41326+360044+41453+924015+2719+67358+96+19937)*1000000</f>
        <v>1456948000000</v>
      </c>
      <c r="G1162" s="65">
        <f>3421606*1000000</f>
        <v>3421606000000</v>
      </c>
      <c r="H1162" s="65">
        <f>427673*1000000</f>
        <v>427673000000</v>
      </c>
      <c r="I1162" s="65">
        <f>2429395*1000000</f>
        <v>2429395000000</v>
      </c>
      <c r="J1162" s="65">
        <f>599106*1000000</f>
        <v>599106000000</v>
      </c>
      <c r="K1162" s="65">
        <f>992211*1000000</f>
        <v>992211000000</v>
      </c>
      <c r="L1162" s="65">
        <f>789392*1000000</f>
        <v>789392000000</v>
      </c>
      <c r="M1162" s="65">
        <f>193237*1000000</f>
        <v>193237000000</v>
      </c>
      <c r="N1162" s="65">
        <f>155313*1000000</f>
        <v>155313000000</v>
      </c>
      <c r="O1162" s="66">
        <v>0.6</v>
      </c>
      <c r="P1162" s="67" t="s">
        <v>312</v>
      </c>
      <c r="Q1162" s="65">
        <v>2</v>
      </c>
      <c r="R1162" s="65">
        <v>4</v>
      </c>
      <c r="S1162" s="65">
        <v>5</v>
      </c>
      <c r="T1162" s="65">
        <f t="shared" si="110"/>
        <v>9</v>
      </c>
      <c r="U1162" s="68">
        <v>0</v>
      </c>
      <c r="V1162" s="65">
        <v>0</v>
      </c>
      <c r="W1162" s="65">
        <v>0</v>
      </c>
      <c r="X1162" s="65">
        <v>0</v>
      </c>
      <c r="Y1162" s="64"/>
    </row>
    <row r="1163" spans="1:25" s="54" customFormat="1" ht="15" customHeight="1" x14ac:dyDescent="0.3">
      <c r="A1163" s="63"/>
      <c r="B1163" s="64"/>
      <c r="C1163" s="55"/>
      <c r="D1163" s="64">
        <v>2020</v>
      </c>
      <c r="E1163" s="65">
        <f>51507*1000000</f>
        <v>51507000000</v>
      </c>
      <c r="F1163" s="65">
        <f>(51507+363217+41929+1236459+6200+38766+319+20388)*1000000</f>
        <v>1758785000000</v>
      </c>
      <c r="G1163" s="65">
        <f>3929286*1000000</f>
        <v>3929286000000</v>
      </c>
      <c r="H1163" s="65">
        <f>504997*1000000</f>
        <v>504997000000</v>
      </c>
      <c r="I1163" s="65">
        <f>2769682*1000000</f>
        <v>2769682000000</v>
      </c>
      <c r="J1163" s="65">
        <f>733864*1000000</f>
        <v>733864000000</v>
      </c>
      <c r="K1163" s="65">
        <f>1159604*1000000</f>
        <v>1159604000000</v>
      </c>
      <c r="L1163" s="65">
        <f>833186*1000000</f>
        <v>833186000000</v>
      </c>
      <c r="M1163" s="65">
        <f>243784*1000000</f>
        <v>243784000000</v>
      </c>
      <c r="N1163" s="65">
        <f>189874*1000000</f>
        <v>189874000000</v>
      </c>
      <c r="O1163" s="66">
        <v>0.6</v>
      </c>
      <c r="P1163" s="67" t="s">
        <v>312</v>
      </c>
      <c r="Q1163" s="65">
        <v>1</v>
      </c>
      <c r="R1163" s="65">
        <v>3</v>
      </c>
      <c r="S1163" s="65">
        <v>5</v>
      </c>
      <c r="T1163" s="65">
        <f t="shared" si="110"/>
        <v>8</v>
      </c>
      <c r="U1163" s="68">
        <v>0</v>
      </c>
      <c r="V1163" s="65">
        <v>0</v>
      </c>
      <c r="W1163" s="65">
        <v>0</v>
      </c>
      <c r="X1163" s="65">
        <v>0</v>
      </c>
      <c r="Y1163" s="64"/>
    </row>
    <row r="1164" spans="1:25" s="54" customFormat="1" ht="15" customHeight="1" x14ac:dyDescent="0.3">
      <c r="A1164" s="63"/>
      <c r="B1164" s="64"/>
      <c r="C1164" s="55"/>
      <c r="D1164" s="64">
        <v>2021</v>
      </c>
      <c r="E1164" s="65">
        <f>47923*1000000</f>
        <v>47923000000</v>
      </c>
      <c r="F1164" s="65">
        <f>(47923+448872+50627+1440803+56335+134520+30+25353)*1000000</f>
        <v>2204463000000</v>
      </c>
      <c r="G1164" s="65">
        <f>4358974*1000000</f>
        <v>4358974000000</v>
      </c>
      <c r="H1164" s="65">
        <f>503749*1000000</f>
        <v>503749000000</v>
      </c>
      <c r="I1164" s="65">
        <f>3040461*1000000</f>
        <v>3040461000000</v>
      </c>
      <c r="J1164" s="65">
        <f>899034*1000000</f>
        <v>899034000000</v>
      </c>
      <c r="K1164" s="65">
        <f>1318513*1000000</f>
        <v>1318513000000</v>
      </c>
      <c r="L1164" s="65">
        <f>954234*1000000</f>
        <v>954234000000</v>
      </c>
      <c r="M1164" s="65">
        <f>266658*1000000</f>
        <v>266658000000</v>
      </c>
      <c r="N1164" s="65">
        <f>224323*1000000</f>
        <v>224323000000</v>
      </c>
      <c r="O1164" s="66">
        <v>0.6</v>
      </c>
      <c r="P1164" s="67" t="s">
        <v>312</v>
      </c>
      <c r="Q1164" s="65">
        <v>2</v>
      </c>
      <c r="R1164" s="65">
        <v>4</v>
      </c>
      <c r="S1164" s="65">
        <v>4</v>
      </c>
      <c r="T1164" s="65">
        <f t="shared" si="110"/>
        <v>8</v>
      </c>
      <c r="U1164" s="68">
        <v>0</v>
      </c>
      <c r="V1164" s="65">
        <v>0</v>
      </c>
      <c r="W1164" s="65">
        <v>0</v>
      </c>
      <c r="X1164" s="65">
        <v>0</v>
      </c>
      <c r="Y1164" s="64"/>
    </row>
    <row r="1165" spans="1:25" s="54" customFormat="1" ht="15" customHeight="1" x14ac:dyDescent="0.3">
      <c r="A1165" s="63"/>
      <c r="B1165" s="64"/>
      <c r="C1165" s="55"/>
      <c r="D1165" s="64">
        <v>2022</v>
      </c>
      <c r="E1165" s="65">
        <f>59791*1000000</f>
        <v>59791000000</v>
      </c>
      <c r="F1165" s="65">
        <f>(59791+467373+49365+1364389+57218+105156+5+28104)*1000000</f>
        <v>2131401000000</v>
      </c>
      <c r="G1165" s="65">
        <f>4638732*1000000</f>
        <v>4638732000000</v>
      </c>
      <c r="H1165" s="65">
        <f>628663*1000000</f>
        <v>628663000000</v>
      </c>
      <c r="I1165" s="65">
        <f>3182042*1000000</f>
        <v>3182042000000</v>
      </c>
      <c r="J1165" s="65">
        <f>1079245*1000000</f>
        <v>1079245000000</v>
      </c>
      <c r="K1165" s="65">
        <f>1456690*1000000</f>
        <v>1456690000000</v>
      </c>
      <c r="L1165" s="65">
        <f>1053595*1000000</f>
        <v>1053595000000</v>
      </c>
      <c r="M1165" s="65">
        <f>311552*1000000</f>
        <v>311552000000</v>
      </c>
      <c r="N1165" s="65">
        <f>264949*1000000</f>
        <v>264949000000</v>
      </c>
      <c r="O1165" s="66">
        <v>0.6</v>
      </c>
      <c r="P1165" s="67" t="s">
        <v>312</v>
      </c>
      <c r="Q1165" s="65">
        <v>2</v>
      </c>
      <c r="R1165" s="65">
        <v>4</v>
      </c>
      <c r="S1165" s="65">
        <v>4</v>
      </c>
      <c r="T1165" s="65">
        <f t="shared" si="110"/>
        <v>8</v>
      </c>
      <c r="U1165" s="68">
        <v>0</v>
      </c>
      <c r="V1165" s="65">
        <v>0</v>
      </c>
      <c r="W1165" s="65">
        <v>0</v>
      </c>
      <c r="X1165" s="65">
        <v>0</v>
      </c>
      <c r="Y1165" s="64"/>
    </row>
    <row r="1166" spans="1:25" s="54" customFormat="1" ht="15" customHeight="1" x14ac:dyDescent="0.3">
      <c r="A1166" s="63"/>
      <c r="B1166" s="64"/>
      <c r="C1166" s="55"/>
      <c r="D1166" s="64">
        <v>2023</v>
      </c>
      <c r="E1166" s="65">
        <f>42704*1000000</f>
        <v>42704000000</v>
      </c>
      <c r="F1166" s="65">
        <f>(42704+463229+44915+2676410+2056+22341+29207)*1000000</f>
        <v>3280862000000</v>
      </c>
      <c r="G1166" s="65">
        <f>5986249*1000000</f>
        <v>5986249000000</v>
      </c>
      <c r="H1166" s="65">
        <f>662759*1000000</f>
        <v>662759000000</v>
      </c>
      <c r="I1166" s="65">
        <f>4512000*1000000</f>
        <v>4512000000000</v>
      </c>
      <c r="J1166" s="65">
        <f>1102061*1000000</f>
        <v>1102061000000</v>
      </c>
      <c r="K1166" s="65">
        <f>1474249*1000000</f>
        <v>1474249000000</v>
      </c>
      <c r="L1166" s="65">
        <f>1034778*1000000</f>
        <v>1034778000000</v>
      </c>
      <c r="M1166" s="65">
        <f>284882*1000000</f>
        <v>284882000000</v>
      </c>
      <c r="N1166" s="65">
        <f>242841*1000000</f>
        <v>242841000000</v>
      </c>
      <c r="O1166" s="66">
        <v>0.8</v>
      </c>
      <c r="P1166" s="67" t="s">
        <v>312</v>
      </c>
      <c r="Q1166" s="65">
        <v>2</v>
      </c>
      <c r="R1166" s="65">
        <v>4</v>
      </c>
      <c r="S1166" s="65">
        <v>4</v>
      </c>
      <c r="T1166" s="65">
        <f t="shared" si="110"/>
        <v>8</v>
      </c>
      <c r="U1166" s="68">
        <v>0</v>
      </c>
      <c r="V1166" s="65">
        <v>0</v>
      </c>
      <c r="W1166" s="65">
        <v>0</v>
      </c>
      <c r="X1166" s="65">
        <v>0</v>
      </c>
      <c r="Y1166" s="64"/>
    </row>
    <row r="1167" spans="1:25" s="54" customFormat="1" ht="15" customHeight="1" x14ac:dyDescent="0.3">
      <c r="A1167" s="63"/>
      <c r="B1167" s="64"/>
      <c r="C1167" s="55"/>
      <c r="D1167" s="64">
        <v>2024</v>
      </c>
      <c r="E1167" s="65">
        <f>28672*1000000</f>
        <v>28672000000</v>
      </c>
      <c r="F1167" s="65">
        <f>(28672+526867+58006+1972875+211+149518+26463)*1000000</f>
        <v>2762612000000</v>
      </c>
      <c r="G1167" s="65">
        <f>5352761*1000000</f>
        <v>5352761000000</v>
      </c>
      <c r="H1167" s="65">
        <f>769685*1000000</f>
        <v>769685000000</v>
      </c>
      <c r="I1167" s="65">
        <f>3795604*1000000</f>
        <v>3795604000000</v>
      </c>
      <c r="J1167" s="65">
        <f>1205995*1000000</f>
        <v>1205995000000</v>
      </c>
      <c r="K1167" s="65">
        <f>1557157*1000000</f>
        <v>1557157000000</v>
      </c>
      <c r="L1167" s="65">
        <f>1086283*1000000</f>
        <v>1086283000000</v>
      </c>
      <c r="M1167" s="65">
        <f>350588*1000000</f>
        <v>350588000000</v>
      </c>
      <c r="N1167" s="65">
        <f>296676*1000000</f>
        <v>296676000000</v>
      </c>
      <c r="O1167" s="66">
        <v>0.8</v>
      </c>
      <c r="P1167" s="67" t="s">
        <v>312</v>
      </c>
      <c r="Q1167" s="65">
        <v>2</v>
      </c>
      <c r="R1167" s="65">
        <v>4</v>
      </c>
      <c r="S1167" s="65">
        <v>4</v>
      </c>
      <c r="T1167" s="65">
        <f t="shared" si="110"/>
        <v>8</v>
      </c>
      <c r="U1167" s="68">
        <v>0</v>
      </c>
      <c r="V1167" s="65">
        <v>0</v>
      </c>
      <c r="W1167" s="65">
        <v>0</v>
      </c>
      <c r="X1167" s="65">
        <v>0</v>
      </c>
      <c r="Y1167" s="64"/>
    </row>
    <row r="1168" spans="1:25" s="54" customFormat="1" ht="15" customHeight="1" x14ac:dyDescent="0.3">
      <c r="A1168" s="63"/>
      <c r="B1168" s="64">
        <v>107</v>
      </c>
      <c r="C1168" s="55" t="s">
        <v>105</v>
      </c>
      <c r="D1168" s="64">
        <v>2014</v>
      </c>
      <c r="E1168" s="65">
        <v>0</v>
      </c>
      <c r="F1168" s="65">
        <v>0</v>
      </c>
      <c r="G1168" s="65">
        <v>0</v>
      </c>
      <c r="H1168" s="65">
        <v>0</v>
      </c>
      <c r="I1168" s="65">
        <v>0</v>
      </c>
      <c r="J1168" s="65">
        <v>0</v>
      </c>
      <c r="K1168" s="65">
        <v>0</v>
      </c>
      <c r="L1168" s="65">
        <v>0</v>
      </c>
      <c r="M1168" s="65">
        <v>0</v>
      </c>
      <c r="N1168" s="65">
        <v>0</v>
      </c>
      <c r="O1168" s="65">
        <v>0</v>
      </c>
      <c r="P1168" s="65">
        <v>0</v>
      </c>
      <c r="Q1168" s="65">
        <v>0</v>
      </c>
      <c r="R1168" s="65">
        <v>0</v>
      </c>
      <c r="S1168" s="65">
        <v>0</v>
      </c>
      <c r="T1168" s="65">
        <v>0</v>
      </c>
      <c r="U1168" s="65">
        <v>0</v>
      </c>
      <c r="V1168" s="65">
        <v>0</v>
      </c>
      <c r="W1168" s="65">
        <v>0</v>
      </c>
      <c r="X1168" s="65">
        <v>0</v>
      </c>
      <c r="Y1168" s="64"/>
    </row>
    <row r="1169" spans="1:25" s="54" customFormat="1" ht="15" customHeight="1" x14ac:dyDescent="0.3">
      <c r="A1169" s="63"/>
      <c r="B1169" s="64"/>
      <c r="C1169" s="55"/>
      <c r="D1169" s="64">
        <v>2015</v>
      </c>
      <c r="E1169" s="65">
        <v>0</v>
      </c>
      <c r="F1169" s="65">
        <v>0</v>
      </c>
      <c r="G1169" s="65">
        <v>0</v>
      </c>
      <c r="H1169" s="65">
        <v>0</v>
      </c>
      <c r="I1169" s="65">
        <v>0</v>
      </c>
      <c r="J1169" s="65">
        <v>0</v>
      </c>
      <c r="K1169" s="65">
        <v>0</v>
      </c>
      <c r="L1169" s="65">
        <v>0</v>
      </c>
      <c r="M1169" s="65">
        <v>0</v>
      </c>
      <c r="N1169" s="65">
        <v>0</v>
      </c>
      <c r="O1169" s="65">
        <v>0</v>
      </c>
      <c r="P1169" s="65">
        <v>0</v>
      </c>
      <c r="Q1169" s="65">
        <v>0</v>
      </c>
      <c r="R1169" s="65">
        <v>0</v>
      </c>
      <c r="S1169" s="65">
        <v>0</v>
      </c>
      <c r="T1169" s="65">
        <v>0</v>
      </c>
      <c r="U1169" s="65">
        <v>0</v>
      </c>
      <c r="V1169" s="65">
        <v>0</v>
      </c>
      <c r="W1169" s="65">
        <v>0</v>
      </c>
      <c r="X1169" s="65">
        <v>0</v>
      </c>
      <c r="Y1169" s="64"/>
    </row>
    <row r="1170" spans="1:25" s="54" customFormat="1" ht="15" customHeight="1" x14ac:dyDescent="0.3">
      <c r="A1170" s="63"/>
      <c r="B1170" s="64"/>
      <c r="C1170" s="55"/>
      <c r="D1170" s="64">
        <v>2016</v>
      </c>
      <c r="E1170" s="65">
        <v>0</v>
      </c>
      <c r="F1170" s="65">
        <v>0</v>
      </c>
      <c r="G1170" s="65">
        <v>0</v>
      </c>
      <c r="H1170" s="65">
        <v>0</v>
      </c>
      <c r="I1170" s="65">
        <v>0</v>
      </c>
      <c r="J1170" s="65">
        <v>0</v>
      </c>
      <c r="K1170" s="65">
        <v>0</v>
      </c>
      <c r="L1170" s="65">
        <v>0</v>
      </c>
      <c r="M1170" s="65">
        <v>0</v>
      </c>
      <c r="N1170" s="65">
        <v>0</v>
      </c>
      <c r="O1170" s="65">
        <v>0</v>
      </c>
      <c r="P1170" s="65">
        <v>0</v>
      </c>
      <c r="Q1170" s="65">
        <v>0</v>
      </c>
      <c r="R1170" s="65">
        <v>0</v>
      </c>
      <c r="S1170" s="65">
        <v>0</v>
      </c>
      <c r="T1170" s="65">
        <v>0</v>
      </c>
      <c r="U1170" s="65">
        <v>0</v>
      </c>
      <c r="V1170" s="65">
        <v>0</v>
      </c>
      <c r="W1170" s="65">
        <v>0</v>
      </c>
      <c r="X1170" s="65">
        <v>0</v>
      </c>
      <c r="Y1170" s="64"/>
    </row>
    <row r="1171" spans="1:25" s="54" customFormat="1" ht="15" customHeight="1" x14ac:dyDescent="0.3">
      <c r="A1171" s="63"/>
      <c r="B1171" s="64"/>
      <c r="C1171" s="55"/>
      <c r="D1171" s="64">
        <v>2017</v>
      </c>
      <c r="E1171" s="65">
        <v>0</v>
      </c>
      <c r="F1171" s="65">
        <v>0</v>
      </c>
      <c r="G1171" s="65">
        <v>0</v>
      </c>
      <c r="H1171" s="65">
        <v>0</v>
      </c>
      <c r="I1171" s="65">
        <v>0</v>
      </c>
      <c r="J1171" s="65">
        <v>0</v>
      </c>
      <c r="K1171" s="65">
        <v>0</v>
      </c>
      <c r="L1171" s="65">
        <v>0</v>
      </c>
      <c r="M1171" s="65">
        <v>0</v>
      </c>
      <c r="N1171" s="65">
        <v>0</v>
      </c>
      <c r="O1171" s="65">
        <v>0</v>
      </c>
      <c r="P1171" s="65">
        <v>0</v>
      </c>
      <c r="Q1171" s="65">
        <v>0</v>
      </c>
      <c r="R1171" s="65">
        <v>0</v>
      </c>
      <c r="S1171" s="65">
        <v>0</v>
      </c>
      <c r="T1171" s="65">
        <v>0</v>
      </c>
      <c r="U1171" s="65">
        <v>0</v>
      </c>
      <c r="V1171" s="65">
        <v>0</v>
      </c>
      <c r="W1171" s="65">
        <v>0</v>
      </c>
      <c r="X1171" s="65">
        <v>0</v>
      </c>
      <c r="Y1171" s="64"/>
    </row>
    <row r="1172" spans="1:25" s="54" customFormat="1" ht="15" customHeight="1" x14ac:dyDescent="0.3">
      <c r="A1172" s="63"/>
      <c r="B1172" s="64"/>
      <c r="C1172" s="55"/>
      <c r="D1172" s="64">
        <v>2018</v>
      </c>
      <c r="E1172" s="65">
        <v>0</v>
      </c>
      <c r="F1172" s="65">
        <v>0</v>
      </c>
      <c r="G1172" s="65">
        <v>0</v>
      </c>
      <c r="H1172" s="65">
        <v>0</v>
      </c>
      <c r="I1172" s="65">
        <v>0</v>
      </c>
      <c r="J1172" s="65">
        <v>0</v>
      </c>
      <c r="K1172" s="65">
        <v>0</v>
      </c>
      <c r="L1172" s="65">
        <v>0</v>
      </c>
      <c r="M1172" s="65">
        <v>0</v>
      </c>
      <c r="N1172" s="65">
        <v>0</v>
      </c>
      <c r="O1172" s="65">
        <v>0</v>
      </c>
      <c r="P1172" s="65">
        <v>0</v>
      </c>
      <c r="Q1172" s="65">
        <v>0</v>
      </c>
      <c r="R1172" s="65">
        <v>0</v>
      </c>
      <c r="S1172" s="65">
        <v>0</v>
      </c>
      <c r="T1172" s="65">
        <v>0</v>
      </c>
      <c r="U1172" s="65">
        <v>0</v>
      </c>
      <c r="V1172" s="65">
        <v>0</v>
      </c>
      <c r="W1172" s="65">
        <v>0</v>
      </c>
      <c r="X1172" s="65">
        <v>0</v>
      </c>
      <c r="Y1172" s="64"/>
    </row>
    <row r="1173" spans="1:25" s="54" customFormat="1" ht="15" customHeight="1" x14ac:dyDescent="0.3">
      <c r="A1173" s="63"/>
      <c r="B1173" s="64"/>
      <c r="C1173" s="55"/>
      <c r="D1173" s="64">
        <v>2019</v>
      </c>
      <c r="E1173" s="65">
        <f>6540*1000000</f>
        <v>6540000000</v>
      </c>
      <c r="F1173" s="65">
        <f>(6540+54226+21316+1593)*1000000</f>
        <v>83675000000</v>
      </c>
      <c r="G1173" s="65">
        <f>421963*1000000</f>
        <v>421963000000</v>
      </c>
      <c r="H1173" s="65">
        <f>52198*1000000</f>
        <v>52198000000</v>
      </c>
      <c r="I1173" s="65">
        <f>228814*1000000</f>
        <v>228814000000</v>
      </c>
      <c r="J1173" s="65">
        <f>-7379*1000000</f>
        <v>-7379000000</v>
      </c>
      <c r="K1173" s="65">
        <f>193148*1000000</f>
        <v>193148000000</v>
      </c>
      <c r="L1173" s="65">
        <f>28800*1000000</f>
        <v>28800000000</v>
      </c>
      <c r="M1173" s="65">
        <f>-10816*1000000</f>
        <v>-10816000000</v>
      </c>
      <c r="N1173" s="65">
        <f>-7150*1000000</f>
        <v>-7150000000</v>
      </c>
      <c r="O1173" s="66">
        <v>0.47249999999999998</v>
      </c>
      <c r="P1173" s="67" t="s">
        <v>286</v>
      </c>
      <c r="Q1173" s="65">
        <v>2</v>
      </c>
      <c r="R1173" s="65">
        <v>4</v>
      </c>
      <c r="S1173" s="65">
        <v>3</v>
      </c>
      <c r="T1173" s="65">
        <f t="shared" ref="T1173:T1178" si="111">SUM(R1173:S1173)</f>
        <v>7</v>
      </c>
      <c r="U1173" s="68">
        <v>7.7499999999999999E-2</v>
      </c>
      <c r="V1173" s="65">
        <v>0</v>
      </c>
      <c r="W1173" s="65">
        <v>0</v>
      </c>
      <c r="X1173" s="65">
        <v>0</v>
      </c>
      <c r="Y1173" s="64"/>
    </row>
    <row r="1174" spans="1:25" s="54" customFormat="1" ht="15" customHeight="1" x14ac:dyDescent="0.3">
      <c r="A1174" s="63"/>
      <c r="B1174" s="64"/>
      <c r="C1174" s="55"/>
      <c r="D1174" s="64">
        <v>2020</v>
      </c>
      <c r="E1174" s="65">
        <f>8134*1000000</f>
        <v>8134000000</v>
      </c>
      <c r="F1174" s="65">
        <f>(8134+67516+48077+1694)*1000000</f>
        <v>125421000000</v>
      </c>
      <c r="G1174" s="65">
        <f>574266*1000000</f>
        <v>574266000000</v>
      </c>
      <c r="H1174" s="65">
        <f>79494*1000000</f>
        <v>79494000000</v>
      </c>
      <c r="I1174" s="65">
        <f>366142*1000000</f>
        <v>366142000000</v>
      </c>
      <c r="J1174" s="65">
        <f>5357*1000000</f>
        <v>5357000000</v>
      </c>
      <c r="K1174" s="65">
        <f>208124*1000000</f>
        <v>208124000000</v>
      </c>
      <c r="L1174" s="65">
        <f>133950*1000000</f>
        <v>133950000000</v>
      </c>
      <c r="M1174" s="65">
        <f>8453*1000000</f>
        <v>8453000000</v>
      </c>
      <c r="N1174" s="65">
        <f>14976*1000000</f>
        <v>14976000000</v>
      </c>
      <c r="O1174" s="66">
        <v>0.47249999999999998</v>
      </c>
      <c r="P1174" s="67" t="s">
        <v>286</v>
      </c>
      <c r="Q1174" s="65">
        <v>2</v>
      </c>
      <c r="R1174" s="65">
        <v>4</v>
      </c>
      <c r="S1174" s="65">
        <v>3</v>
      </c>
      <c r="T1174" s="65">
        <f t="shared" si="111"/>
        <v>7</v>
      </c>
      <c r="U1174" s="68">
        <v>7.7499999999999999E-2</v>
      </c>
      <c r="V1174" s="65">
        <v>0</v>
      </c>
      <c r="W1174" s="65">
        <v>0</v>
      </c>
      <c r="X1174" s="65">
        <v>0</v>
      </c>
      <c r="Y1174" s="64"/>
    </row>
    <row r="1175" spans="1:25" s="54" customFormat="1" ht="15" customHeight="1" x14ac:dyDescent="0.3">
      <c r="A1175" s="63"/>
      <c r="B1175" s="64"/>
      <c r="C1175" s="55"/>
      <c r="D1175" s="64">
        <v>2021</v>
      </c>
      <c r="E1175" s="65">
        <f>9607*1000000</f>
        <v>9607000000</v>
      </c>
      <c r="F1175" s="65">
        <f>(96607+98058+40+62424+3434+2698)*1000000</f>
        <v>263261000000</v>
      </c>
      <c r="G1175" s="65">
        <f>744732*1000000</f>
        <v>744732000000</v>
      </c>
      <c r="H1175" s="65">
        <f>90646*1000000</f>
        <v>90646000000</v>
      </c>
      <c r="I1175" s="65">
        <f>517265*1000000</f>
        <v>517265000000</v>
      </c>
      <c r="J1175" s="65">
        <f>24976*1000000</f>
        <v>24976000000</v>
      </c>
      <c r="K1175" s="65">
        <f>227467*1000000</f>
        <v>227467000000</v>
      </c>
      <c r="L1175" s="65">
        <f>222333*1000000</f>
        <v>222333000000</v>
      </c>
      <c r="M1175" s="65">
        <f>24047*1000000</f>
        <v>24047000000</v>
      </c>
      <c r="N1175" s="65">
        <f>19343*1000000</f>
        <v>19343000000</v>
      </c>
      <c r="O1175" s="66">
        <v>0.3725</v>
      </c>
      <c r="P1175" s="67" t="s">
        <v>286</v>
      </c>
      <c r="Q1175" s="65">
        <v>2</v>
      </c>
      <c r="R1175" s="65">
        <v>4</v>
      </c>
      <c r="S1175" s="65">
        <v>3</v>
      </c>
      <c r="T1175" s="65">
        <f t="shared" si="111"/>
        <v>7</v>
      </c>
      <c r="U1175" s="68">
        <v>7.7499999999999999E-2</v>
      </c>
      <c r="V1175" s="65">
        <v>0</v>
      </c>
      <c r="W1175" s="65">
        <v>0</v>
      </c>
      <c r="X1175" s="65">
        <v>0</v>
      </c>
      <c r="Y1175" s="64"/>
    </row>
    <row r="1176" spans="1:25" s="54" customFormat="1" ht="15" customHeight="1" x14ac:dyDescent="0.3">
      <c r="A1176" s="63"/>
      <c r="B1176" s="64"/>
      <c r="C1176" s="55"/>
      <c r="D1176" s="64">
        <v>2022</v>
      </c>
      <c r="E1176" s="65">
        <f>24911*1000000</f>
        <v>24911000000</v>
      </c>
      <c r="F1176" s="65">
        <f>(24911+91758+2+56120+5323+3443)*1000000</f>
        <v>181557000000</v>
      </c>
      <c r="G1176" s="65">
        <f>918561*1000000</f>
        <v>918561000000</v>
      </c>
      <c r="H1176" s="65">
        <f>100027*1000000</f>
        <v>100027000000</v>
      </c>
      <c r="I1176" s="65">
        <f>667416*1000000</f>
        <v>667416000000</v>
      </c>
      <c r="J1176" s="65">
        <f>52751*1000000</f>
        <v>52751000000</v>
      </c>
      <c r="K1176" s="65">
        <f>251145*1000000</f>
        <v>251145000000</v>
      </c>
      <c r="L1176" s="65">
        <f>319080*1000000</f>
        <v>319080000000</v>
      </c>
      <c r="M1176" s="65">
        <f>30205*1000000</f>
        <v>30205000000</v>
      </c>
      <c r="N1176" s="65">
        <f>23678*1000000</f>
        <v>23678000000</v>
      </c>
      <c r="O1176" s="66">
        <v>0.3725</v>
      </c>
      <c r="P1176" s="67" t="s">
        <v>286</v>
      </c>
      <c r="Q1176" s="65">
        <v>2</v>
      </c>
      <c r="R1176" s="65">
        <v>4</v>
      </c>
      <c r="S1176" s="65">
        <v>3</v>
      </c>
      <c r="T1176" s="65">
        <f t="shared" si="111"/>
        <v>7</v>
      </c>
      <c r="U1176" s="68">
        <v>7.7499999999999999E-2</v>
      </c>
      <c r="V1176" s="65">
        <v>0</v>
      </c>
      <c r="W1176" s="65">
        <v>0</v>
      </c>
      <c r="X1176" s="65">
        <v>0</v>
      </c>
      <c r="Y1176" s="64"/>
    </row>
    <row r="1177" spans="1:25" s="54" customFormat="1" ht="15" customHeight="1" x14ac:dyDescent="0.3">
      <c r="A1177" s="63"/>
      <c r="B1177" s="64"/>
      <c r="C1177" s="55"/>
      <c r="D1177" s="64">
        <v>2023</v>
      </c>
      <c r="E1177" s="65">
        <f>27403*1000000</f>
        <v>27403000000</v>
      </c>
      <c r="F1177" s="65">
        <f>(27403+95000+47204+2173+8362)*1000000</f>
        <v>180142000000</v>
      </c>
      <c r="G1177" s="65">
        <f>1085789*1000000</f>
        <v>1085789000000</v>
      </c>
      <c r="H1177" s="65">
        <f>70858*1000000</f>
        <v>70858000000</v>
      </c>
      <c r="I1177" s="65">
        <f>769319*1000000</f>
        <v>769319000000</v>
      </c>
      <c r="J1177" s="65">
        <f>120114*1000000</f>
        <v>120114000000</v>
      </c>
      <c r="K1177" s="65">
        <f>316470*1000000</f>
        <v>316470000000</v>
      </c>
      <c r="L1177" s="65">
        <f>385445*1000000</f>
        <v>385445000000</v>
      </c>
      <c r="M1177" s="65">
        <f>72275*1000000</f>
        <v>72275000000</v>
      </c>
      <c r="N1177" s="65">
        <f>65325*1000000</f>
        <v>65325000000</v>
      </c>
      <c r="O1177" s="66">
        <v>0.3725</v>
      </c>
      <c r="P1177" s="67" t="s">
        <v>286</v>
      </c>
      <c r="Q1177" s="65">
        <v>2</v>
      </c>
      <c r="R1177" s="65">
        <v>4</v>
      </c>
      <c r="S1177" s="65">
        <v>3</v>
      </c>
      <c r="T1177" s="65">
        <f t="shared" si="111"/>
        <v>7</v>
      </c>
      <c r="U1177" s="68">
        <v>7.7499999999999999E-2</v>
      </c>
      <c r="V1177" s="65">
        <v>0</v>
      </c>
      <c r="W1177" s="65">
        <v>0</v>
      </c>
      <c r="X1177" s="65">
        <v>0</v>
      </c>
      <c r="Y1177" s="64"/>
    </row>
    <row r="1178" spans="1:25" s="54" customFormat="1" ht="15" customHeight="1" x14ac:dyDescent="0.3">
      <c r="A1178" s="63"/>
      <c r="B1178" s="64"/>
      <c r="C1178" s="55"/>
      <c r="D1178" s="64">
        <v>2024</v>
      </c>
      <c r="E1178" s="65">
        <f>24427*1000000</f>
        <v>24427000000</v>
      </c>
      <c r="F1178" s="65">
        <f>(24427+103689+48357+327+10891)*1000000</f>
        <v>187691000000</v>
      </c>
      <c r="G1178" s="65">
        <f>1280162*1000000</f>
        <v>1280162000000</v>
      </c>
      <c r="H1178" s="65">
        <f>77100*1000000</f>
        <v>77100000000</v>
      </c>
      <c r="I1178" s="65">
        <f>888613*1000000</f>
        <v>888613000000</v>
      </c>
      <c r="J1178" s="65">
        <f>201191*1000000</f>
        <v>201191000000</v>
      </c>
      <c r="K1178" s="65">
        <f>391579*1000000</f>
        <v>391579000000</v>
      </c>
      <c r="L1178" s="65">
        <f>441060*1000000</f>
        <v>441060000000</v>
      </c>
      <c r="M1178" s="65">
        <f>88140*1000000</f>
        <v>88140000000</v>
      </c>
      <c r="N1178" s="65">
        <f>75079*1000000</f>
        <v>75079000000</v>
      </c>
      <c r="O1178" s="66">
        <v>0.3725</v>
      </c>
      <c r="P1178" s="67" t="s">
        <v>286</v>
      </c>
      <c r="Q1178" s="65">
        <v>2</v>
      </c>
      <c r="R1178" s="65">
        <v>3</v>
      </c>
      <c r="S1178" s="65">
        <v>3</v>
      </c>
      <c r="T1178" s="65">
        <f t="shared" si="111"/>
        <v>6</v>
      </c>
      <c r="U1178" s="68">
        <v>7.7499999999999999E-2</v>
      </c>
      <c r="V1178" s="65">
        <v>0</v>
      </c>
      <c r="W1178" s="65">
        <v>0</v>
      </c>
      <c r="X1178" s="65">
        <v>0</v>
      </c>
      <c r="Y1178" s="64"/>
    </row>
    <row r="1179" spans="1:25" s="54" customFormat="1" ht="15" customHeight="1" x14ac:dyDescent="0.3">
      <c r="A1179" s="63"/>
      <c r="B1179" s="64">
        <v>108</v>
      </c>
      <c r="C1179" s="76" t="s">
        <v>125</v>
      </c>
      <c r="D1179" s="64">
        <v>2014</v>
      </c>
      <c r="E1179" s="65">
        <v>0</v>
      </c>
      <c r="F1179" s="65">
        <v>0</v>
      </c>
      <c r="G1179" s="65">
        <v>0</v>
      </c>
      <c r="H1179" s="65">
        <v>0</v>
      </c>
      <c r="I1179" s="65">
        <v>0</v>
      </c>
      <c r="J1179" s="65">
        <v>0</v>
      </c>
      <c r="K1179" s="65">
        <v>0</v>
      </c>
      <c r="L1179" s="65">
        <f>326122*1000000</f>
        <v>326122000000</v>
      </c>
      <c r="M1179" s="65">
        <v>0</v>
      </c>
      <c r="N1179" s="65">
        <v>0</v>
      </c>
      <c r="O1179" s="65">
        <v>0</v>
      </c>
      <c r="P1179" s="65">
        <v>0</v>
      </c>
      <c r="Q1179" s="65">
        <v>0</v>
      </c>
      <c r="R1179" s="65">
        <v>0</v>
      </c>
      <c r="S1179" s="65">
        <v>0</v>
      </c>
      <c r="T1179" s="65">
        <v>0</v>
      </c>
      <c r="U1179" s="65">
        <v>0</v>
      </c>
      <c r="V1179" s="65">
        <v>0</v>
      </c>
      <c r="W1179" s="65">
        <v>0</v>
      </c>
      <c r="X1179" s="65">
        <v>0</v>
      </c>
      <c r="Y1179" s="64"/>
    </row>
    <row r="1180" spans="1:25" s="54" customFormat="1" ht="15" customHeight="1" x14ac:dyDescent="0.3">
      <c r="A1180" s="63"/>
      <c r="B1180" s="64"/>
      <c r="C1180" s="76"/>
      <c r="D1180" s="64">
        <v>2015</v>
      </c>
      <c r="E1180" s="65">
        <f>37352*1000000</f>
        <v>37352000000</v>
      </c>
      <c r="F1180" s="65">
        <f>(37352+102520+118181+1121+432966)*1000000</f>
        <v>692140000000</v>
      </c>
      <c r="G1180" s="65">
        <f>1342781*1000000</f>
        <v>1342781000000</v>
      </c>
      <c r="H1180" s="65">
        <f>(928826-23553-786008)*1000000</f>
        <v>119265000000</v>
      </c>
      <c r="I1180" s="65">
        <f>928826*1000000</f>
        <v>928826000000</v>
      </c>
      <c r="J1180" s="65">
        <f>(14049+232660)*1000000</f>
        <v>246709000000</v>
      </c>
      <c r="K1180" s="65">
        <f>388717*1000000</f>
        <v>388717000000</v>
      </c>
      <c r="L1180" s="65">
        <f>329295*1000000</f>
        <v>329295000000</v>
      </c>
      <c r="M1180" s="65">
        <f>16912*1000000</f>
        <v>16912000000</v>
      </c>
      <c r="N1180" s="65">
        <f>130435*1000000</f>
        <v>130435000000</v>
      </c>
      <c r="O1180" s="66">
        <v>0.66</v>
      </c>
      <c r="P1180" s="67" t="s">
        <v>287</v>
      </c>
      <c r="Q1180" s="65">
        <v>2</v>
      </c>
      <c r="R1180" s="65">
        <v>4</v>
      </c>
      <c r="S1180" s="65">
        <v>4</v>
      </c>
      <c r="T1180" s="65">
        <f>SUM(R1180:S1180)</f>
        <v>8</v>
      </c>
      <c r="U1180" s="68">
        <v>0</v>
      </c>
      <c r="V1180" s="65">
        <v>0</v>
      </c>
      <c r="W1180" s="65">
        <f t="shared" ref="W1180:W1218" si="112">V1180</f>
        <v>0</v>
      </c>
      <c r="X1180" s="65">
        <v>0</v>
      </c>
      <c r="Y1180" s="64"/>
    </row>
    <row r="1181" spans="1:25" s="54" customFormat="1" ht="15" customHeight="1" x14ac:dyDescent="0.3">
      <c r="A1181" s="63"/>
      <c r="B1181" s="64"/>
      <c r="C1181" s="76"/>
      <c r="D1181" s="64">
        <v>2016</v>
      </c>
      <c r="E1181" s="65">
        <f>42221*1000000</f>
        <v>42221000000</v>
      </c>
      <c r="F1181" s="65">
        <f>(42221+167822+76754+780+397146)*1000000</f>
        <v>684723000000</v>
      </c>
      <c r="G1181" s="65">
        <f>1316613*1000000</f>
        <v>1316613000000</v>
      </c>
      <c r="H1181" s="65">
        <f>(892922-20971-690848)*1000000</f>
        <v>181103000000</v>
      </c>
      <c r="I1181" s="65">
        <f>892922*1000000</f>
        <v>892922000000</v>
      </c>
      <c r="J1181" s="65">
        <f>(14049+253620)*1000000</f>
        <v>267669000000</v>
      </c>
      <c r="K1181" s="65">
        <f>414363*1000000</f>
        <v>414363000000</v>
      </c>
      <c r="L1181" s="65">
        <f>296642*1000000</f>
        <v>296642000000</v>
      </c>
      <c r="M1181" s="65">
        <f>40065*1000000</f>
        <v>40065000000</v>
      </c>
      <c r="N1181" s="65">
        <f>25738*1000000</f>
        <v>25738000000</v>
      </c>
      <c r="O1181" s="66">
        <v>0.66</v>
      </c>
      <c r="P1181" s="67" t="s">
        <v>287</v>
      </c>
      <c r="Q1181" s="65">
        <v>1</v>
      </c>
      <c r="R1181" s="65">
        <v>3</v>
      </c>
      <c r="S1181" s="65">
        <v>4</v>
      </c>
      <c r="T1181" s="65">
        <f t="shared" ref="T1181:T1189" si="113">SUM(R1181:S1181)</f>
        <v>7</v>
      </c>
      <c r="U1181" s="68">
        <v>0</v>
      </c>
      <c r="V1181" s="65">
        <v>0</v>
      </c>
      <c r="W1181" s="65">
        <f t="shared" si="112"/>
        <v>0</v>
      </c>
      <c r="X1181" s="65">
        <v>0</v>
      </c>
      <c r="Y1181" s="64"/>
    </row>
    <row r="1182" spans="1:25" s="54" customFormat="1" ht="15" customHeight="1" x14ac:dyDescent="0.3">
      <c r="A1182" s="63"/>
      <c r="B1182" s="64"/>
      <c r="C1182" s="76"/>
      <c r="D1182" s="64">
        <v>2017</v>
      </c>
      <c r="E1182" s="65">
        <f>16978*1000000</f>
        <v>16978000000</v>
      </c>
      <c r="F1182" s="65">
        <f>(16978+209909+408379+59551+971)*1000000</f>
        <v>695788000000</v>
      </c>
      <c r="G1182" s="65">
        <f>1393354*1000000</f>
        <v>1393354000000</v>
      </c>
      <c r="H1182" s="69">
        <f>255461*1000000</f>
        <v>255461000000</v>
      </c>
      <c r="I1182" s="65">
        <f>973737*1000000</f>
        <v>973737000000</v>
      </c>
      <c r="J1182" s="65">
        <f>207055*1000000</f>
        <v>207055000000</v>
      </c>
      <c r="K1182" s="65">
        <f>419617*1000000</f>
        <v>419617000000</v>
      </c>
      <c r="L1182" s="65">
        <f>282671*1000000</f>
        <v>282671000000</v>
      </c>
      <c r="M1182" s="65">
        <f>40709*1000000</f>
        <v>40709000000</v>
      </c>
      <c r="N1182" s="65">
        <f>34230*1000000</f>
        <v>34230000000</v>
      </c>
      <c r="O1182" s="70">
        <v>0</v>
      </c>
      <c r="P1182" s="67">
        <v>0</v>
      </c>
      <c r="Q1182" s="65">
        <v>0</v>
      </c>
      <c r="R1182" s="65"/>
      <c r="S1182" s="65"/>
      <c r="T1182" s="65">
        <f t="shared" si="113"/>
        <v>0</v>
      </c>
      <c r="U1182" s="75">
        <v>0</v>
      </c>
      <c r="V1182" s="65"/>
      <c r="W1182" s="65">
        <f t="shared" si="112"/>
        <v>0</v>
      </c>
      <c r="X1182" s="65">
        <v>0</v>
      </c>
      <c r="Y1182" s="64"/>
    </row>
    <row r="1183" spans="1:25" s="54" customFormat="1" ht="15" customHeight="1" x14ac:dyDescent="0.3">
      <c r="A1183" s="63"/>
      <c r="B1183" s="64"/>
      <c r="C1183" s="76"/>
      <c r="D1183" s="64">
        <v>2018</v>
      </c>
      <c r="E1183" s="65">
        <f>27470*1000000</f>
        <v>27470000000</v>
      </c>
      <c r="F1183" s="65">
        <f>(27470+206088+663908+49938+1564)*1000000</f>
        <v>948968000000</v>
      </c>
      <c r="G1183" s="65">
        <f>1768434*1000000</f>
        <v>1768434000000</v>
      </c>
      <c r="H1183" s="65">
        <f>287932*1000000</f>
        <v>287932000000</v>
      </c>
      <c r="I1183" s="65">
        <f>1328090*1000000</f>
        <v>1328090000000</v>
      </c>
      <c r="J1183" s="65">
        <f>227956*1000000</f>
        <v>227956000000</v>
      </c>
      <c r="K1183" s="65">
        <f>440344*1000000</f>
        <v>440344000000</v>
      </c>
      <c r="L1183" s="65">
        <f>301445*1000000</f>
        <v>301445000000</v>
      </c>
      <c r="M1183" s="65">
        <f>47156*1000000</f>
        <v>47156000000</v>
      </c>
      <c r="N1183" s="65">
        <f>34927*1000000</f>
        <v>34927000000</v>
      </c>
      <c r="O1183" s="66">
        <v>0.63</v>
      </c>
      <c r="P1183" s="67" t="s">
        <v>287</v>
      </c>
      <c r="Q1183" s="65">
        <v>3</v>
      </c>
      <c r="R1183" s="65">
        <v>4</v>
      </c>
      <c r="S1183" s="65">
        <v>4</v>
      </c>
      <c r="T1183" s="65">
        <f t="shared" si="113"/>
        <v>8</v>
      </c>
      <c r="U1183" s="68">
        <v>0</v>
      </c>
      <c r="V1183" s="65">
        <v>0</v>
      </c>
      <c r="W1183" s="65">
        <f t="shared" si="112"/>
        <v>0</v>
      </c>
      <c r="X1183" s="65">
        <v>0</v>
      </c>
      <c r="Y1183" s="64"/>
    </row>
    <row r="1184" spans="1:25" s="54" customFormat="1" ht="15" customHeight="1" x14ac:dyDescent="0.3">
      <c r="A1184" s="63"/>
      <c r="B1184" s="64"/>
      <c r="C1184" s="76"/>
      <c r="D1184" s="64">
        <v>2019</v>
      </c>
      <c r="E1184" s="65">
        <f>31931*1000000</f>
        <v>31931000000</v>
      </c>
      <c r="F1184" s="69">
        <f>(31931+207775+440456+65531+1934)*1000000</f>
        <v>747627000000</v>
      </c>
      <c r="G1184" s="65">
        <f>1704845*1000000</f>
        <v>1704845000000</v>
      </c>
      <c r="H1184" s="65">
        <f>355930*1000000</f>
        <v>355930000000</v>
      </c>
      <c r="I1184" s="65">
        <f>1233545*1000000</f>
        <v>1233545000000</v>
      </c>
      <c r="J1184" s="65">
        <f>248709*1000000</f>
        <v>248709000000</v>
      </c>
      <c r="K1184" s="65">
        <f>471299*1000000</f>
        <v>471299000000</v>
      </c>
      <c r="L1184" s="65">
        <f>318724*1000000</f>
        <v>318724000000</v>
      </c>
      <c r="M1184" s="65">
        <f>47950*1000000</f>
        <v>47950000000</v>
      </c>
      <c r="N1184" s="65">
        <f>48455*1000000</f>
        <v>48455000000</v>
      </c>
      <c r="O1184" s="70">
        <v>0</v>
      </c>
      <c r="P1184" s="67">
        <v>0</v>
      </c>
      <c r="Q1184" s="65">
        <v>0</v>
      </c>
      <c r="R1184" s="65">
        <v>0</v>
      </c>
      <c r="S1184" s="65">
        <v>0</v>
      </c>
      <c r="T1184" s="65">
        <f t="shared" si="113"/>
        <v>0</v>
      </c>
      <c r="U1184" s="75">
        <v>0</v>
      </c>
      <c r="V1184" s="65">
        <v>0</v>
      </c>
      <c r="W1184" s="65">
        <v>0</v>
      </c>
      <c r="X1184" s="65">
        <v>0</v>
      </c>
      <c r="Y1184" s="64"/>
    </row>
    <row r="1185" spans="1:25" s="54" customFormat="1" ht="15" customHeight="1" x14ac:dyDescent="0.3">
      <c r="A1185" s="63"/>
      <c r="B1185" s="64"/>
      <c r="C1185" s="76"/>
      <c r="D1185" s="64">
        <v>2020</v>
      </c>
      <c r="E1185" s="65">
        <f>36607*1000000</f>
        <v>36607000000</v>
      </c>
      <c r="F1185" s="65">
        <f>(36607+198244+453138+77789+2659)*1000000</f>
        <v>768437000000</v>
      </c>
      <c r="G1185" s="65">
        <f>1867407*1000000</f>
        <v>1867407000000</v>
      </c>
      <c r="H1185" s="65">
        <f>353206*1000000</f>
        <v>353206000000</v>
      </c>
      <c r="I1185" s="65">
        <f>1381000*1000000</f>
        <v>1381000000000</v>
      </c>
      <c r="J1185" s="65">
        <f>259194*1000000</f>
        <v>259194000000</v>
      </c>
      <c r="K1185" s="65">
        <f>486407*1000000</f>
        <v>486407000000</v>
      </c>
      <c r="L1185" s="65">
        <f>295210*1000000</f>
        <v>295210000000</v>
      </c>
      <c r="M1185" s="65">
        <f>35749*1000000</f>
        <v>35749000000</v>
      </c>
      <c r="N1185" s="65">
        <f>35108*1000000</f>
        <v>35108000000</v>
      </c>
      <c r="O1185" s="66">
        <v>0.63</v>
      </c>
      <c r="P1185" s="67" t="s">
        <v>287</v>
      </c>
      <c r="Q1185" s="65">
        <v>3</v>
      </c>
      <c r="R1185" s="65">
        <v>4</v>
      </c>
      <c r="S1185" s="65">
        <v>4</v>
      </c>
      <c r="T1185" s="65">
        <f t="shared" si="113"/>
        <v>8</v>
      </c>
      <c r="U1185" s="68">
        <v>0</v>
      </c>
      <c r="V1185" s="65">
        <v>0</v>
      </c>
      <c r="W1185" s="65">
        <v>0</v>
      </c>
      <c r="X1185" s="65">
        <v>0</v>
      </c>
      <c r="Y1185" s="64"/>
    </row>
    <row r="1186" spans="1:25" s="54" customFormat="1" ht="15" customHeight="1" x14ac:dyDescent="0.3">
      <c r="A1186" s="63"/>
      <c r="B1186" s="64"/>
      <c r="C1186" s="76"/>
      <c r="D1186" s="64">
        <v>2021</v>
      </c>
      <c r="E1186" s="65">
        <f>31607*1000000</f>
        <v>31607000000</v>
      </c>
      <c r="F1186" s="65">
        <f>(31607+166233+869646+80810+3308)*1000000</f>
        <v>1151604000000</v>
      </c>
      <c r="G1186" s="65">
        <f>2331114*1000000</f>
        <v>2331114000000</v>
      </c>
      <c r="H1186" s="65">
        <f>332105*1000000</f>
        <v>332105000000</v>
      </c>
      <c r="I1186" s="65">
        <f>1809087*1000000</f>
        <v>1809087000000</v>
      </c>
      <c r="J1186" s="65">
        <f>300574*1000000</f>
        <v>300574000000</v>
      </c>
      <c r="K1186" s="65">
        <f>522027*1000000</f>
        <v>522027000000</v>
      </c>
      <c r="L1186" s="65">
        <f>375861*1000000</f>
        <v>375861000000</v>
      </c>
      <c r="M1186" s="65">
        <f>76478*1000000</f>
        <v>76478000000</v>
      </c>
      <c r="N1186" s="65">
        <f>55620*1000000</f>
        <v>55620000000</v>
      </c>
      <c r="O1186" s="66">
        <v>0.629</v>
      </c>
      <c r="P1186" s="67" t="s">
        <v>287</v>
      </c>
      <c r="Q1186" s="65">
        <v>2</v>
      </c>
      <c r="R1186" s="65">
        <v>3</v>
      </c>
      <c r="S1186" s="65">
        <v>4</v>
      </c>
      <c r="T1186" s="65">
        <f t="shared" si="113"/>
        <v>7</v>
      </c>
      <c r="U1186" s="68">
        <v>0</v>
      </c>
      <c r="V1186" s="65">
        <v>0</v>
      </c>
      <c r="W1186" s="65">
        <v>0</v>
      </c>
      <c r="X1186" s="65">
        <v>0</v>
      </c>
      <c r="Y1186" s="64"/>
    </row>
    <row r="1187" spans="1:25" s="54" customFormat="1" ht="15" customHeight="1" x14ac:dyDescent="0.3">
      <c r="A1187" s="63"/>
      <c r="B1187" s="64"/>
      <c r="C1187" s="76"/>
      <c r="D1187" s="64">
        <v>2022</v>
      </c>
      <c r="E1187" s="65">
        <f>46797*1000000</f>
        <v>46797000000</v>
      </c>
      <c r="F1187" s="65">
        <f>(46797+195075+1035010+33770+5746)*1000000</f>
        <v>1316398000000</v>
      </c>
      <c r="G1187" s="65">
        <f>2797976*1000000</f>
        <v>2797976000000</v>
      </c>
      <c r="H1187" s="65">
        <f>453906*1000000</f>
        <v>453906000000</v>
      </c>
      <c r="I1187" s="65">
        <f>2235549*1000000</f>
        <v>2235549000000</v>
      </c>
      <c r="J1187" s="65">
        <f>348734*1000000</f>
        <v>348734000000</v>
      </c>
      <c r="K1187" s="65">
        <f>562427*1000000</f>
        <v>562427000000</v>
      </c>
      <c r="L1187" s="65">
        <f>398799*1000000</f>
        <v>398799000000</v>
      </c>
      <c r="M1187" s="65">
        <f>101566*1000000</f>
        <v>101566000000</v>
      </c>
      <c r="N1187" s="65">
        <f>77227*1000000</f>
        <v>77227000000</v>
      </c>
      <c r="O1187" s="66">
        <v>0.629</v>
      </c>
      <c r="P1187" s="67" t="s">
        <v>287</v>
      </c>
      <c r="Q1187" s="65">
        <v>2</v>
      </c>
      <c r="R1187" s="65">
        <v>3</v>
      </c>
      <c r="S1187" s="65">
        <v>4</v>
      </c>
      <c r="T1187" s="65">
        <f t="shared" si="113"/>
        <v>7</v>
      </c>
      <c r="U1187" s="68">
        <v>0</v>
      </c>
      <c r="V1187" s="65">
        <v>0</v>
      </c>
      <c r="W1187" s="65">
        <v>0</v>
      </c>
      <c r="X1187" s="65">
        <v>0</v>
      </c>
      <c r="Y1187" s="64"/>
    </row>
    <row r="1188" spans="1:25" s="54" customFormat="1" ht="15" customHeight="1" x14ac:dyDescent="0.3">
      <c r="A1188" s="63"/>
      <c r="B1188" s="64"/>
      <c r="C1188" s="76"/>
      <c r="D1188" s="64">
        <v>2023</v>
      </c>
      <c r="E1188" s="65">
        <f>177539*1000000</f>
        <v>177539000000</v>
      </c>
      <c r="F1188" s="65">
        <f>(177539+173307+1443285+27055+7515)*1000000</f>
        <v>1828701000000</v>
      </c>
      <c r="G1188" s="65">
        <f>3492067*1000000</f>
        <v>3492067000000</v>
      </c>
      <c r="H1188" s="65">
        <f>465383*1000000</f>
        <v>465383000000</v>
      </c>
      <c r="I1188" s="65">
        <f>2862552*1000000</f>
        <v>2862552000000</v>
      </c>
      <c r="J1188" s="65">
        <f>404888*1000000</f>
        <v>404888000000</v>
      </c>
      <c r="K1188" s="65">
        <f>629515*1000000</f>
        <v>629515000000</v>
      </c>
      <c r="L1188" s="65">
        <f>527060*1000000</f>
        <v>527060000000</v>
      </c>
      <c r="M1188" s="65">
        <f>123802*1000000</f>
        <v>123802000000</v>
      </c>
      <c r="N1188" s="65">
        <f>113831*1000000</f>
        <v>113831000000</v>
      </c>
      <c r="O1188" s="66">
        <v>0.63</v>
      </c>
      <c r="P1188" s="67" t="s">
        <v>287</v>
      </c>
      <c r="Q1188" s="65">
        <v>2</v>
      </c>
      <c r="R1188" s="65">
        <v>3</v>
      </c>
      <c r="S1188" s="65">
        <v>4</v>
      </c>
      <c r="T1188" s="65">
        <f t="shared" si="113"/>
        <v>7</v>
      </c>
      <c r="U1188" s="68">
        <v>0</v>
      </c>
      <c r="V1188" s="65">
        <v>0</v>
      </c>
      <c r="W1188" s="65">
        <v>0</v>
      </c>
      <c r="X1188" s="65">
        <v>0</v>
      </c>
      <c r="Y1188" s="64"/>
    </row>
    <row r="1189" spans="1:25" s="54" customFormat="1" ht="15" customHeight="1" x14ac:dyDescent="0.3">
      <c r="A1189" s="63"/>
      <c r="B1189" s="64"/>
      <c r="C1189" s="76"/>
      <c r="D1189" s="64">
        <v>2024</v>
      </c>
      <c r="E1189" s="65">
        <f>188598*1000000</f>
        <v>188598000000</v>
      </c>
      <c r="F1189" s="65">
        <f>(188598+216811+1551564+9198+8066)*1000000</f>
        <v>1974237000000</v>
      </c>
      <c r="G1189" s="65">
        <f>3901353*1000000</f>
        <v>3901353000000</v>
      </c>
      <c r="H1189" s="65">
        <f>470191*1000000</f>
        <v>470191000000</v>
      </c>
      <c r="I1189" s="65">
        <f>3205418*1000000</f>
        <v>3205418000000</v>
      </c>
      <c r="J1189" s="65">
        <f>479411*1000000</f>
        <v>479411000000</v>
      </c>
      <c r="K1189" s="65">
        <f>695935*1000000</f>
        <v>695935000000</v>
      </c>
      <c r="L1189" s="65">
        <f>775061*1000000</f>
        <v>775061000000</v>
      </c>
      <c r="M1189" s="65">
        <f>149933*1000000</f>
        <v>149933000000</v>
      </c>
      <c r="N1189" s="65">
        <f>115420*1000000</f>
        <v>115420000000</v>
      </c>
      <c r="O1189" s="66">
        <v>0.63</v>
      </c>
      <c r="P1189" s="67" t="s">
        <v>287</v>
      </c>
      <c r="Q1189" s="65">
        <v>2</v>
      </c>
      <c r="R1189" s="65">
        <v>3</v>
      </c>
      <c r="S1189" s="65">
        <v>4</v>
      </c>
      <c r="T1189" s="65">
        <f t="shared" si="113"/>
        <v>7</v>
      </c>
      <c r="U1189" s="68">
        <v>0</v>
      </c>
      <c r="V1189" s="65">
        <v>0</v>
      </c>
      <c r="W1189" s="65">
        <v>0</v>
      </c>
      <c r="X1189" s="65">
        <v>0</v>
      </c>
      <c r="Y1189" s="64"/>
    </row>
    <row r="1190" spans="1:25" s="54" customFormat="1" ht="15" customHeight="1" x14ac:dyDescent="0.3">
      <c r="A1190" s="63"/>
      <c r="B1190" s="64">
        <v>109</v>
      </c>
      <c r="C1190" s="55" t="s">
        <v>106</v>
      </c>
      <c r="D1190" s="64">
        <v>2014</v>
      </c>
      <c r="E1190" s="65">
        <v>0</v>
      </c>
      <c r="F1190" s="65">
        <v>0</v>
      </c>
      <c r="G1190" s="65">
        <v>0</v>
      </c>
      <c r="H1190" s="65">
        <v>0</v>
      </c>
      <c r="I1190" s="65">
        <v>0</v>
      </c>
      <c r="J1190" s="65">
        <v>0</v>
      </c>
      <c r="K1190" s="65">
        <v>0</v>
      </c>
      <c r="L1190" s="65">
        <f>614807*1000000</f>
        <v>614807000000</v>
      </c>
      <c r="M1190" s="65">
        <v>0</v>
      </c>
      <c r="N1190" s="65">
        <v>0</v>
      </c>
      <c r="O1190" s="65">
        <v>0</v>
      </c>
      <c r="P1190" s="65">
        <v>0</v>
      </c>
      <c r="Q1190" s="65">
        <v>0</v>
      </c>
      <c r="R1190" s="65">
        <v>0</v>
      </c>
      <c r="S1190" s="65">
        <v>0</v>
      </c>
      <c r="T1190" s="65">
        <v>0</v>
      </c>
      <c r="U1190" s="65">
        <v>0</v>
      </c>
      <c r="V1190" s="65">
        <v>0</v>
      </c>
      <c r="W1190" s="65">
        <v>0</v>
      </c>
      <c r="X1190" s="65">
        <v>0</v>
      </c>
      <c r="Y1190" s="64"/>
    </row>
    <row r="1191" spans="1:25" s="54" customFormat="1" ht="15" customHeight="1" x14ac:dyDescent="0.3">
      <c r="A1191" s="63"/>
      <c r="B1191" s="64"/>
      <c r="C1191" s="55"/>
      <c r="D1191" s="64">
        <v>2015</v>
      </c>
      <c r="E1191" s="65">
        <f>60348*1000000</f>
        <v>60348000000</v>
      </c>
      <c r="F1191" s="65">
        <f>(60348+1144889+201757+118194+3957893)*1000000</f>
        <v>5483081000000</v>
      </c>
      <c r="G1191" s="65">
        <f>9091174*1000000</f>
        <v>9091174000000</v>
      </c>
      <c r="H1191" s="65">
        <f>(18435+1181840+39642+1862+168170)*1000000</f>
        <v>1409949000000</v>
      </c>
      <c r="I1191" s="65">
        <f>5778925*1000000</f>
        <v>5778925000000</v>
      </c>
      <c r="J1191" s="65">
        <f>(439859+1833562)*1000000</f>
        <v>2273421000000</v>
      </c>
      <c r="K1191" s="65">
        <f>3309243*1000000</f>
        <v>3309243000000</v>
      </c>
      <c r="L1191" s="65">
        <f>653110*1000000</f>
        <v>653110000000</v>
      </c>
      <c r="M1191" s="65">
        <f>182917*1000000</f>
        <v>182917000000</v>
      </c>
      <c r="N1191" s="65">
        <f>149742*1000000</f>
        <v>149742000000</v>
      </c>
      <c r="O1191" s="66">
        <v>0.95</v>
      </c>
      <c r="P1191" s="67" t="s">
        <v>311</v>
      </c>
      <c r="Q1191" s="65">
        <v>2</v>
      </c>
      <c r="R1191" s="65">
        <v>5</v>
      </c>
      <c r="S1191" s="65">
        <v>4</v>
      </c>
      <c r="T1191" s="65">
        <f>SUM(R1191:S1191)</f>
        <v>9</v>
      </c>
      <c r="U1191" s="68">
        <v>0</v>
      </c>
      <c r="V1191" s="65">
        <f>5+(2*5)+(3*2)</f>
        <v>21</v>
      </c>
      <c r="W1191" s="65">
        <f>V1191</f>
        <v>21</v>
      </c>
      <c r="X1191" s="65">
        <f>4+(2*2)+3</f>
        <v>11</v>
      </c>
      <c r="Y1191" s="64"/>
    </row>
    <row r="1192" spans="1:25" s="54" customFormat="1" ht="15" customHeight="1" x14ac:dyDescent="0.3">
      <c r="A1192" s="63"/>
      <c r="B1192" s="64"/>
      <c r="C1192" s="55"/>
      <c r="D1192" s="64">
        <v>2016</v>
      </c>
      <c r="E1192" s="65">
        <f>83299*1000000</f>
        <v>83299000000</v>
      </c>
      <c r="F1192" s="65">
        <f>(83299+3897265+1287095+520659+87337)*1000000</f>
        <v>5875655000000</v>
      </c>
      <c r="G1192" s="65">
        <f>8872768*1000000</f>
        <v>8872768000000</v>
      </c>
      <c r="H1192" s="65">
        <f>(285969+1435481+33464+45178+83820)*1000000</f>
        <v>1883912000000</v>
      </c>
      <c r="I1192" s="65">
        <f>5474975*1000000</f>
        <v>5474975000000</v>
      </c>
      <c r="J1192" s="65">
        <f>(439859+1990967)*1000000</f>
        <v>2430826000000</v>
      </c>
      <c r="K1192" s="65">
        <f>3393737*1000000</f>
        <v>3393737000000</v>
      </c>
      <c r="L1192" s="65">
        <f>664567*1000000</f>
        <v>664567000000</v>
      </c>
      <c r="M1192" s="65">
        <f>207711*1000000</f>
        <v>207711000000</v>
      </c>
      <c r="N1192" s="65">
        <f>166253*1000000</f>
        <v>166253000000</v>
      </c>
      <c r="O1192" s="66">
        <v>0.95</v>
      </c>
      <c r="P1192" s="67" t="s">
        <v>311</v>
      </c>
      <c r="Q1192" s="65">
        <v>2</v>
      </c>
      <c r="R1192" s="65">
        <v>5</v>
      </c>
      <c r="S1192" s="65">
        <v>4</v>
      </c>
      <c r="T1192" s="65">
        <f t="shared" ref="T1192:T1200" si="114">SUM(R1192:S1192)</f>
        <v>9</v>
      </c>
      <c r="U1192" s="68">
        <v>0</v>
      </c>
      <c r="V1192" s="65">
        <f>5+(4*2)+3</f>
        <v>16</v>
      </c>
      <c r="W1192" s="65">
        <f>V1192</f>
        <v>16</v>
      </c>
      <c r="X1192" s="65">
        <f>4+(2*2)+3</f>
        <v>11</v>
      </c>
      <c r="Y1192" s="64"/>
    </row>
    <row r="1193" spans="1:25" s="54" customFormat="1" ht="15" customHeight="1" x14ac:dyDescent="0.3">
      <c r="A1193" s="63"/>
      <c r="B1193" s="64"/>
      <c r="C1193" s="55"/>
      <c r="D1193" s="64">
        <v>2017</v>
      </c>
      <c r="E1193" s="65">
        <f>153394*1000000</f>
        <v>153394000000</v>
      </c>
      <c r="F1193" s="65">
        <f>(153394+903959+203732+2276367+89171+12719)*1000000</f>
        <v>3639342000000</v>
      </c>
      <c r="G1193" s="65">
        <f>8165389*1000000</f>
        <v>8165389000000</v>
      </c>
      <c r="H1193" s="65">
        <f>(1695387-244110-61025)*1000000</f>
        <v>1390252000000</v>
      </c>
      <c r="I1193" s="65">
        <f>4449194*1000000</f>
        <v>4449194000000</v>
      </c>
      <c r="J1193" s="65">
        <f>2678398*1000000</f>
        <v>2678398000000</v>
      </c>
      <c r="K1193" s="65">
        <f>3709251*1000000</f>
        <v>3709251000000</v>
      </c>
      <c r="L1193" s="65">
        <f>692206*1000000</f>
        <v>692206000000</v>
      </c>
      <c r="M1193" s="65">
        <f>352725*1000000</f>
        <v>352725000000</v>
      </c>
      <c r="N1193" s="65">
        <f>285370*1000000</f>
        <v>285370000000</v>
      </c>
      <c r="O1193" s="66">
        <v>0.95</v>
      </c>
      <c r="P1193" s="67" t="s">
        <v>311</v>
      </c>
      <c r="Q1193" s="65">
        <v>3</v>
      </c>
      <c r="R1193" s="65">
        <v>6</v>
      </c>
      <c r="S1193" s="65">
        <v>5</v>
      </c>
      <c r="T1193" s="65">
        <f t="shared" si="114"/>
        <v>11</v>
      </c>
      <c r="U1193" s="68">
        <v>0</v>
      </c>
      <c r="V1193" s="65">
        <f>6+(2*5)+(3*2)</f>
        <v>22</v>
      </c>
      <c r="W1193" s="65">
        <f>V1193</f>
        <v>22</v>
      </c>
      <c r="X1193" s="65">
        <f>5+(2*2)</f>
        <v>9</v>
      </c>
      <c r="Y1193" s="64"/>
    </row>
    <row r="1194" spans="1:25" s="54" customFormat="1" ht="15" customHeight="1" x14ac:dyDescent="0.3">
      <c r="A1194" s="63"/>
      <c r="B1194" s="64"/>
      <c r="C1194" s="55"/>
      <c r="D1194" s="64">
        <v>2018</v>
      </c>
      <c r="E1194" s="65">
        <f>67672*1000000</f>
        <v>67672000000</v>
      </c>
      <c r="F1194" s="65">
        <f>(67672+1013783+63631+3383525+241726+150453+15438)*1000000</f>
        <v>4936228000000</v>
      </c>
      <c r="G1194" s="65">
        <f>10452506*1000000</f>
        <v>10452506000000</v>
      </c>
      <c r="H1194" s="65">
        <f>1808654*1000000</f>
        <v>1808654000000</v>
      </c>
      <c r="I1194" s="65">
        <f>5785103*1000000</f>
        <v>5785103000000</v>
      </c>
      <c r="J1194" s="65">
        <f>3557283*1000000</f>
        <v>3557283000000</v>
      </c>
      <c r="K1194" s="65">
        <f>4667403*1000000</f>
        <v>4667403000000</v>
      </c>
      <c r="L1194" s="65">
        <f>794417*1000000</f>
        <v>794417000000</v>
      </c>
      <c r="M1194" s="65">
        <f>290982*1000000</f>
        <v>290982000000</v>
      </c>
      <c r="N1194" s="65">
        <f>226922*1000000</f>
        <v>226922000000</v>
      </c>
      <c r="O1194" s="66">
        <v>0.58499999999999996</v>
      </c>
      <c r="P1194" s="67" t="s">
        <v>311</v>
      </c>
      <c r="Q1194" s="65">
        <v>3</v>
      </c>
      <c r="R1194" s="65">
        <v>6</v>
      </c>
      <c r="S1194" s="65">
        <v>5</v>
      </c>
      <c r="T1194" s="65">
        <f t="shared" si="114"/>
        <v>11</v>
      </c>
      <c r="U1194" s="68">
        <v>0</v>
      </c>
      <c r="V1194" s="65">
        <f>6+(2*4)+3</f>
        <v>17</v>
      </c>
      <c r="W1194" s="65">
        <f t="shared" si="112"/>
        <v>17</v>
      </c>
      <c r="X1194" s="65">
        <f>5+4</f>
        <v>9</v>
      </c>
      <c r="Y1194" s="64"/>
    </row>
    <row r="1195" spans="1:25" s="54" customFormat="1" ht="15" customHeight="1" x14ac:dyDescent="0.3">
      <c r="A1195" s="63"/>
      <c r="B1195" s="64"/>
      <c r="C1195" s="55"/>
      <c r="D1195" s="64">
        <v>2019</v>
      </c>
      <c r="E1195" s="65">
        <f>170561*1000000</f>
        <v>170561000000</v>
      </c>
      <c r="F1195" s="65">
        <f>(1705611+1141630+77095+5233041+212455+164031+28585)*1000000</f>
        <v>8562448000000</v>
      </c>
      <c r="G1195" s="65">
        <f>12848766*1000000</f>
        <v>12848766000000</v>
      </c>
      <c r="H1195" s="65">
        <f>1880432*1000000</f>
        <v>1880432000000</v>
      </c>
      <c r="I1195" s="65">
        <f>7823887*1000000</f>
        <v>7823887000000</v>
      </c>
      <c r="J1195" s="65">
        <f>3873587*1000000</f>
        <v>3873587000000</v>
      </c>
      <c r="K1195" s="65">
        <f>5024879*1000000</f>
        <v>5024879000000</v>
      </c>
      <c r="L1195" s="65">
        <f>859742*1000000</f>
        <v>859742000000</v>
      </c>
      <c r="M1195" s="65">
        <f>447018*1000000</f>
        <v>447018000000</v>
      </c>
      <c r="N1195" s="65">
        <f>340899*1000000</f>
        <v>340899000000</v>
      </c>
      <c r="O1195" s="66">
        <v>0.58499999999999996</v>
      </c>
      <c r="P1195" s="67" t="s">
        <v>311</v>
      </c>
      <c r="Q1195" s="65">
        <v>3</v>
      </c>
      <c r="R1195" s="65">
        <v>6</v>
      </c>
      <c r="S1195" s="65">
        <v>4</v>
      </c>
      <c r="T1195" s="65">
        <f t="shared" si="114"/>
        <v>10</v>
      </c>
      <c r="U1195" s="68">
        <v>0</v>
      </c>
      <c r="V1195" s="65">
        <f>6+(5*2)+(3*2)</f>
        <v>22</v>
      </c>
      <c r="W1195" s="65">
        <f t="shared" si="112"/>
        <v>22</v>
      </c>
      <c r="X1195" s="65">
        <f>4+4</f>
        <v>8</v>
      </c>
      <c r="Y1195" s="64"/>
    </row>
    <row r="1196" spans="1:25" s="54" customFormat="1" ht="15" customHeight="1" x14ac:dyDescent="0.3">
      <c r="A1196" s="63"/>
      <c r="B1196" s="64"/>
      <c r="C1196" s="55"/>
      <c r="D1196" s="64">
        <v>2020</v>
      </c>
      <c r="E1196" s="65">
        <f>213824*1000000</f>
        <v>213824000000</v>
      </c>
      <c r="F1196" s="65">
        <f>(213824+1048466+91312+4586770+296363+245977+21934)*1000000</f>
        <v>6504646000000</v>
      </c>
      <c r="G1196" s="65">
        <f>12366469*1000000</f>
        <v>12366469000000</v>
      </c>
      <c r="H1196" s="65">
        <f>1836937*1000000</f>
        <v>1836937000000</v>
      </c>
      <c r="I1196" s="65">
        <f>7147757*1000000</f>
        <v>7147757000000</v>
      </c>
      <c r="J1196" s="65">
        <f>3995872*1000000</f>
        <v>3995872000000</v>
      </c>
      <c r="K1196" s="65">
        <f>5218711*1000000</f>
        <v>5218711000000</v>
      </c>
      <c r="L1196" s="65">
        <f>717074*1000000</f>
        <v>717074000000</v>
      </c>
      <c r="M1196" s="65">
        <f>306600*1000000</f>
        <v>306600000000</v>
      </c>
      <c r="N1196" s="65">
        <f>244847*1000000</f>
        <v>244847000000</v>
      </c>
      <c r="O1196" s="66">
        <v>0.58499999999999996</v>
      </c>
      <c r="P1196" s="67" t="s">
        <v>311</v>
      </c>
      <c r="Q1196" s="65">
        <v>3</v>
      </c>
      <c r="R1196" s="65">
        <v>6</v>
      </c>
      <c r="S1196" s="65">
        <v>6</v>
      </c>
      <c r="T1196" s="65">
        <f t="shared" si="114"/>
        <v>12</v>
      </c>
      <c r="U1196" s="68">
        <v>0</v>
      </c>
      <c r="V1196" s="65">
        <f>6+(2*6)+(3*2)</f>
        <v>24</v>
      </c>
      <c r="W1196" s="65">
        <f t="shared" si="112"/>
        <v>24</v>
      </c>
      <c r="X1196" s="65">
        <f>6+(2*3)</f>
        <v>12</v>
      </c>
      <c r="Y1196" s="64"/>
    </row>
    <row r="1197" spans="1:25" s="54" customFormat="1" ht="15" customHeight="1" x14ac:dyDescent="0.3">
      <c r="A1197" s="63"/>
      <c r="B1197" s="64"/>
      <c r="C1197" s="55"/>
      <c r="D1197" s="64">
        <v>2021</v>
      </c>
      <c r="E1197" s="65">
        <f>368851*1000000</f>
        <v>368851000000</v>
      </c>
      <c r="F1197" s="65">
        <f>(368851+1549414+151856+4414513+140423+470940+8966)*1000000</f>
        <v>7104963000000</v>
      </c>
      <c r="G1197" s="65">
        <f>12838271*1000000</f>
        <v>12838271000000</v>
      </c>
      <c r="H1197" s="65">
        <f>2241147*1000000</f>
        <v>2241147000000</v>
      </c>
      <c r="I1197" s="65">
        <f>7497879*1000000</f>
        <v>7497879000000</v>
      </c>
      <c r="J1197" s="65">
        <f>4138263*1000000</f>
        <v>4138263000000</v>
      </c>
      <c r="K1197" s="65">
        <f>5340392*1000000</f>
        <v>5340392000000</v>
      </c>
      <c r="L1197" s="65">
        <f>892366*1000000</f>
        <v>892366000000</v>
      </c>
      <c r="M1197" s="65">
        <f>287822*1000000</f>
        <v>287822000000</v>
      </c>
      <c r="N1197" s="65">
        <f>245397*1000000</f>
        <v>245397000000</v>
      </c>
      <c r="O1197" s="66">
        <v>0.58499999999999996</v>
      </c>
      <c r="P1197" s="67" t="s">
        <v>311</v>
      </c>
      <c r="Q1197" s="65">
        <v>3</v>
      </c>
      <c r="R1197" s="65">
        <v>6</v>
      </c>
      <c r="S1197" s="65">
        <v>6</v>
      </c>
      <c r="T1197" s="65">
        <f t="shared" si="114"/>
        <v>12</v>
      </c>
      <c r="U1197" s="68">
        <v>0</v>
      </c>
      <c r="V1197" s="65">
        <f>6+(2*6)+(3*2)</f>
        <v>24</v>
      </c>
      <c r="W1197" s="65">
        <f t="shared" si="112"/>
        <v>24</v>
      </c>
      <c r="X1197" s="65">
        <f>6+(2*3)</f>
        <v>12</v>
      </c>
      <c r="Y1197" s="64"/>
    </row>
    <row r="1198" spans="1:25" s="54" customFormat="1" ht="15" customHeight="1" x14ac:dyDescent="0.3">
      <c r="A1198" s="63"/>
      <c r="B1198" s="64"/>
      <c r="C1198" s="55"/>
      <c r="D1198" s="64">
        <v>2022</v>
      </c>
      <c r="E1198" s="65">
        <f>339511*1000000</f>
        <v>339511000000</v>
      </c>
      <c r="F1198" s="65">
        <f>(339511+1748134+52352+4711956+128981+358813+14930)*1000000</f>
        <v>7354677000000</v>
      </c>
      <c r="G1198" s="65">
        <f>13358610*1000000</f>
        <v>13358610000000</v>
      </c>
      <c r="H1198" s="65">
        <f>2147657*1000000</f>
        <v>2147657000000</v>
      </c>
      <c r="I1198" s="65">
        <f>7754869*1000000</f>
        <v>7754869000000</v>
      </c>
      <c r="J1198" s="65">
        <f>4409120*1000000</f>
        <v>4409120000000</v>
      </c>
      <c r="K1198" s="65">
        <f>5603741*1000000</f>
        <v>5603741000000</v>
      </c>
      <c r="L1198" s="65">
        <f>1054437*1000000</f>
        <v>1054437000000</v>
      </c>
      <c r="M1198" s="65">
        <f>498552*1000000</f>
        <v>498552000000</v>
      </c>
      <c r="N1198" s="65">
        <f>397450*1000000</f>
        <v>397450000000</v>
      </c>
      <c r="O1198" s="66">
        <v>0.58499999999999996</v>
      </c>
      <c r="P1198" s="67" t="s">
        <v>311</v>
      </c>
      <c r="Q1198" s="65">
        <v>3</v>
      </c>
      <c r="R1198" s="65">
        <v>5</v>
      </c>
      <c r="S1198" s="65">
        <v>5</v>
      </c>
      <c r="T1198" s="65">
        <f t="shared" si="114"/>
        <v>10</v>
      </c>
      <c r="U1198" s="68">
        <v>0</v>
      </c>
      <c r="V1198" s="65">
        <f>5+(2*4)+(3*2)</f>
        <v>19</v>
      </c>
      <c r="W1198" s="65">
        <f t="shared" si="112"/>
        <v>19</v>
      </c>
      <c r="X1198" s="65">
        <f>5+(2*3)</f>
        <v>11</v>
      </c>
      <c r="Y1198" s="64"/>
    </row>
    <row r="1199" spans="1:25" s="54" customFormat="1" ht="15" customHeight="1" x14ac:dyDescent="0.3">
      <c r="A1199" s="63"/>
      <c r="B1199" s="64"/>
      <c r="C1199" s="55"/>
      <c r="D1199" s="64">
        <v>2023</v>
      </c>
      <c r="E1199" s="65">
        <f>273646*1000000</f>
        <v>273646000000</v>
      </c>
      <c r="F1199" s="65">
        <f>(273646+1538218+100124+5324280+422879+241634+71529)*1000000</f>
        <v>7972310000000</v>
      </c>
      <c r="G1199" s="65">
        <f>16003743*1000000</f>
        <v>16003743000000</v>
      </c>
      <c r="H1199" s="65">
        <f>3065006*1000000</f>
        <v>3065006000000</v>
      </c>
      <c r="I1199" s="65">
        <f>9351637*1000000</f>
        <v>9351637000000</v>
      </c>
      <c r="J1199" s="65">
        <f>5416082*1000000</f>
        <v>5416082000000</v>
      </c>
      <c r="K1199" s="65">
        <f>6652105*1000000</f>
        <v>6652105000000</v>
      </c>
      <c r="L1199" s="65">
        <f>1150683*1000000</f>
        <v>1150683000000</v>
      </c>
      <c r="M1199" s="65">
        <f>1562367*1000000</f>
        <v>1562367000000</v>
      </c>
      <c r="N1199" s="65">
        <f>1236532*1000000</f>
        <v>1236532000000</v>
      </c>
      <c r="O1199" s="66">
        <v>0.58499999999999996</v>
      </c>
      <c r="P1199" s="67" t="s">
        <v>311</v>
      </c>
      <c r="Q1199" s="65">
        <v>3</v>
      </c>
      <c r="R1199" s="65">
        <v>5</v>
      </c>
      <c r="S1199" s="65">
        <v>5</v>
      </c>
      <c r="T1199" s="65">
        <f t="shared" si="114"/>
        <v>10</v>
      </c>
      <c r="U1199" s="68">
        <v>0</v>
      </c>
      <c r="V1199" s="65">
        <f>5+(2*4)+3</f>
        <v>16</v>
      </c>
      <c r="W1199" s="65">
        <f t="shared" si="112"/>
        <v>16</v>
      </c>
      <c r="X1199" s="65">
        <f>5+4</f>
        <v>9</v>
      </c>
      <c r="Y1199" s="64"/>
    </row>
    <row r="1200" spans="1:25" s="54" customFormat="1" ht="15" customHeight="1" x14ac:dyDescent="0.3">
      <c r="A1200" s="63"/>
      <c r="B1200" s="64"/>
      <c r="C1200" s="55"/>
      <c r="D1200" s="64">
        <v>2024</v>
      </c>
      <c r="E1200" s="65">
        <f>156505*1000000</f>
        <v>156505000000</v>
      </c>
      <c r="F1200" s="65">
        <f>(156505+1338920+142707+6275885+190441+252572+65780)*1000000</f>
        <v>8422810000000</v>
      </c>
      <c r="G1200" s="65">
        <f>15761233*1000000</f>
        <v>15761233000000</v>
      </c>
      <c r="H1200" s="65">
        <f>2654735*1000000</f>
        <v>2654735000000</v>
      </c>
      <c r="I1200" s="65">
        <f>9993200*1000000</f>
        <v>9993200000000</v>
      </c>
      <c r="J1200" s="65">
        <f>5624497*1000000</f>
        <v>5624497000000</v>
      </c>
      <c r="K1200" s="65">
        <f>5768032*1000000</f>
        <v>5768032000000</v>
      </c>
      <c r="L1200" s="65">
        <f>1390357*1000000</f>
        <v>1390357000000</v>
      </c>
      <c r="M1200" s="65">
        <f>803165*1000000</f>
        <v>803165000000</v>
      </c>
      <c r="N1200" s="65">
        <f>646662*1000000</f>
        <v>646662000000</v>
      </c>
      <c r="O1200" s="66">
        <v>0.58499999999999996</v>
      </c>
      <c r="P1200" s="67" t="s">
        <v>311</v>
      </c>
      <c r="Q1200" s="65">
        <v>3</v>
      </c>
      <c r="R1200" s="65">
        <v>5</v>
      </c>
      <c r="S1200" s="65">
        <v>5</v>
      </c>
      <c r="T1200" s="65">
        <f t="shared" si="114"/>
        <v>10</v>
      </c>
      <c r="U1200" s="68">
        <v>0</v>
      </c>
      <c r="V1200" s="65">
        <f>5+(2*4)+3</f>
        <v>16</v>
      </c>
      <c r="W1200" s="65">
        <f t="shared" si="112"/>
        <v>16</v>
      </c>
      <c r="X1200" s="65">
        <f>5+4</f>
        <v>9</v>
      </c>
      <c r="Y1200" s="64"/>
    </row>
    <row r="1201" spans="1:25" s="54" customFormat="1" ht="15" customHeight="1" x14ac:dyDescent="0.3">
      <c r="A1201" s="63"/>
      <c r="B1201" s="64">
        <v>110</v>
      </c>
      <c r="C1201" s="55" t="s">
        <v>66</v>
      </c>
      <c r="D1201" s="64">
        <v>2014</v>
      </c>
      <c r="E1201" s="65">
        <v>0</v>
      </c>
      <c r="F1201" s="65">
        <v>0</v>
      </c>
      <c r="G1201" s="65">
        <v>0</v>
      </c>
      <c r="H1201" s="65">
        <v>0</v>
      </c>
      <c r="I1201" s="65">
        <v>0</v>
      </c>
      <c r="J1201" s="65">
        <v>0</v>
      </c>
      <c r="K1201" s="65">
        <v>0</v>
      </c>
      <c r="L1201" s="65">
        <v>0</v>
      </c>
      <c r="M1201" s="65">
        <v>0</v>
      </c>
      <c r="N1201" s="65">
        <v>0</v>
      </c>
      <c r="O1201" s="65">
        <v>0</v>
      </c>
      <c r="P1201" s="65">
        <v>0</v>
      </c>
      <c r="Q1201" s="65">
        <v>0</v>
      </c>
      <c r="R1201" s="65">
        <v>0</v>
      </c>
      <c r="S1201" s="65">
        <v>0</v>
      </c>
      <c r="T1201" s="65">
        <v>0</v>
      </c>
      <c r="U1201" s="65">
        <v>0</v>
      </c>
      <c r="V1201" s="65">
        <v>0</v>
      </c>
      <c r="W1201" s="65">
        <v>0</v>
      </c>
      <c r="X1201" s="65">
        <v>0</v>
      </c>
      <c r="Y1201" s="64"/>
    </row>
    <row r="1202" spans="1:25" s="54" customFormat="1" ht="15" customHeight="1" x14ac:dyDescent="0.3">
      <c r="A1202" s="63"/>
      <c r="B1202" s="64"/>
      <c r="C1202" s="55"/>
      <c r="D1202" s="64">
        <v>2015</v>
      </c>
      <c r="E1202" s="65">
        <f>7247*1000000</f>
        <v>7247000000</v>
      </c>
      <c r="F1202" s="65">
        <f>(7247+82148+590+41750+2287)*1000000</f>
        <v>134022000000</v>
      </c>
      <c r="G1202" s="65">
        <f>898627*1000000</f>
        <v>898627000000</v>
      </c>
      <c r="H1202" s="69">
        <f>301178*1000000</f>
        <v>301178000000</v>
      </c>
      <c r="I1202" s="65">
        <f>577397*1000000</f>
        <v>577397000000</v>
      </c>
      <c r="J1202" s="65">
        <f>125867*1000000</f>
        <v>125867000000</v>
      </c>
      <c r="K1202" s="65">
        <f>321230*1000000</f>
        <v>321230000000</v>
      </c>
      <c r="L1202" s="65">
        <f>292695*1000000</f>
        <v>292695000000</v>
      </c>
      <c r="M1202" s="65">
        <f>45516*1000000</f>
        <v>45516000000</v>
      </c>
      <c r="N1202" s="65">
        <f>44111*1000000</f>
        <v>44111000000</v>
      </c>
      <c r="O1202" s="65">
        <v>0</v>
      </c>
      <c r="P1202" s="65">
        <v>0</v>
      </c>
      <c r="Q1202" s="65">
        <v>0</v>
      </c>
      <c r="R1202" s="65">
        <v>0</v>
      </c>
      <c r="S1202" s="65">
        <v>0</v>
      </c>
      <c r="T1202" s="65">
        <v>0</v>
      </c>
      <c r="U1202" s="65">
        <v>0</v>
      </c>
      <c r="V1202" s="65">
        <v>0</v>
      </c>
      <c r="W1202" s="65">
        <v>0</v>
      </c>
      <c r="X1202" s="65">
        <v>0</v>
      </c>
      <c r="Y1202" s="64"/>
    </row>
    <row r="1203" spans="1:25" s="54" customFormat="1" ht="15" customHeight="1" x14ac:dyDescent="0.3">
      <c r="A1203" s="63"/>
      <c r="B1203" s="64"/>
      <c r="C1203" s="55"/>
      <c r="D1203" s="64">
        <v>2016</v>
      </c>
      <c r="E1203" s="65">
        <f>8661*1000000</f>
        <v>8661000000</v>
      </c>
      <c r="F1203" s="65">
        <f>(8661+95476+361+64922+4028)*1000000</f>
        <v>173448000000</v>
      </c>
      <c r="G1203" s="65">
        <f>1133794*1000000</f>
        <v>1133794000000</v>
      </c>
      <c r="H1203" s="65">
        <f>394427*1000000</f>
        <v>394427000000</v>
      </c>
      <c r="I1203" s="65">
        <f>760443*1000000</f>
        <v>760443000000</v>
      </c>
      <c r="J1203" s="65">
        <f>182195*1000000</f>
        <v>182195000000</v>
      </c>
      <c r="K1203" s="65">
        <f>373351*1000000</f>
        <v>373351000000</v>
      </c>
      <c r="L1203" s="65">
        <f>384662*1000000</f>
        <v>384662000000</v>
      </c>
      <c r="M1203" s="65">
        <f>61465*1000000</f>
        <v>61465000000</v>
      </c>
      <c r="N1203" s="65">
        <f>52121*1000000</f>
        <v>52121000000</v>
      </c>
      <c r="O1203" s="66">
        <v>0.75</v>
      </c>
      <c r="P1203" s="67" t="s">
        <v>288</v>
      </c>
      <c r="Q1203" s="65">
        <v>2</v>
      </c>
      <c r="R1203" s="65">
        <v>4</v>
      </c>
      <c r="S1203" s="65">
        <v>4</v>
      </c>
      <c r="T1203" s="65">
        <f>SUM(R1203:S1203)</f>
        <v>8</v>
      </c>
      <c r="U1203" s="68">
        <v>0</v>
      </c>
      <c r="V1203" s="65">
        <f t="shared" ref="V1203:V1208" si="115">4+(2*2)</f>
        <v>8</v>
      </c>
      <c r="W1203" s="65">
        <f t="shared" si="112"/>
        <v>8</v>
      </c>
      <c r="X1203" s="65">
        <f>4+(2*3)</f>
        <v>10</v>
      </c>
      <c r="Y1203" s="64"/>
    </row>
    <row r="1204" spans="1:25" s="54" customFormat="1" ht="15" customHeight="1" x14ac:dyDescent="0.3">
      <c r="A1204" s="63"/>
      <c r="B1204" s="64"/>
      <c r="C1204" s="55"/>
      <c r="D1204" s="64">
        <v>2017</v>
      </c>
      <c r="E1204" s="65">
        <f>7319*1000000</f>
        <v>7319000000</v>
      </c>
      <c r="F1204" s="65">
        <f>(7319+124286+38+58312+1339+5300)*1000000</f>
        <v>196594000000</v>
      </c>
      <c r="G1204" s="65">
        <f>1430475*1000000</f>
        <v>1430475000000</v>
      </c>
      <c r="H1204" s="65">
        <f>515658*1000000</f>
        <v>515658000000</v>
      </c>
      <c r="I1204" s="65">
        <f>985170*1000000</f>
        <v>985170000000</v>
      </c>
      <c r="J1204" s="65">
        <f>245373*1000000</f>
        <v>245373000000</v>
      </c>
      <c r="K1204" s="65">
        <f>445305*1000000</f>
        <v>445305000000</v>
      </c>
      <c r="L1204" s="65">
        <f>518125*1000000</f>
        <v>518125000000</v>
      </c>
      <c r="M1204" s="65">
        <f>70087*1000000</f>
        <v>70087000000</v>
      </c>
      <c r="N1204" s="65">
        <f>71954*1000000</f>
        <v>71954000000</v>
      </c>
      <c r="O1204" s="66">
        <v>0.75</v>
      </c>
      <c r="P1204" s="67" t="s">
        <v>288</v>
      </c>
      <c r="Q1204" s="65">
        <v>2</v>
      </c>
      <c r="R1204" s="65">
        <v>4</v>
      </c>
      <c r="S1204" s="65">
        <v>4</v>
      </c>
      <c r="T1204" s="65">
        <f t="shared" ref="T1204:T1211" si="116">SUM(R1204:S1204)</f>
        <v>8</v>
      </c>
      <c r="U1204" s="68">
        <v>0</v>
      </c>
      <c r="V1204" s="65">
        <f t="shared" si="115"/>
        <v>8</v>
      </c>
      <c r="W1204" s="65">
        <f t="shared" si="112"/>
        <v>8</v>
      </c>
      <c r="X1204" s="65">
        <f>4+(2*3)</f>
        <v>10</v>
      </c>
      <c r="Y1204" s="64"/>
    </row>
    <row r="1205" spans="1:25" s="54" customFormat="1" ht="15" customHeight="1" x14ac:dyDescent="0.3">
      <c r="A1205" s="63"/>
      <c r="B1205" s="64"/>
      <c r="C1205" s="55"/>
      <c r="D1205" s="64">
        <v>2018</v>
      </c>
      <c r="E1205" s="65">
        <f>12819*1000000</f>
        <v>12819000000</v>
      </c>
      <c r="F1205" s="65">
        <f>(12819+138098+106+114266+20391+5393)*1000000</f>
        <v>291073000000</v>
      </c>
      <c r="G1205" s="65">
        <f>1765350*1000000</f>
        <v>1765350000000</v>
      </c>
      <c r="H1205" s="65">
        <f>608232*1000000</f>
        <v>608232000000</v>
      </c>
      <c r="I1205" s="65">
        <f>1240072*1000000</f>
        <v>1240072000000</v>
      </c>
      <c r="J1205" s="65">
        <f>332623*1000000</f>
        <v>332623000000</v>
      </c>
      <c r="K1205" s="65">
        <f>525277*1000000</f>
        <v>525277000000</v>
      </c>
      <c r="L1205" s="65">
        <f>612956*1000000</f>
        <v>612956000000</v>
      </c>
      <c r="M1205" s="65">
        <f xml:space="preserve"> 99811*1000000</f>
        <v>99811000000</v>
      </c>
      <c r="N1205" s="65">
        <f>79972*1000000</f>
        <v>79972000000</v>
      </c>
      <c r="O1205" s="66">
        <v>0.75</v>
      </c>
      <c r="P1205" s="67" t="s">
        <v>288</v>
      </c>
      <c r="Q1205" s="65">
        <v>2</v>
      </c>
      <c r="R1205" s="65">
        <v>4</v>
      </c>
      <c r="S1205" s="65">
        <v>4</v>
      </c>
      <c r="T1205" s="65">
        <f t="shared" si="116"/>
        <v>8</v>
      </c>
      <c r="U1205" s="68">
        <v>0</v>
      </c>
      <c r="V1205" s="65">
        <f t="shared" si="115"/>
        <v>8</v>
      </c>
      <c r="W1205" s="65">
        <f t="shared" si="112"/>
        <v>8</v>
      </c>
      <c r="X1205" s="65">
        <f>4+(2*3)</f>
        <v>10</v>
      </c>
      <c r="Y1205" s="64"/>
    </row>
    <row r="1206" spans="1:25" s="54" customFormat="1" ht="15" customHeight="1" x14ac:dyDescent="0.3">
      <c r="A1206" s="63"/>
      <c r="B1206" s="64"/>
      <c r="C1206" s="55"/>
      <c r="D1206" s="64">
        <v>2019</v>
      </c>
      <c r="E1206" s="65">
        <f>8647*1000000</f>
        <v>8647000000</v>
      </c>
      <c r="F1206" s="65">
        <f>(8647+198574+139484+15886+7109)*1000000</f>
        <v>369700000000</v>
      </c>
      <c r="G1206" s="65">
        <f>2060362*1000000</f>
        <v>2060362000000</v>
      </c>
      <c r="H1206" s="65">
        <f>650813*1000000</f>
        <v>650813000000</v>
      </c>
      <c r="I1206" s="65">
        <f>1396162*1000000</f>
        <v>1396162000000</v>
      </c>
      <c r="J1206" s="65">
        <f>456095*1000000</f>
        <v>456095000000</v>
      </c>
      <c r="K1206" s="65">
        <f>664200*1000000</f>
        <v>664200000000</v>
      </c>
      <c r="L1206" s="65">
        <f>727676*1000000</f>
        <v>727676000000</v>
      </c>
      <c r="M1206" s="65">
        <f>144353*1000000</f>
        <v>144353000000</v>
      </c>
      <c r="N1206" s="65">
        <f>138922*1000000</f>
        <v>138922000000</v>
      </c>
      <c r="O1206" s="66">
        <v>0.75</v>
      </c>
      <c r="P1206" s="67" t="s">
        <v>288</v>
      </c>
      <c r="Q1206" s="65">
        <v>2</v>
      </c>
      <c r="R1206" s="65">
        <v>4</v>
      </c>
      <c r="S1206" s="65">
        <v>5</v>
      </c>
      <c r="T1206" s="65">
        <f t="shared" si="116"/>
        <v>9</v>
      </c>
      <c r="U1206" s="68">
        <v>0</v>
      </c>
      <c r="V1206" s="65">
        <f t="shared" si="115"/>
        <v>8</v>
      </c>
      <c r="W1206" s="65">
        <f t="shared" si="112"/>
        <v>8</v>
      </c>
      <c r="X1206" s="65">
        <f>5+(2*4)</f>
        <v>13</v>
      </c>
      <c r="Y1206" s="64"/>
    </row>
    <row r="1207" spans="1:25" s="54" customFormat="1" ht="15" customHeight="1" x14ac:dyDescent="0.3">
      <c r="A1207" s="63"/>
      <c r="B1207" s="64"/>
      <c r="C1207" s="55"/>
      <c r="D1207" s="64">
        <v>2020</v>
      </c>
      <c r="E1207" s="65">
        <f>17301*1000000</f>
        <v>17301000000</v>
      </c>
      <c r="F1207" s="65">
        <f>(17301+95630+7+241406+2+19539+6528)*1000000</f>
        <v>380413000000</v>
      </c>
      <c r="G1207" s="65">
        <f>2127340*1000000</f>
        <v>2127340000000</v>
      </c>
      <c r="H1207" s="65">
        <f>494639*1000000</f>
        <v>494639000000</v>
      </c>
      <c r="I1207" s="65">
        <f>1325278*1000000</f>
        <v>1325278000000</v>
      </c>
      <c r="J1207" s="65">
        <f>579656*1000000</f>
        <v>579656000000</v>
      </c>
      <c r="K1207" s="65">
        <f>802062*1000000</f>
        <v>802062000000</v>
      </c>
      <c r="L1207" s="65">
        <f>672488*1000000</f>
        <v>672488000000</v>
      </c>
      <c r="M1207" s="65">
        <f>(148418*1000000)</f>
        <v>148418000000</v>
      </c>
      <c r="N1207" s="65">
        <f>137862*1000000</f>
        <v>137862000000</v>
      </c>
      <c r="O1207" s="66">
        <v>0.75</v>
      </c>
      <c r="P1207" s="67" t="s">
        <v>288</v>
      </c>
      <c r="Q1207" s="65">
        <v>2</v>
      </c>
      <c r="R1207" s="65">
        <v>4</v>
      </c>
      <c r="S1207" s="65">
        <v>5</v>
      </c>
      <c r="T1207" s="65">
        <f t="shared" si="116"/>
        <v>9</v>
      </c>
      <c r="U1207" s="68">
        <v>0</v>
      </c>
      <c r="V1207" s="65">
        <f t="shared" si="115"/>
        <v>8</v>
      </c>
      <c r="W1207" s="65">
        <f t="shared" si="112"/>
        <v>8</v>
      </c>
      <c r="X1207" s="65">
        <f>5+(2*4)</f>
        <v>13</v>
      </c>
      <c r="Y1207" s="64"/>
    </row>
    <row r="1208" spans="1:25" s="54" customFormat="1" ht="15" customHeight="1" x14ac:dyDescent="0.3">
      <c r="A1208" s="63"/>
      <c r="B1208" s="64"/>
      <c r="C1208" s="55"/>
      <c r="D1208" s="64">
        <v>2021</v>
      </c>
      <c r="E1208" s="65">
        <f>12033*1000000</f>
        <v>12033000000</v>
      </c>
      <c r="F1208" s="65">
        <f>(12033+85103+2176+232394+99+262004+7647)*1000000</f>
        <v>601456000000</v>
      </c>
      <c r="G1208" s="65">
        <f>2305472*1000000</f>
        <v>2305472000000</v>
      </c>
      <c r="H1208" s="65">
        <f>496923*1000000</f>
        <v>496923000000</v>
      </c>
      <c r="I1208" s="65">
        <f>1376746*1000000</f>
        <v>1376746000000</v>
      </c>
      <c r="J1208" s="65">
        <f>713761*1000000</f>
        <v>713761000000</v>
      </c>
      <c r="K1208" s="65">
        <f>928725*1000000</f>
        <v>928725000000</v>
      </c>
      <c r="L1208" s="65">
        <f>631796*1000000</f>
        <v>631796000000</v>
      </c>
      <c r="M1208" s="65">
        <f>154955*1000000</f>
        <v>154955000000</v>
      </c>
      <c r="N1208" s="65">
        <f>126664*1000000</f>
        <v>126664000000</v>
      </c>
      <c r="O1208" s="66">
        <v>0.75</v>
      </c>
      <c r="P1208" s="67" t="s">
        <v>288</v>
      </c>
      <c r="Q1208" s="65">
        <v>2</v>
      </c>
      <c r="R1208" s="65">
        <v>4</v>
      </c>
      <c r="S1208" s="65">
        <v>5</v>
      </c>
      <c r="T1208" s="65">
        <f t="shared" si="116"/>
        <v>9</v>
      </c>
      <c r="U1208" s="68">
        <v>0</v>
      </c>
      <c r="V1208" s="65">
        <f t="shared" si="115"/>
        <v>8</v>
      </c>
      <c r="W1208" s="65">
        <f t="shared" si="112"/>
        <v>8</v>
      </c>
      <c r="X1208" s="65">
        <f>5+(2*4)</f>
        <v>13</v>
      </c>
      <c r="Y1208" s="64"/>
    </row>
    <row r="1209" spans="1:25" s="54" customFormat="1" ht="15" customHeight="1" x14ac:dyDescent="0.3">
      <c r="A1209" s="63"/>
      <c r="B1209" s="64"/>
      <c r="C1209" s="55"/>
      <c r="D1209" s="64">
        <v>2022</v>
      </c>
      <c r="E1209" s="65">
        <f>16479*1000000</f>
        <v>16479000000</v>
      </c>
      <c r="F1209" s="65">
        <f>(16479+123152+10225+144039+80+8639+9857)*1000000</f>
        <v>312471000000</v>
      </c>
      <c r="G1209" s="65">
        <f>2431927*1000000</f>
        <v>2431927000000</v>
      </c>
      <c r="H1209" s="65">
        <f>552127*1000000</f>
        <v>552127000000</v>
      </c>
      <c r="I1209" s="65">
        <f>1367878*1000000</f>
        <v>1367878000000</v>
      </c>
      <c r="J1209" s="65">
        <f>862936*1000000</f>
        <v>862936000000</v>
      </c>
      <c r="K1209" s="65">
        <f>1064050*1000000</f>
        <v>1064050000000</v>
      </c>
      <c r="L1209" s="65">
        <f>671050*1000000</f>
        <v>671050000000</v>
      </c>
      <c r="M1209" s="65">
        <f>175679*1000000</f>
        <v>175679000000</v>
      </c>
      <c r="N1209" s="65">
        <f>135324*1000000</f>
        <v>135324000000</v>
      </c>
      <c r="O1209" s="66">
        <v>0.75</v>
      </c>
      <c r="P1209" s="67" t="s">
        <v>288</v>
      </c>
      <c r="Q1209" s="65">
        <v>3</v>
      </c>
      <c r="R1209" s="65">
        <v>5</v>
      </c>
      <c r="S1209" s="65">
        <v>4</v>
      </c>
      <c r="T1209" s="65">
        <f t="shared" si="116"/>
        <v>9</v>
      </c>
      <c r="U1209" s="68">
        <v>0</v>
      </c>
      <c r="V1209" s="65">
        <f>5+(2*3)</f>
        <v>11</v>
      </c>
      <c r="W1209" s="65">
        <f t="shared" si="112"/>
        <v>11</v>
      </c>
      <c r="X1209" s="65">
        <f>4+(2*3)</f>
        <v>10</v>
      </c>
      <c r="Y1209" s="64"/>
    </row>
    <row r="1210" spans="1:25" s="54" customFormat="1" ht="15" customHeight="1" x14ac:dyDescent="0.3">
      <c r="A1210" s="63"/>
      <c r="B1210" s="64"/>
      <c r="C1210" s="55"/>
      <c r="D1210" s="64">
        <v>2023</v>
      </c>
      <c r="E1210" s="65">
        <f>35064*1000000</f>
        <v>35064000000</v>
      </c>
      <c r="F1210" s="65">
        <f>(35064+174432+656+315610+74030+15008)*1000000</f>
        <v>614800000000</v>
      </c>
      <c r="G1210" s="65">
        <f>3005651*1000000</f>
        <v>3005651000000</v>
      </c>
      <c r="H1210" s="65">
        <f>737034*1000000</f>
        <v>737034000000</v>
      </c>
      <c r="I1210" s="65">
        <f>1761339*1000000</f>
        <v>1761339000000</v>
      </c>
      <c r="J1210" s="65">
        <f>1040747*1000000</f>
        <v>1040747000000</v>
      </c>
      <c r="K1210" s="65">
        <f>1244312*1000000</f>
        <v>1244312000000</v>
      </c>
      <c r="L1210" s="65">
        <f>788671*1000000</f>
        <v>788671000000</v>
      </c>
      <c r="M1210" s="65">
        <f>212767*1000000</f>
        <v>212767000000</v>
      </c>
      <c r="N1210" s="65">
        <f>180262*1000000</f>
        <v>180262000000</v>
      </c>
      <c r="O1210" s="66">
        <v>0.75</v>
      </c>
      <c r="P1210" s="67" t="s">
        <v>288</v>
      </c>
      <c r="Q1210" s="65">
        <v>2</v>
      </c>
      <c r="R1210" s="65">
        <v>4</v>
      </c>
      <c r="S1210" s="65">
        <v>4</v>
      </c>
      <c r="T1210" s="65">
        <f t="shared" si="116"/>
        <v>8</v>
      </c>
      <c r="U1210" s="68">
        <v>0</v>
      </c>
      <c r="V1210" s="65">
        <f>4+(2*2)</f>
        <v>8</v>
      </c>
      <c r="W1210" s="65">
        <f t="shared" si="112"/>
        <v>8</v>
      </c>
      <c r="X1210" s="65">
        <f>4+(2*3)</f>
        <v>10</v>
      </c>
      <c r="Y1210" s="64"/>
    </row>
    <row r="1211" spans="1:25" s="54" customFormat="1" ht="15" customHeight="1" x14ac:dyDescent="0.3">
      <c r="A1211" s="63"/>
      <c r="B1211" s="64"/>
      <c r="C1211" s="55"/>
      <c r="D1211" s="64">
        <v>2024</v>
      </c>
      <c r="E1211" s="65">
        <f>4708*1000000</f>
        <v>4708000000</v>
      </c>
      <c r="F1211" s="65">
        <f>(4708+262661+1309+272619+6418+17840)*1000000</f>
        <v>565555000000</v>
      </c>
      <c r="G1211" s="65">
        <f>3382556*1000000</f>
        <v>3382556000000</v>
      </c>
      <c r="H1211" s="65">
        <f>876156*1000000</f>
        <v>876156000000</v>
      </c>
      <c r="I1211" s="65">
        <f>2007285*1000000</f>
        <v>2007285000000</v>
      </c>
      <c r="J1211" s="65">
        <f>1178432*1000000</f>
        <v>1178432000000</v>
      </c>
      <c r="K1211" s="65">
        <f>1378271*1000000</f>
        <v>1378271000000</v>
      </c>
      <c r="L1211" s="65">
        <f>943106*1000000</f>
        <v>943106000000</v>
      </c>
      <c r="M1211" s="65">
        <f>265219*1000000</f>
        <v>265219000000</v>
      </c>
      <c r="N1211" s="65">
        <f>219794*1000000</f>
        <v>219794000000</v>
      </c>
      <c r="O1211" s="66">
        <v>0.75</v>
      </c>
      <c r="P1211" s="67" t="s">
        <v>288</v>
      </c>
      <c r="Q1211" s="65">
        <v>2</v>
      </c>
      <c r="R1211" s="65">
        <v>4</v>
      </c>
      <c r="S1211" s="65">
        <v>5</v>
      </c>
      <c r="T1211" s="65">
        <f t="shared" si="116"/>
        <v>9</v>
      </c>
      <c r="U1211" s="68">
        <v>0</v>
      </c>
      <c r="V1211" s="65">
        <f>4+(2*2)</f>
        <v>8</v>
      </c>
      <c r="W1211" s="65">
        <f t="shared" si="112"/>
        <v>8</v>
      </c>
      <c r="X1211" s="65">
        <f>5+(2*4)</f>
        <v>13</v>
      </c>
      <c r="Y1211" s="64"/>
    </row>
    <row r="1212" spans="1:25" s="54" customFormat="1" ht="15" customHeight="1" x14ac:dyDescent="0.3">
      <c r="A1212" s="63"/>
      <c r="B1212" s="64">
        <v>111</v>
      </c>
      <c r="C1212" s="55" t="s">
        <v>74</v>
      </c>
      <c r="D1212" s="64">
        <v>2014</v>
      </c>
      <c r="E1212" s="65"/>
      <c r="F1212" s="65"/>
      <c r="G1212" s="65"/>
      <c r="H1212" s="65"/>
      <c r="I1212" s="65"/>
      <c r="J1212" s="65"/>
      <c r="K1212" s="65"/>
      <c r="L1212" s="65"/>
      <c r="M1212" s="65"/>
      <c r="N1212" s="65"/>
      <c r="O1212" s="66"/>
      <c r="P1212" s="67"/>
      <c r="Q1212" s="65"/>
      <c r="R1212" s="65"/>
      <c r="S1212" s="65"/>
      <c r="T1212" s="65"/>
      <c r="U1212" s="68"/>
      <c r="V1212" s="65"/>
      <c r="W1212" s="65">
        <f t="shared" si="112"/>
        <v>0</v>
      </c>
      <c r="X1212" s="65"/>
      <c r="Y1212" s="64"/>
    </row>
    <row r="1213" spans="1:25" s="54" customFormat="1" ht="15" customHeight="1" x14ac:dyDescent="0.3">
      <c r="A1213" s="63"/>
      <c r="B1213" s="64"/>
      <c r="C1213" s="55"/>
      <c r="D1213" s="64">
        <v>2015</v>
      </c>
      <c r="E1213" s="65">
        <f>12530*1000000</f>
        <v>12530000000</v>
      </c>
      <c r="F1213" s="65">
        <f>(12530+24838+43740+1358+152232)*1000000</f>
        <v>234698000000</v>
      </c>
      <c r="G1213" s="65">
        <f>655205*1000000</f>
        <v>655205000000</v>
      </c>
      <c r="H1213" s="65">
        <f>(430645-18211-349646)*1000000</f>
        <v>62788000000</v>
      </c>
      <c r="I1213" s="65">
        <f>430645*1000000</f>
        <v>430645000000</v>
      </c>
      <c r="J1213" s="65">
        <f>20859*1000000</f>
        <v>20859000000</v>
      </c>
      <c r="K1213" s="65">
        <f>193635*1000000</f>
        <v>193635000000</v>
      </c>
      <c r="L1213" s="65">
        <f>273840*1000000</f>
        <v>273840000000</v>
      </c>
      <c r="M1213" s="65">
        <f>7399*1000000</f>
        <v>7399000000</v>
      </c>
      <c r="N1213" s="65">
        <f>12435*1000000</f>
        <v>12435000000</v>
      </c>
      <c r="O1213" s="66">
        <v>0.99450000000000005</v>
      </c>
      <c r="P1213" s="67" t="s">
        <v>289</v>
      </c>
      <c r="Q1213" s="65">
        <v>2</v>
      </c>
      <c r="R1213" s="65">
        <v>3</v>
      </c>
      <c r="S1213" s="65">
        <v>4</v>
      </c>
      <c r="T1213" s="65">
        <f>SUM(R1213:S1213)</f>
        <v>7</v>
      </c>
      <c r="U1213" s="68">
        <v>0</v>
      </c>
      <c r="V1213" s="65">
        <f>3+(2*3)</f>
        <v>9</v>
      </c>
      <c r="W1213" s="65">
        <f t="shared" si="112"/>
        <v>9</v>
      </c>
      <c r="X1213" s="65">
        <f>4+(2*4)</f>
        <v>12</v>
      </c>
      <c r="Y1213" s="64"/>
    </row>
    <row r="1214" spans="1:25" s="54" customFormat="1" ht="15" customHeight="1" x14ac:dyDescent="0.3">
      <c r="A1214" s="63"/>
      <c r="B1214" s="64"/>
      <c r="C1214" s="55"/>
      <c r="D1214" s="64">
        <v>2016</v>
      </c>
      <c r="E1214" s="65">
        <f>18816*1000000</f>
        <v>18816000000</v>
      </c>
      <c r="F1214" s="65">
        <f>(18816+24303+26844+1456+144207)*1000000</f>
        <v>215626000000</v>
      </c>
      <c r="G1214" s="65">
        <f>719020*1000000</f>
        <v>719020000000</v>
      </c>
      <c r="H1214" s="65">
        <f>(436347-17606-363252)*1000000</f>
        <v>55489000000</v>
      </c>
      <c r="I1214" s="65">
        <f>436347*1000000</f>
        <v>436347000000</v>
      </c>
      <c r="J1214" s="65">
        <f>16817*1000000</f>
        <v>16817000000</v>
      </c>
      <c r="K1214" s="65">
        <f>250544*1000000</f>
        <v>250544000000</v>
      </c>
      <c r="L1214" s="65">
        <f>254385*1000000</f>
        <v>254385000000</v>
      </c>
      <c r="M1214" s="65">
        <f>2347*1000000</f>
        <v>2347000000</v>
      </c>
      <c r="N1214" s="65">
        <f>52025*1000000</f>
        <v>52025000000</v>
      </c>
      <c r="O1214" s="66">
        <v>0.99450000000000005</v>
      </c>
      <c r="P1214" s="67" t="s">
        <v>289</v>
      </c>
      <c r="Q1214" s="65">
        <v>2</v>
      </c>
      <c r="R1214" s="65">
        <v>3</v>
      </c>
      <c r="S1214" s="65">
        <v>4</v>
      </c>
      <c r="T1214" s="65">
        <f t="shared" ref="T1214:T1222" si="117">SUM(R1214:S1214)</f>
        <v>7</v>
      </c>
      <c r="U1214" s="68">
        <v>0</v>
      </c>
      <c r="V1214" s="65">
        <f>3+(2*3)</f>
        <v>9</v>
      </c>
      <c r="W1214" s="65">
        <f t="shared" si="112"/>
        <v>9</v>
      </c>
      <c r="X1214" s="65">
        <f>4+(2*4)</f>
        <v>12</v>
      </c>
      <c r="Y1214" s="64"/>
    </row>
    <row r="1215" spans="1:25" s="54" customFormat="1" ht="15" customHeight="1" x14ac:dyDescent="0.3">
      <c r="A1215" s="63"/>
      <c r="B1215" s="64"/>
      <c r="C1215" s="55"/>
      <c r="D1215" s="64">
        <v>2017</v>
      </c>
      <c r="E1215" s="65">
        <f>28605*1000000</f>
        <v>28605000000</v>
      </c>
      <c r="F1215" s="65">
        <f>(28605+28007+32021+129012+19188+233+1346)*1000000</f>
        <v>238412000000</v>
      </c>
      <c r="G1215" s="65">
        <f>736964*1000000</f>
        <v>736964000000</v>
      </c>
      <c r="H1215" s="65">
        <f>113380*1000000</f>
        <v>113380000000</v>
      </c>
      <c r="I1215" s="65">
        <f>466070*1000000</f>
        <v>466070000000</v>
      </c>
      <c r="J1215" s="65">
        <f>73481*1000000</f>
        <v>73481000000</v>
      </c>
      <c r="K1215" s="65">
        <f>250894*1000000</f>
        <v>250894000000</v>
      </c>
      <c r="L1215" s="65">
        <f>265558*1000000</f>
        <v>265558000000</v>
      </c>
      <c r="M1215" s="65">
        <f>6965*1000000</f>
        <v>6965000000</v>
      </c>
      <c r="N1215" s="65">
        <f>11258*1000000</f>
        <v>11258000000</v>
      </c>
      <c r="O1215" s="66">
        <v>0.99970000000000003</v>
      </c>
      <c r="P1215" s="67" t="s">
        <v>289</v>
      </c>
      <c r="Q1215" s="65">
        <v>2</v>
      </c>
      <c r="R1215" s="65">
        <v>2</v>
      </c>
      <c r="S1215" s="65">
        <v>4</v>
      </c>
      <c r="T1215" s="65">
        <f t="shared" si="117"/>
        <v>6</v>
      </c>
      <c r="U1215" s="68">
        <v>0</v>
      </c>
      <c r="V1215" s="65">
        <f>2+(2*2)</f>
        <v>6</v>
      </c>
      <c r="W1215" s="65">
        <f t="shared" si="112"/>
        <v>6</v>
      </c>
      <c r="X1215" s="65">
        <f>4+(2*4)</f>
        <v>12</v>
      </c>
      <c r="Y1215" s="64"/>
    </row>
    <row r="1216" spans="1:25" s="54" customFormat="1" ht="15" customHeight="1" x14ac:dyDescent="0.3">
      <c r="A1216" s="63"/>
      <c r="B1216" s="64"/>
      <c r="C1216" s="55"/>
      <c r="D1216" s="64">
        <v>2018</v>
      </c>
      <c r="E1216" s="65">
        <f>24352*1000000</f>
        <v>24352000000</v>
      </c>
      <c r="F1216" s="65">
        <f>(24352+18725+5164+225880+16836+217+2651)*1000000</f>
        <v>293825000000</v>
      </c>
      <c r="G1216" s="65">
        <f>845010*1000000</f>
        <v>845010000000</v>
      </c>
      <c r="H1216" s="65">
        <f>97191*1000000</f>
        <v>97191000000</v>
      </c>
      <c r="I1216" s="65">
        <f>568334*1000000</f>
        <v>568334000000</v>
      </c>
      <c r="J1216" s="65">
        <f>84110*1000000</f>
        <v>84110000000</v>
      </c>
      <c r="K1216" s="65">
        <f>256676*1000000</f>
        <v>256676000000</v>
      </c>
      <c r="L1216" s="65">
        <f>254642*1000000</f>
        <v>254642000000</v>
      </c>
      <c r="M1216" s="65">
        <f>15992*1000000</f>
        <v>15992000000</v>
      </c>
      <c r="N1216" s="65">
        <f>11113*1000000</f>
        <v>11113000000</v>
      </c>
      <c r="O1216" s="66">
        <v>0.99970000000000003</v>
      </c>
      <c r="P1216" s="67" t="s">
        <v>289</v>
      </c>
      <c r="Q1216" s="65">
        <v>2</v>
      </c>
      <c r="R1216" s="65">
        <v>3</v>
      </c>
      <c r="S1216" s="65">
        <v>4</v>
      </c>
      <c r="T1216" s="65">
        <f t="shared" si="117"/>
        <v>7</v>
      </c>
      <c r="U1216" s="68">
        <v>0</v>
      </c>
      <c r="V1216" s="65">
        <f>3+(2*3)</f>
        <v>9</v>
      </c>
      <c r="W1216" s="65">
        <f t="shared" si="112"/>
        <v>9</v>
      </c>
      <c r="X1216" s="65">
        <f>4+(2*4)</f>
        <v>12</v>
      </c>
      <c r="Y1216" s="64"/>
    </row>
    <row r="1217" spans="1:25" s="54" customFormat="1" ht="15" customHeight="1" x14ac:dyDescent="0.3">
      <c r="A1217" s="63"/>
      <c r="B1217" s="64"/>
      <c r="C1217" s="55"/>
      <c r="D1217" s="64">
        <v>2019</v>
      </c>
      <c r="E1217" s="65">
        <f>34457*1000000</f>
        <v>34457000000</v>
      </c>
      <c r="F1217" s="65">
        <f>(34457+17132+119936+90178+14666+144+2314)*1000000</f>
        <v>278827000000</v>
      </c>
      <c r="G1217" s="65">
        <f>744475*1000000</f>
        <v>744475000000</v>
      </c>
      <c r="H1217" s="65">
        <f>96719*1000000</f>
        <v>96719000000</v>
      </c>
      <c r="I1217" s="65">
        <f>452723*1000000</f>
        <v>452723000000</v>
      </c>
      <c r="J1217" s="65">
        <f>89804*1000000</f>
        <v>89804000000</v>
      </c>
      <c r="K1217" s="65">
        <f>274252*1000000</f>
        <v>274252000000</v>
      </c>
      <c r="L1217" s="65">
        <f>258730*1000000</f>
        <v>258730000000</v>
      </c>
      <c r="M1217" s="65">
        <f>19396*1000000</f>
        <v>19396000000</v>
      </c>
      <c r="N1217" s="65">
        <f>27047*1000000</f>
        <v>27047000000</v>
      </c>
      <c r="O1217" s="66">
        <v>0.99970000000000003</v>
      </c>
      <c r="P1217" s="67" t="s">
        <v>289</v>
      </c>
      <c r="Q1217" s="65">
        <v>2</v>
      </c>
      <c r="R1217" s="65">
        <v>3</v>
      </c>
      <c r="S1217" s="65">
        <v>4</v>
      </c>
      <c r="T1217" s="65">
        <f t="shared" si="117"/>
        <v>7</v>
      </c>
      <c r="U1217" s="68">
        <v>0</v>
      </c>
      <c r="V1217" s="65">
        <f>3+(2*1)</f>
        <v>5</v>
      </c>
      <c r="W1217" s="65">
        <f t="shared" si="112"/>
        <v>5</v>
      </c>
      <c r="X1217" s="65">
        <f>4+(2*4)</f>
        <v>12</v>
      </c>
      <c r="Y1217" s="64"/>
    </row>
    <row r="1218" spans="1:25" s="54" customFormat="1" ht="15" customHeight="1" x14ac:dyDescent="0.3">
      <c r="A1218" s="63"/>
      <c r="B1218" s="64"/>
      <c r="C1218" s="55"/>
      <c r="D1218" s="64">
        <v>2020</v>
      </c>
      <c r="E1218" s="65">
        <f>30708*1000000</f>
        <v>30708000000</v>
      </c>
      <c r="F1218" s="65">
        <f>(20708+9960+15624+71952+9972+2316)*1000000</f>
        <v>130532000000</v>
      </c>
      <c r="G1218" s="65">
        <f>709777*1000000</f>
        <v>709777000000</v>
      </c>
      <c r="H1218" s="65">
        <f>96245*1000000</f>
        <v>96245000000</v>
      </c>
      <c r="I1218" s="65">
        <f>424437*1000000</f>
        <v>424437000000</v>
      </c>
      <c r="J1218" s="65">
        <f>79149*1000000</f>
        <v>79149000000</v>
      </c>
      <c r="K1218" s="65">
        <f>267840*1000000</f>
        <v>267840000000</v>
      </c>
      <c r="L1218" s="65">
        <f>212813*1000000</f>
        <v>212813000000</v>
      </c>
      <c r="M1218" s="65">
        <f>19039*1000000</f>
        <v>19039000000</v>
      </c>
      <c r="N1218" s="65">
        <f>22432*1000000</f>
        <v>22432000000</v>
      </c>
      <c r="O1218" s="66">
        <v>0.99970000000000003</v>
      </c>
      <c r="P1218" s="67" t="s">
        <v>289</v>
      </c>
      <c r="Q1218" s="65">
        <v>1</v>
      </c>
      <c r="R1218" s="65">
        <v>3</v>
      </c>
      <c r="S1218" s="65">
        <v>3</v>
      </c>
      <c r="T1218" s="65">
        <f t="shared" si="117"/>
        <v>6</v>
      </c>
      <c r="U1218" s="68">
        <v>0</v>
      </c>
      <c r="V1218" s="65">
        <f>3+(2*1)</f>
        <v>5</v>
      </c>
      <c r="W1218" s="65">
        <f t="shared" si="112"/>
        <v>5</v>
      </c>
      <c r="X1218" s="65">
        <f>3+(2*2)</f>
        <v>7</v>
      </c>
      <c r="Y1218" s="64"/>
    </row>
    <row r="1219" spans="1:25" s="54" customFormat="1" ht="15" customHeight="1" x14ac:dyDescent="0.3">
      <c r="A1219" s="63"/>
      <c r="B1219" s="64"/>
      <c r="C1219" s="55"/>
      <c r="D1219" s="64">
        <v>2021</v>
      </c>
      <c r="E1219" s="65">
        <f>28135*1000000</f>
        <v>28135000000</v>
      </c>
      <c r="F1219" s="65">
        <f>(28135+14623+14025+76805+7951+2370)*1000000</f>
        <v>143909000000</v>
      </c>
      <c r="G1219" s="65">
        <f>733503*1000000</f>
        <v>733503000000</v>
      </c>
      <c r="H1219" s="65">
        <f>90416*1000000</f>
        <v>90416000000</v>
      </c>
      <c r="I1219" s="65">
        <f>436076*1000000</f>
        <v>436076000000</v>
      </c>
      <c r="J1219" s="65">
        <f>93310*1000000</f>
        <v>93310000000</v>
      </c>
      <c r="K1219" s="65">
        <f>287427*1000000</f>
        <v>287427000000</v>
      </c>
      <c r="L1219" s="65">
        <f>242960*1000000</f>
        <v>242960000000</v>
      </c>
      <c r="M1219" s="65">
        <f>21307*1000000</f>
        <v>21307000000</v>
      </c>
      <c r="N1219" s="65">
        <f>25877*1000000</f>
        <v>25877000000</v>
      </c>
      <c r="O1219" s="66">
        <v>0.99970000000000003</v>
      </c>
      <c r="P1219" s="67" t="s">
        <v>289</v>
      </c>
      <c r="Q1219" s="65">
        <v>1</v>
      </c>
      <c r="R1219" s="65">
        <v>2</v>
      </c>
      <c r="S1219" s="65">
        <v>3</v>
      </c>
      <c r="T1219" s="65">
        <f t="shared" si="117"/>
        <v>5</v>
      </c>
      <c r="U1219" s="68">
        <v>0</v>
      </c>
      <c r="V1219" s="65">
        <f>2+(2*1)</f>
        <v>4</v>
      </c>
      <c r="W1219" s="65">
        <f>V1219</f>
        <v>4</v>
      </c>
      <c r="X1219" s="65">
        <f>3+(2*2)</f>
        <v>7</v>
      </c>
      <c r="Y1219" s="64"/>
    </row>
    <row r="1220" spans="1:25" s="54" customFormat="1" ht="15" customHeight="1" x14ac:dyDescent="0.3">
      <c r="A1220" s="63"/>
      <c r="B1220" s="64"/>
      <c r="C1220" s="55"/>
      <c r="D1220" s="64">
        <v>2022</v>
      </c>
      <c r="E1220" s="65">
        <f>29056*1000000</f>
        <v>29056000000</v>
      </c>
      <c r="F1220" s="65">
        <f>(29056+26031+4527+96144+4585+2406)*1000000</f>
        <v>162749000000</v>
      </c>
      <c r="G1220" s="65">
        <f>804217*1000000</f>
        <v>804217000000</v>
      </c>
      <c r="H1220" s="65">
        <f>94054*1000000</f>
        <v>94054000000</v>
      </c>
      <c r="I1220" s="65">
        <f>482251*1000000</f>
        <v>482251000000</v>
      </c>
      <c r="J1220" s="65">
        <f>101579*1000000</f>
        <v>101579000000</v>
      </c>
      <c r="K1220" s="65">
        <f>311967*1000000</f>
        <v>311967000000</v>
      </c>
      <c r="L1220" s="65">
        <f>266765*1000000</f>
        <v>266765000000</v>
      </c>
      <c r="M1220" s="65">
        <f>31215*1000000</f>
        <v>31215000000</v>
      </c>
      <c r="N1220" s="65">
        <f>44991*1000000</f>
        <v>44991000000</v>
      </c>
      <c r="O1220" s="66">
        <v>0.99970000000000003</v>
      </c>
      <c r="P1220" s="67" t="s">
        <v>289</v>
      </c>
      <c r="Q1220" s="65">
        <v>2</v>
      </c>
      <c r="R1220" s="65">
        <v>3</v>
      </c>
      <c r="S1220" s="65">
        <v>3</v>
      </c>
      <c r="T1220" s="65">
        <f t="shared" si="117"/>
        <v>6</v>
      </c>
      <c r="U1220" s="68">
        <v>0</v>
      </c>
      <c r="V1220" s="65">
        <f>3+(2*2)</f>
        <v>7</v>
      </c>
      <c r="W1220" s="65">
        <f>V1220</f>
        <v>7</v>
      </c>
      <c r="X1220" s="65">
        <f>3+(2*3)</f>
        <v>9</v>
      </c>
      <c r="Y1220" s="64"/>
    </row>
    <row r="1221" spans="1:25" s="54" customFormat="1" ht="15" customHeight="1" x14ac:dyDescent="0.3">
      <c r="A1221" s="63"/>
      <c r="B1221" s="64"/>
      <c r="C1221" s="55"/>
      <c r="D1221" s="64">
        <v>2023</v>
      </c>
      <c r="E1221" s="65">
        <f>54075*1000000</f>
        <v>54075000000</v>
      </c>
      <c r="F1221" s="65">
        <f>(54075+36315+2792+55748+1949+3003)*1000000</f>
        <v>153882000000</v>
      </c>
      <c r="G1221" s="65">
        <f>824850*1000000</f>
        <v>824850000000</v>
      </c>
      <c r="H1221" s="65">
        <f>138144*1000000</f>
        <v>138144000000</v>
      </c>
      <c r="I1221" s="65">
        <f>499592*1000000</f>
        <v>499592000000</v>
      </c>
      <c r="J1221" s="65">
        <f>108331*1000000</f>
        <v>108331000000</v>
      </c>
      <c r="K1221" s="65">
        <f>319258*1000000</f>
        <v>319258000000</v>
      </c>
      <c r="L1221" s="65">
        <f>321411*1000000</f>
        <v>321411000000</v>
      </c>
      <c r="M1221" s="65">
        <f>43934*1000000</f>
        <v>43934000000</v>
      </c>
      <c r="N1221" s="65">
        <f>40787*1000000</f>
        <v>40787000000</v>
      </c>
      <c r="O1221" s="66">
        <v>0.99970000000000003</v>
      </c>
      <c r="P1221" s="67" t="s">
        <v>289</v>
      </c>
      <c r="Q1221" s="65">
        <v>2</v>
      </c>
      <c r="R1221" s="65">
        <v>3</v>
      </c>
      <c r="S1221" s="65">
        <v>3</v>
      </c>
      <c r="T1221" s="65">
        <f t="shared" si="117"/>
        <v>6</v>
      </c>
      <c r="U1221" s="68">
        <v>0</v>
      </c>
      <c r="V1221" s="65">
        <f>3+(2*2)</f>
        <v>7</v>
      </c>
      <c r="W1221" s="65">
        <f>V1221</f>
        <v>7</v>
      </c>
      <c r="X1221" s="65">
        <f>3+(2*3)</f>
        <v>9</v>
      </c>
      <c r="Y1221" s="64"/>
    </row>
    <row r="1222" spans="1:25" s="54" customFormat="1" ht="15" customHeight="1" x14ac:dyDescent="0.3">
      <c r="A1222" s="63"/>
      <c r="B1222" s="64"/>
      <c r="C1222" s="55"/>
      <c r="D1222" s="64">
        <v>2024</v>
      </c>
      <c r="E1222" s="65">
        <f>62032*1000000</f>
        <v>62032000000</v>
      </c>
      <c r="F1222" s="65">
        <f>(62032+36641+3726+72019+3465+2861)*1000000</f>
        <v>180744000000</v>
      </c>
      <c r="G1222" s="65">
        <f>817749*1000000</f>
        <v>817749000000</v>
      </c>
      <c r="H1222" s="65">
        <f>125560*1000000</f>
        <v>125560000000</v>
      </c>
      <c r="I1222" s="65">
        <f>496989*1000000</f>
        <v>496989000000</v>
      </c>
      <c r="J1222" s="65">
        <f>108726*1000000</f>
        <v>108726000000</v>
      </c>
      <c r="K1222" s="65">
        <f>320760*1000000</f>
        <v>320760000000</v>
      </c>
      <c r="L1222" s="65">
        <f>385158*1000000</f>
        <v>385158000000</v>
      </c>
      <c r="M1222" s="65">
        <f>53707*1000000</f>
        <v>53707000000</v>
      </c>
      <c r="N1222" s="65">
        <f>51135*1000000</f>
        <v>51135000000</v>
      </c>
      <c r="O1222" s="66">
        <v>0.99970000000000003</v>
      </c>
      <c r="P1222" s="67" t="s">
        <v>289</v>
      </c>
      <c r="Q1222" s="65">
        <v>1</v>
      </c>
      <c r="R1222" s="65">
        <v>3</v>
      </c>
      <c r="S1222" s="65">
        <v>4</v>
      </c>
      <c r="T1222" s="65">
        <f t="shared" si="117"/>
        <v>7</v>
      </c>
      <c r="U1222" s="68">
        <v>0</v>
      </c>
      <c r="V1222" s="65">
        <f>3+(2*3)+(3*2)</f>
        <v>15</v>
      </c>
      <c r="W1222" s="65">
        <f>V1222</f>
        <v>15</v>
      </c>
      <c r="X1222" s="65">
        <f>4+(2*3)</f>
        <v>10</v>
      </c>
      <c r="Y1222" s="64"/>
    </row>
    <row r="1223" spans="1:25" s="54" customFormat="1" ht="15" customHeight="1" x14ac:dyDescent="0.3">
      <c r="A1223" s="63"/>
      <c r="B1223" s="64">
        <v>112</v>
      </c>
      <c r="C1223" s="55" t="s">
        <v>91</v>
      </c>
      <c r="D1223" s="64">
        <v>2014</v>
      </c>
      <c r="E1223" s="65">
        <v>0</v>
      </c>
      <c r="F1223" s="65">
        <v>0</v>
      </c>
      <c r="G1223" s="65">
        <v>0</v>
      </c>
      <c r="H1223" s="65">
        <v>0</v>
      </c>
      <c r="I1223" s="65">
        <v>0</v>
      </c>
      <c r="J1223" s="65">
        <v>0</v>
      </c>
      <c r="K1223" s="65">
        <v>0</v>
      </c>
      <c r="L1223" s="65">
        <v>0</v>
      </c>
      <c r="M1223" s="65">
        <v>0</v>
      </c>
      <c r="N1223" s="65">
        <v>0</v>
      </c>
      <c r="O1223" s="65">
        <v>0</v>
      </c>
      <c r="P1223" s="65">
        <v>0</v>
      </c>
      <c r="Q1223" s="65">
        <v>0</v>
      </c>
      <c r="R1223" s="65">
        <v>0</v>
      </c>
      <c r="S1223" s="65">
        <v>0</v>
      </c>
      <c r="T1223" s="65">
        <v>0</v>
      </c>
      <c r="U1223" s="65">
        <v>0</v>
      </c>
      <c r="V1223" s="65">
        <v>0</v>
      </c>
      <c r="W1223" s="65">
        <v>0</v>
      </c>
      <c r="X1223" s="65">
        <v>0</v>
      </c>
      <c r="Y1223" s="64"/>
    </row>
    <row r="1224" spans="1:25" s="54" customFormat="1" ht="15" customHeight="1" x14ac:dyDescent="0.3">
      <c r="A1224" s="63"/>
      <c r="B1224" s="64"/>
      <c r="C1224" s="55"/>
      <c r="D1224" s="64">
        <v>2015</v>
      </c>
      <c r="E1224" s="65">
        <f>7844*1000000</f>
        <v>7844000000</v>
      </c>
      <c r="F1224" s="65">
        <f>(7844+213499+7927+2837+92273)*1000000</f>
        <v>324380000000</v>
      </c>
      <c r="G1224" s="65">
        <f>906989*1000000</f>
        <v>906989000000</v>
      </c>
      <c r="H1224" s="69">
        <f>(557236-295702)*1000000</f>
        <v>261534000000</v>
      </c>
      <c r="I1224" s="65">
        <f>557236*1000000</f>
        <v>557236000000</v>
      </c>
      <c r="J1224" s="65">
        <f>289754*1000000</f>
        <v>289754000000</v>
      </c>
      <c r="K1224" s="65">
        <f>349754*1000000</f>
        <v>349754000000</v>
      </c>
      <c r="L1224" s="65">
        <f>430847*1000000</f>
        <v>430847000000</v>
      </c>
      <c r="M1224" s="65">
        <f>98317*1000000</f>
        <v>98317000000</v>
      </c>
      <c r="N1224" s="65">
        <f>78288*1000000</f>
        <v>78288000000</v>
      </c>
      <c r="O1224" s="65">
        <v>0</v>
      </c>
      <c r="P1224" s="65">
        <v>0</v>
      </c>
      <c r="Q1224" s="65">
        <v>0</v>
      </c>
      <c r="R1224" s="65">
        <v>0</v>
      </c>
      <c r="S1224" s="65">
        <v>0</v>
      </c>
      <c r="T1224" s="65">
        <v>0</v>
      </c>
      <c r="U1224" s="65">
        <v>0</v>
      </c>
      <c r="V1224" s="65">
        <v>0</v>
      </c>
      <c r="W1224" s="65">
        <v>0</v>
      </c>
      <c r="X1224" s="65">
        <v>0</v>
      </c>
      <c r="Y1224" s="64"/>
    </row>
    <row r="1225" spans="1:25" s="54" customFormat="1" ht="15" customHeight="1" x14ac:dyDescent="0.3">
      <c r="A1225" s="63"/>
      <c r="B1225" s="64"/>
      <c r="C1225" s="55"/>
      <c r="D1225" s="64">
        <v>2016</v>
      </c>
      <c r="E1225" s="65">
        <f>23259*1000000</f>
        <v>23259000000</v>
      </c>
      <c r="F1225" s="65">
        <f>(23259+141614+12273+1551+220301)*1000000</f>
        <v>398998000000</v>
      </c>
      <c r="G1225" s="65">
        <f>886222*1000000</f>
        <v>886222000000</v>
      </c>
      <c r="H1225" s="65">
        <f>(581888-380638)*1000000</f>
        <v>201250000000</v>
      </c>
      <c r="I1225" s="65">
        <f>581888*1000000</f>
        <v>581888000000</v>
      </c>
      <c r="J1225" s="65">
        <f>244334*1000000</f>
        <v>244334000000</v>
      </c>
      <c r="K1225" s="65">
        <f>304334*1000000</f>
        <v>304334000000</v>
      </c>
      <c r="L1225" s="65">
        <f>358944*1000000</f>
        <v>358944000000</v>
      </c>
      <c r="M1225" s="65">
        <f>88485*1000000</f>
        <v>88485000000</v>
      </c>
      <c r="N1225" s="65">
        <f>76580*1000000</f>
        <v>76580000000</v>
      </c>
      <c r="O1225" s="66">
        <v>0.99990000000000001</v>
      </c>
      <c r="P1225" s="67" t="s">
        <v>243</v>
      </c>
      <c r="Q1225" s="65">
        <v>2</v>
      </c>
      <c r="R1225" s="65">
        <v>3</v>
      </c>
      <c r="S1225" s="65">
        <v>4</v>
      </c>
      <c r="T1225" s="65">
        <f>SUM(R1225:S1225)</f>
        <v>7</v>
      </c>
      <c r="U1225" s="68">
        <v>0</v>
      </c>
      <c r="V1225" s="65">
        <v>0</v>
      </c>
      <c r="W1225" s="65">
        <v>0</v>
      </c>
      <c r="X1225" s="65">
        <v>0</v>
      </c>
      <c r="Y1225" s="64"/>
    </row>
    <row r="1226" spans="1:25" s="54" customFormat="1" ht="15" customHeight="1" x14ac:dyDescent="0.3">
      <c r="A1226" s="63"/>
      <c r="B1226" s="64"/>
      <c r="C1226" s="55"/>
      <c r="D1226" s="64">
        <v>2017</v>
      </c>
      <c r="E1226" s="65">
        <f>23024*1000000</f>
        <v>23024000000</v>
      </c>
      <c r="F1226" s="65">
        <f>(23024+141892+1657+186724+1657+186724+19251+4755)*1000000</f>
        <v>565684000000</v>
      </c>
      <c r="G1226" s="65">
        <f>910239*1000000</f>
        <v>910239000000</v>
      </c>
      <c r="H1226" s="65">
        <f>217204*1000000</f>
        <v>217204000000</v>
      </c>
      <c r="I1226" s="65">
        <f>593374*1000000</f>
        <v>593374000000</v>
      </c>
      <c r="J1226" s="65">
        <f>85885*1000000</f>
        <v>85885000000</v>
      </c>
      <c r="K1226" s="65">
        <f>316865*1000000</f>
        <v>316865000000</v>
      </c>
      <c r="L1226" s="65">
        <f>348181*1000000</f>
        <v>348181000000</v>
      </c>
      <c r="M1226" s="65">
        <f>75224*1000000</f>
        <v>75224000000</v>
      </c>
      <c r="N1226" s="65">
        <f>62531*1000000</f>
        <v>62531000000</v>
      </c>
      <c r="O1226" s="66">
        <v>0.99990000000000001</v>
      </c>
      <c r="P1226" s="67" t="s">
        <v>243</v>
      </c>
      <c r="Q1226" s="65">
        <v>2</v>
      </c>
      <c r="R1226" s="65">
        <v>3</v>
      </c>
      <c r="S1226" s="65">
        <v>4</v>
      </c>
      <c r="T1226" s="65">
        <f t="shared" ref="T1226:T1233" si="118">SUM(R1226:S1226)</f>
        <v>7</v>
      </c>
      <c r="U1226" s="68">
        <v>0</v>
      </c>
      <c r="V1226" s="65">
        <v>0</v>
      </c>
      <c r="W1226" s="65">
        <v>0</v>
      </c>
      <c r="X1226" s="65">
        <v>0</v>
      </c>
      <c r="Y1226" s="64"/>
    </row>
    <row r="1227" spans="1:25" s="54" customFormat="1" ht="15" customHeight="1" x14ac:dyDescent="0.3">
      <c r="A1227" s="63"/>
      <c r="B1227" s="64"/>
      <c r="C1227" s="55"/>
      <c r="D1227" s="64">
        <v>2018</v>
      </c>
      <c r="E1227" s="65">
        <f>16013*1000000</f>
        <v>16013000000</v>
      </c>
      <c r="F1227" s="65">
        <f>(16013+157849+2354+305453+17979+8182)*1000000</f>
        <v>507830000000</v>
      </c>
      <c r="G1227" s="65">
        <f>(1068562*1000000)</f>
        <v>1068562000000</v>
      </c>
      <c r="H1227" s="65">
        <f>215836*1000000</f>
        <v>215836000000</v>
      </c>
      <c r="I1227" s="65">
        <f>755531*1000000</f>
        <v>755531000000</v>
      </c>
      <c r="J1227" s="65">
        <f>84052*1000000</f>
        <v>84052000000</v>
      </c>
      <c r="K1227" s="65">
        <f>315032*1000000</f>
        <v>315032000000</v>
      </c>
      <c r="L1227" s="65">
        <f>369189*1000000</f>
        <v>369189000000</v>
      </c>
      <c r="M1227" s="65">
        <f>40961*1000000</f>
        <v>40961000000</v>
      </c>
      <c r="N1227" s="65">
        <f>335166*1000000</f>
        <v>335166000000</v>
      </c>
      <c r="O1227" s="66">
        <v>0.99990000000000001</v>
      </c>
      <c r="P1227" s="67" t="s">
        <v>243</v>
      </c>
      <c r="Q1227" s="65">
        <v>2</v>
      </c>
      <c r="R1227" s="65">
        <v>3</v>
      </c>
      <c r="S1227" s="65">
        <v>4</v>
      </c>
      <c r="T1227" s="65">
        <f t="shared" si="118"/>
        <v>7</v>
      </c>
      <c r="U1227" s="68">
        <v>0</v>
      </c>
      <c r="V1227" s="65">
        <v>0</v>
      </c>
      <c r="W1227" s="65">
        <v>0</v>
      </c>
      <c r="X1227" s="65">
        <v>0</v>
      </c>
      <c r="Y1227" s="64"/>
    </row>
    <row r="1228" spans="1:25" s="54" customFormat="1" ht="15" customHeight="1" x14ac:dyDescent="0.3">
      <c r="A1228" s="63"/>
      <c r="B1228" s="64"/>
      <c r="C1228" s="55"/>
      <c r="D1228" s="64">
        <v>2019</v>
      </c>
      <c r="E1228" s="65">
        <f>14991*1000000</f>
        <v>14991000000</v>
      </c>
      <c r="F1228" s="65">
        <f>(14991+116182+1344+390789+15229+8211)*1000000</f>
        <v>546746000000</v>
      </c>
      <c r="G1228" s="65">
        <f>1098507*1000000</f>
        <v>1098507000000</v>
      </c>
      <c r="H1228" s="65">
        <f>119846*1000000</f>
        <v>119846000000</v>
      </c>
      <c r="I1228" s="65">
        <f>731259*1000000</f>
        <v>731259000000</v>
      </c>
      <c r="J1228" s="65">
        <f>136268*1000000</f>
        <v>136268000000</v>
      </c>
      <c r="K1228" s="65">
        <f>367268*1000000</f>
        <v>367268000000</v>
      </c>
      <c r="L1228" s="65">
        <f>306640*1000000</f>
        <v>306640000000</v>
      </c>
      <c r="M1228" s="65">
        <f>55143*1000000</f>
        <v>55143000000</v>
      </c>
      <c r="N1228" s="65">
        <f>53466*1000000</f>
        <v>53466000000</v>
      </c>
      <c r="O1228" s="66">
        <v>0.99990000000000001</v>
      </c>
      <c r="P1228" s="67" t="s">
        <v>243</v>
      </c>
      <c r="Q1228" s="65">
        <v>2</v>
      </c>
      <c r="R1228" s="65">
        <v>3</v>
      </c>
      <c r="S1228" s="65">
        <v>2</v>
      </c>
      <c r="T1228" s="65">
        <f t="shared" si="118"/>
        <v>5</v>
      </c>
      <c r="U1228" s="68">
        <v>0</v>
      </c>
      <c r="V1228" s="65">
        <v>0</v>
      </c>
      <c r="W1228" s="65">
        <v>0</v>
      </c>
      <c r="X1228" s="65">
        <v>0</v>
      </c>
      <c r="Y1228" s="64"/>
    </row>
    <row r="1229" spans="1:25" s="54" customFormat="1" ht="15" customHeight="1" x14ac:dyDescent="0.3">
      <c r="A1229" s="63"/>
      <c r="B1229" s="64"/>
      <c r="C1229" s="55"/>
      <c r="D1229" s="64">
        <v>2020</v>
      </c>
      <c r="E1229" s="65">
        <f>20885*1000000</f>
        <v>20885000000</v>
      </c>
      <c r="F1229" s="65">
        <f>(20885+126837+1100+267847+58239+8921)*1000000</f>
        <v>483829000000</v>
      </c>
      <c r="G1229" s="65">
        <f>(939785*1000000)</f>
        <v>939785000000</v>
      </c>
      <c r="H1229" s="65">
        <f>114542*1000000</f>
        <v>114542000000</v>
      </c>
      <c r="I1229" s="65">
        <f>539965*1000000</f>
        <v>539965000000</v>
      </c>
      <c r="J1229" s="65">
        <f>168840*1000000</f>
        <v>168840000000</v>
      </c>
      <c r="K1229" s="65">
        <f>399820*1000000</f>
        <v>399820000000</v>
      </c>
      <c r="L1229" s="65">
        <f>213492*1000000</f>
        <v>213492000000</v>
      </c>
      <c r="M1229" s="65">
        <f>42284*1000000</f>
        <v>42284000000</v>
      </c>
      <c r="N1229" s="65">
        <f>32572*1000000</f>
        <v>32572000000</v>
      </c>
      <c r="O1229" s="66">
        <v>0.99990000000000001</v>
      </c>
      <c r="P1229" s="67" t="s">
        <v>243</v>
      </c>
      <c r="Q1229" s="65">
        <v>2</v>
      </c>
      <c r="R1229" s="65">
        <v>3</v>
      </c>
      <c r="S1229" s="65">
        <v>4</v>
      </c>
      <c r="T1229" s="65">
        <f t="shared" si="118"/>
        <v>7</v>
      </c>
      <c r="U1229" s="68">
        <v>0</v>
      </c>
      <c r="V1229" s="65">
        <v>0</v>
      </c>
      <c r="W1229" s="65">
        <v>0</v>
      </c>
      <c r="X1229" s="65">
        <v>0</v>
      </c>
      <c r="Y1229" s="64"/>
    </row>
    <row r="1230" spans="1:25" s="54" customFormat="1" ht="15" customHeight="1" x14ac:dyDescent="0.3">
      <c r="A1230" s="63"/>
      <c r="B1230" s="64"/>
      <c r="C1230" s="55"/>
      <c r="D1230" s="64">
        <v>2021</v>
      </c>
      <c r="E1230" s="65">
        <f>18479*1000000</f>
        <v>18479000000</v>
      </c>
      <c r="F1230" s="65">
        <f>(18479+183348+2030+269014+40985+9388)*1000000</f>
        <v>523244000000</v>
      </c>
      <c r="G1230" s="65">
        <f>1057639*1000000</f>
        <v>1057639000000</v>
      </c>
      <c r="H1230" s="65">
        <f>143307*1000000</f>
        <v>143307000000</v>
      </c>
      <c r="I1230" s="65">
        <f>627044*1000000</f>
        <v>627044000000</v>
      </c>
      <c r="J1230" s="65">
        <f>201143*1000000</f>
        <v>201143000000</v>
      </c>
      <c r="K1230" s="65">
        <f>430595*1000000</f>
        <v>430595000000</v>
      </c>
      <c r="L1230" s="65">
        <f>289383*1000000</f>
        <v>289383000000</v>
      </c>
      <c r="M1230" s="65">
        <f>38797*1000000</f>
        <v>38797000000</v>
      </c>
      <c r="N1230" s="65">
        <f>31959*1000000</f>
        <v>31959000000</v>
      </c>
      <c r="O1230" s="66">
        <v>0.99990000000000001</v>
      </c>
      <c r="P1230" s="67" t="s">
        <v>243</v>
      </c>
      <c r="Q1230" s="65">
        <v>2</v>
      </c>
      <c r="R1230" s="65">
        <v>3</v>
      </c>
      <c r="S1230" s="65">
        <v>4</v>
      </c>
      <c r="T1230" s="65">
        <f t="shared" si="118"/>
        <v>7</v>
      </c>
      <c r="U1230" s="68">
        <v>0</v>
      </c>
      <c r="V1230" s="65">
        <v>0</v>
      </c>
      <c r="W1230" s="65">
        <v>0</v>
      </c>
      <c r="X1230" s="65">
        <v>0</v>
      </c>
      <c r="Y1230" s="64"/>
    </row>
    <row r="1231" spans="1:25" s="54" customFormat="1" ht="15" customHeight="1" x14ac:dyDescent="0.3">
      <c r="A1231" s="63"/>
      <c r="B1231" s="64"/>
      <c r="C1231" s="55"/>
      <c r="D1231" s="64">
        <v>2022</v>
      </c>
      <c r="E1231" s="65">
        <f>13319*1000000</f>
        <v>13319000000</v>
      </c>
      <c r="F1231" s="65">
        <f>(13319+241981+899+263889+40053+6879)*1000000</f>
        <v>567020000000</v>
      </c>
      <c r="G1231" s="65">
        <f>1338220*1000000</f>
        <v>1338220000000</v>
      </c>
      <c r="H1231" s="65">
        <f>300905*1000000</f>
        <v>300905000000</v>
      </c>
      <c r="I1231" s="65">
        <f>836122*1000000</f>
        <v>836122000000</v>
      </c>
      <c r="J1231" s="65">
        <f>266796*1000000</f>
        <v>266796000000</v>
      </c>
      <c r="K1231" s="65">
        <f>502098*1000000</f>
        <v>502098000000</v>
      </c>
      <c r="L1231" s="65">
        <f>452337*1000000</f>
        <v>452337000000</v>
      </c>
      <c r="M1231" s="65">
        <f>78676*1000000</f>
        <v>78676000000</v>
      </c>
      <c r="N1231" s="65">
        <f>71504*1000000</f>
        <v>71504000000</v>
      </c>
      <c r="O1231" s="66">
        <v>0.99990000000000001</v>
      </c>
      <c r="P1231" s="67" t="s">
        <v>243</v>
      </c>
      <c r="Q1231" s="65">
        <v>2</v>
      </c>
      <c r="R1231" s="65">
        <v>3</v>
      </c>
      <c r="S1231" s="65">
        <v>4</v>
      </c>
      <c r="T1231" s="65">
        <f t="shared" si="118"/>
        <v>7</v>
      </c>
      <c r="U1231" s="68">
        <v>0</v>
      </c>
      <c r="V1231" s="65">
        <v>0</v>
      </c>
      <c r="W1231" s="65">
        <v>0</v>
      </c>
      <c r="X1231" s="65">
        <v>0</v>
      </c>
      <c r="Y1231" s="64"/>
    </row>
    <row r="1232" spans="1:25" s="54" customFormat="1" ht="15" customHeight="1" x14ac:dyDescent="0.3">
      <c r="A1232" s="63"/>
      <c r="B1232" s="64"/>
      <c r="C1232" s="55"/>
      <c r="D1232" s="64">
        <v>2023</v>
      </c>
      <c r="E1232" s="65">
        <f>16881*1000000</f>
        <v>16881000000</v>
      </c>
      <c r="F1232" s="65">
        <f>(16881+400122+1939+346031+36653+10351)*1000000</f>
        <v>811977000000</v>
      </c>
      <c r="G1232" s="65">
        <f>1759417*1000000</f>
        <v>1759417000000</v>
      </c>
      <c r="H1232" s="65">
        <f>491650*1000000</f>
        <v>491650000000</v>
      </c>
      <c r="I1232" s="65">
        <f>1132706*1000000</f>
        <v>1132706000000</v>
      </c>
      <c r="J1232" s="65">
        <f>383056*1000000</f>
        <v>383056000000</v>
      </c>
      <c r="K1232" s="65">
        <f>626711*1000000</f>
        <v>626711000000</v>
      </c>
      <c r="L1232" s="65">
        <f>1074285*1000000</f>
        <v>1074285000000</v>
      </c>
      <c r="M1232" s="65">
        <f>103017*1000000</f>
        <v>103017000000</v>
      </c>
      <c r="N1232" s="65">
        <f>85872*1000000</f>
        <v>85872000000</v>
      </c>
      <c r="O1232" s="66">
        <v>0.99990000000000001</v>
      </c>
      <c r="P1232" s="67" t="s">
        <v>243</v>
      </c>
      <c r="Q1232" s="65">
        <v>2</v>
      </c>
      <c r="R1232" s="65">
        <v>3</v>
      </c>
      <c r="S1232" s="65">
        <v>3</v>
      </c>
      <c r="T1232" s="65">
        <f t="shared" si="118"/>
        <v>6</v>
      </c>
      <c r="U1232" s="68">
        <v>0</v>
      </c>
      <c r="V1232" s="65">
        <v>0</v>
      </c>
      <c r="W1232" s="65">
        <v>0</v>
      </c>
      <c r="X1232" s="65">
        <v>0</v>
      </c>
      <c r="Y1232" s="64"/>
    </row>
    <row r="1233" spans="1:25" s="54" customFormat="1" ht="15" customHeight="1" x14ac:dyDescent="0.3">
      <c r="A1233" s="63"/>
      <c r="B1233" s="64"/>
      <c r="C1233" s="55"/>
      <c r="D1233" s="64">
        <v>2024</v>
      </c>
      <c r="E1233" s="65">
        <f>10141*1000000</f>
        <v>10141000000</v>
      </c>
      <c r="F1233" s="65">
        <f>(10141+337724+363+363354+84032+9957)*1000000</f>
        <v>805571000000</v>
      </c>
      <c r="G1233" s="65">
        <f>1793696*1000000</f>
        <v>1793696000000</v>
      </c>
      <c r="H1233" s="65">
        <f>401681*1000000</f>
        <v>401681000000</v>
      </c>
      <c r="I1233" s="65">
        <f>1075040*1000000</f>
        <v>1075040000000</v>
      </c>
      <c r="J1233" s="65">
        <f>485300*1000000</f>
        <v>485300000000</v>
      </c>
      <c r="K1233" s="65">
        <f>718656*1000000</f>
        <v>718656000000</v>
      </c>
      <c r="L1233" s="65">
        <f>826629*1000000</f>
        <v>826629000000</v>
      </c>
      <c r="M1233" s="65">
        <f>121924*1000000</f>
        <v>121924000000</v>
      </c>
      <c r="N1233" s="65">
        <f>102244*1000000</f>
        <v>102244000000</v>
      </c>
      <c r="O1233" s="66">
        <v>0.99990000000000001</v>
      </c>
      <c r="P1233" s="67" t="s">
        <v>243</v>
      </c>
      <c r="Q1233" s="65">
        <v>2</v>
      </c>
      <c r="R1233" s="65">
        <v>3</v>
      </c>
      <c r="S1233" s="65">
        <v>3</v>
      </c>
      <c r="T1233" s="65">
        <f t="shared" si="118"/>
        <v>6</v>
      </c>
      <c r="U1233" s="68">
        <v>0</v>
      </c>
      <c r="V1233" s="65">
        <f>3+(2*2)+(3*1)</f>
        <v>10</v>
      </c>
      <c r="W1233" s="65">
        <f>V1233</f>
        <v>10</v>
      </c>
      <c r="X1233" s="65">
        <f>3+(2*2)</f>
        <v>7</v>
      </c>
      <c r="Y1233" s="64"/>
    </row>
    <row r="1234" spans="1:25" s="54" customFormat="1" ht="15" customHeight="1" x14ac:dyDescent="0.3">
      <c r="A1234" s="63"/>
      <c r="B1234" s="64">
        <v>113</v>
      </c>
      <c r="C1234" s="55" t="s">
        <v>90</v>
      </c>
      <c r="D1234" s="64">
        <v>2014</v>
      </c>
      <c r="E1234" s="65">
        <v>0</v>
      </c>
      <c r="F1234" s="65">
        <v>0</v>
      </c>
      <c r="G1234" s="65">
        <v>0</v>
      </c>
      <c r="H1234" s="65">
        <v>0</v>
      </c>
      <c r="I1234" s="65">
        <v>0</v>
      </c>
      <c r="J1234" s="65">
        <v>0</v>
      </c>
      <c r="K1234" s="65">
        <v>0</v>
      </c>
      <c r="L1234" s="65">
        <v>0</v>
      </c>
      <c r="M1234" s="65">
        <v>0</v>
      </c>
      <c r="N1234" s="65">
        <v>0</v>
      </c>
      <c r="O1234" s="65">
        <v>0</v>
      </c>
      <c r="P1234" s="65">
        <v>0</v>
      </c>
      <c r="Q1234" s="65">
        <v>0</v>
      </c>
      <c r="R1234" s="65">
        <v>0</v>
      </c>
      <c r="S1234" s="65">
        <v>0</v>
      </c>
      <c r="T1234" s="65">
        <v>0</v>
      </c>
      <c r="U1234" s="65">
        <v>0</v>
      </c>
      <c r="V1234" s="65">
        <v>0</v>
      </c>
      <c r="W1234" s="65">
        <v>0</v>
      </c>
      <c r="X1234" s="65">
        <v>0</v>
      </c>
      <c r="Y1234" s="64"/>
    </row>
    <row r="1235" spans="1:25" s="54" customFormat="1" ht="15" customHeight="1" x14ac:dyDescent="0.3">
      <c r="A1235" s="63"/>
      <c r="B1235" s="64"/>
      <c r="C1235" s="55"/>
      <c r="D1235" s="64">
        <v>2015</v>
      </c>
      <c r="E1235" s="65">
        <v>0</v>
      </c>
      <c r="F1235" s="65">
        <v>0</v>
      </c>
      <c r="G1235" s="65">
        <v>0</v>
      </c>
      <c r="H1235" s="65">
        <v>0</v>
      </c>
      <c r="I1235" s="65">
        <v>0</v>
      </c>
      <c r="J1235" s="65">
        <v>0</v>
      </c>
      <c r="K1235" s="65">
        <v>0</v>
      </c>
      <c r="L1235" s="65">
        <v>0</v>
      </c>
      <c r="M1235" s="65">
        <v>0</v>
      </c>
      <c r="N1235" s="65">
        <v>0</v>
      </c>
      <c r="O1235" s="65">
        <v>0</v>
      </c>
      <c r="P1235" s="65">
        <v>0</v>
      </c>
      <c r="Q1235" s="65">
        <v>0</v>
      </c>
      <c r="R1235" s="65">
        <v>0</v>
      </c>
      <c r="S1235" s="65">
        <v>0</v>
      </c>
      <c r="T1235" s="65">
        <v>0</v>
      </c>
      <c r="U1235" s="65">
        <v>0</v>
      </c>
      <c r="V1235" s="65">
        <v>0</v>
      </c>
      <c r="W1235" s="65">
        <v>0</v>
      </c>
      <c r="X1235" s="65">
        <v>0</v>
      </c>
      <c r="Y1235" s="64"/>
    </row>
    <row r="1236" spans="1:25" s="54" customFormat="1" ht="15" customHeight="1" x14ac:dyDescent="0.3">
      <c r="A1236" s="63"/>
      <c r="B1236" s="64"/>
      <c r="C1236" s="55"/>
      <c r="D1236" s="64">
        <v>2016</v>
      </c>
      <c r="E1236" s="65">
        <v>0</v>
      </c>
      <c r="F1236" s="65">
        <v>0</v>
      </c>
      <c r="G1236" s="65">
        <v>0</v>
      </c>
      <c r="H1236" s="65">
        <v>0</v>
      </c>
      <c r="I1236" s="65">
        <v>0</v>
      </c>
      <c r="J1236" s="65">
        <v>0</v>
      </c>
      <c r="K1236" s="65">
        <v>0</v>
      </c>
      <c r="L1236" s="65">
        <v>0</v>
      </c>
      <c r="M1236" s="65">
        <v>0</v>
      </c>
      <c r="N1236" s="65">
        <v>0</v>
      </c>
      <c r="O1236" s="65">
        <v>0</v>
      </c>
      <c r="P1236" s="65">
        <v>0</v>
      </c>
      <c r="Q1236" s="65">
        <v>0</v>
      </c>
      <c r="R1236" s="65">
        <v>0</v>
      </c>
      <c r="S1236" s="65">
        <v>0</v>
      </c>
      <c r="T1236" s="65">
        <v>0</v>
      </c>
      <c r="U1236" s="65">
        <v>0</v>
      </c>
      <c r="V1236" s="65">
        <v>0</v>
      </c>
      <c r="W1236" s="65">
        <v>0</v>
      </c>
      <c r="X1236" s="65">
        <v>0</v>
      </c>
      <c r="Y1236" s="64"/>
    </row>
    <row r="1237" spans="1:25" s="54" customFormat="1" ht="15" customHeight="1" x14ac:dyDescent="0.3">
      <c r="A1237" s="63"/>
      <c r="B1237" s="64"/>
      <c r="C1237" s="55"/>
      <c r="D1237" s="64">
        <v>2017</v>
      </c>
      <c r="E1237" s="65">
        <v>0</v>
      </c>
      <c r="F1237" s="65">
        <v>0</v>
      </c>
      <c r="G1237" s="65">
        <v>0</v>
      </c>
      <c r="H1237" s="65">
        <v>0</v>
      </c>
      <c r="I1237" s="65">
        <v>0</v>
      </c>
      <c r="J1237" s="65">
        <v>0</v>
      </c>
      <c r="K1237" s="65">
        <v>0</v>
      </c>
      <c r="L1237" s="65">
        <v>0</v>
      </c>
      <c r="M1237" s="65">
        <v>0</v>
      </c>
      <c r="N1237" s="65">
        <v>0</v>
      </c>
      <c r="O1237" s="65">
        <v>0</v>
      </c>
      <c r="P1237" s="65">
        <v>0</v>
      </c>
      <c r="Q1237" s="65">
        <v>0</v>
      </c>
      <c r="R1237" s="65">
        <v>0</v>
      </c>
      <c r="S1237" s="65">
        <v>0</v>
      </c>
      <c r="T1237" s="65">
        <v>0</v>
      </c>
      <c r="U1237" s="65">
        <v>0</v>
      </c>
      <c r="V1237" s="65">
        <v>0</v>
      </c>
      <c r="W1237" s="65">
        <v>0</v>
      </c>
      <c r="X1237" s="65">
        <v>0</v>
      </c>
      <c r="Y1237" s="64"/>
    </row>
    <row r="1238" spans="1:25" s="54" customFormat="1" ht="15" customHeight="1" x14ac:dyDescent="0.3">
      <c r="A1238" s="63"/>
      <c r="B1238" s="64"/>
      <c r="C1238" s="55"/>
      <c r="D1238" s="64">
        <v>2018</v>
      </c>
      <c r="E1238" s="65">
        <f>17997*1000000</f>
        <v>17997000000</v>
      </c>
      <c r="F1238" s="65">
        <f>(17997+37908+273+146089+3684+564)*1000000</f>
        <v>206515000000</v>
      </c>
      <c r="G1238" s="65">
        <f>378337*1000000</f>
        <v>378337000000</v>
      </c>
      <c r="H1238" s="65">
        <f>28224*1000000</f>
        <v>28224000000</v>
      </c>
      <c r="I1238" s="65">
        <f>242690*1000000</f>
        <v>242690000000</v>
      </c>
      <c r="J1238" s="65">
        <f>73570*1000000</f>
        <v>73570000000</v>
      </c>
      <c r="K1238" s="65">
        <f>135647*1000000</f>
        <v>135647000000</v>
      </c>
      <c r="L1238" s="65">
        <f>66451*1000000</f>
        <v>66451000000</v>
      </c>
      <c r="M1238" s="65">
        <f>12844*1000000</f>
        <v>12844000000</v>
      </c>
      <c r="N1238" s="65">
        <f>10348*1000000</f>
        <v>10348000000</v>
      </c>
      <c r="O1238" s="65">
        <v>0</v>
      </c>
      <c r="P1238" s="65">
        <v>0</v>
      </c>
      <c r="Q1238" s="65">
        <v>0</v>
      </c>
      <c r="R1238" s="65">
        <v>0</v>
      </c>
      <c r="S1238" s="65">
        <v>0</v>
      </c>
      <c r="T1238" s="65">
        <v>0</v>
      </c>
      <c r="U1238" s="65">
        <v>0</v>
      </c>
      <c r="V1238" s="65">
        <v>0</v>
      </c>
      <c r="W1238" s="65">
        <v>0</v>
      </c>
      <c r="X1238" s="65">
        <v>0</v>
      </c>
      <c r="Y1238" s="64"/>
    </row>
    <row r="1239" spans="1:25" s="54" customFormat="1" ht="15" customHeight="1" x14ac:dyDescent="0.3">
      <c r="A1239" s="63"/>
      <c r="B1239" s="64"/>
      <c r="C1239" s="55"/>
      <c r="D1239" s="64">
        <v>2019</v>
      </c>
      <c r="E1239" s="65">
        <f>14970*1000000</f>
        <v>14970000000</v>
      </c>
      <c r="F1239" s="65">
        <f>(14970+46374-396+211039+14635+781)*1000000</f>
        <v>287403000000</v>
      </c>
      <c r="G1239" s="65">
        <f>460747*1000000</f>
        <v>460747000000</v>
      </c>
      <c r="H1239" s="65">
        <f>29241*1000000</f>
        <v>29241000000</v>
      </c>
      <c r="I1239" s="65">
        <f>322752*1000000</f>
        <v>322752000000</v>
      </c>
      <c r="J1239" s="65">
        <f>75001*1000000</f>
        <v>75001000000</v>
      </c>
      <c r="K1239" s="65">
        <f>137994*1000000</f>
        <v>137994000000</v>
      </c>
      <c r="L1239" s="65">
        <f>69666*1000000</f>
        <v>69666000000</v>
      </c>
      <c r="M1239" s="65">
        <f>-109*1000000</f>
        <v>-109000000</v>
      </c>
      <c r="N1239" s="65">
        <f>2032*1000000</f>
        <v>2032000000</v>
      </c>
      <c r="O1239" s="66">
        <v>0.93369999999999997</v>
      </c>
      <c r="P1239" s="67" t="s">
        <v>309</v>
      </c>
      <c r="Q1239" s="65">
        <v>2</v>
      </c>
      <c r="R1239" s="65">
        <v>4</v>
      </c>
      <c r="S1239" s="65">
        <v>3</v>
      </c>
      <c r="T1239" s="65">
        <f t="shared" ref="T1239:T1244" si="119">SUM(R1239:S1239)</f>
        <v>7</v>
      </c>
      <c r="U1239" s="68">
        <v>0.05</v>
      </c>
      <c r="V1239" s="65">
        <v>0</v>
      </c>
      <c r="W1239" s="65">
        <v>0</v>
      </c>
      <c r="X1239" s="65">
        <v>0</v>
      </c>
      <c r="Y1239" s="64"/>
    </row>
    <row r="1240" spans="1:25" s="54" customFormat="1" ht="15" customHeight="1" x14ac:dyDescent="0.3">
      <c r="A1240" s="63"/>
      <c r="B1240" s="64"/>
      <c r="C1240" s="55"/>
      <c r="D1240" s="64">
        <v>2020</v>
      </c>
      <c r="E1240" s="65">
        <f>13388*1000000</f>
        <v>13388000000</v>
      </c>
      <c r="F1240" s="65">
        <f>(13388+27066-390+192997+10790+404)*1000000</f>
        <v>244255000000</v>
      </c>
      <c r="G1240" s="65">
        <f>422492*1000000</f>
        <v>422492000000</v>
      </c>
      <c r="H1240" s="65">
        <f>16037*1000000</f>
        <v>16037000000</v>
      </c>
      <c r="I1240" s="65">
        <f>284434*1000000</f>
        <v>284434000000</v>
      </c>
      <c r="J1240" s="65">
        <f>6145*1000000</f>
        <v>6145000000</v>
      </c>
      <c r="K1240" s="65">
        <f>138058*1000000</f>
        <v>138058000000</v>
      </c>
      <c r="L1240" s="65">
        <f>61493*1000000</f>
        <v>61493000000</v>
      </c>
      <c r="M1240" s="65">
        <f>583*1000000</f>
        <v>583000000</v>
      </c>
      <c r="N1240" s="65">
        <f>1144*1000000</f>
        <v>1144000000</v>
      </c>
      <c r="O1240" s="66">
        <v>0.93369999999999997</v>
      </c>
      <c r="P1240" s="67" t="s">
        <v>309</v>
      </c>
      <c r="Q1240" s="65">
        <v>2</v>
      </c>
      <c r="R1240" s="65">
        <v>4</v>
      </c>
      <c r="S1240" s="65">
        <v>3</v>
      </c>
      <c r="T1240" s="65">
        <f t="shared" si="119"/>
        <v>7</v>
      </c>
      <c r="U1240" s="68">
        <v>0.05</v>
      </c>
      <c r="V1240" s="65">
        <v>0</v>
      </c>
      <c r="W1240" s="65">
        <v>0</v>
      </c>
      <c r="X1240" s="65">
        <v>0</v>
      </c>
      <c r="Y1240" s="64"/>
    </row>
    <row r="1241" spans="1:25" s="54" customFormat="1" ht="15" customHeight="1" x14ac:dyDescent="0.3">
      <c r="A1241" s="63"/>
      <c r="B1241" s="64"/>
      <c r="C1241" s="55"/>
      <c r="D1241" s="64">
        <v>2021</v>
      </c>
      <c r="E1241" s="65">
        <f>11845*1000000</f>
        <v>11845000000</v>
      </c>
      <c r="F1241" s="65">
        <f>(11845+2438+124+143314+17391+378)*1000000</f>
        <v>175490000000</v>
      </c>
      <c r="G1241" s="65">
        <f>336360*1000000</f>
        <v>336360000000</v>
      </c>
      <c r="H1241" s="65">
        <f>12985*1000000</f>
        <v>12985000000</v>
      </c>
      <c r="I1241" s="65">
        <f>222037*1000000</f>
        <v>222037000000</v>
      </c>
      <c r="J1241" s="65">
        <f>-11394*1000000</f>
        <v>-11394000000</v>
      </c>
      <c r="K1241" s="65">
        <f>114323*1000000</f>
        <v>114323000000</v>
      </c>
      <c r="L1241" s="65">
        <f>34914*1000000</f>
        <v>34914000000</v>
      </c>
      <c r="M1241" s="65">
        <f>-27214*1000000</f>
        <v>-27214000000</v>
      </c>
      <c r="N1241" s="65">
        <f>-23736*1000000</f>
        <v>-23736000000</v>
      </c>
      <c r="O1241" s="66">
        <v>0.9476</v>
      </c>
      <c r="P1241" s="67" t="s">
        <v>309</v>
      </c>
      <c r="Q1241" s="65">
        <v>2</v>
      </c>
      <c r="R1241" s="65">
        <v>4</v>
      </c>
      <c r="S1241" s="65">
        <v>2</v>
      </c>
      <c r="T1241" s="65">
        <f t="shared" si="119"/>
        <v>6</v>
      </c>
      <c r="U1241" s="68">
        <v>0.05</v>
      </c>
      <c r="V1241" s="65">
        <v>0</v>
      </c>
      <c r="W1241" s="65">
        <v>0</v>
      </c>
      <c r="X1241" s="65">
        <v>0</v>
      </c>
      <c r="Y1241" s="64"/>
    </row>
    <row r="1242" spans="1:25" s="54" customFormat="1" ht="15" customHeight="1" x14ac:dyDescent="0.3">
      <c r="A1242" s="63"/>
      <c r="B1242" s="64"/>
      <c r="C1242" s="55"/>
      <c r="D1242" s="64">
        <v>2022</v>
      </c>
      <c r="E1242" s="65">
        <f>64668*1000000</f>
        <v>64668000000</v>
      </c>
      <c r="F1242" s="65">
        <f>(64668+78+77386+9367+1034)*1000000</f>
        <v>152533000000</v>
      </c>
      <c r="G1242" s="65">
        <f>386436*1000000</f>
        <v>386436000000</v>
      </c>
      <c r="H1242" s="65">
        <f>10630*1000000</f>
        <v>10630000000</v>
      </c>
      <c r="I1242" s="65">
        <f>130799*1000000</f>
        <v>130799000000</v>
      </c>
      <c r="J1242" s="65">
        <f>-41245*1000000</f>
        <v>-41245000000</v>
      </c>
      <c r="K1242" s="65">
        <f>155637*1000000</f>
        <v>155637000000</v>
      </c>
      <c r="L1242" s="65">
        <f>10392*1000000</f>
        <v>10392000000</v>
      </c>
      <c r="M1242" s="65">
        <f>-28778*1000000</f>
        <v>-28778000000</v>
      </c>
      <c r="N1242" s="65">
        <f>-37966*1000000</f>
        <v>-37966000000</v>
      </c>
      <c r="O1242" s="66">
        <v>0.99850000000000005</v>
      </c>
      <c r="P1242" s="67" t="s">
        <v>310</v>
      </c>
      <c r="Q1242" s="65">
        <v>1</v>
      </c>
      <c r="R1242" s="65">
        <v>3</v>
      </c>
      <c r="S1242" s="65">
        <v>3</v>
      </c>
      <c r="T1242" s="65">
        <f t="shared" si="119"/>
        <v>6</v>
      </c>
      <c r="U1242" s="68">
        <v>0</v>
      </c>
      <c r="V1242" s="65">
        <v>0</v>
      </c>
      <c r="W1242" s="65">
        <v>0</v>
      </c>
      <c r="X1242" s="65">
        <v>0</v>
      </c>
      <c r="Y1242" s="64"/>
    </row>
    <row r="1243" spans="1:25" s="54" customFormat="1" ht="15" customHeight="1" x14ac:dyDescent="0.3">
      <c r="A1243" s="63"/>
      <c r="B1243" s="64"/>
      <c r="C1243" s="55"/>
      <c r="D1243" s="64">
        <v>2023</v>
      </c>
      <c r="E1243" s="65">
        <f>36236*1000000</f>
        <v>36236000000</v>
      </c>
      <c r="F1243" s="65">
        <f>(36236+57151+151+59903+2195+1521)*1000000</f>
        <v>157157000000</v>
      </c>
      <c r="G1243" s="65">
        <f>336366*1000000</f>
        <v>336366000000</v>
      </c>
      <c r="H1243" s="65">
        <f>31299*1000000</f>
        <v>31299000000</v>
      </c>
      <c r="I1243" s="65">
        <f>205363*1000000</f>
        <v>205363000000</v>
      </c>
      <c r="J1243" s="65">
        <f>-66358*1000000</f>
        <v>-66358000000</v>
      </c>
      <c r="K1243" s="65">
        <f>131003*1000000</f>
        <v>131003000000</v>
      </c>
      <c r="L1243" s="65">
        <f>56691*1000000</f>
        <v>56691000000</v>
      </c>
      <c r="M1243" s="65">
        <f>-25113*1000000</f>
        <v>-25113000000</v>
      </c>
      <c r="N1243" s="65">
        <f>-24634*1000000</f>
        <v>-24634000000</v>
      </c>
      <c r="O1243" s="66">
        <v>0.99850000000000005</v>
      </c>
      <c r="P1243" s="67" t="s">
        <v>310</v>
      </c>
      <c r="Q1243" s="65">
        <v>2</v>
      </c>
      <c r="R1243" s="65">
        <v>3</v>
      </c>
      <c r="S1243" s="65">
        <v>3</v>
      </c>
      <c r="T1243" s="65">
        <f t="shared" si="119"/>
        <v>6</v>
      </c>
      <c r="U1243" s="68">
        <v>0</v>
      </c>
      <c r="V1243" s="65">
        <v>0</v>
      </c>
      <c r="W1243" s="65">
        <v>0</v>
      </c>
      <c r="X1243" s="65">
        <v>0</v>
      </c>
      <c r="Y1243" s="64"/>
    </row>
    <row r="1244" spans="1:25" s="54" customFormat="1" ht="15" customHeight="1" x14ac:dyDescent="0.3">
      <c r="A1244" s="63"/>
      <c r="B1244" s="64"/>
      <c r="C1244" s="55"/>
      <c r="D1244" s="64">
        <v>2024</v>
      </c>
      <c r="E1244" s="65">
        <f>90465*1000000</f>
        <v>90465000000</v>
      </c>
      <c r="F1244" s="65">
        <f>(90465+184077+156+48789+16+2824)*1000000</f>
        <v>326327000000</v>
      </c>
      <c r="G1244" s="65">
        <f>361307*1000000</f>
        <v>361307000000</v>
      </c>
      <c r="H1244" s="65">
        <f>196218*1000000</f>
        <v>196218000000</v>
      </c>
      <c r="I1244" s="65">
        <f>540492*1000000</f>
        <v>540492000000</v>
      </c>
      <c r="J1244" s="65">
        <f>99227*1000000</f>
        <v>99227000000</v>
      </c>
      <c r="K1244" s="65">
        <f>296693*1000000</f>
        <v>296693000000</v>
      </c>
      <c r="L1244" s="65">
        <f>449442*1000000</f>
        <v>449442000000</v>
      </c>
      <c r="M1244" s="65">
        <f>182248*1000000</f>
        <v>182248000000</v>
      </c>
      <c r="N1244" s="65">
        <f>165690*1000000</f>
        <v>165690000000</v>
      </c>
      <c r="O1244" s="66">
        <v>0.99850000000000005</v>
      </c>
      <c r="P1244" s="67" t="s">
        <v>310</v>
      </c>
      <c r="Q1244" s="65">
        <v>2</v>
      </c>
      <c r="R1244" s="65">
        <v>3</v>
      </c>
      <c r="S1244" s="65">
        <v>3</v>
      </c>
      <c r="T1244" s="65">
        <f t="shared" si="119"/>
        <v>6</v>
      </c>
      <c r="U1244" s="68">
        <v>0</v>
      </c>
      <c r="V1244" s="65">
        <v>0</v>
      </c>
      <c r="W1244" s="65">
        <v>0</v>
      </c>
      <c r="X1244" s="65">
        <v>0</v>
      </c>
      <c r="Y1244" s="64"/>
    </row>
    <row r="1245" spans="1:25" s="54" customFormat="1" ht="15" customHeight="1" x14ac:dyDescent="0.3">
      <c r="A1245" s="63"/>
      <c r="B1245" s="64">
        <v>114</v>
      </c>
      <c r="C1245" s="55" t="s">
        <v>107</v>
      </c>
      <c r="D1245" s="64">
        <v>2014</v>
      </c>
      <c r="E1245" s="65">
        <v>0</v>
      </c>
      <c r="F1245" s="65">
        <v>0</v>
      </c>
      <c r="G1245" s="65">
        <v>0</v>
      </c>
      <c r="H1245" s="65">
        <v>0</v>
      </c>
      <c r="I1245" s="65">
        <v>0</v>
      </c>
      <c r="J1245" s="65">
        <v>0</v>
      </c>
      <c r="K1245" s="65">
        <v>0</v>
      </c>
      <c r="L1245" s="65">
        <f>35701.8*1000000</f>
        <v>35701800000</v>
      </c>
      <c r="M1245" s="65">
        <v>0</v>
      </c>
      <c r="N1245" s="65">
        <v>0</v>
      </c>
      <c r="O1245" s="65">
        <v>0</v>
      </c>
      <c r="P1245" s="65">
        <v>0</v>
      </c>
      <c r="Q1245" s="65">
        <v>0</v>
      </c>
      <c r="R1245" s="65">
        <v>0</v>
      </c>
      <c r="S1245" s="65">
        <v>0</v>
      </c>
      <c r="T1245" s="65">
        <v>0</v>
      </c>
      <c r="U1245" s="65">
        <v>0</v>
      </c>
      <c r="V1245" s="65">
        <v>0</v>
      </c>
      <c r="W1245" s="65">
        <v>0</v>
      </c>
      <c r="X1245" s="65">
        <v>0</v>
      </c>
      <c r="Y1245" s="64"/>
    </row>
    <row r="1246" spans="1:25" s="54" customFormat="1" ht="15" customHeight="1" x14ac:dyDescent="0.3">
      <c r="A1246" s="63"/>
      <c r="B1246" s="64"/>
      <c r="C1246" s="55"/>
      <c r="D1246" s="64">
        <v>2015</v>
      </c>
      <c r="E1246" s="65">
        <f>5354.17*1000000</f>
        <v>5354170000</v>
      </c>
      <c r="F1246" s="65">
        <f>(5354.17+18563.77+6207.95+6646.46+493.53)*1000000</f>
        <v>37265880000.000008</v>
      </c>
      <c r="G1246" s="65">
        <f>159252.9*1000000</f>
        <v>159252900000</v>
      </c>
      <c r="H1246" s="65">
        <f>20679.69*1000000</f>
        <v>20679690000</v>
      </c>
      <c r="I1246" s="65">
        <f>43591.98*1000000</f>
        <v>43591980000</v>
      </c>
      <c r="J1246" s="65">
        <f>43651.26*1000000</f>
        <v>43651260000</v>
      </c>
      <c r="K1246" s="65">
        <f>115660.92*1000000</f>
        <v>115660920000</v>
      </c>
      <c r="L1246" s="65">
        <f>43519.59*1000000</f>
        <v>43519590000</v>
      </c>
      <c r="M1246" s="65">
        <f>16715.3*1000000</f>
        <v>16715300000</v>
      </c>
      <c r="N1246" s="65">
        <f>13489.12*1000000</f>
        <v>13489120000</v>
      </c>
      <c r="O1246" s="66">
        <v>0.54</v>
      </c>
      <c r="P1246" s="67" t="s">
        <v>290</v>
      </c>
      <c r="Q1246" s="65">
        <v>2</v>
      </c>
      <c r="R1246" s="65">
        <v>3</v>
      </c>
      <c r="S1246" s="65">
        <v>3</v>
      </c>
      <c r="T1246" s="65">
        <f>SUM(R1246:S1246)</f>
        <v>6</v>
      </c>
      <c r="U1246" s="68">
        <v>0.23</v>
      </c>
      <c r="V1246" s="65">
        <f>3+2</f>
        <v>5</v>
      </c>
      <c r="W1246" s="65">
        <f t="shared" ref="W1246:W1255" si="120">V1246</f>
        <v>5</v>
      </c>
      <c r="X1246" s="65">
        <f>3+2</f>
        <v>5</v>
      </c>
      <c r="Y1246" s="64"/>
    </row>
    <row r="1247" spans="1:25" s="54" customFormat="1" ht="15" customHeight="1" x14ac:dyDescent="0.3">
      <c r="A1247" s="63"/>
      <c r="B1247" s="64"/>
      <c r="C1247" s="55"/>
      <c r="D1247" s="64">
        <v>2016</v>
      </c>
      <c r="E1247" s="65">
        <f>5483.04*1000000</f>
        <v>5483040000</v>
      </c>
      <c r="F1247" s="65">
        <f>(5483.04+17402.19+7430.94+8191.74+1024.38)*1000000</f>
        <v>39532289999.999992</v>
      </c>
      <c r="G1247" s="65">
        <f>161493.87*1000000</f>
        <v>161493870000</v>
      </c>
      <c r="H1247" s="65">
        <f>19883.71*1000000</f>
        <v>19883710000</v>
      </c>
      <c r="I1247" s="65">
        <f>41426.76*1000000</f>
        <v>41426760000</v>
      </c>
      <c r="J1247" s="65">
        <f>44988.34*1000000</f>
        <v>44988340000</v>
      </c>
      <c r="K1247" s="65">
        <f>120067.11*1000000</f>
        <v>120067110000</v>
      </c>
      <c r="L1247" s="65">
        <f>47659.7*1000000</f>
        <v>47659700000</v>
      </c>
      <c r="M1247" s="65">
        <f>10689.39*1000000</f>
        <v>10689390000</v>
      </c>
      <c r="N1247" s="65">
        <f>8408.33*1000000</f>
        <v>8408330000</v>
      </c>
      <c r="O1247" s="66">
        <v>0.54</v>
      </c>
      <c r="P1247" s="67" t="s">
        <v>290</v>
      </c>
      <c r="Q1247" s="65">
        <v>2</v>
      </c>
      <c r="R1247" s="65">
        <v>3</v>
      </c>
      <c r="S1247" s="65">
        <v>2</v>
      </c>
      <c r="T1247" s="65">
        <f t="shared" ref="T1247:T1255" si="121">SUM(R1247:S1247)</f>
        <v>5</v>
      </c>
      <c r="U1247" s="68">
        <v>0.23</v>
      </c>
      <c r="V1247" s="65">
        <f>3+2</f>
        <v>5</v>
      </c>
      <c r="W1247" s="65">
        <f t="shared" si="120"/>
        <v>5</v>
      </c>
      <c r="X1247" s="65">
        <v>2</v>
      </c>
      <c r="Y1247" s="64"/>
    </row>
    <row r="1248" spans="1:25" s="54" customFormat="1" ht="15" customHeight="1" x14ac:dyDescent="0.3">
      <c r="A1248" s="63"/>
      <c r="B1248" s="64"/>
      <c r="C1248" s="55"/>
      <c r="D1248" s="64">
        <v>2017</v>
      </c>
      <c r="E1248" s="65">
        <f>3973.27*1000000</f>
        <v>3973270000</v>
      </c>
      <c r="F1248" s="65">
        <f>(3973.27+19770.68+10286.97+5820.2+1183.79)*1000000</f>
        <v>41034910000</v>
      </c>
      <c r="G1248" s="65">
        <f>161558.95*1000000</f>
        <v>161558950000</v>
      </c>
      <c r="H1248" s="65">
        <f>21236.38*1000000</f>
        <v>21236380000</v>
      </c>
      <c r="I1248" s="65">
        <f>37433.39*1000000</f>
        <v>37433390000</v>
      </c>
      <c r="J1248" s="65">
        <f>47844.12*1000000</f>
        <v>47844120000</v>
      </c>
      <c r="K1248" s="65">
        <f>124125.56*1000000</f>
        <v>124125560000</v>
      </c>
      <c r="L1248" s="65">
        <f>46312.76*1000000</f>
        <v>46312760000</v>
      </c>
      <c r="M1248" s="65">
        <f>6638.51*1000000</f>
        <v>6638510000</v>
      </c>
      <c r="N1248" s="65">
        <f>5659.92*1000000</f>
        <v>5659920000</v>
      </c>
      <c r="O1248" s="66">
        <v>0.54</v>
      </c>
      <c r="P1248" s="67" t="s">
        <v>290</v>
      </c>
      <c r="Q1248" s="65">
        <v>2</v>
      </c>
      <c r="R1248" s="65">
        <v>3</v>
      </c>
      <c r="S1248" s="65">
        <v>4</v>
      </c>
      <c r="T1248" s="65">
        <f t="shared" si="121"/>
        <v>7</v>
      </c>
      <c r="U1248" s="68">
        <v>0.23</v>
      </c>
      <c r="V1248" s="65">
        <f>3+2</f>
        <v>5</v>
      </c>
      <c r="W1248" s="65">
        <f t="shared" si="120"/>
        <v>5</v>
      </c>
      <c r="X1248" s="65">
        <f>4</f>
        <v>4</v>
      </c>
      <c r="Y1248" s="64"/>
    </row>
    <row r="1249" spans="1:25" s="54" customFormat="1" ht="15" customHeight="1" x14ac:dyDescent="0.3">
      <c r="A1249" s="63"/>
      <c r="B1249" s="64"/>
      <c r="C1249" s="55"/>
      <c r="D1249" s="64">
        <v>2018</v>
      </c>
      <c r="E1249" s="65">
        <f>6196.85*1000000</f>
        <v>6196850000</v>
      </c>
      <c r="F1249" s="65">
        <f>(6196.85+22413.55+10771.52+6784.34+291.21)*1000000</f>
        <v>46457469999.999992</v>
      </c>
      <c r="G1249" s="65">
        <f>163247.53*1000000</f>
        <v>163247530000</v>
      </c>
      <c r="H1249" s="65">
        <f>20074.57*1000000</f>
        <v>20074570000</v>
      </c>
      <c r="I1249" s="65">
        <f>37287.3*1000000</f>
        <v>37287300000</v>
      </c>
      <c r="J1249" s="65">
        <f>49238.22*1000000</f>
        <v>49238220000</v>
      </c>
      <c r="K1249" s="65">
        <f>125960.23*1000000</f>
        <v>125960230000</v>
      </c>
      <c r="L1249" s="65">
        <f>46820.78*1000000</f>
        <v>46820780000</v>
      </c>
      <c r="M1249" s="65">
        <f>3952.88*1000000</f>
        <v>3952880000</v>
      </c>
      <c r="N1249" s="65">
        <f>3281.88*1000000</f>
        <v>3281880000</v>
      </c>
      <c r="O1249" s="66">
        <v>0.54</v>
      </c>
      <c r="P1249" s="67" t="s">
        <v>290</v>
      </c>
      <c r="Q1249" s="65">
        <v>2</v>
      </c>
      <c r="R1249" s="65">
        <v>3</v>
      </c>
      <c r="S1249" s="65">
        <v>3</v>
      </c>
      <c r="T1249" s="65">
        <f t="shared" si="121"/>
        <v>6</v>
      </c>
      <c r="U1249" s="68">
        <v>0.23</v>
      </c>
      <c r="V1249" s="65">
        <f>3+2</f>
        <v>5</v>
      </c>
      <c r="W1249" s="65">
        <f t="shared" si="120"/>
        <v>5</v>
      </c>
      <c r="X1249" s="65">
        <f>3</f>
        <v>3</v>
      </c>
      <c r="Y1249" s="64"/>
    </row>
    <row r="1250" spans="1:25" s="54" customFormat="1" ht="15" customHeight="1" x14ac:dyDescent="0.3">
      <c r="A1250" s="63"/>
      <c r="B1250" s="64"/>
      <c r="C1250" s="55"/>
      <c r="D1250" s="64">
        <v>2019</v>
      </c>
      <c r="E1250" s="65">
        <f>4750.69*1000000</f>
        <v>4750690000</v>
      </c>
      <c r="F1250" s="65">
        <f>(4750.69+33895.75+13509.21+9229.73+217.23)*1000000</f>
        <v>61602610000.000008</v>
      </c>
      <c r="G1250" s="65">
        <f>190280.03*1000000</f>
        <v>190280030000</v>
      </c>
      <c r="H1250" s="65">
        <f>38202.49*1000000</f>
        <v>38202490000</v>
      </c>
      <c r="I1250" s="65">
        <f>59322.41*1000000</f>
        <v>59322410000</v>
      </c>
      <c r="J1250" s="65">
        <f>54434.59*1000000</f>
        <v>54434590000</v>
      </c>
      <c r="K1250" s="65">
        <f>130957.62*1000000</f>
        <v>130957620000</v>
      </c>
      <c r="L1250" s="65">
        <f>57162.95*1000000</f>
        <v>57162950000</v>
      </c>
      <c r="M1250" s="65">
        <f>6133.26*1000000</f>
        <v>6133260000</v>
      </c>
      <c r="N1250" s="65">
        <f>4997.37*1000000</f>
        <v>4997370000</v>
      </c>
      <c r="O1250" s="66">
        <v>0.54</v>
      </c>
      <c r="P1250" s="67" t="s">
        <v>290</v>
      </c>
      <c r="Q1250" s="65">
        <v>2</v>
      </c>
      <c r="R1250" s="65">
        <v>4</v>
      </c>
      <c r="S1250" s="65">
        <v>4</v>
      </c>
      <c r="T1250" s="65">
        <f t="shared" si="121"/>
        <v>8</v>
      </c>
      <c r="U1250" s="68">
        <v>0.23</v>
      </c>
      <c r="V1250" s="65">
        <f>4+2</f>
        <v>6</v>
      </c>
      <c r="W1250" s="65">
        <f t="shared" si="120"/>
        <v>6</v>
      </c>
      <c r="X1250" s="65">
        <f>4+(2*2)</f>
        <v>8</v>
      </c>
      <c r="Y1250" s="64"/>
    </row>
    <row r="1251" spans="1:25" s="54" customFormat="1" ht="15" customHeight="1" x14ac:dyDescent="0.3">
      <c r="A1251" s="63"/>
      <c r="B1251" s="64"/>
      <c r="C1251" s="55"/>
      <c r="D1251" s="64">
        <v>2020</v>
      </c>
      <c r="E1251" s="65">
        <f>3496.82*1000000</f>
        <v>3496820000</v>
      </c>
      <c r="F1251" s="65">
        <f>(3496.82+33495.95+11329.33+9941.28+10610.66+298.38)*1000000</f>
        <v>69172420000</v>
      </c>
      <c r="G1251" s="65">
        <f>199137.73*1000000</f>
        <v>199137730000</v>
      </c>
      <c r="H1251" s="65">
        <f>43663.51*1000000</f>
        <v>43663510000</v>
      </c>
      <c r="I1251" s="65">
        <f>65752.86*1000000</f>
        <v>65752860000</v>
      </c>
      <c r="J1251" s="65">
        <f>57482.52*1000000</f>
        <v>57482520000</v>
      </c>
      <c r="K1251" s="65">
        <f>133384.87*1000000</f>
        <v>133384870000</v>
      </c>
      <c r="L1251" s="65">
        <f>44544.53*1000000</f>
        <v>44544530000</v>
      </c>
      <c r="M1251" s="65">
        <f>4586.62*1000000</f>
        <v>4586620000</v>
      </c>
      <c r="N1251" s="65">
        <f>2427.26*1000000</f>
        <v>2427260000</v>
      </c>
      <c r="O1251" s="66">
        <v>0.54</v>
      </c>
      <c r="P1251" s="67" t="s">
        <v>290</v>
      </c>
      <c r="Q1251" s="65">
        <v>2</v>
      </c>
      <c r="R1251" s="65">
        <v>4</v>
      </c>
      <c r="S1251" s="65">
        <v>4</v>
      </c>
      <c r="T1251" s="65">
        <f t="shared" si="121"/>
        <v>8</v>
      </c>
      <c r="U1251" s="68">
        <v>0.23</v>
      </c>
      <c r="V1251" s="65">
        <f>4+2</f>
        <v>6</v>
      </c>
      <c r="W1251" s="65">
        <f t="shared" si="120"/>
        <v>6</v>
      </c>
      <c r="X1251" s="65">
        <f>4+(2*2)</f>
        <v>8</v>
      </c>
      <c r="Y1251" s="64"/>
    </row>
    <row r="1252" spans="1:25" s="54" customFormat="1" ht="15" customHeight="1" x14ac:dyDescent="0.3">
      <c r="A1252" s="63"/>
      <c r="B1252" s="64"/>
      <c r="C1252" s="55"/>
      <c r="D1252" s="64">
        <v>2021</v>
      </c>
      <c r="E1252" s="65">
        <f>4502.27*1000000</f>
        <v>4502270000</v>
      </c>
      <c r="F1252" s="65">
        <f>(4502.27+37487.3+10123.9+20660.58+11925.35+304.65)*1000000</f>
        <v>85004050000.000015</v>
      </c>
      <c r="G1252" s="65">
        <f>218288.88*1000000</f>
        <v>218288880000</v>
      </c>
      <c r="H1252" s="65">
        <f>40307.73*1000000</f>
        <v>40307730000</v>
      </c>
      <c r="I1252" s="65">
        <f>80772.36*1000000</f>
        <v>80772360000</v>
      </c>
      <c r="J1252" s="65">
        <f>61696.1*1000000</f>
        <v>61696100000</v>
      </c>
      <c r="K1252" s="65">
        <f>137516.52*1000000</f>
        <v>137516520000</v>
      </c>
      <c r="L1252" s="65">
        <f>48817.66*1000000</f>
        <v>48817660000</v>
      </c>
      <c r="M1252" s="65">
        <f>5244.4*1000000</f>
        <v>5244400000</v>
      </c>
      <c r="N1252" s="65">
        <f>4131.65*1000000</f>
        <v>4131649999.9999995</v>
      </c>
      <c r="O1252" s="66">
        <v>0.54</v>
      </c>
      <c r="P1252" s="67" t="s">
        <v>290</v>
      </c>
      <c r="Q1252" s="65">
        <v>2</v>
      </c>
      <c r="R1252" s="65">
        <v>4</v>
      </c>
      <c r="S1252" s="65">
        <v>2</v>
      </c>
      <c r="T1252" s="65">
        <f t="shared" si="121"/>
        <v>6</v>
      </c>
      <c r="U1252" s="68">
        <v>0</v>
      </c>
      <c r="V1252" s="65">
        <f>4+2</f>
        <v>6</v>
      </c>
      <c r="W1252" s="65">
        <f t="shared" si="120"/>
        <v>6</v>
      </c>
      <c r="X1252" s="65">
        <f>2+2</f>
        <v>4</v>
      </c>
      <c r="Y1252" s="64"/>
    </row>
    <row r="1253" spans="1:25" s="54" customFormat="1" ht="15" customHeight="1" x14ac:dyDescent="0.3">
      <c r="A1253" s="63"/>
      <c r="B1253" s="64"/>
      <c r="C1253" s="55"/>
      <c r="D1253" s="64">
        <v>2022</v>
      </c>
      <c r="E1253" s="65">
        <f>4781.09*1000000</f>
        <v>4781090000</v>
      </c>
      <c r="F1253" s="65">
        <f>(4781.09+50312.09+10133.94+25354.59+9768.91+213.15)*1000000</f>
        <v>100563769999.99998</v>
      </c>
      <c r="G1253" s="65">
        <f>224731.41*1000000</f>
        <v>224731410000</v>
      </c>
      <c r="H1253" s="65">
        <f>43470.44*1000000</f>
        <v>43470440000</v>
      </c>
      <c r="I1253" s="65">
        <f>84600.18*1000000</f>
        <v>84600180000</v>
      </c>
      <c r="J1253" s="65">
        <f>63781.92*1000000</f>
        <v>63781920000</v>
      </c>
      <c r="K1253" s="65">
        <f>140131.23*1000000</f>
        <v>140131230000</v>
      </c>
      <c r="L1253" s="65">
        <f>49071.11*1000000</f>
        <v>49071110000</v>
      </c>
      <c r="M1253" s="65">
        <f>3327.61*1000000</f>
        <v>3327610000</v>
      </c>
      <c r="N1253" s="65">
        <f>2614.71*1000000</f>
        <v>2614710000</v>
      </c>
      <c r="O1253" s="66">
        <v>0.54</v>
      </c>
      <c r="P1253" s="67" t="s">
        <v>290</v>
      </c>
      <c r="Q1253" s="65">
        <v>1</v>
      </c>
      <c r="R1253" s="65">
        <v>3</v>
      </c>
      <c r="S1253" s="65">
        <v>3</v>
      </c>
      <c r="T1253" s="65">
        <f t="shared" si="121"/>
        <v>6</v>
      </c>
      <c r="U1253" s="68">
        <v>0</v>
      </c>
      <c r="V1253" s="65">
        <f>3+2</f>
        <v>5</v>
      </c>
      <c r="W1253" s="65">
        <f t="shared" si="120"/>
        <v>5</v>
      </c>
      <c r="X1253" s="65">
        <f>3+2</f>
        <v>5</v>
      </c>
      <c r="Y1253" s="64"/>
    </row>
    <row r="1254" spans="1:25" s="54" customFormat="1" ht="15" customHeight="1" x14ac:dyDescent="0.3">
      <c r="A1254" s="63"/>
      <c r="B1254" s="64"/>
      <c r="C1254" s="55"/>
      <c r="D1254" s="64">
        <v>2023</v>
      </c>
      <c r="E1254" s="65">
        <f>4512.2*1000000</f>
        <v>4512200000</v>
      </c>
      <c r="F1254" s="65">
        <f>(4512.2+39990.55+16611.71+24266.93+16686.64+310.17)*1000000</f>
        <v>102378200000</v>
      </c>
      <c r="G1254" s="65">
        <f>241455.13*1000000</f>
        <v>241455130000</v>
      </c>
      <c r="H1254" s="65">
        <f>39272.76*1000000</f>
        <v>39272760000</v>
      </c>
      <c r="I1254" s="65">
        <f>96105.99*1000000</f>
        <v>96105990000</v>
      </c>
      <c r="J1254" s="65">
        <f>68006.94*1000000</f>
        <v>68006940000</v>
      </c>
      <c r="K1254" s="65">
        <f>145349.14*1000000</f>
        <v>145349140000</v>
      </c>
      <c r="L1254" s="65">
        <f>70712.69*1000000</f>
        <v>70712690000</v>
      </c>
      <c r="M1254" s="65">
        <f>6182.83*1000000</f>
        <v>6182830000</v>
      </c>
      <c r="N1254" s="65">
        <f>5217.91*1000000</f>
        <v>5217910000</v>
      </c>
      <c r="O1254" s="66">
        <v>0.54</v>
      </c>
      <c r="P1254" s="67" t="s">
        <v>290</v>
      </c>
      <c r="Q1254" s="65">
        <v>1</v>
      </c>
      <c r="R1254" s="65">
        <v>3</v>
      </c>
      <c r="S1254" s="65">
        <v>3</v>
      </c>
      <c r="T1254" s="65">
        <f t="shared" si="121"/>
        <v>6</v>
      </c>
      <c r="U1254" s="68">
        <v>0</v>
      </c>
      <c r="V1254" s="65">
        <f>3+2</f>
        <v>5</v>
      </c>
      <c r="W1254" s="65">
        <f t="shared" si="120"/>
        <v>5</v>
      </c>
      <c r="X1254" s="65">
        <f>3+2</f>
        <v>5</v>
      </c>
      <c r="Y1254" s="64"/>
    </row>
    <row r="1255" spans="1:25" s="54" customFormat="1" ht="15" customHeight="1" x14ac:dyDescent="0.3">
      <c r="A1255" s="63"/>
      <c r="B1255" s="64"/>
      <c r="C1255" s="55"/>
      <c r="D1255" s="64">
        <v>2024</v>
      </c>
      <c r="E1255" s="65">
        <f>6001.33*1000000</f>
        <v>6001330000</v>
      </c>
      <c r="F1255" s="65">
        <f>(6001.33+27499.83+1178.43+16030.48+30178.79+327.84)*1000000</f>
        <v>81216700000.000015</v>
      </c>
      <c r="G1255" s="65">
        <f>218925.83*1000000</f>
        <v>218925830000</v>
      </c>
      <c r="H1255" s="65">
        <f>47617.02*1000000</f>
        <v>47617020000</v>
      </c>
      <c r="I1255" s="65">
        <f>88874.61*1000000</f>
        <v>88874610000</v>
      </c>
      <c r="J1255" s="65">
        <f>52709.03*1000000</f>
        <v>52709030000</v>
      </c>
      <c r="K1255" s="65">
        <f>130051.22*1000000</f>
        <v>130051220000</v>
      </c>
      <c r="L1255" s="65">
        <f>58089.38*1000000</f>
        <v>58089380000</v>
      </c>
      <c r="M1255" s="65">
        <f>-14664.16*1000000</f>
        <v>-14664160000</v>
      </c>
      <c r="N1255" s="65">
        <f>-14664.16*1000000</f>
        <v>-14664160000</v>
      </c>
      <c r="O1255" s="66">
        <v>0.54</v>
      </c>
      <c r="P1255" s="67" t="s">
        <v>290</v>
      </c>
      <c r="Q1255" s="65">
        <v>2</v>
      </c>
      <c r="R1255" s="65">
        <v>4</v>
      </c>
      <c r="S1255" s="65">
        <v>4</v>
      </c>
      <c r="T1255" s="65">
        <f t="shared" si="121"/>
        <v>8</v>
      </c>
      <c r="U1255" s="68">
        <v>0</v>
      </c>
      <c r="V1255" s="65">
        <f>4+4</f>
        <v>8</v>
      </c>
      <c r="W1255" s="65">
        <f t="shared" si="120"/>
        <v>8</v>
      </c>
      <c r="X1255" s="65">
        <f>4+2</f>
        <v>6</v>
      </c>
      <c r="Y1255" s="64"/>
    </row>
    <row r="1256" spans="1:25" s="54" customFormat="1" ht="15" customHeight="1" x14ac:dyDescent="0.3">
      <c r="A1256" s="63"/>
      <c r="B1256" s="64">
        <v>115</v>
      </c>
      <c r="C1256" s="76" t="s">
        <v>128</v>
      </c>
      <c r="D1256" s="64">
        <v>2014</v>
      </c>
      <c r="E1256" s="65">
        <v>0</v>
      </c>
      <c r="F1256" s="65">
        <v>0</v>
      </c>
      <c r="G1256" s="65">
        <v>0</v>
      </c>
      <c r="H1256" s="65">
        <v>0</v>
      </c>
      <c r="I1256" s="65">
        <v>0</v>
      </c>
      <c r="J1256" s="65">
        <v>0</v>
      </c>
      <c r="K1256" s="65">
        <v>0</v>
      </c>
      <c r="L1256" s="65">
        <v>0</v>
      </c>
      <c r="M1256" s="65">
        <v>0</v>
      </c>
      <c r="N1256" s="65">
        <v>0</v>
      </c>
      <c r="O1256" s="65">
        <v>0</v>
      </c>
      <c r="P1256" s="65">
        <v>0</v>
      </c>
      <c r="Q1256" s="65">
        <v>0</v>
      </c>
      <c r="R1256" s="65">
        <v>0</v>
      </c>
      <c r="S1256" s="65">
        <v>0</v>
      </c>
      <c r="T1256" s="65">
        <v>0</v>
      </c>
      <c r="U1256" s="65">
        <v>0</v>
      </c>
      <c r="V1256" s="65">
        <v>0</v>
      </c>
      <c r="W1256" s="65">
        <v>0</v>
      </c>
      <c r="X1256" s="65">
        <v>0</v>
      </c>
      <c r="Y1256" s="64"/>
    </row>
    <row r="1257" spans="1:25" s="54" customFormat="1" ht="15" customHeight="1" x14ac:dyDescent="0.3">
      <c r="A1257" s="63"/>
      <c r="B1257" s="64"/>
      <c r="C1257" s="76"/>
      <c r="D1257" s="64">
        <v>2015</v>
      </c>
      <c r="E1257" s="65">
        <v>0</v>
      </c>
      <c r="F1257" s="65">
        <v>0</v>
      </c>
      <c r="G1257" s="65">
        <v>0</v>
      </c>
      <c r="H1257" s="65">
        <v>0</v>
      </c>
      <c r="I1257" s="65">
        <v>0</v>
      </c>
      <c r="J1257" s="65">
        <v>0</v>
      </c>
      <c r="K1257" s="65">
        <v>0</v>
      </c>
      <c r="L1257" s="65">
        <v>0</v>
      </c>
      <c r="M1257" s="65">
        <v>0</v>
      </c>
      <c r="N1257" s="65">
        <v>0</v>
      </c>
      <c r="O1257" s="65">
        <v>0</v>
      </c>
      <c r="P1257" s="65">
        <v>0</v>
      </c>
      <c r="Q1257" s="65">
        <v>0</v>
      </c>
      <c r="R1257" s="65">
        <v>0</v>
      </c>
      <c r="S1257" s="65">
        <v>0</v>
      </c>
      <c r="T1257" s="65">
        <v>0</v>
      </c>
      <c r="U1257" s="65">
        <v>0</v>
      </c>
      <c r="V1257" s="65">
        <v>0</v>
      </c>
      <c r="W1257" s="65">
        <v>0</v>
      </c>
      <c r="X1257" s="65">
        <v>0</v>
      </c>
      <c r="Y1257" s="64"/>
    </row>
    <row r="1258" spans="1:25" s="54" customFormat="1" ht="15" customHeight="1" x14ac:dyDescent="0.3">
      <c r="A1258" s="63"/>
      <c r="B1258" s="64"/>
      <c r="C1258" s="76"/>
      <c r="D1258" s="64">
        <v>2016</v>
      </c>
      <c r="E1258" s="65">
        <v>0</v>
      </c>
      <c r="F1258" s="65">
        <v>0</v>
      </c>
      <c r="G1258" s="65">
        <v>0</v>
      </c>
      <c r="H1258" s="65">
        <v>0</v>
      </c>
      <c r="I1258" s="65">
        <v>0</v>
      </c>
      <c r="J1258" s="65">
        <v>0</v>
      </c>
      <c r="K1258" s="65">
        <v>0</v>
      </c>
      <c r="L1258" s="65">
        <v>0</v>
      </c>
      <c r="M1258" s="65">
        <v>0</v>
      </c>
      <c r="N1258" s="65">
        <v>0</v>
      </c>
      <c r="O1258" s="65">
        <v>0</v>
      </c>
      <c r="P1258" s="65">
        <v>0</v>
      </c>
      <c r="Q1258" s="65">
        <v>0</v>
      </c>
      <c r="R1258" s="65">
        <v>0</v>
      </c>
      <c r="S1258" s="65">
        <v>0</v>
      </c>
      <c r="T1258" s="65">
        <v>0</v>
      </c>
      <c r="U1258" s="65">
        <v>0</v>
      </c>
      <c r="V1258" s="65">
        <v>0</v>
      </c>
      <c r="W1258" s="65">
        <v>0</v>
      </c>
      <c r="X1258" s="65">
        <v>0</v>
      </c>
      <c r="Y1258" s="64"/>
    </row>
    <row r="1259" spans="1:25" s="54" customFormat="1" ht="15" customHeight="1" x14ac:dyDescent="0.3">
      <c r="A1259" s="63"/>
      <c r="B1259" s="64"/>
      <c r="C1259" s="76"/>
      <c r="D1259" s="64">
        <v>2017</v>
      </c>
      <c r="E1259" s="65">
        <v>0</v>
      </c>
      <c r="F1259" s="65">
        <v>0</v>
      </c>
      <c r="G1259" s="65">
        <v>0</v>
      </c>
      <c r="H1259" s="65">
        <v>0</v>
      </c>
      <c r="I1259" s="65">
        <v>0</v>
      </c>
      <c r="J1259" s="65">
        <v>0</v>
      </c>
      <c r="K1259" s="65">
        <v>0</v>
      </c>
      <c r="L1259" s="65">
        <v>0</v>
      </c>
      <c r="M1259" s="65">
        <v>0</v>
      </c>
      <c r="N1259" s="65">
        <v>0</v>
      </c>
      <c r="O1259" s="65">
        <v>0</v>
      </c>
      <c r="P1259" s="65">
        <v>0</v>
      </c>
      <c r="Q1259" s="65">
        <v>0</v>
      </c>
      <c r="R1259" s="65">
        <v>0</v>
      </c>
      <c r="S1259" s="65">
        <v>0</v>
      </c>
      <c r="T1259" s="65">
        <v>0</v>
      </c>
      <c r="U1259" s="65">
        <v>0</v>
      </c>
      <c r="V1259" s="65">
        <v>0</v>
      </c>
      <c r="W1259" s="65">
        <v>0</v>
      </c>
      <c r="X1259" s="65">
        <v>0</v>
      </c>
      <c r="Y1259" s="64"/>
    </row>
    <row r="1260" spans="1:25" s="54" customFormat="1" ht="15" customHeight="1" x14ac:dyDescent="0.3">
      <c r="A1260" s="63"/>
      <c r="B1260" s="64"/>
      <c r="C1260" s="76"/>
      <c r="D1260" s="64">
        <v>2018</v>
      </c>
      <c r="E1260" s="65">
        <v>0</v>
      </c>
      <c r="F1260" s="65">
        <v>0</v>
      </c>
      <c r="G1260" s="65">
        <v>0</v>
      </c>
      <c r="H1260" s="65">
        <v>0</v>
      </c>
      <c r="I1260" s="65">
        <v>0</v>
      </c>
      <c r="J1260" s="65">
        <v>0</v>
      </c>
      <c r="K1260" s="65">
        <v>0</v>
      </c>
      <c r="L1260" s="65">
        <v>0</v>
      </c>
      <c r="M1260" s="65">
        <v>0</v>
      </c>
      <c r="N1260" s="65">
        <v>0</v>
      </c>
      <c r="O1260" s="65">
        <v>0</v>
      </c>
      <c r="P1260" s="65">
        <v>0</v>
      </c>
      <c r="Q1260" s="65">
        <v>0</v>
      </c>
      <c r="R1260" s="65">
        <v>0</v>
      </c>
      <c r="S1260" s="65">
        <v>0</v>
      </c>
      <c r="T1260" s="65">
        <v>0</v>
      </c>
      <c r="U1260" s="65">
        <v>0</v>
      </c>
      <c r="V1260" s="65">
        <v>0</v>
      </c>
      <c r="W1260" s="65">
        <v>0</v>
      </c>
      <c r="X1260" s="65">
        <v>0</v>
      </c>
      <c r="Y1260" s="64"/>
    </row>
    <row r="1261" spans="1:25" s="54" customFormat="1" ht="15" customHeight="1" x14ac:dyDescent="0.3">
      <c r="A1261" s="63"/>
      <c r="B1261" s="64"/>
      <c r="C1261" s="76"/>
      <c r="D1261" s="64">
        <v>2019</v>
      </c>
      <c r="E1261" s="65">
        <v>0</v>
      </c>
      <c r="F1261" s="65">
        <v>0</v>
      </c>
      <c r="G1261" s="65">
        <v>0</v>
      </c>
      <c r="H1261" s="65">
        <v>0</v>
      </c>
      <c r="I1261" s="65">
        <v>0</v>
      </c>
      <c r="J1261" s="65">
        <v>0</v>
      </c>
      <c r="K1261" s="65">
        <v>0</v>
      </c>
      <c r="L1261" s="65">
        <v>0</v>
      </c>
      <c r="M1261" s="65">
        <v>0</v>
      </c>
      <c r="N1261" s="65">
        <v>0</v>
      </c>
      <c r="O1261" s="65">
        <v>0</v>
      </c>
      <c r="P1261" s="65">
        <v>0</v>
      </c>
      <c r="Q1261" s="65">
        <v>0</v>
      </c>
      <c r="R1261" s="65">
        <v>0</v>
      </c>
      <c r="S1261" s="65">
        <v>0</v>
      </c>
      <c r="T1261" s="65">
        <v>0</v>
      </c>
      <c r="U1261" s="65">
        <v>0</v>
      </c>
      <c r="V1261" s="65">
        <v>0</v>
      </c>
      <c r="W1261" s="65">
        <v>0</v>
      </c>
      <c r="X1261" s="65">
        <v>0</v>
      </c>
      <c r="Y1261" s="64"/>
    </row>
    <row r="1262" spans="1:25" s="54" customFormat="1" ht="15" customHeight="1" x14ac:dyDescent="0.3">
      <c r="A1262" s="63"/>
      <c r="B1262" s="64"/>
      <c r="C1262" s="76"/>
      <c r="D1262" s="64">
        <v>2020</v>
      </c>
      <c r="E1262" s="65">
        <v>0</v>
      </c>
      <c r="F1262" s="65">
        <v>0</v>
      </c>
      <c r="G1262" s="65">
        <v>0</v>
      </c>
      <c r="H1262" s="65">
        <v>0</v>
      </c>
      <c r="I1262" s="65">
        <v>0</v>
      </c>
      <c r="J1262" s="65">
        <v>0</v>
      </c>
      <c r="K1262" s="65">
        <v>0</v>
      </c>
      <c r="L1262" s="65">
        <v>0</v>
      </c>
      <c r="M1262" s="65">
        <v>0</v>
      </c>
      <c r="N1262" s="65">
        <v>0</v>
      </c>
      <c r="O1262" s="65">
        <v>0</v>
      </c>
      <c r="P1262" s="65">
        <v>0</v>
      </c>
      <c r="Q1262" s="65">
        <v>0</v>
      </c>
      <c r="R1262" s="65">
        <v>0</v>
      </c>
      <c r="S1262" s="65">
        <v>0</v>
      </c>
      <c r="T1262" s="65">
        <v>0</v>
      </c>
      <c r="U1262" s="65">
        <v>0</v>
      </c>
      <c r="V1262" s="65">
        <v>0</v>
      </c>
      <c r="W1262" s="65">
        <v>0</v>
      </c>
      <c r="X1262" s="65">
        <v>0</v>
      </c>
      <c r="Y1262" s="64"/>
    </row>
    <row r="1263" spans="1:25" s="54" customFormat="1" ht="15" customHeight="1" x14ac:dyDescent="0.3">
      <c r="A1263" s="63"/>
      <c r="B1263" s="64"/>
      <c r="C1263" s="76"/>
      <c r="D1263" s="64">
        <v>2021</v>
      </c>
      <c r="E1263" s="65">
        <v>0</v>
      </c>
      <c r="F1263" s="65">
        <v>0</v>
      </c>
      <c r="G1263" s="65">
        <v>0</v>
      </c>
      <c r="H1263" s="65">
        <v>0</v>
      </c>
      <c r="I1263" s="65">
        <v>0</v>
      </c>
      <c r="J1263" s="65">
        <v>0</v>
      </c>
      <c r="K1263" s="65">
        <v>0</v>
      </c>
      <c r="L1263" s="65">
        <v>0</v>
      </c>
      <c r="M1263" s="65">
        <v>0</v>
      </c>
      <c r="N1263" s="65">
        <v>0</v>
      </c>
      <c r="O1263" s="65">
        <v>0</v>
      </c>
      <c r="P1263" s="65">
        <v>0</v>
      </c>
      <c r="Q1263" s="65">
        <v>0</v>
      </c>
      <c r="R1263" s="65">
        <v>0</v>
      </c>
      <c r="S1263" s="65">
        <v>0</v>
      </c>
      <c r="T1263" s="65">
        <v>0</v>
      </c>
      <c r="U1263" s="65">
        <v>0</v>
      </c>
      <c r="V1263" s="65">
        <v>0</v>
      </c>
      <c r="W1263" s="65">
        <v>0</v>
      </c>
      <c r="X1263" s="65">
        <v>0</v>
      </c>
      <c r="Y1263" s="64"/>
    </row>
    <row r="1264" spans="1:25" s="54" customFormat="1" ht="15" customHeight="1" x14ac:dyDescent="0.3">
      <c r="A1264" s="63"/>
      <c r="B1264" s="64"/>
      <c r="C1264" s="76"/>
      <c r="D1264" s="64">
        <v>2022</v>
      </c>
      <c r="E1264" s="65">
        <f>46535.13*1000000</f>
        <v>46535130000</v>
      </c>
      <c r="F1264" s="65">
        <f>(46535.13+1286.57)*1000000</f>
        <v>47821700000</v>
      </c>
      <c r="G1264" s="65">
        <f>151070.43*1000000</f>
        <v>151070430000</v>
      </c>
      <c r="H1264" s="65">
        <f>1029.26*1000000</f>
        <v>1029260000</v>
      </c>
      <c r="I1264" s="65">
        <f>1029.26*1000000</f>
        <v>1029260000</v>
      </c>
      <c r="J1264" s="65">
        <f>-5958.83*1000000</f>
        <v>-5958830000</v>
      </c>
      <c r="K1264" s="65">
        <f>150041.17*1000000</f>
        <v>150041170000</v>
      </c>
      <c r="L1264" s="65">
        <v>0</v>
      </c>
      <c r="M1264" s="65">
        <f>-5018.46*1000000</f>
        <v>-5018460000</v>
      </c>
      <c r="N1264" s="65">
        <f>-5958.83*1000000</f>
        <v>-5958830000</v>
      </c>
      <c r="O1264" s="66">
        <v>0.42309999999999998</v>
      </c>
      <c r="P1264" s="67" t="s">
        <v>291</v>
      </c>
      <c r="Q1264" s="65">
        <v>2</v>
      </c>
      <c r="R1264" s="65">
        <v>3</v>
      </c>
      <c r="S1264" s="65">
        <v>3</v>
      </c>
      <c r="T1264" s="65">
        <f>SUM(R1264:S1264)</f>
        <v>6</v>
      </c>
      <c r="U1264" s="68">
        <v>0.42309999999999998</v>
      </c>
      <c r="V1264" s="65">
        <v>0</v>
      </c>
      <c r="W1264" s="65">
        <v>0</v>
      </c>
      <c r="X1264" s="65">
        <v>0</v>
      </c>
      <c r="Y1264" s="64"/>
    </row>
    <row r="1265" spans="1:25" s="54" customFormat="1" ht="15" customHeight="1" x14ac:dyDescent="0.3">
      <c r="A1265" s="63"/>
      <c r="B1265" s="64"/>
      <c r="C1265" s="76"/>
      <c r="D1265" s="64">
        <v>2023</v>
      </c>
      <c r="E1265" s="65">
        <f>8042.76*1000000</f>
        <v>8042760000</v>
      </c>
      <c r="F1265" s="65">
        <f>(8042.78+3430.68+622.91+73.52+1384.74)*1000000</f>
        <v>13554630000</v>
      </c>
      <c r="G1265" s="65">
        <f>141458.76*1000000</f>
        <v>141458760000</v>
      </c>
      <c r="H1265" s="65">
        <f>7560.89*1000000</f>
        <v>7560890000</v>
      </c>
      <c r="I1265" s="65">
        <f>11841.59*1000000</f>
        <v>11841590000</v>
      </c>
      <c r="J1265" s="65">
        <f>-26165.99*1000000</f>
        <v>-26165990000</v>
      </c>
      <c r="K1265" s="65">
        <f>129617.17*1000000</f>
        <v>129617170000</v>
      </c>
      <c r="L1265" s="65">
        <f>2506.47*1000000</f>
        <v>2506470000</v>
      </c>
      <c r="M1265" s="65">
        <f>-20207.15*1000000</f>
        <v>-20207150000</v>
      </c>
      <c r="N1265" s="65">
        <f>-20423.99*1000000</f>
        <v>-20423990000</v>
      </c>
      <c r="O1265" s="66">
        <v>0.42309999999999998</v>
      </c>
      <c r="P1265" s="67" t="s">
        <v>291</v>
      </c>
      <c r="Q1265" s="65">
        <v>2</v>
      </c>
      <c r="R1265" s="65">
        <v>3</v>
      </c>
      <c r="S1265" s="65">
        <v>3</v>
      </c>
      <c r="T1265" s="65">
        <f>SUM(R1265:S1265)</f>
        <v>6</v>
      </c>
      <c r="U1265" s="68">
        <v>0.42309999999999998</v>
      </c>
      <c r="V1265" s="65">
        <v>0</v>
      </c>
      <c r="W1265" s="65">
        <v>0</v>
      </c>
      <c r="X1265" s="65">
        <v>0</v>
      </c>
      <c r="Y1265" s="64"/>
    </row>
    <row r="1266" spans="1:25" s="54" customFormat="1" ht="15" customHeight="1" x14ac:dyDescent="0.3">
      <c r="A1266" s="63"/>
      <c r="B1266" s="64"/>
      <c r="C1266" s="76"/>
      <c r="D1266" s="64">
        <v>2024</v>
      </c>
      <c r="E1266" s="65">
        <f>4207.95*1000000</f>
        <v>4207950000</v>
      </c>
      <c r="F1266" s="65">
        <f>(4207.95+14531.48+5549.33+2021.58+1403.88)*1000000</f>
        <v>27714220000.000004</v>
      </c>
      <c r="G1266" s="65">
        <f>160317.65*1000000</f>
        <v>160317650000</v>
      </c>
      <c r="H1266" s="65">
        <f>27717.56*1000000</f>
        <v>27717560000</v>
      </c>
      <c r="I1266" s="65">
        <f>56360.21*1000000</f>
        <v>56360210000</v>
      </c>
      <c r="J1266" s="65">
        <f>-50568.69*1000000</f>
        <v>-50568690000</v>
      </c>
      <c r="K1266" s="65">
        <f>103957.44*1000000</f>
        <v>103957440000</v>
      </c>
      <c r="L1266" s="65">
        <f>18982.25*1000000</f>
        <v>18982250000</v>
      </c>
      <c r="M1266" s="65">
        <f>-24402.7*1000000</f>
        <v>-24402700000</v>
      </c>
      <c r="N1266" s="65">
        <f>-25659.73*1000000</f>
        <v>-25659730000</v>
      </c>
      <c r="O1266" s="66">
        <v>0.42309999999999998</v>
      </c>
      <c r="P1266" s="67" t="s">
        <v>291</v>
      </c>
      <c r="Q1266" s="65">
        <v>2</v>
      </c>
      <c r="R1266" s="65">
        <v>4</v>
      </c>
      <c r="S1266" s="65">
        <v>3</v>
      </c>
      <c r="T1266" s="65">
        <f>SUM(R1266:S1266)</f>
        <v>7</v>
      </c>
      <c r="U1266" s="68">
        <v>0.42309999999999998</v>
      </c>
      <c r="V1266" s="65">
        <v>0</v>
      </c>
      <c r="W1266" s="65">
        <v>0</v>
      </c>
      <c r="X1266" s="65">
        <v>0</v>
      </c>
      <c r="Y1266" s="64"/>
    </row>
    <row r="1267" spans="1:25" s="54" customFormat="1" ht="15" customHeight="1" x14ac:dyDescent="0.3">
      <c r="A1267" s="63"/>
      <c r="B1267" s="64">
        <v>116</v>
      </c>
      <c r="C1267" s="76" t="s">
        <v>127</v>
      </c>
      <c r="D1267" s="64">
        <v>2014</v>
      </c>
      <c r="E1267" s="65">
        <v>0</v>
      </c>
      <c r="F1267" s="65">
        <v>0</v>
      </c>
      <c r="G1267" s="65">
        <v>0</v>
      </c>
      <c r="H1267" s="65">
        <v>0</v>
      </c>
      <c r="I1267" s="65">
        <v>0</v>
      </c>
      <c r="J1267" s="65">
        <v>0</v>
      </c>
      <c r="K1267" s="65">
        <v>0</v>
      </c>
      <c r="L1267" s="65">
        <f>949386*1000000</f>
        <v>949386000000</v>
      </c>
      <c r="M1267" s="65">
        <v>0</v>
      </c>
      <c r="N1267" s="65">
        <v>0</v>
      </c>
      <c r="O1267" s="65">
        <v>0</v>
      </c>
      <c r="P1267" s="65">
        <v>0</v>
      </c>
      <c r="Q1267" s="65">
        <v>0</v>
      </c>
      <c r="R1267" s="65">
        <v>0</v>
      </c>
      <c r="S1267" s="65">
        <v>0</v>
      </c>
      <c r="T1267" s="65">
        <v>0</v>
      </c>
      <c r="U1267" s="65">
        <v>0</v>
      </c>
      <c r="V1267" s="65">
        <v>0</v>
      </c>
      <c r="W1267" s="65">
        <v>0</v>
      </c>
      <c r="X1267" s="65">
        <v>0</v>
      </c>
      <c r="Y1267" s="64"/>
    </row>
    <row r="1268" spans="1:25" s="54" customFormat="1" ht="15" customHeight="1" x14ac:dyDescent="0.3">
      <c r="A1268" s="63"/>
      <c r="B1268" s="64"/>
      <c r="C1268" s="76"/>
      <c r="D1268" s="64">
        <v>2015</v>
      </c>
      <c r="E1268" s="65">
        <f>50849*1000000</f>
        <v>50849000000</v>
      </c>
      <c r="F1268" s="65">
        <f>(50489+582301+517507+1349+682927)*1000000</f>
        <v>1834573000000</v>
      </c>
      <c r="G1268" s="65">
        <f>3020355*1000000</f>
        <v>3020355000000</v>
      </c>
      <c r="H1268" s="65">
        <f>(2161453-1391954)*1000000</f>
        <v>769499000000</v>
      </c>
      <c r="I1268" s="65">
        <f>2161453*1000000</f>
        <v>2161453000000</v>
      </c>
      <c r="J1268" s="65">
        <f>540738*1000000</f>
        <v>540738000000</v>
      </c>
      <c r="K1268" s="65">
        <f>858902*1000000</f>
        <v>858902000000</v>
      </c>
      <c r="L1268" s="65">
        <f>842754*1000000</f>
        <v>842754000000</v>
      </c>
      <c r="M1268" s="65">
        <f>97639*1000000</f>
        <v>97639000000</v>
      </c>
      <c r="N1268" s="65">
        <f>116317*1000000</f>
        <v>116317000000</v>
      </c>
      <c r="O1268" s="66">
        <v>0.72809999999999997</v>
      </c>
      <c r="P1268" s="67" t="s">
        <v>292</v>
      </c>
      <c r="Q1268" s="65">
        <v>2</v>
      </c>
      <c r="R1268" s="65">
        <v>4</v>
      </c>
      <c r="S1268" s="65">
        <v>6</v>
      </c>
      <c r="T1268" s="65">
        <f>SUM(R1268:S1268)</f>
        <v>10</v>
      </c>
      <c r="U1268" s="68">
        <v>0.25</v>
      </c>
      <c r="V1268" s="65">
        <v>0</v>
      </c>
      <c r="W1268" s="65">
        <v>0</v>
      </c>
      <c r="X1268" s="65">
        <v>0</v>
      </c>
      <c r="Y1268" s="64"/>
    </row>
    <row r="1269" spans="1:25" s="54" customFormat="1" ht="15" customHeight="1" x14ac:dyDescent="0.3">
      <c r="A1269" s="63"/>
      <c r="B1269" s="64"/>
      <c r="C1269" s="76"/>
      <c r="D1269" s="64">
        <v>2016</v>
      </c>
      <c r="E1269" s="65">
        <f>50805*1000000</f>
        <v>50805000000</v>
      </c>
      <c r="F1269" s="65">
        <f>(50805+603198+301444+4080+641643)*1000000</f>
        <v>1601170000000</v>
      </c>
      <c r="G1269" s="65">
        <f>3142807*1000000</f>
        <v>3142807000000</v>
      </c>
      <c r="H1269" s="65">
        <f>(2205404-1651923)*1000000</f>
        <v>553481000000</v>
      </c>
      <c r="I1269" s="65">
        <f>2205404*1000000</f>
        <v>2205404000000</v>
      </c>
      <c r="J1269" s="65">
        <f>573904*1000000</f>
        <v>573904000000</v>
      </c>
      <c r="K1269" s="65">
        <f>937404*1000000</f>
        <v>937404000000</v>
      </c>
      <c r="L1269" s="65">
        <f>861912*1000000</f>
        <v>861912000000</v>
      </c>
      <c r="M1269" s="65">
        <f>66848*1000000</f>
        <v>66848000000</v>
      </c>
      <c r="N1269" s="65">
        <f>95151*1000000</f>
        <v>95151000000</v>
      </c>
      <c r="O1269" s="66">
        <v>0.72809999999999997</v>
      </c>
      <c r="P1269" s="67" t="s">
        <v>292</v>
      </c>
      <c r="Q1269" s="65">
        <v>2</v>
      </c>
      <c r="R1269" s="65">
        <v>4</v>
      </c>
      <c r="S1269" s="65">
        <v>6</v>
      </c>
      <c r="T1269" s="65">
        <f t="shared" ref="T1269:T1277" si="122">SUM(R1269:S1269)</f>
        <v>10</v>
      </c>
      <c r="U1269" s="68">
        <v>0.25</v>
      </c>
      <c r="V1269" s="65">
        <v>0</v>
      </c>
      <c r="W1269" s="65">
        <v>0</v>
      </c>
      <c r="X1269" s="65">
        <v>0</v>
      </c>
      <c r="Y1269" s="64"/>
    </row>
    <row r="1270" spans="1:25" s="54" customFormat="1" ht="15" customHeight="1" x14ac:dyDescent="0.3">
      <c r="A1270" s="63"/>
      <c r="B1270" s="64"/>
      <c r="C1270" s="76"/>
      <c r="D1270" s="64">
        <v>2017</v>
      </c>
      <c r="E1270" s="65">
        <f>57581*1000000</f>
        <v>57581000000</v>
      </c>
      <c r="F1270" s="65">
        <f>(57581+534039+38905+1041575+27303+86564+5647)*1000000</f>
        <v>1791614000000</v>
      </c>
      <c r="G1270" s="65">
        <f>3282298*1000000</f>
        <v>3282298000000</v>
      </c>
      <c r="H1270" s="65">
        <f>411311*1000000</f>
        <v>411311000000</v>
      </c>
      <c r="I1270" s="65">
        <f>2280404*1000000</f>
        <v>2280404000000</v>
      </c>
      <c r="J1270" s="65">
        <f>622456*1000000</f>
        <v>622456000000</v>
      </c>
      <c r="K1270" s="65">
        <f>1001894*1000000</f>
        <v>1001894000000</v>
      </c>
      <c r="L1270" s="65">
        <f>878252*1000000</f>
        <v>878252000000</v>
      </c>
      <c r="M1270" s="65">
        <f>77134*1000000</f>
        <v>77134000000</v>
      </c>
      <c r="N1270" s="65">
        <f>79537*1000000</f>
        <v>79537000000</v>
      </c>
      <c r="O1270" s="66">
        <v>0.72809999999999997</v>
      </c>
      <c r="P1270" s="67" t="s">
        <v>292</v>
      </c>
      <c r="Q1270" s="65">
        <v>2</v>
      </c>
      <c r="R1270" s="65">
        <v>4</v>
      </c>
      <c r="S1270" s="65">
        <v>6</v>
      </c>
      <c r="T1270" s="65">
        <f t="shared" si="122"/>
        <v>10</v>
      </c>
      <c r="U1270" s="68">
        <v>0.25</v>
      </c>
      <c r="V1270" s="65">
        <v>0</v>
      </c>
      <c r="W1270" s="65">
        <v>0</v>
      </c>
      <c r="X1270" s="65">
        <v>0</v>
      </c>
      <c r="Y1270" s="64"/>
    </row>
    <row r="1271" spans="1:25" s="54" customFormat="1" ht="15" customHeight="1" x14ac:dyDescent="0.3">
      <c r="A1271" s="63"/>
      <c r="B1271" s="64"/>
      <c r="C1271" s="76"/>
      <c r="D1271" s="64">
        <v>2018</v>
      </c>
      <c r="E1271" s="65">
        <f>45214*1000000</f>
        <v>45214000000</v>
      </c>
      <c r="F1271" s="65">
        <f>(45214+533824+2709+1303245+16473+86102+7698)*1000000</f>
        <v>1995265000000</v>
      </c>
      <c r="G1271" s="65">
        <f>3605680*1000000</f>
        <v>3605680000000</v>
      </c>
      <c r="H1271" s="65">
        <f>447364*1000000</f>
        <v>447364000000</v>
      </c>
      <c r="I1271" s="65">
        <f>2607229*1000000</f>
        <v>2607229000000</v>
      </c>
      <c r="J1271" s="65">
        <f>677626*1000000</f>
        <v>677626000000</v>
      </c>
      <c r="K1271" s="65">
        <f>998450*1000000</f>
        <v>998450000000</v>
      </c>
      <c r="L1271" s="65">
        <f>906041*1000000</f>
        <v>906041000000</v>
      </c>
      <c r="M1271" s="65">
        <f>90936*1000000</f>
        <v>90936000000</v>
      </c>
      <c r="N1271" s="65">
        <f>12240*1000000</f>
        <v>12240000000</v>
      </c>
      <c r="O1271" s="66">
        <v>0.73409999999999997</v>
      </c>
      <c r="P1271" s="67" t="s">
        <v>292</v>
      </c>
      <c r="Q1271" s="65">
        <v>2</v>
      </c>
      <c r="R1271" s="65">
        <v>4</v>
      </c>
      <c r="S1271" s="65">
        <v>6</v>
      </c>
      <c r="T1271" s="65">
        <f t="shared" si="122"/>
        <v>10</v>
      </c>
      <c r="U1271" s="68">
        <v>0.25</v>
      </c>
      <c r="V1271" s="65">
        <v>0</v>
      </c>
      <c r="W1271" s="65">
        <v>0</v>
      </c>
      <c r="X1271" s="65">
        <v>0</v>
      </c>
      <c r="Y1271" s="64"/>
    </row>
    <row r="1272" spans="1:25" s="54" customFormat="1" ht="15" customHeight="1" x14ac:dyDescent="0.3">
      <c r="A1272" s="63"/>
      <c r="B1272" s="64"/>
      <c r="C1272" s="76"/>
      <c r="D1272" s="64">
        <v>2019</v>
      </c>
      <c r="E1272" s="65">
        <f>42055*1000000</f>
        <v>42055000000</v>
      </c>
      <c r="F1272" s="65">
        <f>(42055+557409+11780+1463057+15337+65047+6161)*1000000</f>
        <v>2160846000000</v>
      </c>
      <c r="G1272" s="65">
        <f>3868218*1000000</f>
        <v>3868218000000</v>
      </c>
      <c r="H1272" s="65">
        <f>429665*1000000</f>
        <v>429665000000</v>
      </c>
      <c r="I1272" s="65">
        <f>2723511*1000000</f>
        <v>2723511000000</v>
      </c>
      <c r="J1272" s="65">
        <f>777270*1000000</f>
        <v>777270000000</v>
      </c>
      <c r="K1272" s="65">
        <f>1144707*1000000</f>
        <v>1144707000000</v>
      </c>
      <c r="L1272" s="65">
        <f>801755*1000000</f>
        <v>801755000000</v>
      </c>
      <c r="M1272" s="65">
        <f>144983*1000000</f>
        <v>144983000000</v>
      </c>
      <c r="N1272" s="65">
        <f>164737*1000000</f>
        <v>164737000000</v>
      </c>
      <c r="O1272" s="66">
        <v>0.73409999999999997</v>
      </c>
      <c r="P1272" s="67" t="s">
        <v>292</v>
      </c>
      <c r="Q1272" s="65">
        <v>2</v>
      </c>
      <c r="R1272" s="65">
        <v>4</v>
      </c>
      <c r="S1272" s="65">
        <v>6</v>
      </c>
      <c r="T1272" s="65">
        <f t="shared" si="122"/>
        <v>10</v>
      </c>
      <c r="U1272" s="68">
        <v>0.25</v>
      </c>
      <c r="V1272" s="65">
        <v>0</v>
      </c>
      <c r="W1272" s="65">
        <v>0</v>
      </c>
      <c r="X1272" s="65">
        <v>0</v>
      </c>
      <c r="Y1272" s="64"/>
    </row>
    <row r="1273" spans="1:25" s="54" customFormat="1" ht="15" customHeight="1" x14ac:dyDescent="0.3">
      <c r="A1273" s="63"/>
      <c r="B1273" s="64"/>
      <c r="C1273" s="76"/>
      <c r="D1273" s="64">
        <v>2020</v>
      </c>
      <c r="E1273" s="65">
        <f>55228*1000000</f>
        <v>55228000000</v>
      </c>
      <c r="F1273" s="65">
        <f>(55228+630659+8693+1657204+21978+101350+7885)*1000000</f>
        <v>2482997000000</v>
      </c>
      <c r="G1273" s="65">
        <f>4233124*1000000</f>
        <v>4233124000000</v>
      </c>
      <c r="H1273" s="65">
        <f>615186*1000000</f>
        <v>615186000000</v>
      </c>
      <c r="I1273" s="65">
        <f>2992586*1000000</f>
        <v>2992586000000</v>
      </c>
      <c r="J1273" s="65">
        <f>895916*1000000</f>
        <v>895916000000</v>
      </c>
      <c r="K1273" s="65">
        <f>1240538*1000000</f>
        <v>1240538000000</v>
      </c>
      <c r="L1273" s="65">
        <f>781992*1000000</f>
        <v>781992000000</v>
      </c>
      <c r="M1273" s="65">
        <f>137612*1000000</f>
        <v>137612000000</v>
      </c>
      <c r="N1273" s="65">
        <f>127623*1000000</f>
        <v>127623000000</v>
      </c>
      <c r="O1273" s="66">
        <v>0.73409999999999997</v>
      </c>
      <c r="P1273" s="67" t="s">
        <v>292</v>
      </c>
      <c r="Q1273" s="65">
        <v>2</v>
      </c>
      <c r="R1273" s="65">
        <v>4</v>
      </c>
      <c r="S1273" s="65">
        <v>6</v>
      </c>
      <c r="T1273" s="65">
        <f t="shared" si="122"/>
        <v>10</v>
      </c>
      <c r="U1273" s="68">
        <v>0.25</v>
      </c>
      <c r="V1273" s="65">
        <v>0</v>
      </c>
      <c r="W1273" s="65">
        <v>0</v>
      </c>
      <c r="X1273" s="65">
        <v>0</v>
      </c>
      <c r="Y1273" s="64"/>
    </row>
    <row r="1274" spans="1:25" s="54" customFormat="1" ht="15" customHeight="1" x14ac:dyDescent="0.3">
      <c r="A1274" s="63"/>
      <c r="B1274" s="64"/>
      <c r="C1274" s="76"/>
      <c r="D1274" s="64">
        <v>2021</v>
      </c>
      <c r="E1274" s="65">
        <f>42130*1000000</f>
        <v>42130000000</v>
      </c>
      <c r="F1274" s="65">
        <f>(42130+635529+23309+1525485+17652+160776+8243)*1000000</f>
        <v>2413124000000</v>
      </c>
      <c r="G1274" s="65">
        <f>4261374*1000000</f>
        <v>4261374000000</v>
      </c>
      <c r="H1274" s="65">
        <f>629393*1000000</f>
        <v>629393000000</v>
      </c>
      <c r="I1274" s="65">
        <f>2951961*1000000</f>
        <v>2951961000000</v>
      </c>
      <c r="J1274" s="65">
        <f>931689*1000000</f>
        <v>931689000000</v>
      </c>
      <c r="K1274" s="65">
        <f>1309413*1000000</f>
        <v>1309413000000</v>
      </c>
      <c r="L1274" s="65">
        <f>830722*1000000</f>
        <v>830722000000</v>
      </c>
      <c r="M1274" s="65">
        <f>154881*1000000</f>
        <v>154881000000</v>
      </c>
      <c r="N1274" s="65">
        <f>115633*1000000</f>
        <v>115633000000</v>
      </c>
      <c r="O1274" s="66">
        <v>0.73409999999999997</v>
      </c>
      <c r="P1274" s="67" t="s">
        <v>292</v>
      </c>
      <c r="Q1274" s="65">
        <v>2</v>
      </c>
      <c r="R1274" s="65">
        <v>4</v>
      </c>
      <c r="S1274" s="65">
        <v>6</v>
      </c>
      <c r="T1274" s="65">
        <f t="shared" si="122"/>
        <v>10</v>
      </c>
      <c r="U1274" s="68">
        <v>0.25</v>
      </c>
      <c r="V1274" s="65">
        <v>0</v>
      </c>
      <c r="W1274" s="65">
        <v>0</v>
      </c>
      <c r="X1274" s="65">
        <v>0</v>
      </c>
      <c r="Y1274" s="64"/>
    </row>
    <row r="1275" spans="1:25" s="54" customFormat="1" ht="15" customHeight="1" x14ac:dyDescent="0.3">
      <c r="A1275" s="63"/>
      <c r="B1275" s="64"/>
      <c r="C1275" s="76"/>
      <c r="D1275" s="64">
        <v>2022</v>
      </c>
      <c r="E1275" s="65">
        <f>31697*1000000</f>
        <v>31697000000</v>
      </c>
      <c r="F1275" s="65">
        <f>(31697+536880+49976+1446678+38096+106049+8671)*1000000</f>
        <v>2218047000000</v>
      </c>
      <c r="G1275" s="65">
        <f>4365214*1000000</f>
        <v>4365214000000</v>
      </c>
      <c r="H1275" s="65">
        <f>668116*1000000</f>
        <v>668116000000</v>
      </c>
      <c r="I1275" s="65">
        <f>3035635*1000000</f>
        <v>3035635000000</v>
      </c>
      <c r="J1275" s="65">
        <f>973217*1000000</f>
        <v>973217000000</v>
      </c>
      <c r="K1275" s="65">
        <f>1329579*1000000</f>
        <v>1329579000000</v>
      </c>
      <c r="L1275" s="65">
        <f>956709*1000000</f>
        <v>956709000000</v>
      </c>
      <c r="M1275" s="65">
        <f>179438*1000000</f>
        <v>179438000000</v>
      </c>
      <c r="N1275" s="65">
        <f>104071*1000000</f>
        <v>104071000000</v>
      </c>
      <c r="O1275" s="66">
        <v>0.73409999999999997</v>
      </c>
      <c r="P1275" s="67" t="s">
        <v>292</v>
      </c>
      <c r="Q1275" s="65">
        <v>2</v>
      </c>
      <c r="R1275" s="65">
        <v>4</v>
      </c>
      <c r="S1275" s="65">
        <v>6</v>
      </c>
      <c r="T1275" s="65">
        <f t="shared" si="122"/>
        <v>10</v>
      </c>
      <c r="U1275" s="68">
        <v>0.25</v>
      </c>
      <c r="V1275" s="65">
        <v>0</v>
      </c>
      <c r="W1275" s="65">
        <v>0</v>
      </c>
      <c r="X1275" s="65">
        <v>0</v>
      </c>
      <c r="Y1275" s="64"/>
    </row>
    <row r="1276" spans="1:25" s="54" customFormat="1" ht="15" customHeight="1" x14ac:dyDescent="0.3">
      <c r="A1276" s="63"/>
      <c r="B1276" s="64"/>
      <c r="C1276" s="76"/>
      <c r="D1276" s="64">
        <v>2023</v>
      </c>
      <c r="E1276" s="65">
        <f>40926*1000000</f>
        <v>40926000000</v>
      </c>
      <c r="F1276" s="65">
        <f>(40926+712851+43076+1602394+36151+115877+10322)*1000000</f>
        <v>2561597000000</v>
      </c>
      <c r="G1276" s="65">
        <f>5010127*1000000</f>
        <v>5010127000000</v>
      </c>
      <c r="H1276" s="65">
        <f>891040*1000000</f>
        <v>891040000000</v>
      </c>
      <c r="I1276" s="65">
        <f>3497125*1000000</f>
        <v>3497125000000</v>
      </c>
      <c r="J1276" s="65">
        <f>1121519*1000000</f>
        <v>1121519000000</v>
      </c>
      <c r="K1276" s="65">
        <f>1513002*1000000</f>
        <v>1513002000000</v>
      </c>
      <c r="L1276" s="65">
        <f>1000223*1000000</f>
        <v>1000223000000</v>
      </c>
      <c r="M1276" s="65">
        <f>250775*1000000</f>
        <v>250775000000</v>
      </c>
      <c r="N1276" s="65">
        <f>244251*1000000</f>
        <v>244251000000</v>
      </c>
      <c r="O1276" s="66">
        <v>0.73409999999999997</v>
      </c>
      <c r="P1276" s="67" t="s">
        <v>292</v>
      </c>
      <c r="Q1276" s="65">
        <v>2</v>
      </c>
      <c r="R1276" s="65">
        <v>4</v>
      </c>
      <c r="S1276" s="65">
        <v>6</v>
      </c>
      <c r="T1276" s="65">
        <f t="shared" si="122"/>
        <v>10</v>
      </c>
      <c r="U1276" s="68">
        <v>0.25</v>
      </c>
      <c r="V1276" s="65">
        <v>0</v>
      </c>
      <c r="W1276" s="65">
        <v>0</v>
      </c>
      <c r="X1276" s="65">
        <v>0</v>
      </c>
      <c r="Y1276" s="64"/>
    </row>
    <row r="1277" spans="1:25" s="54" customFormat="1" ht="15" customHeight="1" x14ac:dyDescent="0.3">
      <c r="A1277" s="63"/>
      <c r="B1277" s="64"/>
      <c r="C1277" s="76"/>
      <c r="D1277" s="64">
        <v>2024</v>
      </c>
      <c r="E1277" s="65">
        <f>42905*1000000</f>
        <v>42905000000</v>
      </c>
      <c r="F1277" s="65">
        <f>(42095+733991+44666+1599434+68702+191811+10723)*1000000</f>
        <v>2691422000000</v>
      </c>
      <c r="G1277" s="65">
        <f>5226747*1000000</f>
        <v>5226747000000</v>
      </c>
      <c r="H1277" s="65">
        <f>1042734*1000000</f>
        <v>1042734000000</v>
      </c>
      <c r="I1277" s="65">
        <f>3671607*1000000</f>
        <v>3671607000000</v>
      </c>
      <c r="J1277" s="65">
        <f>1163536*1000000</f>
        <v>1163536000000</v>
      </c>
      <c r="K1277" s="65">
        <f>1555140*1000000</f>
        <v>1555140000000</v>
      </c>
      <c r="L1277" s="65">
        <f>991127*1000000</f>
        <v>991127000000</v>
      </c>
      <c r="M1277" s="65">
        <f>289490*1000000</f>
        <v>289490000000</v>
      </c>
      <c r="N1277" s="65">
        <f>171954*1000000</f>
        <v>171954000000</v>
      </c>
      <c r="O1277" s="66">
        <v>0.73409999999999997</v>
      </c>
      <c r="P1277" s="67" t="s">
        <v>292</v>
      </c>
      <c r="Q1277" s="65">
        <v>2</v>
      </c>
      <c r="R1277" s="65">
        <v>4</v>
      </c>
      <c r="S1277" s="65">
        <v>6</v>
      </c>
      <c r="T1277" s="65">
        <f t="shared" si="122"/>
        <v>10</v>
      </c>
      <c r="U1277" s="68">
        <v>0.25</v>
      </c>
      <c r="V1277" s="65">
        <v>0</v>
      </c>
      <c r="W1277" s="65">
        <v>0</v>
      </c>
      <c r="X1277" s="65">
        <v>0</v>
      </c>
      <c r="Y1277" s="64"/>
    </row>
    <row r="1278" spans="1:25" s="54" customFormat="1" ht="15" customHeight="1" x14ac:dyDescent="0.3">
      <c r="A1278" s="63"/>
      <c r="B1278" s="64">
        <v>117</v>
      </c>
      <c r="C1278" s="55" t="s">
        <v>65</v>
      </c>
      <c r="D1278" s="64">
        <v>2014</v>
      </c>
      <c r="E1278" s="65">
        <v>0</v>
      </c>
      <c r="F1278" s="65">
        <v>0</v>
      </c>
      <c r="G1278" s="65">
        <v>0</v>
      </c>
      <c r="H1278" s="65">
        <v>0</v>
      </c>
      <c r="I1278" s="65">
        <v>0</v>
      </c>
      <c r="J1278" s="65">
        <v>0</v>
      </c>
      <c r="K1278" s="65">
        <v>0</v>
      </c>
      <c r="L1278" s="65">
        <f>39674*1000000</f>
        <v>39674000000</v>
      </c>
      <c r="M1278" s="65">
        <v>0</v>
      </c>
      <c r="N1278" s="65">
        <v>0</v>
      </c>
      <c r="O1278" s="65">
        <v>0</v>
      </c>
      <c r="P1278" s="65">
        <v>0</v>
      </c>
      <c r="Q1278" s="65">
        <v>0</v>
      </c>
      <c r="R1278" s="65">
        <v>0</v>
      </c>
      <c r="S1278" s="65">
        <v>0</v>
      </c>
      <c r="T1278" s="65">
        <v>0</v>
      </c>
      <c r="U1278" s="65">
        <v>0</v>
      </c>
      <c r="V1278" s="65">
        <v>0</v>
      </c>
      <c r="W1278" s="65">
        <v>0</v>
      </c>
      <c r="X1278" s="65">
        <v>0</v>
      </c>
      <c r="Y1278" s="64"/>
    </row>
    <row r="1279" spans="1:25" s="54" customFormat="1" ht="15" customHeight="1" x14ac:dyDescent="0.3">
      <c r="A1279" s="63"/>
      <c r="B1279" s="64"/>
      <c r="C1279" s="55"/>
      <c r="D1279" s="64">
        <v>2015</v>
      </c>
      <c r="E1279" s="65">
        <f>18557*1000000</f>
        <v>18557000000</v>
      </c>
      <c r="F1279" s="65">
        <f>(18557+15251+1140+38532+179+157)*1000000</f>
        <v>73816000000</v>
      </c>
      <c r="G1279" s="65">
        <f>196838*1000000</f>
        <v>196838000000</v>
      </c>
      <c r="H1279" s="65">
        <f>(1769+5758+2772+1115+6178+181+1121)*1000000</f>
        <v>18894000000</v>
      </c>
      <c r="I1279" s="65">
        <f>82274*1000000</f>
        <v>82274000000</v>
      </c>
      <c r="J1279" s="65">
        <f>-13715*1000000</f>
        <v>-13715000000</v>
      </c>
      <c r="K1279" s="65">
        <f>114563*1000000</f>
        <v>114563000000</v>
      </c>
      <c r="L1279" s="65">
        <f>58554*1000000</f>
        <v>58554000000</v>
      </c>
      <c r="M1279" s="65">
        <f>7590*1000000</f>
        <v>7590000000</v>
      </c>
      <c r="N1279" s="65">
        <f>5677*1000000</f>
        <v>5677000000</v>
      </c>
      <c r="O1279" s="66">
        <v>0.99650000000000005</v>
      </c>
      <c r="P1279" s="67" t="s">
        <v>5</v>
      </c>
      <c r="Q1279" s="65">
        <v>1</v>
      </c>
      <c r="R1279" s="65">
        <v>2</v>
      </c>
      <c r="S1279" s="65">
        <v>3</v>
      </c>
      <c r="T1279" s="65">
        <f>SUM(R1279:S1279)</f>
        <v>5</v>
      </c>
      <c r="U1279" s="68">
        <v>0</v>
      </c>
      <c r="V1279" s="65">
        <v>0</v>
      </c>
      <c r="W1279" s="65">
        <v>0</v>
      </c>
      <c r="X1279" s="65">
        <v>0</v>
      </c>
      <c r="Y1279" s="64"/>
    </row>
    <row r="1280" spans="1:25" s="54" customFormat="1" ht="15" customHeight="1" x14ac:dyDescent="0.3">
      <c r="A1280" s="63"/>
      <c r="B1280" s="64"/>
      <c r="C1280" s="55"/>
      <c r="D1280" s="64">
        <v>2016</v>
      </c>
      <c r="E1280" s="65">
        <f>19249*1000000</f>
        <v>19249000000</v>
      </c>
      <c r="F1280" s="65">
        <f>(19249+22650+1597+32977+60+222)*1000000</f>
        <v>76755000000</v>
      </c>
      <c r="G1280" s="65">
        <f>212248*1000000</f>
        <v>212248000000</v>
      </c>
      <c r="H1280" s="65">
        <f>(291+11021+3214+962+6536+222+1587)*1000000</f>
        <v>23833000000</v>
      </c>
      <c r="I1280" s="65">
        <f>89043*1000000</f>
        <v>89043000000</v>
      </c>
      <c r="J1280" s="65">
        <f>-5223*1000000</f>
        <v>-5223000000</v>
      </c>
      <c r="K1280" s="65">
        <f>123204*1000000</f>
        <v>123204000000</v>
      </c>
      <c r="L1280" s="65">
        <f>66290*1000000</f>
        <v>66290000000</v>
      </c>
      <c r="M1280" s="65">
        <f>10254*1000000</f>
        <v>10254000000</v>
      </c>
      <c r="N1280" s="65">
        <f>8434*1000000</f>
        <v>8434000000</v>
      </c>
      <c r="O1280" s="66">
        <v>0.99650000000000005</v>
      </c>
      <c r="P1280" s="67" t="s">
        <v>5</v>
      </c>
      <c r="Q1280" s="65">
        <v>2</v>
      </c>
      <c r="R1280" s="65">
        <v>3</v>
      </c>
      <c r="S1280" s="65">
        <v>3</v>
      </c>
      <c r="T1280" s="65">
        <f t="shared" ref="T1280:T1288" si="123">SUM(R1280:S1280)</f>
        <v>6</v>
      </c>
      <c r="U1280" s="68">
        <v>0</v>
      </c>
      <c r="V1280" s="65">
        <v>0</v>
      </c>
      <c r="W1280" s="65">
        <v>0</v>
      </c>
      <c r="X1280" s="65">
        <v>0</v>
      </c>
      <c r="Y1280" s="64"/>
    </row>
    <row r="1281" spans="1:25" s="54" customFormat="1" ht="15" customHeight="1" x14ac:dyDescent="0.3">
      <c r="A1281" s="63"/>
      <c r="B1281" s="64"/>
      <c r="C1281" s="55"/>
      <c r="D1281" s="64">
        <v>2017</v>
      </c>
      <c r="E1281" s="65">
        <f>22039*1000000</f>
        <v>22039000000</v>
      </c>
      <c r="F1281" s="65">
        <f>(22039+22419+1+38335+2377+1080)*1000000</f>
        <v>86251000000</v>
      </c>
      <c r="G1281" s="65">
        <f>246935*1000000</f>
        <v>246935000000</v>
      </c>
      <c r="H1281" s="65">
        <f>27972*1000000</f>
        <v>27972000000</v>
      </c>
      <c r="I1281" s="65">
        <f>118323*1000000</f>
        <v>118323000000</v>
      </c>
      <c r="J1281" s="65">
        <f>-1409*1000000</f>
        <v>-1409000000</v>
      </c>
      <c r="K1281" s="65">
        <f>128612*1000000</f>
        <v>128612000000</v>
      </c>
      <c r="L1281" s="65">
        <f>67796*1000000</f>
        <v>67796000000</v>
      </c>
      <c r="M1281" s="65">
        <f>3733*1000000</f>
        <v>3733000000</v>
      </c>
      <c r="N1281" s="65">
        <f>4033*1000000</f>
        <v>4033000000</v>
      </c>
      <c r="O1281" s="66">
        <v>0.99650000000000005</v>
      </c>
      <c r="P1281" s="67" t="s">
        <v>5</v>
      </c>
      <c r="Q1281" s="65">
        <v>2</v>
      </c>
      <c r="R1281" s="65">
        <v>3</v>
      </c>
      <c r="S1281" s="65">
        <v>3</v>
      </c>
      <c r="T1281" s="65">
        <f t="shared" si="123"/>
        <v>6</v>
      </c>
      <c r="U1281" s="68">
        <v>0</v>
      </c>
      <c r="V1281" s="65">
        <v>0</v>
      </c>
      <c r="W1281" s="65">
        <v>0</v>
      </c>
      <c r="X1281" s="65">
        <v>0</v>
      </c>
      <c r="Y1281" s="64"/>
    </row>
    <row r="1282" spans="1:25" s="54" customFormat="1" ht="15" customHeight="1" x14ac:dyDescent="0.3">
      <c r="A1282" s="63"/>
      <c r="B1282" s="64"/>
      <c r="C1282" s="55"/>
      <c r="D1282" s="64">
        <v>2018</v>
      </c>
      <c r="E1282" s="65">
        <f>24100*1000000</f>
        <v>24100000000</v>
      </c>
      <c r="F1282" s="65">
        <f>(24100+27873+238+46084+3785+1575)*1000000</f>
        <v>103655000000</v>
      </c>
      <c r="G1282" s="65">
        <f>275638*1000000</f>
        <v>275638000000</v>
      </c>
      <c r="H1282" s="65">
        <f>32703*1000000</f>
        <v>32703000000</v>
      </c>
      <c r="I1282" s="65">
        <f>137968*1000000</f>
        <v>137968000000</v>
      </c>
      <c r="J1282" s="65">
        <f>10068*1000000</f>
        <v>10068000000</v>
      </c>
      <c r="K1282" s="65">
        <f>137670*1000000</f>
        <v>137670000000</v>
      </c>
      <c r="L1282" s="65">
        <f>86841*1000000</f>
        <v>86841000000</v>
      </c>
      <c r="M1282" s="65">
        <f>8952*1000000</f>
        <v>8952000000</v>
      </c>
      <c r="N1282" s="65">
        <f>11452*1000000</f>
        <v>11452000000</v>
      </c>
      <c r="O1282" s="66">
        <v>0.99650000000000005</v>
      </c>
      <c r="P1282" s="67" t="s">
        <v>5</v>
      </c>
      <c r="Q1282" s="65">
        <v>2</v>
      </c>
      <c r="R1282" s="65">
        <v>3</v>
      </c>
      <c r="S1282" s="65">
        <v>3</v>
      </c>
      <c r="T1282" s="65">
        <f t="shared" si="123"/>
        <v>6</v>
      </c>
      <c r="U1282" s="68">
        <v>0</v>
      </c>
      <c r="V1282" s="65">
        <v>0</v>
      </c>
      <c r="W1282" s="65">
        <v>0</v>
      </c>
      <c r="X1282" s="65">
        <v>0</v>
      </c>
      <c r="Y1282" s="64"/>
    </row>
    <row r="1283" spans="1:25" s="54" customFormat="1" ht="15" customHeight="1" x14ac:dyDescent="0.3">
      <c r="A1283" s="63"/>
      <c r="B1283" s="64"/>
      <c r="C1283" s="55"/>
      <c r="D1283" s="64">
        <v>2019</v>
      </c>
      <c r="E1283" s="65">
        <f>23111*1000000</f>
        <v>23111000000</v>
      </c>
      <c r="F1283" s="65">
        <f>(23111+48236+84+147776+4639+1439)*1000000</f>
        <v>225285000000</v>
      </c>
      <c r="G1283" s="65">
        <f>430332*1000000</f>
        <v>430332000000</v>
      </c>
      <c r="H1283" s="65">
        <f>52321*1000000</f>
        <v>52321000000</v>
      </c>
      <c r="I1283" s="65">
        <f>281159*1000000</f>
        <v>281159000000</v>
      </c>
      <c r="J1283" s="65">
        <f>19385*1000000</f>
        <v>19385000000</v>
      </c>
      <c r="K1283" s="65">
        <f>149172*1000000</f>
        <v>149172000000</v>
      </c>
      <c r="L1283" s="65">
        <f>113128*1000000</f>
        <v>113128000000</v>
      </c>
      <c r="M1283" s="65">
        <f>11761*1000000</f>
        <v>11761000000</v>
      </c>
      <c r="N1283" s="65">
        <f>10442*1000000</f>
        <v>10442000000</v>
      </c>
      <c r="O1283" s="66">
        <v>0.99650000000000005</v>
      </c>
      <c r="P1283" s="67" t="s">
        <v>5</v>
      </c>
      <c r="Q1283" s="65">
        <v>2</v>
      </c>
      <c r="R1283" s="65">
        <v>3</v>
      </c>
      <c r="S1283" s="65">
        <v>3</v>
      </c>
      <c r="T1283" s="65">
        <f t="shared" si="123"/>
        <v>6</v>
      </c>
      <c r="U1283" s="68">
        <v>0</v>
      </c>
      <c r="V1283" s="65">
        <v>0</v>
      </c>
      <c r="W1283" s="65">
        <v>0</v>
      </c>
      <c r="X1283" s="65">
        <v>0</v>
      </c>
      <c r="Y1283" s="64"/>
    </row>
    <row r="1284" spans="1:25" s="54" customFormat="1" ht="15" customHeight="1" x14ac:dyDescent="0.3">
      <c r="A1284" s="63"/>
      <c r="B1284" s="64"/>
      <c r="C1284" s="55"/>
      <c r="D1284" s="64">
        <v>2020</v>
      </c>
      <c r="E1284" s="65">
        <f>20338*1000000</f>
        <v>20338000000</v>
      </c>
      <c r="F1284" s="65">
        <f>(20338+53456+79+116856+11640+1278)*1000000</f>
        <v>203647000000</v>
      </c>
      <c r="G1284" s="65">
        <f>432693*1000000</f>
        <v>432693000000</v>
      </c>
      <c r="H1284" s="65">
        <f>63634*1000000</f>
        <v>63634000000</v>
      </c>
      <c r="I1284" s="65">
        <f>269833*1000000</f>
        <v>269833000000</v>
      </c>
      <c r="J1284" s="65">
        <f>27421*1000000</f>
        <v>27421000000</v>
      </c>
      <c r="K1284" s="65">
        <f>162859*1000000</f>
        <v>162859000000</v>
      </c>
      <c r="L1284" s="65">
        <f>133700*1000000</f>
        <v>133700000000</v>
      </c>
      <c r="M1284" s="65">
        <f>12153*1000000</f>
        <v>12153000000</v>
      </c>
      <c r="N1284" s="65">
        <f>8105*1000000</f>
        <v>8105000000</v>
      </c>
      <c r="O1284" s="66">
        <v>0.99650000000000005</v>
      </c>
      <c r="P1284" s="67" t="s">
        <v>5</v>
      </c>
      <c r="Q1284" s="65">
        <v>2</v>
      </c>
      <c r="R1284" s="65">
        <v>3</v>
      </c>
      <c r="S1284" s="65">
        <v>3</v>
      </c>
      <c r="T1284" s="65">
        <f t="shared" si="123"/>
        <v>6</v>
      </c>
      <c r="U1284" s="68">
        <v>0</v>
      </c>
      <c r="V1284" s="65">
        <v>0</v>
      </c>
      <c r="W1284" s="65">
        <v>0</v>
      </c>
      <c r="X1284" s="65">
        <v>0</v>
      </c>
      <c r="Y1284" s="64"/>
    </row>
    <row r="1285" spans="1:25" s="54" customFormat="1" ht="15" customHeight="1" x14ac:dyDescent="0.3">
      <c r="A1285" s="63"/>
      <c r="B1285" s="64"/>
      <c r="C1285" s="55"/>
      <c r="D1285" s="64">
        <v>2021</v>
      </c>
      <c r="E1285" s="65">
        <f>14662*1000000</f>
        <v>14662000000</v>
      </c>
      <c r="F1285" s="65">
        <f>(14662+49966+570+114516+177923+1609)*1000000</f>
        <v>359246000000</v>
      </c>
      <c r="G1285" s="65">
        <f>469764*1000000</f>
        <v>469764000000</v>
      </c>
      <c r="H1285" s="65">
        <f>72066*1000000</f>
        <v>72066000000</v>
      </c>
      <c r="I1285" s="65">
        <f>283830*1000000</f>
        <v>283830000000</v>
      </c>
      <c r="J1285" s="65">
        <f>49646*1000000</f>
        <v>49646000000</v>
      </c>
      <c r="K1285" s="65">
        <f>185934*1000000</f>
        <v>185934000000</v>
      </c>
      <c r="L1285" s="65">
        <f>139395*1000000</f>
        <v>139395000000</v>
      </c>
      <c r="M1285" s="65">
        <f>24640*1000000</f>
        <v>24640000000</v>
      </c>
      <c r="N1285" s="65">
        <f>21941*1000000</f>
        <v>21941000000</v>
      </c>
      <c r="O1285" s="66">
        <v>0.99650000000000005</v>
      </c>
      <c r="P1285" s="67" t="s">
        <v>5</v>
      </c>
      <c r="Q1285" s="65">
        <v>2</v>
      </c>
      <c r="R1285" s="65">
        <v>3</v>
      </c>
      <c r="S1285" s="65">
        <v>3</v>
      </c>
      <c r="T1285" s="65">
        <f t="shared" si="123"/>
        <v>6</v>
      </c>
      <c r="U1285" s="68">
        <v>0</v>
      </c>
      <c r="V1285" s="65">
        <v>0</v>
      </c>
      <c r="W1285" s="65">
        <v>0</v>
      </c>
      <c r="X1285" s="65">
        <v>0</v>
      </c>
      <c r="Y1285" s="64"/>
    </row>
    <row r="1286" spans="1:25" s="54" customFormat="1" ht="15" customHeight="1" x14ac:dyDescent="0.3">
      <c r="A1286" s="63"/>
      <c r="B1286" s="64"/>
      <c r="C1286" s="55"/>
      <c r="D1286" s="64">
        <v>2022</v>
      </c>
      <c r="E1286" s="65">
        <f>19917*1000000</f>
        <v>19917000000</v>
      </c>
      <c r="F1286" s="65">
        <f>(19917+58597+202+107660+13652+2074)*1000000</f>
        <v>202102000000</v>
      </c>
      <c r="G1286" s="65">
        <f>486808*1000000</f>
        <v>486808000000</v>
      </c>
      <c r="H1286" s="65">
        <f>69879*1000000</f>
        <v>69879000000</v>
      </c>
      <c r="I1286" s="65">
        <f>288943*1000000</f>
        <v>288943000000</v>
      </c>
      <c r="J1286" s="65">
        <f>68593*1000000</f>
        <v>68593000000</v>
      </c>
      <c r="K1286" s="65">
        <f>197864*1000000</f>
        <v>197864000000</v>
      </c>
      <c r="L1286" s="65">
        <f>144949*1000000</f>
        <v>144949000000</v>
      </c>
      <c r="M1286" s="65">
        <f>24124*1000000</f>
        <v>24124000000</v>
      </c>
      <c r="N1286" s="65">
        <f>18549*1000000</f>
        <v>18549000000</v>
      </c>
      <c r="O1286" s="66">
        <v>0.99650000000000005</v>
      </c>
      <c r="P1286" s="67" t="s">
        <v>5</v>
      </c>
      <c r="Q1286" s="65">
        <v>2</v>
      </c>
      <c r="R1286" s="65">
        <v>3</v>
      </c>
      <c r="S1286" s="65">
        <v>3</v>
      </c>
      <c r="T1286" s="65">
        <f t="shared" si="123"/>
        <v>6</v>
      </c>
      <c r="U1286" s="68">
        <v>0</v>
      </c>
      <c r="V1286" s="65">
        <v>0</v>
      </c>
      <c r="W1286" s="65">
        <v>0</v>
      </c>
      <c r="X1286" s="65">
        <v>0</v>
      </c>
      <c r="Y1286" s="64"/>
    </row>
    <row r="1287" spans="1:25" s="54" customFormat="1" ht="15" customHeight="1" x14ac:dyDescent="0.3">
      <c r="A1287" s="63"/>
      <c r="B1287" s="64"/>
      <c r="C1287" s="55"/>
      <c r="D1287" s="64">
        <v>2023</v>
      </c>
      <c r="E1287" s="65">
        <f>26189*1000000</f>
        <v>26189000000</v>
      </c>
      <c r="F1287" s="65">
        <f>(26189+79532+114+146729+10942+2113)*1000000</f>
        <v>265619000000</v>
      </c>
      <c r="G1287" s="65">
        <f>566834*1000000</f>
        <v>566834000000</v>
      </c>
      <c r="H1287" s="65">
        <f>80971*1000000</f>
        <v>80971000000</v>
      </c>
      <c r="I1287" s="65">
        <f>353766*1000000</f>
        <v>353766000000</v>
      </c>
      <c r="J1287" s="65">
        <f>62972*1000000</f>
        <v>62972000000</v>
      </c>
      <c r="K1287" s="65">
        <f>213068*1000000</f>
        <v>213068000000</v>
      </c>
      <c r="L1287" s="65">
        <f>157791*1000000</f>
        <v>157791000000</v>
      </c>
      <c r="M1287" s="65">
        <f>21285*1000000</f>
        <v>21285000000</v>
      </c>
      <c r="N1287" s="65">
        <f>16262*1000000</f>
        <v>16262000000</v>
      </c>
      <c r="O1287" s="66">
        <v>0.99650000000000005</v>
      </c>
      <c r="P1287" s="67" t="s">
        <v>5</v>
      </c>
      <c r="Q1287" s="65">
        <v>2</v>
      </c>
      <c r="R1287" s="65">
        <v>4</v>
      </c>
      <c r="S1287" s="65">
        <v>3</v>
      </c>
      <c r="T1287" s="65">
        <f t="shared" si="123"/>
        <v>7</v>
      </c>
      <c r="U1287" s="68">
        <v>0</v>
      </c>
      <c r="V1287" s="65">
        <v>0</v>
      </c>
      <c r="W1287" s="65">
        <v>0</v>
      </c>
      <c r="X1287" s="65">
        <v>0</v>
      </c>
      <c r="Y1287" s="64"/>
    </row>
    <row r="1288" spans="1:25" s="54" customFormat="1" ht="15" customHeight="1" x14ac:dyDescent="0.3">
      <c r="A1288" s="63"/>
      <c r="B1288" s="64"/>
      <c r="C1288" s="55"/>
      <c r="D1288" s="64">
        <v>2024</v>
      </c>
      <c r="E1288" s="65">
        <f>26981*1000000</f>
        <v>26981000000</v>
      </c>
      <c r="F1288" s="65">
        <f>(26981+114439+108+267337+76952+2051)*1000000</f>
        <v>487868000000</v>
      </c>
      <c r="G1288" s="65">
        <f>810868*1000000</f>
        <v>810868000000</v>
      </c>
      <c r="H1288" s="65">
        <f>149154*1000000</f>
        <v>149154000000</v>
      </c>
      <c r="I1288" s="65">
        <f>597103*1000000</f>
        <v>597103000000</v>
      </c>
      <c r="J1288" s="65">
        <f>64750*1000000</f>
        <v>64750000000</v>
      </c>
      <c r="K1288" s="65">
        <f>213765*1000000</f>
        <v>213765000000</v>
      </c>
      <c r="L1288" s="65">
        <f>204557*1000000</f>
        <v>204557000000</v>
      </c>
      <c r="M1288" s="65">
        <f>3043*1000000</f>
        <v>3043000000</v>
      </c>
      <c r="N1288" s="65">
        <f>1386*1000000</f>
        <v>1386000000</v>
      </c>
      <c r="O1288" s="66">
        <v>0.99650000000000005</v>
      </c>
      <c r="P1288" s="67" t="s">
        <v>5</v>
      </c>
      <c r="Q1288" s="65">
        <v>2</v>
      </c>
      <c r="R1288" s="65">
        <v>3</v>
      </c>
      <c r="S1288" s="65">
        <v>3</v>
      </c>
      <c r="T1288" s="65">
        <f t="shared" si="123"/>
        <v>6</v>
      </c>
      <c r="U1288" s="68">
        <v>0</v>
      </c>
      <c r="V1288" s="65">
        <v>0</v>
      </c>
      <c r="W1288" s="65">
        <v>0</v>
      </c>
      <c r="X1288" s="65">
        <v>0</v>
      </c>
      <c r="Y1288" s="64"/>
    </row>
    <row r="1289" spans="1:25" s="54" customFormat="1" ht="15" customHeight="1" x14ac:dyDescent="0.3">
      <c r="A1289" s="63"/>
      <c r="B1289" s="64">
        <v>118</v>
      </c>
      <c r="C1289" s="92" t="s">
        <v>89</v>
      </c>
      <c r="D1289" s="64">
        <v>2014</v>
      </c>
      <c r="E1289" s="65">
        <v>0</v>
      </c>
      <c r="F1289" s="65">
        <v>0</v>
      </c>
      <c r="G1289" s="65">
        <v>0</v>
      </c>
      <c r="H1289" s="65">
        <v>0</v>
      </c>
      <c r="I1289" s="65">
        <v>0</v>
      </c>
      <c r="J1289" s="65">
        <v>0</v>
      </c>
      <c r="K1289" s="65">
        <v>0</v>
      </c>
      <c r="L1289" s="65">
        <v>0</v>
      </c>
      <c r="M1289" s="65">
        <v>0</v>
      </c>
      <c r="N1289" s="65">
        <v>0</v>
      </c>
      <c r="O1289" s="65">
        <v>0</v>
      </c>
      <c r="P1289" s="65">
        <v>0</v>
      </c>
      <c r="Q1289" s="65">
        <v>0</v>
      </c>
      <c r="R1289" s="65">
        <v>0</v>
      </c>
      <c r="S1289" s="65">
        <v>0</v>
      </c>
      <c r="T1289" s="65">
        <v>0</v>
      </c>
      <c r="U1289" s="65">
        <v>0</v>
      </c>
      <c r="V1289" s="65">
        <v>0</v>
      </c>
      <c r="W1289" s="65">
        <v>0</v>
      </c>
      <c r="X1289" s="65">
        <v>0</v>
      </c>
      <c r="Y1289" s="64"/>
    </row>
    <row r="1290" spans="1:25" s="54" customFormat="1" ht="15" customHeight="1" x14ac:dyDescent="0.3">
      <c r="A1290" s="63"/>
      <c r="B1290" s="64"/>
      <c r="C1290" s="92"/>
      <c r="D1290" s="64">
        <v>2015</v>
      </c>
      <c r="E1290" s="65">
        <v>0</v>
      </c>
      <c r="F1290" s="65">
        <v>0</v>
      </c>
      <c r="G1290" s="65">
        <v>0</v>
      </c>
      <c r="H1290" s="65">
        <v>0</v>
      </c>
      <c r="I1290" s="65">
        <v>0</v>
      </c>
      <c r="J1290" s="65">
        <v>0</v>
      </c>
      <c r="K1290" s="65">
        <v>0</v>
      </c>
      <c r="L1290" s="65">
        <v>0</v>
      </c>
      <c r="M1290" s="65">
        <v>0</v>
      </c>
      <c r="N1290" s="65">
        <v>0</v>
      </c>
      <c r="O1290" s="65">
        <v>0</v>
      </c>
      <c r="P1290" s="65">
        <v>0</v>
      </c>
      <c r="Q1290" s="65">
        <v>0</v>
      </c>
      <c r="R1290" s="65">
        <v>0</v>
      </c>
      <c r="S1290" s="65">
        <v>0</v>
      </c>
      <c r="T1290" s="65">
        <v>0</v>
      </c>
      <c r="U1290" s="65">
        <v>0</v>
      </c>
      <c r="V1290" s="65">
        <v>0</v>
      </c>
      <c r="W1290" s="65">
        <v>0</v>
      </c>
      <c r="X1290" s="65">
        <v>0</v>
      </c>
      <c r="Y1290" s="64"/>
    </row>
    <row r="1291" spans="1:25" s="54" customFormat="1" ht="15" customHeight="1" x14ac:dyDescent="0.3">
      <c r="A1291" s="63"/>
      <c r="B1291" s="64"/>
      <c r="C1291" s="92"/>
      <c r="D1291" s="64">
        <v>2016</v>
      </c>
      <c r="E1291" s="65">
        <v>0</v>
      </c>
      <c r="F1291" s="65">
        <v>0</v>
      </c>
      <c r="G1291" s="65">
        <v>0</v>
      </c>
      <c r="H1291" s="65">
        <v>0</v>
      </c>
      <c r="I1291" s="65">
        <v>0</v>
      </c>
      <c r="J1291" s="65">
        <v>0</v>
      </c>
      <c r="K1291" s="65">
        <v>0</v>
      </c>
      <c r="L1291" s="65">
        <v>0</v>
      </c>
      <c r="M1291" s="65">
        <v>0</v>
      </c>
      <c r="N1291" s="65">
        <v>0</v>
      </c>
      <c r="O1291" s="65">
        <v>0</v>
      </c>
      <c r="P1291" s="65">
        <v>0</v>
      </c>
      <c r="Q1291" s="65">
        <v>0</v>
      </c>
      <c r="R1291" s="65">
        <v>0</v>
      </c>
      <c r="S1291" s="65">
        <v>0</v>
      </c>
      <c r="T1291" s="65">
        <v>0</v>
      </c>
      <c r="U1291" s="65">
        <v>0</v>
      </c>
      <c r="V1291" s="65">
        <v>0</v>
      </c>
      <c r="W1291" s="65">
        <v>0</v>
      </c>
      <c r="X1291" s="65">
        <v>0</v>
      </c>
      <c r="Y1291" s="64"/>
    </row>
    <row r="1292" spans="1:25" s="54" customFormat="1" ht="15" customHeight="1" x14ac:dyDescent="0.3">
      <c r="A1292" s="63"/>
      <c r="B1292" s="64"/>
      <c r="C1292" s="92"/>
      <c r="D1292" s="64">
        <v>2017</v>
      </c>
      <c r="E1292" s="65">
        <v>0</v>
      </c>
      <c r="F1292" s="65">
        <v>0</v>
      </c>
      <c r="G1292" s="65">
        <v>0</v>
      </c>
      <c r="H1292" s="65">
        <v>0</v>
      </c>
      <c r="I1292" s="65">
        <v>0</v>
      </c>
      <c r="J1292" s="65">
        <v>0</v>
      </c>
      <c r="K1292" s="65">
        <v>0</v>
      </c>
      <c r="L1292" s="65">
        <v>0</v>
      </c>
      <c r="M1292" s="65">
        <v>0</v>
      </c>
      <c r="N1292" s="65">
        <v>0</v>
      </c>
      <c r="O1292" s="65">
        <v>0</v>
      </c>
      <c r="P1292" s="65">
        <v>0</v>
      </c>
      <c r="Q1292" s="65">
        <v>0</v>
      </c>
      <c r="R1292" s="65">
        <v>0</v>
      </c>
      <c r="S1292" s="65">
        <v>0</v>
      </c>
      <c r="T1292" s="65">
        <v>0</v>
      </c>
      <c r="U1292" s="65">
        <v>0</v>
      </c>
      <c r="V1292" s="65">
        <v>0</v>
      </c>
      <c r="W1292" s="65">
        <v>0</v>
      </c>
      <c r="X1292" s="65">
        <v>0</v>
      </c>
      <c r="Y1292" s="64"/>
    </row>
    <row r="1293" spans="1:25" s="54" customFormat="1" ht="15" customHeight="1" x14ac:dyDescent="0.3">
      <c r="A1293" s="63"/>
      <c r="B1293" s="64"/>
      <c r="C1293" s="92"/>
      <c r="D1293" s="64">
        <v>2018</v>
      </c>
      <c r="E1293" s="65">
        <f>41669561*1000</f>
        <v>41669561000</v>
      </c>
      <c r="F1293" s="65">
        <f>(41669561+9621708+210323013+1238141+54976239+7684656+2451518)*1000</f>
        <v>327964836000</v>
      </c>
      <c r="G1293" s="65">
        <f>2759490493*1000</f>
        <v>2759490493000</v>
      </c>
      <c r="H1293" s="65">
        <f>(7857293+162753545+2512087+16680349+135582353)*1000</f>
        <v>325385627000</v>
      </c>
      <c r="I1293" s="65">
        <f>2198831080*1000</f>
        <v>2198831080000</v>
      </c>
      <c r="J1293" s="65">
        <f>38407292*1000</f>
        <v>38407292000</v>
      </c>
      <c r="K1293" s="65">
        <f>560442200*1000</f>
        <v>560442200000</v>
      </c>
      <c r="L1293" s="65">
        <f>698624200*1000</f>
        <v>698624200000</v>
      </c>
      <c r="M1293" s="65">
        <f>-12525357*1000</f>
        <v>-12525357000</v>
      </c>
      <c r="N1293" s="65">
        <f>-31751121*1000</f>
        <v>-31751121000</v>
      </c>
      <c r="O1293" s="65">
        <v>0</v>
      </c>
      <c r="P1293" s="65">
        <v>0</v>
      </c>
      <c r="Q1293" s="65">
        <v>0</v>
      </c>
      <c r="R1293" s="65">
        <v>0</v>
      </c>
      <c r="S1293" s="65">
        <v>0</v>
      </c>
      <c r="T1293" s="65">
        <v>0</v>
      </c>
      <c r="U1293" s="65">
        <v>0</v>
      </c>
      <c r="V1293" s="65">
        <v>0</v>
      </c>
      <c r="W1293" s="65">
        <v>0</v>
      </c>
      <c r="X1293" s="65">
        <v>0</v>
      </c>
      <c r="Y1293" s="64"/>
    </row>
    <row r="1294" spans="1:25" s="54" customFormat="1" ht="15" customHeight="1" x14ac:dyDescent="0.3">
      <c r="A1294" s="63"/>
      <c r="B1294" s="64"/>
      <c r="C1294" s="92"/>
      <c r="D1294" s="64">
        <v>2019</v>
      </c>
      <c r="E1294" s="65">
        <f>52017891*1000</f>
        <v>52017891000</v>
      </c>
      <c r="F1294" s="65">
        <f>(52017891+6972325+183243235+242188+92043750+5303469)*1000</f>
        <v>339822858000</v>
      </c>
      <c r="G1294" s="65">
        <f>2404841887*1000</f>
        <v>2404841887000</v>
      </c>
      <c r="H1294" s="65">
        <f>(4251631+108071936+1050723+38200166+192894084)*1000</f>
        <v>344468540000</v>
      </c>
      <c r="I1294" s="65">
        <f>1900135867*1000</f>
        <v>1900135867000</v>
      </c>
      <c r="J1294" s="65">
        <f>15216970*1000</f>
        <v>15216970000</v>
      </c>
      <c r="K1294" s="65">
        <f>504479833*1000</f>
        <v>504479833000</v>
      </c>
      <c r="L1294" s="65">
        <f>459384630*1000</f>
        <v>459384630000</v>
      </c>
      <c r="M1294" s="65">
        <f>-68331084*1000</f>
        <v>-68331084000</v>
      </c>
      <c r="N1294" s="65">
        <f>-47424280*1000</f>
        <v>-47424280000</v>
      </c>
      <c r="O1294" s="66">
        <v>0.8</v>
      </c>
      <c r="P1294" s="67" t="s">
        <v>217</v>
      </c>
      <c r="Q1294" s="65">
        <v>2</v>
      </c>
      <c r="R1294" s="65">
        <v>4</v>
      </c>
      <c r="S1294" s="65">
        <v>3</v>
      </c>
      <c r="T1294" s="65">
        <f t="shared" ref="T1294:T1299" si="124">SUM(R1294:S1294)</f>
        <v>7</v>
      </c>
      <c r="U1294" s="68">
        <v>0</v>
      </c>
      <c r="V1294" s="65">
        <v>0</v>
      </c>
      <c r="W1294" s="65">
        <v>0</v>
      </c>
      <c r="X1294" s="65">
        <v>0</v>
      </c>
      <c r="Y1294" s="64"/>
    </row>
    <row r="1295" spans="1:25" s="54" customFormat="1" ht="15" customHeight="1" x14ac:dyDescent="0.3">
      <c r="A1295" s="63"/>
      <c r="B1295" s="64"/>
      <c r="C1295" s="92"/>
      <c r="D1295" s="64">
        <v>2020</v>
      </c>
      <c r="E1295" s="65">
        <f>80312948*1000</f>
        <v>80312948000</v>
      </c>
      <c r="F1295" s="65">
        <f>(80312948+6465590+186391011+127180+127696570+6709818)*1000</f>
        <v>407703117000</v>
      </c>
      <c r="G1295" s="65">
        <f>2701070570*1000</f>
        <v>2701070570000</v>
      </c>
      <c r="H1295" s="65">
        <f>(28427318+136970382+3805214+55757966+199568930)*1000</f>
        <v>424529810000</v>
      </c>
      <c r="I1295" s="65">
        <f>2276886920*1000</f>
        <v>2276886920000</v>
      </c>
      <c r="J1295" s="65">
        <f>-104946627*1000</f>
        <v>-104946627000</v>
      </c>
      <c r="K1295" s="65">
        <f>423203745*1000</f>
        <v>423203745000</v>
      </c>
      <c r="L1295" s="65">
        <f>508374330*1000</f>
        <v>508374330000</v>
      </c>
      <c r="M1295" s="65">
        <f>-49971868*1000</f>
        <v>-49971868000</v>
      </c>
      <c r="N1295" s="65">
        <f>89461062*1000</f>
        <v>89461062000</v>
      </c>
      <c r="O1295" s="66">
        <v>0.8</v>
      </c>
      <c r="P1295" s="67" t="s">
        <v>217</v>
      </c>
      <c r="Q1295" s="65">
        <v>2</v>
      </c>
      <c r="R1295" s="65">
        <v>4</v>
      </c>
      <c r="S1295" s="65">
        <v>5</v>
      </c>
      <c r="T1295" s="65">
        <f t="shared" si="124"/>
        <v>9</v>
      </c>
      <c r="U1295" s="68">
        <v>0</v>
      </c>
      <c r="V1295" s="65">
        <v>0</v>
      </c>
      <c r="W1295" s="65">
        <v>0</v>
      </c>
      <c r="X1295" s="65">
        <v>0</v>
      </c>
      <c r="Y1295" s="64"/>
    </row>
    <row r="1296" spans="1:25" s="54" customFormat="1" ht="15" customHeight="1" x14ac:dyDescent="0.3">
      <c r="A1296" s="63"/>
      <c r="B1296" s="64"/>
      <c r="C1296" s="92"/>
      <c r="D1296" s="64">
        <v>2021</v>
      </c>
      <c r="E1296" s="65">
        <f>64601905*1000</f>
        <v>64601905000</v>
      </c>
      <c r="F1296" s="65">
        <f>(64601905+5620867+197472876+463071+119058139+4549046)*1000</f>
        <v>391765904000</v>
      </c>
      <c r="G1296" s="65">
        <f>2509362304*1000</f>
        <v>2509362304000</v>
      </c>
      <c r="H1296" s="65">
        <f>(1089375+125070752+4822843+63861138+205980890)*1000</f>
        <v>400824998000</v>
      </c>
      <c r="I1296" s="65">
        <f>2101852339*1000</f>
        <v>2101852339000</v>
      </c>
      <c r="J1296" s="65">
        <f>-119854843*1000</f>
        <v>-119854843000</v>
      </c>
      <c r="K1296" s="65">
        <f>406410849*1000</f>
        <v>406410849000</v>
      </c>
      <c r="L1296" s="65">
        <f>488105334*1000</f>
        <v>488105334000</v>
      </c>
      <c r="M1296" s="65">
        <f>-48277662*1000</f>
        <v>-48277662000</v>
      </c>
      <c r="N1296" s="65">
        <f>-14247767*1000</f>
        <v>-14247767000</v>
      </c>
      <c r="O1296" s="66">
        <v>0.8</v>
      </c>
      <c r="P1296" s="67" t="s">
        <v>217</v>
      </c>
      <c r="Q1296" s="65">
        <v>2</v>
      </c>
      <c r="R1296" s="65">
        <v>4</v>
      </c>
      <c r="S1296" s="65">
        <v>5</v>
      </c>
      <c r="T1296" s="65">
        <f t="shared" si="124"/>
        <v>9</v>
      </c>
      <c r="U1296" s="68">
        <v>0</v>
      </c>
      <c r="V1296" s="65">
        <f>4+4</f>
        <v>8</v>
      </c>
      <c r="W1296" s="65">
        <f t="shared" ref="W1296:W1309" si="125">V1296</f>
        <v>8</v>
      </c>
      <c r="X1296" s="65">
        <f>5+4</f>
        <v>9</v>
      </c>
      <c r="Y1296" s="64"/>
    </row>
    <row r="1297" spans="1:25" s="54" customFormat="1" ht="15" customHeight="1" x14ac:dyDescent="0.3">
      <c r="A1297" s="63"/>
      <c r="B1297" s="64"/>
      <c r="C1297" s="92"/>
      <c r="D1297" s="64">
        <v>2022</v>
      </c>
      <c r="E1297" s="65">
        <f>70142995*1000</f>
        <v>70142995000</v>
      </c>
      <c r="F1297" s="65">
        <f>(70142995+10741700+158762907+3848126+27499269+3544271)*1000</f>
        <v>274539268000</v>
      </c>
      <c r="G1297" s="65">
        <f>2534662345*1000</f>
        <v>2534662345000</v>
      </c>
      <c r="H1297" s="65">
        <f>(490443+82622911+3758048+49021483+189163602)*1000</f>
        <v>325056487000</v>
      </c>
      <c r="I1297" s="65">
        <f>2143620815*1000</f>
        <v>2143620815000</v>
      </c>
      <c r="J1297" s="65">
        <f>-113735699*1000</f>
        <v>-113735699000</v>
      </c>
      <c r="K1297" s="65">
        <f>389742202*1000</f>
        <v>389742202000</v>
      </c>
      <c r="L1297" s="65">
        <f>578402728*1000</f>
        <v>578402728000</v>
      </c>
      <c r="M1297" s="65">
        <f>3395724*1000</f>
        <v>3395724000</v>
      </c>
      <c r="N1297" s="65">
        <f>6444473*1000</f>
        <v>6444473000</v>
      </c>
      <c r="O1297" s="66">
        <v>0.8</v>
      </c>
      <c r="P1297" s="67" t="s">
        <v>217</v>
      </c>
      <c r="Q1297" s="65">
        <v>2</v>
      </c>
      <c r="R1297" s="65">
        <v>4</v>
      </c>
      <c r="S1297" s="65">
        <v>3</v>
      </c>
      <c r="T1297" s="65">
        <f t="shared" si="124"/>
        <v>7</v>
      </c>
      <c r="U1297" s="68">
        <v>0</v>
      </c>
      <c r="V1297" s="65">
        <f>4+4</f>
        <v>8</v>
      </c>
      <c r="W1297" s="65">
        <f t="shared" si="125"/>
        <v>8</v>
      </c>
      <c r="X1297" s="65">
        <f>3+4</f>
        <v>7</v>
      </c>
      <c r="Y1297" s="64"/>
    </row>
    <row r="1298" spans="1:25" s="54" customFormat="1" ht="15" customHeight="1" x14ac:dyDescent="0.3">
      <c r="A1298" s="63"/>
      <c r="B1298" s="64"/>
      <c r="C1298" s="92"/>
      <c r="D1298" s="64">
        <v>2023</v>
      </c>
      <c r="E1298" s="65">
        <f>38162274*1000</f>
        <v>38162274000</v>
      </c>
      <c r="F1298" s="65">
        <f>(38162274+11064928+165834211+2378120+31289611+4254277)*1000</f>
        <v>252983421000</v>
      </c>
      <c r="G1298" s="65">
        <f>2567838757000</f>
        <v>2567838757000</v>
      </c>
      <c r="H1298" s="65">
        <f>(967090+79324310+4630272+84816198+124391106)*1000</f>
        <v>294128976000</v>
      </c>
      <c r="I1298" s="65">
        <f>2160778483*1000</f>
        <v>2160778483000</v>
      </c>
      <c r="J1298" s="65">
        <f>-103344625*1000</f>
        <v>-103344625000</v>
      </c>
      <c r="K1298" s="65">
        <f>404834625*1000</f>
        <v>404834625000</v>
      </c>
      <c r="L1298" s="65">
        <f>581285031*1000</f>
        <v>581285031000</v>
      </c>
      <c r="M1298" s="65">
        <f>2754230*1000</f>
        <v>2754230000</v>
      </c>
      <c r="N1298" s="65">
        <f>10599448*1000</f>
        <v>10599448000</v>
      </c>
      <c r="O1298" s="66">
        <v>0.8</v>
      </c>
      <c r="P1298" s="67" t="s">
        <v>217</v>
      </c>
      <c r="Q1298" s="65">
        <v>2</v>
      </c>
      <c r="R1298" s="65">
        <v>3</v>
      </c>
      <c r="S1298" s="65">
        <v>3</v>
      </c>
      <c r="T1298" s="65">
        <f t="shared" si="124"/>
        <v>6</v>
      </c>
      <c r="U1298" s="68">
        <v>0</v>
      </c>
      <c r="V1298" s="65">
        <f>3+2</f>
        <v>5</v>
      </c>
      <c r="W1298" s="65">
        <f t="shared" si="125"/>
        <v>5</v>
      </c>
      <c r="X1298" s="65">
        <f>3+4</f>
        <v>7</v>
      </c>
      <c r="Y1298" s="64"/>
    </row>
    <row r="1299" spans="1:25" s="54" customFormat="1" ht="15" customHeight="1" x14ac:dyDescent="0.3">
      <c r="A1299" s="63"/>
      <c r="B1299" s="64"/>
      <c r="C1299" s="92"/>
      <c r="D1299" s="64">
        <v>2024</v>
      </c>
      <c r="E1299" s="65">
        <f>36845829*1000</f>
        <v>36845829000</v>
      </c>
      <c r="F1299" s="65">
        <f>(36845829+221610085+11546111+46080386+11475710+2923705)*1000</f>
        <v>330481826000</v>
      </c>
      <c r="G1299" s="65">
        <f>2544622608*1000</f>
        <v>2544622608000</v>
      </c>
      <c r="H1299" s="65">
        <f>(205233+156483716+373954+112737260+133935649)*1000</f>
        <v>403735812000</v>
      </c>
      <c r="I1299" s="65">
        <f>2185762265*1000</f>
        <v>2185762265000</v>
      </c>
      <c r="J1299" s="65">
        <f>-142512114*1000</f>
        <v>-142512114000</v>
      </c>
      <c r="K1299" s="65">
        <f>258860343*1000</f>
        <v>258860343000</v>
      </c>
      <c r="L1299" s="65">
        <f>635031705*1000</f>
        <v>635031705000</v>
      </c>
      <c r="M1299" s="65">
        <f>9444992*1000</f>
        <v>9444992000</v>
      </c>
      <c r="N1299" s="65">
        <f>-39174280*1000</f>
        <v>-39174280000</v>
      </c>
      <c r="O1299" s="66">
        <v>0.8</v>
      </c>
      <c r="P1299" s="67" t="s">
        <v>217</v>
      </c>
      <c r="Q1299" s="65">
        <v>2</v>
      </c>
      <c r="R1299" s="65">
        <v>4</v>
      </c>
      <c r="S1299" s="65">
        <v>4</v>
      </c>
      <c r="T1299" s="65">
        <f t="shared" si="124"/>
        <v>8</v>
      </c>
      <c r="U1299" s="68">
        <v>0</v>
      </c>
      <c r="V1299" s="65">
        <f>4+6</f>
        <v>10</v>
      </c>
      <c r="W1299" s="65">
        <f t="shared" si="125"/>
        <v>10</v>
      </c>
      <c r="X1299" s="65">
        <f>4+4</f>
        <v>8</v>
      </c>
      <c r="Y1299" s="64"/>
    </row>
    <row r="1300" spans="1:25" s="54" customFormat="1" ht="15" customHeight="1" x14ac:dyDescent="0.3">
      <c r="A1300" s="63"/>
      <c r="B1300" s="64">
        <v>119</v>
      </c>
      <c r="C1300" s="55" t="s">
        <v>72</v>
      </c>
      <c r="D1300" s="64">
        <v>2014</v>
      </c>
      <c r="E1300" s="65">
        <v>0</v>
      </c>
      <c r="F1300" s="65">
        <v>0</v>
      </c>
      <c r="G1300" s="65">
        <v>0</v>
      </c>
      <c r="H1300" s="65">
        <v>0</v>
      </c>
      <c r="I1300" s="65">
        <v>0</v>
      </c>
      <c r="J1300" s="65">
        <v>0</v>
      </c>
      <c r="K1300" s="65">
        <v>0</v>
      </c>
      <c r="L1300" s="65">
        <v>0</v>
      </c>
      <c r="M1300" s="65">
        <v>0</v>
      </c>
      <c r="N1300" s="65">
        <v>0</v>
      </c>
      <c r="O1300" s="65">
        <v>0</v>
      </c>
      <c r="P1300" s="65">
        <v>0</v>
      </c>
      <c r="Q1300" s="65">
        <v>0</v>
      </c>
      <c r="R1300" s="65">
        <v>0</v>
      </c>
      <c r="S1300" s="65">
        <v>0</v>
      </c>
      <c r="T1300" s="65">
        <v>0</v>
      </c>
      <c r="U1300" s="65">
        <v>0</v>
      </c>
      <c r="V1300" s="65">
        <v>0</v>
      </c>
      <c r="W1300" s="65">
        <v>0</v>
      </c>
      <c r="X1300" s="65">
        <v>0</v>
      </c>
      <c r="Y1300" s="64"/>
    </row>
    <row r="1301" spans="1:25" s="54" customFormat="1" ht="15" customHeight="1" x14ac:dyDescent="0.3">
      <c r="A1301" s="63"/>
      <c r="B1301" s="64"/>
      <c r="C1301" s="55"/>
      <c r="D1301" s="64">
        <v>2015</v>
      </c>
      <c r="E1301" s="65">
        <f>23620*1000000</f>
        <v>23620000000</v>
      </c>
      <c r="F1301" s="65">
        <f>(141217-9336-8930)*1000000</f>
        <v>122951000000</v>
      </c>
      <c r="G1301" s="65">
        <f>277472*1000000</f>
        <v>277472000000</v>
      </c>
      <c r="H1301" s="65">
        <f>(27624-3316-315-6112)*1000000</f>
        <v>17881000000</v>
      </c>
      <c r="I1301" s="65">
        <f>171908*1000000</f>
        <v>171908000000</v>
      </c>
      <c r="J1301" s="65">
        <f>27203*1000000</f>
        <v>27203000000</v>
      </c>
      <c r="K1301" s="65">
        <f>105564*1000000</f>
        <v>105564000000</v>
      </c>
      <c r="L1301" s="65">
        <f>100029*1000000</f>
        <v>100029000000</v>
      </c>
      <c r="M1301" s="65">
        <f>6818*1000000</f>
        <v>6818000000</v>
      </c>
      <c r="N1301" s="65">
        <f>-9171*1000000</f>
        <v>-9171000000</v>
      </c>
      <c r="O1301" s="65">
        <v>0</v>
      </c>
      <c r="P1301" s="65">
        <v>0</v>
      </c>
      <c r="Q1301" s="65">
        <v>0</v>
      </c>
      <c r="R1301" s="65">
        <v>0</v>
      </c>
      <c r="S1301" s="65">
        <v>0</v>
      </c>
      <c r="T1301" s="65">
        <v>0</v>
      </c>
      <c r="U1301" s="65">
        <v>0</v>
      </c>
      <c r="V1301" s="65">
        <v>0</v>
      </c>
      <c r="W1301" s="65">
        <v>0</v>
      </c>
      <c r="X1301" s="65">
        <v>0</v>
      </c>
      <c r="Y1301" s="64"/>
    </row>
    <row r="1302" spans="1:25" s="54" customFormat="1" ht="15" customHeight="1" x14ac:dyDescent="0.3">
      <c r="A1302" s="63"/>
      <c r="B1302" s="64"/>
      <c r="C1302" s="55"/>
      <c r="D1302" s="64">
        <v>2016</v>
      </c>
      <c r="E1302" s="65">
        <f>17375*1000000</f>
        <v>17375000000</v>
      </c>
      <c r="F1302" s="65">
        <f>(146712-10170-7868)*1000000</f>
        <v>128674000000</v>
      </c>
      <c r="G1302" s="65">
        <f>300402*1000000</f>
        <v>300402000000</v>
      </c>
      <c r="H1302" s="65">
        <f>(47023-3316-371-6841)*1000000</f>
        <v>36495000000</v>
      </c>
      <c r="I1302" s="65">
        <f>191354*1000000</f>
        <v>191354000000</v>
      </c>
      <c r="J1302" s="65">
        <f>29619*1000000</f>
        <v>29619000000</v>
      </c>
      <c r="K1302" s="65">
        <f>109048*1000000</f>
        <v>109048000000</v>
      </c>
      <c r="L1302" s="65">
        <f>86385*1000000</f>
        <v>86385000000</v>
      </c>
      <c r="M1302" s="65">
        <f>4004*1000000</f>
        <v>4004000000</v>
      </c>
      <c r="N1302" s="65">
        <f>3484*1000000</f>
        <v>3484000000</v>
      </c>
      <c r="O1302" s="66">
        <v>0.98799999999999999</v>
      </c>
      <c r="P1302" s="67" t="s">
        <v>293</v>
      </c>
      <c r="Q1302" s="65">
        <v>1</v>
      </c>
      <c r="R1302" s="65">
        <v>3</v>
      </c>
      <c r="S1302" s="65">
        <v>4</v>
      </c>
      <c r="T1302" s="65">
        <f>SUM(R1302:S1302)</f>
        <v>7</v>
      </c>
      <c r="U1302" s="68">
        <v>0</v>
      </c>
      <c r="V1302" s="65">
        <f>3+(2*2)</f>
        <v>7</v>
      </c>
      <c r="W1302" s="65">
        <f t="shared" si="125"/>
        <v>7</v>
      </c>
      <c r="X1302" s="65">
        <f>4+(2*2)</f>
        <v>8</v>
      </c>
      <c r="Y1302" s="64"/>
    </row>
    <row r="1303" spans="1:25" s="54" customFormat="1" ht="15" customHeight="1" x14ac:dyDescent="0.3">
      <c r="A1303" s="63"/>
      <c r="B1303" s="64"/>
      <c r="C1303" s="55"/>
      <c r="D1303" s="64">
        <v>2017</v>
      </c>
      <c r="E1303" s="65">
        <f>7460*1000000</f>
        <v>7460000000</v>
      </c>
      <c r="F1303" s="65">
        <f>(148383-8955-7153)*1000000</f>
        <v>132275000000</v>
      </c>
      <c r="G1303" s="65">
        <f>291577*1000000</f>
        <v>291577000000</v>
      </c>
      <c r="H1303" s="65">
        <f>(44752-3316-446-7827)*1000000</f>
        <v>33163000000</v>
      </c>
      <c r="I1303" s="65">
        <f>177564*1000000</f>
        <v>177564000000</v>
      </c>
      <c r="J1303" s="65">
        <f>33253*1000000</f>
        <v>33253000000</v>
      </c>
      <c r="K1303" s="65">
        <f>114013*1000000</f>
        <v>114013000000</v>
      </c>
      <c r="L1303" s="65">
        <f>68115*1000000</f>
        <v>68115000000</v>
      </c>
      <c r="M1303" s="65">
        <f>5704*1000000</f>
        <v>5704000000</v>
      </c>
      <c r="N1303" s="65">
        <f>4984*1000000</f>
        <v>4984000000</v>
      </c>
      <c r="O1303" s="66">
        <v>0.98799999999999999</v>
      </c>
      <c r="P1303" s="67" t="s">
        <v>293</v>
      </c>
      <c r="Q1303" s="65">
        <v>1</v>
      </c>
      <c r="R1303" s="65">
        <v>1</v>
      </c>
      <c r="S1303" s="65">
        <v>4</v>
      </c>
      <c r="T1303" s="65">
        <f t="shared" ref="T1303:T1309" si="126">SUM(R1303:S1303)</f>
        <v>5</v>
      </c>
      <c r="U1303" s="68">
        <v>0</v>
      </c>
      <c r="V1303" s="65">
        <f>2</f>
        <v>2</v>
      </c>
      <c r="W1303" s="65">
        <f t="shared" si="125"/>
        <v>2</v>
      </c>
      <c r="X1303" s="65">
        <f>4+(2)</f>
        <v>6</v>
      </c>
      <c r="Y1303" s="64"/>
    </row>
    <row r="1304" spans="1:25" s="54" customFormat="1" ht="15" customHeight="1" x14ac:dyDescent="0.3">
      <c r="A1304" s="63"/>
      <c r="B1304" s="64"/>
      <c r="C1304" s="55"/>
      <c r="D1304" s="64">
        <v>2018</v>
      </c>
      <c r="E1304" s="65">
        <f>14825*1000000</f>
        <v>14825000000</v>
      </c>
      <c r="F1304" s="65">
        <f>(198740-16171-6901)*1000000</f>
        <v>175668000000</v>
      </c>
      <c r="G1304" s="65">
        <f>353211*1000000</f>
        <v>353211000000</v>
      </c>
      <c r="H1304" s="65">
        <f>(57342-3316-5009-8305)*1000000</f>
        <v>40712000000</v>
      </c>
      <c r="I1304" s="65">
        <f>237885*1000000</f>
        <v>237885000000</v>
      </c>
      <c r="J1304" s="65">
        <f>39766*1000000</f>
        <v>39766000000</v>
      </c>
      <c r="K1304" s="65">
        <f>115326*1000000</f>
        <v>115326000000</v>
      </c>
      <c r="L1304" s="65">
        <f>89089*1000000</f>
        <v>89089000000</v>
      </c>
      <c r="M1304" s="65">
        <f>9093*1000000</f>
        <v>9093000000</v>
      </c>
      <c r="N1304" s="65">
        <f>5994*1000000</f>
        <v>5994000000</v>
      </c>
      <c r="O1304" s="66">
        <v>0.98799999999999999</v>
      </c>
      <c r="P1304" s="67" t="s">
        <v>293</v>
      </c>
      <c r="Q1304" s="65">
        <v>2</v>
      </c>
      <c r="R1304" s="65">
        <v>3</v>
      </c>
      <c r="S1304" s="65">
        <v>4</v>
      </c>
      <c r="T1304" s="65">
        <f t="shared" si="126"/>
        <v>7</v>
      </c>
      <c r="U1304" s="68">
        <v>0</v>
      </c>
      <c r="V1304" s="65">
        <f>3+2</f>
        <v>5</v>
      </c>
      <c r="W1304" s="65">
        <f t="shared" si="125"/>
        <v>5</v>
      </c>
      <c r="X1304" s="65">
        <f>4+4</f>
        <v>8</v>
      </c>
      <c r="Y1304" s="64"/>
    </row>
    <row r="1305" spans="1:25" s="54" customFormat="1" ht="15" customHeight="1" x14ac:dyDescent="0.3">
      <c r="A1305" s="63"/>
      <c r="B1305" s="64"/>
      <c r="C1305" s="55"/>
      <c r="D1305" s="64">
        <v>2019</v>
      </c>
      <c r="E1305" s="65">
        <f>21203*1000000</f>
        <v>21203000000</v>
      </c>
      <c r="F1305" s="65">
        <f>(254758-9688-7190)*1000000</f>
        <v>237880000000</v>
      </c>
      <c r="G1305" s="65">
        <f>399341*1000000</f>
        <v>399341000000</v>
      </c>
      <c r="H1305" s="65">
        <f>(51610-3316-588-9138)*1000000</f>
        <v>38568000000</v>
      </c>
      <c r="I1305" s="65">
        <f>272064*1000000</f>
        <v>272064000000</v>
      </c>
      <c r="J1305" s="65">
        <f>51719*1000000</f>
        <v>51719000000</v>
      </c>
      <c r="K1305" s="65">
        <f>127277*1000000</f>
        <v>127277000000</v>
      </c>
      <c r="L1305" s="65">
        <f>69517*1000000</f>
        <v>69517000000</v>
      </c>
      <c r="M1305" s="65">
        <f>13121*1000000</f>
        <v>13121000000</v>
      </c>
      <c r="N1305" s="65">
        <f>11953*1000000</f>
        <v>11953000000</v>
      </c>
      <c r="O1305" s="66">
        <v>0.98799999999999999</v>
      </c>
      <c r="P1305" s="67" t="s">
        <v>293</v>
      </c>
      <c r="Q1305" s="65">
        <v>2</v>
      </c>
      <c r="R1305" s="65">
        <v>3</v>
      </c>
      <c r="S1305" s="65">
        <v>5</v>
      </c>
      <c r="T1305" s="65">
        <f t="shared" si="126"/>
        <v>8</v>
      </c>
      <c r="U1305" s="68">
        <v>0</v>
      </c>
      <c r="V1305" s="65">
        <f>3+2</f>
        <v>5</v>
      </c>
      <c r="W1305" s="65">
        <f t="shared" si="125"/>
        <v>5</v>
      </c>
      <c r="X1305" s="65">
        <f>5+4</f>
        <v>9</v>
      </c>
      <c r="Y1305" s="64"/>
    </row>
    <row r="1306" spans="1:25" s="54" customFormat="1" ht="15" customHeight="1" x14ac:dyDescent="0.3">
      <c r="A1306" s="63"/>
      <c r="B1306" s="64"/>
      <c r="C1306" s="55"/>
      <c r="D1306" s="64">
        <v>2020</v>
      </c>
      <c r="E1306" s="65">
        <f>42626*1000000</f>
        <v>42626000000</v>
      </c>
      <c r="F1306" s="65">
        <f>(288048-12637-13150)*1000000</f>
        <v>262261000000</v>
      </c>
      <c r="G1306" s="65">
        <f>439686*1000000</f>
        <v>439686000000</v>
      </c>
      <c r="H1306" s="65">
        <f>(70121-623-10835)*1000000</f>
        <v>58663000000</v>
      </c>
      <c r="I1306" s="65">
        <f>294028*1000000</f>
        <v>294028000000</v>
      </c>
      <c r="J1306" s="65">
        <f>20834*1000000</f>
        <v>20834000000</v>
      </c>
      <c r="K1306" s="65">
        <f>145658*1000000</f>
        <v>145658000000</v>
      </c>
      <c r="L1306" s="65">
        <f>80836*1000000</f>
        <v>80836000000</v>
      </c>
      <c r="M1306" s="65">
        <f>12928*1000000</f>
        <v>12928000000</v>
      </c>
      <c r="N1306" s="65">
        <f>10652*1000000</f>
        <v>10652000000</v>
      </c>
      <c r="O1306" s="66">
        <v>0.98799999999999999</v>
      </c>
      <c r="P1306" s="67" t="s">
        <v>293</v>
      </c>
      <c r="Q1306" s="65">
        <v>2</v>
      </c>
      <c r="R1306" s="65">
        <v>3</v>
      </c>
      <c r="S1306" s="65">
        <v>4</v>
      </c>
      <c r="T1306" s="65">
        <f t="shared" si="126"/>
        <v>7</v>
      </c>
      <c r="U1306" s="68">
        <v>0</v>
      </c>
      <c r="V1306" s="65">
        <f>3+2</f>
        <v>5</v>
      </c>
      <c r="W1306" s="65">
        <f t="shared" si="125"/>
        <v>5</v>
      </c>
      <c r="X1306" s="65">
        <f>4+4</f>
        <v>8</v>
      </c>
      <c r="Y1306" s="64"/>
    </row>
    <row r="1307" spans="1:25" s="54" customFormat="1" ht="15" customHeight="1" x14ac:dyDescent="0.3">
      <c r="A1307" s="63"/>
      <c r="B1307" s="64"/>
      <c r="C1307" s="55"/>
      <c r="D1307" s="64">
        <v>2021</v>
      </c>
      <c r="E1307" s="65">
        <f>21586*1000000</f>
        <v>21586000000</v>
      </c>
      <c r="F1307" s="65">
        <f>(330398-22225-11312)*1000000</f>
        <v>296861000000</v>
      </c>
      <c r="G1307" s="65">
        <f>470433*1000000</f>
        <v>470433000000</v>
      </c>
      <c r="H1307" s="65">
        <f>(33945-633-7746)*1000000</f>
        <v>25566000000</v>
      </c>
      <c r="I1307" s="65">
        <f>318419*1000000</f>
        <v>318419000000</v>
      </c>
      <c r="J1307" s="65">
        <f>23366*1000000</f>
        <v>23366000000</v>
      </c>
      <c r="K1307" s="65">
        <f>152014*1000000</f>
        <v>152014000000</v>
      </c>
      <c r="L1307" s="65">
        <f>56667*1000000</f>
        <v>56667000000</v>
      </c>
      <c r="M1307" s="65">
        <f>6023*1000000</f>
        <v>6023000000</v>
      </c>
      <c r="N1307" s="65">
        <f>6355*1000000</f>
        <v>6355000000</v>
      </c>
      <c r="O1307" s="66">
        <v>0.98770000000000002</v>
      </c>
      <c r="P1307" s="67" t="s">
        <v>293</v>
      </c>
      <c r="Q1307" s="65">
        <v>2</v>
      </c>
      <c r="R1307" s="65">
        <v>3</v>
      </c>
      <c r="S1307" s="65">
        <v>4</v>
      </c>
      <c r="T1307" s="65">
        <f t="shared" si="126"/>
        <v>7</v>
      </c>
      <c r="U1307" s="68">
        <v>0</v>
      </c>
      <c r="V1307" s="65">
        <f>3+2</f>
        <v>5</v>
      </c>
      <c r="W1307" s="65">
        <f t="shared" si="125"/>
        <v>5</v>
      </c>
      <c r="X1307" s="65">
        <f>4+4</f>
        <v>8</v>
      </c>
      <c r="Y1307" s="64"/>
    </row>
    <row r="1308" spans="1:25" s="54" customFormat="1" ht="15" customHeight="1" x14ac:dyDescent="0.3">
      <c r="A1308" s="63"/>
      <c r="B1308" s="64"/>
      <c r="C1308" s="55"/>
      <c r="D1308" s="64">
        <v>2022</v>
      </c>
      <c r="E1308" s="65">
        <f>26254*1000000</f>
        <v>26254000000</v>
      </c>
      <c r="F1308" s="65">
        <f>(315319-11363-161337)*1000000</f>
        <v>142619000000</v>
      </c>
      <c r="G1308" s="65">
        <f>455182*1000000</f>
        <v>455182000000</v>
      </c>
      <c r="H1308" s="65">
        <f>(45947-5000-669-5913)*1000000</f>
        <v>34365000000</v>
      </c>
      <c r="I1308" s="65">
        <f>303058*1000000</f>
        <v>303058000000</v>
      </c>
      <c r="J1308" s="65">
        <f>28956*1000000</f>
        <v>28956000000</v>
      </c>
      <c r="K1308" s="65">
        <f>152124*1000000</f>
        <v>152124000000</v>
      </c>
      <c r="L1308" s="65">
        <f>65124*1000000</f>
        <v>65124000000</v>
      </c>
      <c r="M1308" s="65">
        <f>6431*1000000</f>
        <v>6431000000</v>
      </c>
      <c r="N1308" s="65">
        <f>111*1000000</f>
        <v>111000000</v>
      </c>
      <c r="O1308" s="66">
        <v>0.98770000000000002</v>
      </c>
      <c r="P1308" s="67" t="s">
        <v>293</v>
      </c>
      <c r="Q1308" s="65">
        <v>1</v>
      </c>
      <c r="R1308" s="65">
        <v>3</v>
      </c>
      <c r="S1308" s="65">
        <v>3</v>
      </c>
      <c r="T1308" s="65">
        <f t="shared" si="126"/>
        <v>6</v>
      </c>
      <c r="U1308" s="68">
        <v>0</v>
      </c>
      <c r="V1308" s="65">
        <f>3</f>
        <v>3</v>
      </c>
      <c r="W1308" s="65">
        <f t="shared" si="125"/>
        <v>3</v>
      </c>
      <c r="X1308" s="65">
        <f>3+2</f>
        <v>5</v>
      </c>
      <c r="Y1308" s="64"/>
    </row>
    <row r="1309" spans="1:25" s="54" customFormat="1" ht="15" customHeight="1" x14ac:dyDescent="0.3">
      <c r="A1309" s="63"/>
      <c r="B1309" s="64"/>
      <c r="C1309" s="55"/>
      <c r="D1309" s="64">
        <v>2023</v>
      </c>
      <c r="E1309" s="65">
        <f>29971*1000000</f>
        <v>29971000000</v>
      </c>
      <c r="F1309" s="65">
        <f>(374673-10553-26531)*1000000</f>
        <v>337589000000</v>
      </c>
      <c r="G1309" s="65">
        <f>526635*1000000</f>
        <v>526635000000</v>
      </c>
      <c r="H1309" s="65">
        <f>(97932-19245-646-6328)*1000000</f>
        <v>71713000000</v>
      </c>
      <c r="I1309" s="65">
        <f>379238*1000000</f>
        <v>379238000000</v>
      </c>
      <c r="J1309" s="65">
        <f>32127*1000000</f>
        <v>32127000000</v>
      </c>
      <c r="K1309" s="65">
        <f>147397*1000000</f>
        <v>147397000000</v>
      </c>
      <c r="L1309" s="65">
        <f>68085*1000000</f>
        <v>68085000000</v>
      </c>
      <c r="M1309" s="65">
        <f>4555*1000000</f>
        <v>4555000000</v>
      </c>
      <c r="N1309" s="65">
        <f>2643*1000000</f>
        <v>2643000000</v>
      </c>
      <c r="O1309" s="66">
        <v>0.98770000000000002</v>
      </c>
      <c r="P1309" s="67" t="s">
        <v>293</v>
      </c>
      <c r="Q1309" s="65">
        <v>2</v>
      </c>
      <c r="R1309" s="65">
        <v>4</v>
      </c>
      <c r="S1309" s="65">
        <v>3</v>
      </c>
      <c r="T1309" s="65">
        <f t="shared" si="126"/>
        <v>7</v>
      </c>
      <c r="U1309" s="68">
        <v>0</v>
      </c>
      <c r="V1309" s="65">
        <f>4+2</f>
        <v>6</v>
      </c>
      <c r="W1309" s="65">
        <f t="shared" si="125"/>
        <v>6</v>
      </c>
      <c r="X1309" s="65">
        <f>3+2</f>
        <v>5</v>
      </c>
      <c r="Y1309" s="64"/>
    </row>
    <row r="1310" spans="1:25" s="54" customFormat="1" ht="15" customHeight="1" x14ac:dyDescent="0.3">
      <c r="A1310" s="63"/>
      <c r="B1310" s="64"/>
      <c r="C1310" s="55"/>
      <c r="D1310" s="64">
        <v>2024</v>
      </c>
      <c r="E1310" s="65">
        <v>0</v>
      </c>
      <c r="F1310" s="65">
        <v>0</v>
      </c>
      <c r="G1310" s="65">
        <v>0</v>
      </c>
      <c r="H1310" s="65">
        <v>0</v>
      </c>
      <c r="I1310" s="65">
        <v>0</v>
      </c>
      <c r="J1310" s="65">
        <v>0</v>
      </c>
      <c r="K1310" s="65">
        <v>0</v>
      </c>
      <c r="L1310" s="65">
        <v>0</v>
      </c>
      <c r="M1310" s="65">
        <v>0</v>
      </c>
      <c r="N1310" s="65">
        <v>0</v>
      </c>
      <c r="O1310" s="65">
        <v>0</v>
      </c>
      <c r="P1310" s="65">
        <v>0</v>
      </c>
      <c r="Q1310" s="65">
        <v>0</v>
      </c>
      <c r="R1310" s="65">
        <v>0</v>
      </c>
      <c r="S1310" s="65">
        <v>0</v>
      </c>
      <c r="T1310" s="65">
        <v>0</v>
      </c>
      <c r="U1310" s="65">
        <v>0</v>
      </c>
      <c r="V1310" s="65">
        <v>0</v>
      </c>
      <c r="W1310" s="65">
        <v>0</v>
      </c>
      <c r="X1310" s="65">
        <v>0</v>
      </c>
      <c r="Y1310" s="64"/>
    </row>
    <row r="1311" spans="1:25" s="54" customFormat="1" ht="15" customHeight="1" x14ac:dyDescent="0.3">
      <c r="A1311" s="63"/>
      <c r="B1311" s="64">
        <v>120</v>
      </c>
      <c r="C1311" s="55" t="s">
        <v>108</v>
      </c>
      <c r="D1311" s="64">
        <v>2014</v>
      </c>
      <c r="E1311" s="65">
        <v>0</v>
      </c>
      <c r="F1311" s="65">
        <v>0</v>
      </c>
      <c r="G1311" s="65">
        <v>0</v>
      </c>
      <c r="H1311" s="65">
        <v>0</v>
      </c>
      <c r="I1311" s="65">
        <v>0</v>
      </c>
      <c r="J1311" s="65">
        <v>0</v>
      </c>
      <c r="K1311" s="65">
        <v>0</v>
      </c>
      <c r="L1311" s="65">
        <f>204790*1000000</f>
        <v>204790000000</v>
      </c>
      <c r="M1311" s="65">
        <v>0</v>
      </c>
      <c r="N1311" s="65">
        <v>0</v>
      </c>
      <c r="O1311" s="65">
        <v>0</v>
      </c>
      <c r="P1311" s="65">
        <v>0</v>
      </c>
      <c r="Q1311" s="65">
        <v>0</v>
      </c>
      <c r="R1311" s="65">
        <v>0</v>
      </c>
      <c r="S1311" s="65">
        <v>0</v>
      </c>
      <c r="T1311" s="65">
        <v>0</v>
      </c>
      <c r="U1311" s="65">
        <v>0</v>
      </c>
      <c r="V1311" s="65">
        <v>0</v>
      </c>
      <c r="W1311" s="65">
        <v>0</v>
      </c>
      <c r="X1311" s="65">
        <v>0</v>
      </c>
      <c r="Y1311" s="64"/>
    </row>
    <row r="1312" spans="1:25" s="54" customFormat="1" ht="15" customHeight="1" x14ac:dyDescent="0.3">
      <c r="A1312" s="63"/>
      <c r="B1312" s="64"/>
      <c r="C1312" s="55"/>
      <c r="D1312" s="64">
        <v>2015</v>
      </c>
      <c r="E1312" s="65">
        <f>255096*1000000</f>
        <v>255096000000</v>
      </c>
      <c r="F1312" s="65">
        <f>(255096+241351+43706+713+670376)*1000000</f>
        <v>1211242000000</v>
      </c>
      <c r="G1312" s="65">
        <f>1733310*1000000</f>
        <v>1733310000000</v>
      </c>
      <c r="H1312" s="65">
        <f>(259058-30114)*1000000</f>
        <v>228944000000</v>
      </c>
      <c r="I1312" s="65">
        <f>1235721*1000000</f>
        <v>1235721000000</v>
      </c>
      <c r="J1312" s="65">
        <f>194512*1000000</f>
        <v>194512000000</v>
      </c>
      <c r="K1312" s="65">
        <f>497589*1000000</f>
        <v>497589000000</v>
      </c>
      <c r="L1312" s="65">
        <f>291501*1000000</f>
        <v>291501000000</v>
      </c>
      <c r="M1312" s="65">
        <f>103930*1000000</f>
        <v>103930000000</v>
      </c>
      <c r="N1312" s="65">
        <f>73390*1000000</f>
        <v>73390000000</v>
      </c>
      <c r="O1312" s="66">
        <v>0.9</v>
      </c>
      <c r="P1312" s="67" t="s">
        <v>318</v>
      </c>
      <c r="Q1312" s="65">
        <v>2</v>
      </c>
      <c r="R1312" s="65">
        <v>4</v>
      </c>
      <c r="S1312" s="65">
        <v>4</v>
      </c>
      <c r="T1312" s="65">
        <f>SUM(R1312:S1312)</f>
        <v>8</v>
      </c>
      <c r="U1312" s="68">
        <v>0</v>
      </c>
      <c r="V1312" s="65">
        <v>0</v>
      </c>
      <c r="W1312" s="65">
        <v>0</v>
      </c>
      <c r="X1312" s="65">
        <v>0</v>
      </c>
      <c r="Y1312" s="64"/>
    </row>
    <row r="1313" spans="1:25" s="54" customFormat="1" ht="15" customHeight="1" x14ac:dyDescent="0.3">
      <c r="A1313" s="63"/>
      <c r="B1313" s="64"/>
      <c r="C1313" s="55"/>
      <c r="D1313" s="64">
        <v>2016</v>
      </c>
      <c r="E1313" s="65">
        <f>41975*1000000</f>
        <v>41975000000</v>
      </c>
      <c r="F1313" s="65">
        <f>(41975+264383+966103+2583)*1000000</f>
        <v>1275044000000</v>
      </c>
      <c r="G1313" s="65">
        <f>2072228*1000000</f>
        <v>2072228000000</v>
      </c>
      <c r="H1313" s="65">
        <f>277021*1000000</f>
        <v>277021000000</v>
      </c>
      <c r="I1313" s="65">
        <f>1506670*1000000</f>
        <v>1506670000000</v>
      </c>
      <c r="J1313" s="65">
        <f>264354*1000000</f>
        <v>264354000000</v>
      </c>
      <c r="K1313" s="65">
        <f>565558*1000000</f>
        <v>565558000000</v>
      </c>
      <c r="L1313" s="65">
        <f>373904*1000000</f>
        <v>373904000000</v>
      </c>
      <c r="M1313" s="65">
        <f>136765*1000000</f>
        <v>136765000000</v>
      </c>
      <c r="N1313" s="65">
        <f>105532*1000000</f>
        <v>105532000000</v>
      </c>
      <c r="O1313" s="66">
        <v>0.9</v>
      </c>
      <c r="P1313" s="67" t="s">
        <v>318</v>
      </c>
      <c r="Q1313" s="65">
        <v>2</v>
      </c>
      <c r="R1313" s="65">
        <v>4</v>
      </c>
      <c r="S1313" s="65">
        <v>5</v>
      </c>
      <c r="T1313" s="65">
        <f t="shared" ref="T1313:T1321" si="127">SUM(R1313:S1313)</f>
        <v>9</v>
      </c>
      <c r="U1313" s="68">
        <v>0</v>
      </c>
      <c r="V1313" s="65">
        <v>0</v>
      </c>
      <c r="W1313" s="65">
        <v>0</v>
      </c>
      <c r="X1313" s="65">
        <v>0</v>
      </c>
      <c r="Y1313" s="64"/>
    </row>
    <row r="1314" spans="1:25" s="54" customFormat="1" ht="15" customHeight="1" x14ac:dyDescent="0.3">
      <c r="A1314" s="63"/>
      <c r="B1314" s="64"/>
      <c r="C1314" s="55"/>
      <c r="D1314" s="64">
        <v>2017</v>
      </c>
      <c r="E1314" s="65">
        <f>81581*1000000</f>
        <v>81581000000</v>
      </c>
      <c r="F1314" s="65">
        <f>(81581+657677+1+507694+5683+43912+2760)*1000000</f>
        <v>1299308000000</v>
      </c>
      <c r="G1314" s="65">
        <f>2177932*1000000</f>
        <v>2177932000000</v>
      </c>
      <c r="H1314" s="65">
        <f>683468*1000000</f>
        <v>683468000000</v>
      </c>
      <c r="I1314" s="65">
        <f>1545062*1000000</f>
        <v>1545062000000</v>
      </c>
      <c r="J1314" s="65">
        <f>335311*1000000</f>
        <v>335311000000</v>
      </c>
      <c r="K1314" s="65">
        <f>632869*1000000</f>
        <v>632869000000</v>
      </c>
      <c r="L1314" s="65">
        <f>431904*1000000</f>
        <v>431904000000</v>
      </c>
      <c r="M1314" s="65">
        <f>161519*1000000</f>
        <v>161519000000</v>
      </c>
      <c r="N1314" s="65">
        <f>123185*1000000</f>
        <v>123185000000</v>
      </c>
      <c r="O1314" s="66">
        <v>0.9</v>
      </c>
      <c r="P1314" s="67" t="s">
        <v>318</v>
      </c>
      <c r="Q1314" s="65">
        <v>2</v>
      </c>
      <c r="R1314" s="65">
        <v>3</v>
      </c>
      <c r="S1314" s="65">
        <v>5</v>
      </c>
      <c r="T1314" s="65">
        <f t="shared" si="127"/>
        <v>8</v>
      </c>
      <c r="U1314" s="68">
        <v>0</v>
      </c>
      <c r="V1314" s="65">
        <v>0</v>
      </c>
      <c r="W1314" s="65">
        <v>0</v>
      </c>
      <c r="X1314" s="65">
        <v>0</v>
      </c>
      <c r="Y1314" s="64"/>
    </row>
    <row r="1315" spans="1:25" s="54" customFormat="1" ht="15" customHeight="1" x14ac:dyDescent="0.3">
      <c r="A1315" s="63"/>
      <c r="B1315" s="64"/>
      <c r="C1315" s="55"/>
      <c r="D1315" s="64">
        <v>2018</v>
      </c>
      <c r="E1315" s="65">
        <f>84149*1000000</f>
        <v>84149000000</v>
      </c>
      <c r="F1315" s="65">
        <f>(84149+534147+154+614777+6650+53654+2527)*1000000</f>
        <v>1296058000000</v>
      </c>
      <c r="G1315" s="65">
        <f>2345549*1000000</f>
        <v>2345549000000</v>
      </c>
      <c r="H1315" s="65">
        <f>553537*1000000</f>
        <v>553537000000</v>
      </c>
      <c r="I1315" s="65">
        <f>1633840*1000000</f>
        <v>1633840000000</v>
      </c>
      <c r="J1315" s="65">
        <f>407826*1000000</f>
        <v>407826000000</v>
      </c>
      <c r="K1315" s="65">
        <f>711709*1000000</f>
        <v>711709000000</v>
      </c>
      <c r="L1315" s="65">
        <f>499442*1000000</f>
        <v>499442000000</v>
      </c>
      <c r="M1315" s="65">
        <f>193220*1000000</f>
        <v>193220000000</v>
      </c>
      <c r="N1315" s="65">
        <f>139985*1000000</f>
        <v>139985000000</v>
      </c>
      <c r="O1315" s="66">
        <v>0.9</v>
      </c>
      <c r="P1315" s="67" t="s">
        <v>318</v>
      </c>
      <c r="Q1315" s="65">
        <v>2</v>
      </c>
      <c r="R1315" s="65">
        <v>3</v>
      </c>
      <c r="S1315" s="65">
        <v>5</v>
      </c>
      <c r="T1315" s="65">
        <f t="shared" si="127"/>
        <v>8</v>
      </c>
      <c r="U1315" s="68">
        <v>0</v>
      </c>
      <c r="V1315" s="65">
        <v>0</v>
      </c>
      <c r="W1315" s="65">
        <v>0</v>
      </c>
      <c r="X1315" s="65">
        <v>0</v>
      </c>
      <c r="Y1315" s="64"/>
    </row>
    <row r="1316" spans="1:25" s="54" customFormat="1" ht="15" customHeight="1" x14ac:dyDescent="0.3">
      <c r="A1316" s="63"/>
      <c r="B1316" s="64"/>
      <c r="C1316" s="55"/>
      <c r="D1316" s="64">
        <v>2019</v>
      </c>
      <c r="E1316" s="65">
        <f>92532*1000000</f>
        <v>92532000000</v>
      </c>
      <c r="F1316" s="65">
        <f>(92532+175617+39+788739+6984+96754+5667)*1000000</f>
        <v>1166332000000</v>
      </c>
      <c r="G1316" s="65">
        <f>2592413*1000000</f>
        <v>2592413000000</v>
      </c>
      <c r="H1316" s="65">
        <f>455104*1000000</f>
        <v>455104000000</v>
      </c>
      <c r="I1316" s="65">
        <f>1751308*1000000</f>
        <v>1751308000000</v>
      </c>
      <c r="J1316" s="65">
        <f>541297*1000000</f>
        <v>541297000000</v>
      </c>
      <c r="K1316" s="65">
        <f>841104*1000000</f>
        <v>841104000000</v>
      </c>
      <c r="L1316" s="65">
        <f>586693*1000000</f>
        <v>586693000000</v>
      </c>
      <c r="M1316" s="65">
        <f>242508*1000000</f>
        <v>242508000000</v>
      </c>
      <c r="N1316" s="65">
        <f>178342*1000000</f>
        <v>178342000000</v>
      </c>
      <c r="O1316" s="66">
        <v>0.9</v>
      </c>
      <c r="P1316" s="67" t="s">
        <v>318</v>
      </c>
      <c r="Q1316" s="65">
        <v>2</v>
      </c>
      <c r="R1316" s="65">
        <v>3</v>
      </c>
      <c r="S1316" s="65">
        <v>5</v>
      </c>
      <c r="T1316" s="65">
        <f t="shared" si="127"/>
        <v>8</v>
      </c>
      <c r="U1316" s="68">
        <v>0</v>
      </c>
      <c r="V1316" s="65">
        <v>0</v>
      </c>
      <c r="W1316" s="65">
        <v>0</v>
      </c>
      <c r="X1316" s="65">
        <v>0</v>
      </c>
      <c r="Y1316" s="64"/>
    </row>
    <row r="1317" spans="1:25" s="54" customFormat="1" ht="15" customHeight="1" x14ac:dyDescent="0.3">
      <c r="A1317" s="63"/>
      <c r="B1317" s="64"/>
      <c r="C1317" s="55"/>
      <c r="D1317" s="64">
        <v>2020</v>
      </c>
      <c r="E1317" s="65">
        <f>74774*1000000</f>
        <v>74774000000</v>
      </c>
      <c r="F1317" s="65">
        <f>(74774+186653+144415+852644+8808+33454+62500+5409)*1000000</f>
        <v>1368657000000</v>
      </c>
      <c r="G1317" s="65">
        <f>2952533*1000000</f>
        <v>2952533000000</v>
      </c>
      <c r="H1317" s="65">
        <f>469924*1000000</f>
        <v>469924000000</v>
      </c>
      <c r="I1317" s="65">
        <f>1945036*1000000</f>
        <v>1945036000000</v>
      </c>
      <c r="J1317" s="65">
        <f>707361*1000000</f>
        <v>707361000000</v>
      </c>
      <c r="K1317" s="65">
        <f>1007497*1000000</f>
        <v>1007497000000</v>
      </c>
      <c r="L1317" s="65">
        <f>753040*1000000</f>
        <v>753040000000</v>
      </c>
      <c r="M1317" s="65">
        <f>283423*1000000</f>
        <v>283423000000</v>
      </c>
      <c r="N1317" s="65">
        <f>201733*1000000</f>
        <v>201733000000</v>
      </c>
      <c r="O1317" s="66">
        <v>0.9</v>
      </c>
      <c r="P1317" s="67" t="s">
        <v>318</v>
      </c>
      <c r="Q1317" s="65">
        <v>2</v>
      </c>
      <c r="R1317" s="65">
        <v>3</v>
      </c>
      <c r="S1317" s="65">
        <v>5</v>
      </c>
      <c r="T1317" s="65">
        <f t="shared" si="127"/>
        <v>8</v>
      </c>
      <c r="U1317" s="68">
        <v>0</v>
      </c>
      <c r="V1317" s="65">
        <v>0</v>
      </c>
      <c r="W1317" s="65">
        <v>0</v>
      </c>
      <c r="X1317" s="65">
        <v>0</v>
      </c>
      <c r="Y1317" s="64"/>
    </row>
    <row r="1318" spans="1:25" s="54" customFormat="1" ht="15" customHeight="1" x14ac:dyDescent="0.3">
      <c r="A1318" s="63"/>
      <c r="B1318" s="64"/>
      <c r="C1318" s="55"/>
      <c r="D1318" s="64">
        <v>2021</v>
      </c>
      <c r="E1318" s="65">
        <f>151032*1000000</f>
        <v>151032000000</v>
      </c>
      <c r="F1318" s="65">
        <f>(152032+227713+1096+1064206+10941+129960+10620)*1000000</f>
        <v>1596568000000</v>
      </c>
      <c r="G1318" s="65">
        <f>3711223*1000000</f>
        <v>3711223000000</v>
      </c>
      <c r="H1318" s="65">
        <f>603872*1000000</f>
        <v>603872000000</v>
      </c>
      <c r="I1318" s="65">
        <f>2456715*1000000</f>
        <v>2456715000000</v>
      </c>
      <c r="J1318" s="65">
        <f>952465*1000000</f>
        <v>952465000000</v>
      </c>
      <c r="K1318" s="65">
        <f>1254508*1000000</f>
        <v>1254508000000</v>
      </c>
      <c r="L1318" s="65">
        <f>904911*1000000</f>
        <v>904911000000</v>
      </c>
      <c r="M1318" s="65">
        <f>393257*1000000</f>
        <v>393257000000</v>
      </c>
      <c r="N1318" s="65">
        <f>285451*1000000</f>
        <v>285451000000</v>
      </c>
      <c r="O1318" s="66">
        <v>0.9</v>
      </c>
      <c r="P1318" s="67" t="s">
        <v>318</v>
      </c>
      <c r="Q1318" s="65">
        <v>2</v>
      </c>
      <c r="R1318" s="65">
        <v>3</v>
      </c>
      <c r="S1318" s="65">
        <v>5</v>
      </c>
      <c r="T1318" s="65">
        <f t="shared" si="127"/>
        <v>8</v>
      </c>
      <c r="U1318" s="68">
        <v>0</v>
      </c>
      <c r="V1318" s="65">
        <v>0</v>
      </c>
      <c r="W1318" s="65">
        <v>0</v>
      </c>
      <c r="X1318" s="65">
        <v>0</v>
      </c>
      <c r="Y1318" s="64"/>
    </row>
    <row r="1319" spans="1:25" s="54" customFormat="1" ht="15" customHeight="1" x14ac:dyDescent="0.3">
      <c r="A1319" s="63"/>
      <c r="B1319" s="64"/>
      <c r="C1319" s="55"/>
      <c r="D1319" s="64">
        <v>2022</v>
      </c>
      <c r="E1319" s="65">
        <f>197371*1000000</f>
        <v>197371000000</v>
      </c>
      <c r="F1319" s="65">
        <f>(197371+116048+37285+1486226+15366+107997+14489)*1000000</f>
        <v>1974782000000</v>
      </c>
      <c r="G1319" s="65">
        <f>4715082*1000000</f>
        <v>4715082000000</v>
      </c>
      <c r="H1319" s="65">
        <f>569414*1000000</f>
        <v>569414000000</v>
      </c>
      <c r="I1319" s="65">
        <f>3161705*1000000</f>
        <v>3161705000000</v>
      </c>
      <c r="J1319" s="65">
        <f>1247859*1000000</f>
        <v>1247859000000</v>
      </c>
      <c r="K1319" s="65">
        <f>1553377*1000000</f>
        <v>1553377000000</v>
      </c>
      <c r="L1319" s="65">
        <f>1127845*1000000</f>
        <v>1127845000000</v>
      </c>
      <c r="M1319" s="65">
        <f>495587*1000000</f>
        <v>495587000000</v>
      </c>
      <c r="N1319" s="65">
        <f>366756*1000000</f>
        <v>366756000000</v>
      </c>
      <c r="O1319" s="66">
        <v>0.9</v>
      </c>
      <c r="P1319" s="67" t="s">
        <v>318</v>
      </c>
      <c r="Q1319" s="65">
        <v>2</v>
      </c>
      <c r="R1319" s="65">
        <v>3</v>
      </c>
      <c r="S1319" s="65">
        <v>5</v>
      </c>
      <c r="T1319" s="65">
        <f t="shared" si="127"/>
        <v>8</v>
      </c>
      <c r="U1319" s="68">
        <v>0</v>
      </c>
      <c r="V1319" s="65">
        <v>0</v>
      </c>
      <c r="W1319" s="65">
        <v>0</v>
      </c>
      <c r="X1319" s="65">
        <v>0</v>
      </c>
      <c r="Y1319" s="64"/>
    </row>
    <row r="1320" spans="1:25" s="54" customFormat="1" ht="15" customHeight="1" x14ac:dyDescent="0.3">
      <c r="A1320" s="63"/>
      <c r="B1320" s="64"/>
      <c r="C1320" s="55"/>
      <c r="D1320" s="64">
        <v>2023</v>
      </c>
      <c r="E1320" s="65">
        <f>374373*1000000</f>
        <v>374373000000</v>
      </c>
      <c r="F1320" s="65">
        <f>(374373+188084+271880+2123279+23965+112027+19320)*1000000</f>
        <v>3112928000000</v>
      </c>
      <c r="G1320" s="65">
        <f>6222550*1000000</f>
        <v>6222550000000</v>
      </c>
      <c r="H1320" s="65">
        <f>774670*1000000</f>
        <v>774670000000</v>
      </c>
      <c r="I1320" s="65">
        <f>4286980*1000000</f>
        <v>4286980000000</v>
      </c>
      <c r="J1320" s="65">
        <f>1630466*1000000</f>
        <v>1630466000000</v>
      </c>
      <c r="K1320" s="65">
        <f>1935570*1000000</f>
        <v>1935570000000</v>
      </c>
      <c r="L1320" s="65">
        <f>1371467*1000000</f>
        <v>1371467000000</v>
      </c>
      <c r="M1320" s="65">
        <f>625927*1000000</f>
        <v>625927000000</v>
      </c>
      <c r="N1320" s="65">
        <f>474296*1000000</f>
        <v>474296000000</v>
      </c>
      <c r="O1320" s="66">
        <v>0.9</v>
      </c>
      <c r="P1320" s="67" t="s">
        <v>318</v>
      </c>
      <c r="Q1320" s="65">
        <v>1</v>
      </c>
      <c r="R1320" s="65">
        <v>2</v>
      </c>
      <c r="S1320" s="65">
        <v>4</v>
      </c>
      <c r="T1320" s="65">
        <f t="shared" si="127"/>
        <v>6</v>
      </c>
      <c r="U1320" s="68">
        <v>0</v>
      </c>
      <c r="V1320" s="65">
        <v>0</v>
      </c>
      <c r="W1320" s="65">
        <v>0</v>
      </c>
      <c r="X1320" s="65">
        <v>0</v>
      </c>
      <c r="Y1320" s="64"/>
    </row>
    <row r="1321" spans="1:25" s="54" customFormat="1" ht="15" customHeight="1" x14ac:dyDescent="0.3">
      <c r="A1321" s="63"/>
      <c r="B1321" s="64"/>
      <c r="C1321" s="55"/>
      <c r="D1321" s="64">
        <v>2024</v>
      </c>
      <c r="E1321" s="65">
        <f>498947*1000000</f>
        <v>498947000000</v>
      </c>
      <c r="F1321" s="65">
        <f>(498947+210031+1201+2322328+25354+530643+24831)*1000000</f>
        <v>3613335000000</v>
      </c>
      <c r="G1321" s="65">
        <f>7402327*1000000</f>
        <v>7402327000000</v>
      </c>
      <c r="H1321" s="65">
        <f>856486*1000000</f>
        <v>856486000000</v>
      </c>
      <c r="I1321" s="65">
        <f>4896905*1000000</f>
        <v>4896905000000</v>
      </c>
      <c r="J1321" s="65">
        <f>2202504*1000000</f>
        <v>2202504000000</v>
      </c>
      <c r="K1321" s="65">
        <f>2505422*1000000</f>
        <v>2505422000000</v>
      </c>
      <c r="L1321" s="65">
        <f>1592580*1000000</f>
        <v>1592580000000</v>
      </c>
      <c r="M1321" s="65">
        <f>904166*1000000</f>
        <v>904166000000</v>
      </c>
      <c r="N1321" s="65">
        <f>690611*1000000</f>
        <v>690611000000</v>
      </c>
      <c r="O1321" s="66">
        <v>0.9</v>
      </c>
      <c r="P1321" s="67" t="s">
        <v>318</v>
      </c>
      <c r="Q1321" s="65">
        <v>3</v>
      </c>
      <c r="R1321" s="65">
        <v>4</v>
      </c>
      <c r="S1321" s="65">
        <v>5</v>
      </c>
      <c r="T1321" s="65">
        <f t="shared" si="127"/>
        <v>9</v>
      </c>
      <c r="U1321" s="68">
        <v>0</v>
      </c>
      <c r="V1321" s="65">
        <v>0</v>
      </c>
      <c r="W1321" s="65">
        <v>0</v>
      </c>
      <c r="X1321" s="65">
        <v>0</v>
      </c>
      <c r="Y1321" s="64"/>
    </row>
    <row r="1322" spans="1:25" s="54" customFormat="1" ht="15" customHeight="1" x14ac:dyDescent="0.3">
      <c r="A1322" s="63"/>
      <c r="B1322" s="64">
        <v>121</v>
      </c>
      <c r="C1322" s="55" t="s">
        <v>77</v>
      </c>
      <c r="D1322" s="64">
        <v>2014</v>
      </c>
      <c r="E1322" s="65">
        <v>0</v>
      </c>
      <c r="F1322" s="65">
        <v>0</v>
      </c>
      <c r="G1322" s="65">
        <v>0</v>
      </c>
      <c r="H1322" s="65">
        <v>0</v>
      </c>
      <c r="I1322" s="65">
        <v>0</v>
      </c>
      <c r="J1322" s="65">
        <v>0</v>
      </c>
      <c r="K1322" s="65">
        <v>0</v>
      </c>
      <c r="L1322" s="65">
        <f>41105*1000000</f>
        <v>41105000000</v>
      </c>
      <c r="M1322" s="65">
        <v>0</v>
      </c>
      <c r="N1322" s="65">
        <v>0</v>
      </c>
      <c r="O1322" s="65">
        <v>0</v>
      </c>
      <c r="P1322" s="65">
        <v>0</v>
      </c>
      <c r="Q1322" s="65">
        <v>0</v>
      </c>
      <c r="R1322" s="65">
        <v>0</v>
      </c>
      <c r="S1322" s="65">
        <v>0</v>
      </c>
      <c r="T1322" s="65">
        <v>0</v>
      </c>
      <c r="U1322" s="65">
        <v>0</v>
      </c>
      <c r="V1322" s="65">
        <v>0</v>
      </c>
      <c r="W1322" s="65">
        <v>0</v>
      </c>
      <c r="X1322" s="65">
        <v>0</v>
      </c>
      <c r="Y1322" s="64"/>
    </row>
    <row r="1323" spans="1:25" s="54" customFormat="1" ht="15" customHeight="1" x14ac:dyDescent="0.3">
      <c r="A1323" s="63"/>
      <c r="B1323" s="64"/>
      <c r="C1323" s="55"/>
      <c r="D1323" s="64">
        <v>2015</v>
      </c>
      <c r="E1323" s="65">
        <f>64699*1000000</f>
        <v>64699000000</v>
      </c>
      <c r="F1323" s="65">
        <f>(64699+70222+246307+694)*1000000</f>
        <v>381922000000</v>
      </c>
      <c r="G1323" s="65">
        <f>515144*1000000</f>
        <v>515144000000</v>
      </c>
      <c r="H1323" s="65">
        <f>99275*1000000</f>
        <v>99275000000</v>
      </c>
      <c r="I1323" s="65">
        <f>355805*1000000</f>
        <v>355805000000</v>
      </c>
      <c r="J1323" s="65">
        <f>59339*1000000</f>
        <v>59339000000</v>
      </c>
      <c r="K1323" s="65">
        <f>159339*1000000</f>
        <v>159339000000</v>
      </c>
      <c r="L1323" s="65">
        <f>54040*1000000</f>
        <v>54040000000</v>
      </c>
      <c r="M1323" s="65">
        <f>16953*1000000</f>
        <v>16953000000</v>
      </c>
      <c r="N1323" s="65">
        <f>14059*1000000</f>
        <v>14059000000</v>
      </c>
      <c r="O1323" s="66">
        <v>0.55000000000000004</v>
      </c>
      <c r="P1323" s="67" t="s">
        <v>294</v>
      </c>
      <c r="Q1323" s="65">
        <v>2</v>
      </c>
      <c r="R1323" s="65">
        <v>4</v>
      </c>
      <c r="S1323" s="65">
        <v>3</v>
      </c>
      <c r="T1323" s="65">
        <f>SUM(R1323:S1323)</f>
        <v>7</v>
      </c>
      <c r="U1323" s="68">
        <v>0</v>
      </c>
      <c r="V1323" s="65">
        <v>0</v>
      </c>
      <c r="W1323" s="65">
        <v>0</v>
      </c>
      <c r="X1323" s="65">
        <v>0</v>
      </c>
      <c r="Y1323" s="64"/>
    </row>
    <row r="1324" spans="1:25" s="54" customFormat="1" ht="15" customHeight="1" x14ac:dyDescent="0.3">
      <c r="A1324" s="63"/>
      <c r="B1324" s="64"/>
      <c r="C1324" s="55"/>
      <c r="D1324" s="64">
        <v>2016</v>
      </c>
      <c r="E1324" s="65">
        <f>68225*1000000</f>
        <v>68225000000</v>
      </c>
      <c r="F1324" s="65">
        <f>(68225+170217+336162+710)*1000000</f>
        <v>575314000000</v>
      </c>
      <c r="G1324" s="65">
        <f>711321*1000000</f>
        <v>711321000000</v>
      </c>
      <c r="H1324" s="65">
        <f>194589*1000000</f>
        <v>194589000000</v>
      </c>
      <c r="I1324" s="65">
        <f>552157*1000000</f>
        <v>552157000000</v>
      </c>
      <c r="J1324" s="65">
        <f>59164*1000000</f>
        <v>59164000000</v>
      </c>
      <c r="K1324" s="65">
        <f>159164*1000000</f>
        <v>159164000000</v>
      </c>
      <c r="L1324" s="65">
        <f>58211*1000000</f>
        <v>58211000000</v>
      </c>
      <c r="M1324" s="65">
        <f>6343*1000000</f>
        <v>6343000000</v>
      </c>
      <c r="N1324" s="65">
        <f>4620*1000000</f>
        <v>4620000000</v>
      </c>
      <c r="O1324" s="66">
        <v>0.55000000000000004</v>
      </c>
      <c r="P1324" s="67" t="s">
        <v>294</v>
      </c>
      <c r="Q1324" s="65">
        <v>2</v>
      </c>
      <c r="R1324" s="65">
        <v>4</v>
      </c>
      <c r="S1324" s="65">
        <v>3</v>
      </c>
      <c r="T1324" s="65">
        <f t="shared" ref="T1324:T1332" si="128">SUM(R1324:S1324)</f>
        <v>7</v>
      </c>
      <c r="U1324" s="68">
        <v>0</v>
      </c>
      <c r="V1324" s="65">
        <v>0</v>
      </c>
      <c r="W1324" s="65">
        <v>0</v>
      </c>
      <c r="X1324" s="65">
        <v>0</v>
      </c>
      <c r="Y1324" s="64"/>
    </row>
    <row r="1325" spans="1:25" s="54" customFormat="1" ht="15" customHeight="1" x14ac:dyDescent="0.3">
      <c r="A1325" s="63"/>
      <c r="B1325" s="64"/>
      <c r="C1325" s="55"/>
      <c r="D1325" s="64">
        <v>2017</v>
      </c>
      <c r="E1325" s="65">
        <f>107799*1000000</f>
        <v>107799000000</v>
      </c>
      <c r="F1325" s="65">
        <f>(107799+145856+342+419872+20710)*1000000</f>
        <v>694579000000</v>
      </c>
      <c r="G1325" s="65">
        <f>846759*1000000</f>
        <v>846759000000</v>
      </c>
      <c r="H1325" s="65">
        <f>203473*1000000</f>
        <v>203473000000</v>
      </c>
      <c r="I1325" s="65">
        <f>679482*1000000</f>
        <v>679482000000</v>
      </c>
      <c r="J1325" s="65">
        <f>67641*1000000</f>
        <v>67641000000</v>
      </c>
      <c r="K1325" s="65">
        <f>167277*1000000</f>
        <v>167277000000</v>
      </c>
      <c r="L1325" s="65">
        <f>71467*1000000</f>
        <v>71467000000</v>
      </c>
      <c r="M1325" s="65">
        <f>12245*1000000</f>
        <v>12245000000</v>
      </c>
      <c r="N1325" s="65">
        <f>9322*1000000</f>
        <v>9322000000</v>
      </c>
      <c r="O1325" s="66">
        <v>0.55000000000000004</v>
      </c>
      <c r="P1325" s="67" t="s">
        <v>294</v>
      </c>
      <c r="Q1325" s="65">
        <v>2</v>
      </c>
      <c r="R1325" s="65">
        <v>4</v>
      </c>
      <c r="S1325" s="65">
        <v>3</v>
      </c>
      <c r="T1325" s="65">
        <f t="shared" si="128"/>
        <v>7</v>
      </c>
      <c r="U1325" s="68">
        <v>0</v>
      </c>
      <c r="V1325" s="65">
        <v>0</v>
      </c>
      <c r="W1325" s="65">
        <v>0</v>
      </c>
      <c r="X1325" s="65">
        <v>0</v>
      </c>
      <c r="Y1325" s="64"/>
    </row>
    <row r="1326" spans="1:25" s="54" customFormat="1" ht="15" customHeight="1" x14ac:dyDescent="0.3">
      <c r="A1326" s="63"/>
      <c r="B1326" s="64"/>
      <c r="C1326" s="55"/>
      <c r="D1326" s="64">
        <v>2018</v>
      </c>
      <c r="E1326" s="65">
        <f>72078*1000000</f>
        <v>72078000000</v>
      </c>
      <c r="F1326" s="65">
        <f>(72078+146190+12422+28469+1322)*1000000</f>
        <v>260481000000</v>
      </c>
      <c r="G1326" s="65">
        <f>997698*1000000</f>
        <v>997698000000</v>
      </c>
      <c r="H1326" s="65">
        <f>273431*1000000</f>
        <v>273431000000</v>
      </c>
      <c r="I1326" s="65">
        <f>815854*1000000</f>
        <v>815854000000</v>
      </c>
      <c r="J1326" s="65">
        <f>81984*1000000</f>
        <v>81984000000</v>
      </c>
      <c r="K1326" s="65">
        <f>181844*1000000</f>
        <v>181844000000</v>
      </c>
      <c r="L1326" s="65">
        <f>97032*1000000</f>
        <v>97032000000</v>
      </c>
      <c r="M1326" s="65">
        <f>22009*1000000</f>
        <v>22009000000</v>
      </c>
      <c r="N1326" s="65">
        <f>17550*1000000</f>
        <v>17550000000</v>
      </c>
      <c r="O1326" s="66">
        <v>0.55000000000000004</v>
      </c>
      <c r="P1326" s="67" t="s">
        <v>294</v>
      </c>
      <c r="Q1326" s="65">
        <v>2</v>
      </c>
      <c r="R1326" s="65">
        <v>4</v>
      </c>
      <c r="S1326" s="65">
        <v>2</v>
      </c>
      <c r="T1326" s="65">
        <f t="shared" si="128"/>
        <v>6</v>
      </c>
      <c r="U1326" s="68">
        <v>0</v>
      </c>
      <c r="V1326" s="65">
        <v>0</v>
      </c>
      <c r="W1326" s="65">
        <v>0</v>
      </c>
      <c r="X1326" s="65">
        <v>0</v>
      </c>
      <c r="Y1326" s="64"/>
    </row>
    <row r="1327" spans="1:25" s="54" customFormat="1" ht="15" customHeight="1" x14ac:dyDescent="0.3">
      <c r="A1327" s="63"/>
      <c r="B1327" s="64"/>
      <c r="C1327" s="55"/>
      <c r="D1327" s="64">
        <v>2019</v>
      </c>
      <c r="E1327" s="65">
        <f>75351*1000000</f>
        <v>75351000000</v>
      </c>
      <c r="F1327" s="65">
        <f>(75351+146522+701747+47399+1333)*1000000</f>
        <v>972352000000</v>
      </c>
      <c r="G1327" s="65">
        <f>1277790*1000000</f>
        <v>1277790000000</v>
      </c>
      <c r="H1327" s="65">
        <f>276594*1000000</f>
        <v>276594000000</v>
      </c>
      <c r="I1327" s="65">
        <f>1076290*1000000</f>
        <v>1076290000000</v>
      </c>
      <c r="J1327" s="65">
        <f>102148*1000000</f>
        <v>102148000000</v>
      </c>
      <c r="K1327" s="65">
        <f>201500*1000000</f>
        <v>201500000000</v>
      </c>
      <c r="L1327" s="65">
        <f>134448*1000000</f>
        <v>134448000000</v>
      </c>
      <c r="M1327" s="65">
        <f>25784*1000000</f>
        <v>25784000000</v>
      </c>
      <c r="N1327" s="65">
        <f>19656*1000000</f>
        <v>19656000000</v>
      </c>
      <c r="O1327" s="66">
        <v>0.55000000000000004</v>
      </c>
      <c r="P1327" s="67" t="s">
        <v>294</v>
      </c>
      <c r="Q1327" s="65">
        <v>2</v>
      </c>
      <c r="R1327" s="65">
        <v>4</v>
      </c>
      <c r="S1327" s="65">
        <v>3</v>
      </c>
      <c r="T1327" s="65">
        <f t="shared" si="128"/>
        <v>7</v>
      </c>
      <c r="U1327" s="68">
        <v>0</v>
      </c>
      <c r="V1327" s="65">
        <v>0</v>
      </c>
      <c r="W1327" s="65">
        <v>0</v>
      </c>
      <c r="X1327" s="65">
        <v>0</v>
      </c>
      <c r="Y1327" s="64"/>
    </row>
    <row r="1328" spans="1:25" s="54" customFormat="1" ht="15" customHeight="1" x14ac:dyDescent="0.3">
      <c r="A1328" s="63"/>
      <c r="B1328" s="64"/>
      <c r="C1328" s="55"/>
      <c r="D1328" s="64">
        <v>2020</v>
      </c>
      <c r="E1328" s="65">
        <f>106596*1000000</f>
        <v>106596000000</v>
      </c>
      <c r="F1328" s="65">
        <f>(106596+156893-2949+927584+96680+1185)*1000000</f>
        <v>1285989000000</v>
      </c>
      <c r="G1328" s="65">
        <f>1557316*1000000</f>
        <v>1557316000000</v>
      </c>
      <c r="H1328" s="65">
        <f>307720*1000000</f>
        <v>307720000000</v>
      </c>
      <c r="I1328" s="65">
        <f>1339897*1000000</f>
        <v>1339897000000</v>
      </c>
      <c r="J1328" s="65">
        <f>116412*1000000</f>
        <v>116412000000</v>
      </c>
      <c r="K1328" s="65">
        <f>217420*1000000</f>
        <v>217420000000</v>
      </c>
      <c r="L1328" s="65">
        <f>157549*1000000</f>
        <v>157549000000</v>
      </c>
      <c r="M1328" s="65">
        <f>37396*1000000</f>
        <v>37396000000</v>
      </c>
      <c r="N1328" s="65">
        <f>25920*1000000</f>
        <v>25920000000</v>
      </c>
      <c r="O1328" s="66">
        <v>0.55000000000000004</v>
      </c>
      <c r="P1328" s="67" t="s">
        <v>294</v>
      </c>
      <c r="Q1328" s="65">
        <v>2</v>
      </c>
      <c r="R1328" s="65">
        <v>4</v>
      </c>
      <c r="S1328" s="65">
        <v>3</v>
      </c>
      <c r="T1328" s="65">
        <f t="shared" si="128"/>
        <v>7</v>
      </c>
      <c r="U1328" s="68">
        <v>0</v>
      </c>
      <c r="V1328" s="65">
        <v>0</v>
      </c>
      <c r="W1328" s="65">
        <v>0</v>
      </c>
      <c r="X1328" s="65">
        <v>0</v>
      </c>
      <c r="Y1328" s="64"/>
    </row>
    <row r="1329" spans="1:25" s="54" customFormat="1" ht="15" customHeight="1" x14ac:dyDescent="0.3">
      <c r="A1329" s="63"/>
      <c r="B1329" s="64"/>
      <c r="C1329" s="55"/>
      <c r="D1329" s="64">
        <v>2021</v>
      </c>
      <c r="E1329" s="65">
        <f>108437*1000000</f>
        <v>108437000000</v>
      </c>
      <c r="F1329" s="65">
        <f>(108437+132693+986202+78241+1217)*1000000</f>
        <v>1306790000000</v>
      </c>
      <c r="G1329" s="65">
        <f>1610433*1000000</f>
        <v>1610433000000</v>
      </c>
      <c r="H1329" s="65">
        <f>272755*1000000</f>
        <v>272755000000</v>
      </c>
      <c r="I1329" s="65">
        <f>1351260*1000000</f>
        <v>1351260000000</v>
      </c>
      <c r="J1329" s="65">
        <f>137173*1000000</f>
        <v>137173000000</v>
      </c>
      <c r="K1329" s="65">
        <f>259173*1000000</f>
        <v>259173000000</v>
      </c>
      <c r="L1329" s="65">
        <f>151739*1000000</f>
        <v>151739000000</v>
      </c>
      <c r="M1329" s="65">
        <f>38948*1000000</f>
        <v>38948000000</v>
      </c>
      <c r="N1329" s="65">
        <f>30752*1000000</f>
        <v>30752000000</v>
      </c>
      <c r="O1329" s="66">
        <v>0.55000000000000004</v>
      </c>
      <c r="P1329" s="67" t="s">
        <v>294</v>
      </c>
      <c r="Q1329" s="65">
        <v>2</v>
      </c>
      <c r="R1329" s="65">
        <v>4</v>
      </c>
      <c r="S1329" s="65">
        <v>3</v>
      </c>
      <c r="T1329" s="65">
        <f t="shared" si="128"/>
        <v>7</v>
      </c>
      <c r="U1329" s="68">
        <v>0</v>
      </c>
      <c r="V1329" s="65">
        <v>0</v>
      </c>
      <c r="W1329" s="65">
        <v>0</v>
      </c>
      <c r="X1329" s="65">
        <v>0</v>
      </c>
      <c r="Y1329" s="64"/>
    </row>
    <row r="1330" spans="1:25" s="54" customFormat="1" ht="15" customHeight="1" x14ac:dyDescent="0.3">
      <c r="A1330" s="63"/>
      <c r="B1330" s="64"/>
      <c r="C1330" s="55"/>
      <c r="D1330" s="64">
        <v>2022</v>
      </c>
      <c r="E1330" s="65">
        <f>46498*1000000</f>
        <v>46498000000</v>
      </c>
      <c r="F1330" s="65">
        <f>(46498+175447+696879+101552+1802)*1000000</f>
        <v>1022178000000</v>
      </c>
      <c r="G1330" s="65">
        <f>1483962*1000000</f>
        <v>1483962000000</v>
      </c>
      <c r="H1330" s="65">
        <f>371945*1000000</f>
        <v>371945000000</v>
      </c>
      <c r="I1330" s="65">
        <f>1183074*1000000</f>
        <v>1183074000000</v>
      </c>
      <c r="J1330" s="65">
        <f>178888*1000000</f>
        <v>178888000000</v>
      </c>
      <c r="K1330" s="65">
        <f>300888*1000000</f>
        <v>300888000000</v>
      </c>
      <c r="L1330" s="65">
        <f>201925*1000000</f>
        <v>201925000000</v>
      </c>
      <c r="M1330" s="65">
        <f>70416*1000000</f>
        <v>70416000000</v>
      </c>
      <c r="N1330" s="65">
        <f>56965*1000000</f>
        <v>56965000000</v>
      </c>
      <c r="O1330" s="66">
        <v>0.55000000000000004</v>
      </c>
      <c r="P1330" s="67" t="s">
        <v>294</v>
      </c>
      <c r="Q1330" s="65">
        <v>2</v>
      </c>
      <c r="R1330" s="65">
        <v>4</v>
      </c>
      <c r="S1330" s="65">
        <v>3</v>
      </c>
      <c r="T1330" s="65">
        <f t="shared" si="128"/>
        <v>7</v>
      </c>
      <c r="U1330" s="68">
        <v>0</v>
      </c>
      <c r="V1330" s="65">
        <v>0</v>
      </c>
      <c r="W1330" s="65">
        <v>0</v>
      </c>
      <c r="X1330" s="65">
        <v>0</v>
      </c>
      <c r="Y1330" s="64"/>
    </row>
    <row r="1331" spans="1:25" s="54" customFormat="1" ht="15" customHeight="1" x14ac:dyDescent="0.3">
      <c r="A1331" s="63"/>
      <c r="B1331" s="64"/>
      <c r="C1331" s="55"/>
      <c r="D1331" s="64">
        <v>2023</v>
      </c>
      <c r="E1331" s="65">
        <f>16326*1000000</f>
        <v>16326000000</v>
      </c>
      <c r="F1331" s="65">
        <f>(16326+474165+1071824+96536+4745)*1000000</f>
        <v>1663596000000</v>
      </c>
      <c r="G1331" s="65">
        <f>2239940*1000000</f>
        <v>2239940000000</v>
      </c>
      <c r="H1331" s="65">
        <f>657392*1000000</f>
        <v>657392000000</v>
      </c>
      <c r="I1331" s="65">
        <f>1852153*1000000</f>
        <v>1852153000000</v>
      </c>
      <c r="J1331" s="65">
        <f>215787*1000000</f>
        <v>215787000000</v>
      </c>
      <c r="K1331" s="65">
        <f>387787*1000000</f>
        <v>387787000000</v>
      </c>
      <c r="L1331" s="65">
        <f>215537*1000000</f>
        <v>215537000000</v>
      </c>
      <c r="M1331" s="65">
        <f>55128*1000000</f>
        <v>55128000000</v>
      </c>
      <c r="N1331" s="65">
        <f>44483*1000000</f>
        <v>44483000000</v>
      </c>
      <c r="O1331" s="66">
        <v>0.55000000000000004</v>
      </c>
      <c r="P1331" s="67" t="s">
        <v>294</v>
      </c>
      <c r="Q1331" s="65">
        <v>3</v>
      </c>
      <c r="R1331" s="65">
        <v>5</v>
      </c>
      <c r="S1331" s="65">
        <v>3</v>
      </c>
      <c r="T1331" s="65">
        <f t="shared" si="128"/>
        <v>8</v>
      </c>
      <c r="U1331" s="68">
        <v>0</v>
      </c>
      <c r="V1331" s="65">
        <v>0</v>
      </c>
      <c r="W1331" s="65">
        <v>0</v>
      </c>
      <c r="X1331" s="65">
        <v>0</v>
      </c>
      <c r="Y1331" s="64"/>
    </row>
    <row r="1332" spans="1:25" s="54" customFormat="1" ht="15" customHeight="1" x14ac:dyDescent="0.3">
      <c r="A1332" s="63"/>
      <c r="B1332" s="64"/>
      <c r="C1332" s="55"/>
      <c r="D1332" s="64">
        <v>2024</v>
      </c>
      <c r="E1332" s="65">
        <f>8135*1000000</f>
        <v>8135000000</v>
      </c>
      <c r="F1332" s="65">
        <f>(8135+217739+1265855+115663+5840)*1000000</f>
        <v>1613232000000</v>
      </c>
      <c r="G1332" s="65">
        <f>2280698*1000000</f>
        <v>2280698000000</v>
      </c>
      <c r="H1332" s="65">
        <f>464502*1000000</f>
        <v>464502000000</v>
      </c>
      <c r="I1332" s="65">
        <f>1834599*1000000</f>
        <v>1834599000000</v>
      </c>
      <c r="J1332" s="65">
        <f>274099*1000000</f>
        <v>274099000000</v>
      </c>
      <c r="K1332" s="65">
        <f>446099*1000000</f>
        <v>446099000000</v>
      </c>
      <c r="L1332" s="65">
        <f>229033*1000000</f>
        <v>229033000000</v>
      </c>
      <c r="M1332" s="65">
        <f>82687*1000000</f>
        <v>82687000000</v>
      </c>
      <c r="N1332" s="65" t="s">
        <v>295</v>
      </c>
      <c r="O1332" s="66">
        <v>0.55000000000000004</v>
      </c>
      <c r="P1332" s="67" t="s">
        <v>294</v>
      </c>
      <c r="Q1332" s="65">
        <v>3</v>
      </c>
      <c r="R1332" s="65">
        <v>5</v>
      </c>
      <c r="S1332" s="65">
        <v>3</v>
      </c>
      <c r="T1332" s="65">
        <f t="shared" si="128"/>
        <v>8</v>
      </c>
      <c r="U1332" s="68">
        <v>0</v>
      </c>
      <c r="V1332" s="65">
        <v>0</v>
      </c>
      <c r="W1332" s="65">
        <v>0</v>
      </c>
      <c r="X1332" s="65">
        <v>0</v>
      </c>
      <c r="Y1332" s="64"/>
    </row>
    <row r="1333" spans="1:25" s="54" customFormat="1" ht="15" customHeight="1" x14ac:dyDescent="0.3">
      <c r="A1333" s="63"/>
      <c r="B1333" s="64">
        <v>122</v>
      </c>
      <c r="C1333" s="55" t="s">
        <v>109</v>
      </c>
      <c r="D1333" s="64">
        <v>2014</v>
      </c>
      <c r="E1333" s="65">
        <v>0</v>
      </c>
      <c r="F1333" s="65">
        <v>0</v>
      </c>
      <c r="G1333" s="65">
        <v>0</v>
      </c>
      <c r="H1333" s="65">
        <v>0</v>
      </c>
      <c r="I1333" s="65">
        <v>0</v>
      </c>
      <c r="J1333" s="65">
        <v>0</v>
      </c>
      <c r="K1333" s="65">
        <v>0</v>
      </c>
      <c r="L1333" s="65">
        <v>0</v>
      </c>
      <c r="M1333" s="65">
        <v>0</v>
      </c>
      <c r="N1333" s="65">
        <v>0</v>
      </c>
      <c r="O1333" s="65">
        <v>0</v>
      </c>
      <c r="P1333" s="65">
        <v>0</v>
      </c>
      <c r="Q1333" s="65">
        <v>0</v>
      </c>
      <c r="R1333" s="65">
        <v>0</v>
      </c>
      <c r="S1333" s="65">
        <v>0</v>
      </c>
      <c r="T1333" s="65">
        <v>0</v>
      </c>
      <c r="U1333" s="65">
        <v>0</v>
      </c>
      <c r="V1333" s="65">
        <v>0</v>
      </c>
      <c r="W1333" s="65">
        <v>0</v>
      </c>
      <c r="X1333" s="65">
        <v>0</v>
      </c>
      <c r="Y1333" s="64" t="s">
        <v>303</v>
      </c>
    </row>
    <row r="1334" spans="1:25" s="54" customFormat="1" ht="15" customHeight="1" x14ac:dyDescent="0.3">
      <c r="A1334" s="63"/>
      <c r="B1334" s="64"/>
      <c r="C1334" s="55"/>
      <c r="D1334" s="64">
        <v>2015</v>
      </c>
      <c r="E1334" s="65">
        <v>0</v>
      </c>
      <c r="F1334" s="65">
        <v>0</v>
      </c>
      <c r="G1334" s="65">
        <v>0</v>
      </c>
      <c r="H1334" s="65">
        <v>0</v>
      </c>
      <c r="I1334" s="65">
        <v>0</v>
      </c>
      <c r="J1334" s="65">
        <v>0</v>
      </c>
      <c r="K1334" s="65">
        <v>0</v>
      </c>
      <c r="L1334" s="65">
        <v>0</v>
      </c>
      <c r="M1334" s="65">
        <v>0</v>
      </c>
      <c r="N1334" s="65">
        <v>0</v>
      </c>
      <c r="O1334" s="65">
        <v>0</v>
      </c>
      <c r="P1334" s="65">
        <v>0</v>
      </c>
      <c r="Q1334" s="65">
        <v>0</v>
      </c>
      <c r="R1334" s="65">
        <v>0</v>
      </c>
      <c r="S1334" s="65">
        <v>0</v>
      </c>
      <c r="T1334" s="65">
        <v>0</v>
      </c>
      <c r="U1334" s="65">
        <v>0</v>
      </c>
      <c r="V1334" s="65">
        <v>0</v>
      </c>
      <c r="W1334" s="65">
        <v>0</v>
      </c>
      <c r="X1334" s="65">
        <v>0</v>
      </c>
      <c r="Y1334" s="64"/>
    </row>
    <row r="1335" spans="1:25" s="54" customFormat="1" ht="15" customHeight="1" x14ac:dyDescent="0.3">
      <c r="A1335" s="63"/>
      <c r="B1335" s="64"/>
      <c r="C1335" s="55"/>
      <c r="D1335" s="64">
        <v>2016</v>
      </c>
      <c r="E1335" s="65">
        <v>0</v>
      </c>
      <c r="F1335" s="65">
        <v>0</v>
      </c>
      <c r="G1335" s="65">
        <v>0</v>
      </c>
      <c r="H1335" s="65">
        <v>0</v>
      </c>
      <c r="I1335" s="65">
        <v>0</v>
      </c>
      <c r="J1335" s="65">
        <v>0</v>
      </c>
      <c r="K1335" s="65">
        <v>0</v>
      </c>
      <c r="L1335" s="65">
        <v>0</v>
      </c>
      <c r="M1335" s="65">
        <v>0</v>
      </c>
      <c r="N1335" s="65">
        <v>0</v>
      </c>
      <c r="O1335" s="65">
        <v>0</v>
      </c>
      <c r="P1335" s="65">
        <v>0</v>
      </c>
      <c r="Q1335" s="65">
        <v>0</v>
      </c>
      <c r="R1335" s="65">
        <v>0</v>
      </c>
      <c r="S1335" s="65">
        <v>0</v>
      </c>
      <c r="T1335" s="65">
        <v>0</v>
      </c>
      <c r="U1335" s="65">
        <v>0</v>
      </c>
      <c r="V1335" s="65">
        <v>0</v>
      </c>
      <c r="W1335" s="65">
        <v>0</v>
      </c>
      <c r="X1335" s="65">
        <v>0</v>
      </c>
      <c r="Y1335" s="64"/>
    </row>
    <row r="1336" spans="1:25" s="54" customFormat="1" ht="15" customHeight="1" x14ac:dyDescent="0.3">
      <c r="A1336" s="63"/>
      <c r="B1336" s="64"/>
      <c r="C1336" s="55"/>
      <c r="D1336" s="64">
        <v>2017</v>
      </c>
      <c r="E1336" s="65">
        <v>0</v>
      </c>
      <c r="F1336" s="65">
        <v>0</v>
      </c>
      <c r="G1336" s="65">
        <v>0</v>
      </c>
      <c r="H1336" s="65">
        <v>0</v>
      </c>
      <c r="I1336" s="65">
        <v>0</v>
      </c>
      <c r="J1336" s="65">
        <v>0</v>
      </c>
      <c r="K1336" s="65">
        <v>0</v>
      </c>
      <c r="L1336" s="65">
        <v>0</v>
      </c>
      <c r="M1336" s="65">
        <v>0</v>
      </c>
      <c r="N1336" s="65">
        <v>0</v>
      </c>
      <c r="O1336" s="65">
        <v>0</v>
      </c>
      <c r="P1336" s="65">
        <v>0</v>
      </c>
      <c r="Q1336" s="65">
        <v>0</v>
      </c>
      <c r="R1336" s="65">
        <v>0</v>
      </c>
      <c r="S1336" s="65">
        <v>0</v>
      </c>
      <c r="T1336" s="65">
        <v>0</v>
      </c>
      <c r="U1336" s="65">
        <v>0</v>
      </c>
      <c r="V1336" s="65">
        <v>0</v>
      </c>
      <c r="W1336" s="65">
        <v>0</v>
      </c>
      <c r="X1336" s="65">
        <v>0</v>
      </c>
      <c r="Y1336" s="64"/>
    </row>
    <row r="1337" spans="1:25" s="54" customFormat="1" ht="15" customHeight="1" x14ac:dyDescent="0.3">
      <c r="A1337" s="63"/>
      <c r="B1337" s="64"/>
      <c r="C1337" s="55"/>
      <c r="D1337" s="64">
        <v>2018</v>
      </c>
      <c r="E1337" s="65">
        <v>0</v>
      </c>
      <c r="F1337" s="65">
        <v>0</v>
      </c>
      <c r="G1337" s="65">
        <v>0</v>
      </c>
      <c r="H1337" s="65">
        <v>0</v>
      </c>
      <c r="I1337" s="65">
        <v>0</v>
      </c>
      <c r="J1337" s="65">
        <v>0</v>
      </c>
      <c r="K1337" s="65">
        <v>0</v>
      </c>
      <c r="L1337" s="65">
        <v>0</v>
      </c>
      <c r="M1337" s="65">
        <v>0</v>
      </c>
      <c r="N1337" s="65">
        <v>0</v>
      </c>
      <c r="O1337" s="65">
        <v>0</v>
      </c>
      <c r="P1337" s="65">
        <v>0</v>
      </c>
      <c r="Q1337" s="65">
        <v>0</v>
      </c>
      <c r="R1337" s="65">
        <v>0</v>
      </c>
      <c r="S1337" s="65">
        <v>0</v>
      </c>
      <c r="T1337" s="65">
        <v>0</v>
      </c>
      <c r="U1337" s="65">
        <v>0</v>
      </c>
      <c r="V1337" s="65">
        <v>0</v>
      </c>
      <c r="W1337" s="65">
        <v>0</v>
      </c>
      <c r="X1337" s="65">
        <v>0</v>
      </c>
      <c r="Y1337" s="64"/>
    </row>
    <row r="1338" spans="1:25" s="54" customFormat="1" ht="15" customHeight="1" x14ac:dyDescent="0.3">
      <c r="A1338" s="63"/>
      <c r="B1338" s="64"/>
      <c r="C1338" s="55"/>
      <c r="D1338" s="64">
        <v>2019</v>
      </c>
      <c r="E1338" s="65">
        <v>0</v>
      </c>
      <c r="F1338" s="65">
        <v>0</v>
      </c>
      <c r="G1338" s="65">
        <v>0</v>
      </c>
      <c r="H1338" s="65">
        <v>0</v>
      </c>
      <c r="I1338" s="65">
        <v>0</v>
      </c>
      <c r="J1338" s="65">
        <v>0</v>
      </c>
      <c r="K1338" s="65">
        <v>0</v>
      </c>
      <c r="L1338" s="65">
        <v>0</v>
      </c>
      <c r="M1338" s="65">
        <v>0</v>
      </c>
      <c r="N1338" s="65">
        <v>0</v>
      </c>
      <c r="O1338" s="65">
        <v>0</v>
      </c>
      <c r="P1338" s="65">
        <v>0</v>
      </c>
      <c r="Q1338" s="65">
        <v>0</v>
      </c>
      <c r="R1338" s="65">
        <v>0</v>
      </c>
      <c r="S1338" s="65">
        <v>0</v>
      </c>
      <c r="T1338" s="65">
        <v>0</v>
      </c>
      <c r="U1338" s="65">
        <v>0</v>
      </c>
      <c r="V1338" s="65">
        <v>0</v>
      </c>
      <c r="W1338" s="65">
        <v>0</v>
      </c>
      <c r="X1338" s="65">
        <v>0</v>
      </c>
      <c r="Y1338" s="64"/>
    </row>
    <row r="1339" spans="1:25" s="54" customFormat="1" ht="15" customHeight="1" x14ac:dyDescent="0.3">
      <c r="A1339" s="63"/>
      <c r="B1339" s="64"/>
      <c r="C1339" s="55"/>
      <c r="D1339" s="64">
        <v>2020</v>
      </c>
      <c r="E1339" s="65">
        <v>0</v>
      </c>
      <c r="F1339" s="65">
        <v>0</v>
      </c>
      <c r="G1339" s="65">
        <v>0</v>
      </c>
      <c r="H1339" s="65">
        <v>0</v>
      </c>
      <c r="I1339" s="65">
        <v>0</v>
      </c>
      <c r="J1339" s="65">
        <v>0</v>
      </c>
      <c r="K1339" s="65">
        <v>0</v>
      </c>
      <c r="L1339" s="65">
        <v>0</v>
      </c>
      <c r="M1339" s="65">
        <v>0</v>
      </c>
      <c r="N1339" s="65">
        <v>0</v>
      </c>
      <c r="O1339" s="65">
        <v>0</v>
      </c>
      <c r="P1339" s="65">
        <v>0</v>
      </c>
      <c r="Q1339" s="65">
        <v>0</v>
      </c>
      <c r="R1339" s="65">
        <v>0</v>
      </c>
      <c r="S1339" s="65">
        <v>0</v>
      </c>
      <c r="T1339" s="65">
        <v>0</v>
      </c>
      <c r="U1339" s="65">
        <v>0</v>
      </c>
      <c r="V1339" s="65">
        <v>0</v>
      </c>
      <c r="W1339" s="65">
        <v>0</v>
      </c>
      <c r="X1339" s="65">
        <v>0</v>
      </c>
      <c r="Y1339" s="64"/>
    </row>
    <row r="1340" spans="1:25" s="54" customFormat="1" ht="15" customHeight="1" x14ac:dyDescent="0.3">
      <c r="A1340" s="63"/>
      <c r="B1340" s="64"/>
      <c r="C1340" s="55"/>
      <c r="D1340" s="64">
        <v>2021</v>
      </c>
      <c r="E1340" s="65">
        <v>0</v>
      </c>
      <c r="F1340" s="65">
        <v>0</v>
      </c>
      <c r="G1340" s="65">
        <v>0</v>
      </c>
      <c r="H1340" s="65">
        <v>0</v>
      </c>
      <c r="I1340" s="65">
        <v>0</v>
      </c>
      <c r="J1340" s="65">
        <v>0</v>
      </c>
      <c r="K1340" s="65">
        <v>0</v>
      </c>
      <c r="L1340" s="65">
        <v>0</v>
      </c>
      <c r="M1340" s="65">
        <v>0</v>
      </c>
      <c r="N1340" s="65">
        <v>0</v>
      </c>
      <c r="O1340" s="65">
        <v>0</v>
      </c>
      <c r="P1340" s="65">
        <v>0</v>
      </c>
      <c r="Q1340" s="65">
        <v>0</v>
      </c>
      <c r="R1340" s="65">
        <v>0</v>
      </c>
      <c r="S1340" s="65">
        <v>0</v>
      </c>
      <c r="T1340" s="65">
        <v>0</v>
      </c>
      <c r="U1340" s="65">
        <v>0</v>
      </c>
      <c r="V1340" s="65">
        <v>0</v>
      </c>
      <c r="W1340" s="65">
        <v>0</v>
      </c>
      <c r="X1340" s="65">
        <v>0</v>
      </c>
      <c r="Y1340" s="64"/>
    </row>
    <row r="1341" spans="1:25" s="54" customFormat="1" ht="15" customHeight="1" x14ac:dyDescent="0.3">
      <c r="A1341" s="63"/>
      <c r="B1341" s="64"/>
      <c r="C1341" s="55"/>
      <c r="D1341" s="64">
        <v>2022</v>
      </c>
      <c r="E1341" s="65">
        <v>0</v>
      </c>
      <c r="F1341" s="65">
        <v>0</v>
      </c>
      <c r="G1341" s="65">
        <v>0</v>
      </c>
      <c r="H1341" s="65">
        <v>0</v>
      </c>
      <c r="I1341" s="65">
        <v>0</v>
      </c>
      <c r="J1341" s="65">
        <v>0</v>
      </c>
      <c r="K1341" s="65">
        <v>0</v>
      </c>
      <c r="L1341" s="65">
        <v>0</v>
      </c>
      <c r="M1341" s="65">
        <v>0</v>
      </c>
      <c r="N1341" s="65">
        <v>0</v>
      </c>
      <c r="O1341" s="65">
        <v>0</v>
      </c>
      <c r="P1341" s="65">
        <v>0</v>
      </c>
      <c r="Q1341" s="65">
        <v>0</v>
      </c>
      <c r="R1341" s="65">
        <v>0</v>
      </c>
      <c r="S1341" s="65">
        <v>0</v>
      </c>
      <c r="T1341" s="65">
        <v>0</v>
      </c>
      <c r="U1341" s="65">
        <v>0</v>
      </c>
      <c r="V1341" s="65">
        <v>0</v>
      </c>
      <c r="W1341" s="65">
        <v>0</v>
      </c>
      <c r="X1341" s="65">
        <v>0</v>
      </c>
      <c r="Y1341" s="64"/>
    </row>
    <row r="1342" spans="1:25" s="54" customFormat="1" ht="15" customHeight="1" x14ac:dyDescent="0.3">
      <c r="A1342" s="63"/>
      <c r="B1342" s="64"/>
      <c r="C1342" s="55"/>
      <c r="D1342" s="64">
        <v>2023</v>
      </c>
      <c r="E1342" s="65">
        <v>0</v>
      </c>
      <c r="F1342" s="65">
        <v>0</v>
      </c>
      <c r="G1342" s="65">
        <v>0</v>
      </c>
      <c r="H1342" s="65">
        <v>0</v>
      </c>
      <c r="I1342" s="65">
        <v>0</v>
      </c>
      <c r="J1342" s="65">
        <v>0</v>
      </c>
      <c r="K1342" s="65">
        <v>0</v>
      </c>
      <c r="L1342" s="65">
        <v>0</v>
      </c>
      <c r="M1342" s="65">
        <v>0</v>
      </c>
      <c r="N1342" s="65">
        <v>0</v>
      </c>
      <c r="O1342" s="65">
        <v>0</v>
      </c>
      <c r="P1342" s="65">
        <v>0</v>
      </c>
      <c r="Q1342" s="65">
        <v>0</v>
      </c>
      <c r="R1342" s="65">
        <v>0</v>
      </c>
      <c r="S1342" s="65">
        <v>0</v>
      </c>
      <c r="T1342" s="65">
        <v>0</v>
      </c>
      <c r="U1342" s="65">
        <v>0</v>
      </c>
      <c r="V1342" s="65">
        <v>0</v>
      </c>
      <c r="W1342" s="65">
        <v>0</v>
      </c>
      <c r="X1342" s="65">
        <v>0</v>
      </c>
      <c r="Y1342" s="64"/>
    </row>
    <row r="1343" spans="1:25" s="54" customFormat="1" ht="15" customHeight="1" x14ac:dyDescent="0.3">
      <c r="A1343" s="63"/>
      <c r="B1343" s="64"/>
      <c r="C1343" s="55"/>
      <c r="D1343" s="64">
        <v>2024</v>
      </c>
      <c r="E1343" s="65">
        <v>0</v>
      </c>
      <c r="F1343" s="65">
        <v>0</v>
      </c>
      <c r="G1343" s="65">
        <v>0</v>
      </c>
      <c r="H1343" s="65">
        <v>0</v>
      </c>
      <c r="I1343" s="65">
        <v>0</v>
      </c>
      <c r="J1343" s="65">
        <v>0</v>
      </c>
      <c r="K1343" s="65">
        <v>0</v>
      </c>
      <c r="L1343" s="65">
        <v>0</v>
      </c>
      <c r="M1343" s="65">
        <v>0</v>
      </c>
      <c r="N1343" s="65">
        <v>0</v>
      </c>
      <c r="O1343" s="65">
        <v>0</v>
      </c>
      <c r="P1343" s="65">
        <v>0</v>
      </c>
      <c r="Q1343" s="65">
        <v>0</v>
      </c>
      <c r="R1343" s="65">
        <v>0</v>
      </c>
      <c r="S1343" s="65">
        <v>0</v>
      </c>
      <c r="T1343" s="65">
        <v>0</v>
      </c>
      <c r="U1343" s="65">
        <v>0</v>
      </c>
      <c r="V1343" s="65">
        <v>0</v>
      </c>
      <c r="W1343" s="65">
        <v>0</v>
      </c>
      <c r="X1343" s="65">
        <v>0</v>
      </c>
      <c r="Y1343" s="64"/>
    </row>
    <row r="1344" spans="1:25" s="54" customFormat="1" ht="15" customHeight="1" x14ac:dyDescent="0.3">
      <c r="A1344" s="63"/>
      <c r="B1344" s="64">
        <v>123</v>
      </c>
      <c r="C1344" s="55" t="s">
        <v>78</v>
      </c>
      <c r="D1344" s="64">
        <v>2014</v>
      </c>
      <c r="E1344" s="65">
        <v>0</v>
      </c>
      <c r="F1344" s="65">
        <v>0</v>
      </c>
      <c r="G1344" s="65">
        <v>0</v>
      </c>
      <c r="H1344" s="65">
        <v>0</v>
      </c>
      <c r="I1344" s="65">
        <v>0</v>
      </c>
      <c r="J1344" s="65">
        <v>0</v>
      </c>
      <c r="K1344" s="65">
        <v>0</v>
      </c>
      <c r="L1344" s="65">
        <v>0</v>
      </c>
      <c r="M1344" s="65">
        <v>0</v>
      </c>
      <c r="N1344" s="65">
        <v>0</v>
      </c>
      <c r="O1344" s="65">
        <v>0</v>
      </c>
      <c r="P1344" s="65">
        <v>0</v>
      </c>
      <c r="Q1344" s="65">
        <v>0</v>
      </c>
      <c r="R1344" s="65">
        <v>0</v>
      </c>
      <c r="S1344" s="65">
        <v>0</v>
      </c>
      <c r="T1344" s="65">
        <v>0</v>
      </c>
      <c r="U1344" s="65">
        <v>0</v>
      </c>
      <c r="V1344" s="65">
        <v>0</v>
      </c>
      <c r="W1344" s="65">
        <v>0</v>
      </c>
      <c r="X1344" s="65">
        <v>0</v>
      </c>
      <c r="Y1344" s="64"/>
    </row>
    <row r="1345" spans="1:25" s="54" customFormat="1" ht="15" customHeight="1" x14ac:dyDescent="0.3">
      <c r="A1345" s="63"/>
      <c r="B1345" s="64"/>
      <c r="C1345" s="55"/>
      <c r="D1345" s="64">
        <v>2015</v>
      </c>
      <c r="E1345" s="65">
        <v>0</v>
      </c>
      <c r="F1345" s="65">
        <v>0</v>
      </c>
      <c r="G1345" s="65">
        <v>0</v>
      </c>
      <c r="H1345" s="65">
        <v>0</v>
      </c>
      <c r="I1345" s="65">
        <v>0</v>
      </c>
      <c r="J1345" s="65">
        <v>0</v>
      </c>
      <c r="K1345" s="65">
        <v>0</v>
      </c>
      <c r="L1345" s="65">
        <v>0</v>
      </c>
      <c r="M1345" s="65">
        <v>0</v>
      </c>
      <c r="N1345" s="65">
        <v>0</v>
      </c>
      <c r="O1345" s="65">
        <v>0</v>
      </c>
      <c r="P1345" s="65">
        <v>0</v>
      </c>
      <c r="Q1345" s="65">
        <v>0</v>
      </c>
      <c r="R1345" s="65">
        <v>0</v>
      </c>
      <c r="S1345" s="65">
        <v>0</v>
      </c>
      <c r="T1345" s="65">
        <v>0</v>
      </c>
      <c r="U1345" s="65">
        <v>0</v>
      </c>
      <c r="V1345" s="65">
        <v>0</v>
      </c>
      <c r="W1345" s="65">
        <v>0</v>
      </c>
      <c r="X1345" s="65">
        <v>0</v>
      </c>
      <c r="Y1345" s="64"/>
    </row>
    <row r="1346" spans="1:25" s="54" customFormat="1" ht="15" customHeight="1" x14ac:dyDescent="0.3">
      <c r="A1346" s="63"/>
      <c r="B1346" s="64"/>
      <c r="C1346" s="55"/>
      <c r="D1346" s="64">
        <v>2016</v>
      </c>
      <c r="E1346" s="65">
        <v>0</v>
      </c>
      <c r="F1346" s="65">
        <v>0</v>
      </c>
      <c r="G1346" s="65">
        <v>0</v>
      </c>
      <c r="H1346" s="65">
        <v>0</v>
      </c>
      <c r="I1346" s="65">
        <v>0</v>
      </c>
      <c r="J1346" s="65">
        <v>0</v>
      </c>
      <c r="K1346" s="65">
        <v>0</v>
      </c>
      <c r="L1346" s="65">
        <v>0</v>
      </c>
      <c r="M1346" s="65">
        <v>0</v>
      </c>
      <c r="N1346" s="65">
        <v>0</v>
      </c>
      <c r="O1346" s="65">
        <v>0</v>
      </c>
      <c r="P1346" s="65">
        <v>0</v>
      </c>
      <c r="Q1346" s="65">
        <v>0</v>
      </c>
      <c r="R1346" s="65">
        <v>0</v>
      </c>
      <c r="S1346" s="65">
        <v>0</v>
      </c>
      <c r="T1346" s="65">
        <v>0</v>
      </c>
      <c r="U1346" s="65">
        <v>0</v>
      </c>
      <c r="V1346" s="65">
        <v>0</v>
      </c>
      <c r="W1346" s="65">
        <v>0</v>
      </c>
      <c r="X1346" s="65">
        <v>0</v>
      </c>
      <c r="Y1346" s="64"/>
    </row>
    <row r="1347" spans="1:25" s="54" customFormat="1" ht="15" customHeight="1" x14ac:dyDescent="0.3">
      <c r="A1347" s="63"/>
      <c r="B1347" s="64"/>
      <c r="C1347" s="55"/>
      <c r="D1347" s="64">
        <v>2017</v>
      </c>
      <c r="E1347" s="65">
        <v>0</v>
      </c>
      <c r="F1347" s="65">
        <v>0</v>
      </c>
      <c r="G1347" s="65">
        <v>0</v>
      </c>
      <c r="H1347" s="65">
        <v>0</v>
      </c>
      <c r="I1347" s="65">
        <v>0</v>
      </c>
      <c r="J1347" s="65">
        <v>0</v>
      </c>
      <c r="K1347" s="65">
        <v>0</v>
      </c>
      <c r="L1347" s="65">
        <v>0</v>
      </c>
      <c r="M1347" s="65">
        <v>0</v>
      </c>
      <c r="N1347" s="65">
        <v>0</v>
      </c>
      <c r="O1347" s="65">
        <v>0</v>
      </c>
      <c r="P1347" s="65">
        <v>0</v>
      </c>
      <c r="Q1347" s="65">
        <v>0</v>
      </c>
      <c r="R1347" s="65">
        <v>0</v>
      </c>
      <c r="S1347" s="65">
        <v>0</v>
      </c>
      <c r="T1347" s="65">
        <v>0</v>
      </c>
      <c r="U1347" s="65">
        <v>0</v>
      </c>
      <c r="V1347" s="65">
        <v>0</v>
      </c>
      <c r="W1347" s="65">
        <v>0</v>
      </c>
      <c r="X1347" s="65">
        <v>0</v>
      </c>
      <c r="Y1347" s="64"/>
    </row>
    <row r="1348" spans="1:25" s="54" customFormat="1" ht="15" customHeight="1" x14ac:dyDescent="0.3">
      <c r="A1348" s="63"/>
      <c r="B1348" s="64"/>
      <c r="C1348" s="55"/>
      <c r="D1348" s="64">
        <v>2018</v>
      </c>
      <c r="E1348" s="65">
        <v>0</v>
      </c>
      <c r="F1348" s="65">
        <v>0</v>
      </c>
      <c r="G1348" s="65">
        <v>0</v>
      </c>
      <c r="H1348" s="65">
        <v>0</v>
      </c>
      <c r="I1348" s="65">
        <v>0</v>
      </c>
      <c r="J1348" s="65">
        <v>0</v>
      </c>
      <c r="K1348" s="65">
        <v>0</v>
      </c>
      <c r="L1348" s="65">
        <v>0</v>
      </c>
      <c r="M1348" s="65">
        <v>0</v>
      </c>
      <c r="N1348" s="65">
        <v>0</v>
      </c>
      <c r="O1348" s="65">
        <v>0</v>
      </c>
      <c r="P1348" s="65">
        <v>0</v>
      </c>
      <c r="Q1348" s="65">
        <v>0</v>
      </c>
      <c r="R1348" s="65">
        <v>0</v>
      </c>
      <c r="S1348" s="65">
        <v>0</v>
      </c>
      <c r="T1348" s="65">
        <v>0</v>
      </c>
      <c r="U1348" s="65">
        <v>0</v>
      </c>
      <c r="V1348" s="65">
        <v>0</v>
      </c>
      <c r="W1348" s="65">
        <v>0</v>
      </c>
      <c r="X1348" s="65">
        <v>0</v>
      </c>
      <c r="Y1348" s="64"/>
    </row>
    <row r="1349" spans="1:25" s="54" customFormat="1" ht="15" customHeight="1" x14ac:dyDescent="0.3">
      <c r="A1349" s="63"/>
      <c r="B1349" s="64"/>
      <c r="C1349" s="55"/>
      <c r="D1349" s="64">
        <v>2019</v>
      </c>
      <c r="E1349" s="65">
        <f>3300330866</f>
        <v>3300330866</v>
      </c>
      <c r="F1349" s="65">
        <f>E1349+88154965437+125987903205+213672150+101179236426</f>
        <v>318836108084</v>
      </c>
      <c r="G1349" s="65">
        <f>348268361065</f>
        <v>348268361065</v>
      </c>
      <c r="H1349" s="65">
        <f>234894775499-5551057000-121920590583</f>
        <v>107423127916</v>
      </c>
      <c r="I1349" s="65">
        <f>234894775499</f>
        <v>234894775499</v>
      </c>
      <c r="J1349" s="65">
        <f>600000000+35373585566</f>
        <v>35973585566</v>
      </c>
      <c r="K1349" s="65">
        <f>113373585566</f>
        <v>113373585566</v>
      </c>
      <c r="L1349" s="65">
        <f>51548728015</f>
        <v>51548728015</v>
      </c>
      <c r="M1349" s="65">
        <f>-439808557</f>
        <v>-439808557</v>
      </c>
      <c r="N1349" s="65">
        <f>512260665</f>
        <v>512260665</v>
      </c>
      <c r="O1349" s="66">
        <v>0.99990000000000001</v>
      </c>
      <c r="P1349" s="67" t="s">
        <v>296</v>
      </c>
      <c r="Q1349" s="65">
        <v>2</v>
      </c>
      <c r="R1349" s="65">
        <v>3</v>
      </c>
      <c r="S1349" s="65">
        <v>2</v>
      </c>
      <c r="T1349" s="65">
        <f t="shared" ref="T1349:T1354" si="129">SUM(R1349:S1349)</f>
        <v>5</v>
      </c>
      <c r="U1349" s="68">
        <v>0</v>
      </c>
      <c r="V1349" s="65">
        <v>0</v>
      </c>
      <c r="W1349" s="65">
        <v>0</v>
      </c>
      <c r="X1349" s="65">
        <v>0</v>
      </c>
      <c r="Y1349" s="64"/>
    </row>
    <row r="1350" spans="1:25" s="54" customFormat="1" ht="15" customHeight="1" x14ac:dyDescent="0.3">
      <c r="A1350" s="63"/>
      <c r="B1350" s="64"/>
      <c r="C1350" s="55"/>
      <c r="D1350" s="64">
        <v>2020</v>
      </c>
      <c r="E1350" s="65">
        <f>5575273998</f>
        <v>5575273998</v>
      </c>
      <c r="F1350" s="65">
        <f>E1350+131700075617+132606131282+74720532110+13524629594</f>
        <v>358126642601</v>
      </c>
      <c r="G1350" s="65">
        <f>394436443248</f>
        <v>394436443248</v>
      </c>
      <c r="H1350" s="65">
        <f>278258189798-6272939000-89853934778</f>
        <v>182131316020</v>
      </c>
      <c r="I1350" s="65">
        <f>278258189798</f>
        <v>278258189798</v>
      </c>
      <c r="J1350" s="65">
        <f>600000000+36078253450</f>
        <v>36678253450</v>
      </c>
      <c r="K1350" s="65">
        <f>116178253450</f>
        <v>116178253450</v>
      </c>
      <c r="L1350" s="65">
        <f>41767867019</f>
        <v>41767867019</v>
      </c>
      <c r="M1350" s="65">
        <f>-643703986</f>
        <v>-643703986</v>
      </c>
      <c r="N1350" s="65">
        <f>410214152</f>
        <v>410214152</v>
      </c>
      <c r="O1350" s="66">
        <v>0.99990000000000001</v>
      </c>
      <c r="P1350" s="67" t="s">
        <v>296</v>
      </c>
      <c r="Q1350" s="65">
        <v>2</v>
      </c>
      <c r="R1350" s="65">
        <v>3</v>
      </c>
      <c r="S1350" s="65">
        <v>3</v>
      </c>
      <c r="T1350" s="65">
        <f t="shared" si="129"/>
        <v>6</v>
      </c>
      <c r="U1350" s="68">
        <v>0</v>
      </c>
      <c r="V1350" s="65">
        <v>0</v>
      </c>
      <c r="W1350" s="65">
        <v>0</v>
      </c>
      <c r="X1350" s="65">
        <v>0</v>
      </c>
      <c r="Y1350" s="64"/>
    </row>
    <row r="1351" spans="1:25" s="54" customFormat="1" ht="15" customHeight="1" x14ac:dyDescent="0.3">
      <c r="A1351" s="63"/>
      <c r="B1351" s="64"/>
      <c r="C1351" s="55"/>
      <c r="D1351" s="64">
        <v>2021</v>
      </c>
      <c r="E1351" s="65">
        <f>19902997886</f>
        <v>19902997886</v>
      </c>
      <c r="F1351" s="65">
        <f>E1351+157407440583+39616448529+12589951402</f>
        <v>229516838400</v>
      </c>
      <c r="G1351" s="65">
        <f>268539063091</f>
        <v>268539063091</v>
      </c>
      <c r="H1351" s="65">
        <f>I1351-6399293750-67578025090</f>
        <v>74574505034</v>
      </c>
      <c r="I1351" s="65">
        <f>148551823874</f>
        <v>148551823874</v>
      </c>
      <c r="J1351" s="65">
        <f>600000000+38387239217</f>
        <v>38987239217</v>
      </c>
      <c r="K1351" s="65">
        <f>119987239217</f>
        <v>119987239217</v>
      </c>
      <c r="L1351" s="65">
        <f>82150958142</f>
        <v>82150958142</v>
      </c>
      <c r="M1351" s="65">
        <f>-1117279748</f>
        <v>-1117279748</v>
      </c>
      <c r="N1351" s="65">
        <f>2308985768</f>
        <v>2308985768</v>
      </c>
      <c r="O1351" s="66">
        <v>0.99990000000000001</v>
      </c>
      <c r="P1351" s="67" t="s">
        <v>296</v>
      </c>
      <c r="Q1351" s="65">
        <v>2</v>
      </c>
      <c r="R1351" s="65">
        <v>3</v>
      </c>
      <c r="S1351" s="65">
        <v>5</v>
      </c>
      <c r="T1351" s="65">
        <f t="shared" si="129"/>
        <v>8</v>
      </c>
      <c r="U1351" s="68">
        <v>0</v>
      </c>
      <c r="V1351" s="65">
        <v>0</v>
      </c>
      <c r="W1351" s="65">
        <v>0</v>
      </c>
      <c r="X1351" s="65">
        <v>0</v>
      </c>
      <c r="Y1351" s="64"/>
    </row>
    <row r="1352" spans="1:25" s="54" customFormat="1" ht="15" customHeight="1" x14ac:dyDescent="0.3">
      <c r="A1352" s="63"/>
      <c r="B1352" s="64"/>
      <c r="C1352" s="55"/>
      <c r="D1352" s="64">
        <v>2022</v>
      </c>
      <c r="E1352" s="65">
        <f>67551703991</f>
        <v>67551703991</v>
      </c>
      <c r="F1352" s="65">
        <f>67551703991+145344955298+73387569908+7310239127</f>
        <v>293594468324</v>
      </c>
      <c r="G1352" s="65">
        <f>410446680382</f>
        <v>410446680382</v>
      </c>
      <c r="H1352" s="65">
        <f>I1352-3610553562-159989690341</f>
        <v>121049138701</v>
      </c>
      <c r="I1352" s="65">
        <f>284649382604</f>
        <v>284649382604</v>
      </c>
      <c r="J1352" s="65">
        <f>600000000+44197297777</f>
        <v>44797297777</v>
      </c>
      <c r="K1352" s="65">
        <f>125797297777</f>
        <v>125797297777</v>
      </c>
      <c r="L1352" s="65">
        <f>396161233090</f>
        <v>396161233090</v>
      </c>
      <c r="M1352" s="65">
        <f>10211337303</f>
        <v>10211337303</v>
      </c>
      <c r="N1352" s="65">
        <f>5810058561</f>
        <v>5810058561</v>
      </c>
      <c r="O1352" s="66">
        <v>0.99990000000000001</v>
      </c>
      <c r="P1352" s="67" t="s">
        <v>296</v>
      </c>
      <c r="Q1352" s="65">
        <v>2</v>
      </c>
      <c r="R1352" s="65">
        <v>3</v>
      </c>
      <c r="S1352" s="65">
        <v>4</v>
      </c>
      <c r="T1352" s="65">
        <f t="shared" si="129"/>
        <v>7</v>
      </c>
      <c r="U1352" s="68">
        <v>0</v>
      </c>
      <c r="V1352" s="65">
        <v>0</v>
      </c>
      <c r="W1352" s="65">
        <v>0</v>
      </c>
      <c r="X1352" s="65">
        <v>0</v>
      </c>
      <c r="Y1352" s="64"/>
    </row>
    <row r="1353" spans="1:25" s="54" customFormat="1" ht="15" customHeight="1" x14ac:dyDescent="0.3">
      <c r="A1353" s="63"/>
      <c r="B1353" s="64"/>
      <c r="C1353" s="55"/>
      <c r="D1353" s="64">
        <v>2023</v>
      </c>
      <c r="E1353" s="65">
        <f>201074436559</f>
        <v>201074436559</v>
      </c>
      <c r="F1353" s="65">
        <f>E1353+305724046095+1732477783+59605000000+109979563316+18233718407</f>
        <v>696349242160</v>
      </c>
      <c r="G1353" s="65">
        <f>862379828144</f>
        <v>862379828144</v>
      </c>
      <c r="H1353" s="65">
        <f>I1353-3994935645-370654618070</f>
        <v>197192201191</v>
      </c>
      <c r="I1353" s="65">
        <f>571841754906</f>
        <v>571841754906</v>
      </c>
      <c r="J1353" s="65">
        <f>600000000+197938073238</f>
        <v>198538073238</v>
      </c>
      <c r="K1353" s="65">
        <f>290538073238</f>
        <v>290538073238</v>
      </c>
      <c r="L1353" s="65">
        <f>741653631493</f>
        <v>741653631493</v>
      </c>
      <c r="M1353" s="65">
        <f>205464145875</f>
        <v>205464145875</v>
      </c>
      <c r="N1353" s="65">
        <f>153740775461</f>
        <v>153740775461</v>
      </c>
      <c r="O1353" s="66">
        <v>0.99990000000000001</v>
      </c>
      <c r="P1353" s="67" t="s">
        <v>296</v>
      </c>
      <c r="Q1353" s="65">
        <v>1</v>
      </c>
      <c r="R1353" s="65">
        <v>2</v>
      </c>
      <c r="S1353" s="65">
        <v>3</v>
      </c>
      <c r="T1353" s="65">
        <f t="shared" si="129"/>
        <v>5</v>
      </c>
      <c r="U1353" s="68">
        <v>0</v>
      </c>
      <c r="V1353" s="65">
        <v>0</v>
      </c>
      <c r="W1353" s="65">
        <v>0</v>
      </c>
      <c r="X1353" s="65">
        <v>0</v>
      </c>
      <c r="Y1353" s="64"/>
    </row>
    <row r="1354" spans="1:25" s="54" customFormat="1" ht="15" customHeight="1" x14ac:dyDescent="0.3">
      <c r="A1354" s="63"/>
      <c r="B1354" s="64"/>
      <c r="C1354" s="55"/>
      <c r="D1354" s="64">
        <v>2024</v>
      </c>
      <c r="E1354" s="65">
        <f>256350410422</f>
        <v>256350410422</v>
      </c>
      <c r="F1354" s="65">
        <f>E1354+309614928445+14662421+2828342466+123753954895+8364083760</f>
        <v>700926382409</v>
      </c>
      <c r="G1354" s="65">
        <f>930448689416</f>
        <v>930448689416</v>
      </c>
      <c r="H1354" s="65">
        <f>I1354-3875558925-563899275408</f>
        <v>144745737669</v>
      </c>
      <c r="I1354" s="65">
        <f>712520572002</f>
        <v>712520572002</v>
      </c>
      <c r="J1354" s="65">
        <f>600000000+125328117414</f>
        <v>125928117414</v>
      </c>
      <c r="K1354" s="65">
        <f>217928117414</f>
        <v>217928117414</v>
      </c>
      <c r="L1354" s="65">
        <f>1995730212923</f>
        <v>1995730212923</v>
      </c>
      <c r="M1354" s="65">
        <f>95371489563</f>
        <v>95371489563</v>
      </c>
      <c r="N1354" s="65">
        <f>89805636099</f>
        <v>89805636099</v>
      </c>
      <c r="O1354" s="66">
        <v>0.99990000000000001</v>
      </c>
      <c r="P1354" s="67" t="s">
        <v>296</v>
      </c>
      <c r="Q1354" s="65">
        <v>2</v>
      </c>
      <c r="R1354" s="65">
        <v>3</v>
      </c>
      <c r="S1354" s="65">
        <v>4</v>
      </c>
      <c r="T1354" s="65">
        <f t="shared" si="129"/>
        <v>7</v>
      </c>
      <c r="U1354" s="68">
        <v>0</v>
      </c>
      <c r="V1354" s="65">
        <v>0</v>
      </c>
      <c r="W1354" s="65">
        <v>0</v>
      </c>
      <c r="X1354" s="65">
        <v>0</v>
      </c>
      <c r="Y1354" s="64"/>
    </row>
    <row r="1355" spans="1:25" s="54" customFormat="1" ht="15" customHeight="1" x14ac:dyDescent="0.3">
      <c r="A1355" s="63"/>
      <c r="B1355" s="64">
        <v>124</v>
      </c>
      <c r="C1355" s="55" t="s">
        <v>110</v>
      </c>
      <c r="D1355" s="64">
        <v>2014</v>
      </c>
      <c r="E1355" s="65">
        <v>0</v>
      </c>
      <c r="F1355" s="65">
        <v>0</v>
      </c>
      <c r="G1355" s="65">
        <v>0</v>
      </c>
      <c r="H1355" s="65">
        <v>0</v>
      </c>
      <c r="I1355" s="65">
        <v>0</v>
      </c>
      <c r="J1355" s="65">
        <v>0</v>
      </c>
      <c r="K1355" s="65">
        <v>0</v>
      </c>
      <c r="L1355" s="65">
        <f>345972193746</f>
        <v>345972193746</v>
      </c>
      <c r="M1355" s="65">
        <v>0</v>
      </c>
      <c r="N1355" s="65">
        <v>0</v>
      </c>
      <c r="O1355" s="65">
        <v>0</v>
      </c>
      <c r="P1355" s="65">
        <v>0</v>
      </c>
      <c r="Q1355" s="65">
        <v>0</v>
      </c>
      <c r="R1355" s="65">
        <v>0</v>
      </c>
      <c r="S1355" s="65">
        <v>0</v>
      </c>
      <c r="T1355" s="65">
        <v>0</v>
      </c>
      <c r="U1355" s="65">
        <v>0</v>
      </c>
      <c r="V1355" s="65">
        <v>0</v>
      </c>
      <c r="W1355" s="65">
        <v>0</v>
      </c>
      <c r="X1355" s="65">
        <v>0</v>
      </c>
      <c r="Y1355" s="64"/>
    </row>
    <row r="1356" spans="1:25" s="54" customFormat="1" ht="15" customHeight="1" x14ac:dyDescent="0.3">
      <c r="A1356" s="63"/>
      <c r="B1356" s="64"/>
      <c r="C1356" s="55"/>
      <c r="D1356" s="64">
        <v>2015</v>
      </c>
      <c r="E1356" s="65">
        <f>108270915249</f>
        <v>108270915249</v>
      </c>
      <c r="F1356" s="65">
        <f>E1356+182386201360+15277809018+3574617248+17339000025+175090613191</f>
        <v>501939156091</v>
      </c>
      <c r="G1356" s="65">
        <f>921927252120</f>
        <v>921927252120</v>
      </c>
      <c r="H1356" s="65">
        <f>I1356-35194973445-17578179000-584342670579</f>
        <v>68423281852</v>
      </c>
      <c r="I1356" s="65">
        <f>705539104876</f>
        <v>705539104876</v>
      </c>
      <c r="J1356" s="65">
        <f>20000000000+92755897223</f>
        <v>112755897223</v>
      </c>
      <c r="K1356" s="65">
        <f>216388147244</f>
        <v>216388147244</v>
      </c>
      <c r="L1356" s="65">
        <f>488027912555</f>
        <v>488027912555</v>
      </c>
      <c r="M1356" s="65">
        <f>25940834641</f>
        <v>25940834641</v>
      </c>
      <c r="N1356" s="65">
        <f>23304078542</f>
        <v>23304078542</v>
      </c>
      <c r="O1356" s="66">
        <v>0.55000000000000004</v>
      </c>
      <c r="P1356" s="67" t="s">
        <v>319</v>
      </c>
      <c r="Q1356" s="65">
        <v>3</v>
      </c>
      <c r="R1356" s="65">
        <v>6</v>
      </c>
      <c r="S1356" s="65">
        <v>3</v>
      </c>
      <c r="T1356" s="65">
        <f>SUM(R1356:S1356)</f>
        <v>9</v>
      </c>
      <c r="U1356" s="68">
        <v>0</v>
      </c>
      <c r="V1356" s="65">
        <f>6+(2*4)+(3*2)</f>
        <v>20</v>
      </c>
      <c r="W1356" s="65">
        <f t="shared" ref="W1356:W1398" si="130">V1356</f>
        <v>20</v>
      </c>
      <c r="X1356" s="65">
        <v>3</v>
      </c>
      <c r="Y1356" s="64"/>
    </row>
    <row r="1357" spans="1:25" s="54" customFormat="1" ht="15" customHeight="1" x14ac:dyDescent="0.3">
      <c r="A1357" s="63"/>
      <c r="B1357" s="64"/>
      <c r="C1357" s="55"/>
      <c r="D1357" s="64">
        <v>2016</v>
      </c>
      <c r="E1357" s="65">
        <f>55682377014</f>
        <v>55682377014</v>
      </c>
      <c r="F1357" s="65">
        <f>(55682377014+207957713836+22866012354+3332293397+28028330425+121361685258)</f>
        <v>439228412284</v>
      </c>
      <c r="G1357" s="65">
        <f>1136810730112</f>
        <v>1136810730112</v>
      </c>
      <c r="H1357" s="65">
        <f>2441980822+42073276487+8245250164+6013159696+9095804184+9327536052</f>
        <v>77197007405</v>
      </c>
      <c r="I1357" s="65">
        <f>736615069781</f>
        <v>736615069781</v>
      </c>
      <c r="J1357" s="65">
        <f>20000000000+115707980711</f>
        <v>135707980711</v>
      </c>
      <c r="K1357" s="65">
        <f>373195660331</f>
        <v>373195660331</v>
      </c>
      <c r="L1357" s="65">
        <f>493200051568</f>
        <v>493200051568</v>
      </c>
      <c r="M1357" s="65">
        <f>22497283881</f>
        <v>22497283881</v>
      </c>
      <c r="N1357" s="65">
        <f>22952083488</f>
        <v>22952083488</v>
      </c>
      <c r="O1357" s="66">
        <v>0.55000000000000004</v>
      </c>
      <c r="P1357" s="67" t="s">
        <v>319</v>
      </c>
      <c r="Q1357" s="65">
        <v>2</v>
      </c>
      <c r="R1357" s="65">
        <v>4</v>
      </c>
      <c r="S1357" s="65">
        <v>3</v>
      </c>
      <c r="T1357" s="65">
        <f t="shared" ref="T1357:T1365" si="131">SUM(R1357:S1357)</f>
        <v>7</v>
      </c>
      <c r="U1357" s="68">
        <v>0</v>
      </c>
      <c r="V1357" s="65">
        <f>4+(2*3)+3</f>
        <v>13</v>
      </c>
      <c r="W1357" s="65">
        <f t="shared" si="130"/>
        <v>13</v>
      </c>
      <c r="X1357" s="65">
        <f>3</f>
        <v>3</v>
      </c>
      <c r="Y1357" s="64"/>
    </row>
    <row r="1358" spans="1:25" s="54" customFormat="1" ht="15" customHeight="1" x14ac:dyDescent="0.3">
      <c r="A1358" s="63"/>
      <c r="B1358" s="64"/>
      <c r="C1358" s="55"/>
      <c r="D1358" s="64">
        <v>2017</v>
      </c>
      <c r="E1358" s="65">
        <f>74517739179</f>
        <v>74517739179</v>
      </c>
      <c r="F1358" s="65">
        <f>E1358+129821038483+16720472155+5900779325+9720023591+53364469814+258840146408</f>
        <v>548884668955</v>
      </c>
      <c r="G1358" s="65">
        <f>1327250439408</f>
        <v>1327250439408</v>
      </c>
      <c r="H1358" s="65">
        <f>I1358-939149000-896410515811</f>
        <v>62609971818</v>
      </c>
      <c r="I1358" s="65">
        <f>959959636629</f>
        <v>959959636629</v>
      </c>
      <c r="J1358" s="65">
        <f>46400000000+46628500883</f>
        <v>93028500883</v>
      </c>
      <c r="K1358" s="65">
        <f>367290802779</f>
        <v>367290802779</v>
      </c>
      <c r="L1358" s="65">
        <f>581882610055</f>
        <v>581882610055</v>
      </c>
      <c r="M1358" s="65">
        <f>-67259612967</f>
        <v>-67259612967</v>
      </c>
      <c r="N1358" s="65">
        <f>-42679419828</f>
        <v>-42679419828</v>
      </c>
      <c r="O1358" s="66">
        <v>0.76290000000000002</v>
      </c>
      <c r="P1358" s="67" t="s">
        <v>320</v>
      </c>
      <c r="Q1358" s="65">
        <v>2</v>
      </c>
      <c r="R1358" s="65">
        <v>4</v>
      </c>
      <c r="S1358" s="65">
        <v>3</v>
      </c>
      <c r="T1358" s="65">
        <f t="shared" si="131"/>
        <v>7</v>
      </c>
      <c r="U1358" s="68">
        <v>0</v>
      </c>
      <c r="V1358" s="65">
        <f>4+(2*3)+3</f>
        <v>13</v>
      </c>
      <c r="W1358" s="65">
        <f t="shared" si="130"/>
        <v>13</v>
      </c>
      <c r="X1358" s="65">
        <v>3</v>
      </c>
      <c r="Y1358" s="64"/>
    </row>
    <row r="1359" spans="1:25" s="54" customFormat="1" ht="15" customHeight="1" x14ac:dyDescent="0.3">
      <c r="A1359" s="63"/>
      <c r="B1359" s="64"/>
      <c r="C1359" s="55"/>
      <c r="D1359" s="64">
        <v>2018</v>
      </c>
      <c r="E1359" s="65">
        <f>36421*1000000</f>
        <v>36421000000</v>
      </c>
      <c r="F1359" s="65">
        <f>(36421+39937+84112+21862+7179+207929)*1000000</f>
        <v>397440000000</v>
      </c>
      <c r="G1359" s="65">
        <f>1242415*1000000</f>
        <v>1242415000000</v>
      </c>
      <c r="H1359" s="65">
        <f>(538+33330+5072+13923)*1000000</f>
        <v>52863000000</v>
      </c>
      <c r="I1359" s="65">
        <f>760633*1000000</f>
        <v>760633000000</v>
      </c>
      <c r="J1359" s="65">
        <f>(56478+56274)*1000000</f>
        <v>112752000000</v>
      </c>
      <c r="K1359" s="65">
        <f>481782*1000000</f>
        <v>481782000000</v>
      </c>
      <c r="L1359" s="65">
        <f>353720*1000000</f>
        <v>353720000000</v>
      </c>
      <c r="M1359" s="65">
        <f>27061*1000000</f>
        <v>27061000000</v>
      </c>
      <c r="N1359" s="65">
        <f>22714*1000000</f>
        <v>22714000000</v>
      </c>
      <c r="O1359" s="66">
        <v>0.76390000000000002</v>
      </c>
      <c r="P1359" s="67" t="s">
        <v>320</v>
      </c>
      <c r="Q1359" s="65">
        <v>2</v>
      </c>
      <c r="R1359" s="65">
        <v>4</v>
      </c>
      <c r="S1359" s="65">
        <v>3</v>
      </c>
      <c r="T1359" s="65">
        <f t="shared" si="131"/>
        <v>7</v>
      </c>
      <c r="U1359" s="68">
        <v>0</v>
      </c>
      <c r="V1359" s="65">
        <f>4+(2*3)+3</f>
        <v>13</v>
      </c>
      <c r="W1359" s="65">
        <f t="shared" si="130"/>
        <v>13</v>
      </c>
      <c r="X1359" s="65">
        <v>3</v>
      </c>
      <c r="Y1359" s="64"/>
    </row>
    <row r="1360" spans="1:25" s="54" customFormat="1" ht="15" customHeight="1" x14ac:dyDescent="0.3">
      <c r="A1360" s="63"/>
      <c r="B1360" s="64"/>
      <c r="C1360" s="55"/>
      <c r="D1360" s="64">
        <v>2019</v>
      </c>
      <c r="E1360" s="65">
        <f>134354*1000000</f>
        <v>134354000000</v>
      </c>
      <c r="F1360" s="65">
        <f>(134354+64897+40224+22809)*1000000</f>
        <v>262284000000</v>
      </c>
      <c r="G1360" s="65">
        <f>1149812*1000000</f>
        <v>1149812000000</v>
      </c>
      <c r="H1360" s="65">
        <f>(61+25696+5545+28085)*1000000</f>
        <v>59387000000</v>
      </c>
      <c r="I1360" s="65">
        <f>647787*1000000</f>
        <v>647787000000</v>
      </c>
      <c r="J1360" s="65">
        <f>(72218+60777)*1000000</f>
        <v>132995000000</v>
      </c>
      <c r="K1360" s="65">
        <f>502025*1000000</f>
        <v>502025000000</v>
      </c>
      <c r="L1360" s="65">
        <f>75804*1000000</f>
        <v>75804000000</v>
      </c>
      <c r="M1360" s="65">
        <f>16000*1000000</f>
        <v>16000000000</v>
      </c>
      <c r="N1360" s="65">
        <f>16900*1000000</f>
        <v>16900000000</v>
      </c>
      <c r="O1360" s="66">
        <v>0.95</v>
      </c>
      <c r="P1360" s="67" t="s">
        <v>321</v>
      </c>
      <c r="Q1360" s="65">
        <v>2</v>
      </c>
      <c r="R1360" s="65">
        <v>4</v>
      </c>
      <c r="S1360" s="65">
        <v>3</v>
      </c>
      <c r="T1360" s="65">
        <f t="shared" si="131"/>
        <v>7</v>
      </c>
      <c r="U1360" s="68">
        <v>0</v>
      </c>
      <c r="V1360" s="65">
        <f>4+(2*2)+3</f>
        <v>11</v>
      </c>
      <c r="W1360" s="65">
        <f t="shared" si="130"/>
        <v>11</v>
      </c>
      <c r="X1360" s="65">
        <v>3</v>
      </c>
      <c r="Y1360" s="64"/>
    </row>
    <row r="1361" spans="1:25" s="54" customFormat="1" ht="15" customHeight="1" x14ac:dyDescent="0.3">
      <c r="A1361" s="63"/>
      <c r="B1361" s="64"/>
      <c r="C1361" s="55"/>
      <c r="D1361" s="64">
        <v>2020</v>
      </c>
      <c r="E1361" s="65">
        <f>73260*1000000</f>
        <v>73260000000</v>
      </c>
      <c r="F1361" s="65">
        <f>(73260+93446+48642+16778+4446+207035)*1000000</f>
        <v>443607000000</v>
      </c>
      <c r="G1361" s="65">
        <f>1148806*1000000</f>
        <v>1148806000000</v>
      </c>
      <c r="H1361" s="65">
        <f>(240+42481+5060+37756)*1000000</f>
        <v>85537000000</v>
      </c>
      <c r="I1361" s="65">
        <f>620369*1000000</f>
        <v>620369000000</v>
      </c>
      <c r="J1361" s="65">
        <f>(72218+83698)*1000000</f>
        <v>155916000000</v>
      </c>
      <c r="K1361" s="65">
        <f>528437*1000000</f>
        <v>528437000000</v>
      </c>
      <c r="L1361" s="65">
        <f>210372*1000000</f>
        <v>210372000000</v>
      </c>
      <c r="M1361" s="65">
        <f>34038*1000000</f>
        <v>34038000000</v>
      </c>
      <c r="N1361" s="65">
        <f>23078*1000000</f>
        <v>23078000000</v>
      </c>
      <c r="O1361" s="66">
        <v>0.95</v>
      </c>
      <c r="P1361" s="67" t="s">
        <v>321</v>
      </c>
      <c r="Q1361" s="65">
        <v>2</v>
      </c>
      <c r="R1361" s="65">
        <v>4</v>
      </c>
      <c r="S1361" s="65">
        <v>4</v>
      </c>
      <c r="T1361" s="65">
        <f t="shared" si="131"/>
        <v>8</v>
      </c>
      <c r="U1361" s="68">
        <v>0</v>
      </c>
      <c r="V1361" s="65">
        <f>4+(2*2)+3</f>
        <v>11</v>
      </c>
      <c r="W1361" s="65">
        <f t="shared" si="130"/>
        <v>11</v>
      </c>
      <c r="X1361" s="65">
        <f>4+2</f>
        <v>6</v>
      </c>
      <c r="Y1361" s="64"/>
    </row>
    <row r="1362" spans="1:25" s="54" customFormat="1" ht="15" customHeight="1" x14ac:dyDescent="0.3">
      <c r="A1362" s="63"/>
      <c r="B1362" s="64"/>
      <c r="C1362" s="55"/>
      <c r="D1362" s="64">
        <v>2021</v>
      </c>
      <c r="E1362" s="65">
        <f>57220*1000000</f>
        <v>57220000000</v>
      </c>
      <c r="F1362" s="65">
        <f>(57220+107019+1383+11301+193531+5191)*1000000</f>
        <v>375645000000</v>
      </c>
      <c r="G1362" s="65">
        <f>1197031*1000000</f>
        <v>1197031000000</v>
      </c>
      <c r="H1362" s="65">
        <f>(168+91726+4042+565+33331)*1000000</f>
        <v>129832000000</v>
      </c>
      <c r="I1362" s="65">
        <f>634345*1000000</f>
        <v>634345000000</v>
      </c>
      <c r="J1362" s="65">
        <f>(72218+119285)*1000000</f>
        <v>191503000000</v>
      </c>
      <c r="K1362" s="65">
        <f>562686*1000000</f>
        <v>562686000000</v>
      </c>
      <c r="L1362" s="65">
        <f>215919*1000000</f>
        <v>215919000000</v>
      </c>
      <c r="M1362" s="65">
        <f>41521*1000000</f>
        <v>41521000000</v>
      </c>
      <c r="N1362" s="65">
        <f>35617*1000000</f>
        <v>35617000000</v>
      </c>
      <c r="O1362" s="66">
        <v>0.95</v>
      </c>
      <c r="P1362" s="67" t="s">
        <v>321</v>
      </c>
      <c r="Q1362" s="65">
        <v>1</v>
      </c>
      <c r="R1362" s="65">
        <v>3</v>
      </c>
      <c r="S1362" s="65">
        <v>4</v>
      </c>
      <c r="T1362" s="65">
        <f t="shared" si="131"/>
        <v>7</v>
      </c>
      <c r="U1362" s="68">
        <v>0</v>
      </c>
      <c r="V1362" s="65">
        <f>3+(2*1)+3</f>
        <v>8</v>
      </c>
      <c r="W1362" s="65">
        <f t="shared" si="130"/>
        <v>8</v>
      </c>
      <c r="X1362" s="65">
        <f>4+2</f>
        <v>6</v>
      </c>
      <c r="Y1362" s="64"/>
    </row>
    <row r="1363" spans="1:25" s="54" customFormat="1" ht="15" customHeight="1" x14ac:dyDescent="0.3">
      <c r="A1363" s="63"/>
      <c r="B1363" s="64"/>
      <c r="C1363" s="55"/>
      <c r="D1363" s="64">
        <v>2022</v>
      </c>
      <c r="E1363" s="65">
        <f>72036*1000000</f>
        <v>72036000000</v>
      </c>
      <c r="F1363" s="65">
        <f>(72036+133589+108+19828+487196+3659)*1000000</f>
        <v>716416000000</v>
      </c>
      <c r="G1363" s="65">
        <f>1513163*1000000</f>
        <v>1513163000000</v>
      </c>
      <c r="H1363" s="65">
        <f>(373+99009+4982+1067+64386)*1000000</f>
        <v>169817000000</v>
      </c>
      <c r="I1363" s="65">
        <f>1037631*1000000</f>
        <v>1037631000000</v>
      </c>
      <c r="J1363" s="65">
        <f>(72218+42015)*1000000</f>
        <v>114233000000</v>
      </c>
      <c r="K1363" s="65">
        <f>475532*1000000</f>
        <v>475532000000</v>
      </c>
      <c r="L1363" s="65">
        <f>186943*1000000</f>
        <v>186943000000</v>
      </c>
      <c r="M1363" s="65">
        <f>-83339*1000000</f>
        <v>-83339000000</v>
      </c>
      <c r="N1363" s="65">
        <f>-60964*1000000</f>
        <v>-60964000000</v>
      </c>
      <c r="O1363" s="66">
        <v>0.95</v>
      </c>
      <c r="P1363" s="67" t="s">
        <v>321</v>
      </c>
      <c r="Q1363" s="65">
        <v>2</v>
      </c>
      <c r="R1363" s="65">
        <v>4</v>
      </c>
      <c r="S1363" s="65">
        <v>4</v>
      </c>
      <c r="T1363" s="65">
        <f t="shared" si="131"/>
        <v>8</v>
      </c>
      <c r="U1363" s="68">
        <v>0</v>
      </c>
      <c r="V1363" s="65">
        <f>4+(2*1)+3</f>
        <v>9</v>
      </c>
      <c r="W1363" s="65">
        <f t="shared" si="130"/>
        <v>9</v>
      </c>
      <c r="X1363" s="65">
        <f>4+2</f>
        <v>6</v>
      </c>
      <c r="Y1363" s="64"/>
    </row>
    <row r="1364" spans="1:25" s="54" customFormat="1" ht="15" customHeight="1" x14ac:dyDescent="0.3">
      <c r="A1364" s="63"/>
      <c r="B1364" s="64"/>
      <c r="C1364" s="55"/>
      <c r="D1364" s="64">
        <v>2023</v>
      </c>
      <c r="E1364" s="65">
        <f>231609*1000000</f>
        <v>231609000000</v>
      </c>
      <c r="F1364" s="65">
        <f>(231609+220472+41438+11088+3764+390982)*1000000</f>
        <v>899353000000</v>
      </c>
      <c r="G1364" s="65">
        <f>1580050*1000000</f>
        <v>1580050000000</v>
      </c>
      <c r="H1364" s="65">
        <f>(1204+222462+5232+1471+65888)*1000000</f>
        <v>296257000000</v>
      </c>
      <c r="I1364" s="65">
        <f>1067275*1000000</f>
        <v>1067275000000</v>
      </c>
      <c r="J1364" s="65">
        <f>(72218+74007)*1000000</f>
        <v>146225000000</v>
      </c>
      <c r="K1364" s="65">
        <f>512775*1000000</f>
        <v>512775000000</v>
      </c>
      <c r="L1364" s="65">
        <f>295223*1000000</f>
        <v>295223000000</v>
      </c>
      <c r="M1364" s="65">
        <f>35989*1000000</f>
        <v>35989000000</v>
      </c>
      <c r="N1364" s="65">
        <f>32571*1000000</f>
        <v>32571000000</v>
      </c>
      <c r="O1364" s="66">
        <v>0.95</v>
      </c>
      <c r="P1364" s="67" t="s">
        <v>321</v>
      </c>
      <c r="Q1364" s="65">
        <v>2</v>
      </c>
      <c r="R1364" s="65">
        <v>4</v>
      </c>
      <c r="S1364" s="65">
        <v>4</v>
      </c>
      <c r="T1364" s="65">
        <f t="shared" si="131"/>
        <v>8</v>
      </c>
      <c r="U1364" s="68">
        <v>0</v>
      </c>
      <c r="V1364" s="65">
        <f>4+(2*1)+3</f>
        <v>9</v>
      </c>
      <c r="W1364" s="65">
        <f t="shared" si="130"/>
        <v>9</v>
      </c>
      <c r="X1364" s="65">
        <f>4+2</f>
        <v>6</v>
      </c>
      <c r="Y1364" s="64"/>
    </row>
    <row r="1365" spans="1:25" s="54" customFormat="1" ht="15" customHeight="1" x14ac:dyDescent="0.3">
      <c r="A1365" s="63"/>
      <c r="B1365" s="64"/>
      <c r="C1365" s="55"/>
      <c r="D1365" s="64">
        <v>2024</v>
      </c>
      <c r="E1365" s="65">
        <f>181691*1000000</f>
        <v>181691000000</v>
      </c>
      <c r="F1365" s="65">
        <f>(181691+309662+5511+13352+1512+345524)*1000000</f>
        <v>857252000000</v>
      </c>
      <c r="G1365" s="65">
        <f>1618363*1000000</f>
        <v>1618363000000</v>
      </c>
      <c r="H1365" s="65">
        <f>(1301+244745+5963+50+64518)*1000000</f>
        <v>316577000000</v>
      </c>
      <c r="I1365" s="65">
        <f>1061690*1000000</f>
        <v>1061690000000</v>
      </c>
      <c r="J1365" s="65">
        <f>(72218+122473)*1000000</f>
        <v>194691000000</v>
      </c>
      <c r="K1365" s="65">
        <f>556673*1000000</f>
        <v>556673000000</v>
      </c>
      <c r="L1365" s="65">
        <f>322707*1000000</f>
        <v>322707000000</v>
      </c>
      <c r="M1365" s="65">
        <f>51534*1000000</f>
        <v>51534000000</v>
      </c>
      <c r="N1365" s="65">
        <f>48042*1000000</f>
        <v>48042000000</v>
      </c>
      <c r="O1365" s="66">
        <v>0.95</v>
      </c>
      <c r="P1365" s="67" t="s">
        <v>321</v>
      </c>
      <c r="Q1365" s="65">
        <v>2</v>
      </c>
      <c r="R1365" s="65">
        <v>3</v>
      </c>
      <c r="S1365" s="65">
        <v>3</v>
      </c>
      <c r="T1365" s="65">
        <f t="shared" si="131"/>
        <v>6</v>
      </c>
      <c r="U1365" s="68">
        <v>0</v>
      </c>
      <c r="V1365" s="65">
        <f>3+(2*1)+3</f>
        <v>8</v>
      </c>
      <c r="W1365" s="65">
        <f t="shared" si="130"/>
        <v>8</v>
      </c>
      <c r="X1365" s="65">
        <f>3</f>
        <v>3</v>
      </c>
      <c r="Y1365" s="64"/>
    </row>
    <row r="1366" spans="1:25" s="54" customFormat="1" ht="15" customHeight="1" x14ac:dyDescent="0.3">
      <c r="A1366" s="63"/>
      <c r="B1366" s="64">
        <v>125</v>
      </c>
      <c r="C1366" s="55" t="s">
        <v>111</v>
      </c>
      <c r="D1366" s="64">
        <v>2014</v>
      </c>
      <c r="E1366" s="65">
        <v>0</v>
      </c>
      <c r="F1366" s="65">
        <v>0</v>
      </c>
      <c r="G1366" s="65">
        <v>0</v>
      </c>
      <c r="H1366" s="65">
        <v>0</v>
      </c>
      <c r="I1366" s="65">
        <v>0</v>
      </c>
      <c r="J1366" s="65">
        <v>0</v>
      </c>
      <c r="K1366" s="65">
        <v>0</v>
      </c>
      <c r="L1366" s="65">
        <v>0</v>
      </c>
      <c r="M1366" s="65">
        <v>0</v>
      </c>
      <c r="N1366" s="65">
        <v>0</v>
      </c>
      <c r="O1366" s="65">
        <v>0</v>
      </c>
      <c r="P1366" s="65">
        <v>0</v>
      </c>
      <c r="Q1366" s="65">
        <v>0</v>
      </c>
      <c r="R1366" s="65">
        <v>0</v>
      </c>
      <c r="S1366" s="65">
        <v>0</v>
      </c>
      <c r="T1366" s="65">
        <v>0</v>
      </c>
      <c r="U1366" s="65">
        <v>0</v>
      </c>
      <c r="V1366" s="65">
        <v>0</v>
      </c>
      <c r="W1366" s="65">
        <v>0</v>
      </c>
      <c r="X1366" s="65">
        <v>0</v>
      </c>
      <c r="Y1366" s="64" t="s">
        <v>273</v>
      </c>
    </row>
    <row r="1367" spans="1:25" s="54" customFormat="1" ht="15" customHeight="1" x14ac:dyDescent="0.3">
      <c r="A1367" s="63"/>
      <c r="B1367" s="64"/>
      <c r="C1367" s="55"/>
      <c r="D1367" s="64">
        <v>2015</v>
      </c>
      <c r="E1367" s="65">
        <v>0</v>
      </c>
      <c r="F1367" s="65">
        <v>0</v>
      </c>
      <c r="G1367" s="65">
        <v>0</v>
      </c>
      <c r="H1367" s="65">
        <v>0</v>
      </c>
      <c r="I1367" s="65">
        <v>0</v>
      </c>
      <c r="J1367" s="65">
        <v>0</v>
      </c>
      <c r="K1367" s="65">
        <v>0</v>
      </c>
      <c r="L1367" s="65">
        <v>0</v>
      </c>
      <c r="M1367" s="65">
        <v>0</v>
      </c>
      <c r="N1367" s="65">
        <v>0</v>
      </c>
      <c r="O1367" s="65">
        <v>0</v>
      </c>
      <c r="P1367" s="65">
        <v>0</v>
      </c>
      <c r="Q1367" s="65">
        <v>0</v>
      </c>
      <c r="R1367" s="65">
        <v>0</v>
      </c>
      <c r="S1367" s="65">
        <v>0</v>
      </c>
      <c r="T1367" s="65">
        <v>0</v>
      </c>
      <c r="U1367" s="65">
        <v>0</v>
      </c>
      <c r="V1367" s="65">
        <v>0</v>
      </c>
      <c r="W1367" s="65">
        <v>0</v>
      </c>
      <c r="X1367" s="65">
        <v>0</v>
      </c>
      <c r="Y1367" s="64"/>
    </row>
    <row r="1368" spans="1:25" s="54" customFormat="1" ht="15" customHeight="1" x14ac:dyDescent="0.3">
      <c r="A1368" s="63"/>
      <c r="B1368" s="64"/>
      <c r="C1368" s="55"/>
      <c r="D1368" s="64">
        <v>2016</v>
      </c>
      <c r="E1368" s="65">
        <v>0</v>
      </c>
      <c r="F1368" s="65">
        <v>0</v>
      </c>
      <c r="G1368" s="65">
        <v>0</v>
      </c>
      <c r="H1368" s="65">
        <v>0</v>
      </c>
      <c r="I1368" s="65">
        <v>0</v>
      </c>
      <c r="J1368" s="65">
        <v>0</v>
      </c>
      <c r="K1368" s="65">
        <v>0</v>
      </c>
      <c r="L1368" s="65">
        <v>0</v>
      </c>
      <c r="M1368" s="65">
        <v>0</v>
      </c>
      <c r="N1368" s="65">
        <v>0</v>
      </c>
      <c r="O1368" s="65">
        <v>0</v>
      </c>
      <c r="P1368" s="65">
        <v>0</v>
      </c>
      <c r="Q1368" s="65">
        <v>0</v>
      </c>
      <c r="R1368" s="65">
        <v>0</v>
      </c>
      <c r="S1368" s="65">
        <v>0</v>
      </c>
      <c r="T1368" s="65">
        <v>0</v>
      </c>
      <c r="U1368" s="65">
        <v>0</v>
      </c>
      <c r="V1368" s="65">
        <v>0</v>
      </c>
      <c r="W1368" s="65">
        <v>0</v>
      </c>
      <c r="X1368" s="65">
        <v>0</v>
      </c>
      <c r="Y1368" s="64"/>
    </row>
    <row r="1369" spans="1:25" s="54" customFormat="1" ht="15" customHeight="1" x14ac:dyDescent="0.3">
      <c r="A1369" s="63"/>
      <c r="B1369" s="64"/>
      <c r="C1369" s="55"/>
      <c r="D1369" s="64">
        <v>2017</v>
      </c>
      <c r="E1369" s="65">
        <v>0</v>
      </c>
      <c r="F1369" s="65">
        <v>0</v>
      </c>
      <c r="G1369" s="65">
        <v>0</v>
      </c>
      <c r="H1369" s="65">
        <v>0</v>
      </c>
      <c r="I1369" s="65">
        <v>0</v>
      </c>
      <c r="J1369" s="65">
        <v>0</v>
      </c>
      <c r="K1369" s="65">
        <v>0</v>
      </c>
      <c r="L1369" s="65">
        <v>0</v>
      </c>
      <c r="M1369" s="65">
        <v>0</v>
      </c>
      <c r="N1369" s="65">
        <v>0</v>
      </c>
      <c r="O1369" s="65">
        <v>0</v>
      </c>
      <c r="P1369" s="65">
        <v>0</v>
      </c>
      <c r="Q1369" s="65">
        <v>0</v>
      </c>
      <c r="R1369" s="65">
        <v>0</v>
      </c>
      <c r="S1369" s="65">
        <v>0</v>
      </c>
      <c r="T1369" s="65">
        <v>0</v>
      </c>
      <c r="U1369" s="65">
        <v>0</v>
      </c>
      <c r="V1369" s="65">
        <v>0</v>
      </c>
      <c r="W1369" s="65">
        <v>0</v>
      </c>
      <c r="X1369" s="65">
        <v>0</v>
      </c>
      <c r="Y1369" s="64"/>
    </row>
    <row r="1370" spans="1:25" s="54" customFormat="1" ht="15" customHeight="1" x14ac:dyDescent="0.3">
      <c r="A1370" s="63"/>
      <c r="B1370" s="64"/>
      <c r="C1370" s="55"/>
      <c r="D1370" s="64">
        <v>2018</v>
      </c>
      <c r="E1370" s="65">
        <v>0</v>
      </c>
      <c r="F1370" s="65">
        <v>0</v>
      </c>
      <c r="G1370" s="65">
        <v>0</v>
      </c>
      <c r="H1370" s="65">
        <v>0</v>
      </c>
      <c r="I1370" s="65">
        <v>0</v>
      </c>
      <c r="J1370" s="65">
        <v>0</v>
      </c>
      <c r="K1370" s="65">
        <v>0</v>
      </c>
      <c r="L1370" s="65">
        <v>0</v>
      </c>
      <c r="M1370" s="65">
        <v>0</v>
      </c>
      <c r="N1370" s="65">
        <v>0</v>
      </c>
      <c r="O1370" s="65">
        <v>0</v>
      </c>
      <c r="P1370" s="65">
        <v>0</v>
      </c>
      <c r="Q1370" s="65">
        <v>0</v>
      </c>
      <c r="R1370" s="65">
        <v>0</v>
      </c>
      <c r="S1370" s="65">
        <v>0</v>
      </c>
      <c r="T1370" s="65">
        <v>0</v>
      </c>
      <c r="U1370" s="65">
        <v>0</v>
      </c>
      <c r="V1370" s="65">
        <v>0</v>
      </c>
      <c r="W1370" s="65">
        <v>0</v>
      </c>
      <c r="X1370" s="65">
        <v>0</v>
      </c>
      <c r="Y1370" s="64"/>
    </row>
    <row r="1371" spans="1:25" s="54" customFormat="1" ht="15" customHeight="1" x14ac:dyDescent="0.3">
      <c r="A1371" s="63"/>
      <c r="B1371" s="64"/>
      <c r="C1371" s="55"/>
      <c r="D1371" s="64">
        <v>2019</v>
      </c>
      <c r="E1371" s="65">
        <v>0</v>
      </c>
      <c r="F1371" s="65">
        <v>0</v>
      </c>
      <c r="G1371" s="65">
        <v>0</v>
      </c>
      <c r="H1371" s="65">
        <v>0</v>
      </c>
      <c r="I1371" s="65">
        <v>0</v>
      </c>
      <c r="J1371" s="65">
        <v>0</v>
      </c>
      <c r="K1371" s="65">
        <v>0</v>
      </c>
      <c r="L1371" s="65">
        <v>0</v>
      </c>
      <c r="M1371" s="65">
        <v>0</v>
      </c>
      <c r="N1371" s="65">
        <v>0</v>
      </c>
      <c r="O1371" s="65">
        <v>0</v>
      </c>
      <c r="P1371" s="65">
        <v>0</v>
      </c>
      <c r="Q1371" s="65">
        <v>0</v>
      </c>
      <c r="R1371" s="65">
        <v>0</v>
      </c>
      <c r="S1371" s="65">
        <v>0</v>
      </c>
      <c r="T1371" s="65">
        <v>0</v>
      </c>
      <c r="U1371" s="65">
        <v>0</v>
      </c>
      <c r="V1371" s="65">
        <v>0</v>
      </c>
      <c r="W1371" s="65">
        <v>0</v>
      </c>
      <c r="X1371" s="65">
        <v>0</v>
      </c>
      <c r="Y1371" s="64"/>
    </row>
    <row r="1372" spans="1:25" s="54" customFormat="1" ht="15" customHeight="1" x14ac:dyDescent="0.3">
      <c r="A1372" s="63"/>
      <c r="B1372" s="64"/>
      <c r="C1372" s="55"/>
      <c r="D1372" s="64">
        <v>2020</v>
      </c>
      <c r="E1372" s="65">
        <v>0</v>
      </c>
      <c r="F1372" s="65">
        <v>0</v>
      </c>
      <c r="G1372" s="65">
        <v>0</v>
      </c>
      <c r="H1372" s="65">
        <v>0</v>
      </c>
      <c r="I1372" s="65">
        <v>0</v>
      </c>
      <c r="J1372" s="65">
        <v>0</v>
      </c>
      <c r="K1372" s="65">
        <v>0</v>
      </c>
      <c r="L1372" s="65">
        <v>0</v>
      </c>
      <c r="M1372" s="65">
        <v>0</v>
      </c>
      <c r="N1372" s="65">
        <v>0</v>
      </c>
      <c r="O1372" s="65">
        <v>0</v>
      </c>
      <c r="P1372" s="65">
        <v>0</v>
      </c>
      <c r="Q1372" s="65">
        <v>0</v>
      </c>
      <c r="R1372" s="65">
        <v>0</v>
      </c>
      <c r="S1372" s="65">
        <v>0</v>
      </c>
      <c r="T1372" s="65">
        <v>0</v>
      </c>
      <c r="U1372" s="65">
        <v>0</v>
      </c>
      <c r="V1372" s="65">
        <v>0</v>
      </c>
      <c r="W1372" s="65">
        <v>0</v>
      </c>
      <c r="X1372" s="65">
        <v>0</v>
      </c>
      <c r="Y1372" s="64"/>
    </row>
    <row r="1373" spans="1:25" s="54" customFormat="1" ht="15" customHeight="1" x14ac:dyDescent="0.3">
      <c r="A1373" s="63"/>
      <c r="B1373" s="64"/>
      <c r="C1373" s="55"/>
      <c r="D1373" s="64">
        <v>2021</v>
      </c>
      <c r="E1373" s="65">
        <v>0</v>
      </c>
      <c r="F1373" s="65">
        <v>0</v>
      </c>
      <c r="G1373" s="65">
        <v>0</v>
      </c>
      <c r="H1373" s="65">
        <v>0</v>
      </c>
      <c r="I1373" s="65">
        <v>0</v>
      </c>
      <c r="J1373" s="65">
        <v>0</v>
      </c>
      <c r="K1373" s="65">
        <v>0</v>
      </c>
      <c r="L1373" s="65">
        <v>0</v>
      </c>
      <c r="M1373" s="65">
        <v>0</v>
      </c>
      <c r="N1373" s="65">
        <v>0</v>
      </c>
      <c r="O1373" s="65">
        <v>0</v>
      </c>
      <c r="P1373" s="65">
        <v>0</v>
      </c>
      <c r="Q1373" s="65">
        <v>0</v>
      </c>
      <c r="R1373" s="65">
        <v>0</v>
      </c>
      <c r="S1373" s="65">
        <v>0</v>
      </c>
      <c r="T1373" s="65">
        <v>0</v>
      </c>
      <c r="U1373" s="65">
        <v>0</v>
      </c>
      <c r="V1373" s="65">
        <v>0</v>
      </c>
      <c r="W1373" s="65">
        <v>0</v>
      </c>
      <c r="X1373" s="65">
        <v>0</v>
      </c>
      <c r="Y1373" s="64"/>
    </row>
    <row r="1374" spans="1:25" s="54" customFormat="1" ht="15" customHeight="1" x14ac:dyDescent="0.3">
      <c r="A1374" s="63"/>
      <c r="B1374" s="64"/>
      <c r="C1374" s="55"/>
      <c r="D1374" s="64">
        <v>2022</v>
      </c>
      <c r="E1374" s="65">
        <v>0</v>
      </c>
      <c r="F1374" s="65">
        <v>0</v>
      </c>
      <c r="G1374" s="65">
        <v>0</v>
      </c>
      <c r="H1374" s="65">
        <v>0</v>
      </c>
      <c r="I1374" s="65">
        <v>0</v>
      </c>
      <c r="J1374" s="65">
        <v>0</v>
      </c>
      <c r="K1374" s="65">
        <v>0</v>
      </c>
      <c r="L1374" s="65">
        <v>0</v>
      </c>
      <c r="M1374" s="65">
        <v>0</v>
      </c>
      <c r="N1374" s="65">
        <v>0</v>
      </c>
      <c r="O1374" s="65">
        <v>0</v>
      </c>
      <c r="P1374" s="65">
        <v>0</v>
      </c>
      <c r="Q1374" s="65">
        <v>0</v>
      </c>
      <c r="R1374" s="65">
        <v>0</v>
      </c>
      <c r="S1374" s="65">
        <v>0</v>
      </c>
      <c r="T1374" s="65">
        <v>0</v>
      </c>
      <c r="U1374" s="65">
        <v>0</v>
      </c>
      <c r="V1374" s="65">
        <v>0</v>
      </c>
      <c r="W1374" s="65">
        <v>0</v>
      </c>
      <c r="X1374" s="65">
        <v>0</v>
      </c>
      <c r="Y1374" s="64"/>
    </row>
    <row r="1375" spans="1:25" s="54" customFormat="1" ht="15" customHeight="1" x14ac:dyDescent="0.3">
      <c r="A1375" s="63"/>
      <c r="B1375" s="64"/>
      <c r="C1375" s="55"/>
      <c r="D1375" s="64">
        <v>2023</v>
      </c>
      <c r="E1375" s="65">
        <v>0</v>
      </c>
      <c r="F1375" s="65">
        <v>0</v>
      </c>
      <c r="G1375" s="65">
        <v>0</v>
      </c>
      <c r="H1375" s="65">
        <v>0</v>
      </c>
      <c r="I1375" s="65">
        <v>0</v>
      </c>
      <c r="J1375" s="65">
        <v>0</v>
      </c>
      <c r="K1375" s="65">
        <v>0</v>
      </c>
      <c r="L1375" s="65">
        <v>0</v>
      </c>
      <c r="M1375" s="65">
        <v>0</v>
      </c>
      <c r="N1375" s="65">
        <v>0</v>
      </c>
      <c r="O1375" s="65">
        <v>0</v>
      </c>
      <c r="P1375" s="65">
        <v>0</v>
      </c>
      <c r="Q1375" s="65">
        <v>0</v>
      </c>
      <c r="R1375" s="65">
        <v>0</v>
      </c>
      <c r="S1375" s="65">
        <v>0</v>
      </c>
      <c r="T1375" s="65">
        <v>0</v>
      </c>
      <c r="U1375" s="65">
        <v>0</v>
      </c>
      <c r="V1375" s="65">
        <v>0</v>
      </c>
      <c r="W1375" s="65">
        <v>0</v>
      </c>
      <c r="X1375" s="65">
        <v>0</v>
      </c>
      <c r="Y1375" s="64"/>
    </row>
    <row r="1376" spans="1:25" s="54" customFormat="1" ht="15" customHeight="1" x14ac:dyDescent="0.3">
      <c r="A1376" s="63"/>
      <c r="B1376" s="64"/>
      <c r="C1376" s="55"/>
      <c r="D1376" s="64">
        <v>2024</v>
      </c>
      <c r="E1376" s="65">
        <v>0</v>
      </c>
      <c r="F1376" s="65">
        <v>0</v>
      </c>
      <c r="G1376" s="65">
        <v>0</v>
      </c>
      <c r="H1376" s="65">
        <v>0</v>
      </c>
      <c r="I1376" s="65">
        <v>0</v>
      </c>
      <c r="J1376" s="65">
        <v>0</v>
      </c>
      <c r="K1376" s="65">
        <v>0</v>
      </c>
      <c r="L1376" s="65">
        <v>0</v>
      </c>
      <c r="M1376" s="65">
        <v>0</v>
      </c>
      <c r="N1376" s="65">
        <v>0</v>
      </c>
      <c r="O1376" s="65">
        <v>0</v>
      </c>
      <c r="P1376" s="65">
        <v>0</v>
      </c>
      <c r="Q1376" s="65">
        <v>0</v>
      </c>
      <c r="R1376" s="65">
        <v>0</v>
      </c>
      <c r="S1376" s="65">
        <v>0</v>
      </c>
      <c r="T1376" s="65">
        <v>0</v>
      </c>
      <c r="U1376" s="65">
        <v>0</v>
      </c>
      <c r="V1376" s="65">
        <v>0</v>
      </c>
      <c r="W1376" s="65">
        <v>0</v>
      </c>
      <c r="X1376" s="65">
        <v>0</v>
      </c>
      <c r="Y1376" s="64"/>
    </row>
    <row r="1377" spans="1:25" s="54" customFormat="1" ht="15" customHeight="1" x14ac:dyDescent="0.3">
      <c r="A1377" s="63"/>
      <c r="B1377" s="64">
        <v>126</v>
      </c>
      <c r="C1377" s="55" t="s">
        <v>86</v>
      </c>
      <c r="D1377" s="64">
        <v>2014</v>
      </c>
      <c r="E1377" s="65">
        <v>0</v>
      </c>
      <c r="F1377" s="65">
        <v>0</v>
      </c>
      <c r="G1377" s="65">
        <v>0</v>
      </c>
      <c r="H1377" s="65">
        <v>0</v>
      </c>
      <c r="I1377" s="65">
        <v>0</v>
      </c>
      <c r="J1377" s="65">
        <v>0</v>
      </c>
      <c r="K1377" s="65">
        <v>0</v>
      </c>
      <c r="L1377" s="65">
        <v>0</v>
      </c>
      <c r="M1377" s="65">
        <v>0</v>
      </c>
      <c r="N1377" s="65">
        <v>0</v>
      </c>
      <c r="O1377" s="65">
        <v>0</v>
      </c>
      <c r="P1377" s="65">
        <v>0</v>
      </c>
      <c r="Q1377" s="65">
        <v>0</v>
      </c>
      <c r="R1377" s="65">
        <v>0</v>
      </c>
      <c r="S1377" s="65">
        <v>0</v>
      </c>
      <c r="T1377" s="65">
        <v>0</v>
      </c>
      <c r="U1377" s="65">
        <v>0</v>
      </c>
      <c r="V1377" s="65">
        <v>0</v>
      </c>
      <c r="W1377" s="65">
        <v>0</v>
      </c>
      <c r="X1377" s="65">
        <v>0</v>
      </c>
      <c r="Y1377" s="64"/>
    </row>
    <row r="1378" spans="1:25" s="54" customFormat="1" ht="15" customHeight="1" x14ac:dyDescent="0.3">
      <c r="A1378" s="63"/>
      <c r="B1378" s="64"/>
      <c r="C1378" s="55"/>
      <c r="D1378" s="64">
        <v>2015</v>
      </c>
      <c r="E1378" s="65">
        <v>0</v>
      </c>
      <c r="F1378" s="65">
        <v>0</v>
      </c>
      <c r="G1378" s="65">
        <v>0</v>
      </c>
      <c r="H1378" s="65">
        <v>0</v>
      </c>
      <c r="I1378" s="65">
        <v>0</v>
      </c>
      <c r="J1378" s="65">
        <v>0</v>
      </c>
      <c r="K1378" s="65">
        <v>0</v>
      </c>
      <c r="L1378" s="65">
        <v>0</v>
      </c>
      <c r="M1378" s="65">
        <v>0</v>
      </c>
      <c r="N1378" s="65">
        <v>0</v>
      </c>
      <c r="O1378" s="65">
        <v>0</v>
      </c>
      <c r="P1378" s="65">
        <v>0</v>
      </c>
      <c r="Q1378" s="65">
        <v>0</v>
      </c>
      <c r="R1378" s="65">
        <v>0</v>
      </c>
      <c r="S1378" s="65">
        <v>0</v>
      </c>
      <c r="T1378" s="65">
        <v>0</v>
      </c>
      <c r="U1378" s="65">
        <v>0</v>
      </c>
      <c r="V1378" s="65">
        <v>0</v>
      </c>
      <c r="W1378" s="65">
        <v>0</v>
      </c>
      <c r="X1378" s="65">
        <v>0</v>
      </c>
      <c r="Y1378" s="64"/>
    </row>
    <row r="1379" spans="1:25" s="54" customFormat="1" ht="15" customHeight="1" x14ac:dyDescent="0.3">
      <c r="A1379" s="63"/>
      <c r="B1379" s="64"/>
      <c r="C1379" s="55"/>
      <c r="D1379" s="64">
        <v>2016</v>
      </c>
      <c r="E1379" s="65">
        <f>17690624602</f>
        <v>17690624602</v>
      </c>
      <c r="F1379" s="65">
        <f>E1379+371628955348+19313937652+13329238602+37999415922+435355517769</f>
        <v>895317689895</v>
      </c>
      <c r="G1379" s="65">
        <f>2300958312318</f>
        <v>2300958312318</v>
      </c>
      <c r="H1379" s="65">
        <f>20163417036+100945542723+2211432149+1893957137</f>
        <v>125214349045</v>
      </c>
      <c r="I1379" s="65">
        <f>1114898421463</f>
        <v>1114898421463</v>
      </c>
      <c r="J1379" s="65">
        <f>15000000000+533138560012</f>
        <v>548138560012</v>
      </c>
      <c r="K1379" s="65">
        <f>1186059890855</f>
        <v>1186059890855</v>
      </c>
      <c r="L1379" s="65">
        <f>991830802448</f>
        <v>991830802448</v>
      </c>
      <c r="M1379" s="65">
        <f>85931797552</f>
        <v>85931797552</v>
      </c>
      <c r="N1379" s="65">
        <f>83158110807</f>
        <v>83158110807</v>
      </c>
      <c r="O1379" s="66">
        <v>0.5887</v>
      </c>
      <c r="P1379" s="67" t="s">
        <v>299</v>
      </c>
      <c r="Q1379" s="65">
        <v>2</v>
      </c>
      <c r="R1379" s="65">
        <v>3</v>
      </c>
      <c r="S1379" s="65">
        <v>3</v>
      </c>
      <c r="T1379" s="65">
        <f>SUM(R1379:S1379)</f>
        <v>6</v>
      </c>
      <c r="U1379" s="68">
        <v>0</v>
      </c>
      <c r="V1379" s="65">
        <f>3+(2*3)</f>
        <v>9</v>
      </c>
      <c r="W1379" s="65">
        <f t="shared" si="130"/>
        <v>9</v>
      </c>
      <c r="X1379" s="65">
        <f>3+2</f>
        <v>5</v>
      </c>
      <c r="Y1379" s="64"/>
    </row>
    <row r="1380" spans="1:25" s="54" customFormat="1" ht="15" customHeight="1" x14ac:dyDescent="0.3">
      <c r="A1380" s="63"/>
      <c r="B1380" s="64"/>
      <c r="C1380" s="55"/>
      <c r="D1380" s="64">
        <v>2017</v>
      </c>
      <c r="E1380" s="65">
        <f>24275265494</f>
        <v>24275265494</v>
      </c>
      <c r="F1380" s="65">
        <f>E1380+334903292675+27520398775+10763097971+9408390151+537482831112</f>
        <v>944353276178</v>
      </c>
      <c r="G1380" s="65">
        <f>2363109344956</f>
        <v>2363109344956</v>
      </c>
      <c r="H1380" s="65">
        <f>19127020486+94701299942+2932515769+7424908357</f>
        <v>124185744554</v>
      </c>
      <c r="I1380" s="65">
        <f>1291571022946</f>
        <v>1291571022946</v>
      </c>
      <c r="J1380" s="65">
        <f>16000000000+596121683275</f>
        <v>612121683275</v>
      </c>
      <c r="K1380" s="65">
        <f>1071538322010</f>
        <v>1071538322010</v>
      </c>
      <c r="L1380" s="65">
        <f>1107453771288</f>
        <v>1107453771288</v>
      </c>
      <c r="M1380" s="65">
        <f>96799303814</f>
        <v>96799303814</v>
      </c>
      <c r="N1380" s="65">
        <f>91874383925</f>
        <v>91874383925</v>
      </c>
      <c r="O1380" s="66">
        <v>0.65790000000000004</v>
      </c>
      <c r="P1380" s="67" t="s">
        <v>322</v>
      </c>
      <c r="Q1380" s="65">
        <v>2</v>
      </c>
      <c r="R1380" s="65">
        <v>3</v>
      </c>
      <c r="S1380" s="65">
        <v>3</v>
      </c>
      <c r="T1380" s="65">
        <f t="shared" ref="T1380:T1387" si="132">SUM(R1380:S1380)</f>
        <v>6</v>
      </c>
      <c r="U1380" s="68">
        <v>0</v>
      </c>
      <c r="V1380" s="65">
        <f>3+(2*3)</f>
        <v>9</v>
      </c>
      <c r="W1380" s="65">
        <f t="shared" si="130"/>
        <v>9</v>
      </c>
      <c r="X1380" s="65">
        <f>3+2</f>
        <v>5</v>
      </c>
      <c r="Y1380" s="64"/>
    </row>
    <row r="1381" spans="1:25" s="54" customFormat="1" ht="15" customHeight="1" x14ac:dyDescent="0.3">
      <c r="A1381" s="63"/>
      <c r="B1381" s="64"/>
      <c r="C1381" s="55"/>
      <c r="D1381" s="64">
        <v>2018</v>
      </c>
      <c r="E1381" s="65">
        <f>16493397856</f>
        <v>16493397856</v>
      </c>
      <c r="F1381" s="65">
        <f>E1381+333536100347+22336884805+11515026237+15106077445+781007063525</f>
        <v>1179994550215</v>
      </c>
      <c r="G1381" s="65">
        <f>2485186649117</f>
        <v>2485186649117</v>
      </c>
      <c r="H1381" s="65">
        <f>8942404146+95557620902+4643845796+10649278606</f>
        <v>119793149450</v>
      </c>
      <c r="I1381" s="65">
        <f>1605367155250</f>
        <v>1605367155250</v>
      </c>
      <c r="J1381" s="65">
        <f>17000000000+627877227369</f>
        <v>644877227369</v>
      </c>
      <c r="K1381" s="65">
        <f>879819493867</f>
        <v>879819493867</v>
      </c>
      <c r="L1381" s="65">
        <f>1132421357486</f>
        <v>1132421357486</v>
      </c>
      <c r="M1381" s="65">
        <f>78093636746</f>
        <v>78093636746</v>
      </c>
      <c r="N1381" s="65">
        <f>68687123783</f>
        <v>68687123783</v>
      </c>
      <c r="O1381" s="66">
        <v>0.65790000000000004</v>
      </c>
      <c r="P1381" s="67" t="s">
        <v>322</v>
      </c>
      <c r="Q1381" s="65">
        <v>2</v>
      </c>
      <c r="R1381" s="65">
        <v>3</v>
      </c>
      <c r="S1381" s="65">
        <v>3</v>
      </c>
      <c r="T1381" s="65">
        <f t="shared" si="132"/>
        <v>6</v>
      </c>
      <c r="U1381" s="68">
        <v>0</v>
      </c>
      <c r="V1381" s="65">
        <f>3+(2*3)</f>
        <v>9</v>
      </c>
      <c r="W1381" s="65">
        <f t="shared" si="130"/>
        <v>9</v>
      </c>
      <c r="X1381" s="65">
        <f>3+2</f>
        <v>5</v>
      </c>
      <c r="Y1381" s="64"/>
    </row>
    <row r="1382" spans="1:25" s="54" customFormat="1" ht="15" customHeight="1" x14ac:dyDescent="0.3">
      <c r="A1382" s="63"/>
      <c r="B1382" s="64"/>
      <c r="C1382" s="55"/>
      <c r="D1382" s="64">
        <v>2019</v>
      </c>
      <c r="E1382" s="65">
        <f>17515063757</f>
        <v>17515063757</v>
      </c>
      <c r="F1382" s="65">
        <f>E1382+333260381217+35785130295+15088812307+13288301387+742227875663</f>
        <v>1157165564626</v>
      </c>
      <c r="G1382" s="65">
        <f>2423706043201</f>
        <v>2423706043201</v>
      </c>
      <c r="H1382" s="65">
        <f>11069169301+108760958228+5837994416+8467750904</f>
        <v>134135872849</v>
      </c>
      <c r="I1382" s="65">
        <f>1575194310012</f>
        <v>1575194310012</v>
      </c>
      <c r="J1382" s="65">
        <f>18000000000+656600634891</f>
        <v>674600634891</v>
      </c>
      <c r="K1382" s="65">
        <f>848511733189</f>
        <v>848511733189</v>
      </c>
      <c r="L1382" s="65">
        <f>1167490752228</f>
        <v>1167490752228</v>
      </c>
      <c r="M1382" s="65">
        <f>87774030433</f>
        <v>87774030433</v>
      </c>
      <c r="N1382" s="65">
        <f>80002543527</f>
        <v>80002543527</v>
      </c>
      <c r="O1382" s="66">
        <v>0.65790000000000004</v>
      </c>
      <c r="P1382" s="67" t="s">
        <v>322</v>
      </c>
      <c r="Q1382" s="65">
        <v>2</v>
      </c>
      <c r="R1382" s="65">
        <v>3</v>
      </c>
      <c r="S1382" s="65">
        <v>3</v>
      </c>
      <c r="T1382" s="65">
        <f t="shared" si="132"/>
        <v>6</v>
      </c>
      <c r="U1382" s="68">
        <v>0</v>
      </c>
      <c r="V1382" s="65">
        <f>3+2</f>
        <v>5</v>
      </c>
      <c r="W1382" s="65">
        <f t="shared" si="130"/>
        <v>5</v>
      </c>
      <c r="X1382" s="65">
        <f>3+2</f>
        <v>5</v>
      </c>
      <c r="Y1382" s="64"/>
    </row>
    <row r="1383" spans="1:25" s="54" customFormat="1" ht="15" customHeight="1" x14ac:dyDescent="0.3">
      <c r="A1383" s="63"/>
      <c r="B1383" s="64"/>
      <c r="C1383" s="55"/>
      <c r="D1383" s="64">
        <v>2020</v>
      </c>
      <c r="E1383" s="65">
        <f>24104264372</f>
        <v>24104264372</v>
      </c>
      <c r="F1383" s="65">
        <f>E1383+448922767297+30797795466+24597554524+3099603876+863573391437</f>
        <v>1395095376972</v>
      </c>
      <c r="G1383" s="65">
        <f>2815578393095</f>
        <v>2815578393095</v>
      </c>
      <c r="H1383" s="65">
        <f>17105872602+160930886067+4436584844+9748336182</f>
        <v>192221679695</v>
      </c>
      <c r="I1383" s="65">
        <f>1954498917680</f>
        <v>1954498917680</v>
      </c>
      <c r="J1383" s="65">
        <f>19000000000+718110307484</f>
        <v>737110307484</v>
      </c>
      <c r="K1383" s="65">
        <f>861079475415</f>
        <v>861079475415</v>
      </c>
      <c r="L1383" s="65">
        <f>1220142637207</f>
        <v>1220142637207</v>
      </c>
      <c r="M1383" s="65">
        <f>111914336371</f>
        <v>111914336371</v>
      </c>
      <c r="N1383" s="65">
        <f>92908485040</f>
        <v>92908485040</v>
      </c>
      <c r="O1383" s="66">
        <v>0.65790000000000004</v>
      </c>
      <c r="P1383" s="67" t="s">
        <v>322</v>
      </c>
      <c r="Q1383" s="65">
        <v>2</v>
      </c>
      <c r="R1383" s="65">
        <v>3</v>
      </c>
      <c r="S1383" s="65">
        <v>3</v>
      </c>
      <c r="T1383" s="65">
        <f t="shared" si="132"/>
        <v>6</v>
      </c>
      <c r="U1383" s="68">
        <v>0</v>
      </c>
      <c r="V1383" s="65">
        <f>2+2</f>
        <v>4</v>
      </c>
      <c r="W1383" s="65">
        <f t="shared" si="130"/>
        <v>4</v>
      </c>
      <c r="X1383" s="65">
        <f>3+2</f>
        <v>5</v>
      </c>
      <c r="Y1383" s="64"/>
    </row>
    <row r="1384" spans="1:25" s="54" customFormat="1" ht="15" customHeight="1" x14ac:dyDescent="0.3">
      <c r="A1384" s="63"/>
      <c r="B1384" s="64"/>
      <c r="C1384" s="55"/>
      <c r="D1384" s="64">
        <v>2021</v>
      </c>
      <c r="E1384" s="65">
        <f>29526483066</f>
        <v>29526483066</v>
      </c>
      <c r="F1384" s="65">
        <f>E1384+416816488615+78491556014+13459874320+4152849592+866685394407</f>
        <v>1409132646014</v>
      </c>
      <c r="G1384" s="65">
        <f>2923286260687</f>
        <v>2923286260687</v>
      </c>
      <c r="H1384" s="65">
        <f>26285631820+149937459658+6087959026+3254388432</f>
        <v>185565438936</v>
      </c>
      <c r="I1384" s="65">
        <f>2051451547356</f>
        <v>2051451547356</v>
      </c>
      <c r="J1384" s="65">
        <f>20000000000+777497962705</f>
        <v>797497962705</v>
      </c>
      <c r="K1384" s="65">
        <f>871834713331</f>
        <v>871834713331</v>
      </c>
      <c r="L1384" s="65">
        <f>1753770002196</f>
        <v>1753770002196</v>
      </c>
      <c r="M1384" s="65">
        <f>147263305972</f>
        <v>147263305972</v>
      </c>
      <c r="N1384" s="65">
        <f>98384767320</f>
        <v>98384767320</v>
      </c>
      <c r="O1384" s="66">
        <v>0.65790000000000004</v>
      </c>
      <c r="P1384" s="67" t="s">
        <v>322</v>
      </c>
      <c r="Q1384" s="65">
        <v>2</v>
      </c>
      <c r="R1384" s="65">
        <v>3</v>
      </c>
      <c r="S1384" s="65">
        <v>4</v>
      </c>
      <c r="T1384" s="65">
        <f t="shared" si="132"/>
        <v>7</v>
      </c>
      <c r="U1384" s="68">
        <v>0</v>
      </c>
      <c r="V1384" s="65">
        <v>2</v>
      </c>
      <c r="W1384" s="65">
        <f t="shared" si="130"/>
        <v>2</v>
      </c>
      <c r="X1384" s="65">
        <f>4+(2*3)</f>
        <v>10</v>
      </c>
      <c r="Y1384" s="64"/>
    </row>
    <row r="1385" spans="1:25" s="54" customFormat="1" ht="15" customHeight="1" x14ac:dyDescent="0.3">
      <c r="A1385" s="63"/>
      <c r="B1385" s="64"/>
      <c r="C1385" s="55"/>
      <c r="D1385" s="64">
        <v>2022</v>
      </c>
      <c r="E1385" s="65">
        <f>40321961783</f>
        <v>40321961783</v>
      </c>
      <c r="F1385" s="65">
        <f>E1385+478455026894+80951730887+12844093268+21925470605+994286521463</f>
        <v>1628784804900</v>
      </c>
      <c r="G1385" s="65">
        <f>2930664711078</f>
        <v>2930664711078</v>
      </c>
      <c r="H1385" s="65">
        <f>24000449577+144350304986+7860687676+2916459194</f>
        <v>179127901433</v>
      </c>
      <c r="I1385" s="65">
        <f>2200516017855</f>
        <v>2200516017855</v>
      </c>
      <c r="J1385" s="65">
        <f>21000000000+722275106634</f>
        <v>743275106634</v>
      </c>
      <c r="K1385" s="65">
        <f>730148693223</f>
        <v>730148693223</v>
      </c>
      <c r="L1385" s="65">
        <f>2076116617010</f>
        <v>2076116617010</v>
      </c>
      <c r="M1385" s="65">
        <f>98598182213</f>
        <v>98598182213</v>
      </c>
      <c r="N1385" s="65">
        <f>73838714374</f>
        <v>73838714374</v>
      </c>
      <c r="O1385" s="66">
        <v>0.65790000000000004</v>
      </c>
      <c r="P1385" s="67" t="s">
        <v>322</v>
      </c>
      <c r="Q1385" s="65">
        <v>2</v>
      </c>
      <c r="R1385" s="65">
        <v>3</v>
      </c>
      <c r="S1385" s="65">
        <v>3</v>
      </c>
      <c r="T1385" s="65">
        <f t="shared" si="132"/>
        <v>6</v>
      </c>
      <c r="U1385" s="68">
        <v>0</v>
      </c>
      <c r="V1385" s="65">
        <v>2</v>
      </c>
      <c r="W1385" s="65">
        <f t="shared" si="130"/>
        <v>2</v>
      </c>
      <c r="X1385" s="65">
        <f>3+(2*3)</f>
        <v>9</v>
      </c>
      <c r="Y1385" s="64"/>
    </row>
    <row r="1386" spans="1:25" s="54" customFormat="1" ht="15" customHeight="1" x14ac:dyDescent="0.3">
      <c r="A1386" s="63"/>
      <c r="B1386" s="64"/>
      <c r="C1386" s="55"/>
      <c r="D1386" s="64">
        <v>2023</v>
      </c>
      <c r="E1386" s="65">
        <f>21023141057</f>
        <v>21023141057</v>
      </c>
      <c r="F1386" s="65">
        <f>E1386+324313789480+454456781-2770294983+130692755204+9048571-10915088400+19313567140+10192277190+877326373539</f>
        <v>1369640025579</v>
      </c>
      <c r="G1386" s="65">
        <f>2769428113972</f>
        <v>2769428113972</v>
      </c>
      <c r="H1386" s="65">
        <f>19519236792+187166802993+646695226+2783807882+18405615210</f>
        <v>228522158103</v>
      </c>
      <c r="I1386" s="65">
        <f>1925683411166</f>
        <v>1925683411166</v>
      </c>
      <c r="J1386" s="65">
        <f>22000000000+625389769909</f>
        <v>647389769909</v>
      </c>
      <c r="K1386" s="65">
        <f>843744702806</f>
        <v>843744702806</v>
      </c>
      <c r="L1386" s="65">
        <f>3019681482377</f>
        <v>3019681482377</v>
      </c>
      <c r="M1386" s="65">
        <f>14873855445</f>
        <v>14873855445</v>
      </c>
      <c r="N1386" s="65">
        <f>24885327757</f>
        <v>24885327757</v>
      </c>
      <c r="O1386" s="66">
        <v>0.59460000000000002</v>
      </c>
      <c r="P1386" s="67" t="s">
        <v>323</v>
      </c>
      <c r="Q1386" s="65">
        <v>3</v>
      </c>
      <c r="R1386" s="65">
        <v>6</v>
      </c>
      <c r="S1386" s="65">
        <v>4</v>
      </c>
      <c r="T1386" s="65">
        <f t="shared" si="132"/>
        <v>10</v>
      </c>
      <c r="U1386" s="68">
        <v>0</v>
      </c>
      <c r="V1386" s="65">
        <f>5+2</f>
        <v>7</v>
      </c>
      <c r="W1386" s="65">
        <f t="shared" si="130"/>
        <v>7</v>
      </c>
      <c r="X1386" s="65">
        <f>4+(2*4)</f>
        <v>12</v>
      </c>
      <c r="Y1386" s="64"/>
    </row>
    <row r="1387" spans="1:25" s="54" customFormat="1" ht="15" customHeight="1" x14ac:dyDescent="0.3">
      <c r="A1387" s="63"/>
      <c r="B1387" s="64"/>
      <c r="C1387" s="55"/>
      <c r="D1387" s="64">
        <v>2024</v>
      </c>
      <c r="E1387" s="65">
        <f>15387497994</f>
        <v>15387497994</v>
      </c>
      <c r="F1387" s="65">
        <f>E1387+497682811758+95213161394+21405013706+9729207048+845142759046</f>
        <v>1484560450946</v>
      </c>
      <c r="G1387" s="65">
        <f>3074044644967</f>
        <v>3074044644967</v>
      </c>
      <c r="H1387" s="65">
        <f>148385346445+210910991810+49790341075+2901670783</f>
        <v>411988350113</v>
      </c>
      <c r="I1387" s="65">
        <f>2180240658651</f>
        <v>2180240658651</v>
      </c>
      <c r="J1387" s="65">
        <f>23000000000+678564114582</f>
        <v>701564114582</v>
      </c>
      <c r="K1387" s="65">
        <f>893803986316</f>
        <v>893803986316</v>
      </c>
      <c r="L1387" s="65">
        <f>2832633660661</f>
        <v>2832633660661</v>
      </c>
      <c r="M1387" s="65">
        <f>74825374884</f>
        <v>74825374884</v>
      </c>
      <c r="N1387" s="65">
        <f>62274344673</f>
        <v>62274344673</v>
      </c>
      <c r="O1387" s="66">
        <v>0.59460000000000002</v>
      </c>
      <c r="P1387" s="67" t="s">
        <v>323</v>
      </c>
      <c r="Q1387" s="65">
        <v>3</v>
      </c>
      <c r="R1387" s="65">
        <v>6</v>
      </c>
      <c r="S1387" s="65">
        <v>4</v>
      </c>
      <c r="T1387" s="65">
        <f t="shared" si="132"/>
        <v>10</v>
      </c>
      <c r="U1387" s="68">
        <v>0</v>
      </c>
      <c r="V1387" s="65">
        <f>5+2</f>
        <v>7</v>
      </c>
      <c r="W1387" s="65">
        <f t="shared" si="130"/>
        <v>7</v>
      </c>
      <c r="X1387" s="65">
        <f>4+(2*4)</f>
        <v>12</v>
      </c>
      <c r="Y1387" s="64"/>
    </row>
    <row r="1388" spans="1:25" s="54" customFormat="1" ht="15" customHeight="1" x14ac:dyDescent="0.3">
      <c r="A1388" s="63"/>
      <c r="B1388" s="64">
        <v>127</v>
      </c>
      <c r="C1388" s="55" t="s">
        <v>112</v>
      </c>
      <c r="D1388" s="64">
        <v>2014</v>
      </c>
      <c r="E1388" s="65">
        <v>0</v>
      </c>
      <c r="F1388" s="65">
        <v>0</v>
      </c>
      <c r="G1388" s="65">
        <v>0</v>
      </c>
      <c r="H1388" s="65">
        <v>0</v>
      </c>
      <c r="I1388" s="65">
        <v>0</v>
      </c>
      <c r="J1388" s="65">
        <v>0</v>
      </c>
      <c r="K1388" s="65">
        <v>0</v>
      </c>
      <c r="L1388" s="65">
        <v>0</v>
      </c>
      <c r="M1388" s="65">
        <v>0</v>
      </c>
      <c r="N1388" s="65">
        <v>0</v>
      </c>
      <c r="O1388" s="65">
        <v>0</v>
      </c>
      <c r="P1388" s="65">
        <v>0</v>
      </c>
      <c r="Q1388" s="65">
        <v>0</v>
      </c>
      <c r="R1388" s="65">
        <v>0</v>
      </c>
      <c r="S1388" s="65">
        <v>0</v>
      </c>
      <c r="T1388" s="65">
        <v>0</v>
      </c>
      <c r="U1388" s="65">
        <v>0</v>
      </c>
      <c r="V1388" s="65">
        <v>0</v>
      </c>
      <c r="W1388" s="65">
        <v>0</v>
      </c>
      <c r="X1388" s="65">
        <v>0</v>
      </c>
      <c r="Y1388" s="64"/>
    </row>
    <row r="1389" spans="1:25" s="54" customFormat="1" ht="15" customHeight="1" x14ac:dyDescent="0.3">
      <c r="A1389" s="63"/>
      <c r="B1389" s="64"/>
      <c r="C1389" s="55"/>
      <c r="D1389" s="64">
        <v>2015</v>
      </c>
      <c r="E1389" s="65">
        <v>0</v>
      </c>
      <c r="F1389" s="65">
        <v>0</v>
      </c>
      <c r="G1389" s="65">
        <v>0</v>
      </c>
      <c r="H1389" s="65">
        <v>0</v>
      </c>
      <c r="I1389" s="65">
        <v>0</v>
      </c>
      <c r="J1389" s="65">
        <v>0</v>
      </c>
      <c r="K1389" s="65">
        <v>0</v>
      </c>
      <c r="L1389" s="65">
        <v>0</v>
      </c>
      <c r="M1389" s="65">
        <v>0</v>
      </c>
      <c r="N1389" s="65">
        <v>0</v>
      </c>
      <c r="O1389" s="65">
        <v>0</v>
      </c>
      <c r="P1389" s="65">
        <v>0</v>
      </c>
      <c r="Q1389" s="65">
        <v>0</v>
      </c>
      <c r="R1389" s="65">
        <v>0</v>
      </c>
      <c r="S1389" s="65">
        <v>0</v>
      </c>
      <c r="T1389" s="65">
        <v>0</v>
      </c>
      <c r="U1389" s="65">
        <v>0</v>
      </c>
      <c r="V1389" s="65">
        <v>0</v>
      </c>
      <c r="W1389" s="65">
        <v>0</v>
      </c>
      <c r="X1389" s="65">
        <v>0</v>
      </c>
      <c r="Y1389" s="64"/>
    </row>
    <row r="1390" spans="1:25" s="54" customFormat="1" ht="15" customHeight="1" x14ac:dyDescent="0.3">
      <c r="A1390" s="63"/>
      <c r="B1390" s="64"/>
      <c r="C1390" s="55"/>
      <c r="D1390" s="64">
        <v>2016</v>
      </c>
      <c r="E1390" s="65">
        <f>15792527801</f>
        <v>15792527801</v>
      </c>
      <c r="F1390" s="65">
        <f>(E1390+49588835877+595185228+4750936128+2676378849+3708222222+9197448088+42871550515)</f>
        <v>129181084708</v>
      </c>
      <c r="G1390" s="65">
        <f>276987702218</f>
        <v>276987702218</v>
      </c>
      <c r="H1390" s="65">
        <f>I1390-2516458726-252500000</f>
        <v>161242670434</v>
      </c>
      <c r="I1390" s="65">
        <f>164011629160</f>
        <v>164011629160</v>
      </c>
      <c r="J1390" s="65">
        <f>32651594-20521199625</f>
        <v>-20488548031</v>
      </c>
      <c r="K1390" s="65">
        <f>112976073028</f>
        <v>112976073028</v>
      </c>
      <c r="L1390" s="65">
        <f>32814112511</f>
        <v>32814112511</v>
      </c>
      <c r="M1390" s="65">
        <f>-7022682602</f>
        <v>-7022682602</v>
      </c>
      <c r="N1390" s="65">
        <f>-5008301835</f>
        <v>-5008301835</v>
      </c>
      <c r="O1390" s="65">
        <v>0</v>
      </c>
      <c r="P1390" s="65">
        <v>0</v>
      </c>
      <c r="Q1390" s="65">
        <v>0</v>
      </c>
      <c r="R1390" s="65">
        <v>0</v>
      </c>
      <c r="S1390" s="65">
        <v>0</v>
      </c>
      <c r="T1390" s="65">
        <v>0</v>
      </c>
      <c r="U1390" s="65">
        <v>0</v>
      </c>
      <c r="V1390" s="65">
        <v>0</v>
      </c>
      <c r="W1390" s="65">
        <v>0</v>
      </c>
      <c r="X1390" s="65">
        <v>0</v>
      </c>
      <c r="Y1390" s="64"/>
    </row>
    <row r="1391" spans="1:25" s="54" customFormat="1" ht="15" customHeight="1" x14ac:dyDescent="0.3">
      <c r="A1391" s="63"/>
      <c r="B1391" s="64"/>
      <c r="C1391" s="55"/>
      <c r="D1391" s="64">
        <v>2017</v>
      </c>
      <c r="E1391" s="65">
        <f>4404135572</f>
        <v>4404135572</v>
      </c>
      <c r="F1391" s="65">
        <f>E1391+46055479383+582644821+1912332390+2727676424+180000000+15428003500+40811616235</f>
        <v>112101888325</v>
      </c>
      <c r="G1391" s="65">
        <f>299619149119</f>
        <v>299619149119</v>
      </c>
      <c r="H1391" s="65">
        <f>I1391-2719484535-267500000</f>
        <v>162798436027</v>
      </c>
      <c r="I1391" s="65">
        <f>165785420562</f>
        <v>165785420562</v>
      </c>
      <c r="J1391" s="65">
        <f>32651594-23804933373</f>
        <v>-23772281779</v>
      </c>
      <c r="K1391" s="65">
        <f>133833728557</f>
        <v>133833728557</v>
      </c>
      <c r="L1391" s="65">
        <f>35894869522</f>
        <v>35894869522</v>
      </c>
      <c r="M1391" s="65">
        <f>-3148036366</f>
        <v>-3148036366</v>
      </c>
      <c r="N1391" s="65">
        <v>-3567096668</v>
      </c>
      <c r="O1391" s="66">
        <v>0.45900000000000002</v>
      </c>
      <c r="P1391" s="67" t="s">
        <v>307</v>
      </c>
      <c r="Q1391" s="65">
        <v>2</v>
      </c>
      <c r="R1391" s="65">
        <v>4</v>
      </c>
      <c r="S1391" s="65">
        <v>4</v>
      </c>
      <c r="T1391" s="65">
        <f>SUM(R1391:S1391)</f>
        <v>8</v>
      </c>
      <c r="U1391" s="68">
        <v>0.1028</v>
      </c>
      <c r="V1391" s="65">
        <f>4+4</f>
        <v>8</v>
      </c>
      <c r="W1391" s="65">
        <f t="shared" si="130"/>
        <v>8</v>
      </c>
      <c r="X1391" s="65">
        <f>3+4</f>
        <v>7</v>
      </c>
      <c r="Y1391" s="64"/>
    </row>
    <row r="1392" spans="1:25" s="54" customFormat="1" ht="15" customHeight="1" x14ac:dyDescent="0.3">
      <c r="A1392" s="63"/>
      <c r="B1392" s="64"/>
      <c r="C1392" s="55"/>
      <c r="D1392" s="64">
        <v>2018</v>
      </c>
      <c r="E1392" s="65">
        <f>12243105866</f>
        <v>12243105866</v>
      </c>
      <c r="F1392" s="65">
        <f>(E1392+58869059575+2729464808+2254876608+15600307428+50594960199)</f>
        <v>142291774484</v>
      </c>
      <c r="G1392" s="65">
        <f>320972898768</f>
        <v>320972898768</v>
      </c>
      <c r="H1392" s="65">
        <f>I1392-3017394067-476437500</f>
        <v>188199261248</v>
      </c>
      <c r="I1392" s="65">
        <f>191693092815</f>
        <v>191693092815</v>
      </c>
      <c r="J1392" s="65">
        <f>32651594-25789893194</f>
        <v>-25757241600</v>
      </c>
      <c r="K1392" s="65">
        <f>129279805953</f>
        <v>129279805953</v>
      </c>
      <c r="L1392" s="65">
        <f>33779663734</f>
        <v>33779663734</v>
      </c>
      <c r="M1392" s="65">
        <f>-1655851633</f>
        <v>-1655851633</v>
      </c>
      <c r="N1392" s="65">
        <f>907382305</f>
        <v>907382305</v>
      </c>
      <c r="O1392" s="66">
        <v>0.45900000000000002</v>
      </c>
      <c r="P1392" s="67" t="s">
        <v>307</v>
      </c>
      <c r="Q1392" s="65">
        <v>2</v>
      </c>
      <c r="R1392" s="65">
        <v>3</v>
      </c>
      <c r="S1392" s="65">
        <v>3</v>
      </c>
      <c r="T1392" s="65">
        <f t="shared" ref="T1392:T1398" si="133">SUM(R1392:S1392)</f>
        <v>6</v>
      </c>
      <c r="U1392" s="68">
        <v>7.1599999999999997E-2</v>
      </c>
      <c r="V1392" s="65">
        <f>4+4</f>
        <v>8</v>
      </c>
      <c r="W1392" s="65">
        <f t="shared" si="130"/>
        <v>8</v>
      </c>
      <c r="X1392" s="65">
        <f t="shared" ref="X1392:X1397" si="134">2+4</f>
        <v>6</v>
      </c>
      <c r="Y1392" s="64"/>
    </row>
    <row r="1393" spans="1:25" s="54" customFormat="1" ht="15" customHeight="1" x14ac:dyDescent="0.3">
      <c r="A1393" s="63"/>
      <c r="B1393" s="64"/>
      <c r="C1393" s="55"/>
      <c r="D1393" s="64">
        <v>2019</v>
      </c>
      <c r="E1393" s="65">
        <f>13001214534</f>
        <v>13001214534</v>
      </c>
      <c r="F1393" s="65">
        <f>E1393+103396277517+2330599030+4148860358+47464254953+70017552894</f>
        <v>240358759286</v>
      </c>
      <c r="G1393" s="65">
        <f>423659163508</f>
        <v>423659163508</v>
      </c>
      <c r="H1393" s="65">
        <f>I1393-3613759994-283187500</f>
        <v>289450158711</v>
      </c>
      <c r="I1393" s="65">
        <f>293347106205</f>
        <v>293347106205</v>
      </c>
      <c r="J1393" s="65">
        <f>32651594-25160804953</f>
        <v>-25128153359</v>
      </c>
      <c r="K1393" s="65">
        <f>130312057303</f>
        <v>130312057303</v>
      </c>
      <c r="L1393" s="65">
        <f>37487004816</f>
        <v>37487004816</v>
      </c>
      <c r="M1393" s="65">
        <f>3187643057</f>
        <v>3187643057</v>
      </c>
      <c r="N1393" s="65">
        <f>991432600</f>
        <v>991432600</v>
      </c>
      <c r="O1393" s="66">
        <v>0.45900000000000002</v>
      </c>
      <c r="P1393" s="67" t="s">
        <v>307</v>
      </c>
      <c r="Q1393" s="65">
        <v>2</v>
      </c>
      <c r="R1393" s="65">
        <v>3</v>
      </c>
      <c r="S1393" s="65">
        <v>3</v>
      </c>
      <c r="T1393" s="65">
        <f t="shared" si="133"/>
        <v>6</v>
      </c>
      <c r="U1393" s="68">
        <v>7.1599999999999997E-2</v>
      </c>
      <c r="V1393" s="65">
        <f>3+2</f>
        <v>5</v>
      </c>
      <c r="W1393" s="65">
        <f t="shared" si="130"/>
        <v>5</v>
      </c>
      <c r="X1393" s="65">
        <f t="shared" si="134"/>
        <v>6</v>
      </c>
      <c r="Y1393" s="64"/>
    </row>
    <row r="1394" spans="1:25" s="54" customFormat="1" ht="15" customHeight="1" x14ac:dyDescent="0.3">
      <c r="A1394" s="63"/>
      <c r="B1394" s="64"/>
      <c r="C1394" s="55"/>
      <c r="D1394" s="64">
        <v>2020</v>
      </c>
      <c r="E1394" s="65">
        <f>8475840183</f>
        <v>8475840183</v>
      </c>
      <c r="F1394" s="65">
        <f>E1394+103982302680+25501355750+5984705800+166033977158+104277547793</f>
        <v>414255729364</v>
      </c>
      <c r="G1394" s="65">
        <f>551011466072</f>
        <v>551011466072</v>
      </c>
      <c r="H1394" s="65">
        <f>I1394-4834098403-2221758247</f>
        <v>410346088642</v>
      </c>
      <c r="I1394" s="65">
        <f>417401945292</f>
        <v>417401945292</v>
      </c>
      <c r="J1394" s="65">
        <f>32651594-22140708099</f>
        <v>-22108056505</v>
      </c>
      <c r="K1394" s="65">
        <f>133609520780</f>
        <v>133609520780</v>
      </c>
      <c r="L1394" s="65">
        <f>37142295235</f>
        <v>37142295235</v>
      </c>
      <c r="M1394" s="65">
        <f>7196919909</f>
        <v>7196919909</v>
      </c>
      <c r="N1394" s="65">
        <f>3061017413</f>
        <v>3061017413</v>
      </c>
      <c r="O1394" s="66">
        <v>0.6865</v>
      </c>
      <c r="P1394" s="67" t="s">
        <v>307</v>
      </c>
      <c r="Q1394" s="65">
        <v>2</v>
      </c>
      <c r="R1394" s="65">
        <v>3</v>
      </c>
      <c r="S1394" s="65">
        <v>3</v>
      </c>
      <c r="T1394" s="65">
        <f t="shared" si="133"/>
        <v>6</v>
      </c>
      <c r="U1394" s="68">
        <v>7.1599999999999997E-2</v>
      </c>
      <c r="V1394" s="65">
        <f>3+2</f>
        <v>5</v>
      </c>
      <c r="W1394" s="65">
        <f t="shared" si="130"/>
        <v>5</v>
      </c>
      <c r="X1394" s="65">
        <f t="shared" si="134"/>
        <v>6</v>
      </c>
      <c r="Y1394" s="64"/>
    </row>
    <row r="1395" spans="1:25" s="54" customFormat="1" ht="15" customHeight="1" x14ac:dyDescent="0.3">
      <c r="A1395" s="63"/>
      <c r="B1395" s="64"/>
      <c r="C1395" s="55"/>
      <c r="D1395" s="64">
        <v>2021</v>
      </c>
      <c r="E1395" s="65">
        <f>4788279504</f>
        <v>4788279504</v>
      </c>
      <c r="F1395" s="65">
        <f>E1395+115184320866+36216731651+6531656751+111512053949+87763034015</f>
        <v>361996076736</v>
      </c>
      <c r="G1395" s="65">
        <f>534962808558</f>
        <v>534962808558</v>
      </c>
      <c r="H1395" s="65">
        <f>I1395-4799610643-1759008656</f>
        <v>390939931019</v>
      </c>
      <c r="I1395" s="65">
        <f>397498550318</f>
        <v>397498550318</v>
      </c>
      <c r="J1395" s="65">
        <f>32651594-18296804034</f>
        <v>-18264152440</v>
      </c>
      <c r="K1395" s="65">
        <f>137464258240</f>
        <v>137464258240</v>
      </c>
      <c r="L1395" s="65">
        <f>33721535617</f>
        <v>33721535617</v>
      </c>
      <c r="M1395" s="65">
        <f>5774173284</f>
        <v>5774173284</v>
      </c>
      <c r="N1395" s="65">
        <f>3790417710</f>
        <v>3790417710</v>
      </c>
      <c r="O1395" s="66">
        <v>0.6865</v>
      </c>
      <c r="P1395" s="67" t="s">
        <v>307</v>
      </c>
      <c r="Q1395" s="65">
        <v>2</v>
      </c>
      <c r="R1395" s="65">
        <v>3</v>
      </c>
      <c r="S1395" s="65">
        <v>3</v>
      </c>
      <c r="T1395" s="65">
        <f t="shared" si="133"/>
        <v>6</v>
      </c>
      <c r="U1395" s="68">
        <v>7.1599999999999997E-2</v>
      </c>
      <c r="V1395" s="65">
        <f>3+2</f>
        <v>5</v>
      </c>
      <c r="W1395" s="65">
        <f t="shared" si="130"/>
        <v>5</v>
      </c>
      <c r="X1395" s="65">
        <f t="shared" si="134"/>
        <v>6</v>
      </c>
      <c r="Y1395" s="64"/>
    </row>
    <row r="1396" spans="1:25" s="54" customFormat="1" ht="15" customHeight="1" x14ac:dyDescent="0.3">
      <c r="A1396" s="63"/>
      <c r="B1396" s="64"/>
      <c r="C1396" s="55"/>
      <c r="D1396" s="64">
        <v>2022</v>
      </c>
      <c r="E1396" s="65">
        <f>12830392796</f>
        <v>12830392796</v>
      </c>
      <c r="F1396" s="65">
        <f>E1396+208811415940+3238323726+11307075348+6216468551+178493439246+231041176547</f>
        <v>651938292154</v>
      </c>
      <c r="G1396" s="65">
        <f>989741834422</f>
        <v>989741834422</v>
      </c>
      <c r="H1396" s="65">
        <f>I1396-5780727475-388957540</f>
        <v>743554380337</v>
      </c>
      <c r="I1396" s="65">
        <f>749724065352</f>
        <v>749724065352</v>
      </c>
      <c r="J1396" s="65">
        <f>32651594-59854160833</f>
        <v>-59821509239</v>
      </c>
      <c r="K1396" s="65">
        <f>240017769070</f>
        <v>240017769070</v>
      </c>
      <c r="L1396" s="65">
        <f>23719139810</f>
        <v>23719139810</v>
      </c>
      <c r="M1396" s="65">
        <f>-10832133545</f>
        <v>-10832133545</v>
      </c>
      <c r="N1396" s="65">
        <f>-8188437794</f>
        <v>-8188437794</v>
      </c>
      <c r="O1396" s="66">
        <v>0.6865</v>
      </c>
      <c r="P1396" s="67" t="s">
        <v>308</v>
      </c>
      <c r="Q1396" s="65">
        <v>2</v>
      </c>
      <c r="R1396" s="65">
        <v>3</v>
      </c>
      <c r="S1396" s="65">
        <v>3</v>
      </c>
      <c r="T1396" s="65">
        <f t="shared" si="133"/>
        <v>6</v>
      </c>
      <c r="U1396" s="68">
        <v>5.6399999999999999E-2</v>
      </c>
      <c r="V1396" s="65">
        <f>3+2</f>
        <v>5</v>
      </c>
      <c r="W1396" s="65">
        <f t="shared" si="130"/>
        <v>5</v>
      </c>
      <c r="X1396" s="65">
        <f t="shared" si="134"/>
        <v>6</v>
      </c>
      <c r="Y1396" s="64"/>
    </row>
    <row r="1397" spans="1:25" s="54" customFormat="1" ht="15" customHeight="1" x14ac:dyDescent="0.3">
      <c r="A1397" s="63"/>
      <c r="B1397" s="64"/>
      <c r="C1397" s="55"/>
      <c r="D1397" s="64">
        <v>2023</v>
      </c>
      <c r="E1397" s="65">
        <f>16072143806</f>
        <v>16072143806</v>
      </c>
      <c r="F1397" s="65">
        <f>E1397+338037348148+100091820676+9797980900+359653006407+318732738378</f>
        <v>1142385038315</v>
      </c>
      <c r="G1397" s="65">
        <f>1627392898057</f>
        <v>1627392898057</v>
      </c>
      <c r="H1397" s="65">
        <f>I1397-6139982972-5195737251</f>
        <v>1335373820430</v>
      </c>
      <c r="I1397" s="65">
        <f>1346709540653</f>
        <v>1346709540653</v>
      </c>
      <c r="J1397" s="65">
        <f>32651594-14037564233</f>
        <v>-14004912639</v>
      </c>
      <c r="K1397" s="65">
        <f>280683357404</f>
        <v>280683357404</v>
      </c>
      <c r="L1397" s="65">
        <f>57472501827</f>
        <v>57472501827</v>
      </c>
      <c r="M1397" s="65">
        <f>11068775122</f>
        <v>11068775122</v>
      </c>
      <c r="N1397" s="65">
        <f>12901352409</f>
        <v>12901352409</v>
      </c>
      <c r="O1397" s="66">
        <v>0.86560000000000004</v>
      </c>
      <c r="P1397" s="67" t="s">
        <v>308</v>
      </c>
      <c r="Q1397" s="65">
        <v>2</v>
      </c>
      <c r="R1397" s="65">
        <v>4</v>
      </c>
      <c r="S1397" s="65">
        <v>3</v>
      </c>
      <c r="T1397" s="65">
        <f t="shared" si="133"/>
        <v>7</v>
      </c>
      <c r="U1397" s="68">
        <v>5.6399999999999999E-2</v>
      </c>
      <c r="V1397" s="65">
        <f>4+4</f>
        <v>8</v>
      </c>
      <c r="W1397" s="65">
        <f t="shared" si="130"/>
        <v>8</v>
      </c>
      <c r="X1397" s="65">
        <f t="shared" si="134"/>
        <v>6</v>
      </c>
      <c r="Y1397" s="64"/>
    </row>
    <row r="1398" spans="1:25" s="54" customFormat="1" ht="15" customHeight="1" x14ac:dyDescent="0.3">
      <c r="A1398" s="63"/>
      <c r="B1398" s="64"/>
      <c r="C1398" s="55"/>
      <c r="D1398" s="64">
        <v>2024</v>
      </c>
      <c r="E1398" s="65">
        <f>43319635678</f>
        <v>43319635678</v>
      </c>
      <c r="F1398" s="65">
        <f>E1398+2115630531+526391487736+363932361610+11998165144+596676381175+458868231555</f>
        <v>2003301893429</v>
      </c>
      <c r="G1398" s="65">
        <f>2562013170057</f>
        <v>2562013170057</v>
      </c>
      <c r="H1398" s="65">
        <f>I1398-7589427593-4327142074</f>
        <v>2193903042948</v>
      </c>
      <c r="I1398" s="65">
        <f>2205819612615</f>
        <v>2205819612615</v>
      </c>
      <c r="J1398" s="65">
        <f>32651594+61472634303</f>
        <v>61505285897</v>
      </c>
      <c r="K1398" s="65">
        <f>356193557442</f>
        <v>356193557442</v>
      </c>
      <c r="L1398" s="65">
        <f>153349569456</f>
        <v>153349569456</v>
      </c>
      <c r="M1398" s="65">
        <f>89164089727</f>
        <v>89164089727</v>
      </c>
      <c r="N1398" s="65">
        <f>75510200038</f>
        <v>75510200038</v>
      </c>
      <c r="O1398" s="66">
        <v>0.87270000000000003</v>
      </c>
      <c r="P1398" s="67" t="s">
        <v>308</v>
      </c>
      <c r="Q1398" s="65">
        <v>2</v>
      </c>
      <c r="R1398" s="65">
        <v>4</v>
      </c>
      <c r="S1398" s="65">
        <v>4</v>
      </c>
      <c r="T1398" s="65">
        <f t="shared" si="133"/>
        <v>8</v>
      </c>
      <c r="U1398" s="68">
        <v>5.6399999999999999E-2</v>
      </c>
      <c r="V1398" s="65">
        <f>4+4</f>
        <v>8</v>
      </c>
      <c r="W1398" s="65">
        <f t="shared" si="130"/>
        <v>8</v>
      </c>
      <c r="X1398" s="65">
        <f>3+4</f>
        <v>7</v>
      </c>
      <c r="Y1398" s="64"/>
    </row>
    <row r="1399" spans="1:25" s="54" customFormat="1" ht="15" customHeight="1" x14ac:dyDescent="0.3">
      <c r="A1399" s="63"/>
      <c r="B1399" s="64">
        <v>128</v>
      </c>
      <c r="C1399" s="55" t="s">
        <v>92</v>
      </c>
      <c r="D1399" s="64">
        <v>2014</v>
      </c>
      <c r="E1399" s="65">
        <v>0</v>
      </c>
      <c r="F1399" s="65">
        <v>0</v>
      </c>
      <c r="G1399" s="65">
        <v>0</v>
      </c>
      <c r="H1399" s="65">
        <v>0</v>
      </c>
      <c r="I1399" s="65">
        <v>0</v>
      </c>
      <c r="J1399" s="65">
        <v>0</v>
      </c>
      <c r="K1399" s="65">
        <v>0</v>
      </c>
      <c r="L1399" s="65">
        <v>0</v>
      </c>
      <c r="M1399" s="65">
        <v>0</v>
      </c>
      <c r="N1399" s="65">
        <v>0</v>
      </c>
      <c r="O1399" s="65">
        <v>0</v>
      </c>
      <c r="P1399" s="65">
        <v>0</v>
      </c>
      <c r="Q1399" s="65">
        <v>0</v>
      </c>
      <c r="R1399" s="65">
        <v>0</v>
      </c>
      <c r="S1399" s="65">
        <v>0</v>
      </c>
      <c r="T1399" s="65">
        <v>0</v>
      </c>
      <c r="U1399" s="65">
        <v>0</v>
      </c>
      <c r="V1399" s="65">
        <v>0</v>
      </c>
      <c r="W1399" s="65">
        <v>0</v>
      </c>
      <c r="X1399" s="65">
        <v>0</v>
      </c>
      <c r="Y1399" s="64"/>
    </row>
    <row r="1400" spans="1:25" s="54" customFormat="1" ht="15" customHeight="1" x14ac:dyDescent="0.3">
      <c r="A1400" s="63"/>
      <c r="B1400" s="64"/>
      <c r="C1400" s="55"/>
      <c r="D1400" s="64">
        <v>2015</v>
      </c>
      <c r="E1400" s="65">
        <v>0</v>
      </c>
      <c r="F1400" s="65">
        <v>0</v>
      </c>
      <c r="G1400" s="65">
        <v>0</v>
      </c>
      <c r="H1400" s="65">
        <v>0</v>
      </c>
      <c r="I1400" s="65">
        <v>0</v>
      </c>
      <c r="J1400" s="65">
        <v>0</v>
      </c>
      <c r="K1400" s="65">
        <v>0</v>
      </c>
      <c r="L1400" s="65">
        <v>0</v>
      </c>
      <c r="M1400" s="65">
        <v>0</v>
      </c>
      <c r="N1400" s="65">
        <v>0</v>
      </c>
      <c r="O1400" s="65">
        <v>0</v>
      </c>
      <c r="P1400" s="65">
        <v>0</v>
      </c>
      <c r="Q1400" s="65">
        <v>0</v>
      </c>
      <c r="R1400" s="65">
        <v>0</v>
      </c>
      <c r="S1400" s="65">
        <v>0</v>
      </c>
      <c r="T1400" s="65">
        <v>0</v>
      </c>
      <c r="U1400" s="65">
        <v>0</v>
      </c>
      <c r="V1400" s="65">
        <v>0</v>
      </c>
      <c r="W1400" s="65">
        <v>0</v>
      </c>
      <c r="X1400" s="65">
        <v>0</v>
      </c>
      <c r="Y1400" s="64"/>
    </row>
    <row r="1401" spans="1:25" s="54" customFormat="1" ht="15" customHeight="1" x14ac:dyDescent="0.3">
      <c r="A1401" s="63"/>
      <c r="B1401" s="64"/>
      <c r="C1401" s="55"/>
      <c r="D1401" s="64">
        <v>2016</v>
      </c>
      <c r="E1401" s="65">
        <v>0</v>
      </c>
      <c r="F1401" s="65">
        <v>0</v>
      </c>
      <c r="G1401" s="65">
        <v>0</v>
      </c>
      <c r="H1401" s="65">
        <v>0</v>
      </c>
      <c r="I1401" s="65">
        <v>0</v>
      </c>
      <c r="J1401" s="65">
        <v>0</v>
      </c>
      <c r="K1401" s="65">
        <v>0</v>
      </c>
      <c r="L1401" s="65">
        <v>0</v>
      </c>
      <c r="M1401" s="65">
        <v>0</v>
      </c>
      <c r="N1401" s="65">
        <v>0</v>
      </c>
      <c r="O1401" s="65">
        <v>0</v>
      </c>
      <c r="P1401" s="65">
        <v>0</v>
      </c>
      <c r="Q1401" s="65">
        <v>0</v>
      </c>
      <c r="R1401" s="65">
        <v>0</v>
      </c>
      <c r="S1401" s="65">
        <v>0</v>
      </c>
      <c r="T1401" s="65">
        <v>0</v>
      </c>
      <c r="U1401" s="65">
        <v>0</v>
      </c>
      <c r="V1401" s="65">
        <v>0</v>
      </c>
      <c r="W1401" s="65">
        <v>0</v>
      </c>
      <c r="X1401" s="65">
        <v>0</v>
      </c>
      <c r="Y1401" s="64"/>
    </row>
    <row r="1402" spans="1:25" s="54" customFormat="1" ht="15" customHeight="1" x14ac:dyDescent="0.3">
      <c r="A1402" s="63"/>
      <c r="B1402" s="64"/>
      <c r="C1402" s="55"/>
      <c r="D1402" s="64">
        <v>2017</v>
      </c>
      <c r="E1402" s="65">
        <v>0</v>
      </c>
      <c r="F1402" s="65">
        <v>0</v>
      </c>
      <c r="G1402" s="65">
        <v>0</v>
      </c>
      <c r="H1402" s="65">
        <v>0</v>
      </c>
      <c r="I1402" s="65">
        <v>0</v>
      </c>
      <c r="J1402" s="65">
        <v>0</v>
      </c>
      <c r="K1402" s="65">
        <v>0</v>
      </c>
      <c r="L1402" s="65">
        <v>0</v>
      </c>
      <c r="M1402" s="65">
        <v>0</v>
      </c>
      <c r="N1402" s="65">
        <v>0</v>
      </c>
      <c r="O1402" s="65">
        <v>0</v>
      </c>
      <c r="P1402" s="65">
        <v>0</v>
      </c>
      <c r="Q1402" s="65">
        <v>0</v>
      </c>
      <c r="R1402" s="65">
        <v>0</v>
      </c>
      <c r="S1402" s="65">
        <v>0</v>
      </c>
      <c r="T1402" s="65">
        <v>0</v>
      </c>
      <c r="U1402" s="65">
        <v>0</v>
      </c>
      <c r="V1402" s="65">
        <v>0</v>
      </c>
      <c r="W1402" s="65">
        <v>0</v>
      </c>
      <c r="X1402" s="65">
        <v>0</v>
      </c>
      <c r="Y1402" s="64"/>
    </row>
    <row r="1403" spans="1:25" s="54" customFormat="1" ht="15" customHeight="1" x14ac:dyDescent="0.3">
      <c r="A1403" s="63"/>
      <c r="B1403" s="64"/>
      <c r="C1403" s="55"/>
      <c r="D1403" s="64">
        <v>2018</v>
      </c>
      <c r="E1403" s="65">
        <f>5191*1000000</f>
        <v>5191000000</v>
      </c>
      <c r="F1403" s="65">
        <f>(5191+62172+5279+96494+678)*1000000</f>
        <v>169814000000</v>
      </c>
      <c r="G1403" s="65">
        <f>351591*1000000</f>
        <v>351591000000</v>
      </c>
      <c r="H1403" s="65">
        <f>56857*1000000</f>
        <v>56857000000</v>
      </c>
      <c r="I1403" s="65">
        <f>173146*1000000</f>
        <v>173146000000</v>
      </c>
      <c r="J1403" s="65">
        <f>118928*1000000</f>
        <v>118928000000</v>
      </c>
      <c r="K1403" s="65">
        <f>351591*1000000</f>
        <v>351591000000</v>
      </c>
      <c r="L1403" s="65">
        <f>52082*1000000</f>
        <v>52082000000</v>
      </c>
      <c r="M1403" s="65">
        <f>29355*1000000</f>
        <v>29355000000</v>
      </c>
      <c r="N1403" s="65">
        <f>23323*1000000</f>
        <v>23323000000</v>
      </c>
      <c r="O1403" s="65">
        <v>0</v>
      </c>
      <c r="P1403" s="65">
        <v>0</v>
      </c>
      <c r="Q1403" s="65">
        <v>0</v>
      </c>
      <c r="R1403" s="65">
        <v>0</v>
      </c>
      <c r="S1403" s="65">
        <v>0</v>
      </c>
      <c r="T1403" s="65">
        <v>0</v>
      </c>
      <c r="U1403" s="65">
        <v>0</v>
      </c>
      <c r="V1403" s="65">
        <v>0</v>
      </c>
      <c r="W1403" s="65">
        <v>0</v>
      </c>
      <c r="X1403" s="65">
        <v>0</v>
      </c>
      <c r="Y1403" s="64"/>
    </row>
    <row r="1404" spans="1:25" s="54" customFormat="1" ht="15" customHeight="1" x14ac:dyDescent="0.3">
      <c r="A1404" s="63"/>
      <c r="B1404" s="64"/>
      <c r="C1404" s="55"/>
      <c r="D1404" s="64">
        <v>2019</v>
      </c>
      <c r="E1404" s="65">
        <f>17914*1000000</f>
        <v>17914000000</v>
      </c>
      <c r="F1404" s="65">
        <f>(17914+61690+12977+209619+718)*1000000</f>
        <v>302918000000</v>
      </c>
      <c r="G1404" s="65">
        <f>495110*1000000</f>
        <v>495110000000</v>
      </c>
      <c r="H1404" s="65">
        <f>65076*1000000</f>
        <v>65076000000</v>
      </c>
      <c r="I1404" s="65">
        <f>295390*1000000</f>
        <v>295390000000</v>
      </c>
      <c r="J1404" s="65">
        <f>139724*1000000</f>
        <v>139724000000</v>
      </c>
      <c r="K1404" s="65">
        <f>495110*1000000</f>
        <v>495110000000</v>
      </c>
      <c r="L1404" s="65">
        <f>51544*1000000</f>
        <v>51544000000</v>
      </c>
      <c r="M1404" s="65">
        <f>26263*1000000</f>
        <v>26263000000</v>
      </c>
      <c r="N1404" s="65">
        <f>21274*1000000</f>
        <v>21274000000</v>
      </c>
      <c r="O1404" s="66">
        <v>0.51</v>
      </c>
      <c r="P1404" s="67" t="s">
        <v>297</v>
      </c>
      <c r="Q1404" s="65">
        <v>2</v>
      </c>
      <c r="R1404" s="65">
        <v>3</v>
      </c>
      <c r="S1404" s="65">
        <v>3</v>
      </c>
      <c r="T1404" s="65">
        <f t="shared" ref="T1404:T1409" si="135">SUM(R1404:S1404)</f>
        <v>6</v>
      </c>
      <c r="U1404" s="68">
        <v>0</v>
      </c>
      <c r="V1404" s="65">
        <v>0</v>
      </c>
      <c r="W1404" s="65">
        <v>0</v>
      </c>
      <c r="X1404" s="65">
        <v>0</v>
      </c>
      <c r="Y1404" s="64"/>
    </row>
    <row r="1405" spans="1:25" s="54" customFormat="1" ht="15" customHeight="1" x14ac:dyDescent="0.3">
      <c r="A1405" s="63"/>
      <c r="B1405" s="64"/>
      <c r="C1405" s="55"/>
      <c r="D1405" s="64">
        <v>2020</v>
      </c>
      <c r="E1405" s="65">
        <f>38264*1000000</f>
        <v>38264000000</v>
      </c>
      <c r="F1405" s="65">
        <f>(38264+57937+23098+206715+283)*1000000</f>
        <v>326297000000</v>
      </c>
      <c r="G1405" s="65">
        <f>508956*1000000</f>
        <v>508956000000</v>
      </c>
      <c r="H1405" s="65">
        <f>64119*1000000</f>
        <v>64119000000</v>
      </c>
      <c r="I1405" s="65">
        <f>291332*1000000</f>
        <v>291332000000</v>
      </c>
      <c r="J1405" s="65">
        <f>157973*1000000</f>
        <v>157973000000</v>
      </c>
      <c r="K1405" s="65">
        <f>217623*1000000</f>
        <v>217623000000</v>
      </c>
      <c r="L1405" s="65">
        <f>51357*1000000</f>
        <v>51357000000</v>
      </c>
      <c r="M1405" s="65">
        <f>22440*1000000</f>
        <v>22440000000</v>
      </c>
      <c r="N1405" s="65">
        <f>17904*1000000</f>
        <v>17904000000</v>
      </c>
      <c r="O1405" s="66">
        <v>0.51</v>
      </c>
      <c r="P1405" s="67" t="s">
        <v>297</v>
      </c>
      <c r="Q1405" s="65">
        <v>2</v>
      </c>
      <c r="R1405" s="65">
        <v>3</v>
      </c>
      <c r="S1405" s="65">
        <v>3</v>
      </c>
      <c r="T1405" s="65">
        <f t="shared" si="135"/>
        <v>6</v>
      </c>
      <c r="U1405" s="68">
        <v>0</v>
      </c>
      <c r="V1405" s="65">
        <v>0</v>
      </c>
      <c r="W1405" s="65">
        <v>0</v>
      </c>
      <c r="X1405" s="65">
        <v>0</v>
      </c>
      <c r="Y1405" s="64"/>
    </row>
    <row r="1406" spans="1:25" s="54" customFormat="1" ht="15" customHeight="1" x14ac:dyDescent="0.3">
      <c r="A1406" s="63"/>
      <c r="B1406" s="64"/>
      <c r="C1406" s="55"/>
      <c r="D1406" s="64">
        <v>2021</v>
      </c>
      <c r="E1406" s="65">
        <f>38139*1000000</f>
        <v>38139000000</v>
      </c>
      <c r="F1406" s="65">
        <f>(38139+67211+13212+232397+810)*1000000</f>
        <v>351769000000</v>
      </c>
      <c r="G1406" s="65">
        <f>575553*1000000</f>
        <v>575553000000</v>
      </c>
      <c r="H1406" s="65">
        <f>80860*1000000</f>
        <v>80860000000</v>
      </c>
      <c r="I1406" s="65">
        <f>333196*1000000</f>
        <v>333196000000</v>
      </c>
      <c r="J1406" s="65">
        <f>182071*1000000</f>
        <v>182071000000</v>
      </c>
      <c r="K1406" s="65">
        <f>242356*1000000</f>
        <v>242356000000</v>
      </c>
      <c r="L1406" s="65">
        <f>55091*1000000</f>
        <v>55091000000</v>
      </c>
      <c r="M1406" s="65">
        <f>30154*1000000</f>
        <v>30154000000</v>
      </c>
      <c r="N1406" s="65">
        <f>24732*1000000</f>
        <v>24732000000</v>
      </c>
      <c r="O1406" s="66">
        <v>0.51</v>
      </c>
      <c r="P1406" s="67" t="s">
        <v>297</v>
      </c>
      <c r="Q1406" s="65">
        <v>2</v>
      </c>
      <c r="R1406" s="65">
        <v>3</v>
      </c>
      <c r="S1406" s="65">
        <v>3</v>
      </c>
      <c r="T1406" s="65">
        <f t="shared" si="135"/>
        <v>6</v>
      </c>
      <c r="U1406" s="68">
        <v>0</v>
      </c>
      <c r="V1406" s="65">
        <v>0</v>
      </c>
      <c r="W1406" s="65">
        <v>0</v>
      </c>
      <c r="X1406" s="65">
        <v>0</v>
      </c>
      <c r="Y1406" s="64"/>
    </row>
    <row r="1407" spans="1:25" s="54" customFormat="1" ht="15" customHeight="1" x14ac:dyDescent="0.3">
      <c r="A1407" s="63"/>
      <c r="B1407" s="64"/>
      <c r="C1407" s="55"/>
      <c r="D1407" s="64">
        <v>2022</v>
      </c>
      <c r="E1407" s="65">
        <f>22212*1000000</f>
        <v>22212000000</v>
      </c>
      <c r="F1407" s="65">
        <f>(22212+70587+16089+346878+1208)*1000000</f>
        <v>456974000000</v>
      </c>
      <c r="G1407" s="65">
        <f>703772*1000000</f>
        <v>703772000000</v>
      </c>
      <c r="H1407" s="65">
        <f>53685*1000000</f>
        <v>53685000000</v>
      </c>
      <c r="I1407" s="65">
        <f>431505*1000000</f>
        <v>431505000000</v>
      </c>
      <c r="J1407" s="65">
        <f>212112*1000000</f>
        <v>212112000000</v>
      </c>
      <c r="K1407" s="65">
        <f>272266*1000000</f>
        <v>272266000000</v>
      </c>
      <c r="L1407" s="65">
        <f>59097*1000000</f>
        <v>59097000000</v>
      </c>
      <c r="M1407" s="65">
        <f>38025*1000000</f>
        <v>38025000000</v>
      </c>
      <c r="N1407" s="65">
        <f>29909*1000000</f>
        <v>29909000000</v>
      </c>
      <c r="O1407" s="66">
        <v>0.51</v>
      </c>
      <c r="P1407" s="67" t="s">
        <v>297</v>
      </c>
      <c r="Q1407" s="65">
        <v>2</v>
      </c>
      <c r="R1407" s="65">
        <v>3</v>
      </c>
      <c r="S1407" s="65">
        <v>3</v>
      </c>
      <c r="T1407" s="65">
        <f t="shared" si="135"/>
        <v>6</v>
      </c>
      <c r="U1407" s="68">
        <v>0</v>
      </c>
      <c r="V1407" s="65">
        <v>0</v>
      </c>
      <c r="W1407" s="65">
        <v>0</v>
      </c>
      <c r="X1407" s="65">
        <v>0</v>
      </c>
      <c r="Y1407" s="64"/>
    </row>
    <row r="1408" spans="1:25" s="54" customFormat="1" ht="15" customHeight="1" x14ac:dyDescent="0.3">
      <c r="A1408" s="63"/>
      <c r="B1408" s="64"/>
      <c r="C1408" s="55"/>
      <c r="D1408" s="64">
        <v>2023</v>
      </c>
      <c r="E1408" s="65">
        <f>34720*1000000</f>
        <v>34720000000</v>
      </c>
      <c r="F1408" s="65">
        <f>(34720+89351+44837+369923+1052)*1000000</f>
        <v>539883000000</v>
      </c>
      <c r="G1408" s="65">
        <f>773247*1000000</f>
        <v>773247000000</v>
      </c>
      <c r="H1408" s="65">
        <f>70359*1000000</f>
        <v>70359000000</v>
      </c>
      <c r="I1408" s="65">
        <f>478352*1000000</f>
        <v>478352000000</v>
      </c>
      <c r="J1408" s="65">
        <f>234268*1000000</f>
        <v>234268000000</v>
      </c>
      <c r="K1408" s="65">
        <f>294894*1000000</f>
        <v>294894000000</v>
      </c>
      <c r="L1408" s="65">
        <f>64916*1000000</f>
        <v>64916000000</v>
      </c>
      <c r="M1408" s="65">
        <f>26474*1000000</f>
        <v>26474000000</v>
      </c>
      <c r="N1408" s="65">
        <f>22628*1000000</f>
        <v>22628000000</v>
      </c>
      <c r="O1408" s="66">
        <v>0.51</v>
      </c>
      <c r="P1408" s="67" t="s">
        <v>297</v>
      </c>
      <c r="Q1408" s="65">
        <v>2</v>
      </c>
      <c r="R1408" s="65">
        <v>3</v>
      </c>
      <c r="S1408" s="65">
        <v>3</v>
      </c>
      <c r="T1408" s="65">
        <f t="shared" si="135"/>
        <v>6</v>
      </c>
      <c r="U1408" s="68">
        <v>0</v>
      </c>
      <c r="V1408" s="65">
        <v>0</v>
      </c>
      <c r="W1408" s="65">
        <v>0</v>
      </c>
      <c r="X1408" s="65">
        <v>0</v>
      </c>
      <c r="Y1408" s="64"/>
    </row>
    <row r="1409" spans="1:25" s="54" customFormat="1" ht="15" customHeight="1" x14ac:dyDescent="0.3">
      <c r="A1409" s="63"/>
      <c r="B1409" s="64"/>
      <c r="C1409" s="55"/>
      <c r="D1409" s="64">
        <v>2024</v>
      </c>
      <c r="E1409" s="65">
        <f>97823*1000000</f>
        <v>97823000000</v>
      </c>
      <c r="F1409" s="65">
        <f>(97823+15324+42873+165876+1067)*1000000</f>
        <v>322963000000</v>
      </c>
      <c r="G1409" s="65">
        <f>553767*1000000</f>
        <v>553767000000</v>
      </c>
      <c r="H1409" s="65">
        <f>32499*1000000</f>
        <v>32499000000</v>
      </c>
      <c r="I1409" s="65">
        <f>244654*1000000</f>
        <v>244654000000</v>
      </c>
      <c r="J1409" s="65">
        <f>248870*1000000</f>
        <v>248870000000</v>
      </c>
      <c r="K1409" s="65">
        <f>309113*1000000</f>
        <v>309113000000</v>
      </c>
      <c r="L1409" s="65">
        <f>53424*1000000</f>
        <v>53424000000</v>
      </c>
      <c r="M1409" s="65">
        <f>15751*1000000</f>
        <v>15751000000</v>
      </c>
      <c r="N1409" s="65">
        <f>14218*1000000</f>
        <v>14218000000</v>
      </c>
      <c r="O1409" s="66">
        <v>0.51</v>
      </c>
      <c r="P1409" s="67" t="s">
        <v>297</v>
      </c>
      <c r="Q1409" s="65">
        <v>2</v>
      </c>
      <c r="R1409" s="65">
        <v>3</v>
      </c>
      <c r="S1409" s="65">
        <v>3</v>
      </c>
      <c r="T1409" s="65">
        <f t="shared" si="135"/>
        <v>6</v>
      </c>
      <c r="U1409" s="68">
        <v>0</v>
      </c>
      <c r="V1409" s="65">
        <v>0</v>
      </c>
      <c r="W1409" s="65">
        <v>0</v>
      </c>
      <c r="X1409" s="65">
        <v>0</v>
      </c>
      <c r="Y1409" s="64"/>
    </row>
    <row r="1410" spans="1:25" s="54" customFormat="1" ht="15" customHeight="1" x14ac:dyDescent="0.3">
      <c r="A1410" s="63"/>
      <c r="B1410" s="64">
        <v>129</v>
      </c>
      <c r="C1410" s="55" t="s">
        <v>87</v>
      </c>
      <c r="D1410" s="64">
        <v>2014</v>
      </c>
      <c r="E1410" s="65">
        <v>0</v>
      </c>
      <c r="F1410" s="65">
        <v>0</v>
      </c>
      <c r="G1410" s="65">
        <v>0</v>
      </c>
      <c r="H1410" s="65">
        <v>0</v>
      </c>
      <c r="I1410" s="65">
        <v>0</v>
      </c>
      <c r="J1410" s="65">
        <v>0</v>
      </c>
      <c r="K1410" s="65">
        <v>0</v>
      </c>
      <c r="L1410" s="65">
        <v>0</v>
      </c>
      <c r="M1410" s="65">
        <v>0</v>
      </c>
      <c r="N1410" s="65">
        <v>0</v>
      </c>
      <c r="O1410" s="65">
        <v>0</v>
      </c>
      <c r="P1410" s="65">
        <v>0</v>
      </c>
      <c r="Q1410" s="65">
        <v>0</v>
      </c>
      <c r="R1410" s="65">
        <v>0</v>
      </c>
      <c r="S1410" s="65">
        <v>0</v>
      </c>
      <c r="T1410" s="65">
        <v>0</v>
      </c>
      <c r="U1410" s="65">
        <v>0</v>
      </c>
      <c r="V1410" s="65">
        <v>0</v>
      </c>
      <c r="W1410" s="65">
        <v>0</v>
      </c>
      <c r="X1410" s="65">
        <v>0</v>
      </c>
      <c r="Y1410" s="64"/>
    </row>
    <row r="1411" spans="1:25" s="54" customFormat="1" ht="15" customHeight="1" x14ac:dyDescent="0.3">
      <c r="A1411" s="63"/>
      <c r="B1411" s="64"/>
      <c r="C1411" s="55"/>
      <c r="D1411" s="64">
        <v>2015</v>
      </c>
      <c r="E1411" s="65">
        <f>25327*1000000</f>
        <v>25327000000</v>
      </c>
      <c r="F1411" s="65">
        <f>(25327+78582+9874+51633+91)*1000000</f>
        <v>165507000000</v>
      </c>
      <c r="G1411" s="65">
        <f>335374*1000000</f>
        <v>335374000000</v>
      </c>
      <c r="H1411" s="65">
        <f>70020*1000000</f>
        <v>70020000000</v>
      </c>
      <c r="I1411" s="65">
        <f>182894*1000000</f>
        <v>182894000000</v>
      </c>
      <c r="J1411" s="65">
        <f>17725*1000000</f>
        <v>17725000000</v>
      </c>
      <c r="K1411" s="65">
        <f>152480*1000000</f>
        <v>152480000000</v>
      </c>
      <c r="L1411" s="65">
        <f>86058*1000000</f>
        <v>86058000000</v>
      </c>
      <c r="M1411" s="65">
        <f>7786*1000000</f>
        <v>7786000000</v>
      </c>
      <c r="N1411" s="65">
        <f>3914*1000000</f>
        <v>3914000000</v>
      </c>
      <c r="O1411" s="65">
        <v>0</v>
      </c>
      <c r="P1411" s="65">
        <v>0</v>
      </c>
      <c r="Q1411" s="65">
        <v>0</v>
      </c>
      <c r="R1411" s="65">
        <v>0</v>
      </c>
      <c r="S1411" s="65">
        <v>0</v>
      </c>
      <c r="T1411" s="65">
        <v>0</v>
      </c>
      <c r="U1411" s="65">
        <v>0</v>
      </c>
      <c r="V1411" s="65">
        <v>0</v>
      </c>
      <c r="W1411" s="65">
        <v>0</v>
      </c>
      <c r="X1411" s="65">
        <v>0</v>
      </c>
      <c r="Y1411" s="64"/>
    </row>
    <row r="1412" spans="1:25" s="54" customFormat="1" ht="15" customHeight="1" x14ac:dyDescent="0.3">
      <c r="A1412" s="63"/>
      <c r="B1412" s="64"/>
      <c r="C1412" s="55"/>
      <c r="D1412" s="64">
        <v>2016</v>
      </c>
      <c r="E1412" s="65">
        <f>9229*1000000</f>
        <v>9229000000</v>
      </c>
      <c r="F1412" s="65">
        <f>(9229+97973+10938+97707+213)*1000000</f>
        <v>216060000000</v>
      </c>
      <c r="G1412" s="65">
        <f>419115*1000000</f>
        <v>419115000000</v>
      </c>
      <c r="H1412" s="65">
        <f>48073*1000000</f>
        <v>48073000000</v>
      </c>
      <c r="I1412" s="65">
        <f>235231*1000000</f>
        <v>235231000000</v>
      </c>
      <c r="J1412" s="65">
        <f>20274*1000000</f>
        <v>20274000000</v>
      </c>
      <c r="K1412" s="65">
        <f>183884*1000000</f>
        <v>183884000000</v>
      </c>
      <c r="L1412" s="65">
        <f>103602*1000000</f>
        <v>103602000000</v>
      </c>
      <c r="M1412" s="65">
        <f>2378*1000000</f>
        <v>2378000000</v>
      </c>
      <c r="N1412" s="65">
        <f>6404*1000000</f>
        <v>6404000000</v>
      </c>
      <c r="O1412" s="66">
        <v>0.99970000000000003</v>
      </c>
      <c r="P1412" s="67" t="s">
        <v>226</v>
      </c>
      <c r="Q1412" s="65">
        <v>2</v>
      </c>
      <c r="R1412" s="65">
        <v>3</v>
      </c>
      <c r="S1412" s="65">
        <v>4</v>
      </c>
      <c r="T1412" s="65">
        <f>SUM(R1412:S1412)</f>
        <v>7</v>
      </c>
      <c r="U1412" s="68">
        <v>0</v>
      </c>
      <c r="V1412" s="65">
        <v>0</v>
      </c>
      <c r="W1412" s="65">
        <v>0</v>
      </c>
      <c r="X1412" s="65">
        <v>0</v>
      </c>
      <c r="Y1412" s="64"/>
    </row>
    <row r="1413" spans="1:25" s="54" customFormat="1" ht="15" customHeight="1" x14ac:dyDescent="0.3">
      <c r="A1413" s="63"/>
      <c r="B1413" s="64"/>
      <c r="C1413" s="55"/>
      <c r="D1413" s="64">
        <v>2017</v>
      </c>
      <c r="E1413" s="65">
        <f>97179*1000000</f>
        <v>97179000000</v>
      </c>
      <c r="F1413" s="65">
        <f>(37179+192989+7011+119691+501)*1000000</f>
        <v>357371000000</v>
      </c>
      <c r="G1413" s="65">
        <f>569073*1000000</f>
        <v>569073000000</v>
      </c>
      <c r="H1413" s="65">
        <f>124492*1000000</f>
        <v>124492000000</v>
      </c>
      <c r="I1413" s="65">
        <f>372449*1000000</f>
        <v>372449000000</v>
      </c>
      <c r="J1413" s="65">
        <f>24857*1000000</f>
        <v>24857000000</v>
      </c>
      <c r="K1413" s="65">
        <f>569073*1000000</f>
        <v>569073000000</v>
      </c>
      <c r="L1413" s="65">
        <f>150317*1000000</f>
        <v>150317000000</v>
      </c>
      <c r="M1413" s="65">
        <f>6786*1000000</f>
        <v>6786000000</v>
      </c>
      <c r="N1413" s="65">
        <f>-260*1000000</f>
        <v>-260000000</v>
      </c>
      <c r="O1413" s="66">
        <v>0.99980000000000002</v>
      </c>
      <c r="P1413" s="67" t="s">
        <v>226</v>
      </c>
      <c r="Q1413" s="65">
        <v>2</v>
      </c>
      <c r="R1413" s="65">
        <v>3</v>
      </c>
      <c r="S1413" s="65">
        <v>4</v>
      </c>
      <c r="T1413" s="65">
        <f t="shared" ref="T1413:T1420" si="136">SUM(R1413:S1413)</f>
        <v>7</v>
      </c>
      <c r="U1413" s="68">
        <v>0</v>
      </c>
      <c r="V1413" s="65">
        <v>0</v>
      </c>
      <c r="W1413" s="65">
        <v>0</v>
      </c>
      <c r="X1413" s="65">
        <v>0</v>
      </c>
      <c r="Y1413" s="64"/>
    </row>
    <row r="1414" spans="1:25" s="54" customFormat="1" ht="15" customHeight="1" x14ac:dyDescent="0.3">
      <c r="A1414" s="63"/>
      <c r="B1414" s="64"/>
      <c r="C1414" s="55"/>
      <c r="D1414" s="64">
        <v>2018</v>
      </c>
      <c r="E1414" s="65">
        <f>10697*1000000</f>
        <v>10697000000</v>
      </c>
      <c r="F1414" s="65">
        <f>(10697+103054+3480+112882+1077)*1000000</f>
        <v>231190000000</v>
      </c>
      <c r="G1414" s="65">
        <f>483420*1000000</f>
        <v>483420000000</v>
      </c>
      <c r="H1414" s="65">
        <f>29897*1000000</f>
        <v>29897000000</v>
      </c>
      <c r="I1414" s="65">
        <f>281950*1000000</f>
        <v>281950000000</v>
      </c>
      <c r="J1414" s="65">
        <f>30125*1000000</f>
        <v>30125000000</v>
      </c>
      <c r="K1414" s="65">
        <f>201470*1000000</f>
        <v>201470000000</v>
      </c>
      <c r="L1414" s="65">
        <f>188972*1000000</f>
        <v>188972000000</v>
      </c>
      <c r="M1414" s="65">
        <f>13500*1000000</f>
        <v>13500000000</v>
      </c>
      <c r="N1414" s="65">
        <f>10946*1000000</f>
        <v>10946000000</v>
      </c>
      <c r="O1414" s="66">
        <v>0.99980000000000002</v>
      </c>
      <c r="P1414" s="67" t="s">
        <v>226</v>
      </c>
      <c r="Q1414" s="65">
        <v>2</v>
      </c>
      <c r="R1414" s="65">
        <v>3</v>
      </c>
      <c r="S1414" s="65">
        <v>4</v>
      </c>
      <c r="T1414" s="65">
        <f t="shared" si="136"/>
        <v>7</v>
      </c>
      <c r="U1414" s="68">
        <v>0</v>
      </c>
      <c r="V1414" s="65">
        <v>0</v>
      </c>
      <c r="W1414" s="65">
        <v>0</v>
      </c>
      <c r="X1414" s="65">
        <v>0</v>
      </c>
      <c r="Y1414" s="64"/>
    </row>
    <row r="1415" spans="1:25" s="54" customFormat="1" ht="15" customHeight="1" x14ac:dyDescent="0.3">
      <c r="A1415" s="63"/>
      <c r="B1415" s="64"/>
      <c r="C1415" s="55"/>
      <c r="D1415" s="64">
        <v>2019</v>
      </c>
      <c r="E1415" s="65">
        <f>33321*1000000</f>
        <v>33321000000</v>
      </c>
      <c r="F1415" s="65">
        <f>(32321+91217+3276+169849+920)*1000000</f>
        <v>297583000000</v>
      </c>
      <c r="G1415" s="65">
        <f>596201*1000000</f>
        <v>596201000000</v>
      </c>
      <c r="H1415" s="65">
        <f>57125*1000000</f>
        <v>57125000000</v>
      </c>
      <c r="I1415" s="65">
        <f>395301*1000000</f>
        <v>395301000000</v>
      </c>
      <c r="J1415" s="65">
        <f>29638*1000000</f>
        <v>29638000000</v>
      </c>
      <c r="K1415" s="65">
        <f>200900*1000000</f>
        <v>200900000000</v>
      </c>
      <c r="L1415" s="65">
        <f>193336*1000000</f>
        <v>193336000000</v>
      </c>
      <c r="M1415" s="65">
        <f>4959*1000000</f>
        <v>4959000000</v>
      </c>
      <c r="N1415" s="65">
        <f>5680*1000000</f>
        <v>5680000000</v>
      </c>
      <c r="O1415" s="66">
        <v>0.99980000000000002</v>
      </c>
      <c r="P1415" s="67" t="s">
        <v>226</v>
      </c>
      <c r="Q1415" s="65">
        <v>2</v>
      </c>
      <c r="R1415" s="65">
        <v>3</v>
      </c>
      <c r="S1415" s="65">
        <v>4</v>
      </c>
      <c r="T1415" s="65">
        <f t="shared" si="136"/>
        <v>7</v>
      </c>
      <c r="U1415" s="68">
        <v>0</v>
      </c>
      <c r="V1415" s="65">
        <v>0</v>
      </c>
      <c r="W1415" s="65">
        <v>0</v>
      </c>
      <c r="X1415" s="65">
        <v>0</v>
      </c>
      <c r="Y1415" s="64"/>
    </row>
    <row r="1416" spans="1:25" s="54" customFormat="1" ht="15" customHeight="1" x14ac:dyDescent="0.3">
      <c r="A1416" s="63"/>
      <c r="B1416" s="64"/>
      <c r="C1416" s="55"/>
      <c r="D1416" s="64">
        <v>2020</v>
      </c>
      <c r="E1416" s="65">
        <f>14390*1000000</f>
        <v>14390000000</v>
      </c>
      <c r="F1416" s="65">
        <f>(14390+103706+4485+165187+666)*1000000</f>
        <v>288434000000</v>
      </c>
      <c r="G1416" s="65">
        <f>566735*1000000</f>
        <v>566735000000</v>
      </c>
      <c r="H1416" s="65">
        <f>39724*1000000</f>
        <v>39724000000</v>
      </c>
      <c r="I1416" s="65">
        <f>365713*1000000</f>
        <v>365713000000</v>
      </c>
      <c r="J1416" s="65">
        <f>35898*1000000</f>
        <v>35898000000</v>
      </c>
      <c r="K1416" s="65">
        <f>201022*1000000</f>
        <v>201022000000</v>
      </c>
      <c r="L1416" s="65">
        <f>191609*1000000</f>
        <v>191609000000</v>
      </c>
      <c r="M1416" s="65">
        <f>8979*1000000</f>
        <v>8979000000</v>
      </c>
      <c r="N1416" s="65">
        <f>2437*1000000</f>
        <v>2437000000</v>
      </c>
      <c r="O1416" s="66">
        <v>0.99980000000000002</v>
      </c>
      <c r="P1416" s="67" t="s">
        <v>226</v>
      </c>
      <c r="Q1416" s="65">
        <v>2</v>
      </c>
      <c r="R1416" s="65">
        <v>3</v>
      </c>
      <c r="S1416" s="65">
        <v>3</v>
      </c>
      <c r="T1416" s="65">
        <f t="shared" si="136"/>
        <v>6</v>
      </c>
      <c r="U1416" s="68">
        <v>0</v>
      </c>
      <c r="V1416" s="65">
        <v>0</v>
      </c>
      <c r="W1416" s="65">
        <v>0</v>
      </c>
      <c r="X1416" s="65">
        <v>0</v>
      </c>
      <c r="Y1416" s="64"/>
    </row>
    <row r="1417" spans="1:25" s="54" customFormat="1" ht="15" customHeight="1" x14ac:dyDescent="0.3">
      <c r="A1417" s="63"/>
      <c r="B1417" s="64"/>
      <c r="C1417" s="55"/>
      <c r="D1417" s="64">
        <v>2021</v>
      </c>
      <c r="E1417" s="65">
        <f>63282*1000000</f>
        <v>63282000000</v>
      </c>
      <c r="F1417" s="65">
        <f>(63282+80065+6869+157250+341)*1000000</f>
        <v>307807000000</v>
      </c>
      <c r="G1417" s="65">
        <f>591157*1000000</f>
        <v>591157000000</v>
      </c>
      <c r="H1417" s="65">
        <f>40059*1000000</f>
        <v>40059000000</v>
      </c>
      <c r="I1417" s="65">
        <f>382472*1000000</f>
        <v>382472000000</v>
      </c>
      <c r="J1417" s="65">
        <f>44249*1000000</f>
        <v>44249000000</v>
      </c>
      <c r="K1417" s="65">
        <f>208685*1000000</f>
        <v>208685000000</v>
      </c>
      <c r="L1417" s="65">
        <f>212218*1000000</f>
        <v>212218000000</v>
      </c>
      <c r="M1417" s="65">
        <f>23112*1000000</f>
        <v>23112000000</v>
      </c>
      <c r="N1417" s="65">
        <f>14164*1000000</f>
        <v>14164000000</v>
      </c>
      <c r="O1417" s="66">
        <v>0.99980000000000002</v>
      </c>
      <c r="P1417" s="67" t="s">
        <v>226</v>
      </c>
      <c r="Q1417" s="65">
        <v>1</v>
      </c>
      <c r="R1417" s="65">
        <v>2</v>
      </c>
      <c r="S1417" s="65">
        <v>3</v>
      </c>
      <c r="T1417" s="65">
        <f t="shared" si="136"/>
        <v>5</v>
      </c>
      <c r="U1417" s="68">
        <v>0</v>
      </c>
      <c r="V1417" s="65">
        <v>0</v>
      </c>
      <c r="W1417" s="65">
        <v>0</v>
      </c>
      <c r="X1417" s="65">
        <v>0</v>
      </c>
      <c r="Y1417" s="64"/>
    </row>
    <row r="1418" spans="1:25" s="54" customFormat="1" ht="15" customHeight="1" x14ac:dyDescent="0.3">
      <c r="A1418" s="63"/>
      <c r="B1418" s="64"/>
      <c r="C1418" s="55"/>
      <c r="D1418" s="64">
        <v>2022</v>
      </c>
      <c r="E1418" s="65">
        <f>45236*1000000</f>
        <v>45236000000</v>
      </c>
      <c r="F1418" s="65">
        <f>(45236+77407+63600+133600)*1000000</f>
        <v>319843000000</v>
      </c>
      <c r="G1418" s="65">
        <f>635138*1000000</f>
        <v>635138000000</v>
      </c>
      <c r="H1418" s="65">
        <f>73568*1000000</f>
        <v>73568000000</v>
      </c>
      <c r="I1418" s="65">
        <f>430686*1000000</f>
        <v>430686000000</v>
      </c>
      <c r="J1418" s="65">
        <f>50312*1000000</f>
        <v>50312000000</v>
      </c>
      <c r="K1418" s="65">
        <f>204452*1000000</f>
        <v>204452000000</v>
      </c>
      <c r="L1418" s="65">
        <f>245380*1000000</f>
        <v>245380000000</v>
      </c>
      <c r="M1418" s="65">
        <f>25595*1000000</f>
        <v>25595000000</v>
      </c>
      <c r="N1418" s="65">
        <f>10766*1000000</f>
        <v>10766000000</v>
      </c>
      <c r="O1418" s="66">
        <v>0.99980000000000002</v>
      </c>
      <c r="P1418" s="67" t="s">
        <v>226</v>
      </c>
      <c r="Q1418" s="65">
        <v>2</v>
      </c>
      <c r="R1418" s="65">
        <v>3</v>
      </c>
      <c r="S1418" s="65">
        <v>3</v>
      </c>
      <c r="T1418" s="65">
        <f t="shared" si="136"/>
        <v>6</v>
      </c>
      <c r="U1418" s="68">
        <v>0</v>
      </c>
      <c r="V1418" s="65">
        <v>0</v>
      </c>
      <c r="W1418" s="65">
        <v>0</v>
      </c>
      <c r="X1418" s="65">
        <v>0</v>
      </c>
      <c r="Y1418" s="64"/>
    </row>
    <row r="1419" spans="1:25" s="54" customFormat="1" ht="15" customHeight="1" x14ac:dyDescent="0.3">
      <c r="A1419" s="63"/>
      <c r="B1419" s="64"/>
      <c r="C1419" s="55"/>
      <c r="D1419" s="64">
        <v>2023</v>
      </c>
      <c r="E1419" s="65">
        <f>119409*1000000</f>
        <v>119409000000</v>
      </c>
      <c r="F1419" s="65">
        <f>(119409+102683+38422+131012+1219)*1000000</f>
        <v>392745000000</v>
      </c>
      <c r="G1419" s="65">
        <f>678719*1000000</f>
        <v>678719000000</v>
      </c>
      <c r="H1419" s="65">
        <f>63803*1000000</f>
        <v>63803000000</v>
      </c>
      <c r="I1419" s="65">
        <f>448499*1000000</f>
        <v>448499000000</v>
      </c>
      <c r="J1419" s="65">
        <f>56301*1000000</f>
        <v>56301000000</v>
      </c>
      <c r="K1419" s="65">
        <f>230220*1000000</f>
        <v>230220000000</v>
      </c>
      <c r="L1419" s="65">
        <f>258913*1000000</f>
        <v>258913000000</v>
      </c>
      <c r="M1419" s="65">
        <f>26339*1000000</f>
        <v>26339000000</v>
      </c>
      <c r="N1419" s="65">
        <f>41018*1000000</f>
        <v>41018000000</v>
      </c>
      <c r="O1419" s="66">
        <v>0.99980000000000002</v>
      </c>
      <c r="P1419" s="67" t="s">
        <v>226</v>
      </c>
      <c r="Q1419" s="65">
        <v>2</v>
      </c>
      <c r="R1419" s="65">
        <v>3</v>
      </c>
      <c r="S1419" s="65">
        <v>4</v>
      </c>
      <c r="T1419" s="65">
        <f t="shared" si="136"/>
        <v>7</v>
      </c>
      <c r="U1419" s="68">
        <v>0</v>
      </c>
      <c r="V1419" s="65">
        <v>0</v>
      </c>
      <c r="W1419" s="65">
        <v>0</v>
      </c>
      <c r="X1419" s="65">
        <v>0</v>
      </c>
      <c r="Y1419" s="64"/>
    </row>
    <row r="1420" spans="1:25" s="54" customFormat="1" ht="15" customHeight="1" x14ac:dyDescent="0.3">
      <c r="A1420" s="63"/>
      <c r="B1420" s="64"/>
      <c r="C1420" s="55"/>
      <c r="D1420" s="64">
        <v>2024</v>
      </c>
      <c r="E1420" s="65">
        <f>26769*1000000</f>
        <v>26769000000</v>
      </c>
      <c r="F1420" s="65">
        <f>(26769+57198+110894+94998+927)*1000000</f>
        <v>290786000000</v>
      </c>
      <c r="G1420" s="65">
        <f>635835*1000000</f>
        <v>635835000000</v>
      </c>
      <c r="H1420" s="65">
        <f>88414*1000000</f>
        <v>88414000000</v>
      </c>
      <c r="I1420" s="65">
        <f>419076*1000000</f>
        <v>419076000000</v>
      </c>
      <c r="J1420" s="65">
        <f>61491*1000000</f>
        <v>61491000000</v>
      </c>
      <c r="K1420" s="65">
        <f>216759*1000000</f>
        <v>216759000000</v>
      </c>
      <c r="L1420" s="65">
        <f>292171*1000000</f>
        <v>292171000000</v>
      </c>
      <c r="M1420" s="65">
        <f>17860*1000000</f>
        <v>17860000000</v>
      </c>
      <c r="N1420" s="65">
        <f>-4911*1000000</f>
        <v>-4911000000</v>
      </c>
      <c r="O1420" s="66">
        <v>0.99980000000000002</v>
      </c>
      <c r="P1420" s="67" t="s">
        <v>226</v>
      </c>
      <c r="Q1420" s="65">
        <v>1</v>
      </c>
      <c r="R1420" s="65">
        <v>3</v>
      </c>
      <c r="S1420" s="65">
        <v>4</v>
      </c>
      <c r="T1420" s="65">
        <f t="shared" si="136"/>
        <v>7</v>
      </c>
      <c r="U1420" s="68">
        <v>0</v>
      </c>
      <c r="V1420" s="65">
        <v>0</v>
      </c>
      <c r="W1420" s="65">
        <v>0</v>
      </c>
      <c r="X1420" s="65">
        <v>0</v>
      </c>
      <c r="Y1420" s="64"/>
    </row>
    <row r="1421" spans="1:25" s="54" customFormat="1" ht="15" customHeight="1" x14ac:dyDescent="0.3">
      <c r="A1421" s="63"/>
      <c r="B1421" s="64">
        <v>130</v>
      </c>
      <c r="C1421" s="55" t="s">
        <v>113</v>
      </c>
      <c r="D1421" s="64">
        <v>2014</v>
      </c>
      <c r="E1421" s="65">
        <v>0</v>
      </c>
      <c r="F1421" s="65">
        <v>0</v>
      </c>
      <c r="G1421" s="65">
        <v>0</v>
      </c>
      <c r="H1421" s="65">
        <v>0</v>
      </c>
      <c r="I1421" s="65">
        <v>0</v>
      </c>
      <c r="J1421" s="65">
        <v>0</v>
      </c>
      <c r="K1421" s="65">
        <v>0</v>
      </c>
      <c r="L1421" s="65">
        <v>0</v>
      </c>
      <c r="M1421" s="65">
        <v>0</v>
      </c>
      <c r="N1421" s="65">
        <v>0</v>
      </c>
      <c r="O1421" s="65">
        <v>0</v>
      </c>
      <c r="P1421" s="65">
        <v>0</v>
      </c>
      <c r="Q1421" s="65">
        <v>0</v>
      </c>
      <c r="R1421" s="65">
        <v>0</v>
      </c>
      <c r="S1421" s="65">
        <v>0</v>
      </c>
      <c r="T1421" s="65">
        <v>0</v>
      </c>
      <c r="U1421" s="65">
        <v>0</v>
      </c>
      <c r="V1421" s="65">
        <v>0</v>
      </c>
      <c r="W1421" s="65">
        <v>0</v>
      </c>
      <c r="X1421" s="65">
        <v>0</v>
      </c>
      <c r="Y1421" s="64"/>
    </row>
    <row r="1422" spans="1:25" s="54" customFormat="1" ht="15" customHeight="1" x14ac:dyDescent="0.3">
      <c r="A1422" s="63"/>
      <c r="B1422" s="64"/>
      <c r="C1422" s="55"/>
      <c r="D1422" s="64">
        <v>2015</v>
      </c>
      <c r="E1422" s="65">
        <v>0</v>
      </c>
      <c r="F1422" s="65">
        <v>0</v>
      </c>
      <c r="G1422" s="65">
        <v>0</v>
      </c>
      <c r="H1422" s="65">
        <v>0</v>
      </c>
      <c r="I1422" s="65">
        <v>0</v>
      </c>
      <c r="J1422" s="65">
        <v>0</v>
      </c>
      <c r="K1422" s="65">
        <v>0</v>
      </c>
      <c r="L1422" s="65">
        <v>0</v>
      </c>
      <c r="M1422" s="65">
        <v>0</v>
      </c>
      <c r="N1422" s="65">
        <v>0</v>
      </c>
      <c r="O1422" s="65">
        <v>0</v>
      </c>
      <c r="P1422" s="65">
        <v>0</v>
      </c>
      <c r="Q1422" s="65">
        <v>0</v>
      </c>
      <c r="R1422" s="65">
        <v>0</v>
      </c>
      <c r="S1422" s="65">
        <v>0</v>
      </c>
      <c r="T1422" s="65">
        <v>0</v>
      </c>
      <c r="U1422" s="65">
        <v>0</v>
      </c>
      <c r="V1422" s="65">
        <v>0</v>
      </c>
      <c r="W1422" s="65">
        <v>0</v>
      </c>
      <c r="X1422" s="65">
        <v>0</v>
      </c>
      <c r="Y1422" s="64"/>
    </row>
    <row r="1423" spans="1:25" s="54" customFormat="1" ht="15" customHeight="1" x14ac:dyDescent="0.3">
      <c r="A1423" s="63"/>
      <c r="B1423" s="64"/>
      <c r="C1423" s="55"/>
      <c r="D1423" s="64">
        <v>2016</v>
      </c>
      <c r="E1423" s="65">
        <v>0</v>
      </c>
      <c r="F1423" s="65">
        <v>0</v>
      </c>
      <c r="G1423" s="65">
        <v>0</v>
      </c>
      <c r="H1423" s="65">
        <v>0</v>
      </c>
      <c r="I1423" s="65">
        <v>0</v>
      </c>
      <c r="J1423" s="65">
        <v>0</v>
      </c>
      <c r="K1423" s="65">
        <v>0</v>
      </c>
      <c r="L1423" s="65">
        <v>0</v>
      </c>
      <c r="M1423" s="65">
        <v>0</v>
      </c>
      <c r="N1423" s="65">
        <v>0</v>
      </c>
      <c r="O1423" s="65">
        <v>0</v>
      </c>
      <c r="P1423" s="65">
        <v>0</v>
      </c>
      <c r="Q1423" s="65">
        <v>0</v>
      </c>
      <c r="R1423" s="65">
        <v>0</v>
      </c>
      <c r="S1423" s="65">
        <v>0</v>
      </c>
      <c r="T1423" s="65">
        <v>0</v>
      </c>
      <c r="U1423" s="65">
        <v>0</v>
      </c>
      <c r="V1423" s="65">
        <v>0</v>
      </c>
      <c r="W1423" s="65">
        <v>0</v>
      </c>
      <c r="X1423" s="65">
        <v>0</v>
      </c>
      <c r="Y1423" s="64"/>
    </row>
    <row r="1424" spans="1:25" s="54" customFormat="1" ht="15" customHeight="1" x14ac:dyDescent="0.3">
      <c r="A1424" s="63"/>
      <c r="B1424" s="64"/>
      <c r="C1424" s="55"/>
      <c r="D1424" s="64">
        <v>2017</v>
      </c>
      <c r="E1424" s="65">
        <v>0</v>
      </c>
      <c r="F1424" s="65">
        <v>0</v>
      </c>
      <c r="G1424" s="65">
        <v>0</v>
      </c>
      <c r="H1424" s="65">
        <v>0</v>
      </c>
      <c r="I1424" s="65">
        <v>0</v>
      </c>
      <c r="J1424" s="65">
        <v>0</v>
      </c>
      <c r="K1424" s="65">
        <v>0</v>
      </c>
      <c r="L1424" s="65">
        <v>0</v>
      </c>
      <c r="M1424" s="65">
        <v>0</v>
      </c>
      <c r="N1424" s="65">
        <v>0</v>
      </c>
      <c r="O1424" s="65">
        <v>0</v>
      </c>
      <c r="P1424" s="65">
        <v>0</v>
      </c>
      <c r="Q1424" s="65">
        <v>0</v>
      </c>
      <c r="R1424" s="65">
        <v>0</v>
      </c>
      <c r="S1424" s="65">
        <v>0</v>
      </c>
      <c r="T1424" s="65">
        <v>0</v>
      </c>
      <c r="U1424" s="65">
        <v>0</v>
      </c>
      <c r="V1424" s="65">
        <v>0</v>
      </c>
      <c r="W1424" s="65">
        <v>0</v>
      </c>
      <c r="X1424" s="65">
        <v>0</v>
      </c>
      <c r="Y1424" s="64"/>
    </row>
    <row r="1425" spans="1:25" s="54" customFormat="1" ht="15" customHeight="1" x14ac:dyDescent="0.3">
      <c r="A1425" s="63"/>
      <c r="B1425" s="64"/>
      <c r="C1425" s="55"/>
      <c r="D1425" s="64">
        <v>2018</v>
      </c>
      <c r="E1425" s="65">
        <v>0</v>
      </c>
      <c r="F1425" s="65">
        <v>0</v>
      </c>
      <c r="G1425" s="65">
        <v>0</v>
      </c>
      <c r="H1425" s="65">
        <v>0</v>
      </c>
      <c r="I1425" s="65">
        <v>0</v>
      </c>
      <c r="J1425" s="65">
        <v>0</v>
      </c>
      <c r="K1425" s="65">
        <v>0</v>
      </c>
      <c r="L1425" s="65">
        <v>0</v>
      </c>
      <c r="M1425" s="65">
        <v>0</v>
      </c>
      <c r="N1425" s="65">
        <v>0</v>
      </c>
      <c r="O1425" s="65">
        <v>0</v>
      </c>
      <c r="P1425" s="65">
        <v>0</v>
      </c>
      <c r="Q1425" s="65">
        <v>0</v>
      </c>
      <c r="R1425" s="65">
        <v>0</v>
      </c>
      <c r="S1425" s="65">
        <v>0</v>
      </c>
      <c r="T1425" s="65">
        <v>0</v>
      </c>
      <c r="U1425" s="65">
        <v>0</v>
      </c>
      <c r="V1425" s="65">
        <v>0</v>
      </c>
      <c r="W1425" s="65">
        <v>0</v>
      </c>
      <c r="X1425" s="65">
        <v>0</v>
      </c>
      <c r="Y1425" s="64"/>
    </row>
    <row r="1426" spans="1:25" s="54" customFormat="1" ht="15" customHeight="1" x14ac:dyDescent="0.3">
      <c r="A1426" s="63"/>
      <c r="B1426" s="64"/>
      <c r="C1426" s="55"/>
      <c r="D1426" s="64">
        <v>2019</v>
      </c>
      <c r="E1426" s="65">
        <f>15002*1000000</f>
        <v>15002000000</v>
      </c>
      <c r="F1426" s="65">
        <f>(15002+67924+43650+344787+1656)*1000000</f>
        <v>473019000000</v>
      </c>
      <c r="G1426" s="65">
        <f>927221*1000000</f>
        <v>927221000000</v>
      </c>
      <c r="H1426" s="65">
        <f>117985*1000000</f>
        <v>117985000000</v>
      </c>
      <c r="I1426" s="65">
        <f>743653*1000000</f>
        <v>743653000000</v>
      </c>
      <c r="J1426" s="65">
        <f>138553*1000000</f>
        <v>138553000000</v>
      </c>
      <c r="K1426" s="65">
        <f>183568*1000000</f>
        <v>183568000000</v>
      </c>
      <c r="L1426" s="65">
        <f>381655*1000000</f>
        <v>381655000000</v>
      </c>
      <c r="M1426" s="65">
        <f>2689*1000000</f>
        <v>2689000000</v>
      </c>
      <c r="N1426" s="65">
        <f>814*1000000</f>
        <v>814000000</v>
      </c>
      <c r="O1426" s="65">
        <v>0</v>
      </c>
      <c r="P1426" s="65">
        <v>0</v>
      </c>
      <c r="Q1426" s="65">
        <v>0</v>
      </c>
      <c r="R1426" s="65">
        <v>0</v>
      </c>
      <c r="S1426" s="65">
        <v>0</v>
      </c>
      <c r="T1426" s="65">
        <v>0</v>
      </c>
      <c r="U1426" s="65">
        <v>0</v>
      </c>
      <c r="V1426" s="65">
        <v>0</v>
      </c>
      <c r="W1426" s="65">
        <v>0</v>
      </c>
      <c r="X1426" s="65">
        <v>0</v>
      </c>
      <c r="Y1426" s="64"/>
    </row>
    <row r="1427" spans="1:25" s="54" customFormat="1" ht="15" customHeight="1" x14ac:dyDescent="0.3">
      <c r="A1427" s="63"/>
      <c r="B1427" s="64"/>
      <c r="C1427" s="55"/>
      <c r="D1427" s="64">
        <v>2020</v>
      </c>
      <c r="E1427" s="65">
        <f>12875*1000000</f>
        <v>12875000000</v>
      </c>
      <c r="F1427" s="65">
        <f>(12875+39151+32559+305893+544)*1000000</f>
        <v>391022000000</v>
      </c>
      <c r="G1427" s="65">
        <f>704994*1000000</f>
        <v>704994000000</v>
      </c>
      <c r="H1427" s="65">
        <f>48896*1000000</f>
        <v>48896000000</v>
      </c>
      <c r="I1427" s="65">
        <f>561389*1000000</f>
        <v>561389000000</v>
      </c>
      <c r="J1427" s="65">
        <f>111349*1000000</f>
        <v>111349000000</v>
      </c>
      <c r="K1427" s="65">
        <f>143604*1000000</f>
        <v>143604000000</v>
      </c>
      <c r="L1427" s="65">
        <f>161479*1000000</f>
        <v>161479000000</v>
      </c>
      <c r="M1427" s="65">
        <f>-23466*1000000</f>
        <v>-23466000000</v>
      </c>
      <c r="N1427" s="65">
        <f>-25009*1000000</f>
        <v>-25009000000</v>
      </c>
      <c r="O1427" s="66">
        <v>0.55000000000000004</v>
      </c>
      <c r="P1427" s="67" t="s">
        <v>324</v>
      </c>
      <c r="Q1427" s="65">
        <v>2</v>
      </c>
      <c r="R1427" s="65">
        <v>3</v>
      </c>
      <c r="S1427" s="65">
        <v>3</v>
      </c>
      <c r="T1427" s="65">
        <f>SUM(R1427:S1427)</f>
        <v>6</v>
      </c>
      <c r="U1427" s="68">
        <v>0</v>
      </c>
      <c r="V1427" s="65">
        <v>0</v>
      </c>
      <c r="W1427" s="65">
        <v>0</v>
      </c>
      <c r="X1427" s="65">
        <v>0</v>
      </c>
      <c r="Y1427" s="64"/>
    </row>
    <row r="1428" spans="1:25" s="54" customFormat="1" ht="15" customHeight="1" x14ac:dyDescent="0.3">
      <c r="A1428" s="63"/>
      <c r="B1428" s="64"/>
      <c r="C1428" s="55"/>
      <c r="D1428" s="64">
        <v>2021</v>
      </c>
      <c r="E1428" s="65">
        <f>41189*1000000</f>
        <v>41189000000</v>
      </c>
      <c r="F1428" s="65">
        <f>(41189+37523+62743+296917+26983+538)*1000000</f>
        <v>465893000000</v>
      </c>
      <c r="G1428" s="65">
        <f>687707*1000000</f>
        <v>687707000000</v>
      </c>
      <c r="H1428" s="65">
        <f>43549*1000000</f>
        <v>43549000000</v>
      </c>
      <c r="I1428" s="65">
        <f>580034*1000000</f>
        <v>580034000000</v>
      </c>
      <c r="J1428" s="65">
        <f>-20991*1000000</f>
        <v>-20991000000</v>
      </c>
      <c r="K1428" s="65">
        <f>107672*1000000</f>
        <v>107672000000</v>
      </c>
      <c r="L1428" s="65">
        <f>44925*1000000</f>
        <v>44925000000</v>
      </c>
      <c r="M1428" s="65">
        <f>-146177*1000000</f>
        <v>-146177000000</v>
      </c>
      <c r="N1428" s="65">
        <f>-123474*1000000</f>
        <v>-123474000000</v>
      </c>
      <c r="O1428" s="66">
        <v>0.55000000000000004</v>
      </c>
      <c r="P1428" s="67" t="s">
        <v>324</v>
      </c>
      <c r="Q1428" s="65">
        <v>2</v>
      </c>
      <c r="R1428" s="65">
        <v>3</v>
      </c>
      <c r="S1428" s="65">
        <v>2</v>
      </c>
      <c r="T1428" s="65">
        <f>SUM(R1428:S1428)</f>
        <v>5</v>
      </c>
      <c r="U1428" s="68">
        <v>0</v>
      </c>
      <c r="V1428" s="65">
        <v>0</v>
      </c>
      <c r="W1428" s="65">
        <v>0</v>
      </c>
      <c r="X1428" s="65">
        <v>0</v>
      </c>
      <c r="Y1428" s="64"/>
    </row>
    <row r="1429" spans="1:25" s="54" customFormat="1" ht="15" customHeight="1" x14ac:dyDescent="0.3">
      <c r="A1429" s="63"/>
      <c r="B1429" s="64"/>
      <c r="C1429" s="55"/>
      <c r="D1429" s="64">
        <v>2022</v>
      </c>
      <c r="E1429" s="65">
        <f>5982*1000000</f>
        <v>5982000000</v>
      </c>
      <c r="F1429" s="65">
        <f>(5982+11683+120057+188227+368)*1000000</f>
        <v>326317000000</v>
      </c>
      <c r="G1429" s="65">
        <f>490826*1000000</f>
        <v>490826000000</v>
      </c>
      <c r="H1429" s="65">
        <f>28623*1000000</f>
        <v>28623000000</v>
      </c>
      <c r="I1429" s="65">
        <f>425266*1000000</f>
        <v>425266000000</v>
      </c>
      <c r="J1429" s="65">
        <f>-24341*1000000</f>
        <v>-24341000000</v>
      </c>
      <c r="K1429" s="65">
        <f>65560*1000000</f>
        <v>65560000000</v>
      </c>
      <c r="L1429" s="65">
        <f>110084*1000000</f>
        <v>110084000000</v>
      </c>
      <c r="M1429" s="65">
        <f>-11720*1000000</f>
        <v>-11720000000</v>
      </c>
      <c r="N1429" s="65">
        <f>-6667*1000000</f>
        <v>-6667000000</v>
      </c>
      <c r="O1429" s="66">
        <v>0.55000000000000004</v>
      </c>
      <c r="P1429" s="67" t="s">
        <v>324</v>
      </c>
      <c r="Q1429" s="65">
        <v>2</v>
      </c>
      <c r="R1429" s="65">
        <v>3</v>
      </c>
      <c r="S1429" s="65">
        <v>3</v>
      </c>
      <c r="T1429" s="65">
        <f>SUM(R1429:S1429)</f>
        <v>6</v>
      </c>
      <c r="U1429" s="68">
        <v>0</v>
      </c>
      <c r="V1429" s="65">
        <v>0</v>
      </c>
      <c r="W1429" s="65">
        <v>0</v>
      </c>
      <c r="X1429" s="65">
        <v>0</v>
      </c>
      <c r="Y1429" s="64"/>
    </row>
    <row r="1430" spans="1:25" s="54" customFormat="1" ht="15" customHeight="1" x14ac:dyDescent="0.3">
      <c r="A1430" s="63"/>
      <c r="B1430" s="64"/>
      <c r="C1430" s="55"/>
      <c r="D1430" s="64">
        <v>2023</v>
      </c>
      <c r="E1430" s="65">
        <f>49133*1000000</f>
        <v>49133000000</v>
      </c>
      <c r="F1430" s="65">
        <f>(49133+20024+101395+143387+349)*1000000</f>
        <v>314288000000</v>
      </c>
      <c r="G1430" s="65">
        <f>587866*1000000</f>
        <v>587866000000</v>
      </c>
      <c r="H1430" s="65">
        <f>43141*1000000</f>
        <v>43141000000</v>
      </c>
      <c r="I1430" s="65">
        <f>354185*1000000</f>
        <v>354185000000</v>
      </c>
      <c r="J1430" s="65">
        <f>-6090*1000000</f>
        <v>-6090000000</v>
      </c>
      <c r="K1430" s="65">
        <f>133681*1000000</f>
        <v>133681000000</v>
      </c>
      <c r="L1430" s="65">
        <f>135424*1000000</f>
        <v>135424000000</v>
      </c>
      <c r="M1430" s="65">
        <f>18958*1000000</f>
        <v>18958000000</v>
      </c>
      <c r="N1430" s="65">
        <f>17617*1000000</f>
        <v>17617000000</v>
      </c>
      <c r="O1430" s="66">
        <v>0.68479999999999996</v>
      </c>
      <c r="P1430" s="67" t="s">
        <v>324</v>
      </c>
      <c r="Q1430" s="65">
        <v>2</v>
      </c>
      <c r="R1430" s="65">
        <v>3</v>
      </c>
      <c r="S1430" s="65">
        <v>3</v>
      </c>
      <c r="T1430" s="65">
        <f>SUM(R1430:S1430)</f>
        <v>6</v>
      </c>
      <c r="U1430" s="68">
        <v>0</v>
      </c>
      <c r="V1430" s="65">
        <v>0</v>
      </c>
      <c r="W1430" s="65">
        <v>0</v>
      </c>
      <c r="X1430" s="65">
        <v>0</v>
      </c>
      <c r="Y1430" s="64"/>
    </row>
    <row r="1431" spans="1:25" s="54" customFormat="1" ht="15" customHeight="1" x14ac:dyDescent="0.3">
      <c r="A1431" s="63"/>
      <c r="B1431" s="64"/>
      <c r="C1431" s="55"/>
      <c r="D1431" s="64">
        <v>2024</v>
      </c>
      <c r="E1431" s="65">
        <f>53659*1000000</f>
        <v>53659000000</v>
      </c>
      <c r="F1431" s="65">
        <f>(53659+19662+79878+121620+757+27252)*1000000</f>
        <v>302828000000</v>
      </c>
      <c r="G1431" s="65">
        <f>541991*1000000</f>
        <v>541991000000</v>
      </c>
      <c r="H1431" s="65">
        <f>26900*1000000</f>
        <v>26900000000</v>
      </c>
      <c r="I1431" s="65">
        <f>307361*1000000</f>
        <v>307361000000</v>
      </c>
      <c r="J1431" s="65">
        <f>-4107*1000000</f>
        <v>-4107000000</v>
      </c>
      <c r="K1431" s="65">
        <f>134630*1000000</f>
        <v>134630000000</v>
      </c>
      <c r="L1431" s="65">
        <f>136552*1000000</f>
        <v>136552000000</v>
      </c>
      <c r="M1431" s="65">
        <f>2145*1000000</f>
        <v>2145000000</v>
      </c>
      <c r="N1431" s="65">
        <f>1297*1000000</f>
        <v>1297000000</v>
      </c>
      <c r="O1431" s="66">
        <v>0.68479999999999996</v>
      </c>
      <c r="P1431" s="67" t="s">
        <v>324</v>
      </c>
      <c r="Q1431" s="65">
        <v>2</v>
      </c>
      <c r="R1431" s="65">
        <v>3</v>
      </c>
      <c r="S1431" s="65">
        <v>3</v>
      </c>
      <c r="T1431" s="65">
        <f>SUM(R1431:S1431)</f>
        <v>6</v>
      </c>
      <c r="U1431" s="68">
        <v>0</v>
      </c>
      <c r="V1431" s="65">
        <v>0</v>
      </c>
      <c r="W1431" s="65">
        <v>0</v>
      </c>
      <c r="X1431" s="65">
        <v>0</v>
      </c>
      <c r="Y1431" s="64"/>
    </row>
    <row r="1432" spans="1:25" s="54" customFormat="1" ht="15" customHeight="1" x14ac:dyDescent="0.3">
      <c r="A1432" s="63"/>
      <c r="B1432" s="64">
        <v>131</v>
      </c>
      <c r="C1432" s="55" t="s">
        <v>121</v>
      </c>
      <c r="D1432" s="64">
        <v>2014</v>
      </c>
      <c r="E1432" s="65">
        <v>0</v>
      </c>
      <c r="F1432" s="65">
        <v>0</v>
      </c>
      <c r="G1432" s="65">
        <v>0</v>
      </c>
      <c r="H1432" s="65">
        <v>0</v>
      </c>
      <c r="I1432" s="65">
        <v>0</v>
      </c>
      <c r="J1432" s="65">
        <v>0</v>
      </c>
      <c r="K1432" s="65">
        <v>0</v>
      </c>
      <c r="L1432" s="65">
        <v>0</v>
      </c>
      <c r="M1432" s="65">
        <v>0</v>
      </c>
      <c r="N1432" s="65">
        <v>0</v>
      </c>
      <c r="O1432" s="65">
        <v>0</v>
      </c>
      <c r="P1432" s="65">
        <v>0</v>
      </c>
      <c r="Q1432" s="65">
        <v>0</v>
      </c>
      <c r="R1432" s="65">
        <v>0</v>
      </c>
      <c r="S1432" s="65">
        <v>0</v>
      </c>
      <c r="T1432" s="65">
        <v>0</v>
      </c>
      <c r="U1432" s="65">
        <v>0</v>
      </c>
      <c r="V1432" s="65">
        <v>0</v>
      </c>
      <c r="W1432" s="65">
        <v>0</v>
      </c>
      <c r="X1432" s="65">
        <v>0</v>
      </c>
      <c r="Y1432" s="64"/>
    </row>
    <row r="1433" spans="1:25" s="54" customFormat="1" ht="15" customHeight="1" x14ac:dyDescent="0.3">
      <c r="A1433" s="63"/>
      <c r="B1433" s="64"/>
      <c r="C1433" s="55"/>
      <c r="D1433" s="64">
        <v>2015</v>
      </c>
      <c r="E1433" s="65">
        <f>34407*1000000</f>
        <v>34407000000</v>
      </c>
      <c r="F1433" s="65">
        <f>(34407+268717+41909+534520+1507)*1000000</f>
        <v>881060000000</v>
      </c>
      <c r="G1433" s="65">
        <f>1654879*1000000</f>
        <v>1654879000000</v>
      </c>
      <c r="H1433" s="65">
        <f>320336*1000000</f>
        <v>320336000000</v>
      </c>
      <c r="I1433" s="65">
        <f>1255776*1000000</f>
        <v>1255776000000</v>
      </c>
      <c r="J1433" s="65">
        <f>241866*1000000</f>
        <v>241866000000</v>
      </c>
      <c r="K1433" s="65">
        <f>399103*1000000</f>
        <v>399103000000</v>
      </c>
      <c r="L1433" s="65">
        <f>315063*1000000</f>
        <v>315063000000</v>
      </c>
      <c r="M1433" s="65">
        <f>87834*1000000</f>
        <v>87834000000</v>
      </c>
      <c r="N1433" s="65">
        <f>66607*1000000</f>
        <v>66607000000</v>
      </c>
      <c r="O1433" s="65">
        <v>0</v>
      </c>
      <c r="P1433" s="65">
        <v>0</v>
      </c>
      <c r="Q1433" s="65">
        <v>0</v>
      </c>
      <c r="R1433" s="65">
        <v>0</v>
      </c>
      <c r="S1433" s="65">
        <v>0</v>
      </c>
      <c r="T1433" s="65">
        <v>0</v>
      </c>
      <c r="U1433" s="65">
        <v>0</v>
      </c>
      <c r="V1433" s="65">
        <v>0</v>
      </c>
      <c r="W1433" s="65">
        <v>0</v>
      </c>
      <c r="X1433" s="65">
        <v>0</v>
      </c>
      <c r="Y1433" s="64"/>
    </row>
    <row r="1434" spans="1:25" s="54" customFormat="1" ht="15" customHeight="1" x14ac:dyDescent="0.3">
      <c r="A1434" s="63"/>
      <c r="B1434" s="64"/>
      <c r="C1434" s="55"/>
      <c r="D1434" s="64">
        <v>2016</v>
      </c>
      <c r="E1434" s="65">
        <f>90846*1000000</f>
        <v>90846000000</v>
      </c>
      <c r="F1434" s="65">
        <f>(90846+338332+49752+634537+4813)*1000000</f>
        <v>1118280000000</v>
      </c>
      <c r="G1434" s="65">
        <f>2081528*1000000</f>
        <v>2081528000000</v>
      </c>
      <c r="H1434" s="65">
        <f>336452*1000000</f>
        <v>336452000000</v>
      </c>
      <c r="I1434" s="65">
        <f>1505935*1000000</f>
        <v>1505935000000</v>
      </c>
      <c r="J1434" s="65">
        <f>298356*1000000</f>
        <v>298356000000</v>
      </c>
      <c r="K1434" s="65">
        <f>575593*1000000</f>
        <v>575593000000</v>
      </c>
      <c r="L1434" s="65">
        <f>413992*1000000</f>
        <v>413992000000</v>
      </c>
      <c r="M1434" s="65">
        <f>73108*1000000</f>
        <v>73108000000</v>
      </c>
      <c r="N1434" s="65">
        <f>56491*1000000</f>
        <v>56491000000</v>
      </c>
      <c r="O1434" s="66">
        <v>0.8</v>
      </c>
      <c r="P1434" s="67" t="s">
        <v>305</v>
      </c>
      <c r="Q1434" s="65">
        <v>2</v>
      </c>
      <c r="R1434" s="65">
        <v>4</v>
      </c>
      <c r="S1434" s="65">
        <v>4</v>
      </c>
      <c r="T1434" s="65">
        <f>SUM(R1434:S1434)</f>
        <v>8</v>
      </c>
      <c r="U1434" s="68">
        <v>0</v>
      </c>
      <c r="V1434" s="65">
        <v>0</v>
      </c>
      <c r="W1434" s="65">
        <v>0</v>
      </c>
      <c r="X1434" s="65">
        <v>0</v>
      </c>
      <c r="Y1434" s="64"/>
    </row>
    <row r="1435" spans="1:25" s="54" customFormat="1" ht="15" customHeight="1" x14ac:dyDescent="0.3">
      <c r="A1435" s="63"/>
      <c r="B1435" s="64"/>
      <c r="C1435" s="55"/>
      <c r="D1435" s="64">
        <v>2017</v>
      </c>
      <c r="E1435" s="65">
        <f>64860*1000000</f>
        <v>64860000000</v>
      </c>
      <c r="F1435" s="65">
        <f>(64860+452423+21250+580822+6431)*1000000</f>
        <v>1125786000000</v>
      </c>
      <c r="G1435" s="65">
        <f>2509102*1000000</f>
        <v>2509102000000</v>
      </c>
      <c r="H1435" s="65">
        <f>507943*1000000</f>
        <v>507943000000</v>
      </c>
      <c r="I1435" s="65">
        <f>1811281*1000000</f>
        <v>1811281000000</v>
      </c>
      <c r="J1435" s="65">
        <f>270412*1000000</f>
        <v>270412000000</v>
      </c>
      <c r="K1435" s="65">
        <f>697649*1000000</f>
        <v>697649000000</v>
      </c>
      <c r="L1435" s="65">
        <f>563631*1000000</f>
        <v>563631000000</v>
      </c>
      <c r="M1435" s="65">
        <f>-32522*1000000</f>
        <v>-32522000000</v>
      </c>
      <c r="N1435" s="65">
        <f>-27944*1000000</f>
        <v>-27944000000</v>
      </c>
      <c r="O1435" s="66">
        <v>0.8</v>
      </c>
      <c r="P1435" s="67" t="s">
        <v>305</v>
      </c>
      <c r="Q1435" s="65">
        <v>2</v>
      </c>
      <c r="R1435" s="65">
        <v>4</v>
      </c>
      <c r="S1435" s="65">
        <v>5</v>
      </c>
      <c r="T1435" s="65">
        <f t="shared" ref="T1435:T1441" si="137">SUM(R1435:S1435)</f>
        <v>9</v>
      </c>
      <c r="U1435" s="68">
        <v>0</v>
      </c>
      <c r="V1435" s="65">
        <v>0</v>
      </c>
      <c r="W1435" s="65">
        <v>0</v>
      </c>
      <c r="X1435" s="65">
        <v>0</v>
      </c>
      <c r="Y1435" s="64"/>
    </row>
    <row r="1436" spans="1:25" s="54" customFormat="1" ht="15" customHeight="1" x14ac:dyDescent="0.3">
      <c r="A1436" s="63"/>
      <c r="B1436" s="64"/>
      <c r="C1436" s="55"/>
      <c r="D1436" s="64">
        <v>2018</v>
      </c>
      <c r="E1436" s="65">
        <f>69490*1000000</f>
        <v>69490000000</v>
      </c>
      <c r="F1436" s="65">
        <f>(69490+489466+30651+676418+11706)*1000000</f>
        <v>1277731000000</v>
      </c>
      <c r="G1436" s="65">
        <f>3176819*1000000</f>
        <v>3176819000000</v>
      </c>
      <c r="H1436" s="65">
        <f>590480*1000000</f>
        <v>590480000000</v>
      </c>
      <c r="I1436" s="65">
        <f>2293431*1000000</f>
        <v>2293431000000</v>
      </c>
      <c r="J1436" s="65">
        <f>303340*1000000</f>
        <v>303340000000</v>
      </c>
      <c r="K1436" s="65">
        <f>880577*1000000</f>
        <v>880577000000</v>
      </c>
      <c r="L1436" s="65">
        <f>772746*1000000</f>
        <v>772746000000</v>
      </c>
      <c r="M1436" s="65">
        <f>26486*1000000</f>
        <v>26486000000</v>
      </c>
      <c r="N1436" s="65">
        <f>32928*1000000</f>
        <v>32928000000</v>
      </c>
      <c r="O1436" s="66">
        <v>0.8</v>
      </c>
      <c r="P1436" s="67" t="s">
        <v>305</v>
      </c>
      <c r="Q1436" s="65">
        <v>2</v>
      </c>
      <c r="R1436" s="65">
        <v>4</v>
      </c>
      <c r="S1436" s="65">
        <v>5</v>
      </c>
      <c r="T1436" s="65">
        <f t="shared" si="137"/>
        <v>9</v>
      </c>
      <c r="U1436" s="68">
        <v>0</v>
      </c>
      <c r="V1436" s="65">
        <v>0</v>
      </c>
      <c r="W1436" s="65">
        <v>0</v>
      </c>
      <c r="X1436" s="65">
        <v>0</v>
      </c>
      <c r="Y1436" s="64"/>
    </row>
    <row r="1437" spans="1:25" s="54" customFormat="1" ht="15" customHeight="1" x14ac:dyDescent="0.3">
      <c r="A1437" s="63"/>
      <c r="B1437" s="64"/>
      <c r="C1437" s="55"/>
      <c r="D1437" s="64">
        <v>2019</v>
      </c>
      <c r="E1437" s="65">
        <f>65828*1000000</f>
        <v>65828000000</v>
      </c>
      <c r="F1437" s="65">
        <f>(65828+649140+73374+874270+13051)*1000000</f>
        <v>1675663000000</v>
      </c>
      <c r="G1437" s="65">
        <f>3778141*1000000</f>
        <v>3778141000000</v>
      </c>
      <c r="H1437" s="65">
        <f>722236*1000000</f>
        <v>722236000000</v>
      </c>
      <c r="I1437" s="65">
        <f>2785559*1000000</f>
        <v>2785559000000</v>
      </c>
      <c r="J1437" s="65">
        <f>389838*1000000</f>
        <v>389838000000</v>
      </c>
      <c r="K1437" s="65">
        <f>998779*1000000</f>
        <v>998779000000</v>
      </c>
      <c r="L1437" s="65">
        <f>852489*1000000</f>
        <v>852489000000</v>
      </c>
      <c r="M1437" s="65">
        <f>111949*1000000</f>
        <v>111949000000</v>
      </c>
      <c r="N1437" s="65">
        <f>88202*1000000</f>
        <v>88202000000</v>
      </c>
      <c r="O1437" s="66">
        <v>0.8</v>
      </c>
      <c r="P1437" s="67" t="s">
        <v>305</v>
      </c>
      <c r="Q1437" s="65">
        <v>2</v>
      </c>
      <c r="R1437" s="65">
        <v>4</v>
      </c>
      <c r="S1437" s="65">
        <v>5</v>
      </c>
      <c r="T1437" s="65">
        <f t="shared" si="137"/>
        <v>9</v>
      </c>
      <c r="U1437" s="68">
        <v>0</v>
      </c>
      <c r="V1437" s="65">
        <v>0</v>
      </c>
      <c r="W1437" s="65">
        <v>0</v>
      </c>
      <c r="X1437" s="65">
        <v>0</v>
      </c>
      <c r="Y1437" s="64"/>
    </row>
    <row r="1438" spans="1:25" s="54" customFormat="1" ht="15" customHeight="1" x14ac:dyDescent="0.3">
      <c r="A1438" s="63"/>
      <c r="B1438" s="64"/>
      <c r="C1438" s="55"/>
      <c r="D1438" s="64">
        <v>2020</v>
      </c>
      <c r="E1438" s="65">
        <f>79685*1000000</f>
        <v>79685000000</v>
      </c>
      <c r="F1438" s="65">
        <f>(79685+813451+54748+1024553+12841)*1000000</f>
        <v>1985278000000</v>
      </c>
      <c r="G1438" s="65">
        <f>3977183*1000000</f>
        <v>3977183000000</v>
      </c>
      <c r="H1438" s="65">
        <f>778127*1000000</f>
        <v>778127000000</v>
      </c>
      <c r="I1438" s="65">
        <f>2874147*1000000</f>
        <v>2874147000000</v>
      </c>
      <c r="J1438" s="65">
        <f>490334*1000000</f>
        <v>490334000000</v>
      </c>
      <c r="K1438" s="65">
        <f>1105132*1000000</f>
        <v>1105132000000</v>
      </c>
      <c r="L1438" s="65">
        <f>924588*1000000</f>
        <v>924588000000</v>
      </c>
      <c r="M1438" s="65">
        <f>155295*1000000</f>
        <v>155295000000</v>
      </c>
      <c r="N1438" s="65">
        <f>106353*1000000</f>
        <v>106353000000</v>
      </c>
      <c r="O1438" s="66">
        <v>0.8</v>
      </c>
      <c r="P1438" s="67" t="s">
        <v>305</v>
      </c>
      <c r="Q1438" s="65">
        <v>2</v>
      </c>
      <c r="R1438" s="65">
        <v>4</v>
      </c>
      <c r="S1438" s="65">
        <v>5</v>
      </c>
      <c r="T1438" s="65">
        <f t="shared" si="137"/>
        <v>9</v>
      </c>
      <c r="U1438" s="68">
        <v>0</v>
      </c>
      <c r="V1438" s="65">
        <v>0</v>
      </c>
      <c r="W1438" s="65">
        <v>0</v>
      </c>
      <c r="X1438" s="65">
        <v>0</v>
      </c>
      <c r="Y1438" s="64"/>
    </row>
    <row r="1439" spans="1:25" s="54" customFormat="1" ht="15" customHeight="1" x14ac:dyDescent="0.3">
      <c r="A1439" s="63"/>
      <c r="B1439" s="64"/>
      <c r="C1439" s="55"/>
      <c r="D1439" s="64">
        <v>2021</v>
      </c>
      <c r="E1439" s="65">
        <f>95157*1000000</f>
        <v>95157000000</v>
      </c>
      <c r="F1439" s="65">
        <f>(95157+710393+105440+870884+13537)*1000000</f>
        <v>1795411000000</v>
      </c>
      <c r="G1439" s="65">
        <f>3813210*1000000</f>
        <v>3813210000000</v>
      </c>
      <c r="H1439" s="65">
        <f>772513*1000000</f>
        <v>772513000000</v>
      </c>
      <c r="I1439" s="65">
        <f>2686359*1000000</f>
        <v>2686359000000</v>
      </c>
      <c r="J1439" s="65">
        <f>526107*1000000</f>
        <v>526107000000</v>
      </c>
      <c r="K1439" s="65">
        <f>1143205*1000000</f>
        <v>1143205000000</v>
      </c>
      <c r="L1439" s="65">
        <f>933267*1000000</f>
        <v>933267000000</v>
      </c>
      <c r="M1439" s="65">
        <f>114975*1000000</f>
        <v>114975000000</v>
      </c>
      <c r="N1439" s="65">
        <f>91639*1000000</f>
        <v>91639000000</v>
      </c>
      <c r="O1439" s="66">
        <v>0.8</v>
      </c>
      <c r="P1439" s="67" t="s">
        <v>306</v>
      </c>
      <c r="Q1439" s="65">
        <v>2</v>
      </c>
      <c r="R1439" s="65">
        <v>4</v>
      </c>
      <c r="S1439" s="65">
        <v>5</v>
      </c>
      <c r="T1439" s="65">
        <f t="shared" si="137"/>
        <v>9</v>
      </c>
      <c r="U1439" s="68">
        <v>0</v>
      </c>
      <c r="V1439" s="65">
        <v>0</v>
      </c>
      <c r="W1439" s="65">
        <v>0</v>
      </c>
      <c r="X1439" s="65">
        <v>0</v>
      </c>
      <c r="Y1439" s="64"/>
    </row>
    <row r="1440" spans="1:25" s="54" customFormat="1" ht="15" customHeight="1" x14ac:dyDescent="0.3">
      <c r="A1440" s="63"/>
      <c r="B1440" s="64"/>
      <c r="C1440" s="55"/>
      <c r="D1440" s="64">
        <v>2022</v>
      </c>
      <c r="E1440" s="65">
        <f>128040*1000000</f>
        <v>128040000000</v>
      </c>
      <c r="F1440" s="65">
        <f>(128040+881213+107488+864186+181174)*1000000</f>
        <v>2162101000000</v>
      </c>
      <c r="G1440" s="65">
        <f>4182576*1000000</f>
        <v>4182576000000</v>
      </c>
      <c r="H1440" s="65">
        <f>1001588*1000000</f>
        <v>1001588000000</v>
      </c>
      <c r="I1440" s="65">
        <f>3049300*1000000</f>
        <v>3049300000000</v>
      </c>
      <c r="J1440" s="65">
        <f>542228*1000000</f>
        <v>542228000000</v>
      </c>
      <c r="K1440" s="65">
        <f>1152024*1000000</f>
        <v>1152024000000</v>
      </c>
      <c r="L1440" s="65">
        <f>1021414*1000000</f>
        <v>1021414000000</v>
      </c>
      <c r="M1440" s="65">
        <f>91480*1000000</f>
        <v>91480000000</v>
      </c>
      <c r="N1440" s="65">
        <f>66141*1000000</f>
        <v>66141000000</v>
      </c>
      <c r="O1440" s="66">
        <v>0.8</v>
      </c>
      <c r="P1440" s="67" t="s">
        <v>306</v>
      </c>
      <c r="Q1440" s="65">
        <v>2</v>
      </c>
      <c r="R1440" s="65">
        <v>4</v>
      </c>
      <c r="S1440" s="65">
        <v>6</v>
      </c>
      <c r="T1440" s="65">
        <f t="shared" si="137"/>
        <v>10</v>
      </c>
      <c r="U1440" s="68">
        <v>0</v>
      </c>
      <c r="V1440" s="65">
        <v>0</v>
      </c>
      <c r="W1440" s="65">
        <v>0</v>
      </c>
      <c r="X1440" s="65">
        <v>0</v>
      </c>
      <c r="Y1440" s="64"/>
    </row>
    <row r="1441" spans="1:25" s="54" customFormat="1" ht="15" customHeight="1" x14ac:dyDescent="0.3">
      <c r="A1441" s="63"/>
      <c r="B1441" s="64"/>
      <c r="C1441" s="55"/>
      <c r="D1441" s="64">
        <v>2023</v>
      </c>
      <c r="E1441" s="65">
        <f>132785*1000000</f>
        <v>132785000000</v>
      </c>
      <c r="F1441" s="65">
        <f>(132785+723869+45642+777742+20436)*1000000</f>
        <v>1700474000000</v>
      </c>
      <c r="G1441" s="65">
        <f>3974838*1000000</f>
        <v>3974838000000</v>
      </c>
      <c r="H1441" s="65">
        <f>753772*1000000</f>
        <v>753772000000</v>
      </c>
      <c r="I1441" s="65">
        <f>2747046*1000000</f>
        <v>2747046000000</v>
      </c>
      <c r="J1441" s="65">
        <f>593810*1000000</f>
        <v>593810000000</v>
      </c>
      <c r="K1441" s="65">
        <f>1201036*1000000</f>
        <v>1201036000000</v>
      </c>
      <c r="L1441" s="65">
        <f>1197258*1000000</f>
        <v>1197258000000</v>
      </c>
      <c r="M1441" s="65">
        <f>124401*1000000</f>
        <v>124401000000</v>
      </c>
      <c r="N1441" s="65">
        <f>103002*1000000</f>
        <v>103002000000</v>
      </c>
      <c r="O1441" s="66">
        <v>0.8</v>
      </c>
      <c r="P1441" s="67" t="s">
        <v>306</v>
      </c>
      <c r="Q1441" s="65">
        <v>2</v>
      </c>
      <c r="R1441" s="65">
        <v>4</v>
      </c>
      <c r="S1441" s="65">
        <v>6</v>
      </c>
      <c r="T1441" s="65">
        <f t="shared" si="137"/>
        <v>10</v>
      </c>
      <c r="U1441" s="68">
        <v>0</v>
      </c>
      <c r="V1441" s="65">
        <v>0</v>
      </c>
      <c r="W1441" s="65">
        <v>0</v>
      </c>
      <c r="X1441" s="65">
        <v>0</v>
      </c>
      <c r="Y1441" s="64"/>
    </row>
    <row r="1442" spans="1:25" s="54" customFormat="1" ht="15" customHeight="1" x14ac:dyDescent="0.3">
      <c r="A1442" s="63"/>
      <c r="B1442" s="64"/>
      <c r="C1442" s="55"/>
      <c r="D1442" s="64">
        <v>2024</v>
      </c>
      <c r="E1442" s="65">
        <f>183948*1000000</f>
        <v>183948000000</v>
      </c>
      <c r="F1442" s="65">
        <f>(183948+536301+421852+634804+23497)*1000000</f>
        <v>1800402000000</v>
      </c>
      <c r="G1442" s="65">
        <f>4478676*1000000</f>
        <v>4478676000000</v>
      </c>
      <c r="H1442" s="65">
        <f>1211496*1000000</f>
        <v>1211496000000</v>
      </c>
      <c r="I1442" s="65">
        <f>3102337*1000000</f>
        <v>3102337000000</v>
      </c>
      <c r="J1442" s="65">
        <f>684628*1000000</f>
        <v>684628000000</v>
      </c>
      <c r="K1442" s="65">
        <f>1289476*1000000</f>
        <v>1289476000000</v>
      </c>
      <c r="L1442" s="65">
        <f>K1440</f>
        <v>1152024000000</v>
      </c>
      <c r="M1442" s="65">
        <f>162271*1000000</f>
        <v>162271000000</v>
      </c>
      <c r="N1442" s="65">
        <f>155838*1000000</f>
        <v>155838000000</v>
      </c>
      <c r="O1442" s="66">
        <v>0.8</v>
      </c>
      <c r="P1442" s="67" t="s">
        <v>306</v>
      </c>
      <c r="Q1442" s="65">
        <v>2</v>
      </c>
      <c r="R1442" s="65">
        <v>4</v>
      </c>
      <c r="S1442" s="65">
        <v>4</v>
      </c>
      <c r="T1442" s="65">
        <f>SUM(R1442:S1442)</f>
        <v>8</v>
      </c>
      <c r="U1442" s="68">
        <v>0</v>
      </c>
      <c r="V1442" s="65">
        <v>0</v>
      </c>
      <c r="W1442" s="65">
        <v>0</v>
      </c>
      <c r="X1442" s="65">
        <v>0</v>
      </c>
      <c r="Y1442" s="64"/>
    </row>
    <row r="1443" spans="1:25" s="54" customFormat="1" ht="15" customHeight="1" x14ac:dyDescent="0.3">
      <c r="A1443" s="63"/>
      <c r="B1443" s="64">
        <v>132</v>
      </c>
      <c r="C1443" s="55" t="s">
        <v>85</v>
      </c>
      <c r="D1443" s="64">
        <v>2014</v>
      </c>
      <c r="E1443" s="65">
        <v>0</v>
      </c>
      <c r="F1443" s="65">
        <v>0</v>
      </c>
      <c r="G1443" s="65">
        <v>0</v>
      </c>
      <c r="H1443" s="65">
        <v>0</v>
      </c>
      <c r="I1443" s="65">
        <v>0</v>
      </c>
      <c r="J1443" s="65">
        <v>0</v>
      </c>
      <c r="K1443" s="65">
        <v>0</v>
      </c>
      <c r="L1443" s="65">
        <v>0</v>
      </c>
      <c r="M1443" s="65">
        <v>0</v>
      </c>
      <c r="N1443" s="65">
        <v>0</v>
      </c>
      <c r="O1443" s="65">
        <v>0</v>
      </c>
      <c r="P1443" s="65">
        <v>0</v>
      </c>
      <c r="Q1443" s="65">
        <v>0</v>
      </c>
      <c r="R1443" s="65">
        <v>0</v>
      </c>
      <c r="S1443" s="65">
        <v>0</v>
      </c>
      <c r="T1443" s="65">
        <v>0</v>
      </c>
      <c r="U1443" s="65">
        <v>0</v>
      </c>
      <c r="V1443" s="65">
        <v>0</v>
      </c>
      <c r="W1443" s="65">
        <v>0</v>
      </c>
      <c r="X1443" s="65">
        <v>0</v>
      </c>
      <c r="Y1443" s="64"/>
    </row>
    <row r="1444" spans="1:25" s="54" customFormat="1" ht="15" customHeight="1" x14ac:dyDescent="0.3">
      <c r="A1444" s="63"/>
      <c r="B1444" s="64"/>
      <c r="C1444" s="55"/>
      <c r="D1444" s="64">
        <v>2015</v>
      </c>
      <c r="E1444" s="65">
        <v>0</v>
      </c>
      <c r="F1444" s="65">
        <v>0</v>
      </c>
      <c r="G1444" s="65">
        <v>0</v>
      </c>
      <c r="H1444" s="65">
        <v>0</v>
      </c>
      <c r="I1444" s="65">
        <v>0</v>
      </c>
      <c r="J1444" s="65">
        <v>0</v>
      </c>
      <c r="K1444" s="65">
        <v>0</v>
      </c>
      <c r="L1444" s="65">
        <v>0</v>
      </c>
      <c r="M1444" s="65">
        <v>0</v>
      </c>
      <c r="N1444" s="65">
        <v>0</v>
      </c>
      <c r="O1444" s="65">
        <v>0</v>
      </c>
      <c r="P1444" s="65">
        <v>0</v>
      </c>
      <c r="Q1444" s="65">
        <v>0</v>
      </c>
      <c r="R1444" s="65">
        <v>0</v>
      </c>
      <c r="S1444" s="65">
        <v>0</v>
      </c>
      <c r="T1444" s="65">
        <v>0</v>
      </c>
      <c r="U1444" s="65">
        <v>0</v>
      </c>
      <c r="V1444" s="65">
        <v>0</v>
      </c>
      <c r="W1444" s="65">
        <v>0</v>
      </c>
      <c r="X1444" s="65">
        <v>0</v>
      </c>
      <c r="Y1444" s="64"/>
    </row>
    <row r="1445" spans="1:25" s="54" customFormat="1" ht="15" customHeight="1" x14ac:dyDescent="0.3">
      <c r="A1445" s="63"/>
      <c r="B1445" s="64"/>
      <c r="C1445" s="55"/>
      <c r="D1445" s="64">
        <v>2016</v>
      </c>
      <c r="E1445" s="65">
        <f>1487*1000000</f>
        <v>1487000000</v>
      </c>
      <c r="F1445" s="65">
        <f>(1487+34623+36491+113684+344)*1000000</f>
        <v>186629000000</v>
      </c>
      <c r="G1445" s="65">
        <f>401317*1000000</f>
        <v>401317000000</v>
      </c>
      <c r="H1445" s="65">
        <f>57351*1000000</f>
        <v>57351000000</v>
      </c>
      <c r="I1445" s="65">
        <f>246684*1000000</f>
        <v>246684000000</v>
      </c>
      <c r="J1445" s="65">
        <f>-174938*1000000</f>
        <v>-174938000000</v>
      </c>
      <c r="K1445" s="65">
        <f>154632*1000000</f>
        <v>154632000000</v>
      </c>
      <c r="L1445" s="65">
        <f>74875*1000000</f>
        <v>74875000000</v>
      </c>
      <c r="M1445" s="65">
        <f>-11015*1000000</f>
        <v>-11015000000</v>
      </c>
      <c r="N1445" s="65">
        <f>-4551*1000000</f>
        <v>-4551000000</v>
      </c>
      <c r="O1445" s="65">
        <v>0</v>
      </c>
      <c r="P1445" s="65">
        <v>0</v>
      </c>
      <c r="Q1445" s="65">
        <v>0</v>
      </c>
      <c r="R1445" s="65">
        <v>0</v>
      </c>
      <c r="S1445" s="65">
        <v>0</v>
      </c>
      <c r="T1445" s="65">
        <v>0</v>
      </c>
      <c r="U1445" s="65">
        <v>0</v>
      </c>
      <c r="V1445" s="65">
        <v>0</v>
      </c>
      <c r="W1445" s="65">
        <v>0</v>
      </c>
      <c r="X1445" s="65">
        <v>0</v>
      </c>
      <c r="Y1445" s="64"/>
    </row>
    <row r="1446" spans="1:25" s="54" customFormat="1" ht="15" customHeight="1" x14ac:dyDescent="0.3">
      <c r="A1446" s="63"/>
      <c r="B1446" s="64"/>
      <c r="C1446" s="55"/>
      <c r="D1446" s="64">
        <v>2017</v>
      </c>
      <c r="E1446" s="65">
        <f>3090*1000000</f>
        <v>3090000000</v>
      </c>
      <c r="F1446" s="65">
        <f>(3090+44719+30196+103968+619)*1000000</f>
        <v>182592000000</v>
      </c>
      <c r="G1446" s="65">
        <f>398393*1000000</f>
        <v>398393000000</v>
      </c>
      <c r="H1446" s="65">
        <f>57654*1000000</f>
        <v>57654000000</v>
      </c>
      <c r="I1446" s="65">
        <f>242180*1000000</f>
        <v>242180000000</v>
      </c>
      <c r="J1446" s="65">
        <f>-174936*1000000</f>
        <v>-174936000000</v>
      </c>
      <c r="K1446" s="65">
        <f>156213*1000000</f>
        <v>156213000000</v>
      </c>
      <c r="L1446" s="65">
        <f>87387*1000000</f>
        <v>87387000000</v>
      </c>
      <c r="M1446" s="65">
        <f>8543*1000000</f>
        <v>8543000000</v>
      </c>
      <c r="N1446" s="65">
        <f>1580*1000000</f>
        <v>1580000000</v>
      </c>
      <c r="O1446" s="66">
        <v>0.99</v>
      </c>
      <c r="P1446" s="67" t="s">
        <v>304</v>
      </c>
      <c r="Q1446" s="65">
        <v>2</v>
      </c>
      <c r="R1446" s="65">
        <v>3</v>
      </c>
      <c r="S1446" s="65">
        <v>3</v>
      </c>
      <c r="T1446" s="65">
        <f>SUM(R1446:S1446)</f>
        <v>6</v>
      </c>
      <c r="U1446" s="68">
        <v>0</v>
      </c>
      <c r="V1446" s="65">
        <v>0</v>
      </c>
      <c r="W1446" s="65">
        <v>0</v>
      </c>
      <c r="X1446" s="65">
        <v>0</v>
      </c>
      <c r="Y1446" s="64"/>
    </row>
    <row r="1447" spans="1:25" s="54" customFormat="1" ht="15" customHeight="1" x14ac:dyDescent="0.3">
      <c r="A1447" s="63"/>
      <c r="B1447" s="64"/>
      <c r="C1447" s="55"/>
      <c r="D1447" s="64">
        <v>2018</v>
      </c>
      <c r="E1447" s="65">
        <f>2529*1000000</f>
        <v>2529000000</v>
      </c>
      <c r="F1447" s="65">
        <f>(2529+71220+120086+29329+834)*1000000</f>
        <v>223998000000</v>
      </c>
      <c r="G1447" s="65">
        <f>424899*1000000</f>
        <v>424899000000</v>
      </c>
      <c r="H1447" s="65">
        <f>70734*1000000</f>
        <v>70734000000</v>
      </c>
      <c r="I1447" s="65">
        <f>297147*1000000</f>
        <v>297147000000</v>
      </c>
      <c r="J1447" s="65">
        <f>-203351*1000000</f>
        <v>-203351000000</v>
      </c>
      <c r="K1447" s="65">
        <f>127752*1000000</f>
        <v>127752000000</v>
      </c>
      <c r="L1447" s="65">
        <f>114500*1000000</f>
        <v>114500000000</v>
      </c>
      <c r="M1447" s="65">
        <f>1920*1000000</f>
        <v>1920000000</v>
      </c>
      <c r="N1447" s="65">
        <f>4358*1000000</f>
        <v>4358000000</v>
      </c>
      <c r="O1447" s="66">
        <v>0.99</v>
      </c>
      <c r="P1447" s="67" t="s">
        <v>304</v>
      </c>
      <c r="Q1447" s="65">
        <v>2</v>
      </c>
      <c r="R1447" s="65">
        <v>3</v>
      </c>
      <c r="S1447" s="65">
        <v>3</v>
      </c>
      <c r="T1447" s="65">
        <f t="shared" ref="T1447:T1453" si="138">SUM(R1447:S1447)</f>
        <v>6</v>
      </c>
      <c r="U1447" s="68">
        <v>0</v>
      </c>
      <c r="V1447" s="65">
        <v>0</v>
      </c>
      <c r="W1447" s="65">
        <v>0</v>
      </c>
      <c r="X1447" s="65">
        <v>0</v>
      </c>
      <c r="Y1447" s="64"/>
    </row>
    <row r="1448" spans="1:25" s="54" customFormat="1" ht="15" customHeight="1" x14ac:dyDescent="0.3">
      <c r="A1448" s="63"/>
      <c r="B1448" s="64"/>
      <c r="C1448" s="55"/>
      <c r="D1448" s="64">
        <v>2019</v>
      </c>
      <c r="E1448" s="65">
        <f>10586*1000000</f>
        <v>10586000000</v>
      </c>
      <c r="F1448" s="65">
        <f>(10586+99271+118531+27154+929)*1000000</f>
        <v>256471000000</v>
      </c>
      <c r="G1448" s="65">
        <f>436899*1000000</f>
        <v>436899000000</v>
      </c>
      <c r="H1448" s="65">
        <f>82558*1000000</f>
        <v>82558000000</v>
      </c>
      <c r="I1448" s="65">
        <f>304449*1000000</f>
        <v>304449000000</v>
      </c>
      <c r="J1448" s="65">
        <f>-198779*1000000</f>
        <v>-198779000000</v>
      </c>
      <c r="K1448" s="65">
        <f>132450*1000000</f>
        <v>132450000000</v>
      </c>
      <c r="L1448" s="65">
        <f>157721*1000000</f>
        <v>157721000000</v>
      </c>
      <c r="M1448" s="65">
        <f>6643*1000000</f>
        <v>6643000000</v>
      </c>
      <c r="N1448" s="65">
        <f>4698*1000000</f>
        <v>4698000000</v>
      </c>
      <c r="O1448" s="66">
        <v>0.99</v>
      </c>
      <c r="P1448" s="67" t="s">
        <v>304</v>
      </c>
      <c r="Q1448" s="65">
        <v>2</v>
      </c>
      <c r="R1448" s="65">
        <v>3</v>
      </c>
      <c r="S1448" s="65">
        <v>3</v>
      </c>
      <c r="T1448" s="65">
        <f t="shared" si="138"/>
        <v>6</v>
      </c>
      <c r="U1448" s="68">
        <v>0</v>
      </c>
      <c r="V1448" s="65">
        <v>0</v>
      </c>
      <c r="W1448" s="65">
        <v>0</v>
      </c>
      <c r="X1448" s="65">
        <v>0</v>
      </c>
      <c r="Y1448" s="64"/>
    </row>
    <row r="1449" spans="1:25" s="54" customFormat="1" ht="15" customHeight="1" x14ac:dyDescent="0.3">
      <c r="A1449" s="63"/>
      <c r="B1449" s="64"/>
      <c r="C1449" s="55"/>
      <c r="D1449" s="64">
        <v>2020</v>
      </c>
      <c r="E1449" s="65">
        <f>4776*1000000</f>
        <v>4776000000</v>
      </c>
      <c r="F1449" s="65">
        <f>(4776+129470+218621+45127+990)*1000000</f>
        <v>398984000000</v>
      </c>
      <c r="G1449" s="65">
        <f>560015*1000000</f>
        <v>560015000000</v>
      </c>
      <c r="H1449" s="65">
        <f>106386*1000000</f>
        <v>106386000000</v>
      </c>
      <c r="I1449" s="65">
        <f>433419*1000000</f>
        <v>433419000000</v>
      </c>
      <c r="J1449" s="65">
        <f>8017*1000000</f>
        <v>8017000000</v>
      </c>
      <c r="K1449" s="65">
        <f>126595*1000000</f>
        <v>126595000000</v>
      </c>
      <c r="L1449" s="65">
        <f>181721*1000000</f>
        <v>181721000000</v>
      </c>
      <c r="M1449" s="65">
        <f>12141*1000000</f>
        <v>12141000000</v>
      </c>
      <c r="N1449" s="65">
        <f>8366*1000000</f>
        <v>8366000000</v>
      </c>
      <c r="O1449" s="66">
        <v>0.9909</v>
      </c>
      <c r="P1449" s="67" t="s">
        <v>304</v>
      </c>
      <c r="Q1449" s="65">
        <v>2</v>
      </c>
      <c r="R1449" s="65">
        <v>3</v>
      </c>
      <c r="S1449" s="65">
        <v>4</v>
      </c>
      <c r="T1449" s="65">
        <f t="shared" si="138"/>
        <v>7</v>
      </c>
      <c r="U1449" s="68">
        <v>0</v>
      </c>
      <c r="V1449" s="65">
        <v>0</v>
      </c>
      <c r="W1449" s="65">
        <v>0</v>
      </c>
      <c r="X1449" s="65">
        <v>0</v>
      </c>
      <c r="Y1449" s="64"/>
    </row>
    <row r="1450" spans="1:25" s="54" customFormat="1" ht="15" customHeight="1" x14ac:dyDescent="0.3">
      <c r="A1450" s="63"/>
      <c r="B1450" s="64"/>
      <c r="C1450" s="55"/>
      <c r="D1450" s="64">
        <v>2021</v>
      </c>
      <c r="E1450" s="65">
        <f>30939*1000000</f>
        <v>30939000000</v>
      </c>
      <c r="F1450" s="65">
        <f>(30939+235374+261743+33457+1159)*1000000</f>
        <v>562672000000</v>
      </c>
      <c r="G1450" s="65">
        <f>722678*1000000</f>
        <v>722678000000</v>
      </c>
      <c r="H1450" s="65">
        <f>170365*1000000</f>
        <v>170365000000</v>
      </c>
      <c r="I1450" s="65">
        <f>589127*1000000</f>
        <v>589127000000</v>
      </c>
      <c r="J1450" s="65">
        <f>15219*1000000</f>
        <v>15219000000</v>
      </c>
      <c r="K1450" s="65">
        <f>133551*1000000</f>
        <v>133551000000</v>
      </c>
      <c r="L1450" s="65">
        <f>223424*1000000</f>
        <v>223424000000</v>
      </c>
      <c r="M1450" s="65">
        <f>14888*1000000</f>
        <v>14888000000</v>
      </c>
      <c r="N1450" s="65">
        <f>12131*1000000</f>
        <v>12131000000</v>
      </c>
      <c r="O1450" s="66">
        <v>0.9909</v>
      </c>
      <c r="P1450" s="67" t="s">
        <v>304</v>
      </c>
      <c r="Q1450" s="65">
        <v>2</v>
      </c>
      <c r="R1450" s="65">
        <v>3</v>
      </c>
      <c r="S1450" s="65">
        <v>3</v>
      </c>
      <c r="T1450" s="65">
        <f t="shared" si="138"/>
        <v>6</v>
      </c>
      <c r="U1450" s="68">
        <v>0</v>
      </c>
      <c r="V1450" s="65">
        <v>0</v>
      </c>
      <c r="W1450" s="65">
        <v>0</v>
      </c>
      <c r="X1450" s="65">
        <v>0</v>
      </c>
      <c r="Y1450" s="64"/>
    </row>
    <row r="1451" spans="1:25" s="54" customFormat="1" ht="15" customHeight="1" x14ac:dyDescent="0.3">
      <c r="A1451" s="63"/>
      <c r="B1451" s="64"/>
      <c r="C1451" s="55"/>
      <c r="D1451" s="64">
        <v>2022</v>
      </c>
      <c r="E1451" s="65">
        <f>51823*1000000</f>
        <v>51823000000</v>
      </c>
      <c r="F1451" s="65">
        <f>(51823+104815+231810+117741+1192)*1000000</f>
        <v>507381000000</v>
      </c>
      <c r="G1451" s="65">
        <f>647073*1000000</f>
        <v>647073000000</v>
      </c>
      <c r="H1451" s="65">
        <f>144528*1000000</f>
        <v>144528000000</v>
      </c>
      <c r="I1451" s="65">
        <f>522129*1000000</f>
        <v>522129000000</v>
      </c>
      <c r="J1451" s="65">
        <f>6803*1000000</f>
        <v>6803000000</v>
      </c>
      <c r="K1451" s="65">
        <f>124944*1000000</f>
        <v>124944000000</v>
      </c>
      <c r="L1451" s="65">
        <f>280367*1000000</f>
        <v>280367000000</v>
      </c>
      <c r="M1451" s="65">
        <f>-11652*1000000</f>
        <v>-11652000000</v>
      </c>
      <c r="N1451" s="65">
        <f>-8607*1000000</f>
        <v>-8607000000</v>
      </c>
      <c r="O1451" s="66">
        <v>0.9909</v>
      </c>
      <c r="P1451" s="67" t="s">
        <v>304</v>
      </c>
      <c r="Q1451" s="65">
        <v>2</v>
      </c>
      <c r="R1451" s="65">
        <v>3</v>
      </c>
      <c r="S1451" s="65">
        <v>3</v>
      </c>
      <c r="T1451" s="65">
        <f t="shared" si="138"/>
        <v>6</v>
      </c>
      <c r="U1451" s="68">
        <v>0</v>
      </c>
      <c r="V1451" s="65">
        <v>0</v>
      </c>
      <c r="W1451" s="65">
        <v>0</v>
      </c>
      <c r="X1451" s="65">
        <v>0</v>
      </c>
      <c r="Y1451" s="64"/>
    </row>
    <row r="1452" spans="1:25" s="54" customFormat="1" ht="15" customHeight="1" x14ac:dyDescent="0.3">
      <c r="A1452" s="63"/>
      <c r="B1452" s="64"/>
      <c r="C1452" s="55"/>
      <c r="D1452" s="64">
        <v>2023</v>
      </c>
      <c r="E1452" s="65">
        <f>66823*1000000</f>
        <v>66823000000</v>
      </c>
      <c r="F1452" s="65">
        <f>(66823+153438+221860+146365+306)*1000000</f>
        <v>588792000000</v>
      </c>
      <c r="G1452" s="65">
        <f>768681*1000000</f>
        <v>768681000000</v>
      </c>
      <c r="H1452" s="65">
        <f>243714*1000000</f>
        <v>243714000000</v>
      </c>
      <c r="I1452" s="65">
        <f>636319*1000000</f>
        <v>636319000000</v>
      </c>
      <c r="J1452" s="65">
        <f>-19110*1000000</f>
        <v>-19110000000</v>
      </c>
      <c r="K1452" s="65">
        <f>132362*1000000</f>
        <v>132362000000</v>
      </c>
      <c r="L1452" s="65">
        <f>353410*1000000</f>
        <v>353410000000</v>
      </c>
      <c r="M1452" s="65">
        <f>-27214*1000000</f>
        <v>-27214000000</v>
      </c>
      <c r="N1452" s="65">
        <f>-25582*1000000</f>
        <v>-25582000000</v>
      </c>
      <c r="O1452" s="66">
        <v>0.9909</v>
      </c>
      <c r="P1452" s="67" t="s">
        <v>304</v>
      </c>
      <c r="Q1452" s="65">
        <v>2</v>
      </c>
      <c r="R1452" s="65">
        <v>3</v>
      </c>
      <c r="S1452" s="65">
        <v>3</v>
      </c>
      <c r="T1452" s="65">
        <f t="shared" si="138"/>
        <v>6</v>
      </c>
      <c r="U1452" s="68">
        <v>0</v>
      </c>
      <c r="V1452" s="65">
        <v>0</v>
      </c>
      <c r="W1452" s="65">
        <v>0</v>
      </c>
      <c r="X1452" s="65">
        <v>0</v>
      </c>
      <c r="Y1452" s="64"/>
    </row>
    <row r="1453" spans="1:25" s="54" customFormat="1" ht="15" customHeight="1" x14ac:dyDescent="0.3">
      <c r="A1453" s="63"/>
      <c r="B1453" s="64"/>
      <c r="C1453" s="55"/>
      <c r="D1453" s="64">
        <v>2024</v>
      </c>
      <c r="E1453" s="65">
        <f>24753*1000000</f>
        <v>24753000000</v>
      </c>
      <c r="F1453" s="65">
        <f>(24753+87107+155855+143148+1238)*1000000</f>
        <v>412101000000</v>
      </c>
      <c r="G1453" s="65">
        <f>660490*1000000</f>
        <v>660490000000</v>
      </c>
      <c r="H1453" s="65">
        <f>109169*1000000</f>
        <v>109169000000</v>
      </c>
      <c r="I1453" s="65">
        <f>477631*1000000</f>
        <v>477631000000</v>
      </c>
      <c r="J1453" s="65">
        <f>-15613*1000000</f>
        <v>-15613000000</v>
      </c>
      <c r="K1453" s="65">
        <f>167859*1000000</f>
        <v>167859000000</v>
      </c>
      <c r="L1453" s="65">
        <f>567194*1000000</f>
        <v>567194000000</v>
      </c>
      <c r="M1453" s="65">
        <f>4710*1000000</f>
        <v>4710000000</v>
      </c>
      <c r="N1453" s="65">
        <f>3497*1000000</f>
        <v>3497000000</v>
      </c>
      <c r="O1453" s="66">
        <v>0.9909</v>
      </c>
      <c r="P1453" s="67" t="s">
        <v>304</v>
      </c>
      <c r="Q1453" s="65">
        <v>2</v>
      </c>
      <c r="R1453" s="65">
        <v>3</v>
      </c>
      <c r="S1453" s="65">
        <v>2</v>
      </c>
      <c r="T1453" s="65">
        <f t="shared" si="138"/>
        <v>5</v>
      </c>
      <c r="U1453" s="68">
        <v>0</v>
      </c>
      <c r="V1453" s="65">
        <v>0</v>
      </c>
      <c r="W1453" s="65">
        <v>0</v>
      </c>
      <c r="X1453" s="65">
        <v>0</v>
      </c>
      <c r="Y1453" s="64"/>
    </row>
    <row r="1454" spans="1:25" s="54" customFormat="1" ht="15" customHeight="1" x14ac:dyDescent="0.3">
      <c r="A1454" s="63"/>
      <c r="B1454" s="64">
        <v>133</v>
      </c>
      <c r="C1454" s="76" t="s">
        <v>126</v>
      </c>
      <c r="D1454" s="64">
        <v>2014</v>
      </c>
      <c r="E1454" s="65">
        <v>0</v>
      </c>
      <c r="F1454" s="65">
        <v>0</v>
      </c>
      <c r="G1454" s="65">
        <v>0</v>
      </c>
      <c r="H1454" s="65">
        <v>0</v>
      </c>
      <c r="I1454" s="65">
        <v>0</v>
      </c>
      <c r="J1454" s="65">
        <v>0</v>
      </c>
      <c r="K1454" s="65">
        <v>0</v>
      </c>
      <c r="L1454" s="65">
        <f>18573168484</f>
        <v>18573168484</v>
      </c>
      <c r="M1454" s="65">
        <v>0</v>
      </c>
      <c r="N1454" s="65">
        <v>0</v>
      </c>
      <c r="O1454" s="65">
        <v>0</v>
      </c>
      <c r="P1454" s="65">
        <v>0</v>
      </c>
      <c r="Q1454" s="65">
        <v>0</v>
      </c>
      <c r="R1454" s="65">
        <v>0</v>
      </c>
      <c r="S1454" s="65">
        <v>0</v>
      </c>
      <c r="T1454" s="65">
        <v>0</v>
      </c>
      <c r="U1454" s="65">
        <v>0</v>
      </c>
      <c r="V1454" s="65">
        <v>0</v>
      </c>
      <c r="W1454" s="65">
        <v>0</v>
      </c>
      <c r="X1454" s="65">
        <v>0</v>
      </c>
      <c r="Y1454" s="64"/>
    </row>
    <row r="1455" spans="1:25" s="54" customFormat="1" ht="15" customHeight="1" x14ac:dyDescent="0.3">
      <c r="A1455" s="63"/>
      <c r="B1455" s="64"/>
      <c r="C1455" s="76"/>
      <c r="D1455" s="64">
        <v>2015</v>
      </c>
      <c r="E1455" s="65">
        <f>2520936305</f>
        <v>2520936305</v>
      </c>
      <c r="F1455" s="65">
        <f>E1455+15223352425+6355345303+15042913357+756159872</f>
        <v>39898707262</v>
      </c>
      <c r="G1455" s="65">
        <f>210608052893</f>
        <v>210608052893</v>
      </c>
      <c r="H1455" s="65">
        <f>617555858+9096291598+2397172+1961404733+1868500+363205610+792239400</f>
        <v>12834962871</v>
      </c>
      <c r="I1455" s="65">
        <f>46028515784</f>
        <v>46028515784</v>
      </c>
      <c r="J1455" s="65">
        <f>16972647930</f>
        <v>16972647930</v>
      </c>
      <c r="K1455" s="65">
        <f>164579537109</f>
        <v>164579537109</v>
      </c>
      <c r="L1455" s="65">
        <f>34225711012</f>
        <v>34225711012</v>
      </c>
      <c r="M1455" s="65">
        <f>17301120684</f>
        <v>17301120684</v>
      </c>
      <c r="N1455" s="65">
        <f>16972642756</f>
        <v>16972642756</v>
      </c>
      <c r="O1455" s="66">
        <v>0.73370000000000002</v>
      </c>
      <c r="P1455" s="67" t="s">
        <v>232</v>
      </c>
      <c r="Q1455" s="65">
        <v>2</v>
      </c>
      <c r="R1455" s="65">
        <v>3</v>
      </c>
      <c r="S1455" s="65">
        <v>3</v>
      </c>
      <c r="T1455" s="65">
        <f>SUM(R1455:S1455)</f>
        <v>6</v>
      </c>
      <c r="U1455" s="68">
        <v>0</v>
      </c>
      <c r="V1455" s="65">
        <f t="shared" ref="V1455:V1464" si="139">3+2</f>
        <v>5</v>
      </c>
      <c r="W1455" s="65">
        <f t="shared" ref="W1455:W1464" si="140">V1455</f>
        <v>5</v>
      </c>
      <c r="X1455" s="65">
        <f>3+2</f>
        <v>5</v>
      </c>
      <c r="Y1455" s="64"/>
    </row>
    <row r="1456" spans="1:25" s="54" customFormat="1" ht="15" customHeight="1" x14ac:dyDescent="0.3">
      <c r="A1456" s="63"/>
      <c r="B1456" s="64"/>
      <c r="C1456" s="76"/>
      <c r="D1456" s="64">
        <v>2016</v>
      </c>
      <c r="E1456" s="65">
        <f>1875646444</f>
        <v>1875646444</v>
      </c>
      <c r="F1456" s="65">
        <f>E1456+23787233657+12670236965+20671239877+757889931</f>
        <v>59762246874</v>
      </c>
      <c r="G1456" s="65">
        <f>233874624756</f>
        <v>233874624756</v>
      </c>
      <c r="H1456" s="65">
        <f>62684859+13668364576+2600754+3646519376+738456137+184889985+1472885309</f>
        <v>19776400996</v>
      </c>
      <c r="I1456" s="65">
        <f>66608341403</f>
        <v>66608341403</v>
      </c>
      <c r="J1456" s="65">
        <f>24965013084</f>
        <v>24965013084</v>
      </c>
      <c r="K1456" s="65">
        <f>167266283353</f>
        <v>167266283353</v>
      </c>
      <c r="L1456" s="65">
        <f>38132909491</f>
        <v>38132909491</v>
      </c>
      <c r="M1456" s="65">
        <f>8233897795</f>
        <v>8233897795</v>
      </c>
      <c r="N1456" s="65">
        <f>7992365154</f>
        <v>7992365154</v>
      </c>
      <c r="O1456" s="66">
        <v>0.73370000000000002</v>
      </c>
      <c r="P1456" s="67" t="s">
        <v>232</v>
      </c>
      <c r="Q1456" s="65">
        <v>2</v>
      </c>
      <c r="R1456" s="65">
        <v>3</v>
      </c>
      <c r="S1456" s="65">
        <v>4</v>
      </c>
      <c r="T1456" s="65">
        <f t="shared" ref="T1456:T1464" si="141">SUM(R1456:S1456)</f>
        <v>7</v>
      </c>
      <c r="U1456" s="68">
        <v>0</v>
      </c>
      <c r="V1456" s="65">
        <f t="shared" si="139"/>
        <v>5</v>
      </c>
      <c r="W1456" s="65">
        <f t="shared" si="140"/>
        <v>5</v>
      </c>
      <c r="X1456" s="65">
        <f>4+2</f>
        <v>6</v>
      </c>
      <c r="Y1456" s="64"/>
    </row>
    <row r="1457" spans="1:25" s="54" customFormat="1" ht="15" customHeight="1" x14ac:dyDescent="0.3">
      <c r="A1457" s="63"/>
      <c r="B1457" s="64"/>
      <c r="C1457" s="76"/>
      <c r="D1457" s="64">
        <v>2017</v>
      </c>
      <c r="E1457" s="65">
        <f>1117224493+1358780320</f>
        <v>2476004813</v>
      </c>
      <c r="F1457" s="65">
        <f>E1457+1489097010+10491127139+2560757275+245147085+13273123128+22456935533+459440519</f>
        <v>53451632502</v>
      </c>
      <c r="G1457" s="65">
        <f>253642764681</f>
        <v>253642764681</v>
      </c>
      <c r="H1457" s="65">
        <f>I1457-2793343850-839207330-49783396747</f>
        <v>10324939192</v>
      </c>
      <c r="I1457" s="65">
        <f>63740887119</f>
        <v>63740887119</v>
      </c>
      <c r="J1457" s="65">
        <f>2000000000+31781005588</f>
        <v>33781005588</v>
      </c>
      <c r="K1457" s="65">
        <f>189901877562</f>
        <v>189901877562</v>
      </c>
      <c r="L1457" s="65">
        <f>33987000536</f>
        <v>33987000536</v>
      </c>
      <c r="M1457" s="65">
        <f>8512528406</f>
        <v>8512528406</v>
      </c>
      <c r="N1457" s="65">
        <f>8814778660</f>
        <v>8814778660</v>
      </c>
      <c r="O1457" s="66">
        <v>0.73350000000000004</v>
      </c>
      <c r="P1457" s="67" t="s">
        <v>232</v>
      </c>
      <c r="Q1457" s="65">
        <v>2</v>
      </c>
      <c r="R1457" s="65">
        <v>3</v>
      </c>
      <c r="S1457" s="65">
        <v>4</v>
      </c>
      <c r="T1457" s="65">
        <f t="shared" si="141"/>
        <v>7</v>
      </c>
      <c r="U1457" s="68">
        <v>0</v>
      </c>
      <c r="V1457" s="65">
        <f t="shared" si="139"/>
        <v>5</v>
      </c>
      <c r="W1457" s="65">
        <f t="shared" si="140"/>
        <v>5</v>
      </c>
      <c r="X1457" s="65">
        <f>4+2</f>
        <v>6</v>
      </c>
      <c r="Y1457" s="64"/>
    </row>
    <row r="1458" spans="1:25" s="54" customFormat="1" ht="15" customHeight="1" x14ac:dyDescent="0.3">
      <c r="A1458" s="63"/>
      <c r="B1458" s="64"/>
      <c r="C1458" s="76"/>
      <c r="D1458" s="64">
        <v>2018</v>
      </c>
      <c r="E1458" s="65">
        <f>1317046659+701353843</f>
        <v>2018400502</v>
      </c>
      <c r="F1458" s="65">
        <f>E1458+1455894239+12853698875+1051739853+187926862+4709618592+48106717662+360225785</f>
        <v>70744222370</v>
      </c>
      <c r="G1458" s="65">
        <f>262118630829</f>
        <v>262118630829</v>
      </c>
      <c r="H1458" s="65">
        <f>I1458-1069111407-63966665289</f>
        <v>17354538655</v>
      </c>
      <c r="I1458" s="65">
        <f>82390315351</f>
        <v>82390315351</v>
      </c>
      <c r="J1458" s="65">
        <f>3000000000+32572209533</f>
        <v>35572209533</v>
      </c>
      <c r="K1458" s="65">
        <f>179728315478</f>
        <v>179728315478</v>
      </c>
      <c r="L1458" s="65">
        <f>25396161153</f>
        <v>25396161153</v>
      </c>
      <c r="M1458" s="65">
        <f>4793298009</f>
        <v>4793298009</v>
      </c>
      <c r="N1458" s="65">
        <f>3947657923</f>
        <v>3947657923</v>
      </c>
      <c r="O1458" s="66">
        <v>0.73280000000000001</v>
      </c>
      <c r="P1458" s="67" t="s">
        <v>232</v>
      </c>
      <c r="Q1458" s="65">
        <v>2</v>
      </c>
      <c r="R1458" s="65">
        <v>3</v>
      </c>
      <c r="S1458" s="65">
        <v>3</v>
      </c>
      <c r="T1458" s="65">
        <f t="shared" si="141"/>
        <v>6</v>
      </c>
      <c r="U1458" s="68">
        <v>0</v>
      </c>
      <c r="V1458" s="65">
        <f t="shared" si="139"/>
        <v>5</v>
      </c>
      <c r="W1458" s="65">
        <f t="shared" si="140"/>
        <v>5</v>
      </c>
      <c r="X1458" s="65">
        <f>3+2</f>
        <v>5</v>
      </c>
      <c r="Y1458" s="64"/>
    </row>
    <row r="1459" spans="1:25" s="54" customFormat="1" ht="15" customHeight="1" x14ac:dyDescent="0.3">
      <c r="A1459" s="63"/>
      <c r="B1459" s="64"/>
      <c r="C1459" s="76"/>
      <c r="D1459" s="64">
        <v>2019</v>
      </c>
      <c r="E1459" s="65">
        <f>194829889+1947882161</f>
        <v>2142712050</v>
      </c>
      <c r="F1459" s="65">
        <f>E1459+1546403302+21000682305+1056079345+565936111+2319670676+60108697573+409345776</f>
        <v>89149527138</v>
      </c>
      <c r="G1459" s="65">
        <f>284170955431</f>
        <v>284170955431</v>
      </c>
      <c r="H1459" s="65">
        <f>I1459-1542362703-74528634696</f>
        <v>21767693289</v>
      </c>
      <c r="I1459" s="65">
        <f>97838690688</f>
        <v>97838690688</v>
      </c>
      <c r="J1459" s="65">
        <f>13000000000+31673196590</f>
        <v>44673196590</v>
      </c>
      <c r="K1459" s="65">
        <f>186332264743</f>
        <v>186332264743</v>
      </c>
      <c r="L1459" s="65">
        <f>26117484368</f>
        <v>26117484368</v>
      </c>
      <c r="M1459" s="65">
        <f>22060135701</f>
        <v>22060135701</v>
      </c>
      <c r="N1459" s="65">
        <f>21806030031</f>
        <v>21806030031</v>
      </c>
      <c r="O1459" s="66">
        <v>0.73150000000000004</v>
      </c>
      <c r="P1459" s="67" t="s">
        <v>232</v>
      </c>
      <c r="Q1459" s="65">
        <v>2</v>
      </c>
      <c r="R1459" s="65">
        <v>3</v>
      </c>
      <c r="S1459" s="65">
        <v>3</v>
      </c>
      <c r="T1459" s="65">
        <f t="shared" si="141"/>
        <v>6</v>
      </c>
      <c r="U1459" s="68">
        <v>0</v>
      </c>
      <c r="V1459" s="65">
        <f t="shared" si="139"/>
        <v>5</v>
      </c>
      <c r="W1459" s="65">
        <f t="shared" si="140"/>
        <v>5</v>
      </c>
      <c r="X1459" s="65">
        <f>3+2</f>
        <v>5</v>
      </c>
      <c r="Y1459" s="64"/>
    </row>
    <row r="1460" spans="1:25" s="54" customFormat="1" ht="15" customHeight="1" x14ac:dyDescent="0.3">
      <c r="A1460" s="63"/>
      <c r="B1460" s="64"/>
      <c r="C1460" s="76"/>
      <c r="D1460" s="64">
        <v>2020</v>
      </c>
      <c r="E1460" s="65">
        <f>797206148+3648646660</f>
        <v>4445852808</v>
      </c>
      <c r="F1460" s="65">
        <f>E1460+2266451863+52123713426+10151962791+55621875+2197904547+67400947254+172618013</f>
        <v>138815072577</v>
      </c>
      <c r="G1460" s="65">
        <f>322342387320</f>
        <v>322342387320</v>
      </c>
      <c r="H1460" s="65">
        <f>I1460-1548181908-1880289682-81941158817</f>
        <v>52725666469</v>
      </c>
      <c r="I1460" s="65">
        <f>138095296876</f>
        <v>138095296876</v>
      </c>
      <c r="J1460" s="65">
        <f>15000000000+21883225429</f>
        <v>36883225429</v>
      </c>
      <c r="K1460" s="65">
        <f>184247090444</f>
        <v>184247090444</v>
      </c>
      <c r="L1460" s="65">
        <f>26509968632</f>
        <v>26509968632</v>
      </c>
      <c r="M1460" s="65">
        <f>6347499499</f>
        <v>6347499499</v>
      </c>
      <c r="N1460" s="65">
        <f>6211645756</f>
        <v>6211645756</v>
      </c>
      <c r="O1460" s="66">
        <v>0.72950000000000004</v>
      </c>
      <c r="P1460" s="67" t="s">
        <v>232</v>
      </c>
      <c r="Q1460" s="65">
        <v>2</v>
      </c>
      <c r="R1460" s="65">
        <v>3</v>
      </c>
      <c r="S1460" s="65">
        <v>4</v>
      </c>
      <c r="T1460" s="65">
        <f t="shared" si="141"/>
        <v>7</v>
      </c>
      <c r="U1460" s="68">
        <v>0</v>
      </c>
      <c r="V1460" s="65">
        <f t="shared" si="139"/>
        <v>5</v>
      </c>
      <c r="W1460" s="65">
        <f t="shared" si="140"/>
        <v>5</v>
      </c>
      <c r="X1460" s="65">
        <v>4</v>
      </c>
      <c r="Y1460" s="64"/>
    </row>
    <row r="1461" spans="1:25" s="54" customFormat="1" ht="15" customHeight="1" x14ac:dyDescent="0.3">
      <c r="A1461" s="63"/>
      <c r="B1461" s="64"/>
      <c r="C1461" s="76"/>
      <c r="D1461" s="64">
        <v>2021</v>
      </c>
      <c r="E1461" s="65">
        <f>489488984+3701933971</f>
        <v>4191422955</v>
      </c>
      <c r="F1461" s="65">
        <f>E1461+1473675771+32774628322+6835481980+23212500+2374604204+64307436165+1165945158</f>
        <v>113146407055</v>
      </c>
      <c r="G1461" s="65">
        <f>356588372475</f>
        <v>356588372475</v>
      </c>
      <c r="H1461" s="65">
        <f>I1461-973059061-1569307531-77984423990</f>
        <v>35457622256</v>
      </c>
      <c r="I1461" s="65">
        <f>115984412838</f>
        <v>115984412838</v>
      </c>
      <c r="J1461" s="65">
        <f>16000000000+28382884486</f>
        <v>44382884486</v>
      </c>
      <c r="K1461" s="65">
        <f>240603959637</f>
        <v>240603959637</v>
      </c>
      <c r="L1461" s="65">
        <f>30755229522</f>
        <v>30755229522</v>
      </c>
      <c r="M1461" s="65">
        <f>11680236491</f>
        <v>11680236491</v>
      </c>
      <c r="N1461" s="65">
        <f>12309015432</f>
        <v>12309015432</v>
      </c>
      <c r="O1461" s="66">
        <v>0.72950000000000004</v>
      </c>
      <c r="P1461" s="67" t="s">
        <v>232</v>
      </c>
      <c r="Q1461" s="65">
        <v>2</v>
      </c>
      <c r="R1461" s="65">
        <v>3</v>
      </c>
      <c r="S1461" s="65">
        <v>4</v>
      </c>
      <c r="T1461" s="65">
        <f t="shared" si="141"/>
        <v>7</v>
      </c>
      <c r="U1461" s="68">
        <v>0</v>
      </c>
      <c r="V1461" s="65">
        <f t="shared" si="139"/>
        <v>5</v>
      </c>
      <c r="W1461" s="65">
        <f t="shared" si="140"/>
        <v>5</v>
      </c>
      <c r="X1461" s="65">
        <v>4</v>
      </c>
      <c r="Y1461" s="64"/>
    </row>
    <row r="1462" spans="1:25" s="54" customFormat="1" ht="15" customHeight="1" x14ac:dyDescent="0.3">
      <c r="A1462" s="63"/>
      <c r="B1462" s="64"/>
      <c r="C1462" s="76"/>
      <c r="D1462" s="64">
        <v>2022</v>
      </c>
      <c r="E1462" s="65">
        <f>188878232+6035896434</f>
        <v>6224774666</v>
      </c>
      <c r="F1462" s="65">
        <f>E1462+1110901550+26520051653+3570718739+1762500+1565679101+59728079500+63182419</f>
        <v>98785150128</v>
      </c>
      <c r="G1462" s="65">
        <f>297046208202</f>
        <v>297046208202</v>
      </c>
      <c r="H1462" s="65">
        <f>I1462-1143838568-971630670-74910800847</f>
        <v>33484760572</v>
      </c>
      <c r="I1462" s="65">
        <f>110511030657</f>
        <v>110511030657</v>
      </c>
      <c r="J1462" s="65">
        <f>17000000000+31077483239</f>
        <v>48077483239</v>
      </c>
      <c r="K1462" s="65">
        <f>186535177545</f>
        <v>186535177545</v>
      </c>
      <c r="L1462" s="65">
        <f>29717878041</f>
        <v>29717878041</v>
      </c>
      <c r="M1462" s="65">
        <f>9150484402</f>
        <v>9150484402</v>
      </c>
      <c r="N1462" s="65">
        <f>8663549352</f>
        <v>8663549352</v>
      </c>
      <c r="O1462" s="66">
        <v>0.72950000000000004</v>
      </c>
      <c r="P1462" s="67" t="s">
        <v>232</v>
      </c>
      <c r="Q1462" s="65">
        <v>2</v>
      </c>
      <c r="R1462" s="65">
        <v>3</v>
      </c>
      <c r="S1462" s="65">
        <v>3</v>
      </c>
      <c r="T1462" s="65">
        <f t="shared" si="141"/>
        <v>6</v>
      </c>
      <c r="U1462" s="68">
        <v>0</v>
      </c>
      <c r="V1462" s="65">
        <f t="shared" si="139"/>
        <v>5</v>
      </c>
      <c r="W1462" s="65">
        <f t="shared" si="140"/>
        <v>5</v>
      </c>
      <c r="X1462" s="65">
        <v>3</v>
      </c>
      <c r="Y1462" s="64"/>
    </row>
    <row r="1463" spans="1:25" s="54" customFormat="1" ht="15" customHeight="1" x14ac:dyDescent="0.3">
      <c r="A1463" s="63"/>
      <c r="B1463" s="64"/>
      <c r="C1463" s="76"/>
      <c r="D1463" s="64">
        <v>2023</v>
      </c>
      <c r="E1463" s="65">
        <f>2024727089+1137681023</f>
        <v>3162408112</v>
      </c>
      <c r="F1463" s="65">
        <f>E1463+765866167+20111845127+5658135545+789612375+46597156163+420145646</f>
        <v>77505169135</v>
      </c>
      <c r="G1463" s="65">
        <f>242935248490</f>
        <v>242935248490</v>
      </c>
      <c r="H1463" s="65">
        <f>I1463-3333816260-1139064135-57607323411</f>
        <v>27225512194</v>
      </c>
      <c r="I1463" s="65">
        <f>89305716000</f>
        <v>89305716000</v>
      </c>
      <c r="J1463" s="65">
        <f>18000000000+29686846703</f>
        <v>47686846703</v>
      </c>
      <c r="K1463" s="65">
        <f>153629532490</f>
        <v>153629532490</v>
      </c>
      <c r="L1463" s="65">
        <f>50543777352</f>
        <v>50543777352</v>
      </c>
      <c r="M1463" s="65">
        <f>6278483242</f>
        <v>6278483242</v>
      </c>
      <c r="N1463" s="65">
        <f>6479063389</f>
        <v>6479063389</v>
      </c>
      <c r="O1463" s="66">
        <v>0.72950000000000004</v>
      </c>
      <c r="P1463" s="67" t="s">
        <v>232</v>
      </c>
      <c r="Q1463" s="65">
        <v>2</v>
      </c>
      <c r="R1463" s="65">
        <v>3</v>
      </c>
      <c r="S1463" s="65">
        <v>3</v>
      </c>
      <c r="T1463" s="65">
        <f t="shared" si="141"/>
        <v>6</v>
      </c>
      <c r="U1463" s="68">
        <v>0</v>
      </c>
      <c r="V1463" s="65">
        <f t="shared" si="139"/>
        <v>5</v>
      </c>
      <c r="W1463" s="65">
        <f t="shared" si="140"/>
        <v>5</v>
      </c>
      <c r="X1463" s="65">
        <v>3</v>
      </c>
      <c r="Y1463" s="64"/>
    </row>
    <row r="1464" spans="1:25" s="54" customFormat="1" ht="15" customHeight="1" x14ac:dyDescent="0.3">
      <c r="A1464" s="63"/>
      <c r="B1464" s="64"/>
      <c r="C1464" s="76"/>
      <c r="D1464" s="64">
        <v>2024</v>
      </c>
      <c r="E1464" s="65">
        <f>423615553+831057254</f>
        <v>1254672807</v>
      </c>
      <c r="F1464" s="65">
        <f>E1464+1169080649+24468272880+6131445111+1199946802+41473644300+379108175</f>
        <v>76076170724</v>
      </c>
      <c r="G1464" s="65">
        <f>243101289401</f>
        <v>243101289401</v>
      </c>
      <c r="H1464" s="65">
        <f>I1464-2794403008-1116266076-52426314696</f>
        <v>34649582666</v>
      </c>
      <c r="I1464" s="65">
        <f>90986566446</f>
        <v>90986566446</v>
      </c>
      <c r="J1464" s="65">
        <f>18000000000+36707331499</f>
        <v>54707331499</v>
      </c>
      <c r="K1464" s="65">
        <f>152114722955</f>
        <v>152114722955</v>
      </c>
      <c r="L1464" s="65">
        <f>54656623923</f>
        <v>54656623923</v>
      </c>
      <c r="M1464" s="65">
        <f>7436551047</f>
        <v>7436551047</v>
      </c>
      <c r="N1464" s="65">
        <f>7006375716</f>
        <v>7006375716</v>
      </c>
      <c r="O1464" s="66">
        <v>0.72950000000000004</v>
      </c>
      <c r="P1464" s="67" t="s">
        <v>232</v>
      </c>
      <c r="Q1464" s="65">
        <v>2</v>
      </c>
      <c r="R1464" s="65">
        <v>3</v>
      </c>
      <c r="S1464" s="65">
        <v>3</v>
      </c>
      <c r="T1464" s="65">
        <f t="shared" si="141"/>
        <v>6</v>
      </c>
      <c r="U1464" s="68">
        <v>0</v>
      </c>
      <c r="V1464" s="65">
        <f t="shared" si="139"/>
        <v>5</v>
      </c>
      <c r="W1464" s="65">
        <f t="shared" si="140"/>
        <v>5</v>
      </c>
      <c r="X1464" s="65">
        <v>3</v>
      </c>
      <c r="Y1464" s="64"/>
    </row>
    <row r="1465" spans="1:25" s="54" customFormat="1" ht="15" customHeight="1" x14ac:dyDescent="0.3">
      <c r="A1465" s="63"/>
      <c r="B1465" s="64">
        <v>134</v>
      </c>
      <c r="C1465" s="55" t="s">
        <v>95</v>
      </c>
      <c r="D1465" s="64">
        <v>2014</v>
      </c>
      <c r="E1465" s="65">
        <v>0</v>
      </c>
      <c r="F1465" s="65">
        <v>0</v>
      </c>
      <c r="G1465" s="65">
        <v>0</v>
      </c>
      <c r="H1465" s="65">
        <v>0</v>
      </c>
      <c r="I1465" s="65">
        <v>0</v>
      </c>
      <c r="J1465" s="65">
        <v>0</v>
      </c>
      <c r="K1465" s="65">
        <v>0</v>
      </c>
      <c r="L1465" s="65">
        <v>0</v>
      </c>
      <c r="M1465" s="65">
        <v>0</v>
      </c>
      <c r="N1465" s="65">
        <v>0</v>
      </c>
      <c r="O1465" s="65">
        <v>0</v>
      </c>
      <c r="P1465" s="65">
        <v>0</v>
      </c>
      <c r="Q1465" s="65">
        <v>0</v>
      </c>
      <c r="R1465" s="65">
        <v>0</v>
      </c>
      <c r="S1465" s="65">
        <v>0</v>
      </c>
      <c r="T1465" s="65">
        <v>0</v>
      </c>
      <c r="U1465" s="65">
        <v>0</v>
      </c>
      <c r="V1465" s="65">
        <v>0</v>
      </c>
      <c r="W1465" s="65">
        <v>0</v>
      </c>
      <c r="X1465" s="65">
        <v>0</v>
      </c>
      <c r="Y1465" s="64"/>
    </row>
    <row r="1466" spans="1:25" s="54" customFormat="1" ht="15" customHeight="1" x14ac:dyDescent="0.3">
      <c r="A1466" s="63"/>
      <c r="B1466" s="64"/>
      <c r="C1466" s="55"/>
      <c r="D1466" s="64">
        <v>2015</v>
      </c>
      <c r="E1466" s="65">
        <v>0</v>
      </c>
      <c r="F1466" s="65">
        <v>0</v>
      </c>
      <c r="G1466" s="65">
        <v>0</v>
      </c>
      <c r="H1466" s="65">
        <v>0</v>
      </c>
      <c r="I1466" s="65">
        <v>0</v>
      </c>
      <c r="J1466" s="65">
        <v>0</v>
      </c>
      <c r="K1466" s="65">
        <v>0</v>
      </c>
      <c r="L1466" s="65">
        <v>0</v>
      </c>
      <c r="M1466" s="65">
        <v>0</v>
      </c>
      <c r="N1466" s="65">
        <v>0</v>
      </c>
      <c r="O1466" s="65">
        <v>0</v>
      </c>
      <c r="P1466" s="65">
        <v>0</v>
      </c>
      <c r="Q1466" s="65">
        <v>0</v>
      </c>
      <c r="R1466" s="65">
        <v>0</v>
      </c>
      <c r="S1466" s="65">
        <v>0</v>
      </c>
      <c r="T1466" s="65">
        <v>0</v>
      </c>
      <c r="U1466" s="65">
        <v>0</v>
      </c>
      <c r="V1466" s="65">
        <v>0</v>
      </c>
      <c r="W1466" s="65">
        <v>0</v>
      </c>
      <c r="X1466" s="65">
        <v>0</v>
      </c>
      <c r="Y1466" s="64"/>
    </row>
    <row r="1467" spans="1:25" s="54" customFormat="1" ht="15" customHeight="1" x14ac:dyDescent="0.3">
      <c r="A1467" s="63"/>
      <c r="B1467" s="64"/>
      <c r="C1467" s="55"/>
      <c r="D1467" s="64">
        <v>2016</v>
      </c>
      <c r="E1467" s="65">
        <v>0</v>
      </c>
      <c r="F1467" s="65">
        <v>0</v>
      </c>
      <c r="G1467" s="65">
        <v>0</v>
      </c>
      <c r="H1467" s="65">
        <v>0</v>
      </c>
      <c r="I1467" s="65">
        <v>0</v>
      </c>
      <c r="J1467" s="65">
        <v>0</v>
      </c>
      <c r="K1467" s="65">
        <v>0</v>
      </c>
      <c r="L1467" s="65">
        <v>0</v>
      </c>
      <c r="M1467" s="65">
        <v>0</v>
      </c>
      <c r="N1467" s="65">
        <v>0</v>
      </c>
      <c r="O1467" s="65">
        <v>0</v>
      </c>
      <c r="P1467" s="65">
        <v>0</v>
      </c>
      <c r="Q1467" s="65">
        <v>0</v>
      </c>
      <c r="R1467" s="65">
        <v>0</v>
      </c>
      <c r="S1467" s="65">
        <v>0</v>
      </c>
      <c r="T1467" s="65">
        <v>0</v>
      </c>
      <c r="U1467" s="65">
        <v>0</v>
      </c>
      <c r="V1467" s="65">
        <v>0</v>
      </c>
      <c r="W1467" s="65">
        <v>0</v>
      </c>
      <c r="X1467" s="65">
        <v>0</v>
      </c>
      <c r="Y1467" s="64"/>
    </row>
    <row r="1468" spans="1:25" s="54" customFormat="1" ht="15" customHeight="1" x14ac:dyDescent="0.3">
      <c r="A1468" s="63"/>
      <c r="B1468" s="64"/>
      <c r="C1468" s="55"/>
      <c r="D1468" s="64">
        <v>2017</v>
      </c>
      <c r="E1468" s="65">
        <v>0</v>
      </c>
      <c r="F1468" s="65">
        <v>0</v>
      </c>
      <c r="G1468" s="65">
        <v>0</v>
      </c>
      <c r="H1468" s="65">
        <v>0</v>
      </c>
      <c r="I1468" s="65">
        <v>0</v>
      </c>
      <c r="J1468" s="65">
        <v>0</v>
      </c>
      <c r="K1468" s="65">
        <v>0</v>
      </c>
      <c r="L1468" s="65">
        <v>0</v>
      </c>
      <c r="M1468" s="65">
        <v>0</v>
      </c>
      <c r="N1468" s="65">
        <v>0</v>
      </c>
      <c r="O1468" s="65">
        <v>0</v>
      </c>
      <c r="P1468" s="65">
        <v>0</v>
      </c>
      <c r="Q1468" s="65">
        <v>0</v>
      </c>
      <c r="R1468" s="65">
        <v>0</v>
      </c>
      <c r="S1468" s="65">
        <v>0</v>
      </c>
      <c r="T1468" s="65">
        <v>0</v>
      </c>
      <c r="U1468" s="65">
        <v>0</v>
      </c>
      <c r="V1468" s="65">
        <v>0</v>
      </c>
      <c r="W1468" s="65">
        <v>0</v>
      </c>
      <c r="X1468" s="65">
        <v>0</v>
      </c>
      <c r="Y1468" s="64"/>
    </row>
    <row r="1469" spans="1:25" s="54" customFormat="1" ht="15" customHeight="1" x14ac:dyDescent="0.3">
      <c r="A1469" s="63"/>
      <c r="B1469" s="64"/>
      <c r="C1469" s="55"/>
      <c r="D1469" s="64">
        <v>2018</v>
      </c>
      <c r="E1469" s="65">
        <v>0</v>
      </c>
      <c r="F1469" s="65">
        <v>0</v>
      </c>
      <c r="G1469" s="65">
        <v>0</v>
      </c>
      <c r="H1469" s="65">
        <v>0</v>
      </c>
      <c r="I1469" s="65">
        <v>0</v>
      </c>
      <c r="J1469" s="65">
        <v>0</v>
      </c>
      <c r="K1469" s="65">
        <v>0</v>
      </c>
      <c r="L1469" s="65">
        <v>0</v>
      </c>
      <c r="M1469" s="65">
        <v>0</v>
      </c>
      <c r="N1469" s="65">
        <v>0</v>
      </c>
      <c r="O1469" s="65">
        <v>0</v>
      </c>
      <c r="P1469" s="65">
        <v>0</v>
      </c>
      <c r="Q1469" s="65">
        <v>0</v>
      </c>
      <c r="R1469" s="65">
        <v>0</v>
      </c>
      <c r="S1469" s="65">
        <v>0</v>
      </c>
      <c r="T1469" s="65">
        <v>0</v>
      </c>
      <c r="U1469" s="65">
        <v>0</v>
      </c>
      <c r="V1469" s="65">
        <v>0</v>
      </c>
      <c r="W1469" s="65">
        <v>0</v>
      </c>
      <c r="X1469" s="65">
        <v>0</v>
      </c>
      <c r="Y1469" s="64"/>
    </row>
    <row r="1470" spans="1:25" s="54" customFormat="1" ht="15" customHeight="1" x14ac:dyDescent="0.3">
      <c r="A1470" s="63"/>
      <c r="B1470" s="64"/>
      <c r="C1470" s="55"/>
      <c r="D1470" s="64">
        <v>2019</v>
      </c>
      <c r="E1470" s="65">
        <v>0</v>
      </c>
      <c r="F1470" s="65">
        <v>0</v>
      </c>
      <c r="G1470" s="65">
        <v>0</v>
      </c>
      <c r="H1470" s="65">
        <v>0</v>
      </c>
      <c r="I1470" s="65">
        <v>0</v>
      </c>
      <c r="J1470" s="65">
        <v>0</v>
      </c>
      <c r="K1470" s="65">
        <v>0</v>
      </c>
      <c r="L1470" s="65">
        <v>0</v>
      </c>
      <c r="M1470" s="65">
        <v>0</v>
      </c>
      <c r="N1470" s="65">
        <v>0</v>
      </c>
      <c r="O1470" s="65">
        <v>0</v>
      </c>
      <c r="P1470" s="65">
        <v>0</v>
      </c>
      <c r="Q1470" s="65">
        <v>0</v>
      </c>
      <c r="R1470" s="65">
        <v>0</v>
      </c>
      <c r="S1470" s="65">
        <v>0</v>
      </c>
      <c r="T1470" s="65">
        <v>0</v>
      </c>
      <c r="U1470" s="65">
        <v>0</v>
      </c>
      <c r="V1470" s="65">
        <v>0</v>
      </c>
      <c r="W1470" s="65">
        <v>0</v>
      </c>
      <c r="X1470" s="65">
        <v>0</v>
      </c>
      <c r="Y1470" s="64"/>
    </row>
    <row r="1471" spans="1:25" s="54" customFormat="1" ht="15" customHeight="1" x14ac:dyDescent="0.3">
      <c r="A1471" s="63"/>
      <c r="B1471" s="64"/>
      <c r="C1471" s="55"/>
      <c r="D1471" s="64">
        <v>2020</v>
      </c>
      <c r="E1471" s="65">
        <f>(57941+54220)*1000000</f>
        <v>112161000000</v>
      </c>
      <c r="F1471" s="65">
        <f>(54220+57941+121161+495283+33775+24579+85487+1016751+19171+5945+16597+1547535)*1000000</f>
        <v>3478445000000</v>
      </c>
      <c r="G1471" s="65">
        <f>9083071*1000000</f>
        <v>9083071000000</v>
      </c>
      <c r="H1471" s="65">
        <f>(7262+26058+162479+136463+165711+41906+313485)*1000000</f>
        <v>853364000000</v>
      </c>
      <c r="I1471" s="65">
        <f>4272769*1000000</f>
        <v>4272769000000</v>
      </c>
      <c r="J1471" s="65">
        <f>(40105+987091)*1000000</f>
        <v>1027196000000</v>
      </c>
      <c r="K1471" s="65">
        <f>4560376*1000000</f>
        <v>4560376000000</v>
      </c>
      <c r="L1471" s="65">
        <f>2096811*1000000</f>
        <v>2096811000000</v>
      </c>
      <c r="M1471" s="65">
        <f>388077*1000000</f>
        <v>388077000000</v>
      </c>
      <c r="N1471" s="65">
        <f>306194*1000000</f>
        <v>306194000000</v>
      </c>
      <c r="O1471" s="65">
        <v>0</v>
      </c>
      <c r="P1471" s="65">
        <v>0</v>
      </c>
      <c r="Q1471" s="65">
        <v>0</v>
      </c>
      <c r="R1471" s="65">
        <v>0</v>
      </c>
      <c r="S1471" s="65">
        <v>0</v>
      </c>
      <c r="T1471" s="65">
        <v>0</v>
      </c>
      <c r="U1471" s="65">
        <v>0</v>
      </c>
      <c r="V1471" s="65">
        <v>0</v>
      </c>
      <c r="W1471" s="65">
        <v>0</v>
      </c>
      <c r="X1471" s="65">
        <v>0</v>
      </c>
      <c r="Y1471" s="64"/>
    </row>
    <row r="1472" spans="1:25" s="54" customFormat="1" ht="15" customHeight="1" x14ac:dyDescent="0.3">
      <c r="A1472" s="63"/>
      <c r="B1472" s="64"/>
      <c r="C1472" s="55"/>
      <c r="D1472" s="64">
        <v>2021</v>
      </c>
      <c r="E1472" s="65">
        <f>(52860+50195)*1000000</f>
        <v>103055000000</v>
      </c>
      <c r="F1472" s="65">
        <f>(52860+50195+191862+333469+38550+2689+57773+964867+182424+29+3736+1465365)*1000000</f>
        <v>3343819000000</v>
      </c>
      <c r="G1472" s="65">
        <f>8736337*1000000</f>
        <v>8736337000000</v>
      </c>
      <c r="H1472" s="65">
        <f>(22010+49171+63196+100188+794710+7669+472096)*1000000</f>
        <v>1509040000000</v>
      </c>
      <c r="I1472" s="65">
        <f>4132285*1000000</f>
        <v>4132285000000</v>
      </c>
      <c r="J1472" s="65">
        <f>(42920+1033690)*1000000</f>
        <v>1076610000000</v>
      </c>
      <c r="K1472" s="65">
        <f>4328120*1000000</f>
        <v>4328120000000</v>
      </c>
      <c r="L1472" s="65">
        <f>1840648*1000000</f>
        <v>1840648000000</v>
      </c>
      <c r="M1472" s="65">
        <f>236797*1000000</f>
        <v>236797000000</v>
      </c>
      <c r="N1472" s="65">
        <f>206880*1000000</f>
        <v>206880000000</v>
      </c>
      <c r="O1472" s="66">
        <v>0.8</v>
      </c>
      <c r="P1472" s="67" t="s">
        <v>230</v>
      </c>
      <c r="Q1472" s="65">
        <v>3</v>
      </c>
      <c r="R1472" s="65">
        <v>6</v>
      </c>
      <c r="S1472" s="65">
        <v>6</v>
      </c>
      <c r="T1472" s="65">
        <f>SUM(R1472:S1472)</f>
        <v>12</v>
      </c>
      <c r="U1472" s="65">
        <v>0</v>
      </c>
      <c r="V1472" s="65">
        <v>0</v>
      </c>
      <c r="W1472" s="65">
        <v>0</v>
      </c>
      <c r="X1472" s="65">
        <v>0</v>
      </c>
      <c r="Y1472" s="64"/>
    </row>
    <row r="1473" spans="1:25" s="54" customFormat="1" ht="15" customHeight="1" x14ac:dyDescent="0.3">
      <c r="A1473" s="63"/>
      <c r="B1473" s="64"/>
      <c r="C1473" s="55"/>
      <c r="D1473" s="64">
        <v>2022</v>
      </c>
      <c r="E1473" s="65">
        <f>(48223+23997)*1000000</f>
        <v>72220000000</v>
      </c>
      <c r="F1473" s="65">
        <f>(48223+23997+207690+377930+52482+3366+154005+1074935+30627+29+7453+1383195)*1000000</f>
        <v>3363932000000</v>
      </c>
      <c r="G1473" s="65">
        <f>9007172*1000000</f>
        <v>9007172000000</v>
      </c>
      <c r="H1473" s="65">
        <f>(4452+136957+5636+52146+232428+7149+213689)*1000000</f>
        <v>652457000000</v>
      </c>
      <c r="I1473" s="65">
        <f>4323905*1000000</f>
        <v>4323905000000</v>
      </c>
      <c r="J1473" s="65">
        <f>(44860+1141338)*1000000</f>
        <v>1186198000000</v>
      </c>
      <c r="K1473" s="65">
        <f>4382880*1000000</f>
        <v>4382880000000</v>
      </c>
      <c r="L1473" s="65">
        <f>1774394*1000000</f>
        <v>1774394000000</v>
      </c>
      <c r="M1473" s="65">
        <f>264521*1000000</f>
        <v>264521000000</v>
      </c>
      <c r="N1473" s="65">
        <f>151760*1000000</f>
        <v>151760000000</v>
      </c>
      <c r="O1473" s="66">
        <v>0.8</v>
      </c>
      <c r="P1473" s="67" t="s">
        <v>230</v>
      </c>
      <c r="Q1473" s="65">
        <v>5</v>
      </c>
      <c r="R1473" s="65">
        <v>8</v>
      </c>
      <c r="S1473" s="65">
        <v>6</v>
      </c>
      <c r="T1473" s="65">
        <f>SUM(R1473:S1473)</f>
        <v>14</v>
      </c>
      <c r="U1473" s="65">
        <v>0</v>
      </c>
      <c r="V1473" s="65">
        <v>0</v>
      </c>
      <c r="W1473" s="65">
        <v>0</v>
      </c>
      <c r="X1473" s="65">
        <v>0</v>
      </c>
      <c r="Y1473" s="64"/>
    </row>
    <row r="1474" spans="1:25" s="54" customFormat="1" ht="15" customHeight="1" x14ac:dyDescent="0.3">
      <c r="A1474" s="63"/>
      <c r="B1474" s="64"/>
      <c r="C1474" s="55"/>
      <c r="D1474" s="64">
        <v>2023</v>
      </c>
      <c r="E1474" s="65">
        <f>(36895+41154)*1000000</f>
        <v>78049000000</v>
      </c>
      <c r="F1474" s="65">
        <f>(36895+41154+324499+339771+68645+274+88905+793435+12944+142+7341+1301025)*1000000</f>
        <v>3015030000000</v>
      </c>
      <c r="G1474" s="65">
        <f>9230856*1000000</f>
        <v>9230856000000</v>
      </c>
      <c r="H1474" s="65">
        <f>(4570+30935+63125+31751+237516+6685+245841)*1000000</f>
        <v>620423000000</v>
      </c>
      <c r="I1474" s="65">
        <f>4517653*1000000</f>
        <v>4517653000000</v>
      </c>
      <c r="J1474" s="65">
        <f>(46995+1118004)*1000000</f>
        <v>1164999000000</v>
      </c>
      <c r="K1474" s="65">
        <f>4373842*1000000</f>
        <v>4373842000000</v>
      </c>
      <c r="L1474" s="65">
        <f>2013543*1000000</f>
        <v>2013543000000</v>
      </c>
      <c r="M1474" s="65">
        <f>83179*1000000</f>
        <v>83179000000</v>
      </c>
      <c r="N1474" s="65">
        <f>97702*1000000</f>
        <v>97702000000</v>
      </c>
      <c r="O1474" s="66">
        <v>0.8</v>
      </c>
      <c r="P1474" s="67" t="s">
        <v>230</v>
      </c>
      <c r="Q1474" s="65">
        <v>5</v>
      </c>
      <c r="R1474" s="65">
        <v>8</v>
      </c>
      <c r="S1474" s="65">
        <v>5</v>
      </c>
      <c r="T1474" s="65">
        <f>SUM(R1474:S1474)</f>
        <v>13</v>
      </c>
      <c r="U1474" s="65">
        <v>0</v>
      </c>
      <c r="V1474" s="65">
        <v>0</v>
      </c>
      <c r="W1474" s="65">
        <v>0</v>
      </c>
      <c r="X1474" s="65">
        <v>0</v>
      </c>
      <c r="Y1474" s="64"/>
    </row>
    <row r="1475" spans="1:25" s="54" customFormat="1" ht="15" customHeight="1" x14ac:dyDescent="0.3">
      <c r="A1475" s="63"/>
      <c r="B1475" s="64"/>
      <c r="C1475" s="55"/>
      <c r="D1475" s="64">
        <v>2024</v>
      </c>
      <c r="E1475" s="65">
        <f>(82276+51323)*1000000</f>
        <v>133599000000</v>
      </c>
      <c r="F1475" s="65">
        <f>(82276+51323+246954+498847+81112+100+74846+542752+37409+1056+13628+1218855)*1000000</f>
        <v>2849158000000</v>
      </c>
      <c r="G1475" s="65">
        <f>9328004*1000000</f>
        <v>9328004000000</v>
      </c>
      <c r="H1475" s="65">
        <f>(1143+36825+77604+33639+304811+644+251636)*1000000</f>
        <v>706302000000</v>
      </c>
      <c r="I1475" s="65">
        <f>4526722*1000000</f>
        <v>4526722000000</v>
      </c>
      <c r="J1475" s="65">
        <f>(47851+1222260)*1000000</f>
        <v>1270111000000</v>
      </c>
      <c r="K1475" s="65">
        <f>4430613*1000000</f>
        <v>4430613000000</v>
      </c>
      <c r="L1475" s="65">
        <f>2435061*1000000</f>
        <v>2435061000000</v>
      </c>
      <c r="M1475" s="65">
        <f>170466*1000000</f>
        <v>170466000000</v>
      </c>
      <c r="N1475" s="65">
        <f>116691*1000000</f>
        <v>116691000000</v>
      </c>
      <c r="O1475" s="66">
        <v>0.8</v>
      </c>
      <c r="P1475" s="67" t="s">
        <v>230</v>
      </c>
      <c r="Q1475" s="65">
        <v>3</v>
      </c>
      <c r="R1475" s="65">
        <v>6</v>
      </c>
      <c r="S1475" s="65">
        <v>5</v>
      </c>
      <c r="T1475" s="65">
        <f>SUM(R1475:S1475)</f>
        <v>11</v>
      </c>
      <c r="U1475" s="65">
        <v>0</v>
      </c>
      <c r="V1475" s="65">
        <v>0</v>
      </c>
      <c r="W1475" s="65">
        <v>0</v>
      </c>
      <c r="X1475" s="65">
        <v>0</v>
      </c>
      <c r="Y1475" s="64"/>
    </row>
    <row r="1476" spans="1:25" s="54" customFormat="1" ht="15" customHeight="1" x14ac:dyDescent="0.3">
      <c r="A1476" s="63"/>
      <c r="B1476" s="64">
        <v>135</v>
      </c>
      <c r="C1476" s="76" t="s">
        <v>133</v>
      </c>
      <c r="D1476" s="64">
        <v>2014</v>
      </c>
      <c r="E1476" s="65">
        <v>0</v>
      </c>
      <c r="F1476" s="65">
        <v>0</v>
      </c>
      <c r="G1476" s="65">
        <v>0</v>
      </c>
      <c r="H1476" s="65">
        <v>0</v>
      </c>
      <c r="I1476" s="65">
        <v>0</v>
      </c>
      <c r="J1476" s="65">
        <v>0</v>
      </c>
      <c r="K1476" s="65">
        <v>0</v>
      </c>
      <c r="L1476" s="65">
        <v>0</v>
      </c>
      <c r="M1476" s="65">
        <v>0</v>
      </c>
      <c r="N1476" s="65">
        <v>0</v>
      </c>
      <c r="O1476" s="65">
        <v>0</v>
      </c>
      <c r="P1476" s="65">
        <v>0</v>
      </c>
      <c r="Q1476" s="65">
        <v>0</v>
      </c>
      <c r="R1476" s="65">
        <v>0</v>
      </c>
      <c r="S1476" s="65">
        <v>0</v>
      </c>
      <c r="T1476" s="65">
        <v>0</v>
      </c>
      <c r="U1476" s="65">
        <v>0</v>
      </c>
      <c r="V1476" s="65">
        <v>0</v>
      </c>
      <c r="W1476" s="65">
        <v>0</v>
      </c>
      <c r="X1476" s="65">
        <v>0</v>
      </c>
      <c r="Y1476" s="64"/>
    </row>
    <row r="1477" spans="1:25" s="54" customFormat="1" ht="15" customHeight="1" x14ac:dyDescent="0.3">
      <c r="A1477" s="63"/>
      <c r="B1477" s="64"/>
      <c r="C1477" s="76"/>
      <c r="D1477" s="64">
        <v>2015</v>
      </c>
      <c r="E1477" s="65">
        <v>0</v>
      </c>
      <c r="F1477" s="65">
        <v>0</v>
      </c>
      <c r="G1477" s="65">
        <v>0</v>
      </c>
      <c r="H1477" s="65">
        <v>0</v>
      </c>
      <c r="I1477" s="65">
        <v>0</v>
      </c>
      <c r="J1477" s="65">
        <v>0</v>
      </c>
      <c r="K1477" s="65">
        <v>0</v>
      </c>
      <c r="L1477" s="65">
        <v>0</v>
      </c>
      <c r="M1477" s="65">
        <v>0</v>
      </c>
      <c r="N1477" s="65">
        <v>0</v>
      </c>
      <c r="O1477" s="65">
        <v>0</v>
      </c>
      <c r="P1477" s="65">
        <v>0</v>
      </c>
      <c r="Q1477" s="65">
        <v>0</v>
      </c>
      <c r="R1477" s="65">
        <v>0</v>
      </c>
      <c r="S1477" s="65">
        <v>0</v>
      </c>
      <c r="T1477" s="65">
        <v>0</v>
      </c>
      <c r="U1477" s="65">
        <v>0</v>
      </c>
      <c r="V1477" s="65">
        <v>0</v>
      </c>
      <c r="W1477" s="65">
        <v>0</v>
      </c>
      <c r="X1477" s="65">
        <v>0</v>
      </c>
      <c r="Y1477" s="64"/>
    </row>
    <row r="1478" spans="1:25" s="54" customFormat="1" ht="15" customHeight="1" x14ac:dyDescent="0.3">
      <c r="A1478" s="63"/>
      <c r="B1478" s="64"/>
      <c r="C1478" s="76"/>
      <c r="D1478" s="64">
        <v>2016</v>
      </c>
      <c r="E1478" s="65">
        <v>0</v>
      </c>
      <c r="F1478" s="65">
        <v>0</v>
      </c>
      <c r="G1478" s="65">
        <v>0</v>
      </c>
      <c r="H1478" s="65">
        <v>0</v>
      </c>
      <c r="I1478" s="65">
        <v>0</v>
      </c>
      <c r="J1478" s="65">
        <v>0</v>
      </c>
      <c r="K1478" s="65">
        <v>0</v>
      </c>
      <c r="L1478" s="65">
        <v>0</v>
      </c>
      <c r="M1478" s="65">
        <v>0</v>
      </c>
      <c r="N1478" s="65">
        <v>0</v>
      </c>
      <c r="O1478" s="65">
        <v>0</v>
      </c>
      <c r="P1478" s="65">
        <v>0</v>
      </c>
      <c r="Q1478" s="65">
        <v>0</v>
      </c>
      <c r="R1478" s="65">
        <v>0</v>
      </c>
      <c r="S1478" s="65">
        <v>0</v>
      </c>
      <c r="T1478" s="65">
        <v>0</v>
      </c>
      <c r="U1478" s="65">
        <v>0</v>
      </c>
      <c r="V1478" s="65">
        <v>0</v>
      </c>
      <c r="W1478" s="65">
        <v>0</v>
      </c>
      <c r="X1478" s="65">
        <v>0</v>
      </c>
      <c r="Y1478" s="64"/>
    </row>
    <row r="1479" spans="1:25" s="54" customFormat="1" ht="15" customHeight="1" x14ac:dyDescent="0.3">
      <c r="A1479" s="63"/>
      <c r="B1479" s="64"/>
      <c r="C1479" s="76"/>
      <c r="D1479" s="64">
        <v>2017</v>
      </c>
      <c r="E1479" s="65">
        <v>0</v>
      </c>
      <c r="F1479" s="65">
        <v>0</v>
      </c>
      <c r="G1479" s="65">
        <v>0</v>
      </c>
      <c r="H1479" s="65">
        <v>0</v>
      </c>
      <c r="I1479" s="65">
        <v>0</v>
      </c>
      <c r="J1479" s="65">
        <v>0</v>
      </c>
      <c r="K1479" s="65">
        <v>0</v>
      </c>
      <c r="L1479" s="65">
        <v>0</v>
      </c>
      <c r="M1479" s="65">
        <v>0</v>
      </c>
      <c r="N1479" s="65">
        <v>0</v>
      </c>
      <c r="O1479" s="65">
        <v>0</v>
      </c>
      <c r="P1479" s="65">
        <v>0</v>
      </c>
      <c r="Q1479" s="65">
        <v>0</v>
      </c>
      <c r="R1479" s="65">
        <v>0</v>
      </c>
      <c r="S1479" s="65">
        <v>0</v>
      </c>
      <c r="T1479" s="65">
        <v>0</v>
      </c>
      <c r="U1479" s="65">
        <v>0</v>
      </c>
      <c r="V1479" s="65">
        <v>0</v>
      </c>
      <c r="W1479" s="65">
        <v>0</v>
      </c>
      <c r="X1479" s="65">
        <v>0</v>
      </c>
      <c r="Y1479" s="64"/>
    </row>
    <row r="1480" spans="1:25" s="54" customFormat="1" ht="15" customHeight="1" x14ac:dyDescent="0.3">
      <c r="A1480" s="63"/>
      <c r="B1480" s="64"/>
      <c r="C1480" s="76"/>
      <c r="D1480" s="64">
        <v>2018</v>
      </c>
      <c r="E1480" s="65">
        <v>0</v>
      </c>
      <c r="F1480" s="65">
        <v>0</v>
      </c>
      <c r="G1480" s="65">
        <v>0</v>
      </c>
      <c r="H1480" s="65">
        <v>0</v>
      </c>
      <c r="I1480" s="65">
        <v>0</v>
      </c>
      <c r="J1480" s="65">
        <v>0</v>
      </c>
      <c r="K1480" s="65">
        <v>0</v>
      </c>
      <c r="L1480" s="65">
        <v>0</v>
      </c>
      <c r="M1480" s="65">
        <v>0</v>
      </c>
      <c r="N1480" s="65">
        <v>0</v>
      </c>
      <c r="O1480" s="65">
        <v>0</v>
      </c>
      <c r="P1480" s="65">
        <v>0</v>
      </c>
      <c r="Q1480" s="65">
        <v>0</v>
      </c>
      <c r="R1480" s="65">
        <v>0</v>
      </c>
      <c r="S1480" s="65">
        <v>0</v>
      </c>
      <c r="T1480" s="65">
        <v>0</v>
      </c>
      <c r="U1480" s="65">
        <v>0</v>
      </c>
      <c r="V1480" s="65">
        <v>0</v>
      </c>
      <c r="W1480" s="65">
        <v>0</v>
      </c>
      <c r="X1480" s="65">
        <v>0</v>
      </c>
      <c r="Y1480" s="64"/>
    </row>
    <row r="1481" spans="1:25" s="54" customFormat="1" ht="15" customHeight="1" x14ac:dyDescent="0.3">
      <c r="A1481" s="63"/>
      <c r="B1481" s="64"/>
      <c r="C1481" s="76"/>
      <c r="D1481" s="64">
        <v>2019</v>
      </c>
      <c r="E1481" s="65">
        <v>0</v>
      </c>
      <c r="F1481" s="65">
        <v>0</v>
      </c>
      <c r="G1481" s="65">
        <v>0</v>
      </c>
      <c r="H1481" s="65">
        <v>0</v>
      </c>
      <c r="I1481" s="65">
        <v>0</v>
      </c>
      <c r="J1481" s="65">
        <v>0</v>
      </c>
      <c r="K1481" s="65">
        <v>0</v>
      </c>
      <c r="L1481" s="65">
        <v>0</v>
      </c>
      <c r="M1481" s="65">
        <v>0</v>
      </c>
      <c r="N1481" s="65">
        <v>0</v>
      </c>
      <c r="O1481" s="65">
        <v>0</v>
      </c>
      <c r="P1481" s="65">
        <v>0</v>
      </c>
      <c r="Q1481" s="65">
        <v>0</v>
      </c>
      <c r="R1481" s="65">
        <v>0</v>
      </c>
      <c r="S1481" s="65">
        <v>0</v>
      </c>
      <c r="T1481" s="65">
        <v>0</v>
      </c>
      <c r="U1481" s="65">
        <v>0</v>
      </c>
      <c r="V1481" s="65">
        <v>0</v>
      </c>
      <c r="W1481" s="65">
        <v>0</v>
      </c>
      <c r="X1481" s="65">
        <v>0</v>
      </c>
      <c r="Y1481" s="64"/>
    </row>
    <row r="1482" spans="1:25" s="54" customFormat="1" ht="15" customHeight="1" x14ac:dyDescent="0.3">
      <c r="A1482" s="63"/>
      <c r="B1482" s="64"/>
      <c r="C1482" s="76"/>
      <c r="D1482" s="64">
        <v>2020</v>
      </c>
      <c r="E1482" s="65">
        <f>1088443*1000000</f>
        <v>1088443000000</v>
      </c>
      <c r="F1482" s="65">
        <f>(1088443+33424)*1000000</f>
        <v>1121867000000</v>
      </c>
      <c r="G1482" s="65">
        <f>1619009*1000000</f>
        <v>1619009000000</v>
      </c>
      <c r="H1482" s="65">
        <f>(3133+125821+7484+141472)*1000000</f>
        <v>277910000000</v>
      </c>
      <c r="I1482" s="65">
        <f>637357*1000000</f>
        <v>637357000000</v>
      </c>
      <c r="J1482" s="65">
        <f>-125695*1000000</f>
        <v>-125695000000</v>
      </c>
      <c r="K1482" s="65">
        <f>729917*1000000</f>
        <v>729917000000</v>
      </c>
      <c r="L1482" s="69">
        <f>(91721)*1000000</f>
        <v>91721000000</v>
      </c>
      <c r="M1482" s="65">
        <f>24951*1000000</f>
        <v>24951000000</v>
      </c>
      <c r="N1482" s="65">
        <f>20721*1000000</f>
        <v>20721000000</v>
      </c>
      <c r="O1482" s="65">
        <v>0</v>
      </c>
      <c r="P1482" s="65">
        <v>0</v>
      </c>
      <c r="Q1482" s="65">
        <v>0</v>
      </c>
      <c r="R1482" s="65">
        <v>0</v>
      </c>
      <c r="S1482" s="65">
        <v>0</v>
      </c>
      <c r="T1482" s="65">
        <v>0</v>
      </c>
      <c r="U1482" s="65">
        <v>0</v>
      </c>
      <c r="V1482" s="65">
        <v>0</v>
      </c>
      <c r="W1482" s="65">
        <v>0</v>
      </c>
      <c r="X1482" s="65">
        <v>0</v>
      </c>
      <c r="Y1482" s="64"/>
    </row>
    <row r="1483" spans="1:25" s="54" customFormat="1" ht="15" customHeight="1" x14ac:dyDescent="0.3">
      <c r="A1483" s="63"/>
      <c r="B1483" s="64"/>
      <c r="C1483" s="76"/>
      <c r="D1483" s="64">
        <v>2021</v>
      </c>
      <c r="E1483" s="65">
        <f>404749*1000000</f>
        <v>404749000000</v>
      </c>
      <c r="F1483" s="65">
        <f>(404749+44486+2552)*1000000</f>
        <v>451787000000</v>
      </c>
      <c r="G1483" s="65">
        <f>1126499*1000000</f>
        <v>1126499000000</v>
      </c>
      <c r="H1483" s="65">
        <f>(8692+943+1214+131562)*1000000</f>
        <v>142411000000</v>
      </c>
      <c r="I1483" s="65">
        <f>519143*1000000</f>
        <v>519143000000</v>
      </c>
      <c r="J1483" s="65">
        <f>-524223*1000000</f>
        <v>-524223000000</v>
      </c>
      <c r="K1483" s="65">
        <f>333561*1000000</f>
        <v>333561000000</v>
      </c>
      <c r="L1483" s="65">
        <f>136304*1000000</f>
        <v>136304000000</v>
      </c>
      <c r="M1483" s="65">
        <f>-18475*1000000</f>
        <v>-18475000000</v>
      </c>
      <c r="N1483" s="65">
        <f>-21011*1000000</f>
        <v>-21011000000</v>
      </c>
      <c r="O1483" s="66">
        <v>0.99729999999999996</v>
      </c>
      <c r="P1483" s="67" t="s">
        <v>330</v>
      </c>
      <c r="Q1483" s="65">
        <v>3</v>
      </c>
      <c r="R1483" s="65">
        <v>4</v>
      </c>
      <c r="S1483" s="65">
        <v>3</v>
      </c>
      <c r="T1483" s="65">
        <f>SUM(R1483:S1483)</f>
        <v>7</v>
      </c>
      <c r="U1483" s="68">
        <v>0</v>
      </c>
      <c r="V1483" s="65">
        <v>0</v>
      </c>
      <c r="W1483" s="65">
        <v>0</v>
      </c>
      <c r="X1483" s="65">
        <v>0</v>
      </c>
      <c r="Y1483" s="64"/>
    </row>
    <row r="1484" spans="1:25" s="54" customFormat="1" ht="15" customHeight="1" x14ac:dyDescent="0.3">
      <c r="A1484" s="63"/>
      <c r="B1484" s="64"/>
      <c r="C1484" s="76"/>
      <c r="D1484" s="64">
        <v>2022</v>
      </c>
      <c r="E1484" s="65">
        <f>278904*1000000</f>
        <v>278904000000</v>
      </c>
      <c r="F1484" s="65">
        <f>(278904+62349+178+5599+8145+3645)*1000000</f>
        <v>358820000000</v>
      </c>
      <c r="G1484" s="65">
        <f>1304211*1000000</f>
        <v>1304211000000</v>
      </c>
      <c r="H1484" s="65">
        <f>(4363+4139+740+176865)*1000000</f>
        <v>186107000000</v>
      </c>
      <c r="I1484" s="65">
        <f>675837*1000000</f>
        <v>675837000000</v>
      </c>
      <c r="J1484" s="65">
        <f>-517534*1000000</f>
        <v>-517534000000</v>
      </c>
      <c r="K1484" s="65">
        <f>327988*1000000</f>
        <v>327988000000</v>
      </c>
      <c r="L1484" s="65">
        <f>192071*1000000</f>
        <v>192071000000</v>
      </c>
      <c r="M1484" s="65">
        <f>5312*1000000</f>
        <v>5312000000</v>
      </c>
      <c r="N1484" s="65">
        <f>5312*1000000</f>
        <v>5312000000</v>
      </c>
      <c r="O1484" s="66">
        <v>0.99729999999999996</v>
      </c>
      <c r="P1484" s="67" t="s">
        <v>330</v>
      </c>
      <c r="Q1484" s="65">
        <v>2</v>
      </c>
      <c r="R1484" s="65">
        <v>3</v>
      </c>
      <c r="S1484" s="65">
        <v>3</v>
      </c>
      <c r="T1484" s="65">
        <f>SUM(R1484:S1484)</f>
        <v>6</v>
      </c>
      <c r="U1484" s="68">
        <v>0</v>
      </c>
      <c r="V1484" s="65">
        <v>0</v>
      </c>
      <c r="W1484" s="65">
        <v>0</v>
      </c>
      <c r="X1484" s="65">
        <v>0</v>
      </c>
      <c r="Y1484" s="64"/>
    </row>
    <row r="1485" spans="1:25" s="54" customFormat="1" ht="15" customHeight="1" x14ac:dyDescent="0.3">
      <c r="A1485" s="63"/>
      <c r="B1485" s="64"/>
      <c r="C1485" s="76"/>
      <c r="D1485" s="64">
        <v>2023</v>
      </c>
      <c r="E1485" s="65">
        <f>245845*1000000</f>
        <v>245845000000</v>
      </c>
      <c r="F1485" s="65">
        <f>(245845+82926+6339)*1000000</f>
        <v>335110000000</v>
      </c>
      <c r="G1485" s="65">
        <f>1559910*1000000</f>
        <v>1559910000000</v>
      </c>
      <c r="H1485" s="65">
        <f>(3357+956+833+242956)*1000000</f>
        <v>248102000000</v>
      </c>
      <c r="I1485" s="65">
        <f>876248*1000000</f>
        <v>876248000000</v>
      </c>
      <c r="J1485" s="65">
        <f>-502925*1000000</f>
        <v>-502925000000</v>
      </c>
      <c r="K1485" s="65">
        <f>344301*1000000</f>
        <v>344301000000</v>
      </c>
      <c r="L1485" s="65">
        <f>314858*1000000</f>
        <v>314858000000</v>
      </c>
      <c r="M1485" s="65">
        <f>15986*1000000</f>
        <v>15986000000</v>
      </c>
      <c r="N1485" s="65">
        <f>15986*1000000</f>
        <v>15986000000</v>
      </c>
      <c r="O1485" s="66">
        <v>0.99729999999999996</v>
      </c>
      <c r="P1485" s="67" t="s">
        <v>330</v>
      </c>
      <c r="Q1485" s="65">
        <v>2</v>
      </c>
      <c r="R1485" s="65">
        <v>3</v>
      </c>
      <c r="S1485" s="65">
        <v>3</v>
      </c>
      <c r="T1485" s="65">
        <f>SUM(R1485:S1485)</f>
        <v>6</v>
      </c>
      <c r="U1485" s="68">
        <v>0</v>
      </c>
      <c r="V1485" s="65">
        <v>0</v>
      </c>
      <c r="W1485" s="65">
        <v>0</v>
      </c>
      <c r="X1485" s="65">
        <v>0</v>
      </c>
      <c r="Y1485" s="64"/>
    </row>
    <row r="1486" spans="1:25" s="54" customFormat="1" ht="15" customHeight="1" x14ac:dyDescent="0.3">
      <c r="A1486" s="63"/>
      <c r="B1486" s="64"/>
      <c r="C1486" s="76"/>
      <c r="D1486" s="64">
        <v>2024</v>
      </c>
      <c r="E1486" s="65">
        <f>133911*1000000</f>
        <v>133911000000</v>
      </c>
      <c r="F1486" s="65">
        <f>(133911+66892+255+6879+10117+1621)*1000000</f>
        <v>219675000000</v>
      </c>
      <c r="G1486" s="65">
        <f>1725230*1000000</f>
        <v>1725230000000</v>
      </c>
      <c r="H1486" s="65">
        <f>(1987+5741+708+128+292861)*1000000</f>
        <v>301425000000</v>
      </c>
      <c r="I1486" s="65">
        <f>968691*1000000</f>
        <v>968691000000</v>
      </c>
      <c r="J1486" s="65">
        <f>-457875*1000000</f>
        <v>-457875000000</v>
      </c>
      <c r="K1486" s="65">
        <f>38586*1000000</f>
        <v>38586000000</v>
      </c>
      <c r="L1486" s="65">
        <f>393091*1000000</f>
        <v>393091000000</v>
      </c>
      <c r="M1486" s="65">
        <f>43863*1000000</f>
        <v>43863000000</v>
      </c>
      <c r="N1486" s="65">
        <f>43863*1000000</f>
        <v>43863000000</v>
      </c>
      <c r="O1486" s="66">
        <v>0.99729999999999996</v>
      </c>
      <c r="P1486" s="67" t="s">
        <v>330</v>
      </c>
      <c r="Q1486" s="65">
        <v>2</v>
      </c>
      <c r="R1486" s="65">
        <v>3</v>
      </c>
      <c r="S1486" s="65">
        <v>3</v>
      </c>
      <c r="T1486" s="65">
        <f>SUM(R1486:S1486)</f>
        <v>6</v>
      </c>
      <c r="U1486" s="68">
        <v>0</v>
      </c>
      <c r="V1486" s="65">
        <v>0</v>
      </c>
      <c r="W1486" s="65">
        <v>0</v>
      </c>
      <c r="X1486" s="65">
        <v>0</v>
      </c>
      <c r="Y1486" s="64"/>
    </row>
    <row r="1487" spans="1:25" s="81" customFormat="1" ht="15" customHeight="1" x14ac:dyDescent="0.3">
      <c r="A1487" s="77" t="s">
        <v>155</v>
      </c>
      <c r="B1487" s="78">
        <v>136</v>
      </c>
      <c r="C1487" s="79" t="s">
        <v>142</v>
      </c>
      <c r="D1487" s="78">
        <v>2014</v>
      </c>
      <c r="E1487" s="80">
        <v>0</v>
      </c>
      <c r="F1487" s="80">
        <v>0</v>
      </c>
      <c r="G1487" s="80">
        <v>0</v>
      </c>
      <c r="H1487" s="80">
        <v>0</v>
      </c>
      <c r="I1487" s="80">
        <v>0</v>
      </c>
      <c r="J1487" s="80">
        <v>0</v>
      </c>
      <c r="K1487" s="80">
        <v>0</v>
      </c>
      <c r="L1487" s="80">
        <v>0</v>
      </c>
      <c r="M1487" s="80">
        <v>0</v>
      </c>
      <c r="N1487" s="80">
        <v>0</v>
      </c>
      <c r="O1487" s="80">
        <v>0</v>
      </c>
      <c r="P1487" s="80">
        <v>0</v>
      </c>
      <c r="Q1487" s="80">
        <v>0</v>
      </c>
      <c r="R1487" s="80">
        <v>0</v>
      </c>
      <c r="S1487" s="80">
        <v>0</v>
      </c>
      <c r="T1487" s="80">
        <v>0</v>
      </c>
      <c r="U1487" s="80">
        <v>0</v>
      </c>
      <c r="V1487" s="80">
        <v>0</v>
      </c>
      <c r="W1487" s="80">
        <v>0</v>
      </c>
      <c r="X1487" s="80">
        <v>0</v>
      </c>
      <c r="Y1487" s="78"/>
    </row>
    <row r="1488" spans="1:25" s="81" customFormat="1" ht="15" customHeight="1" x14ac:dyDescent="0.3">
      <c r="A1488" s="77"/>
      <c r="B1488" s="78"/>
      <c r="C1488" s="79"/>
      <c r="D1488" s="78">
        <v>2015</v>
      </c>
      <c r="E1488" s="80">
        <v>0</v>
      </c>
      <c r="F1488" s="80">
        <v>0</v>
      </c>
      <c r="G1488" s="80">
        <v>0</v>
      </c>
      <c r="H1488" s="80">
        <v>0</v>
      </c>
      <c r="I1488" s="80">
        <v>0</v>
      </c>
      <c r="J1488" s="80">
        <v>0</v>
      </c>
      <c r="K1488" s="80">
        <v>0</v>
      </c>
      <c r="L1488" s="80">
        <v>0</v>
      </c>
      <c r="M1488" s="80">
        <v>0</v>
      </c>
      <c r="N1488" s="80">
        <v>0</v>
      </c>
      <c r="O1488" s="80">
        <v>0</v>
      </c>
      <c r="P1488" s="80">
        <v>0</v>
      </c>
      <c r="Q1488" s="80">
        <v>0</v>
      </c>
      <c r="R1488" s="80">
        <v>0</v>
      </c>
      <c r="S1488" s="80">
        <v>0</v>
      </c>
      <c r="T1488" s="80">
        <v>0</v>
      </c>
      <c r="U1488" s="80">
        <v>0</v>
      </c>
      <c r="V1488" s="80">
        <v>0</v>
      </c>
      <c r="W1488" s="80">
        <v>0</v>
      </c>
      <c r="X1488" s="80">
        <v>0</v>
      </c>
      <c r="Y1488" s="78"/>
    </row>
    <row r="1489" spans="1:25" s="81" customFormat="1" ht="15" customHeight="1" x14ac:dyDescent="0.3">
      <c r="A1489" s="77"/>
      <c r="B1489" s="78"/>
      <c r="C1489" s="79"/>
      <c r="D1489" s="78">
        <v>2016</v>
      </c>
      <c r="E1489" s="80">
        <v>0</v>
      </c>
      <c r="F1489" s="80">
        <v>0</v>
      </c>
      <c r="G1489" s="80">
        <v>0</v>
      </c>
      <c r="H1489" s="80">
        <v>0</v>
      </c>
      <c r="I1489" s="80">
        <v>0</v>
      </c>
      <c r="J1489" s="80">
        <v>0</v>
      </c>
      <c r="K1489" s="80">
        <v>0</v>
      </c>
      <c r="L1489" s="80">
        <v>0</v>
      </c>
      <c r="M1489" s="80">
        <v>0</v>
      </c>
      <c r="N1489" s="80">
        <v>0</v>
      </c>
      <c r="O1489" s="80">
        <v>0</v>
      </c>
      <c r="P1489" s="80">
        <v>0</v>
      </c>
      <c r="Q1489" s="80">
        <v>0</v>
      </c>
      <c r="R1489" s="80">
        <v>0</v>
      </c>
      <c r="S1489" s="80">
        <v>0</v>
      </c>
      <c r="T1489" s="80">
        <v>0</v>
      </c>
      <c r="U1489" s="80">
        <v>0</v>
      </c>
      <c r="V1489" s="80">
        <v>0</v>
      </c>
      <c r="W1489" s="80">
        <v>0</v>
      </c>
      <c r="X1489" s="80">
        <v>0</v>
      </c>
      <c r="Y1489" s="78"/>
    </row>
    <row r="1490" spans="1:25" s="81" customFormat="1" ht="15" customHeight="1" x14ac:dyDescent="0.3">
      <c r="A1490" s="77"/>
      <c r="B1490" s="78"/>
      <c r="C1490" s="79"/>
      <c r="D1490" s="78">
        <v>2017</v>
      </c>
      <c r="E1490" s="80">
        <v>0</v>
      </c>
      <c r="F1490" s="80">
        <v>0</v>
      </c>
      <c r="G1490" s="80">
        <v>0</v>
      </c>
      <c r="H1490" s="80">
        <v>0</v>
      </c>
      <c r="I1490" s="80">
        <v>0</v>
      </c>
      <c r="J1490" s="80">
        <v>0</v>
      </c>
      <c r="K1490" s="80">
        <v>0</v>
      </c>
      <c r="L1490" s="80">
        <v>0</v>
      </c>
      <c r="M1490" s="80">
        <v>0</v>
      </c>
      <c r="N1490" s="80">
        <v>0</v>
      </c>
      <c r="O1490" s="80">
        <v>0</v>
      </c>
      <c r="P1490" s="80">
        <v>0</v>
      </c>
      <c r="Q1490" s="80">
        <v>0</v>
      </c>
      <c r="R1490" s="80">
        <v>0</v>
      </c>
      <c r="S1490" s="80">
        <v>0</v>
      </c>
      <c r="T1490" s="80">
        <v>0</v>
      </c>
      <c r="U1490" s="80">
        <v>0</v>
      </c>
      <c r="V1490" s="80">
        <v>0</v>
      </c>
      <c r="W1490" s="80">
        <v>0</v>
      </c>
      <c r="X1490" s="80">
        <v>0</v>
      </c>
      <c r="Y1490" s="78"/>
    </row>
    <row r="1491" spans="1:25" s="81" customFormat="1" ht="15" customHeight="1" x14ac:dyDescent="0.3">
      <c r="A1491" s="77"/>
      <c r="B1491" s="78"/>
      <c r="C1491" s="79"/>
      <c r="D1491" s="78">
        <v>2018</v>
      </c>
      <c r="E1491" s="80">
        <v>0</v>
      </c>
      <c r="F1491" s="80">
        <v>0</v>
      </c>
      <c r="G1491" s="80">
        <v>0</v>
      </c>
      <c r="H1491" s="80">
        <v>0</v>
      </c>
      <c r="I1491" s="80">
        <v>0</v>
      </c>
      <c r="J1491" s="80">
        <v>0</v>
      </c>
      <c r="K1491" s="80">
        <v>0</v>
      </c>
      <c r="L1491" s="80">
        <v>0</v>
      </c>
      <c r="M1491" s="80">
        <v>0</v>
      </c>
      <c r="N1491" s="80">
        <v>0</v>
      </c>
      <c r="O1491" s="80">
        <v>0</v>
      </c>
      <c r="P1491" s="80">
        <v>0</v>
      </c>
      <c r="Q1491" s="80">
        <v>0</v>
      </c>
      <c r="R1491" s="80">
        <v>0</v>
      </c>
      <c r="S1491" s="80">
        <v>0</v>
      </c>
      <c r="T1491" s="80">
        <v>0</v>
      </c>
      <c r="U1491" s="80">
        <v>0</v>
      </c>
      <c r="V1491" s="80">
        <v>0</v>
      </c>
      <c r="W1491" s="80">
        <v>0</v>
      </c>
      <c r="X1491" s="80">
        <v>0</v>
      </c>
      <c r="Y1491" s="78"/>
    </row>
    <row r="1492" spans="1:25" s="81" customFormat="1" ht="15" customHeight="1" x14ac:dyDescent="0.3">
      <c r="A1492" s="77"/>
      <c r="B1492" s="78"/>
      <c r="C1492" s="79"/>
      <c r="D1492" s="78">
        <v>2019</v>
      </c>
      <c r="E1492" s="80">
        <v>0</v>
      </c>
      <c r="F1492" s="80">
        <v>0</v>
      </c>
      <c r="G1492" s="80">
        <v>0</v>
      </c>
      <c r="H1492" s="80">
        <v>0</v>
      </c>
      <c r="I1492" s="80">
        <v>0</v>
      </c>
      <c r="J1492" s="80">
        <v>0</v>
      </c>
      <c r="K1492" s="80">
        <v>0</v>
      </c>
      <c r="L1492" s="80">
        <v>0</v>
      </c>
      <c r="M1492" s="80">
        <v>0</v>
      </c>
      <c r="N1492" s="80">
        <v>0</v>
      </c>
      <c r="O1492" s="80">
        <v>0</v>
      </c>
      <c r="P1492" s="80">
        <v>0</v>
      </c>
      <c r="Q1492" s="80">
        <v>0</v>
      </c>
      <c r="R1492" s="80">
        <v>0</v>
      </c>
      <c r="S1492" s="80">
        <v>0</v>
      </c>
      <c r="T1492" s="80">
        <v>0</v>
      </c>
      <c r="U1492" s="80">
        <v>0</v>
      </c>
      <c r="V1492" s="80">
        <v>0</v>
      </c>
      <c r="W1492" s="80">
        <v>0</v>
      </c>
      <c r="X1492" s="80">
        <v>0</v>
      </c>
      <c r="Y1492" s="78"/>
    </row>
    <row r="1493" spans="1:25" s="81" customFormat="1" ht="15" customHeight="1" x14ac:dyDescent="0.3">
      <c r="A1493" s="77"/>
      <c r="B1493" s="78"/>
      <c r="C1493" s="79"/>
      <c r="D1493" s="78">
        <v>2020</v>
      </c>
      <c r="E1493" s="80">
        <v>0</v>
      </c>
      <c r="F1493" s="80">
        <v>0</v>
      </c>
      <c r="G1493" s="80">
        <v>0</v>
      </c>
      <c r="H1493" s="80">
        <v>0</v>
      </c>
      <c r="I1493" s="80">
        <v>0</v>
      </c>
      <c r="J1493" s="80">
        <v>0</v>
      </c>
      <c r="K1493" s="80">
        <v>0</v>
      </c>
      <c r="L1493" s="80">
        <v>0</v>
      </c>
      <c r="M1493" s="80">
        <v>0</v>
      </c>
      <c r="N1493" s="80">
        <v>0</v>
      </c>
      <c r="O1493" s="80">
        <v>0</v>
      </c>
      <c r="P1493" s="80">
        <v>0</v>
      </c>
      <c r="Q1493" s="80">
        <v>0</v>
      </c>
      <c r="R1493" s="80">
        <v>0</v>
      </c>
      <c r="S1493" s="80">
        <v>0</v>
      </c>
      <c r="T1493" s="80">
        <v>0</v>
      </c>
      <c r="U1493" s="80">
        <v>0</v>
      </c>
      <c r="V1493" s="80">
        <v>0</v>
      </c>
      <c r="W1493" s="80">
        <v>0</v>
      </c>
      <c r="X1493" s="80">
        <v>0</v>
      </c>
      <c r="Y1493" s="78"/>
    </row>
    <row r="1494" spans="1:25" s="81" customFormat="1" ht="15" customHeight="1" x14ac:dyDescent="0.3">
      <c r="A1494" s="77"/>
      <c r="B1494" s="78"/>
      <c r="C1494" s="79"/>
      <c r="D1494" s="78">
        <v>2021</v>
      </c>
      <c r="E1494" s="80">
        <v>0</v>
      </c>
      <c r="F1494" s="80">
        <v>0</v>
      </c>
      <c r="G1494" s="80">
        <v>0</v>
      </c>
      <c r="H1494" s="80">
        <v>0</v>
      </c>
      <c r="I1494" s="80">
        <v>0</v>
      </c>
      <c r="J1494" s="80">
        <v>0</v>
      </c>
      <c r="K1494" s="80">
        <v>0</v>
      </c>
      <c r="L1494" s="80">
        <v>0</v>
      </c>
      <c r="M1494" s="80">
        <v>0</v>
      </c>
      <c r="N1494" s="80">
        <v>0</v>
      </c>
      <c r="O1494" s="80">
        <v>0</v>
      </c>
      <c r="P1494" s="80">
        <v>0</v>
      </c>
      <c r="Q1494" s="80">
        <v>0</v>
      </c>
      <c r="R1494" s="80">
        <v>0</v>
      </c>
      <c r="S1494" s="80">
        <v>0</v>
      </c>
      <c r="T1494" s="80">
        <v>0</v>
      </c>
      <c r="U1494" s="80">
        <v>0</v>
      </c>
      <c r="V1494" s="80">
        <v>0</v>
      </c>
      <c r="W1494" s="80">
        <v>0</v>
      </c>
      <c r="X1494" s="80">
        <v>0</v>
      </c>
      <c r="Y1494" s="78"/>
    </row>
    <row r="1495" spans="1:25" s="81" customFormat="1" ht="15" customHeight="1" x14ac:dyDescent="0.3">
      <c r="A1495" s="77"/>
      <c r="B1495" s="78"/>
      <c r="C1495" s="79"/>
      <c r="D1495" s="78">
        <v>2022</v>
      </c>
      <c r="E1495" s="80">
        <f>1617*1000000</f>
        <v>1617000000</v>
      </c>
      <c r="F1495" s="80">
        <f>(1617+26626+9702+102+1414)*1000000</f>
        <v>39461000000</v>
      </c>
      <c r="G1495" s="80">
        <f>381774*1000000</f>
        <v>381774000000</v>
      </c>
      <c r="H1495" s="80">
        <f>19536*1000000</f>
        <v>19536000000</v>
      </c>
      <c r="I1495" s="80">
        <f>70984*1000000</f>
        <v>70984000000</v>
      </c>
      <c r="J1495" s="80">
        <f>9032*1000000</f>
        <v>9032000000</v>
      </c>
      <c r="K1495" s="80">
        <f>310790*1000000</f>
        <v>310790000000</v>
      </c>
      <c r="L1495" s="80">
        <f>19034*1000000</f>
        <v>19034000000</v>
      </c>
      <c r="M1495" s="80">
        <f>1137*1000000</f>
        <v>1137000000</v>
      </c>
      <c r="N1495" s="80">
        <f>5634*1000000</f>
        <v>5634000000</v>
      </c>
      <c r="O1495" s="82">
        <v>0.5</v>
      </c>
      <c r="P1495" s="83" t="s">
        <v>298</v>
      </c>
      <c r="Q1495" s="80">
        <v>1</v>
      </c>
      <c r="R1495" s="80">
        <v>3</v>
      </c>
      <c r="S1495" s="80">
        <v>3</v>
      </c>
      <c r="T1495" s="80">
        <f>SUM(R1495:S1495)</f>
        <v>6</v>
      </c>
      <c r="U1495" s="84">
        <v>0</v>
      </c>
      <c r="V1495" s="80"/>
      <c r="W1495" s="80">
        <f t="shared" ref="W1495:W1538" si="142">V1495</f>
        <v>0</v>
      </c>
      <c r="X1495" s="80"/>
      <c r="Y1495" s="78"/>
    </row>
    <row r="1496" spans="1:25" s="81" customFormat="1" ht="15" customHeight="1" x14ac:dyDescent="0.3">
      <c r="A1496" s="77"/>
      <c r="B1496" s="78"/>
      <c r="C1496" s="79"/>
      <c r="D1496" s="78">
        <v>2023</v>
      </c>
      <c r="E1496" s="80">
        <f>8364*1000000</f>
        <v>8364000000</v>
      </c>
      <c r="F1496" s="80">
        <f>(8364+134225+70948+46604+1829)*1000000</f>
        <v>261970000000</v>
      </c>
      <c r="G1496" s="80">
        <f>786371*1000000</f>
        <v>786371000000</v>
      </c>
      <c r="H1496" s="80">
        <f>179935*1000000</f>
        <v>179935000000</v>
      </c>
      <c r="I1496" s="80">
        <f>456391*1000000</f>
        <v>456391000000</v>
      </c>
      <c r="J1496" s="80">
        <f>29592*1000000</f>
        <v>29592000000</v>
      </c>
      <c r="K1496" s="80">
        <f>329980*1000000</f>
        <v>329980000000</v>
      </c>
      <c r="L1496" s="80">
        <f>217172*1000000</f>
        <v>217172000000</v>
      </c>
      <c r="M1496" s="80">
        <f>19967*1000000</f>
        <v>19967000000</v>
      </c>
      <c r="N1496" s="80">
        <f>19190*1000000</f>
        <v>19190000000</v>
      </c>
      <c r="O1496" s="82">
        <v>0.5</v>
      </c>
      <c r="P1496" s="83" t="s">
        <v>298</v>
      </c>
      <c r="Q1496" s="80">
        <v>1</v>
      </c>
      <c r="R1496" s="80">
        <v>4</v>
      </c>
      <c r="S1496" s="80">
        <v>5</v>
      </c>
      <c r="T1496" s="80">
        <f>SUM(R1496:S1496)</f>
        <v>9</v>
      </c>
      <c r="U1496" s="84">
        <v>0</v>
      </c>
      <c r="V1496" s="80">
        <f>4+(2*3)+(3*1)</f>
        <v>13</v>
      </c>
      <c r="W1496" s="80">
        <f t="shared" si="142"/>
        <v>13</v>
      </c>
      <c r="X1496" s="80">
        <f>5+(2*2)+(3*1)</f>
        <v>12</v>
      </c>
      <c r="Y1496" s="78"/>
    </row>
    <row r="1497" spans="1:25" s="81" customFormat="1" ht="15" customHeight="1" x14ac:dyDescent="0.3">
      <c r="A1497" s="77"/>
      <c r="B1497" s="78"/>
      <c r="C1497" s="79"/>
      <c r="D1497" s="78">
        <v>2024</v>
      </c>
      <c r="E1497" s="80">
        <f>4275*1000000</f>
        <v>4275000000</v>
      </c>
      <c r="F1497" s="80">
        <f>(4275+148081+268155+40895+2895)*1000000</f>
        <v>464301000000</v>
      </c>
      <c r="G1497" s="80">
        <f>1543840*1000000</f>
        <v>1543840000000</v>
      </c>
      <c r="H1497" s="80">
        <f>220528*1000000</f>
        <v>220528000000</v>
      </c>
      <c r="I1497" s="80">
        <f>969116*1000000</f>
        <v>969116000000</v>
      </c>
      <c r="J1497" s="80">
        <f>61782*1000000</f>
        <v>61782000000</v>
      </c>
      <c r="K1497" s="80">
        <f>574724*1000000</f>
        <v>574724000000</v>
      </c>
      <c r="L1497" s="80">
        <f>473088*1000000</f>
        <v>473088000000</v>
      </c>
      <c r="M1497" s="80">
        <f>31687*1000000</f>
        <v>31687000000</v>
      </c>
      <c r="N1497" s="80">
        <f>44744*1000000</f>
        <v>44744000000</v>
      </c>
      <c r="O1497" s="82">
        <v>0.5</v>
      </c>
      <c r="P1497" s="83" t="s">
        <v>298</v>
      </c>
      <c r="Q1497" s="80">
        <v>1</v>
      </c>
      <c r="R1497" s="80">
        <v>3</v>
      </c>
      <c r="S1497" s="80">
        <v>5</v>
      </c>
      <c r="T1497" s="80">
        <f>SUM(R1497:S1497)</f>
        <v>8</v>
      </c>
      <c r="U1497" s="84">
        <v>0</v>
      </c>
      <c r="V1497" s="80">
        <f>3+(2*2)+(3*1)</f>
        <v>10</v>
      </c>
      <c r="W1497" s="80">
        <f t="shared" si="142"/>
        <v>10</v>
      </c>
      <c r="X1497" s="80">
        <f>5+(2*2)+(3*1)</f>
        <v>12</v>
      </c>
      <c r="Y1497" s="78"/>
    </row>
    <row r="1498" spans="1:25" s="81" customFormat="1" ht="15" customHeight="1" x14ac:dyDescent="0.3">
      <c r="A1498" s="77"/>
      <c r="B1498" s="78">
        <v>137</v>
      </c>
      <c r="C1498" s="79" t="s">
        <v>136</v>
      </c>
      <c r="D1498" s="78">
        <v>2014</v>
      </c>
      <c r="E1498" s="80">
        <v>0</v>
      </c>
      <c r="F1498" s="80">
        <v>0</v>
      </c>
      <c r="G1498" s="80">
        <v>0</v>
      </c>
      <c r="H1498" s="80">
        <v>0</v>
      </c>
      <c r="I1498" s="80">
        <v>0</v>
      </c>
      <c r="J1498" s="80">
        <v>0</v>
      </c>
      <c r="K1498" s="80">
        <v>0</v>
      </c>
      <c r="L1498" s="80">
        <v>0</v>
      </c>
      <c r="M1498" s="80">
        <v>0</v>
      </c>
      <c r="N1498" s="80">
        <v>0</v>
      </c>
      <c r="O1498" s="80">
        <v>0</v>
      </c>
      <c r="P1498" s="80">
        <v>0</v>
      </c>
      <c r="Q1498" s="80">
        <v>0</v>
      </c>
      <c r="R1498" s="80">
        <v>0</v>
      </c>
      <c r="S1498" s="80">
        <v>0</v>
      </c>
      <c r="T1498" s="80">
        <v>0</v>
      </c>
      <c r="U1498" s="80">
        <v>0</v>
      </c>
      <c r="V1498" s="80">
        <v>0</v>
      </c>
      <c r="W1498" s="80">
        <v>0</v>
      </c>
      <c r="X1498" s="80">
        <v>0</v>
      </c>
      <c r="Y1498" s="78"/>
    </row>
    <row r="1499" spans="1:25" s="81" customFormat="1" ht="15" customHeight="1" x14ac:dyDescent="0.3">
      <c r="A1499" s="77"/>
      <c r="B1499" s="78"/>
      <c r="C1499" s="79"/>
      <c r="D1499" s="78">
        <v>2015</v>
      </c>
      <c r="E1499" s="80">
        <v>0</v>
      </c>
      <c r="F1499" s="80">
        <v>0</v>
      </c>
      <c r="G1499" s="80">
        <v>0</v>
      </c>
      <c r="H1499" s="80">
        <v>0</v>
      </c>
      <c r="I1499" s="80">
        <v>0</v>
      </c>
      <c r="J1499" s="80">
        <v>0</v>
      </c>
      <c r="K1499" s="80">
        <v>0</v>
      </c>
      <c r="L1499" s="80">
        <v>0</v>
      </c>
      <c r="M1499" s="80">
        <v>0</v>
      </c>
      <c r="N1499" s="80">
        <v>0</v>
      </c>
      <c r="O1499" s="80">
        <v>0</v>
      </c>
      <c r="P1499" s="80">
        <v>0</v>
      </c>
      <c r="Q1499" s="80">
        <v>0</v>
      </c>
      <c r="R1499" s="80">
        <v>0</v>
      </c>
      <c r="S1499" s="80">
        <v>0</v>
      </c>
      <c r="T1499" s="80">
        <v>0</v>
      </c>
      <c r="U1499" s="80">
        <v>0</v>
      </c>
      <c r="V1499" s="80">
        <v>0</v>
      </c>
      <c r="W1499" s="80">
        <v>0</v>
      </c>
      <c r="X1499" s="80">
        <v>0</v>
      </c>
      <c r="Y1499" s="78"/>
    </row>
    <row r="1500" spans="1:25" s="81" customFormat="1" ht="15" customHeight="1" x14ac:dyDescent="0.3">
      <c r="A1500" s="77"/>
      <c r="B1500" s="78"/>
      <c r="C1500" s="79"/>
      <c r="D1500" s="78">
        <v>2016</v>
      </c>
      <c r="E1500" s="80">
        <f>10110*1000000</f>
        <v>10110000000</v>
      </c>
      <c r="F1500" s="80">
        <f>(10110+322507+215453+33207)*1000000</f>
        <v>581277000000</v>
      </c>
      <c r="G1500" s="80">
        <f>1833551*1000000</f>
        <v>1833551000000</v>
      </c>
      <c r="H1500" s="80">
        <f>185976*1000000</f>
        <v>185976000000</v>
      </c>
      <c r="I1500" s="80">
        <f>1087212*1000000</f>
        <v>1087212000000</v>
      </c>
      <c r="J1500" s="80">
        <f>666191*1000000</f>
        <v>666191000000</v>
      </c>
      <c r="K1500" s="80">
        <f>746339*1000000</f>
        <v>746339000000</v>
      </c>
      <c r="L1500" s="80">
        <f>826099*1000000</f>
        <v>826099000000</v>
      </c>
      <c r="M1500" s="80">
        <f>159740*1000000</f>
        <v>159740000000</v>
      </c>
      <c r="N1500" s="80">
        <f>142045*1000000</f>
        <v>142045000000</v>
      </c>
      <c r="O1500" s="80">
        <v>0</v>
      </c>
      <c r="P1500" s="80">
        <v>0</v>
      </c>
      <c r="Q1500" s="80">
        <v>0</v>
      </c>
      <c r="R1500" s="80">
        <v>0</v>
      </c>
      <c r="S1500" s="80">
        <v>0</v>
      </c>
      <c r="T1500" s="80">
        <v>0</v>
      </c>
      <c r="U1500" s="80">
        <v>0</v>
      </c>
      <c r="V1500" s="80">
        <v>0</v>
      </c>
      <c r="W1500" s="80">
        <v>0</v>
      </c>
      <c r="X1500" s="80">
        <v>0</v>
      </c>
      <c r="Y1500" s="78"/>
    </row>
    <row r="1501" spans="1:25" s="81" customFormat="1" ht="15" customHeight="1" x14ac:dyDescent="0.3">
      <c r="A1501" s="77"/>
      <c r="B1501" s="78"/>
      <c r="C1501" s="79"/>
      <c r="D1501" s="78">
        <v>2017</v>
      </c>
      <c r="E1501" s="80">
        <f>11325*1000000</f>
        <v>11325000000</v>
      </c>
      <c r="F1501" s="80">
        <f>(11325+485447+433803+41763)*1000000</f>
        <v>972338000000</v>
      </c>
      <c r="G1501" s="80">
        <f>2879988*1000000</f>
        <v>2879988000000</v>
      </c>
      <c r="H1501" s="80">
        <f>299277*1000000</f>
        <v>299277000000</v>
      </c>
      <c r="I1501" s="80">
        <f>1523055*1000000</f>
        <v>1523055000000</v>
      </c>
      <c r="J1501" s="80">
        <f>803752*1000000</f>
        <v>803752000000</v>
      </c>
      <c r="K1501" s="80">
        <f>1356933*1000000</f>
        <v>1356933000000</v>
      </c>
      <c r="L1501" s="80">
        <f>910578*1000000</f>
        <v>910578000000</v>
      </c>
      <c r="M1501" s="80">
        <f>185047*1000000</f>
        <v>185047000000</v>
      </c>
      <c r="N1501" s="80">
        <f>167828*1000000</f>
        <v>167828000000</v>
      </c>
      <c r="O1501" s="82">
        <v>0.58750000000000002</v>
      </c>
      <c r="P1501" s="83" t="s">
        <v>299</v>
      </c>
      <c r="Q1501" s="80">
        <v>1</v>
      </c>
      <c r="R1501" s="80">
        <v>3</v>
      </c>
      <c r="S1501" s="80">
        <v>4</v>
      </c>
      <c r="T1501" s="80">
        <f>SUM(R1501:S1501)</f>
        <v>7</v>
      </c>
      <c r="U1501" s="84">
        <v>0</v>
      </c>
      <c r="V1501" s="80">
        <f>3+2</f>
        <v>5</v>
      </c>
      <c r="W1501" s="80">
        <f t="shared" si="142"/>
        <v>5</v>
      </c>
      <c r="X1501" s="80">
        <f>4+(2*2)</f>
        <v>8</v>
      </c>
      <c r="Y1501" s="78"/>
    </row>
    <row r="1502" spans="1:25" s="81" customFormat="1" ht="15" customHeight="1" x14ac:dyDescent="0.3">
      <c r="A1502" s="77"/>
      <c r="B1502" s="78"/>
      <c r="C1502" s="79"/>
      <c r="D1502" s="78">
        <v>2018</v>
      </c>
      <c r="E1502" s="80">
        <f>8867*1000000</f>
        <v>8867000000</v>
      </c>
      <c r="F1502" s="80">
        <f>(8867+745866+555793+165212)*1000000</f>
        <v>1475738000000</v>
      </c>
      <c r="G1502" s="80">
        <f>3426618*1000000</f>
        <v>3426618000000</v>
      </c>
      <c r="H1502" s="80">
        <f>552415*1000000</f>
        <v>552415000000</v>
      </c>
      <c r="I1502" s="80">
        <f>2016141*1000000</f>
        <v>2016141000000</v>
      </c>
      <c r="J1502" s="80">
        <f>915770*1000000</f>
        <v>915770000000</v>
      </c>
      <c r="K1502" s="80">
        <f>1410477*1000000</f>
        <v>1410477000000</v>
      </c>
      <c r="L1502" s="80">
        <f>988620*1000000</f>
        <v>988620000000</v>
      </c>
      <c r="M1502" s="80">
        <f>161351*1000000</f>
        <v>161351000000</v>
      </c>
      <c r="N1502" s="80">
        <f>82022*1000000</f>
        <v>82022000000</v>
      </c>
      <c r="O1502" s="82">
        <v>0.58750000000000002</v>
      </c>
      <c r="P1502" s="83" t="s">
        <v>299</v>
      </c>
      <c r="Q1502" s="80">
        <v>1</v>
      </c>
      <c r="R1502" s="80">
        <v>3</v>
      </c>
      <c r="S1502" s="80">
        <v>4</v>
      </c>
      <c r="T1502" s="80">
        <f t="shared" ref="T1502:T1508" si="143">SUM(R1502:S1502)</f>
        <v>7</v>
      </c>
      <c r="U1502" s="84">
        <v>0</v>
      </c>
      <c r="V1502" s="80">
        <f>3+2</f>
        <v>5</v>
      </c>
      <c r="W1502" s="80">
        <f t="shared" si="142"/>
        <v>5</v>
      </c>
      <c r="X1502" s="80">
        <f>4+4+3</f>
        <v>11</v>
      </c>
      <c r="Y1502" s="78"/>
    </row>
    <row r="1503" spans="1:25" s="81" customFormat="1" ht="15" customHeight="1" x14ac:dyDescent="0.3">
      <c r="A1503" s="77"/>
      <c r="B1503" s="78"/>
      <c r="C1503" s="79"/>
      <c r="D1503" s="78">
        <v>2019</v>
      </c>
      <c r="E1503" s="80">
        <f>32650*1000000</f>
        <v>32650000000</v>
      </c>
      <c r="F1503" s="80">
        <f>(32650+940052+617581+11227+12231)*1000000</f>
        <v>1613741000000</v>
      </c>
      <c r="G1503" s="80">
        <f>3915599*1000000</f>
        <v>3915599000000</v>
      </c>
      <c r="H1503" s="80">
        <f>591657*1000000</f>
        <v>591657000000</v>
      </c>
      <c r="I1503" s="80">
        <f>2320513*1000000</f>
        <v>2320513000000</v>
      </c>
      <c r="J1503" s="80">
        <f>1067075*1000000</f>
        <v>1067075000000</v>
      </c>
      <c r="K1503" s="80">
        <f>1595086*1000000</f>
        <v>1595086000000</v>
      </c>
      <c r="L1503" s="80">
        <f>1224970*1000000</f>
        <v>1224970000000</v>
      </c>
      <c r="M1503" s="80">
        <f>193279*1000000</f>
        <v>193279000000</v>
      </c>
      <c r="N1503" s="80">
        <f>210499*1000000</f>
        <v>210499000000</v>
      </c>
      <c r="O1503" s="82">
        <v>0.58750000000000002</v>
      </c>
      <c r="P1503" s="83" t="s">
        <v>299</v>
      </c>
      <c r="Q1503" s="80">
        <v>1</v>
      </c>
      <c r="R1503" s="80">
        <v>3</v>
      </c>
      <c r="S1503" s="80">
        <v>4</v>
      </c>
      <c r="T1503" s="80">
        <f t="shared" si="143"/>
        <v>7</v>
      </c>
      <c r="U1503" s="84">
        <v>0</v>
      </c>
      <c r="V1503" s="80">
        <f>3+2</f>
        <v>5</v>
      </c>
      <c r="W1503" s="80">
        <f t="shared" si="142"/>
        <v>5</v>
      </c>
      <c r="X1503" s="80">
        <f>4+4+3</f>
        <v>11</v>
      </c>
      <c r="Y1503" s="78"/>
    </row>
    <row r="1504" spans="1:25" s="81" customFormat="1" ht="15" customHeight="1" x14ac:dyDescent="0.3">
      <c r="A1504" s="77"/>
      <c r="B1504" s="78"/>
      <c r="C1504" s="79"/>
      <c r="D1504" s="78">
        <v>2020</v>
      </c>
      <c r="E1504" s="80">
        <f>19360*1000000</f>
        <v>19360000000</v>
      </c>
      <c r="F1504" s="80">
        <f>(19360+715741+645174+59994+17891)*1000000</f>
        <v>1458160000000</v>
      </c>
      <c r="G1504" s="80">
        <f>4203345*1000000</f>
        <v>4203345000000</v>
      </c>
      <c r="H1504" s="80">
        <f>566970*1000000</f>
        <v>566970000000</v>
      </c>
      <c r="I1504" s="80">
        <f>2447545*1000000</f>
        <v>2447545000000</v>
      </c>
      <c r="J1504" s="80">
        <f>1149907*1000000</f>
        <v>1149907000000</v>
      </c>
      <c r="K1504" s="80">
        <f>1755800*1000000</f>
        <v>1755800000000</v>
      </c>
      <c r="L1504" s="80">
        <f>1257345*1000000</f>
        <v>1257345000000</v>
      </c>
      <c r="M1504" s="80">
        <f>112754*1000000</f>
        <v>112754000000</v>
      </c>
      <c r="N1504" s="80">
        <f>186603*1000000</f>
        <v>186603000000</v>
      </c>
      <c r="O1504" s="82">
        <v>0.64700000000000002</v>
      </c>
      <c r="P1504" s="83" t="s">
        <v>299</v>
      </c>
      <c r="Q1504" s="80">
        <v>1</v>
      </c>
      <c r="R1504" s="80">
        <v>3</v>
      </c>
      <c r="S1504" s="80">
        <v>4</v>
      </c>
      <c r="T1504" s="80">
        <f t="shared" si="143"/>
        <v>7</v>
      </c>
      <c r="U1504" s="84">
        <v>0</v>
      </c>
      <c r="V1504" s="80">
        <f>3+4+3</f>
        <v>10</v>
      </c>
      <c r="W1504" s="80">
        <f t="shared" si="142"/>
        <v>10</v>
      </c>
      <c r="X1504" s="80">
        <f>4+(2*3)</f>
        <v>10</v>
      </c>
      <c r="Y1504" s="78"/>
    </row>
    <row r="1505" spans="1:25" s="81" customFormat="1" ht="15" customHeight="1" x14ac:dyDescent="0.3">
      <c r="A1505" s="77"/>
      <c r="B1505" s="78"/>
      <c r="C1505" s="79"/>
      <c r="D1505" s="78">
        <v>2021</v>
      </c>
      <c r="E1505" s="80">
        <f>8793*1000000</f>
        <v>8793000000</v>
      </c>
      <c r="F1505" s="80">
        <f>(8793+598251+604795+37913+12656)*1000000</f>
        <v>1262408000000</v>
      </c>
      <c r="G1505" s="80">
        <f>3981209*1000000</f>
        <v>3981209000000</v>
      </c>
      <c r="H1505" s="80">
        <f>536424*1000000</f>
        <v>536424000000</v>
      </c>
      <c r="I1505" s="80">
        <f>2598192*1000000</f>
        <v>2598192000000</v>
      </c>
      <c r="J1505" s="80">
        <f>833893*1000000</f>
        <v>833893000000</v>
      </c>
      <c r="K1505" s="80">
        <f>1383017*1000000</f>
        <v>1383017000000</v>
      </c>
      <c r="L1505" s="80">
        <f>1266405*1000000</f>
        <v>1266405000000</v>
      </c>
      <c r="M1505" s="80">
        <f>-296612*1000000</f>
        <v>-296612000000</v>
      </c>
      <c r="N1505" s="80">
        <f>-346893*1000000</f>
        <v>-346893000000</v>
      </c>
      <c r="O1505" s="82">
        <v>0.64629999999999999</v>
      </c>
      <c r="P1505" s="83" t="s">
        <v>299</v>
      </c>
      <c r="Q1505" s="80">
        <v>1</v>
      </c>
      <c r="R1505" s="80">
        <v>3</v>
      </c>
      <c r="S1505" s="80">
        <v>5</v>
      </c>
      <c r="T1505" s="80">
        <f t="shared" si="143"/>
        <v>8</v>
      </c>
      <c r="U1505" s="84">
        <v>0</v>
      </c>
      <c r="V1505" s="80">
        <f>3+4+3</f>
        <v>10</v>
      </c>
      <c r="W1505" s="80">
        <f t="shared" si="142"/>
        <v>10</v>
      </c>
      <c r="X1505" s="80">
        <f>5+6</f>
        <v>11</v>
      </c>
      <c r="Y1505" s="78"/>
    </row>
    <row r="1506" spans="1:25" s="81" customFormat="1" ht="15" customHeight="1" x14ac:dyDescent="0.3">
      <c r="A1506" s="77"/>
      <c r="B1506" s="78"/>
      <c r="C1506" s="79"/>
      <c r="D1506" s="78">
        <v>2022</v>
      </c>
      <c r="E1506" s="80">
        <f>5908*1000000</f>
        <v>5908000000</v>
      </c>
      <c r="F1506" s="80">
        <f>(5908+520606+788543+144589+17107)*1000000</f>
        <v>1476753000000</v>
      </c>
      <c r="G1506" s="80">
        <f>4286126*1000000</f>
        <v>4286126000000</v>
      </c>
      <c r="H1506" s="80">
        <f>441130*1000000</f>
        <v>441130000000</v>
      </c>
      <c r="I1506" s="80">
        <f>2889160*1000000</f>
        <v>2889160000000</v>
      </c>
      <c r="J1506" s="80">
        <f>871236*1000000</f>
        <v>871236000000</v>
      </c>
      <c r="K1506" s="80">
        <f>1396966*1000000</f>
        <v>1396966000000</v>
      </c>
      <c r="L1506" s="80">
        <f>1318657*1000000</f>
        <v>1318657000000</v>
      </c>
      <c r="M1506" s="80">
        <f>43359*1000000</f>
        <v>43359000000</v>
      </c>
      <c r="N1506" s="80">
        <f>12582*1000000</f>
        <v>12582000000</v>
      </c>
      <c r="O1506" s="82">
        <v>0.64700000000000002</v>
      </c>
      <c r="P1506" s="83" t="s">
        <v>299</v>
      </c>
      <c r="Q1506" s="80">
        <v>1</v>
      </c>
      <c r="R1506" s="80">
        <v>3</v>
      </c>
      <c r="S1506" s="80">
        <v>5</v>
      </c>
      <c r="T1506" s="80">
        <f t="shared" si="143"/>
        <v>8</v>
      </c>
      <c r="U1506" s="84">
        <v>0</v>
      </c>
      <c r="V1506" s="80">
        <f>3+4+3</f>
        <v>10</v>
      </c>
      <c r="W1506" s="80">
        <f t="shared" si="142"/>
        <v>10</v>
      </c>
      <c r="X1506" s="80">
        <f>5+6</f>
        <v>11</v>
      </c>
      <c r="Y1506" s="78"/>
    </row>
    <row r="1507" spans="1:25" s="81" customFormat="1" ht="15" customHeight="1" x14ac:dyDescent="0.3">
      <c r="A1507" s="77"/>
      <c r="B1507" s="78"/>
      <c r="C1507" s="79"/>
      <c r="D1507" s="78">
        <v>2023</v>
      </c>
      <c r="E1507" s="80">
        <f>8206*1000000</f>
        <v>8206000000</v>
      </c>
      <c r="F1507" s="80">
        <f>(8206+704017+965359+105488+17916)*1000000</f>
        <v>1800986000000</v>
      </c>
      <c r="G1507" s="80">
        <f>4772681*1000000</f>
        <v>4772681000000</v>
      </c>
      <c r="H1507" s="80">
        <f>339497*1000000</f>
        <v>339497000000</v>
      </c>
      <c r="I1507" s="80">
        <f>3325712*1000000</f>
        <v>3325712000000</v>
      </c>
      <c r="J1507" s="80">
        <f>925461*1000000</f>
        <v>925461000000</v>
      </c>
      <c r="K1507" s="80">
        <f>1446969*1000000</f>
        <v>1446969000000</v>
      </c>
      <c r="L1507" s="80">
        <f>1480660*1000000</f>
        <v>1480660000000</v>
      </c>
      <c r="M1507" s="80">
        <f>70118*1000000</f>
        <v>70118000000</v>
      </c>
      <c r="N1507" s="80">
        <f>57570*1000000</f>
        <v>57570000000</v>
      </c>
      <c r="O1507" s="82">
        <v>0.59599999999999997</v>
      </c>
      <c r="P1507" s="83" t="s">
        <v>299</v>
      </c>
      <c r="Q1507" s="80">
        <v>1</v>
      </c>
      <c r="R1507" s="80">
        <v>3</v>
      </c>
      <c r="S1507" s="80">
        <v>5</v>
      </c>
      <c r="T1507" s="80">
        <f t="shared" si="143"/>
        <v>8</v>
      </c>
      <c r="U1507" s="84">
        <v>0</v>
      </c>
      <c r="V1507" s="80">
        <f>3+4+3</f>
        <v>10</v>
      </c>
      <c r="W1507" s="80">
        <f t="shared" si="142"/>
        <v>10</v>
      </c>
      <c r="X1507" s="80">
        <f>5+6</f>
        <v>11</v>
      </c>
      <c r="Y1507" s="78"/>
    </row>
    <row r="1508" spans="1:25" s="81" customFormat="1" ht="15" customHeight="1" x14ac:dyDescent="0.3">
      <c r="A1508" s="77"/>
      <c r="B1508" s="78"/>
      <c r="C1508" s="79"/>
      <c r="D1508" s="78">
        <v>2024</v>
      </c>
      <c r="E1508" s="80">
        <f>4799*1000000</f>
        <v>4799000000</v>
      </c>
      <c r="F1508" s="80">
        <f>(4799+816758+829969+115004+34197)*1000000</f>
        <v>1800727000000</v>
      </c>
      <c r="G1508" s="80">
        <f>4965832*1000000</f>
        <v>4965832000000</v>
      </c>
      <c r="H1508" s="80">
        <f>353993*1000000</f>
        <v>353993000000</v>
      </c>
      <c r="I1508" s="80">
        <f>3512630*1000000</f>
        <v>3512630000000</v>
      </c>
      <c r="J1508" s="80">
        <f>963567*1000000</f>
        <v>963567000000</v>
      </c>
      <c r="K1508" s="80">
        <f>1453202*1000000</f>
        <v>1453202000000</v>
      </c>
      <c r="L1508" s="80">
        <f>1645605*1000000</f>
        <v>1645605000000</v>
      </c>
      <c r="M1508" s="80">
        <f>40626*1000000</f>
        <v>40626000000</v>
      </c>
      <c r="N1508" s="80">
        <f>13831*1000000</f>
        <v>13831000000</v>
      </c>
      <c r="O1508" s="82">
        <v>0.59279999999999999</v>
      </c>
      <c r="P1508" s="83" t="s">
        <v>299</v>
      </c>
      <c r="Q1508" s="80">
        <v>1</v>
      </c>
      <c r="R1508" s="80">
        <v>3</v>
      </c>
      <c r="S1508" s="80">
        <v>3</v>
      </c>
      <c r="T1508" s="80">
        <f t="shared" si="143"/>
        <v>6</v>
      </c>
      <c r="U1508" s="84">
        <v>0</v>
      </c>
      <c r="V1508" s="80">
        <f>3+4+3</f>
        <v>10</v>
      </c>
      <c r="W1508" s="80">
        <f t="shared" si="142"/>
        <v>10</v>
      </c>
      <c r="X1508" s="80">
        <f>3+4</f>
        <v>7</v>
      </c>
      <c r="Y1508" s="78"/>
    </row>
    <row r="1509" spans="1:25" s="81" customFormat="1" ht="15" customHeight="1" x14ac:dyDescent="0.3">
      <c r="A1509" s="77"/>
      <c r="B1509" s="78">
        <v>138</v>
      </c>
      <c r="C1509" s="79" t="s">
        <v>143</v>
      </c>
      <c r="D1509" s="78">
        <v>2014</v>
      </c>
      <c r="E1509" s="80">
        <v>0</v>
      </c>
      <c r="F1509" s="80">
        <v>0</v>
      </c>
      <c r="G1509" s="80">
        <v>0</v>
      </c>
      <c r="H1509" s="80">
        <v>0</v>
      </c>
      <c r="I1509" s="80">
        <v>0</v>
      </c>
      <c r="J1509" s="80">
        <v>0</v>
      </c>
      <c r="K1509" s="80">
        <v>0</v>
      </c>
      <c r="L1509" s="80">
        <v>0</v>
      </c>
      <c r="M1509" s="80">
        <v>0</v>
      </c>
      <c r="N1509" s="80">
        <v>0</v>
      </c>
      <c r="O1509" s="80">
        <v>0</v>
      </c>
      <c r="P1509" s="80">
        <v>0</v>
      </c>
      <c r="Q1509" s="80">
        <v>0</v>
      </c>
      <c r="R1509" s="80">
        <v>0</v>
      </c>
      <c r="S1509" s="80">
        <v>0</v>
      </c>
      <c r="T1509" s="80">
        <v>0</v>
      </c>
      <c r="U1509" s="80">
        <v>0</v>
      </c>
      <c r="V1509" s="80">
        <v>0</v>
      </c>
      <c r="W1509" s="80">
        <v>0</v>
      </c>
      <c r="X1509" s="80">
        <v>0</v>
      </c>
      <c r="Y1509" s="78"/>
    </row>
    <row r="1510" spans="1:25" s="81" customFormat="1" ht="15" customHeight="1" x14ac:dyDescent="0.3">
      <c r="A1510" s="77"/>
      <c r="B1510" s="78"/>
      <c r="C1510" s="79"/>
      <c r="D1510" s="78">
        <v>2015</v>
      </c>
      <c r="E1510" s="80">
        <v>0</v>
      </c>
      <c r="F1510" s="80">
        <v>0</v>
      </c>
      <c r="G1510" s="80">
        <v>0</v>
      </c>
      <c r="H1510" s="80">
        <v>0</v>
      </c>
      <c r="I1510" s="80">
        <v>0</v>
      </c>
      <c r="J1510" s="80">
        <v>0</v>
      </c>
      <c r="K1510" s="80">
        <v>0</v>
      </c>
      <c r="L1510" s="80">
        <v>0</v>
      </c>
      <c r="M1510" s="80">
        <v>0</v>
      </c>
      <c r="N1510" s="80">
        <v>0</v>
      </c>
      <c r="O1510" s="80">
        <v>0</v>
      </c>
      <c r="P1510" s="80">
        <v>0</v>
      </c>
      <c r="Q1510" s="80">
        <v>0</v>
      </c>
      <c r="R1510" s="80">
        <v>0</v>
      </c>
      <c r="S1510" s="80">
        <v>0</v>
      </c>
      <c r="T1510" s="80">
        <v>0</v>
      </c>
      <c r="U1510" s="80">
        <v>0</v>
      </c>
      <c r="V1510" s="80">
        <v>0</v>
      </c>
      <c r="W1510" s="80">
        <v>0</v>
      </c>
      <c r="X1510" s="80">
        <v>0</v>
      </c>
      <c r="Y1510" s="78"/>
    </row>
    <row r="1511" spans="1:25" s="81" customFormat="1" ht="15" customHeight="1" x14ac:dyDescent="0.3">
      <c r="A1511" s="77"/>
      <c r="B1511" s="78"/>
      <c r="C1511" s="79"/>
      <c r="D1511" s="78">
        <v>2016</v>
      </c>
      <c r="E1511" s="80">
        <v>0</v>
      </c>
      <c r="F1511" s="80">
        <v>0</v>
      </c>
      <c r="G1511" s="80">
        <v>0</v>
      </c>
      <c r="H1511" s="80">
        <v>0</v>
      </c>
      <c r="I1511" s="80">
        <v>0</v>
      </c>
      <c r="J1511" s="80">
        <v>0</v>
      </c>
      <c r="K1511" s="80">
        <v>0</v>
      </c>
      <c r="L1511" s="80">
        <v>0</v>
      </c>
      <c r="M1511" s="80">
        <v>0</v>
      </c>
      <c r="N1511" s="80">
        <v>0</v>
      </c>
      <c r="O1511" s="80">
        <v>0</v>
      </c>
      <c r="P1511" s="80">
        <v>0</v>
      </c>
      <c r="Q1511" s="80">
        <v>0</v>
      </c>
      <c r="R1511" s="80">
        <v>0</v>
      </c>
      <c r="S1511" s="80">
        <v>0</v>
      </c>
      <c r="T1511" s="80">
        <v>0</v>
      </c>
      <c r="U1511" s="80">
        <v>0</v>
      </c>
      <c r="V1511" s="80">
        <v>0</v>
      </c>
      <c r="W1511" s="80">
        <v>0</v>
      </c>
      <c r="X1511" s="80">
        <v>0</v>
      </c>
      <c r="Y1511" s="78"/>
    </row>
    <row r="1512" spans="1:25" s="81" customFormat="1" ht="15" customHeight="1" x14ac:dyDescent="0.3">
      <c r="A1512" s="77"/>
      <c r="B1512" s="78"/>
      <c r="C1512" s="79"/>
      <c r="D1512" s="78">
        <v>2017</v>
      </c>
      <c r="E1512" s="80">
        <v>0</v>
      </c>
      <c r="F1512" s="80">
        <v>0</v>
      </c>
      <c r="G1512" s="80">
        <v>0</v>
      </c>
      <c r="H1512" s="80">
        <v>0</v>
      </c>
      <c r="I1512" s="80">
        <v>0</v>
      </c>
      <c r="J1512" s="80">
        <v>0</v>
      </c>
      <c r="K1512" s="80">
        <v>0</v>
      </c>
      <c r="L1512" s="80">
        <v>0</v>
      </c>
      <c r="M1512" s="80">
        <v>0</v>
      </c>
      <c r="N1512" s="80">
        <v>0</v>
      </c>
      <c r="O1512" s="80">
        <v>0</v>
      </c>
      <c r="P1512" s="80">
        <v>0</v>
      </c>
      <c r="Q1512" s="80">
        <v>0</v>
      </c>
      <c r="R1512" s="80">
        <v>0</v>
      </c>
      <c r="S1512" s="80">
        <v>0</v>
      </c>
      <c r="T1512" s="80">
        <v>0</v>
      </c>
      <c r="U1512" s="80">
        <v>0</v>
      </c>
      <c r="V1512" s="80">
        <v>0</v>
      </c>
      <c r="W1512" s="80">
        <v>0</v>
      </c>
      <c r="X1512" s="80">
        <v>0</v>
      </c>
      <c r="Y1512" s="78"/>
    </row>
    <row r="1513" spans="1:25" s="81" customFormat="1" ht="15" customHeight="1" x14ac:dyDescent="0.3">
      <c r="A1513" s="77"/>
      <c r="B1513" s="78"/>
      <c r="C1513" s="79"/>
      <c r="D1513" s="78">
        <v>2018</v>
      </c>
      <c r="E1513" s="80">
        <v>0</v>
      </c>
      <c r="F1513" s="80">
        <v>0</v>
      </c>
      <c r="G1513" s="80">
        <v>0</v>
      </c>
      <c r="H1513" s="80">
        <v>0</v>
      </c>
      <c r="I1513" s="80">
        <v>0</v>
      </c>
      <c r="J1513" s="80">
        <v>0</v>
      </c>
      <c r="K1513" s="80">
        <v>0</v>
      </c>
      <c r="L1513" s="80">
        <v>0</v>
      </c>
      <c r="M1513" s="80">
        <v>0</v>
      </c>
      <c r="N1513" s="80">
        <v>0</v>
      </c>
      <c r="O1513" s="80">
        <v>0</v>
      </c>
      <c r="P1513" s="80">
        <v>0</v>
      </c>
      <c r="Q1513" s="80">
        <v>0</v>
      </c>
      <c r="R1513" s="80">
        <v>0</v>
      </c>
      <c r="S1513" s="80">
        <v>0</v>
      </c>
      <c r="T1513" s="80">
        <v>0</v>
      </c>
      <c r="U1513" s="80">
        <v>0</v>
      </c>
      <c r="V1513" s="80">
        <v>0</v>
      </c>
      <c r="W1513" s="80">
        <v>0</v>
      </c>
      <c r="X1513" s="80">
        <v>0</v>
      </c>
      <c r="Y1513" s="78"/>
    </row>
    <row r="1514" spans="1:25" s="81" customFormat="1" ht="15" customHeight="1" x14ac:dyDescent="0.3">
      <c r="A1514" s="77"/>
      <c r="B1514" s="78"/>
      <c r="C1514" s="79"/>
      <c r="D1514" s="78">
        <v>2019</v>
      </c>
      <c r="E1514" s="80">
        <v>0</v>
      </c>
      <c r="F1514" s="80">
        <v>0</v>
      </c>
      <c r="G1514" s="80">
        <v>0</v>
      </c>
      <c r="H1514" s="80">
        <v>0</v>
      </c>
      <c r="I1514" s="80">
        <v>0</v>
      </c>
      <c r="J1514" s="80">
        <v>0</v>
      </c>
      <c r="K1514" s="80">
        <v>0</v>
      </c>
      <c r="L1514" s="80">
        <v>0</v>
      </c>
      <c r="M1514" s="80">
        <v>0</v>
      </c>
      <c r="N1514" s="80">
        <v>0</v>
      </c>
      <c r="O1514" s="80">
        <v>0</v>
      </c>
      <c r="P1514" s="80">
        <v>0</v>
      </c>
      <c r="Q1514" s="80">
        <v>0</v>
      </c>
      <c r="R1514" s="80">
        <v>0</v>
      </c>
      <c r="S1514" s="80">
        <v>0</v>
      </c>
      <c r="T1514" s="80">
        <v>0</v>
      </c>
      <c r="U1514" s="80">
        <v>0</v>
      </c>
      <c r="V1514" s="80">
        <v>0</v>
      </c>
      <c r="W1514" s="80">
        <v>0</v>
      </c>
      <c r="X1514" s="80">
        <v>0</v>
      </c>
      <c r="Y1514" s="78"/>
    </row>
    <row r="1515" spans="1:25" s="81" customFormat="1" ht="15" customHeight="1" x14ac:dyDescent="0.3">
      <c r="A1515" s="77"/>
      <c r="B1515" s="78"/>
      <c r="C1515" s="79"/>
      <c r="D1515" s="78">
        <v>2020</v>
      </c>
      <c r="E1515" s="80">
        <v>0</v>
      </c>
      <c r="F1515" s="80">
        <v>0</v>
      </c>
      <c r="G1515" s="80">
        <v>0</v>
      </c>
      <c r="H1515" s="80">
        <v>0</v>
      </c>
      <c r="I1515" s="80">
        <v>0</v>
      </c>
      <c r="J1515" s="80">
        <v>0</v>
      </c>
      <c r="K1515" s="80">
        <v>0</v>
      </c>
      <c r="L1515" s="80">
        <v>0</v>
      </c>
      <c r="M1515" s="80">
        <v>0</v>
      </c>
      <c r="N1515" s="80">
        <v>0</v>
      </c>
      <c r="O1515" s="80">
        <v>0</v>
      </c>
      <c r="P1515" s="80">
        <v>0</v>
      </c>
      <c r="Q1515" s="80">
        <v>0</v>
      </c>
      <c r="R1515" s="80">
        <v>0</v>
      </c>
      <c r="S1515" s="80">
        <v>0</v>
      </c>
      <c r="T1515" s="80">
        <v>0</v>
      </c>
      <c r="U1515" s="80">
        <v>0</v>
      </c>
      <c r="V1515" s="80">
        <v>0</v>
      </c>
      <c r="W1515" s="80">
        <v>0</v>
      </c>
      <c r="X1515" s="80">
        <v>0</v>
      </c>
      <c r="Y1515" s="78"/>
    </row>
    <row r="1516" spans="1:25" s="81" customFormat="1" ht="15" customHeight="1" x14ac:dyDescent="0.3">
      <c r="A1516" s="77"/>
      <c r="B1516" s="78"/>
      <c r="C1516" s="79"/>
      <c r="D1516" s="78">
        <v>2021</v>
      </c>
      <c r="E1516" s="80">
        <v>0</v>
      </c>
      <c r="F1516" s="80">
        <v>0</v>
      </c>
      <c r="G1516" s="80">
        <v>0</v>
      </c>
      <c r="H1516" s="80">
        <v>0</v>
      </c>
      <c r="I1516" s="80">
        <v>0</v>
      </c>
      <c r="J1516" s="80">
        <v>0</v>
      </c>
      <c r="K1516" s="80">
        <v>0</v>
      </c>
      <c r="L1516" s="80">
        <v>0</v>
      </c>
      <c r="M1516" s="80">
        <v>0</v>
      </c>
      <c r="N1516" s="80">
        <v>0</v>
      </c>
      <c r="O1516" s="80">
        <v>0</v>
      </c>
      <c r="P1516" s="80">
        <v>0</v>
      </c>
      <c r="Q1516" s="80">
        <v>0</v>
      </c>
      <c r="R1516" s="80">
        <v>0</v>
      </c>
      <c r="S1516" s="80">
        <v>0</v>
      </c>
      <c r="T1516" s="80">
        <v>0</v>
      </c>
      <c r="U1516" s="80">
        <v>0</v>
      </c>
      <c r="V1516" s="80">
        <v>0</v>
      </c>
      <c r="W1516" s="80">
        <v>0</v>
      </c>
      <c r="X1516" s="80">
        <v>0</v>
      </c>
      <c r="Y1516" s="78"/>
    </row>
    <row r="1517" spans="1:25" s="81" customFormat="1" ht="15" customHeight="1" x14ac:dyDescent="0.3">
      <c r="A1517" s="77"/>
      <c r="B1517" s="78"/>
      <c r="C1517" s="79"/>
      <c r="D1517" s="78">
        <v>2022</v>
      </c>
      <c r="E1517" s="80">
        <v>0</v>
      </c>
      <c r="F1517" s="80">
        <v>0</v>
      </c>
      <c r="G1517" s="80">
        <v>0</v>
      </c>
      <c r="H1517" s="80">
        <v>0</v>
      </c>
      <c r="I1517" s="80">
        <v>0</v>
      </c>
      <c r="J1517" s="80">
        <v>0</v>
      </c>
      <c r="K1517" s="80">
        <v>0</v>
      </c>
      <c r="L1517" s="80">
        <v>0</v>
      </c>
      <c r="M1517" s="80">
        <v>0</v>
      </c>
      <c r="N1517" s="80">
        <v>0</v>
      </c>
      <c r="O1517" s="80">
        <v>0</v>
      </c>
      <c r="P1517" s="80">
        <v>0</v>
      </c>
      <c r="Q1517" s="80">
        <v>0</v>
      </c>
      <c r="R1517" s="80">
        <v>0</v>
      </c>
      <c r="S1517" s="80">
        <v>0</v>
      </c>
      <c r="T1517" s="80">
        <v>0</v>
      </c>
      <c r="U1517" s="80">
        <v>0</v>
      </c>
      <c r="V1517" s="80">
        <v>0</v>
      </c>
      <c r="W1517" s="80">
        <v>0</v>
      </c>
      <c r="X1517" s="80">
        <v>0</v>
      </c>
      <c r="Y1517" s="78"/>
    </row>
    <row r="1518" spans="1:25" s="81" customFormat="1" ht="15" customHeight="1" x14ac:dyDescent="0.3">
      <c r="A1518" s="77"/>
      <c r="B1518" s="78"/>
      <c r="C1518" s="79"/>
      <c r="D1518" s="78">
        <v>2023</v>
      </c>
      <c r="E1518" s="80">
        <v>0</v>
      </c>
      <c r="F1518" s="80">
        <v>0</v>
      </c>
      <c r="G1518" s="80">
        <v>0</v>
      </c>
      <c r="H1518" s="80">
        <v>0</v>
      </c>
      <c r="I1518" s="80">
        <v>0</v>
      </c>
      <c r="J1518" s="80">
        <v>0</v>
      </c>
      <c r="K1518" s="80">
        <v>0</v>
      </c>
      <c r="L1518" s="80">
        <v>0</v>
      </c>
      <c r="M1518" s="80">
        <v>0</v>
      </c>
      <c r="N1518" s="80">
        <v>0</v>
      </c>
      <c r="O1518" s="80">
        <v>0</v>
      </c>
      <c r="P1518" s="80">
        <v>0</v>
      </c>
      <c r="Q1518" s="80">
        <v>0</v>
      </c>
      <c r="R1518" s="80">
        <v>0</v>
      </c>
      <c r="S1518" s="80">
        <v>0</v>
      </c>
      <c r="T1518" s="80">
        <v>0</v>
      </c>
      <c r="U1518" s="80">
        <v>0</v>
      </c>
      <c r="V1518" s="80">
        <v>0</v>
      </c>
      <c r="W1518" s="80">
        <v>0</v>
      </c>
      <c r="X1518" s="80">
        <v>0</v>
      </c>
      <c r="Y1518" s="78"/>
    </row>
    <row r="1519" spans="1:25" s="81" customFormat="1" ht="15" customHeight="1" x14ac:dyDescent="0.3">
      <c r="A1519" s="77"/>
      <c r="B1519" s="78"/>
      <c r="C1519" s="79"/>
      <c r="D1519" s="78">
        <v>2024</v>
      </c>
      <c r="E1519" s="80">
        <f>18259*1000000</f>
        <v>18259000000</v>
      </c>
      <c r="F1519" s="80">
        <f>(18259+7500+2261)*1000000</f>
        <v>28020000000</v>
      </c>
      <c r="G1519" s="80">
        <f>548427*1000000</f>
        <v>548427000000</v>
      </c>
      <c r="H1519" s="80">
        <f>6553*1000000</f>
        <v>6553000000</v>
      </c>
      <c r="I1519" s="80">
        <f>28746*1000000</f>
        <v>28746000000</v>
      </c>
      <c r="J1519" s="80">
        <f>13027*1000000</f>
        <v>13027000000</v>
      </c>
      <c r="K1519" s="80">
        <f>519681*1000000</f>
        <v>519681000000</v>
      </c>
      <c r="L1519" s="80">
        <f>8246*1000000</f>
        <v>8246000000</v>
      </c>
      <c r="M1519" s="80">
        <f>4218*1000000</f>
        <v>4218000000</v>
      </c>
      <c r="N1519" s="80">
        <f>14542*1000000</f>
        <v>14542000000</v>
      </c>
      <c r="O1519" s="82">
        <v>0.99990000000000001</v>
      </c>
      <c r="P1519" s="83" t="s">
        <v>300</v>
      </c>
      <c r="Q1519" s="80">
        <v>2</v>
      </c>
      <c r="R1519" s="80">
        <v>3</v>
      </c>
      <c r="S1519" s="80">
        <v>3</v>
      </c>
      <c r="T1519" s="80">
        <f>SUM(R1519:S1519)</f>
        <v>6</v>
      </c>
      <c r="U1519" s="84">
        <v>0</v>
      </c>
      <c r="V1519" s="85">
        <f>3+2</f>
        <v>5</v>
      </c>
      <c r="W1519" s="80">
        <f>V1519</f>
        <v>5</v>
      </c>
      <c r="X1519" s="80">
        <f>3+4</f>
        <v>7</v>
      </c>
      <c r="Y1519" s="78"/>
    </row>
    <row r="1520" spans="1:25" s="81" customFormat="1" ht="15" customHeight="1" x14ac:dyDescent="0.3">
      <c r="A1520" s="77"/>
      <c r="B1520" s="78">
        <v>139</v>
      </c>
      <c r="C1520" s="79" t="s">
        <v>137</v>
      </c>
      <c r="D1520" s="78">
        <v>2014</v>
      </c>
      <c r="E1520" s="80">
        <v>0</v>
      </c>
      <c r="F1520" s="80">
        <v>0</v>
      </c>
      <c r="G1520" s="80">
        <v>0</v>
      </c>
      <c r="H1520" s="80">
        <v>0</v>
      </c>
      <c r="I1520" s="80">
        <v>0</v>
      </c>
      <c r="J1520" s="80">
        <v>0</v>
      </c>
      <c r="K1520" s="80">
        <v>0</v>
      </c>
      <c r="L1520" s="80">
        <f>1581672215507</f>
        <v>1581672215507</v>
      </c>
      <c r="M1520" s="80">
        <v>0</v>
      </c>
      <c r="N1520" s="80">
        <v>0</v>
      </c>
      <c r="O1520" s="80">
        <v>0</v>
      </c>
      <c r="P1520" s="80">
        <v>0</v>
      </c>
      <c r="Q1520" s="80">
        <v>0</v>
      </c>
      <c r="R1520" s="80">
        <v>0</v>
      </c>
      <c r="S1520" s="80">
        <v>0</v>
      </c>
      <c r="T1520" s="80">
        <v>0</v>
      </c>
      <c r="U1520" s="80">
        <v>0</v>
      </c>
      <c r="V1520" s="80">
        <v>0</v>
      </c>
      <c r="W1520" s="80">
        <v>0</v>
      </c>
      <c r="X1520" s="80">
        <v>0</v>
      </c>
      <c r="Y1520" s="78"/>
    </row>
    <row r="1521" spans="1:25" s="81" customFormat="1" ht="15" customHeight="1" x14ac:dyDescent="0.3">
      <c r="A1521" s="77"/>
      <c r="B1521" s="78"/>
      <c r="C1521" s="79"/>
      <c r="D1521" s="78">
        <v>2015</v>
      </c>
      <c r="E1521" s="80">
        <f>88779306935</f>
        <v>88779306935</v>
      </c>
      <c r="F1521" s="80">
        <f>E1521+693743058427+329650619510+1056493778819</f>
        <v>2168666763691</v>
      </c>
      <c r="G1521" s="80">
        <f>6542316085964</f>
        <v>6542316085964</v>
      </c>
      <c r="H1521" s="80">
        <f>I1521-150715939602-136096703685-196955604686-359004028390</f>
        <v>3801430671179</v>
      </c>
      <c r="I1521" s="80">
        <f>4644202947542</f>
        <v>4644202947542</v>
      </c>
      <c r="J1521" s="80">
        <f>556135631572+82511213633</f>
        <v>638646845205</v>
      </c>
      <c r="K1521" s="80">
        <f>1898113138423</f>
        <v>1898113138423</v>
      </c>
      <c r="L1521" s="80">
        <f>2741257568665</f>
        <v>2741257568665</v>
      </c>
      <c r="M1521" s="80">
        <f>211346705277</f>
        <v>211346705277</v>
      </c>
      <c r="N1521" s="80">
        <f>209694606317</f>
        <v>209694606317</v>
      </c>
      <c r="O1521" s="82">
        <v>0.99990000000000001</v>
      </c>
      <c r="P1521" s="83" t="s">
        <v>254</v>
      </c>
      <c r="Q1521" s="80">
        <v>0</v>
      </c>
      <c r="R1521" s="80">
        <v>3</v>
      </c>
      <c r="S1521" s="80">
        <v>2</v>
      </c>
      <c r="T1521" s="80">
        <f>SUM(R1521:S1521)</f>
        <v>5</v>
      </c>
      <c r="U1521" s="84">
        <v>0</v>
      </c>
      <c r="V1521" s="80">
        <f>3+2</f>
        <v>5</v>
      </c>
      <c r="W1521" s="80">
        <f t="shared" si="142"/>
        <v>5</v>
      </c>
      <c r="X1521" s="80">
        <f>2+4</f>
        <v>6</v>
      </c>
      <c r="Y1521" s="78"/>
    </row>
    <row r="1522" spans="1:25" s="81" customFormat="1" ht="15" customHeight="1" x14ac:dyDescent="0.3">
      <c r="A1522" s="77"/>
      <c r="B1522" s="78"/>
      <c r="C1522" s="79"/>
      <c r="D1522" s="78">
        <v>2016</v>
      </c>
      <c r="E1522" s="80">
        <f>97057538204</f>
        <v>97057538204</v>
      </c>
      <c r="F1522" s="80">
        <f>E1522+939460473626+417555929933+988220232104+34206040648</f>
        <v>2476500214515</v>
      </c>
      <c r="G1522" s="80">
        <f>7102552587845</f>
        <v>7102552587845</v>
      </c>
      <c r="H1522" s="80">
        <f>I1522-1077934573-176357364465-101522362720-359004028390</f>
        <v>4113897177891</v>
      </c>
      <c r="I1522" s="80">
        <f>4751858868039</f>
        <v>4751858868039</v>
      </c>
      <c r="J1522" s="80">
        <f>605273682429+79081799493</f>
        <v>684355481922</v>
      </c>
      <c r="K1522" s="80">
        <f>2350693719506</f>
        <v>2350693719506</v>
      </c>
      <c r="L1522" s="80">
        <f>3534767337954</f>
        <v>3534767337954</v>
      </c>
      <c r="M1522" s="80">
        <f>286272929846</f>
        <v>286272929846</v>
      </c>
      <c r="N1522" s="80">
        <f>266102522369</f>
        <v>266102522369</v>
      </c>
      <c r="O1522" s="82">
        <v>1</v>
      </c>
      <c r="P1522" s="83" t="s">
        <v>301</v>
      </c>
      <c r="Q1522" s="80">
        <v>1</v>
      </c>
      <c r="R1522" s="80">
        <v>4</v>
      </c>
      <c r="S1522" s="80">
        <v>4</v>
      </c>
      <c r="T1522" s="80">
        <f t="shared" ref="T1522:T1530" si="144">SUM(R1522:S1522)</f>
        <v>8</v>
      </c>
      <c r="U1522" s="84">
        <v>0</v>
      </c>
      <c r="V1522" s="80">
        <f>4+(2*3)+(3*1)</f>
        <v>13</v>
      </c>
      <c r="W1522" s="80">
        <f t="shared" si="142"/>
        <v>13</v>
      </c>
      <c r="X1522" s="80">
        <f>4+(2*3)+(3*1)</f>
        <v>13</v>
      </c>
      <c r="Y1522" s="78"/>
    </row>
    <row r="1523" spans="1:25" s="81" customFormat="1" ht="15" customHeight="1" x14ac:dyDescent="0.3">
      <c r="A1523" s="77"/>
      <c r="B1523" s="78"/>
      <c r="C1523" s="79"/>
      <c r="D1523" s="78">
        <v>2017</v>
      </c>
      <c r="E1523" s="80">
        <f>188809508250</f>
        <v>188809508250</v>
      </c>
      <c r="F1523" s="80">
        <f>E1523+975242999340+360025274637+1024635176730+51735847807</f>
        <v>2600448806764</v>
      </c>
      <c r="G1523" s="80">
        <f>8087703411676</f>
        <v>8087703411676</v>
      </c>
      <c r="H1523" s="80">
        <f>I1523-2739908182-171527251192-38080182465-353103625545</f>
        <v>4638825808781</v>
      </c>
      <c r="I1523" s="80">
        <f>5204276776165</f>
        <v>5204276776165</v>
      </c>
      <c r="J1523" s="80">
        <f>605273682429+197674650879</f>
        <v>802948333308</v>
      </c>
      <c r="K1523" s="80">
        <f>2883426635511</f>
        <v>2883426635511</v>
      </c>
      <c r="L1523" s="80">
        <f>3905400553831</f>
        <v>3905400553831</v>
      </c>
      <c r="M1523" s="80">
        <f>163890861620</f>
        <v>163890861620</v>
      </c>
      <c r="N1523" s="80">
        <f>155878629657</f>
        <v>155878629657</v>
      </c>
      <c r="O1523" s="82">
        <v>1</v>
      </c>
      <c r="P1523" s="83" t="s">
        <v>301</v>
      </c>
      <c r="Q1523" s="80">
        <v>1</v>
      </c>
      <c r="R1523" s="80">
        <v>4</v>
      </c>
      <c r="S1523" s="80">
        <v>4</v>
      </c>
      <c r="T1523" s="80">
        <f t="shared" si="144"/>
        <v>8</v>
      </c>
      <c r="U1523" s="84">
        <v>0</v>
      </c>
      <c r="V1523" s="80">
        <f>4+(2*3)+(3*1)</f>
        <v>13</v>
      </c>
      <c r="W1523" s="80">
        <f t="shared" si="142"/>
        <v>13</v>
      </c>
      <c r="X1523" s="80">
        <f>4+(2*3)+(3*1)</f>
        <v>13</v>
      </c>
      <c r="Y1523" s="78"/>
    </row>
    <row r="1524" spans="1:25" s="81" customFormat="1" ht="15" customHeight="1" x14ac:dyDescent="0.3">
      <c r="A1524" s="77"/>
      <c r="B1524" s="78"/>
      <c r="C1524" s="79"/>
      <c r="D1524" s="78">
        <v>2018</v>
      </c>
      <c r="E1524" s="80">
        <f>68560251693</f>
        <v>68560251693</v>
      </c>
      <c r="F1524" s="80">
        <f>E1524+865623036792+582703498882+1325617917344+45081169605</f>
        <v>2887585874316</v>
      </c>
      <c r="G1524" s="80">
        <f>8691696386615</f>
        <v>8691696386615</v>
      </c>
      <c r="H1524" s="80">
        <f>I1524-4383453170-156416474954-38080182465-347203222753</f>
        <v>5240697941724</v>
      </c>
      <c r="I1524" s="80">
        <f>5786781275066</f>
        <v>5786781275066</v>
      </c>
      <c r="J1524" s="80">
        <f>605273682429+443056452697</f>
        <v>1048330135126</v>
      </c>
      <c r="K1524" s="80">
        <f>2904915111549</f>
        <v>2904915111549</v>
      </c>
      <c r="L1524" s="80">
        <f>4136519592430</f>
        <v>4136519592430</v>
      </c>
      <c r="M1524" s="80">
        <f>200584849317</f>
        <v>200584849317</v>
      </c>
      <c r="N1524" s="80">
        <f>203386075809</f>
        <v>203386075809</v>
      </c>
      <c r="O1524" s="82">
        <v>1</v>
      </c>
      <c r="P1524" s="83" t="s">
        <v>301</v>
      </c>
      <c r="Q1524" s="80">
        <v>1</v>
      </c>
      <c r="R1524" s="80">
        <v>4</v>
      </c>
      <c r="S1524" s="80">
        <v>4</v>
      </c>
      <c r="T1524" s="80">
        <f t="shared" si="144"/>
        <v>8</v>
      </c>
      <c r="U1524" s="84">
        <v>0</v>
      </c>
      <c r="V1524" s="80">
        <f>4+(2*3)+(3*1)</f>
        <v>13</v>
      </c>
      <c r="W1524" s="80">
        <f t="shared" si="142"/>
        <v>13</v>
      </c>
      <c r="X1524" s="80">
        <f>4+(2*3)+(3*1)</f>
        <v>13</v>
      </c>
      <c r="Y1524" s="78"/>
    </row>
    <row r="1525" spans="1:25" s="81" customFormat="1" ht="15" customHeight="1" x14ac:dyDescent="0.3">
      <c r="A1525" s="77"/>
      <c r="B1525" s="78"/>
      <c r="C1525" s="79"/>
      <c r="D1525" s="78">
        <v>2019</v>
      </c>
      <c r="E1525" s="80">
        <f>246321163686</f>
        <v>246321163686</v>
      </c>
      <c r="F1525" s="80">
        <f>E1525+1068526725708+620479428128+1619976835191+29790047140</f>
        <v>3585094199853</v>
      </c>
      <c r="G1525" s="80">
        <f>9783822105104</f>
        <v>9783822105104</v>
      </c>
      <c r="H1525" s="80">
        <f>I1525-7679249882-145448545401-38080182465-341302819908</f>
        <v>6024665070223</v>
      </c>
      <c r="I1525" s="80">
        <f>6557175867879</f>
        <v>6557175867879</v>
      </c>
      <c r="J1525" s="80">
        <f>605273682429+651656811471</f>
        <v>1256930493900</v>
      </c>
      <c r="K1525" s="80">
        <f>3226646237225</f>
        <v>3226646237225</v>
      </c>
      <c r="L1525" s="80">
        <f>4385732443445</f>
        <v>4385732443445</v>
      </c>
      <c r="M1525" s="80">
        <f>231693464506</f>
        <v>231693464506</v>
      </c>
      <c r="N1525" s="80">
        <f>219840490426</f>
        <v>219840490426</v>
      </c>
      <c r="O1525" s="82">
        <v>1</v>
      </c>
      <c r="P1525" s="83" t="s">
        <v>301</v>
      </c>
      <c r="Q1525" s="80">
        <v>1</v>
      </c>
      <c r="R1525" s="80">
        <v>4</v>
      </c>
      <c r="S1525" s="80">
        <v>3</v>
      </c>
      <c r="T1525" s="80">
        <f t="shared" si="144"/>
        <v>7</v>
      </c>
      <c r="U1525" s="84">
        <v>0</v>
      </c>
      <c r="V1525" s="80">
        <f>4+(2*3)+(3*1)</f>
        <v>13</v>
      </c>
      <c r="W1525" s="80">
        <f t="shared" si="142"/>
        <v>13</v>
      </c>
      <c r="X1525" s="80">
        <f>3+(2*3)</f>
        <v>9</v>
      </c>
      <c r="Y1525" s="78"/>
    </row>
    <row r="1526" spans="1:25" s="81" customFormat="1" ht="15" customHeight="1" x14ac:dyDescent="0.3">
      <c r="A1526" s="77"/>
      <c r="B1526" s="78"/>
      <c r="C1526" s="79"/>
      <c r="D1526" s="78">
        <v>2020</v>
      </c>
      <c r="E1526" s="80">
        <f>109070071537</f>
        <v>109070071537</v>
      </c>
      <c r="F1526" s="80">
        <f>E1526+1093793456612+869244536479+1772655398896+35249365059</f>
        <v>3880012828583</v>
      </c>
      <c r="G1526" s="80">
        <f>10491570839836</f>
        <v>10491570839836</v>
      </c>
      <c r="H1526" s="80">
        <f>I1526-1252891656-145857466046-38080182465-338351618486</f>
        <v>6538404729036</v>
      </c>
      <c r="I1526" s="80">
        <f>7061946887689</f>
        <v>7061946887689</v>
      </c>
      <c r="J1526" s="80">
        <f>1018329912842+352100756484</f>
        <v>1370430669326</v>
      </c>
      <c r="K1526" s="80">
        <f>3429623952147</f>
        <v>3429623952147</v>
      </c>
      <c r="L1526" s="80">
        <f>4365553524897</f>
        <v>4365553524897</v>
      </c>
      <c r="M1526" s="80">
        <f>94732699395</f>
        <v>94732699395</v>
      </c>
      <c r="N1526" s="80">
        <f>104051805294</f>
        <v>104051805294</v>
      </c>
      <c r="O1526" s="82">
        <v>1</v>
      </c>
      <c r="P1526" s="83" t="s">
        <v>301</v>
      </c>
      <c r="Q1526" s="80">
        <v>1</v>
      </c>
      <c r="R1526" s="80">
        <v>4</v>
      </c>
      <c r="S1526" s="80">
        <v>5</v>
      </c>
      <c r="T1526" s="80">
        <f t="shared" si="144"/>
        <v>9</v>
      </c>
      <c r="U1526" s="84">
        <v>0</v>
      </c>
      <c r="V1526" s="80">
        <f>4+(2*3)+(3*1)</f>
        <v>13</v>
      </c>
      <c r="W1526" s="80">
        <f t="shared" si="142"/>
        <v>13</v>
      </c>
      <c r="X1526" s="80">
        <f>5+(2*3)</f>
        <v>11</v>
      </c>
      <c r="Y1526" s="78"/>
    </row>
    <row r="1527" spans="1:25" s="81" customFormat="1" ht="15" customHeight="1" x14ac:dyDescent="0.3">
      <c r="A1527" s="77"/>
      <c r="B1527" s="78"/>
      <c r="C1527" s="79"/>
      <c r="D1527" s="78">
        <v>2021</v>
      </c>
      <c r="E1527" s="80">
        <f>147398913561</f>
        <v>147398913561</v>
      </c>
      <c r="F1527" s="80">
        <f>E1527+1075599521622+925662641986+2095530996061+35153763349</f>
        <v>4279345836579</v>
      </c>
      <c r="G1527" s="80">
        <f>11125019322948</f>
        <v>11125019322948</v>
      </c>
      <c r="H1527" s="80">
        <f>I1527-1784069737-147348243161-169925220954-338352618486</f>
        <v>7714230329067</v>
      </c>
      <c r="I1527" s="80">
        <f>8371640481405</f>
        <v>8371640481405</v>
      </c>
      <c r="J1527" s="80">
        <f>1018329912842-171162825476</f>
        <v>847167087366</v>
      </c>
      <c r="K1527" s="80">
        <f>2753378841543</f>
        <v>2753378841543</v>
      </c>
      <c r="L1527" s="80">
        <f>3961291677707</f>
        <v>3961291677707</v>
      </c>
      <c r="M1527" s="80">
        <f>-568477401643</f>
        <v>-568477401643</v>
      </c>
      <c r="N1527" s="80">
        <f>-517856820373</f>
        <v>-517856820373</v>
      </c>
      <c r="O1527" s="82">
        <v>1</v>
      </c>
      <c r="P1527" s="83" t="s">
        <v>301</v>
      </c>
      <c r="Q1527" s="80">
        <v>2</v>
      </c>
      <c r="R1527" s="80">
        <v>4</v>
      </c>
      <c r="S1527" s="80">
        <v>5</v>
      </c>
      <c r="T1527" s="80">
        <f t="shared" si="144"/>
        <v>9</v>
      </c>
      <c r="U1527" s="84">
        <v>0</v>
      </c>
      <c r="V1527" s="80">
        <f>4+(2*4)+(3*1)</f>
        <v>15</v>
      </c>
      <c r="W1527" s="80">
        <f t="shared" si="142"/>
        <v>15</v>
      </c>
      <c r="X1527" s="80">
        <f>5+(2*4)</f>
        <v>13</v>
      </c>
      <c r="Y1527" s="78"/>
    </row>
    <row r="1528" spans="1:25" s="81" customFormat="1" ht="15" customHeight="1" x14ac:dyDescent="0.3">
      <c r="A1528" s="77"/>
      <c r="B1528" s="78"/>
      <c r="C1528" s="79"/>
      <c r="D1528" s="78">
        <v>2022</v>
      </c>
      <c r="E1528" s="80">
        <f>67190536855</f>
        <v>67190536855</v>
      </c>
      <c r="F1528" s="80">
        <f>E1528+965275661968+1004073960489+2429920085778+26460905051</f>
        <v>4492921150141</v>
      </c>
      <c r="G1528" s="80">
        <f>11382483837823</f>
        <v>11382483837823</v>
      </c>
      <c r="H1528" s="80">
        <f>I1528-2942725558-124846379021-115165907478-331585566116</f>
        <v>8242900253718</v>
      </c>
      <c r="I1528" s="80">
        <f>8817440831891</f>
        <v>8817440831891</v>
      </c>
      <c r="J1528" s="80">
        <f>1018329912842-374422179273</f>
        <v>643907733569</v>
      </c>
      <c r="K1528" s="80">
        <f>2565043005932</f>
        <v>2565043005932</v>
      </c>
      <c r="L1528" s="80">
        <f>4171958589419</f>
        <v>4171958589419</v>
      </c>
      <c r="M1528" s="80">
        <f>-243093877501</f>
        <v>-243093877501</v>
      </c>
      <c r="N1528" s="80">
        <f>-219018930068</f>
        <v>-219018930068</v>
      </c>
      <c r="O1528" s="82">
        <v>1</v>
      </c>
      <c r="P1528" s="83" t="s">
        <v>301</v>
      </c>
      <c r="Q1528" s="80">
        <v>3</v>
      </c>
      <c r="R1528" s="80">
        <v>5</v>
      </c>
      <c r="S1528" s="80">
        <v>5</v>
      </c>
      <c r="T1528" s="80">
        <f t="shared" si="144"/>
        <v>10</v>
      </c>
      <c r="U1528" s="84">
        <v>0</v>
      </c>
      <c r="V1528" s="80">
        <f>5+(2*4)+(3*1)</f>
        <v>16</v>
      </c>
      <c r="W1528" s="80">
        <f t="shared" si="142"/>
        <v>16</v>
      </c>
      <c r="X1528" s="80">
        <f>5+(2*4)</f>
        <v>13</v>
      </c>
      <c r="Y1528" s="78"/>
    </row>
    <row r="1529" spans="1:25" s="81" customFormat="1" ht="15" customHeight="1" x14ac:dyDescent="0.3">
      <c r="A1529" s="77"/>
      <c r="B1529" s="78"/>
      <c r="C1529" s="79"/>
      <c r="D1529" s="78">
        <v>2023</v>
      </c>
      <c r="E1529" s="80">
        <f>185908672711</f>
        <v>185908672711</v>
      </c>
      <c r="F1529" s="80">
        <f>E1529+1109126025631+1122766147115+4503796449017+34889920871</f>
        <v>6956487215345</v>
      </c>
      <c r="G1529" s="80">
        <f>14206716404940</f>
        <v>14206716404940</v>
      </c>
      <c r="H1529" s="80">
        <f>I1529-8592447890-121071561624-59595438930-328202039931</f>
        <v>10983537357645</v>
      </c>
      <c r="I1529" s="80">
        <f>11500998846020</f>
        <v>11500998846020</v>
      </c>
      <c r="J1529" s="80">
        <f>1018329912842-344022020807</f>
        <v>674307892035</v>
      </c>
      <c r="K1529" s="80">
        <f>2705717558920</f>
        <v>2705717558920</v>
      </c>
      <c r="L1529" s="80">
        <f>3389674670236</f>
        <v>3389674670236</v>
      </c>
      <c r="M1529" s="80">
        <f>8748326673</f>
        <v>8748326673</v>
      </c>
      <c r="N1529" s="80">
        <f>56040281607</f>
        <v>56040281607</v>
      </c>
      <c r="O1529" s="82">
        <v>1</v>
      </c>
      <c r="P1529" s="83" t="s">
        <v>301</v>
      </c>
      <c r="Q1529" s="80">
        <v>3</v>
      </c>
      <c r="R1529" s="80">
        <v>5</v>
      </c>
      <c r="S1529" s="80">
        <v>5</v>
      </c>
      <c r="T1529" s="80">
        <f t="shared" si="144"/>
        <v>10</v>
      </c>
      <c r="U1529" s="84">
        <v>0</v>
      </c>
      <c r="V1529" s="80">
        <f>5+(2*4)+(3*1)</f>
        <v>16</v>
      </c>
      <c r="W1529" s="80">
        <f>V1529</f>
        <v>16</v>
      </c>
      <c r="X1529" s="80">
        <f>5+(2*4)</f>
        <v>13</v>
      </c>
      <c r="Y1529" s="78"/>
    </row>
    <row r="1530" spans="1:25" s="81" customFormat="1" ht="15" customHeight="1" x14ac:dyDescent="0.3">
      <c r="A1530" s="77"/>
      <c r="B1530" s="78"/>
      <c r="C1530" s="79"/>
      <c r="D1530" s="78">
        <v>2024</v>
      </c>
      <c r="E1530" s="80">
        <f>277097197572</f>
        <v>277097197572</v>
      </c>
      <c r="F1530" s="80">
        <f>E1530+1110632301497+1088609970584+4925789969348+24990054287</f>
        <v>7427119493288</v>
      </c>
      <c r="G1530" s="80">
        <f>15296696649798</f>
        <v>15296696649798</v>
      </c>
      <c r="H1530" s="80">
        <f>I1530-9344050918-115432080072-226702155505-324818513746</f>
        <v>12095378518152</v>
      </c>
      <c r="I1530" s="80">
        <f>12771675318393</f>
        <v>12771675318393</v>
      </c>
      <c r="J1530" s="80">
        <f>1018329912842-264295342121</f>
        <v>754034570721</v>
      </c>
      <c r="K1530" s="80">
        <f>2525021331405</f>
        <v>2525021331405</v>
      </c>
      <c r="L1530" s="80">
        <f>3509098660965</f>
        <v>3509098660965</v>
      </c>
      <c r="M1530" s="80">
        <f>10182864612</f>
        <v>10182864612</v>
      </c>
      <c r="N1530" s="80">
        <f>72779413836</f>
        <v>72779413836</v>
      </c>
      <c r="O1530" s="82">
        <v>1</v>
      </c>
      <c r="P1530" s="83" t="s">
        <v>301</v>
      </c>
      <c r="Q1530" s="80">
        <v>3</v>
      </c>
      <c r="R1530" s="80">
        <v>3</v>
      </c>
      <c r="S1530" s="80">
        <v>5</v>
      </c>
      <c r="T1530" s="80">
        <f t="shared" si="144"/>
        <v>8</v>
      </c>
      <c r="U1530" s="84">
        <v>0</v>
      </c>
      <c r="V1530" s="80">
        <f>3+(2*2)+(3*1)</f>
        <v>10</v>
      </c>
      <c r="W1530" s="80">
        <f t="shared" si="142"/>
        <v>10</v>
      </c>
      <c r="X1530" s="80">
        <f>5+(2*4)</f>
        <v>13</v>
      </c>
      <c r="Y1530" s="78"/>
    </row>
    <row r="1531" spans="1:25" s="81" customFormat="1" ht="15" customHeight="1" x14ac:dyDescent="0.3">
      <c r="A1531" s="77"/>
      <c r="B1531" s="78">
        <v>140</v>
      </c>
      <c r="C1531" s="79" t="s">
        <v>139</v>
      </c>
      <c r="D1531" s="78">
        <v>2014</v>
      </c>
      <c r="E1531" s="80">
        <v>0</v>
      </c>
      <c r="F1531" s="80">
        <v>0</v>
      </c>
      <c r="G1531" s="80">
        <v>0</v>
      </c>
      <c r="H1531" s="80">
        <v>0</v>
      </c>
      <c r="I1531" s="80">
        <v>0</v>
      </c>
      <c r="J1531" s="80">
        <v>0</v>
      </c>
      <c r="K1531" s="80">
        <v>0</v>
      </c>
      <c r="L1531" s="80">
        <f>141963*1000000</f>
        <v>141963000000</v>
      </c>
      <c r="M1531" s="80">
        <v>0</v>
      </c>
      <c r="N1531" s="80">
        <v>0</v>
      </c>
      <c r="O1531" s="80">
        <v>0</v>
      </c>
      <c r="P1531" s="80">
        <v>0</v>
      </c>
      <c r="Q1531" s="80">
        <v>0</v>
      </c>
      <c r="R1531" s="80">
        <v>0</v>
      </c>
      <c r="S1531" s="80">
        <v>0</v>
      </c>
      <c r="T1531" s="80">
        <v>0</v>
      </c>
      <c r="U1531" s="80">
        <v>0</v>
      </c>
      <c r="V1531" s="80">
        <v>0</v>
      </c>
      <c r="W1531" s="80">
        <v>0</v>
      </c>
      <c r="X1531" s="80">
        <v>0</v>
      </c>
      <c r="Y1531" s="78"/>
    </row>
    <row r="1532" spans="1:25" s="81" customFormat="1" ht="15" customHeight="1" x14ac:dyDescent="0.3">
      <c r="A1532" s="77"/>
      <c r="B1532" s="78"/>
      <c r="C1532" s="79"/>
      <c r="D1532" s="78">
        <v>2015</v>
      </c>
      <c r="E1532" s="80">
        <f>4077*1000000</f>
        <v>4077000000</v>
      </c>
      <c r="F1532" s="80">
        <f>(4077+72690+141+4087+32643+9705)*1000000</f>
        <v>123343000000</v>
      </c>
      <c r="G1532" s="80">
        <f>488607*1000000</f>
        <v>488607000000</v>
      </c>
      <c r="H1532" s="80">
        <f>(174837-6264-96813-21862)*1000000</f>
        <v>49898000000</v>
      </c>
      <c r="I1532" s="80">
        <f>174837*1000000</f>
        <v>174837000000</v>
      </c>
      <c r="J1532" s="80">
        <f>(28765+234878)*1000000</f>
        <v>263643000000</v>
      </c>
      <c r="K1532" s="80">
        <f>313769*1000000</f>
        <v>313769000000</v>
      </c>
      <c r="L1532" s="80">
        <f>194516*1000000</f>
        <v>194516000000</v>
      </c>
      <c r="M1532" s="80">
        <f>85116*1000000</f>
        <v>85116000000</v>
      </c>
      <c r="N1532" s="80">
        <f>66633*1000000</f>
        <v>66633000000</v>
      </c>
      <c r="O1532" s="82">
        <v>0.4506</v>
      </c>
      <c r="P1532" s="83" t="s">
        <v>286</v>
      </c>
      <c r="Q1532" s="80">
        <v>1</v>
      </c>
      <c r="R1532" s="80">
        <v>5</v>
      </c>
      <c r="S1532" s="80">
        <v>3</v>
      </c>
      <c r="T1532" s="80">
        <f>SUM(R1532:S1532)</f>
        <v>8</v>
      </c>
      <c r="U1532" s="84">
        <v>0</v>
      </c>
      <c r="V1532" s="80">
        <f>5+(2*3)</f>
        <v>11</v>
      </c>
      <c r="W1532" s="80">
        <f t="shared" si="142"/>
        <v>11</v>
      </c>
      <c r="X1532" s="80">
        <f>3</f>
        <v>3</v>
      </c>
      <c r="Y1532" s="78"/>
    </row>
    <row r="1533" spans="1:25" s="81" customFormat="1" ht="15" customHeight="1" x14ac:dyDescent="0.3">
      <c r="A1533" s="77"/>
      <c r="B1533" s="78"/>
      <c r="C1533" s="79"/>
      <c r="D1533" s="78">
        <v>2016</v>
      </c>
      <c r="E1533" s="80">
        <f>3661*1000000</f>
        <v>3661000000</v>
      </c>
      <c r="F1533" s="80">
        <f>(3661+51134+3+694+16278+9922)*1000000</f>
        <v>81692000000</v>
      </c>
      <c r="G1533" s="80">
        <f>513507*1000000</f>
        <v>513507000000</v>
      </c>
      <c r="H1533" s="80">
        <f>(144733-6536-12634-91875)*1000000</f>
        <v>33688000000</v>
      </c>
      <c r="I1533" s="80">
        <f>144733*1000000</f>
        <v>144733000000</v>
      </c>
      <c r="J1533" s="80">
        <f>(35397+283250)*1000000</f>
        <v>318647000000</v>
      </c>
      <c r="K1533" s="80">
        <f>368773*1000000</f>
        <v>368773000000</v>
      </c>
      <c r="L1533" s="80">
        <f>185095*1000000</f>
        <v>185095000000</v>
      </c>
      <c r="M1533" s="80">
        <f>87910*1000000</f>
        <v>87910000000</v>
      </c>
      <c r="N1533" s="80">
        <f>69927*1000000</f>
        <v>69927000000</v>
      </c>
      <c r="O1533" s="82">
        <v>0.45129999999999998</v>
      </c>
      <c r="P1533" s="83" t="s">
        <v>286</v>
      </c>
      <c r="Q1533" s="80">
        <v>1</v>
      </c>
      <c r="R1533" s="80">
        <v>4</v>
      </c>
      <c r="S1533" s="80">
        <v>3</v>
      </c>
      <c r="T1533" s="80">
        <f t="shared" ref="T1533:T1541" si="145">SUM(R1533:S1533)</f>
        <v>7</v>
      </c>
      <c r="U1533" s="84">
        <v>0</v>
      </c>
      <c r="V1533" s="80">
        <f>4+(2*2)</f>
        <v>8</v>
      </c>
      <c r="W1533" s="80">
        <f t="shared" si="142"/>
        <v>8</v>
      </c>
      <c r="X1533" s="80">
        <f>3</f>
        <v>3</v>
      </c>
      <c r="Y1533" s="78"/>
    </row>
    <row r="1534" spans="1:25" s="81" customFormat="1" ht="15" customHeight="1" x14ac:dyDescent="0.3">
      <c r="A1534" s="77"/>
      <c r="B1534" s="78"/>
      <c r="C1534" s="79"/>
      <c r="D1534" s="78">
        <v>2017</v>
      </c>
      <c r="E1534" s="80">
        <f>4478*1000000</f>
        <v>4478000000</v>
      </c>
      <c r="F1534" s="80">
        <f>(4478+54781+42303+1340+1322)*1000000</f>
        <v>104224000000</v>
      </c>
      <c r="G1534" s="80">
        <f>589348*1000000</f>
        <v>589348000000</v>
      </c>
      <c r="H1534" s="80">
        <f>42136*1000000</f>
        <v>42136000000</v>
      </c>
      <c r="I1534" s="80">
        <f>158855*1000000</f>
        <v>158855000000</v>
      </c>
      <c r="J1534" s="80">
        <f>380368*1000000</f>
        <v>380368000000</v>
      </c>
      <c r="K1534" s="80">
        <f>430493*1000000</f>
        <v>430493000000</v>
      </c>
      <c r="L1534" s="80">
        <f>140262*1000000</f>
        <v>140262000000</v>
      </c>
      <c r="M1534" s="80">
        <f>94232*1000000</f>
        <v>94232000000</v>
      </c>
      <c r="N1534" s="80">
        <f>77253*1000000</f>
        <v>77253000000</v>
      </c>
      <c r="O1534" s="82">
        <v>0.45129999999999998</v>
      </c>
      <c r="P1534" s="83" t="s">
        <v>286</v>
      </c>
      <c r="Q1534" s="80">
        <v>1</v>
      </c>
      <c r="R1534" s="80">
        <v>4</v>
      </c>
      <c r="S1534" s="80">
        <v>3</v>
      </c>
      <c r="T1534" s="80">
        <f t="shared" si="145"/>
        <v>7</v>
      </c>
      <c r="U1534" s="84">
        <v>0</v>
      </c>
      <c r="V1534" s="80">
        <f>4+(2*2)</f>
        <v>8</v>
      </c>
      <c r="W1534" s="80">
        <f t="shared" si="142"/>
        <v>8</v>
      </c>
      <c r="X1534" s="80">
        <f>3</f>
        <v>3</v>
      </c>
      <c r="Y1534" s="78"/>
    </row>
    <row r="1535" spans="1:25" s="81" customFormat="1" ht="15" customHeight="1" x14ac:dyDescent="0.3">
      <c r="A1535" s="77"/>
      <c r="B1535" s="78"/>
      <c r="C1535" s="79"/>
      <c r="D1535" s="78">
        <v>2018</v>
      </c>
      <c r="E1535" s="80">
        <f>3501*1000000</f>
        <v>3501000000</v>
      </c>
      <c r="F1535" s="80">
        <f>(3501+59422+377454+1+1552)*1000000</f>
        <v>441930000000</v>
      </c>
      <c r="G1535" s="80">
        <f>980249*1000000</f>
        <v>980249000000</v>
      </c>
      <c r="H1535" s="80">
        <f>63291*1000000</f>
        <v>63291000000</v>
      </c>
      <c r="I1535" s="80">
        <f>537559*1000000</f>
        <v>537559000000</v>
      </c>
      <c r="J1535" s="80">
        <f>390854*1000000</f>
        <v>390854000000</v>
      </c>
      <c r="K1535" s="80">
        <f>442690*1000000</f>
        <v>442690000000</v>
      </c>
      <c r="L1535" s="80">
        <f>151968*1000000</f>
        <v>151968000000</v>
      </c>
      <c r="M1535" s="80">
        <f>35963*1000000</f>
        <v>35963000000</v>
      </c>
      <c r="N1535" s="80">
        <f>27644*1000000</f>
        <v>27644000000</v>
      </c>
      <c r="O1535" s="82">
        <v>0.45140000000000002</v>
      </c>
      <c r="P1535" s="83" t="s">
        <v>286</v>
      </c>
      <c r="Q1535" s="80">
        <v>1</v>
      </c>
      <c r="R1535" s="80">
        <v>5</v>
      </c>
      <c r="S1535" s="80">
        <v>3</v>
      </c>
      <c r="T1535" s="80">
        <f t="shared" si="145"/>
        <v>8</v>
      </c>
      <c r="U1535" s="84">
        <v>0</v>
      </c>
      <c r="V1535" s="80">
        <f t="shared" ref="V1535:V1540" si="146">5+(2*1)</f>
        <v>7</v>
      </c>
      <c r="W1535" s="80">
        <f t="shared" si="142"/>
        <v>7</v>
      </c>
      <c r="X1535" s="80">
        <f t="shared" ref="X1535:X1540" si="147">3+(2*2)+(3*1)</f>
        <v>10</v>
      </c>
      <c r="Y1535" s="78"/>
    </row>
    <row r="1536" spans="1:25" s="81" customFormat="1" ht="15" customHeight="1" x14ac:dyDescent="0.3">
      <c r="A1536" s="77"/>
      <c r="B1536" s="78"/>
      <c r="C1536" s="79"/>
      <c r="D1536" s="78">
        <v>2019</v>
      </c>
      <c r="E1536" s="80">
        <f>2713*1000000</f>
        <v>2713000000</v>
      </c>
      <c r="F1536" s="80">
        <f>(2713+58121+160599+5932+1489)*1000000</f>
        <v>228854000000</v>
      </c>
      <c r="G1536" s="80">
        <f>864815*1000000</f>
        <v>864815000000</v>
      </c>
      <c r="H1536" s="80">
        <f>70553*1000000</f>
        <v>70553000000</v>
      </c>
      <c r="I1536" s="80">
        <f>358159*1000000</f>
        <v>358159000000</v>
      </c>
      <c r="J1536" s="80">
        <f>453860*1000000</f>
        <v>453860000000</v>
      </c>
      <c r="K1536" s="80">
        <f>506656*1000000</f>
        <v>506656000000</v>
      </c>
      <c r="L1536" s="80">
        <f>151861*1000000</f>
        <v>151861000000</v>
      </c>
      <c r="M1536" s="80">
        <f>77422*1000000</f>
        <v>77422000000</v>
      </c>
      <c r="N1536" s="80">
        <f>65926*1000000</f>
        <v>65926000000</v>
      </c>
      <c r="O1536" s="82">
        <v>0.44519999999999998</v>
      </c>
      <c r="P1536" s="83" t="s">
        <v>286</v>
      </c>
      <c r="Q1536" s="80">
        <v>1</v>
      </c>
      <c r="R1536" s="80">
        <v>5</v>
      </c>
      <c r="S1536" s="80">
        <v>3</v>
      </c>
      <c r="T1536" s="80">
        <f t="shared" si="145"/>
        <v>8</v>
      </c>
      <c r="U1536" s="84">
        <v>0</v>
      </c>
      <c r="V1536" s="80">
        <f t="shared" si="146"/>
        <v>7</v>
      </c>
      <c r="W1536" s="80">
        <f t="shared" si="142"/>
        <v>7</v>
      </c>
      <c r="X1536" s="80">
        <f t="shared" si="147"/>
        <v>10</v>
      </c>
      <c r="Y1536" s="78"/>
    </row>
    <row r="1537" spans="1:25" s="81" customFormat="1" ht="15" customHeight="1" x14ac:dyDescent="0.3">
      <c r="A1537" s="77"/>
      <c r="B1537" s="78"/>
      <c r="C1537" s="79"/>
      <c r="D1537" s="78">
        <v>2020</v>
      </c>
      <c r="E1537" s="80">
        <f>2428*1000000</f>
        <v>2428000000</v>
      </c>
      <c r="F1537" s="80">
        <f>(2428+39056+86303+3225+3217)*1000000</f>
        <v>134229000000</v>
      </c>
      <c r="G1537" s="80">
        <f>822014*1000000</f>
        <v>822014000000</v>
      </c>
      <c r="H1537" s="80">
        <f>56089*1000000</f>
        <v>56089000000</v>
      </c>
      <c r="I1537" s="80">
        <f>238207*1000000</f>
        <v>238207000000</v>
      </c>
      <c r="J1537" s="80">
        <f>531011*1000000</f>
        <v>531011000000</v>
      </c>
      <c r="K1537" s="80">
        <f>583807*1000000</f>
        <v>583807000000</v>
      </c>
      <c r="L1537" s="80">
        <f>132766*1000000</f>
        <v>132766000000</v>
      </c>
      <c r="M1537" s="80">
        <f>97151*1000000</f>
        <v>97151000000</v>
      </c>
      <c r="N1537" s="80">
        <f>83480*1000000</f>
        <v>83480000000</v>
      </c>
      <c r="O1537" s="82">
        <v>0.44519999999999998</v>
      </c>
      <c r="P1537" s="83" t="s">
        <v>286</v>
      </c>
      <c r="Q1537" s="80">
        <v>1</v>
      </c>
      <c r="R1537" s="80">
        <v>5</v>
      </c>
      <c r="S1537" s="80">
        <v>3</v>
      </c>
      <c r="T1537" s="80">
        <f t="shared" si="145"/>
        <v>8</v>
      </c>
      <c r="U1537" s="84">
        <v>0</v>
      </c>
      <c r="V1537" s="80">
        <f t="shared" si="146"/>
        <v>7</v>
      </c>
      <c r="W1537" s="80">
        <f t="shared" si="142"/>
        <v>7</v>
      </c>
      <c r="X1537" s="80">
        <f t="shared" si="147"/>
        <v>10</v>
      </c>
      <c r="Y1537" s="78"/>
    </row>
    <row r="1538" spans="1:25" s="81" customFormat="1" ht="15" customHeight="1" x14ac:dyDescent="0.3">
      <c r="A1538" s="77"/>
      <c r="B1538" s="78"/>
      <c r="C1538" s="79"/>
      <c r="D1538" s="78">
        <v>2021</v>
      </c>
      <c r="E1538" s="80">
        <f>4101*1000000</f>
        <v>4101000000</v>
      </c>
      <c r="F1538" s="80">
        <f>(4101+43240+91842+11228+4556)*1000000</f>
        <v>154967000000</v>
      </c>
      <c r="G1538" s="80">
        <f>871603*1000000</f>
        <v>871603000000</v>
      </c>
      <c r="H1538" s="80">
        <f>53285*1000000</f>
        <v>53285000000</v>
      </c>
      <c r="I1538" s="80">
        <f>249996*1000000</f>
        <v>249996000000</v>
      </c>
      <c r="J1538" s="80">
        <f>568811*1000000</f>
        <v>568811000000</v>
      </c>
      <c r="K1538" s="80">
        <f>621607*1000000</f>
        <v>621607000000</v>
      </c>
      <c r="L1538" s="80">
        <f>105439*1000000</f>
        <v>105439000000</v>
      </c>
      <c r="M1538" s="80">
        <f>48961*1000000</f>
        <v>48961000000</v>
      </c>
      <c r="N1538" s="80">
        <f>45576*1000000</f>
        <v>45576000000</v>
      </c>
      <c r="O1538" s="82">
        <v>0.4415</v>
      </c>
      <c r="P1538" s="83" t="s">
        <v>286</v>
      </c>
      <c r="Q1538" s="80">
        <v>1</v>
      </c>
      <c r="R1538" s="80">
        <v>5</v>
      </c>
      <c r="S1538" s="80">
        <v>3</v>
      </c>
      <c r="T1538" s="80">
        <f t="shared" si="145"/>
        <v>8</v>
      </c>
      <c r="U1538" s="84">
        <v>0</v>
      </c>
      <c r="V1538" s="80">
        <f t="shared" si="146"/>
        <v>7</v>
      </c>
      <c r="W1538" s="80">
        <f t="shared" si="142"/>
        <v>7</v>
      </c>
      <c r="X1538" s="80">
        <f t="shared" si="147"/>
        <v>10</v>
      </c>
      <c r="Y1538" s="78"/>
    </row>
    <row r="1539" spans="1:25" s="81" customFormat="1" ht="15" customHeight="1" x14ac:dyDescent="0.3">
      <c r="A1539" s="77"/>
      <c r="B1539" s="78"/>
      <c r="C1539" s="79"/>
      <c r="D1539" s="78">
        <v>2022</v>
      </c>
      <c r="E1539" s="80">
        <f>3078*1000000</f>
        <v>3078000000</v>
      </c>
      <c r="F1539" s="80">
        <f>(3078+46096+78533+9421+3967)*1000000</f>
        <v>141095000000</v>
      </c>
      <c r="G1539" s="80">
        <f>935775*1000000</f>
        <v>935775000000</v>
      </c>
      <c r="H1539" s="80">
        <f>66321*1000000</f>
        <v>66321000000</v>
      </c>
      <c r="I1539" s="80">
        <f>277634*1000000</f>
        <v>277634000000</v>
      </c>
      <c r="J1539" s="80">
        <f>605344*1000000</f>
        <v>605344000000</v>
      </c>
      <c r="K1539" s="80">
        <f>658140*1000000</f>
        <v>658140000000</v>
      </c>
      <c r="L1539" s="80">
        <f>113030*1000000</f>
        <v>113030000000</v>
      </c>
      <c r="M1539" s="80">
        <f>54483*1000000</f>
        <v>54483000000</v>
      </c>
      <c r="N1539" s="80">
        <f>41034*1000000</f>
        <v>41034000000</v>
      </c>
      <c r="O1539" s="82">
        <v>0.4415</v>
      </c>
      <c r="P1539" s="83" t="s">
        <v>286</v>
      </c>
      <c r="Q1539" s="80">
        <v>1</v>
      </c>
      <c r="R1539" s="80">
        <v>5</v>
      </c>
      <c r="S1539" s="80">
        <v>3</v>
      </c>
      <c r="T1539" s="80">
        <f t="shared" si="145"/>
        <v>8</v>
      </c>
      <c r="U1539" s="84">
        <v>0</v>
      </c>
      <c r="V1539" s="80">
        <f t="shared" si="146"/>
        <v>7</v>
      </c>
      <c r="W1539" s="80">
        <f>V1539</f>
        <v>7</v>
      </c>
      <c r="X1539" s="80">
        <f t="shared" si="147"/>
        <v>10</v>
      </c>
      <c r="Y1539" s="78"/>
    </row>
    <row r="1540" spans="1:25" s="81" customFormat="1" ht="15" customHeight="1" x14ac:dyDescent="0.3">
      <c r="A1540" s="77"/>
      <c r="B1540" s="78"/>
      <c r="C1540" s="79"/>
      <c r="D1540" s="78">
        <v>2023</v>
      </c>
      <c r="E1540" s="80">
        <f>3848*1000000</f>
        <v>3848000000</v>
      </c>
      <c r="F1540" s="80">
        <f>(3848+47365+85885+1583+3481)*1000000</f>
        <v>142162000000</v>
      </c>
      <c r="G1540" s="80">
        <f>1015192*1000000</f>
        <v>1015192000000</v>
      </c>
      <c r="H1540" s="80">
        <f>78574*1000000</f>
        <v>78574000000</v>
      </c>
      <c r="I1540" s="80">
        <f>290054*1000000</f>
        <v>290054000000</v>
      </c>
      <c r="J1540" s="80">
        <f>669964*1000000</f>
        <v>669964000000</v>
      </c>
      <c r="K1540" s="80">
        <f>725138*1000000</f>
        <v>725138000000</v>
      </c>
      <c r="L1540" s="80">
        <f>112639*1000000</f>
        <v>112639000000</v>
      </c>
      <c r="M1540" s="80">
        <f>79640*1000000</f>
        <v>79640000000</v>
      </c>
      <c r="N1540" s="80">
        <f>68886*1000000</f>
        <v>68886000000</v>
      </c>
      <c r="O1540" s="82">
        <v>0.44080000000000003</v>
      </c>
      <c r="P1540" s="83" t="s">
        <v>286</v>
      </c>
      <c r="Q1540" s="80">
        <v>1</v>
      </c>
      <c r="R1540" s="80">
        <v>5</v>
      </c>
      <c r="S1540" s="80">
        <v>3</v>
      </c>
      <c r="T1540" s="80">
        <f t="shared" si="145"/>
        <v>8</v>
      </c>
      <c r="U1540" s="84">
        <v>0</v>
      </c>
      <c r="V1540" s="80">
        <f t="shared" si="146"/>
        <v>7</v>
      </c>
      <c r="W1540" s="80">
        <f>V1540</f>
        <v>7</v>
      </c>
      <c r="X1540" s="80">
        <f t="shared" si="147"/>
        <v>10</v>
      </c>
      <c r="Y1540" s="78"/>
    </row>
    <row r="1541" spans="1:25" s="81" customFormat="1" ht="15" customHeight="1" x14ac:dyDescent="0.3">
      <c r="A1541" s="77"/>
      <c r="B1541" s="78"/>
      <c r="C1541" s="79"/>
      <c r="D1541" s="78">
        <v>2024</v>
      </c>
      <c r="E1541" s="80">
        <f>1083*1000000</f>
        <v>1083000000</v>
      </c>
      <c r="F1541" s="80">
        <f>(1083+58769+88748+1051+10496)*1000000</f>
        <v>160147000000</v>
      </c>
      <c r="G1541" s="80">
        <f>1053668*1000000</f>
        <v>1053668000000</v>
      </c>
      <c r="H1541" s="80">
        <f>60071*1000000</f>
        <v>60071000000</v>
      </c>
      <c r="I1541" s="80">
        <f>280757*1000000</f>
        <v>280757000000</v>
      </c>
      <c r="J1541" s="80">
        <f>720114*1000000</f>
        <v>720114000000</v>
      </c>
      <c r="K1541" s="80">
        <f>772910*1000000</f>
        <v>772910000000</v>
      </c>
      <c r="L1541" s="80">
        <f>129657*1000000</f>
        <v>129657000000</v>
      </c>
      <c r="M1541" s="80">
        <f>83690*1000000</f>
        <v>83690000000</v>
      </c>
      <c r="N1541" s="80">
        <f>63889*1000000</f>
        <v>63889000000</v>
      </c>
      <c r="O1541" s="82">
        <v>0.439</v>
      </c>
      <c r="P1541" s="83" t="s">
        <v>286</v>
      </c>
      <c r="Q1541" s="80">
        <v>0</v>
      </c>
      <c r="R1541" s="80">
        <v>3</v>
      </c>
      <c r="S1541" s="80">
        <v>3</v>
      </c>
      <c r="T1541" s="80">
        <f t="shared" si="145"/>
        <v>6</v>
      </c>
      <c r="U1541" s="84">
        <v>0</v>
      </c>
      <c r="V1541" s="80">
        <f>3+4</f>
        <v>7</v>
      </c>
      <c r="W1541" s="80">
        <f>V1541</f>
        <v>7</v>
      </c>
      <c r="X1541" s="80">
        <f>3+4</f>
        <v>7</v>
      </c>
      <c r="Y1541" s="78"/>
    </row>
    <row r="1542" spans="1:25" s="81" customFormat="1" ht="15" customHeight="1" x14ac:dyDescent="0.3">
      <c r="A1542" s="77"/>
      <c r="B1542" s="78">
        <v>141</v>
      </c>
      <c r="C1542" s="79" t="s">
        <v>140</v>
      </c>
      <c r="D1542" s="78">
        <v>2014</v>
      </c>
      <c r="E1542" s="80">
        <v>0</v>
      </c>
      <c r="F1542" s="80">
        <v>0</v>
      </c>
      <c r="G1542" s="80">
        <v>0</v>
      </c>
      <c r="H1542" s="80">
        <v>0</v>
      </c>
      <c r="I1542" s="80">
        <v>0</v>
      </c>
      <c r="J1542" s="80">
        <v>0</v>
      </c>
      <c r="K1542" s="80">
        <v>0</v>
      </c>
      <c r="L1542" s="80">
        <f>1472876*1000000</f>
        <v>1472876000000</v>
      </c>
      <c r="M1542" s="80">
        <v>0</v>
      </c>
      <c r="N1542" s="80">
        <v>0</v>
      </c>
      <c r="O1542" s="80">
        <v>0</v>
      </c>
      <c r="P1542" s="80">
        <v>0</v>
      </c>
      <c r="Q1542" s="80">
        <v>0</v>
      </c>
      <c r="R1542" s="80">
        <v>0</v>
      </c>
      <c r="S1542" s="80">
        <v>0</v>
      </c>
      <c r="T1542" s="80">
        <v>0</v>
      </c>
      <c r="U1542" s="80">
        <v>0</v>
      </c>
      <c r="V1542" s="80">
        <v>0</v>
      </c>
      <c r="W1542" s="80">
        <v>0</v>
      </c>
      <c r="X1542" s="80">
        <v>0</v>
      </c>
      <c r="Y1542" s="78"/>
    </row>
    <row r="1543" spans="1:25" s="81" customFormat="1" ht="15" customHeight="1" x14ac:dyDescent="0.3">
      <c r="A1543" s="77"/>
      <c r="B1543" s="78"/>
      <c r="C1543" s="79"/>
      <c r="D1543" s="78">
        <v>2015</v>
      </c>
      <c r="E1543" s="80">
        <f>16633*1000000</f>
        <v>16633000000</v>
      </c>
      <c r="F1543" s="80">
        <f>(16633+405656+9329+1086654+43+7708+3428)*1000000</f>
        <v>1529451000000</v>
      </c>
      <c r="G1543" s="80">
        <f>4116425*1000000</f>
        <v>4116425000000</v>
      </c>
      <c r="H1543" s="80">
        <f>(72045+55437+22321+36819+819+2791)*1000000</f>
        <v>190232000000</v>
      </c>
      <c r="I1543" s="80">
        <f>2909459*1000000</f>
        <v>2909459000000</v>
      </c>
      <c r="J1543" s="80">
        <f>644824*1000000</f>
        <v>644824000000</v>
      </c>
      <c r="K1543" s="80">
        <f>1182824*1000000</f>
        <v>1182824000000</v>
      </c>
      <c r="L1543" s="80">
        <f>2175959*1000000</f>
        <v>2175959000000</v>
      </c>
      <c r="M1543" s="80">
        <f>295190*1000000</f>
        <v>295190000000</v>
      </c>
      <c r="N1543" s="80">
        <f>251072*1000000</f>
        <v>251072000000</v>
      </c>
      <c r="O1543" s="82">
        <v>0.99990000000000001</v>
      </c>
      <c r="P1543" s="83" t="s">
        <v>100</v>
      </c>
      <c r="Q1543" s="80">
        <v>1</v>
      </c>
      <c r="R1543" s="80">
        <v>3</v>
      </c>
      <c r="S1543" s="80">
        <v>3</v>
      </c>
      <c r="T1543" s="80">
        <f>SUM(R1543:S1543)</f>
        <v>6</v>
      </c>
      <c r="U1543" s="84">
        <v>0</v>
      </c>
      <c r="V1543" s="80">
        <f>3+4</f>
        <v>7</v>
      </c>
      <c r="W1543" s="80">
        <f>V1543</f>
        <v>7</v>
      </c>
      <c r="X1543" s="80">
        <f>3+4</f>
        <v>7</v>
      </c>
      <c r="Y1543" s="78"/>
    </row>
    <row r="1544" spans="1:25" s="81" customFormat="1" ht="15" customHeight="1" x14ac:dyDescent="0.3">
      <c r="A1544" s="77"/>
      <c r="B1544" s="78"/>
      <c r="C1544" s="79"/>
      <c r="D1544" s="78">
        <v>2016</v>
      </c>
      <c r="E1544" s="80">
        <f>4582*1000000</f>
        <v>4582000000</v>
      </c>
      <c r="F1544" s="80">
        <f>(4582+596885+16189+1441207+104+8413+7507)*1000000</f>
        <v>2074887000000</v>
      </c>
      <c r="G1544" s="80">
        <f>4799748*1000000</f>
        <v>4799748000000</v>
      </c>
      <c r="H1544" s="80">
        <f>(46317+77729+30062+13642+840+5000+3263)*1000000</f>
        <v>176853000000</v>
      </c>
      <c r="I1544" s="80">
        <f>3344488*1000000</f>
        <v>3344488000000</v>
      </c>
      <c r="J1544" s="80">
        <f>880496*1000000</f>
        <v>880496000000</v>
      </c>
      <c r="K1544" s="80">
        <f>1418496*1000000</f>
        <v>1418496000000</v>
      </c>
      <c r="L1544" s="80">
        <f>2455352*1000000</f>
        <v>2455352000000</v>
      </c>
      <c r="M1544" s="80">
        <f>407572*1000000</f>
        <v>407572000000</v>
      </c>
      <c r="N1544" s="80">
        <f>335612*1000000</f>
        <v>335612000000</v>
      </c>
      <c r="O1544" s="82">
        <v>0.99990000000000001</v>
      </c>
      <c r="P1544" s="83" t="s">
        <v>100</v>
      </c>
      <c r="Q1544" s="80">
        <v>2</v>
      </c>
      <c r="R1544" s="80">
        <v>4</v>
      </c>
      <c r="S1544" s="80">
        <v>2</v>
      </c>
      <c r="T1544" s="80">
        <f t="shared" ref="T1544:T1552" si="148">SUM(R1544:S1544)</f>
        <v>6</v>
      </c>
      <c r="U1544" s="84">
        <v>0</v>
      </c>
      <c r="V1544" s="80">
        <f>4+(2*3)+3</f>
        <v>13</v>
      </c>
      <c r="W1544" s="80">
        <f t="shared" ref="W1544:W1550" si="149">V1544</f>
        <v>13</v>
      </c>
      <c r="X1544" s="80">
        <f>2+4</f>
        <v>6</v>
      </c>
      <c r="Y1544" s="78"/>
    </row>
    <row r="1545" spans="1:25" s="81" customFormat="1" ht="15" customHeight="1" x14ac:dyDescent="0.3">
      <c r="A1545" s="77"/>
      <c r="B1545" s="78"/>
      <c r="C1545" s="79"/>
      <c r="D1545" s="78">
        <v>2017</v>
      </c>
      <c r="E1545" s="80">
        <v>0</v>
      </c>
      <c r="F1545" s="80">
        <v>0</v>
      </c>
      <c r="G1545" s="80">
        <v>0</v>
      </c>
      <c r="H1545" s="80">
        <v>0</v>
      </c>
      <c r="I1545" s="80">
        <v>0</v>
      </c>
      <c r="J1545" s="80">
        <v>0</v>
      </c>
      <c r="K1545" s="80">
        <v>0</v>
      </c>
      <c r="L1545" s="80">
        <v>0</v>
      </c>
      <c r="M1545" s="80">
        <v>0</v>
      </c>
      <c r="N1545" s="80">
        <v>0</v>
      </c>
      <c r="O1545" s="80">
        <v>0</v>
      </c>
      <c r="P1545" s="80">
        <v>0</v>
      </c>
      <c r="Q1545" s="80">
        <v>0</v>
      </c>
      <c r="R1545" s="80">
        <v>0</v>
      </c>
      <c r="S1545" s="80">
        <v>0</v>
      </c>
      <c r="T1545" s="80">
        <v>0</v>
      </c>
      <c r="U1545" s="80">
        <v>0</v>
      </c>
      <c r="V1545" s="80">
        <v>0</v>
      </c>
      <c r="W1545" s="80">
        <v>0</v>
      </c>
      <c r="X1545" s="80">
        <v>0</v>
      </c>
      <c r="Y1545" s="78"/>
    </row>
    <row r="1546" spans="1:25" s="81" customFormat="1" ht="15" customHeight="1" x14ac:dyDescent="0.3">
      <c r="A1546" s="77"/>
      <c r="B1546" s="78"/>
      <c r="C1546" s="79"/>
      <c r="D1546" s="78">
        <v>2018</v>
      </c>
      <c r="E1546" s="80">
        <f>8960*1000000</f>
        <v>8960000000</v>
      </c>
      <c r="F1546" s="80">
        <f>(8960+900355+903558+74535+14544+2778+10338+1240)*1000000</f>
        <v>1916308000000</v>
      </c>
      <c r="G1546" s="80">
        <f>5493920*1000000</f>
        <v>5493920000000</v>
      </c>
      <c r="H1546" s="80">
        <f>(3701883-30375-3300709)*1000000</f>
        <v>370799000000</v>
      </c>
      <c r="I1546" s="80">
        <f>3701883*1000000</f>
        <v>3701883000000</v>
      </c>
      <c r="J1546" s="80">
        <f>280005*1000000</f>
        <v>280005000000</v>
      </c>
      <c r="K1546" s="80">
        <f>1736159*1000000</f>
        <v>1736159000000</v>
      </c>
      <c r="L1546" s="80">
        <f>3698170*1000000</f>
        <v>3698170000000</v>
      </c>
      <c r="M1546" s="80">
        <f>344322*1000000</f>
        <v>344322000000</v>
      </c>
      <c r="N1546" s="80">
        <f>280005*1000000</f>
        <v>280005000000</v>
      </c>
      <c r="O1546" s="82">
        <v>0.99990000000000001</v>
      </c>
      <c r="P1546" s="83" t="s">
        <v>100</v>
      </c>
      <c r="Q1546" s="80">
        <v>2</v>
      </c>
      <c r="R1546" s="80">
        <v>4</v>
      </c>
      <c r="S1546" s="80">
        <v>4</v>
      </c>
      <c r="T1546" s="80">
        <f>SUM(R1546:S1546)</f>
        <v>8</v>
      </c>
      <c r="U1546" s="84">
        <v>0</v>
      </c>
      <c r="V1546" s="80">
        <f>4+(2*3)+(3*2)</f>
        <v>16</v>
      </c>
      <c r="W1546" s="80">
        <f>V1546</f>
        <v>16</v>
      </c>
      <c r="X1546" s="80">
        <f>4+(2*3)</f>
        <v>10</v>
      </c>
      <c r="Y1546" s="78"/>
    </row>
    <row r="1547" spans="1:25" s="81" customFormat="1" ht="15" customHeight="1" x14ac:dyDescent="0.3">
      <c r="A1547" s="77"/>
      <c r="B1547" s="78"/>
      <c r="C1547" s="79"/>
      <c r="D1547" s="78">
        <v>2019</v>
      </c>
      <c r="E1547" s="80">
        <f xml:space="preserve"> 21281*1000000</f>
        <v>21281000000</v>
      </c>
      <c r="F1547" s="80">
        <f>(21281+1053115+137538+16710+4925+140)*1000000</f>
        <v>1233709000000</v>
      </c>
      <c r="G1547" s="80">
        <f>6324607*1000000</f>
        <v>6324607000000</v>
      </c>
      <c r="H1547" s="80">
        <f>(4280281-40001-3740637)*1000000</f>
        <v>499643000000</v>
      </c>
      <c r="I1547" s="80">
        <f>4280281*1000000</f>
        <v>4280281000000</v>
      </c>
      <c r="J1547" s="80">
        <f>368029*1000000</f>
        <v>368029000000</v>
      </c>
      <c r="K1547" s="80">
        <f>1980138*1000000</f>
        <v>1980138000000</v>
      </c>
      <c r="L1547" s="80">
        <f>5006591*1000000</f>
        <v>5006591000000</v>
      </c>
      <c r="M1547" s="80">
        <f>434616*1000000</f>
        <v>434616000000</v>
      </c>
      <c r="N1547" s="80">
        <f>368029*1000000</f>
        <v>368029000000</v>
      </c>
      <c r="O1547" s="82">
        <v>0.99990000000000001</v>
      </c>
      <c r="P1547" s="83" t="s">
        <v>100</v>
      </c>
      <c r="Q1547" s="80">
        <v>1</v>
      </c>
      <c r="R1547" s="80">
        <v>3</v>
      </c>
      <c r="S1547" s="80">
        <v>4</v>
      </c>
      <c r="T1547" s="80">
        <f t="shared" si="148"/>
        <v>7</v>
      </c>
      <c r="U1547" s="84">
        <v>0</v>
      </c>
      <c r="V1547" s="80">
        <f>3+4+3</f>
        <v>10</v>
      </c>
      <c r="W1547" s="80">
        <f t="shared" si="149"/>
        <v>10</v>
      </c>
      <c r="X1547" s="80">
        <f>4+6</f>
        <v>10</v>
      </c>
      <c r="Y1547" s="78"/>
    </row>
    <row r="1548" spans="1:25" s="81" customFormat="1" ht="15" customHeight="1" x14ac:dyDescent="0.3">
      <c r="A1548" s="77"/>
      <c r="B1548" s="78"/>
      <c r="C1548" s="79"/>
      <c r="D1548" s="78">
        <v>2020</v>
      </c>
      <c r="E1548" s="80">
        <f>61255*1000000</f>
        <v>61255000000</v>
      </c>
      <c r="F1548" s="80">
        <f>(61255+1034108+236983+25361+5993+167+100+125)*1000000</f>
        <v>1364092000000</v>
      </c>
      <c r="G1548" s="80">
        <f>7987733*1000000</f>
        <v>7987733000000</v>
      </c>
      <c r="H1548" s="80">
        <f>(222360+153095+508100)*1000000</f>
        <v>883555000000</v>
      </c>
      <c r="I1548" s="80">
        <f>7489242*1000000</f>
        <v>7489242000000</v>
      </c>
      <c r="J1548" s="80">
        <f>(5799-980017)*1000000</f>
        <v>-974218000000</v>
      </c>
      <c r="K1548" s="80">
        <f>717821*1000000</f>
        <v>717821000000</v>
      </c>
      <c r="L1548" s="80">
        <f>4829860*1000000</f>
        <v>4829860000000</v>
      </c>
      <c r="M1548" s="80">
        <f>-670120*1000000</f>
        <v>-670120000000</v>
      </c>
      <c r="N1548" s="80">
        <f>-542931*1000000</f>
        <v>-542931000000</v>
      </c>
      <c r="O1548" s="82">
        <v>0.99990000000000001</v>
      </c>
      <c r="P1548" s="83" t="s">
        <v>100</v>
      </c>
      <c r="Q1548" s="80">
        <v>2</v>
      </c>
      <c r="R1548" s="80">
        <v>4</v>
      </c>
      <c r="S1548" s="80">
        <v>4</v>
      </c>
      <c r="T1548" s="80">
        <f t="shared" si="148"/>
        <v>8</v>
      </c>
      <c r="U1548" s="84">
        <v>0</v>
      </c>
      <c r="V1548" s="80">
        <f>4+(2*2)+3</f>
        <v>11</v>
      </c>
      <c r="W1548" s="80">
        <f t="shared" si="149"/>
        <v>11</v>
      </c>
      <c r="X1548" s="80">
        <f>4+(2*3)</f>
        <v>10</v>
      </c>
      <c r="Y1548" s="78"/>
    </row>
    <row r="1549" spans="1:25" s="81" customFormat="1" ht="15" customHeight="1" x14ac:dyDescent="0.3">
      <c r="A1549" s="77"/>
      <c r="B1549" s="78"/>
      <c r="C1549" s="79"/>
      <c r="D1549" s="78">
        <v>2021</v>
      </c>
      <c r="E1549" s="80">
        <f>110855*1000000</f>
        <v>110855000000</v>
      </c>
      <c r="F1549" s="80">
        <f>(110855+1076204+254820+47154+47408+9+116566+180588)*1000000</f>
        <v>1833604000000</v>
      </c>
      <c r="G1549" s="80">
        <f>10521525*1000000</f>
        <v>10521525000000</v>
      </c>
      <c r="H1549" s="80">
        <f>(313620+83514+579713+11612)*1000000</f>
        <v>988459000000</v>
      </c>
      <c r="I1549" s="80">
        <f>11148994*1000000</f>
        <v>11148994000000</v>
      </c>
      <c r="J1549" s="80">
        <f>(5799-1720450)*1000000</f>
        <v>-1714651000000</v>
      </c>
      <c r="K1549" s="80">
        <f>6790*1000000</f>
        <v>6790000000</v>
      </c>
      <c r="L1549" s="80">
        <f>5666198*1000000</f>
        <v>5666198000000</v>
      </c>
      <c r="M1549" s="80">
        <f>-997024*1000000</f>
        <v>-997024000000</v>
      </c>
      <c r="N1549" s="80">
        <f>-740433*1000000</f>
        <v>-740433000000</v>
      </c>
      <c r="O1549" s="82">
        <v>0.99990000000000001</v>
      </c>
      <c r="P1549" s="83" t="s">
        <v>100</v>
      </c>
      <c r="Q1549" s="80">
        <v>2</v>
      </c>
      <c r="R1549" s="80">
        <v>4</v>
      </c>
      <c r="S1549" s="80">
        <v>4</v>
      </c>
      <c r="T1549" s="80">
        <f t="shared" si="148"/>
        <v>8</v>
      </c>
      <c r="U1549" s="84">
        <v>0</v>
      </c>
      <c r="V1549" s="80">
        <f>4+(2*2)+3</f>
        <v>11</v>
      </c>
      <c r="W1549" s="80">
        <f t="shared" si="149"/>
        <v>11</v>
      </c>
      <c r="X1549" s="80">
        <f>4+(2*3)</f>
        <v>10</v>
      </c>
      <c r="Y1549" s="78"/>
    </row>
    <row r="1550" spans="1:25" s="81" customFormat="1" ht="15" customHeight="1" x14ac:dyDescent="0.3">
      <c r="A1550" s="77"/>
      <c r="B1550" s="78"/>
      <c r="C1550" s="79"/>
      <c r="D1550" s="78">
        <v>2022</v>
      </c>
      <c r="E1550" s="80">
        <f>37534*1000000</f>
        <v>37534000000</v>
      </c>
      <c r="F1550" s="80">
        <f>(37534+1636354+176621+46618+3527+43+24440)*1000000</f>
        <v>1925137000000</v>
      </c>
      <c r="G1550" s="80">
        <f>11650082*1000000</f>
        <v>11650082000000</v>
      </c>
      <c r="H1550" s="80">
        <f>(860076+75785+432836+708)*1000000</f>
        <v>1369405000000</v>
      </c>
      <c r="I1550" s="80">
        <f>12617797*1000000</f>
        <v>12617797000000</v>
      </c>
      <c r="J1550" s="80">
        <f>(5799-1549513)*1000000</f>
        <v>-1543714000000</v>
      </c>
      <c r="K1550" s="80">
        <f>117320*1000000</f>
        <v>117320000000</v>
      </c>
      <c r="L1550" s="80">
        <f>7991435*1000000</f>
        <v>7991435000000</v>
      </c>
      <c r="M1550" s="80">
        <f>245505*1000000</f>
        <v>245505000000</v>
      </c>
      <c r="N1550" s="80">
        <f>170937*1000000</f>
        <v>170937000000</v>
      </c>
      <c r="O1550" s="82">
        <v>0.99990000000000001</v>
      </c>
      <c r="P1550" s="83" t="s">
        <v>100</v>
      </c>
      <c r="Q1550" s="80">
        <v>2</v>
      </c>
      <c r="R1550" s="80">
        <v>4</v>
      </c>
      <c r="S1550" s="80">
        <v>4</v>
      </c>
      <c r="T1550" s="80">
        <f t="shared" si="148"/>
        <v>8</v>
      </c>
      <c r="U1550" s="84">
        <v>0</v>
      </c>
      <c r="V1550" s="80">
        <f>4+(2*2)+3</f>
        <v>11</v>
      </c>
      <c r="W1550" s="80">
        <f t="shared" si="149"/>
        <v>11</v>
      </c>
      <c r="X1550" s="80">
        <f>4+(2*3)</f>
        <v>10</v>
      </c>
      <c r="Y1550" s="78"/>
    </row>
    <row r="1551" spans="1:25" s="81" customFormat="1" ht="15" customHeight="1" x14ac:dyDescent="0.3">
      <c r="A1551" s="77"/>
      <c r="B1551" s="78"/>
      <c r="C1551" s="79"/>
      <c r="D1551" s="78">
        <v>2023</v>
      </c>
      <c r="E1551" s="80">
        <f>29511*1000000</f>
        <v>29511000000</v>
      </c>
      <c r="F1551" s="80">
        <f>(29511+1882330+247775+63750+1783+30036+24440)*1000000</f>
        <v>2279625000000</v>
      </c>
      <c r="G1551" s="80">
        <f>11119311*1000000</f>
        <v>11119311000000</v>
      </c>
      <c r="H1551" s="80">
        <f>(1764409+35470+79141+3963)*1000000</f>
        <v>1882983000000</v>
      </c>
      <c r="I1551" s="80">
        <f>13055202*1000000</f>
        <v>13055202000000</v>
      </c>
      <c r="J1551" s="80">
        <f>(5799-1683303)*1000000</f>
        <v>-1677504000000</v>
      </c>
      <c r="K1551" s="80">
        <f>-3283*1000000</f>
        <v>-3283000000</v>
      </c>
      <c r="L1551" s="80">
        <f>5181764*1000000</f>
        <v>5181764000000</v>
      </c>
      <c r="M1551" s="80">
        <f>1337170*1000000</f>
        <v>1337170000000</v>
      </c>
      <c r="N1551" s="80">
        <f>1228465*1000000</f>
        <v>1228465000000</v>
      </c>
      <c r="O1551" s="82">
        <v>0.99990000000000001</v>
      </c>
      <c r="P1551" s="83" t="s">
        <v>100</v>
      </c>
      <c r="Q1551" s="80">
        <v>2</v>
      </c>
      <c r="R1551" s="80">
        <v>4</v>
      </c>
      <c r="S1551" s="80">
        <v>2</v>
      </c>
      <c r="T1551" s="80">
        <f t="shared" si="148"/>
        <v>6</v>
      </c>
      <c r="U1551" s="84">
        <v>0</v>
      </c>
      <c r="V1551" s="80">
        <f>4+(2*2)+3</f>
        <v>11</v>
      </c>
      <c r="W1551" s="80">
        <f>V1551</f>
        <v>11</v>
      </c>
      <c r="X1551" s="80">
        <f>2+4</f>
        <v>6</v>
      </c>
      <c r="Y1551" s="78"/>
    </row>
    <row r="1552" spans="1:25" s="81" customFormat="1" ht="15" customHeight="1" x14ac:dyDescent="0.3">
      <c r="A1552" s="77"/>
      <c r="B1552" s="78"/>
      <c r="C1552" s="79"/>
      <c r="D1552" s="78">
        <v>2024</v>
      </c>
      <c r="E1552" s="80">
        <f>86308*1000000</f>
        <v>86308000000</v>
      </c>
      <c r="F1552" s="80">
        <f>(86308+2304360+819032+22881+7999+52090+1161)*1000000</f>
        <v>3293831000000</v>
      </c>
      <c r="G1552" s="80">
        <f>9361527*1000000</f>
        <v>9361527000000</v>
      </c>
      <c r="H1552" s="80">
        <f>(1169097+267246+96518+1287+36291)*1000000</f>
        <v>1570439000000</v>
      </c>
      <c r="I1552" s="80">
        <f>12372002*1000000</f>
        <v>12372002000000</v>
      </c>
      <c r="J1552" s="80">
        <f>-1418120*1000000</f>
        <v>-1418120000000</v>
      </c>
      <c r="K1552" s="80">
        <f>-2070885*1000000</f>
        <v>-2070885000000</v>
      </c>
      <c r="L1552" s="80">
        <f>2975852*1000000</f>
        <v>2975852000000</v>
      </c>
      <c r="M1552" s="80">
        <f>-1682754*1000000</f>
        <v>-1682754000000</v>
      </c>
      <c r="N1552" s="80">
        <f>-1418120*1000000</f>
        <v>-1418120000000</v>
      </c>
      <c r="O1552" s="82">
        <v>0.99990000000000001</v>
      </c>
      <c r="P1552" s="83" t="s">
        <v>100</v>
      </c>
      <c r="Q1552" s="80">
        <v>2</v>
      </c>
      <c r="R1552" s="80">
        <v>4</v>
      </c>
      <c r="S1552" s="80">
        <v>4</v>
      </c>
      <c r="T1552" s="80">
        <f t="shared" si="148"/>
        <v>8</v>
      </c>
      <c r="U1552" s="84">
        <v>0</v>
      </c>
      <c r="V1552" s="80">
        <f>4+(2*2)+3</f>
        <v>11</v>
      </c>
      <c r="W1552" s="80">
        <f>V1552</f>
        <v>11</v>
      </c>
      <c r="X1552" s="80">
        <f>2+4</f>
        <v>6</v>
      </c>
      <c r="Y1552" s="78"/>
    </row>
    <row r="1553" spans="1:25" s="81" customFormat="1" ht="15" customHeight="1" x14ac:dyDescent="0.3">
      <c r="A1553" s="77"/>
      <c r="B1553" s="78">
        <v>142</v>
      </c>
      <c r="C1553" s="79" t="s">
        <v>138</v>
      </c>
      <c r="D1553" s="78">
        <v>2014</v>
      </c>
      <c r="E1553" s="80">
        <v>0</v>
      </c>
      <c r="F1553" s="80">
        <v>0</v>
      </c>
      <c r="G1553" s="80">
        <v>0</v>
      </c>
      <c r="H1553" s="80">
        <v>0</v>
      </c>
      <c r="I1553" s="80">
        <v>0</v>
      </c>
      <c r="J1553" s="80">
        <v>0</v>
      </c>
      <c r="K1553" s="80">
        <v>0</v>
      </c>
      <c r="L1553" s="80">
        <v>0</v>
      </c>
      <c r="M1553" s="80">
        <v>0</v>
      </c>
      <c r="N1553" s="80">
        <v>0</v>
      </c>
      <c r="O1553" s="80">
        <v>0</v>
      </c>
      <c r="P1553" s="80">
        <v>0</v>
      </c>
      <c r="Q1553" s="80">
        <v>0</v>
      </c>
      <c r="R1553" s="80">
        <v>0</v>
      </c>
      <c r="S1553" s="80">
        <v>0</v>
      </c>
      <c r="T1553" s="80">
        <v>0</v>
      </c>
      <c r="U1553" s="80">
        <v>0</v>
      </c>
      <c r="V1553" s="80">
        <v>0</v>
      </c>
      <c r="W1553" s="80">
        <v>0</v>
      </c>
      <c r="X1553" s="80">
        <v>0</v>
      </c>
      <c r="Y1553" s="78"/>
    </row>
    <row r="1554" spans="1:25" s="81" customFormat="1" ht="15" customHeight="1" x14ac:dyDescent="0.3">
      <c r="A1554" s="77"/>
      <c r="B1554" s="78"/>
      <c r="C1554" s="79"/>
      <c r="D1554" s="78">
        <v>2015</v>
      </c>
      <c r="E1554" s="80">
        <v>0</v>
      </c>
      <c r="F1554" s="80">
        <v>0</v>
      </c>
      <c r="G1554" s="80">
        <v>0</v>
      </c>
      <c r="H1554" s="80">
        <v>0</v>
      </c>
      <c r="I1554" s="80">
        <v>0</v>
      </c>
      <c r="J1554" s="80">
        <v>0</v>
      </c>
      <c r="K1554" s="80">
        <v>0</v>
      </c>
      <c r="L1554" s="80">
        <v>0</v>
      </c>
      <c r="M1554" s="80">
        <v>0</v>
      </c>
      <c r="N1554" s="80">
        <v>0</v>
      </c>
      <c r="O1554" s="80">
        <v>0</v>
      </c>
      <c r="P1554" s="80">
        <v>0</v>
      </c>
      <c r="Q1554" s="80">
        <v>0</v>
      </c>
      <c r="R1554" s="80">
        <v>0</v>
      </c>
      <c r="S1554" s="80">
        <v>0</v>
      </c>
      <c r="T1554" s="80">
        <v>0</v>
      </c>
      <c r="U1554" s="80">
        <v>0</v>
      </c>
      <c r="V1554" s="80">
        <v>0</v>
      </c>
      <c r="W1554" s="80">
        <v>0</v>
      </c>
      <c r="X1554" s="80">
        <v>0</v>
      </c>
      <c r="Y1554" s="78"/>
    </row>
    <row r="1555" spans="1:25" s="81" customFormat="1" ht="15" customHeight="1" x14ac:dyDescent="0.3">
      <c r="A1555" s="77"/>
      <c r="B1555" s="78"/>
      <c r="C1555" s="79"/>
      <c r="D1555" s="78">
        <v>2016</v>
      </c>
      <c r="E1555" s="80">
        <v>0</v>
      </c>
      <c r="F1555" s="80">
        <v>0</v>
      </c>
      <c r="G1555" s="80">
        <v>0</v>
      </c>
      <c r="H1555" s="80">
        <v>0</v>
      </c>
      <c r="I1555" s="80">
        <v>0</v>
      </c>
      <c r="J1555" s="80">
        <v>0</v>
      </c>
      <c r="K1555" s="80">
        <v>0</v>
      </c>
      <c r="L1555" s="80">
        <v>0</v>
      </c>
      <c r="M1555" s="80">
        <v>0</v>
      </c>
      <c r="N1555" s="80">
        <v>0</v>
      </c>
      <c r="O1555" s="80">
        <v>0</v>
      </c>
      <c r="P1555" s="80">
        <v>0</v>
      </c>
      <c r="Q1555" s="80">
        <v>0</v>
      </c>
      <c r="R1555" s="80">
        <v>0</v>
      </c>
      <c r="S1555" s="80">
        <v>0</v>
      </c>
      <c r="T1555" s="80">
        <v>0</v>
      </c>
      <c r="U1555" s="80">
        <v>0</v>
      </c>
      <c r="V1555" s="80">
        <v>0</v>
      </c>
      <c r="W1555" s="80">
        <v>0</v>
      </c>
      <c r="X1555" s="80">
        <v>0</v>
      </c>
      <c r="Y1555" s="78"/>
    </row>
    <row r="1556" spans="1:25" s="81" customFormat="1" ht="15" customHeight="1" x14ac:dyDescent="0.3">
      <c r="A1556" s="77"/>
      <c r="B1556" s="78"/>
      <c r="C1556" s="79"/>
      <c r="D1556" s="78">
        <v>2017</v>
      </c>
      <c r="E1556" s="80">
        <f>143*1000000</f>
        <v>143000000</v>
      </c>
      <c r="F1556" s="80">
        <f>(143+501+47237+324)*1000000</f>
        <v>48205000000</v>
      </c>
      <c r="G1556" s="80">
        <f>392736*1000000</f>
        <v>392736000000</v>
      </c>
      <c r="H1556" s="80">
        <f>32948*1000000</f>
        <v>32948000000</v>
      </c>
      <c r="I1556" s="80">
        <f>82532*1000000</f>
        <v>82532000000</v>
      </c>
      <c r="J1556" s="80">
        <f>10204*1000000</f>
        <v>10204000000</v>
      </c>
      <c r="K1556" s="80">
        <f>310204*1000000</f>
        <v>310204000000</v>
      </c>
      <c r="L1556" s="80">
        <f>1084*1000000</f>
        <v>1084000000</v>
      </c>
      <c r="M1556" s="80">
        <f>10437*1000000</f>
        <v>10437000000</v>
      </c>
      <c r="N1556" s="80">
        <f>10204*1000000</f>
        <v>10204000000</v>
      </c>
      <c r="O1556" s="82">
        <v>0.99</v>
      </c>
      <c r="P1556" s="83" t="s">
        <v>120</v>
      </c>
      <c r="Q1556" s="80">
        <v>0</v>
      </c>
      <c r="R1556" s="80">
        <v>3</v>
      </c>
      <c r="S1556" s="80">
        <v>3</v>
      </c>
      <c r="T1556" s="80">
        <f>SUM(R1556:S1556)</f>
        <v>6</v>
      </c>
      <c r="U1556" s="84">
        <v>0</v>
      </c>
      <c r="V1556" s="80">
        <v>0</v>
      </c>
      <c r="W1556" s="80">
        <v>0</v>
      </c>
      <c r="X1556" s="80">
        <v>0</v>
      </c>
      <c r="Y1556" s="78"/>
    </row>
    <row r="1557" spans="1:25" s="81" customFormat="1" ht="15" customHeight="1" x14ac:dyDescent="0.3">
      <c r="A1557" s="77"/>
      <c r="B1557" s="78"/>
      <c r="C1557" s="79"/>
      <c r="D1557" s="78">
        <v>2018</v>
      </c>
      <c r="E1557" s="80">
        <v>0</v>
      </c>
      <c r="F1557" s="80">
        <v>0</v>
      </c>
      <c r="G1557" s="80">
        <v>0</v>
      </c>
      <c r="H1557" s="80">
        <v>0</v>
      </c>
      <c r="I1557" s="80">
        <v>0</v>
      </c>
      <c r="J1557" s="80">
        <v>0</v>
      </c>
      <c r="K1557" s="80">
        <v>0</v>
      </c>
      <c r="L1557" s="80">
        <v>0</v>
      </c>
      <c r="M1557" s="80">
        <v>0</v>
      </c>
      <c r="N1557" s="80">
        <v>0</v>
      </c>
      <c r="O1557" s="80">
        <v>0</v>
      </c>
      <c r="P1557" s="80">
        <v>0</v>
      </c>
      <c r="Q1557" s="80">
        <v>0</v>
      </c>
      <c r="R1557" s="80">
        <v>0</v>
      </c>
      <c r="S1557" s="80">
        <v>0</v>
      </c>
      <c r="T1557" s="80">
        <v>0</v>
      </c>
      <c r="U1557" s="80">
        <v>0</v>
      </c>
      <c r="V1557" s="80">
        <v>0</v>
      </c>
      <c r="W1557" s="80">
        <v>0</v>
      </c>
      <c r="X1557" s="80">
        <v>0</v>
      </c>
      <c r="Y1557" s="78"/>
    </row>
    <row r="1558" spans="1:25" s="81" customFormat="1" ht="15" customHeight="1" x14ac:dyDescent="0.3">
      <c r="A1558" s="77"/>
      <c r="B1558" s="78"/>
      <c r="C1558" s="79"/>
      <c r="D1558" s="78">
        <v>2019</v>
      </c>
      <c r="E1558" s="80">
        <f>2630*1000000</f>
        <v>2630000000</v>
      </c>
      <c r="F1558" s="80">
        <f>(2630+78638+449983+4033+424)*1000000</f>
        <v>535708000000</v>
      </c>
      <c r="G1558" s="80">
        <f>1168609*1000000</f>
        <v>1168609000000</v>
      </c>
      <c r="H1558" s="80">
        <f>143090*1000000</f>
        <v>143090000000</v>
      </c>
      <c r="I1558" s="80">
        <f>715934*1000000</f>
        <v>715934000000</v>
      </c>
      <c r="J1558" s="80">
        <f>152675*1000000</f>
        <v>152675000000</v>
      </c>
      <c r="K1558" s="80">
        <f>452675*1000000</f>
        <v>452675000000</v>
      </c>
      <c r="L1558" s="80">
        <f>223539*1000000</f>
        <v>223539000000</v>
      </c>
      <c r="M1558" s="80">
        <f>88687*1000000</f>
        <v>88687000000</v>
      </c>
      <c r="N1558" s="80">
        <f>88635*1000000</f>
        <v>88635000000</v>
      </c>
      <c r="O1558" s="82">
        <v>0.99</v>
      </c>
      <c r="P1558" s="83" t="s">
        <v>120</v>
      </c>
      <c r="Q1558" s="80">
        <v>1</v>
      </c>
      <c r="R1558" s="80">
        <v>4</v>
      </c>
      <c r="S1558" s="80">
        <v>3</v>
      </c>
      <c r="T1558" s="80">
        <f t="shared" ref="T1558:T1563" si="150">SUM(R1558:S1558)</f>
        <v>7</v>
      </c>
      <c r="U1558" s="84">
        <v>0</v>
      </c>
      <c r="V1558" s="80">
        <v>0</v>
      </c>
      <c r="W1558" s="80">
        <v>0</v>
      </c>
      <c r="X1558" s="80">
        <v>0</v>
      </c>
      <c r="Y1558" s="78"/>
    </row>
    <row r="1559" spans="1:25" s="81" customFormat="1" ht="15" customHeight="1" x14ac:dyDescent="0.3">
      <c r="A1559" s="77"/>
      <c r="B1559" s="78"/>
      <c r="C1559" s="79"/>
      <c r="D1559" s="78">
        <v>2020</v>
      </c>
      <c r="E1559" s="80">
        <f>3604*1000000</f>
        <v>3604000000</v>
      </c>
      <c r="F1559" s="80">
        <f>(3604+372532+866032+61832+842)*1000000</f>
        <v>1304842000000</v>
      </c>
      <c r="G1559" s="80">
        <f>2088765*1000000</f>
        <v>2088765000000</v>
      </c>
      <c r="H1559" s="80">
        <f>461779*1000000</f>
        <v>461779000000</v>
      </c>
      <c r="I1559" s="80">
        <f>1459569*1000000</f>
        <v>1459569000000</v>
      </c>
      <c r="J1559" s="80">
        <f>329196*1000000</f>
        <v>329196000000</v>
      </c>
      <c r="K1559" s="80">
        <f>629196*1000000</f>
        <v>629196000000</v>
      </c>
      <c r="L1559" s="80">
        <f>600103*1000000</f>
        <v>600103000000</v>
      </c>
      <c r="M1559" s="80">
        <f>173868*1000000</f>
        <v>173868000000</v>
      </c>
      <c r="N1559" s="80">
        <f>176521*1000000</f>
        <v>176521000000</v>
      </c>
      <c r="O1559" s="82">
        <v>0.99</v>
      </c>
      <c r="P1559" s="83" t="s">
        <v>120</v>
      </c>
      <c r="Q1559" s="80">
        <v>1</v>
      </c>
      <c r="R1559" s="80">
        <v>4</v>
      </c>
      <c r="S1559" s="80">
        <v>3</v>
      </c>
      <c r="T1559" s="80">
        <f t="shared" si="150"/>
        <v>7</v>
      </c>
      <c r="U1559" s="84">
        <v>0</v>
      </c>
      <c r="V1559" s="80">
        <v>0</v>
      </c>
      <c r="W1559" s="80">
        <v>0</v>
      </c>
      <c r="X1559" s="80">
        <v>0</v>
      </c>
      <c r="Y1559" s="78"/>
    </row>
    <row r="1560" spans="1:25" s="81" customFormat="1" ht="15" customHeight="1" x14ac:dyDescent="0.3">
      <c r="A1560" s="77"/>
      <c r="B1560" s="78"/>
      <c r="C1560" s="79"/>
      <c r="D1560" s="78">
        <v>2021</v>
      </c>
      <c r="E1560" s="80">
        <f>37619*1000000</f>
        <v>37619000000</v>
      </c>
      <c r="F1560" s="80">
        <f>(37619+402023+689265+4936+533)*1000000</f>
        <v>1134376000000</v>
      </c>
      <c r="G1560" s="80">
        <f>1864949*1000000</f>
        <v>1864949000000</v>
      </c>
      <c r="H1560" s="80">
        <f>64954*1000000</f>
        <v>64954000000</v>
      </c>
      <c r="I1560" s="80">
        <f>1324861*1000000</f>
        <v>1324861000000</v>
      </c>
      <c r="J1560" s="80">
        <f>240088*1000000</f>
        <v>240088000000</v>
      </c>
      <c r="K1560" s="80">
        <f>540088*1000000</f>
        <v>540088000000</v>
      </c>
      <c r="L1560" s="80">
        <f>634331*1000000</f>
        <v>634331000000</v>
      </c>
      <c r="M1560" s="80">
        <f>52868*1000000</f>
        <v>52868000000</v>
      </c>
      <c r="N1560" s="80">
        <f>50892*1000000</f>
        <v>50892000000</v>
      </c>
      <c r="O1560" s="82">
        <v>0.99</v>
      </c>
      <c r="P1560" s="83" t="s">
        <v>120</v>
      </c>
      <c r="Q1560" s="80">
        <v>1</v>
      </c>
      <c r="R1560" s="80">
        <v>4</v>
      </c>
      <c r="S1560" s="80">
        <v>3</v>
      </c>
      <c r="T1560" s="80">
        <f t="shared" si="150"/>
        <v>7</v>
      </c>
      <c r="U1560" s="84">
        <v>0</v>
      </c>
      <c r="V1560" s="80">
        <v>0</v>
      </c>
      <c r="W1560" s="80">
        <v>0</v>
      </c>
      <c r="X1560" s="80">
        <v>0</v>
      </c>
      <c r="Y1560" s="78"/>
    </row>
    <row r="1561" spans="1:25" s="81" customFormat="1" ht="15" customHeight="1" x14ac:dyDescent="0.3">
      <c r="A1561" s="77"/>
      <c r="B1561" s="78"/>
      <c r="C1561" s="79"/>
      <c r="D1561" s="78">
        <v>2022</v>
      </c>
      <c r="E1561" s="80">
        <f>2080*1000000</f>
        <v>2080000000</v>
      </c>
      <c r="F1561" s="80">
        <f>(2080+691950+1437769+6523+3813)*1000000</f>
        <v>2142135000000</v>
      </c>
      <c r="G1561" s="80">
        <f>3039089*1000000</f>
        <v>3039089000000</v>
      </c>
      <c r="H1561" s="80">
        <f>730521*1000000</f>
        <v>730521000000</v>
      </c>
      <c r="I1561" s="80">
        <f>2452567*1000000</f>
        <v>2452567000000</v>
      </c>
      <c r="J1561" s="80">
        <f>296219*1000000</f>
        <v>296219000000</v>
      </c>
      <c r="K1561" s="80">
        <f>586522*1000000</f>
        <v>586522000000</v>
      </c>
      <c r="L1561" s="80">
        <f>453744*1000000</f>
        <v>453744000000</v>
      </c>
      <c r="M1561" s="80">
        <f>61643*1000000</f>
        <v>61643000000</v>
      </c>
      <c r="N1561" s="80">
        <f>46435*1000000</f>
        <v>46435000000</v>
      </c>
      <c r="O1561" s="82">
        <v>0.99</v>
      </c>
      <c r="P1561" s="83" t="s">
        <v>120</v>
      </c>
      <c r="Q1561" s="80">
        <v>1</v>
      </c>
      <c r="R1561" s="80">
        <v>4</v>
      </c>
      <c r="S1561" s="80">
        <v>3</v>
      </c>
      <c r="T1561" s="80">
        <f t="shared" si="150"/>
        <v>7</v>
      </c>
      <c r="U1561" s="84">
        <v>0</v>
      </c>
      <c r="V1561" s="80">
        <v>0</v>
      </c>
      <c r="W1561" s="80">
        <v>0</v>
      </c>
      <c r="X1561" s="80">
        <v>0</v>
      </c>
      <c r="Y1561" s="78"/>
    </row>
    <row r="1562" spans="1:25" s="81" customFormat="1" ht="15" customHeight="1" x14ac:dyDescent="0.3">
      <c r="A1562" s="77"/>
      <c r="B1562" s="78"/>
      <c r="C1562" s="79"/>
      <c r="D1562" s="78">
        <v>2023</v>
      </c>
      <c r="E1562" s="80">
        <f>15908*1000000</f>
        <v>15908000000</v>
      </c>
      <c r="F1562" s="80">
        <f>(19908+486534+1414199+25555+4524)*1000000</f>
        <v>1950720000000</v>
      </c>
      <c r="G1562" s="80">
        <f>3090740*1000000</f>
        <v>3090740000000</v>
      </c>
      <c r="H1562" s="80">
        <f>560129*1000000</f>
        <v>560129000000</v>
      </c>
      <c r="I1562" s="80">
        <f>2412082*1000000</f>
        <v>2412082000000</v>
      </c>
      <c r="J1562" s="80">
        <f>380893*1000000</f>
        <v>380893000000</v>
      </c>
      <c r="K1562" s="80">
        <f>678658*1000000</f>
        <v>678658000000</v>
      </c>
      <c r="L1562" s="80">
        <f>437274*1000000</f>
        <v>437274000000</v>
      </c>
      <c r="M1562" s="80">
        <f>98087*1000000</f>
        <v>98087000000</v>
      </c>
      <c r="N1562" s="80">
        <f>92135*1000000</f>
        <v>92135000000</v>
      </c>
      <c r="O1562" s="82">
        <v>0.99</v>
      </c>
      <c r="P1562" s="83" t="s">
        <v>120</v>
      </c>
      <c r="Q1562" s="80">
        <v>1</v>
      </c>
      <c r="R1562" s="80">
        <v>4</v>
      </c>
      <c r="S1562" s="80">
        <v>3</v>
      </c>
      <c r="T1562" s="80">
        <f t="shared" si="150"/>
        <v>7</v>
      </c>
      <c r="U1562" s="84">
        <v>0</v>
      </c>
      <c r="V1562" s="80">
        <v>0</v>
      </c>
      <c r="W1562" s="80">
        <v>0</v>
      </c>
      <c r="X1562" s="80">
        <v>0</v>
      </c>
      <c r="Y1562" s="78"/>
    </row>
    <row r="1563" spans="1:25" s="81" customFormat="1" ht="15" customHeight="1" x14ac:dyDescent="0.3">
      <c r="A1563" s="77"/>
      <c r="B1563" s="78"/>
      <c r="C1563" s="79"/>
      <c r="D1563" s="78">
        <v>2024</v>
      </c>
      <c r="E1563" s="80">
        <f>1105*1000000</f>
        <v>1105000000</v>
      </c>
      <c r="F1563" s="80">
        <f>(1105+549735+1299221+10628+9757)*1000000</f>
        <v>1870446000000</v>
      </c>
      <c r="G1563" s="80">
        <f>3235975*1000000</f>
        <v>3235975000000</v>
      </c>
      <c r="H1563" s="80">
        <f>588695*1000000</f>
        <v>588695000000</v>
      </c>
      <c r="I1563" s="80">
        <f>2332514*1000000</f>
        <v>2332514000000</v>
      </c>
      <c r="J1563" s="80">
        <f>620318*1000000</f>
        <v>620318000000</v>
      </c>
      <c r="K1563" s="80">
        <f>903461*1000000</f>
        <v>903461000000</v>
      </c>
      <c r="L1563" s="80">
        <f>553499*1000000</f>
        <v>553499000000</v>
      </c>
      <c r="M1563" s="80">
        <f>281213*1000000</f>
        <v>281213000000</v>
      </c>
      <c r="N1563" s="80">
        <f>224803*1000000</f>
        <v>224803000000</v>
      </c>
      <c r="O1563" s="82">
        <v>0.99</v>
      </c>
      <c r="P1563" s="83" t="s">
        <v>120</v>
      </c>
      <c r="Q1563" s="80">
        <v>2</v>
      </c>
      <c r="R1563" s="80">
        <v>3</v>
      </c>
      <c r="S1563" s="80">
        <v>3</v>
      </c>
      <c r="T1563" s="80">
        <f t="shared" si="150"/>
        <v>6</v>
      </c>
      <c r="U1563" s="84">
        <v>0</v>
      </c>
      <c r="V1563" s="80">
        <v>0</v>
      </c>
      <c r="W1563" s="80">
        <v>0</v>
      </c>
      <c r="X1563" s="80">
        <v>0</v>
      </c>
      <c r="Y1563" s="78"/>
    </row>
    <row r="1564" spans="1:25" s="81" customFormat="1" ht="15" customHeight="1" x14ac:dyDescent="0.3">
      <c r="A1564" s="77"/>
      <c r="B1564" s="78">
        <v>143</v>
      </c>
      <c r="C1564" s="79" t="s">
        <v>144</v>
      </c>
      <c r="D1564" s="78">
        <v>2014</v>
      </c>
      <c r="E1564" s="80">
        <v>0</v>
      </c>
      <c r="F1564" s="80">
        <v>0</v>
      </c>
      <c r="G1564" s="80">
        <v>0</v>
      </c>
      <c r="H1564" s="80">
        <v>0</v>
      </c>
      <c r="I1564" s="80">
        <v>0</v>
      </c>
      <c r="J1564" s="80">
        <v>0</v>
      </c>
      <c r="K1564" s="80">
        <v>0</v>
      </c>
      <c r="L1564" s="80">
        <v>0</v>
      </c>
      <c r="M1564" s="80">
        <v>0</v>
      </c>
      <c r="N1564" s="80">
        <v>0</v>
      </c>
      <c r="O1564" s="80">
        <v>0</v>
      </c>
      <c r="P1564" s="80">
        <v>0</v>
      </c>
      <c r="Q1564" s="80">
        <v>0</v>
      </c>
      <c r="R1564" s="80">
        <v>0</v>
      </c>
      <c r="S1564" s="80">
        <v>0</v>
      </c>
      <c r="T1564" s="80">
        <v>0</v>
      </c>
      <c r="U1564" s="80">
        <v>0</v>
      </c>
      <c r="V1564" s="80">
        <v>0</v>
      </c>
      <c r="W1564" s="80">
        <v>0</v>
      </c>
      <c r="X1564" s="80">
        <v>0</v>
      </c>
      <c r="Y1564" s="78" t="s">
        <v>303</v>
      </c>
    </row>
    <row r="1565" spans="1:25" s="81" customFormat="1" ht="15" customHeight="1" x14ac:dyDescent="0.3">
      <c r="A1565" s="77"/>
      <c r="B1565" s="78"/>
      <c r="C1565" s="79"/>
      <c r="D1565" s="78">
        <v>2015</v>
      </c>
      <c r="E1565" s="80">
        <v>0</v>
      </c>
      <c r="F1565" s="80">
        <v>0</v>
      </c>
      <c r="G1565" s="80">
        <v>0</v>
      </c>
      <c r="H1565" s="80">
        <v>0</v>
      </c>
      <c r="I1565" s="80">
        <v>0</v>
      </c>
      <c r="J1565" s="80">
        <v>0</v>
      </c>
      <c r="K1565" s="80">
        <v>0</v>
      </c>
      <c r="L1565" s="80">
        <v>0</v>
      </c>
      <c r="M1565" s="80">
        <v>0</v>
      </c>
      <c r="N1565" s="80">
        <v>0</v>
      </c>
      <c r="O1565" s="80">
        <v>0</v>
      </c>
      <c r="P1565" s="80">
        <v>0</v>
      </c>
      <c r="Q1565" s="80">
        <v>0</v>
      </c>
      <c r="R1565" s="80">
        <v>0</v>
      </c>
      <c r="S1565" s="80">
        <v>0</v>
      </c>
      <c r="T1565" s="80">
        <v>0</v>
      </c>
      <c r="U1565" s="80">
        <v>0</v>
      </c>
      <c r="V1565" s="80">
        <v>0</v>
      </c>
      <c r="W1565" s="80">
        <v>0</v>
      </c>
      <c r="X1565" s="80">
        <v>0</v>
      </c>
      <c r="Y1565" s="78"/>
    </row>
    <row r="1566" spans="1:25" s="81" customFormat="1" ht="15" customHeight="1" x14ac:dyDescent="0.3">
      <c r="A1566" s="77"/>
      <c r="B1566" s="78"/>
      <c r="C1566" s="79"/>
      <c r="D1566" s="78">
        <v>2016</v>
      </c>
      <c r="E1566" s="80">
        <v>0</v>
      </c>
      <c r="F1566" s="80">
        <v>0</v>
      </c>
      <c r="G1566" s="80">
        <v>0</v>
      </c>
      <c r="H1566" s="80">
        <v>0</v>
      </c>
      <c r="I1566" s="80">
        <v>0</v>
      </c>
      <c r="J1566" s="80">
        <v>0</v>
      </c>
      <c r="K1566" s="80">
        <v>0</v>
      </c>
      <c r="L1566" s="80">
        <v>0</v>
      </c>
      <c r="M1566" s="80">
        <v>0</v>
      </c>
      <c r="N1566" s="80">
        <v>0</v>
      </c>
      <c r="O1566" s="80">
        <v>0</v>
      </c>
      <c r="P1566" s="80">
        <v>0</v>
      </c>
      <c r="Q1566" s="80">
        <v>0</v>
      </c>
      <c r="R1566" s="80">
        <v>0</v>
      </c>
      <c r="S1566" s="80">
        <v>0</v>
      </c>
      <c r="T1566" s="80">
        <v>0</v>
      </c>
      <c r="U1566" s="80">
        <v>0</v>
      </c>
      <c r="V1566" s="80">
        <v>0</v>
      </c>
      <c r="W1566" s="80">
        <v>0</v>
      </c>
      <c r="X1566" s="80">
        <v>0</v>
      </c>
      <c r="Y1566" s="78"/>
    </row>
    <row r="1567" spans="1:25" s="81" customFormat="1" ht="15" customHeight="1" x14ac:dyDescent="0.3">
      <c r="A1567" s="77"/>
      <c r="B1567" s="78"/>
      <c r="C1567" s="79"/>
      <c r="D1567" s="78">
        <v>2017</v>
      </c>
      <c r="E1567" s="80">
        <v>0</v>
      </c>
      <c r="F1567" s="80">
        <v>0</v>
      </c>
      <c r="G1567" s="80">
        <v>0</v>
      </c>
      <c r="H1567" s="80">
        <v>0</v>
      </c>
      <c r="I1567" s="80">
        <v>0</v>
      </c>
      <c r="J1567" s="80">
        <v>0</v>
      </c>
      <c r="K1567" s="80">
        <v>0</v>
      </c>
      <c r="L1567" s="80">
        <v>0</v>
      </c>
      <c r="M1567" s="80">
        <v>0</v>
      </c>
      <c r="N1567" s="80">
        <v>0</v>
      </c>
      <c r="O1567" s="80">
        <v>0</v>
      </c>
      <c r="P1567" s="80">
        <v>0</v>
      </c>
      <c r="Q1567" s="80">
        <v>0</v>
      </c>
      <c r="R1567" s="80">
        <v>0</v>
      </c>
      <c r="S1567" s="80">
        <v>0</v>
      </c>
      <c r="T1567" s="80">
        <v>0</v>
      </c>
      <c r="U1567" s="80">
        <v>0</v>
      </c>
      <c r="V1567" s="80">
        <v>0</v>
      </c>
      <c r="W1567" s="80">
        <v>0</v>
      </c>
      <c r="X1567" s="80">
        <v>0</v>
      </c>
      <c r="Y1567" s="78"/>
    </row>
    <row r="1568" spans="1:25" s="81" customFormat="1" ht="15" customHeight="1" x14ac:dyDescent="0.3">
      <c r="A1568" s="77"/>
      <c r="B1568" s="78"/>
      <c r="C1568" s="79"/>
      <c r="D1568" s="78">
        <v>2018</v>
      </c>
      <c r="E1568" s="80">
        <v>0</v>
      </c>
      <c r="F1568" s="80">
        <v>0</v>
      </c>
      <c r="G1568" s="80">
        <v>0</v>
      </c>
      <c r="H1568" s="80">
        <v>0</v>
      </c>
      <c r="I1568" s="80">
        <v>0</v>
      </c>
      <c r="J1568" s="80">
        <v>0</v>
      </c>
      <c r="K1568" s="80">
        <v>0</v>
      </c>
      <c r="L1568" s="80">
        <v>0</v>
      </c>
      <c r="M1568" s="80">
        <v>0</v>
      </c>
      <c r="N1568" s="80">
        <v>0</v>
      </c>
      <c r="O1568" s="80">
        <v>0</v>
      </c>
      <c r="P1568" s="80">
        <v>0</v>
      </c>
      <c r="Q1568" s="80">
        <v>0</v>
      </c>
      <c r="R1568" s="80">
        <v>0</v>
      </c>
      <c r="S1568" s="80">
        <v>0</v>
      </c>
      <c r="T1568" s="80">
        <v>0</v>
      </c>
      <c r="U1568" s="80">
        <v>0</v>
      </c>
      <c r="V1568" s="80">
        <v>0</v>
      </c>
      <c r="W1568" s="80">
        <v>0</v>
      </c>
      <c r="X1568" s="80">
        <v>0</v>
      </c>
      <c r="Y1568" s="78"/>
    </row>
    <row r="1569" spans="1:25" s="81" customFormat="1" ht="15" customHeight="1" x14ac:dyDescent="0.3">
      <c r="A1569" s="77"/>
      <c r="B1569" s="78"/>
      <c r="C1569" s="79"/>
      <c r="D1569" s="78">
        <v>2019</v>
      </c>
      <c r="E1569" s="80">
        <v>0</v>
      </c>
      <c r="F1569" s="80">
        <v>0</v>
      </c>
      <c r="G1569" s="80">
        <v>0</v>
      </c>
      <c r="H1569" s="80">
        <v>0</v>
      </c>
      <c r="I1569" s="80">
        <v>0</v>
      </c>
      <c r="J1569" s="80">
        <v>0</v>
      </c>
      <c r="K1569" s="80">
        <v>0</v>
      </c>
      <c r="L1569" s="80">
        <v>0</v>
      </c>
      <c r="M1569" s="80">
        <v>0</v>
      </c>
      <c r="N1569" s="80">
        <v>0</v>
      </c>
      <c r="O1569" s="80">
        <v>0</v>
      </c>
      <c r="P1569" s="80">
        <v>0</v>
      </c>
      <c r="Q1569" s="80">
        <v>0</v>
      </c>
      <c r="R1569" s="80">
        <v>0</v>
      </c>
      <c r="S1569" s="80">
        <v>0</v>
      </c>
      <c r="T1569" s="80">
        <v>0</v>
      </c>
      <c r="U1569" s="80">
        <v>0</v>
      </c>
      <c r="V1569" s="80">
        <v>0</v>
      </c>
      <c r="W1569" s="80">
        <v>0</v>
      </c>
      <c r="X1569" s="80">
        <v>0</v>
      </c>
      <c r="Y1569" s="78"/>
    </row>
    <row r="1570" spans="1:25" s="81" customFormat="1" ht="15" customHeight="1" x14ac:dyDescent="0.3">
      <c r="A1570" s="77"/>
      <c r="B1570" s="78"/>
      <c r="C1570" s="79"/>
      <c r="D1570" s="78">
        <v>2020</v>
      </c>
      <c r="E1570" s="80">
        <v>0</v>
      </c>
      <c r="F1570" s="80">
        <v>0</v>
      </c>
      <c r="G1570" s="80">
        <v>0</v>
      </c>
      <c r="H1570" s="80">
        <v>0</v>
      </c>
      <c r="I1570" s="80">
        <v>0</v>
      </c>
      <c r="J1570" s="80">
        <v>0</v>
      </c>
      <c r="K1570" s="80">
        <v>0</v>
      </c>
      <c r="L1570" s="80">
        <v>0</v>
      </c>
      <c r="M1570" s="80">
        <v>0</v>
      </c>
      <c r="N1570" s="80">
        <v>0</v>
      </c>
      <c r="O1570" s="80">
        <v>0</v>
      </c>
      <c r="P1570" s="80">
        <v>0</v>
      </c>
      <c r="Q1570" s="80">
        <v>0</v>
      </c>
      <c r="R1570" s="80">
        <v>0</v>
      </c>
      <c r="S1570" s="80">
        <v>0</v>
      </c>
      <c r="T1570" s="80">
        <v>0</v>
      </c>
      <c r="U1570" s="80">
        <v>0</v>
      </c>
      <c r="V1570" s="80">
        <v>0</v>
      </c>
      <c r="W1570" s="80">
        <v>0</v>
      </c>
      <c r="X1570" s="80">
        <v>0</v>
      </c>
      <c r="Y1570" s="78"/>
    </row>
    <row r="1571" spans="1:25" s="81" customFormat="1" ht="15" customHeight="1" x14ac:dyDescent="0.3">
      <c r="A1571" s="77"/>
      <c r="B1571" s="78"/>
      <c r="C1571" s="79"/>
      <c r="D1571" s="78">
        <v>2021</v>
      </c>
      <c r="E1571" s="80">
        <v>0</v>
      </c>
      <c r="F1571" s="80">
        <v>0</v>
      </c>
      <c r="G1571" s="80">
        <v>0</v>
      </c>
      <c r="H1571" s="80">
        <v>0</v>
      </c>
      <c r="I1571" s="80">
        <v>0</v>
      </c>
      <c r="J1571" s="80">
        <v>0</v>
      </c>
      <c r="K1571" s="80">
        <v>0</v>
      </c>
      <c r="L1571" s="80">
        <v>0</v>
      </c>
      <c r="M1571" s="80">
        <v>0</v>
      </c>
      <c r="N1571" s="80">
        <v>0</v>
      </c>
      <c r="O1571" s="80">
        <v>0</v>
      </c>
      <c r="P1571" s="80">
        <v>0</v>
      </c>
      <c r="Q1571" s="80">
        <v>0</v>
      </c>
      <c r="R1571" s="80">
        <v>0</v>
      </c>
      <c r="S1571" s="80">
        <v>0</v>
      </c>
      <c r="T1571" s="80">
        <v>0</v>
      </c>
      <c r="U1571" s="80">
        <v>0</v>
      </c>
      <c r="V1571" s="80">
        <v>0</v>
      </c>
      <c r="W1571" s="80">
        <v>0</v>
      </c>
      <c r="X1571" s="80">
        <v>0</v>
      </c>
      <c r="Y1571" s="78"/>
    </row>
    <row r="1572" spans="1:25" s="81" customFormat="1" ht="15" customHeight="1" x14ac:dyDescent="0.3">
      <c r="A1572" s="77"/>
      <c r="B1572" s="78"/>
      <c r="C1572" s="79"/>
      <c r="D1572" s="78">
        <v>2022</v>
      </c>
      <c r="E1572" s="80">
        <v>0</v>
      </c>
      <c r="F1572" s="80">
        <v>0</v>
      </c>
      <c r="G1572" s="80">
        <v>0</v>
      </c>
      <c r="H1572" s="80">
        <v>0</v>
      </c>
      <c r="I1572" s="80">
        <v>0</v>
      </c>
      <c r="J1572" s="80">
        <v>0</v>
      </c>
      <c r="K1572" s="80">
        <v>0</v>
      </c>
      <c r="L1572" s="80">
        <v>0</v>
      </c>
      <c r="M1572" s="80">
        <v>0</v>
      </c>
      <c r="N1572" s="80">
        <v>0</v>
      </c>
      <c r="O1572" s="80">
        <v>0</v>
      </c>
      <c r="P1572" s="80">
        <v>0</v>
      </c>
      <c r="Q1572" s="80">
        <v>0</v>
      </c>
      <c r="R1572" s="80">
        <v>0</v>
      </c>
      <c r="S1572" s="80">
        <v>0</v>
      </c>
      <c r="T1572" s="80">
        <v>0</v>
      </c>
      <c r="U1572" s="80">
        <v>0</v>
      </c>
      <c r="V1572" s="80">
        <v>0</v>
      </c>
      <c r="W1572" s="80">
        <v>0</v>
      </c>
      <c r="X1572" s="80">
        <v>0</v>
      </c>
      <c r="Y1572" s="78"/>
    </row>
    <row r="1573" spans="1:25" s="81" customFormat="1" ht="15" customHeight="1" x14ac:dyDescent="0.3">
      <c r="A1573" s="77"/>
      <c r="B1573" s="78"/>
      <c r="C1573" s="79"/>
      <c r="D1573" s="78">
        <v>2023</v>
      </c>
      <c r="E1573" s="80">
        <v>0</v>
      </c>
      <c r="F1573" s="80">
        <v>0</v>
      </c>
      <c r="G1573" s="80">
        <v>0</v>
      </c>
      <c r="H1573" s="80">
        <v>0</v>
      </c>
      <c r="I1573" s="80">
        <v>0</v>
      </c>
      <c r="J1573" s="80">
        <v>0</v>
      </c>
      <c r="K1573" s="80">
        <v>0</v>
      </c>
      <c r="L1573" s="80">
        <v>0</v>
      </c>
      <c r="M1573" s="80">
        <v>0</v>
      </c>
      <c r="N1573" s="80">
        <v>0</v>
      </c>
      <c r="O1573" s="80">
        <v>0</v>
      </c>
      <c r="P1573" s="80">
        <v>0</v>
      </c>
      <c r="Q1573" s="80">
        <v>0</v>
      </c>
      <c r="R1573" s="80">
        <v>0</v>
      </c>
      <c r="S1573" s="80">
        <v>0</v>
      </c>
      <c r="T1573" s="80">
        <v>0</v>
      </c>
      <c r="U1573" s="80">
        <v>0</v>
      </c>
      <c r="V1573" s="80">
        <v>0</v>
      </c>
      <c r="W1573" s="80">
        <v>0</v>
      </c>
      <c r="X1573" s="80">
        <v>0</v>
      </c>
      <c r="Y1573" s="78"/>
    </row>
    <row r="1574" spans="1:25" s="81" customFormat="1" ht="15" customHeight="1" x14ac:dyDescent="0.3">
      <c r="A1574" s="77"/>
      <c r="B1574" s="78"/>
      <c r="C1574" s="79"/>
      <c r="D1574" s="78">
        <v>2024</v>
      </c>
      <c r="E1574" s="80">
        <v>0</v>
      </c>
      <c r="F1574" s="80">
        <v>0</v>
      </c>
      <c r="G1574" s="80">
        <v>0</v>
      </c>
      <c r="H1574" s="80">
        <v>0</v>
      </c>
      <c r="I1574" s="80">
        <v>0</v>
      </c>
      <c r="J1574" s="80">
        <v>0</v>
      </c>
      <c r="K1574" s="80">
        <v>0</v>
      </c>
      <c r="L1574" s="80">
        <v>0</v>
      </c>
      <c r="M1574" s="80">
        <v>0</v>
      </c>
      <c r="N1574" s="80">
        <v>0</v>
      </c>
      <c r="O1574" s="80">
        <v>0</v>
      </c>
      <c r="P1574" s="80">
        <v>0</v>
      </c>
      <c r="Q1574" s="80">
        <v>0</v>
      </c>
      <c r="R1574" s="80">
        <v>0</v>
      </c>
      <c r="S1574" s="80">
        <v>0</v>
      </c>
      <c r="T1574" s="80">
        <v>0</v>
      </c>
      <c r="U1574" s="80">
        <v>0</v>
      </c>
      <c r="V1574" s="80">
        <v>0</v>
      </c>
      <c r="W1574" s="80">
        <v>0</v>
      </c>
      <c r="X1574" s="80">
        <v>0</v>
      </c>
      <c r="Y1574" s="78"/>
    </row>
    <row r="1575" spans="1:25" s="81" customFormat="1" ht="15" customHeight="1" x14ac:dyDescent="0.3">
      <c r="A1575" s="77"/>
      <c r="B1575" s="78">
        <v>144</v>
      </c>
      <c r="C1575" s="79" t="s">
        <v>141</v>
      </c>
      <c r="D1575" s="78">
        <v>2014</v>
      </c>
      <c r="E1575" s="80">
        <v>0</v>
      </c>
      <c r="F1575" s="80">
        <v>0</v>
      </c>
      <c r="G1575" s="80">
        <v>0</v>
      </c>
      <c r="H1575" s="80">
        <v>0</v>
      </c>
      <c r="I1575" s="80">
        <v>0</v>
      </c>
      <c r="J1575" s="80">
        <v>0</v>
      </c>
      <c r="K1575" s="80">
        <v>0</v>
      </c>
      <c r="L1575" s="80">
        <v>0</v>
      </c>
      <c r="M1575" s="80">
        <v>0</v>
      </c>
      <c r="N1575" s="80">
        <v>0</v>
      </c>
      <c r="O1575" s="80">
        <v>0</v>
      </c>
      <c r="P1575" s="80">
        <v>0</v>
      </c>
      <c r="Q1575" s="80">
        <v>0</v>
      </c>
      <c r="R1575" s="80">
        <v>0</v>
      </c>
      <c r="S1575" s="80">
        <v>0</v>
      </c>
      <c r="T1575" s="80">
        <v>0</v>
      </c>
      <c r="U1575" s="80">
        <v>0</v>
      </c>
      <c r="V1575" s="80">
        <v>0</v>
      </c>
      <c r="W1575" s="80">
        <v>0</v>
      </c>
      <c r="X1575" s="80">
        <v>0</v>
      </c>
      <c r="Y1575" s="78"/>
    </row>
    <row r="1576" spans="1:25" s="81" customFormat="1" ht="15" customHeight="1" x14ac:dyDescent="0.3">
      <c r="A1576" s="77"/>
      <c r="B1576" s="78"/>
      <c r="C1576" s="79"/>
      <c r="D1576" s="78">
        <v>2015</v>
      </c>
      <c r="E1576" s="80">
        <v>0</v>
      </c>
      <c r="F1576" s="80">
        <v>0</v>
      </c>
      <c r="G1576" s="80">
        <v>0</v>
      </c>
      <c r="H1576" s="80">
        <v>0</v>
      </c>
      <c r="I1576" s="80">
        <v>0</v>
      </c>
      <c r="J1576" s="80">
        <v>0</v>
      </c>
      <c r="K1576" s="80">
        <v>0</v>
      </c>
      <c r="L1576" s="80">
        <v>0</v>
      </c>
      <c r="M1576" s="80">
        <v>0</v>
      </c>
      <c r="N1576" s="80">
        <v>0</v>
      </c>
      <c r="O1576" s="80">
        <v>0</v>
      </c>
      <c r="P1576" s="80">
        <v>0</v>
      </c>
      <c r="Q1576" s="80">
        <v>0</v>
      </c>
      <c r="R1576" s="80">
        <v>0</v>
      </c>
      <c r="S1576" s="80">
        <v>0</v>
      </c>
      <c r="T1576" s="80">
        <v>0</v>
      </c>
      <c r="U1576" s="80">
        <v>0</v>
      </c>
      <c r="V1576" s="80">
        <v>0</v>
      </c>
      <c r="W1576" s="80">
        <v>0</v>
      </c>
      <c r="X1576" s="80">
        <v>0</v>
      </c>
      <c r="Y1576" s="78"/>
    </row>
    <row r="1577" spans="1:25" s="81" customFormat="1" ht="15" customHeight="1" x14ac:dyDescent="0.3">
      <c r="A1577" s="77"/>
      <c r="B1577" s="78"/>
      <c r="C1577" s="79"/>
      <c r="D1577" s="78">
        <v>2016</v>
      </c>
      <c r="E1577" s="80">
        <v>0</v>
      </c>
      <c r="F1577" s="80">
        <v>0</v>
      </c>
      <c r="G1577" s="80">
        <v>0</v>
      </c>
      <c r="H1577" s="80">
        <v>0</v>
      </c>
      <c r="I1577" s="80">
        <v>0</v>
      </c>
      <c r="J1577" s="80">
        <v>0</v>
      </c>
      <c r="K1577" s="80">
        <v>0</v>
      </c>
      <c r="L1577" s="80">
        <v>0</v>
      </c>
      <c r="M1577" s="80">
        <v>0</v>
      </c>
      <c r="N1577" s="80">
        <v>0</v>
      </c>
      <c r="O1577" s="80">
        <v>0</v>
      </c>
      <c r="P1577" s="80">
        <v>0</v>
      </c>
      <c r="Q1577" s="80">
        <v>0</v>
      </c>
      <c r="R1577" s="80">
        <v>0</v>
      </c>
      <c r="S1577" s="80">
        <v>0</v>
      </c>
      <c r="T1577" s="80">
        <v>0</v>
      </c>
      <c r="U1577" s="80">
        <v>0</v>
      </c>
      <c r="V1577" s="80">
        <v>0</v>
      </c>
      <c r="W1577" s="80">
        <v>0</v>
      </c>
      <c r="X1577" s="80">
        <v>0</v>
      </c>
      <c r="Y1577" s="78"/>
    </row>
    <row r="1578" spans="1:25" s="81" customFormat="1" ht="15" customHeight="1" x14ac:dyDescent="0.3">
      <c r="A1578" s="77"/>
      <c r="B1578" s="78"/>
      <c r="C1578" s="79"/>
      <c r="D1578" s="78">
        <v>2017</v>
      </c>
      <c r="E1578" s="80">
        <f>50145*1000000</f>
        <v>50145000000</v>
      </c>
      <c r="F1578" s="80">
        <f>(50145+504849+1066335+53174+10220+14392)*1000000</f>
        <v>1699115000000</v>
      </c>
      <c r="G1578" s="80">
        <f>3465727*1000000</f>
        <v>3465727000000</v>
      </c>
      <c r="H1578" s="80">
        <f>204136*1000000</f>
        <v>204136000000</v>
      </c>
      <c r="I1578" s="80">
        <f>2408523*1000000</f>
        <v>2408523000000</v>
      </c>
      <c r="J1578" s="80">
        <f>528633*1000000</f>
        <v>528633000000</v>
      </c>
      <c r="K1578" s="80">
        <f>1057204*1000000</f>
        <v>1057204000000</v>
      </c>
      <c r="L1578" s="80">
        <f>1039716*1000000</f>
        <v>1039716000000</v>
      </c>
      <c r="M1578" s="80">
        <f>229849*1000000</f>
        <v>229849000000</v>
      </c>
      <c r="N1578" s="80">
        <f>238561*1000000</f>
        <v>238561000000</v>
      </c>
      <c r="O1578" s="80">
        <v>0</v>
      </c>
      <c r="P1578" s="80">
        <v>0</v>
      </c>
      <c r="Q1578" s="80">
        <v>0</v>
      </c>
      <c r="R1578" s="80">
        <v>0</v>
      </c>
      <c r="S1578" s="80">
        <v>0</v>
      </c>
      <c r="T1578" s="80">
        <v>0</v>
      </c>
      <c r="U1578" s="80">
        <v>0</v>
      </c>
      <c r="V1578" s="80">
        <v>0</v>
      </c>
      <c r="W1578" s="80">
        <v>0</v>
      </c>
      <c r="X1578" s="80">
        <v>0</v>
      </c>
      <c r="Y1578" s="78"/>
    </row>
    <row r="1579" spans="1:25" s="81" customFormat="1" ht="15" customHeight="1" x14ac:dyDescent="0.3">
      <c r="A1579" s="77"/>
      <c r="B1579" s="78"/>
      <c r="C1579" s="79"/>
      <c r="D1579" s="78">
        <v>2018</v>
      </c>
      <c r="E1579" s="80">
        <f>6040*1000000</f>
        <v>6040000000</v>
      </c>
      <c r="F1579" s="80">
        <f>(6040+425243+1238293+33833+1222+14309)*1000000</f>
        <v>1718940000000</v>
      </c>
      <c r="G1579" s="80">
        <f>3558941*1000000</f>
        <v>3558941000000</v>
      </c>
      <c r="H1579" s="80">
        <f>133292*1000000</f>
        <v>133292000000</v>
      </c>
      <c r="I1579" s="80">
        <f>2645155*1000000</f>
        <v>2645155000000</v>
      </c>
      <c r="J1579" s="80">
        <f>451583*1000000</f>
        <v>451583000000</v>
      </c>
      <c r="K1579" s="80">
        <f>913786*1000000</f>
        <v>913786000000</v>
      </c>
      <c r="L1579" s="80">
        <f>1171019*1000000</f>
        <v>1171019000000</v>
      </c>
      <c r="M1579" s="80">
        <f>-102611*1000000</f>
        <v>-102611000000</v>
      </c>
      <c r="N1579" s="80">
        <f>-117523*1000000</f>
        <v>-117523000000</v>
      </c>
      <c r="O1579" s="82">
        <v>0.65049999999999997</v>
      </c>
      <c r="P1579" s="83" t="s">
        <v>302</v>
      </c>
      <c r="Q1579" s="80">
        <v>1</v>
      </c>
      <c r="R1579" s="80">
        <v>4</v>
      </c>
      <c r="S1579" s="80">
        <v>5</v>
      </c>
      <c r="T1579" s="80">
        <f>SUM(R1579:S1579)</f>
        <v>9</v>
      </c>
      <c r="U1579" s="84">
        <v>0</v>
      </c>
      <c r="V1579" s="80">
        <v>0</v>
      </c>
      <c r="W1579" s="80">
        <v>0</v>
      </c>
      <c r="X1579" s="80">
        <v>0</v>
      </c>
      <c r="Y1579" s="78"/>
    </row>
    <row r="1580" spans="1:25" s="81" customFormat="1" ht="15" customHeight="1" x14ac:dyDescent="0.3">
      <c r="A1580" s="77"/>
      <c r="B1580" s="78"/>
      <c r="C1580" s="79"/>
      <c r="D1580" s="78">
        <v>2019</v>
      </c>
      <c r="E1580" s="80">
        <f>7873*1000000</f>
        <v>7873000000</v>
      </c>
      <c r="F1580" s="80">
        <f>(7873+404314+2069726+55626+29418+14160)*1000000</f>
        <v>2581117000000</v>
      </c>
      <c r="G1580" s="80">
        <f>4941031*1000000</f>
        <v>4941031000000</v>
      </c>
      <c r="H1580" s="80">
        <f>135099*1000000</f>
        <v>135099000000</v>
      </c>
      <c r="I1580" s="80">
        <f>3520587*1000000</f>
        <v>3520587000000</v>
      </c>
      <c r="J1580" s="80">
        <f>556888*1000000</f>
        <v>556888000000</v>
      </c>
      <c r="K1580" s="80">
        <f>1420444*1000000</f>
        <v>1420444000000</v>
      </c>
      <c r="L1580" s="80">
        <f>1245589*1000000</f>
        <v>1245589000000</v>
      </c>
      <c r="M1580" s="80">
        <f>127943*1000000</f>
        <v>127943000000</v>
      </c>
      <c r="N1580" s="80">
        <f>141595*1000000</f>
        <v>141595000000</v>
      </c>
      <c r="O1580" s="82">
        <v>0.50739999999999996</v>
      </c>
      <c r="P1580" s="83" t="s">
        <v>302</v>
      </c>
      <c r="Q1580" s="80">
        <v>1</v>
      </c>
      <c r="R1580" s="80">
        <v>4</v>
      </c>
      <c r="S1580" s="80">
        <v>4</v>
      </c>
      <c r="T1580" s="80">
        <f t="shared" ref="T1580:T1585" si="151">SUM(R1580:S1580)</f>
        <v>8</v>
      </c>
      <c r="U1580" s="84">
        <v>0</v>
      </c>
      <c r="V1580" s="80">
        <v>0</v>
      </c>
      <c r="W1580" s="80">
        <v>0</v>
      </c>
      <c r="X1580" s="80">
        <v>0</v>
      </c>
      <c r="Y1580" s="78"/>
    </row>
    <row r="1581" spans="1:25" s="81" customFormat="1" ht="15" customHeight="1" x14ac:dyDescent="0.3">
      <c r="A1581" s="77"/>
      <c r="B1581" s="78"/>
      <c r="C1581" s="79"/>
      <c r="D1581" s="78">
        <v>2020</v>
      </c>
      <c r="E1581" s="80">
        <f>9598*1000000</f>
        <v>9598000000</v>
      </c>
      <c r="F1581" s="80">
        <f>(9598+387077+1654418+136748+3000+12585)*1000000</f>
        <v>2203426000000</v>
      </c>
      <c r="G1581" s="80">
        <f>4450772*1000000</f>
        <v>4450772000000</v>
      </c>
      <c r="H1581" s="80">
        <f>144721*1000000</f>
        <v>144721000000</v>
      </c>
      <c r="I1581" s="80">
        <f>3044547*1000000</f>
        <v>3044547000000</v>
      </c>
      <c r="J1581" s="80">
        <f>538006*1000000</f>
        <v>538006000000</v>
      </c>
      <c r="K1581" s="80">
        <f>1406225*1000000</f>
        <v>1406225000000</v>
      </c>
      <c r="L1581" s="80">
        <f>1092309*1000000</f>
        <v>1092309000000</v>
      </c>
      <c r="M1581" s="80">
        <f>24467*1000000</f>
        <v>24467000000</v>
      </c>
      <c r="N1581" s="80">
        <f>18545*1000000</f>
        <v>18545000000</v>
      </c>
      <c r="O1581" s="82">
        <v>0.50739999999999996</v>
      </c>
      <c r="P1581" s="83" t="s">
        <v>302</v>
      </c>
      <c r="Q1581" s="80">
        <v>1</v>
      </c>
      <c r="R1581" s="80">
        <v>4</v>
      </c>
      <c r="S1581" s="80">
        <v>4</v>
      </c>
      <c r="T1581" s="80">
        <f t="shared" si="151"/>
        <v>8</v>
      </c>
      <c r="U1581" s="84">
        <v>0</v>
      </c>
      <c r="V1581" s="80">
        <v>0</v>
      </c>
      <c r="W1581" s="80">
        <v>0</v>
      </c>
      <c r="X1581" s="80">
        <v>0</v>
      </c>
      <c r="Y1581" s="78"/>
    </row>
    <row r="1582" spans="1:25" s="81" customFormat="1" ht="15" customHeight="1" x14ac:dyDescent="0.3">
      <c r="A1582" s="77"/>
      <c r="B1582" s="78"/>
      <c r="C1582" s="79"/>
      <c r="D1582" s="78">
        <v>2021</v>
      </c>
      <c r="E1582" s="80">
        <f>12118*1000000</f>
        <v>12118000000</v>
      </c>
      <c r="F1582" s="80">
        <f>(12118+376573+1438129+103636+3183+10775)*1000000</f>
        <v>1944414000000</v>
      </c>
      <c r="G1582" s="80">
        <f>4351906*1000000</f>
        <v>4351906000000</v>
      </c>
      <c r="H1582" s="80">
        <f>157820*1000000</f>
        <v>157820000000</v>
      </c>
      <c r="I1582" s="80">
        <f>2930363*1000000</f>
        <v>2930363000000</v>
      </c>
      <c r="J1582" s="80">
        <f>554869*1000000</f>
        <v>554869000000</v>
      </c>
      <c r="K1582" s="80">
        <f>1421543*1000000</f>
        <v>1421543000000</v>
      </c>
      <c r="L1582" s="80">
        <f>1157647*1000000</f>
        <v>1157647000000</v>
      </c>
      <c r="M1582" s="80">
        <f>20974*1000000</f>
        <v>20974000000</v>
      </c>
      <c r="N1582" s="80">
        <f>25318*1000000</f>
        <v>25318000000</v>
      </c>
      <c r="O1582" s="82">
        <v>0.50739999999999996</v>
      </c>
      <c r="P1582" s="83" t="s">
        <v>302</v>
      </c>
      <c r="Q1582" s="80">
        <v>0</v>
      </c>
      <c r="R1582" s="80">
        <v>4</v>
      </c>
      <c r="S1582" s="80">
        <v>4</v>
      </c>
      <c r="T1582" s="80">
        <f t="shared" si="151"/>
        <v>8</v>
      </c>
      <c r="U1582" s="84">
        <v>0</v>
      </c>
      <c r="V1582" s="80">
        <v>0</v>
      </c>
      <c r="W1582" s="80">
        <v>0</v>
      </c>
      <c r="X1582" s="80">
        <v>0</v>
      </c>
      <c r="Y1582" s="78"/>
    </row>
    <row r="1583" spans="1:25" s="81" customFormat="1" ht="15" customHeight="1" x14ac:dyDescent="0.3">
      <c r="A1583" s="77"/>
      <c r="B1583" s="78"/>
      <c r="C1583" s="79"/>
      <c r="D1583" s="78">
        <v>2022</v>
      </c>
      <c r="E1583" s="80">
        <f>128231*1000000</f>
        <v>128231000000</v>
      </c>
      <c r="F1583" s="80">
        <f>(128231+386596+1804230+105417+2504+18113)*1000000</f>
        <v>2445091000000</v>
      </c>
      <c r="G1583" s="80">
        <f>5241287*1000000</f>
        <v>5241287000000</v>
      </c>
      <c r="H1583" s="80">
        <f>161372*1000000</f>
        <v>161372000000</v>
      </c>
      <c r="I1583" s="80">
        <f>3737933*1000000</f>
        <v>3737933000000</v>
      </c>
      <c r="J1583" s="80">
        <f>645402*1000000</f>
        <v>645402000000</v>
      </c>
      <c r="K1583" s="80">
        <f>1503354*1000000</f>
        <v>1503354000000</v>
      </c>
      <c r="L1583" s="80">
        <f>1232293*1000000</f>
        <v>1232293000000</v>
      </c>
      <c r="M1583" s="80">
        <f>108106*1000000</f>
        <v>108106000000</v>
      </c>
      <c r="N1583" s="80">
        <f>92556*1000000</f>
        <v>92556000000</v>
      </c>
      <c r="O1583" s="82">
        <v>0.50739999999999996</v>
      </c>
      <c r="P1583" s="83" t="s">
        <v>302</v>
      </c>
      <c r="Q1583" s="80">
        <v>0</v>
      </c>
      <c r="R1583" s="80">
        <v>4</v>
      </c>
      <c r="S1583" s="80">
        <v>4</v>
      </c>
      <c r="T1583" s="80">
        <f t="shared" si="151"/>
        <v>8</v>
      </c>
      <c r="U1583" s="84">
        <v>0</v>
      </c>
      <c r="V1583" s="80">
        <v>0</v>
      </c>
      <c r="W1583" s="80">
        <v>0</v>
      </c>
      <c r="X1583" s="80">
        <v>0</v>
      </c>
      <c r="Y1583" s="78"/>
    </row>
    <row r="1584" spans="1:25" s="81" customFormat="1" ht="15" customHeight="1" x14ac:dyDescent="0.3">
      <c r="A1584" s="77"/>
      <c r="B1584" s="78"/>
      <c r="C1584" s="79"/>
      <c r="D1584" s="78">
        <v>2023</v>
      </c>
      <c r="E1584" s="80">
        <f>162778*1000000</f>
        <v>162778000000</v>
      </c>
      <c r="F1584" s="80">
        <f>(162778+444007+1801975+162358+9725+19886)*1000000</f>
        <v>2600729000000</v>
      </c>
      <c r="G1584" s="80">
        <f>5915931*1000000</f>
        <v>5915931000000</v>
      </c>
      <c r="H1584" s="80">
        <f>187211*1000000</f>
        <v>187211000000</v>
      </c>
      <c r="I1584" s="80">
        <f>4478289*1000000</f>
        <v>4478289000000</v>
      </c>
      <c r="J1584" s="80">
        <f>199871*1000000</f>
        <v>199871000000</v>
      </c>
      <c r="K1584" s="80">
        <f>1437642*1000000</f>
        <v>1437642000000</v>
      </c>
      <c r="L1584" s="80">
        <f>1294480*1000000</f>
        <v>1294480000000</v>
      </c>
      <c r="M1584" s="80">
        <f>-74393*1000000</f>
        <v>-74393000000</v>
      </c>
      <c r="N1584" s="80">
        <f>-35712*1000000</f>
        <v>-35712000000</v>
      </c>
      <c r="O1584" s="82">
        <v>0.50739999999999996</v>
      </c>
      <c r="P1584" s="83" t="s">
        <v>302</v>
      </c>
      <c r="Q1584" s="80">
        <v>0</v>
      </c>
      <c r="R1584" s="80">
        <v>4</v>
      </c>
      <c r="S1584" s="80">
        <v>4</v>
      </c>
      <c r="T1584" s="80">
        <f t="shared" si="151"/>
        <v>8</v>
      </c>
      <c r="U1584" s="84">
        <v>0</v>
      </c>
      <c r="V1584" s="80">
        <v>0</v>
      </c>
      <c r="W1584" s="80">
        <v>0</v>
      </c>
      <c r="X1584" s="80">
        <v>0</v>
      </c>
      <c r="Y1584" s="78"/>
    </row>
    <row r="1585" spans="1:25" s="81" customFormat="1" ht="15" customHeight="1" x14ac:dyDescent="0.3">
      <c r="A1585" s="77"/>
      <c r="B1585" s="78"/>
      <c r="C1585" s="79"/>
      <c r="D1585" s="78">
        <v>2024</v>
      </c>
      <c r="E1585" s="80">
        <f>84076*1000000</f>
        <v>84076000000</v>
      </c>
      <c r="F1585" s="80">
        <f>(84076+351912+1460576+107651+32301)*1000000</f>
        <v>2036516000000</v>
      </c>
      <c r="G1585" s="80">
        <f>5942450*1000000</f>
        <v>5942450000000</v>
      </c>
      <c r="H1585" s="80">
        <f>196777*1000000</f>
        <v>196777000000</v>
      </c>
      <c r="I1585" s="80">
        <f>4418803*1000000</f>
        <v>4418803000000</v>
      </c>
      <c r="J1585" s="80">
        <f>306506*1000000</f>
        <v>306506000000</v>
      </c>
      <c r="K1585" s="80">
        <f>1523647*1000000</f>
        <v>1523647000000</v>
      </c>
      <c r="L1585" s="80">
        <f>1642288*1000000</f>
        <v>1642288000000</v>
      </c>
      <c r="M1585" s="80">
        <f>96152*1000000</f>
        <v>96152000000</v>
      </c>
      <c r="N1585" s="80">
        <f>86005*1000000</f>
        <v>86005000000</v>
      </c>
      <c r="O1585" s="82">
        <v>0.50739999999999996</v>
      </c>
      <c r="P1585" s="83" t="s">
        <v>302</v>
      </c>
      <c r="Q1585" s="80">
        <v>0</v>
      </c>
      <c r="R1585" s="80">
        <v>4</v>
      </c>
      <c r="S1585" s="80">
        <v>4</v>
      </c>
      <c r="T1585" s="80">
        <f t="shared" si="151"/>
        <v>8</v>
      </c>
      <c r="U1585" s="84">
        <v>0</v>
      </c>
      <c r="V1585" s="80">
        <v>0</v>
      </c>
      <c r="W1585" s="80">
        <v>0</v>
      </c>
      <c r="X1585" s="80">
        <v>0</v>
      </c>
      <c r="Y1585" s="78"/>
    </row>
    <row r="1586" spans="1:25" s="81" customFormat="1" ht="15" customHeight="1" x14ac:dyDescent="0.3">
      <c r="A1586" s="77" t="s">
        <v>156</v>
      </c>
      <c r="B1586" s="78">
        <v>145</v>
      </c>
      <c r="C1586" s="102" t="s">
        <v>145</v>
      </c>
      <c r="D1586" s="78">
        <v>2014</v>
      </c>
      <c r="E1586" s="80">
        <v>0</v>
      </c>
      <c r="F1586" s="80">
        <v>0</v>
      </c>
      <c r="G1586" s="80">
        <v>0</v>
      </c>
      <c r="H1586" s="80">
        <v>0</v>
      </c>
      <c r="I1586" s="80">
        <v>0</v>
      </c>
      <c r="J1586" s="80">
        <v>0</v>
      </c>
      <c r="K1586" s="80">
        <v>0</v>
      </c>
      <c r="L1586" s="80">
        <f>3483757*1000000</f>
        <v>3483757000000</v>
      </c>
      <c r="M1586" s="80">
        <v>0</v>
      </c>
      <c r="N1586" s="80">
        <v>0</v>
      </c>
      <c r="O1586" s="80">
        <v>0</v>
      </c>
      <c r="P1586" s="80">
        <v>0</v>
      </c>
      <c r="Q1586" s="80">
        <v>0</v>
      </c>
      <c r="R1586" s="80">
        <v>0</v>
      </c>
      <c r="S1586" s="80">
        <v>0</v>
      </c>
      <c r="T1586" s="80">
        <v>0</v>
      </c>
      <c r="U1586" s="80">
        <v>0</v>
      </c>
      <c r="V1586" s="80">
        <v>0</v>
      </c>
      <c r="W1586" s="80">
        <v>0</v>
      </c>
      <c r="X1586" s="80">
        <v>0</v>
      </c>
      <c r="Y1586" s="78"/>
    </row>
    <row r="1587" spans="1:25" s="81" customFormat="1" ht="15" customHeight="1" x14ac:dyDescent="0.3">
      <c r="A1587" s="77"/>
      <c r="B1587" s="78"/>
      <c r="C1587" s="102"/>
      <c r="D1587" s="78">
        <v>2015</v>
      </c>
      <c r="E1587" s="80">
        <f>869804*1000000</f>
        <v>869804000000</v>
      </c>
      <c r="F1587" s="80">
        <f>7050767*1000000</f>
        <v>7050767000000</v>
      </c>
      <c r="G1587" s="80">
        <f>32312555*1000000</f>
        <v>32312555000000</v>
      </c>
      <c r="H1587" s="80">
        <f>1722618*1000000</f>
        <v>1722618000000</v>
      </c>
      <c r="I1587" s="80">
        <f>30496531*1000000</f>
        <v>30496531000000</v>
      </c>
      <c r="J1587" s="80">
        <f>(1311878+569088)*1000000</f>
        <v>1880966000000</v>
      </c>
      <c r="K1587" s="80">
        <f>1816023*1000000</f>
        <v>1816023000000</v>
      </c>
      <c r="L1587" s="80">
        <f>4169989*1000000</f>
        <v>4169989000000</v>
      </c>
      <c r="M1587" s="80">
        <f>347494*1000000</f>
        <v>347494000000</v>
      </c>
      <c r="N1587" s="80">
        <f>346716*1000000</f>
        <v>346716000000</v>
      </c>
      <c r="O1587" s="82">
        <v>1</v>
      </c>
      <c r="P1587" s="83" t="s">
        <v>339</v>
      </c>
      <c r="Q1587" s="80">
        <v>0</v>
      </c>
      <c r="R1587" s="80">
        <v>4</v>
      </c>
      <c r="S1587" s="80">
        <v>4</v>
      </c>
      <c r="T1587" s="80">
        <f>SUM(R1587:S1587)</f>
        <v>8</v>
      </c>
      <c r="U1587" s="84">
        <v>0</v>
      </c>
      <c r="V1587" s="80">
        <f>4+6+6</f>
        <v>16</v>
      </c>
      <c r="W1587" s="80">
        <f>V1587</f>
        <v>16</v>
      </c>
      <c r="X1587" s="80">
        <f>3+2</f>
        <v>5</v>
      </c>
      <c r="Y1587" s="78"/>
    </row>
    <row r="1588" spans="1:25" s="81" customFormat="1" ht="15" customHeight="1" x14ac:dyDescent="0.3">
      <c r="A1588" s="77"/>
      <c r="B1588" s="78"/>
      <c r="C1588" s="102"/>
      <c r="D1588" s="78">
        <v>2016</v>
      </c>
      <c r="E1588" s="80">
        <f>116069*1000000</f>
        <v>116069000000</v>
      </c>
      <c r="F1588" s="80">
        <f>27319337*1000000</f>
        <v>27319337000000</v>
      </c>
      <c r="G1588" s="80">
        <f>36595437*1000000</f>
        <v>36595437000000</v>
      </c>
      <c r="H1588" s="80">
        <f>2069575*1000000</f>
        <v>2069575000000</v>
      </c>
      <c r="I1588" s="80">
        <f>34994322*1000000</f>
        <v>34994322000000</v>
      </c>
      <c r="J1588" s="80">
        <f>(1658595+766140)*1000000</f>
        <v>2424735000000</v>
      </c>
      <c r="K1588" s="80">
        <f>1601114*1000000</f>
        <v>1601114000000</v>
      </c>
      <c r="L1588" s="80">
        <f>5182617*1000000</f>
        <v>5182617000000</v>
      </c>
      <c r="M1588" s="80">
        <f>565763*1000000</f>
        <v>565763000000</v>
      </c>
      <c r="N1588" s="80">
        <f>537628*1000000</f>
        <v>537628000000</v>
      </c>
      <c r="O1588" s="82">
        <v>1</v>
      </c>
      <c r="P1588" s="83" t="s">
        <v>339</v>
      </c>
      <c r="Q1588" s="80">
        <v>0</v>
      </c>
      <c r="R1588" s="80">
        <v>4</v>
      </c>
      <c r="S1588" s="80">
        <v>4</v>
      </c>
      <c r="T1588" s="80">
        <f>SUM(R1588:S1588)</f>
        <v>8</v>
      </c>
      <c r="U1588" s="84">
        <v>0</v>
      </c>
      <c r="V1588" s="80">
        <f>4+6+6</f>
        <v>16</v>
      </c>
      <c r="W1588" s="80">
        <f>V1588</f>
        <v>16</v>
      </c>
      <c r="X1588" s="80">
        <f>3+2</f>
        <v>5</v>
      </c>
      <c r="Y1588" s="78"/>
    </row>
    <row r="1589" spans="1:25" s="81" customFormat="1" ht="15" customHeight="1" x14ac:dyDescent="0.3">
      <c r="A1589" s="77"/>
      <c r="B1589" s="78"/>
      <c r="C1589" s="102"/>
      <c r="D1589" s="78">
        <v>2017</v>
      </c>
      <c r="E1589" s="80">
        <f>119012*1000000</f>
        <v>119012000000</v>
      </c>
      <c r="F1589" s="80">
        <f>(119012+1591407+14971946+227544)*1000000</f>
        <v>16909909000000</v>
      </c>
      <c r="G1589" s="80">
        <f>44801865*1000000</f>
        <v>44801865000000</v>
      </c>
      <c r="H1589" s="80">
        <f>(62089+1612016+59694+3297)*1000000</f>
        <v>1737096000000</v>
      </c>
      <c r="I1589" s="80">
        <f>43615289*1000000</f>
        <v>43615289000000</v>
      </c>
      <c r="J1589" s="80">
        <f>(86429+1671974)*1000000</f>
        <v>1758403000000</v>
      </c>
      <c r="K1589" s="80">
        <f>1186576*1000000</f>
        <v>1186576000000</v>
      </c>
      <c r="L1589" s="80">
        <f>4519830*1000000</f>
        <v>4519830000000</v>
      </c>
      <c r="M1589" s="80">
        <f>964445*1000000</f>
        <v>964445000000</v>
      </c>
      <c r="N1589" s="80">
        <f>943811*1000000</f>
        <v>943811000000</v>
      </c>
      <c r="O1589" s="82">
        <v>1</v>
      </c>
      <c r="P1589" s="83" t="s">
        <v>339</v>
      </c>
      <c r="Q1589" s="80">
        <v>0</v>
      </c>
      <c r="R1589" s="80">
        <v>4</v>
      </c>
      <c r="S1589" s="80">
        <v>4</v>
      </c>
      <c r="T1589" s="80">
        <f>SUM(R1589:S1589)</f>
        <v>8</v>
      </c>
      <c r="U1589" s="84">
        <v>0</v>
      </c>
      <c r="V1589" s="80">
        <f>4+6+6</f>
        <v>16</v>
      </c>
      <c r="W1589" s="80">
        <f>V1589</f>
        <v>16</v>
      </c>
      <c r="X1589" s="80">
        <f>3+2</f>
        <v>5</v>
      </c>
      <c r="Y1589" s="78"/>
    </row>
    <row r="1590" spans="1:25" s="81" customFormat="1" ht="15" customHeight="1" x14ac:dyDescent="0.3">
      <c r="A1590" s="77"/>
      <c r="B1590" s="78"/>
      <c r="C1590" s="102"/>
      <c r="D1590" s="78">
        <v>2018</v>
      </c>
      <c r="E1590" s="80">
        <v>0</v>
      </c>
      <c r="F1590" s="80">
        <v>0</v>
      </c>
      <c r="G1590" s="80">
        <v>0</v>
      </c>
      <c r="H1590" s="80">
        <v>0</v>
      </c>
      <c r="I1590" s="80">
        <v>0</v>
      </c>
      <c r="J1590" s="80">
        <v>0</v>
      </c>
      <c r="K1590" s="80">
        <v>0</v>
      </c>
      <c r="L1590" s="80">
        <v>0</v>
      </c>
      <c r="M1590" s="80">
        <v>0</v>
      </c>
      <c r="N1590" s="80">
        <v>0</v>
      </c>
      <c r="O1590" s="80">
        <v>0</v>
      </c>
      <c r="P1590" s="80">
        <v>0</v>
      </c>
      <c r="Q1590" s="80">
        <v>0</v>
      </c>
      <c r="R1590" s="80">
        <v>0</v>
      </c>
      <c r="S1590" s="80">
        <v>0</v>
      </c>
      <c r="T1590" s="80">
        <v>0</v>
      </c>
      <c r="U1590" s="80">
        <v>0</v>
      </c>
      <c r="V1590" s="80">
        <v>0</v>
      </c>
      <c r="W1590" s="80">
        <v>0</v>
      </c>
      <c r="X1590" s="80">
        <v>0</v>
      </c>
      <c r="Y1590" s="78"/>
    </row>
    <row r="1591" spans="1:25" s="81" customFormat="1" ht="15" customHeight="1" x14ac:dyDescent="0.3">
      <c r="A1591" s="77"/>
      <c r="B1591" s="78"/>
      <c r="C1591" s="102"/>
      <c r="D1591" s="78">
        <v>2019</v>
      </c>
      <c r="E1591" s="80">
        <v>0</v>
      </c>
      <c r="F1591" s="80">
        <v>0</v>
      </c>
      <c r="G1591" s="80">
        <v>0</v>
      </c>
      <c r="H1591" s="80">
        <v>0</v>
      </c>
      <c r="I1591" s="80">
        <v>0</v>
      </c>
      <c r="J1591" s="80">
        <v>0</v>
      </c>
      <c r="K1591" s="80">
        <v>0</v>
      </c>
      <c r="L1591" s="80">
        <v>0</v>
      </c>
      <c r="M1591" s="80">
        <v>0</v>
      </c>
      <c r="N1591" s="80">
        <v>0</v>
      </c>
      <c r="O1591" s="80">
        <v>0</v>
      </c>
      <c r="P1591" s="80">
        <v>0</v>
      </c>
      <c r="Q1591" s="80">
        <v>0</v>
      </c>
      <c r="R1591" s="80">
        <v>0</v>
      </c>
      <c r="S1591" s="80">
        <v>0</v>
      </c>
      <c r="T1591" s="80">
        <v>0</v>
      </c>
      <c r="U1591" s="80">
        <v>0</v>
      </c>
      <c r="V1591" s="80">
        <v>0</v>
      </c>
      <c r="W1591" s="80">
        <v>0</v>
      </c>
      <c r="X1591" s="80">
        <v>0</v>
      </c>
      <c r="Y1591" s="78"/>
    </row>
    <row r="1592" spans="1:25" s="81" customFormat="1" ht="15" customHeight="1" x14ac:dyDescent="0.3">
      <c r="A1592" s="77"/>
      <c r="B1592" s="78"/>
      <c r="C1592" s="102"/>
      <c r="D1592" s="78">
        <v>2020</v>
      </c>
      <c r="E1592" s="80">
        <v>0</v>
      </c>
      <c r="F1592" s="80">
        <v>0</v>
      </c>
      <c r="G1592" s="80">
        <v>0</v>
      </c>
      <c r="H1592" s="80">
        <v>0</v>
      </c>
      <c r="I1592" s="80">
        <v>0</v>
      </c>
      <c r="J1592" s="80">
        <v>0</v>
      </c>
      <c r="K1592" s="80">
        <v>0</v>
      </c>
      <c r="L1592" s="80">
        <v>0</v>
      </c>
      <c r="M1592" s="80">
        <v>0</v>
      </c>
      <c r="N1592" s="80">
        <v>0</v>
      </c>
      <c r="O1592" s="80">
        <v>0</v>
      </c>
      <c r="P1592" s="80">
        <v>0</v>
      </c>
      <c r="Q1592" s="80">
        <v>0</v>
      </c>
      <c r="R1592" s="80">
        <v>0</v>
      </c>
      <c r="S1592" s="80">
        <v>0</v>
      </c>
      <c r="T1592" s="80">
        <v>0</v>
      </c>
      <c r="U1592" s="80">
        <v>0</v>
      </c>
      <c r="V1592" s="80">
        <v>0</v>
      </c>
      <c r="W1592" s="80">
        <v>0</v>
      </c>
      <c r="X1592" s="80">
        <v>0</v>
      </c>
      <c r="Y1592" s="78"/>
    </row>
    <row r="1593" spans="1:25" s="81" customFormat="1" ht="15" customHeight="1" x14ac:dyDescent="0.3">
      <c r="A1593" s="77"/>
      <c r="B1593" s="78"/>
      <c r="C1593" s="102"/>
      <c r="D1593" s="78">
        <v>2021</v>
      </c>
      <c r="E1593" s="80">
        <v>0</v>
      </c>
      <c r="F1593" s="80">
        <v>0</v>
      </c>
      <c r="G1593" s="80">
        <v>0</v>
      </c>
      <c r="H1593" s="80">
        <v>0</v>
      </c>
      <c r="I1593" s="80">
        <v>0</v>
      </c>
      <c r="J1593" s="80">
        <v>0</v>
      </c>
      <c r="K1593" s="80">
        <v>0</v>
      </c>
      <c r="L1593" s="80">
        <v>0</v>
      </c>
      <c r="M1593" s="80">
        <v>0</v>
      </c>
      <c r="N1593" s="80">
        <v>0</v>
      </c>
      <c r="O1593" s="80">
        <v>0</v>
      </c>
      <c r="P1593" s="80">
        <v>0</v>
      </c>
      <c r="Q1593" s="80">
        <v>0</v>
      </c>
      <c r="R1593" s="80">
        <v>0</v>
      </c>
      <c r="S1593" s="80">
        <v>0</v>
      </c>
      <c r="T1593" s="80">
        <v>0</v>
      </c>
      <c r="U1593" s="80">
        <v>0</v>
      </c>
      <c r="V1593" s="80">
        <v>0</v>
      </c>
      <c r="W1593" s="80">
        <v>0</v>
      </c>
      <c r="X1593" s="80">
        <v>0</v>
      </c>
      <c r="Y1593" s="78"/>
    </row>
    <row r="1594" spans="1:25" s="81" customFormat="1" ht="15" customHeight="1" x14ac:dyDescent="0.3">
      <c r="A1594" s="77"/>
      <c r="B1594" s="78"/>
      <c r="C1594" s="102"/>
      <c r="D1594" s="78">
        <v>2022</v>
      </c>
      <c r="E1594" s="80">
        <v>0</v>
      </c>
      <c r="F1594" s="80">
        <v>0</v>
      </c>
      <c r="G1594" s="80">
        <v>0</v>
      </c>
      <c r="H1594" s="80">
        <v>0</v>
      </c>
      <c r="I1594" s="80">
        <v>0</v>
      </c>
      <c r="J1594" s="80">
        <v>0</v>
      </c>
      <c r="K1594" s="80">
        <v>0</v>
      </c>
      <c r="L1594" s="80">
        <v>0</v>
      </c>
      <c r="M1594" s="80">
        <v>0</v>
      </c>
      <c r="N1594" s="80">
        <v>0</v>
      </c>
      <c r="O1594" s="80">
        <v>0</v>
      </c>
      <c r="P1594" s="80">
        <v>0</v>
      </c>
      <c r="Q1594" s="80">
        <v>0</v>
      </c>
      <c r="R1594" s="80">
        <v>0</v>
      </c>
      <c r="S1594" s="80">
        <v>0</v>
      </c>
      <c r="T1594" s="80">
        <v>0</v>
      </c>
      <c r="U1594" s="80">
        <v>0</v>
      </c>
      <c r="V1594" s="80">
        <v>0</v>
      </c>
      <c r="W1594" s="80">
        <v>0</v>
      </c>
      <c r="X1594" s="80">
        <v>0</v>
      </c>
      <c r="Y1594" s="78"/>
    </row>
    <row r="1595" spans="1:25" s="81" customFormat="1" ht="15" customHeight="1" x14ac:dyDescent="0.3">
      <c r="A1595" s="77"/>
      <c r="B1595" s="78"/>
      <c r="C1595" s="102"/>
      <c r="D1595" s="78">
        <v>2023</v>
      </c>
      <c r="E1595" s="80">
        <v>0</v>
      </c>
      <c r="F1595" s="80">
        <v>0</v>
      </c>
      <c r="G1595" s="80">
        <v>0</v>
      </c>
      <c r="H1595" s="80">
        <v>0</v>
      </c>
      <c r="I1595" s="80">
        <v>0</v>
      </c>
      <c r="J1595" s="80">
        <v>0</v>
      </c>
      <c r="K1595" s="80">
        <v>0</v>
      </c>
      <c r="L1595" s="80">
        <v>0</v>
      </c>
      <c r="M1595" s="80">
        <v>0</v>
      </c>
      <c r="N1595" s="80">
        <v>0</v>
      </c>
      <c r="O1595" s="80">
        <v>0</v>
      </c>
      <c r="P1595" s="80">
        <v>0</v>
      </c>
      <c r="Q1595" s="80">
        <v>0</v>
      </c>
      <c r="R1595" s="80">
        <v>0</v>
      </c>
      <c r="S1595" s="80">
        <v>0</v>
      </c>
      <c r="T1595" s="80">
        <v>0</v>
      </c>
      <c r="U1595" s="80">
        <v>0</v>
      </c>
      <c r="V1595" s="80">
        <v>0</v>
      </c>
      <c r="W1595" s="80">
        <v>0</v>
      </c>
      <c r="X1595" s="80">
        <v>0</v>
      </c>
      <c r="Y1595" s="78"/>
    </row>
    <row r="1596" spans="1:25" s="81" customFormat="1" ht="15" customHeight="1" x14ac:dyDescent="0.3">
      <c r="A1596" s="77"/>
      <c r="B1596" s="78"/>
      <c r="C1596" s="102"/>
      <c r="D1596" s="78">
        <v>2024</v>
      </c>
      <c r="E1596" s="80">
        <v>0</v>
      </c>
      <c r="F1596" s="80">
        <v>0</v>
      </c>
      <c r="G1596" s="80">
        <v>0</v>
      </c>
      <c r="H1596" s="80">
        <v>0</v>
      </c>
      <c r="I1596" s="80">
        <v>0</v>
      </c>
      <c r="J1596" s="80">
        <v>0</v>
      </c>
      <c r="K1596" s="80">
        <v>0</v>
      </c>
      <c r="L1596" s="80">
        <v>0</v>
      </c>
      <c r="M1596" s="80">
        <v>0</v>
      </c>
      <c r="N1596" s="80">
        <v>0</v>
      </c>
      <c r="O1596" s="80">
        <v>0</v>
      </c>
      <c r="P1596" s="80">
        <v>0</v>
      </c>
      <c r="Q1596" s="80">
        <v>0</v>
      </c>
      <c r="R1596" s="80">
        <v>0</v>
      </c>
      <c r="S1596" s="80">
        <v>0</v>
      </c>
      <c r="T1596" s="80">
        <v>0</v>
      </c>
      <c r="U1596" s="80">
        <v>0</v>
      </c>
      <c r="V1596" s="80">
        <v>0</v>
      </c>
      <c r="W1596" s="80">
        <v>0</v>
      </c>
      <c r="X1596" s="80">
        <v>0</v>
      </c>
      <c r="Y1596" s="78"/>
    </row>
    <row r="1597" spans="1:25" s="90" customFormat="1" ht="15" customHeight="1" x14ac:dyDescent="0.3">
      <c r="A1597" s="86"/>
      <c r="B1597" s="87">
        <v>146</v>
      </c>
      <c r="C1597" s="88" t="s">
        <v>146</v>
      </c>
      <c r="D1597" s="87">
        <v>2014</v>
      </c>
      <c r="E1597" s="89">
        <v>0</v>
      </c>
      <c r="F1597" s="89">
        <v>0</v>
      </c>
      <c r="G1597" s="89">
        <v>0</v>
      </c>
      <c r="H1597" s="89">
        <v>0</v>
      </c>
      <c r="I1597" s="89">
        <v>0</v>
      </c>
      <c r="J1597" s="89">
        <v>0</v>
      </c>
      <c r="K1597" s="89">
        <v>0</v>
      </c>
      <c r="L1597" s="89">
        <v>0</v>
      </c>
      <c r="M1597" s="89">
        <v>0</v>
      </c>
      <c r="N1597" s="89">
        <v>0</v>
      </c>
      <c r="O1597" s="89">
        <v>0</v>
      </c>
      <c r="P1597" s="89">
        <v>0</v>
      </c>
      <c r="Q1597" s="89">
        <v>0</v>
      </c>
      <c r="R1597" s="89">
        <v>0</v>
      </c>
      <c r="S1597" s="89">
        <v>0</v>
      </c>
      <c r="T1597" s="89">
        <v>0</v>
      </c>
      <c r="U1597" s="89">
        <v>0</v>
      </c>
      <c r="V1597" s="89">
        <v>0</v>
      </c>
      <c r="W1597" s="89">
        <v>0</v>
      </c>
      <c r="X1597" s="89">
        <v>0</v>
      </c>
      <c r="Y1597" s="87" t="s">
        <v>303</v>
      </c>
    </row>
    <row r="1598" spans="1:25" s="90" customFormat="1" ht="15" customHeight="1" x14ac:dyDescent="0.3">
      <c r="A1598" s="86"/>
      <c r="B1598" s="87"/>
      <c r="C1598" s="88"/>
      <c r="D1598" s="87">
        <v>2015</v>
      </c>
      <c r="E1598" s="89">
        <v>0</v>
      </c>
      <c r="F1598" s="89">
        <v>0</v>
      </c>
      <c r="G1598" s="89">
        <v>0</v>
      </c>
      <c r="H1598" s="89">
        <v>0</v>
      </c>
      <c r="I1598" s="89">
        <v>0</v>
      </c>
      <c r="J1598" s="89">
        <v>0</v>
      </c>
      <c r="K1598" s="89">
        <v>0</v>
      </c>
      <c r="L1598" s="89">
        <v>0</v>
      </c>
      <c r="M1598" s="89">
        <v>0</v>
      </c>
      <c r="N1598" s="89">
        <v>0</v>
      </c>
      <c r="O1598" s="89">
        <v>0</v>
      </c>
      <c r="P1598" s="89">
        <v>0</v>
      </c>
      <c r="Q1598" s="89">
        <v>0</v>
      </c>
      <c r="R1598" s="89">
        <v>0</v>
      </c>
      <c r="S1598" s="89">
        <v>0</v>
      </c>
      <c r="T1598" s="89">
        <v>0</v>
      </c>
      <c r="U1598" s="89">
        <v>0</v>
      </c>
      <c r="V1598" s="89">
        <v>0</v>
      </c>
      <c r="W1598" s="89">
        <v>0</v>
      </c>
      <c r="X1598" s="89">
        <v>0</v>
      </c>
      <c r="Y1598" s="87"/>
    </row>
    <row r="1599" spans="1:25" s="90" customFormat="1" ht="15" customHeight="1" x14ac:dyDescent="0.3">
      <c r="A1599" s="86"/>
      <c r="B1599" s="87"/>
      <c r="C1599" s="88"/>
      <c r="D1599" s="87">
        <v>2016</v>
      </c>
      <c r="E1599" s="89">
        <v>0</v>
      </c>
      <c r="F1599" s="89">
        <v>0</v>
      </c>
      <c r="G1599" s="89">
        <v>0</v>
      </c>
      <c r="H1599" s="89">
        <v>0</v>
      </c>
      <c r="I1599" s="89">
        <v>0</v>
      </c>
      <c r="J1599" s="89">
        <v>0</v>
      </c>
      <c r="K1599" s="89">
        <v>0</v>
      </c>
      <c r="L1599" s="89">
        <v>0</v>
      </c>
      <c r="M1599" s="89">
        <v>0</v>
      </c>
      <c r="N1599" s="89">
        <v>0</v>
      </c>
      <c r="O1599" s="89">
        <v>0</v>
      </c>
      <c r="P1599" s="89">
        <v>0</v>
      </c>
      <c r="Q1599" s="89">
        <v>0</v>
      </c>
      <c r="R1599" s="89">
        <v>0</v>
      </c>
      <c r="S1599" s="89">
        <v>0</v>
      </c>
      <c r="T1599" s="89">
        <v>0</v>
      </c>
      <c r="U1599" s="89">
        <v>0</v>
      </c>
      <c r="V1599" s="89">
        <v>0</v>
      </c>
      <c r="W1599" s="89">
        <v>0</v>
      </c>
      <c r="X1599" s="89">
        <v>0</v>
      </c>
      <c r="Y1599" s="87"/>
    </row>
    <row r="1600" spans="1:25" s="90" customFormat="1" ht="15" customHeight="1" x14ac:dyDescent="0.3">
      <c r="A1600" s="86"/>
      <c r="B1600" s="87"/>
      <c r="C1600" s="88"/>
      <c r="D1600" s="87">
        <v>2017</v>
      </c>
      <c r="E1600" s="89">
        <v>0</v>
      </c>
      <c r="F1600" s="89">
        <v>0</v>
      </c>
      <c r="G1600" s="89">
        <v>0</v>
      </c>
      <c r="H1600" s="89">
        <v>0</v>
      </c>
      <c r="I1600" s="89">
        <v>0</v>
      </c>
      <c r="J1600" s="89">
        <v>0</v>
      </c>
      <c r="K1600" s="89">
        <v>0</v>
      </c>
      <c r="L1600" s="89">
        <v>0</v>
      </c>
      <c r="M1600" s="89">
        <v>0</v>
      </c>
      <c r="N1600" s="89">
        <v>0</v>
      </c>
      <c r="O1600" s="89">
        <v>0</v>
      </c>
      <c r="P1600" s="89">
        <v>0</v>
      </c>
      <c r="Q1600" s="89">
        <v>0</v>
      </c>
      <c r="R1600" s="89">
        <v>0</v>
      </c>
      <c r="S1600" s="89">
        <v>0</v>
      </c>
      <c r="T1600" s="89">
        <v>0</v>
      </c>
      <c r="U1600" s="89">
        <v>0</v>
      </c>
      <c r="V1600" s="89">
        <v>0</v>
      </c>
      <c r="W1600" s="89">
        <v>0</v>
      </c>
      <c r="X1600" s="89">
        <v>0</v>
      </c>
      <c r="Y1600" s="87"/>
    </row>
    <row r="1601" spans="1:25" s="90" customFormat="1" ht="15" customHeight="1" x14ac:dyDescent="0.3">
      <c r="A1601" s="86"/>
      <c r="B1601" s="87"/>
      <c r="C1601" s="88"/>
      <c r="D1601" s="87">
        <v>2018</v>
      </c>
      <c r="E1601" s="89">
        <v>0</v>
      </c>
      <c r="F1601" s="89">
        <v>0</v>
      </c>
      <c r="G1601" s="89">
        <v>0</v>
      </c>
      <c r="H1601" s="89">
        <v>0</v>
      </c>
      <c r="I1601" s="89">
        <v>0</v>
      </c>
      <c r="J1601" s="89">
        <v>0</v>
      </c>
      <c r="K1601" s="89">
        <v>0</v>
      </c>
      <c r="L1601" s="89">
        <v>0</v>
      </c>
      <c r="M1601" s="89">
        <v>0</v>
      </c>
      <c r="N1601" s="89">
        <v>0</v>
      </c>
      <c r="O1601" s="89">
        <v>0</v>
      </c>
      <c r="P1601" s="89">
        <v>0</v>
      </c>
      <c r="Q1601" s="89">
        <v>0</v>
      </c>
      <c r="R1601" s="89">
        <v>0</v>
      </c>
      <c r="S1601" s="89">
        <v>0</v>
      </c>
      <c r="T1601" s="89">
        <v>0</v>
      </c>
      <c r="U1601" s="89">
        <v>0</v>
      </c>
      <c r="V1601" s="89">
        <v>0</v>
      </c>
      <c r="W1601" s="89">
        <v>0</v>
      </c>
      <c r="X1601" s="89">
        <v>0</v>
      </c>
      <c r="Y1601" s="87"/>
    </row>
    <row r="1602" spans="1:25" s="90" customFormat="1" ht="15" customHeight="1" x14ac:dyDescent="0.3">
      <c r="A1602" s="86"/>
      <c r="B1602" s="87"/>
      <c r="C1602" s="88"/>
      <c r="D1602" s="87">
        <v>2019</v>
      </c>
      <c r="E1602" s="89">
        <v>0</v>
      </c>
      <c r="F1602" s="89">
        <v>0</v>
      </c>
      <c r="G1602" s="89">
        <v>0</v>
      </c>
      <c r="H1602" s="89">
        <v>0</v>
      </c>
      <c r="I1602" s="89">
        <v>0</v>
      </c>
      <c r="J1602" s="89">
        <v>0</v>
      </c>
      <c r="K1602" s="89">
        <v>0</v>
      </c>
      <c r="L1602" s="89">
        <v>0</v>
      </c>
      <c r="M1602" s="89">
        <v>0</v>
      </c>
      <c r="N1602" s="89">
        <v>0</v>
      </c>
      <c r="O1602" s="89">
        <v>0</v>
      </c>
      <c r="P1602" s="89">
        <v>0</v>
      </c>
      <c r="Q1602" s="89">
        <v>0</v>
      </c>
      <c r="R1602" s="89">
        <v>0</v>
      </c>
      <c r="S1602" s="89">
        <v>0</v>
      </c>
      <c r="T1602" s="89">
        <v>0</v>
      </c>
      <c r="U1602" s="89">
        <v>0</v>
      </c>
      <c r="V1602" s="89">
        <v>0</v>
      </c>
      <c r="W1602" s="89">
        <v>0</v>
      </c>
      <c r="X1602" s="89">
        <v>0</v>
      </c>
      <c r="Y1602" s="87"/>
    </row>
    <row r="1603" spans="1:25" s="90" customFormat="1" ht="15" customHeight="1" x14ac:dyDescent="0.3">
      <c r="A1603" s="86"/>
      <c r="B1603" s="87"/>
      <c r="C1603" s="88"/>
      <c r="D1603" s="87">
        <v>2020</v>
      </c>
      <c r="E1603" s="89">
        <v>0</v>
      </c>
      <c r="F1603" s="89">
        <v>0</v>
      </c>
      <c r="G1603" s="89">
        <v>0</v>
      </c>
      <c r="H1603" s="89">
        <v>0</v>
      </c>
      <c r="I1603" s="89">
        <v>0</v>
      </c>
      <c r="J1603" s="89">
        <v>0</v>
      </c>
      <c r="K1603" s="89">
        <v>0</v>
      </c>
      <c r="L1603" s="89">
        <v>0</v>
      </c>
      <c r="M1603" s="89">
        <v>0</v>
      </c>
      <c r="N1603" s="89">
        <v>0</v>
      </c>
      <c r="O1603" s="89">
        <v>0</v>
      </c>
      <c r="P1603" s="89">
        <v>0</v>
      </c>
      <c r="Q1603" s="89">
        <v>0</v>
      </c>
      <c r="R1603" s="89">
        <v>0</v>
      </c>
      <c r="S1603" s="89">
        <v>0</v>
      </c>
      <c r="T1603" s="89">
        <v>0</v>
      </c>
      <c r="U1603" s="89">
        <v>0</v>
      </c>
      <c r="V1603" s="89">
        <v>0</v>
      </c>
      <c r="W1603" s="89">
        <v>0</v>
      </c>
      <c r="X1603" s="89">
        <v>0</v>
      </c>
      <c r="Y1603" s="87"/>
    </row>
    <row r="1604" spans="1:25" s="90" customFormat="1" ht="15" customHeight="1" x14ac:dyDescent="0.3">
      <c r="A1604" s="86"/>
      <c r="B1604" s="87"/>
      <c r="C1604" s="88"/>
      <c r="D1604" s="87">
        <v>2021</v>
      </c>
      <c r="E1604" s="89">
        <v>0</v>
      </c>
      <c r="F1604" s="89">
        <v>0</v>
      </c>
      <c r="G1604" s="89">
        <v>0</v>
      </c>
      <c r="H1604" s="89">
        <v>0</v>
      </c>
      <c r="I1604" s="89">
        <v>0</v>
      </c>
      <c r="J1604" s="89">
        <v>0</v>
      </c>
      <c r="K1604" s="89">
        <v>0</v>
      </c>
      <c r="L1604" s="89">
        <v>0</v>
      </c>
      <c r="M1604" s="89">
        <v>0</v>
      </c>
      <c r="N1604" s="89">
        <v>0</v>
      </c>
      <c r="O1604" s="89">
        <v>0</v>
      </c>
      <c r="P1604" s="89">
        <v>0</v>
      </c>
      <c r="Q1604" s="89">
        <v>0</v>
      </c>
      <c r="R1604" s="89">
        <v>0</v>
      </c>
      <c r="S1604" s="89">
        <v>0</v>
      </c>
      <c r="T1604" s="89">
        <v>0</v>
      </c>
      <c r="U1604" s="89">
        <v>0</v>
      </c>
      <c r="V1604" s="89">
        <v>0</v>
      </c>
      <c r="W1604" s="89">
        <v>0</v>
      </c>
      <c r="X1604" s="89">
        <v>0</v>
      </c>
      <c r="Y1604" s="87"/>
    </row>
    <row r="1605" spans="1:25" s="90" customFormat="1" ht="15" customHeight="1" x14ac:dyDescent="0.3">
      <c r="A1605" s="86"/>
      <c r="B1605" s="87"/>
      <c r="C1605" s="88"/>
      <c r="D1605" s="87">
        <v>2022</v>
      </c>
      <c r="E1605" s="89">
        <v>0</v>
      </c>
      <c r="F1605" s="89">
        <v>0</v>
      </c>
      <c r="G1605" s="89">
        <v>0</v>
      </c>
      <c r="H1605" s="89">
        <v>0</v>
      </c>
      <c r="I1605" s="89">
        <v>0</v>
      </c>
      <c r="J1605" s="89">
        <v>0</v>
      </c>
      <c r="K1605" s="89">
        <v>0</v>
      </c>
      <c r="L1605" s="89">
        <v>0</v>
      </c>
      <c r="M1605" s="89">
        <v>0</v>
      </c>
      <c r="N1605" s="89">
        <v>0</v>
      </c>
      <c r="O1605" s="89">
        <v>0</v>
      </c>
      <c r="P1605" s="89">
        <v>0</v>
      </c>
      <c r="Q1605" s="89">
        <v>0</v>
      </c>
      <c r="R1605" s="89">
        <v>0</v>
      </c>
      <c r="S1605" s="89">
        <v>0</v>
      </c>
      <c r="T1605" s="89">
        <v>0</v>
      </c>
      <c r="U1605" s="89">
        <v>0</v>
      </c>
      <c r="V1605" s="89">
        <v>0</v>
      </c>
      <c r="W1605" s="89">
        <v>0</v>
      </c>
      <c r="X1605" s="89">
        <v>0</v>
      </c>
      <c r="Y1605" s="87"/>
    </row>
    <row r="1606" spans="1:25" s="90" customFormat="1" ht="15" customHeight="1" x14ac:dyDescent="0.3">
      <c r="A1606" s="86"/>
      <c r="B1606" s="87"/>
      <c r="C1606" s="88"/>
      <c r="D1606" s="87">
        <v>2023</v>
      </c>
      <c r="E1606" s="89">
        <v>0</v>
      </c>
      <c r="F1606" s="89">
        <v>0</v>
      </c>
      <c r="G1606" s="89">
        <v>0</v>
      </c>
      <c r="H1606" s="89">
        <v>0</v>
      </c>
      <c r="I1606" s="89">
        <v>0</v>
      </c>
      <c r="J1606" s="89">
        <v>0</v>
      </c>
      <c r="K1606" s="89">
        <v>0</v>
      </c>
      <c r="L1606" s="89">
        <v>0</v>
      </c>
      <c r="M1606" s="89">
        <v>0</v>
      </c>
      <c r="N1606" s="89">
        <v>0</v>
      </c>
      <c r="O1606" s="89">
        <v>0</v>
      </c>
      <c r="P1606" s="89">
        <v>0</v>
      </c>
      <c r="Q1606" s="89">
        <v>0</v>
      </c>
      <c r="R1606" s="89">
        <v>0</v>
      </c>
      <c r="S1606" s="89">
        <v>0</v>
      </c>
      <c r="T1606" s="89">
        <v>0</v>
      </c>
      <c r="U1606" s="89">
        <v>0</v>
      </c>
      <c r="V1606" s="89">
        <v>0</v>
      </c>
      <c r="W1606" s="89">
        <v>0</v>
      </c>
      <c r="X1606" s="89">
        <v>0</v>
      </c>
      <c r="Y1606" s="87"/>
    </row>
    <row r="1607" spans="1:25" s="90" customFormat="1" ht="15" customHeight="1" x14ac:dyDescent="0.3">
      <c r="A1607" s="86"/>
      <c r="B1607" s="87"/>
      <c r="C1607" s="88"/>
      <c r="D1607" s="87">
        <v>2024</v>
      </c>
      <c r="E1607" s="89">
        <v>0</v>
      </c>
      <c r="F1607" s="89">
        <v>0</v>
      </c>
      <c r="G1607" s="89">
        <v>0</v>
      </c>
      <c r="H1607" s="89">
        <v>0</v>
      </c>
      <c r="I1607" s="89">
        <v>0</v>
      </c>
      <c r="J1607" s="89">
        <v>0</v>
      </c>
      <c r="K1607" s="89">
        <v>0</v>
      </c>
      <c r="L1607" s="89">
        <v>0</v>
      </c>
      <c r="M1607" s="89">
        <v>0</v>
      </c>
      <c r="N1607" s="89">
        <v>0</v>
      </c>
      <c r="O1607" s="89">
        <v>0</v>
      </c>
      <c r="P1607" s="89">
        <v>0</v>
      </c>
      <c r="Q1607" s="89">
        <v>0</v>
      </c>
      <c r="R1607" s="89">
        <v>0</v>
      </c>
      <c r="S1607" s="89">
        <v>0</v>
      </c>
      <c r="T1607" s="89">
        <v>0</v>
      </c>
      <c r="U1607" s="89">
        <v>0</v>
      </c>
      <c r="V1607" s="89">
        <v>0</v>
      </c>
      <c r="W1607" s="89">
        <v>0</v>
      </c>
      <c r="X1607" s="89">
        <v>0</v>
      </c>
      <c r="Y1607" s="87"/>
    </row>
    <row r="1608" spans="1:25" s="97" customFormat="1" ht="15" customHeight="1" x14ac:dyDescent="0.3">
      <c r="A1608" s="93" t="s">
        <v>157</v>
      </c>
      <c r="B1608" s="94">
        <v>147</v>
      </c>
      <c r="C1608" s="95" t="s">
        <v>147</v>
      </c>
      <c r="D1608" s="94">
        <v>2014</v>
      </c>
      <c r="E1608" s="96">
        <v>0</v>
      </c>
      <c r="F1608" s="96">
        <v>0</v>
      </c>
      <c r="G1608" s="96">
        <v>0</v>
      </c>
      <c r="H1608" s="96">
        <v>0</v>
      </c>
      <c r="I1608" s="96">
        <v>0</v>
      </c>
      <c r="J1608" s="96">
        <v>0</v>
      </c>
      <c r="K1608" s="96">
        <v>0</v>
      </c>
      <c r="L1608" s="96">
        <v>0</v>
      </c>
      <c r="M1608" s="96">
        <v>0</v>
      </c>
      <c r="N1608" s="96">
        <v>0</v>
      </c>
      <c r="O1608" s="96">
        <v>0</v>
      </c>
      <c r="P1608" s="96">
        <v>0</v>
      </c>
      <c r="Q1608" s="96">
        <v>0</v>
      </c>
      <c r="R1608" s="96">
        <v>0</v>
      </c>
      <c r="S1608" s="96">
        <v>0</v>
      </c>
      <c r="T1608" s="96">
        <v>0</v>
      </c>
      <c r="U1608" s="96">
        <v>0</v>
      </c>
      <c r="V1608" s="96">
        <v>0</v>
      </c>
      <c r="W1608" s="96">
        <v>0</v>
      </c>
      <c r="X1608" s="96">
        <v>0</v>
      </c>
      <c r="Y1608" s="94"/>
    </row>
    <row r="1609" spans="1:25" s="97" customFormat="1" ht="15" customHeight="1" x14ac:dyDescent="0.3">
      <c r="A1609" s="93"/>
      <c r="B1609" s="94"/>
      <c r="C1609" s="95"/>
      <c r="D1609" s="94">
        <v>2015</v>
      </c>
      <c r="E1609" s="98">
        <f>4290191*1000000</f>
        <v>4290191000000</v>
      </c>
      <c r="F1609" s="96">
        <f>7628240*1000000</f>
        <v>7628240000000</v>
      </c>
      <c r="G1609" s="96">
        <f>12150125*1000000</f>
        <v>12150125000000</v>
      </c>
      <c r="H1609" s="96">
        <f>964822*1000000</f>
        <v>964822000000</v>
      </c>
      <c r="I1609" s="96">
        <f>2034032*1000000</f>
        <v>2034032000000</v>
      </c>
      <c r="J1609" s="96">
        <f>-(4905519+21305)*1000000</f>
        <v>-4926824000000</v>
      </c>
      <c r="K1609" s="96">
        <f>10116093*1000000</f>
        <v>10116093000000</v>
      </c>
      <c r="L1609" s="96">
        <v>0</v>
      </c>
      <c r="M1609" s="96">
        <v>0</v>
      </c>
      <c r="N1609" s="96">
        <v>0</v>
      </c>
      <c r="O1609" s="99">
        <v>1</v>
      </c>
      <c r="P1609" s="100" t="s">
        <v>339</v>
      </c>
      <c r="Q1609" s="96">
        <v>0</v>
      </c>
      <c r="R1609" s="96">
        <v>0</v>
      </c>
      <c r="S1609" s="96">
        <v>8</v>
      </c>
      <c r="T1609" s="96">
        <f>SUM(R1609:S1609)</f>
        <v>8</v>
      </c>
      <c r="U1609" s="101">
        <v>0</v>
      </c>
      <c r="V1609" s="96">
        <v>0</v>
      </c>
      <c r="W1609" s="96">
        <v>0</v>
      </c>
      <c r="X1609" s="96">
        <v>0</v>
      </c>
      <c r="Y1609" s="94"/>
    </row>
    <row r="1610" spans="1:25" s="97" customFormat="1" ht="15" customHeight="1" x14ac:dyDescent="0.3">
      <c r="A1610" s="93"/>
      <c r="B1610" s="94"/>
      <c r="C1610" s="95"/>
      <c r="D1610" s="94">
        <v>2016</v>
      </c>
      <c r="E1610" s="96">
        <f>2159521*1000000</f>
        <v>2159521000000</v>
      </c>
      <c r="F1610" s="96">
        <f>4535214*1000000</f>
        <v>4535214000000</v>
      </c>
      <c r="G1610" s="96">
        <f>12167652*1000000</f>
        <v>12167652000000</v>
      </c>
      <c r="H1610" s="96">
        <f>550120*1000000</f>
        <v>550120000000</v>
      </c>
      <c r="I1610" s="96">
        <f>(550120+1272794)*1000000</f>
        <v>1822914000000</v>
      </c>
      <c r="J1610" s="96">
        <f>-11495683*1000000</f>
        <v>-11495683000000</v>
      </c>
      <c r="K1610" s="96">
        <f>10344737*1000000</f>
        <v>10344737000000</v>
      </c>
      <c r="L1610" s="96">
        <v>0</v>
      </c>
      <c r="M1610" s="96">
        <v>0</v>
      </c>
      <c r="N1610" s="96">
        <v>0</v>
      </c>
      <c r="O1610" s="99">
        <v>1</v>
      </c>
      <c r="P1610" s="100" t="s">
        <v>339</v>
      </c>
      <c r="Q1610" s="96">
        <v>0</v>
      </c>
      <c r="R1610" s="96">
        <v>0</v>
      </c>
      <c r="S1610" s="96">
        <v>8</v>
      </c>
      <c r="T1610" s="96">
        <f t="shared" ref="T1610:T1618" si="152">SUM(R1610:S1610)</f>
        <v>8</v>
      </c>
      <c r="U1610" s="101">
        <v>0</v>
      </c>
      <c r="V1610" s="96">
        <v>0</v>
      </c>
      <c r="W1610" s="96">
        <v>0</v>
      </c>
      <c r="X1610" s="96">
        <v>0</v>
      </c>
      <c r="Y1610" s="94"/>
    </row>
    <row r="1611" spans="1:25" s="97" customFormat="1" ht="15" customHeight="1" x14ac:dyDescent="0.3">
      <c r="A1611" s="93"/>
      <c r="B1611" s="94"/>
      <c r="C1611" s="95"/>
      <c r="D1611" s="94">
        <v>2017</v>
      </c>
      <c r="E1611" s="96">
        <f>2101297*1000000</f>
        <v>2101297000000</v>
      </c>
      <c r="F1611" s="96">
        <f>5163387*1000000</f>
        <v>5163387000000</v>
      </c>
      <c r="G1611" s="96">
        <f>12600792*1000000</f>
        <v>12600792000000</v>
      </c>
      <c r="H1611" s="96">
        <f>693009*1000000</f>
        <v>693009000000</v>
      </c>
      <c r="I1611" s="96">
        <f>H1611+(1744418*1000000)</f>
        <v>2437427000000</v>
      </c>
      <c r="J1611" s="96">
        <f>-11674857*1000000</f>
        <v>-11674857000000</v>
      </c>
      <c r="K1611" s="96">
        <f>10161365*1000000</f>
        <v>10161365000000</v>
      </c>
      <c r="L1611" s="96">
        <v>0</v>
      </c>
      <c r="M1611" s="96">
        <v>0</v>
      </c>
      <c r="N1611" s="96">
        <v>0</v>
      </c>
      <c r="O1611" s="99">
        <v>1</v>
      </c>
      <c r="P1611" s="100" t="s">
        <v>339</v>
      </c>
      <c r="Q1611" s="96">
        <v>0</v>
      </c>
      <c r="R1611" s="96">
        <v>0</v>
      </c>
      <c r="S1611" s="96">
        <v>8</v>
      </c>
      <c r="T1611" s="96">
        <f t="shared" si="152"/>
        <v>8</v>
      </c>
      <c r="U1611" s="101">
        <v>0</v>
      </c>
      <c r="V1611" s="96">
        <v>0</v>
      </c>
      <c r="W1611" s="96">
        <v>0</v>
      </c>
      <c r="X1611" s="96">
        <v>0</v>
      </c>
      <c r="Y1611" s="94"/>
    </row>
    <row r="1612" spans="1:25" s="97" customFormat="1" ht="15" customHeight="1" x14ac:dyDescent="0.3">
      <c r="A1612" s="93"/>
      <c r="B1612" s="94"/>
      <c r="C1612" s="95"/>
      <c r="D1612" s="94">
        <v>2018</v>
      </c>
      <c r="E1612" s="96">
        <f>2356550*1000000</f>
        <v>2356550000000</v>
      </c>
      <c r="F1612" s="96">
        <f>5712865*1000000</f>
        <v>5712865000000</v>
      </c>
      <c r="G1612" s="96">
        <f>12690713*1000000</f>
        <v>12690713000000</v>
      </c>
      <c r="H1612" s="96">
        <f>679710*1000000</f>
        <v>679710000000</v>
      </c>
      <c r="I1612" s="96">
        <f>H1612+(1887000)*1000000</f>
        <v>2566710000000</v>
      </c>
      <c r="J1612" s="96">
        <f>-11718576*1000000</f>
        <v>-11718576000000</v>
      </c>
      <c r="K1612" s="96">
        <f>10124003*1000000</f>
        <v>10124003000000</v>
      </c>
      <c r="L1612" s="96">
        <v>0</v>
      </c>
      <c r="M1612" s="96">
        <v>0</v>
      </c>
      <c r="N1612" s="96">
        <v>0</v>
      </c>
      <c r="O1612" s="99">
        <v>1</v>
      </c>
      <c r="P1612" s="100" t="s">
        <v>339</v>
      </c>
      <c r="Q1612" s="96">
        <v>0</v>
      </c>
      <c r="R1612" s="96">
        <v>0</v>
      </c>
      <c r="S1612" s="96">
        <v>8</v>
      </c>
      <c r="T1612" s="96">
        <f t="shared" si="152"/>
        <v>8</v>
      </c>
      <c r="U1612" s="101">
        <v>0</v>
      </c>
      <c r="V1612" s="96">
        <v>0</v>
      </c>
      <c r="W1612" s="96">
        <v>0</v>
      </c>
      <c r="X1612" s="96">
        <v>0</v>
      </c>
      <c r="Y1612" s="94"/>
    </row>
    <row r="1613" spans="1:25" s="97" customFormat="1" ht="15" customHeight="1" x14ac:dyDescent="0.3">
      <c r="A1613" s="93"/>
      <c r="B1613" s="94"/>
      <c r="C1613" s="95"/>
      <c r="D1613" s="94">
        <v>2019</v>
      </c>
      <c r="E1613" s="96">
        <f>984145*1000000</f>
        <v>984145000000</v>
      </c>
      <c r="F1613" s="96">
        <f>5886624*1000000</f>
        <v>5886624000000</v>
      </c>
      <c r="G1613" s="96">
        <f>13262092*1000000</f>
        <v>13262092000000</v>
      </c>
      <c r="H1613" s="96">
        <f>643631*1000000</f>
        <v>643631000000</v>
      </c>
      <c r="I1613" s="96">
        <f>2959005*1000000</f>
        <v>2959005000000</v>
      </c>
      <c r="J1613" s="96">
        <f>-11548119*1000000</f>
        <v>-11548119000000</v>
      </c>
      <c r="K1613" s="96">
        <f>10303087*1000000</f>
        <v>10303087000000</v>
      </c>
      <c r="L1613" s="96">
        <v>0</v>
      </c>
      <c r="M1613" s="96">
        <v>0</v>
      </c>
      <c r="N1613" s="96">
        <v>0</v>
      </c>
      <c r="O1613" s="99">
        <v>1</v>
      </c>
      <c r="P1613" s="100" t="s">
        <v>339</v>
      </c>
      <c r="Q1613" s="96">
        <v>0</v>
      </c>
      <c r="R1613" s="96">
        <v>0</v>
      </c>
      <c r="S1613" s="96">
        <v>8</v>
      </c>
      <c r="T1613" s="96">
        <f t="shared" si="152"/>
        <v>8</v>
      </c>
      <c r="U1613" s="101">
        <v>0</v>
      </c>
      <c r="V1613" s="96">
        <v>0</v>
      </c>
      <c r="W1613" s="96">
        <v>0</v>
      </c>
      <c r="X1613" s="96">
        <v>0</v>
      </c>
      <c r="Y1613" s="94"/>
    </row>
    <row r="1614" spans="1:25" s="97" customFormat="1" ht="15" customHeight="1" x14ac:dyDescent="0.3">
      <c r="A1614" s="93"/>
      <c r="B1614" s="94"/>
      <c r="C1614" s="95"/>
      <c r="D1614" s="94">
        <v>2020</v>
      </c>
      <c r="E1614" s="96">
        <f>1291764*1000000</f>
        <v>1291764000000</v>
      </c>
      <c r="F1614" s="96">
        <f>5978229*1000000</f>
        <v>5978229000000</v>
      </c>
      <c r="G1614" s="96">
        <f>13372478*1000000</f>
        <v>13372478000000</v>
      </c>
      <c r="H1614" s="96">
        <f>573689*1000000</f>
        <v>573689000000</v>
      </c>
      <c r="I1614" s="96">
        <f>3210037*1000000</f>
        <v>3210037000000</v>
      </c>
      <c r="J1614" s="96">
        <f>-11694131*1000000</f>
        <v>-11694131000000</v>
      </c>
      <c r="K1614" s="96">
        <f>10162441*1000000</f>
        <v>10162441000000</v>
      </c>
      <c r="L1614" s="96">
        <v>0</v>
      </c>
      <c r="M1614" s="96">
        <v>0</v>
      </c>
      <c r="N1614" s="96">
        <v>0</v>
      </c>
      <c r="O1614" s="99">
        <v>1</v>
      </c>
      <c r="P1614" s="100" t="s">
        <v>339</v>
      </c>
      <c r="Q1614" s="96">
        <v>0</v>
      </c>
      <c r="R1614" s="96">
        <v>0</v>
      </c>
      <c r="S1614" s="96">
        <v>8</v>
      </c>
      <c r="T1614" s="96">
        <f t="shared" si="152"/>
        <v>8</v>
      </c>
      <c r="U1614" s="101">
        <v>0</v>
      </c>
      <c r="V1614" s="96">
        <v>0</v>
      </c>
      <c r="W1614" s="96">
        <v>0</v>
      </c>
      <c r="X1614" s="96">
        <v>0</v>
      </c>
      <c r="Y1614" s="94"/>
    </row>
    <row r="1615" spans="1:25" s="97" customFormat="1" ht="15" customHeight="1" x14ac:dyDescent="0.3">
      <c r="A1615" s="93"/>
      <c r="B1615" s="94"/>
      <c r="C1615" s="95"/>
      <c r="D1615" s="94">
        <v>2021</v>
      </c>
      <c r="E1615" s="96">
        <f>3853455*1000000</f>
        <v>3853455000000</v>
      </c>
      <c r="F1615" s="96">
        <f>7966444*1000000</f>
        <v>7966444000000</v>
      </c>
      <c r="G1615" s="96">
        <f>13991723*1000000</f>
        <v>13991723000000</v>
      </c>
      <c r="H1615" s="96">
        <f>563933*1000000</f>
        <v>563933000000</v>
      </c>
      <c r="I1615" s="96">
        <f>3360743*1000000</f>
        <v>3360743000000</v>
      </c>
      <c r="J1615" s="96">
        <f>-11211409*1000000</f>
        <v>-11211409000000</v>
      </c>
      <c r="K1615" s="96">
        <f>10630981*1000000</f>
        <v>10630981000000</v>
      </c>
      <c r="L1615" s="96">
        <v>0</v>
      </c>
      <c r="M1615" s="96">
        <v>0</v>
      </c>
      <c r="N1615" s="96">
        <v>0</v>
      </c>
      <c r="O1615" s="99">
        <v>1</v>
      </c>
      <c r="P1615" s="100" t="s">
        <v>339</v>
      </c>
      <c r="Q1615" s="96">
        <v>0</v>
      </c>
      <c r="R1615" s="96">
        <v>0</v>
      </c>
      <c r="S1615" s="96">
        <v>8</v>
      </c>
      <c r="T1615" s="96">
        <f t="shared" si="152"/>
        <v>8</v>
      </c>
      <c r="U1615" s="101">
        <v>0</v>
      </c>
      <c r="V1615" s="96">
        <v>0</v>
      </c>
      <c r="W1615" s="96">
        <v>0</v>
      </c>
      <c r="X1615" s="96">
        <v>0</v>
      </c>
      <c r="Y1615" s="94"/>
    </row>
    <row r="1616" spans="1:25" s="97" customFormat="1" ht="15" customHeight="1" x14ac:dyDescent="0.3">
      <c r="A1616" s="93"/>
      <c r="B1616" s="94"/>
      <c r="C1616" s="95"/>
      <c r="D1616" s="94">
        <v>2022</v>
      </c>
      <c r="E1616" s="96">
        <f>3824416*1000000</f>
        <v>3824416000000</v>
      </c>
      <c r="F1616" s="96">
        <f>7671775*1000000</f>
        <v>7671775000000</v>
      </c>
      <c r="G1616" s="96">
        <f>14146679*1000000</f>
        <v>14146679000000</v>
      </c>
      <c r="H1616" s="96">
        <f>1695237*1000000</f>
        <v>1695237000000</v>
      </c>
      <c r="I1616" s="96">
        <f>3393030*1000000</f>
        <v>3393030000000</v>
      </c>
      <c r="J1616" s="96">
        <f>-11076505*1000000</f>
        <v>-11076505000000</v>
      </c>
      <c r="K1616" s="96">
        <f>10753649*1000000</f>
        <v>10753649000000</v>
      </c>
      <c r="L1616" s="96">
        <v>0</v>
      </c>
      <c r="M1616" s="96">
        <v>0</v>
      </c>
      <c r="N1616" s="96">
        <v>0</v>
      </c>
      <c r="O1616" s="99">
        <v>1</v>
      </c>
      <c r="P1616" s="100" t="s">
        <v>339</v>
      </c>
      <c r="Q1616" s="96">
        <v>0</v>
      </c>
      <c r="R1616" s="96">
        <v>0</v>
      </c>
      <c r="S1616" s="96">
        <v>8</v>
      </c>
      <c r="T1616" s="96">
        <f t="shared" si="152"/>
        <v>8</v>
      </c>
      <c r="U1616" s="101">
        <v>0</v>
      </c>
      <c r="V1616" s="96">
        <v>0</v>
      </c>
      <c r="W1616" s="96">
        <v>0</v>
      </c>
      <c r="X1616" s="96">
        <v>0</v>
      </c>
      <c r="Y1616" s="94"/>
    </row>
    <row r="1617" spans="1:25" s="97" customFormat="1" ht="15" customHeight="1" x14ac:dyDescent="0.3">
      <c r="A1617" s="93"/>
      <c r="B1617" s="94"/>
      <c r="C1617" s="95"/>
      <c r="D1617" s="94">
        <v>2023</v>
      </c>
      <c r="E1617" s="96">
        <f>2014986*1000000</f>
        <v>2014986000000</v>
      </c>
      <c r="F1617" s="96">
        <f>6763704*1000000</f>
        <v>6763704000000</v>
      </c>
      <c r="G1617" s="96">
        <f>12884607*1000000</f>
        <v>12884607000000</v>
      </c>
      <c r="H1617" s="96">
        <f>623723*1000000</f>
        <v>623723000000</v>
      </c>
      <c r="I1617" s="96">
        <f>2595582*1000000</f>
        <v>2595582000000</v>
      </c>
      <c r="J1617" s="96">
        <f>-11518449*1000000</f>
        <v>-11518449000000</v>
      </c>
      <c r="K1617" s="96">
        <f>10289025*1000000</f>
        <v>10289025000000</v>
      </c>
      <c r="L1617" s="96">
        <v>0</v>
      </c>
      <c r="M1617" s="96">
        <v>0</v>
      </c>
      <c r="N1617" s="96">
        <v>0</v>
      </c>
      <c r="O1617" s="99">
        <v>1</v>
      </c>
      <c r="P1617" s="100" t="s">
        <v>339</v>
      </c>
      <c r="Q1617" s="96">
        <v>0</v>
      </c>
      <c r="R1617" s="96">
        <v>0</v>
      </c>
      <c r="S1617" s="96">
        <v>8</v>
      </c>
      <c r="T1617" s="96">
        <f t="shared" si="152"/>
        <v>8</v>
      </c>
      <c r="U1617" s="101">
        <v>0</v>
      </c>
      <c r="V1617" s="96">
        <v>0</v>
      </c>
      <c r="W1617" s="96">
        <v>0</v>
      </c>
      <c r="X1617" s="96">
        <v>0</v>
      </c>
      <c r="Y1617" s="94"/>
    </row>
    <row r="1618" spans="1:25" s="97" customFormat="1" ht="15" customHeight="1" x14ac:dyDescent="0.3">
      <c r="A1618" s="93"/>
      <c r="B1618" s="94"/>
      <c r="C1618" s="95"/>
      <c r="D1618" s="94">
        <v>2024</v>
      </c>
      <c r="E1618" s="96">
        <f>2070149*1000000</f>
        <v>2070149000000</v>
      </c>
      <c r="F1618" s="96">
        <f>6859311*1000000</f>
        <v>6859311000000</v>
      </c>
      <c r="G1618" s="96">
        <f>13457903*1000000</f>
        <v>13457903000000</v>
      </c>
      <c r="H1618" s="96">
        <f>590993*1000000</f>
        <v>590993000000</v>
      </c>
      <c r="I1618" s="96">
        <f>2875705*1000000</f>
        <v>2875705000000</v>
      </c>
      <c r="J1618" s="96">
        <f>-11225754*1000000</f>
        <v>-11225754000000</v>
      </c>
      <c r="K1618" s="96">
        <f>10582198*1000000</f>
        <v>10582198000000</v>
      </c>
      <c r="L1618" s="96">
        <v>0</v>
      </c>
      <c r="M1618" s="96">
        <v>0</v>
      </c>
      <c r="N1618" s="96">
        <v>0</v>
      </c>
      <c r="O1618" s="99">
        <v>1</v>
      </c>
      <c r="P1618" s="100" t="s">
        <v>339</v>
      </c>
      <c r="Q1618" s="96">
        <v>0</v>
      </c>
      <c r="R1618" s="96">
        <v>0</v>
      </c>
      <c r="S1618" s="96">
        <v>8</v>
      </c>
      <c r="T1618" s="96">
        <f t="shared" si="152"/>
        <v>8</v>
      </c>
      <c r="U1618" s="101">
        <v>0</v>
      </c>
      <c r="V1618" s="96">
        <v>0</v>
      </c>
      <c r="W1618" s="96">
        <v>0</v>
      </c>
      <c r="X1618" s="96">
        <v>0</v>
      </c>
      <c r="Y1618" s="94"/>
    </row>
    <row r="1619" spans="1:25" s="97" customFormat="1" ht="15" customHeight="1" x14ac:dyDescent="0.3">
      <c r="A1619" s="93"/>
      <c r="B1619" s="94">
        <v>148</v>
      </c>
      <c r="C1619" s="95" t="s">
        <v>148</v>
      </c>
      <c r="D1619" s="94">
        <v>2014</v>
      </c>
      <c r="E1619" s="96">
        <v>0</v>
      </c>
      <c r="F1619" s="96">
        <v>0</v>
      </c>
      <c r="G1619" s="96">
        <v>0</v>
      </c>
      <c r="H1619" s="96">
        <v>0</v>
      </c>
      <c r="I1619" s="96">
        <v>0</v>
      </c>
      <c r="J1619" s="96">
        <v>0</v>
      </c>
      <c r="K1619" s="96">
        <v>0</v>
      </c>
      <c r="L1619" s="96">
        <f>2436594*1000000</f>
        <v>2436594000000</v>
      </c>
      <c r="M1619" s="96">
        <v>0</v>
      </c>
      <c r="N1619" s="96">
        <v>0</v>
      </c>
      <c r="O1619" s="96">
        <v>0</v>
      </c>
      <c r="P1619" s="96">
        <v>0</v>
      </c>
      <c r="Q1619" s="96">
        <v>0</v>
      </c>
      <c r="R1619" s="96">
        <v>0</v>
      </c>
      <c r="S1619" s="96">
        <v>0</v>
      </c>
      <c r="T1619" s="96">
        <v>0</v>
      </c>
      <c r="U1619" s="96">
        <v>0</v>
      </c>
      <c r="V1619" s="96">
        <v>0</v>
      </c>
      <c r="W1619" s="96">
        <v>0</v>
      </c>
      <c r="X1619" s="96">
        <v>0</v>
      </c>
      <c r="Y1619" s="94"/>
    </row>
    <row r="1620" spans="1:25" s="97" customFormat="1" ht="15" customHeight="1" x14ac:dyDescent="0.3">
      <c r="A1620" s="93"/>
      <c r="B1620" s="94"/>
      <c r="C1620" s="95"/>
      <c r="D1620" s="94">
        <v>2015</v>
      </c>
      <c r="E1620" s="96">
        <f>1244956*1000000</f>
        <v>1244956000000</v>
      </c>
      <c r="F1620" s="96">
        <f>7310709*1000000</f>
        <v>7310709000000</v>
      </c>
      <c r="G1620" s="96">
        <f>11080636*1000000</f>
        <v>11080636000000</v>
      </c>
      <c r="H1620" s="96">
        <f>913706*1000000</f>
        <v>913706000000</v>
      </c>
      <c r="I1620" s="96">
        <f>2167697*1000000</f>
        <v>2167697000000</v>
      </c>
      <c r="J1620" s="96">
        <f>120456*1000000</f>
        <v>120456000000</v>
      </c>
      <c r="K1620" s="96">
        <f>8912939*1000000</f>
        <v>8912939000000</v>
      </c>
      <c r="L1620" s="96">
        <f>3140404*1000000</f>
        <v>3140404000000</v>
      </c>
      <c r="M1620" s="96">
        <f>829198*1000000</f>
        <v>829198000000</v>
      </c>
      <c r="N1620" s="96">
        <f>624615*1000000</f>
        <v>624615000000</v>
      </c>
      <c r="O1620" s="99">
        <v>1</v>
      </c>
      <c r="P1620" s="100" t="s">
        <v>339</v>
      </c>
      <c r="Q1620" s="96">
        <v>0</v>
      </c>
      <c r="R1620" s="96">
        <v>0</v>
      </c>
      <c r="S1620" s="96">
        <v>7</v>
      </c>
      <c r="T1620" s="96">
        <v>7</v>
      </c>
      <c r="U1620" s="101">
        <v>0</v>
      </c>
      <c r="V1620" s="96">
        <v>0</v>
      </c>
      <c r="W1620" s="96">
        <v>0</v>
      </c>
      <c r="X1620" s="96">
        <v>0</v>
      </c>
      <c r="Y1620" s="94"/>
    </row>
    <row r="1621" spans="1:25" s="97" customFormat="1" ht="15" customHeight="1" x14ac:dyDescent="0.3">
      <c r="A1621" s="93"/>
      <c r="B1621" s="94"/>
      <c r="C1621" s="95"/>
      <c r="D1621" s="94">
        <v>2016</v>
      </c>
      <c r="E1621" s="96">
        <f>1042826*1000000</f>
        <v>1042826000000</v>
      </c>
      <c r="F1621" s="96">
        <f>7161821*1000000</f>
        <v>7161821000000</v>
      </c>
      <c r="G1621" s="96">
        <f>13369971*1000000</f>
        <v>13369971000000</v>
      </c>
      <c r="H1621" s="96">
        <f>1376384*1000000</f>
        <v>1376384000000</v>
      </c>
      <c r="I1621" s="96">
        <f>2945231*1000000</f>
        <v>2945231000000</v>
      </c>
      <c r="J1621" s="96">
        <f>713120*1000000</f>
        <v>713120000000</v>
      </c>
      <c r="K1621" s="96">
        <f>10424740*1000000</f>
        <v>10424740000000</v>
      </c>
      <c r="L1621" s="96">
        <f>4680065*1000000</f>
        <v>4680065000000</v>
      </c>
      <c r="M1621" s="96">
        <f>1442676*1000000</f>
        <v>1442676000000</v>
      </c>
      <c r="N1621" s="96">
        <f>1072535*1000000</f>
        <v>1072535000000</v>
      </c>
      <c r="O1621" s="99">
        <v>1</v>
      </c>
      <c r="P1621" s="100" t="s">
        <v>339</v>
      </c>
      <c r="Q1621" s="96">
        <v>0</v>
      </c>
      <c r="R1621" s="96">
        <v>0</v>
      </c>
      <c r="S1621" s="96">
        <v>7</v>
      </c>
      <c r="T1621" s="96">
        <f t="shared" ref="T1621:T1629" si="153">SUM(R1621:S1621)</f>
        <v>7</v>
      </c>
      <c r="U1621" s="101">
        <v>0</v>
      </c>
      <c r="V1621" s="96">
        <v>0</v>
      </c>
      <c r="W1621" s="96">
        <v>0</v>
      </c>
      <c r="X1621" s="96">
        <v>0</v>
      </c>
      <c r="Y1621" s="94"/>
    </row>
    <row r="1622" spans="1:25" s="97" customFormat="1" ht="15" customHeight="1" x14ac:dyDescent="0.3">
      <c r="A1622" s="93"/>
      <c r="B1622" s="94"/>
      <c r="C1622" s="95"/>
      <c r="D1622" s="94">
        <v>2017</v>
      </c>
      <c r="E1622" s="96">
        <f>1065045*1000000</f>
        <v>1065045000000</v>
      </c>
      <c r="F1622" s="96">
        <f>7097014*1000000</f>
        <v>7097014000000</v>
      </c>
      <c r="G1622" s="96">
        <f>14455702*1000000</f>
        <v>14455702000000</v>
      </c>
      <c r="H1622" s="96">
        <f>1109290*1000000</f>
        <v>1109290000000</v>
      </c>
      <c r="I1622" s="96">
        <f>2534575*1000000</f>
        <v>2534575000000</v>
      </c>
      <c r="J1622" s="96">
        <f>1437321*1000000</f>
        <v>1437321000000</v>
      </c>
      <c r="K1622" s="96">
        <f>11921127*1000000</f>
        <v>11921127000000</v>
      </c>
      <c r="L1622" s="96">
        <f>4755082*1000000</f>
        <v>4755082000000</v>
      </c>
      <c r="M1622" s="96">
        <f>1688490*1000000</f>
        <v>1688490000000</v>
      </c>
      <c r="N1622" s="96">
        <f>1299524*1000000</f>
        <v>1299524000000</v>
      </c>
      <c r="O1622" s="99">
        <v>1</v>
      </c>
      <c r="P1622" s="100" t="s">
        <v>339</v>
      </c>
      <c r="Q1622" s="96">
        <v>0</v>
      </c>
      <c r="R1622" s="96">
        <v>0</v>
      </c>
      <c r="S1622" s="96">
        <v>7</v>
      </c>
      <c r="T1622" s="96">
        <f t="shared" si="153"/>
        <v>7</v>
      </c>
      <c r="U1622" s="101">
        <v>0</v>
      </c>
      <c r="V1622" s="96">
        <v>0</v>
      </c>
      <c r="W1622" s="96">
        <v>0</v>
      </c>
      <c r="X1622" s="96">
        <v>0</v>
      </c>
      <c r="Y1622" s="94"/>
    </row>
    <row r="1623" spans="1:25" s="97" customFormat="1" ht="15" customHeight="1" x14ac:dyDescent="0.3">
      <c r="A1623" s="93"/>
      <c r="B1623" s="94"/>
      <c r="C1623" s="95"/>
      <c r="D1623" s="94">
        <v>2018</v>
      </c>
      <c r="E1623" s="96">
        <f>1278840*1000000</f>
        <v>1278840000000</v>
      </c>
      <c r="F1623" s="96">
        <f>8107132*1000000</f>
        <v>8107132000000</v>
      </c>
      <c r="G1623" s="96">
        <f>14924414*1000000</f>
        <v>14924414000000</v>
      </c>
      <c r="H1623" s="96">
        <f>1215201*1000000</f>
        <v>1215201000000</v>
      </c>
      <c r="I1623" s="96">
        <f>2693439*1000000</f>
        <v>2693439000000</v>
      </c>
      <c r="J1623" s="96">
        <f>2027879*1000000</f>
        <v>2027879000000</v>
      </c>
      <c r="K1623" s="96">
        <f>12230975*1000000</f>
        <v>12230975000000</v>
      </c>
      <c r="L1623" s="96">
        <f>4608413*1000000</f>
        <v>4608413000000</v>
      </c>
      <c r="M1623" s="96">
        <f>793287*1000000</f>
        <v>793287000000</v>
      </c>
      <c r="N1623" s="96">
        <f>501517*1000000</f>
        <v>501517000000</v>
      </c>
      <c r="O1623" s="99">
        <v>1</v>
      </c>
      <c r="P1623" s="100" t="s">
        <v>339</v>
      </c>
      <c r="Q1623" s="96">
        <v>0</v>
      </c>
      <c r="R1623" s="96">
        <v>0</v>
      </c>
      <c r="S1623" s="96">
        <v>7</v>
      </c>
      <c r="T1623" s="96">
        <f t="shared" si="153"/>
        <v>7</v>
      </c>
      <c r="U1623" s="101">
        <v>0</v>
      </c>
      <c r="V1623" s="96">
        <v>0</v>
      </c>
      <c r="W1623" s="96">
        <v>0</v>
      </c>
      <c r="X1623" s="96">
        <v>0</v>
      </c>
      <c r="Y1623" s="94"/>
    </row>
    <row r="1624" spans="1:25" s="97" customFormat="1" ht="15" customHeight="1" x14ac:dyDescent="0.3">
      <c r="A1624" s="93"/>
      <c r="B1624" s="94"/>
      <c r="C1624" s="95"/>
      <c r="D1624" s="94">
        <v>2019</v>
      </c>
      <c r="E1624" s="96">
        <f>1431518*1000000</f>
        <v>1431518000000</v>
      </c>
      <c r="F1624" s="96">
        <f>7682744*1000000</f>
        <v>7682744000000</v>
      </c>
      <c r="G1624" s="96">
        <f>15837343*1000000</f>
        <v>15837343000000</v>
      </c>
      <c r="H1624" s="96">
        <f>1637977*1000000</f>
        <v>1637977000000</v>
      </c>
      <c r="I1624" s="96">
        <f>3505756*1000000</f>
        <v>3505756000000</v>
      </c>
      <c r="J1624" s="96">
        <f>2005472*1000000</f>
        <v>2005472000000</v>
      </c>
      <c r="K1624" s="96">
        <f>12331587*1000000</f>
        <v>12331587000000</v>
      </c>
      <c r="L1624" s="96">
        <f>4701083*1000000</f>
        <v>4701083000000</v>
      </c>
      <c r="M1624" s="96">
        <f>566483*1000000</f>
        <v>566483000000</v>
      </c>
      <c r="N1624" s="96">
        <f>318277*1000000</f>
        <v>318277000000</v>
      </c>
      <c r="O1624" s="99">
        <v>1</v>
      </c>
      <c r="P1624" s="100" t="s">
        <v>339</v>
      </c>
      <c r="Q1624" s="96">
        <v>0</v>
      </c>
      <c r="R1624" s="96">
        <v>0</v>
      </c>
      <c r="S1624" s="96">
        <v>7</v>
      </c>
      <c r="T1624" s="96">
        <f t="shared" si="153"/>
        <v>7</v>
      </c>
      <c r="U1624" s="101">
        <v>0</v>
      </c>
      <c r="V1624" s="96">
        <v>0</v>
      </c>
      <c r="W1624" s="96">
        <v>0</v>
      </c>
      <c r="X1624" s="96">
        <v>0</v>
      </c>
      <c r="Y1624" s="94"/>
    </row>
    <row r="1625" spans="1:25" s="97" customFormat="1" ht="15" customHeight="1" x14ac:dyDescent="0.3">
      <c r="A1625" s="93"/>
      <c r="B1625" s="94"/>
      <c r="C1625" s="95"/>
      <c r="D1625" s="94">
        <v>2020</v>
      </c>
      <c r="E1625" s="96">
        <f>1238022*1000000</f>
        <v>1238022000000</v>
      </c>
      <c r="F1625" s="96">
        <f>7450865*1000000</f>
        <v>7450865000000</v>
      </c>
      <c r="G1625" s="96">
        <f>15801971*1000000</f>
        <v>15801971000000</v>
      </c>
      <c r="H1625" s="96">
        <f>1386535*1000000</f>
        <v>1386535000000</v>
      </c>
      <c r="I1625" s="96">
        <f>3611690*1000000</f>
        <v>3611690000000</v>
      </c>
      <c r="J1625" s="96">
        <f>2060082*1000000</f>
        <v>2060082000000</v>
      </c>
      <c r="K1625" s="96">
        <f>12190281*1000000</f>
        <v>12190281000000</v>
      </c>
      <c r="L1625" s="96">
        <f>4056170*1000000</f>
        <v>4056170000000</v>
      </c>
      <c r="M1625" s="96">
        <f>446203*1000000</f>
        <v>446203000000</v>
      </c>
      <c r="N1625" s="96">
        <f>63470*1000000</f>
        <v>63470000000</v>
      </c>
      <c r="O1625" s="99">
        <v>1</v>
      </c>
      <c r="P1625" s="100" t="s">
        <v>339</v>
      </c>
      <c r="Q1625" s="96">
        <v>0</v>
      </c>
      <c r="R1625" s="96">
        <v>0</v>
      </c>
      <c r="S1625" s="96">
        <v>7</v>
      </c>
      <c r="T1625" s="96">
        <f t="shared" si="153"/>
        <v>7</v>
      </c>
      <c r="U1625" s="101">
        <v>0</v>
      </c>
      <c r="V1625" s="96">
        <v>0</v>
      </c>
      <c r="W1625" s="96">
        <v>0</v>
      </c>
      <c r="X1625" s="96">
        <v>0</v>
      </c>
      <c r="Y1625" s="94"/>
    </row>
    <row r="1626" spans="1:25" s="97" customFormat="1" ht="15" customHeight="1" x14ac:dyDescent="0.3">
      <c r="A1626" s="93"/>
      <c r="B1626" s="94"/>
      <c r="C1626" s="95"/>
      <c r="D1626" s="94">
        <v>2021</v>
      </c>
      <c r="E1626" s="96">
        <f>1711811*1000000</f>
        <v>1711811000000</v>
      </c>
      <c r="F1626" s="96">
        <f>8600720*1000000</f>
        <v>8600720000000</v>
      </c>
      <c r="G1626" s="96">
        <f>16149482*1000000</f>
        <v>16149482000000</v>
      </c>
      <c r="H1626" s="96">
        <f>1625147*1000000</f>
        <v>1625147000000</v>
      </c>
      <c r="I1626" s="96">
        <f>3975109*1000000</f>
        <v>3975109000000</v>
      </c>
      <c r="J1626" s="96">
        <f>2117824*1000000</f>
        <v>2117824000000</v>
      </c>
      <c r="K1626" s="96">
        <f>12174373*1000000</f>
        <v>12174373000000</v>
      </c>
      <c r="L1626" s="96">
        <f>4668022*1000000</f>
        <v>4668022000000</v>
      </c>
      <c r="M1626" s="96">
        <f>191191*1000000</f>
        <v>191191000000</v>
      </c>
      <c r="N1626" s="96">
        <f>33137*1000000</f>
        <v>33137000000</v>
      </c>
      <c r="O1626" s="99">
        <v>1</v>
      </c>
      <c r="P1626" s="100" t="s">
        <v>339</v>
      </c>
      <c r="Q1626" s="96">
        <v>0</v>
      </c>
      <c r="R1626" s="96">
        <v>0</v>
      </c>
      <c r="S1626" s="96">
        <v>7</v>
      </c>
      <c r="T1626" s="96">
        <f t="shared" si="153"/>
        <v>7</v>
      </c>
      <c r="U1626" s="101">
        <v>0</v>
      </c>
      <c r="V1626" s="96">
        <v>0</v>
      </c>
      <c r="W1626" s="96">
        <v>0</v>
      </c>
      <c r="X1626" s="96">
        <v>0</v>
      </c>
      <c r="Y1626" s="94"/>
    </row>
    <row r="1627" spans="1:25" s="97" customFormat="1" ht="15" customHeight="1" x14ac:dyDescent="0.3">
      <c r="A1627" s="93"/>
      <c r="B1627" s="94"/>
      <c r="C1627" s="95"/>
      <c r="D1627" s="94">
        <v>2022</v>
      </c>
      <c r="E1627" s="96">
        <f>1528820*1000000</f>
        <v>1528820000000</v>
      </c>
      <c r="F1627" s="96">
        <f>7520262*1000000</f>
        <v>7520262000000</v>
      </c>
      <c r="G1627" s="96">
        <f>16468014*1000000</f>
        <v>16468014000000</v>
      </c>
      <c r="H1627" s="96">
        <f>1548048*1000000</f>
        <v>1548048000000</v>
      </c>
      <c r="I1627" s="96">
        <f>3646801*1000000</f>
        <v>3646801000000</v>
      </c>
      <c r="J1627" s="96">
        <f>2266428*1000000</f>
        <v>2266428000000</v>
      </c>
      <c r="K1627" s="96">
        <f>12821213*1000000</f>
        <v>12821213000000</v>
      </c>
      <c r="L1627" s="96">
        <f>4520000*1000000</f>
        <v>4520000000000</v>
      </c>
      <c r="M1627" s="96">
        <f>174914*1000000</f>
        <v>174914000000</v>
      </c>
      <c r="N1627" s="96">
        <f>53089*1000000</f>
        <v>53089000000</v>
      </c>
      <c r="O1627" s="99">
        <v>1</v>
      </c>
      <c r="P1627" s="100" t="s">
        <v>339</v>
      </c>
      <c r="Q1627" s="96">
        <v>0</v>
      </c>
      <c r="R1627" s="96">
        <v>0</v>
      </c>
      <c r="S1627" s="96">
        <v>7</v>
      </c>
      <c r="T1627" s="96">
        <f t="shared" si="153"/>
        <v>7</v>
      </c>
      <c r="U1627" s="101">
        <v>0</v>
      </c>
      <c r="V1627" s="96">
        <v>0</v>
      </c>
      <c r="W1627" s="96">
        <v>0</v>
      </c>
      <c r="X1627" s="96">
        <v>0</v>
      </c>
      <c r="Y1627" s="94"/>
    </row>
    <row r="1628" spans="1:25" s="97" customFormat="1" ht="15" customHeight="1" x14ac:dyDescent="0.3">
      <c r="A1628" s="93"/>
      <c r="B1628" s="94"/>
      <c r="C1628" s="95"/>
      <c r="D1628" s="94">
        <v>2023</v>
      </c>
      <c r="E1628" s="96">
        <f>90444*1000000</f>
        <v>90444000000</v>
      </c>
      <c r="F1628" s="96">
        <f>7703198*1000000</f>
        <v>7703198000000</v>
      </c>
      <c r="G1628" s="96">
        <f>16787071*1000000</f>
        <v>16787071000000</v>
      </c>
      <c r="H1628" s="96">
        <f>1335581*1000000</f>
        <v>1335581000000</v>
      </c>
      <c r="I1628" s="96">
        <f>4346525*1000000</f>
        <v>4346525000000</v>
      </c>
      <c r="J1628" s="96">
        <f>2716730*1000000</f>
        <v>2716730000000</v>
      </c>
      <c r="K1628" s="96">
        <f>12440546*1000000</f>
        <v>12440546000000</v>
      </c>
      <c r="L1628" s="96">
        <f>4781944*1000000</f>
        <v>4781944000000</v>
      </c>
      <c r="M1628" s="96">
        <f>596398*1000000</f>
        <v>596398000000</v>
      </c>
      <c r="N1628" s="96">
        <f>467839*1000000</f>
        <v>467839000000</v>
      </c>
      <c r="O1628" s="99">
        <v>1</v>
      </c>
      <c r="P1628" s="100" t="s">
        <v>339</v>
      </c>
      <c r="Q1628" s="96">
        <v>0</v>
      </c>
      <c r="R1628" s="96">
        <v>0</v>
      </c>
      <c r="S1628" s="96">
        <v>7</v>
      </c>
      <c r="T1628" s="96">
        <f t="shared" si="153"/>
        <v>7</v>
      </c>
      <c r="U1628" s="101">
        <v>0</v>
      </c>
      <c r="V1628" s="96">
        <v>0</v>
      </c>
      <c r="W1628" s="96">
        <v>0</v>
      </c>
      <c r="X1628" s="96">
        <v>0</v>
      </c>
      <c r="Y1628" s="94"/>
    </row>
    <row r="1629" spans="1:25" s="97" customFormat="1" ht="15" customHeight="1" x14ac:dyDescent="0.3">
      <c r="A1629" s="93"/>
      <c r="B1629" s="94"/>
      <c r="C1629" s="95"/>
      <c r="D1629" s="94">
        <v>2024</v>
      </c>
      <c r="E1629" s="96">
        <f>1168787*1000000</f>
        <v>1168787000000</v>
      </c>
      <c r="F1629" s="96">
        <f>7018615*1000000</f>
        <v>7018615000000</v>
      </c>
      <c r="G1629" s="96">
        <f>16807910*1000000</f>
        <v>16807910000000</v>
      </c>
      <c r="H1629" s="96">
        <f>1028497*1000000</f>
        <v>1028497000000</v>
      </c>
      <c r="I1629" s="96">
        <f>4275360*1000000</f>
        <v>4275360000000</v>
      </c>
      <c r="J1629" s="96">
        <f>3018120*1000000</f>
        <v>3018120000000</v>
      </c>
      <c r="K1629" s="96">
        <f>12532550*1000000</f>
        <v>12532550000000</v>
      </c>
      <c r="L1629" s="96">
        <f>5155886*1000000</f>
        <v>5155886000000</v>
      </c>
      <c r="M1629" s="96">
        <f>377271*1000000</f>
        <v>377271000000</v>
      </c>
      <c r="N1629" s="96">
        <f>277711*1000000</f>
        <v>277711000000</v>
      </c>
      <c r="O1629" s="99">
        <v>1</v>
      </c>
      <c r="P1629" s="100" t="s">
        <v>339</v>
      </c>
      <c r="Q1629" s="96">
        <v>0</v>
      </c>
      <c r="R1629" s="96">
        <v>0</v>
      </c>
      <c r="S1629" s="96">
        <v>7</v>
      </c>
      <c r="T1629" s="96">
        <f t="shared" si="153"/>
        <v>7</v>
      </c>
      <c r="U1629" s="101">
        <v>0</v>
      </c>
      <c r="V1629" s="96">
        <v>0</v>
      </c>
      <c r="W1629" s="96">
        <v>0</v>
      </c>
      <c r="X1629" s="96">
        <v>0</v>
      </c>
      <c r="Y1629" s="94"/>
    </row>
    <row r="1048576" spans="16:16" ht="15" customHeight="1" x14ac:dyDescent="0.3">
      <c r="P1048576" s="43" t="s">
        <v>254</v>
      </c>
    </row>
  </sheetData>
  <pageMargins left="0.7" right="0.7" top="0.75" bottom="0.75" header="0.3" footer="0.3"/>
  <ignoredErrors>
    <ignoredError sqref="X131 X273 X367 X559 X526 W51 W54 W269 X1305 X1547" formula="1"/>
    <ignoredError sqref="T215:T216 T217:T221 T201:T210 T195 T190:T194 T196:T199 T267:T276 T286:T287 T325:T331 T383:T386 T390 T402:T408 T413:T419 T421:T430 T436:T441 T447:T452 T454:T463 T533:T540 T542:T551 T593:T595 T635:T639 T577:T584 T558:T562 T520:T529 T500:T507 T465:T474 T49:T55 T658:T661 T663:T672 T1246:T1255 T1521:T1530 T1532:T1541 T1472:T1475 T1455:T1464 T1446:T1453 T1092:T1101 T993:T1002 T982:T991 T971:T98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CF8A-F490-4188-ACCE-DD6B61B5DB6F}">
  <sheetPr codeName="Sheet3"/>
  <dimension ref="A1:G162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:G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6" width="20.5546875" style="14" bestFit="1" customWidth="1"/>
    <col min="7" max="7" width="12.664062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158</v>
      </c>
      <c r="F1" s="13" t="s">
        <v>161</v>
      </c>
      <c r="G1" s="11" t="s">
        <v>169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Data!F2</f>
        <v>0</v>
      </c>
      <c r="F2" s="14">
        <f>Data!H2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Data!F3</f>
        <v>0</v>
      </c>
      <c r="F3" s="14">
        <f>Data!H3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Data!F4</f>
        <v>0</v>
      </c>
      <c r="F4" s="14">
        <f>Data!H4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Data!F5</f>
        <v>0</v>
      </c>
      <c r="F5" s="14">
        <f>Data!H5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Data!F6</f>
        <v>0</v>
      </c>
      <c r="F6" s="14">
        <f>Data!H6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Data!F7</f>
        <v>0</v>
      </c>
      <c r="F7" s="14">
        <f>Data!H7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Data!F8</f>
        <v>0</v>
      </c>
      <c r="F8" s="14">
        <f>Data!H8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Data!F9</f>
        <v>0</v>
      </c>
      <c r="F9" s="14">
        <f>Data!H9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Data!F10</f>
        <v>0</v>
      </c>
      <c r="F10" s="14">
        <f>Data!H10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Data!F11</f>
        <v>0</v>
      </c>
      <c r="F11" s="14">
        <f>Data!H11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Data!F12</f>
        <v>0</v>
      </c>
      <c r="F12" s="14">
        <f>Data!H12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Data!F13</f>
        <v>0</v>
      </c>
      <c r="F13" s="14">
        <f>Data!H13</f>
        <v>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Data!F14</f>
        <v>951139000000</v>
      </c>
      <c r="F14" s="14">
        <f>Data!H14</f>
        <v>1833519000000</v>
      </c>
      <c r="G14" s="12">
        <f t="shared" si="0"/>
        <v>0.5187505556255485</v>
      </c>
    </row>
    <row r="15" spans="1:7" ht="15" customHeight="1" x14ac:dyDescent="0.3">
      <c r="C15" s="3"/>
      <c r="D15" s="8">
        <v>2016</v>
      </c>
      <c r="E15" s="14">
        <f>Data!F15</f>
        <v>1118793000000</v>
      </c>
      <c r="F15" s="14">
        <f>Data!H15</f>
        <v>2103474000000</v>
      </c>
      <c r="G15" s="12">
        <f t="shared" si="0"/>
        <v>0.53187869210648675</v>
      </c>
    </row>
    <row r="16" spans="1:7" ht="15" customHeight="1" x14ac:dyDescent="0.3">
      <c r="C16" s="3"/>
      <c r="D16" s="8">
        <v>2017</v>
      </c>
      <c r="E16" s="14">
        <f>Data!F16</f>
        <v>1287320000000</v>
      </c>
      <c r="F16" s="14">
        <f>Data!H16</f>
        <v>3116639000000</v>
      </c>
      <c r="G16" s="12">
        <f t="shared" si="0"/>
        <v>0.41304751689239594</v>
      </c>
    </row>
    <row r="17" spans="2:7" ht="15" customHeight="1" x14ac:dyDescent="0.3">
      <c r="C17" s="3"/>
      <c r="D17" s="8">
        <v>2018</v>
      </c>
      <c r="E17" s="14">
        <f>Data!F17</f>
        <v>1509812000000</v>
      </c>
      <c r="F17" s="14">
        <f>Data!H17</f>
        <v>3329580000000</v>
      </c>
      <c r="G17" s="12">
        <f t="shared" si="0"/>
        <v>0.45345418941728388</v>
      </c>
    </row>
    <row r="18" spans="2:7" ht="15" customHeight="1" x14ac:dyDescent="0.3">
      <c r="C18" s="3"/>
      <c r="D18" s="8">
        <v>2019</v>
      </c>
      <c r="E18" s="14">
        <f>Data!F18</f>
        <v>2019822000000</v>
      </c>
      <c r="F18" s="14">
        <f>Data!H18</f>
        <v>3399335000000</v>
      </c>
      <c r="G18" s="12">
        <f t="shared" si="0"/>
        <v>0.59418150903044276</v>
      </c>
    </row>
    <row r="19" spans="2:7" ht="15" customHeight="1" x14ac:dyDescent="0.3">
      <c r="C19" s="3"/>
      <c r="D19" s="8">
        <v>2020</v>
      </c>
      <c r="E19" s="14">
        <f>Data!F19</f>
        <v>2189572000000</v>
      </c>
      <c r="F19" s="14">
        <f>Data!H19</f>
        <v>3640926000000</v>
      </c>
      <c r="G19" s="12">
        <f t="shared" si="0"/>
        <v>0.60137778136660835</v>
      </c>
    </row>
    <row r="20" spans="2:7" ht="15" customHeight="1" x14ac:dyDescent="0.3">
      <c r="C20" s="3"/>
      <c r="D20" s="8">
        <v>2021</v>
      </c>
      <c r="E20" s="14">
        <f>Data!F20</f>
        <v>2332200000000</v>
      </c>
      <c r="F20" s="14">
        <f>Data!H20</f>
        <v>3465695000000</v>
      </c>
      <c r="G20" s="12">
        <f t="shared" si="0"/>
        <v>0.67293861692964907</v>
      </c>
    </row>
    <row r="21" spans="2:7" ht="15" customHeight="1" x14ac:dyDescent="0.3">
      <c r="C21" s="3"/>
      <c r="D21" s="8">
        <v>2022</v>
      </c>
      <c r="E21" s="14">
        <f>Data!F21</f>
        <v>2553937000000</v>
      </c>
      <c r="F21" s="14">
        <f>Data!H21</f>
        <v>3771309000000</v>
      </c>
      <c r="G21" s="12">
        <f t="shared" si="0"/>
        <v>0.67720173552472096</v>
      </c>
    </row>
    <row r="22" spans="2:7" ht="15" customHeight="1" x14ac:dyDescent="0.3">
      <c r="C22" s="3"/>
      <c r="D22" s="8">
        <v>2023</v>
      </c>
      <c r="E22" s="14">
        <f>Data!F22</f>
        <v>2217504000000</v>
      </c>
      <c r="F22" s="14">
        <f>Data!H22</f>
        <v>3324784000000</v>
      </c>
      <c r="G22" s="12">
        <f t="shared" si="0"/>
        <v>0.66696182368538826</v>
      </c>
    </row>
    <row r="23" spans="2:7" ht="15" customHeight="1" x14ac:dyDescent="0.3">
      <c r="C23" s="3"/>
      <c r="D23" s="8">
        <v>2024</v>
      </c>
      <c r="E23" s="14">
        <f>Data!F23</f>
        <v>2234181000000</v>
      </c>
      <c r="F23" s="14">
        <f>Data!H23</f>
        <v>2965577000000</v>
      </c>
      <c r="G23" s="12">
        <f t="shared" si="0"/>
        <v>0.7533714349686419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Data!F24</f>
        <v>0</v>
      </c>
      <c r="F24" s="14">
        <f>Data!H24</f>
        <v>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Data!F25</f>
        <v>688635000000</v>
      </c>
      <c r="F25" s="14">
        <f>Data!H25</f>
        <v>665956000000</v>
      </c>
      <c r="G25" s="12">
        <f t="shared" si="0"/>
        <v>1.034054802419379</v>
      </c>
    </row>
    <row r="26" spans="2:7" ht="15" customHeight="1" x14ac:dyDescent="0.3">
      <c r="C26" s="3"/>
      <c r="D26" s="8">
        <v>2016</v>
      </c>
      <c r="E26" s="14">
        <f>Data!F26</f>
        <v>937483000000</v>
      </c>
      <c r="F26" s="14">
        <f>Data!H26</f>
        <v>953567000000</v>
      </c>
      <c r="G26" s="12">
        <f t="shared" si="0"/>
        <v>0.98313280556059512</v>
      </c>
    </row>
    <row r="27" spans="2:7" ht="15" customHeight="1" x14ac:dyDescent="0.3">
      <c r="C27" s="3"/>
      <c r="D27" s="8">
        <v>2017</v>
      </c>
      <c r="E27" s="14">
        <f>Data!F27</f>
        <v>1162598000000</v>
      </c>
      <c r="F27" s="14">
        <f>Data!H27</f>
        <v>1244651000000</v>
      </c>
      <c r="G27" s="12">
        <f t="shared" si="0"/>
        <v>0.9340754958618922</v>
      </c>
    </row>
    <row r="28" spans="2:7" ht="15" customHeight="1" x14ac:dyDescent="0.3">
      <c r="C28" s="3"/>
      <c r="D28" s="8">
        <v>2018</v>
      </c>
      <c r="E28" s="14">
        <f>Data!F28</f>
        <v>1438688000000</v>
      </c>
      <c r="F28" s="14">
        <f>Data!H28</f>
        <v>1580256000000</v>
      </c>
      <c r="G28" s="12">
        <f t="shared" si="0"/>
        <v>0.91041451511653804</v>
      </c>
    </row>
    <row r="29" spans="2:7" ht="15" customHeight="1" x14ac:dyDescent="0.3">
      <c r="C29" s="3"/>
      <c r="D29" s="8">
        <v>2019</v>
      </c>
      <c r="E29" s="14">
        <f>Data!F29</f>
        <v>1975159000000</v>
      </c>
      <c r="F29" s="14">
        <f>Data!H29</f>
        <v>1291778000000</v>
      </c>
      <c r="G29" s="12">
        <f t="shared" si="0"/>
        <v>1.5290235628722582</v>
      </c>
    </row>
    <row r="30" spans="2:7" ht="15" customHeight="1" x14ac:dyDescent="0.3">
      <c r="C30" s="3"/>
      <c r="D30" s="8">
        <v>2020</v>
      </c>
      <c r="E30" s="14">
        <f>Data!F30</f>
        <v>2544663000000</v>
      </c>
      <c r="F30" s="14">
        <f>Data!H30</f>
        <v>1443225000000</v>
      </c>
      <c r="G30" s="12">
        <f t="shared" si="0"/>
        <v>1.763178298602089</v>
      </c>
    </row>
    <row r="31" spans="2:7" ht="15" customHeight="1" x14ac:dyDescent="0.3">
      <c r="C31" s="3"/>
      <c r="D31" s="8">
        <v>2021</v>
      </c>
      <c r="E31" s="14">
        <f>Data!F31</f>
        <v>2851127000000</v>
      </c>
      <c r="F31" s="14">
        <f>Data!H31</f>
        <v>1539961000000</v>
      </c>
      <c r="G31" s="12">
        <f t="shared" si="0"/>
        <v>1.8514280556455651</v>
      </c>
    </row>
    <row r="32" spans="2:7" ht="15" customHeight="1" x14ac:dyDescent="0.3">
      <c r="C32" s="3"/>
      <c r="D32" s="8">
        <v>2022</v>
      </c>
      <c r="E32" s="14">
        <f>Data!F32</f>
        <v>3412009000000</v>
      </c>
      <c r="F32" s="14">
        <f>Data!H32</f>
        <v>2321280000000</v>
      </c>
      <c r="G32" s="12">
        <f t="shared" si="0"/>
        <v>1.469882564791839</v>
      </c>
    </row>
    <row r="33" spans="2:7" ht="15" customHeight="1" x14ac:dyDescent="0.3">
      <c r="C33" s="3"/>
      <c r="D33" s="8">
        <v>2023</v>
      </c>
      <c r="E33" s="14">
        <f>Data!F33</f>
        <v>3559943000000</v>
      </c>
      <c r="F33" s="14">
        <f>Data!H33</f>
        <v>2581811000000</v>
      </c>
      <c r="G33" s="12">
        <f t="shared" si="0"/>
        <v>1.3788549975191833</v>
      </c>
    </row>
    <row r="34" spans="2:7" ht="15" customHeight="1" x14ac:dyDescent="0.3">
      <c r="C34" s="3"/>
      <c r="D34" s="8">
        <v>2024</v>
      </c>
      <c r="E34" s="14">
        <f>Data!F34</f>
        <v>2585453000000</v>
      </c>
      <c r="F34" s="14">
        <f>Data!H34</f>
        <v>2735029000000</v>
      </c>
      <c r="G34" s="12">
        <f t="shared" si="0"/>
        <v>0.94531100035867988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Data!F35</f>
        <v>0</v>
      </c>
      <c r="F35" s="14">
        <f>Data!H35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Data!F36</f>
        <v>0</v>
      </c>
      <c r="F36" s="14">
        <f>Data!H36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Data!F37</f>
        <v>0</v>
      </c>
      <c r="F37" s="14">
        <f>Data!H37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Data!F38</f>
        <v>0</v>
      </c>
      <c r="F38" s="14">
        <f>Data!H38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Data!F39</f>
        <v>0</v>
      </c>
      <c r="F39" s="14">
        <f>Data!H39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Data!F40</f>
        <v>0</v>
      </c>
      <c r="F40" s="14">
        <f>Data!H40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Data!F41</f>
        <v>0</v>
      </c>
      <c r="F41" s="14">
        <f>Data!H41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Data!F42</f>
        <v>0</v>
      </c>
      <c r="F42" s="14">
        <f>Data!H42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Data!F43</f>
        <v>410708000000</v>
      </c>
      <c r="F43" s="14">
        <f>Data!H43</f>
        <v>516180000000</v>
      </c>
      <c r="G43" s="12">
        <f t="shared" si="0"/>
        <v>0.79566817776744547</v>
      </c>
    </row>
    <row r="44" spans="2:7" ht="15" customHeight="1" x14ac:dyDescent="0.3">
      <c r="C44" s="4"/>
      <c r="D44" s="8">
        <v>2023</v>
      </c>
      <c r="E44" s="14">
        <f>Data!F44</f>
        <v>612489000000</v>
      </c>
      <c r="F44" s="14">
        <f>Data!H44</f>
        <v>432783000000</v>
      </c>
      <c r="G44" s="12">
        <f t="shared" si="0"/>
        <v>1.4152335003916512</v>
      </c>
    </row>
    <row r="45" spans="2:7" ht="15" customHeight="1" x14ac:dyDescent="0.3">
      <c r="C45" s="4"/>
      <c r="D45" s="8">
        <v>2024</v>
      </c>
      <c r="E45" s="14">
        <f>Data!F45</f>
        <v>292352000000</v>
      </c>
      <c r="F45" s="14">
        <f>Data!H45</f>
        <v>370778000000</v>
      </c>
      <c r="G45" s="12">
        <f t="shared" si="0"/>
        <v>0.7884825960547821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Data!F46</f>
        <v>0</v>
      </c>
      <c r="F46" s="14">
        <f>Data!H46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Data!F47</f>
        <v>468361790000</v>
      </c>
      <c r="F47" s="14">
        <f>Data!H47</f>
        <v>212592184000</v>
      </c>
      <c r="G47" s="12">
        <f t="shared" si="0"/>
        <v>2.2030997621248392</v>
      </c>
    </row>
    <row r="48" spans="2:7" ht="15" customHeight="1" x14ac:dyDescent="0.3">
      <c r="C48" s="3"/>
      <c r="D48" s="8">
        <v>2016</v>
      </c>
      <c r="E48" s="14">
        <f>Data!F48</f>
        <v>391460041000</v>
      </c>
      <c r="F48" s="14">
        <f>Data!H48</f>
        <v>132766311000</v>
      </c>
      <c r="G48" s="12">
        <f t="shared" si="0"/>
        <v>2.9484892519157211</v>
      </c>
    </row>
    <row r="49" spans="2:7" ht="15" customHeight="1" x14ac:dyDescent="0.3">
      <c r="C49" s="3"/>
      <c r="D49" s="8">
        <v>2017</v>
      </c>
      <c r="E49" s="14">
        <f>Data!F49</f>
        <v>483705909000</v>
      </c>
      <c r="F49" s="14">
        <f>Data!H49</f>
        <v>170181075000</v>
      </c>
      <c r="G49" s="12">
        <f t="shared" si="0"/>
        <v>2.8423014074861146</v>
      </c>
    </row>
    <row r="50" spans="2:7" ht="15" customHeight="1" x14ac:dyDescent="0.3">
      <c r="C50" s="3"/>
      <c r="D50" s="8">
        <v>2018</v>
      </c>
      <c r="E50" s="14">
        <f>Data!F50</f>
        <v>564045684000</v>
      </c>
      <c r="F50" s="14">
        <f>Data!H50</f>
        <v>362779204000</v>
      </c>
      <c r="G50" s="12">
        <f t="shared" si="0"/>
        <v>1.5547905662199974</v>
      </c>
    </row>
    <row r="51" spans="2:7" ht="15" customHeight="1" x14ac:dyDescent="0.3">
      <c r="C51" s="3"/>
      <c r="D51" s="8">
        <v>2019</v>
      </c>
      <c r="E51" s="14">
        <f>Data!F51</f>
        <v>506706000000</v>
      </c>
      <c r="F51" s="14">
        <f>Data!H51</f>
        <v>322081000000</v>
      </c>
      <c r="G51" s="12">
        <f t="shared" si="0"/>
        <v>1.5732253687736937</v>
      </c>
    </row>
    <row r="52" spans="2:7" ht="15" customHeight="1" x14ac:dyDescent="0.3">
      <c r="C52" s="3"/>
      <c r="D52" s="8">
        <v>2020</v>
      </c>
      <c r="E52" s="14">
        <f>Data!F52</f>
        <v>723140000000</v>
      </c>
      <c r="F52" s="14">
        <f>Data!H52</f>
        <v>255342000000</v>
      </c>
      <c r="G52" s="12">
        <f t="shared" si="0"/>
        <v>2.8320448653178873</v>
      </c>
    </row>
    <row r="53" spans="2:7" ht="15" customHeight="1" x14ac:dyDescent="0.3">
      <c r="C53" s="3"/>
      <c r="D53" s="8">
        <v>2021</v>
      </c>
      <c r="E53" s="14">
        <f>Data!F53</f>
        <v>848461000000</v>
      </c>
      <c r="F53" s="14">
        <f>Data!H53</f>
        <v>946159000000</v>
      </c>
      <c r="G53" s="12">
        <f t="shared" si="0"/>
        <v>0.89674251367899049</v>
      </c>
    </row>
    <row r="54" spans="2:7" ht="15" customHeight="1" x14ac:dyDescent="0.3">
      <c r="C54" s="3"/>
      <c r="D54" s="8">
        <v>2022</v>
      </c>
      <c r="E54" s="14">
        <f>Data!F54</f>
        <v>1239866000000</v>
      </c>
      <c r="F54" s="14">
        <f>Data!H54</f>
        <v>577879000000</v>
      </c>
      <c r="G54" s="12">
        <f t="shared" si="0"/>
        <v>2.1455460399149304</v>
      </c>
    </row>
    <row r="55" spans="2:7" ht="15" customHeight="1" x14ac:dyDescent="0.3">
      <c r="C55" s="3"/>
      <c r="D55" s="8">
        <v>2023</v>
      </c>
      <c r="E55" s="14">
        <f>Data!F55</f>
        <v>831272000000</v>
      </c>
      <c r="F55" s="14">
        <f>Data!H55</f>
        <v>318534000000</v>
      </c>
      <c r="G55" s="12">
        <f t="shared" si="0"/>
        <v>2.6096805992452925</v>
      </c>
    </row>
    <row r="56" spans="2:7" ht="15" customHeight="1" x14ac:dyDescent="0.3">
      <c r="C56" s="3"/>
      <c r="D56" s="8">
        <v>2024</v>
      </c>
      <c r="E56" s="14">
        <f>Data!F56</f>
        <v>0</v>
      </c>
      <c r="F56" s="14">
        <f>Data!H56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Data!F57</f>
        <v>0</v>
      </c>
      <c r="F57" s="14">
        <f>Data!H57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Data!F58</f>
        <v>0</v>
      </c>
      <c r="F58" s="14">
        <f>Data!H58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Data!F59</f>
        <v>7116000000</v>
      </c>
      <c r="F59" s="14">
        <f>Data!H59</f>
        <v>3417000000</v>
      </c>
      <c r="G59" s="12">
        <f t="shared" si="0"/>
        <v>2.0825285338015802</v>
      </c>
    </row>
    <row r="60" spans="2:7" ht="15" customHeight="1" x14ac:dyDescent="0.3">
      <c r="C60" s="3"/>
      <c r="D60" s="8">
        <v>2017</v>
      </c>
      <c r="E60" s="14">
        <f>Data!F60</f>
        <v>8200000000</v>
      </c>
      <c r="F60" s="14">
        <f>Data!H60</f>
        <v>7335000000</v>
      </c>
      <c r="G60" s="12">
        <f t="shared" si="0"/>
        <v>1.1179277436946149</v>
      </c>
    </row>
    <row r="61" spans="2:7" ht="15" customHeight="1" x14ac:dyDescent="0.3">
      <c r="C61" s="3"/>
      <c r="D61" s="8">
        <v>2018</v>
      </c>
      <c r="E61" s="14">
        <f>Data!F61</f>
        <v>22553000000</v>
      </c>
      <c r="F61" s="14">
        <f>Data!H61</f>
        <v>15989000000</v>
      </c>
      <c r="G61" s="12">
        <f t="shared" si="0"/>
        <v>1.4105322409156296</v>
      </c>
    </row>
    <row r="62" spans="2:7" ht="15" customHeight="1" x14ac:dyDescent="0.3">
      <c r="C62" s="3"/>
      <c r="D62" s="8">
        <v>2019</v>
      </c>
      <c r="E62" s="14">
        <f>Data!F62</f>
        <v>34270000000</v>
      </c>
      <c r="F62" s="14">
        <f>Data!H62</f>
        <v>14816000000</v>
      </c>
      <c r="G62" s="12">
        <f t="shared" si="0"/>
        <v>2.3130399568034559</v>
      </c>
    </row>
    <row r="63" spans="2:7" ht="15" customHeight="1" x14ac:dyDescent="0.3">
      <c r="C63" s="3"/>
      <c r="D63" s="8">
        <v>2020</v>
      </c>
      <c r="E63" s="14">
        <f>Data!F63</f>
        <v>57309000000</v>
      </c>
      <c r="F63" s="14">
        <f>Data!H63</f>
        <v>14810000000</v>
      </c>
      <c r="G63" s="12">
        <f t="shared" si="0"/>
        <v>3.8696151249155974</v>
      </c>
    </row>
    <row r="64" spans="2:7" ht="15" customHeight="1" x14ac:dyDescent="0.3">
      <c r="C64" s="3"/>
      <c r="D64" s="8">
        <v>2021</v>
      </c>
      <c r="E64" s="14">
        <f>Data!F64</f>
        <v>101310000000</v>
      </c>
      <c r="F64" s="14">
        <f>Data!H64</f>
        <v>33110000000</v>
      </c>
      <c r="G64" s="12">
        <f t="shared" si="0"/>
        <v>3.0598006644518274</v>
      </c>
    </row>
    <row r="65" spans="2:7" ht="15" customHeight="1" x14ac:dyDescent="0.3">
      <c r="C65" s="3"/>
      <c r="D65" s="8">
        <v>2022</v>
      </c>
      <c r="E65" s="14">
        <f>Data!F65</f>
        <v>98083000000</v>
      </c>
      <c r="F65" s="14">
        <f>Data!H65</f>
        <v>40437000000</v>
      </c>
      <c r="G65" s="12">
        <f t="shared" si="0"/>
        <v>2.4255755867151372</v>
      </c>
    </row>
    <row r="66" spans="2:7" ht="15" customHeight="1" x14ac:dyDescent="0.3">
      <c r="C66" s="3"/>
      <c r="D66" s="8">
        <v>2023</v>
      </c>
      <c r="E66" s="14">
        <f>Data!F66</f>
        <v>156880000000</v>
      </c>
      <c r="F66" s="14">
        <f>Data!H66</f>
        <v>58468000000</v>
      </c>
      <c r="G66" s="12">
        <f t="shared" si="0"/>
        <v>2.6831771225285626</v>
      </c>
    </row>
    <row r="67" spans="2:7" ht="15" customHeight="1" x14ac:dyDescent="0.3">
      <c r="C67" s="3"/>
      <c r="D67" s="8">
        <v>2024</v>
      </c>
      <c r="E67" s="14">
        <f>Data!F67</f>
        <v>167240000000</v>
      </c>
      <c r="F67" s="14">
        <f>Data!H67</f>
        <v>70006000000</v>
      </c>
      <c r="G67" s="12">
        <f t="shared" ref="G67:G130" si="1">IFERROR(E67/F67,0)</f>
        <v>2.3889380910207696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Data!F68</f>
        <v>0</v>
      </c>
      <c r="F68" s="14">
        <f>Data!H68</f>
        <v>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Data!F69</f>
        <v>248432000000</v>
      </c>
      <c r="F69" s="14">
        <f>Data!H69</f>
        <v>323188000000</v>
      </c>
      <c r="G69" s="12">
        <f t="shared" si="1"/>
        <v>0.76869190687773059</v>
      </c>
    </row>
    <row r="70" spans="2:7" ht="15" customHeight="1" x14ac:dyDescent="0.3">
      <c r="C70" s="3"/>
      <c r="D70" s="8">
        <v>2016</v>
      </c>
      <c r="E70" s="14">
        <f>Data!F70</f>
        <v>654538000000</v>
      </c>
      <c r="F70" s="14">
        <f>Data!H70</f>
        <v>406803000000</v>
      </c>
      <c r="G70" s="12">
        <f t="shared" si="1"/>
        <v>1.6089802680904517</v>
      </c>
    </row>
    <row r="71" spans="2:7" ht="15" customHeight="1" x14ac:dyDescent="0.3">
      <c r="C71" s="3"/>
      <c r="D71" s="8">
        <v>2017</v>
      </c>
      <c r="E71" s="14">
        <f>Data!F71</f>
        <v>685087000000</v>
      </c>
      <c r="F71" s="14">
        <f>Data!H71</f>
        <v>364804000000</v>
      </c>
      <c r="G71" s="12">
        <f t="shared" si="1"/>
        <v>1.8779591232552275</v>
      </c>
    </row>
    <row r="72" spans="2:7" ht="15" customHeight="1" x14ac:dyDescent="0.3">
      <c r="C72" s="3"/>
      <c r="D72" s="8">
        <v>2018</v>
      </c>
      <c r="E72" s="14">
        <f>Data!F72</f>
        <v>957069000000</v>
      </c>
      <c r="F72" s="14">
        <f>Data!H72</f>
        <v>381609000000</v>
      </c>
      <c r="G72" s="12">
        <f t="shared" si="1"/>
        <v>2.5079833022806066</v>
      </c>
    </row>
    <row r="73" spans="2:7" ht="15" customHeight="1" x14ac:dyDescent="0.3">
      <c r="C73" s="3"/>
      <c r="D73" s="8">
        <v>2019</v>
      </c>
      <c r="E73" s="14">
        <f>Data!F73</f>
        <v>816259000000</v>
      </c>
      <c r="F73" s="14">
        <f>Data!H73</f>
        <v>397846000000</v>
      </c>
      <c r="G73" s="12">
        <f t="shared" si="1"/>
        <v>2.0516958823263272</v>
      </c>
    </row>
    <row r="74" spans="2:7" ht="15" customHeight="1" x14ac:dyDescent="0.3">
      <c r="C74" s="3"/>
      <c r="D74" s="8">
        <v>2020</v>
      </c>
      <c r="E74" s="14">
        <f>Data!F74</f>
        <v>786739000000</v>
      </c>
      <c r="F74" s="14">
        <f>Data!H74</f>
        <v>582749000000</v>
      </c>
      <c r="G74" s="12">
        <f t="shared" si="1"/>
        <v>1.3500477907297996</v>
      </c>
    </row>
    <row r="75" spans="2:7" ht="15" customHeight="1" x14ac:dyDescent="0.3">
      <c r="C75" s="3"/>
      <c r="D75" s="8">
        <v>2021</v>
      </c>
      <c r="E75" s="14">
        <f>Data!F75</f>
        <v>776133000000</v>
      </c>
      <c r="F75" s="14">
        <f>Data!H75</f>
        <v>386504000000</v>
      </c>
      <c r="G75" s="12">
        <f t="shared" si="1"/>
        <v>2.008085297952932</v>
      </c>
    </row>
    <row r="76" spans="2:7" ht="15" customHeight="1" x14ac:dyDescent="0.3">
      <c r="C76" s="3"/>
      <c r="D76" s="8">
        <v>2022</v>
      </c>
      <c r="E76" s="14">
        <f>Data!F76</f>
        <v>889121000000</v>
      </c>
      <c r="F76" s="14">
        <f>Data!H76</f>
        <v>673005000000</v>
      </c>
      <c r="G76" s="12">
        <f t="shared" si="1"/>
        <v>1.3211209426378705</v>
      </c>
    </row>
    <row r="77" spans="2:7" ht="15" customHeight="1" x14ac:dyDescent="0.3">
      <c r="C77" s="3"/>
      <c r="D77" s="8">
        <v>2023</v>
      </c>
      <c r="E77" s="14">
        <f>Data!F77</f>
        <v>642546000000</v>
      </c>
      <c r="F77" s="14">
        <f>Data!H77</f>
        <v>840770000000</v>
      </c>
      <c r="G77" s="12">
        <f t="shared" si="1"/>
        <v>0.76423516538411218</v>
      </c>
    </row>
    <row r="78" spans="2:7" ht="15" customHeight="1" x14ac:dyDescent="0.3">
      <c r="C78" s="3"/>
      <c r="D78" s="8">
        <v>2024</v>
      </c>
      <c r="E78" s="14">
        <f>Data!F78</f>
        <v>566004000000</v>
      </c>
      <c r="F78" s="14">
        <f>Data!H78</f>
        <v>701500000000</v>
      </c>
      <c r="G78" s="12">
        <f t="shared" si="1"/>
        <v>0.80684818246614398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Data!F79</f>
        <v>0</v>
      </c>
      <c r="F79" s="14">
        <f>Data!H79</f>
        <v>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Data!F80</f>
        <v>18550000000</v>
      </c>
      <c r="F80" s="14">
        <f>Data!H80</f>
        <v>15519000000</v>
      </c>
      <c r="G80" s="12">
        <f t="shared" si="1"/>
        <v>1.1953089760938205</v>
      </c>
    </row>
    <row r="81" spans="2:7" ht="15" customHeight="1" x14ac:dyDescent="0.3">
      <c r="C81" s="3"/>
      <c r="D81" s="8">
        <v>2016</v>
      </c>
      <c r="E81" s="14">
        <f>Data!F81</f>
        <v>49596000000</v>
      </c>
      <c r="F81" s="14">
        <f>Data!H81</f>
        <v>44397000000</v>
      </c>
      <c r="G81" s="12">
        <f t="shared" si="1"/>
        <v>1.1171025069261438</v>
      </c>
    </row>
    <row r="82" spans="2:7" ht="15" customHeight="1" x14ac:dyDescent="0.3">
      <c r="C82" s="3"/>
      <c r="D82" s="8">
        <v>2017</v>
      </c>
      <c r="E82" s="14">
        <f>Data!F82</f>
        <v>86147000000</v>
      </c>
      <c r="F82" s="14">
        <f>Data!H82</f>
        <v>96254000000</v>
      </c>
      <c r="G82" s="12">
        <f t="shared" si="1"/>
        <v>0.89499657157105161</v>
      </c>
    </row>
    <row r="83" spans="2:7" ht="15" customHeight="1" x14ac:dyDescent="0.3">
      <c r="C83" s="3"/>
      <c r="D83" s="8">
        <v>2018</v>
      </c>
      <c r="E83" s="14">
        <f>Data!F83</f>
        <v>56634000000</v>
      </c>
      <c r="F83" s="14">
        <f>Data!H83</f>
        <v>62173000000</v>
      </c>
      <c r="G83" s="12">
        <f t="shared" si="1"/>
        <v>0.91090988049474853</v>
      </c>
    </row>
    <row r="84" spans="2:7" ht="15" customHeight="1" x14ac:dyDescent="0.3">
      <c r="C84" s="3"/>
      <c r="D84" s="8">
        <v>2019</v>
      </c>
      <c r="E84" s="14">
        <f>Data!F84</f>
        <v>85756000000</v>
      </c>
      <c r="F84" s="14">
        <f>Data!H84</f>
        <v>76452000000</v>
      </c>
      <c r="G84" s="12">
        <f t="shared" si="1"/>
        <v>1.1216972741066289</v>
      </c>
    </row>
    <row r="85" spans="2:7" ht="15" customHeight="1" x14ac:dyDescent="0.3">
      <c r="C85" s="3"/>
      <c r="D85" s="8">
        <v>2020</v>
      </c>
      <c r="E85" s="14">
        <f>Data!F85</f>
        <v>134922000000</v>
      </c>
      <c r="F85" s="14">
        <f>Data!H85</f>
        <v>89869000000</v>
      </c>
      <c r="G85" s="12">
        <f t="shared" si="1"/>
        <v>1.5013185859417597</v>
      </c>
    </row>
    <row r="86" spans="2:7" ht="15" customHeight="1" x14ac:dyDescent="0.3">
      <c r="C86" s="3"/>
      <c r="D86" s="8">
        <v>2021</v>
      </c>
      <c r="E86" s="14">
        <f>Data!F86</f>
        <v>320269000000</v>
      </c>
      <c r="F86" s="14">
        <f>Data!H86</f>
        <v>84761000000</v>
      </c>
      <c r="G86" s="12">
        <f t="shared" si="1"/>
        <v>3.7784948266301721</v>
      </c>
    </row>
    <row r="87" spans="2:7" ht="15" customHeight="1" x14ac:dyDescent="0.3">
      <c r="C87" s="3"/>
      <c r="D87" s="8">
        <v>2022</v>
      </c>
      <c r="E87" s="14">
        <f>Data!F87</f>
        <v>227980000000</v>
      </c>
      <c r="F87" s="14">
        <f>Data!H87</f>
        <v>117537000000</v>
      </c>
      <c r="G87" s="12">
        <f t="shared" si="1"/>
        <v>1.9396445374647984</v>
      </c>
    </row>
    <row r="88" spans="2:7" ht="15" customHeight="1" x14ac:dyDescent="0.3">
      <c r="C88" s="3"/>
      <c r="D88" s="8">
        <v>2023</v>
      </c>
      <c r="E88" s="14">
        <f>Data!F88</f>
        <v>243787000000</v>
      </c>
      <c r="F88" s="14">
        <f>Data!H88</f>
        <v>132809000000</v>
      </c>
      <c r="G88" s="12">
        <f t="shared" si="1"/>
        <v>1.8356210798966937</v>
      </c>
    </row>
    <row r="89" spans="2:7" ht="15" customHeight="1" x14ac:dyDescent="0.3">
      <c r="C89" s="3"/>
      <c r="D89" s="8">
        <v>2024</v>
      </c>
      <c r="E89" s="14">
        <f>Data!F89</f>
        <v>225941000000</v>
      </c>
      <c r="F89" s="14">
        <f>Data!H89</f>
        <v>97813000000</v>
      </c>
      <c r="G89" s="12">
        <f t="shared" si="1"/>
        <v>2.3099281281629231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Data!F90</f>
        <v>0</v>
      </c>
      <c r="F90" s="14">
        <f>Data!H90</f>
        <v>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Data!F91</f>
        <v>176774000000</v>
      </c>
      <c r="F91" s="14">
        <f>Data!H91</f>
        <v>62044000000</v>
      </c>
      <c r="G91" s="12">
        <f t="shared" si="1"/>
        <v>2.8491715556701696</v>
      </c>
    </row>
    <row r="92" spans="2:7" ht="15" customHeight="1" x14ac:dyDescent="0.3">
      <c r="C92" s="3"/>
      <c r="D92" s="8">
        <v>2016</v>
      </c>
      <c r="E92" s="14">
        <f>Data!F92</f>
        <v>145345000000</v>
      </c>
      <c r="F92" s="14">
        <f>Data!H92</f>
        <v>374125000000</v>
      </c>
      <c r="G92" s="12">
        <f t="shared" si="1"/>
        <v>0.38849315068493151</v>
      </c>
    </row>
    <row r="93" spans="2:7" ht="15" customHeight="1" x14ac:dyDescent="0.3">
      <c r="C93" s="3"/>
      <c r="D93" s="8">
        <v>2017</v>
      </c>
      <c r="E93" s="14">
        <f>Data!F93</f>
        <v>151859000000</v>
      </c>
      <c r="F93" s="14">
        <f>Data!H93</f>
        <v>403817000000</v>
      </c>
      <c r="G93" s="12">
        <f t="shared" si="1"/>
        <v>0.37605895739901984</v>
      </c>
    </row>
    <row r="94" spans="2:7" ht="15" customHeight="1" x14ac:dyDescent="0.3">
      <c r="C94" s="3"/>
      <c r="D94" s="8">
        <v>2018</v>
      </c>
      <c r="E94" s="14">
        <f>Data!F94</f>
        <v>137938000000</v>
      </c>
      <c r="F94" s="14">
        <f>Data!H94</f>
        <v>446855000000</v>
      </c>
      <c r="G94" s="12">
        <f t="shared" si="1"/>
        <v>0.30868626288169543</v>
      </c>
    </row>
    <row r="95" spans="2:7" ht="15" customHeight="1" x14ac:dyDescent="0.3">
      <c r="C95" s="3"/>
      <c r="D95" s="8">
        <v>2019</v>
      </c>
      <c r="E95" s="14">
        <f>Data!F95</f>
        <v>130012000000</v>
      </c>
      <c r="F95" s="14">
        <f>Data!H95</f>
        <v>410765000000</v>
      </c>
      <c r="G95" s="12">
        <f t="shared" si="1"/>
        <v>0.3165118741859701</v>
      </c>
    </row>
    <row r="96" spans="2:7" ht="15" customHeight="1" x14ac:dyDescent="0.3">
      <c r="C96" s="3"/>
      <c r="D96" s="8">
        <v>2020</v>
      </c>
      <c r="E96" s="14">
        <f>Data!F96</f>
        <v>141833000000</v>
      </c>
      <c r="F96" s="14">
        <f>Data!H96</f>
        <v>418551000000</v>
      </c>
      <c r="G96" s="12">
        <f t="shared" si="1"/>
        <v>0.33886670919433953</v>
      </c>
    </row>
    <row r="97" spans="2:7" ht="15" customHeight="1" x14ac:dyDescent="0.3">
      <c r="C97" s="3"/>
      <c r="D97" s="8">
        <v>2021</v>
      </c>
      <c r="E97" s="14">
        <f>Data!F97</f>
        <v>173195000000</v>
      </c>
      <c r="F97" s="14">
        <f>Data!H97</f>
        <v>389107000000</v>
      </c>
      <c r="G97" s="12">
        <f t="shared" si="1"/>
        <v>0.44510892890644477</v>
      </c>
    </row>
    <row r="98" spans="2:7" ht="15" customHeight="1" x14ac:dyDescent="0.3">
      <c r="C98" s="3"/>
      <c r="D98" s="8">
        <v>2022</v>
      </c>
      <c r="E98" s="14">
        <f>Data!F98</f>
        <v>218200000000</v>
      </c>
      <c r="F98" s="14">
        <f>Data!H98</f>
        <v>384877000000</v>
      </c>
      <c r="G98" s="12">
        <f t="shared" si="1"/>
        <v>0.56693437124068213</v>
      </c>
    </row>
    <row r="99" spans="2:7" ht="15" customHeight="1" x14ac:dyDescent="0.3">
      <c r="C99" s="3"/>
      <c r="D99" s="8">
        <v>2023</v>
      </c>
      <c r="E99" s="14">
        <f>Data!F99</f>
        <v>336666000000</v>
      </c>
      <c r="F99" s="14">
        <f>Data!H99</f>
        <v>515004000000</v>
      </c>
      <c r="G99" s="12">
        <f t="shared" si="1"/>
        <v>0.65371531094904112</v>
      </c>
    </row>
    <row r="100" spans="2:7" ht="15" customHeight="1" x14ac:dyDescent="0.3">
      <c r="C100" s="3"/>
      <c r="D100" s="8">
        <v>2024</v>
      </c>
      <c r="E100" s="14">
        <f>Data!F100</f>
        <v>468992000000</v>
      </c>
      <c r="F100" s="14">
        <f>Data!H100</f>
        <v>403540000000</v>
      </c>
      <c r="G100" s="12">
        <f t="shared" si="1"/>
        <v>1.1621945779848342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Data!F101</f>
        <v>0</v>
      </c>
      <c r="F101" s="14">
        <f>Data!H101</f>
        <v>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Data!F102</f>
        <v>637186000000</v>
      </c>
      <c r="F102" s="14">
        <f>Data!H102</f>
        <v>554291000000</v>
      </c>
      <c r="G102" s="12">
        <f t="shared" si="1"/>
        <v>1.1495514089169767</v>
      </c>
    </row>
    <row r="103" spans="2:7" ht="15" customHeight="1" x14ac:dyDescent="0.3">
      <c r="C103" s="3"/>
      <c r="D103" s="8">
        <v>2016</v>
      </c>
      <c r="E103" s="14">
        <f>Data!F103</f>
        <v>735436000000</v>
      </c>
      <c r="F103" s="14">
        <f>Data!H103</f>
        <v>758439000000</v>
      </c>
      <c r="G103" s="12">
        <f t="shared" si="1"/>
        <v>0.96967059974500258</v>
      </c>
    </row>
    <row r="104" spans="2:7" ht="15" customHeight="1" x14ac:dyDescent="0.3">
      <c r="C104" s="3"/>
      <c r="D104" s="8">
        <v>2017</v>
      </c>
      <c r="E104" s="14">
        <f>Data!F104</f>
        <v>1058977000000</v>
      </c>
      <c r="F104" s="14">
        <f>Data!H104</f>
        <v>935319000000</v>
      </c>
      <c r="G104" s="12">
        <f t="shared" si="1"/>
        <v>1.1322094387048698</v>
      </c>
    </row>
    <row r="105" spans="2:7" ht="15" customHeight="1" x14ac:dyDescent="0.3">
      <c r="C105" s="3"/>
      <c r="D105" s="8">
        <v>2018</v>
      </c>
      <c r="E105" s="14">
        <f>Data!F105</f>
        <v>1071110000000</v>
      </c>
      <c r="F105" s="14">
        <f>Data!H105</f>
        <v>1063719000000</v>
      </c>
      <c r="G105" s="12">
        <f t="shared" si="1"/>
        <v>1.0069482635921705</v>
      </c>
    </row>
    <row r="106" spans="2:7" ht="15" customHeight="1" x14ac:dyDescent="0.3">
      <c r="C106" s="3"/>
      <c r="D106" s="8">
        <v>2019</v>
      </c>
      <c r="E106" s="14">
        <f>Data!F106</f>
        <v>1198292000000</v>
      </c>
      <c r="F106" s="14">
        <f>Data!H106</f>
        <v>1283172000000</v>
      </c>
      <c r="G106" s="12">
        <f t="shared" si="1"/>
        <v>0.93385142443881253</v>
      </c>
    </row>
    <row r="107" spans="2:7" ht="15" customHeight="1" x14ac:dyDescent="0.3">
      <c r="C107" s="3"/>
      <c r="D107" s="8">
        <v>2020</v>
      </c>
      <c r="E107" s="14">
        <f>Data!F107</f>
        <v>1053303000000</v>
      </c>
      <c r="F107" s="14">
        <f>Data!H107</f>
        <v>1201864000000</v>
      </c>
      <c r="G107" s="12">
        <f t="shared" si="1"/>
        <v>0.87639117237890474</v>
      </c>
    </row>
    <row r="108" spans="2:7" ht="15" customHeight="1" x14ac:dyDescent="0.3">
      <c r="C108" s="3"/>
      <c r="D108" s="8">
        <v>2021</v>
      </c>
      <c r="E108" s="14">
        <f>Data!F108</f>
        <v>1394167000000</v>
      </c>
      <c r="F108" s="14">
        <f>Data!H108</f>
        <v>1067047000000</v>
      </c>
      <c r="G108" s="12">
        <f t="shared" si="1"/>
        <v>1.3065656901710985</v>
      </c>
    </row>
    <row r="109" spans="2:7" ht="15" customHeight="1" x14ac:dyDescent="0.3">
      <c r="C109" s="3"/>
      <c r="D109" s="8">
        <v>2022</v>
      </c>
      <c r="E109" s="14">
        <f>Data!F109</f>
        <v>976840000000</v>
      </c>
      <c r="F109" s="14">
        <f>Data!H109</f>
        <v>803384000000</v>
      </c>
      <c r="G109" s="12">
        <f t="shared" si="1"/>
        <v>1.2159067145972535</v>
      </c>
    </row>
    <row r="110" spans="2:7" ht="15" customHeight="1" x14ac:dyDescent="0.3">
      <c r="C110" s="3"/>
      <c r="D110" s="8">
        <v>2023</v>
      </c>
      <c r="E110" s="14">
        <f>Data!F110</f>
        <v>994473000000</v>
      </c>
      <c r="F110" s="14">
        <f>Data!H110</f>
        <v>872401000000</v>
      </c>
      <c r="G110" s="12">
        <f t="shared" si="1"/>
        <v>1.1399264787637795</v>
      </c>
    </row>
    <row r="111" spans="2:7" ht="15" customHeight="1" x14ac:dyDescent="0.3">
      <c r="C111" s="3"/>
      <c r="D111" s="8">
        <v>2024</v>
      </c>
      <c r="E111" s="14">
        <f>Data!F111</f>
        <v>843435000000</v>
      </c>
      <c r="F111" s="14">
        <f>Data!H111</f>
        <v>874886000000</v>
      </c>
      <c r="G111" s="12">
        <f t="shared" si="1"/>
        <v>0.96405131640007957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Data!F112</f>
        <v>0</v>
      </c>
      <c r="F112" s="14">
        <f>Data!H112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Data!F113</f>
        <v>0</v>
      </c>
      <c r="F113" s="14">
        <f>Data!H113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Data!F114</f>
        <v>0</v>
      </c>
      <c r="F114" s="14">
        <f>Data!H114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Data!F115</f>
        <v>0</v>
      </c>
      <c r="F115" s="14">
        <f>Data!H115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Data!F116</f>
        <v>0</v>
      </c>
      <c r="F116" s="14">
        <f>Data!H116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Data!F117</f>
        <v>0</v>
      </c>
      <c r="F117" s="14">
        <f>Data!H117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Data!F118</f>
        <v>120233000000</v>
      </c>
      <c r="F118" s="14">
        <f>Data!H118</f>
        <v>3784000000</v>
      </c>
      <c r="G118" s="12">
        <f t="shared" si="1"/>
        <v>31.774048625792812</v>
      </c>
    </row>
    <row r="119" spans="2:7" ht="15" customHeight="1" x14ac:dyDescent="0.3">
      <c r="C119" s="3"/>
      <c r="D119" s="8">
        <v>2021</v>
      </c>
      <c r="E119" s="14">
        <f>Data!F119</f>
        <v>7302102000000</v>
      </c>
      <c r="F119" s="14">
        <f>Data!H119</f>
        <v>102752000000</v>
      </c>
      <c r="G119" s="12">
        <f t="shared" si="1"/>
        <v>71.06530286515104</v>
      </c>
    </row>
    <row r="120" spans="2:7" ht="15" customHeight="1" x14ac:dyDescent="0.3">
      <c r="C120" s="3"/>
      <c r="D120" s="8">
        <v>2022</v>
      </c>
      <c r="E120" s="14">
        <f>Data!F120</f>
        <v>1270882000000</v>
      </c>
      <c r="F120" s="14">
        <f>Data!H120</f>
        <v>661209000000</v>
      </c>
      <c r="G120" s="12">
        <f t="shared" si="1"/>
        <v>1.9220579272211964</v>
      </c>
    </row>
    <row r="121" spans="2:7" ht="15" customHeight="1" x14ac:dyDescent="0.3">
      <c r="C121" s="3"/>
      <c r="D121" s="8">
        <v>2023</v>
      </c>
      <c r="E121" s="14">
        <f>Data!F121</f>
        <v>2729104000000</v>
      </c>
      <c r="F121" s="14">
        <f>Data!H121</f>
        <v>1279533000000</v>
      </c>
      <c r="G121" s="12">
        <f t="shared" si="1"/>
        <v>2.132890671831051</v>
      </c>
    </row>
    <row r="122" spans="2:7" ht="15" customHeight="1" x14ac:dyDescent="0.3">
      <c r="C122" s="3"/>
      <c r="D122" s="8">
        <v>2024</v>
      </c>
      <c r="E122" s="14">
        <f>Data!F122</f>
        <v>4133622000000</v>
      </c>
      <c r="F122" s="14">
        <f>Data!H122</f>
        <v>753219000000</v>
      </c>
      <c r="G122" s="12">
        <f t="shared" si="1"/>
        <v>5.4879417539918673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Data!F123</f>
        <v>0</v>
      </c>
      <c r="F123" s="14">
        <f>Data!H123</f>
        <v>0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Data!F124</f>
        <v>1805199388976</v>
      </c>
      <c r="F124" s="14">
        <f>Data!H124</f>
        <v>139573940067</v>
      </c>
      <c r="G124" s="12">
        <f t="shared" si="1"/>
        <v>12.933642111911764</v>
      </c>
    </row>
    <row r="125" spans="2:7" ht="15" customHeight="1" x14ac:dyDescent="0.3">
      <c r="C125" s="3"/>
      <c r="D125" s="8">
        <v>2016</v>
      </c>
      <c r="E125" s="14">
        <f>Data!F125</f>
        <v>2092443469103</v>
      </c>
      <c r="F125" s="14">
        <f>Data!H125</f>
        <v>195681769660</v>
      </c>
      <c r="G125" s="12">
        <f t="shared" si="1"/>
        <v>10.693093550506273</v>
      </c>
    </row>
    <row r="126" spans="2:7" ht="15" customHeight="1" x14ac:dyDescent="0.3">
      <c r="C126" s="3"/>
      <c r="D126" s="8">
        <v>2017</v>
      </c>
      <c r="E126" s="14">
        <f>Data!F126</f>
        <v>2146187267881</v>
      </c>
      <c r="F126" s="14">
        <f>Data!H126</f>
        <v>155487317812</v>
      </c>
      <c r="G126" s="12">
        <f t="shared" si="1"/>
        <v>13.802973117562932</v>
      </c>
    </row>
    <row r="127" spans="2:7" ht="15" customHeight="1" x14ac:dyDescent="0.3">
      <c r="C127" s="3"/>
      <c r="D127" s="8">
        <v>2018</v>
      </c>
      <c r="E127" s="14">
        <f>Data!F127</f>
        <v>2065764439517</v>
      </c>
      <c r="F127" s="14">
        <f>Data!H127</f>
        <v>128223143455</v>
      </c>
      <c r="G127" s="12">
        <f t="shared" si="1"/>
        <v>16.110698769773816</v>
      </c>
    </row>
    <row r="128" spans="2:7" ht="15" customHeight="1" x14ac:dyDescent="0.3">
      <c r="C128" s="3"/>
      <c r="D128" s="8">
        <v>2019</v>
      </c>
      <c r="E128" s="14">
        <f>Data!F128</f>
        <v>2120194006427</v>
      </c>
      <c r="F128" s="14">
        <f>Data!H128</f>
        <v>126084240451</v>
      </c>
      <c r="G128" s="12">
        <f t="shared" si="1"/>
        <v>16.815694006190796</v>
      </c>
    </row>
    <row r="129" spans="2:7" ht="15" customHeight="1" x14ac:dyDescent="0.3">
      <c r="C129" s="3"/>
      <c r="D129" s="8">
        <v>2020</v>
      </c>
      <c r="E129" s="14">
        <f>Data!F129</f>
        <v>2128916131529</v>
      </c>
      <c r="F129" s="14">
        <f>Data!H129</f>
        <v>210216132795</v>
      </c>
      <c r="G129" s="12">
        <f t="shared" si="1"/>
        <v>10.127272836881129</v>
      </c>
    </row>
    <row r="130" spans="2:7" ht="15" customHeight="1" x14ac:dyDescent="0.3">
      <c r="C130" s="3"/>
      <c r="D130" s="8">
        <v>2021</v>
      </c>
      <c r="E130" s="14">
        <f>Data!F130</f>
        <v>2380001590285</v>
      </c>
      <c r="F130" s="14">
        <f>Data!H130</f>
        <v>252832013024</v>
      </c>
      <c r="G130" s="12">
        <f t="shared" si="1"/>
        <v>9.4133712017673936</v>
      </c>
    </row>
    <row r="131" spans="2:7" ht="15" customHeight="1" x14ac:dyDescent="0.3">
      <c r="C131" s="3"/>
      <c r="D131" s="8">
        <v>2022</v>
      </c>
      <c r="E131" s="14">
        <f>Data!F131</f>
        <v>2421478177188</v>
      </c>
      <c r="F131" s="14">
        <f>Data!H131</f>
        <v>204956274588</v>
      </c>
      <c r="G131" s="12">
        <f t="shared" ref="G131:G194" si="2">IFERROR(E131/F131,0)</f>
        <v>11.814608662533601</v>
      </c>
    </row>
    <row r="132" spans="2:7" ht="15" customHeight="1" x14ac:dyDescent="0.3">
      <c r="C132" s="3"/>
      <c r="D132" s="8">
        <v>2023</v>
      </c>
      <c r="E132" s="14">
        <f>Data!F132</f>
        <v>2679303383372</v>
      </c>
      <c r="F132" s="14">
        <f>Data!H132</f>
        <v>170483736755</v>
      </c>
      <c r="G132" s="12">
        <f t="shared" si="2"/>
        <v>15.715888414754732</v>
      </c>
    </row>
    <row r="133" spans="2:7" ht="15" customHeight="1" x14ac:dyDescent="0.3">
      <c r="C133" s="3"/>
      <c r="D133" s="8">
        <v>2024</v>
      </c>
      <c r="E133" s="14">
        <f>Data!F133</f>
        <v>3369624371654</v>
      </c>
      <c r="F133" s="14">
        <f>Data!H133</f>
        <v>314919635603</v>
      </c>
      <c r="G133" s="12">
        <f t="shared" si="2"/>
        <v>10.699950052977579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Data!F134</f>
        <v>0</v>
      </c>
      <c r="F134" s="14">
        <f>Data!H134</f>
        <v>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Data!F135</f>
        <v>2544806000000</v>
      </c>
      <c r="F135" s="14">
        <f>Data!H135</f>
        <v>1669747000000</v>
      </c>
      <c r="G135" s="12">
        <f t="shared" si="2"/>
        <v>1.5240668197038234</v>
      </c>
    </row>
    <row r="136" spans="2:7" ht="15" customHeight="1" x14ac:dyDescent="0.3">
      <c r="C136" s="3"/>
      <c r="D136" s="8">
        <v>2016</v>
      </c>
      <c r="E136" s="14">
        <f>Data!F136</f>
        <v>1642194000000</v>
      </c>
      <c r="F136" s="14">
        <f>Data!H136</f>
        <v>1889789000000</v>
      </c>
      <c r="G136" s="12">
        <f t="shared" si="2"/>
        <v>0.86898272770134655</v>
      </c>
    </row>
    <row r="137" spans="2:7" ht="15" customHeight="1" x14ac:dyDescent="0.3">
      <c r="C137" s="3"/>
      <c r="D137" s="8">
        <v>2017</v>
      </c>
      <c r="E137" s="14">
        <f>Data!F137</f>
        <v>863266000000</v>
      </c>
      <c r="F137" s="14">
        <f>Data!H137</f>
        <v>2186058000000</v>
      </c>
      <c r="G137" s="12">
        <f t="shared" si="2"/>
        <v>0.39489620129017622</v>
      </c>
    </row>
    <row r="138" spans="2:7" ht="15" customHeight="1" x14ac:dyDescent="0.3">
      <c r="C138" s="3"/>
      <c r="D138" s="8">
        <v>2018</v>
      </c>
      <c r="E138" s="14">
        <f>Data!F138</f>
        <v>1112065000000</v>
      </c>
      <c r="F138" s="14">
        <f>Data!H138</f>
        <v>2116088000000</v>
      </c>
      <c r="G138" s="12">
        <f t="shared" si="2"/>
        <v>0.5255287114713566</v>
      </c>
    </row>
    <row r="139" spans="2:7" ht="15" customHeight="1" x14ac:dyDescent="0.3">
      <c r="C139" s="3"/>
      <c r="D139" s="8">
        <v>2019</v>
      </c>
      <c r="E139" s="14">
        <f>Data!F139</f>
        <v>1440416000000</v>
      </c>
      <c r="F139" s="14">
        <f>Data!H139</f>
        <v>2514494000000</v>
      </c>
      <c r="G139" s="12">
        <f t="shared" si="2"/>
        <v>0.57284527224960569</v>
      </c>
    </row>
    <row r="140" spans="2:7" ht="15" customHeight="1" x14ac:dyDescent="0.3">
      <c r="C140" s="3"/>
      <c r="D140" s="8">
        <v>2020</v>
      </c>
      <c r="E140" s="14">
        <f>Data!F140</f>
        <v>2134525000000</v>
      </c>
      <c r="F140" s="14">
        <f>Data!H140</f>
        <v>3170242000000</v>
      </c>
      <c r="G140" s="12">
        <f t="shared" si="2"/>
        <v>0.67330033480093954</v>
      </c>
    </row>
    <row r="141" spans="2:7" ht="15" customHeight="1" x14ac:dyDescent="0.3">
      <c r="C141" s="3"/>
      <c r="D141" s="8">
        <v>2021</v>
      </c>
      <c r="E141" s="14">
        <f>Data!F141</f>
        <v>1884341000000</v>
      </c>
      <c r="F141" s="14">
        <f>Data!H141</f>
        <v>2952975000000</v>
      </c>
      <c r="G141" s="12">
        <f t="shared" si="2"/>
        <v>0.63811613711595938</v>
      </c>
    </row>
    <row r="142" spans="2:7" ht="15" customHeight="1" x14ac:dyDescent="0.3">
      <c r="C142" s="3"/>
      <c r="D142" s="8">
        <v>2022</v>
      </c>
      <c r="E142" s="14">
        <f>Data!F142</f>
        <v>2242709000000</v>
      </c>
      <c r="F142" s="14">
        <f>Data!H142</f>
        <v>3343074000000</v>
      </c>
      <c r="G142" s="12">
        <f t="shared" si="2"/>
        <v>0.67085233530576949</v>
      </c>
    </row>
    <row r="143" spans="2:7" ht="15" customHeight="1" x14ac:dyDescent="0.3">
      <c r="C143" s="3"/>
      <c r="D143" s="8">
        <v>2023</v>
      </c>
      <c r="E143" s="14">
        <f>Data!F143</f>
        <v>2476059000000</v>
      </c>
      <c r="F143" s="14">
        <f>Data!H143</f>
        <v>4202144000000</v>
      </c>
      <c r="G143" s="12">
        <f t="shared" si="2"/>
        <v>0.58923706565029665</v>
      </c>
    </row>
    <row r="144" spans="2:7" ht="15" customHeight="1" x14ac:dyDescent="0.3">
      <c r="C144" s="3"/>
      <c r="D144" s="8">
        <v>2024</v>
      </c>
      <c r="E144" s="14">
        <f>Data!F144</f>
        <v>2825674000000</v>
      </c>
      <c r="F144" s="14">
        <f>Data!H144</f>
        <v>4478469000000</v>
      </c>
      <c r="G144" s="12">
        <f t="shared" si="2"/>
        <v>0.63094642387833877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Data!F145</f>
        <v>0</v>
      </c>
      <c r="F145" s="14">
        <f>Data!H145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Data!F146</f>
        <v>0</v>
      </c>
      <c r="F146" s="14">
        <f>Data!H146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Data!F147</f>
        <v>0</v>
      </c>
      <c r="F147" s="14">
        <f>Data!H147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Data!F148</f>
        <v>0</v>
      </c>
      <c r="F148" s="14">
        <f>Data!H148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Data!F149</f>
        <v>0</v>
      </c>
      <c r="F149" s="14">
        <f>Data!H149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Data!F150</f>
        <v>0</v>
      </c>
      <c r="F150" s="14">
        <f>Data!H150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Data!F151</f>
        <v>0</v>
      </c>
      <c r="F151" s="14">
        <f>Data!H151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Data!F152</f>
        <v>0</v>
      </c>
      <c r="F152" s="14">
        <f>Data!H152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Data!F153</f>
        <v>0</v>
      </c>
      <c r="F153" s="14">
        <f>Data!H153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Data!F154</f>
        <v>0</v>
      </c>
      <c r="F154" s="14">
        <f>Data!H154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Data!F155</f>
        <v>149476000000</v>
      </c>
      <c r="F155" s="14">
        <f>Data!H155</f>
        <v>96460000000</v>
      </c>
      <c r="G155" s="12">
        <f t="shared" si="2"/>
        <v>1.5496164213145345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Data!F156</f>
        <v>0</v>
      </c>
      <c r="F156" s="14">
        <f>Data!H156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Data!F157</f>
        <v>0</v>
      </c>
      <c r="F157" s="14">
        <f>Data!H157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Data!F158</f>
        <v>0</v>
      </c>
      <c r="F158" s="14">
        <f>Data!H158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Data!F159</f>
        <v>23801610000</v>
      </c>
      <c r="F159" s="14">
        <f>Data!H159</f>
        <v>19628410000</v>
      </c>
      <c r="G159" s="12">
        <f t="shared" si="2"/>
        <v>1.2126101910445115</v>
      </c>
    </row>
    <row r="160" spans="2:7" ht="15" customHeight="1" x14ac:dyDescent="0.3">
      <c r="C160" s="3"/>
      <c r="D160" s="8">
        <v>2018</v>
      </c>
      <c r="E160" s="14">
        <f>Data!F160</f>
        <v>73562879999.999985</v>
      </c>
      <c r="F160" s="14">
        <f>Data!H160</f>
        <v>15510570000</v>
      </c>
      <c r="G160" s="12">
        <f t="shared" si="2"/>
        <v>4.7427580030907945</v>
      </c>
    </row>
    <row r="161" spans="2:7" ht="15" customHeight="1" x14ac:dyDescent="0.3">
      <c r="C161" s="3"/>
      <c r="D161" s="8">
        <v>2019</v>
      </c>
      <c r="E161" s="14">
        <f>Data!F161</f>
        <v>60527359999.999992</v>
      </c>
      <c r="F161" s="14">
        <f>Data!H161</f>
        <v>18574370000</v>
      </c>
      <c r="G161" s="12">
        <f t="shared" si="2"/>
        <v>3.2586494185267112</v>
      </c>
    </row>
    <row r="162" spans="2:7" ht="15" customHeight="1" x14ac:dyDescent="0.3">
      <c r="C162" s="3"/>
      <c r="D162" s="8">
        <v>2020</v>
      </c>
      <c r="E162" s="14">
        <f>Data!F162</f>
        <v>86296100000</v>
      </c>
      <c r="F162" s="14">
        <f>Data!H162</f>
        <v>37122650000</v>
      </c>
      <c r="G162" s="12">
        <f t="shared" si="2"/>
        <v>2.3246212218147142</v>
      </c>
    </row>
    <row r="163" spans="2:7" ht="15" customHeight="1" x14ac:dyDescent="0.3">
      <c r="C163" s="3"/>
      <c r="D163" s="8">
        <v>2021</v>
      </c>
      <c r="E163" s="14">
        <f>Data!F163</f>
        <v>114131680000</v>
      </c>
      <c r="F163" s="14">
        <f>Data!H163</f>
        <v>67823740000.000008</v>
      </c>
      <c r="G163" s="12">
        <f t="shared" si="2"/>
        <v>1.6827688947852182</v>
      </c>
    </row>
    <row r="164" spans="2:7" ht="15" customHeight="1" x14ac:dyDescent="0.3">
      <c r="C164" s="3"/>
      <c r="D164" s="8">
        <v>2022</v>
      </c>
      <c r="E164" s="14">
        <f>Data!F164</f>
        <v>120910730000</v>
      </c>
      <c r="F164" s="14">
        <f>Data!H164</f>
        <v>76907390000</v>
      </c>
      <c r="G164" s="12">
        <f t="shared" si="2"/>
        <v>1.5721601006093173</v>
      </c>
    </row>
    <row r="165" spans="2:7" ht="15" customHeight="1" x14ac:dyDescent="0.3">
      <c r="C165" s="3"/>
      <c r="D165" s="8">
        <v>2023</v>
      </c>
      <c r="E165" s="14">
        <f>Data!F165</f>
        <v>151320080000.00003</v>
      </c>
      <c r="F165" s="14">
        <f>Data!H165</f>
        <v>93604730000</v>
      </c>
      <c r="G165" s="12">
        <f t="shared" si="2"/>
        <v>1.6165858285152901</v>
      </c>
    </row>
    <row r="166" spans="2:7" ht="15" customHeight="1" x14ac:dyDescent="0.3">
      <c r="C166" s="3"/>
      <c r="D166" s="8">
        <v>2024</v>
      </c>
      <c r="E166" s="14">
        <f>Data!F166</f>
        <v>110065870000</v>
      </c>
      <c r="F166" s="14">
        <f>Data!H166</f>
        <v>41858560000</v>
      </c>
      <c r="G166" s="12">
        <f t="shared" si="2"/>
        <v>2.6294710090361444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Data!F167</f>
        <v>0</v>
      </c>
      <c r="F167" s="14">
        <f>Data!H167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Data!F168</f>
        <v>222445730000</v>
      </c>
      <c r="F168" s="14">
        <f>Data!H168</f>
        <v>54659890000</v>
      </c>
      <c r="G168" s="12">
        <f t="shared" si="2"/>
        <v>4.0696336930059687</v>
      </c>
    </row>
    <row r="169" spans="2:7" ht="15" customHeight="1" x14ac:dyDescent="0.3">
      <c r="C169" s="3"/>
      <c r="D169" s="8">
        <v>2016</v>
      </c>
      <c r="E169" s="14">
        <f>Data!F169</f>
        <v>303666269999.99994</v>
      </c>
      <c r="F169" s="14">
        <f>Data!H169</f>
        <v>22064120000</v>
      </c>
      <c r="G169" s="12">
        <f t="shared" si="2"/>
        <v>13.762899676035117</v>
      </c>
    </row>
    <row r="170" spans="2:7" ht="15" customHeight="1" x14ac:dyDescent="0.3">
      <c r="C170" s="3"/>
      <c r="D170" s="8">
        <v>2017</v>
      </c>
      <c r="E170" s="14">
        <f>Data!F170</f>
        <v>611283220000</v>
      </c>
      <c r="F170" s="14">
        <f>Data!H170</f>
        <v>179961290000</v>
      </c>
      <c r="G170" s="12">
        <f t="shared" si="2"/>
        <v>3.3967483784985095</v>
      </c>
    </row>
    <row r="171" spans="2:7" ht="15" customHeight="1" x14ac:dyDescent="0.3">
      <c r="C171" s="3"/>
      <c r="D171" s="8">
        <v>2018</v>
      </c>
      <c r="E171" s="14">
        <f>Data!F171</f>
        <v>661191940000</v>
      </c>
      <c r="F171" s="14">
        <f>Data!H171</f>
        <v>281331340000</v>
      </c>
      <c r="G171" s="12">
        <f t="shared" si="2"/>
        <v>2.3502249696034578</v>
      </c>
    </row>
    <row r="172" spans="2:7" ht="15" customHeight="1" x14ac:dyDescent="0.3">
      <c r="C172" s="3"/>
      <c r="D172" s="8">
        <v>2019</v>
      </c>
      <c r="E172" s="14">
        <f>Data!F172</f>
        <v>624063870000</v>
      </c>
      <c r="F172" s="14">
        <f>Data!H172</f>
        <v>153488600000</v>
      </c>
      <c r="G172" s="12">
        <f t="shared" si="2"/>
        <v>4.0658646309888811</v>
      </c>
    </row>
    <row r="173" spans="2:7" ht="15" customHeight="1" x14ac:dyDescent="0.3">
      <c r="C173" s="3"/>
      <c r="D173" s="8">
        <v>2020</v>
      </c>
      <c r="E173" s="14">
        <f>Data!F173</f>
        <v>782689400000</v>
      </c>
      <c r="F173" s="14">
        <f>Data!H173</f>
        <v>233719540000</v>
      </c>
      <c r="G173" s="12">
        <f t="shared" si="2"/>
        <v>3.3488402381760634</v>
      </c>
    </row>
    <row r="174" spans="2:7" ht="15" customHeight="1" x14ac:dyDescent="0.3">
      <c r="C174" s="3"/>
      <c r="D174" s="8">
        <v>2021</v>
      </c>
      <c r="E174" s="14">
        <f>Data!F174</f>
        <v>956502310000</v>
      </c>
      <c r="F174" s="14">
        <f>Data!H174</f>
        <v>293984740000</v>
      </c>
      <c r="G174" s="12">
        <f t="shared" si="2"/>
        <v>3.2535780938833763</v>
      </c>
    </row>
    <row r="175" spans="2:7" ht="15" customHeight="1" x14ac:dyDescent="0.3">
      <c r="C175" s="3"/>
      <c r="D175" s="8">
        <v>2022</v>
      </c>
      <c r="E175" s="14">
        <f>Data!F175</f>
        <v>666910230000</v>
      </c>
      <c r="F175" s="14">
        <f>Data!H175</f>
        <v>108708360000</v>
      </c>
      <c r="G175" s="12">
        <f t="shared" si="2"/>
        <v>6.1348568776127248</v>
      </c>
    </row>
    <row r="176" spans="2:7" ht="15" customHeight="1" x14ac:dyDescent="0.3">
      <c r="C176" s="3"/>
      <c r="D176" s="8">
        <v>2023</v>
      </c>
      <c r="E176" s="14">
        <f>Data!F176</f>
        <v>520778650000</v>
      </c>
      <c r="F176" s="14">
        <f>Data!H176</f>
        <v>39738180000</v>
      </c>
      <c r="G176" s="12">
        <f t="shared" si="2"/>
        <v>13.105246641894521</v>
      </c>
    </row>
    <row r="177" spans="2:7" ht="15" customHeight="1" x14ac:dyDescent="0.3">
      <c r="C177" s="3"/>
      <c r="D177" s="8">
        <v>2024</v>
      </c>
      <c r="E177" s="14">
        <f>Data!F177</f>
        <v>327936930000.00006</v>
      </c>
      <c r="F177" s="14">
        <f>Data!H177</f>
        <v>28887430000</v>
      </c>
      <c r="G177" s="12">
        <f t="shared" si="2"/>
        <v>11.352236249469062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Data!F178</f>
        <v>0</v>
      </c>
      <c r="F178" s="14">
        <f>Data!H178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Data!F179</f>
        <v>0</v>
      </c>
      <c r="F179" s="14">
        <f>Data!H179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Data!F180</f>
        <v>0</v>
      </c>
      <c r="F180" s="14">
        <f>Data!H180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Data!F181</f>
        <v>0</v>
      </c>
      <c r="F181" s="14">
        <f>Data!H181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Data!F182</f>
        <v>0</v>
      </c>
      <c r="F182" s="14">
        <f>Data!H182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Data!F183</f>
        <v>908000000</v>
      </c>
      <c r="F183" s="14">
        <f>Data!H183</f>
        <v>8382000000</v>
      </c>
      <c r="G183" s="12">
        <f t="shared" si="2"/>
        <v>0.10832736816988786</v>
      </c>
    </row>
    <row r="184" spans="2:7" ht="15" customHeight="1" x14ac:dyDescent="0.3">
      <c r="C184" s="3"/>
      <c r="D184" s="8">
        <v>2020</v>
      </c>
      <c r="E184" s="14">
        <f>Data!F184</f>
        <v>1128000000</v>
      </c>
      <c r="F184" s="14">
        <f>Data!H184</f>
        <v>124000000</v>
      </c>
      <c r="G184" s="12">
        <f t="shared" si="2"/>
        <v>9.0967741935483879</v>
      </c>
    </row>
    <row r="185" spans="2:7" ht="15" customHeight="1" x14ac:dyDescent="0.3">
      <c r="C185" s="3"/>
      <c r="D185" s="8">
        <v>2021</v>
      </c>
      <c r="E185" s="14">
        <f>Data!F185</f>
        <v>48397000000</v>
      </c>
      <c r="F185" s="14">
        <f>Data!H185</f>
        <v>3278000000</v>
      </c>
      <c r="G185" s="12">
        <f t="shared" si="2"/>
        <v>14.76418547895058</v>
      </c>
    </row>
    <row r="186" spans="2:7" ht="15" customHeight="1" x14ac:dyDescent="0.3">
      <c r="C186" s="3"/>
      <c r="D186" s="8">
        <v>2022</v>
      </c>
      <c r="E186" s="14">
        <f>Data!F186</f>
        <v>52118000000</v>
      </c>
      <c r="F186" s="14">
        <f>Data!H186</f>
        <v>6355000000</v>
      </c>
      <c r="G186" s="12">
        <f t="shared" si="2"/>
        <v>8.2011014948859167</v>
      </c>
    </row>
    <row r="187" spans="2:7" ht="15" customHeight="1" x14ac:dyDescent="0.3">
      <c r="C187" s="3"/>
      <c r="D187" s="8">
        <v>2023</v>
      </c>
      <c r="E187" s="14">
        <f>Data!F187</f>
        <v>86626000000</v>
      </c>
      <c r="F187" s="14">
        <f>Data!H187</f>
        <v>27996000000</v>
      </c>
      <c r="G187" s="12">
        <f t="shared" si="2"/>
        <v>3.0942277468209745</v>
      </c>
    </row>
    <row r="188" spans="2:7" ht="15" customHeight="1" x14ac:dyDescent="0.3">
      <c r="C188" s="3"/>
      <c r="D188" s="8">
        <v>2024</v>
      </c>
      <c r="E188" s="14">
        <f>Data!F188</f>
        <v>105551000000</v>
      </c>
      <c r="F188" s="14">
        <f>Data!H188</f>
        <v>61943000000</v>
      </c>
      <c r="G188" s="12">
        <f t="shared" si="2"/>
        <v>1.7040020664158986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Data!F189</f>
        <v>0</v>
      </c>
      <c r="F189" s="14">
        <f>Data!H189</f>
        <v>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Data!F190</f>
        <v>14097000000</v>
      </c>
      <c r="F190" s="14">
        <f>Data!H190</f>
        <v>18086000000</v>
      </c>
      <c r="G190" s="12">
        <f t="shared" si="2"/>
        <v>0.77944266283313057</v>
      </c>
    </row>
    <row r="191" spans="2:7" ht="15" customHeight="1" x14ac:dyDescent="0.3">
      <c r="C191" s="3"/>
      <c r="D191" s="8">
        <v>2016</v>
      </c>
      <c r="E191" s="14">
        <f>Data!F191</f>
        <v>26461000000</v>
      </c>
      <c r="F191" s="14">
        <f>Data!H191</f>
        <v>18598000000</v>
      </c>
      <c r="G191" s="12">
        <f t="shared" si="2"/>
        <v>1.4227873964942468</v>
      </c>
    </row>
    <row r="192" spans="2:7" ht="15" customHeight="1" x14ac:dyDescent="0.3">
      <c r="C192" s="3"/>
      <c r="D192" s="8">
        <v>2017</v>
      </c>
      <c r="E192" s="14">
        <f>Data!F192</f>
        <v>15583000000</v>
      </c>
      <c r="F192" s="14">
        <f>Data!H192</f>
        <v>17535000000</v>
      </c>
      <c r="G192" s="12">
        <f t="shared" si="2"/>
        <v>0.88867978329056174</v>
      </c>
    </row>
    <row r="193" spans="2:7" ht="15" customHeight="1" x14ac:dyDescent="0.3">
      <c r="C193" s="3"/>
      <c r="D193" s="8">
        <v>2018</v>
      </c>
      <c r="E193" s="14">
        <f>Data!F193</f>
        <v>8759000000</v>
      </c>
      <c r="F193" s="14">
        <f>Data!H193</f>
        <v>24879000000</v>
      </c>
      <c r="G193" s="12">
        <f t="shared" si="2"/>
        <v>0.35206398971019737</v>
      </c>
    </row>
    <row r="194" spans="2:7" ht="15" customHeight="1" x14ac:dyDescent="0.3">
      <c r="C194" s="3"/>
      <c r="D194" s="8">
        <v>2019</v>
      </c>
      <c r="E194" s="14">
        <f>Data!F194</f>
        <v>12714000000</v>
      </c>
      <c r="F194" s="14">
        <f>Data!H194</f>
        <v>20506000000</v>
      </c>
      <c r="G194" s="12">
        <f t="shared" si="2"/>
        <v>0.62001365454013457</v>
      </c>
    </row>
    <row r="195" spans="2:7" ht="15" customHeight="1" x14ac:dyDescent="0.3">
      <c r="C195" s="3"/>
      <c r="D195" s="8">
        <v>2020</v>
      </c>
      <c r="E195" s="14">
        <f>Data!F195</f>
        <v>12104000000</v>
      </c>
      <c r="F195" s="14">
        <f>Data!H195</f>
        <v>33375000000</v>
      </c>
      <c r="G195" s="12">
        <f t="shared" ref="G195:G258" si="3">IFERROR(E195/F195,0)</f>
        <v>0.36266666666666669</v>
      </c>
    </row>
    <row r="196" spans="2:7" ht="15" customHeight="1" x14ac:dyDescent="0.3">
      <c r="C196" s="3"/>
      <c r="D196" s="8">
        <v>2021</v>
      </c>
      <c r="E196" s="14">
        <f>Data!F196</f>
        <v>24663000000</v>
      </c>
      <c r="F196" s="14">
        <f>Data!H196</f>
        <v>36928000000</v>
      </c>
      <c r="G196" s="12">
        <f t="shared" si="3"/>
        <v>0.6678672010398613</v>
      </c>
    </row>
    <row r="197" spans="2:7" ht="15" customHeight="1" x14ac:dyDescent="0.3">
      <c r="C197" s="3"/>
      <c r="D197" s="8">
        <v>2022</v>
      </c>
      <c r="E197" s="14">
        <f>Data!F197</f>
        <v>31304000000</v>
      </c>
      <c r="F197" s="14">
        <f>Data!H197</f>
        <v>37483000000</v>
      </c>
      <c r="G197" s="12">
        <f t="shared" si="3"/>
        <v>0.83515193554411338</v>
      </c>
    </row>
    <row r="198" spans="2:7" ht="15" customHeight="1" x14ac:dyDescent="0.3">
      <c r="C198" s="3"/>
      <c r="D198" s="8">
        <v>2023</v>
      </c>
      <c r="E198" s="14">
        <f>Data!F198</f>
        <v>56810000000</v>
      </c>
      <c r="F198" s="14">
        <f>Data!H198</f>
        <v>56014000000</v>
      </c>
      <c r="G198" s="12">
        <f t="shared" si="3"/>
        <v>1.0142107330310279</v>
      </c>
    </row>
    <row r="199" spans="2:7" ht="15" customHeight="1" x14ac:dyDescent="0.3">
      <c r="C199" s="3"/>
      <c r="D199" s="8">
        <v>2024</v>
      </c>
      <c r="E199" s="14">
        <f>Data!F199</f>
        <v>54420000000</v>
      </c>
      <c r="F199" s="14">
        <f>Data!H199</f>
        <v>48468000000</v>
      </c>
      <c r="G199" s="12">
        <f t="shared" si="3"/>
        <v>1.1228026739291903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Data!F200</f>
        <v>0</v>
      </c>
      <c r="F200" s="14">
        <f>Data!H200</f>
        <v>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Data!F201</f>
        <v>445043000000</v>
      </c>
      <c r="F201" s="14">
        <f>Data!H201</f>
        <v>427059000000</v>
      </c>
      <c r="G201" s="12">
        <f t="shared" si="3"/>
        <v>1.0421112773644858</v>
      </c>
    </row>
    <row r="202" spans="2:7" ht="15" customHeight="1" x14ac:dyDescent="0.3">
      <c r="C202" s="3"/>
      <c r="D202" s="8">
        <v>2016</v>
      </c>
      <c r="E202" s="14">
        <f>Data!F202</f>
        <v>486567000000</v>
      </c>
      <c r="F202" s="14">
        <f>Data!H202</f>
        <v>491733000000</v>
      </c>
      <c r="G202" s="12">
        <f t="shared" si="3"/>
        <v>0.98949429873528927</v>
      </c>
    </row>
    <row r="203" spans="2:7" ht="15" customHeight="1" x14ac:dyDescent="0.3">
      <c r="C203" s="3"/>
      <c r="D203" s="8">
        <v>2017</v>
      </c>
      <c r="E203" s="14">
        <f>Data!F203</f>
        <v>251871000000</v>
      </c>
      <c r="F203" s="14">
        <f>Data!H203</f>
        <v>577850000000</v>
      </c>
      <c r="G203" s="12">
        <f t="shared" si="3"/>
        <v>0.43587609241152547</v>
      </c>
    </row>
    <row r="204" spans="2:7" ht="15" customHeight="1" x14ac:dyDescent="0.3">
      <c r="C204" s="3"/>
      <c r="D204" s="8">
        <v>2018</v>
      </c>
      <c r="E204" s="14">
        <f>Data!F204</f>
        <v>279705000000</v>
      </c>
      <c r="F204" s="14">
        <f>Data!H204</f>
        <v>693381000000</v>
      </c>
      <c r="G204" s="12">
        <f t="shared" si="3"/>
        <v>0.403392939812311</v>
      </c>
    </row>
    <row r="205" spans="2:7" ht="15" customHeight="1" x14ac:dyDescent="0.3">
      <c r="C205" s="3"/>
      <c r="D205" s="8">
        <v>2019</v>
      </c>
      <c r="E205" s="14">
        <f>Data!F205</f>
        <v>286972000000</v>
      </c>
      <c r="F205" s="14">
        <f>Data!H205</f>
        <v>667382000000</v>
      </c>
      <c r="G205" s="12">
        <f t="shared" si="3"/>
        <v>0.42999661363357117</v>
      </c>
    </row>
    <row r="206" spans="2:7" ht="15" customHeight="1" x14ac:dyDescent="0.3">
      <c r="C206" s="3"/>
      <c r="D206" s="8">
        <v>2020</v>
      </c>
      <c r="E206" s="14">
        <f>Data!F206</f>
        <v>349194000000</v>
      </c>
      <c r="F206" s="14">
        <f>Data!H206</f>
        <v>733361000000</v>
      </c>
      <c r="G206" s="12">
        <f t="shared" si="3"/>
        <v>0.47615567230872652</v>
      </c>
    </row>
    <row r="207" spans="2:7" ht="15" customHeight="1" x14ac:dyDescent="0.3">
      <c r="C207" s="3"/>
      <c r="D207" s="8">
        <v>2021</v>
      </c>
      <c r="E207" s="14">
        <f>Data!F207</f>
        <v>496376000000</v>
      </c>
      <c r="F207" s="14">
        <f>Data!H207</f>
        <v>848492000000</v>
      </c>
      <c r="G207" s="12">
        <f t="shared" si="3"/>
        <v>0.58500964063302896</v>
      </c>
    </row>
    <row r="208" spans="2:7" ht="15" customHeight="1" x14ac:dyDescent="0.3">
      <c r="C208" s="3"/>
      <c r="D208" s="8">
        <v>2022</v>
      </c>
      <c r="E208" s="14">
        <f>Data!F208</f>
        <v>525765000000</v>
      </c>
      <c r="F208" s="14">
        <f>Data!H208</f>
        <v>899938000000</v>
      </c>
      <c r="G208" s="12">
        <f t="shared" si="3"/>
        <v>0.58422357984661166</v>
      </c>
    </row>
    <row r="209" spans="2:7" ht="15" customHeight="1" x14ac:dyDescent="0.3">
      <c r="C209" s="3"/>
      <c r="D209" s="8">
        <v>2023</v>
      </c>
      <c r="E209" s="14">
        <f>Data!F209</f>
        <v>583568000000</v>
      </c>
      <c r="F209" s="14">
        <f>Data!H209</f>
        <v>1050391000000</v>
      </c>
      <c r="G209" s="12">
        <f t="shared" si="3"/>
        <v>0.55557216312782576</v>
      </c>
    </row>
    <row r="210" spans="2:7" ht="15" customHeight="1" x14ac:dyDescent="0.3">
      <c r="C210" s="3"/>
      <c r="D210" s="8">
        <v>2024</v>
      </c>
      <c r="E210" s="14">
        <f>Data!F210</f>
        <v>540952000000</v>
      </c>
      <c r="F210" s="14">
        <f>Data!H210</f>
        <v>1059091000000</v>
      </c>
      <c r="G210" s="12">
        <f t="shared" si="3"/>
        <v>0.51077008491243903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Data!F211</f>
        <v>0</v>
      </c>
      <c r="F211" s="14">
        <f>Data!H211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Data!F212</f>
        <v>0</v>
      </c>
      <c r="F212" s="14">
        <f>Data!H212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Data!F213</f>
        <v>0</v>
      </c>
      <c r="F213" s="14">
        <f>Data!H213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Data!F214</f>
        <v>88114000000</v>
      </c>
      <c r="F214" s="14">
        <f>Data!H214</f>
        <v>95828000000</v>
      </c>
      <c r="G214" s="12">
        <f t="shared" si="3"/>
        <v>0.91950160704595729</v>
      </c>
    </row>
    <row r="215" spans="2:7" ht="15" customHeight="1" x14ac:dyDescent="0.3">
      <c r="C215" s="3"/>
      <c r="D215" s="8">
        <v>2018</v>
      </c>
      <c r="E215" s="14">
        <f>Data!F215</f>
        <v>33563000000</v>
      </c>
      <c r="F215" s="14">
        <f>Data!H215</f>
        <v>77853000000</v>
      </c>
      <c r="G215" s="12">
        <f t="shared" si="3"/>
        <v>0.43110734332652562</v>
      </c>
    </row>
    <row r="216" spans="2:7" ht="15" customHeight="1" x14ac:dyDescent="0.3">
      <c r="C216" s="3"/>
      <c r="D216" s="8">
        <v>2019</v>
      </c>
      <c r="E216" s="14">
        <f>Data!F216</f>
        <v>61013000000</v>
      </c>
      <c r="F216" s="14">
        <f>Data!H216</f>
        <v>87745000000</v>
      </c>
      <c r="G216" s="12">
        <f t="shared" si="3"/>
        <v>0.69534446407202688</v>
      </c>
    </row>
    <row r="217" spans="2:7" ht="15" customHeight="1" x14ac:dyDescent="0.3">
      <c r="C217" s="3"/>
      <c r="D217" s="8">
        <v>2020</v>
      </c>
      <c r="E217" s="14">
        <f>Data!F217</f>
        <v>55042000000</v>
      </c>
      <c r="F217" s="14">
        <f>Data!H217</f>
        <v>89225000000</v>
      </c>
      <c r="G217" s="12">
        <f t="shared" si="3"/>
        <v>0.61688988512188292</v>
      </c>
    </row>
    <row r="218" spans="2:7" ht="15" customHeight="1" x14ac:dyDescent="0.3">
      <c r="C218" s="3"/>
      <c r="D218" s="8">
        <v>2021</v>
      </c>
      <c r="E218" s="14">
        <f>Data!F218</f>
        <v>433352000000</v>
      </c>
      <c r="F218" s="14">
        <f>Data!H218</f>
        <v>43490000000</v>
      </c>
      <c r="G218" s="12">
        <f t="shared" si="3"/>
        <v>9.9644056104851693</v>
      </c>
    </row>
    <row r="219" spans="2:7" ht="15" customHeight="1" x14ac:dyDescent="0.3">
      <c r="C219" s="3"/>
      <c r="D219" s="8">
        <v>2022</v>
      </c>
      <c r="E219" s="14">
        <f>Data!F219</f>
        <v>95163000000</v>
      </c>
      <c r="F219" s="14">
        <f>Data!H219</f>
        <v>92917000000</v>
      </c>
      <c r="G219" s="12">
        <f t="shared" si="3"/>
        <v>1.0241721105933252</v>
      </c>
    </row>
    <row r="220" spans="2:7" ht="15" customHeight="1" x14ac:dyDescent="0.3">
      <c r="C220" s="3"/>
      <c r="D220" s="8">
        <v>2023</v>
      </c>
      <c r="E220" s="14">
        <f>Data!F220</f>
        <v>61322000000</v>
      </c>
      <c r="F220" s="14">
        <f>Data!H220</f>
        <v>57643000000</v>
      </c>
      <c r="G220" s="12">
        <f t="shared" si="3"/>
        <v>1.0638238814773693</v>
      </c>
    </row>
    <row r="221" spans="2:7" ht="15" customHeight="1" x14ac:dyDescent="0.3">
      <c r="C221" s="3"/>
      <c r="D221" s="8">
        <v>2024</v>
      </c>
      <c r="E221" s="14">
        <f>Data!F221</f>
        <v>270568000000</v>
      </c>
      <c r="F221" s="14">
        <f>Data!H221</f>
        <v>44937000000</v>
      </c>
      <c r="G221" s="12">
        <f t="shared" si="3"/>
        <v>6.0210516945946546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Data!F222</f>
        <v>0</v>
      </c>
      <c r="F222" s="14">
        <f>Data!H222</f>
        <v>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Data!F223</f>
        <v>220542000000</v>
      </c>
      <c r="F223" s="14">
        <f>Data!H223</f>
        <v>143299000000</v>
      </c>
      <c r="G223" s="12">
        <f t="shared" si="3"/>
        <v>1.5390337685538629</v>
      </c>
    </row>
    <row r="224" spans="2:7" ht="15" customHeight="1" x14ac:dyDescent="0.3">
      <c r="C224" s="4"/>
      <c r="D224" s="8">
        <v>2016</v>
      </c>
      <c r="E224" s="14">
        <f>Data!F224</f>
        <v>163722000000</v>
      </c>
      <c r="F224" s="14">
        <f>Data!H224</f>
        <v>62386000000</v>
      </c>
      <c r="G224" s="12">
        <f t="shared" si="3"/>
        <v>2.6243387939601832</v>
      </c>
    </row>
    <row r="225" spans="2:7" ht="15" customHeight="1" x14ac:dyDescent="0.3">
      <c r="C225" s="4"/>
      <c r="D225" s="8">
        <v>2017</v>
      </c>
      <c r="E225" s="14">
        <f>Data!F225</f>
        <v>153286000000</v>
      </c>
      <c r="F225" s="14">
        <f>Data!H225</f>
        <v>56650000000</v>
      </c>
      <c r="G225" s="12">
        <f t="shared" si="3"/>
        <v>2.7058428949691087</v>
      </c>
    </row>
    <row r="226" spans="2:7" ht="15" customHeight="1" x14ac:dyDescent="0.3">
      <c r="C226" s="4"/>
      <c r="D226" s="8">
        <v>2018</v>
      </c>
      <c r="E226" s="14">
        <f>Data!F226</f>
        <v>158319000000</v>
      </c>
      <c r="F226" s="14">
        <f>Data!H226</f>
        <v>125467000000</v>
      </c>
      <c r="G226" s="12">
        <f t="shared" si="3"/>
        <v>1.2618377740760518</v>
      </c>
    </row>
    <row r="227" spans="2:7" ht="15" customHeight="1" x14ac:dyDescent="0.3">
      <c r="C227" s="4"/>
      <c r="D227" s="8">
        <v>2019</v>
      </c>
      <c r="E227" s="14">
        <f>Data!F227</f>
        <v>109776000000</v>
      </c>
      <c r="F227" s="14">
        <f>Data!H227</f>
        <v>43897000000</v>
      </c>
      <c r="G227" s="12">
        <f t="shared" si="3"/>
        <v>2.5007631501013736</v>
      </c>
    </row>
    <row r="228" spans="2:7" ht="15" customHeight="1" x14ac:dyDescent="0.3">
      <c r="C228" s="4"/>
      <c r="D228" s="8">
        <v>2020</v>
      </c>
      <c r="E228" s="14">
        <f>Data!F228</f>
        <v>114258000000</v>
      </c>
      <c r="F228" s="14">
        <f>Data!H228</f>
        <v>35990000000</v>
      </c>
      <c r="G228" s="12">
        <f t="shared" si="3"/>
        <v>3.1747151986662963</v>
      </c>
    </row>
    <row r="229" spans="2:7" ht="15" customHeight="1" x14ac:dyDescent="0.3">
      <c r="C229" s="4"/>
      <c r="D229" s="8">
        <v>2021</v>
      </c>
      <c r="E229" s="14">
        <f>Data!F229</f>
        <v>184778000000</v>
      </c>
      <c r="F229" s="14">
        <f>Data!H229</f>
        <v>38934000000</v>
      </c>
      <c r="G229" s="12">
        <f t="shared" si="3"/>
        <v>4.7459290080649303</v>
      </c>
    </row>
    <row r="230" spans="2:7" ht="15" customHeight="1" x14ac:dyDescent="0.3">
      <c r="C230" s="4"/>
      <c r="D230" s="8">
        <v>2022</v>
      </c>
      <c r="E230" s="14">
        <f>Data!F230</f>
        <v>96801000000</v>
      </c>
      <c r="F230" s="14">
        <f>Data!H230</f>
        <v>98566000000</v>
      </c>
      <c r="G230" s="12">
        <f t="shared" si="3"/>
        <v>0.98209321672787775</v>
      </c>
    </row>
    <row r="231" spans="2:7" ht="15" customHeight="1" x14ac:dyDescent="0.3">
      <c r="C231" s="4"/>
      <c r="D231" s="8">
        <v>2023</v>
      </c>
      <c r="E231" s="14">
        <f>Data!F231</f>
        <v>173080000000</v>
      </c>
      <c r="F231" s="14">
        <f>Data!H231</f>
        <v>147467000000</v>
      </c>
      <c r="G231" s="12">
        <f t="shared" si="3"/>
        <v>1.1736863162605871</v>
      </c>
    </row>
    <row r="232" spans="2:7" ht="15" customHeight="1" x14ac:dyDescent="0.3">
      <c r="C232" s="4"/>
      <c r="D232" s="8">
        <v>2024</v>
      </c>
      <c r="E232" s="14">
        <f>Data!F232</f>
        <v>169886000000</v>
      </c>
      <c r="F232" s="14">
        <f>Data!H232</f>
        <v>166234000000</v>
      </c>
      <c r="G232" s="12">
        <f t="shared" si="3"/>
        <v>1.0219690316060492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Data!F233</f>
        <v>0</v>
      </c>
      <c r="F233" s="14">
        <f>Data!H233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Data!F234</f>
        <v>0</v>
      </c>
      <c r="F234" s="14">
        <f>Data!H234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Data!F235</f>
        <v>2980000000</v>
      </c>
      <c r="F235" s="14">
        <f>Data!H235</f>
        <v>116000000</v>
      </c>
      <c r="G235" s="12">
        <f t="shared" si="3"/>
        <v>25.689655172413794</v>
      </c>
    </row>
    <row r="236" spans="2:7" ht="15" customHeight="1" x14ac:dyDescent="0.3">
      <c r="C236" s="4"/>
      <c r="D236" s="8">
        <v>2017</v>
      </c>
      <c r="E236" s="14">
        <f>Data!F236</f>
        <v>23726000000</v>
      </c>
      <c r="F236" s="14">
        <f>Data!H236</f>
        <v>22273000000</v>
      </c>
      <c r="G236" s="12">
        <f t="shared" si="3"/>
        <v>1.0652359358864993</v>
      </c>
    </row>
    <row r="237" spans="2:7" ht="15" customHeight="1" x14ac:dyDescent="0.3">
      <c r="C237" s="4"/>
      <c r="D237" s="8">
        <v>2018</v>
      </c>
      <c r="E237" s="14">
        <f>Data!F237</f>
        <v>23964000000</v>
      </c>
      <c r="F237" s="14">
        <f>Data!H237</f>
        <v>49141000000</v>
      </c>
      <c r="G237" s="12">
        <f t="shared" si="3"/>
        <v>0.4876579638184001</v>
      </c>
    </row>
    <row r="238" spans="2:7" ht="15" customHeight="1" x14ac:dyDescent="0.3">
      <c r="C238" s="4"/>
      <c r="D238" s="8">
        <v>2019</v>
      </c>
      <c r="E238" s="14">
        <f>Data!F238</f>
        <v>17573000000</v>
      </c>
      <c r="F238" s="14">
        <f>Data!H238</f>
        <v>55501000000</v>
      </c>
      <c r="G238" s="12">
        <f t="shared" si="3"/>
        <v>0.31662492567701483</v>
      </c>
    </row>
    <row r="239" spans="2:7" ht="15" customHeight="1" x14ac:dyDescent="0.3">
      <c r="C239" s="4"/>
      <c r="D239" s="8">
        <v>2020</v>
      </c>
      <c r="E239" s="14">
        <f>Data!F239</f>
        <v>34639000000</v>
      </c>
      <c r="F239" s="14">
        <f>Data!H239</f>
        <v>53213000000</v>
      </c>
      <c r="G239" s="12">
        <f t="shared" si="3"/>
        <v>0.6509499558378592</v>
      </c>
    </row>
    <row r="240" spans="2:7" ht="15" customHeight="1" x14ac:dyDescent="0.3">
      <c r="C240" s="4"/>
      <c r="D240" s="8">
        <v>2021</v>
      </c>
      <c r="E240" s="14">
        <f>Data!F240</f>
        <v>30133000000</v>
      </c>
      <c r="F240" s="14">
        <f>Data!H240</f>
        <v>82889000000</v>
      </c>
      <c r="G240" s="12">
        <f t="shared" si="3"/>
        <v>0.36353436523543536</v>
      </c>
    </row>
    <row r="241" spans="2:7" ht="15" customHeight="1" x14ac:dyDescent="0.3">
      <c r="C241" s="4"/>
      <c r="D241" s="8">
        <v>2022</v>
      </c>
      <c r="E241" s="14">
        <f>Data!F241</f>
        <v>70807000000</v>
      </c>
      <c r="F241" s="14">
        <f>Data!H241</f>
        <v>107143000000</v>
      </c>
      <c r="G241" s="12">
        <f t="shared" si="3"/>
        <v>0.66086445218073042</v>
      </c>
    </row>
    <row r="242" spans="2:7" ht="15" customHeight="1" x14ac:dyDescent="0.3">
      <c r="C242" s="4"/>
      <c r="D242" s="8">
        <v>2023</v>
      </c>
      <c r="E242" s="14">
        <f>Data!F242</f>
        <v>20085000000</v>
      </c>
      <c r="F242" s="14">
        <f>Data!H242</f>
        <v>127782000000</v>
      </c>
      <c r="G242" s="12">
        <f t="shared" si="3"/>
        <v>0.1571817626895807</v>
      </c>
    </row>
    <row r="243" spans="2:7" ht="15" customHeight="1" x14ac:dyDescent="0.3">
      <c r="C243" s="4"/>
      <c r="D243" s="8">
        <v>2024</v>
      </c>
      <c r="E243" s="14">
        <f>Data!F243</f>
        <v>7934000000</v>
      </c>
      <c r="F243" s="14">
        <f>Data!H243</f>
        <v>24344000000</v>
      </c>
      <c r="G243" s="12">
        <f t="shared" si="3"/>
        <v>0.325911929017417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Data!F244</f>
        <v>0</v>
      </c>
      <c r="F244" s="14">
        <f>Data!H244</f>
        <v>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Data!F245</f>
        <v>35639000000</v>
      </c>
      <c r="F245" s="14">
        <f>Data!H245</f>
        <v>1766000000</v>
      </c>
      <c r="G245" s="12">
        <f t="shared" si="3"/>
        <v>20.180634201585505</v>
      </c>
    </row>
    <row r="246" spans="2:7" ht="15" customHeight="1" x14ac:dyDescent="0.3">
      <c r="C246" s="4"/>
      <c r="D246" s="8">
        <v>2016</v>
      </c>
      <c r="E246" s="14">
        <f>Data!F246</f>
        <v>3945000000</v>
      </c>
      <c r="F246" s="14">
        <f>Data!H246</f>
        <v>1260000000</v>
      </c>
      <c r="G246" s="12">
        <f t="shared" si="3"/>
        <v>3.1309523809523809</v>
      </c>
    </row>
    <row r="247" spans="2:7" ht="15" customHeight="1" x14ac:dyDescent="0.3">
      <c r="C247" s="4"/>
      <c r="D247" s="8">
        <v>2017</v>
      </c>
      <c r="E247" s="14">
        <f>Data!F247</f>
        <v>51959000000</v>
      </c>
      <c r="F247" s="14">
        <f>Data!H247</f>
        <v>10292000000</v>
      </c>
      <c r="G247" s="12">
        <f t="shared" si="3"/>
        <v>5.0484842596191219</v>
      </c>
    </row>
    <row r="248" spans="2:7" ht="15" customHeight="1" x14ac:dyDescent="0.3">
      <c r="C248" s="4"/>
      <c r="D248" s="8">
        <v>2018</v>
      </c>
      <c r="E248" s="14">
        <f>Data!F248</f>
        <v>12522000000</v>
      </c>
      <c r="F248" s="14">
        <f>Data!H248</f>
        <v>9380000000</v>
      </c>
      <c r="G248" s="12">
        <f t="shared" si="3"/>
        <v>1.3349680170575693</v>
      </c>
    </row>
    <row r="249" spans="2:7" ht="15" customHeight="1" x14ac:dyDescent="0.3">
      <c r="C249" s="4"/>
      <c r="D249" s="8">
        <v>2019</v>
      </c>
      <c r="E249" s="14">
        <f>Data!F249</f>
        <v>26494000000</v>
      </c>
      <c r="F249" s="14">
        <f>Data!H249</f>
        <v>15211000000</v>
      </c>
      <c r="G249" s="12">
        <f t="shared" si="3"/>
        <v>1.7417658273617778</v>
      </c>
    </row>
    <row r="250" spans="2:7" ht="15" customHeight="1" x14ac:dyDescent="0.3">
      <c r="C250" s="4"/>
      <c r="D250" s="8">
        <v>2020</v>
      </c>
      <c r="E250" s="14">
        <f>Data!F250</f>
        <v>54839000000</v>
      </c>
      <c r="F250" s="14">
        <f>Data!H250</f>
        <v>37548000000</v>
      </c>
      <c r="G250" s="12">
        <f t="shared" si="3"/>
        <v>1.4605038883562373</v>
      </c>
    </row>
    <row r="251" spans="2:7" ht="15" customHeight="1" x14ac:dyDescent="0.3">
      <c r="C251" s="4"/>
      <c r="D251" s="8">
        <v>2021</v>
      </c>
      <c r="E251" s="14">
        <f>Data!F251</f>
        <v>47227000000</v>
      </c>
      <c r="F251" s="14">
        <f>Data!H251</f>
        <v>51024000000</v>
      </c>
      <c r="G251" s="12">
        <f t="shared" si="3"/>
        <v>0.92558403888366259</v>
      </c>
    </row>
    <row r="252" spans="2:7" ht="15" customHeight="1" x14ac:dyDescent="0.3">
      <c r="C252" s="4"/>
      <c r="D252" s="8">
        <v>2022</v>
      </c>
      <c r="E252" s="14">
        <f>Data!F252</f>
        <v>64634000000</v>
      </c>
      <c r="F252" s="14">
        <f>Data!H252</f>
        <v>56225000000</v>
      </c>
      <c r="G252" s="12">
        <f t="shared" si="3"/>
        <v>1.1495598043574922</v>
      </c>
    </row>
    <row r="253" spans="2:7" ht="15" customHeight="1" x14ac:dyDescent="0.3">
      <c r="C253" s="4"/>
      <c r="D253" s="8">
        <v>2023</v>
      </c>
      <c r="E253" s="14">
        <f>Data!F253</f>
        <v>66651000000</v>
      </c>
      <c r="F253" s="14">
        <f>Data!H253</f>
        <v>86482000000</v>
      </c>
      <c r="G253" s="12">
        <f t="shared" si="3"/>
        <v>0.77069216715617128</v>
      </c>
    </row>
    <row r="254" spans="2:7" ht="15" customHeight="1" x14ac:dyDescent="0.3">
      <c r="C254" s="4"/>
      <c r="D254" s="8">
        <v>2024</v>
      </c>
      <c r="E254" s="14">
        <f>Data!F254</f>
        <v>70878000000</v>
      </c>
      <c r="F254" s="14">
        <f>Data!H254</f>
        <v>114042000000</v>
      </c>
      <c r="G254" s="12">
        <f t="shared" si="3"/>
        <v>0.62150786552322823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Data!F255</f>
        <v>0</v>
      </c>
      <c r="F255" s="14">
        <f>Data!H255</f>
        <v>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Data!F256</f>
        <v>5771000000</v>
      </c>
      <c r="F256" s="14">
        <f>Data!H256</f>
        <v>6278000000</v>
      </c>
      <c r="G256" s="12">
        <f t="shared" si="3"/>
        <v>0.9192417967505575</v>
      </c>
    </row>
    <row r="257" spans="2:7" ht="15" customHeight="1" x14ac:dyDescent="0.3">
      <c r="C257" s="4"/>
      <c r="D257" s="8">
        <v>2016</v>
      </c>
      <c r="E257" s="14">
        <f>Data!F257</f>
        <v>8782000000</v>
      </c>
      <c r="F257" s="14">
        <f>Data!H257</f>
        <v>6665000000</v>
      </c>
      <c r="G257" s="12">
        <f t="shared" si="3"/>
        <v>1.317629407351838</v>
      </c>
    </row>
    <row r="258" spans="2:7" ht="15" customHeight="1" x14ac:dyDescent="0.3">
      <c r="C258" s="4"/>
      <c r="D258" s="8">
        <v>2017</v>
      </c>
      <c r="E258" s="14">
        <f>Data!F258</f>
        <v>9773000000</v>
      </c>
      <c r="F258" s="14">
        <f>Data!H258</f>
        <v>9796000000</v>
      </c>
      <c r="G258" s="12">
        <f t="shared" si="3"/>
        <v>0.99765210289914252</v>
      </c>
    </row>
    <row r="259" spans="2:7" ht="15" customHeight="1" x14ac:dyDescent="0.3">
      <c r="C259" s="4"/>
      <c r="D259" s="8">
        <v>2018</v>
      </c>
      <c r="E259" s="14">
        <f>Data!F259</f>
        <v>12268000000</v>
      </c>
      <c r="F259" s="14">
        <f>Data!H259</f>
        <v>11172000000</v>
      </c>
      <c r="G259" s="12">
        <f t="shared" ref="G259:G322" si="4">IFERROR(E259/F259,0)</f>
        <v>1.0981023988542786</v>
      </c>
    </row>
    <row r="260" spans="2:7" ht="15" customHeight="1" x14ac:dyDescent="0.3">
      <c r="C260" s="4"/>
      <c r="D260" s="8">
        <v>2019</v>
      </c>
      <c r="E260" s="14">
        <f>Data!F260</f>
        <v>14611000000</v>
      </c>
      <c r="F260" s="14">
        <f>Data!H260</f>
        <v>11781000000</v>
      </c>
      <c r="G260" s="12">
        <f t="shared" si="4"/>
        <v>1.2402172990408284</v>
      </c>
    </row>
    <row r="261" spans="2:7" ht="15" customHeight="1" x14ac:dyDescent="0.3">
      <c r="C261" s="4"/>
      <c r="D261" s="8">
        <v>2020</v>
      </c>
      <c r="E261" s="14">
        <f>Data!F261</f>
        <v>16338000000</v>
      </c>
      <c r="F261" s="14">
        <f>Data!H261</f>
        <v>10105000000</v>
      </c>
      <c r="G261" s="12">
        <f t="shared" si="4"/>
        <v>1.6168233547748638</v>
      </c>
    </row>
    <row r="262" spans="2:7" ht="15" customHeight="1" x14ac:dyDescent="0.3">
      <c r="C262" s="4"/>
      <c r="D262" s="8">
        <v>2021</v>
      </c>
      <c r="E262" s="14">
        <f>Data!F262</f>
        <v>13416000000</v>
      </c>
      <c r="F262" s="14">
        <f>Data!H262</f>
        <v>8572000000</v>
      </c>
      <c r="G262" s="12">
        <f t="shared" si="4"/>
        <v>1.565095660289314</v>
      </c>
    </row>
    <row r="263" spans="2:7" ht="15" customHeight="1" x14ac:dyDescent="0.3">
      <c r="C263" s="4"/>
      <c r="D263" s="8">
        <v>2022</v>
      </c>
      <c r="E263" s="14">
        <f>Data!F263</f>
        <v>17105000000</v>
      </c>
      <c r="F263" s="14">
        <f>Data!H263</f>
        <v>10627000000</v>
      </c>
      <c r="G263" s="12">
        <f t="shared" si="4"/>
        <v>1.6095793732944388</v>
      </c>
    </row>
    <row r="264" spans="2:7" ht="15" customHeight="1" x14ac:dyDescent="0.3">
      <c r="C264" s="4"/>
      <c r="D264" s="8">
        <v>2023</v>
      </c>
      <c r="E264" s="14">
        <f>Data!F264</f>
        <v>51564000000</v>
      </c>
      <c r="F264" s="14">
        <f>Data!H264</f>
        <v>13927000000</v>
      </c>
      <c r="G264" s="12">
        <f t="shared" si="4"/>
        <v>3.7024484813671288</v>
      </c>
    </row>
    <row r="265" spans="2:7" ht="15" customHeight="1" x14ac:dyDescent="0.3">
      <c r="C265" s="4"/>
      <c r="D265" s="8">
        <v>2024</v>
      </c>
      <c r="E265" s="14">
        <f>Data!F265</f>
        <v>38222000000</v>
      </c>
      <c r="F265" s="14">
        <f>Data!H265</f>
        <v>20600000000</v>
      </c>
      <c r="G265" s="12">
        <f t="shared" si="4"/>
        <v>1.8554368932038834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Data!F266</f>
        <v>0</v>
      </c>
      <c r="F266" s="14">
        <f>Data!H266</f>
        <v>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Data!F267</f>
        <v>12037000000</v>
      </c>
      <c r="F267" s="14">
        <f>Data!H267</f>
        <v>11484000000</v>
      </c>
      <c r="G267" s="12">
        <f t="shared" si="4"/>
        <v>1.0481539533263671</v>
      </c>
    </row>
    <row r="268" spans="2:7" ht="15" customHeight="1" x14ac:dyDescent="0.3">
      <c r="C268" s="3"/>
      <c r="D268" s="8">
        <v>2016</v>
      </c>
      <c r="E268" s="14">
        <f>Data!F268</f>
        <v>86248000000</v>
      </c>
      <c r="F268" s="14">
        <f>Data!H268</f>
        <v>22429000000</v>
      </c>
      <c r="G268" s="12">
        <f t="shared" si="4"/>
        <v>3.8453787507245085</v>
      </c>
    </row>
    <row r="269" spans="2:7" ht="15" customHeight="1" x14ac:dyDescent="0.3">
      <c r="C269" s="3"/>
      <c r="D269" s="8">
        <v>2017</v>
      </c>
      <c r="E269" s="14">
        <f>Data!F269</f>
        <v>160133930000</v>
      </c>
      <c r="F269" s="14">
        <f>Data!H269</f>
        <v>54178820000</v>
      </c>
      <c r="G269" s="12">
        <f t="shared" si="4"/>
        <v>2.9556555495302406</v>
      </c>
    </row>
    <row r="270" spans="2:7" ht="15" customHeight="1" x14ac:dyDescent="0.3">
      <c r="C270" s="3"/>
      <c r="D270" s="8">
        <v>2018</v>
      </c>
      <c r="E270" s="14">
        <f>Data!F270</f>
        <v>323162000000</v>
      </c>
      <c r="F270" s="14">
        <f>Data!H270</f>
        <v>46513720000</v>
      </c>
      <c r="G270" s="12">
        <f t="shared" si="4"/>
        <v>6.9476704937811897</v>
      </c>
    </row>
    <row r="271" spans="2:7" ht="15" customHeight="1" x14ac:dyDescent="0.3">
      <c r="C271" s="3"/>
      <c r="D271" s="8">
        <v>2019</v>
      </c>
      <c r="E271" s="14">
        <f>Data!F271</f>
        <v>182376069999.99997</v>
      </c>
      <c r="F271" s="14">
        <f>Data!H271</f>
        <v>42961400000</v>
      </c>
      <c r="G271" s="12">
        <f t="shared" si="4"/>
        <v>4.2451146843445509</v>
      </c>
    </row>
    <row r="272" spans="2:7" ht="15" customHeight="1" x14ac:dyDescent="0.3">
      <c r="C272" s="3"/>
      <c r="D272" s="8">
        <v>2020</v>
      </c>
      <c r="E272" s="14">
        <f>Data!F272</f>
        <v>216527900000</v>
      </c>
      <c r="F272" s="14">
        <f>Data!H272</f>
        <v>66000130000.000008</v>
      </c>
      <c r="G272" s="12">
        <f t="shared" si="4"/>
        <v>3.2807192955529025</v>
      </c>
    </row>
    <row r="273" spans="2:7" ht="15" customHeight="1" x14ac:dyDescent="0.3">
      <c r="C273" s="3"/>
      <c r="D273" s="8">
        <v>2021</v>
      </c>
      <c r="E273" s="14">
        <f>Data!F273</f>
        <v>270508400000.00003</v>
      </c>
      <c r="F273" s="14">
        <f>Data!H273</f>
        <v>87872780000</v>
      </c>
      <c r="G273" s="12">
        <f t="shared" si="4"/>
        <v>3.0784094915399289</v>
      </c>
    </row>
    <row r="274" spans="2:7" ht="15" customHeight="1" x14ac:dyDescent="0.3">
      <c r="C274" s="3"/>
      <c r="D274" s="8">
        <v>2022</v>
      </c>
      <c r="E274" s="14">
        <f>Data!F274</f>
        <v>216523320000</v>
      </c>
      <c r="F274" s="14">
        <f>Data!H274</f>
        <v>93847560000</v>
      </c>
      <c r="G274" s="12">
        <f t="shared" si="4"/>
        <v>2.3071811350236491</v>
      </c>
    </row>
    <row r="275" spans="2:7" ht="15" customHeight="1" x14ac:dyDescent="0.3">
      <c r="C275" s="3"/>
      <c r="D275" s="8">
        <v>2023</v>
      </c>
      <c r="E275" s="14">
        <f>Data!F275</f>
        <v>213862040000.00003</v>
      </c>
      <c r="F275" s="14">
        <f>Data!H275</f>
        <v>118797230000</v>
      </c>
      <c r="G275" s="12">
        <f t="shared" si="4"/>
        <v>1.8002274968869225</v>
      </c>
    </row>
    <row r="276" spans="2:7" ht="15" customHeight="1" x14ac:dyDescent="0.3">
      <c r="C276" s="3"/>
      <c r="D276" s="8">
        <v>2024</v>
      </c>
      <c r="E276" s="14">
        <f>Data!F276</f>
        <v>222469310000</v>
      </c>
      <c r="F276" s="14">
        <f>Data!H276</f>
        <v>141824740000</v>
      </c>
      <c r="G276" s="12">
        <f t="shared" si="4"/>
        <v>1.5686213138836003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Data!F277</f>
        <v>0</v>
      </c>
      <c r="F277" s="14">
        <f>Data!H277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Data!F278</f>
        <v>0</v>
      </c>
      <c r="F278" s="14">
        <f>Data!H278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Data!F279</f>
        <v>0</v>
      </c>
      <c r="F279" s="14">
        <f>Data!H279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Data!F280</f>
        <v>0</v>
      </c>
      <c r="F280" s="14">
        <f>Data!H280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Data!F281</f>
        <v>0</v>
      </c>
      <c r="F281" s="14">
        <f>Data!H281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Data!F282</f>
        <v>0</v>
      </c>
      <c r="F282" s="14">
        <f>Data!H282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Data!F283</f>
        <v>0</v>
      </c>
      <c r="F283" s="14">
        <f>Data!H283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Data!F284</f>
        <v>0</v>
      </c>
      <c r="F284" s="14">
        <f>Data!H284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Data!F285</f>
        <v>1110630000</v>
      </c>
      <c r="F285" s="14">
        <f>Data!H285</f>
        <v>3936980000</v>
      </c>
      <c r="G285" s="12">
        <f t="shared" si="4"/>
        <v>0.28210201728228235</v>
      </c>
    </row>
    <row r="286" spans="2:7" ht="15" customHeight="1" x14ac:dyDescent="0.3">
      <c r="C286" s="3"/>
      <c r="D286" s="8">
        <v>2023</v>
      </c>
      <c r="E286" s="14">
        <f>Data!F286</f>
        <v>684650000.00000012</v>
      </c>
      <c r="F286" s="14">
        <f>Data!H286</f>
        <v>3639590000</v>
      </c>
      <c r="G286" s="12">
        <f t="shared" si="4"/>
        <v>0.18811184776307224</v>
      </c>
    </row>
    <row r="287" spans="2:7" ht="15" customHeight="1" x14ac:dyDescent="0.3">
      <c r="C287" s="3"/>
      <c r="D287" s="8">
        <v>2024</v>
      </c>
      <c r="E287" s="14">
        <f>Data!F287</f>
        <v>129977510000</v>
      </c>
      <c r="F287" s="14">
        <f>Data!H287</f>
        <v>1176750000</v>
      </c>
      <c r="G287" s="12">
        <f t="shared" si="4"/>
        <v>110.45465052050137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Data!F288</f>
        <v>0</v>
      </c>
      <c r="F288" s="14">
        <f>Data!H288</f>
        <v>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Data!F289</f>
        <v>176171000000</v>
      </c>
      <c r="F289" s="14">
        <f>Data!H289</f>
        <v>132907000000</v>
      </c>
      <c r="G289" s="12">
        <f t="shared" si="4"/>
        <v>1.3255208529272349</v>
      </c>
    </row>
    <row r="290" spans="2:7" ht="15" customHeight="1" x14ac:dyDescent="0.3">
      <c r="C290" s="3"/>
      <c r="D290" s="8">
        <v>2016</v>
      </c>
      <c r="E290" s="14">
        <f>Data!F290</f>
        <v>114698000000</v>
      </c>
      <c r="F290" s="14">
        <f>Data!H290</f>
        <v>218192000000</v>
      </c>
      <c r="G290" s="12">
        <f t="shared" si="4"/>
        <v>0.5256746351836914</v>
      </c>
    </row>
    <row r="291" spans="2:7" ht="15" customHeight="1" x14ac:dyDescent="0.3">
      <c r="C291" s="3"/>
      <c r="D291" s="8">
        <v>2017</v>
      </c>
      <c r="E291" s="14">
        <f>Data!F291</f>
        <v>191126000000</v>
      </c>
      <c r="F291" s="14">
        <f>Data!H291</f>
        <v>1036920000000</v>
      </c>
      <c r="G291" s="12">
        <f t="shared" si="4"/>
        <v>0.18432087335570729</v>
      </c>
    </row>
    <row r="292" spans="2:7" ht="15" customHeight="1" x14ac:dyDescent="0.3">
      <c r="C292" s="3"/>
      <c r="D292" s="8">
        <v>2018</v>
      </c>
      <c r="E292" s="14">
        <f>Data!F292</f>
        <v>191820000000</v>
      </c>
      <c r="F292" s="14">
        <f>Data!H292</f>
        <v>1155735000000</v>
      </c>
      <c r="G292" s="12">
        <f t="shared" si="4"/>
        <v>0.16597230333943336</v>
      </c>
    </row>
    <row r="293" spans="2:7" ht="15" customHeight="1" x14ac:dyDescent="0.3">
      <c r="C293" s="3"/>
      <c r="D293" s="8">
        <v>2019</v>
      </c>
      <c r="E293" s="14">
        <f>Data!F293</f>
        <v>344575000000</v>
      </c>
      <c r="F293" s="14">
        <f>Data!H293</f>
        <v>697988000000</v>
      </c>
      <c r="G293" s="12">
        <f t="shared" si="4"/>
        <v>0.49366894559791857</v>
      </c>
    </row>
    <row r="294" spans="2:7" ht="15" customHeight="1" x14ac:dyDescent="0.3">
      <c r="C294" s="3"/>
      <c r="D294" s="8">
        <v>2020</v>
      </c>
      <c r="E294" s="14">
        <f>Data!F294</f>
        <v>632931000000</v>
      </c>
      <c r="F294" s="14">
        <f>Data!H294</f>
        <v>843388000000</v>
      </c>
      <c r="G294" s="12">
        <f t="shared" si="4"/>
        <v>0.75046242061779389</v>
      </c>
    </row>
    <row r="295" spans="2:7" ht="15" customHeight="1" x14ac:dyDescent="0.3">
      <c r="C295" s="3"/>
      <c r="D295" s="8">
        <v>2021</v>
      </c>
      <c r="E295" s="14">
        <f>Data!F295</f>
        <v>659518000000</v>
      </c>
      <c r="F295" s="14">
        <f>Data!H295</f>
        <v>1005708000000</v>
      </c>
      <c r="G295" s="12">
        <f t="shared" si="4"/>
        <v>0.65577483722909635</v>
      </c>
    </row>
    <row r="296" spans="2:7" ht="15" customHeight="1" x14ac:dyDescent="0.3">
      <c r="C296" s="3"/>
      <c r="D296" s="8">
        <v>2022</v>
      </c>
      <c r="E296" s="14">
        <f>Data!F296</f>
        <v>990110000000</v>
      </c>
      <c r="F296" s="14">
        <f>Data!H296</f>
        <v>974284000000</v>
      </c>
      <c r="G296" s="12">
        <f t="shared" si="4"/>
        <v>1.0162437235959947</v>
      </c>
    </row>
    <row r="297" spans="2:7" ht="15" customHeight="1" x14ac:dyDescent="0.3">
      <c r="C297" s="3"/>
      <c r="D297" s="8">
        <v>2023</v>
      </c>
      <c r="E297" s="14">
        <f>Data!F297</f>
        <v>463165000000</v>
      </c>
      <c r="F297" s="14">
        <f>Data!H297</f>
        <v>884837000000</v>
      </c>
      <c r="G297" s="12">
        <f t="shared" si="4"/>
        <v>0.52344669131150712</v>
      </c>
    </row>
    <row r="298" spans="2:7" ht="15" customHeight="1" x14ac:dyDescent="0.3">
      <c r="C298" s="3"/>
      <c r="D298" s="8">
        <v>2024</v>
      </c>
      <c r="E298" s="14">
        <f>Data!F298</f>
        <v>540840000000</v>
      </c>
      <c r="F298" s="14">
        <f>Data!H298</f>
        <v>1012197000000</v>
      </c>
      <c r="G298" s="12">
        <f t="shared" si="4"/>
        <v>0.5343228640274571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Data!F299</f>
        <v>0</v>
      </c>
      <c r="F299" s="14">
        <f>Data!H299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Data!F300</f>
        <v>59550000000</v>
      </c>
      <c r="F300" s="14">
        <f>Data!H300</f>
        <v>114000000</v>
      </c>
      <c r="G300" s="12">
        <f t="shared" si="4"/>
        <v>522.36842105263156</v>
      </c>
    </row>
    <row r="301" spans="2:7" ht="15" customHeight="1" x14ac:dyDescent="0.3">
      <c r="C301" s="4"/>
      <c r="D301" s="8">
        <v>2016</v>
      </c>
      <c r="E301" s="14">
        <f>Data!F301</f>
        <v>15975000000</v>
      </c>
      <c r="F301" s="14">
        <f>Data!H301</f>
        <v>5797000000</v>
      </c>
      <c r="G301" s="12">
        <f t="shared" si="4"/>
        <v>2.7557357253751942</v>
      </c>
    </row>
    <row r="302" spans="2:7" ht="15" customHeight="1" x14ac:dyDescent="0.3">
      <c r="C302" s="4"/>
      <c r="D302" s="8">
        <v>2017</v>
      </c>
      <c r="E302" s="14">
        <f>Data!F302</f>
        <v>28165000000</v>
      </c>
      <c r="F302" s="14">
        <f>Data!H302</f>
        <v>8919000000</v>
      </c>
      <c r="G302" s="12">
        <f t="shared" si="4"/>
        <v>3.1578652315281981</v>
      </c>
    </row>
    <row r="303" spans="2:7" ht="15" customHeight="1" x14ac:dyDescent="0.3">
      <c r="C303" s="4"/>
      <c r="D303" s="8">
        <v>2018</v>
      </c>
      <c r="E303" s="14">
        <f>Data!F303</f>
        <v>32184000000</v>
      </c>
      <c r="F303" s="14">
        <f>Data!H303</f>
        <v>18801000000</v>
      </c>
      <c r="G303" s="12">
        <f t="shared" si="4"/>
        <v>1.7118238391574916</v>
      </c>
    </row>
    <row r="304" spans="2:7" ht="15" customHeight="1" x14ac:dyDescent="0.3">
      <c r="C304" s="4"/>
      <c r="D304" s="8">
        <v>2019</v>
      </c>
      <c r="E304" s="14">
        <f>Data!F304</f>
        <v>36458000000</v>
      </c>
      <c r="F304" s="14">
        <f>Data!H304</f>
        <v>14673000000</v>
      </c>
      <c r="G304" s="12">
        <f t="shared" si="4"/>
        <v>2.4846997887275948</v>
      </c>
    </row>
    <row r="305" spans="2:7" ht="15" customHeight="1" x14ac:dyDescent="0.3">
      <c r="C305" s="4"/>
      <c r="D305" s="8">
        <v>2020</v>
      </c>
      <c r="E305" s="14">
        <f>Data!F305</f>
        <v>48928000000</v>
      </c>
      <c r="F305" s="14">
        <f>Data!H305</f>
        <v>21439000000</v>
      </c>
      <c r="G305" s="12">
        <f t="shared" si="4"/>
        <v>2.2821959979476656</v>
      </c>
    </row>
    <row r="306" spans="2:7" ht="15" customHeight="1" x14ac:dyDescent="0.3">
      <c r="C306" s="4"/>
      <c r="D306" s="8">
        <v>2021</v>
      </c>
      <c r="E306" s="14">
        <f>Data!F306</f>
        <v>63477000000</v>
      </c>
      <c r="F306" s="14">
        <f>Data!H306</f>
        <v>29790000000</v>
      </c>
      <c r="G306" s="12">
        <f t="shared" si="4"/>
        <v>2.1308157099697884</v>
      </c>
    </row>
    <row r="307" spans="2:7" ht="15" customHeight="1" x14ac:dyDescent="0.3">
      <c r="C307" s="4"/>
      <c r="D307" s="8">
        <v>2022</v>
      </c>
      <c r="E307" s="14">
        <f>Data!F307</f>
        <v>76352000000</v>
      </c>
      <c r="F307" s="14">
        <f>Data!H307</f>
        <v>32408000000</v>
      </c>
      <c r="G307" s="12">
        <f t="shared" si="4"/>
        <v>2.3559614909898792</v>
      </c>
    </row>
    <row r="308" spans="2:7" ht="15" customHeight="1" x14ac:dyDescent="0.3">
      <c r="C308" s="4"/>
      <c r="D308" s="8">
        <v>2023</v>
      </c>
      <c r="E308" s="14">
        <f>Data!F308</f>
        <v>74787000000</v>
      </c>
      <c r="F308" s="14">
        <f>Data!H308</f>
        <v>38312000000</v>
      </c>
      <c r="G308" s="12">
        <f t="shared" si="4"/>
        <v>1.952051576529547</v>
      </c>
    </row>
    <row r="309" spans="2:7" ht="15" customHeight="1" x14ac:dyDescent="0.3">
      <c r="C309" s="4"/>
      <c r="D309" s="8">
        <v>2024</v>
      </c>
      <c r="E309" s="14">
        <f>Data!F309</f>
        <v>79128000000</v>
      </c>
      <c r="F309" s="14">
        <f>Data!H309</f>
        <v>40022000000</v>
      </c>
      <c r="G309" s="12">
        <f t="shared" si="4"/>
        <v>1.9771125880765579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Data!F310</f>
        <v>0</v>
      </c>
      <c r="F310" s="14">
        <f>Data!H310</f>
        <v>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>
        <f>Data!F311</f>
        <v>36122000000</v>
      </c>
      <c r="F311" s="14">
        <f>Data!H311</f>
        <v>32754000000</v>
      </c>
      <c r="G311" s="12">
        <f t="shared" si="4"/>
        <v>1.1028271356170238</v>
      </c>
    </row>
    <row r="312" spans="2:7" ht="15" customHeight="1" x14ac:dyDescent="0.3">
      <c r="C312" s="4"/>
      <c r="D312" s="8">
        <v>2016</v>
      </c>
      <c r="E312" s="14">
        <f>Data!F312</f>
        <v>55593000000</v>
      </c>
      <c r="F312" s="14">
        <f>Data!H312</f>
        <v>28812000000</v>
      </c>
      <c r="G312" s="12">
        <f t="shared" si="4"/>
        <v>1.9295085381091213</v>
      </c>
    </row>
    <row r="313" spans="2:7" ht="15" customHeight="1" x14ac:dyDescent="0.3">
      <c r="C313" s="4"/>
      <c r="D313" s="8">
        <v>2017</v>
      </c>
      <c r="E313" s="14">
        <f>Data!F313</f>
        <v>55620000000</v>
      </c>
      <c r="F313" s="14">
        <f>Data!H313</f>
        <v>32629000000</v>
      </c>
      <c r="G313" s="12">
        <f t="shared" si="4"/>
        <v>1.7046185908241136</v>
      </c>
    </row>
    <row r="314" spans="2:7" ht="15" customHeight="1" x14ac:dyDescent="0.3">
      <c r="C314" s="4"/>
      <c r="D314" s="8">
        <v>2018</v>
      </c>
      <c r="E314" s="14">
        <f>Data!F314</f>
        <v>57118000000</v>
      </c>
      <c r="F314" s="14">
        <f>Data!H314</f>
        <v>65935000000</v>
      </c>
      <c r="G314" s="12">
        <f t="shared" si="4"/>
        <v>0.86627739440357931</v>
      </c>
    </row>
    <row r="315" spans="2:7" ht="15" customHeight="1" x14ac:dyDescent="0.3">
      <c r="C315" s="4"/>
      <c r="D315" s="8">
        <v>2019</v>
      </c>
      <c r="E315" s="14">
        <f>Data!F315</f>
        <v>83886000000</v>
      </c>
      <c r="F315" s="14">
        <f>Data!H315</f>
        <v>75435000000</v>
      </c>
      <c r="G315" s="12">
        <f t="shared" si="4"/>
        <v>1.1120302246967588</v>
      </c>
    </row>
    <row r="316" spans="2:7" ht="15" customHeight="1" x14ac:dyDescent="0.3">
      <c r="C316" s="4"/>
      <c r="D316" s="8">
        <v>2020</v>
      </c>
      <c r="E316" s="14">
        <f>Data!F316</f>
        <v>66686000000</v>
      </c>
      <c r="F316" s="14">
        <f>Data!H316</f>
        <v>63162000000</v>
      </c>
      <c r="G316" s="12">
        <f t="shared" si="4"/>
        <v>1.0557930401190589</v>
      </c>
    </row>
    <row r="317" spans="2:7" ht="15" customHeight="1" x14ac:dyDescent="0.3">
      <c r="C317" s="4"/>
      <c r="D317" s="8">
        <v>2021</v>
      </c>
      <c r="E317" s="14">
        <f>Data!F317</f>
        <v>90160000000</v>
      </c>
      <c r="F317" s="14">
        <f>Data!H317</f>
        <v>77166000000</v>
      </c>
      <c r="G317" s="12">
        <f t="shared" si="4"/>
        <v>1.1683902236736385</v>
      </c>
    </row>
    <row r="318" spans="2:7" ht="15" customHeight="1" x14ac:dyDescent="0.3">
      <c r="C318" s="4"/>
      <c r="D318" s="8">
        <v>2022</v>
      </c>
      <c r="E318" s="14">
        <f>Data!F318</f>
        <v>74258000000</v>
      </c>
      <c r="F318" s="14">
        <f>Data!H318</f>
        <v>65905000000</v>
      </c>
      <c r="G318" s="12">
        <f t="shared" si="4"/>
        <v>1.1267430392231241</v>
      </c>
    </row>
    <row r="319" spans="2:7" ht="15" customHeight="1" x14ac:dyDescent="0.3">
      <c r="C319" s="4"/>
      <c r="D319" s="8">
        <v>2023</v>
      </c>
      <c r="E319" s="14">
        <f>Data!F319</f>
        <v>104204000000</v>
      </c>
      <c r="F319" s="14">
        <f>Data!H319</f>
        <v>82539000000</v>
      </c>
      <c r="G319" s="12">
        <f t="shared" si="4"/>
        <v>1.2624819782163583</v>
      </c>
    </row>
    <row r="320" spans="2:7" ht="15" customHeight="1" x14ac:dyDescent="0.3">
      <c r="C320" s="4"/>
      <c r="D320" s="8">
        <v>2024</v>
      </c>
      <c r="E320" s="14">
        <f>Data!F320</f>
        <v>62784000000</v>
      </c>
      <c r="F320" s="14">
        <f>Data!H320</f>
        <v>76007000000</v>
      </c>
      <c r="G320" s="12">
        <f t="shared" si="4"/>
        <v>0.82602918152275451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Data!F321</f>
        <v>0</v>
      </c>
      <c r="F321" s="14">
        <f>Data!H321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Data!F322</f>
        <v>0</v>
      </c>
      <c r="F322" s="14">
        <f>Data!H322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Data!F323</f>
        <v>0</v>
      </c>
      <c r="F323" s="14">
        <f>Data!H323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Data!F324</f>
        <v>361112000000</v>
      </c>
      <c r="F324" s="14">
        <f>Data!H324</f>
        <v>1223298000000</v>
      </c>
      <c r="G324" s="12">
        <f t="shared" si="5"/>
        <v>0.29519544706195872</v>
      </c>
    </row>
    <row r="325" spans="2:7" ht="15" customHeight="1" x14ac:dyDescent="0.3">
      <c r="C325" s="3"/>
      <c r="D325" s="8">
        <v>2018</v>
      </c>
      <c r="E325" s="14">
        <f>Data!F325</f>
        <v>424400000000</v>
      </c>
      <c r="F325" s="14">
        <f>Data!H325</f>
        <v>1243621000000</v>
      </c>
      <c r="G325" s="12">
        <f t="shared" si="5"/>
        <v>0.34126152581855729</v>
      </c>
    </row>
    <row r="326" spans="2:7" ht="15" customHeight="1" x14ac:dyDescent="0.3">
      <c r="C326" s="3"/>
      <c r="D326" s="8">
        <v>2019</v>
      </c>
      <c r="E326" s="14">
        <f>Data!F326</f>
        <v>606009000000</v>
      </c>
      <c r="F326" s="14">
        <f>Data!H326</f>
        <v>1289816000000</v>
      </c>
      <c r="G326" s="12">
        <f t="shared" si="5"/>
        <v>0.46984143474728179</v>
      </c>
    </row>
    <row r="327" spans="2:7" ht="15" customHeight="1" x14ac:dyDescent="0.3">
      <c r="C327" s="3"/>
      <c r="D327" s="8">
        <v>2020</v>
      </c>
      <c r="E327" s="14">
        <f>Data!F327</f>
        <v>882403000000</v>
      </c>
      <c r="F327" s="14">
        <f>Data!H327</f>
        <v>1328822000000</v>
      </c>
      <c r="G327" s="12">
        <f t="shared" si="5"/>
        <v>0.66404905999449138</v>
      </c>
    </row>
    <row r="328" spans="2:7" ht="15" customHeight="1" x14ac:dyDescent="0.3">
      <c r="C328" s="3"/>
      <c r="D328" s="8">
        <v>2021</v>
      </c>
      <c r="E328" s="14">
        <f>Data!F328</f>
        <v>623554000000</v>
      </c>
      <c r="F328" s="14">
        <f>Data!H328</f>
        <v>1171802000000</v>
      </c>
      <c r="G328" s="12">
        <f t="shared" si="5"/>
        <v>0.53213256164437339</v>
      </c>
    </row>
    <row r="329" spans="2:7" ht="15" customHeight="1" x14ac:dyDescent="0.3">
      <c r="C329" s="3"/>
      <c r="D329" s="8">
        <v>2022</v>
      </c>
      <c r="E329" s="14">
        <f>Data!F329</f>
        <v>499623000000</v>
      </c>
      <c r="F329" s="14">
        <f>Data!H329</f>
        <v>1060797000000</v>
      </c>
      <c r="G329" s="12">
        <f t="shared" si="5"/>
        <v>0.47098832293077753</v>
      </c>
    </row>
    <row r="330" spans="2:7" ht="15" customHeight="1" x14ac:dyDescent="0.3">
      <c r="C330" s="3"/>
      <c r="D330" s="8">
        <v>2023</v>
      </c>
      <c r="E330" s="14">
        <f>Data!F330</f>
        <v>516103000000</v>
      </c>
      <c r="F330" s="14">
        <f>Data!H330</f>
        <v>1052829000000</v>
      </c>
      <c r="G330" s="12">
        <f t="shared" si="5"/>
        <v>0.4902059118812267</v>
      </c>
    </row>
    <row r="331" spans="2:7" ht="15" customHeight="1" x14ac:dyDescent="0.3">
      <c r="C331" s="3"/>
      <c r="D331" s="8">
        <v>2024</v>
      </c>
      <c r="E331" s="14">
        <f>Data!F331</f>
        <v>426121000000</v>
      </c>
      <c r="F331" s="14">
        <f>Data!H331</f>
        <v>1099836000000</v>
      </c>
      <c r="G331" s="12">
        <f t="shared" si="5"/>
        <v>0.38744049112776813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Data!F332</f>
        <v>0</v>
      </c>
      <c r="F332" s="14">
        <f>Data!H332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Data!F333</f>
        <v>0</v>
      </c>
      <c r="F333" s="14">
        <f>Data!H333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Data!F334</f>
        <v>0</v>
      </c>
      <c r="F334" s="14">
        <f>Data!H334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Data!F335</f>
        <v>0</v>
      </c>
      <c r="F335" s="14">
        <f>Data!H335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Data!F336</f>
        <v>0</v>
      </c>
      <c r="F336" s="14">
        <f>Data!H336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Data!F337</f>
        <v>356230000000</v>
      </c>
      <c r="F337" s="14">
        <f>Data!H337</f>
        <v>441964000000</v>
      </c>
      <c r="G337" s="12">
        <f t="shared" si="5"/>
        <v>0.8060158745961209</v>
      </c>
    </row>
    <row r="338" spans="2:7" ht="15" customHeight="1" x14ac:dyDescent="0.3">
      <c r="C338" s="3"/>
      <c r="D338" s="8">
        <v>2020</v>
      </c>
      <c r="E338" s="14">
        <f>Data!F338</f>
        <v>380429000000</v>
      </c>
      <c r="F338" s="14">
        <f>Data!H338</f>
        <v>569840000000</v>
      </c>
      <c r="G338" s="12">
        <f t="shared" si="5"/>
        <v>0.66760669661659411</v>
      </c>
    </row>
    <row r="339" spans="2:7" ht="15" customHeight="1" x14ac:dyDescent="0.3">
      <c r="C339" s="3"/>
      <c r="D339" s="8">
        <v>2021</v>
      </c>
      <c r="E339" s="14">
        <f>Data!F339</f>
        <v>387583000000</v>
      </c>
      <c r="F339" s="14">
        <f>Data!H339</f>
        <v>612450000000</v>
      </c>
      <c r="G339" s="12">
        <f t="shared" si="5"/>
        <v>0.63284023185566174</v>
      </c>
    </row>
    <row r="340" spans="2:7" ht="15" customHeight="1" x14ac:dyDescent="0.3">
      <c r="C340" s="3"/>
      <c r="D340" s="8">
        <v>2022</v>
      </c>
      <c r="E340" s="14">
        <f>Data!F340</f>
        <v>569813000000</v>
      </c>
      <c r="F340" s="14">
        <f>Data!H340</f>
        <v>813361000000</v>
      </c>
      <c r="G340" s="12">
        <f t="shared" si="5"/>
        <v>0.70056592337227874</v>
      </c>
    </row>
    <row r="341" spans="2:7" ht="15" customHeight="1" x14ac:dyDescent="0.3">
      <c r="C341" s="3"/>
      <c r="D341" s="8">
        <v>2023</v>
      </c>
      <c r="E341" s="14">
        <f>Data!F341</f>
        <v>557216000000</v>
      </c>
      <c r="F341" s="14">
        <f>Data!H341</f>
        <v>756234000000</v>
      </c>
      <c r="G341" s="12">
        <f t="shared" si="5"/>
        <v>0.73683013458797142</v>
      </c>
    </row>
    <row r="342" spans="2:7" ht="15" customHeight="1" x14ac:dyDescent="0.3">
      <c r="C342" s="3"/>
      <c r="D342" s="8">
        <v>2024</v>
      </c>
      <c r="E342" s="14">
        <f>Data!F342</f>
        <v>333899000000</v>
      </c>
      <c r="F342" s="14">
        <f>Data!H342</f>
        <v>498213000000</v>
      </c>
      <c r="G342" s="12">
        <f t="shared" si="5"/>
        <v>0.67019327074965929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Data!F343</f>
        <v>0</v>
      </c>
      <c r="F343" s="14">
        <f>Data!H343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Data!F344</f>
        <v>0</v>
      </c>
      <c r="F344" s="14">
        <f>Data!H344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Data!F345</f>
        <v>25787319000000</v>
      </c>
      <c r="F345" s="14">
        <f>Data!H345</f>
        <v>1720967000000</v>
      </c>
      <c r="G345" s="12">
        <f t="shared" si="5"/>
        <v>14.984203067229064</v>
      </c>
    </row>
    <row r="346" spans="2:7" ht="15" customHeight="1" x14ac:dyDescent="0.3">
      <c r="C346" s="3"/>
      <c r="D346" s="8">
        <v>2017</v>
      </c>
      <c r="E346" s="14">
        <f>Data!F346</f>
        <v>30079993000000</v>
      </c>
      <c r="F346" s="14">
        <f>Data!H346</f>
        <v>1500873000000</v>
      </c>
      <c r="G346" s="12">
        <f t="shared" si="5"/>
        <v>20.041664417975404</v>
      </c>
    </row>
    <row r="347" spans="2:7" ht="15" customHeight="1" x14ac:dyDescent="0.3">
      <c r="C347" s="3"/>
      <c r="D347" s="8">
        <v>2018</v>
      </c>
      <c r="E347" s="14">
        <f>Data!F347</f>
        <v>29465588000000</v>
      </c>
      <c r="F347" s="14">
        <f>Data!H347</f>
        <v>1309073000000</v>
      </c>
      <c r="G347" s="12">
        <f t="shared" si="5"/>
        <v>22.508743209889747</v>
      </c>
    </row>
    <row r="348" spans="2:7" ht="15" customHeight="1" x14ac:dyDescent="0.3">
      <c r="C348" s="3"/>
      <c r="D348" s="8">
        <v>2019</v>
      </c>
      <c r="E348" s="14">
        <f>Data!F348</f>
        <v>32640583000000</v>
      </c>
      <c r="F348" s="14">
        <f>Data!H348</f>
        <v>1405292000000</v>
      </c>
      <c r="G348" s="12">
        <f t="shared" si="5"/>
        <v>23.226904444058601</v>
      </c>
    </row>
    <row r="349" spans="2:7" ht="15" customHeight="1" x14ac:dyDescent="0.3">
      <c r="C349" s="3"/>
      <c r="D349" s="8">
        <v>2020</v>
      </c>
      <c r="E349" s="14">
        <f>Data!F349</f>
        <v>1475242000000</v>
      </c>
      <c r="F349" s="14">
        <f>Data!H349</f>
        <v>2048920000000</v>
      </c>
      <c r="G349" s="12">
        <f t="shared" si="5"/>
        <v>0.72000956601526656</v>
      </c>
    </row>
    <row r="350" spans="2:7" ht="15" customHeight="1" x14ac:dyDescent="0.3">
      <c r="C350" s="3"/>
      <c r="D350" s="8">
        <v>2021</v>
      </c>
      <c r="E350" s="14">
        <f>Data!F350</f>
        <v>1489744000000</v>
      </c>
      <c r="F350" s="14">
        <f>Data!H350</f>
        <v>2694084000000</v>
      </c>
      <c r="G350" s="12">
        <f t="shared" si="5"/>
        <v>0.55296865279627505</v>
      </c>
    </row>
    <row r="351" spans="2:7" ht="15" customHeight="1" x14ac:dyDescent="0.3">
      <c r="C351" s="3"/>
      <c r="D351" s="8">
        <v>2022</v>
      </c>
      <c r="E351" s="14">
        <f>Data!F351</f>
        <v>2577850000000</v>
      </c>
      <c r="F351" s="14">
        <f>Data!H351</f>
        <v>2445401000000</v>
      </c>
      <c r="G351" s="12">
        <f t="shared" si="5"/>
        <v>1.0541624870522257</v>
      </c>
    </row>
    <row r="352" spans="2:7" ht="15" customHeight="1" x14ac:dyDescent="0.3">
      <c r="C352" s="3"/>
      <c r="D352" s="8">
        <v>2023</v>
      </c>
      <c r="E352" s="14">
        <f>Data!F352</f>
        <v>2388864000000</v>
      </c>
      <c r="F352" s="14">
        <f>Data!H352</f>
        <v>2731143000000</v>
      </c>
      <c r="G352" s="12">
        <f t="shared" si="5"/>
        <v>0.87467554792993263</v>
      </c>
    </row>
    <row r="353" spans="2:7" ht="15" customHeight="1" x14ac:dyDescent="0.3">
      <c r="C353" s="3"/>
      <c r="D353" s="8">
        <v>2024</v>
      </c>
      <c r="E353" s="14">
        <f>Data!F353</f>
        <v>3247095000000</v>
      </c>
      <c r="F353" s="14">
        <f>Data!H353</f>
        <v>2761524000000</v>
      </c>
      <c r="G353" s="12">
        <f t="shared" si="5"/>
        <v>1.175834430553564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Data!F354</f>
        <v>0</v>
      </c>
      <c r="F354" s="14">
        <f>Data!H354</f>
        <v>0</v>
      </c>
      <c r="G354" s="12">
        <f t="shared" si="5"/>
        <v>0</v>
      </c>
    </row>
    <row r="355" spans="2:7" ht="15" customHeight="1" x14ac:dyDescent="0.3">
      <c r="C355" s="3"/>
      <c r="D355" s="8">
        <v>2015</v>
      </c>
      <c r="E355" s="14">
        <f>Data!F355</f>
        <v>0</v>
      </c>
      <c r="F355" s="14">
        <f>Data!H355</f>
        <v>0</v>
      </c>
      <c r="G355" s="12">
        <f t="shared" si="5"/>
        <v>0</v>
      </c>
    </row>
    <row r="356" spans="2:7" ht="15" customHeight="1" x14ac:dyDescent="0.3">
      <c r="C356" s="3"/>
      <c r="D356" s="8">
        <v>2016</v>
      </c>
      <c r="E356" s="14">
        <f>Data!F356</f>
        <v>80237930000</v>
      </c>
      <c r="F356" s="14">
        <f>Data!H356</f>
        <v>101000000</v>
      </c>
      <c r="G356" s="12">
        <f t="shared" si="5"/>
        <v>794.43495049504952</v>
      </c>
    </row>
    <row r="357" spans="2:7" ht="15" customHeight="1" x14ac:dyDescent="0.3">
      <c r="C357" s="3"/>
      <c r="D357" s="8">
        <v>2017</v>
      </c>
      <c r="E357" s="14">
        <f>Data!F357</f>
        <v>26155719999.999996</v>
      </c>
      <c r="F357" s="14">
        <f>Data!H357</f>
        <v>91991920000</v>
      </c>
      <c r="G357" s="12">
        <f t="shared" si="5"/>
        <v>0.284326275612032</v>
      </c>
    </row>
    <row r="358" spans="2:7" ht="15" customHeight="1" x14ac:dyDescent="0.3">
      <c r="C358" s="3"/>
      <c r="D358" s="8">
        <v>2018</v>
      </c>
      <c r="E358" s="14">
        <f>Data!F358</f>
        <v>93292000000</v>
      </c>
      <c r="F358" s="14">
        <f>Data!H358</f>
        <v>138570000000</v>
      </c>
      <c r="G358" s="12">
        <f t="shared" si="5"/>
        <v>0.67324817781626611</v>
      </c>
    </row>
    <row r="359" spans="2:7" ht="15" customHeight="1" x14ac:dyDescent="0.3">
      <c r="C359" s="3"/>
      <c r="D359" s="8">
        <v>2019</v>
      </c>
      <c r="E359" s="14">
        <f>Data!F359</f>
        <v>248608000000</v>
      </c>
      <c r="F359" s="14">
        <f>Data!H359</f>
        <v>309747000000</v>
      </c>
      <c r="G359" s="12">
        <f t="shared" si="5"/>
        <v>0.80261632881028711</v>
      </c>
    </row>
    <row r="360" spans="2:7" ht="15" customHeight="1" x14ac:dyDescent="0.3">
      <c r="C360" s="3"/>
      <c r="D360" s="8">
        <v>2020</v>
      </c>
      <c r="E360" s="14">
        <f>Data!F360</f>
        <v>395997000000</v>
      </c>
      <c r="F360" s="14">
        <f>Data!H360</f>
        <v>88465000000</v>
      </c>
      <c r="G360" s="12">
        <f t="shared" si="5"/>
        <v>4.4763126660261117</v>
      </c>
    </row>
    <row r="361" spans="2:7" ht="15" customHeight="1" x14ac:dyDescent="0.3">
      <c r="C361" s="3"/>
      <c r="D361" s="8">
        <v>2021</v>
      </c>
      <c r="E361" s="14">
        <f>Data!F361</f>
        <v>18677000000</v>
      </c>
      <c r="F361" s="14">
        <f>Data!H361</f>
        <v>89184000000</v>
      </c>
      <c r="G361" s="12">
        <f t="shared" si="5"/>
        <v>0.20942097237172588</v>
      </c>
    </row>
    <row r="362" spans="2:7" ht="15" customHeight="1" x14ac:dyDescent="0.3">
      <c r="C362" s="3"/>
      <c r="D362" s="8">
        <v>2022</v>
      </c>
      <c r="E362" s="14">
        <f>Data!F362</f>
        <v>19932000000</v>
      </c>
      <c r="F362" s="14">
        <f>Data!H362</f>
        <v>74653000000</v>
      </c>
      <c r="G362" s="12">
        <f t="shared" si="5"/>
        <v>0.26699529824655405</v>
      </c>
    </row>
    <row r="363" spans="2:7" ht="15" customHeight="1" x14ac:dyDescent="0.3">
      <c r="C363" s="3"/>
      <c r="D363" s="8">
        <v>2023</v>
      </c>
      <c r="E363" s="14">
        <f>Data!F363</f>
        <v>14719000000</v>
      </c>
      <c r="F363" s="14">
        <f>Data!H363</f>
        <v>49664000000</v>
      </c>
      <c r="G363" s="12">
        <f t="shared" si="5"/>
        <v>0.29637161726804123</v>
      </c>
    </row>
    <row r="364" spans="2:7" ht="15" customHeight="1" x14ac:dyDescent="0.3">
      <c r="C364" s="3"/>
      <c r="D364" s="8">
        <v>2024</v>
      </c>
      <c r="E364" s="14">
        <f>Data!F364</f>
        <v>49160000000</v>
      </c>
      <c r="F364" s="14">
        <f>Data!H364</f>
        <v>67583000000</v>
      </c>
      <c r="G364" s="12">
        <f t="shared" si="5"/>
        <v>0.72740186141485286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Data!F365</f>
        <v>0</v>
      </c>
      <c r="F365" s="14">
        <f>Data!H365</f>
        <v>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Data!F366</f>
        <v>274156000000</v>
      </c>
      <c r="F366" s="14">
        <f>Data!H366</f>
        <v>231327000000</v>
      </c>
      <c r="G366" s="12">
        <f t="shared" si="5"/>
        <v>1.1851448382592606</v>
      </c>
    </row>
    <row r="367" spans="2:7" ht="15" customHeight="1" x14ac:dyDescent="0.3">
      <c r="C367" s="3"/>
      <c r="D367" s="8">
        <v>2016</v>
      </c>
      <c r="E367" s="14">
        <f>Data!F367</f>
        <v>538838000000</v>
      </c>
      <c r="F367" s="14">
        <f>Data!H367</f>
        <v>328147000000</v>
      </c>
      <c r="G367" s="12">
        <f t="shared" si="5"/>
        <v>1.6420628559761326</v>
      </c>
    </row>
    <row r="368" spans="2:7" ht="15" customHeight="1" x14ac:dyDescent="0.3">
      <c r="C368" s="3"/>
      <c r="D368" s="8">
        <v>2017</v>
      </c>
      <c r="E368" s="14">
        <f>Data!F368</f>
        <v>363410000000</v>
      </c>
      <c r="F368" s="14">
        <f>Data!H368</f>
        <v>349291000000</v>
      </c>
      <c r="G368" s="12">
        <f t="shared" si="5"/>
        <v>1.0404218831862257</v>
      </c>
    </row>
    <row r="369" spans="2:7" ht="15" customHeight="1" x14ac:dyDescent="0.3">
      <c r="C369" s="3"/>
      <c r="D369" s="8">
        <v>2018</v>
      </c>
      <c r="E369" s="14">
        <f>Data!F369</f>
        <v>768818000000</v>
      </c>
      <c r="F369" s="14">
        <f>Data!H369</f>
        <v>1168581000000</v>
      </c>
      <c r="G369" s="12">
        <f t="shared" si="5"/>
        <v>0.65790732520895001</v>
      </c>
    </row>
    <row r="370" spans="2:7" ht="15" customHeight="1" x14ac:dyDescent="0.3">
      <c r="C370" s="3"/>
      <c r="D370" s="8">
        <v>2019</v>
      </c>
      <c r="E370" s="14">
        <f>Data!F370</f>
        <v>359304000000</v>
      </c>
      <c r="F370" s="14">
        <f>Data!H370</f>
        <v>418667000000</v>
      </c>
      <c r="G370" s="12">
        <f t="shared" si="5"/>
        <v>0.85820950779497784</v>
      </c>
    </row>
    <row r="371" spans="2:7" ht="15" customHeight="1" x14ac:dyDescent="0.3">
      <c r="C371" s="3"/>
      <c r="D371" s="8">
        <v>2020</v>
      </c>
      <c r="E371" s="14">
        <f>Data!F371</f>
        <v>345286000000</v>
      </c>
      <c r="F371" s="14">
        <f>Data!H371</f>
        <v>396011000000</v>
      </c>
      <c r="G371" s="12">
        <f t="shared" si="5"/>
        <v>0.87191012370868481</v>
      </c>
    </row>
    <row r="372" spans="2:7" ht="15" customHeight="1" x14ac:dyDescent="0.3">
      <c r="C372" s="3"/>
      <c r="D372" s="8">
        <v>2021</v>
      </c>
      <c r="E372" s="14">
        <f>Data!F372</f>
        <v>954175000000</v>
      </c>
      <c r="F372" s="14">
        <f>Data!H372</f>
        <v>1331376000000</v>
      </c>
      <c r="G372" s="12">
        <f t="shared" si="5"/>
        <v>0.71668334114480059</v>
      </c>
    </row>
    <row r="373" spans="2:7" ht="15" customHeight="1" x14ac:dyDescent="0.3">
      <c r="C373" s="3"/>
      <c r="D373" s="8">
        <v>2022</v>
      </c>
      <c r="E373" s="14">
        <f>Data!F373</f>
        <v>519952000000</v>
      </c>
      <c r="F373" s="14">
        <f>Data!H373</f>
        <v>660640000000</v>
      </c>
      <c r="G373" s="12">
        <f t="shared" si="5"/>
        <v>0.78704286752240249</v>
      </c>
    </row>
    <row r="374" spans="2:7" ht="15" customHeight="1" x14ac:dyDescent="0.3">
      <c r="C374" s="3"/>
      <c r="D374" s="8">
        <v>2023</v>
      </c>
      <c r="E374" s="14">
        <f>Data!F374</f>
        <v>413500000000</v>
      </c>
      <c r="F374" s="14">
        <f>Data!H374</f>
        <v>743423000000</v>
      </c>
      <c r="G374" s="12">
        <f t="shared" si="5"/>
        <v>0.55621093240322128</v>
      </c>
    </row>
    <row r="375" spans="2:7" ht="15" customHeight="1" x14ac:dyDescent="0.3">
      <c r="C375" s="3"/>
      <c r="D375" s="8">
        <v>2024</v>
      </c>
      <c r="E375" s="14">
        <f>Data!F375</f>
        <v>386625000000</v>
      </c>
      <c r="F375" s="14">
        <f>Data!H375</f>
        <v>1000874000000</v>
      </c>
      <c r="G375" s="12">
        <f t="shared" si="5"/>
        <v>0.38628738482566238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Data!F376</f>
        <v>0</v>
      </c>
      <c r="F376" s="14">
        <f>Data!H376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Data!F377</f>
        <v>0</v>
      </c>
      <c r="F377" s="14">
        <f>Data!H377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Data!F378</f>
        <v>0</v>
      </c>
      <c r="F378" s="14">
        <f>Data!H378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Data!F379</f>
        <v>0</v>
      </c>
      <c r="F379" s="14">
        <f>Data!H379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Data!F380</f>
        <v>0</v>
      </c>
      <c r="F380" s="14">
        <f>Data!H380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Data!F381</f>
        <v>0</v>
      </c>
      <c r="F381" s="14">
        <f>Data!H381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Data!F382</f>
        <v>101165730000</v>
      </c>
      <c r="F382" s="14">
        <f>Data!H382</f>
        <v>59592360000</v>
      </c>
      <c r="G382" s="12">
        <f t="shared" si="5"/>
        <v>1.6976291927354445</v>
      </c>
    </row>
    <row r="383" spans="2:7" ht="15" customHeight="1" x14ac:dyDescent="0.3">
      <c r="C383" s="3"/>
      <c r="D383" s="8">
        <v>2021</v>
      </c>
      <c r="E383" s="14">
        <f>Data!F383</f>
        <v>116591870000</v>
      </c>
      <c r="F383" s="14">
        <f>Data!H383</f>
        <v>249002420000</v>
      </c>
      <c r="G383" s="12">
        <f t="shared" si="5"/>
        <v>0.46823589104073765</v>
      </c>
    </row>
    <row r="384" spans="2:7" ht="15" customHeight="1" x14ac:dyDescent="0.3">
      <c r="C384" s="3"/>
      <c r="D384" s="8">
        <v>2022</v>
      </c>
      <c r="E384" s="14">
        <f>Data!F384</f>
        <v>149411810000</v>
      </c>
      <c r="F384" s="14">
        <f>Data!H384</f>
        <v>342939730000</v>
      </c>
      <c r="G384" s="12">
        <f t="shared" si="5"/>
        <v>0.43567949971850739</v>
      </c>
    </row>
    <row r="385" spans="2:7" ht="15" customHeight="1" x14ac:dyDescent="0.3">
      <c r="C385" s="3"/>
      <c r="D385" s="8">
        <v>2023</v>
      </c>
      <c r="E385" s="14">
        <f>Data!F385</f>
        <v>121060480000.00002</v>
      </c>
      <c r="F385" s="14">
        <f>Data!H385</f>
        <v>183678040000</v>
      </c>
      <c r="G385" s="12">
        <f t="shared" si="5"/>
        <v>0.65909065667294808</v>
      </c>
    </row>
    <row r="386" spans="2:7" ht="15" customHeight="1" x14ac:dyDescent="0.3">
      <c r="C386" s="3"/>
      <c r="D386" s="8">
        <v>2024</v>
      </c>
      <c r="E386" s="14">
        <f>Data!F386</f>
        <v>107084000000</v>
      </c>
      <c r="F386" s="14">
        <f>Data!H386</f>
        <v>189020460000</v>
      </c>
      <c r="G386" s="12">
        <f t="shared" si="5"/>
        <v>0.56652068247003529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Data!F387</f>
        <v>0</v>
      </c>
      <c r="F387" s="14">
        <f>Data!H387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Data!F388</f>
        <v>0</v>
      </c>
      <c r="F388" s="14">
        <f>Data!H388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Data!F389</f>
        <v>356140000</v>
      </c>
      <c r="F389" s="14">
        <f>Data!H389</f>
        <v>895480000</v>
      </c>
      <c r="G389" s="12">
        <f t="shared" si="6"/>
        <v>0.397708491535266</v>
      </c>
    </row>
    <row r="390" spans="2:7" ht="15" customHeight="1" x14ac:dyDescent="0.3">
      <c r="C390" s="4"/>
      <c r="D390" s="8">
        <v>2017</v>
      </c>
      <c r="E390" s="14">
        <f>Data!F390</f>
        <v>70588370000</v>
      </c>
      <c r="F390" s="14">
        <f>Data!H390</f>
        <v>19106340000</v>
      </c>
      <c r="G390" s="12">
        <f t="shared" si="6"/>
        <v>3.6944998361800323</v>
      </c>
    </row>
    <row r="391" spans="2:7" ht="15" customHeight="1" x14ac:dyDescent="0.3">
      <c r="C391" s="4"/>
      <c r="D391" s="8">
        <v>2018</v>
      </c>
      <c r="E391" s="14">
        <f>Data!F391</f>
        <v>49604310000</v>
      </c>
      <c r="F391" s="14">
        <f>Data!H391</f>
        <v>79612880000</v>
      </c>
      <c r="G391" s="12">
        <f t="shared" si="6"/>
        <v>0.62306890543339222</v>
      </c>
    </row>
    <row r="392" spans="2:7" ht="15" customHeight="1" x14ac:dyDescent="0.3">
      <c r="C392" s="4"/>
      <c r="D392" s="8">
        <v>2019</v>
      </c>
      <c r="E392" s="14">
        <f>Data!F392</f>
        <v>119373990000</v>
      </c>
      <c r="F392" s="14">
        <f>Data!H392</f>
        <v>192883640000</v>
      </c>
      <c r="G392" s="12">
        <f t="shared" si="6"/>
        <v>0.61889121337610598</v>
      </c>
    </row>
    <row r="393" spans="2:7" ht="15" customHeight="1" x14ac:dyDescent="0.3">
      <c r="C393" s="4"/>
      <c r="D393" s="8">
        <v>2020</v>
      </c>
      <c r="E393" s="14">
        <f>Data!F393</f>
        <v>182391690000</v>
      </c>
      <c r="F393" s="14">
        <f>Data!H393</f>
        <v>359522440000</v>
      </c>
      <c r="G393" s="12">
        <f t="shared" si="6"/>
        <v>0.5073165669436378</v>
      </c>
    </row>
    <row r="394" spans="2:7" ht="15" customHeight="1" x14ac:dyDescent="0.3">
      <c r="C394" s="4"/>
      <c r="D394" s="8">
        <v>2021</v>
      </c>
      <c r="E394" s="14">
        <f>Data!F394</f>
        <v>68859379999.999985</v>
      </c>
      <c r="F394" s="14">
        <f>Data!H394</f>
        <v>376261850000.00006</v>
      </c>
      <c r="G394" s="12">
        <f t="shared" si="6"/>
        <v>0.18300919957736872</v>
      </c>
    </row>
    <row r="395" spans="2:7" ht="15" customHeight="1" x14ac:dyDescent="0.3">
      <c r="C395" s="4"/>
      <c r="D395" s="8">
        <v>2022</v>
      </c>
      <c r="E395" s="14">
        <f>Data!F395</f>
        <v>54151610000</v>
      </c>
      <c r="F395" s="14">
        <f>Data!H395</f>
        <v>279023860000</v>
      </c>
      <c r="G395" s="12">
        <f t="shared" si="6"/>
        <v>0.19407519485967975</v>
      </c>
    </row>
    <row r="396" spans="2:7" ht="15" customHeight="1" x14ac:dyDescent="0.3">
      <c r="C396" s="4"/>
      <c r="D396" s="8">
        <v>2023</v>
      </c>
      <c r="E396" s="14">
        <f>Data!F396</f>
        <v>27679290000</v>
      </c>
      <c r="F396" s="14">
        <f>Data!H396</f>
        <v>199352689999.99997</v>
      </c>
      <c r="G396" s="12">
        <f t="shared" si="6"/>
        <v>0.13884583147586321</v>
      </c>
    </row>
    <row r="397" spans="2:7" ht="15" customHeight="1" x14ac:dyDescent="0.3">
      <c r="C397" s="4"/>
      <c r="D397" s="8">
        <v>2024</v>
      </c>
      <c r="E397" s="14">
        <f>Data!F397</f>
        <v>0</v>
      </c>
      <c r="F397" s="14">
        <f>Data!H397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Data!F398</f>
        <v>0</v>
      </c>
      <c r="F398" s="14">
        <f>Data!H398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Data!F399</f>
        <v>0</v>
      </c>
      <c r="F399" s="14">
        <f>Data!H399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Data!F400</f>
        <v>0</v>
      </c>
      <c r="F400" s="14">
        <f>Data!H400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Data!F401</f>
        <v>11122930000.000002</v>
      </c>
      <c r="F401" s="14">
        <f>Data!H401</f>
        <v>7157860000</v>
      </c>
      <c r="G401" s="12">
        <f t="shared" si="6"/>
        <v>1.5539462912099429</v>
      </c>
    </row>
    <row r="402" spans="2:7" ht="15" customHeight="1" x14ac:dyDescent="0.3">
      <c r="C402" s="3"/>
      <c r="D402" s="8">
        <v>2018</v>
      </c>
      <c r="E402" s="14">
        <f>Data!F402</f>
        <v>8410260000</v>
      </c>
      <c r="F402" s="14">
        <f>Data!H402</f>
        <v>9251190000</v>
      </c>
      <c r="G402" s="12">
        <f t="shared" si="6"/>
        <v>0.90910034276671436</v>
      </c>
    </row>
    <row r="403" spans="2:7" ht="15" customHeight="1" x14ac:dyDescent="0.3">
      <c r="C403" s="3"/>
      <c r="D403" s="8">
        <v>2019</v>
      </c>
      <c r="E403" s="14">
        <f>Data!F403</f>
        <v>11324010000</v>
      </c>
      <c r="F403" s="14">
        <f>Data!H403</f>
        <v>14783630000</v>
      </c>
      <c r="G403" s="12">
        <f t="shared" si="6"/>
        <v>0.76598305017103374</v>
      </c>
    </row>
    <row r="404" spans="2:7" ht="15" customHeight="1" x14ac:dyDescent="0.3">
      <c r="C404" s="3"/>
      <c r="D404" s="8">
        <v>2020</v>
      </c>
      <c r="E404" s="14">
        <f>Data!F404</f>
        <v>11164659999.999998</v>
      </c>
      <c r="F404" s="14">
        <f>Data!H404</f>
        <v>15996270000</v>
      </c>
      <c r="G404" s="12">
        <f t="shared" si="6"/>
        <v>0.69795396051704539</v>
      </c>
    </row>
    <row r="405" spans="2:7" ht="15" customHeight="1" x14ac:dyDescent="0.3">
      <c r="C405" s="3"/>
      <c r="D405" s="8">
        <v>2021</v>
      </c>
      <c r="E405" s="14">
        <f>Data!F405</f>
        <v>5950390000</v>
      </c>
      <c r="F405" s="14">
        <f>Data!H405</f>
        <v>9289160000</v>
      </c>
      <c r="G405" s="12">
        <f t="shared" si="6"/>
        <v>0.64057352871519058</v>
      </c>
    </row>
    <row r="406" spans="2:7" ht="15" customHeight="1" x14ac:dyDescent="0.3">
      <c r="C406" s="3"/>
      <c r="D406" s="8">
        <v>2022</v>
      </c>
      <c r="E406" s="14">
        <f>Data!F406</f>
        <v>5819410000</v>
      </c>
      <c r="F406" s="14">
        <f>Data!H406</f>
        <v>9193230000</v>
      </c>
      <c r="G406" s="12">
        <f t="shared" si="6"/>
        <v>0.63301037828924112</v>
      </c>
    </row>
    <row r="407" spans="2:7" ht="15" customHeight="1" x14ac:dyDescent="0.3">
      <c r="C407" s="3"/>
      <c r="D407" s="8">
        <v>2023</v>
      </c>
      <c r="E407" s="14">
        <f>Data!F407</f>
        <v>15125650000</v>
      </c>
      <c r="F407" s="14">
        <f>Data!H407</f>
        <v>15253790000</v>
      </c>
      <c r="G407" s="12">
        <f t="shared" si="6"/>
        <v>0.99159946478875083</v>
      </c>
    </row>
    <row r="408" spans="2:7" ht="15" customHeight="1" x14ac:dyDescent="0.3">
      <c r="C408" s="3"/>
      <c r="D408" s="8">
        <v>2024</v>
      </c>
      <c r="E408" s="14">
        <f>Data!F408</f>
        <v>29177000000</v>
      </c>
      <c r="F408" s="14">
        <f>Data!H408</f>
        <v>15947000000</v>
      </c>
      <c r="G408" s="12">
        <f t="shared" si="6"/>
        <v>1.8296231266068852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Data!F409</f>
        <v>0</v>
      </c>
      <c r="F409" s="14">
        <f>Data!H409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Data!F410</f>
        <v>0</v>
      </c>
      <c r="F410" s="14">
        <f>Data!H410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Data!F411</f>
        <v>0</v>
      </c>
      <c r="F411" s="14">
        <f>Data!H411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Data!F412</f>
        <v>2078000000</v>
      </c>
      <c r="F412" s="14">
        <f>Data!H412</f>
        <v>444000000</v>
      </c>
      <c r="G412" s="12">
        <f t="shared" si="6"/>
        <v>4.6801801801801801</v>
      </c>
    </row>
    <row r="413" spans="2:7" ht="15" customHeight="1" x14ac:dyDescent="0.3">
      <c r="C413" s="3"/>
      <c r="D413" s="8">
        <v>2018</v>
      </c>
      <c r="E413" s="14">
        <f>Data!F413</f>
        <v>7425000000</v>
      </c>
      <c r="F413" s="14">
        <f>Data!H413</f>
        <v>11583000000</v>
      </c>
      <c r="G413" s="12">
        <f t="shared" si="6"/>
        <v>0.64102564102564108</v>
      </c>
    </row>
    <row r="414" spans="2:7" ht="15" customHeight="1" x14ac:dyDescent="0.3">
      <c r="C414" s="3"/>
      <c r="D414" s="8">
        <v>2019</v>
      </c>
      <c r="E414" s="14">
        <f>Data!F414</f>
        <v>34382000000</v>
      </c>
      <c r="F414" s="14">
        <f>Data!H414</f>
        <v>37107000000</v>
      </c>
      <c r="G414" s="12">
        <f t="shared" si="6"/>
        <v>0.926563721130784</v>
      </c>
    </row>
    <row r="415" spans="2:7" ht="15" customHeight="1" x14ac:dyDescent="0.3">
      <c r="C415" s="3"/>
      <c r="D415" s="8">
        <v>2020</v>
      </c>
      <c r="E415" s="14">
        <f>Data!F415</f>
        <v>62676000000</v>
      </c>
      <c r="F415" s="14">
        <f>Data!H415</f>
        <v>83801000000</v>
      </c>
      <c r="G415" s="12">
        <f t="shared" si="6"/>
        <v>0.74791470268851212</v>
      </c>
    </row>
    <row r="416" spans="2:7" ht="15" customHeight="1" x14ac:dyDescent="0.3">
      <c r="C416" s="3"/>
      <c r="D416" s="8">
        <v>2021</v>
      </c>
      <c r="E416" s="14">
        <f>Data!F416</f>
        <v>136021000000</v>
      </c>
      <c r="F416" s="14">
        <f>Data!H416</f>
        <v>47857000000</v>
      </c>
      <c r="G416" s="12">
        <f t="shared" si="6"/>
        <v>2.8422383350398062</v>
      </c>
    </row>
    <row r="417" spans="2:7" ht="15" customHeight="1" x14ac:dyDescent="0.3">
      <c r="C417" s="3"/>
      <c r="D417" s="8">
        <v>2022</v>
      </c>
      <c r="E417" s="14">
        <f>Data!F417</f>
        <v>175067000000</v>
      </c>
      <c r="F417" s="14">
        <f>Data!H417</f>
        <v>20687000000</v>
      </c>
      <c r="G417" s="12">
        <f t="shared" si="6"/>
        <v>8.4626577077391598</v>
      </c>
    </row>
    <row r="418" spans="2:7" ht="15" customHeight="1" x14ac:dyDescent="0.3">
      <c r="C418" s="3"/>
      <c r="D418" s="8">
        <v>2023</v>
      </c>
      <c r="E418" s="14">
        <f>Data!F418</f>
        <v>167042000000</v>
      </c>
      <c r="F418" s="14">
        <f>Data!H418</f>
        <v>12949000000</v>
      </c>
      <c r="G418" s="12">
        <f t="shared" si="6"/>
        <v>12.899992277395938</v>
      </c>
    </row>
    <row r="419" spans="2:7" ht="15" customHeight="1" x14ac:dyDescent="0.3">
      <c r="C419" s="3"/>
      <c r="D419" s="8">
        <v>2024</v>
      </c>
      <c r="E419" s="14">
        <f>Data!F419</f>
        <v>191689000000</v>
      </c>
      <c r="F419" s="14">
        <f>Data!H419</f>
        <v>30439000000</v>
      </c>
      <c r="G419" s="12">
        <f t="shared" si="6"/>
        <v>6.2974802063142681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Data!F420</f>
        <v>0</v>
      </c>
      <c r="F420" s="14">
        <f>Data!H420</f>
        <v>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Data!F421</f>
        <v>152830000000</v>
      </c>
      <c r="F421" s="14">
        <f>Data!H421</f>
        <v>142776000000</v>
      </c>
      <c r="G421" s="12">
        <f t="shared" si="6"/>
        <v>1.0704179974225361</v>
      </c>
    </row>
    <row r="422" spans="2:7" ht="15" customHeight="1" x14ac:dyDescent="0.3">
      <c r="C422" s="3"/>
      <c r="D422" s="8">
        <v>2016</v>
      </c>
      <c r="E422" s="14">
        <f>Data!F422</f>
        <v>177640000000</v>
      </c>
      <c r="F422" s="14">
        <f>Data!H422</f>
        <v>193951000000</v>
      </c>
      <c r="G422" s="12">
        <f t="shared" si="6"/>
        <v>0.91590143902325849</v>
      </c>
    </row>
    <row r="423" spans="2:7" ht="15" customHeight="1" x14ac:dyDescent="0.3">
      <c r="C423" s="3"/>
      <c r="D423" s="8">
        <v>2017</v>
      </c>
      <c r="E423" s="14">
        <f>Data!F423</f>
        <v>161201000000</v>
      </c>
      <c r="F423" s="14">
        <f>Data!H423</f>
        <v>197864000000</v>
      </c>
      <c r="G423" s="12">
        <f t="shared" si="6"/>
        <v>0.81470606072858121</v>
      </c>
    </row>
    <row r="424" spans="2:7" ht="15" customHeight="1" x14ac:dyDescent="0.3">
      <c r="C424" s="3"/>
      <c r="D424" s="8">
        <v>2018</v>
      </c>
      <c r="E424" s="14">
        <f>Data!F424</f>
        <v>210895000000</v>
      </c>
      <c r="F424" s="14">
        <f>Data!H424</f>
        <v>177438000000</v>
      </c>
      <c r="G424" s="12">
        <f t="shared" si="6"/>
        <v>1.1885560026600841</v>
      </c>
    </row>
    <row r="425" spans="2:7" ht="15" customHeight="1" x14ac:dyDescent="0.3">
      <c r="C425" s="3"/>
      <c r="D425" s="8">
        <v>2019</v>
      </c>
      <c r="E425" s="14">
        <f>Data!F425</f>
        <v>143269000000</v>
      </c>
      <c r="F425" s="14">
        <f>Data!H425</f>
        <v>159266000000</v>
      </c>
      <c r="G425" s="12">
        <f t="shared" si="6"/>
        <v>0.89955797219745581</v>
      </c>
    </row>
    <row r="426" spans="2:7" ht="15" customHeight="1" x14ac:dyDescent="0.3">
      <c r="C426" s="3"/>
      <c r="D426" s="8">
        <v>2020</v>
      </c>
      <c r="E426" s="14">
        <f>Data!F426</f>
        <v>197115000000</v>
      </c>
      <c r="F426" s="14">
        <f>Data!H426</f>
        <v>196225000000</v>
      </c>
      <c r="G426" s="12">
        <f t="shared" si="6"/>
        <v>1.0045356096318003</v>
      </c>
    </row>
    <row r="427" spans="2:7" ht="15" customHeight="1" x14ac:dyDescent="0.3">
      <c r="C427" s="3"/>
      <c r="D427" s="8">
        <v>2021</v>
      </c>
      <c r="E427" s="14">
        <f>Data!F427</f>
        <v>209649000000</v>
      </c>
      <c r="F427" s="14">
        <f>Data!H427</f>
        <v>238153000000</v>
      </c>
      <c r="G427" s="12">
        <f t="shared" si="6"/>
        <v>0.88031223625148536</v>
      </c>
    </row>
    <row r="428" spans="2:7" ht="15" customHeight="1" x14ac:dyDescent="0.3">
      <c r="C428" s="3"/>
      <c r="D428" s="8">
        <v>2022</v>
      </c>
      <c r="E428" s="14">
        <f>Data!F428</f>
        <v>147847000000</v>
      </c>
      <c r="F428" s="14">
        <f>Data!H428</f>
        <v>291754000000</v>
      </c>
      <c r="G428" s="12">
        <f t="shared" si="6"/>
        <v>0.50675226389355421</v>
      </c>
    </row>
    <row r="429" spans="2:7" ht="15" customHeight="1" x14ac:dyDescent="0.3">
      <c r="C429" s="3"/>
      <c r="D429" s="8">
        <v>2023</v>
      </c>
      <c r="E429" s="14">
        <f>Data!F429</f>
        <v>438648000000</v>
      </c>
      <c r="F429" s="14">
        <f>Data!H429</f>
        <v>508892000000</v>
      </c>
      <c r="G429" s="12">
        <f t="shared" si="6"/>
        <v>0.86196678273582605</v>
      </c>
    </row>
    <row r="430" spans="2:7" ht="15" customHeight="1" x14ac:dyDescent="0.3">
      <c r="C430" s="3"/>
      <c r="D430" s="8">
        <v>2024</v>
      </c>
      <c r="E430" s="14">
        <f>Data!F430</f>
        <v>283202000000</v>
      </c>
      <c r="F430" s="14">
        <f>Data!H430</f>
        <v>577330000000</v>
      </c>
      <c r="G430" s="12">
        <f t="shared" si="6"/>
        <v>0.49053747423483968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Data!F431</f>
        <v>0</v>
      </c>
      <c r="F431" s="14">
        <f>Data!H431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Data!F432</f>
        <v>0</v>
      </c>
      <c r="F432" s="14">
        <f>Data!H432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Data!F433</f>
        <v>0</v>
      </c>
      <c r="F433" s="14">
        <f>Data!H433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Data!F434</f>
        <v>0</v>
      </c>
      <c r="F434" s="14">
        <f>Data!H434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>
        <f>Data!F435</f>
        <v>114944000000</v>
      </c>
      <c r="F435" s="14">
        <f>Data!H435</f>
        <v>97084000000</v>
      </c>
      <c r="G435" s="12">
        <f t="shared" si="6"/>
        <v>1.1839644019611884</v>
      </c>
    </row>
    <row r="436" spans="2:7" ht="15" customHeight="1" x14ac:dyDescent="0.3">
      <c r="C436" s="3"/>
      <c r="D436" s="8">
        <v>2019</v>
      </c>
      <c r="E436" s="14">
        <f>Data!F436</f>
        <v>126678000000</v>
      </c>
      <c r="F436" s="14">
        <f>Data!H436</f>
        <v>107340000000</v>
      </c>
      <c r="G436" s="12">
        <f t="shared" si="6"/>
        <v>1.1801565120178872</v>
      </c>
    </row>
    <row r="437" spans="2:7" ht="15" customHeight="1" x14ac:dyDescent="0.3">
      <c r="C437" s="3"/>
      <c r="D437" s="8">
        <v>2020</v>
      </c>
      <c r="E437" s="14">
        <f>Data!F437</f>
        <v>118958000000</v>
      </c>
      <c r="F437" s="14">
        <f>Data!H437</f>
        <v>125709000000</v>
      </c>
      <c r="G437" s="12">
        <f t="shared" si="6"/>
        <v>0.94629660565273765</v>
      </c>
    </row>
    <row r="438" spans="2:7" ht="15" customHeight="1" x14ac:dyDescent="0.3">
      <c r="C438" s="3"/>
      <c r="D438" s="8">
        <v>2021</v>
      </c>
      <c r="E438" s="14">
        <f>Data!F438</f>
        <v>158287000000</v>
      </c>
      <c r="F438" s="14">
        <f>Data!H438</f>
        <v>100582000000</v>
      </c>
      <c r="G438" s="12">
        <f t="shared" si="6"/>
        <v>1.5737110019685432</v>
      </c>
    </row>
    <row r="439" spans="2:7" ht="15" customHeight="1" x14ac:dyDescent="0.3">
      <c r="C439" s="3"/>
      <c r="D439" s="8">
        <v>2022</v>
      </c>
      <c r="E439" s="14">
        <f>Data!F439</f>
        <v>170050000000</v>
      </c>
      <c r="F439" s="14">
        <f>Data!H439</f>
        <v>97579000000</v>
      </c>
      <c r="G439" s="12">
        <f t="shared" si="6"/>
        <v>1.7426905379231188</v>
      </c>
    </row>
    <row r="440" spans="2:7" ht="15" customHeight="1" x14ac:dyDescent="0.3">
      <c r="C440" s="3"/>
      <c r="D440" s="8">
        <v>2023</v>
      </c>
      <c r="E440" s="14">
        <f>Data!F440</f>
        <v>115187000000</v>
      </c>
      <c r="F440" s="14">
        <f>Data!H440</f>
        <v>107994000000</v>
      </c>
      <c r="G440" s="12">
        <f t="shared" si="6"/>
        <v>1.0666055521603053</v>
      </c>
    </row>
    <row r="441" spans="2:7" ht="15" customHeight="1" x14ac:dyDescent="0.3">
      <c r="C441" s="3"/>
      <c r="D441" s="8">
        <v>2024</v>
      </c>
      <c r="E441" s="14">
        <f>Data!F441</f>
        <v>110361000000</v>
      </c>
      <c r="F441" s="14">
        <f>Data!H441</f>
        <v>122514000000</v>
      </c>
      <c r="G441" s="12">
        <f t="shared" si="6"/>
        <v>0.90080317351486361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Data!F442</f>
        <v>0</v>
      </c>
      <c r="F442" s="14">
        <f>Data!H442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Data!F443</f>
        <v>0</v>
      </c>
      <c r="F443" s="14">
        <f>Data!H443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Data!F444</f>
        <v>0</v>
      </c>
      <c r="F444" s="14">
        <f>Data!H444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Data!F445</f>
        <v>0</v>
      </c>
      <c r="F445" s="14">
        <f>Data!H445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Data!F446</f>
        <v>356886000000</v>
      </c>
      <c r="F446" s="14">
        <f>Data!H446</f>
        <v>355012000000</v>
      </c>
      <c r="G446" s="12">
        <f t="shared" si="6"/>
        <v>1.0052786948046826</v>
      </c>
    </row>
    <row r="447" spans="2:7" ht="15" customHeight="1" x14ac:dyDescent="0.3">
      <c r="C447" s="3"/>
      <c r="D447" s="8">
        <v>2019</v>
      </c>
      <c r="E447" s="14">
        <f>Data!F447</f>
        <v>6076735000000</v>
      </c>
      <c r="F447" s="14">
        <f>Data!H447</f>
        <v>570269000000</v>
      </c>
      <c r="G447" s="12">
        <f t="shared" si="6"/>
        <v>10.65590975487007</v>
      </c>
    </row>
    <row r="448" spans="2:7" ht="15" customHeight="1" x14ac:dyDescent="0.3">
      <c r="C448" s="3"/>
      <c r="D448" s="8">
        <v>2020</v>
      </c>
      <c r="E448" s="14">
        <f>Data!F448</f>
        <v>1763455000000</v>
      </c>
      <c r="F448" s="14">
        <f>Data!H448</f>
        <v>1006670000000</v>
      </c>
      <c r="G448" s="12">
        <f t="shared" si="6"/>
        <v>1.7517706895010281</v>
      </c>
    </row>
    <row r="449" spans="2:7" ht="15" customHeight="1" x14ac:dyDescent="0.3">
      <c r="C449" s="3"/>
      <c r="D449" s="8">
        <v>2021</v>
      </c>
      <c r="E449" s="14">
        <f>Data!F449</f>
        <v>1405995000000</v>
      </c>
      <c r="F449" s="14">
        <f>Data!H449</f>
        <v>1289835000000</v>
      </c>
      <c r="G449" s="12">
        <f t="shared" si="6"/>
        <v>1.0900580306783425</v>
      </c>
    </row>
    <row r="450" spans="2:7" ht="15" customHeight="1" x14ac:dyDescent="0.3">
      <c r="C450" s="3"/>
      <c r="D450" s="8">
        <v>2022</v>
      </c>
      <c r="E450" s="14">
        <f>Data!F450</f>
        <v>1116147000000</v>
      </c>
      <c r="F450" s="14">
        <f>Data!H450</f>
        <v>1124666000000</v>
      </c>
      <c r="G450" s="12">
        <f t="shared" si="6"/>
        <v>0.992425306713282</v>
      </c>
    </row>
    <row r="451" spans="2:7" ht="15" customHeight="1" x14ac:dyDescent="0.3">
      <c r="C451" s="3"/>
      <c r="D451" s="8">
        <v>2023</v>
      </c>
      <c r="E451" s="14">
        <f>Data!F451</f>
        <v>947780000000</v>
      </c>
      <c r="F451" s="14">
        <f>Data!H451</f>
        <v>1037222000000</v>
      </c>
      <c r="G451" s="12">
        <f t="shared" ref="G451:G514" si="7">IFERROR(E451/F451,0)</f>
        <v>0.91376773728285743</v>
      </c>
    </row>
    <row r="452" spans="2:7" ht="15" customHeight="1" x14ac:dyDescent="0.3">
      <c r="C452" s="3"/>
      <c r="D452" s="8">
        <v>2024</v>
      </c>
      <c r="E452" s="14">
        <f>Data!F452</f>
        <v>1098337000000</v>
      </c>
      <c r="F452" s="14">
        <f>Data!H452</f>
        <v>1130458000000</v>
      </c>
      <c r="G452" s="12">
        <f t="shared" si="7"/>
        <v>0.97158585281363841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Data!F453</f>
        <v>0</v>
      </c>
      <c r="F453" s="14">
        <f>Data!H453</f>
        <v>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Data!F454</f>
        <v>86371410000</v>
      </c>
      <c r="F454" s="14">
        <f>Data!H454</f>
        <v>162929950000</v>
      </c>
      <c r="G454" s="12">
        <f t="shared" si="7"/>
        <v>0.53011376975197011</v>
      </c>
    </row>
    <row r="455" spans="2:7" ht="15" customHeight="1" x14ac:dyDescent="0.3">
      <c r="C455" s="3"/>
      <c r="D455" s="8">
        <v>2016</v>
      </c>
      <c r="E455" s="14">
        <f>Data!F455</f>
        <v>112146830000</v>
      </c>
      <c r="F455" s="14">
        <f>Data!H455</f>
        <v>122768640000</v>
      </c>
      <c r="G455" s="12">
        <f t="shared" si="7"/>
        <v>0.91348108116209481</v>
      </c>
    </row>
    <row r="456" spans="2:7" ht="15" customHeight="1" x14ac:dyDescent="0.3">
      <c r="C456" s="3"/>
      <c r="D456" s="8">
        <v>2017</v>
      </c>
      <c r="E456" s="14">
        <f>Data!F456</f>
        <v>126928209999.99998</v>
      </c>
      <c r="F456" s="14">
        <f>Data!H456</f>
        <v>184387450000</v>
      </c>
      <c r="G456" s="12">
        <f t="shared" si="7"/>
        <v>0.68837770683416899</v>
      </c>
    </row>
    <row r="457" spans="2:7" ht="15" customHeight="1" x14ac:dyDescent="0.3">
      <c r="C457" s="3"/>
      <c r="D457" s="8">
        <v>2018</v>
      </c>
      <c r="E457" s="14">
        <f>Data!F457</f>
        <v>178579820000</v>
      </c>
      <c r="F457" s="14">
        <f>Data!H457</f>
        <v>169377150000</v>
      </c>
      <c r="G457" s="12">
        <f t="shared" si="7"/>
        <v>1.0543324173302007</v>
      </c>
    </row>
    <row r="458" spans="2:7" ht="15" customHeight="1" x14ac:dyDescent="0.3">
      <c r="C458" s="3"/>
      <c r="D458" s="8">
        <v>2019</v>
      </c>
      <c r="E458" s="14">
        <f>Data!F458</f>
        <v>239420159999.99997</v>
      </c>
      <c r="F458" s="14">
        <f>Data!H458</f>
        <v>172621780000</v>
      </c>
      <c r="G458" s="12">
        <f t="shared" si="7"/>
        <v>1.3869638002805902</v>
      </c>
    </row>
    <row r="459" spans="2:7" ht="15" customHeight="1" x14ac:dyDescent="0.3">
      <c r="C459" s="3"/>
      <c r="D459" s="8">
        <v>2020</v>
      </c>
      <c r="E459" s="14">
        <f>Data!F459</f>
        <v>279968690000.00006</v>
      </c>
      <c r="F459" s="14">
        <f>Data!H459</f>
        <v>207307310000</v>
      </c>
      <c r="G459" s="12">
        <f t="shared" si="7"/>
        <v>1.350500809643423</v>
      </c>
    </row>
    <row r="460" spans="2:7" ht="15" customHeight="1" x14ac:dyDescent="0.3">
      <c r="C460" s="3"/>
      <c r="D460" s="8">
        <v>2021</v>
      </c>
      <c r="E460" s="14">
        <f>Data!F460</f>
        <v>382900189999.99994</v>
      </c>
      <c r="F460" s="14">
        <f>Data!H460</f>
        <v>212694280000</v>
      </c>
      <c r="G460" s="12">
        <f t="shared" si="7"/>
        <v>1.8002373641641889</v>
      </c>
    </row>
    <row r="461" spans="2:7" ht="15" customHeight="1" x14ac:dyDescent="0.3">
      <c r="C461" s="3"/>
      <c r="D461" s="8">
        <v>2022</v>
      </c>
      <c r="E461" s="14">
        <f>Data!F461</f>
        <v>383825650000</v>
      </c>
      <c r="F461" s="14">
        <f>Data!H461</f>
        <v>220018100000</v>
      </c>
      <c r="G461" s="12">
        <f t="shared" si="7"/>
        <v>1.7445185191581964</v>
      </c>
    </row>
    <row r="462" spans="2:7" ht="15" customHeight="1" x14ac:dyDescent="0.3">
      <c r="C462" s="3"/>
      <c r="D462" s="8">
        <v>2023</v>
      </c>
      <c r="E462" s="14">
        <f>Data!F462</f>
        <v>469538879999.99994</v>
      </c>
      <c r="F462" s="14">
        <f>Data!H462</f>
        <v>539769510000</v>
      </c>
      <c r="G462" s="12">
        <f t="shared" si="7"/>
        <v>0.8698877415287869</v>
      </c>
    </row>
    <row r="463" spans="2:7" ht="15" customHeight="1" x14ac:dyDescent="0.3">
      <c r="C463" s="3"/>
      <c r="D463" s="8">
        <v>2024</v>
      </c>
      <c r="E463" s="14">
        <f>Data!F463</f>
        <v>462694270000</v>
      </c>
      <c r="F463" s="14">
        <f>Data!H463</f>
        <v>495093520000</v>
      </c>
      <c r="G463" s="12">
        <f t="shared" si="7"/>
        <v>0.93455933335584762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Data!F464</f>
        <v>0</v>
      </c>
      <c r="F464" s="14">
        <f>Data!H464</f>
        <v>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Data!F465</f>
        <v>92963760000.000015</v>
      </c>
      <c r="F465" s="14">
        <f>Data!H465</f>
        <v>31138850000</v>
      </c>
      <c r="G465" s="12">
        <f t="shared" si="7"/>
        <v>2.9854590005732393</v>
      </c>
    </row>
    <row r="466" spans="2:7" ht="15" customHeight="1" x14ac:dyDescent="0.3">
      <c r="C466" s="3"/>
      <c r="D466" s="8">
        <v>2016</v>
      </c>
      <c r="E466" s="14">
        <f>Data!F466</f>
        <v>263255699999.99994</v>
      </c>
      <c r="F466" s="14">
        <f>Data!H466</f>
        <v>95850690000</v>
      </c>
      <c r="G466" s="12">
        <f t="shared" si="7"/>
        <v>2.7465185696628782</v>
      </c>
    </row>
    <row r="467" spans="2:7" ht="15" customHeight="1" x14ac:dyDescent="0.3">
      <c r="C467" s="3"/>
      <c r="D467" s="8">
        <v>2017</v>
      </c>
      <c r="E467" s="14">
        <f>Data!F467</f>
        <v>236033979999.99997</v>
      </c>
      <c r="F467" s="14">
        <f>Data!H467</f>
        <v>56686980000</v>
      </c>
      <c r="G467" s="12">
        <f t="shared" si="7"/>
        <v>4.1638129249432581</v>
      </c>
    </row>
    <row r="468" spans="2:7" ht="15" customHeight="1" x14ac:dyDescent="0.3">
      <c r="C468" s="3"/>
      <c r="D468" s="8">
        <v>2018</v>
      </c>
      <c r="E468" s="14">
        <f>Data!F468</f>
        <v>126481049999.99998</v>
      </c>
      <c r="F468" s="14">
        <f>Data!H468</f>
        <v>83125860000</v>
      </c>
      <c r="G468" s="12">
        <f t="shared" si="7"/>
        <v>1.5215607994912772</v>
      </c>
    </row>
    <row r="469" spans="2:7" ht="15" customHeight="1" x14ac:dyDescent="0.3">
      <c r="C469" s="3"/>
      <c r="D469" s="8">
        <v>2019</v>
      </c>
      <c r="E469" s="14">
        <f>Data!F469</f>
        <v>98712990000</v>
      </c>
      <c r="F469" s="14">
        <f>Data!H469</f>
        <v>54008560000</v>
      </c>
      <c r="G469" s="12">
        <f t="shared" si="7"/>
        <v>1.8277286045026937</v>
      </c>
    </row>
    <row r="470" spans="2:7" ht="15" customHeight="1" x14ac:dyDescent="0.3">
      <c r="C470" s="3"/>
      <c r="D470" s="8">
        <v>2020</v>
      </c>
      <c r="E470" s="14">
        <f>Data!F470</f>
        <v>112257340000</v>
      </c>
      <c r="F470" s="14">
        <f>Data!H470</f>
        <v>71042670000</v>
      </c>
      <c r="G470" s="12">
        <f t="shared" si="7"/>
        <v>1.580139654098023</v>
      </c>
    </row>
    <row r="471" spans="2:7" ht="15" customHeight="1" x14ac:dyDescent="0.3">
      <c r="C471" s="3"/>
      <c r="D471" s="8">
        <v>2021</v>
      </c>
      <c r="E471" s="14">
        <f>Data!F471</f>
        <v>60069760000</v>
      </c>
      <c r="F471" s="14">
        <f>Data!H471</f>
        <v>70457740000</v>
      </c>
      <c r="G471" s="12">
        <f t="shared" si="7"/>
        <v>0.85256438824180281</v>
      </c>
    </row>
    <row r="472" spans="2:7" ht="15" customHeight="1" x14ac:dyDescent="0.3">
      <c r="C472" s="3"/>
      <c r="D472" s="8">
        <v>2022</v>
      </c>
      <c r="E472" s="14">
        <f>Data!F472</f>
        <v>309070769999.99994</v>
      </c>
      <c r="F472" s="14">
        <f>Data!H472</f>
        <v>115107770000</v>
      </c>
      <c r="G472" s="12">
        <f t="shared" si="7"/>
        <v>2.6850556656601023</v>
      </c>
    </row>
    <row r="473" spans="2:7" ht="15" customHeight="1" x14ac:dyDescent="0.3">
      <c r="C473" s="3"/>
      <c r="D473" s="8">
        <v>2023</v>
      </c>
      <c r="E473" s="14">
        <f>Data!F473</f>
        <v>72709019999.999985</v>
      </c>
      <c r="F473" s="14">
        <f>Data!H473</f>
        <v>119965820000</v>
      </c>
      <c r="G473" s="12">
        <f t="shared" si="7"/>
        <v>0.60608113210912895</v>
      </c>
    </row>
    <row r="474" spans="2:7" ht="15" customHeight="1" x14ac:dyDescent="0.3">
      <c r="C474" s="3"/>
      <c r="D474" s="8">
        <v>2024</v>
      </c>
      <c r="E474" s="14">
        <f>Data!F474</f>
        <v>80933199999.999985</v>
      </c>
      <c r="F474" s="14">
        <f>Data!H474</f>
        <v>116231640000</v>
      </c>
      <c r="G474" s="12">
        <f t="shared" si="7"/>
        <v>0.69630954187689331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Data!F475</f>
        <v>0</v>
      </c>
      <c r="F475" s="14">
        <f>Data!H475</f>
        <v>0</v>
      </c>
      <c r="G475" s="12">
        <f t="shared" si="7"/>
        <v>0</v>
      </c>
    </row>
    <row r="476" spans="2:7" ht="15" customHeight="1" x14ac:dyDescent="0.3">
      <c r="C476" s="3"/>
      <c r="D476" s="8">
        <v>2015</v>
      </c>
      <c r="E476" s="14">
        <f>Data!F476</f>
        <v>107940000000</v>
      </c>
      <c r="F476" s="14">
        <f>Data!H476</f>
        <v>14468000000</v>
      </c>
      <c r="G476" s="12">
        <f t="shared" si="7"/>
        <v>7.4606027094277021</v>
      </c>
    </row>
    <row r="477" spans="2:7" ht="15" customHeight="1" x14ac:dyDescent="0.3">
      <c r="C477" s="3"/>
      <c r="D477" s="8">
        <v>2016</v>
      </c>
      <c r="E477" s="14">
        <f>Data!F477</f>
        <v>166932000000</v>
      </c>
      <c r="F477" s="14">
        <f>Data!H477</f>
        <v>63872000000</v>
      </c>
      <c r="G477" s="12">
        <f t="shared" si="7"/>
        <v>2.6135395791583167</v>
      </c>
    </row>
    <row r="478" spans="2:7" ht="15" customHeight="1" x14ac:dyDescent="0.3">
      <c r="C478" s="3"/>
      <c r="D478" s="8">
        <v>2017</v>
      </c>
      <c r="E478" s="14">
        <f>Data!F478</f>
        <v>153204000000</v>
      </c>
      <c r="F478" s="14">
        <f>Data!H478</f>
        <v>51201000000</v>
      </c>
      <c r="G478" s="12">
        <f t="shared" si="7"/>
        <v>2.992207183453448</v>
      </c>
    </row>
    <row r="479" spans="2:7" ht="15" customHeight="1" x14ac:dyDescent="0.3">
      <c r="C479" s="3"/>
      <c r="D479" s="8">
        <v>2018</v>
      </c>
      <c r="E479" s="14">
        <f>Data!F479</f>
        <v>223683000000</v>
      </c>
      <c r="F479" s="14">
        <f>Data!H479</f>
        <v>94527000000</v>
      </c>
      <c r="G479" s="12">
        <f t="shared" si="7"/>
        <v>2.3663397759370337</v>
      </c>
    </row>
    <row r="480" spans="2:7" ht="15" customHeight="1" x14ac:dyDescent="0.3">
      <c r="C480" s="3"/>
      <c r="D480" s="8">
        <v>2019</v>
      </c>
      <c r="E480" s="14">
        <f>Data!F480</f>
        <v>336015000000</v>
      </c>
      <c r="F480" s="14">
        <f>Data!H480</f>
        <v>124966000000</v>
      </c>
      <c r="G480" s="12">
        <f t="shared" si="7"/>
        <v>2.6888513675719796</v>
      </c>
    </row>
    <row r="481" spans="2:7" ht="15" customHeight="1" x14ac:dyDescent="0.3">
      <c r="C481" s="3"/>
      <c r="D481" s="8">
        <v>2020</v>
      </c>
      <c r="E481" s="14">
        <f>Data!F481</f>
        <v>367241000000</v>
      </c>
      <c r="F481" s="14">
        <f>Data!H481</f>
        <v>159233000000</v>
      </c>
      <c r="G481" s="12">
        <f t="shared" si="7"/>
        <v>2.3063121337913621</v>
      </c>
    </row>
    <row r="482" spans="2:7" ht="15" customHeight="1" x14ac:dyDescent="0.3">
      <c r="C482" s="3"/>
      <c r="D482" s="8">
        <v>2021</v>
      </c>
      <c r="E482" s="14">
        <f>Data!F482</f>
        <v>352251000000</v>
      </c>
      <c r="F482" s="14">
        <f>Data!H482</f>
        <v>180791000000</v>
      </c>
      <c r="G482" s="12">
        <f t="shared" si="7"/>
        <v>1.9483879175401431</v>
      </c>
    </row>
    <row r="483" spans="2:7" ht="15" customHeight="1" x14ac:dyDescent="0.3">
      <c r="C483" s="3"/>
      <c r="D483" s="8">
        <v>2022</v>
      </c>
      <c r="E483" s="14">
        <f>Data!F483</f>
        <v>267074000000</v>
      </c>
      <c r="F483" s="14">
        <f>Data!H483</f>
        <v>128460000000</v>
      </c>
      <c r="G483" s="12">
        <f t="shared" si="7"/>
        <v>2.079044060407909</v>
      </c>
    </row>
    <row r="484" spans="2:7" ht="15" customHeight="1" x14ac:dyDescent="0.3">
      <c r="C484" s="3"/>
      <c r="D484" s="8">
        <v>2023</v>
      </c>
      <c r="E484" s="14">
        <f>Data!F484</f>
        <v>214287000000</v>
      </c>
      <c r="F484" s="14">
        <f>Data!H484</f>
        <v>97800000000</v>
      </c>
      <c r="G484" s="12">
        <f t="shared" si="7"/>
        <v>2.1910736196319021</v>
      </c>
    </row>
    <row r="485" spans="2:7" ht="15" customHeight="1" x14ac:dyDescent="0.3">
      <c r="C485" s="3"/>
      <c r="D485" s="8">
        <v>2024</v>
      </c>
      <c r="E485" s="14">
        <f>Data!F485</f>
        <v>168413000000</v>
      </c>
      <c r="F485" s="14">
        <f>Data!H485</f>
        <v>74432000000</v>
      </c>
      <c r="G485" s="12">
        <f t="shared" si="7"/>
        <v>2.2626424118658641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Data!F486</f>
        <v>0</v>
      </c>
      <c r="F486" s="14">
        <f>Data!H486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Data!F487</f>
        <v>0</v>
      </c>
      <c r="F487" s="14">
        <f>Data!H487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Data!F488</f>
        <v>0</v>
      </c>
      <c r="F488" s="14">
        <f>Data!H488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Data!F489</f>
        <v>0</v>
      </c>
      <c r="F489" s="14">
        <f>Data!H489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>
        <f>Data!F490</f>
        <v>1567964000000</v>
      </c>
      <c r="F490" s="14">
        <f>Data!H490</f>
        <v>36574000000</v>
      </c>
      <c r="G490" s="12">
        <f t="shared" si="7"/>
        <v>42.871001257724068</v>
      </c>
    </row>
    <row r="491" spans="2:7" ht="15" customHeight="1" x14ac:dyDescent="0.3">
      <c r="C491" s="3"/>
      <c r="D491" s="8">
        <v>2019</v>
      </c>
      <c r="E491" s="14">
        <f>Data!F491</f>
        <v>1139024000000</v>
      </c>
      <c r="F491" s="14">
        <f>Data!H491</f>
        <v>47815000000</v>
      </c>
      <c r="G491" s="12">
        <f t="shared" si="7"/>
        <v>23.821478615497227</v>
      </c>
    </row>
    <row r="492" spans="2:7" ht="15" customHeight="1" x14ac:dyDescent="0.3">
      <c r="C492" s="3"/>
      <c r="D492" s="8">
        <v>2020</v>
      </c>
      <c r="E492" s="14">
        <f>Data!F492</f>
        <v>206034000000</v>
      </c>
      <c r="F492" s="14">
        <f>Data!H492</f>
        <v>75194000000</v>
      </c>
      <c r="G492" s="12">
        <f t="shared" si="7"/>
        <v>2.7400324493975585</v>
      </c>
    </row>
    <row r="493" spans="2:7" ht="15" customHeight="1" x14ac:dyDescent="0.3">
      <c r="C493" s="3"/>
      <c r="D493" s="8">
        <v>2021</v>
      </c>
      <c r="E493" s="14">
        <f>Data!F493</f>
        <v>116212000000</v>
      </c>
      <c r="F493" s="14">
        <f>Data!H493</f>
        <v>64058000000</v>
      </c>
      <c r="G493" s="12">
        <f t="shared" si="7"/>
        <v>1.8141684098785475</v>
      </c>
    </row>
    <row r="494" spans="2:7" ht="15" customHeight="1" x14ac:dyDescent="0.3">
      <c r="C494" s="3"/>
      <c r="D494" s="8">
        <v>2022</v>
      </c>
      <c r="E494" s="14">
        <f>Data!F494</f>
        <v>195685000000</v>
      </c>
      <c r="F494" s="14">
        <f>Data!H494</f>
        <v>58234000000</v>
      </c>
      <c r="G494" s="12">
        <f t="shared" si="7"/>
        <v>3.3603221485729984</v>
      </c>
    </row>
    <row r="495" spans="2:7" ht="15" customHeight="1" x14ac:dyDescent="0.3">
      <c r="C495" s="3"/>
      <c r="D495" s="8">
        <v>2023</v>
      </c>
      <c r="E495" s="14">
        <f>Data!F495</f>
        <v>179873000000</v>
      </c>
      <c r="F495" s="14">
        <f>Data!H495</f>
        <v>24102000000</v>
      </c>
      <c r="G495" s="12">
        <f t="shared" si="7"/>
        <v>7.4629906231847976</v>
      </c>
    </row>
    <row r="496" spans="2:7" ht="15" customHeight="1" x14ac:dyDescent="0.3">
      <c r="C496" s="3"/>
      <c r="D496" s="8">
        <v>2024</v>
      </c>
      <c r="E496" s="14">
        <f>Data!F496</f>
        <v>197027000000</v>
      </c>
      <c r="F496" s="14">
        <f>Data!H496</f>
        <v>20557000000</v>
      </c>
      <c r="G496" s="12">
        <f t="shared" si="7"/>
        <v>9.5844237972466804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Data!F497</f>
        <v>0</v>
      </c>
      <c r="F497" s="14">
        <f>Data!H497</f>
        <v>0</v>
      </c>
      <c r="G497" s="12">
        <f t="shared" si="7"/>
        <v>0</v>
      </c>
    </row>
    <row r="498" spans="2:7" ht="15" customHeight="1" x14ac:dyDescent="0.3">
      <c r="C498" s="3"/>
      <c r="D498" s="8">
        <v>2015</v>
      </c>
      <c r="E498" s="14">
        <f>Data!F498</f>
        <v>0</v>
      </c>
      <c r="F498" s="14">
        <f>Data!H498</f>
        <v>0</v>
      </c>
      <c r="G498" s="12">
        <f t="shared" si="7"/>
        <v>0</v>
      </c>
    </row>
    <row r="499" spans="2:7" ht="15" customHeight="1" x14ac:dyDescent="0.3">
      <c r="C499" s="3"/>
      <c r="D499" s="8">
        <v>2016</v>
      </c>
      <c r="E499" s="14">
        <f>Data!F499</f>
        <v>4824000000</v>
      </c>
      <c r="F499" s="14">
        <f>Data!H499</f>
        <v>11864000000</v>
      </c>
      <c r="G499" s="12">
        <f t="shared" si="7"/>
        <v>0.40660822656776802</v>
      </c>
    </row>
    <row r="500" spans="2:7" ht="15" customHeight="1" x14ac:dyDescent="0.3">
      <c r="C500" s="3"/>
      <c r="D500" s="8">
        <v>2017</v>
      </c>
      <c r="E500" s="14">
        <f>Data!F500</f>
        <v>12409000000</v>
      </c>
      <c r="F500" s="14">
        <f>Data!H500</f>
        <v>6577000000</v>
      </c>
      <c r="G500" s="12">
        <f t="shared" si="7"/>
        <v>1.8867264710354266</v>
      </c>
    </row>
    <row r="501" spans="2:7" ht="15" customHeight="1" x14ac:dyDescent="0.3">
      <c r="C501" s="3"/>
      <c r="D501" s="8">
        <v>2018</v>
      </c>
      <c r="E501" s="14">
        <f>Data!F501</f>
        <v>19446000000</v>
      </c>
      <c r="F501" s="14">
        <f>Data!H501</f>
        <v>8121000000</v>
      </c>
      <c r="G501" s="12">
        <f t="shared" si="7"/>
        <v>2.394532693018101</v>
      </c>
    </row>
    <row r="502" spans="2:7" ht="15" customHeight="1" x14ac:dyDescent="0.3">
      <c r="C502" s="3"/>
      <c r="D502" s="8">
        <v>2019</v>
      </c>
      <c r="E502" s="14">
        <f>Data!F502</f>
        <v>19898000000</v>
      </c>
      <c r="F502" s="14">
        <f>Data!H502</f>
        <v>12494000000</v>
      </c>
      <c r="G502" s="12">
        <f t="shared" si="7"/>
        <v>1.5926044501360652</v>
      </c>
    </row>
    <row r="503" spans="2:7" ht="15" customHeight="1" x14ac:dyDescent="0.3">
      <c r="C503" s="3"/>
      <c r="D503" s="8">
        <v>2020</v>
      </c>
      <c r="E503" s="14">
        <f>Data!F503</f>
        <v>26515000000</v>
      </c>
      <c r="F503" s="14">
        <f>Data!H503</f>
        <v>15643000000</v>
      </c>
      <c r="G503" s="12">
        <f t="shared" si="7"/>
        <v>1.6950073515310362</v>
      </c>
    </row>
    <row r="504" spans="2:7" ht="15" customHeight="1" x14ac:dyDescent="0.3">
      <c r="C504" s="3"/>
      <c r="D504" s="8">
        <v>2021</v>
      </c>
      <c r="E504" s="14">
        <f>Data!F504</f>
        <v>44598000000</v>
      </c>
      <c r="F504" s="14">
        <f>Data!H504</f>
        <v>31877000000</v>
      </c>
      <c r="G504" s="12">
        <f t="shared" si="7"/>
        <v>1.3990651566960504</v>
      </c>
    </row>
    <row r="505" spans="2:7" ht="15" customHeight="1" x14ac:dyDescent="0.3">
      <c r="C505" s="3"/>
      <c r="D505" s="8">
        <v>2022</v>
      </c>
      <c r="E505" s="14">
        <f>Data!F505</f>
        <v>26320000000</v>
      </c>
      <c r="F505" s="14">
        <f>Data!H505</f>
        <v>21296000000</v>
      </c>
      <c r="G505" s="12">
        <f t="shared" si="7"/>
        <v>1.2359128474830954</v>
      </c>
    </row>
    <row r="506" spans="2:7" ht="15" customHeight="1" x14ac:dyDescent="0.3">
      <c r="C506" s="3"/>
      <c r="D506" s="8">
        <v>2023</v>
      </c>
      <c r="E506" s="14">
        <f>Data!F506</f>
        <v>38244000000</v>
      </c>
      <c r="F506" s="14">
        <f>Data!H506</f>
        <v>22209000000</v>
      </c>
      <c r="G506" s="12">
        <f t="shared" si="7"/>
        <v>1.7220045927326759</v>
      </c>
    </row>
    <row r="507" spans="2:7" ht="15" customHeight="1" x14ac:dyDescent="0.3">
      <c r="C507" s="3"/>
      <c r="D507" s="8">
        <v>2024</v>
      </c>
      <c r="E507" s="14">
        <f>Data!F507</f>
        <v>28304000000</v>
      </c>
      <c r="F507" s="14">
        <f>Data!H507</f>
        <v>21991000000</v>
      </c>
      <c r="G507" s="12">
        <f t="shared" si="7"/>
        <v>1.2870719839934519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Data!F508</f>
        <v>0</v>
      </c>
      <c r="F508" s="14">
        <f>Data!H508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Data!F509</f>
        <v>0</v>
      </c>
      <c r="F509" s="14">
        <f>Data!H509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Data!F510</f>
        <v>0</v>
      </c>
      <c r="F510" s="14">
        <f>Data!H510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Data!F511</f>
        <v>0</v>
      </c>
      <c r="F511" s="14">
        <f>Data!H511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Data!F512</f>
        <v>0</v>
      </c>
      <c r="F512" s="14">
        <f>Data!H512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Data!F513</f>
        <v>171528490000</v>
      </c>
      <c r="F513" s="14">
        <f>Data!H513</f>
        <v>31570130000</v>
      </c>
      <c r="G513" s="12">
        <f t="shared" si="7"/>
        <v>5.4332525713387936</v>
      </c>
    </row>
    <row r="514" spans="2:7" ht="15" customHeight="1" x14ac:dyDescent="0.3">
      <c r="C514" s="3"/>
      <c r="D514" s="8">
        <v>2020</v>
      </c>
      <c r="E514" s="14">
        <f>Data!F514</f>
        <v>125580350000</v>
      </c>
      <c r="F514" s="14">
        <f>Data!H514</f>
        <v>75595850000</v>
      </c>
      <c r="G514" s="12">
        <f t="shared" si="7"/>
        <v>1.6612069313328708</v>
      </c>
    </row>
    <row r="515" spans="2:7" ht="15" customHeight="1" x14ac:dyDescent="0.3">
      <c r="C515" s="3"/>
      <c r="D515" s="8">
        <v>2021</v>
      </c>
      <c r="E515" s="14">
        <f>Data!F515</f>
        <v>104318780000</v>
      </c>
      <c r="F515" s="14">
        <f>Data!H515</f>
        <v>33850260000.000004</v>
      </c>
      <c r="G515" s="12">
        <f t="shared" ref="G515:G578" si="8">IFERROR(E515/F515,0)</f>
        <v>3.0817718977638573</v>
      </c>
    </row>
    <row r="516" spans="2:7" ht="15" customHeight="1" x14ac:dyDescent="0.3">
      <c r="C516" s="3"/>
      <c r="D516" s="8">
        <v>2022</v>
      </c>
      <c r="E516" s="14">
        <f>Data!F516</f>
        <v>100138000000</v>
      </c>
      <c r="F516" s="14">
        <f>Data!H516</f>
        <v>22509000000</v>
      </c>
      <c r="G516" s="12">
        <f t="shared" si="8"/>
        <v>4.4487982584743877</v>
      </c>
    </row>
    <row r="517" spans="2:7" ht="15" customHeight="1" x14ac:dyDescent="0.3">
      <c r="C517" s="3"/>
      <c r="D517" s="8">
        <v>2023</v>
      </c>
      <c r="E517" s="14">
        <f>Data!F517</f>
        <v>156318000000</v>
      </c>
      <c r="F517" s="14">
        <f>Data!H517</f>
        <v>29303000000</v>
      </c>
      <c r="G517" s="12">
        <f t="shared" si="8"/>
        <v>5.3345391256867893</v>
      </c>
    </row>
    <row r="518" spans="2:7" ht="15" customHeight="1" x14ac:dyDescent="0.3">
      <c r="C518" s="3"/>
      <c r="D518" s="8">
        <v>2024</v>
      </c>
      <c r="E518" s="14">
        <f>Data!F518</f>
        <v>90902000000</v>
      </c>
      <c r="F518" s="14">
        <f>Data!H518</f>
        <v>33572000000</v>
      </c>
      <c r="G518" s="12">
        <f t="shared" si="8"/>
        <v>2.70767306088407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Data!F519</f>
        <v>0</v>
      </c>
      <c r="F519" s="14">
        <f>Data!H519</f>
        <v>0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Data!F520</f>
        <v>331362949999.99994</v>
      </c>
      <c r="F520" s="14">
        <f>Data!H520</f>
        <v>367867520000</v>
      </c>
      <c r="G520" s="12">
        <f t="shared" si="8"/>
        <v>0.90076707506006493</v>
      </c>
    </row>
    <row r="521" spans="2:7" ht="15" customHeight="1" x14ac:dyDescent="0.3">
      <c r="C521" s="3"/>
      <c r="D521" s="8">
        <v>2016</v>
      </c>
      <c r="E521" s="14">
        <f>Data!F521</f>
        <v>408898820000</v>
      </c>
      <c r="F521" s="14">
        <f>Data!H521</f>
        <v>642036840000</v>
      </c>
      <c r="G521" s="12">
        <f t="shared" si="8"/>
        <v>0.63687750378934638</v>
      </c>
    </row>
    <row r="522" spans="2:7" ht="15" customHeight="1" x14ac:dyDescent="0.3">
      <c r="C522" s="3"/>
      <c r="D522" s="8">
        <v>2017</v>
      </c>
      <c r="E522" s="14">
        <f>Data!F522</f>
        <v>727370100000</v>
      </c>
      <c r="F522" s="14">
        <f>Data!H522</f>
        <v>471887300000</v>
      </c>
      <c r="G522" s="12">
        <f t="shared" si="8"/>
        <v>1.5414063908903672</v>
      </c>
    </row>
    <row r="523" spans="2:7" ht="15" customHeight="1" x14ac:dyDescent="0.3">
      <c r="C523" s="3"/>
      <c r="D523" s="8">
        <v>2018</v>
      </c>
      <c r="E523" s="14">
        <f>Data!F523</f>
        <v>785010480000</v>
      </c>
      <c r="F523" s="14">
        <f>Data!H523</f>
        <v>661481230000</v>
      </c>
      <c r="G523" s="12">
        <f t="shared" si="8"/>
        <v>1.1867464175816447</v>
      </c>
    </row>
    <row r="524" spans="2:7" ht="15" customHeight="1" x14ac:dyDescent="0.3">
      <c r="C524" s="3"/>
      <c r="D524" s="8">
        <v>2019</v>
      </c>
      <c r="E524" s="14">
        <f>Data!F524</f>
        <v>704569290000</v>
      </c>
      <c r="F524" s="14">
        <f>Data!H524</f>
        <v>420773560000</v>
      </c>
      <c r="G524" s="12">
        <f t="shared" si="8"/>
        <v>1.6744618887175324</v>
      </c>
    </row>
    <row r="525" spans="2:7" ht="15" customHeight="1" x14ac:dyDescent="0.3">
      <c r="C525" s="3"/>
      <c r="D525" s="8">
        <v>2020</v>
      </c>
      <c r="E525" s="14">
        <f>Data!F525</f>
        <v>1129805410000</v>
      </c>
      <c r="F525" s="14">
        <f>Data!H525</f>
        <v>499314920000</v>
      </c>
      <c r="G525" s="12">
        <f t="shared" si="8"/>
        <v>2.2627110962356181</v>
      </c>
    </row>
    <row r="526" spans="2:7" ht="15" customHeight="1" x14ac:dyDescent="0.3">
      <c r="C526" s="3"/>
      <c r="D526" s="8">
        <v>2021</v>
      </c>
      <c r="E526" s="14">
        <f>Data!F526</f>
        <v>1572428750000</v>
      </c>
      <c r="F526" s="14">
        <f>Data!H526</f>
        <v>667619490000</v>
      </c>
      <c r="G526" s="12">
        <f t="shared" si="8"/>
        <v>2.3552768808472022</v>
      </c>
    </row>
    <row r="527" spans="2:7" ht="15" customHeight="1" x14ac:dyDescent="0.3">
      <c r="C527" s="3"/>
      <c r="D527" s="8">
        <v>2022</v>
      </c>
      <c r="E527" s="14">
        <f>Data!F527</f>
        <v>1602718799999.9998</v>
      </c>
      <c r="F527" s="14">
        <f>Data!H527</f>
        <v>659902540000</v>
      </c>
      <c r="G527" s="12">
        <f t="shared" si="8"/>
        <v>2.4287204592362985</v>
      </c>
    </row>
    <row r="528" spans="2:7" ht="15" customHeight="1" x14ac:dyDescent="0.3">
      <c r="C528" s="3"/>
      <c r="D528" s="8">
        <v>2023</v>
      </c>
      <c r="E528" s="14">
        <f>Data!F528</f>
        <v>1006621880000</v>
      </c>
      <c r="F528" s="14">
        <f>Data!H528</f>
        <v>810615190000</v>
      </c>
      <c r="G528" s="12">
        <f t="shared" si="8"/>
        <v>1.2417999223527998</v>
      </c>
    </row>
    <row r="529" spans="2:7" ht="15" customHeight="1" x14ac:dyDescent="0.3">
      <c r="C529" s="3"/>
      <c r="D529" s="8">
        <v>2024</v>
      </c>
      <c r="E529" s="14">
        <f>Data!F529</f>
        <v>911092750000</v>
      </c>
      <c r="F529" s="14">
        <f>Data!H529</f>
        <v>873359750000</v>
      </c>
      <c r="G529" s="12">
        <f t="shared" si="8"/>
        <v>1.0432044183396361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Data!F530</f>
        <v>0</v>
      </c>
      <c r="F530" s="14">
        <f>Data!H530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Data!F531</f>
        <v>0</v>
      </c>
      <c r="F531" s="14">
        <f>Data!H531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>
        <f>Data!F532</f>
        <v>4927000000</v>
      </c>
      <c r="F532" s="14">
        <f>Data!H532</f>
        <v>22162000000</v>
      </c>
      <c r="G532" s="12">
        <f t="shared" si="8"/>
        <v>0.2223174803718076</v>
      </c>
    </row>
    <row r="533" spans="2:7" ht="15" customHeight="1" x14ac:dyDescent="0.3">
      <c r="C533" s="3"/>
      <c r="D533" s="8">
        <v>2017</v>
      </c>
      <c r="E533" s="14">
        <f>Data!F533</f>
        <v>1751000000</v>
      </c>
      <c r="F533" s="14">
        <f>Data!H533</f>
        <v>142000000</v>
      </c>
      <c r="G533" s="12">
        <f t="shared" si="8"/>
        <v>12.330985915492958</v>
      </c>
    </row>
    <row r="534" spans="2:7" ht="15" customHeight="1" x14ac:dyDescent="0.3">
      <c r="C534" s="3"/>
      <c r="D534" s="8">
        <v>2018</v>
      </c>
      <c r="E534" s="14">
        <f>Data!F534</f>
        <v>3879000000</v>
      </c>
      <c r="F534" s="14">
        <f>Data!H534</f>
        <v>3721000000</v>
      </c>
      <c r="G534" s="12">
        <f t="shared" si="8"/>
        <v>1.042461703843053</v>
      </c>
    </row>
    <row r="535" spans="2:7" ht="15" customHeight="1" x14ac:dyDescent="0.3">
      <c r="C535" s="3"/>
      <c r="D535" s="8">
        <v>2019</v>
      </c>
      <c r="E535" s="14">
        <f>Data!F535</f>
        <v>7955000000</v>
      </c>
      <c r="F535" s="14">
        <f>Data!H535</f>
        <v>28024000000</v>
      </c>
      <c r="G535" s="12">
        <f t="shared" si="8"/>
        <v>0.2838638310019983</v>
      </c>
    </row>
    <row r="536" spans="2:7" ht="15" customHeight="1" x14ac:dyDescent="0.3">
      <c r="C536" s="3"/>
      <c r="D536" s="8">
        <v>2020</v>
      </c>
      <c r="E536" s="14">
        <f>Data!F536</f>
        <v>6132000000</v>
      </c>
      <c r="F536" s="14">
        <f>Data!H536</f>
        <v>13512000000</v>
      </c>
      <c r="G536" s="12">
        <f t="shared" si="8"/>
        <v>0.45381882770870335</v>
      </c>
    </row>
    <row r="537" spans="2:7" ht="15" customHeight="1" x14ac:dyDescent="0.3">
      <c r="C537" s="3"/>
      <c r="D537" s="8">
        <v>2021</v>
      </c>
      <c r="E537" s="14">
        <f>Data!F537</f>
        <v>9525000000</v>
      </c>
      <c r="F537" s="14">
        <f>Data!H537</f>
        <v>10556000000</v>
      </c>
      <c r="G537" s="12">
        <f t="shared" si="8"/>
        <v>0.9023304281924972</v>
      </c>
    </row>
    <row r="538" spans="2:7" ht="15" customHeight="1" x14ac:dyDescent="0.3">
      <c r="C538" s="3"/>
      <c r="D538" s="8">
        <v>2022</v>
      </c>
      <c r="E538" s="14">
        <f>Data!F538</f>
        <v>13619000000</v>
      </c>
      <c r="F538" s="14">
        <f>Data!H538</f>
        <v>6926000000</v>
      </c>
      <c r="G538" s="12">
        <f t="shared" si="8"/>
        <v>1.9663586485706035</v>
      </c>
    </row>
    <row r="539" spans="2:7" ht="15" customHeight="1" x14ac:dyDescent="0.3">
      <c r="C539" s="3"/>
      <c r="D539" s="8">
        <v>2023</v>
      </c>
      <c r="E539" s="14">
        <f>Data!F539</f>
        <v>70724000000</v>
      </c>
      <c r="F539" s="14">
        <f>Data!H539</f>
        <v>8482000000</v>
      </c>
      <c r="G539" s="12">
        <f t="shared" si="8"/>
        <v>8.3381278000471593</v>
      </c>
    </row>
    <row r="540" spans="2:7" ht="15" customHeight="1" x14ac:dyDescent="0.3">
      <c r="C540" s="3"/>
      <c r="D540" s="8">
        <v>2024</v>
      </c>
      <c r="E540" s="14">
        <f>Data!F540</f>
        <v>23962000000</v>
      </c>
      <c r="F540" s="14">
        <f>Data!H540</f>
        <v>12454000000</v>
      </c>
      <c r="G540" s="12">
        <f t="shared" si="8"/>
        <v>1.9240404689256463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Data!F541</f>
        <v>0</v>
      </c>
      <c r="F541" s="14">
        <f>Data!H541</f>
        <v>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Data!F542</f>
        <v>193112000000</v>
      </c>
      <c r="F542" s="14">
        <f>Data!H542</f>
        <v>292900000000</v>
      </c>
      <c r="G542" s="12">
        <f t="shared" si="8"/>
        <v>0.65931034482758621</v>
      </c>
    </row>
    <row r="543" spans="2:7" ht="15" customHeight="1" x14ac:dyDescent="0.3">
      <c r="C543" s="3"/>
      <c r="D543" s="8">
        <v>2016</v>
      </c>
      <c r="E543" s="14">
        <f>Data!F543</f>
        <v>199383000000</v>
      </c>
      <c r="F543" s="14">
        <f>Data!H543</f>
        <v>274769000000</v>
      </c>
      <c r="G543" s="12">
        <f t="shared" si="8"/>
        <v>0.72563862735606999</v>
      </c>
    </row>
    <row r="544" spans="2:7" ht="15" customHeight="1" x14ac:dyDescent="0.3">
      <c r="C544" s="3"/>
      <c r="D544" s="8">
        <v>2017</v>
      </c>
      <c r="E544" s="14">
        <f>Data!F544</f>
        <v>193453000000</v>
      </c>
      <c r="F544" s="14">
        <f>Data!H544</f>
        <v>314014000000</v>
      </c>
      <c r="G544" s="12">
        <f t="shared" si="8"/>
        <v>0.61606488882661281</v>
      </c>
    </row>
    <row r="545" spans="2:7" ht="15" customHeight="1" x14ac:dyDescent="0.3">
      <c r="C545" s="3"/>
      <c r="D545" s="8">
        <v>2018</v>
      </c>
      <c r="E545" s="14">
        <f>Data!F545</f>
        <v>215354000000</v>
      </c>
      <c r="F545" s="14">
        <f>Data!H545</f>
        <v>318030000000</v>
      </c>
      <c r="G545" s="12">
        <f t="shared" si="8"/>
        <v>0.67714995440681691</v>
      </c>
    </row>
    <row r="546" spans="2:7" ht="15" customHeight="1" x14ac:dyDescent="0.3">
      <c r="C546" s="3"/>
      <c r="D546" s="8">
        <v>2019</v>
      </c>
      <c r="E546" s="14">
        <f>Data!F546</f>
        <v>282629000000</v>
      </c>
      <c r="F546" s="14">
        <f>Data!H546</f>
        <v>387921000000</v>
      </c>
      <c r="G546" s="12">
        <f t="shared" si="8"/>
        <v>0.72857360132604321</v>
      </c>
    </row>
    <row r="547" spans="2:7" ht="15" customHeight="1" x14ac:dyDescent="0.3">
      <c r="C547" s="3"/>
      <c r="D547" s="8">
        <v>2020</v>
      </c>
      <c r="E547" s="14">
        <f>Data!F547</f>
        <v>406420000000</v>
      </c>
      <c r="F547" s="14">
        <f>Data!H547</f>
        <v>527908000000</v>
      </c>
      <c r="G547" s="12">
        <f t="shared" si="8"/>
        <v>0.76986899232442019</v>
      </c>
    </row>
    <row r="548" spans="2:7" ht="15" customHeight="1" x14ac:dyDescent="0.3">
      <c r="C548" s="3"/>
      <c r="D548" s="8">
        <v>2021</v>
      </c>
      <c r="E548" s="14">
        <f>Data!F548</f>
        <v>478785000000</v>
      </c>
      <c r="F548" s="14">
        <f>Data!H548</f>
        <v>398551000000</v>
      </c>
      <c r="G548" s="12">
        <f t="shared" si="8"/>
        <v>1.201314260910147</v>
      </c>
    </row>
    <row r="549" spans="2:7" ht="15" customHeight="1" x14ac:dyDescent="0.3">
      <c r="C549" s="3"/>
      <c r="D549" s="8">
        <v>2022</v>
      </c>
      <c r="E549" s="14">
        <f>Data!F549</f>
        <v>545151000000</v>
      </c>
      <c r="F549" s="14">
        <f>Data!H549</f>
        <v>403065000000</v>
      </c>
      <c r="G549" s="12">
        <f t="shared" si="8"/>
        <v>1.3525138625283764</v>
      </c>
    </row>
    <row r="550" spans="2:7" ht="15" customHeight="1" x14ac:dyDescent="0.3">
      <c r="C550" s="3"/>
      <c r="D550" s="8">
        <v>2023</v>
      </c>
      <c r="E550" s="14">
        <f>Data!F550</f>
        <v>667211000000</v>
      </c>
      <c r="F550" s="14">
        <f>Data!H550</f>
        <v>485978000000</v>
      </c>
      <c r="G550" s="12">
        <f t="shared" si="8"/>
        <v>1.372924288753812</v>
      </c>
    </row>
    <row r="551" spans="2:7" ht="15" customHeight="1" x14ac:dyDescent="0.3">
      <c r="C551" s="3"/>
      <c r="D551" s="8">
        <v>2024</v>
      </c>
      <c r="E551" s="14">
        <f>Data!F551</f>
        <v>652575000000</v>
      </c>
      <c r="F551" s="14">
        <f>Data!H551</f>
        <v>532821000000</v>
      </c>
      <c r="G551" s="12">
        <f t="shared" si="8"/>
        <v>1.224754654940402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Data!F552</f>
        <v>0</v>
      </c>
      <c r="F552" s="14">
        <f>Data!H552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Data!F553</f>
        <v>0</v>
      </c>
      <c r="F553" s="14">
        <f>Data!H553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Data!F554</f>
        <v>0</v>
      </c>
      <c r="F554" s="14">
        <f>Data!H554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Data!F555</f>
        <v>0</v>
      </c>
      <c r="F555" s="14">
        <f>Data!H555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Data!F556</f>
        <v>0</v>
      </c>
      <c r="F556" s="14">
        <f>Data!H556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Data!F557</f>
        <v>98945000000</v>
      </c>
      <c r="F557" s="14">
        <f>Data!H557</f>
        <v>44411000000</v>
      </c>
      <c r="G557" s="12">
        <f t="shared" si="8"/>
        <v>2.2279390241156469</v>
      </c>
    </row>
    <row r="558" spans="2:7" ht="15" customHeight="1" x14ac:dyDescent="0.3">
      <c r="C558" s="3"/>
      <c r="D558" s="8">
        <v>2020</v>
      </c>
      <c r="E558" s="14">
        <f>Data!F558</f>
        <v>169627000000</v>
      </c>
      <c r="F558" s="14">
        <f>Data!H558</f>
        <v>95681000000</v>
      </c>
      <c r="G558" s="12">
        <f t="shared" si="8"/>
        <v>1.7728389126367827</v>
      </c>
    </row>
    <row r="559" spans="2:7" ht="15" customHeight="1" x14ac:dyDescent="0.3">
      <c r="C559" s="3"/>
      <c r="D559" s="8">
        <v>2021</v>
      </c>
      <c r="E559" s="14">
        <f>Data!F559</f>
        <v>264200699999.99994</v>
      </c>
      <c r="F559" s="14">
        <f>Data!H559</f>
        <v>76167000000</v>
      </c>
      <c r="G559" s="12">
        <f t="shared" si="8"/>
        <v>3.4687029816062065</v>
      </c>
    </row>
    <row r="560" spans="2:7" ht="15" customHeight="1" x14ac:dyDescent="0.3">
      <c r="C560" s="3"/>
      <c r="D560" s="8">
        <v>2022</v>
      </c>
      <c r="E560" s="14">
        <f>Data!F560</f>
        <v>430709000000</v>
      </c>
      <c r="F560" s="14">
        <f>Data!H560</f>
        <v>208363000000</v>
      </c>
      <c r="G560" s="12">
        <f t="shared" si="8"/>
        <v>2.0671088437006571</v>
      </c>
    </row>
    <row r="561" spans="2:7" ht="15" customHeight="1" x14ac:dyDescent="0.3">
      <c r="C561" s="3"/>
      <c r="D561" s="8">
        <v>2023</v>
      </c>
      <c r="E561" s="14">
        <f>Data!F561</f>
        <v>297443000000</v>
      </c>
      <c r="F561" s="14">
        <f>Data!H561</f>
        <v>151372000000</v>
      </c>
      <c r="G561" s="12">
        <f t="shared" si="8"/>
        <v>1.9649803134001005</v>
      </c>
    </row>
    <row r="562" spans="2:7" ht="15" customHeight="1" x14ac:dyDescent="0.3">
      <c r="C562" s="3"/>
      <c r="D562" s="8">
        <v>2024</v>
      </c>
      <c r="E562" s="14">
        <f>Data!F562</f>
        <v>241972000000</v>
      </c>
      <c r="F562" s="14">
        <f>Data!H562</f>
        <v>128256000000</v>
      </c>
      <c r="G562" s="12">
        <f t="shared" si="8"/>
        <v>1.886632984031936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Data!F563</f>
        <v>0</v>
      </c>
      <c r="F563" s="14">
        <f>Data!H563</f>
        <v>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Data!F564</f>
        <v>17005000000</v>
      </c>
      <c r="F564" s="14">
        <f>Data!H564</f>
        <v>16676000000</v>
      </c>
      <c r="G564" s="12">
        <f t="shared" si="8"/>
        <v>1.0197289517869992</v>
      </c>
    </row>
    <row r="565" spans="2:7" ht="15" customHeight="1" x14ac:dyDescent="0.3">
      <c r="C565" s="3"/>
      <c r="D565" s="8">
        <v>2016</v>
      </c>
      <c r="E565" s="14">
        <f>Data!F565</f>
        <v>78793000000</v>
      </c>
      <c r="F565" s="14">
        <f>Data!H565</f>
        <v>28414000000</v>
      </c>
      <c r="G565" s="12">
        <f t="shared" si="8"/>
        <v>2.773034419652284</v>
      </c>
    </row>
    <row r="566" spans="2:7" ht="15" customHeight="1" x14ac:dyDescent="0.3">
      <c r="C566" s="3"/>
      <c r="D566" s="8">
        <v>2017</v>
      </c>
      <c r="E566" s="14">
        <f>Data!F566</f>
        <v>73567000000</v>
      </c>
      <c r="F566" s="14">
        <f>Data!H566</f>
        <v>43747000000</v>
      </c>
      <c r="G566" s="12">
        <f t="shared" si="8"/>
        <v>1.6816467414908451</v>
      </c>
    </row>
    <row r="567" spans="2:7" ht="15" customHeight="1" x14ac:dyDescent="0.3">
      <c r="C567" s="3"/>
      <c r="D567" s="8">
        <v>2018</v>
      </c>
      <c r="E567" s="14">
        <f>Data!F567</f>
        <v>64637000000</v>
      </c>
      <c r="F567" s="14">
        <f>Data!H567</f>
        <v>57508000000</v>
      </c>
      <c r="G567" s="12">
        <f t="shared" si="8"/>
        <v>1.1239653613410308</v>
      </c>
    </row>
    <row r="568" spans="2:7" ht="15" customHeight="1" x14ac:dyDescent="0.3">
      <c r="C568" s="3"/>
      <c r="D568" s="8">
        <v>2019</v>
      </c>
      <c r="E568" s="14">
        <f>Data!F568</f>
        <v>70171000000</v>
      </c>
      <c r="F568" s="14">
        <f>Data!H568</f>
        <v>91711000000</v>
      </c>
      <c r="G568" s="12">
        <f t="shared" si="8"/>
        <v>0.76513177263359899</v>
      </c>
    </row>
    <row r="569" spans="2:7" ht="15" customHeight="1" x14ac:dyDescent="0.3">
      <c r="C569" s="3"/>
      <c r="D569" s="8">
        <v>2020</v>
      </c>
      <c r="E569" s="14">
        <f>Data!F569</f>
        <v>72826000000</v>
      </c>
      <c r="F569" s="14">
        <f>Data!H569</f>
        <v>126756000000</v>
      </c>
      <c r="G569" s="12">
        <f t="shared" si="8"/>
        <v>0.57453690555082204</v>
      </c>
    </row>
    <row r="570" spans="2:7" ht="15" customHeight="1" x14ac:dyDescent="0.3">
      <c r="C570" s="3"/>
      <c r="D570" s="8">
        <v>2021</v>
      </c>
      <c r="E570" s="14">
        <f>Data!F570</f>
        <v>104188000000</v>
      </c>
      <c r="F570" s="14">
        <f>Data!H570</f>
        <v>115737000000</v>
      </c>
      <c r="G570" s="12">
        <f t="shared" si="8"/>
        <v>0.90021341489756945</v>
      </c>
    </row>
    <row r="571" spans="2:7" ht="15" customHeight="1" x14ac:dyDescent="0.3">
      <c r="C571" s="3"/>
      <c r="D571" s="8">
        <v>2022</v>
      </c>
      <c r="E571" s="14">
        <f>Data!F571</f>
        <v>79609000000</v>
      </c>
      <c r="F571" s="14">
        <f>Data!H571</f>
        <v>131702000000</v>
      </c>
      <c r="G571" s="12">
        <f t="shared" si="8"/>
        <v>0.60446310610317233</v>
      </c>
    </row>
    <row r="572" spans="2:7" ht="15" customHeight="1" x14ac:dyDescent="0.3">
      <c r="C572" s="3"/>
      <c r="D572" s="8">
        <v>2023</v>
      </c>
      <c r="E572" s="14">
        <f>Data!F572</f>
        <v>73259000000</v>
      </c>
      <c r="F572" s="14">
        <f>Data!H572</f>
        <v>108267000000</v>
      </c>
      <c r="G572" s="12">
        <f t="shared" si="8"/>
        <v>0.67665124183730962</v>
      </c>
    </row>
    <row r="573" spans="2:7" ht="15" customHeight="1" x14ac:dyDescent="0.3">
      <c r="C573" s="3"/>
      <c r="D573" s="8">
        <v>2024</v>
      </c>
      <c r="E573" s="14">
        <f>Data!F573</f>
        <v>104654000000</v>
      </c>
      <c r="F573" s="14">
        <f>Data!H573</f>
        <v>134237000000</v>
      </c>
      <c r="G573" s="12">
        <f t="shared" si="8"/>
        <v>0.77962111787361155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Data!F574</f>
        <v>0</v>
      </c>
      <c r="F574" s="14">
        <f>Data!H574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Data!F575</f>
        <v>0</v>
      </c>
      <c r="F575" s="14">
        <f>Data!H575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Data!F576</f>
        <v>3024924000000</v>
      </c>
      <c r="F576" s="14">
        <f>Data!H576</f>
        <v>3004966000000</v>
      </c>
      <c r="G576" s="12">
        <f t="shared" si="8"/>
        <v>1.0066416724848135</v>
      </c>
    </row>
    <row r="577" spans="2:7" ht="15" customHeight="1" x14ac:dyDescent="0.3">
      <c r="C577" s="3"/>
      <c r="D577" s="8">
        <v>2017</v>
      </c>
      <c r="E577" s="14">
        <f>Data!F577</f>
        <v>2554374000000</v>
      </c>
      <c r="F577" s="14">
        <f>Data!H577</f>
        <v>3056753000000</v>
      </c>
      <c r="G577" s="12">
        <f t="shared" si="8"/>
        <v>0.83564946202719026</v>
      </c>
    </row>
    <row r="578" spans="2:7" ht="15" customHeight="1" x14ac:dyDescent="0.3">
      <c r="C578" s="3"/>
      <c r="D578" s="8">
        <v>2018</v>
      </c>
      <c r="E578" s="14">
        <f>Data!F578</f>
        <v>1860677000000</v>
      </c>
      <c r="F578" s="14">
        <f>Data!H578</f>
        <v>3204706000000</v>
      </c>
      <c r="G578" s="12">
        <f t="shared" si="8"/>
        <v>0.58060770629193448</v>
      </c>
    </row>
    <row r="579" spans="2:7" ht="15" customHeight="1" x14ac:dyDescent="0.3">
      <c r="C579" s="3"/>
      <c r="D579" s="8">
        <v>2019</v>
      </c>
      <c r="E579" s="14">
        <f>Data!F579</f>
        <v>1419833000000</v>
      </c>
      <c r="F579" s="14">
        <f>Data!H579</f>
        <v>4422507000000</v>
      </c>
      <c r="G579" s="12">
        <f t="shared" ref="G579:G642" si="9">IFERROR(E579/F579,0)</f>
        <v>0.3210470893545222</v>
      </c>
    </row>
    <row r="580" spans="2:7" ht="15" customHeight="1" x14ac:dyDescent="0.3">
      <c r="C580" s="3"/>
      <c r="D580" s="8">
        <v>2020</v>
      </c>
      <c r="E580" s="14">
        <f>Data!F580</f>
        <v>1473455000000</v>
      </c>
      <c r="F580" s="14">
        <f>Data!H580</f>
        <v>3739598000000</v>
      </c>
      <c r="G580" s="12">
        <f t="shared" si="9"/>
        <v>0.39401427640083236</v>
      </c>
    </row>
    <row r="581" spans="2:7" ht="15" customHeight="1" x14ac:dyDescent="0.3">
      <c r="C581" s="3"/>
      <c r="D581" s="8">
        <v>2021</v>
      </c>
      <c r="E581" s="14">
        <f>Data!F581</f>
        <v>1826658000000</v>
      </c>
      <c r="F581" s="14">
        <f>Data!H581</f>
        <v>3016962000000</v>
      </c>
      <c r="G581" s="12">
        <f t="shared" si="9"/>
        <v>0.60546271381608385</v>
      </c>
    </row>
    <row r="582" spans="2:7" ht="15" customHeight="1" x14ac:dyDescent="0.3">
      <c r="C582" s="3"/>
      <c r="D582" s="8">
        <v>2022</v>
      </c>
      <c r="E582" s="14">
        <f>Data!F582</f>
        <v>1903222000000</v>
      </c>
      <c r="F582" s="14">
        <f>Data!H582</f>
        <v>2725654000000</v>
      </c>
      <c r="G582" s="12">
        <f t="shared" si="9"/>
        <v>0.69826250874102147</v>
      </c>
    </row>
    <row r="583" spans="2:7" ht="15" customHeight="1" x14ac:dyDescent="0.3">
      <c r="C583" s="3"/>
      <c r="D583" s="8">
        <v>2023</v>
      </c>
      <c r="E583" s="14">
        <f>Data!F583</f>
        <v>2457780000000</v>
      </c>
      <c r="F583" s="14">
        <f>Data!H583</f>
        <v>2422273000000</v>
      </c>
      <c r="G583" s="12">
        <f t="shared" si="9"/>
        <v>1.0146585459194732</v>
      </c>
    </row>
    <row r="584" spans="2:7" ht="15" customHeight="1" x14ac:dyDescent="0.3">
      <c r="C584" s="3"/>
      <c r="D584" s="8">
        <v>2024</v>
      </c>
      <c r="E584" s="14">
        <f>Data!F584</f>
        <v>2928069000000</v>
      </c>
      <c r="F584" s="14">
        <f>Data!H584</f>
        <v>2557916000000</v>
      </c>
      <c r="G584" s="12">
        <f t="shared" si="9"/>
        <v>1.1447088176468656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Data!F585</f>
        <v>0</v>
      </c>
      <c r="F585" s="14">
        <f>Data!H585</f>
        <v>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Data!F586</f>
        <v>0</v>
      </c>
      <c r="F586" s="14">
        <f>Data!H586</f>
        <v>0</v>
      </c>
      <c r="G586" s="12">
        <f t="shared" si="9"/>
        <v>0</v>
      </c>
    </row>
    <row r="587" spans="2:7" ht="15" customHeight="1" x14ac:dyDescent="0.3">
      <c r="C587" s="4"/>
      <c r="D587" s="8">
        <v>2016</v>
      </c>
      <c r="E587" s="14">
        <f>Data!F587</f>
        <v>0</v>
      </c>
      <c r="F587" s="14">
        <f>Data!H587</f>
        <v>0</v>
      </c>
      <c r="G587" s="12">
        <f t="shared" si="9"/>
        <v>0</v>
      </c>
    </row>
    <row r="588" spans="2:7" ht="15" customHeight="1" x14ac:dyDescent="0.3">
      <c r="C588" s="4"/>
      <c r="D588" s="8">
        <v>2017</v>
      </c>
      <c r="E588" s="14">
        <f>Data!F588</f>
        <v>0</v>
      </c>
      <c r="F588" s="14">
        <f>Data!H588</f>
        <v>0</v>
      </c>
      <c r="G588" s="12">
        <f t="shared" si="9"/>
        <v>0</v>
      </c>
    </row>
    <row r="589" spans="2:7" ht="15" customHeight="1" x14ac:dyDescent="0.3">
      <c r="C589" s="4"/>
      <c r="D589" s="8">
        <v>2018</v>
      </c>
      <c r="E589" s="14">
        <f>Data!F589</f>
        <v>0</v>
      </c>
      <c r="F589" s="14">
        <f>Data!H589</f>
        <v>0</v>
      </c>
      <c r="G589" s="12">
        <f t="shared" si="9"/>
        <v>0</v>
      </c>
    </row>
    <row r="590" spans="2:7" ht="15" customHeight="1" x14ac:dyDescent="0.3">
      <c r="C590" s="4"/>
      <c r="D590" s="8">
        <v>2019</v>
      </c>
      <c r="E590" s="14">
        <f>Data!F590</f>
        <v>0</v>
      </c>
      <c r="F590" s="14">
        <f>Data!H590</f>
        <v>0</v>
      </c>
      <c r="G590" s="12">
        <f t="shared" si="9"/>
        <v>0</v>
      </c>
    </row>
    <row r="591" spans="2:7" ht="15" customHeight="1" x14ac:dyDescent="0.3">
      <c r="C591" s="4"/>
      <c r="D591" s="8">
        <v>2020</v>
      </c>
      <c r="E591" s="14">
        <f>Data!F591</f>
        <v>0</v>
      </c>
      <c r="F591" s="14">
        <f>Data!H591</f>
        <v>0</v>
      </c>
      <c r="G591" s="12">
        <f t="shared" si="9"/>
        <v>0</v>
      </c>
    </row>
    <row r="592" spans="2:7" ht="15" customHeight="1" x14ac:dyDescent="0.3">
      <c r="C592" s="4"/>
      <c r="D592" s="8">
        <v>2021</v>
      </c>
      <c r="E592" s="14">
        <f>Data!F592</f>
        <v>80562000000</v>
      </c>
      <c r="F592" s="14">
        <f>Data!H592</f>
        <v>402000000</v>
      </c>
      <c r="G592" s="12">
        <f t="shared" si="9"/>
        <v>200.40298507462686</v>
      </c>
    </row>
    <row r="593" spans="2:7" ht="15" customHeight="1" x14ac:dyDescent="0.3">
      <c r="C593" s="4"/>
      <c r="D593" s="8">
        <v>2022</v>
      </c>
      <c r="E593" s="14">
        <f>Data!F593</f>
        <v>1082381000000</v>
      </c>
      <c r="F593" s="14">
        <f>Data!H593</f>
        <v>491304000000</v>
      </c>
      <c r="G593" s="12">
        <f t="shared" si="9"/>
        <v>2.2030779313826061</v>
      </c>
    </row>
    <row r="594" spans="2:7" ht="15" customHeight="1" x14ac:dyDescent="0.3">
      <c r="C594" s="4"/>
      <c r="D594" s="8">
        <v>2023</v>
      </c>
      <c r="E594" s="14">
        <f>Data!F594</f>
        <v>963830000000</v>
      </c>
      <c r="F594" s="14">
        <f>Data!H594</f>
        <v>575915000000</v>
      </c>
      <c r="G594" s="12">
        <f t="shared" si="9"/>
        <v>1.6735629389753697</v>
      </c>
    </row>
    <row r="595" spans="2:7" ht="15" customHeight="1" x14ac:dyDescent="0.3">
      <c r="C595" s="4"/>
      <c r="D595" s="8">
        <v>2024</v>
      </c>
      <c r="E595" s="14">
        <f>Data!F595</f>
        <v>953024000000</v>
      </c>
      <c r="F595" s="14">
        <f>Data!H595</f>
        <v>541296000000</v>
      </c>
      <c r="G595" s="12">
        <f t="shared" si="9"/>
        <v>1.7606337382873696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>
        <f>Data!F596</f>
        <v>0</v>
      </c>
      <c r="F596" s="14">
        <f>Data!H596</f>
        <v>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>
        <f>Data!F597</f>
        <v>394277000000</v>
      </c>
      <c r="F597" s="14">
        <f>Data!H597</f>
        <v>329271000000</v>
      </c>
      <c r="G597" s="12">
        <f t="shared" si="9"/>
        <v>1.1974240063655772</v>
      </c>
    </row>
    <row r="598" spans="2:7" ht="15" customHeight="1" x14ac:dyDescent="0.3">
      <c r="C598" s="3"/>
      <c r="D598" s="8">
        <v>2016</v>
      </c>
      <c r="E598" s="14">
        <f>Data!F598</f>
        <v>526676000000</v>
      </c>
      <c r="F598" s="14">
        <f>Data!H598</f>
        <v>629809000000</v>
      </c>
      <c r="G598" s="12">
        <f t="shared" si="9"/>
        <v>0.83624717970051243</v>
      </c>
    </row>
    <row r="599" spans="2:7" ht="15" customHeight="1" x14ac:dyDescent="0.3">
      <c r="C599" s="3"/>
      <c r="D599" s="8">
        <v>2017</v>
      </c>
      <c r="E599" s="14">
        <f>Data!F599</f>
        <v>403342000000</v>
      </c>
      <c r="F599" s="14">
        <f>Data!H599</f>
        <v>748107000000</v>
      </c>
      <c r="G599" s="12">
        <f t="shared" si="9"/>
        <v>0.53915014830766184</v>
      </c>
    </row>
    <row r="600" spans="2:7" ht="15" customHeight="1" x14ac:dyDescent="0.3">
      <c r="C600" s="3"/>
      <c r="D600" s="8">
        <v>2018</v>
      </c>
      <c r="E600" s="14">
        <f>Data!F600</f>
        <v>480463000000</v>
      </c>
      <c r="F600" s="14">
        <f>Data!H600</f>
        <v>844384000000</v>
      </c>
      <c r="G600" s="12">
        <f t="shared" si="9"/>
        <v>0.56901007124720504</v>
      </c>
    </row>
    <row r="601" spans="2:7" ht="15" customHeight="1" x14ac:dyDescent="0.3">
      <c r="C601" s="3"/>
      <c r="D601" s="8">
        <v>2019</v>
      </c>
      <c r="E601" s="14">
        <f>Data!F601</f>
        <v>441573000000</v>
      </c>
      <c r="F601" s="14">
        <f>Data!H601</f>
        <v>928508000000</v>
      </c>
      <c r="G601" s="12">
        <f t="shared" si="9"/>
        <v>0.4755726391156565</v>
      </c>
    </row>
    <row r="602" spans="2:7" ht="15" customHeight="1" x14ac:dyDescent="0.3">
      <c r="C602" s="3"/>
      <c r="D602" s="8">
        <v>2020</v>
      </c>
      <c r="E602" s="14">
        <f>Data!F602</f>
        <v>517826000000</v>
      </c>
      <c r="F602" s="14">
        <f>Data!H602</f>
        <v>993385000000</v>
      </c>
      <c r="G602" s="12">
        <f t="shared" si="9"/>
        <v>0.52127422902500042</v>
      </c>
    </row>
    <row r="603" spans="2:7" ht="15" customHeight="1" x14ac:dyDescent="0.3">
      <c r="C603" s="3"/>
      <c r="D603" s="8">
        <v>2021</v>
      </c>
      <c r="E603" s="14">
        <f>Data!F603</f>
        <v>1044949000000</v>
      </c>
      <c r="F603" s="14">
        <f>Data!H603</f>
        <v>1116255000000</v>
      </c>
      <c r="G603" s="12">
        <f t="shared" si="9"/>
        <v>0.93612033092796898</v>
      </c>
    </row>
    <row r="604" spans="2:7" ht="15" customHeight="1" x14ac:dyDescent="0.3">
      <c r="C604" s="3"/>
      <c r="D604" s="8">
        <v>2022</v>
      </c>
      <c r="E604" s="14">
        <f>Data!F604</f>
        <v>559920000000</v>
      </c>
      <c r="F604" s="14">
        <f>Data!H604</f>
        <v>1093068000000</v>
      </c>
      <c r="G604" s="12">
        <f t="shared" si="9"/>
        <v>0.51224626464227296</v>
      </c>
    </row>
    <row r="605" spans="2:7" ht="15" customHeight="1" x14ac:dyDescent="0.3">
      <c r="C605" s="3"/>
      <c r="D605" s="8">
        <v>2023</v>
      </c>
      <c r="E605" s="14">
        <f>Data!F605</f>
        <v>981491000000</v>
      </c>
      <c r="F605" s="14">
        <f>Data!H605</f>
        <v>1147074000000</v>
      </c>
      <c r="G605" s="12">
        <f t="shared" si="9"/>
        <v>0.85564749963820996</v>
      </c>
    </row>
    <row r="606" spans="2:7" ht="15" customHeight="1" x14ac:dyDescent="0.3">
      <c r="C606" s="3"/>
      <c r="D606" s="8">
        <v>2024</v>
      </c>
      <c r="E606" s="14">
        <f>Data!F606</f>
        <v>1069774000000</v>
      </c>
      <c r="F606" s="14">
        <f>Data!H606</f>
        <v>1224064000000</v>
      </c>
      <c r="G606" s="12">
        <f t="shared" si="9"/>
        <v>0.87395266914148284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Data!F607</f>
        <v>0</v>
      </c>
      <c r="F607" s="14">
        <f>Data!H607</f>
        <v>0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Data!F608</f>
        <v>58823000000</v>
      </c>
      <c r="F608" s="14">
        <f>Data!H608</f>
        <v>102667000000</v>
      </c>
      <c r="G608" s="12">
        <f t="shared" si="9"/>
        <v>0.57294943847584912</v>
      </c>
    </row>
    <row r="609" spans="2:7" ht="15" customHeight="1" x14ac:dyDescent="0.3">
      <c r="C609" s="3"/>
      <c r="D609" s="8">
        <v>2016</v>
      </c>
      <c r="E609" s="14">
        <f>Data!F609</f>
        <v>74566000000</v>
      </c>
      <c r="F609" s="14">
        <f>Data!H609</f>
        <v>152337000000</v>
      </c>
      <c r="G609" s="12">
        <f t="shared" si="9"/>
        <v>0.48948055954889491</v>
      </c>
    </row>
    <row r="610" spans="2:7" ht="15" customHeight="1" x14ac:dyDescent="0.3">
      <c r="C610" s="3"/>
      <c r="D610" s="8">
        <v>2017</v>
      </c>
      <c r="E610" s="14">
        <f>Data!F610</f>
        <v>70500000000</v>
      </c>
      <c r="F610" s="14">
        <f>Data!H610</f>
        <v>155284000000</v>
      </c>
      <c r="G610" s="12">
        <f t="shared" si="9"/>
        <v>0.4540068519615672</v>
      </c>
    </row>
    <row r="611" spans="2:7" ht="15" customHeight="1" x14ac:dyDescent="0.3">
      <c r="C611" s="3"/>
      <c r="D611" s="8">
        <v>2018</v>
      </c>
      <c r="E611" s="14">
        <f>Data!F611</f>
        <v>85051000000</v>
      </c>
      <c r="F611" s="14">
        <f>Data!H611</f>
        <v>154994000000</v>
      </c>
      <c r="G611" s="12">
        <f t="shared" si="9"/>
        <v>0.54873737047885729</v>
      </c>
    </row>
    <row r="612" spans="2:7" ht="15" customHeight="1" x14ac:dyDescent="0.3">
      <c r="C612" s="3"/>
      <c r="D612" s="8">
        <v>2019</v>
      </c>
      <c r="E612" s="14">
        <f>Data!F612</f>
        <v>98433000000</v>
      </c>
      <c r="F612" s="14">
        <f>Data!H612</f>
        <v>161274000000</v>
      </c>
      <c r="G612" s="12">
        <f t="shared" si="9"/>
        <v>0.61034636705234568</v>
      </c>
    </row>
    <row r="613" spans="2:7" ht="15" customHeight="1" x14ac:dyDescent="0.3">
      <c r="C613" s="3"/>
      <c r="D613" s="8">
        <v>2020</v>
      </c>
      <c r="E613" s="14">
        <f>Data!F613</f>
        <v>98487000000</v>
      </c>
      <c r="F613" s="14">
        <f>Data!H613</f>
        <v>193663000000</v>
      </c>
      <c r="G613" s="12">
        <f t="shared" si="9"/>
        <v>0.50854835461600822</v>
      </c>
    </row>
    <row r="614" spans="2:7" ht="15" customHeight="1" x14ac:dyDescent="0.3">
      <c r="C614" s="3"/>
      <c r="D614" s="8">
        <v>2021</v>
      </c>
      <c r="E614" s="14">
        <f>Data!F614</f>
        <v>114763000000</v>
      </c>
      <c r="F614" s="14">
        <f>Data!H614</f>
        <v>199660000000</v>
      </c>
      <c r="G614" s="12">
        <f t="shared" si="9"/>
        <v>0.57479214664930378</v>
      </c>
    </row>
    <row r="615" spans="2:7" ht="15" customHeight="1" x14ac:dyDescent="0.3">
      <c r="C615" s="3"/>
      <c r="D615" s="8">
        <v>2022</v>
      </c>
      <c r="E615" s="14">
        <f>Data!F615</f>
        <v>165982000000</v>
      </c>
      <c r="F615" s="14">
        <f>Data!H615</f>
        <v>188609000000</v>
      </c>
      <c r="G615" s="12">
        <f t="shared" si="9"/>
        <v>0.8800322360014633</v>
      </c>
    </row>
    <row r="616" spans="2:7" ht="15" customHeight="1" x14ac:dyDescent="0.3">
      <c r="C616" s="3"/>
      <c r="D616" s="8">
        <v>2023</v>
      </c>
      <c r="E616" s="14">
        <f>Data!F616</f>
        <v>116417000000</v>
      </c>
      <c r="F616" s="14">
        <f>Data!H616</f>
        <v>158195000000</v>
      </c>
      <c r="G616" s="12">
        <f t="shared" si="9"/>
        <v>0.73590821454533961</v>
      </c>
    </row>
    <row r="617" spans="2:7" ht="15" customHeight="1" x14ac:dyDescent="0.3">
      <c r="C617" s="3"/>
      <c r="D617" s="8">
        <v>2024</v>
      </c>
      <c r="E617" s="14">
        <f>Data!F617</f>
        <v>151166000000</v>
      </c>
      <c r="F617" s="14">
        <f>Data!H617</f>
        <v>195205000000</v>
      </c>
      <c r="G617" s="12">
        <f t="shared" si="9"/>
        <v>0.77439614763966091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Data!F618</f>
        <v>0</v>
      </c>
      <c r="F618" s="14">
        <f>Data!H618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Data!F619</f>
        <v>0</v>
      </c>
      <c r="F619" s="14">
        <f>Data!H619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Data!F620</f>
        <v>0</v>
      </c>
      <c r="F620" s="14">
        <f>Data!H620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Data!F621</f>
        <v>749000000</v>
      </c>
      <c r="F621" s="14">
        <f>Data!H621</f>
        <v>1784000000</v>
      </c>
      <c r="G621" s="12">
        <f t="shared" si="9"/>
        <v>0.41984304932735428</v>
      </c>
    </row>
    <row r="622" spans="2:7" ht="15" customHeight="1" x14ac:dyDescent="0.3">
      <c r="C622" s="3"/>
      <c r="D622" s="8">
        <v>2018</v>
      </c>
      <c r="E622" s="14">
        <f>Data!F622</f>
        <v>2670000000</v>
      </c>
      <c r="F622" s="14">
        <f>Data!H622</f>
        <v>686000000</v>
      </c>
      <c r="G622" s="12">
        <f t="shared" si="9"/>
        <v>3.8921282798833818</v>
      </c>
    </row>
    <row r="623" spans="2:7" ht="15" customHeight="1" x14ac:dyDescent="0.3">
      <c r="C623" s="3"/>
      <c r="D623" s="8">
        <v>2019</v>
      </c>
      <c r="E623" s="14">
        <f>Data!F623</f>
        <v>12525000000</v>
      </c>
      <c r="F623" s="14">
        <f>Data!H623</f>
        <v>11575000000</v>
      </c>
      <c r="G623" s="12">
        <f t="shared" si="9"/>
        <v>1.08207343412527</v>
      </c>
    </row>
    <row r="624" spans="2:7" ht="15" customHeight="1" x14ac:dyDescent="0.3">
      <c r="C624" s="3"/>
      <c r="D624" s="8">
        <v>2020</v>
      </c>
      <c r="E624" s="14">
        <f>Data!F624</f>
        <v>6841000000</v>
      </c>
      <c r="F624" s="14">
        <f>Data!H624</f>
        <v>2806000000</v>
      </c>
      <c r="G624" s="12">
        <f t="shared" si="9"/>
        <v>2.4379900213827512</v>
      </c>
    </row>
    <row r="625" spans="1:7" ht="15" customHeight="1" x14ac:dyDescent="0.3">
      <c r="C625" s="3"/>
      <c r="D625" s="8">
        <v>2021</v>
      </c>
      <c r="E625" s="14">
        <f>Data!F625</f>
        <v>17450000000</v>
      </c>
      <c r="F625" s="14">
        <f>Data!H625</f>
        <v>9610000000</v>
      </c>
      <c r="G625" s="12">
        <f t="shared" si="9"/>
        <v>1.8158168574401665</v>
      </c>
    </row>
    <row r="626" spans="1:7" ht="15" customHeight="1" x14ac:dyDescent="0.3">
      <c r="C626" s="3"/>
      <c r="D626" s="8">
        <v>2022</v>
      </c>
      <c r="E626" s="14">
        <f>Data!F626</f>
        <v>2866000000</v>
      </c>
      <c r="F626" s="14">
        <f>Data!H626</f>
        <v>2080000000</v>
      </c>
      <c r="G626" s="12">
        <f t="shared" si="9"/>
        <v>1.3778846153846154</v>
      </c>
    </row>
    <row r="627" spans="1:7" ht="15" customHeight="1" x14ac:dyDescent="0.3">
      <c r="C627" s="3"/>
      <c r="D627" s="8">
        <v>2023</v>
      </c>
      <c r="E627" s="14">
        <f>Data!F627</f>
        <v>3331000000</v>
      </c>
      <c r="F627" s="14">
        <f>Data!H627</f>
        <v>4029000000</v>
      </c>
      <c r="G627" s="12">
        <f t="shared" si="9"/>
        <v>0.82675601886324146</v>
      </c>
    </row>
    <row r="628" spans="1:7" ht="15" customHeight="1" x14ac:dyDescent="0.3">
      <c r="C628" s="3"/>
      <c r="D628" s="8">
        <v>2024</v>
      </c>
      <c r="E628" s="14">
        <f>Data!F628</f>
        <v>32598000000</v>
      </c>
      <c r="F628" s="14">
        <f>Data!H628</f>
        <v>4948000000</v>
      </c>
      <c r="G628" s="12">
        <f t="shared" si="9"/>
        <v>6.5881164106709784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Data!F629</f>
        <v>0</v>
      </c>
      <c r="F629" s="14">
        <f>Data!H629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Data!F630</f>
        <v>0</v>
      </c>
      <c r="F630" s="14">
        <f>Data!H630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Data!F631</f>
        <v>0</v>
      </c>
      <c r="F631" s="14">
        <f>Data!H631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Data!F632</f>
        <v>0</v>
      </c>
      <c r="F632" s="14">
        <f>Data!H632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Data!F633</f>
        <v>0</v>
      </c>
      <c r="F633" s="14">
        <f>Data!H633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Data!F634</f>
        <v>0</v>
      </c>
      <c r="F634" s="14">
        <f>Data!H634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Data!F635</f>
        <v>122980000000</v>
      </c>
      <c r="F635" s="14">
        <f>Data!H635</f>
        <v>224870000000</v>
      </c>
      <c r="G635" s="12">
        <f t="shared" si="9"/>
        <v>0.54689376083959618</v>
      </c>
    </row>
    <row r="636" spans="1:7" ht="15" customHeight="1" x14ac:dyDescent="0.3">
      <c r="C636" s="4"/>
      <c r="D636" s="8">
        <v>2021</v>
      </c>
      <c r="E636" s="14">
        <f>Data!F636</f>
        <v>171181000000</v>
      </c>
      <c r="F636" s="14">
        <f>Data!H636</f>
        <v>240029000000</v>
      </c>
      <c r="G636" s="12">
        <f t="shared" si="9"/>
        <v>0.7131679922009424</v>
      </c>
    </row>
    <row r="637" spans="1:7" ht="15" customHeight="1" x14ac:dyDescent="0.3">
      <c r="C637" s="4"/>
      <c r="D637" s="8">
        <v>2022</v>
      </c>
      <c r="E637" s="14">
        <f>Data!F637</f>
        <v>148447000000</v>
      </c>
      <c r="F637" s="14">
        <f>Data!H637</f>
        <v>273984000000</v>
      </c>
      <c r="G637" s="12">
        <f t="shared" si="9"/>
        <v>0.54180901074515297</v>
      </c>
    </row>
    <row r="638" spans="1:7" ht="15" customHeight="1" x14ac:dyDescent="0.3">
      <c r="C638" s="4"/>
      <c r="D638" s="8">
        <v>2023</v>
      </c>
      <c r="E638" s="14">
        <f>Data!F638</f>
        <v>252439000000</v>
      </c>
      <c r="F638" s="14">
        <f>Data!H638</f>
        <v>277508000000</v>
      </c>
      <c r="G638" s="12">
        <f t="shared" si="9"/>
        <v>0.90966386554621848</v>
      </c>
    </row>
    <row r="639" spans="1:7" ht="15" customHeight="1" x14ac:dyDescent="0.3">
      <c r="C639" s="4"/>
      <c r="D639" s="8">
        <v>2024</v>
      </c>
      <c r="E639" s="14">
        <f>Data!F639</f>
        <v>174576000000</v>
      </c>
      <c r="F639" s="14">
        <f>Data!H639</f>
        <v>216375000000</v>
      </c>
      <c r="G639" s="12">
        <f t="shared" si="9"/>
        <v>0.80682149046793761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Data!F640</f>
        <v>0</v>
      </c>
      <c r="F640" s="14">
        <f>Data!H640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Data!F641</f>
        <v>0</v>
      </c>
      <c r="F641" s="14">
        <f>Data!H641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Data!F642</f>
        <v>0</v>
      </c>
      <c r="F642" s="14">
        <f>Data!H642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Data!F643</f>
        <v>0</v>
      </c>
      <c r="F643" s="14">
        <f>Data!H643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Data!F644</f>
        <v>0</v>
      </c>
      <c r="F644" s="14">
        <f>Data!H644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Data!F645</f>
        <v>60558800000</v>
      </c>
      <c r="F645" s="14">
        <f>Data!H645</f>
        <v>225165000000</v>
      </c>
      <c r="G645" s="12">
        <f t="shared" si="10"/>
        <v>0.26895299002953388</v>
      </c>
    </row>
    <row r="646" spans="2:7" ht="15" customHeight="1" x14ac:dyDescent="0.3">
      <c r="C646" s="2"/>
      <c r="D646" s="8">
        <v>2020</v>
      </c>
      <c r="E646" s="14">
        <f>Data!F646</f>
        <v>542147000000</v>
      </c>
      <c r="F646" s="14">
        <f>Data!H646</f>
        <v>164785000000</v>
      </c>
      <c r="G646" s="12">
        <f t="shared" si="10"/>
        <v>3.2900263980338016</v>
      </c>
    </row>
    <row r="647" spans="2:7" ht="15" customHeight="1" x14ac:dyDescent="0.3">
      <c r="C647" s="2"/>
      <c r="D647" s="8">
        <v>2021</v>
      </c>
      <c r="E647" s="14">
        <f>Data!F647</f>
        <v>527973000000</v>
      </c>
      <c r="F647" s="14">
        <f>Data!H647</f>
        <v>188316000000</v>
      </c>
      <c r="G647" s="12">
        <f t="shared" si="10"/>
        <v>2.8036544956349965</v>
      </c>
    </row>
    <row r="648" spans="2:7" ht="15" customHeight="1" x14ac:dyDescent="0.3">
      <c r="C648" s="2"/>
      <c r="D648" s="8">
        <v>2022</v>
      </c>
      <c r="E648" s="14">
        <f>Data!F648</f>
        <v>635710000000</v>
      </c>
      <c r="F648" s="14">
        <f>Data!H648</f>
        <v>195114000000</v>
      </c>
      <c r="G648" s="12">
        <f t="shared" si="10"/>
        <v>3.2581465194706682</v>
      </c>
    </row>
    <row r="649" spans="2:7" ht="15" customHeight="1" x14ac:dyDescent="0.3">
      <c r="C649" s="2"/>
      <c r="D649" s="8">
        <v>2023</v>
      </c>
      <c r="E649" s="14">
        <f>Data!F649</f>
        <v>650576000000</v>
      </c>
      <c r="F649" s="14">
        <f>Data!H649</f>
        <v>182849000000</v>
      </c>
      <c r="G649" s="12">
        <f t="shared" si="10"/>
        <v>3.5579959420067926</v>
      </c>
    </row>
    <row r="650" spans="2:7" ht="15" customHeight="1" x14ac:dyDescent="0.3">
      <c r="C650" s="2"/>
      <c r="D650" s="8">
        <v>2024</v>
      </c>
      <c r="E650" s="14">
        <f>Data!F650</f>
        <v>796775000000</v>
      </c>
      <c r="F650" s="14">
        <f>Data!H650</f>
        <v>214218000000</v>
      </c>
      <c r="G650" s="12">
        <f t="shared" si="10"/>
        <v>3.7194586822769327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Data!F651</f>
        <v>0</v>
      </c>
      <c r="F651" s="14">
        <f>Data!H651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Data!F652</f>
        <v>0</v>
      </c>
      <c r="F652" s="14">
        <f>Data!H652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Data!F653</f>
        <v>0</v>
      </c>
      <c r="F653" s="14">
        <f>Data!H653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Data!F654</f>
        <v>0</v>
      </c>
      <c r="F654" s="14">
        <f>Data!H654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Data!F655</f>
        <v>0</v>
      </c>
      <c r="F655" s="14">
        <f>Data!H655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Data!F656</f>
        <v>0</v>
      </c>
      <c r="F656" s="14">
        <f>Data!H656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Data!F657</f>
        <v>135916000000</v>
      </c>
      <c r="F657" s="14">
        <f>Data!H657</f>
        <v>85038000000</v>
      </c>
      <c r="G657" s="12">
        <f t="shared" si="10"/>
        <v>1.598297231825772</v>
      </c>
    </row>
    <row r="658" spans="2:7" ht="15" customHeight="1" x14ac:dyDescent="0.3">
      <c r="C658" s="2"/>
      <c r="D658" s="8">
        <v>2021</v>
      </c>
      <c r="E658" s="14">
        <f>Data!F658</f>
        <v>310303000000</v>
      </c>
      <c r="F658" s="14">
        <f>Data!H658</f>
        <v>70345000000</v>
      </c>
      <c r="G658" s="12">
        <f t="shared" si="10"/>
        <v>4.4111592863742981</v>
      </c>
    </row>
    <row r="659" spans="2:7" ht="15" customHeight="1" x14ac:dyDescent="0.3">
      <c r="C659" s="2"/>
      <c r="D659" s="8">
        <v>2022</v>
      </c>
      <c r="E659" s="14">
        <f>Data!F659</f>
        <v>304730000000</v>
      </c>
      <c r="F659" s="14">
        <f>Data!H659</f>
        <v>80237000000</v>
      </c>
      <c r="G659" s="12">
        <f t="shared" si="10"/>
        <v>3.7978737988708451</v>
      </c>
    </row>
    <row r="660" spans="2:7" ht="15" customHeight="1" x14ac:dyDescent="0.3">
      <c r="C660" s="2"/>
      <c r="D660" s="8">
        <v>2023</v>
      </c>
      <c r="E660" s="14">
        <f>Data!F660</f>
        <v>248956000000</v>
      </c>
      <c r="F660" s="14">
        <f>Data!H660</f>
        <v>109480000000</v>
      </c>
      <c r="G660" s="12">
        <f t="shared" si="10"/>
        <v>2.2739861161856045</v>
      </c>
    </row>
    <row r="661" spans="2:7" ht="15" customHeight="1" x14ac:dyDescent="0.3">
      <c r="C661" s="2"/>
      <c r="D661" s="8">
        <v>2024</v>
      </c>
      <c r="E661" s="14">
        <f>Data!F661</f>
        <v>311809000000</v>
      </c>
      <c r="F661" s="14">
        <f>Data!H661</f>
        <v>115062000000</v>
      </c>
      <c r="G661" s="12">
        <f t="shared" si="10"/>
        <v>2.709921607481184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Data!F662</f>
        <v>0</v>
      </c>
      <c r="F662" s="14">
        <f>Data!H662</f>
        <v>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Data!F663</f>
        <v>1248817000000</v>
      </c>
      <c r="F663" s="14">
        <f>Data!H663</f>
        <v>263629000000</v>
      </c>
      <c r="G663" s="12">
        <f t="shared" si="10"/>
        <v>4.7370243789567912</v>
      </c>
    </row>
    <row r="664" spans="2:7" ht="15" customHeight="1" x14ac:dyDescent="0.3">
      <c r="C664" s="2"/>
      <c r="D664" s="8">
        <v>2016</v>
      </c>
      <c r="E664" s="14">
        <f>Data!F664</f>
        <v>988464000000</v>
      </c>
      <c r="F664" s="14">
        <f>Data!H664</f>
        <v>290615000000</v>
      </c>
      <c r="G664" s="12">
        <f t="shared" si="10"/>
        <v>3.4012834850231406</v>
      </c>
    </row>
    <row r="665" spans="2:7" ht="15" customHeight="1" x14ac:dyDescent="0.3">
      <c r="C665" s="2"/>
      <c r="D665" s="8">
        <v>2017</v>
      </c>
      <c r="E665" s="14">
        <f>Data!F665</f>
        <v>809029000000</v>
      </c>
      <c r="F665" s="14">
        <f>Data!H665</f>
        <v>427191000000</v>
      </c>
      <c r="G665" s="12">
        <f t="shared" si="10"/>
        <v>1.8938343738515091</v>
      </c>
    </row>
    <row r="666" spans="2:7" ht="15" customHeight="1" x14ac:dyDescent="0.3">
      <c r="C666" s="2"/>
      <c r="D666" s="8">
        <v>2018</v>
      </c>
      <c r="E666" s="14">
        <f>Data!F666</f>
        <v>1133718000000</v>
      </c>
      <c r="F666" s="14">
        <f>Data!H666</f>
        <v>394336000000</v>
      </c>
      <c r="G666" s="12">
        <f t="shared" si="10"/>
        <v>2.8750050718169278</v>
      </c>
    </row>
    <row r="667" spans="2:7" ht="15" customHeight="1" x14ac:dyDescent="0.3">
      <c r="C667" s="2"/>
      <c r="D667" s="8">
        <v>2019</v>
      </c>
      <c r="E667" s="14">
        <f>Data!F667</f>
        <v>816449000000</v>
      </c>
      <c r="F667" s="14">
        <f>Data!H667</f>
        <v>527360000000</v>
      </c>
      <c r="G667" s="12">
        <f t="shared" si="10"/>
        <v>1.5481815078883494</v>
      </c>
    </row>
    <row r="668" spans="2:7" ht="15" customHeight="1" x14ac:dyDescent="0.3">
      <c r="C668" s="2"/>
      <c r="D668" s="8">
        <v>2020</v>
      </c>
      <c r="E668" s="14">
        <f>Data!F668</f>
        <v>943240000000</v>
      </c>
      <c r="F668" s="14">
        <f>Data!H668</f>
        <v>526458000000</v>
      </c>
      <c r="G668" s="12">
        <f t="shared" si="10"/>
        <v>1.7916718902552531</v>
      </c>
    </row>
    <row r="669" spans="2:7" ht="15" customHeight="1" x14ac:dyDescent="0.3">
      <c r="C669" s="2"/>
      <c r="D669" s="8">
        <v>2021</v>
      </c>
      <c r="E669" s="14">
        <f>Data!F669</f>
        <v>919891000000</v>
      </c>
      <c r="F669" s="14">
        <f>Data!H669</f>
        <v>509008000000</v>
      </c>
      <c r="G669" s="12">
        <f t="shared" si="10"/>
        <v>1.8072230691855531</v>
      </c>
    </row>
    <row r="670" spans="2:7" ht="15" customHeight="1" x14ac:dyDescent="0.3">
      <c r="C670" s="2"/>
      <c r="D670" s="8">
        <v>2022</v>
      </c>
      <c r="E670" s="14">
        <f>Data!F670</f>
        <v>786431000000</v>
      </c>
      <c r="F670" s="14">
        <f>Data!H670</f>
        <v>442021000000</v>
      </c>
      <c r="G670" s="12">
        <f t="shared" si="10"/>
        <v>1.7791711253537728</v>
      </c>
    </row>
    <row r="671" spans="2:7" ht="15" customHeight="1" x14ac:dyDescent="0.3">
      <c r="C671" s="2"/>
      <c r="D671" s="8">
        <v>2023</v>
      </c>
      <c r="E671" s="14">
        <f>Data!F671</f>
        <v>766607000000</v>
      </c>
      <c r="F671" s="14">
        <f>Data!H671</f>
        <v>443480000000</v>
      </c>
      <c r="G671" s="12">
        <f t="shared" si="10"/>
        <v>1.7286168485613782</v>
      </c>
    </row>
    <row r="672" spans="2:7" ht="15" customHeight="1" x14ac:dyDescent="0.3">
      <c r="C672" s="2"/>
      <c r="D672" s="8">
        <v>2024</v>
      </c>
      <c r="E672" s="14">
        <f>Data!F672</f>
        <v>735903000000</v>
      </c>
      <c r="F672" s="14">
        <f>Data!H672</f>
        <v>353964000000</v>
      </c>
      <c r="G672" s="12">
        <f t="shared" si="10"/>
        <v>2.079033461029935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Data!F673</f>
        <v>0</v>
      </c>
      <c r="F673" s="14">
        <f>Data!H673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Data!F674</f>
        <v>0</v>
      </c>
      <c r="F674" s="14">
        <f>Data!H674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Data!F675</f>
        <v>0</v>
      </c>
      <c r="F675" s="14">
        <f>Data!H675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Data!F676</f>
        <v>0</v>
      </c>
      <c r="F676" s="14">
        <f>Data!H676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Data!F677</f>
        <v>98216440000.000015</v>
      </c>
      <c r="F677" s="14">
        <f>Data!H677</f>
        <v>106322810000</v>
      </c>
      <c r="G677" s="12">
        <f t="shared" si="10"/>
        <v>0.9237570000266172</v>
      </c>
    </row>
    <row r="678" spans="2:7" ht="15" customHeight="1" x14ac:dyDescent="0.3">
      <c r="C678" s="2"/>
      <c r="D678" s="8">
        <v>2019</v>
      </c>
      <c r="E678" s="14">
        <f>Data!F678</f>
        <v>119744559999.99998</v>
      </c>
      <c r="F678" s="14">
        <f>Data!H678</f>
        <v>106487040000</v>
      </c>
      <c r="G678" s="12">
        <f t="shared" si="10"/>
        <v>1.1244989061579698</v>
      </c>
    </row>
    <row r="679" spans="2:7" ht="15" customHeight="1" x14ac:dyDescent="0.3">
      <c r="C679" s="2"/>
      <c r="D679" s="8">
        <v>2020</v>
      </c>
      <c r="E679" s="14">
        <f>Data!F679</f>
        <v>145275070000</v>
      </c>
      <c r="F679" s="14">
        <f>Data!H679</f>
        <v>97254110000</v>
      </c>
      <c r="G679" s="12">
        <f t="shared" si="10"/>
        <v>1.4937679240496879</v>
      </c>
    </row>
    <row r="680" spans="2:7" ht="15" customHeight="1" x14ac:dyDescent="0.3">
      <c r="C680" s="2"/>
      <c r="D680" s="8">
        <v>2021</v>
      </c>
      <c r="E680" s="14">
        <f>Data!F680</f>
        <v>253381890000</v>
      </c>
      <c r="F680" s="14">
        <f>Data!H680</f>
        <v>104758650000</v>
      </c>
      <c r="G680" s="12">
        <f t="shared" si="10"/>
        <v>2.4187204588833477</v>
      </c>
    </row>
    <row r="681" spans="2:7" ht="15" customHeight="1" x14ac:dyDescent="0.3">
      <c r="C681" s="2"/>
      <c r="D681" s="8">
        <v>2022</v>
      </c>
      <c r="E681" s="14">
        <f>Data!F681</f>
        <v>251522550000.00003</v>
      </c>
      <c r="F681" s="14">
        <f>Data!H681</f>
        <v>121282130000</v>
      </c>
      <c r="G681" s="12">
        <f t="shared" si="10"/>
        <v>2.0738632311289389</v>
      </c>
    </row>
    <row r="682" spans="2:7" ht="15" customHeight="1" x14ac:dyDescent="0.3">
      <c r="C682" s="2"/>
      <c r="D682" s="8">
        <v>2023</v>
      </c>
      <c r="E682" s="14">
        <f>Data!F682</f>
        <v>309115670000.00006</v>
      </c>
      <c r="F682" s="14">
        <f>Data!H682</f>
        <v>133271299999.99998</v>
      </c>
      <c r="G682" s="12">
        <f t="shared" si="10"/>
        <v>2.3194466475527746</v>
      </c>
    </row>
    <row r="683" spans="2:7" ht="15" customHeight="1" x14ac:dyDescent="0.3">
      <c r="C683" s="2"/>
      <c r="D683" s="8">
        <v>2024</v>
      </c>
      <c r="E683" s="14">
        <f>Data!F683</f>
        <v>385083120000.00006</v>
      </c>
      <c r="F683" s="14">
        <f>Data!H683</f>
        <v>164999500000</v>
      </c>
      <c r="G683" s="12">
        <f t="shared" si="10"/>
        <v>2.3338441631641311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Data!F684</f>
        <v>0</v>
      </c>
      <c r="F684" s="14">
        <f>Data!H684</f>
        <v>0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Data!F685</f>
        <v>1506481713654</v>
      </c>
      <c r="F685" s="14">
        <f>Data!H685</f>
        <v>1460563642928</v>
      </c>
      <c r="G685" s="12">
        <f t="shared" si="10"/>
        <v>1.0314385962900923</v>
      </c>
    </row>
    <row r="686" spans="2:7" ht="15" customHeight="1" x14ac:dyDescent="0.3">
      <c r="C686" s="2"/>
      <c r="D686" s="8">
        <v>2016</v>
      </c>
      <c r="E686" s="14">
        <f>Data!F686</f>
        <v>1789731053581</v>
      </c>
      <c r="F686" s="14">
        <f>Data!H686</f>
        <v>1198742833687</v>
      </c>
      <c r="G686" s="12">
        <f t="shared" si="10"/>
        <v>1.4930066760660285</v>
      </c>
    </row>
    <row r="687" spans="2:7" ht="15" customHeight="1" x14ac:dyDescent="0.3">
      <c r="C687" s="2"/>
      <c r="D687" s="8">
        <v>2017</v>
      </c>
      <c r="E687" s="14">
        <f>Data!F687</f>
        <v>1488053245940</v>
      </c>
      <c r="F687" s="14">
        <f>Data!H687</f>
        <v>888978343853</v>
      </c>
      <c r="G687" s="12">
        <f t="shared" si="10"/>
        <v>1.6738914465458137</v>
      </c>
    </row>
    <row r="688" spans="2:7" ht="15" customHeight="1" x14ac:dyDescent="0.3">
      <c r="C688" s="2"/>
      <c r="D688" s="8">
        <v>2018</v>
      </c>
      <c r="E688" s="14">
        <f>Data!F688</f>
        <v>1437313331247</v>
      </c>
      <c r="F688" s="14">
        <f>Data!H688</f>
        <v>763972708661</v>
      </c>
      <c r="G688" s="12">
        <f t="shared" si="10"/>
        <v>1.8813673773323014</v>
      </c>
    </row>
    <row r="689" spans="2:7" ht="15" customHeight="1" x14ac:dyDescent="0.3">
      <c r="C689" s="2"/>
      <c r="D689" s="8">
        <v>2019</v>
      </c>
      <c r="E689" s="14">
        <f>Data!F689</f>
        <v>1752720892150</v>
      </c>
      <c r="F689" s="14">
        <f>Data!H689</f>
        <v>928279045262</v>
      </c>
      <c r="G689" s="12">
        <f t="shared" si="10"/>
        <v>1.8881401030175224</v>
      </c>
    </row>
    <row r="690" spans="2:7" ht="15" customHeight="1" x14ac:dyDescent="0.3">
      <c r="C690" s="2"/>
      <c r="D690" s="8">
        <v>2020</v>
      </c>
      <c r="E690" s="14">
        <f>Data!F690</f>
        <v>1640322047066</v>
      </c>
      <c r="F690" s="14">
        <f>Data!H690</f>
        <v>808970689695</v>
      </c>
      <c r="G690" s="12">
        <f t="shared" si="10"/>
        <v>2.0276656100908155</v>
      </c>
    </row>
    <row r="691" spans="2:7" ht="15" customHeight="1" x14ac:dyDescent="0.3">
      <c r="C691" s="2"/>
      <c r="D691" s="8">
        <v>2021</v>
      </c>
      <c r="E691" s="14">
        <f>Data!F691</f>
        <v>1633942575063</v>
      </c>
      <c r="F691" s="14">
        <f>Data!H691</f>
        <v>786685333487</v>
      </c>
      <c r="G691" s="12">
        <f t="shared" si="10"/>
        <v>2.0769963612013886</v>
      </c>
    </row>
    <row r="692" spans="2:7" ht="15" customHeight="1" x14ac:dyDescent="0.3">
      <c r="C692" s="2"/>
      <c r="D692" s="8">
        <v>2022</v>
      </c>
      <c r="E692" s="14">
        <f>Data!F692</f>
        <v>1740014557272</v>
      </c>
      <c r="F692" s="14">
        <f>Data!H692</f>
        <v>888717028449</v>
      </c>
      <c r="G692" s="12">
        <f t="shared" si="10"/>
        <v>1.9578949221989086</v>
      </c>
    </row>
    <row r="693" spans="2:7" ht="15" customHeight="1" x14ac:dyDescent="0.3">
      <c r="C693" s="2"/>
      <c r="D693" s="8">
        <v>2023</v>
      </c>
      <c r="E693" s="14">
        <f>Data!F693</f>
        <v>2169656448484</v>
      </c>
      <c r="F693" s="14">
        <f>Data!H693</f>
        <v>1335805044604</v>
      </c>
      <c r="G693" s="12">
        <f t="shared" si="10"/>
        <v>1.6242313631381708</v>
      </c>
    </row>
    <row r="694" spans="2:7" ht="15" customHeight="1" x14ac:dyDescent="0.3">
      <c r="C694" s="2"/>
      <c r="D694" s="8">
        <v>2024</v>
      </c>
      <c r="E694" s="14">
        <f>Data!F694</f>
        <v>2428478000000</v>
      </c>
      <c r="F694" s="14">
        <f>Data!H694</f>
        <v>149500000000</v>
      </c>
      <c r="G694" s="12">
        <f t="shared" si="10"/>
        <v>16.244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Data!F695</f>
        <v>0</v>
      </c>
      <c r="F695" s="14">
        <f>Data!H695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Data!F696</f>
        <v>0</v>
      </c>
      <c r="F696" s="14">
        <f>Data!H696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Data!F697</f>
        <v>0</v>
      </c>
      <c r="F697" s="14">
        <f>Data!H697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Data!F698</f>
        <v>18509000000</v>
      </c>
      <c r="F698" s="14">
        <f>Data!H698</f>
        <v>55220000</v>
      </c>
      <c r="G698" s="12">
        <f t="shared" si="10"/>
        <v>335.18652662078955</v>
      </c>
    </row>
    <row r="699" spans="2:7" ht="15" customHeight="1" x14ac:dyDescent="0.3">
      <c r="C699" s="1"/>
      <c r="D699" s="8">
        <v>2018</v>
      </c>
      <c r="E699" s="14">
        <f>Data!F699</f>
        <v>130831000000</v>
      </c>
      <c r="F699" s="14">
        <f>Data!H699</f>
        <v>29268000000</v>
      </c>
      <c r="G699" s="12">
        <f t="shared" si="10"/>
        <v>4.470103867705344</v>
      </c>
    </row>
    <row r="700" spans="2:7" ht="15" customHeight="1" x14ac:dyDescent="0.3">
      <c r="C700" s="1"/>
      <c r="D700" s="8">
        <v>2019</v>
      </c>
      <c r="E700" s="14">
        <f>Data!F700</f>
        <v>156416000000</v>
      </c>
      <c r="F700" s="14">
        <f>Data!H700</f>
        <v>29598000000</v>
      </c>
      <c r="G700" s="12">
        <f t="shared" si="10"/>
        <v>5.2846813973917159</v>
      </c>
    </row>
    <row r="701" spans="2:7" ht="15" customHeight="1" x14ac:dyDescent="0.3">
      <c r="C701" s="1"/>
      <c r="D701" s="8">
        <v>2020</v>
      </c>
      <c r="E701" s="14">
        <f>Data!F701</f>
        <v>187376000000</v>
      </c>
      <c r="F701" s="14">
        <f>Data!H701</f>
        <v>35552000000</v>
      </c>
      <c r="G701" s="12">
        <f t="shared" si="10"/>
        <v>5.2704770477047704</v>
      </c>
    </row>
    <row r="702" spans="2:7" ht="15" customHeight="1" x14ac:dyDescent="0.3">
      <c r="C702" s="1"/>
      <c r="D702" s="8">
        <v>2021</v>
      </c>
      <c r="E702" s="14">
        <f>Data!F702</f>
        <v>226842000000</v>
      </c>
      <c r="F702" s="14">
        <f>Data!H702</f>
        <v>39107000000</v>
      </c>
      <c r="G702" s="12">
        <f t="shared" si="10"/>
        <v>5.8005472166108367</v>
      </c>
    </row>
    <row r="703" spans="2:7" ht="15" customHeight="1" x14ac:dyDescent="0.3">
      <c r="C703" s="1"/>
      <c r="D703" s="8">
        <v>2022</v>
      </c>
      <c r="E703" s="14">
        <f>Data!F703</f>
        <v>204330000000</v>
      </c>
      <c r="F703" s="14">
        <f>Data!H703</f>
        <v>102479000000</v>
      </c>
      <c r="G703" s="12">
        <f t="shared" si="10"/>
        <v>1.9938719152216551</v>
      </c>
    </row>
    <row r="704" spans="2:7" ht="15" customHeight="1" x14ac:dyDescent="0.3">
      <c r="C704" s="1"/>
      <c r="D704" s="8">
        <v>2023</v>
      </c>
      <c r="E704" s="14">
        <f>Data!F704</f>
        <v>199685000000</v>
      </c>
      <c r="F704" s="14">
        <f>Data!H704</f>
        <v>102470000000</v>
      </c>
      <c r="G704" s="12">
        <f t="shared" si="10"/>
        <v>1.9487166975700205</v>
      </c>
    </row>
    <row r="705" spans="2:7" ht="15" customHeight="1" x14ac:dyDescent="0.3">
      <c r="C705" s="1"/>
      <c r="D705" s="8">
        <v>2024</v>
      </c>
      <c r="E705" s="14">
        <f>Data!F705</f>
        <v>119293000000</v>
      </c>
      <c r="F705" s="14">
        <f>Data!H705</f>
        <v>94895000000</v>
      </c>
      <c r="G705" s="12">
        <f t="shared" si="10"/>
        <v>1.2571052215606724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Data!F706</f>
        <v>0</v>
      </c>
      <c r="F706" s="14">
        <f>Data!H706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Data!F707</f>
        <v>0</v>
      </c>
      <c r="F707" s="14">
        <f>Data!H707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Data!F708</f>
        <v>0</v>
      </c>
      <c r="F708" s="14">
        <f>Data!H708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Data!F709</f>
        <v>0</v>
      </c>
      <c r="F709" s="14">
        <f>Data!H709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Data!F710</f>
        <v>0</v>
      </c>
      <c r="F710" s="14">
        <f>Data!H710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Data!F711</f>
        <v>0</v>
      </c>
      <c r="F711" s="14">
        <f>Data!H711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Data!F712</f>
        <v>0</v>
      </c>
      <c r="F712" s="14">
        <f>Data!H712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Data!F713</f>
        <v>0</v>
      </c>
      <c r="F713" s="14">
        <f>Data!H713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Data!F714</f>
        <v>14108452635000</v>
      </c>
      <c r="F714" s="14">
        <f>Data!H714</f>
        <v>1780181093000</v>
      </c>
      <c r="G714" s="12">
        <f t="shared" si="11"/>
        <v>7.9252906855808289</v>
      </c>
    </row>
    <row r="715" spans="2:7" ht="15" customHeight="1" x14ac:dyDescent="0.3">
      <c r="C715" s="2"/>
      <c r="D715" s="8">
        <v>2023</v>
      </c>
      <c r="E715" s="14">
        <f>Data!F715</f>
        <v>15492125475000</v>
      </c>
      <c r="F715" s="14">
        <f>Data!H715</f>
        <v>1609285534000</v>
      </c>
      <c r="G715" s="12">
        <f t="shared" si="11"/>
        <v>9.6267102062945646</v>
      </c>
    </row>
    <row r="716" spans="2:7" ht="15" customHeight="1" x14ac:dyDescent="0.3">
      <c r="C716" s="2"/>
      <c r="D716" s="8">
        <v>2024</v>
      </c>
      <c r="E716" s="14">
        <f>Data!F716</f>
        <v>17145454099000</v>
      </c>
      <c r="F716" s="14">
        <f>Data!H716</f>
        <v>1821116744000</v>
      </c>
      <c r="G716" s="12">
        <f t="shared" si="11"/>
        <v>9.414802293970892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Data!F717</f>
        <v>0</v>
      </c>
      <c r="F717" s="14">
        <f>Data!H717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Data!F718</f>
        <v>509621000000</v>
      </c>
      <c r="F718" s="14">
        <f>Data!H718</f>
        <v>315034000000</v>
      </c>
      <c r="G718" s="12">
        <f t="shared" si="11"/>
        <v>1.6176698388110489</v>
      </c>
    </row>
    <row r="719" spans="2:7" ht="15" customHeight="1" x14ac:dyDescent="0.3">
      <c r="C719" s="2"/>
      <c r="D719" s="8">
        <v>2016</v>
      </c>
      <c r="E719" s="14">
        <f>Data!F719</f>
        <v>658252000000</v>
      </c>
      <c r="F719" s="14">
        <f>Data!H719</f>
        <v>269693000000</v>
      </c>
      <c r="G719" s="12">
        <f t="shared" si="11"/>
        <v>2.4407455885024825</v>
      </c>
    </row>
    <row r="720" spans="2:7" ht="15" customHeight="1" x14ac:dyDescent="0.3">
      <c r="C720" s="2"/>
      <c r="D720" s="8">
        <v>2017</v>
      </c>
      <c r="E720" s="14">
        <f>Data!F720</f>
        <v>645131000000</v>
      </c>
      <c r="F720" s="14">
        <f>Data!H720</f>
        <v>381206000000</v>
      </c>
      <c r="G720" s="12">
        <f t="shared" si="11"/>
        <v>1.6923421981815607</v>
      </c>
    </row>
    <row r="721" spans="2:7" ht="15" customHeight="1" x14ac:dyDescent="0.3">
      <c r="C721" s="2"/>
      <c r="D721" s="8">
        <v>2018</v>
      </c>
      <c r="E721" s="14">
        <f>Data!F721</f>
        <v>629608000000</v>
      </c>
      <c r="F721" s="14">
        <f>Data!H721</f>
        <v>358956000000</v>
      </c>
      <c r="G721" s="12">
        <f t="shared" si="11"/>
        <v>1.7539977044540278</v>
      </c>
    </row>
    <row r="722" spans="2:7" ht="15" customHeight="1" x14ac:dyDescent="0.3">
      <c r="C722" s="2"/>
      <c r="D722" s="8">
        <v>2019</v>
      </c>
      <c r="E722" s="14">
        <f>Data!F722</f>
        <v>1001635000000</v>
      </c>
      <c r="F722" s="14">
        <f>Data!H722</f>
        <v>248305000000</v>
      </c>
      <c r="G722" s="12">
        <f t="shared" si="11"/>
        <v>4.0338897726586254</v>
      </c>
    </row>
    <row r="723" spans="2:7" ht="15" customHeight="1" x14ac:dyDescent="0.3">
      <c r="C723" s="2"/>
      <c r="D723" s="8">
        <v>2020</v>
      </c>
      <c r="E723" s="14">
        <f>Data!F723</f>
        <v>1133912000000</v>
      </c>
      <c r="F723" s="14">
        <f>Data!H723</f>
        <v>236618000000</v>
      </c>
      <c r="G723" s="12">
        <f t="shared" si="11"/>
        <v>4.7921628954686453</v>
      </c>
    </row>
    <row r="724" spans="2:7" ht="15" customHeight="1" x14ac:dyDescent="0.3">
      <c r="C724" s="2"/>
      <c r="D724" s="8">
        <v>2021</v>
      </c>
      <c r="E724" s="14">
        <f>Data!F724</f>
        <v>1277193000000</v>
      </c>
      <c r="F724" s="14">
        <f>Data!H724</f>
        <v>250428000000</v>
      </c>
      <c r="G724" s="12">
        <f t="shared" si="11"/>
        <v>5.1000407302697779</v>
      </c>
    </row>
    <row r="725" spans="2:7" ht="15" customHeight="1" x14ac:dyDescent="0.3">
      <c r="C725" s="2"/>
      <c r="D725" s="8">
        <v>2022</v>
      </c>
      <c r="E725" s="14">
        <f>Data!F725</f>
        <v>1274647000000</v>
      </c>
      <c r="F725" s="14">
        <f>Data!H725</f>
        <v>526695000000</v>
      </c>
      <c r="G725" s="12">
        <f t="shared" si="11"/>
        <v>2.4200856283048062</v>
      </c>
    </row>
    <row r="726" spans="2:7" ht="15" customHeight="1" x14ac:dyDescent="0.3">
      <c r="C726" s="2"/>
      <c r="D726" s="8">
        <v>2023</v>
      </c>
      <c r="E726" s="14">
        <f>Data!F726</f>
        <v>1468451000000</v>
      </c>
      <c r="F726" s="14">
        <f>Data!H726</f>
        <v>325275000000</v>
      </c>
      <c r="G726" s="12">
        <f t="shared" si="11"/>
        <v>4.5144908154638381</v>
      </c>
    </row>
    <row r="727" spans="2:7" ht="15" customHeight="1" x14ac:dyDescent="0.3">
      <c r="C727" s="2"/>
      <c r="D727" s="8">
        <v>2024</v>
      </c>
      <c r="E727" s="14">
        <f>Data!F727</f>
        <v>0</v>
      </c>
      <c r="F727" s="14">
        <f>Data!H727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Data!F728</f>
        <v>0</v>
      </c>
      <c r="F728" s="14">
        <f>Data!H728</f>
        <v>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Data!F729</f>
        <v>39024000000</v>
      </c>
      <c r="F729" s="14">
        <f>Data!H729</f>
        <v>33415000000</v>
      </c>
      <c r="G729" s="12">
        <f t="shared" si="11"/>
        <v>1.1678587460721233</v>
      </c>
    </row>
    <row r="730" spans="2:7" ht="15" customHeight="1" x14ac:dyDescent="0.3">
      <c r="C730" s="2"/>
      <c r="D730" s="8">
        <v>2016</v>
      </c>
      <c r="E730" s="14">
        <f>Data!F730</f>
        <v>34068970000</v>
      </c>
      <c r="F730" s="14">
        <f>Data!H730</f>
        <v>21018000000</v>
      </c>
      <c r="G730" s="12">
        <f t="shared" si="11"/>
        <v>1.6209425254543723</v>
      </c>
    </row>
    <row r="731" spans="2:7" ht="15" customHeight="1" x14ac:dyDescent="0.3">
      <c r="C731" s="2"/>
      <c r="D731" s="8">
        <v>2017</v>
      </c>
      <c r="E731" s="14">
        <f>Data!F731</f>
        <v>52586829999.999992</v>
      </c>
      <c r="F731" s="14">
        <f>Data!H731</f>
        <v>16282120000</v>
      </c>
      <c r="G731" s="12">
        <f t="shared" si="11"/>
        <v>3.2297286839797268</v>
      </c>
    </row>
    <row r="732" spans="2:7" ht="15" customHeight="1" x14ac:dyDescent="0.3">
      <c r="C732" s="2"/>
      <c r="D732" s="8">
        <v>2018</v>
      </c>
      <c r="E732" s="14">
        <f>Data!F732</f>
        <v>50671830000</v>
      </c>
      <c r="F732" s="14">
        <f>Data!H732</f>
        <v>17807910000</v>
      </c>
      <c r="G732" s="12">
        <f t="shared" si="11"/>
        <v>2.8454675478481191</v>
      </c>
    </row>
    <row r="733" spans="2:7" ht="15" customHeight="1" x14ac:dyDescent="0.3">
      <c r="C733" s="2"/>
      <c r="D733" s="8">
        <v>2019</v>
      </c>
      <c r="E733" s="14">
        <f>Data!F733</f>
        <v>59184469999.999992</v>
      </c>
      <c r="F733" s="14">
        <f>Data!H733</f>
        <v>21915240000</v>
      </c>
      <c r="G733" s="12">
        <f t="shared" si="11"/>
        <v>2.7006078874792152</v>
      </c>
    </row>
    <row r="734" spans="2:7" ht="15" customHeight="1" x14ac:dyDescent="0.3">
      <c r="C734" s="2"/>
      <c r="D734" s="8">
        <v>2020</v>
      </c>
      <c r="E734" s="14">
        <f>Data!F734</f>
        <v>68371590000</v>
      </c>
      <c r="F734" s="14">
        <f>Data!H734</f>
        <v>22478030000</v>
      </c>
      <c r="G734" s="12">
        <f t="shared" si="11"/>
        <v>3.0417073916175039</v>
      </c>
    </row>
    <row r="735" spans="2:7" ht="15" customHeight="1" x14ac:dyDescent="0.3">
      <c r="C735" s="2"/>
      <c r="D735" s="8">
        <v>2021</v>
      </c>
      <c r="E735" s="14">
        <f>Data!F735</f>
        <v>59669399999.999992</v>
      </c>
      <c r="F735" s="14">
        <f>Data!H735</f>
        <v>23644350000</v>
      </c>
      <c r="G735" s="12">
        <f t="shared" si="11"/>
        <v>2.5236219223620018</v>
      </c>
    </row>
    <row r="736" spans="2:7" ht="15" customHeight="1" x14ac:dyDescent="0.3">
      <c r="C736" s="2"/>
      <c r="D736" s="8">
        <v>2022</v>
      </c>
      <c r="E736" s="14">
        <f>Data!F736</f>
        <v>74411370000</v>
      </c>
      <c r="F736" s="14">
        <f>Data!H736</f>
        <v>27204760000</v>
      </c>
      <c r="G736" s="12">
        <f t="shared" si="11"/>
        <v>2.7352334664963043</v>
      </c>
    </row>
    <row r="737" spans="2:7" ht="15" customHeight="1" x14ac:dyDescent="0.3">
      <c r="C737" s="2"/>
      <c r="D737" s="8">
        <v>2023</v>
      </c>
      <c r="E737" s="14">
        <f>Data!F737</f>
        <v>253342680000.00003</v>
      </c>
      <c r="F737" s="14">
        <f>Data!H737</f>
        <v>40349410000</v>
      </c>
      <c r="G737" s="12">
        <f t="shared" si="11"/>
        <v>6.2787208040960207</v>
      </c>
    </row>
    <row r="738" spans="2:7" ht="15" customHeight="1" x14ac:dyDescent="0.3">
      <c r="C738" s="2"/>
      <c r="D738" s="8">
        <v>2024</v>
      </c>
      <c r="E738" s="14">
        <f>Data!F738</f>
        <v>154611060000</v>
      </c>
      <c r="F738" s="14">
        <f>Data!H738</f>
        <v>42785830000</v>
      </c>
      <c r="G738" s="12">
        <f t="shared" si="11"/>
        <v>3.6136043171302275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Data!F739</f>
        <v>0</v>
      </c>
      <c r="F739" s="14">
        <f>Data!H739</f>
        <v>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Data!F740</f>
        <v>1496453240000</v>
      </c>
      <c r="F740" s="14">
        <f>Data!H740</f>
        <v>1579809224000</v>
      </c>
      <c r="G740" s="12">
        <f t="shared" si="11"/>
        <v>0.94723667723059202</v>
      </c>
    </row>
    <row r="741" spans="2:7" ht="15" customHeight="1" x14ac:dyDescent="0.3">
      <c r="C741" s="2"/>
      <c r="D741" s="8">
        <v>2016</v>
      </c>
      <c r="E741" s="14">
        <f>Data!F741</f>
        <v>1182793367000</v>
      </c>
      <c r="F741" s="14">
        <f>Data!H741</f>
        <v>1529583603000</v>
      </c>
      <c r="G741" s="12">
        <f t="shared" si="11"/>
        <v>0.77327801153213593</v>
      </c>
    </row>
    <row r="742" spans="2:7" ht="15" customHeight="1" x14ac:dyDescent="0.3">
      <c r="C742" s="2"/>
      <c r="D742" s="8">
        <v>2017</v>
      </c>
      <c r="E742" s="14">
        <f>Data!F742</f>
        <v>811383552000</v>
      </c>
      <c r="F742" s="14">
        <f>Data!H742</f>
        <v>1548214090000</v>
      </c>
      <c r="G742" s="12">
        <f t="shared" si="11"/>
        <v>0.52407710099060012</v>
      </c>
    </row>
    <row r="743" spans="2:7" ht="15" customHeight="1" x14ac:dyDescent="0.3">
      <c r="C743" s="2"/>
      <c r="D743" s="8">
        <v>2018</v>
      </c>
      <c r="E743" s="14">
        <f>Data!F743</f>
        <v>979951508000</v>
      </c>
      <c r="F743" s="14">
        <f>Data!H743</f>
        <v>1449498888000</v>
      </c>
      <c r="G743" s="12">
        <f t="shared" si="11"/>
        <v>0.67606226959727067</v>
      </c>
    </row>
    <row r="744" spans="2:7" ht="15" customHeight="1" x14ac:dyDescent="0.3">
      <c r="C744" s="2"/>
      <c r="D744" s="8">
        <v>2019</v>
      </c>
      <c r="E744" s="14">
        <f>Data!F744</f>
        <v>1173339185000</v>
      </c>
      <c r="F744" s="14">
        <f>Data!H744</f>
        <v>1200768430000</v>
      </c>
      <c r="G744" s="12">
        <f t="shared" si="11"/>
        <v>0.97715692358767292</v>
      </c>
    </row>
    <row r="745" spans="2:7" ht="15" customHeight="1" x14ac:dyDescent="0.3">
      <c r="C745" s="2"/>
      <c r="D745" s="8">
        <v>2020</v>
      </c>
      <c r="E745" s="14">
        <f>Data!F745</f>
        <v>748317310000</v>
      </c>
      <c r="F745" s="14">
        <f>Data!H745</f>
        <v>964031503000</v>
      </c>
      <c r="G745" s="12">
        <f t="shared" si="11"/>
        <v>0.7762374026899409</v>
      </c>
    </row>
    <row r="746" spans="2:7" ht="15" customHeight="1" x14ac:dyDescent="0.3">
      <c r="C746" s="2"/>
      <c r="D746" s="8">
        <v>2021</v>
      </c>
      <c r="E746" s="14">
        <f>Data!F746</f>
        <v>564899053000</v>
      </c>
      <c r="F746" s="14">
        <f>Data!H746</f>
        <v>862621954000</v>
      </c>
      <c r="G746" s="12">
        <f t="shared" si="11"/>
        <v>0.6548628288215349</v>
      </c>
    </row>
    <row r="747" spans="2:7" ht="15" customHeight="1" x14ac:dyDescent="0.3">
      <c r="C747" s="2"/>
      <c r="D747" s="8">
        <v>2022</v>
      </c>
      <c r="E747" s="14">
        <f>Data!F747</f>
        <v>624669984000</v>
      </c>
      <c r="F747" s="14">
        <f>Data!H747</f>
        <v>824459703000</v>
      </c>
      <c r="G747" s="12">
        <f t="shared" si="11"/>
        <v>0.7576719416691734</v>
      </c>
    </row>
    <row r="748" spans="2:7" ht="15" customHeight="1" x14ac:dyDescent="0.3">
      <c r="C748" s="2"/>
      <c r="D748" s="8">
        <v>2023</v>
      </c>
      <c r="E748" s="14">
        <f>Data!F748</f>
        <v>988943910000</v>
      </c>
      <c r="F748" s="14">
        <f>Data!H748</f>
        <v>993201589000</v>
      </c>
      <c r="G748" s="12">
        <f t="shared" si="11"/>
        <v>0.99571317741820486</v>
      </c>
    </row>
    <row r="749" spans="2:7" ht="15" customHeight="1" x14ac:dyDescent="0.3">
      <c r="C749" s="2"/>
      <c r="D749" s="8">
        <v>2024</v>
      </c>
      <c r="E749" s="14">
        <f>Data!F749</f>
        <v>725019384000</v>
      </c>
      <c r="F749" s="14">
        <f>Data!H749</f>
        <v>1046909801000</v>
      </c>
      <c r="G749" s="12">
        <f t="shared" si="11"/>
        <v>0.69253280780012494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Data!F750</f>
        <v>0</v>
      </c>
      <c r="F750" s="14">
        <f>Data!H750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Data!F751</f>
        <v>0</v>
      </c>
      <c r="F751" s="14">
        <f>Data!H751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Data!F752</f>
        <v>0</v>
      </c>
      <c r="F752" s="14">
        <f>Data!H752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Data!F753</f>
        <v>92755800000</v>
      </c>
      <c r="F753" s="14">
        <f>Data!H753</f>
        <v>52944070000</v>
      </c>
      <c r="G753" s="12">
        <f t="shared" si="11"/>
        <v>1.7519582457487686</v>
      </c>
    </row>
    <row r="754" spans="2:7" ht="15" customHeight="1" x14ac:dyDescent="0.3">
      <c r="C754" s="2"/>
      <c r="D754" s="8">
        <v>2018</v>
      </c>
      <c r="E754" s="14">
        <f>Data!F754</f>
        <v>113531140000</v>
      </c>
      <c r="F754" s="14">
        <f>Data!H754</f>
        <v>54765320000</v>
      </c>
      <c r="G754" s="12">
        <f t="shared" si="11"/>
        <v>2.0730480530379443</v>
      </c>
    </row>
    <row r="755" spans="2:7" ht="15" customHeight="1" x14ac:dyDescent="0.3">
      <c r="C755" s="2"/>
      <c r="D755" s="8">
        <v>2019</v>
      </c>
      <c r="E755" s="14">
        <f>Data!F755</f>
        <v>143108700000</v>
      </c>
      <c r="F755" s="14">
        <f>Data!H755</f>
        <v>50782820000</v>
      </c>
      <c r="G755" s="12">
        <f t="shared" si="11"/>
        <v>2.8180534283050842</v>
      </c>
    </row>
    <row r="756" spans="2:7" ht="15" customHeight="1" x14ac:dyDescent="0.3">
      <c r="C756" s="2"/>
      <c r="D756" s="8">
        <v>2020</v>
      </c>
      <c r="E756" s="14">
        <f>Data!F756</f>
        <v>205739720000.00003</v>
      </c>
      <c r="F756" s="14">
        <f>Data!H756</f>
        <v>69018200000</v>
      </c>
      <c r="G756" s="12">
        <f t="shared" si="11"/>
        <v>2.9809487932168621</v>
      </c>
    </row>
    <row r="757" spans="2:7" ht="15" customHeight="1" x14ac:dyDescent="0.3">
      <c r="C757" s="2"/>
      <c r="D757" s="8">
        <v>2021</v>
      </c>
      <c r="E757" s="14">
        <f>Data!F757</f>
        <v>214528519999.99997</v>
      </c>
      <c r="F757" s="14">
        <f>Data!H757</f>
        <v>90856490000</v>
      </c>
      <c r="G757" s="12">
        <f t="shared" si="11"/>
        <v>2.3611799223148502</v>
      </c>
    </row>
    <row r="758" spans="2:7" ht="15" customHeight="1" x14ac:dyDescent="0.3">
      <c r="C758" s="2"/>
      <c r="D758" s="8">
        <v>2022</v>
      </c>
      <c r="E758" s="14">
        <f>Data!F758</f>
        <v>240829060000.00003</v>
      </c>
      <c r="F758" s="14">
        <f>Data!H758</f>
        <v>74198980000</v>
      </c>
      <c r="G758" s="12">
        <f t="shared" si="11"/>
        <v>3.2457192807771755</v>
      </c>
    </row>
    <row r="759" spans="2:7" ht="15" customHeight="1" x14ac:dyDescent="0.3">
      <c r="C759" s="2"/>
      <c r="D759" s="8">
        <v>2023</v>
      </c>
      <c r="E759" s="14">
        <f>Data!F759</f>
        <v>304771829999.99994</v>
      </c>
      <c r="F759" s="14">
        <f>Data!H759</f>
        <v>82051450000</v>
      </c>
      <c r="G759" s="12">
        <f t="shared" si="11"/>
        <v>3.7143990752143923</v>
      </c>
    </row>
    <row r="760" spans="2:7" ht="15" customHeight="1" x14ac:dyDescent="0.3">
      <c r="C760" s="2"/>
      <c r="D760" s="8">
        <v>2024</v>
      </c>
      <c r="E760" s="14">
        <f>Data!F760</f>
        <v>268087660000.00003</v>
      </c>
      <c r="F760" s="14">
        <f>Data!H760</f>
        <v>95242450000</v>
      </c>
      <c r="G760" s="12">
        <f t="shared" si="11"/>
        <v>2.8147917236484363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Data!F761</f>
        <v>0</v>
      </c>
      <c r="F761" s="14">
        <f>Data!H761</f>
        <v>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Data!F762</f>
        <v>140990377000</v>
      </c>
      <c r="F762" s="14">
        <f>Data!H762</f>
        <v>76180300000</v>
      </c>
      <c r="G762" s="12">
        <f t="shared" si="11"/>
        <v>1.8507458883727157</v>
      </c>
    </row>
    <row r="763" spans="2:7" ht="15" customHeight="1" x14ac:dyDescent="0.3">
      <c r="C763" s="2"/>
      <c r="D763" s="8">
        <v>2016</v>
      </c>
      <c r="E763" s="14">
        <f>Data!F763</f>
        <v>252687237000</v>
      </c>
      <c r="F763" s="14">
        <f>Data!H763</f>
        <v>58415820000</v>
      </c>
      <c r="G763" s="12">
        <f t="shared" si="11"/>
        <v>4.3256644689743293</v>
      </c>
    </row>
    <row r="764" spans="2:7" ht="15" customHeight="1" x14ac:dyDescent="0.3">
      <c r="C764" s="2"/>
      <c r="D764" s="8">
        <v>2017</v>
      </c>
      <c r="E764" s="14">
        <f>Data!F764</f>
        <v>331114439000</v>
      </c>
      <c r="F764" s="14">
        <f>Data!H764</f>
        <v>119138398000</v>
      </c>
      <c r="G764" s="12">
        <f t="shared" si="11"/>
        <v>2.7792419955151653</v>
      </c>
    </row>
    <row r="765" spans="2:7" ht="15" customHeight="1" x14ac:dyDescent="0.3">
      <c r="C765" s="2"/>
      <c r="D765" s="8">
        <v>2018</v>
      </c>
      <c r="E765" s="14">
        <f>Data!F765</f>
        <v>439929132000</v>
      </c>
      <c r="F765" s="14">
        <f>Data!H765</f>
        <v>130924547000</v>
      </c>
      <c r="G765" s="12">
        <f t="shared" si="11"/>
        <v>3.3601730315706191</v>
      </c>
    </row>
    <row r="766" spans="2:7" ht="15" customHeight="1" x14ac:dyDescent="0.3">
      <c r="C766" s="2"/>
      <c r="D766" s="8">
        <v>2019</v>
      </c>
      <c r="E766" s="14">
        <f>Data!F766</f>
        <v>446790288000</v>
      </c>
      <c r="F766" s="14">
        <f>Data!H766</f>
        <v>83135850000</v>
      </c>
      <c r="G766" s="12">
        <f t="shared" si="11"/>
        <v>5.3742192808517624</v>
      </c>
    </row>
    <row r="767" spans="2:7" ht="15" customHeight="1" x14ac:dyDescent="0.3">
      <c r="C767" s="2"/>
      <c r="D767" s="8">
        <v>2020</v>
      </c>
      <c r="E767" s="14">
        <f>Data!F767</f>
        <v>427207091000</v>
      </c>
      <c r="F767" s="14">
        <f>Data!H767</f>
        <v>101973594000</v>
      </c>
      <c r="G767" s="12">
        <f t="shared" si="11"/>
        <v>4.1893893727036824</v>
      </c>
    </row>
    <row r="768" spans="2:7" ht="15" customHeight="1" x14ac:dyDescent="0.3">
      <c r="C768" s="2"/>
      <c r="D768" s="8">
        <v>2021</v>
      </c>
      <c r="E768" s="14">
        <f>Data!F768</f>
        <v>447370600000</v>
      </c>
      <c r="F768" s="14">
        <f>Data!H768</f>
        <v>126100072000</v>
      </c>
      <c r="G768" s="12">
        <f t="shared" si="11"/>
        <v>3.5477426214316514</v>
      </c>
    </row>
    <row r="769" spans="2:7" ht="15" customHeight="1" x14ac:dyDescent="0.3">
      <c r="C769" s="2"/>
      <c r="D769" s="8">
        <v>2022</v>
      </c>
      <c r="E769" s="14">
        <f>Data!F769</f>
        <v>504595559000</v>
      </c>
      <c r="F769" s="14">
        <f>Data!H769</f>
        <v>91031534000</v>
      </c>
      <c r="G769" s="12">
        <f t="shared" si="11"/>
        <v>5.5430853115141394</v>
      </c>
    </row>
    <row r="770" spans="2:7" ht="15" customHeight="1" x14ac:dyDescent="0.3">
      <c r="C770" s="2"/>
      <c r="D770" s="8">
        <v>2023</v>
      </c>
      <c r="E770" s="14">
        <f>Data!F770</f>
        <v>474221779000</v>
      </c>
      <c r="F770" s="14">
        <f>Data!H770</f>
        <v>92642463000</v>
      </c>
      <c r="G770" s="12">
        <f t="shared" si="11"/>
        <v>5.1188382048953081</v>
      </c>
    </row>
    <row r="771" spans="2:7" ht="15" customHeight="1" x14ac:dyDescent="0.3">
      <c r="C771" s="2"/>
      <c r="D771" s="8">
        <v>2024</v>
      </c>
      <c r="E771" s="14">
        <f>Data!F771</f>
        <v>362727524000</v>
      </c>
      <c r="F771" s="14">
        <f>Data!H771</f>
        <v>110720162000</v>
      </c>
      <c r="G771" s="12">
        <f t="shared" ref="G771:G834" si="12">IFERROR(E771/F771,0)</f>
        <v>3.2760747225062765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Data!F772</f>
        <v>0</v>
      </c>
      <c r="F772" s="14">
        <f>Data!H772</f>
        <v>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Data!F773</f>
        <v>151503000000</v>
      </c>
      <c r="F773" s="14">
        <f>Data!H773</f>
        <v>65534000000</v>
      </c>
      <c r="G773" s="12">
        <f t="shared" si="12"/>
        <v>2.3118228705710013</v>
      </c>
    </row>
    <row r="774" spans="2:7" ht="15" customHeight="1" x14ac:dyDescent="0.3">
      <c r="C774" s="2"/>
      <c r="D774" s="8">
        <v>2016</v>
      </c>
      <c r="E774" s="14">
        <f>Data!F774</f>
        <v>155143000000</v>
      </c>
      <c r="F774" s="14">
        <f>Data!H774</f>
        <v>83251000000</v>
      </c>
      <c r="G774" s="12">
        <f t="shared" si="12"/>
        <v>1.8635571945081741</v>
      </c>
    </row>
    <row r="775" spans="2:7" ht="15" customHeight="1" x14ac:dyDescent="0.3">
      <c r="C775" s="2"/>
      <c r="D775" s="8">
        <v>2017</v>
      </c>
      <c r="E775" s="14">
        <f>Data!F775</f>
        <v>118183000000</v>
      </c>
      <c r="F775" s="14">
        <f>Data!H775</f>
        <v>74365000000</v>
      </c>
      <c r="G775" s="12">
        <f t="shared" si="12"/>
        <v>1.5892288038727895</v>
      </c>
    </row>
    <row r="776" spans="2:7" ht="15" customHeight="1" x14ac:dyDescent="0.3">
      <c r="C776" s="2"/>
      <c r="D776" s="8">
        <v>2018</v>
      </c>
      <c r="E776" s="14">
        <f>Data!F776</f>
        <v>131190000000</v>
      </c>
      <c r="F776" s="14">
        <f>Data!H776</f>
        <v>88296000000</v>
      </c>
      <c r="G776" s="12">
        <f t="shared" si="12"/>
        <v>1.4857977711334602</v>
      </c>
    </row>
    <row r="777" spans="2:7" ht="15" customHeight="1" x14ac:dyDescent="0.3">
      <c r="C777" s="2"/>
      <c r="D777" s="8">
        <v>2019</v>
      </c>
      <c r="E777" s="14">
        <f>Data!F777</f>
        <v>120525000000</v>
      </c>
      <c r="F777" s="14">
        <f>Data!H777</f>
        <v>83426000000</v>
      </c>
      <c r="G777" s="12">
        <f t="shared" si="12"/>
        <v>1.4446935008270803</v>
      </c>
    </row>
    <row r="778" spans="2:7" ht="15" customHeight="1" x14ac:dyDescent="0.3">
      <c r="C778" s="2"/>
      <c r="D778" s="8">
        <v>2020</v>
      </c>
      <c r="E778" s="14">
        <f>Data!F778</f>
        <v>157446000000</v>
      </c>
      <c r="F778" s="14">
        <f>Data!H778</f>
        <v>84355000000</v>
      </c>
      <c r="G778" s="12">
        <f t="shared" si="12"/>
        <v>1.8664690889692372</v>
      </c>
    </row>
    <row r="779" spans="2:7" ht="15" customHeight="1" x14ac:dyDescent="0.3">
      <c r="C779" s="2"/>
      <c r="D779" s="8">
        <v>2021</v>
      </c>
      <c r="E779" s="14">
        <f>Data!F779</f>
        <v>203280000000</v>
      </c>
      <c r="F779" s="14">
        <f>Data!H779</f>
        <v>73439000000</v>
      </c>
      <c r="G779" s="12">
        <f t="shared" si="12"/>
        <v>2.768011546998189</v>
      </c>
    </row>
    <row r="780" spans="2:7" ht="15" customHeight="1" x14ac:dyDescent="0.3">
      <c r="C780" s="2"/>
      <c r="D780" s="8">
        <v>2022</v>
      </c>
      <c r="E780" s="14">
        <f>Data!F780</f>
        <v>278524000000</v>
      </c>
      <c r="F780" s="14">
        <f>Data!H780</f>
        <v>44117000000</v>
      </c>
      <c r="G780" s="12">
        <f t="shared" si="12"/>
        <v>6.3133032617811731</v>
      </c>
    </row>
    <row r="781" spans="2:7" ht="15" customHeight="1" x14ac:dyDescent="0.3">
      <c r="C781" s="2"/>
      <c r="D781" s="8">
        <v>2023</v>
      </c>
      <c r="E781" s="14">
        <f>Data!F781</f>
        <v>340607000000</v>
      </c>
      <c r="F781" s="14">
        <f>Data!H781</f>
        <v>39662000000</v>
      </c>
      <c r="G781" s="12">
        <f t="shared" si="12"/>
        <v>8.5877414149563815</v>
      </c>
    </row>
    <row r="782" spans="2:7" ht="15" customHeight="1" x14ac:dyDescent="0.3">
      <c r="C782" s="2"/>
      <c r="D782" s="8">
        <v>2024</v>
      </c>
      <c r="E782" s="14">
        <f>Data!F782</f>
        <v>270345000000</v>
      </c>
      <c r="F782" s="14">
        <f>Data!H782</f>
        <v>38377000000</v>
      </c>
      <c r="G782" s="12">
        <f t="shared" si="12"/>
        <v>7.044453709252938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Data!F783</f>
        <v>0</v>
      </c>
      <c r="F783" s="14">
        <f>Data!H783</f>
        <v>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Data!F784</f>
        <v>198056000000</v>
      </c>
      <c r="F784" s="14">
        <f>Data!H784</f>
        <v>71272000000</v>
      </c>
      <c r="G784" s="12">
        <f t="shared" si="12"/>
        <v>2.7788752946458639</v>
      </c>
    </row>
    <row r="785" spans="2:7" ht="15" customHeight="1" x14ac:dyDescent="0.3">
      <c r="C785" s="2"/>
      <c r="D785" s="8">
        <v>2016</v>
      </c>
      <c r="E785" s="14">
        <f>Data!F785</f>
        <v>234256000000</v>
      </c>
      <c r="F785" s="14">
        <f>Data!H785</f>
        <v>65619000000</v>
      </c>
      <c r="G785" s="12">
        <f t="shared" si="12"/>
        <v>3.5699416327588045</v>
      </c>
    </row>
    <row r="786" spans="2:7" ht="15" customHeight="1" x14ac:dyDescent="0.3">
      <c r="C786" s="2"/>
      <c r="D786" s="8">
        <v>2017</v>
      </c>
      <c r="E786" s="14">
        <f>Data!F786</f>
        <v>438998000000</v>
      </c>
      <c r="F786" s="14">
        <f>Data!H786</f>
        <v>171672000000</v>
      </c>
      <c r="G786" s="12">
        <f t="shared" si="12"/>
        <v>2.5571904562188359</v>
      </c>
    </row>
    <row r="787" spans="2:7" ht="15" customHeight="1" x14ac:dyDescent="0.3">
      <c r="C787" s="2"/>
      <c r="D787" s="8">
        <v>2018</v>
      </c>
      <c r="E787" s="14">
        <f>Data!F787</f>
        <v>609411000000</v>
      </c>
      <c r="F787" s="14">
        <f>Data!H787</f>
        <v>254286000000</v>
      </c>
      <c r="G787" s="12">
        <f t="shared" si="12"/>
        <v>2.396557419598405</v>
      </c>
    </row>
    <row r="788" spans="2:7" ht="15" customHeight="1" x14ac:dyDescent="0.3">
      <c r="C788" s="2"/>
      <c r="D788" s="8">
        <v>2019</v>
      </c>
      <c r="E788" s="14">
        <f>Data!F788</f>
        <v>559842000000</v>
      </c>
      <c r="F788" s="14">
        <f>Data!H788</f>
        <v>331285000000</v>
      </c>
      <c r="G788" s="12">
        <f t="shared" si="12"/>
        <v>1.6899105000226391</v>
      </c>
    </row>
    <row r="789" spans="2:7" ht="15" customHeight="1" x14ac:dyDescent="0.3">
      <c r="C789" s="2"/>
      <c r="D789" s="8">
        <v>2020</v>
      </c>
      <c r="E789" s="14">
        <f>Data!F789</f>
        <v>603524000000</v>
      </c>
      <c r="F789" s="14">
        <f>Data!H789</f>
        <v>290993000000</v>
      </c>
      <c r="G789" s="12">
        <f t="shared" si="12"/>
        <v>2.0740155261466771</v>
      </c>
    </row>
    <row r="790" spans="2:7" ht="15" customHeight="1" x14ac:dyDescent="0.3">
      <c r="C790" s="2"/>
      <c r="D790" s="8">
        <v>2021</v>
      </c>
      <c r="E790" s="14">
        <f>Data!F790</f>
        <v>629944000000</v>
      </c>
      <c r="F790" s="14">
        <f>Data!H790</f>
        <v>333827000000</v>
      </c>
      <c r="G790" s="12">
        <f t="shared" si="12"/>
        <v>1.8870372977620145</v>
      </c>
    </row>
    <row r="791" spans="2:7" ht="15" customHeight="1" x14ac:dyDescent="0.3">
      <c r="C791" s="2"/>
      <c r="D791" s="8">
        <v>2022</v>
      </c>
      <c r="E791" s="14">
        <f>Data!F791</f>
        <v>520461000000</v>
      </c>
      <c r="F791" s="14">
        <f>Data!H791</f>
        <v>257723000000</v>
      </c>
      <c r="G791" s="12">
        <f t="shared" si="12"/>
        <v>2.0194588763905434</v>
      </c>
    </row>
    <row r="792" spans="2:7" ht="15" customHeight="1" x14ac:dyDescent="0.3">
      <c r="C792" s="2"/>
      <c r="D792" s="8">
        <v>2023</v>
      </c>
      <c r="E792" s="14">
        <f>Data!F792</f>
        <v>519868000000</v>
      </c>
      <c r="F792" s="14">
        <f>Data!H792</f>
        <v>301484000000</v>
      </c>
      <c r="G792" s="12">
        <f t="shared" si="12"/>
        <v>1.7243634819758262</v>
      </c>
    </row>
    <row r="793" spans="2:7" ht="15" customHeight="1" x14ac:dyDescent="0.3">
      <c r="C793" s="2"/>
      <c r="D793" s="8">
        <v>2024</v>
      </c>
      <c r="E793" s="14">
        <f>Data!F793</f>
        <v>532674000000</v>
      </c>
      <c r="F793" s="14">
        <f>Data!H793</f>
        <v>255706000000</v>
      </c>
      <c r="G793" s="12">
        <f t="shared" si="12"/>
        <v>2.0831501802851711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Data!F794</f>
        <v>0</v>
      </c>
      <c r="F794" s="14">
        <f>Data!H794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Data!F795</f>
        <v>0</v>
      </c>
      <c r="F795" s="14">
        <f>Data!H795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Data!F796</f>
        <v>0</v>
      </c>
      <c r="F796" s="14">
        <f>Data!H796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Data!F797</f>
        <v>0</v>
      </c>
      <c r="F797" s="14">
        <f>Data!H797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Data!F798</f>
        <v>0</v>
      </c>
      <c r="F798" s="14">
        <f>Data!H798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Data!F799</f>
        <v>4612000000</v>
      </c>
      <c r="F799" s="14">
        <f>Data!H799</f>
        <v>59000000</v>
      </c>
      <c r="G799" s="12">
        <f t="shared" si="12"/>
        <v>78.169491525423723</v>
      </c>
    </row>
    <row r="800" spans="2:7" ht="15" customHeight="1" x14ac:dyDescent="0.3">
      <c r="C800" s="2"/>
      <c r="D800" s="8">
        <v>2020</v>
      </c>
      <c r="E800" s="14">
        <f>Data!F800</f>
        <v>171970000000</v>
      </c>
      <c r="F800" s="14">
        <f>Data!H800</f>
        <v>96944000000</v>
      </c>
      <c r="G800" s="12">
        <f t="shared" si="12"/>
        <v>1.7739107113385046</v>
      </c>
    </row>
    <row r="801" spans="2:7" ht="15" customHeight="1" x14ac:dyDescent="0.3">
      <c r="C801" s="2"/>
      <c r="D801" s="8">
        <v>2021</v>
      </c>
      <c r="E801" s="14">
        <f>Data!F801</f>
        <v>234592000000</v>
      </c>
      <c r="F801" s="14">
        <f>Data!H801</f>
        <v>83232000000</v>
      </c>
      <c r="G801" s="12">
        <f t="shared" si="12"/>
        <v>2.8185313341022682</v>
      </c>
    </row>
    <row r="802" spans="2:7" ht="15" customHeight="1" x14ac:dyDescent="0.3">
      <c r="C802" s="2"/>
      <c r="D802" s="8">
        <v>2022</v>
      </c>
      <c r="E802" s="14">
        <f>Data!F802</f>
        <v>281130000000</v>
      </c>
      <c r="F802" s="14">
        <f>Data!H802</f>
        <v>104582000000</v>
      </c>
      <c r="G802" s="12">
        <f t="shared" si="12"/>
        <v>2.6881298885085387</v>
      </c>
    </row>
    <row r="803" spans="2:7" ht="15" customHeight="1" x14ac:dyDescent="0.3">
      <c r="C803" s="2"/>
      <c r="D803" s="8">
        <v>2023</v>
      </c>
      <c r="E803" s="14">
        <f>Data!F803</f>
        <v>360988000000</v>
      </c>
      <c r="F803" s="14">
        <f>Data!H803</f>
        <v>93855000000</v>
      </c>
      <c r="G803" s="12">
        <f t="shared" si="12"/>
        <v>3.846230888072026</v>
      </c>
    </row>
    <row r="804" spans="2:7" ht="15" customHeight="1" x14ac:dyDescent="0.3">
      <c r="C804" s="2"/>
      <c r="D804" s="8">
        <v>2024</v>
      </c>
      <c r="E804" s="14">
        <f>Data!F804</f>
        <v>477437000000</v>
      </c>
      <c r="F804" s="14">
        <f>Data!H804</f>
        <v>131053000000</v>
      </c>
      <c r="G804" s="12">
        <f t="shared" si="12"/>
        <v>3.6430833326974583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Data!F805</f>
        <v>0</v>
      </c>
      <c r="F805" s="14">
        <f>Data!H805</f>
        <v>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Data!F806</f>
        <v>4229671000000</v>
      </c>
      <c r="F806" s="14">
        <f>Data!H806</f>
        <v>1448447000000</v>
      </c>
      <c r="G806" s="12">
        <f t="shared" si="12"/>
        <v>2.9201420555947162</v>
      </c>
    </row>
    <row r="807" spans="2:7" ht="15" customHeight="1" x14ac:dyDescent="0.3">
      <c r="C807" s="2"/>
      <c r="D807" s="8">
        <v>2016</v>
      </c>
      <c r="E807" s="14">
        <f>Data!F807</f>
        <v>3558250000000</v>
      </c>
      <c r="F807" s="14">
        <f>Data!H807</f>
        <v>1425025000000</v>
      </c>
      <c r="G807" s="12">
        <f t="shared" si="12"/>
        <v>2.4969737373028544</v>
      </c>
    </row>
    <row r="808" spans="2:7" ht="15" customHeight="1" x14ac:dyDescent="0.3">
      <c r="C808" s="2"/>
      <c r="D808" s="8">
        <v>2017</v>
      </c>
      <c r="E808" s="14">
        <f>Data!F808</f>
        <v>3884714000000</v>
      </c>
      <c r="F808" s="14">
        <f>Data!H808</f>
        <v>1977547000000</v>
      </c>
      <c r="G808" s="12">
        <f t="shared" si="12"/>
        <v>1.9644104539613976</v>
      </c>
    </row>
    <row r="809" spans="2:7" ht="15" customHeight="1" x14ac:dyDescent="0.3">
      <c r="C809" s="2"/>
      <c r="D809" s="8">
        <v>2018</v>
      </c>
      <c r="E809" s="14">
        <f>Data!F809</f>
        <v>3873673000000</v>
      </c>
      <c r="F809" s="14">
        <f>Data!H809</f>
        <v>1817846000000</v>
      </c>
      <c r="G809" s="12">
        <f t="shared" si="12"/>
        <v>2.1309137297658878</v>
      </c>
    </row>
    <row r="810" spans="2:7" ht="15" customHeight="1" x14ac:dyDescent="0.3">
      <c r="C810" s="2"/>
      <c r="D810" s="8">
        <v>2019</v>
      </c>
      <c r="E810" s="14">
        <f>Data!F810</f>
        <v>4133079000000</v>
      </c>
      <c r="F810" s="14">
        <f>Data!H810</f>
        <v>1626780000000</v>
      </c>
      <c r="G810" s="12">
        <f t="shared" si="12"/>
        <v>2.5406502415815293</v>
      </c>
    </row>
    <row r="811" spans="2:7" ht="15" customHeight="1" x14ac:dyDescent="0.3">
      <c r="C811" s="2"/>
      <c r="D811" s="8">
        <v>2020</v>
      </c>
      <c r="E811" s="14">
        <f>Data!F811</f>
        <v>3946405000000</v>
      </c>
      <c r="F811" s="14">
        <f>Data!H811</f>
        <v>1404323000000</v>
      </c>
      <c r="G811" s="12">
        <f t="shared" si="12"/>
        <v>2.8101832698033147</v>
      </c>
    </row>
    <row r="812" spans="2:7" ht="15" customHeight="1" x14ac:dyDescent="0.3">
      <c r="C812" s="2"/>
      <c r="D812" s="8">
        <v>2021</v>
      </c>
      <c r="E812" s="14">
        <f>Data!F812</f>
        <v>4524880000000</v>
      </c>
      <c r="F812" s="14">
        <f>Data!H812</f>
        <v>1546917000000</v>
      </c>
      <c r="G812" s="12">
        <f t="shared" si="12"/>
        <v>2.9250955287193818</v>
      </c>
    </row>
    <row r="813" spans="2:7" ht="15" customHeight="1" x14ac:dyDescent="0.3">
      <c r="C813" s="2"/>
      <c r="D813" s="8">
        <v>2022</v>
      </c>
      <c r="E813" s="14">
        <f>Data!F813</f>
        <v>5483134000000</v>
      </c>
      <c r="F813" s="14">
        <f>Data!H813</f>
        <v>1889979000000</v>
      </c>
      <c r="G813" s="12">
        <f t="shared" si="12"/>
        <v>2.9011613356550523</v>
      </c>
    </row>
    <row r="814" spans="2:7" ht="15" customHeight="1" x14ac:dyDescent="0.3">
      <c r="C814" s="2"/>
      <c r="D814" s="8">
        <v>2023</v>
      </c>
      <c r="E814" s="14">
        <f>Data!F814</f>
        <v>6358670000000</v>
      </c>
      <c r="F814" s="14">
        <f>Data!H814</f>
        <v>1976992000000</v>
      </c>
      <c r="G814" s="12">
        <f t="shared" si="12"/>
        <v>3.2163357261941372</v>
      </c>
    </row>
    <row r="815" spans="2:7" ht="15" customHeight="1" x14ac:dyDescent="0.3">
      <c r="C815" s="2"/>
      <c r="D815" s="8">
        <v>2024</v>
      </c>
      <c r="E815" s="14">
        <f>Data!F815</f>
        <v>6938104000000</v>
      </c>
      <c r="F815" s="14">
        <f>Data!H815</f>
        <v>2194910000000</v>
      </c>
      <c r="G815" s="12">
        <f t="shared" si="12"/>
        <v>3.1609970340469542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Data!F816</f>
        <v>0</v>
      </c>
      <c r="F816" s="14">
        <f>Data!H816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Data!F817</f>
        <v>0</v>
      </c>
      <c r="F817" s="14">
        <f>Data!H817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Data!F818</f>
        <v>0</v>
      </c>
      <c r="F818" s="14">
        <f>Data!H818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Data!F819</f>
        <v>0</v>
      </c>
      <c r="F819" s="14">
        <f>Data!H819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Data!F820</f>
        <v>0</v>
      </c>
      <c r="F820" s="14">
        <f>Data!H820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Data!F821</f>
        <v>0</v>
      </c>
      <c r="F821" s="14">
        <f>Data!H821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Data!F822</f>
        <v>0</v>
      </c>
      <c r="F822" s="14">
        <f>Data!H822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Data!F823</f>
        <v>0</v>
      </c>
      <c r="F823" s="14">
        <f>Data!H823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Data!F824</f>
        <v>0</v>
      </c>
      <c r="F824" s="14">
        <f>Data!H824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Data!F825</f>
        <v>0</v>
      </c>
      <c r="F825" s="14">
        <f>Data!H825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Data!F826</f>
        <v>0</v>
      </c>
      <c r="F826" s="14">
        <f>Data!H826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Data!F827</f>
        <v>0</v>
      </c>
      <c r="F827" s="14">
        <f>Data!H827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Data!F828</f>
        <v>0</v>
      </c>
      <c r="F828" s="14">
        <f>Data!H828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Data!F829</f>
        <v>0</v>
      </c>
      <c r="F829" s="14">
        <f>Data!H829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Data!F830</f>
        <v>0</v>
      </c>
      <c r="F830" s="14">
        <f>Data!H830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Data!F831</f>
        <v>0</v>
      </c>
      <c r="F831" s="14">
        <f>Data!H831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Data!F832</f>
        <v>747463623000</v>
      </c>
      <c r="F832" s="14">
        <f>Data!H832</f>
        <v>204901967000</v>
      </c>
      <c r="G832" s="12">
        <f t="shared" si="12"/>
        <v>3.6479084800586614</v>
      </c>
    </row>
    <row r="833" spans="2:7" ht="15" customHeight="1" x14ac:dyDescent="0.3">
      <c r="C833" s="2"/>
      <c r="D833" s="8">
        <v>2020</v>
      </c>
      <c r="E833" s="14">
        <f>Data!F833</f>
        <v>471912125000</v>
      </c>
      <c r="F833" s="14">
        <f>Data!H833</f>
        <v>123690172000</v>
      </c>
      <c r="G833" s="12">
        <f t="shared" si="12"/>
        <v>3.8152758409940604</v>
      </c>
    </row>
    <row r="834" spans="2:7" ht="15" customHeight="1" x14ac:dyDescent="0.3">
      <c r="C834" s="2"/>
      <c r="D834" s="8">
        <v>2021</v>
      </c>
      <c r="E834" s="14">
        <f>Data!F834</f>
        <v>423446727000</v>
      </c>
      <c r="F834" s="14">
        <f>Data!H834</f>
        <v>116712744000</v>
      </c>
      <c r="G834" s="12">
        <f t="shared" si="12"/>
        <v>3.6281104572436407</v>
      </c>
    </row>
    <row r="835" spans="2:7" ht="15" customHeight="1" x14ac:dyDescent="0.3">
      <c r="C835" s="2"/>
      <c r="D835" s="8">
        <v>2022</v>
      </c>
      <c r="E835" s="14">
        <f>Data!F835</f>
        <v>481563389000</v>
      </c>
      <c r="F835" s="14">
        <f>Data!H835</f>
        <v>205051401000</v>
      </c>
      <c r="G835" s="12">
        <f t="shared" ref="G835:G898" si="13">IFERROR(E835/F835,0)</f>
        <v>2.3485008473558295</v>
      </c>
    </row>
    <row r="836" spans="2:7" ht="15" customHeight="1" x14ac:dyDescent="0.3">
      <c r="C836" s="2"/>
      <c r="D836" s="8">
        <v>2023</v>
      </c>
      <c r="E836" s="14">
        <f>Data!F836</f>
        <v>550921765000</v>
      </c>
      <c r="F836" s="14">
        <f>Data!H836</f>
        <v>157547114000</v>
      </c>
      <c r="G836" s="12">
        <f t="shared" si="13"/>
        <v>3.4968699267953585</v>
      </c>
    </row>
    <row r="837" spans="2:7" ht="15" customHeight="1" x14ac:dyDescent="0.3">
      <c r="C837" s="2"/>
      <c r="D837" s="8">
        <v>2024</v>
      </c>
      <c r="E837" s="14">
        <f>Data!F837</f>
        <v>585668329000</v>
      </c>
      <c r="F837" s="14">
        <f>Data!H837</f>
        <v>152224187000</v>
      </c>
      <c r="G837" s="12">
        <f t="shared" si="13"/>
        <v>3.8474065162850892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Data!F838</f>
        <v>0</v>
      </c>
      <c r="F838" s="14">
        <f>Data!H838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Data!F839</f>
        <v>0</v>
      </c>
      <c r="F839" s="14">
        <f>Data!H839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Data!F840</f>
        <v>0</v>
      </c>
      <c r="F840" s="14">
        <f>Data!H840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Data!F841</f>
        <v>0</v>
      </c>
      <c r="F841" s="14">
        <f>Data!H841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Data!F842</f>
        <v>237921409999.99997</v>
      </c>
      <c r="F842" s="14">
        <f>Data!H842</f>
        <v>95091040000</v>
      </c>
      <c r="G842" s="12">
        <f t="shared" si="13"/>
        <v>2.5020381520698476</v>
      </c>
    </row>
    <row r="843" spans="2:7" ht="15" customHeight="1" x14ac:dyDescent="0.3">
      <c r="C843" s="2"/>
      <c r="D843" s="8">
        <v>2019</v>
      </c>
      <c r="E843" s="14">
        <f>Data!F843</f>
        <v>143947060000</v>
      </c>
      <c r="F843" s="14">
        <f>Data!H843</f>
        <v>56007480000</v>
      </c>
      <c r="G843" s="12">
        <f t="shared" si="13"/>
        <v>2.5701399170253687</v>
      </c>
    </row>
    <row r="844" spans="2:7" ht="15" customHeight="1" x14ac:dyDescent="0.3">
      <c r="C844" s="2"/>
      <c r="D844" s="8">
        <v>2020</v>
      </c>
      <c r="E844" s="14">
        <f>Data!F844</f>
        <v>204622460000.00003</v>
      </c>
      <c r="F844" s="14">
        <f>Data!H844</f>
        <v>43036940000</v>
      </c>
      <c r="G844" s="12">
        <f t="shared" si="13"/>
        <v>4.7545773468095094</v>
      </c>
    </row>
    <row r="845" spans="2:7" ht="15" customHeight="1" x14ac:dyDescent="0.3">
      <c r="C845" s="2"/>
      <c r="D845" s="8">
        <v>2021</v>
      </c>
      <c r="E845" s="14">
        <f>Data!F845</f>
        <v>131277490000.00002</v>
      </c>
      <c r="F845" s="14">
        <f>Data!H845</f>
        <v>35514240000</v>
      </c>
      <c r="G845" s="12">
        <f t="shared" si="13"/>
        <v>3.6964747098628612</v>
      </c>
    </row>
    <row r="846" spans="2:7" ht="15" customHeight="1" x14ac:dyDescent="0.3">
      <c r="C846" s="2"/>
      <c r="D846" s="8">
        <v>2022</v>
      </c>
      <c r="E846" s="14">
        <f>Data!F846</f>
        <v>108307790000</v>
      </c>
      <c r="F846" s="14">
        <f>Data!H846</f>
        <v>37382400000</v>
      </c>
      <c r="G846" s="12">
        <f t="shared" si="13"/>
        <v>2.8972936462078409</v>
      </c>
    </row>
    <row r="847" spans="2:7" ht="15" customHeight="1" x14ac:dyDescent="0.3">
      <c r="C847" s="2"/>
      <c r="D847" s="8">
        <v>2023</v>
      </c>
      <c r="E847" s="14">
        <f>Data!F847</f>
        <v>64674000000</v>
      </c>
      <c r="F847" s="14">
        <f>Data!H847</f>
        <v>93465000000</v>
      </c>
      <c r="G847" s="12">
        <f t="shared" si="13"/>
        <v>0.69195955705344248</v>
      </c>
    </row>
    <row r="848" spans="2:7" ht="15" customHeight="1" x14ac:dyDescent="0.3">
      <c r="C848" s="2"/>
      <c r="D848" s="8">
        <v>2024</v>
      </c>
      <c r="E848" s="14">
        <f>Data!F848</f>
        <v>50055000000</v>
      </c>
      <c r="F848" s="14">
        <f>Data!H848</f>
        <v>433710000000</v>
      </c>
      <c r="G848" s="12">
        <f t="shared" si="13"/>
        <v>0.11541121947845334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Data!F849</f>
        <v>0</v>
      </c>
      <c r="F849" s="14">
        <f>Data!H849</f>
        <v>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Data!F850</f>
        <v>28201754000</v>
      </c>
      <c r="F850" s="14">
        <f>Data!H850</f>
        <v>11045828000</v>
      </c>
      <c r="G850" s="12">
        <f t="shared" si="13"/>
        <v>2.5531588940186287</v>
      </c>
    </row>
    <row r="851" spans="2:7" ht="15" customHeight="1" x14ac:dyDescent="0.3">
      <c r="C851" s="2"/>
      <c r="D851" s="8">
        <v>2016</v>
      </c>
      <c r="E851" s="14">
        <f>Data!F851</f>
        <v>31170694000</v>
      </c>
      <c r="F851" s="14">
        <f>Data!H851</f>
        <v>16322405000</v>
      </c>
      <c r="G851" s="12">
        <f t="shared" si="13"/>
        <v>1.9096875736143051</v>
      </c>
    </row>
    <row r="852" spans="2:7" ht="15" customHeight="1" x14ac:dyDescent="0.3">
      <c r="C852" s="2"/>
      <c r="D852" s="8">
        <v>2017</v>
      </c>
      <c r="E852" s="14">
        <f>Data!F852</f>
        <v>28792795000</v>
      </c>
      <c r="F852" s="14">
        <f>Data!H852</f>
        <v>12066535000</v>
      </c>
      <c r="G852" s="12">
        <f t="shared" si="13"/>
        <v>2.3861692689740677</v>
      </c>
    </row>
    <row r="853" spans="2:7" ht="15" customHeight="1" x14ac:dyDescent="0.3">
      <c r="C853" s="2"/>
      <c r="D853" s="8">
        <v>2018</v>
      </c>
      <c r="E853" s="14">
        <f>Data!F853</f>
        <v>90842000000</v>
      </c>
      <c r="F853" s="14">
        <f>Data!H853</f>
        <v>29307000000</v>
      </c>
      <c r="G853" s="12">
        <f t="shared" si="13"/>
        <v>3.0996690210529909</v>
      </c>
    </row>
    <row r="854" spans="2:7" ht="15" customHeight="1" x14ac:dyDescent="0.3">
      <c r="C854" s="2"/>
      <c r="D854" s="8">
        <v>2019</v>
      </c>
      <c r="E854" s="14">
        <f>Data!F854</f>
        <v>72847563000</v>
      </c>
      <c r="F854" s="14">
        <f>Data!H854</f>
        <v>17140093000</v>
      </c>
      <c r="G854" s="12">
        <f t="shared" si="13"/>
        <v>4.2501264724759658</v>
      </c>
    </row>
    <row r="855" spans="2:7" ht="15" customHeight="1" x14ac:dyDescent="0.3">
      <c r="C855" s="2"/>
      <c r="D855" s="8">
        <v>2020</v>
      </c>
      <c r="E855" s="14">
        <f>Data!F855</f>
        <v>71320948000</v>
      </c>
      <c r="F855" s="14">
        <f>Data!H855</f>
        <v>18347530000</v>
      </c>
      <c r="G855" s="12">
        <f t="shared" si="13"/>
        <v>3.8872234028231594</v>
      </c>
    </row>
    <row r="856" spans="2:7" ht="15" customHeight="1" x14ac:dyDescent="0.3">
      <c r="C856" s="2"/>
      <c r="D856" s="8">
        <v>2021</v>
      </c>
      <c r="E856" s="14">
        <f>Data!F856</f>
        <v>53814000000</v>
      </c>
      <c r="F856" s="14">
        <f>Data!H856</f>
        <v>26323000000</v>
      </c>
      <c r="G856" s="12">
        <f t="shared" si="13"/>
        <v>2.0443718421152606</v>
      </c>
    </row>
    <row r="857" spans="2:7" ht="15" customHeight="1" x14ac:dyDescent="0.3">
      <c r="C857" s="2"/>
      <c r="D857" s="8">
        <v>2022</v>
      </c>
      <c r="E857" s="14">
        <f>Data!F857</f>
        <v>124224000000</v>
      </c>
      <c r="F857" s="14">
        <f>Data!H857</f>
        <v>51134000000</v>
      </c>
      <c r="G857" s="12">
        <f t="shared" si="13"/>
        <v>2.429381624750655</v>
      </c>
    </row>
    <row r="858" spans="2:7" ht="15" customHeight="1" x14ac:dyDescent="0.3">
      <c r="C858" s="2"/>
      <c r="D858" s="8">
        <v>2023</v>
      </c>
      <c r="E858" s="14">
        <f>Data!F858</f>
        <v>142095000000</v>
      </c>
      <c r="F858" s="14">
        <f>Data!H858</f>
        <v>64300000000</v>
      </c>
      <c r="G858" s="12">
        <f t="shared" si="13"/>
        <v>2.2098755832037327</v>
      </c>
    </row>
    <row r="859" spans="2:7" ht="15" customHeight="1" x14ac:dyDescent="0.3">
      <c r="C859" s="2"/>
      <c r="D859" s="8">
        <v>2024</v>
      </c>
      <c r="E859" s="14">
        <f>Data!F859</f>
        <v>250983000000</v>
      </c>
      <c r="F859" s="14">
        <f>Data!H859</f>
        <v>118180000000</v>
      </c>
      <c r="G859" s="12">
        <f t="shared" si="13"/>
        <v>2.123734980538162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Data!F860</f>
        <v>0</v>
      </c>
      <c r="F860" s="14">
        <f>Data!H860</f>
        <v>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Data!F861</f>
        <v>299093040000</v>
      </c>
      <c r="F861" s="14">
        <f>Data!H861</f>
        <v>142006400000</v>
      </c>
      <c r="G861" s="12">
        <f t="shared" si="13"/>
        <v>2.1061940870270637</v>
      </c>
    </row>
    <row r="862" spans="2:7" ht="15" customHeight="1" x14ac:dyDescent="0.3">
      <c r="C862" s="2"/>
      <c r="D862" s="8">
        <v>2016</v>
      </c>
      <c r="E862" s="14">
        <f>Data!F862</f>
        <v>375766070000</v>
      </c>
      <c r="F862" s="14">
        <f>Data!H862</f>
        <v>197646970000</v>
      </c>
      <c r="G862" s="12">
        <f t="shared" si="13"/>
        <v>1.9011982323837295</v>
      </c>
    </row>
    <row r="863" spans="2:7" ht="15" customHeight="1" x14ac:dyDescent="0.3">
      <c r="C863" s="2"/>
      <c r="D863" s="8">
        <v>2017</v>
      </c>
      <c r="E863" s="14">
        <f>Data!F863</f>
        <v>362217720000</v>
      </c>
      <c r="F863" s="14">
        <f>Data!H863</f>
        <v>168716880000</v>
      </c>
      <c r="G863" s="12">
        <f t="shared" si="13"/>
        <v>2.1468967420450165</v>
      </c>
    </row>
    <row r="864" spans="2:7" ht="15" customHeight="1" x14ac:dyDescent="0.3">
      <c r="C864" s="2"/>
      <c r="D864" s="8">
        <v>2018</v>
      </c>
      <c r="E864" s="14">
        <f>Data!F864</f>
        <v>812065810000</v>
      </c>
      <c r="F864" s="14">
        <f>Data!H864</f>
        <v>88808670000</v>
      </c>
      <c r="G864" s="12">
        <f t="shared" si="13"/>
        <v>9.1439924728069908</v>
      </c>
    </row>
    <row r="865" spans="2:7" ht="15" customHeight="1" x14ac:dyDescent="0.3">
      <c r="C865" s="2"/>
      <c r="D865" s="8">
        <v>2019</v>
      </c>
      <c r="E865" s="14">
        <f>Data!F865</f>
        <v>476001840000</v>
      </c>
      <c r="F865" s="14">
        <f>Data!H865</f>
        <v>56343740000</v>
      </c>
      <c r="G865" s="12">
        <f t="shared" si="13"/>
        <v>8.448176141661877</v>
      </c>
    </row>
    <row r="866" spans="2:7" ht="15" customHeight="1" x14ac:dyDescent="0.3">
      <c r="C866" s="2"/>
      <c r="D866" s="8">
        <v>2020</v>
      </c>
      <c r="E866" s="14">
        <f>Data!F866</f>
        <v>532012402000</v>
      </c>
      <c r="F866" s="14">
        <f>Data!H866</f>
        <v>139301000000</v>
      </c>
      <c r="G866" s="12">
        <f t="shared" si="13"/>
        <v>3.8191570914781661</v>
      </c>
    </row>
    <row r="867" spans="2:7" ht="15" customHeight="1" x14ac:dyDescent="0.3">
      <c r="C867" s="2"/>
      <c r="D867" s="8">
        <v>2021</v>
      </c>
      <c r="E867" s="14">
        <f>Data!F867</f>
        <v>1039233000000</v>
      </c>
      <c r="F867" s="14">
        <f>Data!H867</f>
        <v>471302000000</v>
      </c>
      <c r="G867" s="12">
        <f t="shared" si="13"/>
        <v>2.2050256523418104</v>
      </c>
    </row>
    <row r="868" spans="2:7" ht="15" customHeight="1" x14ac:dyDescent="0.3">
      <c r="C868" s="2"/>
      <c r="D868" s="8">
        <v>2022</v>
      </c>
      <c r="E868" s="14">
        <f>Data!F868</f>
        <v>841244000000</v>
      </c>
      <c r="F868" s="14">
        <f>Data!H868</f>
        <v>363664000000</v>
      </c>
      <c r="G868" s="12">
        <f t="shared" si="13"/>
        <v>2.3132451933653044</v>
      </c>
    </row>
    <row r="869" spans="2:7" ht="15" customHeight="1" x14ac:dyDescent="0.3">
      <c r="C869" s="2"/>
      <c r="D869" s="8">
        <v>2023</v>
      </c>
      <c r="E869" s="14">
        <f>Data!F869</f>
        <v>623843000000</v>
      </c>
      <c r="F869" s="14">
        <f>Data!H869</f>
        <v>308755000000</v>
      </c>
      <c r="G869" s="12">
        <f t="shared" si="13"/>
        <v>2.0205114087221259</v>
      </c>
    </row>
    <row r="870" spans="2:7" ht="15" customHeight="1" x14ac:dyDescent="0.3">
      <c r="C870" s="2"/>
      <c r="D870" s="8">
        <v>2024</v>
      </c>
      <c r="E870" s="14">
        <f>Data!F870</f>
        <v>509945000000</v>
      </c>
      <c r="F870" s="14">
        <f>Data!H870</f>
        <v>144736000000</v>
      </c>
      <c r="G870" s="12">
        <f t="shared" si="13"/>
        <v>3.5232768627017466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Data!F871</f>
        <v>0</v>
      </c>
      <c r="F871" s="14">
        <f>Data!H871</f>
        <v>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Data!F872</f>
        <v>1115575000000</v>
      </c>
      <c r="F872" s="14">
        <f>Data!H872</f>
        <v>425659000000</v>
      </c>
      <c r="G872" s="12">
        <f t="shared" si="13"/>
        <v>2.6208185425422696</v>
      </c>
    </row>
    <row r="873" spans="2:7" ht="15" customHeight="1" x14ac:dyDescent="0.3">
      <c r="C873" s="2"/>
      <c r="D873" s="8">
        <v>2016</v>
      </c>
      <c r="E873" s="14">
        <f>Data!F873</f>
        <v>1098076000000</v>
      </c>
      <c r="F873" s="14">
        <f>Data!H873</f>
        <v>324697000000</v>
      </c>
      <c r="G873" s="12">
        <f t="shared" si="13"/>
        <v>3.3818483078069708</v>
      </c>
    </row>
    <row r="874" spans="2:7" ht="15" customHeight="1" x14ac:dyDescent="0.3">
      <c r="C874" s="2"/>
      <c r="D874" s="8">
        <v>2017</v>
      </c>
      <c r="E874" s="14">
        <f>Data!F874</f>
        <v>1203302000000</v>
      </c>
      <c r="F874" s="14">
        <f>Data!H874</f>
        <v>383500000000</v>
      </c>
      <c r="G874" s="12">
        <f t="shared" si="13"/>
        <v>3.1376844850065191</v>
      </c>
    </row>
    <row r="875" spans="2:7" ht="15" customHeight="1" x14ac:dyDescent="0.3">
      <c r="C875" s="2"/>
      <c r="D875" s="8">
        <v>2018</v>
      </c>
      <c r="E875" s="14">
        <f>Data!F875</f>
        <v>1418031000000</v>
      </c>
      <c r="F875" s="14">
        <f>Data!H875</f>
        <v>360699000000</v>
      </c>
      <c r="G875" s="12">
        <f t="shared" si="13"/>
        <v>3.9313416449726781</v>
      </c>
    </row>
    <row r="876" spans="2:7" ht="15" customHeight="1" x14ac:dyDescent="0.3">
      <c r="C876" s="2"/>
      <c r="D876" s="8">
        <v>2019</v>
      </c>
      <c r="E876" s="14">
        <f>Data!F876</f>
        <v>1416306000000</v>
      </c>
      <c r="F876" s="14">
        <f>Data!H876</f>
        <v>356029000000</v>
      </c>
      <c r="G876" s="12">
        <f t="shared" si="13"/>
        <v>3.9780635847079875</v>
      </c>
    </row>
    <row r="877" spans="2:7" ht="15" customHeight="1" x14ac:dyDescent="0.3">
      <c r="C877" s="2"/>
      <c r="D877" s="8">
        <v>2020</v>
      </c>
      <c r="E877" s="14">
        <f>Data!F877</f>
        <v>1238020000000</v>
      </c>
      <c r="F877" s="14">
        <f>Data!H877</f>
        <v>348478000000</v>
      </c>
      <c r="G877" s="12">
        <f t="shared" si="13"/>
        <v>3.5526489477097551</v>
      </c>
    </row>
    <row r="878" spans="2:7" ht="15" customHeight="1" x14ac:dyDescent="0.3">
      <c r="C878" s="2"/>
      <c r="D878" s="8">
        <v>2021</v>
      </c>
      <c r="E878" s="14">
        <f>Data!F878</f>
        <v>1288581000000</v>
      </c>
      <c r="F878" s="14">
        <f>Data!H878</f>
        <v>359383000000</v>
      </c>
      <c r="G878" s="12">
        <f t="shared" si="13"/>
        <v>3.5855368784834005</v>
      </c>
    </row>
    <row r="879" spans="2:7" ht="15" customHeight="1" x14ac:dyDescent="0.3">
      <c r="C879" s="2"/>
      <c r="D879" s="8">
        <v>2022</v>
      </c>
      <c r="E879" s="14">
        <f>Data!F879</f>
        <v>1486908000000</v>
      </c>
      <c r="F879" s="14">
        <f>Data!H879</f>
        <v>471420000000</v>
      </c>
      <c r="G879" s="12">
        <f t="shared" si="13"/>
        <v>3.1541046200840017</v>
      </c>
    </row>
    <row r="880" spans="2:7" ht="15" customHeight="1" x14ac:dyDescent="0.3">
      <c r="C880" s="2"/>
      <c r="D880" s="8">
        <v>2023</v>
      </c>
      <c r="E880" s="14">
        <f>Data!F880</f>
        <v>1202030000000</v>
      </c>
      <c r="F880" s="14">
        <f>Data!H880</f>
        <v>364675000000</v>
      </c>
      <c r="G880" s="12">
        <f t="shared" si="13"/>
        <v>3.2961678206622333</v>
      </c>
    </row>
    <row r="881" spans="2:7" ht="15" customHeight="1" x14ac:dyDescent="0.3">
      <c r="C881" s="2"/>
      <c r="D881" s="8">
        <v>2024</v>
      </c>
      <c r="E881" s="14">
        <f>Data!F881</f>
        <v>941459000000</v>
      </c>
      <c r="F881" s="14">
        <f>Data!H881</f>
        <v>529310000000</v>
      </c>
      <c r="G881" s="12">
        <f t="shared" si="13"/>
        <v>1.7786533411422418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Data!F882</f>
        <v>0</v>
      </c>
      <c r="F882" s="14">
        <f>Data!H882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Data!F883</f>
        <v>0</v>
      </c>
      <c r="F883" s="14">
        <f>Data!H883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Data!F884</f>
        <v>0</v>
      </c>
      <c r="F884" s="14">
        <f>Data!H884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Data!F885</f>
        <v>0</v>
      </c>
      <c r="F885" s="14">
        <f>Data!H885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Data!F886</f>
        <v>439623416000</v>
      </c>
      <c r="F886" s="14">
        <f>Data!H886</f>
        <v>113969800000</v>
      </c>
      <c r="G886" s="12">
        <f t="shared" si="13"/>
        <v>3.8573676184392709</v>
      </c>
    </row>
    <row r="887" spans="2:7" ht="15" customHeight="1" x14ac:dyDescent="0.3">
      <c r="C887" s="2"/>
      <c r="D887" s="8">
        <v>2019</v>
      </c>
      <c r="E887" s="14">
        <f>Data!F887</f>
        <v>429729092000</v>
      </c>
      <c r="F887" s="14">
        <f>Data!H887</f>
        <v>159104105000</v>
      </c>
      <c r="G887" s="12">
        <f t="shared" si="13"/>
        <v>2.7009302619816125</v>
      </c>
    </row>
    <row r="888" spans="2:7" ht="15" customHeight="1" x14ac:dyDescent="0.3">
      <c r="C888" s="2"/>
      <c r="D888" s="8">
        <v>2020</v>
      </c>
      <c r="E888" s="14">
        <f>Data!F888</f>
        <v>409166872000</v>
      </c>
      <c r="F888" s="14">
        <f>Data!H888</f>
        <v>100459890000</v>
      </c>
      <c r="G888" s="12">
        <f t="shared" si="13"/>
        <v>4.0729376868718452</v>
      </c>
    </row>
    <row r="889" spans="2:7" ht="15" customHeight="1" x14ac:dyDescent="0.3">
      <c r="C889" s="2"/>
      <c r="D889" s="8">
        <v>2021</v>
      </c>
      <c r="E889" s="14">
        <f>Data!F889</f>
        <v>446296311000</v>
      </c>
      <c r="F889" s="14">
        <f>Data!H889</f>
        <v>78433465000</v>
      </c>
      <c r="G889" s="12">
        <f t="shared" si="13"/>
        <v>5.6901261597967148</v>
      </c>
    </row>
    <row r="890" spans="2:7" ht="15" customHeight="1" x14ac:dyDescent="0.3">
      <c r="C890" s="2"/>
      <c r="D890" s="8">
        <v>2022</v>
      </c>
      <c r="E890" s="14">
        <f>Data!F890</f>
        <v>715765814000</v>
      </c>
      <c r="F890" s="14">
        <f>Data!H890</f>
        <v>58527371000</v>
      </c>
      <c r="G890" s="12">
        <f t="shared" si="13"/>
        <v>12.22959107457603</v>
      </c>
    </row>
    <row r="891" spans="2:7" ht="15" customHeight="1" x14ac:dyDescent="0.3">
      <c r="C891" s="2"/>
      <c r="D891" s="8">
        <v>2023</v>
      </c>
      <c r="E891" s="14">
        <f>Data!F891</f>
        <v>718756264000</v>
      </c>
      <c r="F891" s="14">
        <f>Data!H891</f>
        <v>39381671000</v>
      </c>
      <c r="G891" s="12">
        <f t="shared" si="13"/>
        <v>18.251035208739619</v>
      </c>
    </row>
    <row r="892" spans="2:7" ht="15" customHeight="1" x14ac:dyDescent="0.3">
      <c r="C892" s="2"/>
      <c r="D892" s="8">
        <v>2024</v>
      </c>
      <c r="E892" s="14">
        <f>Data!F892</f>
        <v>778129528000</v>
      </c>
      <c r="F892" s="14">
        <f>Data!H892</f>
        <v>94523757000</v>
      </c>
      <c r="G892" s="12">
        <f t="shared" si="13"/>
        <v>8.2321053743134645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Data!F893</f>
        <v>0</v>
      </c>
      <c r="F893" s="14">
        <f>Data!H893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Data!F894</f>
        <v>0</v>
      </c>
      <c r="F894" s="14">
        <f>Data!H894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Data!F895</f>
        <v>0</v>
      </c>
      <c r="F895" s="14">
        <f>Data!H895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Data!F896</f>
        <v>0</v>
      </c>
      <c r="F896" s="14">
        <f>Data!H896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Data!F897</f>
        <v>0</v>
      </c>
      <c r="F897" s="14">
        <f>Data!H897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Data!F898</f>
        <v>0</v>
      </c>
      <c r="F898" s="14">
        <f>Data!H898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Data!F899</f>
        <v>117459000000</v>
      </c>
      <c r="F899" s="14">
        <f>Data!H899</f>
        <v>67462000000</v>
      </c>
      <c r="G899" s="12">
        <f t="shared" ref="G899:G962" si="14">IFERROR(E899/F899,0)</f>
        <v>1.7411135157570188</v>
      </c>
    </row>
    <row r="900" spans="2:7" ht="15" customHeight="1" x14ac:dyDescent="0.3">
      <c r="C900" s="2"/>
      <c r="D900" s="8">
        <v>2021</v>
      </c>
      <c r="E900" s="14">
        <f>Data!F900</f>
        <v>177990000000</v>
      </c>
      <c r="F900" s="14">
        <f>Data!H900</f>
        <v>111761000000</v>
      </c>
      <c r="G900" s="12">
        <f t="shared" si="14"/>
        <v>1.5925949123576202</v>
      </c>
    </row>
    <row r="901" spans="2:7" ht="15" customHeight="1" x14ac:dyDescent="0.3">
      <c r="C901" s="2"/>
      <c r="D901" s="8">
        <v>2022</v>
      </c>
      <c r="E901" s="14">
        <f>Data!F901</f>
        <v>224070000000</v>
      </c>
      <c r="F901" s="14">
        <f>Data!H901</f>
        <v>90895000000</v>
      </c>
      <c r="G901" s="12">
        <f t="shared" si="14"/>
        <v>2.4651520985752793</v>
      </c>
    </row>
    <row r="902" spans="2:7" ht="15" customHeight="1" x14ac:dyDescent="0.3">
      <c r="C902" s="2"/>
      <c r="D902" s="8">
        <v>2023</v>
      </c>
      <c r="E902" s="14">
        <f>Data!F902</f>
        <v>394864000000</v>
      </c>
      <c r="F902" s="14">
        <f>Data!H902</f>
        <v>66752000000</v>
      </c>
      <c r="G902" s="12">
        <f t="shared" si="14"/>
        <v>5.9153883029721959</v>
      </c>
    </row>
    <row r="903" spans="2:7" ht="15" customHeight="1" x14ac:dyDescent="0.3">
      <c r="C903" s="2"/>
      <c r="D903" s="8">
        <v>2024</v>
      </c>
      <c r="E903" s="14">
        <f>Data!F903</f>
        <v>445514000000</v>
      </c>
      <c r="F903" s="14">
        <f>Data!H903</f>
        <v>61881000000</v>
      </c>
      <c r="G903" s="12">
        <f t="shared" si="14"/>
        <v>7.1995281265655047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Data!F904</f>
        <v>0</v>
      </c>
      <c r="F904" s="14">
        <f>Data!H904</f>
        <v>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Data!F905</f>
        <v>8877196000000</v>
      </c>
      <c r="F905" s="14">
        <f>Data!H905</f>
        <v>2127477000000</v>
      </c>
      <c r="G905" s="12">
        <f t="shared" si="14"/>
        <v>4.1726401742533525</v>
      </c>
    </row>
    <row r="906" spans="2:7" ht="15" customHeight="1" x14ac:dyDescent="0.3">
      <c r="C906" s="2"/>
      <c r="D906" s="8">
        <v>2016</v>
      </c>
      <c r="E906" s="14">
        <f>Data!F906</f>
        <v>9633244000000</v>
      </c>
      <c r="F906" s="14">
        <f>Data!H906</f>
        <v>2756358000000</v>
      </c>
      <c r="G906" s="12">
        <f t="shared" si="14"/>
        <v>3.4949175687628387</v>
      </c>
    </row>
    <row r="907" spans="2:7" ht="15" customHeight="1" x14ac:dyDescent="0.3">
      <c r="C907" s="2"/>
      <c r="D907" s="8">
        <v>2017</v>
      </c>
      <c r="E907" s="14">
        <f>Data!F907</f>
        <v>10005084000000</v>
      </c>
      <c r="F907" s="14">
        <f>Data!H907</f>
        <v>3763335000000</v>
      </c>
      <c r="G907" s="12">
        <f t="shared" si="14"/>
        <v>2.6585685303062312</v>
      </c>
    </row>
    <row r="908" spans="2:7" ht="15" customHeight="1" x14ac:dyDescent="0.3">
      <c r="C908" s="2"/>
      <c r="D908" s="8">
        <v>2018</v>
      </c>
      <c r="E908" s="14">
        <f>Data!F908</f>
        <v>11010482000000</v>
      </c>
      <c r="F908" s="14">
        <f>Data!H908</f>
        <v>3811889000000</v>
      </c>
      <c r="G908" s="12">
        <f t="shared" si="14"/>
        <v>2.8884581896272428</v>
      </c>
    </row>
    <row r="909" spans="2:7" ht="15" customHeight="1" x14ac:dyDescent="0.3">
      <c r="C909" s="2"/>
      <c r="D909" s="8">
        <v>2019</v>
      </c>
      <c r="E909" s="14">
        <f>Data!F909</f>
        <v>10068074000000</v>
      </c>
      <c r="F909" s="14">
        <f>Data!H909</f>
        <v>3427714000000</v>
      </c>
      <c r="G909" s="12">
        <f t="shared" si="14"/>
        <v>2.9372561421402135</v>
      </c>
    </row>
    <row r="910" spans="2:7" ht="15" customHeight="1" x14ac:dyDescent="0.3">
      <c r="C910" s="2"/>
      <c r="D910" s="8">
        <v>2020</v>
      </c>
      <c r="E910" s="14">
        <f>Data!F910</f>
        <v>10844082000000</v>
      </c>
      <c r="F910" s="14">
        <f>Data!H910</f>
        <v>3059741000000</v>
      </c>
      <c r="G910" s="12">
        <f t="shared" si="14"/>
        <v>3.5441176230275699</v>
      </c>
    </row>
    <row r="911" spans="2:7" ht="15" customHeight="1" x14ac:dyDescent="0.3">
      <c r="C911" s="2"/>
      <c r="D911" s="8">
        <v>2021</v>
      </c>
      <c r="E911" s="14">
        <f>Data!F911</f>
        <v>10491782000000</v>
      </c>
      <c r="F911" s="14">
        <f>Data!H911</f>
        <v>2790390000000</v>
      </c>
      <c r="G911" s="12">
        <f t="shared" si="14"/>
        <v>3.7599697533319714</v>
      </c>
    </row>
    <row r="912" spans="2:7" ht="15" customHeight="1" x14ac:dyDescent="0.3">
      <c r="C912" s="2"/>
      <c r="D912" s="8">
        <v>2022</v>
      </c>
      <c r="E912" s="14">
        <f>Data!F912</f>
        <v>10674244000000</v>
      </c>
      <c r="F912" s="14">
        <f>Data!H912</f>
        <v>3256663000000</v>
      </c>
      <c r="G912" s="12">
        <f t="shared" si="14"/>
        <v>3.2776630557107076</v>
      </c>
    </row>
    <row r="913" spans="2:7" ht="15" customHeight="1" x14ac:dyDescent="0.3">
      <c r="C913" s="2"/>
      <c r="D913" s="8">
        <v>2023</v>
      </c>
      <c r="E913" s="14">
        <f>Data!F913</f>
        <v>10267106000000</v>
      </c>
      <c r="F913" s="14">
        <f>Data!H913</f>
        <v>3758053000000</v>
      </c>
      <c r="G913" s="12">
        <f t="shared" si="14"/>
        <v>2.73202799428321</v>
      </c>
    </row>
    <row r="914" spans="2:7" ht="15" customHeight="1" x14ac:dyDescent="0.3">
      <c r="C914" s="2"/>
      <c r="D914" s="8">
        <v>2024</v>
      </c>
      <c r="E914" s="14">
        <f>Data!F914</f>
        <v>10302036000000</v>
      </c>
      <c r="F914" s="14">
        <f>Data!H914</f>
        <v>3814570000000</v>
      </c>
      <c r="G914" s="12">
        <f t="shared" si="14"/>
        <v>2.7007070259557433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Data!F915</f>
        <v>0</v>
      </c>
      <c r="F915" s="14">
        <f>Data!H915</f>
        <v>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Data!F916</f>
        <v>167848000000</v>
      </c>
      <c r="F916" s="14">
        <f>Data!H916</f>
        <v>213518000000</v>
      </c>
      <c r="G916" s="12">
        <f t="shared" si="14"/>
        <v>0.78610702610552741</v>
      </c>
    </row>
    <row r="917" spans="2:7" ht="15" customHeight="1" x14ac:dyDescent="0.3">
      <c r="C917" s="2"/>
      <c r="D917" s="8">
        <v>2016</v>
      </c>
      <c r="E917" s="14">
        <f>Data!F917</f>
        <v>167645000000</v>
      </c>
      <c r="F917" s="14">
        <f>Data!H917</f>
        <v>230303000000</v>
      </c>
      <c r="G917" s="12">
        <f t="shared" si="14"/>
        <v>0.72793233262267532</v>
      </c>
    </row>
    <row r="918" spans="2:7" ht="15" customHeight="1" x14ac:dyDescent="0.3">
      <c r="C918" s="2"/>
      <c r="D918" s="8">
        <v>2017</v>
      </c>
      <c r="E918" s="14">
        <f>Data!F918</f>
        <v>191957000000</v>
      </c>
      <c r="F918" s="14">
        <f>Data!H918</f>
        <v>225398000000</v>
      </c>
      <c r="G918" s="12">
        <f t="shared" si="14"/>
        <v>0.85163577316568917</v>
      </c>
    </row>
    <row r="919" spans="2:7" ht="15" customHeight="1" x14ac:dyDescent="0.3">
      <c r="C919" s="2"/>
      <c r="D919" s="8">
        <v>2018</v>
      </c>
      <c r="E919" s="14">
        <f>Data!F919</f>
        <v>221872000000</v>
      </c>
      <c r="F919" s="14">
        <f>Data!H919</f>
        <v>250599000000</v>
      </c>
      <c r="G919" s="12">
        <f t="shared" si="14"/>
        <v>0.88536666147909604</v>
      </c>
    </row>
    <row r="920" spans="2:7" ht="15" customHeight="1" x14ac:dyDescent="0.3">
      <c r="C920" s="2"/>
      <c r="D920" s="8">
        <v>2019</v>
      </c>
      <c r="E920" s="14">
        <f>Data!F920</f>
        <v>217404000000</v>
      </c>
      <c r="F920" s="14">
        <f>Data!H920</f>
        <v>234994000000</v>
      </c>
      <c r="G920" s="12">
        <f t="shared" si="14"/>
        <v>0.92514702503042634</v>
      </c>
    </row>
    <row r="921" spans="2:7" ht="15" customHeight="1" x14ac:dyDescent="0.3">
      <c r="C921" s="2"/>
      <c r="D921" s="8">
        <v>2020</v>
      </c>
      <c r="E921" s="14">
        <f>Data!F921</f>
        <v>164104000000</v>
      </c>
      <c r="F921" s="14">
        <f>Data!H921</f>
        <v>145779000000</v>
      </c>
      <c r="G921" s="12">
        <f t="shared" si="14"/>
        <v>1.1257039765672696</v>
      </c>
    </row>
    <row r="922" spans="2:7" ht="15" customHeight="1" x14ac:dyDescent="0.3">
      <c r="C922" s="2"/>
      <c r="D922" s="8">
        <v>2021</v>
      </c>
      <c r="E922" s="14">
        <f>Data!F922</f>
        <v>244237000000</v>
      </c>
      <c r="F922" s="14">
        <f>Data!H922</f>
        <v>213911000000</v>
      </c>
      <c r="G922" s="12">
        <f t="shared" si="14"/>
        <v>1.1417692404785167</v>
      </c>
    </row>
    <row r="923" spans="2:7" ht="15" customHeight="1" x14ac:dyDescent="0.3">
      <c r="C923" s="2"/>
      <c r="D923" s="8">
        <v>2022</v>
      </c>
      <c r="E923" s="14">
        <f>Data!F923</f>
        <v>209195000000</v>
      </c>
      <c r="F923" s="14">
        <f>Data!H923</f>
        <v>177296000000</v>
      </c>
      <c r="G923" s="12">
        <f t="shared" si="14"/>
        <v>1.1799194567277322</v>
      </c>
    </row>
    <row r="924" spans="2:7" ht="15" customHeight="1" x14ac:dyDescent="0.3">
      <c r="C924" s="2"/>
      <c r="D924" s="8">
        <v>2023</v>
      </c>
      <c r="E924" s="14">
        <f>Data!F924</f>
        <v>203378000000</v>
      </c>
      <c r="F924" s="14">
        <f>Data!H924</f>
        <v>169625000000</v>
      </c>
      <c r="G924" s="12">
        <f t="shared" si="14"/>
        <v>1.1989859985261606</v>
      </c>
    </row>
    <row r="925" spans="2:7" ht="15" customHeight="1" x14ac:dyDescent="0.3">
      <c r="C925" s="2"/>
      <c r="D925" s="8">
        <v>2024</v>
      </c>
      <c r="E925" s="14">
        <f>Data!F925</f>
        <v>253013000000</v>
      </c>
      <c r="F925" s="14">
        <f>Data!H925</f>
        <v>243065000000</v>
      </c>
      <c r="G925" s="12">
        <f t="shared" si="14"/>
        <v>1.0409273239668402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Data!F926</f>
        <v>0</v>
      </c>
      <c r="F926" s="14">
        <f>Data!H926</f>
        <v>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Data!F927</f>
        <v>556858000000</v>
      </c>
      <c r="F927" s="14">
        <f>Data!H927</f>
        <v>839866000000</v>
      </c>
      <c r="G927" s="12">
        <f t="shared" si="14"/>
        <v>0.66303195986026342</v>
      </c>
    </row>
    <row r="928" spans="2:7" ht="15" customHeight="1" x14ac:dyDescent="0.3">
      <c r="C928" s="2"/>
      <c r="D928" s="8">
        <v>2016</v>
      </c>
      <c r="E928" s="14">
        <f>Data!F928</f>
        <v>608191000000</v>
      </c>
      <c r="F928" s="14">
        <f>Data!H928</f>
        <v>845138000000</v>
      </c>
      <c r="G928" s="12">
        <f t="shared" si="14"/>
        <v>0.71963513651025035</v>
      </c>
    </row>
    <row r="929" spans="2:7" ht="15" customHeight="1" x14ac:dyDescent="0.3">
      <c r="C929" s="2"/>
      <c r="D929" s="8">
        <v>2017</v>
      </c>
      <c r="E929" s="14">
        <f>Data!F929</f>
        <v>663375000000</v>
      </c>
      <c r="F929" s="14">
        <f>Data!H929</f>
        <v>149256000000</v>
      </c>
      <c r="G929" s="12">
        <f t="shared" si="14"/>
        <v>4.4445449429168677</v>
      </c>
    </row>
    <row r="930" spans="2:7" ht="15" customHeight="1" x14ac:dyDescent="0.3">
      <c r="C930" s="2"/>
      <c r="D930" s="8">
        <v>2018</v>
      </c>
      <c r="E930" s="14">
        <f>Data!F930</f>
        <v>803506000000</v>
      </c>
      <c r="F930" s="14">
        <f>Data!H930</f>
        <v>262242000000</v>
      </c>
      <c r="G930" s="12">
        <f t="shared" si="14"/>
        <v>3.0639866993082725</v>
      </c>
    </row>
    <row r="931" spans="2:7" ht="15" customHeight="1" x14ac:dyDescent="0.3">
      <c r="C931" s="2"/>
      <c r="D931" s="8">
        <v>2019</v>
      </c>
      <c r="E931" s="14">
        <f>Data!F931</f>
        <v>1381527000000</v>
      </c>
      <c r="F931" s="14">
        <f>Data!H931</f>
        <v>402832000000</v>
      </c>
      <c r="G931" s="12">
        <f t="shared" si="14"/>
        <v>3.4295363824125196</v>
      </c>
    </row>
    <row r="932" spans="2:7" ht="15" customHeight="1" x14ac:dyDescent="0.3">
      <c r="C932" s="2"/>
      <c r="D932" s="8">
        <v>2020</v>
      </c>
      <c r="E932" s="14">
        <f>Data!F932</f>
        <v>1628700000000</v>
      </c>
      <c r="F932" s="14">
        <f>Data!H932</f>
        <v>390634000000</v>
      </c>
      <c r="G932" s="12">
        <f t="shared" si="14"/>
        <v>4.1693759375783985</v>
      </c>
    </row>
    <row r="933" spans="2:7" ht="15" customHeight="1" x14ac:dyDescent="0.3">
      <c r="C933" s="2"/>
      <c r="D933" s="8">
        <v>2021</v>
      </c>
      <c r="E933" s="14">
        <f>Data!F933</f>
        <v>1514848000000</v>
      </c>
      <c r="F933" s="14">
        <f>Data!H933</f>
        <v>354040000000</v>
      </c>
      <c r="G933" s="12">
        <f t="shared" si="14"/>
        <v>4.2787481640492597</v>
      </c>
    </row>
    <row r="934" spans="2:7" ht="15" customHeight="1" x14ac:dyDescent="0.3">
      <c r="C934" s="2"/>
      <c r="D934" s="8">
        <v>2022</v>
      </c>
      <c r="E934" s="14">
        <f>Data!F934</f>
        <v>1931153000000</v>
      </c>
      <c r="F934" s="14">
        <f>Data!H934</f>
        <v>442158000000</v>
      </c>
      <c r="G934" s="12">
        <f t="shared" si="14"/>
        <v>4.3675631787731986</v>
      </c>
    </row>
    <row r="935" spans="2:7" ht="15" customHeight="1" x14ac:dyDescent="0.3">
      <c r="C935" s="2"/>
      <c r="D935" s="8">
        <v>2023</v>
      </c>
      <c r="E935" s="14">
        <f>Data!F935</f>
        <v>2287404000000</v>
      </c>
      <c r="F935" s="14">
        <f>Data!H935</f>
        <v>787043000000</v>
      </c>
      <c r="G935" s="12">
        <f t="shared" si="14"/>
        <v>2.9063265920667614</v>
      </c>
    </row>
    <row r="936" spans="2:7" ht="15" customHeight="1" x14ac:dyDescent="0.3">
      <c r="C936" s="2"/>
      <c r="D936" s="8">
        <v>2024</v>
      </c>
      <c r="E936" s="14">
        <f>Data!F936</f>
        <v>2123931000000</v>
      </c>
      <c r="F936" s="14">
        <f>Data!H936</f>
        <v>1041274000000</v>
      </c>
      <c r="G936" s="12">
        <f t="shared" si="14"/>
        <v>2.0397426613936389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Data!F937</f>
        <v>0</v>
      </c>
      <c r="F937" s="14">
        <f>Data!H937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Data!F938</f>
        <v>0</v>
      </c>
      <c r="F938" s="14">
        <f>Data!H938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Data!F939</f>
        <v>51545000000</v>
      </c>
      <c r="F939" s="14">
        <f>Data!H939</f>
        <v>60781000000</v>
      </c>
      <c r="G939" s="12">
        <f t="shared" si="14"/>
        <v>0.84804461920665997</v>
      </c>
    </row>
    <row r="940" spans="2:7" ht="15" customHeight="1" x14ac:dyDescent="0.3">
      <c r="C940" s="1"/>
      <c r="D940" s="8">
        <v>2017</v>
      </c>
      <c r="E940" s="14">
        <f>Data!F940</f>
        <v>52050000000</v>
      </c>
      <c r="F940" s="14">
        <f>Data!H940</f>
        <v>46850000000</v>
      </c>
      <c r="G940" s="12">
        <f t="shared" si="14"/>
        <v>1.1109925293489862</v>
      </c>
    </row>
    <row r="941" spans="2:7" ht="15" customHeight="1" x14ac:dyDescent="0.3">
      <c r="C941" s="1"/>
      <c r="D941" s="8">
        <v>2018</v>
      </c>
      <c r="E941" s="14">
        <f>Data!F941</f>
        <v>62578000000</v>
      </c>
      <c r="F941" s="14">
        <f>Data!H941</f>
        <v>69364000000</v>
      </c>
      <c r="G941" s="12">
        <f t="shared" si="14"/>
        <v>0.90216827172596736</v>
      </c>
    </row>
    <row r="942" spans="2:7" ht="15" customHeight="1" x14ac:dyDescent="0.3">
      <c r="C942" s="1"/>
      <c r="D942" s="8">
        <v>2019</v>
      </c>
      <c r="E942" s="14">
        <f>Data!F942</f>
        <v>129948000000</v>
      </c>
      <c r="F942" s="14">
        <f>Data!H942</f>
        <v>92578000000</v>
      </c>
      <c r="G942" s="12">
        <f t="shared" si="14"/>
        <v>1.4036596167556006</v>
      </c>
    </row>
    <row r="943" spans="2:7" ht="15" customHeight="1" x14ac:dyDescent="0.3">
      <c r="C943" s="1"/>
      <c r="D943" s="8">
        <v>2020</v>
      </c>
      <c r="E943" s="14">
        <f>Data!F943</f>
        <v>282133000000</v>
      </c>
      <c r="F943" s="14">
        <f>Data!H943</f>
        <v>101774000000</v>
      </c>
      <c r="G943" s="12">
        <f t="shared" si="14"/>
        <v>2.7721520231100283</v>
      </c>
    </row>
    <row r="944" spans="2:7" ht="15" customHeight="1" x14ac:dyDescent="0.3">
      <c r="C944" s="1"/>
      <c r="D944" s="8">
        <v>2021</v>
      </c>
      <c r="E944" s="14">
        <f>Data!F944</f>
        <v>270305000000</v>
      </c>
      <c r="F944" s="14">
        <f>Data!H944</f>
        <v>101675000000</v>
      </c>
      <c r="G944" s="12">
        <f t="shared" si="14"/>
        <v>2.6585197934595524</v>
      </c>
    </row>
    <row r="945" spans="2:7" ht="15" customHeight="1" x14ac:dyDescent="0.3">
      <c r="C945" s="1"/>
      <c r="D945" s="8">
        <v>2022</v>
      </c>
      <c r="E945" s="14">
        <f>Data!F945</f>
        <v>303441000000</v>
      </c>
      <c r="F945" s="14">
        <f>Data!H945</f>
        <v>109752000000</v>
      </c>
      <c r="G945" s="12">
        <f t="shared" si="14"/>
        <v>2.764787885414389</v>
      </c>
    </row>
    <row r="946" spans="2:7" ht="15" customHeight="1" x14ac:dyDescent="0.3">
      <c r="C946" s="1"/>
      <c r="D946" s="8">
        <v>2023</v>
      </c>
      <c r="E946" s="14">
        <f>Data!F946</f>
        <v>280069000000</v>
      </c>
      <c r="F946" s="14">
        <f>Data!H946</f>
        <v>103714000000</v>
      </c>
      <c r="G946" s="12">
        <f t="shared" si="14"/>
        <v>2.7003972462734058</v>
      </c>
    </row>
    <row r="947" spans="2:7" ht="15" customHeight="1" x14ac:dyDescent="0.3">
      <c r="C947" s="1"/>
      <c r="D947" s="8">
        <v>2024</v>
      </c>
      <c r="E947" s="14">
        <f>Data!F947</f>
        <v>373910000000</v>
      </c>
      <c r="F947" s="14">
        <f>Data!H947</f>
        <v>158442000000</v>
      </c>
      <c r="G947" s="12">
        <f t="shared" si="14"/>
        <v>2.3599171936733945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Data!F948</f>
        <v>0</v>
      </c>
      <c r="F948" s="14">
        <f>Data!H948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Data!F949</f>
        <v>0</v>
      </c>
      <c r="F949" s="14">
        <f>Data!H949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Data!F950</f>
        <v>0</v>
      </c>
      <c r="F950" s="14">
        <f>Data!H950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Data!F951</f>
        <v>0</v>
      </c>
      <c r="F951" s="14">
        <f>Data!H951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Data!F952</f>
        <v>0</v>
      </c>
      <c r="F952" s="14">
        <f>Data!H952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Data!F953</f>
        <v>0</v>
      </c>
      <c r="F953" s="14">
        <f>Data!H953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Data!F954</f>
        <v>0</v>
      </c>
      <c r="F954" s="14">
        <f>Data!H954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Data!F955</f>
        <v>0</v>
      </c>
      <c r="F955" s="14">
        <f>Data!H955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Data!F956</f>
        <v>0</v>
      </c>
      <c r="F956" s="14">
        <f>Data!H956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Data!F957</f>
        <v>0</v>
      </c>
      <c r="F957" s="14">
        <f>Data!H957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Data!F958</f>
        <v>0</v>
      </c>
      <c r="F958" s="14">
        <f>Data!H958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Data!F959</f>
        <v>0</v>
      </c>
      <c r="F959" s="14">
        <f>Data!H959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Data!F960</f>
        <v>0</v>
      </c>
      <c r="F960" s="14">
        <f>Data!H960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Data!F961</f>
        <v>0</v>
      </c>
      <c r="F961" s="14">
        <f>Data!H961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Data!F962</f>
        <v>0</v>
      </c>
      <c r="F962" s="14">
        <f>Data!H962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Data!F963</f>
        <v>0</v>
      </c>
      <c r="F963" s="14">
        <f>Data!H963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Data!F964</f>
        <v>0</v>
      </c>
      <c r="F964" s="14">
        <f>Data!H964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Data!F965</f>
        <v>0</v>
      </c>
      <c r="F965" s="14">
        <f>Data!H965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Data!F966</f>
        <v>0</v>
      </c>
      <c r="F966" s="14">
        <f>Data!H966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Data!F967</f>
        <v>0</v>
      </c>
      <c r="F967" s="14">
        <f>Data!H967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Data!F968</f>
        <v>0</v>
      </c>
      <c r="F968" s="14">
        <f>Data!H968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Data!F969</f>
        <v>0</v>
      </c>
      <c r="F969" s="14">
        <f>Data!H969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Data!F970</f>
        <v>0</v>
      </c>
      <c r="F970" s="14">
        <f>Data!H970</f>
        <v>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>
        <f>Data!F971</f>
        <v>150700192791</v>
      </c>
      <c r="F971" s="14">
        <f>Data!H971</f>
        <v>139680162903</v>
      </c>
      <c r="G971" s="12">
        <f t="shared" si="15"/>
        <v>1.0788947382288836</v>
      </c>
    </row>
    <row r="972" spans="2:7" ht="15" customHeight="1" x14ac:dyDescent="0.3">
      <c r="C972" s="2"/>
      <c r="D972" s="8">
        <v>2016</v>
      </c>
      <c r="E972" s="14">
        <f>Data!F972</f>
        <v>192866787465</v>
      </c>
      <c r="F972" s="14">
        <f>Data!H972</f>
        <v>146731297668</v>
      </c>
      <c r="G972" s="12">
        <f t="shared" si="15"/>
        <v>1.3144216028225142</v>
      </c>
    </row>
    <row r="973" spans="2:7" ht="15" customHeight="1" x14ac:dyDescent="0.3">
      <c r="C973" s="2"/>
      <c r="D973" s="8">
        <v>2017</v>
      </c>
      <c r="E973" s="14">
        <f>Data!F973</f>
        <v>268253317598</v>
      </c>
      <c r="F973" s="14">
        <f>Data!H973</f>
        <v>155395632847</v>
      </c>
      <c r="G973" s="12">
        <f t="shared" si="15"/>
        <v>1.7262603374582466</v>
      </c>
    </row>
    <row r="974" spans="2:7" ht="15" customHeight="1" x14ac:dyDescent="0.3">
      <c r="C974" s="2"/>
      <c r="D974" s="8">
        <v>2018</v>
      </c>
      <c r="E974" s="14">
        <f>Data!F974</f>
        <v>327819110936</v>
      </c>
      <c r="F974" s="14">
        <f>Data!H974</f>
        <v>187888163205</v>
      </c>
      <c r="G974" s="12">
        <f t="shared" si="15"/>
        <v>1.744756590005752</v>
      </c>
    </row>
    <row r="975" spans="2:7" ht="15" customHeight="1" x14ac:dyDescent="0.3">
      <c r="C975" s="2"/>
      <c r="D975" s="8">
        <v>2019</v>
      </c>
      <c r="E975" s="14">
        <f>Data!F975</f>
        <v>328254362064</v>
      </c>
      <c r="F975" s="14">
        <f>Data!H975</f>
        <v>169711432103</v>
      </c>
      <c r="G975" s="12">
        <f t="shared" si="15"/>
        <v>1.934191220923634</v>
      </c>
    </row>
    <row r="976" spans="2:7" ht="15" customHeight="1" x14ac:dyDescent="0.3">
      <c r="C976" s="2"/>
      <c r="D976" s="8">
        <v>2020</v>
      </c>
      <c r="E976" s="14">
        <f>Data!F976</f>
        <v>540352807215</v>
      </c>
      <c r="F976" s="14">
        <f>Data!H976</f>
        <v>129463585915</v>
      </c>
      <c r="G976" s="12">
        <f t="shared" si="15"/>
        <v>4.1737821750879931</v>
      </c>
    </row>
    <row r="977" spans="2:7" ht="15" customHeight="1" x14ac:dyDescent="0.3">
      <c r="C977" s="2"/>
      <c r="D977" s="8">
        <v>2021</v>
      </c>
      <c r="E977" s="14">
        <f>Data!F977</f>
        <v>444588775462</v>
      </c>
      <c r="F977" s="14">
        <f>Data!H977</f>
        <v>84785705077</v>
      </c>
      <c r="G977" s="12">
        <f t="shared" si="15"/>
        <v>5.2436761015107081</v>
      </c>
    </row>
    <row r="978" spans="2:7" ht="15" customHeight="1" x14ac:dyDescent="0.3">
      <c r="C978" s="2"/>
      <c r="D978" s="8">
        <v>2022</v>
      </c>
      <c r="E978" s="14">
        <f>Data!F978</f>
        <v>618742227049</v>
      </c>
      <c r="F978" s="14">
        <f>Data!H978</f>
        <v>162928979422</v>
      </c>
      <c r="G978" s="12">
        <f t="shared" si="15"/>
        <v>3.7976192402605351</v>
      </c>
    </row>
    <row r="979" spans="2:7" ht="15" customHeight="1" x14ac:dyDescent="0.3">
      <c r="C979" s="2"/>
      <c r="D979" s="8">
        <v>2023</v>
      </c>
      <c r="E979" s="14">
        <f>Data!F979</f>
        <v>501356714444</v>
      </c>
      <c r="F979" s="14">
        <f>Data!H979</f>
        <v>75021397740</v>
      </c>
      <c r="G979" s="12">
        <f t="shared" si="15"/>
        <v>6.6828495542237283</v>
      </c>
    </row>
    <row r="980" spans="2:7" ht="15" customHeight="1" x14ac:dyDescent="0.3">
      <c r="C980" s="2"/>
      <c r="D980" s="8">
        <v>2024</v>
      </c>
      <c r="E980" s="14">
        <f>Data!F980</f>
        <v>643740061139</v>
      </c>
      <c r="F980" s="14">
        <f>Data!H980</f>
        <v>80749877256</v>
      </c>
      <c r="G980" s="12">
        <f t="shared" si="15"/>
        <v>7.9720252589135407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Data!F981</f>
        <v>0</v>
      </c>
      <c r="F981" s="14">
        <f>Data!H981</f>
        <v>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Data!F982</f>
        <v>153288000000</v>
      </c>
      <c r="F982" s="14">
        <f>Data!H982</f>
        <v>72703000000</v>
      </c>
      <c r="G982" s="12">
        <f t="shared" si="15"/>
        <v>2.1084136830667237</v>
      </c>
    </row>
    <row r="983" spans="2:7" ht="15" customHeight="1" x14ac:dyDescent="0.3">
      <c r="C983" s="2"/>
      <c r="D983" s="8">
        <v>2016</v>
      </c>
      <c r="E983" s="14">
        <f>Data!F983</f>
        <v>247697000000</v>
      </c>
      <c r="F983" s="14">
        <f>Data!H983</f>
        <v>83019000000</v>
      </c>
      <c r="G983" s="12">
        <f t="shared" si="15"/>
        <v>2.9836182078801237</v>
      </c>
    </row>
    <row r="984" spans="2:7" ht="15" customHeight="1" x14ac:dyDescent="0.3">
      <c r="C984" s="2"/>
      <c r="D984" s="8">
        <v>2017</v>
      </c>
      <c r="E984" s="14">
        <f>Data!F984</f>
        <v>328784000000</v>
      </c>
      <c r="F984" s="14">
        <f>Data!H984</f>
        <v>106657000000</v>
      </c>
      <c r="G984" s="12">
        <f t="shared" si="15"/>
        <v>3.0826293632860478</v>
      </c>
    </row>
    <row r="985" spans="2:7" ht="15" customHeight="1" x14ac:dyDescent="0.3">
      <c r="C985" s="2"/>
      <c r="D985" s="8">
        <v>2018</v>
      </c>
      <c r="E985" s="14">
        <f>Data!F985</f>
        <v>390619000000</v>
      </c>
      <c r="F985" s="14">
        <f>Data!H985</f>
        <v>87834000000</v>
      </c>
      <c r="G985" s="12">
        <f t="shared" si="15"/>
        <v>4.4472413871621468</v>
      </c>
    </row>
    <row r="986" spans="2:7" ht="15" customHeight="1" x14ac:dyDescent="0.3">
      <c r="C986" s="2"/>
      <c r="D986" s="8">
        <v>2019</v>
      </c>
      <c r="E986" s="14">
        <f>Data!F986</f>
        <v>354761000000</v>
      </c>
      <c r="F986" s="14">
        <f>Data!H986</f>
        <v>100487000000</v>
      </c>
      <c r="G986" s="12">
        <f t="shared" si="15"/>
        <v>3.5304168698438603</v>
      </c>
    </row>
    <row r="987" spans="2:7" ht="15" customHeight="1" x14ac:dyDescent="0.3">
      <c r="C987" s="2"/>
      <c r="D987" s="8">
        <v>2020</v>
      </c>
      <c r="E987" s="14">
        <f>Data!F987</f>
        <v>909465000000</v>
      </c>
      <c r="F987" s="14">
        <f>Data!H987</f>
        <v>119555000000</v>
      </c>
      <c r="G987" s="12">
        <f t="shared" si="15"/>
        <v>7.6070846054117354</v>
      </c>
    </row>
    <row r="988" spans="2:7" ht="15" customHeight="1" x14ac:dyDescent="0.3">
      <c r="C988" s="2"/>
      <c r="D988" s="8">
        <v>2021</v>
      </c>
      <c r="E988" s="14">
        <f>Data!F988</f>
        <v>1154884000000</v>
      </c>
      <c r="F988" s="14">
        <f>Data!H988</f>
        <v>152595000000</v>
      </c>
      <c r="G988" s="12">
        <f t="shared" si="15"/>
        <v>7.5682951603918873</v>
      </c>
    </row>
    <row r="989" spans="2:7" ht="15" customHeight="1" x14ac:dyDescent="0.3">
      <c r="C989" s="2"/>
      <c r="D989" s="8">
        <v>2022</v>
      </c>
      <c r="E989" s="14">
        <f>Data!F989</f>
        <v>1116964000000</v>
      </c>
      <c r="F989" s="14">
        <f>Data!H989</f>
        <v>104736000000</v>
      </c>
      <c r="G989" s="12">
        <f t="shared" si="15"/>
        <v>10.664566147265505</v>
      </c>
    </row>
    <row r="990" spans="2:7" ht="15" customHeight="1" x14ac:dyDescent="0.3">
      <c r="C990" s="2"/>
      <c r="D990" s="8">
        <v>2023</v>
      </c>
      <c r="E990" s="14">
        <f>Data!F990</f>
        <v>1204646000000</v>
      </c>
      <c r="F990" s="14">
        <f>Data!H990</f>
        <v>183912000000</v>
      </c>
      <c r="G990" s="12">
        <f t="shared" si="15"/>
        <v>6.5501217973813564</v>
      </c>
    </row>
    <row r="991" spans="2:7" ht="15" customHeight="1" x14ac:dyDescent="0.3">
      <c r="C991" s="2"/>
      <c r="D991" s="8">
        <v>2024</v>
      </c>
      <c r="E991" s="14">
        <f>Data!F991</f>
        <v>1121749000000</v>
      </c>
      <c r="F991" s="14">
        <f>Data!H991</f>
        <v>187808000000</v>
      </c>
      <c r="G991" s="12">
        <f t="shared" si="15"/>
        <v>5.972849931845289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Data!F992</f>
        <v>0</v>
      </c>
      <c r="F992" s="14">
        <f>Data!H992</f>
        <v>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Data!F993</f>
        <v>1677565000000</v>
      </c>
      <c r="F993" s="14">
        <f>Data!H993</f>
        <v>367727000000</v>
      </c>
      <c r="G993" s="12">
        <f t="shared" si="15"/>
        <v>4.5619848420159519</v>
      </c>
    </row>
    <row r="994" spans="2:7" ht="15" customHeight="1" x14ac:dyDescent="0.3">
      <c r="C994" s="2"/>
      <c r="D994" s="8">
        <v>2016</v>
      </c>
      <c r="E994" s="14">
        <f>Data!F994</f>
        <v>1241736000000</v>
      </c>
      <c r="F994" s="14">
        <f>Data!H994</f>
        <v>338229000000</v>
      </c>
      <c r="G994" s="12">
        <f t="shared" si="15"/>
        <v>3.6712877961381194</v>
      </c>
    </row>
    <row r="995" spans="2:7" ht="15" customHeight="1" x14ac:dyDescent="0.3">
      <c r="C995" s="2"/>
      <c r="D995" s="8">
        <v>2017</v>
      </c>
      <c r="E995" s="14">
        <f>Data!F995</f>
        <v>1485495000000</v>
      </c>
      <c r="F995" s="14">
        <f>Data!H995</f>
        <v>372558000000</v>
      </c>
      <c r="G995" s="12">
        <f t="shared" si="15"/>
        <v>3.9872852012304123</v>
      </c>
    </row>
    <row r="996" spans="2:7" ht="15" customHeight="1" x14ac:dyDescent="0.3">
      <c r="C996" s="2"/>
      <c r="D996" s="8">
        <v>2018</v>
      </c>
      <c r="E996" s="14">
        <f>Data!F996</f>
        <v>1951497000000</v>
      </c>
      <c r="F996" s="14">
        <f>Data!H996</f>
        <v>842161000000</v>
      </c>
      <c r="G996" s="12">
        <f t="shared" si="15"/>
        <v>2.3172493145609927</v>
      </c>
    </row>
    <row r="997" spans="2:7" ht="15" customHeight="1" x14ac:dyDescent="0.3">
      <c r="C997" s="2"/>
      <c r="D997" s="8">
        <v>2019</v>
      </c>
      <c r="E997" s="14">
        <f>Data!F997</f>
        <v>1892921000000</v>
      </c>
      <c r="F997" s="14">
        <f>Data!H997</f>
        <v>760848000000</v>
      </c>
      <c r="G997" s="12">
        <f t="shared" si="15"/>
        <v>2.4879095430361913</v>
      </c>
    </row>
    <row r="998" spans="2:7" ht="15" customHeight="1" x14ac:dyDescent="0.3">
      <c r="C998" s="2"/>
      <c r="D998" s="8">
        <v>2020</v>
      </c>
      <c r="E998" s="14">
        <f>Data!F998</f>
        <v>3530939000000</v>
      </c>
      <c r="F998" s="14">
        <f>Data!H998</f>
        <v>884413000000</v>
      </c>
      <c r="G998" s="12">
        <f t="shared" si="15"/>
        <v>3.992409654765364</v>
      </c>
    </row>
    <row r="999" spans="2:7" ht="15" customHeight="1" x14ac:dyDescent="0.3">
      <c r="C999" s="2"/>
      <c r="D999" s="8">
        <v>2021</v>
      </c>
      <c r="E999" s="14">
        <f>Data!F999</f>
        <v>3225533000000</v>
      </c>
      <c r="F999" s="14">
        <f>Data!H999</f>
        <v>903737000000</v>
      </c>
      <c r="G999" s="12">
        <f t="shared" si="15"/>
        <v>3.5691058349940303</v>
      </c>
    </row>
    <row r="1000" spans="2:7" ht="15" customHeight="1" x14ac:dyDescent="0.3">
      <c r="C1000" s="2"/>
      <c r="D1000" s="8">
        <v>2022</v>
      </c>
      <c r="E1000" s="14">
        <f>Data!F1000</f>
        <v>2734829000000</v>
      </c>
      <c r="F1000" s="14">
        <f>Data!H1000</f>
        <v>1085174000000</v>
      </c>
      <c r="G1000" s="12">
        <f t="shared" si="15"/>
        <v>2.5201755663147107</v>
      </c>
    </row>
    <row r="1001" spans="2:7" ht="15" customHeight="1" x14ac:dyDescent="0.3">
      <c r="C1001" s="2"/>
      <c r="D1001" s="8">
        <v>2023</v>
      </c>
      <c r="E1001" s="14">
        <f>Data!F1001</f>
        <v>2449132000000</v>
      </c>
      <c r="F1001" s="14">
        <f>Data!H1001</f>
        <v>1044353000000</v>
      </c>
      <c r="G1001" s="12">
        <f t="shared" si="15"/>
        <v>2.3451189396688665</v>
      </c>
    </row>
    <row r="1002" spans="2:7" ht="15" customHeight="1" x14ac:dyDescent="0.3">
      <c r="C1002" s="2"/>
      <c r="D1002" s="8">
        <v>2024</v>
      </c>
      <c r="E1002" s="14">
        <f>Data!F1002</f>
        <v>2253921000000</v>
      </c>
      <c r="F1002" s="14">
        <f>Data!H1002</f>
        <v>978116000000</v>
      </c>
      <c r="G1002" s="12">
        <f t="shared" si="15"/>
        <v>2.3043493818729068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Data!F1003</f>
        <v>0</v>
      </c>
      <c r="F1003" s="14">
        <f>Data!H1003</f>
        <v>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Data!F1004</f>
        <v>414272096000</v>
      </c>
      <c r="F1004" s="14">
        <f>Data!H1004</f>
        <v>184957408000</v>
      </c>
      <c r="G1004" s="12">
        <f t="shared" si="15"/>
        <v>2.2398242951155543</v>
      </c>
    </row>
    <row r="1005" spans="2:7" ht="15" customHeight="1" x14ac:dyDescent="0.3">
      <c r="C1005" s="2"/>
      <c r="D1005" s="8">
        <v>2016</v>
      </c>
      <c r="E1005" s="14">
        <f>Data!F1005</f>
        <v>963908487000</v>
      </c>
      <c r="F1005" s="14">
        <f>Data!H1005</f>
        <v>268669474000</v>
      </c>
      <c r="G1005" s="12">
        <f t="shared" si="15"/>
        <v>3.5877112224517176</v>
      </c>
    </row>
    <row r="1006" spans="2:7" ht="15" customHeight="1" x14ac:dyDescent="0.3">
      <c r="C1006" s="2"/>
      <c r="D1006" s="8">
        <v>2017</v>
      </c>
      <c r="E1006" s="14">
        <f>Data!F1006</f>
        <v>1338482783000</v>
      </c>
      <c r="F1006" s="14">
        <f>Data!H1006</f>
        <v>350343544000</v>
      </c>
      <c r="G1006" s="12">
        <f t="shared" si="15"/>
        <v>3.8204865079517494</v>
      </c>
    </row>
    <row r="1007" spans="2:7" ht="15" customHeight="1" x14ac:dyDescent="0.3">
      <c r="C1007" s="2"/>
      <c r="D1007" s="8">
        <v>2018</v>
      </c>
      <c r="E1007" s="14">
        <f>Data!F1007</f>
        <v>1754971269000</v>
      </c>
      <c r="F1007" s="14">
        <f>Data!H1007</f>
        <v>359981966000</v>
      </c>
      <c r="G1007" s="12">
        <f t="shared" si="15"/>
        <v>4.8751644103193765</v>
      </c>
    </row>
    <row r="1008" spans="2:7" ht="15" customHeight="1" x14ac:dyDescent="0.3">
      <c r="C1008" s="2"/>
      <c r="D1008" s="8">
        <v>2019</v>
      </c>
      <c r="E1008" s="14">
        <f>Data!F1008</f>
        <v>1727313641000</v>
      </c>
      <c r="F1008" s="14">
        <f>Data!H1008</f>
        <v>396037217000</v>
      </c>
      <c r="G1008" s="12">
        <f t="shared" si="15"/>
        <v>4.3614932305718126</v>
      </c>
    </row>
    <row r="1009" spans="2:7" ht="15" customHeight="1" x14ac:dyDescent="0.3">
      <c r="C1009" s="2"/>
      <c r="D1009" s="8">
        <v>2020</v>
      </c>
      <c r="E1009" s="14">
        <f>Data!F1009</f>
        <v>2786964057000</v>
      </c>
      <c r="F1009" s="14">
        <f>Data!H1009</f>
        <v>505994348000</v>
      </c>
      <c r="G1009" s="12">
        <f t="shared" si="15"/>
        <v>5.5078956277195417</v>
      </c>
    </row>
    <row r="1010" spans="2:7" ht="15" customHeight="1" x14ac:dyDescent="0.3">
      <c r="C1010" s="2"/>
      <c r="D1010" s="8">
        <v>2021</v>
      </c>
      <c r="E1010" s="14">
        <f>Data!F1010</f>
        <v>1976135523000</v>
      </c>
      <c r="F1010" s="14">
        <f>Data!H1010</f>
        <v>488236990000</v>
      </c>
      <c r="G1010" s="12">
        <f t="shared" si="15"/>
        <v>4.0474924339509792</v>
      </c>
    </row>
    <row r="1011" spans="2:7" ht="15" customHeight="1" x14ac:dyDescent="0.3">
      <c r="C1011" s="2"/>
      <c r="D1011" s="8">
        <v>2022</v>
      </c>
      <c r="E1011" s="14">
        <f>Data!F1011</f>
        <v>2015243157000</v>
      </c>
      <c r="F1011" s="14">
        <f>Data!H1011</f>
        <v>489851066000</v>
      </c>
      <c r="G1011" s="12">
        <f t="shared" si="15"/>
        <v>4.1139915718791151</v>
      </c>
    </row>
    <row r="1012" spans="2:7" ht="15" customHeight="1" x14ac:dyDescent="0.3">
      <c r="C1012" s="2"/>
      <c r="D1012" s="8">
        <v>2023</v>
      </c>
      <c r="E1012" s="14">
        <f>Data!F1012</f>
        <v>2271242778000</v>
      </c>
      <c r="F1012" s="14">
        <f>Data!H1012</f>
        <v>522666097000</v>
      </c>
      <c r="G1012" s="12">
        <f t="shared" si="15"/>
        <v>4.3454947451852801</v>
      </c>
    </row>
    <row r="1013" spans="2:7" ht="15" customHeight="1" x14ac:dyDescent="0.3">
      <c r="C1013" s="2"/>
      <c r="D1013" s="8">
        <v>2024</v>
      </c>
      <c r="E1013" s="14">
        <f>Data!F1013</f>
        <v>2395363782000</v>
      </c>
      <c r="F1013" s="14">
        <f>Data!H1013</f>
        <v>591519962000</v>
      </c>
      <c r="G1013" s="12">
        <f t="shared" si="15"/>
        <v>4.0495062481086652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Data!F1014</f>
        <v>0</v>
      </c>
      <c r="F1014" s="14">
        <f>Data!H1014</f>
        <v>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Data!F1015</f>
        <v>621463000000</v>
      </c>
      <c r="F1015" s="14">
        <f>Data!H1015</f>
        <v>230544000000</v>
      </c>
      <c r="G1015" s="12">
        <f t="shared" si="15"/>
        <v>2.6956372753140396</v>
      </c>
    </row>
    <row r="1016" spans="2:7" ht="15" customHeight="1" x14ac:dyDescent="0.3">
      <c r="C1016" s="2"/>
      <c r="D1016" s="8">
        <v>2016</v>
      </c>
      <c r="E1016" s="14">
        <f>Data!F1016</f>
        <v>428409000000</v>
      </c>
      <c r="F1016" s="14">
        <f>Data!H1016</f>
        <v>170455000000</v>
      </c>
      <c r="G1016" s="12">
        <f t="shared" si="15"/>
        <v>2.5133260977970724</v>
      </c>
    </row>
    <row r="1017" spans="2:7" ht="15" customHeight="1" x14ac:dyDescent="0.3">
      <c r="C1017" s="2"/>
      <c r="D1017" s="8">
        <v>2017</v>
      </c>
      <c r="E1017" s="14">
        <f>Data!F1017</f>
        <v>671720000000</v>
      </c>
      <c r="F1017" s="14">
        <f>Data!H1017</f>
        <v>192539000000</v>
      </c>
      <c r="G1017" s="12">
        <f t="shared" si="15"/>
        <v>3.488747734225274</v>
      </c>
    </row>
    <row r="1018" spans="2:7" ht="15" customHeight="1" x14ac:dyDescent="0.3">
      <c r="C1018" s="2"/>
      <c r="D1018" s="8">
        <v>2018</v>
      </c>
      <c r="E1018" s="14">
        <f>Data!F1018</f>
        <v>889858000000</v>
      </c>
      <c r="F1018" s="14">
        <f>Data!H1018</f>
        <v>212641000000</v>
      </c>
      <c r="G1018" s="12">
        <f t="shared" si="15"/>
        <v>4.1847903273592584</v>
      </c>
    </row>
    <row r="1019" spans="2:7" ht="15" customHeight="1" x14ac:dyDescent="0.3">
      <c r="C1019" s="2"/>
      <c r="D1019" s="8">
        <v>2019</v>
      </c>
      <c r="E1019" s="14">
        <f>Data!F1019</f>
        <v>952089000000</v>
      </c>
      <c r="F1019" s="14">
        <f>Data!H1019</f>
        <v>189099000000</v>
      </c>
      <c r="G1019" s="12">
        <f t="shared" si="15"/>
        <v>5.0348706233242906</v>
      </c>
    </row>
    <row r="1020" spans="2:7" ht="15" customHeight="1" x14ac:dyDescent="0.3">
      <c r="C1020" s="2"/>
      <c r="D1020" s="8">
        <v>2020</v>
      </c>
      <c r="E1020" s="14">
        <f>Data!F1020</f>
        <v>901046000000</v>
      </c>
      <c r="F1020" s="14">
        <f>Data!H1020</f>
        <v>117471000000</v>
      </c>
      <c r="G1020" s="12">
        <f t="shared" si="15"/>
        <v>7.6703697082684235</v>
      </c>
    </row>
    <row r="1021" spans="2:7" ht="15" customHeight="1" x14ac:dyDescent="0.3">
      <c r="C1021" s="2"/>
      <c r="D1021" s="8">
        <v>2021</v>
      </c>
      <c r="E1021" s="14">
        <f>Data!F1021</f>
        <v>1161657000000</v>
      </c>
      <c r="F1021" s="14">
        <f>Data!H1021</f>
        <v>125241000000</v>
      </c>
      <c r="G1021" s="12">
        <f t="shared" si="15"/>
        <v>9.27537308070041</v>
      </c>
    </row>
    <row r="1022" spans="2:7" ht="15" customHeight="1" x14ac:dyDescent="0.3">
      <c r="C1022" s="2"/>
      <c r="D1022" s="8">
        <v>2022</v>
      </c>
      <c r="E1022" s="14">
        <f>Data!F1022</f>
        <v>1254202000000</v>
      </c>
      <c r="F1022" s="14">
        <f>Data!H1022</f>
        <v>173851000000</v>
      </c>
      <c r="G1022" s="12">
        <f t="shared" si="15"/>
        <v>7.2142351783998944</v>
      </c>
    </row>
    <row r="1023" spans="2:7" ht="15" customHeight="1" x14ac:dyDescent="0.3">
      <c r="C1023" s="2"/>
      <c r="D1023" s="8">
        <v>2023</v>
      </c>
      <c r="E1023" s="14">
        <f>Data!F1023</f>
        <v>1328076000000</v>
      </c>
      <c r="F1023" s="14">
        <f>Data!H1023</f>
        <v>128803000000</v>
      </c>
      <c r="G1023" s="12">
        <f t="shared" si="15"/>
        <v>10.310908907401226</v>
      </c>
    </row>
    <row r="1024" spans="2:7" ht="15" customHeight="1" x14ac:dyDescent="0.3">
      <c r="C1024" s="2"/>
      <c r="D1024" s="8">
        <v>2024</v>
      </c>
      <c r="E1024" s="14">
        <f>Data!F1024</f>
        <v>5944590000000</v>
      </c>
      <c r="F1024" s="14">
        <f>Data!H1024</f>
        <v>1094311000000</v>
      </c>
      <c r="G1024" s="12">
        <f t="shared" si="15"/>
        <v>5.4322674267187301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Data!F1025</f>
        <v>0</v>
      </c>
      <c r="F1025" s="14">
        <f>Data!H1025</f>
        <v>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Data!F1026</f>
        <v>1287954750000</v>
      </c>
      <c r="F1026" s="14">
        <f>Data!H1026</f>
        <v>688812200000</v>
      </c>
      <c r="G1026" s="12">
        <f t="shared" si="15"/>
        <v>1.8698198870461353</v>
      </c>
    </row>
    <row r="1027" spans="2:7" ht="15" customHeight="1" x14ac:dyDescent="0.3">
      <c r="C1027" s="2"/>
      <c r="D1027" s="8">
        <v>2016</v>
      </c>
      <c r="E1027" s="14">
        <f>Data!F1027</f>
        <v>670891870000</v>
      </c>
      <c r="F1027" s="14">
        <f>Data!H1027</f>
        <v>601214530000</v>
      </c>
      <c r="G1027" s="12">
        <f t="shared" ref="G1027:G1090" si="16">IFERROR(E1027/F1027,0)</f>
        <v>1.1158943048166186</v>
      </c>
    </row>
    <row r="1028" spans="2:7" ht="15" customHeight="1" x14ac:dyDescent="0.3">
      <c r="C1028" s="2"/>
      <c r="D1028" s="8">
        <v>2017</v>
      </c>
      <c r="E1028" s="14">
        <f>Data!F1028</f>
        <v>568746000000</v>
      </c>
      <c r="F1028" s="14">
        <f>Data!H1028</f>
        <v>656686000000</v>
      </c>
      <c r="G1028" s="12">
        <f t="shared" si="16"/>
        <v>0.86608516094450017</v>
      </c>
    </row>
    <row r="1029" spans="2:7" ht="15" customHeight="1" x14ac:dyDescent="0.3">
      <c r="C1029" s="2"/>
      <c r="D1029" s="8">
        <v>2018</v>
      </c>
      <c r="E1029" s="14">
        <f>Data!F1029</f>
        <v>592995000000</v>
      </c>
      <c r="F1029" s="14">
        <f>Data!H1029</f>
        <v>752357000000</v>
      </c>
      <c r="G1029" s="12">
        <f t="shared" si="16"/>
        <v>0.78818300354751802</v>
      </c>
    </row>
    <row r="1030" spans="2:7" ht="15" customHeight="1" x14ac:dyDescent="0.3">
      <c r="C1030" s="2"/>
      <c r="D1030" s="8">
        <v>2019</v>
      </c>
      <c r="E1030" s="14">
        <f>Data!F1030</f>
        <v>522084000000</v>
      </c>
      <c r="F1030" s="14">
        <f>Data!H1030</f>
        <v>710207000000</v>
      </c>
      <c r="G1030" s="12">
        <f t="shared" si="16"/>
        <v>0.73511525512984244</v>
      </c>
    </row>
    <row r="1031" spans="2:7" ht="15" customHeight="1" x14ac:dyDescent="0.3">
      <c r="C1031" s="2"/>
      <c r="D1031" s="8">
        <v>2020</v>
      </c>
      <c r="E1031" s="14">
        <f>Data!F1031</f>
        <v>277199000000</v>
      </c>
      <c r="F1031" s="14">
        <f>Data!H1031</f>
        <v>543425000000</v>
      </c>
      <c r="G1031" s="12">
        <f t="shared" si="16"/>
        <v>0.51009614942264347</v>
      </c>
    </row>
    <row r="1032" spans="2:7" ht="15" customHeight="1" x14ac:dyDescent="0.3">
      <c r="C1032" s="2"/>
      <c r="D1032" s="8">
        <v>2021</v>
      </c>
      <c r="E1032" s="14">
        <f>Data!F1032</f>
        <v>338564000000</v>
      </c>
      <c r="F1032" s="14">
        <f>Data!H1032</f>
        <v>554772000000</v>
      </c>
      <c r="G1032" s="12">
        <f t="shared" si="16"/>
        <v>0.6102759331761517</v>
      </c>
    </row>
    <row r="1033" spans="2:7" ht="15" customHeight="1" x14ac:dyDescent="0.3">
      <c r="C1033" s="2"/>
      <c r="D1033" s="8">
        <v>2022</v>
      </c>
      <c r="E1033" s="14">
        <f>Data!F1033</f>
        <v>418483000000</v>
      </c>
      <c r="F1033" s="14">
        <f>Data!H1033</f>
        <v>662959000000</v>
      </c>
      <c r="G1033" s="12">
        <f t="shared" si="16"/>
        <v>0.63123511408699484</v>
      </c>
    </row>
    <row r="1034" spans="2:7" ht="15" customHeight="1" x14ac:dyDescent="0.3">
      <c r="C1034" s="2"/>
      <c r="D1034" s="8">
        <v>2023</v>
      </c>
      <c r="E1034" s="14">
        <f>Data!F1034</f>
        <v>525249000000</v>
      </c>
      <c r="F1034" s="14">
        <f>Data!H1034</f>
        <v>754896000000</v>
      </c>
      <c r="G1034" s="12">
        <f t="shared" si="16"/>
        <v>0.6957898836396007</v>
      </c>
    </row>
    <row r="1035" spans="2:7" ht="15" customHeight="1" x14ac:dyDescent="0.3">
      <c r="C1035" s="2"/>
      <c r="D1035" s="8">
        <v>2024</v>
      </c>
      <c r="E1035" s="14">
        <f>Data!F1035</f>
        <v>508342000000</v>
      </c>
      <c r="F1035" s="14">
        <f>Data!H1035</f>
        <v>758191000000</v>
      </c>
      <c r="G1035" s="12">
        <f t="shared" si="16"/>
        <v>0.67046694038837185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Data!F1036</f>
        <v>0</v>
      </c>
      <c r="F1036" s="14">
        <f>Data!H1036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Data!F1037</f>
        <v>0</v>
      </c>
      <c r="F1037" s="14">
        <f>Data!H1037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Data!F1038</f>
        <v>0</v>
      </c>
      <c r="F1038" s="14">
        <f>Data!H1038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Data!F1039</f>
        <v>0</v>
      </c>
      <c r="F1039" s="14">
        <f>Data!H1039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Data!F1040</f>
        <v>0</v>
      </c>
      <c r="F1040" s="14">
        <f>Data!H1040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Data!F1041</f>
        <v>73037088814</v>
      </c>
      <c r="F1041" s="14">
        <f>Data!H1041</f>
        <v>42676527001</v>
      </c>
      <c r="G1041" s="12">
        <f t="shared" si="16"/>
        <v>1.7114112592219275</v>
      </c>
    </row>
    <row r="1042" spans="2:7" ht="15" customHeight="1" x14ac:dyDescent="0.3">
      <c r="C1042" s="2"/>
      <c r="D1042" s="8">
        <v>2020</v>
      </c>
      <c r="E1042" s="14">
        <f>Data!F1042</f>
        <v>62198000000</v>
      </c>
      <c r="F1042" s="14">
        <f>Data!H1042</f>
        <v>61586000000</v>
      </c>
      <c r="G1042" s="12">
        <f t="shared" si="16"/>
        <v>1.0099373234176598</v>
      </c>
    </row>
    <row r="1043" spans="2:7" ht="15" customHeight="1" x14ac:dyDescent="0.3">
      <c r="C1043" s="2"/>
      <c r="D1043" s="8">
        <v>2021</v>
      </c>
      <c r="E1043" s="14">
        <f>Data!F1043</f>
        <v>53059000000</v>
      </c>
      <c r="F1043" s="14">
        <f>Data!H1043</f>
        <v>34249000000</v>
      </c>
      <c r="G1043" s="12">
        <f t="shared" si="16"/>
        <v>1.5492131157114077</v>
      </c>
    </row>
    <row r="1044" spans="2:7" ht="15" customHeight="1" x14ac:dyDescent="0.3">
      <c r="C1044" s="2"/>
      <c r="D1044" s="8">
        <v>2022</v>
      </c>
      <c r="E1044" s="14">
        <f>Data!F1044</f>
        <v>43190000000</v>
      </c>
      <c r="F1044" s="14">
        <f>Data!H1044</f>
        <v>29853000000</v>
      </c>
      <c r="G1044" s="12">
        <f t="shared" si="16"/>
        <v>1.4467557699393696</v>
      </c>
    </row>
    <row r="1045" spans="2:7" ht="15" customHeight="1" x14ac:dyDescent="0.3">
      <c r="C1045" s="2"/>
      <c r="D1045" s="8">
        <v>2023</v>
      </c>
      <c r="E1045" s="14">
        <f>Data!F1045</f>
        <v>56375000000</v>
      </c>
      <c r="F1045" s="14">
        <f>Data!H1045</f>
        <v>46121000000</v>
      </c>
      <c r="G1045" s="12">
        <f t="shared" si="16"/>
        <v>1.2223282235857853</v>
      </c>
    </row>
    <row r="1046" spans="2:7" ht="15" customHeight="1" x14ac:dyDescent="0.3">
      <c r="C1046" s="2"/>
      <c r="D1046" s="8">
        <v>2024</v>
      </c>
      <c r="E1046" s="14">
        <f>Data!F1046</f>
        <v>76718000000</v>
      </c>
      <c r="F1046" s="14">
        <f>Data!H1046</f>
        <v>48097000000</v>
      </c>
      <c r="G1046" s="12">
        <f t="shared" si="16"/>
        <v>1.595068299478138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Data!F1047</f>
        <v>0</v>
      </c>
      <c r="F1047" s="14">
        <f>Data!H1047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Data!F1048</f>
        <v>812898457202</v>
      </c>
      <c r="F1048" s="14">
        <f>Data!H1048</f>
        <v>141427534686</v>
      </c>
      <c r="G1048" s="12">
        <f t="shared" si="16"/>
        <v>5.7478090034363678</v>
      </c>
    </row>
    <row r="1049" spans="2:7" ht="15" customHeight="1" x14ac:dyDescent="0.3">
      <c r="C1049" s="2"/>
      <c r="D1049" s="8">
        <v>2016</v>
      </c>
      <c r="E1049" s="14">
        <f>Data!F1049</f>
        <v>1163809220059</v>
      </c>
      <c r="F1049" s="14">
        <f>Data!H1049</f>
        <v>145158529681</v>
      </c>
      <c r="G1049" s="12">
        <f t="shared" si="16"/>
        <v>8.0175048797792599</v>
      </c>
    </row>
    <row r="1050" spans="2:7" ht="15" customHeight="1" x14ac:dyDescent="0.3">
      <c r="C1050" s="2"/>
      <c r="D1050" s="8">
        <v>2017</v>
      </c>
      <c r="E1050" s="14">
        <f>Data!F1050</f>
        <v>788321917558</v>
      </c>
      <c r="F1050" s="14">
        <f>Data!H1050</f>
        <v>176219226792</v>
      </c>
      <c r="G1050" s="12">
        <f t="shared" si="16"/>
        <v>4.4735295456068149</v>
      </c>
    </row>
    <row r="1051" spans="2:7" ht="15" customHeight="1" x14ac:dyDescent="0.3">
      <c r="C1051" s="2"/>
      <c r="D1051" s="8">
        <v>2018</v>
      </c>
      <c r="E1051" s="14">
        <f>Data!F1051</f>
        <v>810232782796</v>
      </c>
      <c r="F1051" s="14">
        <f>Data!H1051</f>
        <v>165438514304</v>
      </c>
      <c r="G1051" s="12">
        <f t="shared" si="16"/>
        <v>4.8974858496804696</v>
      </c>
    </row>
    <row r="1052" spans="2:7" ht="15" customHeight="1" x14ac:dyDescent="0.3">
      <c r="C1052" s="2"/>
      <c r="D1052" s="8">
        <v>2019</v>
      </c>
      <c r="E1052" s="14">
        <f>Data!F1052</f>
        <v>879588708610</v>
      </c>
      <c r="F1052" s="14">
        <f>Data!H1052</f>
        <v>174880404531</v>
      </c>
      <c r="G1052" s="12">
        <f t="shared" si="16"/>
        <v>5.0296584741378529</v>
      </c>
    </row>
    <row r="1053" spans="2:7" ht="15" customHeight="1" x14ac:dyDescent="0.3">
      <c r="C1053" s="2"/>
      <c r="D1053" s="8">
        <v>2020</v>
      </c>
      <c r="E1053" s="14">
        <f>Data!F1053</f>
        <v>1023080684284</v>
      </c>
      <c r="F1053" s="14">
        <f>Data!H1053</f>
        <v>169182471154</v>
      </c>
      <c r="G1053" s="12">
        <f t="shared" si="16"/>
        <v>6.0472026286501679</v>
      </c>
    </row>
    <row r="1054" spans="2:7" ht="15" customHeight="1" x14ac:dyDescent="0.3">
      <c r="C1054" s="2"/>
      <c r="D1054" s="8">
        <v>2021</v>
      </c>
      <c r="E1054" s="14">
        <f>Data!F1054</f>
        <v>730177855402</v>
      </c>
      <c r="F1054" s="14">
        <f>Data!H1054</f>
        <v>222775899875</v>
      </c>
      <c r="G1054" s="12">
        <f t="shared" si="16"/>
        <v>3.2776339622540149</v>
      </c>
    </row>
    <row r="1055" spans="2:7" ht="15" customHeight="1" x14ac:dyDescent="0.3">
      <c r="C1055" s="2"/>
      <c r="D1055" s="8">
        <v>2022</v>
      </c>
      <c r="E1055" s="14">
        <f>Data!F1055</f>
        <v>837163043119</v>
      </c>
      <c r="F1055" s="14">
        <f>Data!H1055</f>
        <v>222589977877</v>
      </c>
      <c r="G1055" s="12">
        <f t="shared" si="16"/>
        <v>3.7610095975731852</v>
      </c>
    </row>
    <row r="1056" spans="2:7" ht="15" customHeight="1" x14ac:dyDescent="0.3">
      <c r="C1056" s="2"/>
      <c r="D1056" s="8">
        <v>2023</v>
      </c>
      <c r="E1056" s="14">
        <f>Data!F1056</f>
        <v>1011581042172</v>
      </c>
      <c r="F1056" s="14">
        <f>Data!H1056</f>
        <v>313204489304</v>
      </c>
      <c r="G1056" s="12">
        <f t="shared" si="16"/>
        <v>3.2297782334471821</v>
      </c>
    </row>
    <row r="1057" spans="2:7" ht="15" customHeight="1" x14ac:dyDescent="0.3">
      <c r="C1057" s="2"/>
      <c r="D1057" s="8">
        <v>2024</v>
      </c>
      <c r="E1057" s="14">
        <f>Data!F1057</f>
        <v>999046277328</v>
      </c>
      <c r="F1057" s="14">
        <f>Data!H1057</f>
        <v>347898320669</v>
      </c>
      <c r="G1057" s="12">
        <f t="shared" si="16"/>
        <v>2.8716616838128401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Data!F1058</f>
        <v>0</v>
      </c>
      <c r="F1058" s="14">
        <f>Data!H1058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Data!F1059</f>
        <v>0</v>
      </c>
      <c r="F1059" s="14">
        <f>Data!H1059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Data!F1060</f>
        <v>0</v>
      </c>
      <c r="F1060" s="14">
        <f>Data!H1060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Data!F1061</f>
        <v>181921000000</v>
      </c>
      <c r="F1061" s="14">
        <f>Data!H1061</f>
        <v>36385000000</v>
      </c>
      <c r="G1061" s="12">
        <f t="shared" si="16"/>
        <v>4.9998900645870554</v>
      </c>
    </row>
    <row r="1062" spans="2:7" ht="15" customHeight="1" x14ac:dyDescent="0.3">
      <c r="C1062" s="2"/>
      <c r="D1062" s="8">
        <v>2018</v>
      </c>
      <c r="E1062" s="14">
        <f>Data!F1062</f>
        <v>225852000000</v>
      </c>
      <c r="F1062" s="14">
        <f>Data!H1062</f>
        <v>51794000000</v>
      </c>
      <c r="G1062" s="12">
        <f t="shared" si="16"/>
        <v>4.3605823068309073</v>
      </c>
    </row>
    <row r="1063" spans="2:7" ht="15" customHeight="1" x14ac:dyDescent="0.3">
      <c r="C1063" s="2"/>
      <c r="D1063" s="8">
        <v>2019</v>
      </c>
      <c r="E1063" s="14">
        <f>Data!F1063</f>
        <v>212814000000</v>
      </c>
      <c r="F1063" s="14">
        <f>Data!H1063</f>
        <v>57546000000</v>
      </c>
      <c r="G1063" s="12">
        <f t="shared" si="16"/>
        <v>3.6981545198623711</v>
      </c>
    </row>
    <row r="1064" spans="2:7" ht="15" customHeight="1" x14ac:dyDescent="0.3">
      <c r="C1064" s="2"/>
      <c r="D1064" s="8">
        <v>2020</v>
      </c>
      <c r="E1064" s="14">
        <f>Data!F1064</f>
        <v>268693000000</v>
      </c>
      <c r="F1064" s="14">
        <f>Data!H1064</f>
        <v>49670000000</v>
      </c>
      <c r="G1064" s="12">
        <f t="shared" si="16"/>
        <v>5.4095631165693581</v>
      </c>
    </row>
    <row r="1065" spans="2:7" ht="15" customHeight="1" x14ac:dyDescent="0.3">
      <c r="C1065" s="2"/>
      <c r="D1065" s="8">
        <v>2021</v>
      </c>
      <c r="E1065" s="14">
        <f>Data!F1065</f>
        <v>284298000000</v>
      </c>
      <c r="F1065" s="14">
        <f>Data!H1065</f>
        <v>101252000000</v>
      </c>
      <c r="G1065" s="12">
        <f t="shared" si="16"/>
        <v>2.8078260182514914</v>
      </c>
    </row>
    <row r="1066" spans="2:7" ht="15" customHeight="1" x14ac:dyDescent="0.3">
      <c r="C1066" s="2"/>
      <c r="D1066" s="8">
        <v>2022</v>
      </c>
      <c r="E1066" s="14">
        <f>Data!F1066</f>
        <v>317951000000</v>
      </c>
      <c r="F1066" s="14">
        <f>Data!H1066</f>
        <v>67472000000</v>
      </c>
      <c r="G1066" s="12">
        <f t="shared" si="16"/>
        <v>4.7123399336020864</v>
      </c>
    </row>
    <row r="1067" spans="2:7" ht="15" customHeight="1" x14ac:dyDescent="0.3">
      <c r="C1067" s="2"/>
      <c r="D1067" s="8">
        <v>2023</v>
      </c>
      <c r="E1067" s="14">
        <f>Data!F1067</f>
        <v>267258000000</v>
      </c>
      <c r="F1067" s="14">
        <f>Data!H1067</f>
        <v>129755000000</v>
      </c>
      <c r="G1067" s="12">
        <f t="shared" si="16"/>
        <v>2.0597125351624217</v>
      </c>
    </row>
    <row r="1068" spans="2:7" ht="15" customHeight="1" x14ac:dyDescent="0.3">
      <c r="C1068" s="2"/>
      <c r="D1068" s="8">
        <v>2024</v>
      </c>
      <c r="E1068" s="14">
        <f>Data!F1068</f>
        <v>278341000000</v>
      </c>
      <c r="F1068" s="14">
        <f>Data!H1068</f>
        <v>147238000000</v>
      </c>
      <c r="G1068" s="12">
        <f t="shared" si="16"/>
        <v>1.8904155177331938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Data!F1069</f>
        <v>0</v>
      </c>
      <c r="F1069" s="14">
        <f>Data!H1069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Data!F1070</f>
        <v>0</v>
      </c>
      <c r="F1070" s="14">
        <f>Data!H1070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Data!F1071</f>
        <v>0</v>
      </c>
      <c r="F1071" s="14">
        <f>Data!H1071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Data!F1072</f>
        <v>149661800000.00003</v>
      </c>
      <c r="F1072" s="14">
        <f>Data!H1072</f>
        <v>71592790000</v>
      </c>
      <c r="G1072" s="12">
        <f t="shared" si="16"/>
        <v>2.0904591090806774</v>
      </c>
    </row>
    <row r="1073" spans="2:7" ht="15" customHeight="1" x14ac:dyDescent="0.3">
      <c r="C1073" s="2"/>
      <c r="D1073" s="8">
        <v>2018</v>
      </c>
      <c r="E1073" s="14">
        <f>Data!F1073</f>
        <v>167422850000</v>
      </c>
      <c r="F1073" s="14">
        <f>Data!H1073</f>
        <v>90213460000</v>
      </c>
      <c r="G1073" s="12">
        <f t="shared" si="16"/>
        <v>1.8558522198350447</v>
      </c>
    </row>
    <row r="1074" spans="2:7" ht="15" customHeight="1" x14ac:dyDescent="0.3">
      <c r="C1074" s="2"/>
      <c r="D1074" s="8">
        <v>2019</v>
      </c>
      <c r="E1074" s="14">
        <f>Data!F1074</f>
        <v>214362540000</v>
      </c>
      <c r="F1074" s="14">
        <f>Data!H1074</f>
        <v>67526820000.000008</v>
      </c>
      <c r="G1074" s="12">
        <f t="shared" si="16"/>
        <v>3.1744800066107062</v>
      </c>
    </row>
    <row r="1075" spans="2:7" ht="15" customHeight="1" x14ac:dyDescent="0.3">
      <c r="C1075" s="2"/>
      <c r="D1075" s="8">
        <v>2020</v>
      </c>
      <c r="E1075" s="14">
        <f>Data!F1075</f>
        <v>208293280000.00003</v>
      </c>
      <c r="F1075" s="14">
        <f>Data!H1075</f>
        <v>99569210000</v>
      </c>
      <c r="G1075" s="12">
        <f t="shared" si="16"/>
        <v>2.0919446885236916</v>
      </c>
    </row>
    <row r="1076" spans="2:7" ht="15" customHeight="1" x14ac:dyDescent="0.3">
      <c r="C1076" s="2"/>
      <c r="D1076" s="8">
        <v>2021</v>
      </c>
      <c r="E1076" s="14">
        <f>Data!F1076</f>
        <v>173725829999.99997</v>
      </c>
      <c r="F1076" s="14">
        <f>Data!H1076</f>
        <v>105411690000</v>
      </c>
      <c r="G1076" s="12">
        <f t="shared" si="16"/>
        <v>1.6480698677727297</v>
      </c>
    </row>
    <row r="1077" spans="2:7" ht="15" customHeight="1" x14ac:dyDescent="0.3">
      <c r="C1077" s="2"/>
      <c r="D1077" s="8">
        <v>2022</v>
      </c>
      <c r="E1077" s="14">
        <f>Data!F1077</f>
        <v>228972550000</v>
      </c>
      <c r="F1077" s="14">
        <f>Data!H1077</f>
        <v>106391240000</v>
      </c>
      <c r="G1077" s="12">
        <f t="shared" si="16"/>
        <v>2.1521748407105696</v>
      </c>
    </row>
    <row r="1078" spans="2:7" ht="15" customHeight="1" x14ac:dyDescent="0.3">
      <c r="C1078" s="2"/>
      <c r="D1078" s="8">
        <v>2023</v>
      </c>
      <c r="E1078" s="14">
        <f>Data!F1078</f>
        <v>341698559999.99994</v>
      </c>
      <c r="F1078" s="14">
        <f>Data!H1078</f>
        <v>107575740000</v>
      </c>
      <c r="G1078" s="12">
        <f t="shared" si="16"/>
        <v>3.1763533302211071</v>
      </c>
    </row>
    <row r="1079" spans="2:7" ht="15" customHeight="1" x14ac:dyDescent="0.3">
      <c r="C1079" s="2"/>
      <c r="D1079" s="8">
        <v>2024</v>
      </c>
      <c r="E1079" s="14">
        <f>Data!F1079</f>
        <v>297927480000</v>
      </c>
      <c r="F1079" s="14">
        <f>Data!H1079</f>
        <v>82817300000</v>
      </c>
      <c r="G1079" s="12">
        <f t="shared" si="16"/>
        <v>3.5974063390137085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Data!F1080</f>
        <v>0</v>
      </c>
      <c r="F1080" s="14">
        <f>Data!H1080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Data!F1081</f>
        <v>0</v>
      </c>
      <c r="F1081" s="14">
        <f>Data!H1081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Data!F1082</f>
        <v>0</v>
      </c>
      <c r="F1082" s="14">
        <f>Data!H1082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Data!F1083</f>
        <v>0</v>
      </c>
      <c r="F1083" s="14">
        <f>Data!H1083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Data!F1084</f>
        <v>0</v>
      </c>
      <c r="F1084" s="14">
        <f>Data!H1084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Data!F1085</f>
        <v>0</v>
      </c>
      <c r="F1085" s="14">
        <f>Data!H1085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Data!F1086</f>
        <v>0</v>
      </c>
      <c r="F1086" s="14">
        <f>Data!H1086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Data!F1087</f>
        <v>934443000000</v>
      </c>
      <c r="F1087" s="14">
        <f>Data!H1087</f>
        <v>259571000000</v>
      </c>
      <c r="G1087" s="12">
        <f t="shared" si="16"/>
        <v>3.5999514583678454</v>
      </c>
    </row>
    <row r="1088" spans="2:7" ht="15" customHeight="1" x14ac:dyDescent="0.3">
      <c r="C1088" s="2"/>
      <c r="D1088" s="8">
        <v>2022</v>
      </c>
      <c r="E1088" s="14">
        <f>Data!F1088</f>
        <v>938167000000</v>
      </c>
      <c r="F1088" s="14">
        <f>Data!H1088</f>
        <v>337904000000</v>
      </c>
      <c r="G1088" s="12">
        <f t="shared" si="16"/>
        <v>2.7764305838344621</v>
      </c>
    </row>
    <row r="1089" spans="2:7" ht="15" customHeight="1" x14ac:dyDescent="0.3">
      <c r="C1089" s="2"/>
      <c r="D1089" s="8">
        <v>2023</v>
      </c>
      <c r="E1089" s="14">
        <f>Data!F1089</f>
        <v>843437000000</v>
      </c>
      <c r="F1089" s="14">
        <f>Data!H1089</f>
        <v>313105000000</v>
      </c>
      <c r="G1089" s="12">
        <f t="shared" si="16"/>
        <v>2.6937832356557703</v>
      </c>
    </row>
    <row r="1090" spans="2:7" ht="15" customHeight="1" x14ac:dyDescent="0.3">
      <c r="C1090" s="2"/>
      <c r="D1090" s="8">
        <v>2024</v>
      </c>
      <c r="E1090" s="14">
        <f>Data!F1090</f>
        <v>788453000000</v>
      </c>
      <c r="F1090" s="14">
        <f>Data!H1090</f>
        <v>347075000000</v>
      </c>
      <c r="G1090" s="12">
        <f t="shared" si="16"/>
        <v>2.2717078441259093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Data!F1091</f>
        <v>0</v>
      </c>
      <c r="F1091" s="14">
        <f>Data!H1091</f>
        <v>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Data!F1092</f>
        <v>4773000000</v>
      </c>
      <c r="F1092" s="14">
        <f>Data!H1092</f>
        <v>4349000000</v>
      </c>
      <c r="G1092" s="12">
        <f t="shared" si="17"/>
        <v>1.0974936767072889</v>
      </c>
    </row>
    <row r="1093" spans="2:7" ht="15" customHeight="1" x14ac:dyDescent="0.3">
      <c r="C1093" s="2"/>
      <c r="D1093" s="8">
        <v>2016</v>
      </c>
      <c r="E1093" s="14">
        <f>Data!F1093</f>
        <v>6891000000</v>
      </c>
      <c r="F1093" s="14">
        <f>Data!H1093</f>
        <v>6228000000</v>
      </c>
      <c r="G1093" s="12">
        <f t="shared" si="17"/>
        <v>1.1064547206165702</v>
      </c>
    </row>
    <row r="1094" spans="2:7" ht="15" customHeight="1" x14ac:dyDescent="0.3">
      <c r="C1094" s="2"/>
      <c r="D1094" s="8">
        <v>2017</v>
      </c>
      <c r="E1094" s="14">
        <f>Data!F1094</f>
        <v>7041000000</v>
      </c>
      <c r="F1094" s="14">
        <f>Data!H1094</f>
        <v>8040000000</v>
      </c>
      <c r="G1094" s="12">
        <f t="shared" si="17"/>
        <v>0.87574626865671645</v>
      </c>
    </row>
    <row r="1095" spans="2:7" ht="15" customHeight="1" x14ac:dyDescent="0.3">
      <c r="C1095" s="2"/>
      <c r="D1095" s="8">
        <v>2018</v>
      </c>
      <c r="E1095" s="14">
        <f>Data!F1095</f>
        <v>25253000000</v>
      </c>
      <c r="F1095" s="14">
        <f>Data!H1095</f>
        <v>18070000000</v>
      </c>
      <c r="G1095" s="12">
        <f t="shared" si="17"/>
        <v>1.3975096845600443</v>
      </c>
    </row>
    <row r="1096" spans="2:7" ht="15" customHeight="1" x14ac:dyDescent="0.3">
      <c r="C1096" s="2"/>
      <c r="D1096" s="8">
        <v>2019</v>
      </c>
      <c r="E1096" s="14">
        <f>Data!F1096</f>
        <v>375984000000</v>
      </c>
      <c r="F1096" s="14">
        <f>Data!H1096</f>
        <v>141519000000</v>
      </c>
      <c r="G1096" s="12">
        <f t="shared" si="17"/>
        <v>2.6567740020774595</v>
      </c>
    </row>
    <row r="1097" spans="2:7" ht="15" customHeight="1" x14ac:dyDescent="0.3">
      <c r="C1097" s="2"/>
      <c r="D1097" s="8">
        <v>2020</v>
      </c>
      <c r="E1097" s="14">
        <f>Data!F1097</f>
        <v>65563000000</v>
      </c>
      <c r="F1097" s="14">
        <f>Data!H1097</f>
        <v>91855000000</v>
      </c>
      <c r="G1097" s="12">
        <f t="shared" si="17"/>
        <v>0.71376626204343807</v>
      </c>
    </row>
    <row r="1098" spans="2:7" ht="15" customHeight="1" x14ac:dyDescent="0.3">
      <c r="C1098" s="2"/>
      <c r="D1098" s="8">
        <v>2021</v>
      </c>
      <c r="E1098" s="14">
        <f>Data!F1098</f>
        <v>83598000000</v>
      </c>
      <c r="F1098" s="14">
        <f>Data!H1098</f>
        <v>113472000000</v>
      </c>
      <c r="G1098" s="12">
        <f t="shared" si="17"/>
        <v>0.73672800338409472</v>
      </c>
    </row>
    <row r="1099" spans="2:7" ht="15" customHeight="1" x14ac:dyDescent="0.3">
      <c r="C1099" s="2"/>
      <c r="D1099" s="8">
        <v>2022</v>
      </c>
      <c r="E1099" s="14">
        <f>Data!F1099</f>
        <v>135918000000</v>
      </c>
      <c r="F1099" s="14">
        <f>Data!H1099</f>
        <v>97248000000</v>
      </c>
      <c r="G1099" s="12">
        <f t="shared" si="17"/>
        <v>1.3976431391905233</v>
      </c>
    </row>
    <row r="1100" spans="2:7" ht="15" customHeight="1" x14ac:dyDescent="0.3">
      <c r="C1100" s="2"/>
      <c r="D1100" s="8">
        <v>2023</v>
      </c>
      <c r="E1100" s="14">
        <f>Data!F1100</f>
        <v>649506000000</v>
      </c>
      <c r="F1100" s="14">
        <f>Data!H1100</f>
        <v>82789000000</v>
      </c>
      <c r="G1100" s="12">
        <f t="shared" si="17"/>
        <v>7.8453176146589518</v>
      </c>
    </row>
    <row r="1101" spans="2:7" ht="15" customHeight="1" x14ac:dyDescent="0.3">
      <c r="C1101" s="2"/>
      <c r="D1101" s="8">
        <v>2024</v>
      </c>
      <c r="E1101" s="14">
        <f>Data!F1101</f>
        <v>775498000000</v>
      </c>
      <c r="F1101" s="14">
        <f>Data!H1101</f>
        <v>70301000000</v>
      </c>
      <c r="G1101" s="12">
        <f t="shared" si="17"/>
        <v>11.031109088064181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Data!F1102</f>
        <v>0</v>
      </c>
      <c r="F1102" s="14">
        <f>Data!H1102</f>
        <v>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Data!F1103</f>
        <v>1556709000000</v>
      </c>
      <c r="F1103" s="14">
        <f>Data!H1103</f>
        <v>488901000000</v>
      </c>
      <c r="G1103" s="12">
        <f t="shared" si="17"/>
        <v>3.1840986211932476</v>
      </c>
    </row>
    <row r="1104" spans="2:7" ht="15" customHeight="1" x14ac:dyDescent="0.3">
      <c r="C1104" s="2"/>
      <c r="D1104" s="8">
        <v>2016</v>
      </c>
      <c r="E1104" s="14">
        <f>Data!F1104</f>
        <v>1177591000000</v>
      </c>
      <c r="F1104" s="14">
        <f>Data!H1104</f>
        <v>469691000000</v>
      </c>
      <c r="G1104" s="12">
        <f t="shared" si="17"/>
        <v>2.5071610910151567</v>
      </c>
    </row>
    <row r="1105" spans="2:7" ht="15" customHeight="1" x14ac:dyDescent="0.3">
      <c r="C1105" s="2"/>
      <c r="D1105" s="8">
        <v>2017</v>
      </c>
      <c r="E1105" s="14">
        <f>Data!F1105</f>
        <v>2973819000000</v>
      </c>
      <c r="F1105" s="14">
        <f>Data!H1105</f>
        <v>1621142000000</v>
      </c>
      <c r="G1105" s="12">
        <f t="shared" si="17"/>
        <v>1.8343976036645773</v>
      </c>
    </row>
    <row r="1106" spans="2:7" ht="15" customHeight="1" x14ac:dyDescent="0.3">
      <c r="C1106" s="2"/>
      <c r="D1106" s="8">
        <v>2018</v>
      </c>
      <c r="E1106" s="14">
        <f>Data!F1106</f>
        <v>2675089000000</v>
      </c>
      <c r="F1106" s="14">
        <f>Data!H1106</f>
        <v>1905285000000</v>
      </c>
      <c r="G1106" s="12">
        <f t="shared" si="17"/>
        <v>1.4040361415746201</v>
      </c>
    </row>
    <row r="1107" spans="2:7" ht="15" customHeight="1" x14ac:dyDescent="0.3">
      <c r="C1107" s="2"/>
      <c r="D1107" s="8">
        <v>2019</v>
      </c>
      <c r="E1107" s="14">
        <f>Data!F1107</f>
        <v>2766529000000</v>
      </c>
      <c r="F1107" s="14">
        <f>Data!H1107</f>
        <v>1788693000000</v>
      </c>
      <c r="G1107" s="12">
        <f t="shared" si="17"/>
        <v>1.5466762602637791</v>
      </c>
    </row>
    <row r="1108" spans="2:7" ht="15" customHeight="1" x14ac:dyDescent="0.3">
      <c r="C1108" s="2"/>
      <c r="D1108" s="8">
        <v>2020</v>
      </c>
      <c r="E1108" s="14">
        <f>Data!F1108</f>
        <v>2887037000000</v>
      </c>
      <c r="F1108" s="14">
        <f>Data!H1108</f>
        <v>1926735000000</v>
      </c>
      <c r="G1108" s="12">
        <f t="shared" si="17"/>
        <v>1.4984089664639921</v>
      </c>
    </row>
    <row r="1109" spans="2:7" ht="15" customHeight="1" x14ac:dyDescent="0.3">
      <c r="C1109" s="2"/>
      <c r="D1109" s="8">
        <v>2021</v>
      </c>
      <c r="E1109" s="14">
        <f>Data!F1109</f>
        <v>4664437000000</v>
      </c>
      <c r="F1109" s="14">
        <f>Data!H1109</f>
        <v>1881779000000</v>
      </c>
      <c r="G1109" s="12">
        <f t="shared" si="17"/>
        <v>2.4787379389396946</v>
      </c>
    </row>
    <row r="1110" spans="2:7" ht="15" customHeight="1" x14ac:dyDescent="0.3">
      <c r="C1110" s="2"/>
      <c r="D1110" s="8">
        <v>2022</v>
      </c>
      <c r="E1110" s="14">
        <f>Data!F1110</f>
        <v>5263058000000</v>
      </c>
      <c r="F1110" s="14">
        <f>Data!H1110</f>
        <v>2960094000000</v>
      </c>
      <c r="G1110" s="12">
        <f t="shared" si="17"/>
        <v>1.7780036715050265</v>
      </c>
    </row>
    <row r="1111" spans="2:7" ht="15" customHeight="1" x14ac:dyDescent="0.3">
      <c r="C1111" s="2"/>
      <c r="D1111" s="8">
        <v>2023</v>
      </c>
      <c r="E1111" s="14">
        <f>Data!F1111</f>
        <v>5268545000000</v>
      </c>
      <c r="F1111" s="14">
        <f>Data!H1111</f>
        <v>2554865000000</v>
      </c>
      <c r="G1111" s="12">
        <f t="shared" si="17"/>
        <v>2.0621617971986779</v>
      </c>
    </row>
    <row r="1112" spans="2:7" ht="15" customHeight="1" x14ac:dyDescent="0.3">
      <c r="C1112" s="2"/>
      <c r="D1112" s="8">
        <v>2024</v>
      </c>
      <c r="E1112" s="14">
        <f>Data!F1112</f>
        <v>4381146000000</v>
      </c>
      <c r="F1112" s="14">
        <f>Data!H1112</f>
        <v>2594531000000</v>
      </c>
      <c r="G1112" s="12">
        <f t="shared" si="17"/>
        <v>1.688608075987529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Data!F1113</f>
        <v>0</v>
      </c>
      <c r="F1113" s="14">
        <f>Data!H1113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Data!F1114</f>
        <v>12932000000</v>
      </c>
      <c r="F1114" s="14">
        <f>Data!H1114</f>
        <v>1340000000</v>
      </c>
      <c r="G1114" s="12">
        <f t="shared" si="17"/>
        <v>9.6507462686567163</v>
      </c>
    </row>
    <row r="1115" spans="2:7" ht="15" customHeight="1" x14ac:dyDescent="0.3">
      <c r="C1115" s="1"/>
      <c r="D1115" s="8">
        <v>2016</v>
      </c>
      <c r="E1115" s="14">
        <f>Data!F1115</f>
        <v>11275000000</v>
      </c>
      <c r="F1115" s="14">
        <f>Data!H1115</f>
        <v>1181000000</v>
      </c>
      <c r="G1115" s="12">
        <f t="shared" si="17"/>
        <v>9.5469940728196452</v>
      </c>
    </row>
    <row r="1116" spans="2:7" ht="15" customHeight="1" x14ac:dyDescent="0.3">
      <c r="C1116" s="1"/>
      <c r="D1116" s="8">
        <v>2017</v>
      </c>
      <c r="E1116" s="14">
        <f>Data!F1116</f>
        <v>13601000000</v>
      </c>
      <c r="F1116" s="14">
        <f>Data!H1116</f>
        <v>111000000</v>
      </c>
      <c r="G1116" s="12">
        <f t="shared" si="17"/>
        <v>122.53153153153153</v>
      </c>
    </row>
    <row r="1117" spans="2:7" ht="15" customHeight="1" x14ac:dyDescent="0.3">
      <c r="C1117" s="1"/>
      <c r="D1117" s="8">
        <v>2018</v>
      </c>
      <c r="E1117" s="14">
        <f>Data!F1117</f>
        <v>13334000000</v>
      </c>
      <c r="F1117" s="14">
        <f>Data!H1117</f>
        <v>1641000000</v>
      </c>
      <c r="G1117" s="12">
        <f t="shared" si="17"/>
        <v>8.1255332114564283</v>
      </c>
    </row>
    <row r="1118" spans="2:7" ht="15" customHeight="1" x14ac:dyDescent="0.3">
      <c r="C1118" s="1"/>
      <c r="D1118" s="8">
        <v>2019</v>
      </c>
      <c r="E1118" s="14">
        <f>Data!F1118</f>
        <v>12622000000</v>
      </c>
      <c r="F1118" s="14">
        <f>Data!H1118</f>
        <v>274000000</v>
      </c>
      <c r="G1118" s="12">
        <f t="shared" si="17"/>
        <v>46.065693430656935</v>
      </c>
    </row>
    <row r="1119" spans="2:7" ht="15" customHeight="1" x14ac:dyDescent="0.3">
      <c r="C1119" s="1"/>
      <c r="D1119" s="8">
        <v>2020</v>
      </c>
      <c r="E1119" s="14">
        <f>Data!F1119</f>
        <v>6984000000</v>
      </c>
      <c r="F1119" s="14">
        <f>Data!H1119</f>
        <v>700000000</v>
      </c>
      <c r="G1119" s="12">
        <f t="shared" si="17"/>
        <v>9.9771428571428569</v>
      </c>
    </row>
    <row r="1120" spans="2:7" ht="15" customHeight="1" x14ac:dyDescent="0.3">
      <c r="C1120" s="1"/>
      <c r="D1120" s="8">
        <v>2021</v>
      </c>
      <c r="E1120" s="14">
        <f>Data!F1120</f>
        <v>8399000000</v>
      </c>
      <c r="F1120" s="14">
        <f>Data!H1120</f>
        <v>993000000</v>
      </c>
      <c r="G1120" s="12">
        <f t="shared" si="17"/>
        <v>8.4582074521651567</v>
      </c>
    </row>
    <row r="1121" spans="2:7" ht="15" customHeight="1" x14ac:dyDescent="0.3">
      <c r="C1121" s="1"/>
      <c r="D1121" s="8">
        <v>2022</v>
      </c>
      <c r="E1121" s="14">
        <f>Data!F1121</f>
        <v>6022000000</v>
      </c>
      <c r="F1121" s="14">
        <f>Data!H1121</f>
        <v>555000000</v>
      </c>
      <c r="G1121" s="12">
        <f t="shared" si="17"/>
        <v>10.850450450450451</v>
      </c>
    </row>
    <row r="1122" spans="2:7" ht="15" customHeight="1" x14ac:dyDescent="0.3">
      <c r="C1122" s="1"/>
      <c r="D1122" s="8">
        <v>2023</v>
      </c>
      <c r="E1122" s="14">
        <f>Data!F1122</f>
        <v>4959000000</v>
      </c>
      <c r="F1122" s="14">
        <f>Data!H1122</f>
        <v>736000000</v>
      </c>
      <c r="G1122" s="12">
        <f t="shared" si="17"/>
        <v>6.7377717391304346</v>
      </c>
    </row>
    <row r="1123" spans="2:7" ht="15" customHeight="1" x14ac:dyDescent="0.3">
      <c r="C1123" s="1"/>
      <c r="D1123" s="8">
        <v>2024</v>
      </c>
      <c r="E1123" s="14">
        <f>Data!F1123</f>
        <v>5822000000</v>
      </c>
      <c r="F1123" s="14">
        <f>Data!H1123</f>
        <v>123000000</v>
      </c>
      <c r="G1123" s="12">
        <f t="shared" si="17"/>
        <v>47.333333333333336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Data!F1124</f>
        <v>0</v>
      </c>
      <c r="F1124" s="14">
        <f>Data!H1124</f>
        <v>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Data!F1125</f>
        <v>141707000000</v>
      </c>
      <c r="F1125" s="14">
        <f>Data!H1125</f>
        <v>39911000000</v>
      </c>
      <c r="G1125" s="12">
        <f t="shared" si="17"/>
        <v>3.550575029440505</v>
      </c>
    </row>
    <row r="1126" spans="2:7" ht="15" customHeight="1" x14ac:dyDescent="0.3">
      <c r="C1126" s="2"/>
      <c r="D1126" s="8">
        <v>2016</v>
      </c>
      <c r="E1126" s="14">
        <f>Data!F1126</f>
        <v>72988000000</v>
      </c>
      <c r="F1126" s="14">
        <f>Data!H1126</f>
        <v>19425000000</v>
      </c>
      <c r="G1126" s="12">
        <f t="shared" si="17"/>
        <v>3.7574259974259974</v>
      </c>
    </row>
    <row r="1127" spans="2:7" ht="15" customHeight="1" x14ac:dyDescent="0.3">
      <c r="C1127" s="2"/>
      <c r="D1127" s="8">
        <v>2017</v>
      </c>
      <c r="E1127" s="14">
        <f>Data!F1127</f>
        <v>81330000000</v>
      </c>
      <c r="F1127" s="14">
        <f>Data!H1127</f>
        <v>20016000000</v>
      </c>
      <c r="G1127" s="12">
        <f t="shared" si="17"/>
        <v>4.0632494004796165</v>
      </c>
    </row>
    <row r="1128" spans="2:7" ht="15" customHeight="1" x14ac:dyDescent="0.3">
      <c r="C1128" s="2"/>
      <c r="D1128" s="8">
        <v>2018</v>
      </c>
      <c r="E1128" s="14">
        <f>Data!F1128</f>
        <v>99449000000</v>
      </c>
      <c r="F1128" s="14">
        <f>Data!H1128</f>
        <v>17068000000</v>
      </c>
      <c r="G1128" s="12">
        <f t="shared" si="17"/>
        <v>5.8266346379189127</v>
      </c>
    </row>
    <row r="1129" spans="2:7" ht="15" customHeight="1" x14ac:dyDescent="0.3">
      <c r="C1129" s="2"/>
      <c r="D1129" s="8">
        <v>2019</v>
      </c>
      <c r="E1129" s="14">
        <f>Data!F1129</f>
        <v>102549000000</v>
      </c>
      <c r="F1129" s="14">
        <f>Data!H1129</f>
        <v>18415000000</v>
      </c>
      <c r="G1129" s="12">
        <f t="shared" si="17"/>
        <v>5.5687754547922887</v>
      </c>
    </row>
    <row r="1130" spans="2:7" ht="15" customHeight="1" x14ac:dyDescent="0.3">
      <c r="C1130" s="2"/>
      <c r="D1130" s="8">
        <v>2020</v>
      </c>
      <c r="E1130" s="14">
        <f>Data!F1130</f>
        <v>153037000000</v>
      </c>
      <c r="F1130" s="14">
        <f>Data!H1130</f>
        <v>34058000000</v>
      </c>
      <c r="G1130" s="12">
        <f t="shared" si="17"/>
        <v>4.4934229843208646</v>
      </c>
    </row>
    <row r="1131" spans="2:7" ht="15" customHeight="1" x14ac:dyDescent="0.3">
      <c r="C1131" s="2"/>
      <c r="D1131" s="8">
        <v>2021</v>
      </c>
      <c r="E1131" s="14">
        <f>Data!F1131</f>
        <v>128872000000</v>
      </c>
      <c r="F1131" s="14">
        <f>Data!H1131</f>
        <v>47109000000</v>
      </c>
      <c r="G1131" s="12">
        <f t="shared" si="17"/>
        <v>2.7356131524761724</v>
      </c>
    </row>
    <row r="1132" spans="2:7" ht="15" customHeight="1" x14ac:dyDescent="0.3">
      <c r="C1132" s="2"/>
      <c r="D1132" s="8">
        <v>2022</v>
      </c>
      <c r="E1132" s="14">
        <f>Data!F1132</f>
        <v>116383000000</v>
      </c>
      <c r="F1132" s="14">
        <f>Data!H1132</f>
        <v>65212000000</v>
      </c>
      <c r="G1132" s="12">
        <f t="shared" si="17"/>
        <v>1.784686867447709</v>
      </c>
    </row>
    <row r="1133" spans="2:7" ht="15" customHeight="1" x14ac:dyDescent="0.3">
      <c r="C1133" s="2"/>
      <c r="D1133" s="8">
        <v>2023</v>
      </c>
      <c r="E1133" s="14">
        <f>Data!F1133</f>
        <v>93254000000</v>
      </c>
      <c r="F1133" s="14">
        <f>Data!H1133</f>
        <v>51047000000</v>
      </c>
      <c r="G1133" s="12">
        <f t="shared" si="17"/>
        <v>1.82682625815425</v>
      </c>
    </row>
    <row r="1134" spans="2:7" ht="15" customHeight="1" x14ac:dyDescent="0.3">
      <c r="C1134" s="2"/>
      <c r="D1134" s="8">
        <v>2024</v>
      </c>
      <c r="E1134" s="14">
        <f>Data!F1134</f>
        <v>187773000000</v>
      </c>
      <c r="F1134" s="14">
        <f>Data!H1134</f>
        <v>80450000000</v>
      </c>
      <c r="G1134" s="12">
        <f t="shared" si="17"/>
        <v>2.3340335612181478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Data!F1135</f>
        <v>0</v>
      </c>
      <c r="F1135" s="14">
        <f>Data!H1135</f>
        <v>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Data!F1136</f>
        <v>16871000000</v>
      </c>
      <c r="F1136" s="14">
        <f>Data!H1136</f>
        <v>19532000000</v>
      </c>
      <c r="G1136" s="12">
        <f t="shared" si="17"/>
        <v>0.86376203153798892</v>
      </c>
    </row>
    <row r="1137" spans="2:7" ht="15" customHeight="1" x14ac:dyDescent="0.3">
      <c r="C1137" s="2"/>
      <c r="D1137" s="8">
        <v>2016</v>
      </c>
      <c r="E1137" s="14">
        <f>Data!F1137</f>
        <v>21123000000</v>
      </c>
      <c r="F1137" s="14">
        <f>Data!H1137</f>
        <v>43459000000</v>
      </c>
      <c r="G1137" s="12">
        <f t="shared" si="17"/>
        <v>0.48604431763271128</v>
      </c>
    </row>
    <row r="1138" spans="2:7" ht="15" customHeight="1" x14ac:dyDescent="0.3">
      <c r="C1138" s="2"/>
      <c r="D1138" s="8">
        <v>2017</v>
      </c>
      <c r="E1138" s="14">
        <f>Data!F1138</f>
        <v>22739000000</v>
      </c>
      <c r="F1138" s="14">
        <f>Data!H1138</f>
        <v>283014000000</v>
      </c>
      <c r="G1138" s="12">
        <f t="shared" si="17"/>
        <v>8.0345848615262852E-2</v>
      </c>
    </row>
    <row r="1139" spans="2:7" ht="15" customHeight="1" x14ac:dyDescent="0.3">
      <c r="C1139" s="2"/>
      <c r="D1139" s="8">
        <v>2018</v>
      </c>
      <c r="E1139" s="14">
        <f>Data!F1139</f>
        <v>25474000000</v>
      </c>
      <c r="F1139" s="14">
        <f>Data!H1139</f>
        <v>291073000000</v>
      </c>
      <c r="G1139" s="12">
        <f t="shared" si="17"/>
        <v>8.7517564322352123E-2</v>
      </c>
    </row>
    <row r="1140" spans="2:7" ht="15" customHeight="1" x14ac:dyDescent="0.3">
      <c r="C1140" s="2"/>
      <c r="D1140" s="8">
        <v>2019</v>
      </c>
      <c r="E1140" s="14">
        <f>Data!F1140</f>
        <v>13886000000</v>
      </c>
      <c r="F1140" s="14">
        <f>Data!H1140</f>
        <v>219056000000</v>
      </c>
      <c r="G1140" s="12">
        <f t="shared" si="17"/>
        <v>6.339018333211599E-2</v>
      </c>
    </row>
    <row r="1141" spans="2:7" ht="15" customHeight="1" x14ac:dyDescent="0.3">
      <c r="C1141" s="2"/>
      <c r="D1141" s="8">
        <v>2020</v>
      </c>
      <c r="E1141" s="14">
        <f>Data!F1141</f>
        <v>5150000000</v>
      </c>
      <c r="F1141" s="14">
        <f>Data!H1141</f>
        <v>112999000000</v>
      </c>
      <c r="G1141" s="12">
        <f t="shared" si="17"/>
        <v>4.5575624563049227E-2</v>
      </c>
    </row>
    <row r="1142" spans="2:7" ht="15" customHeight="1" x14ac:dyDescent="0.3">
      <c r="C1142" s="2"/>
      <c r="D1142" s="8">
        <v>2021</v>
      </c>
      <c r="E1142" s="14">
        <f>Data!F1142</f>
        <v>8238000000</v>
      </c>
      <c r="F1142" s="14">
        <f>Data!H1142</f>
        <v>100656000000</v>
      </c>
      <c r="G1142" s="12">
        <f t="shared" si="17"/>
        <v>8.1843109203624226E-2</v>
      </c>
    </row>
    <row r="1143" spans="2:7" ht="15" customHeight="1" x14ac:dyDescent="0.3">
      <c r="C1143" s="2"/>
      <c r="D1143" s="8">
        <v>2022</v>
      </c>
      <c r="E1143" s="14">
        <f>Data!F1143</f>
        <v>6418000000</v>
      </c>
      <c r="F1143" s="14">
        <f>Data!H1143</f>
        <v>149594000000</v>
      </c>
      <c r="G1143" s="12">
        <f t="shared" si="17"/>
        <v>4.2902790218859045E-2</v>
      </c>
    </row>
    <row r="1144" spans="2:7" ht="15" customHeight="1" x14ac:dyDescent="0.3">
      <c r="C1144" s="2"/>
      <c r="D1144" s="8">
        <v>2023</v>
      </c>
      <c r="E1144" s="14">
        <f>Data!F1144</f>
        <v>12603000000</v>
      </c>
      <c r="F1144" s="14">
        <f>Data!H1144</f>
        <v>203228000000</v>
      </c>
      <c r="G1144" s="12">
        <f t="shared" si="17"/>
        <v>6.2014092546302677E-2</v>
      </c>
    </row>
    <row r="1145" spans="2:7" ht="15" customHeight="1" x14ac:dyDescent="0.3">
      <c r="C1145" s="2"/>
      <c r="D1145" s="8">
        <v>2024</v>
      </c>
      <c r="E1145" s="14">
        <f>Data!F1145</f>
        <v>15021000000</v>
      </c>
      <c r="F1145" s="14">
        <f>Data!H1145</f>
        <v>258144000000</v>
      </c>
      <c r="G1145" s="12">
        <f t="shared" si="17"/>
        <v>5.8188452956489403E-2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Data!F1146</f>
        <v>0</v>
      </c>
      <c r="F1146" s="14">
        <f>Data!H1146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Data!F1147</f>
        <v>0</v>
      </c>
      <c r="F1147" s="14">
        <f>Data!H1147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Data!F1148</f>
        <v>25199000000</v>
      </c>
      <c r="F1148" s="14">
        <f>Data!H1148</f>
        <v>9397000000</v>
      </c>
      <c r="G1148" s="12">
        <f t="shared" si="17"/>
        <v>2.6816005108013194</v>
      </c>
    </row>
    <row r="1149" spans="2:7" ht="15" customHeight="1" x14ac:dyDescent="0.3">
      <c r="C1149" s="1"/>
      <c r="D1149" s="8">
        <v>2017</v>
      </c>
      <c r="E1149" s="14">
        <f>Data!F1149</f>
        <v>8798000000</v>
      </c>
      <c r="F1149" s="14">
        <f>Data!H1149</f>
        <v>7403000000</v>
      </c>
      <c r="G1149" s="12">
        <f t="shared" si="17"/>
        <v>1.1884371200864514</v>
      </c>
    </row>
    <row r="1150" spans="2:7" ht="15" customHeight="1" x14ac:dyDescent="0.3">
      <c r="C1150" s="1"/>
      <c r="D1150" s="8">
        <v>2018</v>
      </c>
      <c r="E1150" s="14">
        <f>Data!F1150</f>
        <v>7221000000</v>
      </c>
      <c r="F1150" s="14">
        <f>Data!H1150</f>
        <v>4082000000</v>
      </c>
      <c r="G1150" s="12">
        <f t="shared" si="17"/>
        <v>1.768985791278785</v>
      </c>
    </row>
    <row r="1151" spans="2:7" ht="15" customHeight="1" x14ac:dyDescent="0.3">
      <c r="C1151" s="1"/>
      <c r="D1151" s="8">
        <v>2019</v>
      </c>
      <c r="E1151" s="14">
        <f>Data!F1151</f>
        <v>18314000000</v>
      </c>
      <c r="F1151" s="14">
        <f>Data!H1151</f>
        <v>18935000000</v>
      </c>
      <c r="G1151" s="12">
        <f t="shared" si="17"/>
        <v>0.96720359123316613</v>
      </c>
    </row>
    <row r="1152" spans="2:7" ht="15" customHeight="1" x14ac:dyDescent="0.3">
      <c r="C1152" s="1"/>
      <c r="D1152" s="8">
        <v>2020</v>
      </c>
      <c r="E1152" s="14">
        <f>Data!F1152</f>
        <v>37720000000</v>
      </c>
      <c r="F1152" s="14">
        <f>Data!H1152</f>
        <v>20555000000</v>
      </c>
      <c r="G1152" s="12">
        <f t="shared" si="17"/>
        <v>1.8350766236925322</v>
      </c>
    </row>
    <row r="1153" spans="2:7" ht="15" customHeight="1" x14ac:dyDescent="0.3">
      <c r="C1153" s="1"/>
      <c r="D1153" s="8">
        <v>2021</v>
      </c>
      <c r="E1153" s="14">
        <f>Data!F1153</f>
        <v>71420000000</v>
      </c>
      <c r="F1153" s="14">
        <f>Data!H1153</f>
        <v>25229000000</v>
      </c>
      <c r="G1153" s="12">
        <f t="shared" si="17"/>
        <v>2.8308692377819176</v>
      </c>
    </row>
    <row r="1154" spans="2:7" ht="15" customHeight="1" x14ac:dyDescent="0.3">
      <c r="C1154" s="1"/>
      <c r="D1154" s="8">
        <v>2022</v>
      </c>
      <c r="E1154" s="14">
        <f>Data!F1154</f>
        <v>74621000000</v>
      </c>
      <c r="F1154" s="14">
        <f>Data!H1154</f>
        <v>29428000000</v>
      </c>
      <c r="G1154" s="12">
        <f t="shared" si="17"/>
        <v>2.5357142857142856</v>
      </c>
    </row>
    <row r="1155" spans="2:7" ht="15" customHeight="1" x14ac:dyDescent="0.3">
      <c r="C1155" s="1"/>
      <c r="D1155" s="8">
        <v>2023</v>
      </c>
      <c r="E1155" s="14">
        <f>Data!F1155</f>
        <v>84835000000</v>
      </c>
      <c r="F1155" s="14">
        <f>Data!H1155</f>
        <v>30794000000</v>
      </c>
      <c r="G1155" s="12">
        <f t="shared" ref="G1155:G1218" si="18">IFERROR(E1155/F1155,0)</f>
        <v>2.7549197895693966</v>
      </c>
    </row>
    <row r="1156" spans="2:7" ht="15" customHeight="1" x14ac:dyDescent="0.3">
      <c r="C1156" s="1"/>
      <c r="D1156" s="8">
        <v>2024</v>
      </c>
      <c r="E1156" s="14">
        <f>Data!F1156</f>
        <v>59217000000</v>
      </c>
      <c r="F1156" s="14">
        <f>Data!H1156</f>
        <v>25950000000</v>
      </c>
      <c r="G1156" s="12">
        <f t="shared" si="18"/>
        <v>2.2819653179190751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Data!F1157</f>
        <v>0</v>
      </c>
      <c r="F1157" s="14">
        <f>Data!H1157</f>
        <v>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Data!F1158</f>
        <v>1650768000000</v>
      </c>
      <c r="F1158" s="14">
        <f>Data!H1158</f>
        <v>511940000000</v>
      </c>
      <c r="G1158" s="12">
        <f t="shared" si="18"/>
        <v>3.2245341250927844</v>
      </c>
    </row>
    <row r="1159" spans="2:7" ht="15" customHeight="1" x14ac:dyDescent="0.3">
      <c r="C1159" s="2"/>
      <c r="D1159" s="8">
        <v>2016</v>
      </c>
      <c r="E1159" s="14">
        <f>Data!F1159</f>
        <v>1433916000000</v>
      </c>
      <c r="F1159" s="14">
        <f>Data!H1159</f>
        <v>584313000000</v>
      </c>
      <c r="G1159" s="12">
        <f t="shared" si="18"/>
        <v>2.4540203623742753</v>
      </c>
    </row>
    <row r="1160" spans="2:7" ht="15" customHeight="1" x14ac:dyDescent="0.3">
      <c r="C1160" s="2"/>
      <c r="D1160" s="8">
        <v>2017</v>
      </c>
      <c r="E1160" s="14">
        <f>Data!F1160</f>
        <v>978486000000</v>
      </c>
      <c r="F1160" s="14">
        <f>Data!H1160</f>
        <v>624845000000</v>
      </c>
      <c r="G1160" s="12">
        <f t="shared" si="18"/>
        <v>1.5659659595579705</v>
      </c>
    </row>
    <row r="1161" spans="2:7" ht="15" customHeight="1" x14ac:dyDescent="0.3">
      <c r="C1161" s="2"/>
      <c r="D1161" s="8">
        <v>2018</v>
      </c>
      <c r="E1161" s="14">
        <f>Data!F1161</f>
        <v>1317613000000</v>
      </c>
      <c r="F1161" s="14">
        <f>Data!H1161</f>
        <v>446487000000</v>
      </c>
      <c r="G1161" s="12">
        <f t="shared" si="18"/>
        <v>2.951066884366174</v>
      </c>
    </row>
    <row r="1162" spans="2:7" ht="15" customHeight="1" x14ac:dyDescent="0.3">
      <c r="C1162" s="2"/>
      <c r="D1162" s="8">
        <v>2019</v>
      </c>
      <c r="E1162" s="14">
        <f>Data!F1162</f>
        <v>1456948000000</v>
      </c>
      <c r="F1162" s="14">
        <f>Data!H1162</f>
        <v>427673000000</v>
      </c>
      <c r="G1162" s="12">
        <f t="shared" si="18"/>
        <v>3.4066868846057621</v>
      </c>
    </row>
    <row r="1163" spans="2:7" ht="15" customHeight="1" x14ac:dyDescent="0.3">
      <c r="C1163" s="2"/>
      <c r="D1163" s="8">
        <v>2020</v>
      </c>
      <c r="E1163" s="14">
        <f>Data!F1163</f>
        <v>1758785000000</v>
      </c>
      <c r="F1163" s="14">
        <f>Data!H1163</f>
        <v>504997000000</v>
      </c>
      <c r="G1163" s="12">
        <f t="shared" si="18"/>
        <v>3.482763263940182</v>
      </c>
    </row>
    <row r="1164" spans="2:7" ht="15" customHeight="1" x14ac:dyDescent="0.3">
      <c r="C1164" s="2"/>
      <c r="D1164" s="8">
        <v>2021</v>
      </c>
      <c r="E1164" s="14">
        <f>Data!F1164</f>
        <v>2204463000000</v>
      </c>
      <c r="F1164" s="14">
        <f>Data!H1164</f>
        <v>503749000000</v>
      </c>
      <c r="G1164" s="12">
        <f t="shared" si="18"/>
        <v>4.37611389799285</v>
      </c>
    </row>
    <row r="1165" spans="2:7" ht="15" customHeight="1" x14ac:dyDescent="0.3">
      <c r="C1165" s="2"/>
      <c r="D1165" s="8">
        <v>2022</v>
      </c>
      <c r="E1165" s="14">
        <f>Data!F1165</f>
        <v>2131401000000</v>
      </c>
      <c r="F1165" s="14">
        <f>Data!H1165</f>
        <v>628663000000</v>
      </c>
      <c r="G1165" s="12">
        <f t="shared" si="18"/>
        <v>3.3903713118157106</v>
      </c>
    </row>
    <row r="1166" spans="2:7" ht="15" customHeight="1" x14ac:dyDescent="0.3">
      <c r="C1166" s="2"/>
      <c r="D1166" s="8">
        <v>2023</v>
      </c>
      <c r="E1166" s="14">
        <f>Data!F1166</f>
        <v>3280862000000</v>
      </c>
      <c r="F1166" s="14">
        <f>Data!H1166</f>
        <v>662759000000</v>
      </c>
      <c r="G1166" s="12">
        <f t="shared" si="18"/>
        <v>4.9503092375961701</v>
      </c>
    </row>
    <row r="1167" spans="2:7" ht="15" customHeight="1" x14ac:dyDescent="0.3">
      <c r="C1167" s="2"/>
      <c r="D1167" s="8">
        <v>2024</v>
      </c>
      <c r="E1167" s="14">
        <f>Data!F1167</f>
        <v>2762612000000</v>
      </c>
      <c r="F1167" s="14">
        <f>Data!H1167</f>
        <v>769685000000</v>
      </c>
      <c r="G1167" s="12">
        <f t="shared" si="18"/>
        <v>3.5892761324437918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Data!F1168</f>
        <v>0</v>
      </c>
      <c r="F1168" s="14">
        <f>Data!H1168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Data!F1169</f>
        <v>0</v>
      </c>
      <c r="F1169" s="14">
        <f>Data!H1169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Data!F1170</f>
        <v>0</v>
      </c>
      <c r="F1170" s="14">
        <f>Data!H1170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Data!F1171</f>
        <v>0</v>
      </c>
      <c r="F1171" s="14">
        <f>Data!H1171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Data!F1172</f>
        <v>0</v>
      </c>
      <c r="F1172" s="14">
        <f>Data!H1172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Data!F1173</f>
        <v>83675000000</v>
      </c>
      <c r="F1173" s="14">
        <f>Data!H1173</f>
        <v>52198000000</v>
      </c>
      <c r="G1173" s="12">
        <f t="shared" si="18"/>
        <v>1.603030767462355</v>
      </c>
    </row>
    <row r="1174" spans="2:7" ht="15" customHeight="1" x14ac:dyDescent="0.3">
      <c r="C1174" s="2"/>
      <c r="D1174" s="8">
        <v>2020</v>
      </c>
      <c r="E1174" s="14">
        <f>Data!F1174</f>
        <v>125421000000</v>
      </c>
      <c r="F1174" s="14">
        <f>Data!H1174</f>
        <v>79494000000</v>
      </c>
      <c r="G1174" s="12">
        <f t="shared" si="18"/>
        <v>1.5777417163559513</v>
      </c>
    </row>
    <row r="1175" spans="2:7" ht="15" customHeight="1" x14ac:dyDescent="0.3">
      <c r="C1175" s="2"/>
      <c r="D1175" s="8">
        <v>2021</v>
      </c>
      <c r="E1175" s="14">
        <f>Data!F1175</f>
        <v>263261000000</v>
      </c>
      <c r="F1175" s="14">
        <f>Data!H1175</f>
        <v>90646000000</v>
      </c>
      <c r="G1175" s="12">
        <f t="shared" si="18"/>
        <v>2.9042759746706972</v>
      </c>
    </row>
    <row r="1176" spans="2:7" ht="15" customHeight="1" x14ac:dyDescent="0.3">
      <c r="C1176" s="2"/>
      <c r="D1176" s="8">
        <v>2022</v>
      </c>
      <c r="E1176" s="14">
        <f>Data!F1176</f>
        <v>181557000000</v>
      </c>
      <c r="F1176" s="14">
        <f>Data!H1176</f>
        <v>100027000000</v>
      </c>
      <c r="G1176" s="12">
        <f t="shared" si="18"/>
        <v>1.8150799284193269</v>
      </c>
    </row>
    <row r="1177" spans="2:7" ht="15" customHeight="1" x14ac:dyDescent="0.3">
      <c r="C1177" s="2"/>
      <c r="D1177" s="8">
        <v>2023</v>
      </c>
      <c r="E1177" s="14">
        <f>Data!F1177</f>
        <v>180142000000</v>
      </c>
      <c r="F1177" s="14">
        <f>Data!H1177</f>
        <v>70858000000</v>
      </c>
      <c r="G1177" s="12">
        <f t="shared" si="18"/>
        <v>2.5422958593242821</v>
      </c>
    </row>
    <row r="1178" spans="2:7" ht="15" customHeight="1" x14ac:dyDescent="0.3">
      <c r="C1178" s="2"/>
      <c r="D1178" s="8">
        <v>2024</v>
      </c>
      <c r="E1178" s="14">
        <f>Data!F1178</f>
        <v>187691000000</v>
      </c>
      <c r="F1178" s="14">
        <f>Data!H1178</f>
        <v>77100000000</v>
      </c>
      <c r="G1178" s="12">
        <f t="shared" si="18"/>
        <v>2.4343839169909209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Data!F1179</f>
        <v>0</v>
      </c>
      <c r="F1179" s="14">
        <f>Data!H1179</f>
        <v>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Data!F1180</f>
        <v>692140000000</v>
      </c>
      <c r="F1180" s="14">
        <f>Data!H1180</f>
        <v>119265000000</v>
      </c>
      <c r="G1180" s="12">
        <f t="shared" si="18"/>
        <v>5.8033790298914179</v>
      </c>
    </row>
    <row r="1181" spans="2:7" ht="15" customHeight="1" x14ac:dyDescent="0.3">
      <c r="C1181" s="1"/>
      <c r="D1181" s="8">
        <v>2016</v>
      </c>
      <c r="E1181" s="14">
        <f>Data!F1181</f>
        <v>684723000000</v>
      </c>
      <c r="F1181" s="14">
        <f>Data!H1181</f>
        <v>181103000000</v>
      </c>
      <c r="G1181" s="12">
        <f t="shared" si="18"/>
        <v>3.7808484674467016</v>
      </c>
    </row>
    <row r="1182" spans="2:7" ht="15" customHeight="1" x14ac:dyDescent="0.3">
      <c r="C1182" s="1"/>
      <c r="D1182" s="8">
        <v>2017</v>
      </c>
      <c r="E1182" s="14">
        <f>Data!F1182</f>
        <v>695788000000</v>
      </c>
      <c r="F1182" s="14">
        <f>Data!H1182</f>
        <v>255461000000</v>
      </c>
      <c r="G1182" s="12">
        <f t="shared" si="18"/>
        <v>2.7236564485381329</v>
      </c>
    </row>
    <row r="1183" spans="2:7" ht="15" customHeight="1" x14ac:dyDescent="0.3">
      <c r="C1183" s="1"/>
      <c r="D1183" s="8">
        <v>2018</v>
      </c>
      <c r="E1183" s="14">
        <f>Data!F1183</f>
        <v>948968000000</v>
      </c>
      <c r="F1183" s="14">
        <f>Data!H1183</f>
        <v>287932000000</v>
      </c>
      <c r="G1183" s="12">
        <f t="shared" si="18"/>
        <v>3.2958059541836269</v>
      </c>
    </row>
    <row r="1184" spans="2:7" ht="15" customHeight="1" x14ac:dyDescent="0.3">
      <c r="C1184" s="1"/>
      <c r="D1184" s="8">
        <v>2019</v>
      </c>
      <c r="E1184" s="14">
        <f>Data!F1184</f>
        <v>747627000000</v>
      </c>
      <c r="F1184" s="14">
        <f>Data!H1184</f>
        <v>355930000000</v>
      </c>
      <c r="G1184" s="12">
        <f t="shared" si="18"/>
        <v>2.1004888601691345</v>
      </c>
    </row>
    <row r="1185" spans="2:7" ht="15" customHeight="1" x14ac:dyDescent="0.3">
      <c r="C1185" s="1"/>
      <c r="D1185" s="8">
        <v>2020</v>
      </c>
      <c r="E1185" s="14">
        <f>Data!F1185</f>
        <v>768437000000</v>
      </c>
      <c r="F1185" s="14">
        <f>Data!H1185</f>
        <v>353206000000</v>
      </c>
      <c r="G1185" s="12">
        <f t="shared" si="18"/>
        <v>2.1756057371618827</v>
      </c>
    </row>
    <row r="1186" spans="2:7" ht="15" customHeight="1" x14ac:dyDescent="0.3">
      <c r="C1186" s="1"/>
      <c r="D1186" s="8">
        <v>2021</v>
      </c>
      <c r="E1186" s="14">
        <f>Data!F1186</f>
        <v>1151604000000</v>
      </c>
      <c r="F1186" s="14">
        <f>Data!H1186</f>
        <v>332105000000</v>
      </c>
      <c r="G1186" s="12">
        <f t="shared" si="18"/>
        <v>3.4675900694057602</v>
      </c>
    </row>
    <row r="1187" spans="2:7" ht="15" customHeight="1" x14ac:dyDescent="0.3">
      <c r="C1187" s="1"/>
      <c r="D1187" s="8">
        <v>2022</v>
      </c>
      <c r="E1187" s="14">
        <f>Data!F1187</f>
        <v>1316398000000</v>
      </c>
      <c r="F1187" s="14">
        <f>Data!H1187</f>
        <v>453906000000</v>
      </c>
      <c r="G1187" s="12">
        <f t="shared" si="18"/>
        <v>2.9001555388120006</v>
      </c>
    </row>
    <row r="1188" spans="2:7" ht="15" customHeight="1" x14ac:dyDescent="0.3">
      <c r="C1188" s="1"/>
      <c r="D1188" s="8">
        <v>2023</v>
      </c>
      <c r="E1188" s="14">
        <f>Data!F1188</f>
        <v>1828701000000</v>
      </c>
      <c r="F1188" s="14">
        <f>Data!H1188</f>
        <v>465383000000</v>
      </c>
      <c r="G1188" s="12">
        <f t="shared" si="18"/>
        <v>3.9294538047156857</v>
      </c>
    </row>
    <row r="1189" spans="2:7" ht="15" customHeight="1" x14ac:dyDescent="0.3">
      <c r="C1189" s="1"/>
      <c r="D1189" s="8">
        <v>2024</v>
      </c>
      <c r="E1189" s="14">
        <f>Data!F1189</f>
        <v>1974237000000</v>
      </c>
      <c r="F1189" s="14">
        <f>Data!H1189</f>
        <v>470191000000</v>
      </c>
      <c r="G1189" s="12">
        <f t="shared" si="18"/>
        <v>4.198797935307141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Data!F1190</f>
        <v>0</v>
      </c>
      <c r="F1190" s="14">
        <f>Data!H1190</f>
        <v>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Data!F1191</f>
        <v>5483081000000</v>
      </c>
      <c r="F1191" s="14">
        <f>Data!H1191</f>
        <v>1409949000000</v>
      </c>
      <c r="G1191" s="12">
        <f t="shared" si="18"/>
        <v>3.888850589631256</v>
      </c>
    </row>
    <row r="1192" spans="2:7" ht="15" customHeight="1" x14ac:dyDescent="0.3">
      <c r="C1192" s="2"/>
      <c r="D1192" s="8">
        <v>2016</v>
      </c>
      <c r="E1192" s="14">
        <f>Data!F1192</f>
        <v>5875655000000</v>
      </c>
      <c r="F1192" s="14">
        <f>Data!H1192</f>
        <v>1883912000000</v>
      </c>
      <c r="G1192" s="12">
        <f t="shared" si="18"/>
        <v>3.1188585241773503</v>
      </c>
    </row>
    <row r="1193" spans="2:7" ht="15" customHeight="1" x14ac:dyDescent="0.3">
      <c r="C1193" s="2"/>
      <c r="D1193" s="8">
        <v>2017</v>
      </c>
      <c r="E1193" s="14">
        <f>Data!F1193</f>
        <v>3639342000000</v>
      </c>
      <c r="F1193" s="14">
        <f>Data!H1193</f>
        <v>1390252000000</v>
      </c>
      <c r="G1193" s="12">
        <f t="shared" si="18"/>
        <v>2.6177570685026885</v>
      </c>
    </row>
    <row r="1194" spans="2:7" ht="15" customHeight="1" x14ac:dyDescent="0.3">
      <c r="C1194" s="2"/>
      <c r="D1194" s="8">
        <v>2018</v>
      </c>
      <c r="E1194" s="14">
        <f>Data!F1194</f>
        <v>4936228000000</v>
      </c>
      <c r="F1194" s="14">
        <f>Data!H1194</f>
        <v>1808654000000</v>
      </c>
      <c r="G1194" s="12">
        <f t="shared" si="18"/>
        <v>2.7292273701879961</v>
      </c>
    </row>
    <row r="1195" spans="2:7" ht="15" customHeight="1" x14ac:dyDescent="0.3">
      <c r="C1195" s="2"/>
      <c r="D1195" s="8">
        <v>2019</v>
      </c>
      <c r="E1195" s="14">
        <f>Data!F1195</f>
        <v>8562448000000</v>
      </c>
      <c r="F1195" s="14">
        <f>Data!H1195</f>
        <v>1880432000000</v>
      </c>
      <c r="G1195" s="12">
        <f t="shared" si="18"/>
        <v>4.5534472929624679</v>
      </c>
    </row>
    <row r="1196" spans="2:7" ht="15" customHeight="1" x14ac:dyDescent="0.3">
      <c r="C1196" s="2"/>
      <c r="D1196" s="8">
        <v>2020</v>
      </c>
      <c r="E1196" s="14">
        <f>Data!F1196</f>
        <v>6504646000000</v>
      </c>
      <c r="F1196" s="14">
        <f>Data!H1196</f>
        <v>1836937000000</v>
      </c>
      <c r="G1196" s="12">
        <f t="shared" si="18"/>
        <v>3.541028353177055</v>
      </c>
    </row>
    <row r="1197" spans="2:7" ht="15" customHeight="1" x14ac:dyDescent="0.3">
      <c r="C1197" s="2"/>
      <c r="D1197" s="8">
        <v>2021</v>
      </c>
      <c r="E1197" s="14">
        <f>Data!F1197</f>
        <v>7104963000000</v>
      </c>
      <c r="F1197" s="14">
        <f>Data!H1197</f>
        <v>2241147000000</v>
      </c>
      <c r="G1197" s="12">
        <f t="shared" si="18"/>
        <v>3.1702351519110525</v>
      </c>
    </row>
    <row r="1198" spans="2:7" ht="15" customHeight="1" x14ac:dyDescent="0.3">
      <c r="C1198" s="2"/>
      <c r="D1198" s="8">
        <v>2022</v>
      </c>
      <c r="E1198" s="14">
        <f>Data!F1198</f>
        <v>7354677000000</v>
      </c>
      <c r="F1198" s="14">
        <f>Data!H1198</f>
        <v>2147657000000</v>
      </c>
      <c r="G1198" s="12">
        <f t="shared" si="18"/>
        <v>3.4245119215964186</v>
      </c>
    </row>
    <row r="1199" spans="2:7" ht="15" customHeight="1" x14ac:dyDescent="0.3">
      <c r="C1199" s="2"/>
      <c r="D1199" s="8">
        <v>2023</v>
      </c>
      <c r="E1199" s="14">
        <f>Data!F1199</f>
        <v>7972310000000</v>
      </c>
      <c r="F1199" s="14">
        <f>Data!H1199</f>
        <v>3065006000000</v>
      </c>
      <c r="G1199" s="12">
        <f t="shared" si="18"/>
        <v>2.6010748429203727</v>
      </c>
    </row>
    <row r="1200" spans="2:7" ht="15" customHeight="1" x14ac:dyDescent="0.3">
      <c r="C1200" s="2"/>
      <c r="D1200" s="8">
        <v>2024</v>
      </c>
      <c r="E1200" s="14">
        <f>Data!F1200</f>
        <v>8422810000000</v>
      </c>
      <c r="F1200" s="14">
        <f>Data!H1200</f>
        <v>2654735000000</v>
      </c>
      <c r="G1200" s="12">
        <f t="shared" si="18"/>
        <v>3.1727498224869901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Data!F1201</f>
        <v>0</v>
      </c>
      <c r="F1201" s="14">
        <f>Data!H1201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>
        <f>Data!F1202</f>
        <v>134022000000</v>
      </c>
      <c r="F1202" s="14">
        <f>Data!H1202</f>
        <v>301178000000</v>
      </c>
      <c r="G1202" s="12">
        <f t="shared" si="18"/>
        <v>0.44499266214663752</v>
      </c>
    </row>
    <row r="1203" spans="2:7" ht="15" customHeight="1" x14ac:dyDescent="0.3">
      <c r="C1203" s="2"/>
      <c r="D1203" s="8">
        <v>2016</v>
      </c>
      <c r="E1203" s="14">
        <f>Data!F1203</f>
        <v>173448000000</v>
      </c>
      <c r="F1203" s="14">
        <f>Data!H1203</f>
        <v>394427000000</v>
      </c>
      <c r="G1203" s="12">
        <f t="shared" si="18"/>
        <v>0.43974677189948963</v>
      </c>
    </row>
    <row r="1204" spans="2:7" ht="15" customHeight="1" x14ac:dyDescent="0.3">
      <c r="C1204" s="2"/>
      <c r="D1204" s="8">
        <v>2017</v>
      </c>
      <c r="E1204" s="14">
        <f>Data!F1204</f>
        <v>196594000000</v>
      </c>
      <c r="F1204" s="14">
        <f>Data!H1204</f>
        <v>515658000000</v>
      </c>
      <c r="G1204" s="12">
        <f t="shared" si="18"/>
        <v>0.3812488121972315</v>
      </c>
    </row>
    <row r="1205" spans="2:7" ht="15" customHeight="1" x14ac:dyDescent="0.3">
      <c r="C1205" s="2"/>
      <c r="D1205" s="8">
        <v>2018</v>
      </c>
      <c r="E1205" s="14">
        <f>Data!F1205</f>
        <v>291073000000</v>
      </c>
      <c r="F1205" s="14">
        <f>Data!H1205</f>
        <v>608232000000</v>
      </c>
      <c r="G1205" s="12">
        <f t="shared" si="18"/>
        <v>0.47855587999316052</v>
      </c>
    </row>
    <row r="1206" spans="2:7" ht="15" customHeight="1" x14ac:dyDescent="0.3">
      <c r="C1206" s="2"/>
      <c r="D1206" s="8">
        <v>2019</v>
      </c>
      <c r="E1206" s="14">
        <f>Data!F1206</f>
        <v>369700000000</v>
      </c>
      <c r="F1206" s="14">
        <f>Data!H1206</f>
        <v>650813000000</v>
      </c>
      <c r="G1206" s="12">
        <f t="shared" si="18"/>
        <v>0.56805872040048366</v>
      </c>
    </row>
    <row r="1207" spans="2:7" ht="15" customHeight="1" x14ac:dyDescent="0.3">
      <c r="C1207" s="2"/>
      <c r="D1207" s="8">
        <v>2020</v>
      </c>
      <c r="E1207" s="14">
        <f>Data!F1207</f>
        <v>380413000000</v>
      </c>
      <c r="F1207" s="14">
        <f>Data!H1207</f>
        <v>494639000000</v>
      </c>
      <c r="G1207" s="12">
        <f t="shared" si="18"/>
        <v>0.76907198987544456</v>
      </c>
    </row>
    <row r="1208" spans="2:7" ht="15" customHeight="1" x14ac:dyDescent="0.3">
      <c r="C1208" s="2"/>
      <c r="D1208" s="8">
        <v>2021</v>
      </c>
      <c r="E1208" s="14">
        <f>Data!F1208</f>
        <v>601456000000</v>
      </c>
      <c r="F1208" s="14">
        <f>Data!H1208</f>
        <v>496923000000</v>
      </c>
      <c r="G1208" s="12">
        <f t="shared" si="18"/>
        <v>1.2103605588793436</v>
      </c>
    </row>
    <row r="1209" spans="2:7" ht="15" customHeight="1" x14ac:dyDescent="0.3">
      <c r="C1209" s="2"/>
      <c r="D1209" s="8">
        <v>2022</v>
      </c>
      <c r="E1209" s="14">
        <f>Data!F1209</f>
        <v>312471000000</v>
      </c>
      <c r="F1209" s="14">
        <f>Data!H1209</f>
        <v>552127000000</v>
      </c>
      <c r="G1209" s="12">
        <f t="shared" si="18"/>
        <v>0.5659404448614177</v>
      </c>
    </row>
    <row r="1210" spans="2:7" ht="15" customHeight="1" x14ac:dyDescent="0.3">
      <c r="C1210" s="2"/>
      <c r="D1210" s="8">
        <v>2023</v>
      </c>
      <c r="E1210" s="14">
        <f>Data!F1210</f>
        <v>614800000000</v>
      </c>
      <c r="F1210" s="14">
        <f>Data!H1210</f>
        <v>737034000000</v>
      </c>
      <c r="G1210" s="12">
        <f t="shared" si="18"/>
        <v>0.83415419098711863</v>
      </c>
    </row>
    <row r="1211" spans="2:7" ht="15" customHeight="1" x14ac:dyDescent="0.3">
      <c r="C1211" s="2"/>
      <c r="D1211" s="8">
        <v>2024</v>
      </c>
      <c r="E1211" s="14">
        <f>Data!F1211</f>
        <v>565555000000</v>
      </c>
      <c r="F1211" s="14">
        <f>Data!H1211</f>
        <v>876156000000</v>
      </c>
      <c r="G1211" s="12">
        <f t="shared" si="18"/>
        <v>0.64549577929044599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Data!F1212</f>
        <v>0</v>
      </c>
      <c r="F1212" s="14">
        <f>Data!H1212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Data!F1213</f>
        <v>234698000000</v>
      </c>
      <c r="F1213" s="14">
        <f>Data!H1213</f>
        <v>62788000000</v>
      </c>
      <c r="G1213" s="12">
        <f t="shared" si="18"/>
        <v>3.737943556093521</v>
      </c>
    </row>
    <row r="1214" spans="2:7" ht="15" customHeight="1" x14ac:dyDescent="0.3">
      <c r="C1214" s="2"/>
      <c r="D1214" s="8">
        <v>2016</v>
      </c>
      <c r="E1214" s="14">
        <f>Data!F1214</f>
        <v>215626000000</v>
      </c>
      <c r="F1214" s="14">
        <f>Data!H1214</f>
        <v>55489000000</v>
      </c>
      <c r="G1214" s="12">
        <f t="shared" si="18"/>
        <v>3.8859233361567158</v>
      </c>
    </row>
    <row r="1215" spans="2:7" ht="15" customHeight="1" x14ac:dyDescent="0.3">
      <c r="C1215" s="2"/>
      <c r="D1215" s="8">
        <v>2017</v>
      </c>
      <c r="E1215" s="14">
        <f>Data!F1215</f>
        <v>238412000000</v>
      </c>
      <c r="F1215" s="14">
        <f>Data!H1215</f>
        <v>113380000000</v>
      </c>
      <c r="G1215" s="12">
        <f t="shared" si="18"/>
        <v>2.1027694478744046</v>
      </c>
    </row>
    <row r="1216" spans="2:7" ht="15" customHeight="1" x14ac:dyDescent="0.3">
      <c r="C1216" s="2"/>
      <c r="D1216" s="8">
        <v>2018</v>
      </c>
      <c r="E1216" s="14">
        <f>Data!F1216</f>
        <v>293825000000</v>
      </c>
      <c r="F1216" s="14">
        <f>Data!H1216</f>
        <v>97191000000</v>
      </c>
      <c r="G1216" s="12">
        <f t="shared" si="18"/>
        <v>3.0231708697307362</v>
      </c>
    </row>
    <row r="1217" spans="2:7" ht="15" customHeight="1" x14ac:dyDescent="0.3">
      <c r="C1217" s="2"/>
      <c r="D1217" s="8">
        <v>2019</v>
      </c>
      <c r="E1217" s="14">
        <f>Data!F1217</f>
        <v>278827000000</v>
      </c>
      <c r="F1217" s="14">
        <f>Data!H1217</f>
        <v>96719000000</v>
      </c>
      <c r="G1217" s="12">
        <f t="shared" si="18"/>
        <v>2.8828565225033342</v>
      </c>
    </row>
    <row r="1218" spans="2:7" ht="15" customHeight="1" x14ac:dyDescent="0.3">
      <c r="C1218" s="2"/>
      <c r="D1218" s="8">
        <v>2020</v>
      </c>
      <c r="E1218" s="14">
        <f>Data!F1218</f>
        <v>130532000000</v>
      </c>
      <c r="F1218" s="14">
        <f>Data!H1218</f>
        <v>96245000000</v>
      </c>
      <c r="G1218" s="12">
        <f t="shared" si="18"/>
        <v>1.3562470777702738</v>
      </c>
    </row>
    <row r="1219" spans="2:7" ht="15" customHeight="1" x14ac:dyDescent="0.3">
      <c r="C1219" s="2"/>
      <c r="D1219" s="8">
        <v>2021</v>
      </c>
      <c r="E1219" s="14">
        <f>Data!F1219</f>
        <v>143909000000</v>
      </c>
      <c r="F1219" s="14">
        <f>Data!H1219</f>
        <v>90416000000</v>
      </c>
      <c r="G1219" s="12">
        <f t="shared" ref="G1219:G1282" si="19">IFERROR(E1219/F1219,0)</f>
        <v>1.5916320120332685</v>
      </c>
    </row>
    <row r="1220" spans="2:7" ht="15" customHeight="1" x14ac:dyDescent="0.3">
      <c r="C1220" s="2"/>
      <c r="D1220" s="8">
        <v>2022</v>
      </c>
      <c r="E1220" s="14">
        <f>Data!F1220</f>
        <v>162749000000</v>
      </c>
      <c r="F1220" s="14">
        <f>Data!H1220</f>
        <v>94054000000</v>
      </c>
      <c r="G1220" s="12">
        <f t="shared" si="19"/>
        <v>1.7303782933208582</v>
      </c>
    </row>
    <row r="1221" spans="2:7" ht="15" customHeight="1" x14ac:dyDescent="0.3">
      <c r="C1221" s="2"/>
      <c r="D1221" s="8">
        <v>2023</v>
      </c>
      <c r="E1221" s="14">
        <f>Data!F1221</f>
        <v>153882000000</v>
      </c>
      <c r="F1221" s="14">
        <f>Data!H1221</f>
        <v>138144000000</v>
      </c>
      <c r="G1221" s="12">
        <f t="shared" si="19"/>
        <v>1.1139246004169563</v>
      </c>
    </row>
    <row r="1222" spans="2:7" ht="15" customHeight="1" x14ac:dyDescent="0.3">
      <c r="C1222" s="2"/>
      <c r="D1222" s="8">
        <v>2024</v>
      </c>
      <c r="E1222" s="14">
        <f>Data!F1222</f>
        <v>180744000000</v>
      </c>
      <c r="F1222" s="14">
        <f>Data!H1222</f>
        <v>125560000000</v>
      </c>
      <c r="G1222" s="12">
        <f t="shared" si="19"/>
        <v>1.4395030264415418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Data!F1223</f>
        <v>0</v>
      </c>
      <c r="F1223" s="14">
        <f>Data!H1223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>
        <f>Data!F1224</f>
        <v>324380000000</v>
      </c>
      <c r="F1224" s="14">
        <f>Data!H1224</f>
        <v>261534000000</v>
      </c>
      <c r="G1224" s="12">
        <f t="shared" si="19"/>
        <v>1.2402976286066056</v>
      </c>
    </row>
    <row r="1225" spans="2:7" ht="15" customHeight="1" x14ac:dyDescent="0.3">
      <c r="C1225" s="2"/>
      <c r="D1225" s="8">
        <v>2016</v>
      </c>
      <c r="E1225" s="14">
        <f>Data!F1225</f>
        <v>398998000000</v>
      </c>
      <c r="F1225" s="14">
        <f>Data!H1225</f>
        <v>201250000000</v>
      </c>
      <c r="G1225" s="12">
        <f t="shared" si="19"/>
        <v>1.9825987577639752</v>
      </c>
    </row>
    <row r="1226" spans="2:7" ht="15" customHeight="1" x14ac:dyDescent="0.3">
      <c r="C1226" s="2"/>
      <c r="D1226" s="8">
        <v>2017</v>
      </c>
      <c r="E1226" s="14">
        <f>Data!F1226</f>
        <v>565684000000</v>
      </c>
      <c r="F1226" s="14">
        <f>Data!H1226</f>
        <v>217204000000</v>
      </c>
      <c r="G1226" s="12">
        <f t="shared" si="19"/>
        <v>2.6043903427192872</v>
      </c>
    </row>
    <row r="1227" spans="2:7" ht="15" customHeight="1" x14ac:dyDescent="0.3">
      <c r="C1227" s="2"/>
      <c r="D1227" s="8">
        <v>2018</v>
      </c>
      <c r="E1227" s="14">
        <f>Data!F1227</f>
        <v>507830000000</v>
      </c>
      <c r="F1227" s="14">
        <f>Data!H1227</f>
        <v>215836000000</v>
      </c>
      <c r="G1227" s="12">
        <f t="shared" si="19"/>
        <v>2.3528512389036118</v>
      </c>
    </row>
    <row r="1228" spans="2:7" ht="15" customHeight="1" x14ac:dyDescent="0.3">
      <c r="C1228" s="2"/>
      <c r="D1228" s="8">
        <v>2019</v>
      </c>
      <c r="E1228" s="14">
        <f>Data!F1228</f>
        <v>546746000000</v>
      </c>
      <c r="F1228" s="14">
        <f>Data!H1228</f>
        <v>119846000000</v>
      </c>
      <c r="G1228" s="12">
        <f t="shared" si="19"/>
        <v>4.5620713248669125</v>
      </c>
    </row>
    <row r="1229" spans="2:7" ht="15" customHeight="1" x14ac:dyDescent="0.3">
      <c r="C1229" s="2"/>
      <c r="D1229" s="8">
        <v>2020</v>
      </c>
      <c r="E1229" s="14">
        <f>Data!F1229</f>
        <v>483829000000</v>
      </c>
      <c r="F1229" s="14">
        <f>Data!H1229</f>
        <v>114542000000</v>
      </c>
      <c r="G1229" s="12">
        <f t="shared" si="19"/>
        <v>4.2240313596759265</v>
      </c>
    </row>
    <row r="1230" spans="2:7" ht="15" customHeight="1" x14ac:dyDescent="0.3">
      <c r="C1230" s="2"/>
      <c r="D1230" s="8">
        <v>2021</v>
      </c>
      <c r="E1230" s="14">
        <f>Data!F1230</f>
        <v>523244000000</v>
      </c>
      <c r="F1230" s="14">
        <f>Data!H1230</f>
        <v>143307000000</v>
      </c>
      <c r="G1230" s="12">
        <f t="shared" si="19"/>
        <v>3.6512103386436112</v>
      </c>
    </row>
    <row r="1231" spans="2:7" ht="15" customHeight="1" x14ac:dyDescent="0.3">
      <c r="C1231" s="2"/>
      <c r="D1231" s="8">
        <v>2022</v>
      </c>
      <c r="E1231" s="14">
        <f>Data!F1231</f>
        <v>567020000000</v>
      </c>
      <c r="F1231" s="14">
        <f>Data!H1231</f>
        <v>300905000000</v>
      </c>
      <c r="G1231" s="12">
        <f t="shared" si="19"/>
        <v>1.884382113956232</v>
      </c>
    </row>
    <row r="1232" spans="2:7" ht="15" customHeight="1" x14ac:dyDescent="0.3">
      <c r="C1232" s="2"/>
      <c r="D1232" s="8">
        <v>2023</v>
      </c>
      <c r="E1232" s="14">
        <f>Data!F1232</f>
        <v>811977000000</v>
      </c>
      <c r="F1232" s="14">
        <f>Data!H1232</f>
        <v>491650000000</v>
      </c>
      <c r="G1232" s="12">
        <f t="shared" si="19"/>
        <v>1.6515346282924845</v>
      </c>
    </row>
    <row r="1233" spans="2:7" ht="15" customHeight="1" x14ac:dyDescent="0.3">
      <c r="C1233" s="2"/>
      <c r="D1233" s="8">
        <v>2024</v>
      </c>
      <c r="E1233" s="14">
        <f>Data!F1233</f>
        <v>805571000000</v>
      </c>
      <c r="F1233" s="14">
        <f>Data!H1233</f>
        <v>401681000000</v>
      </c>
      <c r="G1233" s="12">
        <f t="shared" si="19"/>
        <v>2.0054993888184902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Data!F1234</f>
        <v>0</v>
      </c>
      <c r="F1234" s="14">
        <f>Data!H1234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Data!F1235</f>
        <v>0</v>
      </c>
      <c r="F1235" s="14">
        <f>Data!H1235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Data!F1236</f>
        <v>0</v>
      </c>
      <c r="F1236" s="14">
        <f>Data!H1236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Data!F1237</f>
        <v>0</v>
      </c>
      <c r="F1237" s="14">
        <f>Data!H1237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Data!F1238</f>
        <v>206515000000</v>
      </c>
      <c r="F1238" s="14">
        <f>Data!H1238</f>
        <v>28224000000</v>
      </c>
      <c r="G1238" s="12">
        <f t="shared" si="19"/>
        <v>7.3169997165532878</v>
      </c>
    </row>
    <row r="1239" spans="2:7" ht="15" customHeight="1" x14ac:dyDescent="0.3">
      <c r="C1239" s="2"/>
      <c r="D1239" s="8">
        <v>2019</v>
      </c>
      <c r="E1239" s="14">
        <f>Data!F1239</f>
        <v>287403000000</v>
      </c>
      <c r="F1239" s="14">
        <f>Data!H1239</f>
        <v>29241000000</v>
      </c>
      <c r="G1239" s="12">
        <f t="shared" si="19"/>
        <v>9.8287678259977422</v>
      </c>
    </row>
    <row r="1240" spans="2:7" ht="15" customHeight="1" x14ac:dyDescent="0.3">
      <c r="C1240" s="2"/>
      <c r="D1240" s="8">
        <v>2020</v>
      </c>
      <c r="E1240" s="14">
        <f>Data!F1240</f>
        <v>244255000000</v>
      </c>
      <c r="F1240" s="14">
        <f>Data!H1240</f>
        <v>16037000000</v>
      </c>
      <c r="G1240" s="12">
        <f t="shared" si="19"/>
        <v>15.230716468167364</v>
      </c>
    </row>
    <row r="1241" spans="2:7" ht="15" customHeight="1" x14ac:dyDescent="0.3">
      <c r="C1241" s="2"/>
      <c r="D1241" s="8">
        <v>2021</v>
      </c>
      <c r="E1241" s="14">
        <f>Data!F1241</f>
        <v>175490000000</v>
      </c>
      <c r="F1241" s="14">
        <f>Data!H1241</f>
        <v>12985000000</v>
      </c>
      <c r="G1241" s="12">
        <f t="shared" si="19"/>
        <v>13.514824797843666</v>
      </c>
    </row>
    <row r="1242" spans="2:7" ht="15" customHeight="1" x14ac:dyDescent="0.3">
      <c r="C1242" s="2"/>
      <c r="D1242" s="8">
        <v>2022</v>
      </c>
      <c r="E1242" s="14">
        <f>Data!F1242</f>
        <v>152533000000</v>
      </c>
      <c r="F1242" s="14">
        <f>Data!H1242</f>
        <v>10630000000</v>
      </c>
      <c r="G1242" s="12">
        <f t="shared" si="19"/>
        <v>14.349294449670744</v>
      </c>
    </row>
    <row r="1243" spans="2:7" ht="15" customHeight="1" x14ac:dyDescent="0.3">
      <c r="C1243" s="2"/>
      <c r="D1243" s="8">
        <v>2023</v>
      </c>
      <c r="E1243" s="14">
        <f>Data!F1243</f>
        <v>157157000000</v>
      </c>
      <c r="F1243" s="14">
        <f>Data!H1243</f>
        <v>31299000000</v>
      </c>
      <c r="G1243" s="12">
        <f t="shared" si="19"/>
        <v>5.0211508354899514</v>
      </c>
    </row>
    <row r="1244" spans="2:7" ht="15" customHeight="1" x14ac:dyDescent="0.3">
      <c r="C1244" s="2"/>
      <c r="D1244" s="8">
        <v>2024</v>
      </c>
      <c r="E1244" s="14">
        <f>Data!F1244</f>
        <v>326327000000</v>
      </c>
      <c r="F1244" s="14">
        <f>Data!H1244</f>
        <v>196218000000</v>
      </c>
      <c r="G1244" s="12">
        <f t="shared" si="19"/>
        <v>1.6630839168679734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Data!F1245</f>
        <v>0</v>
      </c>
      <c r="F1245" s="14">
        <f>Data!H1245</f>
        <v>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Data!F1246</f>
        <v>37265880000.000008</v>
      </c>
      <c r="F1246" s="14">
        <f>Data!H1246</f>
        <v>20679690000</v>
      </c>
      <c r="G1246" s="12">
        <f t="shared" si="19"/>
        <v>1.8020521584221043</v>
      </c>
    </row>
    <row r="1247" spans="2:7" ht="15" customHeight="1" x14ac:dyDescent="0.3">
      <c r="C1247" s="2"/>
      <c r="D1247" s="8">
        <v>2016</v>
      </c>
      <c r="E1247" s="14">
        <f>Data!F1247</f>
        <v>39532289999.999992</v>
      </c>
      <c r="F1247" s="14">
        <f>Data!H1247</f>
        <v>19883710000</v>
      </c>
      <c r="G1247" s="12">
        <f t="shared" si="19"/>
        <v>1.988174742037577</v>
      </c>
    </row>
    <row r="1248" spans="2:7" ht="15" customHeight="1" x14ac:dyDescent="0.3">
      <c r="C1248" s="2"/>
      <c r="D1248" s="8">
        <v>2017</v>
      </c>
      <c r="E1248" s="14">
        <f>Data!F1248</f>
        <v>41034910000</v>
      </c>
      <c r="F1248" s="14">
        <f>Data!H1248</f>
        <v>21236380000</v>
      </c>
      <c r="G1248" s="12">
        <f t="shared" si="19"/>
        <v>1.9322930744317064</v>
      </c>
    </row>
    <row r="1249" spans="2:7" ht="15" customHeight="1" x14ac:dyDescent="0.3">
      <c r="C1249" s="2"/>
      <c r="D1249" s="8">
        <v>2018</v>
      </c>
      <c r="E1249" s="14">
        <f>Data!F1249</f>
        <v>46457469999.999992</v>
      </c>
      <c r="F1249" s="14">
        <f>Data!H1249</f>
        <v>20074570000</v>
      </c>
      <c r="G1249" s="12">
        <f t="shared" si="19"/>
        <v>2.3142448381210654</v>
      </c>
    </row>
    <row r="1250" spans="2:7" ht="15" customHeight="1" x14ac:dyDescent="0.3">
      <c r="C1250" s="2"/>
      <c r="D1250" s="8">
        <v>2019</v>
      </c>
      <c r="E1250" s="14">
        <f>Data!F1250</f>
        <v>61602610000.000008</v>
      </c>
      <c r="F1250" s="14">
        <f>Data!H1250</f>
        <v>38202490000</v>
      </c>
      <c r="G1250" s="12">
        <f t="shared" si="19"/>
        <v>1.6125286597810773</v>
      </c>
    </row>
    <row r="1251" spans="2:7" ht="15" customHeight="1" x14ac:dyDescent="0.3">
      <c r="C1251" s="2"/>
      <c r="D1251" s="8">
        <v>2020</v>
      </c>
      <c r="E1251" s="14">
        <f>Data!F1251</f>
        <v>69172420000</v>
      </c>
      <c r="F1251" s="14">
        <f>Data!H1251</f>
        <v>43663510000</v>
      </c>
      <c r="G1251" s="12">
        <f t="shared" si="19"/>
        <v>1.5842157444511447</v>
      </c>
    </row>
    <row r="1252" spans="2:7" ht="15" customHeight="1" x14ac:dyDescent="0.3">
      <c r="C1252" s="2"/>
      <c r="D1252" s="8">
        <v>2021</v>
      </c>
      <c r="E1252" s="14">
        <f>Data!F1252</f>
        <v>85004050000.000015</v>
      </c>
      <c r="F1252" s="14">
        <f>Data!H1252</f>
        <v>40307730000</v>
      </c>
      <c r="G1252" s="12">
        <f t="shared" si="19"/>
        <v>2.1088771310118437</v>
      </c>
    </row>
    <row r="1253" spans="2:7" ht="15" customHeight="1" x14ac:dyDescent="0.3">
      <c r="C1253" s="2"/>
      <c r="D1253" s="8">
        <v>2022</v>
      </c>
      <c r="E1253" s="14">
        <f>Data!F1253</f>
        <v>100563769999.99998</v>
      </c>
      <c r="F1253" s="14">
        <f>Data!H1253</f>
        <v>43470440000</v>
      </c>
      <c r="G1253" s="12">
        <f t="shared" si="19"/>
        <v>2.3133828413054935</v>
      </c>
    </row>
    <row r="1254" spans="2:7" ht="15" customHeight="1" x14ac:dyDescent="0.3">
      <c r="C1254" s="2"/>
      <c r="D1254" s="8">
        <v>2023</v>
      </c>
      <c r="E1254" s="14">
        <f>Data!F1254</f>
        <v>102378200000</v>
      </c>
      <c r="F1254" s="14">
        <f>Data!H1254</f>
        <v>39272760000</v>
      </c>
      <c r="G1254" s="12">
        <f t="shared" si="19"/>
        <v>2.6068501424396961</v>
      </c>
    </row>
    <row r="1255" spans="2:7" ht="15" customHeight="1" x14ac:dyDescent="0.3">
      <c r="C1255" s="2"/>
      <c r="D1255" s="8">
        <v>2024</v>
      </c>
      <c r="E1255" s="14">
        <f>Data!F1255</f>
        <v>81216700000.000015</v>
      </c>
      <c r="F1255" s="14">
        <f>Data!H1255</f>
        <v>47617020000</v>
      </c>
      <c r="G1255" s="12">
        <f t="shared" si="19"/>
        <v>1.7056233254411977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Data!F1256</f>
        <v>0</v>
      </c>
      <c r="F1256" s="14">
        <f>Data!H1256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Data!F1257</f>
        <v>0</v>
      </c>
      <c r="F1257" s="14">
        <f>Data!H1257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Data!F1258</f>
        <v>0</v>
      </c>
      <c r="F1258" s="14">
        <f>Data!H1258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Data!F1259</f>
        <v>0</v>
      </c>
      <c r="F1259" s="14">
        <f>Data!H1259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Data!F1260</f>
        <v>0</v>
      </c>
      <c r="F1260" s="14">
        <f>Data!H1260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Data!F1261</f>
        <v>0</v>
      </c>
      <c r="F1261" s="14">
        <f>Data!H1261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Data!F1262</f>
        <v>0</v>
      </c>
      <c r="F1262" s="14">
        <f>Data!H1262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Data!F1263</f>
        <v>0</v>
      </c>
      <c r="F1263" s="14">
        <f>Data!H1263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Data!F1264</f>
        <v>47821700000</v>
      </c>
      <c r="F1264" s="14">
        <f>Data!H1264</f>
        <v>1029260000</v>
      </c>
      <c r="G1264" s="12">
        <f t="shared" si="19"/>
        <v>46.462215572352953</v>
      </c>
    </row>
    <row r="1265" spans="2:7" ht="15" customHeight="1" x14ac:dyDescent="0.3">
      <c r="C1265" s="1"/>
      <c r="D1265" s="8">
        <v>2023</v>
      </c>
      <c r="E1265" s="14">
        <f>Data!F1265</f>
        <v>13554630000</v>
      </c>
      <c r="F1265" s="14">
        <f>Data!H1265</f>
        <v>7560890000</v>
      </c>
      <c r="G1265" s="12">
        <f t="shared" si="19"/>
        <v>1.7927294273557743</v>
      </c>
    </row>
    <row r="1266" spans="2:7" ht="15" customHeight="1" x14ac:dyDescent="0.3">
      <c r="C1266" s="1"/>
      <c r="D1266" s="8">
        <v>2024</v>
      </c>
      <c r="E1266" s="14">
        <f>Data!F1266</f>
        <v>27714220000.000004</v>
      </c>
      <c r="F1266" s="14">
        <f>Data!H1266</f>
        <v>27717560000</v>
      </c>
      <c r="G1266" s="12">
        <f t="shared" si="19"/>
        <v>0.99987949877261939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Data!F1267</f>
        <v>0</v>
      </c>
      <c r="F1267" s="14">
        <f>Data!H1267</f>
        <v>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Data!F1268</f>
        <v>1834573000000</v>
      </c>
      <c r="F1268" s="14">
        <f>Data!H1268</f>
        <v>769499000000</v>
      </c>
      <c r="G1268" s="12">
        <f t="shared" si="19"/>
        <v>2.3841135596017669</v>
      </c>
    </row>
    <row r="1269" spans="2:7" ht="15" customHeight="1" x14ac:dyDescent="0.3">
      <c r="C1269" s="1"/>
      <c r="D1269" s="8">
        <v>2016</v>
      </c>
      <c r="E1269" s="14">
        <f>Data!F1269</f>
        <v>1601170000000</v>
      </c>
      <c r="F1269" s="14">
        <f>Data!H1269</f>
        <v>553481000000</v>
      </c>
      <c r="G1269" s="12">
        <f t="shared" si="19"/>
        <v>2.892908699666294</v>
      </c>
    </row>
    <row r="1270" spans="2:7" ht="15" customHeight="1" x14ac:dyDescent="0.3">
      <c r="C1270" s="1"/>
      <c r="D1270" s="8">
        <v>2017</v>
      </c>
      <c r="E1270" s="14">
        <f>Data!F1270</f>
        <v>1791614000000</v>
      </c>
      <c r="F1270" s="14">
        <f>Data!H1270</f>
        <v>411311000000</v>
      </c>
      <c r="G1270" s="12">
        <f t="shared" si="19"/>
        <v>4.3558621092069014</v>
      </c>
    </row>
    <row r="1271" spans="2:7" ht="15" customHeight="1" x14ac:dyDescent="0.3">
      <c r="C1271" s="1"/>
      <c r="D1271" s="8">
        <v>2018</v>
      </c>
      <c r="E1271" s="14">
        <f>Data!F1271</f>
        <v>1995265000000</v>
      </c>
      <c r="F1271" s="14">
        <f>Data!H1271</f>
        <v>447364000000</v>
      </c>
      <c r="G1271" s="12">
        <f t="shared" si="19"/>
        <v>4.4600481934174407</v>
      </c>
    </row>
    <row r="1272" spans="2:7" ht="15" customHeight="1" x14ac:dyDescent="0.3">
      <c r="C1272" s="1"/>
      <c r="D1272" s="8">
        <v>2019</v>
      </c>
      <c r="E1272" s="14">
        <f>Data!F1272</f>
        <v>2160846000000</v>
      </c>
      <c r="F1272" s="14">
        <f>Data!H1272</f>
        <v>429665000000</v>
      </c>
      <c r="G1272" s="12">
        <f t="shared" si="19"/>
        <v>5.0291413077630249</v>
      </c>
    </row>
    <row r="1273" spans="2:7" ht="15" customHeight="1" x14ac:dyDescent="0.3">
      <c r="C1273" s="1"/>
      <c r="D1273" s="8">
        <v>2020</v>
      </c>
      <c r="E1273" s="14">
        <f>Data!F1273</f>
        <v>2482997000000</v>
      </c>
      <c r="F1273" s="14">
        <f>Data!H1273</f>
        <v>615186000000</v>
      </c>
      <c r="G1273" s="12">
        <f t="shared" si="19"/>
        <v>4.0361727997711263</v>
      </c>
    </row>
    <row r="1274" spans="2:7" ht="15" customHeight="1" x14ac:dyDescent="0.3">
      <c r="C1274" s="1"/>
      <c r="D1274" s="8">
        <v>2021</v>
      </c>
      <c r="E1274" s="14">
        <f>Data!F1274</f>
        <v>2413124000000</v>
      </c>
      <c r="F1274" s="14">
        <f>Data!H1274</f>
        <v>629393000000</v>
      </c>
      <c r="G1274" s="12">
        <f t="shared" si="19"/>
        <v>3.834049631946971</v>
      </c>
    </row>
    <row r="1275" spans="2:7" ht="15" customHeight="1" x14ac:dyDescent="0.3">
      <c r="C1275" s="1"/>
      <c r="D1275" s="8">
        <v>2022</v>
      </c>
      <c r="E1275" s="14">
        <f>Data!F1275</f>
        <v>2218047000000</v>
      </c>
      <c r="F1275" s="14">
        <f>Data!H1275</f>
        <v>668116000000</v>
      </c>
      <c r="G1275" s="12">
        <f t="shared" si="19"/>
        <v>3.3198531392752155</v>
      </c>
    </row>
    <row r="1276" spans="2:7" ht="15" customHeight="1" x14ac:dyDescent="0.3">
      <c r="C1276" s="1"/>
      <c r="D1276" s="8">
        <v>2023</v>
      </c>
      <c r="E1276" s="14">
        <f>Data!F1276</f>
        <v>2561597000000</v>
      </c>
      <c r="F1276" s="14">
        <f>Data!H1276</f>
        <v>891040000000</v>
      </c>
      <c r="G1276" s="12">
        <f t="shared" si="19"/>
        <v>2.8748395133776263</v>
      </c>
    </row>
    <row r="1277" spans="2:7" ht="15" customHeight="1" x14ac:dyDescent="0.3">
      <c r="C1277" s="1"/>
      <c r="D1277" s="8">
        <v>2024</v>
      </c>
      <c r="E1277" s="14">
        <f>Data!F1277</f>
        <v>2691422000000</v>
      </c>
      <c r="F1277" s="14">
        <f>Data!H1277</f>
        <v>1042734000000</v>
      </c>
      <c r="G1277" s="12">
        <f t="shared" si="19"/>
        <v>2.5811204007925319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Data!F1278</f>
        <v>0</v>
      </c>
      <c r="F1278" s="14">
        <f>Data!H1278</f>
        <v>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Data!F1279</f>
        <v>73816000000</v>
      </c>
      <c r="F1279" s="14">
        <f>Data!H1279</f>
        <v>18894000000</v>
      </c>
      <c r="G1279" s="12">
        <f t="shared" si="19"/>
        <v>3.9068487350481633</v>
      </c>
    </row>
    <row r="1280" spans="2:7" ht="15" customHeight="1" x14ac:dyDescent="0.3">
      <c r="C1280" s="2"/>
      <c r="D1280" s="8">
        <v>2016</v>
      </c>
      <c r="E1280" s="14">
        <f>Data!F1280</f>
        <v>76755000000</v>
      </c>
      <c r="F1280" s="14">
        <f>Data!H1280</f>
        <v>23833000000</v>
      </c>
      <c r="G1280" s="12">
        <f t="shared" si="19"/>
        <v>3.2205345529308103</v>
      </c>
    </row>
    <row r="1281" spans="2:7" ht="15" customHeight="1" x14ac:dyDescent="0.3">
      <c r="C1281" s="2"/>
      <c r="D1281" s="8">
        <v>2017</v>
      </c>
      <c r="E1281" s="14">
        <f>Data!F1281</f>
        <v>86251000000</v>
      </c>
      <c r="F1281" s="14">
        <f>Data!H1281</f>
        <v>27972000000</v>
      </c>
      <c r="G1281" s="12">
        <f t="shared" si="19"/>
        <v>3.0834763334763333</v>
      </c>
    </row>
    <row r="1282" spans="2:7" ht="15" customHeight="1" x14ac:dyDescent="0.3">
      <c r="C1282" s="2"/>
      <c r="D1282" s="8">
        <v>2018</v>
      </c>
      <c r="E1282" s="14">
        <f>Data!F1282</f>
        <v>103655000000</v>
      </c>
      <c r="F1282" s="14">
        <f>Data!H1282</f>
        <v>32703000000</v>
      </c>
      <c r="G1282" s="12">
        <f t="shared" si="19"/>
        <v>3.1695868880530838</v>
      </c>
    </row>
    <row r="1283" spans="2:7" ht="15" customHeight="1" x14ac:dyDescent="0.3">
      <c r="C1283" s="2"/>
      <c r="D1283" s="8">
        <v>2019</v>
      </c>
      <c r="E1283" s="14">
        <f>Data!F1283</f>
        <v>225285000000</v>
      </c>
      <c r="F1283" s="14">
        <f>Data!H1283</f>
        <v>52321000000</v>
      </c>
      <c r="G1283" s="12">
        <f t="shared" ref="G1283:G1346" si="20">IFERROR(E1283/F1283,0)</f>
        <v>4.305823665449819</v>
      </c>
    </row>
    <row r="1284" spans="2:7" ht="15" customHeight="1" x14ac:dyDescent="0.3">
      <c r="C1284" s="2"/>
      <c r="D1284" s="8">
        <v>2020</v>
      </c>
      <c r="E1284" s="14">
        <f>Data!F1284</f>
        <v>203647000000</v>
      </c>
      <c r="F1284" s="14">
        <f>Data!H1284</f>
        <v>63634000000</v>
      </c>
      <c r="G1284" s="12">
        <f t="shared" si="20"/>
        <v>3.2002860106232518</v>
      </c>
    </row>
    <row r="1285" spans="2:7" ht="15" customHeight="1" x14ac:dyDescent="0.3">
      <c r="C1285" s="2"/>
      <c r="D1285" s="8">
        <v>2021</v>
      </c>
      <c r="E1285" s="14">
        <f>Data!F1285</f>
        <v>359246000000</v>
      </c>
      <c r="F1285" s="14">
        <f>Data!H1285</f>
        <v>72066000000</v>
      </c>
      <c r="G1285" s="12">
        <f t="shared" si="20"/>
        <v>4.9849582327311079</v>
      </c>
    </row>
    <row r="1286" spans="2:7" ht="15" customHeight="1" x14ac:dyDescent="0.3">
      <c r="C1286" s="2"/>
      <c r="D1286" s="8">
        <v>2022</v>
      </c>
      <c r="E1286" s="14">
        <f>Data!F1286</f>
        <v>202102000000</v>
      </c>
      <c r="F1286" s="14">
        <f>Data!H1286</f>
        <v>69879000000</v>
      </c>
      <c r="G1286" s="12">
        <f t="shared" si="20"/>
        <v>2.8921707523004048</v>
      </c>
    </row>
    <row r="1287" spans="2:7" ht="15" customHeight="1" x14ac:dyDescent="0.3">
      <c r="C1287" s="2"/>
      <c r="D1287" s="8">
        <v>2023</v>
      </c>
      <c r="E1287" s="14">
        <f>Data!F1287</f>
        <v>265619000000</v>
      </c>
      <c r="F1287" s="14">
        <f>Data!H1287</f>
        <v>80971000000</v>
      </c>
      <c r="G1287" s="12">
        <f t="shared" si="20"/>
        <v>3.2804213854342912</v>
      </c>
    </row>
    <row r="1288" spans="2:7" ht="15" customHeight="1" x14ac:dyDescent="0.3">
      <c r="C1288" s="2"/>
      <c r="D1288" s="8">
        <v>2024</v>
      </c>
      <c r="E1288" s="14">
        <f>Data!F1288</f>
        <v>487868000000</v>
      </c>
      <c r="F1288" s="14">
        <f>Data!H1288</f>
        <v>149154000000</v>
      </c>
      <c r="G1288" s="12">
        <f t="shared" si="20"/>
        <v>3.2709012161926601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Data!F1289</f>
        <v>0</v>
      </c>
      <c r="F1289" s="14">
        <f>Data!H1289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Data!F1290</f>
        <v>0</v>
      </c>
      <c r="F1290" s="14">
        <f>Data!H1290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Data!F1291</f>
        <v>0</v>
      </c>
      <c r="F1291" s="14">
        <f>Data!H1291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Data!F1292</f>
        <v>0</v>
      </c>
      <c r="F1292" s="14">
        <f>Data!H1292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Data!F1293</f>
        <v>327964836000</v>
      </c>
      <c r="F1293" s="14">
        <f>Data!H1293</f>
        <v>325385627000</v>
      </c>
      <c r="G1293" s="12">
        <f t="shared" si="20"/>
        <v>1.0079266224011794</v>
      </c>
    </row>
    <row r="1294" spans="2:7" ht="15" customHeight="1" x14ac:dyDescent="0.3">
      <c r="C1294" s="3"/>
      <c r="D1294" s="8">
        <v>2019</v>
      </c>
      <c r="E1294" s="14">
        <f>Data!F1294</f>
        <v>339822858000</v>
      </c>
      <c r="F1294" s="14">
        <f>Data!H1294</f>
        <v>344468540000</v>
      </c>
      <c r="G1294" s="12">
        <f t="shared" si="20"/>
        <v>0.98651347957639324</v>
      </c>
    </row>
    <row r="1295" spans="2:7" ht="15" customHeight="1" x14ac:dyDescent="0.3">
      <c r="C1295" s="3"/>
      <c r="D1295" s="8">
        <v>2020</v>
      </c>
      <c r="E1295" s="14">
        <f>Data!F1295</f>
        <v>407703117000</v>
      </c>
      <c r="F1295" s="14">
        <f>Data!H1295</f>
        <v>424529810000</v>
      </c>
      <c r="G1295" s="12">
        <f t="shared" si="20"/>
        <v>0.96036393062715664</v>
      </c>
    </row>
    <row r="1296" spans="2:7" ht="15" customHeight="1" x14ac:dyDescent="0.3">
      <c r="C1296" s="3"/>
      <c r="D1296" s="8">
        <v>2021</v>
      </c>
      <c r="E1296" s="14">
        <f>Data!F1296</f>
        <v>391765904000</v>
      </c>
      <c r="F1296" s="14">
        <f>Data!H1296</f>
        <v>400824998000</v>
      </c>
      <c r="G1296" s="12">
        <f t="shared" si="20"/>
        <v>0.97739887969761807</v>
      </c>
    </row>
    <row r="1297" spans="2:7" ht="15" customHeight="1" x14ac:dyDescent="0.3">
      <c r="C1297" s="3"/>
      <c r="D1297" s="8">
        <v>2022</v>
      </c>
      <c r="E1297" s="14">
        <f>Data!F1297</f>
        <v>274539268000</v>
      </c>
      <c r="F1297" s="14">
        <f>Data!H1297</f>
        <v>325056487000</v>
      </c>
      <c r="G1297" s="12">
        <f t="shared" si="20"/>
        <v>0.84458941439307444</v>
      </c>
    </row>
    <row r="1298" spans="2:7" ht="15" customHeight="1" x14ac:dyDescent="0.3">
      <c r="C1298" s="3"/>
      <c r="D1298" s="8">
        <v>2023</v>
      </c>
      <c r="E1298" s="14">
        <f>Data!F1298</f>
        <v>252983421000</v>
      </c>
      <c r="F1298" s="14">
        <f>Data!H1298</f>
        <v>294128976000</v>
      </c>
      <c r="G1298" s="12">
        <f t="shared" si="20"/>
        <v>0.86011050131966593</v>
      </c>
    </row>
    <row r="1299" spans="2:7" ht="15" customHeight="1" x14ac:dyDescent="0.3">
      <c r="C1299" s="3"/>
      <c r="D1299" s="8">
        <v>2024</v>
      </c>
      <c r="E1299" s="14">
        <f>Data!F1299</f>
        <v>330481826000</v>
      </c>
      <c r="F1299" s="14">
        <f>Data!H1299</f>
        <v>403735812000</v>
      </c>
      <c r="G1299" s="12">
        <f t="shared" si="20"/>
        <v>0.81855960303070663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Data!F1300</f>
        <v>0</v>
      </c>
      <c r="F1300" s="14">
        <f>Data!H1300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Data!F1301</f>
        <v>122951000000</v>
      </c>
      <c r="F1301" s="14">
        <f>Data!H1301</f>
        <v>17881000000</v>
      </c>
      <c r="G1301" s="12">
        <f t="shared" si="20"/>
        <v>6.8760695710530735</v>
      </c>
    </row>
    <row r="1302" spans="2:7" ht="15" customHeight="1" x14ac:dyDescent="0.3">
      <c r="C1302" s="2"/>
      <c r="D1302" s="8">
        <v>2016</v>
      </c>
      <c r="E1302" s="14">
        <f>Data!F1302</f>
        <v>128674000000</v>
      </c>
      <c r="F1302" s="14">
        <f>Data!H1302</f>
        <v>36495000000</v>
      </c>
      <c r="G1302" s="12">
        <f t="shared" si="20"/>
        <v>3.5257980545280176</v>
      </c>
    </row>
    <row r="1303" spans="2:7" ht="15" customHeight="1" x14ac:dyDescent="0.3">
      <c r="C1303" s="2"/>
      <c r="D1303" s="8">
        <v>2017</v>
      </c>
      <c r="E1303" s="14">
        <f>Data!F1303</f>
        <v>132275000000</v>
      </c>
      <c r="F1303" s="14">
        <f>Data!H1303</f>
        <v>33163000000</v>
      </c>
      <c r="G1303" s="12">
        <f t="shared" si="20"/>
        <v>3.9886319090552727</v>
      </c>
    </row>
    <row r="1304" spans="2:7" ht="15" customHeight="1" x14ac:dyDescent="0.3">
      <c r="C1304" s="2"/>
      <c r="D1304" s="8">
        <v>2018</v>
      </c>
      <c r="E1304" s="14">
        <f>Data!F1304</f>
        <v>175668000000</v>
      </c>
      <c r="F1304" s="14">
        <f>Data!H1304</f>
        <v>40712000000</v>
      </c>
      <c r="G1304" s="12">
        <f t="shared" si="20"/>
        <v>4.3148948712910196</v>
      </c>
    </row>
    <row r="1305" spans="2:7" ht="15" customHeight="1" x14ac:dyDescent="0.3">
      <c r="C1305" s="2"/>
      <c r="D1305" s="8">
        <v>2019</v>
      </c>
      <c r="E1305" s="14">
        <f>Data!F1305</f>
        <v>237880000000</v>
      </c>
      <c r="F1305" s="14">
        <f>Data!H1305</f>
        <v>38568000000</v>
      </c>
      <c r="G1305" s="12">
        <f t="shared" si="20"/>
        <v>6.1678075088155984</v>
      </c>
    </row>
    <row r="1306" spans="2:7" ht="15" customHeight="1" x14ac:dyDescent="0.3">
      <c r="C1306" s="2"/>
      <c r="D1306" s="8">
        <v>2020</v>
      </c>
      <c r="E1306" s="14">
        <f>Data!F1306</f>
        <v>262261000000</v>
      </c>
      <c r="F1306" s="14">
        <f>Data!H1306</f>
        <v>58663000000</v>
      </c>
      <c r="G1306" s="12">
        <f t="shared" si="20"/>
        <v>4.4706373693810413</v>
      </c>
    </row>
    <row r="1307" spans="2:7" ht="15" customHeight="1" x14ac:dyDescent="0.3">
      <c r="C1307" s="2"/>
      <c r="D1307" s="8">
        <v>2021</v>
      </c>
      <c r="E1307" s="14">
        <f>Data!F1307</f>
        <v>296861000000</v>
      </c>
      <c r="F1307" s="14">
        <f>Data!H1307</f>
        <v>25566000000</v>
      </c>
      <c r="G1307" s="12">
        <f t="shared" si="20"/>
        <v>11.611554408198389</v>
      </c>
    </row>
    <row r="1308" spans="2:7" ht="15" customHeight="1" x14ac:dyDescent="0.3">
      <c r="C1308" s="2"/>
      <c r="D1308" s="8">
        <v>2022</v>
      </c>
      <c r="E1308" s="14">
        <f>Data!F1308</f>
        <v>142619000000</v>
      </c>
      <c r="F1308" s="14">
        <f>Data!H1308</f>
        <v>34365000000</v>
      </c>
      <c r="G1308" s="12">
        <f t="shared" si="20"/>
        <v>4.1501236723410448</v>
      </c>
    </row>
    <row r="1309" spans="2:7" ht="15" customHeight="1" x14ac:dyDescent="0.3">
      <c r="C1309" s="2"/>
      <c r="D1309" s="8">
        <v>2023</v>
      </c>
      <c r="E1309" s="14">
        <f>Data!F1309</f>
        <v>337589000000</v>
      </c>
      <c r="F1309" s="14">
        <f>Data!H1309</f>
        <v>71713000000</v>
      </c>
      <c r="G1309" s="12">
        <f t="shared" si="20"/>
        <v>4.7075007320848385</v>
      </c>
    </row>
    <row r="1310" spans="2:7" ht="15" customHeight="1" x14ac:dyDescent="0.3">
      <c r="C1310" s="2"/>
      <c r="D1310" s="8">
        <v>2024</v>
      </c>
      <c r="E1310" s="14">
        <f>Data!F1310</f>
        <v>0</v>
      </c>
      <c r="F1310" s="14">
        <f>Data!H1310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Data!F1311</f>
        <v>0</v>
      </c>
      <c r="F1311" s="14">
        <f>Data!H1311</f>
        <v>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Data!F1312</f>
        <v>1211242000000</v>
      </c>
      <c r="F1312" s="14">
        <f>Data!H1312</f>
        <v>228944000000</v>
      </c>
      <c r="G1312" s="12">
        <f t="shared" si="20"/>
        <v>5.2905601369767279</v>
      </c>
    </row>
    <row r="1313" spans="2:7" ht="15" customHeight="1" x14ac:dyDescent="0.3">
      <c r="C1313" s="2"/>
      <c r="D1313" s="8">
        <v>2016</v>
      </c>
      <c r="E1313" s="14">
        <f>Data!F1313</f>
        <v>1275044000000</v>
      </c>
      <c r="F1313" s="14">
        <f>Data!H1313</f>
        <v>277021000000</v>
      </c>
      <c r="G1313" s="12">
        <f t="shared" si="20"/>
        <v>4.6026979904050593</v>
      </c>
    </row>
    <row r="1314" spans="2:7" ht="15" customHeight="1" x14ac:dyDescent="0.3">
      <c r="C1314" s="2"/>
      <c r="D1314" s="8">
        <v>2017</v>
      </c>
      <c r="E1314" s="14">
        <f>Data!F1314</f>
        <v>1299308000000</v>
      </c>
      <c r="F1314" s="14">
        <f>Data!H1314</f>
        <v>683468000000</v>
      </c>
      <c r="G1314" s="12">
        <f t="shared" si="20"/>
        <v>1.9010516951781209</v>
      </c>
    </row>
    <row r="1315" spans="2:7" ht="15" customHeight="1" x14ac:dyDescent="0.3">
      <c r="C1315" s="2"/>
      <c r="D1315" s="8">
        <v>2018</v>
      </c>
      <c r="E1315" s="14">
        <f>Data!F1315</f>
        <v>1296058000000</v>
      </c>
      <c r="F1315" s="14">
        <f>Data!H1315</f>
        <v>553537000000</v>
      </c>
      <c r="G1315" s="12">
        <f t="shared" si="20"/>
        <v>2.3414116852170679</v>
      </c>
    </row>
    <row r="1316" spans="2:7" ht="15" customHeight="1" x14ac:dyDescent="0.3">
      <c r="C1316" s="2"/>
      <c r="D1316" s="8">
        <v>2019</v>
      </c>
      <c r="E1316" s="14">
        <f>Data!F1316</f>
        <v>1166332000000</v>
      </c>
      <c r="F1316" s="14">
        <f>Data!H1316</f>
        <v>455104000000</v>
      </c>
      <c r="G1316" s="12">
        <f t="shared" si="20"/>
        <v>2.5627812543945998</v>
      </c>
    </row>
    <row r="1317" spans="2:7" ht="15" customHeight="1" x14ac:dyDescent="0.3">
      <c r="C1317" s="2"/>
      <c r="D1317" s="8">
        <v>2020</v>
      </c>
      <c r="E1317" s="14">
        <f>Data!F1317</f>
        <v>1368657000000</v>
      </c>
      <c r="F1317" s="14">
        <f>Data!H1317</f>
        <v>469924000000</v>
      </c>
      <c r="G1317" s="12">
        <f t="shared" si="20"/>
        <v>2.9125071288123188</v>
      </c>
    </row>
    <row r="1318" spans="2:7" ht="15" customHeight="1" x14ac:dyDescent="0.3">
      <c r="C1318" s="2"/>
      <c r="D1318" s="8">
        <v>2021</v>
      </c>
      <c r="E1318" s="14">
        <f>Data!F1318</f>
        <v>1596568000000</v>
      </c>
      <c r="F1318" s="14">
        <f>Data!H1318</f>
        <v>603872000000</v>
      </c>
      <c r="G1318" s="12">
        <f t="shared" si="20"/>
        <v>2.6438847967781252</v>
      </c>
    </row>
    <row r="1319" spans="2:7" ht="15" customHeight="1" x14ac:dyDescent="0.3">
      <c r="C1319" s="2"/>
      <c r="D1319" s="8">
        <v>2022</v>
      </c>
      <c r="E1319" s="14">
        <f>Data!F1319</f>
        <v>1974782000000</v>
      </c>
      <c r="F1319" s="14">
        <f>Data!H1319</f>
        <v>569414000000</v>
      </c>
      <c r="G1319" s="12">
        <f t="shared" si="20"/>
        <v>3.4680952698739405</v>
      </c>
    </row>
    <row r="1320" spans="2:7" ht="15" customHeight="1" x14ac:dyDescent="0.3">
      <c r="C1320" s="2"/>
      <c r="D1320" s="8">
        <v>2023</v>
      </c>
      <c r="E1320" s="14">
        <f>Data!F1320</f>
        <v>3112928000000</v>
      </c>
      <c r="F1320" s="14">
        <f>Data!H1320</f>
        <v>774670000000</v>
      </c>
      <c r="G1320" s="12">
        <f t="shared" si="20"/>
        <v>4.0183923477093471</v>
      </c>
    </row>
    <row r="1321" spans="2:7" ht="15" customHeight="1" x14ac:dyDescent="0.3">
      <c r="C1321" s="2"/>
      <c r="D1321" s="8">
        <v>2024</v>
      </c>
      <c r="E1321" s="14">
        <f>Data!F1321</f>
        <v>3613335000000</v>
      </c>
      <c r="F1321" s="14">
        <f>Data!H1321</f>
        <v>856486000000</v>
      </c>
      <c r="G1321" s="12">
        <f t="shared" si="20"/>
        <v>4.2187904997863361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Data!F1322</f>
        <v>0</v>
      </c>
      <c r="F1322" s="14">
        <f>Data!H1322</f>
        <v>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Data!F1323</f>
        <v>381922000000</v>
      </c>
      <c r="F1323" s="14">
        <f>Data!H1323</f>
        <v>99275000000</v>
      </c>
      <c r="G1323" s="12">
        <f t="shared" si="20"/>
        <v>3.8471115588013096</v>
      </c>
    </row>
    <row r="1324" spans="2:7" ht="15" customHeight="1" x14ac:dyDescent="0.3">
      <c r="C1324" s="2"/>
      <c r="D1324" s="8">
        <v>2016</v>
      </c>
      <c r="E1324" s="14">
        <f>Data!F1324</f>
        <v>575314000000</v>
      </c>
      <c r="F1324" s="14">
        <f>Data!H1324</f>
        <v>194589000000</v>
      </c>
      <c r="G1324" s="12">
        <f t="shared" si="20"/>
        <v>2.9565597233142675</v>
      </c>
    </row>
    <row r="1325" spans="2:7" ht="15" customHeight="1" x14ac:dyDescent="0.3">
      <c r="C1325" s="2"/>
      <c r="D1325" s="8">
        <v>2017</v>
      </c>
      <c r="E1325" s="14">
        <f>Data!F1325</f>
        <v>694579000000</v>
      </c>
      <c r="F1325" s="14">
        <f>Data!H1325</f>
        <v>203473000000</v>
      </c>
      <c r="G1325" s="12">
        <f t="shared" si="20"/>
        <v>3.4136175315643844</v>
      </c>
    </row>
    <row r="1326" spans="2:7" ht="15" customHeight="1" x14ac:dyDescent="0.3">
      <c r="C1326" s="2"/>
      <c r="D1326" s="8">
        <v>2018</v>
      </c>
      <c r="E1326" s="14">
        <f>Data!F1326</f>
        <v>260481000000</v>
      </c>
      <c r="F1326" s="14">
        <f>Data!H1326</f>
        <v>273431000000</v>
      </c>
      <c r="G1326" s="12">
        <f t="shared" si="20"/>
        <v>0.95263887415838</v>
      </c>
    </row>
    <row r="1327" spans="2:7" ht="15" customHeight="1" x14ac:dyDescent="0.3">
      <c r="C1327" s="2"/>
      <c r="D1327" s="8">
        <v>2019</v>
      </c>
      <c r="E1327" s="14">
        <f>Data!F1327</f>
        <v>972352000000</v>
      </c>
      <c r="F1327" s="14">
        <f>Data!H1327</f>
        <v>276594000000</v>
      </c>
      <c r="G1327" s="12">
        <f t="shared" si="20"/>
        <v>3.5154486359067803</v>
      </c>
    </row>
    <row r="1328" spans="2:7" ht="15" customHeight="1" x14ac:dyDescent="0.3">
      <c r="C1328" s="2"/>
      <c r="D1328" s="8">
        <v>2020</v>
      </c>
      <c r="E1328" s="14">
        <f>Data!F1328</f>
        <v>1285989000000</v>
      </c>
      <c r="F1328" s="14">
        <f>Data!H1328</f>
        <v>307720000000</v>
      </c>
      <c r="G1328" s="12">
        <f t="shared" si="20"/>
        <v>4.1790881320681139</v>
      </c>
    </row>
    <row r="1329" spans="2:7" ht="15" customHeight="1" x14ac:dyDescent="0.3">
      <c r="C1329" s="2"/>
      <c r="D1329" s="8">
        <v>2021</v>
      </c>
      <c r="E1329" s="14">
        <f>Data!F1329</f>
        <v>1306790000000</v>
      </c>
      <c r="F1329" s="14">
        <f>Data!H1329</f>
        <v>272755000000</v>
      </c>
      <c r="G1329" s="12">
        <f t="shared" si="20"/>
        <v>4.7910762405822078</v>
      </c>
    </row>
    <row r="1330" spans="2:7" ht="15" customHeight="1" x14ac:dyDescent="0.3">
      <c r="C1330" s="2"/>
      <c r="D1330" s="8">
        <v>2022</v>
      </c>
      <c r="E1330" s="14">
        <f>Data!F1330</f>
        <v>1022178000000</v>
      </c>
      <c r="F1330" s="14">
        <f>Data!H1330</f>
        <v>371945000000</v>
      </c>
      <c r="G1330" s="12">
        <f t="shared" si="20"/>
        <v>2.7481966419766364</v>
      </c>
    </row>
    <row r="1331" spans="2:7" ht="15" customHeight="1" x14ac:dyDescent="0.3">
      <c r="C1331" s="2"/>
      <c r="D1331" s="8">
        <v>2023</v>
      </c>
      <c r="E1331" s="14">
        <f>Data!F1331</f>
        <v>1663596000000</v>
      </c>
      <c r="F1331" s="14">
        <f>Data!H1331</f>
        <v>657392000000</v>
      </c>
      <c r="G1331" s="12">
        <f t="shared" si="20"/>
        <v>2.5305997030690972</v>
      </c>
    </row>
    <row r="1332" spans="2:7" ht="15" customHeight="1" x14ac:dyDescent="0.3">
      <c r="C1332" s="2"/>
      <c r="D1332" s="8">
        <v>2024</v>
      </c>
      <c r="E1332" s="14">
        <f>Data!F1332</f>
        <v>1613232000000</v>
      </c>
      <c r="F1332" s="14">
        <f>Data!H1332</f>
        <v>464502000000</v>
      </c>
      <c r="G1332" s="12">
        <f t="shared" si="20"/>
        <v>3.4730356381673277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Data!F1333</f>
        <v>0</v>
      </c>
      <c r="F1333" s="14">
        <f>Data!H1333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Data!F1334</f>
        <v>0</v>
      </c>
      <c r="F1334" s="14">
        <f>Data!H1334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Data!F1335</f>
        <v>0</v>
      </c>
      <c r="F1335" s="14">
        <f>Data!H1335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Data!F1336</f>
        <v>0</v>
      </c>
      <c r="F1336" s="14">
        <f>Data!H1336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Data!F1337</f>
        <v>0</v>
      </c>
      <c r="F1337" s="14">
        <f>Data!H1337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Data!F1338</f>
        <v>0</v>
      </c>
      <c r="F1338" s="14">
        <f>Data!H1338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Data!F1339</f>
        <v>0</v>
      </c>
      <c r="F1339" s="14">
        <f>Data!H1339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Data!F1340</f>
        <v>0</v>
      </c>
      <c r="F1340" s="14">
        <f>Data!H1340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Data!F1341</f>
        <v>0</v>
      </c>
      <c r="F1341" s="14">
        <f>Data!H1341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Data!F1342</f>
        <v>0</v>
      </c>
      <c r="F1342" s="14">
        <f>Data!H1342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Data!F1343</f>
        <v>0</v>
      </c>
      <c r="F1343" s="14">
        <f>Data!H1343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Data!F1344</f>
        <v>0</v>
      </c>
      <c r="F1344" s="14">
        <f>Data!H1344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Data!F1345</f>
        <v>0</v>
      </c>
      <c r="F1345" s="14">
        <f>Data!H1345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Data!F1346</f>
        <v>0</v>
      </c>
      <c r="F1346" s="14">
        <f>Data!H1346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Data!F1347</f>
        <v>0</v>
      </c>
      <c r="F1347" s="14">
        <f>Data!H1347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Data!F1348</f>
        <v>0</v>
      </c>
      <c r="F1348" s="14">
        <f>Data!H1348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Data!F1349</f>
        <v>318836108084</v>
      </c>
      <c r="F1349" s="14">
        <f>Data!H1349</f>
        <v>107423127916</v>
      </c>
      <c r="G1349" s="12">
        <f t="shared" si="21"/>
        <v>2.9680396974971286</v>
      </c>
    </row>
    <row r="1350" spans="2:7" ht="15" customHeight="1" x14ac:dyDescent="0.3">
      <c r="C1350" s="2"/>
      <c r="D1350" s="8">
        <v>2020</v>
      </c>
      <c r="E1350" s="14">
        <f>Data!F1350</f>
        <v>358126642601</v>
      </c>
      <c r="F1350" s="14">
        <f>Data!H1350</f>
        <v>182131316020</v>
      </c>
      <c r="G1350" s="12">
        <f t="shared" si="21"/>
        <v>1.9663100801493896</v>
      </c>
    </row>
    <row r="1351" spans="2:7" ht="15" customHeight="1" x14ac:dyDescent="0.3">
      <c r="C1351" s="2"/>
      <c r="D1351" s="8">
        <v>2021</v>
      </c>
      <c r="E1351" s="14">
        <f>Data!F1351</f>
        <v>229516838400</v>
      </c>
      <c r="F1351" s="14">
        <f>Data!H1351</f>
        <v>74574505034</v>
      </c>
      <c r="G1351" s="12">
        <f t="shared" si="21"/>
        <v>3.0776850385444559</v>
      </c>
    </row>
    <row r="1352" spans="2:7" ht="15" customHeight="1" x14ac:dyDescent="0.3">
      <c r="C1352" s="2"/>
      <c r="D1352" s="8">
        <v>2022</v>
      </c>
      <c r="E1352" s="14">
        <f>Data!F1352</f>
        <v>293594468324</v>
      </c>
      <c r="F1352" s="14">
        <f>Data!H1352</f>
        <v>121049138701</v>
      </c>
      <c r="G1352" s="12">
        <f t="shared" si="21"/>
        <v>2.4254155913426136</v>
      </c>
    </row>
    <row r="1353" spans="2:7" ht="15" customHeight="1" x14ac:dyDescent="0.3">
      <c r="C1353" s="2"/>
      <c r="D1353" s="8">
        <v>2023</v>
      </c>
      <c r="E1353" s="14">
        <f>Data!F1353</f>
        <v>696349242160</v>
      </c>
      <c r="F1353" s="14">
        <f>Data!H1353</f>
        <v>197192201191</v>
      </c>
      <c r="G1353" s="12">
        <f t="shared" si="21"/>
        <v>3.5313224252997584</v>
      </c>
    </row>
    <row r="1354" spans="2:7" ht="15" customHeight="1" x14ac:dyDescent="0.3">
      <c r="C1354" s="2"/>
      <c r="D1354" s="8">
        <v>2024</v>
      </c>
      <c r="E1354" s="14">
        <f>Data!F1354</f>
        <v>700926382409</v>
      </c>
      <c r="F1354" s="14">
        <f>Data!H1354</f>
        <v>144745737669</v>
      </c>
      <c r="G1354" s="12">
        <f t="shared" si="21"/>
        <v>4.8424664774023007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Data!F1355</f>
        <v>0</v>
      </c>
      <c r="F1355" s="14">
        <f>Data!H1355</f>
        <v>0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Data!F1356</f>
        <v>501939156091</v>
      </c>
      <c r="F1356" s="14">
        <f>Data!H1356</f>
        <v>68423281852</v>
      </c>
      <c r="G1356" s="12">
        <f t="shared" si="21"/>
        <v>7.3357948128927468</v>
      </c>
    </row>
    <row r="1357" spans="2:7" ht="15" customHeight="1" x14ac:dyDescent="0.3">
      <c r="C1357" s="2"/>
      <c r="D1357" s="8">
        <v>2016</v>
      </c>
      <c r="E1357" s="14">
        <f>Data!F1357</f>
        <v>439228412284</v>
      </c>
      <c r="F1357" s="14">
        <f>Data!H1357</f>
        <v>77197007405</v>
      </c>
      <c r="G1357" s="12">
        <f t="shared" si="21"/>
        <v>5.689707762629558</v>
      </c>
    </row>
    <row r="1358" spans="2:7" ht="15" customHeight="1" x14ac:dyDescent="0.3">
      <c r="C1358" s="2"/>
      <c r="D1358" s="8">
        <v>2017</v>
      </c>
      <c r="E1358" s="14">
        <f>Data!F1358</f>
        <v>548884668955</v>
      </c>
      <c r="F1358" s="14">
        <f>Data!H1358</f>
        <v>62609971818</v>
      </c>
      <c r="G1358" s="12">
        <f t="shared" si="21"/>
        <v>8.766729212888718</v>
      </c>
    </row>
    <row r="1359" spans="2:7" ht="15" customHeight="1" x14ac:dyDescent="0.3">
      <c r="C1359" s="2"/>
      <c r="D1359" s="8">
        <v>2018</v>
      </c>
      <c r="E1359" s="14">
        <f>Data!F1359</f>
        <v>397440000000</v>
      </c>
      <c r="F1359" s="14">
        <f>Data!H1359</f>
        <v>52863000000</v>
      </c>
      <c r="G1359" s="12">
        <f t="shared" si="21"/>
        <v>7.5183020259917148</v>
      </c>
    </row>
    <row r="1360" spans="2:7" ht="15" customHeight="1" x14ac:dyDescent="0.3">
      <c r="C1360" s="2"/>
      <c r="D1360" s="8">
        <v>2019</v>
      </c>
      <c r="E1360" s="14">
        <f>Data!F1360</f>
        <v>262284000000</v>
      </c>
      <c r="F1360" s="14">
        <f>Data!H1360</f>
        <v>59387000000</v>
      </c>
      <c r="G1360" s="12">
        <f t="shared" si="21"/>
        <v>4.4165221344738743</v>
      </c>
    </row>
    <row r="1361" spans="2:7" ht="15" customHeight="1" x14ac:dyDescent="0.3">
      <c r="C1361" s="2"/>
      <c r="D1361" s="8">
        <v>2020</v>
      </c>
      <c r="E1361" s="14">
        <f>Data!F1361</f>
        <v>443607000000</v>
      </c>
      <c r="F1361" s="14">
        <f>Data!H1361</f>
        <v>85537000000</v>
      </c>
      <c r="G1361" s="12">
        <f t="shared" si="21"/>
        <v>5.1861416696868021</v>
      </c>
    </row>
    <row r="1362" spans="2:7" ht="15" customHeight="1" x14ac:dyDescent="0.3">
      <c r="C1362" s="2"/>
      <c r="D1362" s="8">
        <v>2021</v>
      </c>
      <c r="E1362" s="14">
        <f>Data!F1362</f>
        <v>375645000000</v>
      </c>
      <c r="F1362" s="14">
        <f>Data!H1362</f>
        <v>129832000000</v>
      </c>
      <c r="G1362" s="12">
        <f t="shared" si="21"/>
        <v>2.8933159775710147</v>
      </c>
    </row>
    <row r="1363" spans="2:7" ht="15" customHeight="1" x14ac:dyDescent="0.3">
      <c r="C1363" s="2"/>
      <c r="D1363" s="8">
        <v>2022</v>
      </c>
      <c r="E1363" s="14">
        <f>Data!F1363</f>
        <v>716416000000</v>
      </c>
      <c r="F1363" s="14">
        <f>Data!H1363</f>
        <v>169817000000</v>
      </c>
      <c r="G1363" s="12">
        <f t="shared" si="21"/>
        <v>4.2187531283675961</v>
      </c>
    </row>
    <row r="1364" spans="2:7" ht="15" customHeight="1" x14ac:dyDescent="0.3">
      <c r="C1364" s="2"/>
      <c r="D1364" s="8">
        <v>2023</v>
      </c>
      <c r="E1364" s="14">
        <f>Data!F1364</f>
        <v>899353000000</v>
      </c>
      <c r="F1364" s="14">
        <f>Data!H1364</f>
        <v>296257000000</v>
      </c>
      <c r="G1364" s="12">
        <f t="shared" si="21"/>
        <v>3.0357189872306813</v>
      </c>
    </row>
    <row r="1365" spans="2:7" ht="15" customHeight="1" x14ac:dyDescent="0.3">
      <c r="C1365" s="2"/>
      <c r="D1365" s="8">
        <v>2024</v>
      </c>
      <c r="E1365" s="14">
        <f>Data!F1365</f>
        <v>857252000000</v>
      </c>
      <c r="F1365" s="14">
        <f>Data!H1365</f>
        <v>316577000000</v>
      </c>
      <c r="G1365" s="12">
        <f t="shared" si="21"/>
        <v>2.7078783360762153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Data!F1366</f>
        <v>0</v>
      </c>
      <c r="F1366" s="14">
        <f>Data!H1366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Data!F1367</f>
        <v>0</v>
      </c>
      <c r="F1367" s="14">
        <f>Data!H1367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Data!F1368</f>
        <v>0</v>
      </c>
      <c r="F1368" s="14">
        <f>Data!H1368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Data!F1369</f>
        <v>0</v>
      </c>
      <c r="F1369" s="14">
        <f>Data!H1369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Data!F1370</f>
        <v>0</v>
      </c>
      <c r="F1370" s="14">
        <f>Data!H1370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Data!F1371</f>
        <v>0</v>
      </c>
      <c r="F1371" s="14">
        <f>Data!H1371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Data!F1372</f>
        <v>0</v>
      </c>
      <c r="F1372" s="14">
        <f>Data!H1372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Data!F1373</f>
        <v>0</v>
      </c>
      <c r="F1373" s="14">
        <f>Data!H1373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Data!F1374</f>
        <v>0</v>
      </c>
      <c r="F1374" s="14">
        <f>Data!H1374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Data!F1375</f>
        <v>0</v>
      </c>
      <c r="F1375" s="14">
        <f>Data!H1375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Data!F1376</f>
        <v>0</v>
      </c>
      <c r="F1376" s="14">
        <f>Data!H1376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Data!F1377</f>
        <v>0</v>
      </c>
      <c r="F1377" s="14">
        <f>Data!H1377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Data!F1378</f>
        <v>0</v>
      </c>
      <c r="F1378" s="14">
        <f>Data!H1378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Data!F1379</f>
        <v>895317689895</v>
      </c>
      <c r="F1379" s="14">
        <f>Data!H1379</f>
        <v>125214349045</v>
      </c>
      <c r="G1379" s="12">
        <f t="shared" si="21"/>
        <v>7.1502802731756994</v>
      </c>
    </row>
    <row r="1380" spans="2:7" ht="15" customHeight="1" x14ac:dyDescent="0.3">
      <c r="C1380" s="2"/>
      <c r="D1380" s="8">
        <v>2017</v>
      </c>
      <c r="E1380" s="14">
        <f>Data!F1380</f>
        <v>944353276178</v>
      </c>
      <c r="F1380" s="14">
        <f>Data!H1380</f>
        <v>124185744554</v>
      </c>
      <c r="G1380" s="12">
        <f t="shared" si="21"/>
        <v>7.6043613505684178</v>
      </c>
    </row>
    <row r="1381" spans="2:7" ht="15" customHeight="1" x14ac:dyDescent="0.3">
      <c r="C1381" s="2"/>
      <c r="D1381" s="8">
        <v>2018</v>
      </c>
      <c r="E1381" s="14">
        <f>Data!F1381</f>
        <v>1179994550215</v>
      </c>
      <c r="F1381" s="14">
        <f>Data!H1381</f>
        <v>119793149450</v>
      </c>
      <c r="G1381" s="12">
        <f t="shared" si="21"/>
        <v>9.8502673619705892</v>
      </c>
    </row>
    <row r="1382" spans="2:7" ht="15" customHeight="1" x14ac:dyDescent="0.3">
      <c r="C1382" s="2"/>
      <c r="D1382" s="8">
        <v>2019</v>
      </c>
      <c r="E1382" s="14">
        <f>Data!F1382</f>
        <v>1157165564626</v>
      </c>
      <c r="F1382" s="14">
        <f>Data!H1382</f>
        <v>134135872849</v>
      </c>
      <c r="G1382" s="12">
        <f t="shared" si="21"/>
        <v>8.6268165260209653</v>
      </c>
    </row>
    <row r="1383" spans="2:7" ht="15" customHeight="1" x14ac:dyDescent="0.3">
      <c r="C1383" s="2"/>
      <c r="D1383" s="8">
        <v>2020</v>
      </c>
      <c r="E1383" s="14">
        <f>Data!F1383</f>
        <v>1395095376972</v>
      </c>
      <c r="F1383" s="14">
        <f>Data!H1383</f>
        <v>192221679695</v>
      </c>
      <c r="G1383" s="12">
        <f t="shared" si="21"/>
        <v>7.2577420985271344</v>
      </c>
    </row>
    <row r="1384" spans="2:7" ht="15" customHeight="1" x14ac:dyDescent="0.3">
      <c r="C1384" s="2"/>
      <c r="D1384" s="8">
        <v>2021</v>
      </c>
      <c r="E1384" s="14">
        <f>Data!F1384</f>
        <v>1409132646014</v>
      </c>
      <c r="F1384" s="14">
        <f>Data!H1384</f>
        <v>185565438936</v>
      </c>
      <c r="G1384" s="12">
        <f t="shared" si="21"/>
        <v>7.5937235623924471</v>
      </c>
    </row>
    <row r="1385" spans="2:7" ht="15" customHeight="1" x14ac:dyDescent="0.3">
      <c r="C1385" s="2"/>
      <c r="D1385" s="8">
        <v>2022</v>
      </c>
      <c r="E1385" s="14">
        <f>Data!F1385</f>
        <v>1628784804900</v>
      </c>
      <c r="F1385" s="14">
        <f>Data!H1385</f>
        <v>179127901433</v>
      </c>
      <c r="G1385" s="12">
        <f t="shared" si="21"/>
        <v>9.0928593025984927</v>
      </c>
    </row>
    <row r="1386" spans="2:7" ht="15" customHeight="1" x14ac:dyDescent="0.3">
      <c r="C1386" s="2"/>
      <c r="D1386" s="8">
        <v>2023</v>
      </c>
      <c r="E1386" s="14">
        <f>Data!F1386</f>
        <v>1369640025579</v>
      </c>
      <c r="F1386" s="14">
        <f>Data!H1386</f>
        <v>228522158103</v>
      </c>
      <c r="G1386" s="12">
        <f t="shared" si="21"/>
        <v>5.9934670534735321</v>
      </c>
    </row>
    <row r="1387" spans="2:7" ht="15" customHeight="1" x14ac:dyDescent="0.3">
      <c r="C1387" s="2"/>
      <c r="D1387" s="8">
        <v>2024</v>
      </c>
      <c r="E1387" s="14">
        <f>Data!F1387</f>
        <v>1484560450946</v>
      </c>
      <c r="F1387" s="14">
        <f>Data!H1387</f>
        <v>411988350113</v>
      </c>
      <c r="G1387" s="12">
        <f t="shared" si="21"/>
        <v>3.6034039567837666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Data!F1388</f>
        <v>0</v>
      </c>
      <c r="F1388" s="14">
        <f>Data!H1388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Data!F1389</f>
        <v>0</v>
      </c>
      <c r="F1389" s="14">
        <f>Data!H1389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>
        <f>Data!F1390</f>
        <v>129181084708</v>
      </c>
      <c r="F1390" s="14">
        <f>Data!H1390</f>
        <v>161242670434</v>
      </c>
      <c r="G1390" s="12">
        <f t="shared" si="21"/>
        <v>0.80115942238054483</v>
      </c>
    </row>
    <row r="1391" spans="2:7" ht="15" customHeight="1" x14ac:dyDescent="0.3">
      <c r="C1391" s="2"/>
      <c r="D1391" s="8">
        <v>2017</v>
      </c>
      <c r="E1391" s="14">
        <f>Data!F1391</f>
        <v>112101888325</v>
      </c>
      <c r="F1391" s="14">
        <f>Data!H1391</f>
        <v>162798436027</v>
      </c>
      <c r="G1391" s="12">
        <f t="shared" si="21"/>
        <v>0.68859315274016508</v>
      </c>
    </row>
    <row r="1392" spans="2:7" ht="15" customHeight="1" x14ac:dyDescent="0.3">
      <c r="C1392" s="2"/>
      <c r="D1392" s="8">
        <v>2018</v>
      </c>
      <c r="E1392" s="14">
        <f>Data!F1392</f>
        <v>142291774484</v>
      </c>
      <c r="F1392" s="14">
        <f>Data!H1392</f>
        <v>188199261248</v>
      </c>
      <c r="G1392" s="12">
        <f t="shared" si="21"/>
        <v>0.75606978231702349</v>
      </c>
    </row>
    <row r="1393" spans="2:7" ht="15" customHeight="1" x14ac:dyDescent="0.3">
      <c r="C1393" s="2"/>
      <c r="D1393" s="8">
        <v>2019</v>
      </c>
      <c r="E1393" s="14">
        <f>Data!F1393</f>
        <v>240358759286</v>
      </c>
      <c r="F1393" s="14">
        <f>Data!H1393</f>
        <v>289450158711</v>
      </c>
      <c r="G1393" s="12">
        <f t="shared" si="21"/>
        <v>0.8303977456995798</v>
      </c>
    </row>
    <row r="1394" spans="2:7" ht="15" customHeight="1" x14ac:dyDescent="0.3">
      <c r="C1394" s="2"/>
      <c r="D1394" s="8">
        <v>2020</v>
      </c>
      <c r="E1394" s="14">
        <f>Data!F1394</f>
        <v>414255729364</v>
      </c>
      <c r="F1394" s="14">
        <f>Data!H1394</f>
        <v>410346088642</v>
      </c>
      <c r="G1394" s="12">
        <f t="shared" si="21"/>
        <v>1.0095276665970878</v>
      </c>
    </row>
    <row r="1395" spans="2:7" ht="15" customHeight="1" x14ac:dyDescent="0.3">
      <c r="C1395" s="2"/>
      <c r="D1395" s="8">
        <v>2021</v>
      </c>
      <c r="E1395" s="14">
        <f>Data!F1395</f>
        <v>361996076736</v>
      </c>
      <c r="F1395" s="14">
        <f>Data!H1395</f>
        <v>390939931019</v>
      </c>
      <c r="G1395" s="12">
        <f t="shared" si="21"/>
        <v>0.92596342305694701</v>
      </c>
    </row>
    <row r="1396" spans="2:7" ht="15" customHeight="1" x14ac:dyDescent="0.3">
      <c r="C1396" s="2"/>
      <c r="D1396" s="8">
        <v>2022</v>
      </c>
      <c r="E1396" s="14">
        <f>Data!F1396</f>
        <v>651938292154</v>
      </c>
      <c r="F1396" s="14">
        <f>Data!H1396</f>
        <v>743554380337</v>
      </c>
      <c r="G1396" s="12">
        <f t="shared" si="21"/>
        <v>0.87678629753821502</v>
      </c>
    </row>
    <row r="1397" spans="2:7" ht="15" customHeight="1" x14ac:dyDescent="0.3">
      <c r="C1397" s="2"/>
      <c r="D1397" s="8">
        <v>2023</v>
      </c>
      <c r="E1397" s="14">
        <f>Data!F1397</f>
        <v>1142385038315</v>
      </c>
      <c r="F1397" s="14">
        <f>Data!H1397</f>
        <v>1335373820430</v>
      </c>
      <c r="G1397" s="12">
        <f t="shared" si="21"/>
        <v>0.855479582449163</v>
      </c>
    </row>
    <row r="1398" spans="2:7" ht="15" customHeight="1" x14ac:dyDescent="0.3">
      <c r="C1398" s="2"/>
      <c r="D1398" s="8">
        <v>2024</v>
      </c>
      <c r="E1398" s="14">
        <f>Data!F1398</f>
        <v>2003301893429</v>
      </c>
      <c r="F1398" s="14">
        <f>Data!H1398</f>
        <v>2193903042948</v>
      </c>
      <c r="G1398" s="12">
        <f t="shared" si="21"/>
        <v>0.91312234597984576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Data!F1399</f>
        <v>0</v>
      </c>
      <c r="F1399" s="14">
        <f>Data!H1399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Data!F1400</f>
        <v>0</v>
      </c>
      <c r="F1400" s="14">
        <f>Data!H1400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Data!F1401</f>
        <v>0</v>
      </c>
      <c r="F1401" s="14">
        <f>Data!H1401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Data!F1402</f>
        <v>0</v>
      </c>
      <c r="F1402" s="14">
        <f>Data!H1402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Data!F1403</f>
        <v>169814000000</v>
      </c>
      <c r="F1403" s="14">
        <f>Data!H1403</f>
        <v>56857000000</v>
      </c>
      <c r="G1403" s="12">
        <f t="shared" si="21"/>
        <v>2.986685896195719</v>
      </c>
    </row>
    <row r="1404" spans="2:7" ht="15" customHeight="1" x14ac:dyDescent="0.3">
      <c r="C1404" s="2"/>
      <c r="D1404" s="8">
        <v>2019</v>
      </c>
      <c r="E1404" s="14">
        <f>Data!F1404</f>
        <v>302918000000</v>
      </c>
      <c r="F1404" s="14">
        <f>Data!H1404</f>
        <v>65076000000</v>
      </c>
      <c r="G1404" s="12">
        <f t="shared" si="21"/>
        <v>4.6548343475321161</v>
      </c>
    </row>
    <row r="1405" spans="2:7" ht="15" customHeight="1" x14ac:dyDescent="0.3">
      <c r="C1405" s="2"/>
      <c r="D1405" s="8">
        <v>2020</v>
      </c>
      <c r="E1405" s="14">
        <f>Data!F1405</f>
        <v>326297000000</v>
      </c>
      <c r="F1405" s="14">
        <f>Data!H1405</f>
        <v>64119000000</v>
      </c>
      <c r="G1405" s="12">
        <f t="shared" si="21"/>
        <v>5.0889283987585587</v>
      </c>
    </row>
    <row r="1406" spans="2:7" ht="15" customHeight="1" x14ac:dyDescent="0.3">
      <c r="C1406" s="2"/>
      <c r="D1406" s="8">
        <v>2021</v>
      </c>
      <c r="E1406" s="14">
        <f>Data!F1406</f>
        <v>351769000000</v>
      </c>
      <c r="F1406" s="14">
        <f>Data!H1406</f>
        <v>80860000000</v>
      </c>
      <c r="G1406" s="12">
        <f t="shared" si="21"/>
        <v>4.3503462775166959</v>
      </c>
    </row>
    <row r="1407" spans="2:7" ht="15" customHeight="1" x14ac:dyDescent="0.3">
      <c r="C1407" s="2"/>
      <c r="D1407" s="8">
        <v>2022</v>
      </c>
      <c r="E1407" s="14">
        <f>Data!F1407</f>
        <v>456974000000</v>
      </c>
      <c r="F1407" s="14">
        <f>Data!H1407</f>
        <v>53685000000</v>
      </c>
      <c r="G1407" s="12">
        <f t="shared" si="21"/>
        <v>8.5121356058489344</v>
      </c>
    </row>
    <row r="1408" spans="2:7" ht="15" customHeight="1" x14ac:dyDescent="0.3">
      <c r="C1408" s="2"/>
      <c r="D1408" s="8">
        <v>2023</v>
      </c>
      <c r="E1408" s="14">
        <f>Data!F1408</f>
        <v>539883000000</v>
      </c>
      <c r="F1408" s="14">
        <f>Data!H1408</f>
        <v>70359000000</v>
      </c>
      <c r="G1408" s="12">
        <f t="shared" si="21"/>
        <v>7.6732614164499209</v>
      </c>
    </row>
    <row r="1409" spans="2:7" ht="15" customHeight="1" x14ac:dyDescent="0.3">
      <c r="C1409" s="2"/>
      <c r="D1409" s="8">
        <v>2024</v>
      </c>
      <c r="E1409" s="14">
        <f>Data!F1409</f>
        <v>322963000000</v>
      </c>
      <c r="F1409" s="14">
        <f>Data!H1409</f>
        <v>32499000000</v>
      </c>
      <c r="G1409" s="12">
        <f t="shared" si="21"/>
        <v>9.9376288501184646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Data!F1410</f>
        <v>0</v>
      </c>
      <c r="F1410" s="14">
        <f>Data!H1410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>
        <f>Data!F1411</f>
        <v>165507000000</v>
      </c>
      <c r="F1411" s="14">
        <f>Data!H1411</f>
        <v>70020000000</v>
      </c>
      <c r="G1411" s="12">
        <f t="shared" ref="G1411:G1474" si="22">IFERROR(E1411/F1411,0)</f>
        <v>2.3637103684661525</v>
      </c>
    </row>
    <row r="1412" spans="2:7" ht="15" customHeight="1" x14ac:dyDescent="0.3">
      <c r="C1412" s="2"/>
      <c r="D1412" s="8">
        <v>2016</v>
      </c>
      <c r="E1412" s="14">
        <f>Data!F1412</f>
        <v>216060000000</v>
      </c>
      <c r="F1412" s="14">
        <f>Data!H1412</f>
        <v>48073000000</v>
      </c>
      <c r="G1412" s="12">
        <f t="shared" si="22"/>
        <v>4.4944147442431301</v>
      </c>
    </row>
    <row r="1413" spans="2:7" ht="15" customHeight="1" x14ac:dyDescent="0.3">
      <c r="C1413" s="2"/>
      <c r="D1413" s="8">
        <v>2017</v>
      </c>
      <c r="E1413" s="14">
        <f>Data!F1413</f>
        <v>357371000000</v>
      </c>
      <c r="F1413" s="14">
        <f>Data!H1413</f>
        <v>124492000000</v>
      </c>
      <c r="G1413" s="12">
        <f t="shared" si="22"/>
        <v>2.8706342576229797</v>
      </c>
    </row>
    <row r="1414" spans="2:7" ht="15" customHeight="1" x14ac:dyDescent="0.3">
      <c r="C1414" s="2"/>
      <c r="D1414" s="8">
        <v>2018</v>
      </c>
      <c r="E1414" s="14">
        <f>Data!F1414</f>
        <v>231190000000</v>
      </c>
      <c r="F1414" s="14">
        <f>Data!H1414</f>
        <v>29897000000</v>
      </c>
      <c r="G1414" s="12">
        <f t="shared" si="22"/>
        <v>7.7328828979496267</v>
      </c>
    </row>
    <row r="1415" spans="2:7" ht="15" customHeight="1" x14ac:dyDescent="0.3">
      <c r="C1415" s="2"/>
      <c r="D1415" s="8">
        <v>2019</v>
      </c>
      <c r="E1415" s="14">
        <f>Data!F1415</f>
        <v>297583000000</v>
      </c>
      <c r="F1415" s="14">
        <f>Data!H1415</f>
        <v>57125000000</v>
      </c>
      <c r="G1415" s="12">
        <f t="shared" si="22"/>
        <v>5.2093304157549234</v>
      </c>
    </row>
    <row r="1416" spans="2:7" ht="15" customHeight="1" x14ac:dyDescent="0.3">
      <c r="C1416" s="2"/>
      <c r="D1416" s="8">
        <v>2020</v>
      </c>
      <c r="E1416" s="14">
        <f>Data!F1416</f>
        <v>288434000000</v>
      </c>
      <c r="F1416" s="14">
        <f>Data!H1416</f>
        <v>39724000000</v>
      </c>
      <c r="G1416" s="12">
        <f t="shared" si="22"/>
        <v>7.2609505588561074</v>
      </c>
    </row>
    <row r="1417" spans="2:7" ht="15" customHeight="1" x14ac:dyDescent="0.3">
      <c r="C1417" s="2"/>
      <c r="D1417" s="8">
        <v>2021</v>
      </c>
      <c r="E1417" s="14">
        <f>Data!F1417</f>
        <v>307807000000</v>
      </c>
      <c r="F1417" s="14">
        <f>Data!H1417</f>
        <v>40059000000</v>
      </c>
      <c r="G1417" s="12">
        <f t="shared" si="22"/>
        <v>7.6838413340323024</v>
      </c>
    </row>
    <row r="1418" spans="2:7" ht="15" customHeight="1" x14ac:dyDescent="0.3">
      <c r="C1418" s="2"/>
      <c r="D1418" s="8">
        <v>2022</v>
      </c>
      <c r="E1418" s="14">
        <f>Data!F1418</f>
        <v>319843000000</v>
      </c>
      <c r="F1418" s="14">
        <f>Data!H1418</f>
        <v>73568000000</v>
      </c>
      <c r="G1418" s="12">
        <f t="shared" si="22"/>
        <v>4.3475831883427576</v>
      </c>
    </row>
    <row r="1419" spans="2:7" ht="15" customHeight="1" x14ac:dyDescent="0.3">
      <c r="C1419" s="2"/>
      <c r="D1419" s="8">
        <v>2023</v>
      </c>
      <c r="E1419" s="14">
        <f>Data!F1419</f>
        <v>392745000000</v>
      </c>
      <c r="F1419" s="14">
        <f>Data!H1419</f>
        <v>63803000000</v>
      </c>
      <c r="G1419" s="12">
        <f t="shared" si="22"/>
        <v>6.1555882952212277</v>
      </c>
    </row>
    <row r="1420" spans="2:7" ht="15" customHeight="1" x14ac:dyDescent="0.3">
      <c r="C1420" s="2"/>
      <c r="D1420" s="8">
        <v>2024</v>
      </c>
      <c r="E1420" s="14">
        <f>Data!F1420</f>
        <v>290786000000</v>
      </c>
      <c r="F1420" s="14">
        <f>Data!H1420</f>
        <v>88414000000</v>
      </c>
      <c r="G1420" s="12">
        <f t="shared" si="22"/>
        <v>3.2889135204831814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Data!F1421</f>
        <v>0</v>
      </c>
      <c r="F1421" s="14">
        <f>Data!H1421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Data!F1422</f>
        <v>0</v>
      </c>
      <c r="F1422" s="14">
        <f>Data!H1422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Data!F1423</f>
        <v>0</v>
      </c>
      <c r="F1423" s="14">
        <f>Data!H1423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Data!F1424</f>
        <v>0</v>
      </c>
      <c r="F1424" s="14">
        <f>Data!H1424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Data!F1425</f>
        <v>0</v>
      </c>
      <c r="F1425" s="14">
        <f>Data!H1425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Data!F1426</f>
        <v>473019000000</v>
      </c>
      <c r="F1426" s="14">
        <f>Data!H1426</f>
        <v>117985000000</v>
      </c>
      <c r="G1426" s="12">
        <f t="shared" si="22"/>
        <v>4.0091452303258892</v>
      </c>
    </row>
    <row r="1427" spans="2:7" ht="15" customHeight="1" x14ac:dyDescent="0.3">
      <c r="C1427" s="2"/>
      <c r="D1427" s="8">
        <v>2020</v>
      </c>
      <c r="E1427" s="14">
        <f>Data!F1427</f>
        <v>391022000000</v>
      </c>
      <c r="F1427" s="14">
        <f>Data!H1427</f>
        <v>48896000000</v>
      </c>
      <c r="G1427" s="12">
        <f t="shared" si="22"/>
        <v>7.9970140706806285</v>
      </c>
    </row>
    <row r="1428" spans="2:7" ht="15" customHeight="1" x14ac:dyDescent="0.3">
      <c r="C1428" s="2"/>
      <c r="D1428" s="8">
        <v>2021</v>
      </c>
      <c r="E1428" s="14">
        <f>Data!F1428</f>
        <v>465893000000</v>
      </c>
      <c r="F1428" s="14">
        <f>Data!H1428</f>
        <v>43549000000</v>
      </c>
      <c r="G1428" s="12">
        <f t="shared" si="22"/>
        <v>10.698133137385474</v>
      </c>
    </row>
    <row r="1429" spans="2:7" ht="15" customHeight="1" x14ac:dyDescent="0.3">
      <c r="C1429" s="2"/>
      <c r="D1429" s="8">
        <v>2022</v>
      </c>
      <c r="E1429" s="14">
        <f>Data!F1429</f>
        <v>326317000000</v>
      </c>
      <c r="F1429" s="14">
        <f>Data!H1429</f>
        <v>28623000000</v>
      </c>
      <c r="G1429" s="12">
        <f t="shared" si="22"/>
        <v>11.400517066694617</v>
      </c>
    </row>
    <row r="1430" spans="2:7" ht="15" customHeight="1" x14ac:dyDescent="0.3">
      <c r="C1430" s="2"/>
      <c r="D1430" s="8">
        <v>2023</v>
      </c>
      <c r="E1430" s="14">
        <f>Data!F1430</f>
        <v>314288000000</v>
      </c>
      <c r="F1430" s="14">
        <f>Data!H1430</f>
        <v>43141000000</v>
      </c>
      <c r="G1430" s="12">
        <f t="shared" si="22"/>
        <v>7.2851347905704547</v>
      </c>
    </row>
    <row r="1431" spans="2:7" ht="15" customHeight="1" x14ac:dyDescent="0.3">
      <c r="C1431" s="2"/>
      <c r="D1431" s="8">
        <v>2024</v>
      </c>
      <c r="E1431" s="14">
        <f>Data!F1431</f>
        <v>302828000000</v>
      </c>
      <c r="F1431" s="14">
        <f>Data!H1431</f>
        <v>26900000000</v>
      </c>
      <c r="G1431" s="12">
        <f t="shared" si="22"/>
        <v>11.257546468401488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Data!F1432</f>
        <v>0</v>
      </c>
      <c r="F1432" s="14">
        <f>Data!H1432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Data!F1433</f>
        <v>881060000000</v>
      </c>
      <c r="F1433" s="14">
        <f>Data!H1433</f>
        <v>320336000000</v>
      </c>
      <c r="G1433" s="12">
        <f t="shared" si="22"/>
        <v>2.7504245542180712</v>
      </c>
    </row>
    <row r="1434" spans="2:7" ht="15" customHeight="1" x14ac:dyDescent="0.3">
      <c r="C1434" s="2"/>
      <c r="D1434" s="8">
        <v>2016</v>
      </c>
      <c r="E1434" s="14">
        <f>Data!F1434</f>
        <v>1118280000000</v>
      </c>
      <c r="F1434" s="14">
        <f>Data!H1434</f>
        <v>336452000000</v>
      </c>
      <c r="G1434" s="12">
        <f t="shared" si="22"/>
        <v>3.3237430599312829</v>
      </c>
    </row>
    <row r="1435" spans="2:7" ht="15" customHeight="1" x14ac:dyDescent="0.3">
      <c r="C1435" s="2"/>
      <c r="D1435" s="8">
        <v>2017</v>
      </c>
      <c r="E1435" s="14">
        <f>Data!F1435</f>
        <v>1125786000000</v>
      </c>
      <c r="F1435" s="14">
        <f>Data!H1435</f>
        <v>507943000000</v>
      </c>
      <c r="G1435" s="12">
        <f t="shared" si="22"/>
        <v>2.2163628596122007</v>
      </c>
    </row>
    <row r="1436" spans="2:7" ht="15" customHeight="1" x14ac:dyDescent="0.3">
      <c r="C1436" s="2"/>
      <c r="D1436" s="8">
        <v>2018</v>
      </c>
      <c r="E1436" s="14">
        <f>Data!F1436</f>
        <v>1277731000000</v>
      </c>
      <c r="F1436" s="14">
        <f>Data!H1436</f>
        <v>590480000000</v>
      </c>
      <c r="G1436" s="12">
        <f t="shared" si="22"/>
        <v>2.1638853136431377</v>
      </c>
    </row>
    <row r="1437" spans="2:7" ht="15" customHeight="1" x14ac:dyDescent="0.3">
      <c r="C1437" s="2"/>
      <c r="D1437" s="8">
        <v>2019</v>
      </c>
      <c r="E1437" s="14">
        <f>Data!F1437</f>
        <v>1675663000000</v>
      </c>
      <c r="F1437" s="14">
        <f>Data!H1437</f>
        <v>722236000000</v>
      </c>
      <c r="G1437" s="12">
        <f t="shared" si="22"/>
        <v>2.320104508775525</v>
      </c>
    </row>
    <row r="1438" spans="2:7" ht="15" customHeight="1" x14ac:dyDescent="0.3">
      <c r="C1438" s="2"/>
      <c r="D1438" s="8">
        <v>2020</v>
      </c>
      <c r="E1438" s="14">
        <f>Data!F1438</f>
        <v>1985278000000</v>
      </c>
      <c r="F1438" s="14">
        <f>Data!H1438</f>
        <v>778127000000</v>
      </c>
      <c r="G1438" s="12">
        <f t="shared" si="22"/>
        <v>2.5513547274416646</v>
      </c>
    </row>
    <row r="1439" spans="2:7" ht="15" customHeight="1" x14ac:dyDescent="0.3">
      <c r="C1439" s="2"/>
      <c r="D1439" s="8">
        <v>2021</v>
      </c>
      <c r="E1439" s="14">
        <f>Data!F1439</f>
        <v>1795411000000</v>
      </c>
      <c r="F1439" s="14">
        <f>Data!H1439</f>
        <v>772513000000</v>
      </c>
      <c r="G1439" s="12">
        <f t="shared" si="22"/>
        <v>2.3241175229413615</v>
      </c>
    </row>
    <row r="1440" spans="2:7" ht="15" customHeight="1" x14ac:dyDescent="0.3">
      <c r="C1440" s="2"/>
      <c r="D1440" s="8">
        <v>2022</v>
      </c>
      <c r="E1440" s="14">
        <f>Data!F1440</f>
        <v>2162101000000</v>
      </c>
      <c r="F1440" s="14">
        <f>Data!H1440</f>
        <v>1001588000000</v>
      </c>
      <c r="G1440" s="12">
        <f t="shared" si="22"/>
        <v>2.1586730272327546</v>
      </c>
    </row>
    <row r="1441" spans="2:7" ht="15" customHeight="1" x14ac:dyDescent="0.3">
      <c r="C1441" s="2"/>
      <c r="D1441" s="8">
        <v>2023</v>
      </c>
      <c r="E1441" s="14">
        <f>Data!F1441</f>
        <v>1700474000000</v>
      </c>
      <c r="F1441" s="14">
        <f>Data!H1441</f>
        <v>753772000000</v>
      </c>
      <c r="G1441" s="12">
        <f t="shared" si="22"/>
        <v>2.2559527284112435</v>
      </c>
    </row>
    <row r="1442" spans="2:7" ht="15" customHeight="1" x14ac:dyDescent="0.3">
      <c r="C1442" s="2"/>
      <c r="D1442" s="8">
        <v>2024</v>
      </c>
      <c r="E1442" s="14">
        <f>Data!F1442</f>
        <v>1800402000000</v>
      </c>
      <c r="F1442" s="14">
        <f>Data!H1442</f>
        <v>1211496000000</v>
      </c>
      <c r="G1442" s="12">
        <f t="shared" si="22"/>
        <v>1.4860981794409556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Data!F1443</f>
        <v>0</v>
      </c>
      <c r="F1443" s="14">
        <f>Data!H1443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Data!F1444</f>
        <v>0</v>
      </c>
      <c r="F1444" s="14">
        <f>Data!H1444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Data!F1445</f>
        <v>186629000000</v>
      </c>
      <c r="F1445" s="14">
        <f>Data!H1445</f>
        <v>57351000000</v>
      </c>
      <c r="G1445" s="12">
        <f t="shared" si="22"/>
        <v>3.2541542431692561</v>
      </c>
    </row>
    <row r="1446" spans="2:7" ht="15" customHeight="1" x14ac:dyDescent="0.3">
      <c r="C1446" s="2"/>
      <c r="D1446" s="8">
        <v>2017</v>
      </c>
      <c r="E1446" s="14">
        <f>Data!F1446</f>
        <v>182592000000</v>
      </c>
      <c r="F1446" s="14">
        <f>Data!H1446</f>
        <v>57654000000</v>
      </c>
      <c r="G1446" s="12">
        <f t="shared" si="22"/>
        <v>3.1670309085232593</v>
      </c>
    </row>
    <row r="1447" spans="2:7" ht="15" customHeight="1" x14ac:dyDescent="0.3">
      <c r="C1447" s="2"/>
      <c r="D1447" s="8">
        <v>2018</v>
      </c>
      <c r="E1447" s="14">
        <f>Data!F1447</f>
        <v>223998000000</v>
      </c>
      <c r="F1447" s="14">
        <f>Data!H1447</f>
        <v>70734000000</v>
      </c>
      <c r="G1447" s="12">
        <f t="shared" si="22"/>
        <v>3.1667656289761643</v>
      </c>
    </row>
    <row r="1448" spans="2:7" ht="15" customHeight="1" x14ac:dyDescent="0.3">
      <c r="C1448" s="2"/>
      <c r="D1448" s="8">
        <v>2019</v>
      </c>
      <c r="E1448" s="14">
        <f>Data!F1448</f>
        <v>256471000000</v>
      </c>
      <c r="F1448" s="14">
        <f>Data!H1448</f>
        <v>82558000000</v>
      </c>
      <c r="G1448" s="12">
        <f t="shared" si="22"/>
        <v>3.1065553913612249</v>
      </c>
    </row>
    <row r="1449" spans="2:7" ht="15" customHeight="1" x14ac:dyDescent="0.3">
      <c r="C1449" s="2"/>
      <c r="D1449" s="8">
        <v>2020</v>
      </c>
      <c r="E1449" s="14">
        <f>Data!F1449</f>
        <v>398984000000</v>
      </c>
      <c r="F1449" s="14">
        <f>Data!H1449</f>
        <v>106386000000</v>
      </c>
      <c r="G1449" s="12">
        <f t="shared" si="22"/>
        <v>3.7503430902562367</v>
      </c>
    </row>
    <row r="1450" spans="2:7" ht="15" customHeight="1" x14ac:dyDescent="0.3">
      <c r="C1450" s="2"/>
      <c r="D1450" s="8">
        <v>2021</v>
      </c>
      <c r="E1450" s="14">
        <f>Data!F1450</f>
        <v>562672000000</v>
      </c>
      <c r="F1450" s="14">
        <f>Data!H1450</f>
        <v>170365000000</v>
      </c>
      <c r="G1450" s="12">
        <f t="shared" si="22"/>
        <v>3.3027441082381945</v>
      </c>
    </row>
    <row r="1451" spans="2:7" ht="15" customHeight="1" x14ac:dyDescent="0.3">
      <c r="C1451" s="2"/>
      <c r="D1451" s="8">
        <v>2022</v>
      </c>
      <c r="E1451" s="14">
        <f>Data!F1451</f>
        <v>507381000000</v>
      </c>
      <c r="F1451" s="14">
        <f>Data!H1451</f>
        <v>144528000000</v>
      </c>
      <c r="G1451" s="12">
        <f t="shared" si="22"/>
        <v>3.510606941215543</v>
      </c>
    </row>
    <row r="1452" spans="2:7" ht="15" customHeight="1" x14ac:dyDescent="0.3">
      <c r="C1452" s="2"/>
      <c r="D1452" s="8">
        <v>2023</v>
      </c>
      <c r="E1452" s="14">
        <f>Data!F1452</f>
        <v>588792000000</v>
      </c>
      <c r="F1452" s="14">
        <f>Data!H1452</f>
        <v>243714000000</v>
      </c>
      <c r="G1452" s="12">
        <f t="shared" si="22"/>
        <v>2.4159137349516238</v>
      </c>
    </row>
    <row r="1453" spans="2:7" ht="15" customHeight="1" x14ac:dyDescent="0.3">
      <c r="C1453" s="2"/>
      <c r="D1453" s="8">
        <v>2024</v>
      </c>
      <c r="E1453" s="14">
        <f>Data!F1453</f>
        <v>412101000000</v>
      </c>
      <c r="F1453" s="14">
        <f>Data!H1453</f>
        <v>109169000000</v>
      </c>
      <c r="G1453" s="12">
        <f t="shared" si="22"/>
        <v>3.77489030768808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Data!F1454</f>
        <v>0</v>
      </c>
      <c r="F1454" s="14">
        <f>Data!H1454</f>
        <v>0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Data!F1455</f>
        <v>39898707262</v>
      </c>
      <c r="F1455" s="14">
        <f>Data!H1455</f>
        <v>12834962871</v>
      </c>
      <c r="G1455" s="12">
        <f t="shared" si="22"/>
        <v>3.1085954562556055</v>
      </c>
    </row>
    <row r="1456" spans="2:7" ht="15" customHeight="1" x14ac:dyDescent="0.3">
      <c r="C1456" s="1"/>
      <c r="D1456" s="8">
        <v>2016</v>
      </c>
      <c r="E1456" s="14">
        <f>Data!F1456</f>
        <v>59762246874</v>
      </c>
      <c r="F1456" s="14">
        <f>Data!H1456</f>
        <v>19776400996</v>
      </c>
      <c r="G1456" s="12">
        <f t="shared" si="22"/>
        <v>3.0218970016884055</v>
      </c>
    </row>
    <row r="1457" spans="2:7" ht="15" customHeight="1" x14ac:dyDescent="0.3">
      <c r="C1457" s="1"/>
      <c r="D1457" s="8">
        <v>2017</v>
      </c>
      <c r="E1457" s="14">
        <f>Data!F1457</f>
        <v>53451632502</v>
      </c>
      <c r="F1457" s="14">
        <f>Data!H1457</f>
        <v>10324939192</v>
      </c>
      <c r="G1457" s="12">
        <f t="shared" si="22"/>
        <v>5.1769440485824409</v>
      </c>
    </row>
    <row r="1458" spans="2:7" ht="15" customHeight="1" x14ac:dyDescent="0.3">
      <c r="C1458" s="1"/>
      <c r="D1458" s="8">
        <v>2018</v>
      </c>
      <c r="E1458" s="14">
        <f>Data!F1458</f>
        <v>70744222370</v>
      </c>
      <c r="F1458" s="14">
        <f>Data!H1458</f>
        <v>17354538655</v>
      </c>
      <c r="G1458" s="12">
        <f t="shared" si="22"/>
        <v>4.0764104293615402</v>
      </c>
    </row>
    <row r="1459" spans="2:7" ht="15" customHeight="1" x14ac:dyDescent="0.3">
      <c r="C1459" s="1"/>
      <c r="D1459" s="8">
        <v>2019</v>
      </c>
      <c r="E1459" s="14">
        <f>Data!F1459</f>
        <v>89149527138</v>
      </c>
      <c r="F1459" s="14">
        <f>Data!H1459</f>
        <v>21767693289</v>
      </c>
      <c r="G1459" s="12">
        <f t="shared" si="22"/>
        <v>4.095497210218892</v>
      </c>
    </row>
    <row r="1460" spans="2:7" ht="15" customHeight="1" x14ac:dyDescent="0.3">
      <c r="C1460" s="1"/>
      <c r="D1460" s="8">
        <v>2020</v>
      </c>
      <c r="E1460" s="14">
        <f>Data!F1460</f>
        <v>138815072577</v>
      </c>
      <c r="F1460" s="14">
        <f>Data!H1460</f>
        <v>52725666469</v>
      </c>
      <c r="G1460" s="12">
        <f t="shared" si="22"/>
        <v>2.6327798560614908</v>
      </c>
    </row>
    <row r="1461" spans="2:7" ht="15" customHeight="1" x14ac:dyDescent="0.3">
      <c r="C1461" s="1"/>
      <c r="D1461" s="8">
        <v>2021</v>
      </c>
      <c r="E1461" s="14">
        <f>Data!F1461</f>
        <v>113146407055</v>
      </c>
      <c r="F1461" s="14">
        <f>Data!H1461</f>
        <v>35457622256</v>
      </c>
      <c r="G1461" s="12">
        <f t="shared" si="22"/>
        <v>3.191031994139252</v>
      </c>
    </row>
    <row r="1462" spans="2:7" ht="15" customHeight="1" x14ac:dyDescent="0.3">
      <c r="C1462" s="1"/>
      <c r="D1462" s="8">
        <v>2022</v>
      </c>
      <c r="E1462" s="14">
        <f>Data!F1462</f>
        <v>98785150128</v>
      </c>
      <c r="F1462" s="14">
        <f>Data!H1462</f>
        <v>33484760572</v>
      </c>
      <c r="G1462" s="12">
        <f t="shared" si="22"/>
        <v>2.9501525004364004</v>
      </c>
    </row>
    <row r="1463" spans="2:7" ht="15" customHeight="1" x14ac:dyDescent="0.3">
      <c r="C1463" s="1"/>
      <c r="D1463" s="8">
        <v>2023</v>
      </c>
      <c r="E1463" s="14">
        <f>Data!F1463</f>
        <v>77505169135</v>
      </c>
      <c r="F1463" s="14">
        <f>Data!H1463</f>
        <v>27225512194</v>
      </c>
      <c r="G1463" s="12">
        <f t="shared" si="22"/>
        <v>2.8467846107990105</v>
      </c>
    </row>
    <row r="1464" spans="2:7" ht="15" customHeight="1" x14ac:dyDescent="0.3">
      <c r="C1464" s="1"/>
      <c r="D1464" s="8">
        <v>2024</v>
      </c>
      <c r="E1464" s="14">
        <f>Data!F1464</f>
        <v>76076170724</v>
      </c>
      <c r="F1464" s="14">
        <f>Data!H1464</f>
        <v>34649582666</v>
      </c>
      <c r="G1464" s="12">
        <f t="shared" si="22"/>
        <v>2.1955869268996984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Data!F1465</f>
        <v>0</v>
      </c>
      <c r="F1465" s="14">
        <f>Data!H1465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Data!F1466</f>
        <v>0</v>
      </c>
      <c r="F1466" s="14">
        <f>Data!H1466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Data!F1467</f>
        <v>0</v>
      </c>
      <c r="F1467" s="14">
        <f>Data!H1467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Data!F1468</f>
        <v>0</v>
      </c>
      <c r="F1468" s="14">
        <f>Data!H1468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Data!F1469</f>
        <v>0</v>
      </c>
      <c r="F1469" s="14">
        <f>Data!H1469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Data!F1470</f>
        <v>0</v>
      </c>
      <c r="F1470" s="14">
        <f>Data!H1470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>
        <f>Data!F1471</f>
        <v>3478445000000</v>
      </c>
      <c r="F1471" s="14">
        <f>Data!H1471</f>
        <v>853364000000</v>
      </c>
      <c r="G1471" s="12">
        <f t="shared" si="22"/>
        <v>4.0761562475098554</v>
      </c>
    </row>
    <row r="1472" spans="2:7" ht="15" customHeight="1" x14ac:dyDescent="0.3">
      <c r="C1472" s="2"/>
      <c r="D1472" s="8">
        <v>2021</v>
      </c>
      <c r="E1472" s="14">
        <f>Data!F1472</f>
        <v>3343819000000</v>
      </c>
      <c r="F1472" s="14">
        <f>Data!H1472</f>
        <v>1509040000000</v>
      </c>
      <c r="G1472" s="12">
        <f t="shared" si="22"/>
        <v>2.2158584265493295</v>
      </c>
    </row>
    <row r="1473" spans="1:7" ht="15" customHeight="1" x14ac:dyDescent="0.3">
      <c r="C1473" s="2"/>
      <c r="D1473" s="8">
        <v>2022</v>
      </c>
      <c r="E1473" s="14">
        <f>Data!F1473</f>
        <v>3363932000000</v>
      </c>
      <c r="F1473" s="14">
        <f>Data!H1473</f>
        <v>652457000000</v>
      </c>
      <c r="G1473" s="12">
        <f t="shared" si="22"/>
        <v>5.1557911096056905</v>
      </c>
    </row>
    <row r="1474" spans="1:7" ht="15" customHeight="1" x14ac:dyDescent="0.3">
      <c r="C1474" s="2"/>
      <c r="D1474" s="8">
        <v>2023</v>
      </c>
      <c r="E1474" s="14">
        <f>Data!F1474</f>
        <v>3015030000000</v>
      </c>
      <c r="F1474" s="14">
        <f>Data!H1474</f>
        <v>620423000000</v>
      </c>
      <c r="G1474" s="12">
        <f t="shared" si="22"/>
        <v>4.8596360869922615</v>
      </c>
    </row>
    <row r="1475" spans="1:7" ht="15" customHeight="1" x14ac:dyDescent="0.3">
      <c r="C1475" s="2"/>
      <c r="D1475" s="8">
        <v>2024</v>
      </c>
      <c r="E1475" s="14">
        <f>Data!F1475</f>
        <v>2849158000000</v>
      </c>
      <c r="F1475" s="14">
        <f>Data!H1475</f>
        <v>706302000000</v>
      </c>
      <c r="G1475" s="12">
        <f t="shared" ref="G1475:G1538" si="23">IFERROR(E1475/F1475,0)</f>
        <v>4.0339090077615527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Data!F1476</f>
        <v>0</v>
      </c>
      <c r="F1476" s="14">
        <f>Data!H1476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Data!F1477</f>
        <v>0</v>
      </c>
      <c r="F1477" s="14">
        <f>Data!H1477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Data!F1478</f>
        <v>0</v>
      </c>
      <c r="F1478" s="14">
        <f>Data!H1478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Data!F1479</f>
        <v>0</v>
      </c>
      <c r="F1479" s="14">
        <f>Data!H1479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Data!F1480</f>
        <v>0</v>
      </c>
      <c r="F1480" s="14">
        <f>Data!H1480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Data!F1481</f>
        <v>0</v>
      </c>
      <c r="F1481" s="14">
        <f>Data!H1481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Data!F1482</f>
        <v>1121867000000</v>
      </c>
      <c r="F1482" s="14">
        <f>Data!H1482</f>
        <v>277910000000</v>
      </c>
      <c r="G1482" s="12">
        <f t="shared" si="23"/>
        <v>4.0367996833507247</v>
      </c>
    </row>
    <row r="1483" spans="1:7" ht="15" customHeight="1" x14ac:dyDescent="0.3">
      <c r="C1483" s="1"/>
      <c r="D1483" s="8">
        <v>2021</v>
      </c>
      <c r="E1483" s="14">
        <f>Data!F1483</f>
        <v>451787000000</v>
      </c>
      <c r="F1483" s="14">
        <f>Data!H1483</f>
        <v>142411000000</v>
      </c>
      <c r="G1483" s="12">
        <f t="shared" si="23"/>
        <v>3.1724164565939428</v>
      </c>
    </row>
    <row r="1484" spans="1:7" ht="15" customHeight="1" x14ac:dyDescent="0.3">
      <c r="C1484" s="1"/>
      <c r="D1484" s="8">
        <v>2022</v>
      </c>
      <c r="E1484" s="14">
        <f>Data!F1484</f>
        <v>358820000000</v>
      </c>
      <c r="F1484" s="14">
        <f>Data!H1484</f>
        <v>186107000000</v>
      </c>
      <c r="G1484" s="12">
        <f t="shared" si="23"/>
        <v>1.9280306490352324</v>
      </c>
    </row>
    <row r="1485" spans="1:7" ht="15" customHeight="1" x14ac:dyDescent="0.3">
      <c r="C1485" s="1"/>
      <c r="D1485" s="8">
        <v>2023</v>
      </c>
      <c r="E1485" s="14">
        <f>Data!F1485</f>
        <v>335110000000</v>
      </c>
      <c r="F1485" s="14">
        <f>Data!H1485</f>
        <v>248102000000</v>
      </c>
      <c r="G1485" s="12">
        <f t="shared" si="23"/>
        <v>1.3506944724347245</v>
      </c>
    </row>
    <row r="1486" spans="1:7" ht="15" customHeight="1" x14ac:dyDescent="0.3">
      <c r="C1486" s="1"/>
      <c r="D1486" s="8">
        <v>2024</v>
      </c>
      <c r="E1486" s="14">
        <f>Data!F1486</f>
        <v>219675000000</v>
      </c>
      <c r="F1486" s="14">
        <f>Data!H1486</f>
        <v>301425000000</v>
      </c>
      <c r="G1486" s="12">
        <f t="shared" si="23"/>
        <v>0.72878825578502116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Data!F1487</f>
        <v>0</v>
      </c>
      <c r="F1487" s="14">
        <f>Data!H1487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Data!F1488</f>
        <v>0</v>
      </c>
      <c r="F1488" s="14">
        <f>Data!H1488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Data!F1489</f>
        <v>0</v>
      </c>
      <c r="F1489" s="14">
        <f>Data!H1489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Data!F1490</f>
        <v>0</v>
      </c>
      <c r="F1490" s="14">
        <f>Data!H1490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Data!F1491</f>
        <v>0</v>
      </c>
      <c r="F1491" s="14">
        <f>Data!H1491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Data!F1492</f>
        <v>0</v>
      </c>
      <c r="F1492" s="14">
        <f>Data!H1492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Data!F1493</f>
        <v>0</v>
      </c>
      <c r="F1493" s="14">
        <f>Data!H1493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Data!F1494</f>
        <v>0</v>
      </c>
      <c r="F1494" s="14">
        <f>Data!H1494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Data!F1495</f>
        <v>39461000000</v>
      </c>
      <c r="F1495" s="14">
        <f>Data!H1495</f>
        <v>19536000000</v>
      </c>
      <c r="G1495" s="12">
        <f t="shared" si="23"/>
        <v>2.0199119574119573</v>
      </c>
    </row>
    <row r="1496" spans="2:7" ht="15" customHeight="1" x14ac:dyDescent="0.3">
      <c r="C1496" s="1"/>
      <c r="D1496" s="8">
        <v>2023</v>
      </c>
      <c r="E1496" s="14">
        <f>Data!F1496</f>
        <v>261970000000</v>
      </c>
      <c r="F1496" s="14">
        <f>Data!H1496</f>
        <v>179935000000</v>
      </c>
      <c r="G1496" s="12">
        <f t="shared" si="23"/>
        <v>1.4559146358407202</v>
      </c>
    </row>
    <row r="1497" spans="2:7" ht="15" customHeight="1" x14ac:dyDescent="0.3">
      <c r="C1497" s="1"/>
      <c r="D1497" s="8">
        <v>2024</v>
      </c>
      <c r="E1497" s="14">
        <f>Data!F1497</f>
        <v>464301000000</v>
      </c>
      <c r="F1497" s="14">
        <f>Data!H1497</f>
        <v>220528000000</v>
      </c>
      <c r="G1497" s="12">
        <f t="shared" si="23"/>
        <v>2.1054061162301387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Data!F1498</f>
        <v>0</v>
      </c>
      <c r="F1498" s="14">
        <f>Data!H1498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Data!F1499</f>
        <v>0</v>
      </c>
      <c r="F1499" s="14">
        <f>Data!H1499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Data!F1500</f>
        <v>581277000000</v>
      </c>
      <c r="F1500" s="14">
        <f>Data!H1500</f>
        <v>185976000000</v>
      </c>
      <c r="G1500" s="12">
        <f t="shared" si="23"/>
        <v>3.125548457865531</v>
      </c>
    </row>
    <row r="1501" spans="2:7" ht="15" customHeight="1" x14ac:dyDescent="0.3">
      <c r="C1501" s="1"/>
      <c r="D1501" s="8">
        <v>2017</v>
      </c>
      <c r="E1501" s="14">
        <f>Data!F1501</f>
        <v>972338000000</v>
      </c>
      <c r="F1501" s="14">
        <f>Data!H1501</f>
        <v>299277000000</v>
      </c>
      <c r="G1501" s="12">
        <f t="shared" si="23"/>
        <v>3.2489566521984647</v>
      </c>
    </row>
    <row r="1502" spans="2:7" ht="15" customHeight="1" x14ac:dyDescent="0.3">
      <c r="C1502" s="1"/>
      <c r="D1502" s="8">
        <v>2018</v>
      </c>
      <c r="E1502" s="14">
        <f>Data!F1502</f>
        <v>1475738000000</v>
      </c>
      <c r="F1502" s="14">
        <f>Data!H1502</f>
        <v>552415000000</v>
      </c>
      <c r="G1502" s="12">
        <f t="shared" si="23"/>
        <v>2.6714299937546953</v>
      </c>
    </row>
    <row r="1503" spans="2:7" ht="15" customHeight="1" x14ac:dyDescent="0.3">
      <c r="C1503" s="1"/>
      <c r="D1503" s="8">
        <v>2019</v>
      </c>
      <c r="E1503" s="14">
        <f>Data!F1503</f>
        <v>1613741000000</v>
      </c>
      <c r="F1503" s="14">
        <f>Data!H1503</f>
        <v>591657000000</v>
      </c>
      <c r="G1503" s="12">
        <f t="shared" si="23"/>
        <v>2.7274941393408683</v>
      </c>
    </row>
    <row r="1504" spans="2:7" ht="15" customHeight="1" x14ac:dyDescent="0.3">
      <c r="C1504" s="1"/>
      <c r="D1504" s="8">
        <v>2020</v>
      </c>
      <c r="E1504" s="14">
        <f>Data!F1504</f>
        <v>1458160000000</v>
      </c>
      <c r="F1504" s="14">
        <f>Data!H1504</f>
        <v>566970000000</v>
      </c>
      <c r="G1504" s="12">
        <f t="shared" si="23"/>
        <v>2.5718468349295378</v>
      </c>
    </row>
    <row r="1505" spans="2:7" ht="15" customHeight="1" x14ac:dyDescent="0.3">
      <c r="C1505" s="1"/>
      <c r="D1505" s="8">
        <v>2021</v>
      </c>
      <c r="E1505" s="14">
        <f>Data!F1505</f>
        <v>1262408000000</v>
      </c>
      <c r="F1505" s="14">
        <f>Data!H1505</f>
        <v>536424000000</v>
      </c>
      <c r="G1505" s="12">
        <f t="shared" si="23"/>
        <v>2.3533771792462677</v>
      </c>
    </row>
    <row r="1506" spans="2:7" ht="15" customHeight="1" x14ac:dyDescent="0.3">
      <c r="C1506" s="1"/>
      <c r="D1506" s="8">
        <v>2022</v>
      </c>
      <c r="E1506" s="14">
        <f>Data!F1506</f>
        <v>1476753000000</v>
      </c>
      <c r="F1506" s="14">
        <f>Data!H1506</f>
        <v>441130000000</v>
      </c>
      <c r="G1506" s="12">
        <f t="shared" si="23"/>
        <v>3.3476594201255865</v>
      </c>
    </row>
    <row r="1507" spans="2:7" ht="15" customHeight="1" x14ac:dyDescent="0.3">
      <c r="C1507" s="1"/>
      <c r="D1507" s="8">
        <v>2023</v>
      </c>
      <c r="E1507" s="14">
        <f>Data!F1507</f>
        <v>1800986000000</v>
      </c>
      <c r="F1507" s="14">
        <f>Data!H1507</f>
        <v>339497000000</v>
      </c>
      <c r="G1507" s="12">
        <f t="shared" si="23"/>
        <v>5.3048657278267557</v>
      </c>
    </row>
    <row r="1508" spans="2:7" ht="15" customHeight="1" x14ac:dyDescent="0.3">
      <c r="C1508" s="1"/>
      <c r="D1508" s="8">
        <v>2024</v>
      </c>
      <c r="E1508" s="14">
        <f>Data!F1508</f>
        <v>1800727000000</v>
      </c>
      <c r="F1508" s="14">
        <f>Data!H1508</f>
        <v>353993000000</v>
      </c>
      <c r="G1508" s="12">
        <f t="shared" si="23"/>
        <v>5.0869000234467912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Data!F1509</f>
        <v>0</v>
      </c>
      <c r="F1509" s="14">
        <f>Data!H1509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Data!F1510</f>
        <v>0</v>
      </c>
      <c r="F1510" s="14">
        <f>Data!H1510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Data!F1511</f>
        <v>0</v>
      </c>
      <c r="F1511" s="14">
        <f>Data!H1511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Data!F1512</f>
        <v>0</v>
      </c>
      <c r="F1512" s="14">
        <f>Data!H1512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Data!F1513</f>
        <v>0</v>
      </c>
      <c r="F1513" s="14">
        <f>Data!H1513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Data!F1514</f>
        <v>0</v>
      </c>
      <c r="F1514" s="14">
        <f>Data!H1514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Data!F1515</f>
        <v>0</v>
      </c>
      <c r="F1515" s="14">
        <f>Data!H1515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Data!F1516</f>
        <v>0</v>
      </c>
      <c r="F1516" s="14">
        <f>Data!H1516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Data!F1517</f>
        <v>0</v>
      </c>
      <c r="F1517" s="14">
        <f>Data!H1517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Data!F1518</f>
        <v>0</v>
      </c>
      <c r="F1518" s="14">
        <f>Data!H1518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>
        <f>Data!F1519</f>
        <v>28020000000</v>
      </c>
      <c r="F1519" s="14">
        <f>Data!H1519</f>
        <v>6553000000</v>
      </c>
      <c r="G1519" s="12">
        <f t="shared" si="23"/>
        <v>4.2759041660308252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Data!F1520</f>
        <v>0</v>
      </c>
      <c r="F1520" s="14">
        <f>Data!H1520</f>
        <v>0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Data!F1521</f>
        <v>2168666763691</v>
      </c>
      <c r="F1521" s="14">
        <f>Data!H1521</f>
        <v>3801430671179</v>
      </c>
      <c r="G1521" s="12">
        <f t="shared" si="23"/>
        <v>0.57048699589157459</v>
      </c>
    </row>
    <row r="1522" spans="2:7" ht="15" customHeight="1" x14ac:dyDescent="0.3">
      <c r="C1522" s="1"/>
      <c r="D1522" s="8">
        <v>2016</v>
      </c>
      <c r="E1522" s="14">
        <f>Data!F1522</f>
        <v>2476500214515</v>
      </c>
      <c r="F1522" s="14">
        <f>Data!H1522</f>
        <v>4113897177891</v>
      </c>
      <c r="G1522" s="12">
        <f t="shared" si="23"/>
        <v>0.60198398438936784</v>
      </c>
    </row>
    <row r="1523" spans="2:7" ht="15" customHeight="1" x14ac:dyDescent="0.3">
      <c r="C1523" s="1"/>
      <c r="D1523" s="8">
        <v>2017</v>
      </c>
      <c r="E1523" s="14">
        <f>Data!F1523</f>
        <v>2600448806764</v>
      </c>
      <c r="F1523" s="14">
        <f>Data!H1523</f>
        <v>4638825808781</v>
      </c>
      <c r="G1523" s="12">
        <f t="shared" si="23"/>
        <v>0.56058341355295493</v>
      </c>
    </row>
    <row r="1524" spans="2:7" ht="15" customHeight="1" x14ac:dyDescent="0.3">
      <c r="C1524" s="1"/>
      <c r="D1524" s="8">
        <v>2018</v>
      </c>
      <c r="E1524" s="14">
        <f>Data!F1524</f>
        <v>2887585874316</v>
      </c>
      <c r="F1524" s="14">
        <f>Data!H1524</f>
        <v>5240697941724</v>
      </c>
      <c r="G1524" s="12">
        <f t="shared" si="23"/>
        <v>0.55099261709521241</v>
      </c>
    </row>
    <row r="1525" spans="2:7" ht="15" customHeight="1" x14ac:dyDescent="0.3">
      <c r="C1525" s="1"/>
      <c r="D1525" s="8">
        <v>2019</v>
      </c>
      <c r="E1525" s="14">
        <f>Data!F1525</f>
        <v>3585094199853</v>
      </c>
      <c r="F1525" s="14">
        <f>Data!H1525</f>
        <v>6024665070223</v>
      </c>
      <c r="G1525" s="12">
        <f t="shared" si="23"/>
        <v>0.59506946163237906</v>
      </c>
    </row>
    <row r="1526" spans="2:7" ht="15" customHeight="1" x14ac:dyDescent="0.3">
      <c r="C1526" s="1"/>
      <c r="D1526" s="8">
        <v>2020</v>
      </c>
      <c r="E1526" s="14">
        <f>Data!F1526</f>
        <v>3880012828583</v>
      </c>
      <c r="F1526" s="14">
        <f>Data!H1526</f>
        <v>6538404729036</v>
      </c>
      <c r="G1526" s="12">
        <f t="shared" si="23"/>
        <v>0.59341888264464404</v>
      </c>
    </row>
    <row r="1527" spans="2:7" ht="15" customHeight="1" x14ac:dyDescent="0.3">
      <c r="C1527" s="1"/>
      <c r="D1527" s="8">
        <v>2021</v>
      </c>
      <c r="E1527" s="14">
        <f>Data!F1527</f>
        <v>4279345836579</v>
      </c>
      <c r="F1527" s="14">
        <f>Data!H1527</f>
        <v>7714230329067</v>
      </c>
      <c r="G1527" s="12">
        <f t="shared" si="23"/>
        <v>0.55473399860184969</v>
      </c>
    </row>
    <row r="1528" spans="2:7" ht="15" customHeight="1" x14ac:dyDescent="0.3">
      <c r="C1528" s="1"/>
      <c r="D1528" s="8">
        <v>2022</v>
      </c>
      <c r="E1528" s="14">
        <f>Data!F1528</f>
        <v>4492921150141</v>
      </c>
      <c r="F1528" s="14">
        <f>Data!H1528</f>
        <v>8242900253718</v>
      </c>
      <c r="G1528" s="12">
        <f t="shared" si="23"/>
        <v>0.54506557302018133</v>
      </c>
    </row>
    <row r="1529" spans="2:7" ht="15" customHeight="1" x14ac:dyDescent="0.3">
      <c r="C1529" s="1"/>
      <c r="D1529" s="8">
        <v>2023</v>
      </c>
      <c r="E1529" s="14">
        <f>Data!F1529</f>
        <v>6956487215345</v>
      </c>
      <c r="F1529" s="14">
        <f>Data!H1529</f>
        <v>10983537357645</v>
      </c>
      <c r="G1529" s="12">
        <f t="shared" si="23"/>
        <v>0.63335581141379693</v>
      </c>
    </row>
    <row r="1530" spans="2:7" ht="15" customHeight="1" x14ac:dyDescent="0.3">
      <c r="C1530" s="1"/>
      <c r="D1530" s="8">
        <v>2024</v>
      </c>
      <c r="E1530" s="14">
        <f>Data!F1530</f>
        <v>7427119493288</v>
      </c>
      <c r="F1530" s="14">
        <f>Data!H1530</f>
        <v>12095378518152</v>
      </c>
      <c r="G1530" s="12">
        <f t="shared" si="23"/>
        <v>0.61404605752038566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Data!F1531</f>
        <v>0</v>
      </c>
      <c r="F1531" s="14">
        <f>Data!H1531</f>
        <v>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Data!F1532</f>
        <v>123343000000</v>
      </c>
      <c r="F1532" s="14">
        <f>Data!H1532</f>
        <v>49898000000</v>
      </c>
      <c r="G1532" s="12">
        <f t="shared" si="23"/>
        <v>2.4719026814701994</v>
      </c>
    </row>
    <row r="1533" spans="2:7" ht="15" customHeight="1" x14ac:dyDescent="0.3">
      <c r="C1533" s="1"/>
      <c r="D1533" s="8">
        <v>2016</v>
      </c>
      <c r="E1533" s="14">
        <f>Data!F1533</f>
        <v>81692000000</v>
      </c>
      <c r="F1533" s="14">
        <f>Data!H1533</f>
        <v>33688000000</v>
      </c>
      <c r="G1533" s="12">
        <f t="shared" si="23"/>
        <v>2.4249584421752552</v>
      </c>
    </row>
    <row r="1534" spans="2:7" ht="15" customHeight="1" x14ac:dyDescent="0.3">
      <c r="C1534" s="1"/>
      <c r="D1534" s="8">
        <v>2017</v>
      </c>
      <c r="E1534" s="14">
        <f>Data!F1534</f>
        <v>104224000000</v>
      </c>
      <c r="F1534" s="14">
        <f>Data!H1534</f>
        <v>42136000000</v>
      </c>
      <c r="G1534" s="12">
        <f t="shared" si="23"/>
        <v>2.4735143345357891</v>
      </c>
    </row>
    <row r="1535" spans="2:7" ht="15" customHeight="1" x14ac:dyDescent="0.3">
      <c r="C1535" s="1"/>
      <c r="D1535" s="8">
        <v>2018</v>
      </c>
      <c r="E1535" s="14">
        <f>Data!F1535</f>
        <v>441930000000</v>
      </c>
      <c r="F1535" s="14">
        <f>Data!H1535</f>
        <v>63291000000</v>
      </c>
      <c r="G1535" s="12">
        <f t="shared" si="23"/>
        <v>6.9825093615205951</v>
      </c>
    </row>
    <row r="1536" spans="2:7" ht="15" customHeight="1" x14ac:dyDescent="0.3">
      <c r="C1536" s="1"/>
      <c r="D1536" s="8">
        <v>2019</v>
      </c>
      <c r="E1536" s="14">
        <f>Data!F1536</f>
        <v>228854000000</v>
      </c>
      <c r="F1536" s="14">
        <f>Data!H1536</f>
        <v>70553000000</v>
      </c>
      <c r="G1536" s="12">
        <f t="shared" si="23"/>
        <v>3.2437174889799159</v>
      </c>
    </row>
    <row r="1537" spans="2:7" ht="15" customHeight="1" x14ac:dyDescent="0.3">
      <c r="C1537" s="1"/>
      <c r="D1537" s="8">
        <v>2020</v>
      </c>
      <c r="E1537" s="14">
        <f>Data!F1537</f>
        <v>134229000000</v>
      </c>
      <c r="F1537" s="14">
        <f>Data!H1537</f>
        <v>56089000000</v>
      </c>
      <c r="G1537" s="12">
        <f t="shared" si="23"/>
        <v>2.3931430405248801</v>
      </c>
    </row>
    <row r="1538" spans="2:7" ht="15" customHeight="1" x14ac:dyDescent="0.3">
      <c r="C1538" s="1"/>
      <c r="D1538" s="8">
        <v>2021</v>
      </c>
      <c r="E1538" s="14">
        <f>Data!F1538</f>
        <v>154967000000</v>
      </c>
      <c r="F1538" s="14">
        <f>Data!H1538</f>
        <v>53285000000</v>
      </c>
      <c r="G1538" s="12">
        <f t="shared" si="23"/>
        <v>2.9082668668480811</v>
      </c>
    </row>
    <row r="1539" spans="2:7" ht="15" customHeight="1" x14ac:dyDescent="0.3">
      <c r="C1539" s="1"/>
      <c r="D1539" s="8">
        <v>2022</v>
      </c>
      <c r="E1539" s="14">
        <f>Data!F1539</f>
        <v>141095000000</v>
      </c>
      <c r="F1539" s="14">
        <f>Data!H1539</f>
        <v>66321000000</v>
      </c>
      <c r="G1539" s="12">
        <f t="shared" ref="G1539:G1602" si="24">IFERROR(E1539/F1539,0)</f>
        <v>2.1274558586269809</v>
      </c>
    </row>
    <row r="1540" spans="2:7" ht="15" customHeight="1" x14ac:dyDescent="0.3">
      <c r="C1540" s="1"/>
      <c r="D1540" s="8">
        <v>2023</v>
      </c>
      <c r="E1540" s="14">
        <f>Data!F1540</f>
        <v>142162000000</v>
      </c>
      <c r="F1540" s="14">
        <f>Data!H1540</f>
        <v>78574000000</v>
      </c>
      <c r="G1540" s="12">
        <f t="shared" si="24"/>
        <v>1.8092753328072899</v>
      </c>
    </row>
    <row r="1541" spans="2:7" ht="15" customHeight="1" x14ac:dyDescent="0.3">
      <c r="C1541" s="1"/>
      <c r="D1541" s="8">
        <v>2024</v>
      </c>
      <c r="E1541" s="14">
        <f>Data!F1541</f>
        <v>160147000000</v>
      </c>
      <c r="F1541" s="14">
        <f>Data!H1541</f>
        <v>60071000000</v>
      </c>
      <c r="G1541" s="12">
        <f t="shared" si="24"/>
        <v>2.6659619450317127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Data!F1542</f>
        <v>0</v>
      </c>
      <c r="F1542" s="14">
        <f>Data!H1542</f>
        <v>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Data!F1543</f>
        <v>1529451000000</v>
      </c>
      <c r="F1543" s="14">
        <f>Data!H1543</f>
        <v>190232000000</v>
      </c>
      <c r="G1543" s="12">
        <f t="shared" si="24"/>
        <v>8.0399249337650875</v>
      </c>
    </row>
    <row r="1544" spans="2:7" ht="15" customHeight="1" x14ac:dyDescent="0.3">
      <c r="C1544" s="1"/>
      <c r="D1544" s="8">
        <v>2016</v>
      </c>
      <c r="E1544" s="14">
        <f>Data!F1544</f>
        <v>2074887000000</v>
      </c>
      <c r="F1544" s="14">
        <f>Data!H1544</f>
        <v>176853000000</v>
      </c>
      <c r="G1544" s="12">
        <f t="shared" si="24"/>
        <v>11.732269172702754</v>
      </c>
    </row>
    <row r="1545" spans="2:7" ht="15" customHeight="1" x14ac:dyDescent="0.3">
      <c r="C1545" s="1"/>
      <c r="D1545" s="8">
        <v>2017</v>
      </c>
      <c r="E1545" s="14">
        <f>Data!F1545</f>
        <v>0</v>
      </c>
      <c r="F1545" s="14">
        <f>Data!H1545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Data!F1546</f>
        <v>1916308000000</v>
      </c>
      <c r="F1546" s="14">
        <f>Data!H1546</f>
        <v>370799000000</v>
      </c>
      <c r="G1546" s="12">
        <f t="shared" si="24"/>
        <v>5.1680506150232333</v>
      </c>
    </row>
    <row r="1547" spans="2:7" ht="15" customHeight="1" x14ac:dyDescent="0.3">
      <c r="C1547" s="1"/>
      <c r="D1547" s="8">
        <v>2019</v>
      </c>
      <c r="E1547" s="14">
        <f>Data!F1547</f>
        <v>1233709000000</v>
      </c>
      <c r="F1547" s="14">
        <f>Data!H1547</f>
        <v>499643000000</v>
      </c>
      <c r="G1547" s="12">
        <f t="shared" si="24"/>
        <v>2.4691809952305945</v>
      </c>
    </row>
    <row r="1548" spans="2:7" ht="15" customHeight="1" x14ac:dyDescent="0.3">
      <c r="C1548" s="1"/>
      <c r="D1548" s="8">
        <v>2020</v>
      </c>
      <c r="E1548" s="14">
        <f>Data!F1548</f>
        <v>1364092000000</v>
      </c>
      <c r="F1548" s="14">
        <f>Data!H1548</f>
        <v>883555000000</v>
      </c>
      <c r="G1548" s="12">
        <f t="shared" si="24"/>
        <v>1.543867670942952</v>
      </c>
    </row>
    <row r="1549" spans="2:7" ht="15" customHeight="1" x14ac:dyDescent="0.3">
      <c r="C1549" s="1"/>
      <c r="D1549" s="8">
        <v>2021</v>
      </c>
      <c r="E1549" s="14">
        <f>Data!F1549</f>
        <v>1833604000000</v>
      </c>
      <c r="F1549" s="14">
        <f>Data!H1549</f>
        <v>988459000000</v>
      </c>
      <c r="G1549" s="12">
        <f t="shared" si="24"/>
        <v>1.8550127015890392</v>
      </c>
    </row>
    <row r="1550" spans="2:7" ht="15" customHeight="1" x14ac:dyDescent="0.3">
      <c r="C1550" s="1"/>
      <c r="D1550" s="8">
        <v>2022</v>
      </c>
      <c r="E1550" s="14">
        <f>Data!F1550</f>
        <v>1925137000000</v>
      </c>
      <c r="F1550" s="14">
        <f>Data!H1550</f>
        <v>1369405000000</v>
      </c>
      <c r="G1550" s="12">
        <f t="shared" si="24"/>
        <v>1.4058200459323575</v>
      </c>
    </row>
    <row r="1551" spans="2:7" ht="15" customHeight="1" x14ac:dyDescent="0.3">
      <c r="C1551" s="1"/>
      <c r="D1551" s="8">
        <v>2023</v>
      </c>
      <c r="E1551" s="14">
        <f>Data!F1551</f>
        <v>2279625000000</v>
      </c>
      <c r="F1551" s="14">
        <f>Data!H1551</f>
        <v>1882983000000</v>
      </c>
      <c r="G1551" s="12">
        <f t="shared" si="24"/>
        <v>1.2106455554829756</v>
      </c>
    </row>
    <row r="1552" spans="2:7" ht="15" customHeight="1" x14ac:dyDescent="0.3">
      <c r="C1552" s="1"/>
      <c r="D1552" s="8">
        <v>2024</v>
      </c>
      <c r="E1552" s="14">
        <f>Data!F1552</f>
        <v>3293831000000</v>
      </c>
      <c r="F1552" s="14">
        <f>Data!H1552</f>
        <v>1570439000000</v>
      </c>
      <c r="G1552" s="12">
        <f t="shared" si="24"/>
        <v>2.0973950595979849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Data!F1553</f>
        <v>0</v>
      </c>
      <c r="F1553" s="14">
        <f>Data!H1553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Data!F1554</f>
        <v>0</v>
      </c>
      <c r="F1554" s="14">
        <f>Data!H1554</f>
        <v>0</v>
      </c>
      <c r="G1554" s="12">
        <f t="shared" si="24"/>
        <v>0</v>
      </c>
    </row>
    <row r="1555" spans="2:7" ht="15" customHeight="1" x14ac:dyDescent="0.3">
      <c r="C1555" s="1"/>
      <c r="D1555" s="8">
        <v>2016</v>
      </c>
      <c r="E1555" s="14">
        <f>Data!F1555</f>
        <v>0</v>
      </c>
      <c r="F1555" s="14">
        <f>Data!H1555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>
        <f>Data!F1556</f>
        <v>48205000000</v>
      </c>
      <c r="F1556" s="14">
        <f>Data!H1556</f>
        <v>32948000000</v>
      </c>
      <c r="G1556" s="12">
        <f t="shared" si="24"/>
        <v>1.4630630083768361</v>
      </c>
    </row>
    <row r="1557" spans="2:7" ht="15" customHeight="1" x14ac:dyDescent="0.3">
      <c r="C1557" s="1"/>
      <c r="D1557" s="8">
        <v>2018</v>
      </c>
      <c r="E1557" s="14">
        <f>Data!F1557</f>
        <v>0</v>
      </c>
      <c r="F1557" s="14">
        <f>Data!H1557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>
        <f>Data!F1558</f>
        <v>535708000000</v>
      </c>
      <c r="F1558" s="14">
        <f>Data!H1558</f>
        <v>143090000000</v>
      </c>
      <c r="G1558" s="12">
        <f t="shared" si="24"/>
        <v>3.7438535187644142</v>
      </c>
    </row>
    <row r="1559" spans="2:7" ht="15" customHeight="1" x14ac:dyDescent="0.3">
      <c r="C1559" s="1"/>
      <c r="D1559" s="8">
        <v>2020</v>
      </c>
      <c r="E1559" s="14">
        <f>Data!F1559</f>
        <v>1304842000000</v>
      </c>
      <c r="F1559" s="14">
        <f>Data!H1559</f>
        <v>461779000000</v>
      </c>
      <c r="G1559" s="12">
        <f t="shared" si="24"/>
        <v>2.8256850138269605</v>
      </c>
    </row>
    <row r="1560" spans="2:7" ht="15" customHeight="1" x14ac:dyDescent="0.3">
      <c r="C1560" s="1"/>
      <c r="D1560" s="8">
        <v>2021</v>
      </c>
      <c r="E1560" s="14">
        <f>Data!F1560</f>
        <v>1134376000000</v>
      </c>
      <c r="F1560" s="14">
        <f>Data!H1560</f>
        <v>64954000000</v>
      </c>
      <c r="G1560" s="12">
        <f t="shared" si="24"/>
        <v>17.464297810758382</v>
      </c>
    </row>
    <row r="1561" spans="2:7" ht="15" customHeight="1" x14ac:dyDescent="0.3">
      <c r="C1561" s="1"/>
      <c r="D1561" s="8">
        <v>2022</v>
      </c>
      <c r="E1561" s="14">
        <f>Data!F1561</f>
        <v>2142135000000</v>
      </c>
      <c r="F1561" s="14">
        <f>Data!H1561</f>
        <v>730521000000</v>
      </c>
      <c r="G1561" s="12">
        <f t="shared" si="24"/>
        <v>2.9323387007355026</v>
      </c>
    </row>
    <row r="1562" spans="2:7" ht="15" customHeight="1" x14ac:dyDescent="0.3">
      <c r="C1562" s="1"/>
      <c r="D1562" s="8">
        <v>2023</v>
      </c>
      <c r="E1562" s="14">
        <f>Data!F1562</f>
        <v>1950720000000</v>
      </c>
      <c r="F1562" s="14">
        <f>Data!H1562</f>
        <v>560129000000</v>
      </c>
      <c r="G1562" s="12">
        <f t="shared" si="24"/>
        <v>3.4826263235790327</v>
      </c>
    </row>
    <row r="1563" spans="2:7" ht="15" customHeight="1" x14ac:dyDescent="0.3">
      <c r="C1563" s="1"/>
      <c r="D1563" s="8">
        <v>2024</v>
      </c>
      <c r="E1563" s="14">
        <f>Data!F1563</f>
        <v>1870446000000</v>
      </c>
      <c r="F1563" s="14">
        <f>Data!H1563</f>
        <v>588695000000</v>
      </c>
      <c r="G1563" s="12">
        <f t="shared" si="24"/>
        <v>3.1772751594628796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Data!F1564</f>
        <v>0</v>
      </c>
      <c r="F1564" s="14">
        <f>Data!H1564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Data!F1565</f>
        <v>0</v>
      </c>
      <c r="F1565" s="14">
        <f>Data!H1565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Data!F1566</f>
        <v>0</v>
      </c>
      <c r="F1566" s="14">
        <f>Data!H1566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Data!F1567</f>
        <v>0</v>
      </c>
      <c r="F1567" s="14">
        <f>Data!H1567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Data!F1568</f>
        <v>0</v>
      </c>
      <c r="F1568" s="14">
        <f>Data!H1568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Data!F1569</f>
        <v>0</v>
      </c>
      <c r="F1569" s="14">
        <f>Data!H1569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Data!F1570</f>
        <v>0</v>
      </c>
      <c r="F1570" s="14">
        <f>Data!H1570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Data!F1571</f>
        <v>0</v>
      </c>
      <c r="F1571" s="14">
        <f>Data!H1571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Data!F1572</f>
        <v>0</v>
      </c>
      <c r="F1572" s="14">
        <f>Data!H1572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Data!F1573</f>
        <v>0</v>
      </c>
      <c r="F1573" s="14">
        <f>Data!H1573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Data!F1574</f>
        <v>0</v>
      </c>
      <c r="F1574" s="14">
        <f>Data!H1574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Data!F1575</f>
        <v>0</v>
      </c>
      <c r="F1575" s="14">
        <f>Data!H1575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Data!F1576</f>
        <v>0</v>
      </c>
      <c r="F1576" s="14">
        <f>Data!H1576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Data!F1577</f>
        <v>0</v>
      </c>
      <c r="F1577" s="14">
        <f>Data!H1577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Data!F1578</f>
        <v>1699115000000</v>
      </c>
      <c r="F1578" s="14">
        <f>Data!H1578</f>
        <v>204136000000</v>
      </c>
      <c r="G1578" s="12">
        <f t="shared" si="24"/>
        <v>8.3234461339499166</v>
      </c>
    </row>
    <row r="1579" spans="2:7" ht="15" customHeight="1" x14ac:dyDescent="0.3">
      <c r="C1579" s="1"/>
      <c r="D1579" s="8">
        <v>2018</v>
      </c>
      <c r="E1579" s="14">
        <f>Data!F1579</f>
        <v>1718940000000</v>
      </c>
      <c r="F1579" s="14">
        <f>Data!H1579</f>
        <v>133292000000</v>
      </c>
      <c r="G1579" s="12">
        <f t="shared" si="24"/>
        <v>12.89604777481019</v>
      </c>
    </row>
    <row r="1580" spans="2:7" ht="15" customHeight="1" x14ac:dyDescent="0.3">
      <c r="C1580" s="1"/>
      <c r="D1580" s="8">
        <v>2019</v>
      </c>
      <c r="E1580" s="14">
        <f>Data!F1580</f>
        <v>2581117000000</v>
      </c>
      <c r="F1580" s="14">
        <f>Data!H1580</f>
        <v>135099000000</v>
      </c>
      <c r="G1580" s="12">
        <f t="shared" si="24"/>
        <v>19.105374577161932</v>
      </c>
    </row>
    <row r="1581" spans="2:7" ht="15" customHeight="1" x14ac:dyDescent="0.3">
      <c r="C1581" s="1"/>
      <c r="D1581" s="8">
        <v>2020</v>
      </c>
      <c r="E1581" s="14">
        <f>Data!F1581</f>
        <v>2203426000000</v>
      </c>
      <c r="F1581" s="14">
        <f>Data!H1581</f>
        <v>144721000000</v>
      </c>
      <c r="G1581" s="12">
        <f t="shared" si="24"/>
        <v>15.225337027798316</v>
      </c>
    </row>
    <row r="1582" spans="2:7" ht="15" customHeight="1" x14ac:dyDescent="0.3">
      <c r="C1582" s="1"/>
      <c r="D1582" s="8">
        <v>2021</v>
      </c>
      <c r="E1582" s="14">
        <f>Data!F1582</f>
        <v>1944414000000</v>
      </c>
      <c r="F1582" s="14">
        <f>Data!H1582</f>
        <v>157820000000</v>
      </c>
      <c r="G1582" s="12">
        <f t="shared" si="24"/>
        <v>12.3204536814092</v>
      </c>
    </row>
    <row r="1583" spans="2:7" ht="15" customHeight="1" x14ac:dyDescent="0.3">
      <c r="C1583" s="1"/>
      <c r="D1583" s="8">
        <v>2022</v>
      </c>
      <c r="E1583" s="14">
        <f>Data!F1583</f>
        <v>2445091000000</v>
      </c>
      <c r="F1583" s="14">
        <f>Data!H1583</f>
        <v>161372000000</v>
      </c>
      <c r="G1583" s="12">
        <f t="shared" si="24"/>
        <v>15.151891282254667</v>
      </c>
    </row>
    <row r="1584" spans="2:7" ht="15" customHeight="1" x14ac:dyDescent="0.3">
      <c r="C1584" s="1"/>
      <c r="D1584" s="8">
        <v>2023</v>
      </c>
      <c r="E1584" s="14">
        <f>Data!F1584</f>
        <v>2600729000000</v>
      </c>
      <c r="F1584" s="14">
        <f>Data!H1584</f>
        <v>187211000000</v>
      </c>
      <c r="G1584" s="12">
        <f t="shared" si="24"/>
        <v>13.891966818189102</v>
      </c>
    </row>
    <row r="1585" spans="1:7" ht="15" customHeight="1" x14ac:dyDescent="0.3">
      <c r="C1585" s="1"/>
      <c r="D1585" s="8">
        <v>2024</v>
      </c>
      <c r="E1585" s="14">
        <f>Data!F1585</f>
        <v>2036516000000</v>
      </c>
      <c r="F1585" s="14">
        <f>Data!H1585</f>
        <v>196777000000</v>
      </c>
      <c r="G1585" s="12">
        <f t="shared" si="24"/>
        <v>10.349359935358299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Data!F1586</f>
        <v>0</v>
      </c>
      <c r="F1586" s="14">
        <f>Data!H1586</f>
        <v>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Data!F1587</f>
        <v>7050767000000</v>
      </c>
      <c r="F1587" s="14">
        <f>Data!H1587</f>
        <v>1722618000000</v>
      </c>
      <c r="G1587" s="12">
        <f t="shared" si="24"/>
        <v>4.0930531319189747</v>
      </c>
    </row>
    <row r="1588" spans="1:7" ht="15" customHeight="1" x14ac:dyDescent="0.3">
      <c r="C1588" s="4"/>
      <c r="D1588" s="8">
        <v>2016</v>
      </c>
      <c r="E1588" s="14">
        <f>Data!F1588</f>
        <v>27319337000000</v>
      </c>
      <c r="F1588" s="14">
        <f>Data!H1588</f>
        <v>2069575000000</v>
      </c>
      <c r="G1588" s="12">
        <f t="shared" si="24"/>
        <v>13.200457581870674</v>
      </c>
    </row>
    <row r="1589" spans="1:7" ht="15" customHeight="1" x14ac:dyDescent="0.3">
      <c r="C1589" s="4"/>
      <c r="D1589" s="8">
        <v>2017</v>
      </c>
      <c r="E1589" s="14">
        <f>Data!F1589</f>
        <v>16909909000000</v>
      </c>
      <c r="F1589" s="14">
        <f>Data!H1589</f>
        <v>1737096000000</v>
      </c>
      <c r="G1589" s="12">
        <f t="shared" si="24"/>
        <v>9.7345851927584892</v>
      </c>
    </row>
    <row r="1590" spans="1:7" ht="15" customHeight="1" x14ac:dyDescent="0.3">
      <c r="C1590" s="4"/>
      <c r="D1590" s="8">
        <v>2018</v>
      </c>
      <c r="E1590" s="14">
        <f>Data!F1590</f>
        <v>0</v>
      </c>
      <c r="F1590" s="14">
        <f>Data!H1590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Data!F1591</f>
        <v>0</v>
      </c>
      <c r="F1591" s="14">
        <f>Data!H1591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Data!F1592</f>
        <v>0</v>
      </c>
      <c r="F1592" s="14">
        <f>Data!H1592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Data!F1593</f>
        <v>0</v>
      </c>
      <c r="F1593" s="14">
        <f>Data!H1593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Data!F1594</f>
        <v>0</v>
      </c>
      <c r="F1594" s="14">
        <f>Data!H1594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Data!F1595</f>
        <v>0</v>
      </c>
      <c r="F1595" s="14">
        <f>Data!H1595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Data!F1596</f>
        <v>0</v>
      </c>
      <c r="F1596" s="14">
        <f>Data!H1596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Data!F1597</f>
        <v>0</v>
      </c>
      <c r="F1597" s="14">
        <f>Data!H1597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Data!F1598</f>
        <v>0</v>
      </c>
      <c r="F1598" s="14">
        <f>Data!H1598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Data!F1599</f>
        <v>0</v>
      </c>
      <c r="F1599" s="14">
        <f>Data!H1599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Data!F1600</f>
        <v>0</v>
      </c>
      <c r="F1600" s="14">
        <f>Data!H1600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Data!F1601</f>
        <v>0</v>
      </c>
      <c r="F1601" s="14">
        <f>Data!H1601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Data!F1602</f>
        <v>0</v>
      </c>
      <c r="F1602" s="14">
        <f>Data!H1602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Data!F1603</f>
        <v>0</v>
      </c>
      <c r="F1603" s="14">
        <f>Data!H1603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Data!F1604</f>
        <v>0</v>
      </c>
      <c r="F1604" s="14">
        <f>Data!H1604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Data!F1605</f>
        <v>0</v>
      </c>
      <c r="F1605" s="14">
        <f>Data!H1605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Data!F1606</f>
        <v>0</v>
      </c>
      <c r="F1606" s="14">
        <f>Data!H1606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Data!F1607</f>
        <v>0</v>
      </c>
      <c r="F1607" s="14">
        <f>Data!H1607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Data!F1608</f>
        <v>0</v>
      </c>
      <c r="F1608" s="14">
        <f>Data!H1608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Data!F1609</f>
        <v>7628240000000</v>
      </c>
      <c r="F1609" s="14">
        <f>Data!H1609</f>
        <v>964822000000</v>
      </c>
      <c r="G1609" s="12">
        <f t="shared" si="25"/>
        <v>7.9063702942097089</v>
      </c>
    </row>
    <row r="1610" spans="1:7" ht="15" customHeight="1" x14ac:dyDescent="0.3">
      <c r="C1610" s="4"/>
      <c r="D1610" s="8">
        <v>2016</v>
      </c>
      <c r="E1610" s="14">
        <f>Data!F1610</f>
        <v>4535214000000</v>
      </c>
      <c r="F1610" s="14">
        <f>Data!H1610</f>
        <v>550120000000</v>
      </c>
      <c r="G1610" s="12">
        <f t="shared" si="25"/>
        <v>8.244044935650404</v>
      </c>
    </row>
    <row r="1611" spans="1:7" ht="15" customHeight="1" x14ac:dyDescent="0.3">
      <c r="C1611" s="4"/>
      <c r="D1611" s="8">
        <v>2017</v>
      </c>
      <c r="E1611" s="14">
        <f>Data!F1611</f>
        <v>5163387000000</v>
      </c>
      <c r="F1611" s="14">
        <f>Data!H1611</f>
        <v>693009000000</v>
      </c>
      <c r="G1611" s="12">
        <f t="shared" si="25"/>
        <v>7.4506781297212594</v>
      </c>
    </row>
    <row r="1612" spans="1:7" ht="15" customHeight="1" x14ac:dyDescent="0.3">
      <c r="C1612" s="4"/>
      <c r="D1612" s="8">
        <v>2018</v>
      </c>
      <c r="E1612" s="14">
        <f>Data!F1612</f>
        <v>5712865000000</v>
      </c>
      <c r="F1612" s="14">
        <f>Data!H1612</f>
        <v>679710000000</v>
      </c>
      <c r="G1612" s="12">
        <f t="shared" si="25"/>
        <v>8.4048564829118302</v>
      </c>
    </row>
    <row r="1613" spans="1:7" ht="15" customHeight="1" x14ac:dyDescent="0.3">
      <c r="C1613" s="4"/>
      <c r="D1613" s="8">
        <v>2019</v>
      </c>
      <c r="E1613" s="14">
        <f>Data!F1613</f>
        <v>5886624000000</v>
      </c>
      <c r="F1613" s="14">
        <f>Data!H1613</f>
        <v>643631000000</v>
      </c>
      <c r="G1613" s="12">
        <f t="shared" si="25"/>
        <v>9.1459609621040627</v>
      </c>
    </row>
    <row r="1614" spans="1:7" ht="15" customHeight="1" x14ac:dyDescent="0.3">
      <c r="C1614" s="4"/>
      <c r="D1614" s="8">
        <v>2020</v>
      </c>
      <c r="E1614" s="14">
        <f>Data!F1614</f>
        <v>5978229000000</v>
      </c>
      <c r="F1614" s="14">
        <f>Data!H1614</f>
        <v>573689000000</v>
      </c>
      <c r="G1614" s="12">
        <f t="shared" si="25"/>
        <v>10.420679148458486</v>
      </c>
    </row>
    <row r="1615" spans="1:7" ht="15" customHeight="1" x14ac:dyDescent="0.3">
      <c r="C1615" s="4"/>
      <c r="D1615" s="8">
        <v>2021</v>
      </c>
      <c r="E1615" s="14">
        <f>Data!F1615</f>
        <v>7966444000000</v>
      </c>
      <c r="F1615" s="14">
        <f>Data!H1615</f>
        <v>563933000000</v>
      </c>
      <c r="G1615" s="12">
        <f t="shared" si="25"/>
        <v>14.126578866638413</v>
      </c>
    </row>
    <row r="1616" spans="1:7" ht="15" customHeight="1" x14ac:dyDescent="0.3">
      <c r="C1616" s="4"/>
      <c r="D1616" s="8">
        <v>2022</v>
      </c>
      <c r="E1616" s="14">
        <f>Data!F1616</f>
        <v>7671775000000</v>
      </c>
      <c r="F1616" s="14">
        <f>Data!H1616</f>
        <v>1695237000000</v>
      </c>
      <c r="G1616" s="12">
        <f t="shared" si="25"/>
        <v>4.5254881765794401</v>
      </c>
    </row>
    <row r="1617" spans="2:7" ht="15" customHeight="1" x14ac:dyDescent="0.3">
      <c r="C1617" s="4"/>
      <c r="D1617" s="8">
        <v>2023</v>
      </c>
      <c r="E1617" s="14">
        <f>Data!F1617</f>
        <v>6763704000000</v>
      </c>
      <c r="F1617" s="14">
        <f>Data!H1617</f>
        <v>623723000000</v>
      </c>
      <c r="G1617" s="12">
        <f t="shared" si="25"/>
        <v>10.844083030447811</v>
      </c>
    </row>
    <row r="1618" spans="2:7" ht="15" customHeight="1" x14ac:dyDescent="0.3">
      <c r="C1618" s="4"/>
      <c r="D1618" s="8">
        <v>2024</v>
      </c>
      <c r="E1618" s="14">
        <f>Data!F1618</f>
        <v>6859311000000</v>
      </c>
      <c r="F1618" s="14">
        <f>Data!H1618</f>
        <v>590993000000</v>
      </c>
      <c r="G1618" s="12">
        <f t="shared" si="25"/>
        <v>11.606416658065324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Data!F1619</f>
        <v>0</v>
      </c>
      <c r="F1619" s="14">
        <f>Data!H1619</f>
        <v>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Data!F1620</f>
        <v>7310709000000</v>
      </c>
      <c r="F1620" s="14">
        <f>Data!H1620</f>
        <v>913706000000</v>
      </c>
      <c r="G1620" s="12">
        <f t="shared" si="25"/>
        <v>8.0011612050265626</v>
      </c>
    </row>
    <row r="1621" spans="2:7" ht="15" customHeight="1" x14ac:dyDescent="0.3">
      <c r="C1621" s="5"/>
      <c r="D1621" s="8">
        <v>2016</v>
      </c>
      <c r="E1621" s="14">
        <f>Data!F1621</f>
        <v>7161821000000</v>
      </c>
      <c r="F1621" s="14">
        <f>Data!H1621</f>
        <v>1376384000000</v>
      </c>
      <c r="G1621" s="12">
        <f t="shared" si="25"/>
        <v>5.2033596728819864</v>
      </c>
    </row>
    <row r="1622" spans="2:7" ht="15" customHeight="1" x14ac:dyDescent="0.3">
      <c r="C1622" s="5"/>
      <c r="D1622" s="8">
        <v>2017</v>
      </c>
      <c r="E1622" s="14">
        <f>Data!F1622</f>
        <v>7097014000000</v>
      </c>
      <c r="F1622" s="14">
        <f>Data!H1622</f>
        <v>1109290000000</v>
      </c>
      <c r="G1622" s="12">
        <f t="shared" si="25"/>
        <v>6.3977985918921112</v>
      </c>
    </row>
    <row r="1623" spans="2:7" ht="15" customHeight="1" x14ac:dyDescent="0.3">
      <c r="C1623" s="5"/>
      <c r="D1623" s="8">
        <v>2018</v>
      </c>
      <c r="E1623" s="14">
        <f>Data!F1623</f>
        <v>8107132000000</v>
      </c>
      <c r="F1623" s="14">
        <f>Data!H1623</f>
        <v>1215201000000</v>
      </c>
      <c r="G1623" s="12">
        <f t="shared" si="25"/>
        <v>6.6714329563586601</v>
      </c>
    </row>
    <row r="1624" spans="2:7" ht="15" customHeight="1" x14ac:dyDescent="0.3">
      <c r="C1624" s="5"/>
      <c r="D1624" s="8">
        <v>2019</v>
      </c>
      <c r="E1624" s="14">
        <f>Data!F1624</f>
        <v>7682744000000</v>
      </c>
      <c r="F1624" s="14">
        <f>Data!H1624</f>
        <v>1637977000000</v>
      </c>
      <c r="G1624" s="12">
        <f t="shared" si="25"/>
        <v>4.6903857624374456</v>
      </c>
    </row>
    <row r="1625" spans="2:7" ht="15" customHeight="1" x14ac:dyDescent="0.3">
      <c r="C1625" s="5"/>
      <c r="D1625" s="8">
        <v>2020</v>
      </c>
      <c r="E1625" s="14">
        <f>Data!F1625</f>
        <v>7450865000000</v>
      </c>
      <c r="F1625" s="14">
        <f>Data!H1625</f>
        <v>1386535000000</v>
      </c>
      <c r="G1625" s="12">
        <f t="shared" si="25"/>
        <v>5.3737301979394676</v>
      </c>
    </row>
    <row r="1626" spans="2:7" ht="15" customHeight="1" x14ac:dyDescent="0.3">
      <c r="C1626" s="5"/>
      <c r="D1626" s="8">
        <v>2021</v>
      </c>
      <c r="E1626" s="14">
        <f>Data!F1626</f>
        <v>8600720000000</v>
      </c>
      <c r="F1626" s="14">
        <f>Data!H1626</f>
        <v>1625147000000</v>
      </c>
      <c r="G1626" s="12">
        <f t="shared" si="25"/>
        <v>5.2922720221616872</v>
      </c>
    </row>
    <row r="1627" spans="2:7" ht="15" customHeight="1" x14ac:dyDescent="0.3">
      <c r="C1627" s="5"/>
      <c r="D1627" s="8">
        <v>2022</v>
      </c>
      <c r="E1627" s="14">
        <f>Data!F1627</f>
        <v>7520262000000</v>
      </c>
      <c r="F1627" s="14">
        <f>Data!H1627</f>
        <v>1548048000000</v>
      </c>
      <c r="G1627" s="12">
        <f t="shared" si="25"/>
        <v>4.857899755046355</v>
      </c>
    </row>
    <row r="1628" spans="2:7" ht="15" customHeight="1" x14ac:dyDescent="0.3">
      <c r="C1628" s="5"/>
      <c r="D1628" s="8">
        <v>2023</v>
      </c>
      <c r="E1628" s="14">
        <f>Data!F1628</f>
        <v>7703198000000</v>
      </c>
      <c r="F1628" s="14">
        <f>Data!H1628</f>
        <v>1335581000000</v>
      </c>
      <c r="G1628" s="12">
        <f t="shared" si="25"/>
        <v>5.767675640788541</v>
      </c>
    </row>
    <row r="1629" spans="2:7" ht="15" customHeight="1" x14ac:dyDescent="0.3">
      <c r="C1629" s="5"/>
      <c r="D1629" s="8">
        <v>2024</v>
      </c>
      <c r="E1629" s="14">
        <f>Data!F1629</f>
        <v>7018615000000</v>
      </c>
      <c r="F1629" s="14">
        <f>Data!H1629</f>
        <v>1028497000000</v>
      </c>
      <c r="G1629" s="12">
        <f t="shared" si="25"/>
        <v>6.824147275101434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614B-CF7A-4382-A6BE-6AFBFBF6B7B3}">
  <sheetPr codeName="Sheet4"/>
  <dimension ref="A1:G1629"/>
  <sheetViews>
    <sheetView workbookViewId="0">
      <selection activeCell="H3" sqref="H3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6" width="21.6640625" style="14" bestFit="1" customWidth="1"/>
    <col min="7" max="7" width="12.664062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159</v>
      </c>
      <c r="F1" s="13" t="s">
        <v>161</v>
      </c>
      <c r="G1" s="11" t="s">
        <v>170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Data!E2</f>
        <v>0</v>
      </c>
      <c r="F2" s="14">
        <f>Data!H2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Data!E3</f>
        <v>0</v>
      </c>
      <c r="F3" s="14">
        <f>Data!H3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Data!E4</f>
        <v>0</v>
      </c>
      <c r="F4" s="14">
        <f>Data!H4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Data!E5</f>
        <v>0</v>
      </c>
      <c r="F5" s="14">
        <f>Data!H5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Data!E6</f>
        <v>0</v>
      </c>
      <c r="F6" s="14">
        <f>Data!H6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Data!E7</f>
        <v>0</v>
      </c>
      <c r="F7" s="14">
        <f>Data!H7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Data!E8</f>
        <v>0</v>
      </c>
      <c r="F8" s="14">
        <f>Data!H8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Data!E9</f>
        <v>0</v>
      </c>
      <c r="F9" s="14">
        <f>Data!H9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Data!E10</f>
        <v>0</v>
      </c>
      <c r="F10" s="14">
        <f>Data!H10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Data!E11</f>
        <v>0</v>
      </c>
      <c r="F11" s="14">
        <f>Data!H11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Data!E12</f>
        <v>0</v>
      </c>
      <c r="F12" s="14">
        <f>Data!H12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Data!E13</f>
        <v>0</v>
      </c>
      <c r="F13" s="14">
        <f>Data!H13</f>
        <v>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Data!E14</f>
        <v>322334000000</v>
      </c>
      <c r="F14" s="14">
        <f>Data!H14</f>
        <v>1833519000000</v>
      </c>
      <c r="G14" s="12">
        <f t="shared" si="0"/>
        <v>0.17580074163398363</v>
      </c>
    </row>
    <row r="15" spans="1:7" ht="15" customHeight="1" x14ac:dyDescent="0.3">
      <c r="C15" s="3"/>
      <c r="D15" s="8">
        <v>2016</v>
      </c>
      <c r="E15" s="14">
        <f>Data!E15</f>
        <v>383884000000</v>
      </c>
      <c r="F15" s="14">
        <f>Data!H15</f>
        <v>2103474000000</v>
      </c>
      <c r="G15" s="12">
        <f t="shared" si="0"/>
        <v>0.18249999762297989</v>
      </c>
    </row>
    <row r="16" spans="1:7" ht="15" customHeight="1" x14ac:dyDescent="0.3">
      <c r="C16" s="3"/>
      <c r="D16" s="8">
        <v>2017</v>
      </c>
      <c r="E16" s="14">
        <f>Data!E16</f>
        <v>461296000000</v>
      </c>
      <c r="F16" s="14">
        <f>Data!H16</f>
        <v>3116639000000</v>
      </c>
      <c r="G16" s="12">
        <f t="shared" si="0"/>
        <v>0.14801072565670903</v>
      </c>
    </row>
    <row r="17" spans="2:7" ht="15" customHeight="1" x14ac:dyDescent="0.3">
      <c r="C17" s="3"/>
      <c r="D17" s="8">
        <v>2018</v>
      </c>
      <c r="E17" s="14">
        <f>Data!E17</f>
        <v>718593000000</v>
      </c>
      <c r="F17" s="14">
        <f>Data!H17</f>
        <v>3329580000000</v>
      </c>
      <c r="G17" s="12">
        <f t="shared" si="0"/>
        <v>0.21582091434955761</v>
      </c>
    </row>
    <row r="18" spans="2:7" ht="15" customHeight="1" x14ac:dyDescent="0.3">
      <c r="C18" s="3"/>
      <c r="D18" s="8">
        <v>2019</v>
      </c>
      <c r="E18" s="14">
        <f>Data!E18</f>
        <v>1028736000000</v>
      </c>
      <c r="F18" s="14">
        <f>Data!H18</f>
        <v>3399335000000</v>
      </c>
      <c r="G18" s="12">
        <f t="shared" si="0"/>
        <v>0.30262860235899081</v>
      </c>
    </row>
    <row r="19" spans="2:7" ht="15" customHeight="1" x14ac:dyDescent="0.3">
      <c r="C19" s="3"/>
      <c r="D19" s="8">
        <v>2020</v>
      </c>
      <c r="E19" s="14">
        <f>Data!E19</f>
        <v>1275183000000</v>
      </c>
      <c r="F19" s="14">
        <f>Data!H19</f>
        <v>3640926000000</v>
      </c>
      <c r="G19" s="12">
        <f t="shared" si="0"/>
        <v>0.3502359015261502</v>
      </c>
    </row>
    <row r="20" spans="2:7" ht="15" customHeight="1" x14ac:dyDescent="0.3">
      <c r="C20" s="3"/>
      <c r="D20" s="8">
        <v>2021</v>
      </c>
      <c r="E20" s="14">
        <f>Data!E20</f>
        <v>1225179000000</v>
      </c>
      <c r="F20" s="14">
        <f>Data!H20</f>
        <v>3465695000000</v>
      </c>
      <c r="G20" s="12">
        <f t="shared" si="0"/>
        <v>0.35351610571616948</v>
      </c>
    </row>
    <row r="21" spans="2:7" ht="15" customHeight="1" x14ac:dyDescent="0.3">
      <c r="C21" s="3"/>
      <c r="D21" s="8">
        <v>2022</v>
      </c>
      <c r="E21" s="14">
        <f>Data!E21</f>
        <v>1379712000000</v>
      </c>
      <c r="F21" s="14">
        <f>Data!H21</f>
        <v>3771309000000</v>
      </c>
      <c r="G21" s="12">
        <f t="shared" si="0"/>
        <v>0.3658443262007966</v>
      </c>
    </row>
    <row r="22" spans="2:7" ht="15" customHeight="1" x14ac:dyDescent="0.3">
      <c r="C22" s="3"/>
      <c r="D22" s="8">
        <v>2023</v>
      </c>
      <c r="E22" s="14">
        <f>Data!E22</f>
        <v>841975000000</v>
      </c>
      <c r="F22" s="14">
        <f>Data!H22</f>
        <v>3324784000000</v>
      </c>
      <c r="G22" s="12">
        <f t="shared" si="0"/>
        <v>0.25324201512038075</v>
      </c>
    </row>
    <row r="23" spans="2:7" ht="15" customHeight="1" x14ac:dyDescent="0.3">
      <c r="C23" s="3"/>
      <c r="D23" s="8">
        <v>2024</v>
      </c>
      <c r="E23" s="14">
        <f>Data!E23</f>
        <v>1063869000000</v>
      </c>
      <c r="F23" s="14">
        <f>Data!H23</f>
        <v>2965577000000</v>
      </c>
      <c r="G23" s="12">
        <f t="shared" si="0"/>
        <v>0.35873929424189627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Data!E24</f>
        <v>0</v>
      </c>
      <c r="F24" s="14">
        <f>Data!H24</f>
        <v>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Data!E25</f>
        <v>459323000000</v>
      </c>
      <c r="F25" s="14">
        <f>Data!H25</f>
        <v>665956000000</v>
      </c>
      <c r="G25" s="12">
        <f t="shared" si="0"/>
        <v>0.68971974124416624</v>
      </c>
    </row>
    <row r="26" spans="2:7" ht="15" customHeight="1" x14ac:dyDescent="0.3">
      <c r="C26" s="3"/>
      <c r="D26" s="8">
        <v>2016</v>
      </c>
      <c r="E26" s="14">
        <f>Data!E26</f>
        <v>541939000000</v>
      </c>
      <c r="F26" s="14">
        <f>Data!H26</f>
        <v>953567000000</v>
      </c>
      <c r="G26" s="12">
        <f t="shared" si="0"/>
        <v>0.56832818249792616</v>
      </c>
    </row>
    <row r="27" spans="2:7" ht="15" customHeight="1" x14ac:dyDescent="0.3">
      <c r="C27" s="3"/>
      <c r="D27" s="8">
        <v>2017</v>
      </c>
      <c r="E27" s="14">
        <f>Data!E27</f>
        <v>400675000000</v>
      </c>
      <c r="F27" s="14">
        <f>Data!H27</f>
        <v>1244651000000</v>
      </c>
      <c r="G27" s="12">
        <f t="shared" si="0"/>
        <v>0.32191754957815483</v>
      </c>
    </row>
    <row r="28" spans="2:7" ht="15" customHeight="1" x14ac:dyDescent="0.3">
      <c r="C28" s="3"/>
      <c r="D28" s="8">
        <v>2018</v>
      </c>
      <c r="E28" s="14">
        <f>Data!E28</f>
        <v>445074000000</v>
      </c>
      <c r="F28" s="14">
        <f>Data!H28</f>
        <v>1580256000000</v>
      </c>
      <c r="G28" s="12">
        <f t="shared" si="0"/>
        <v>0.28164677115606584</v>
      </c>
    </row>
    <row r="29" spans="2:7" ht="15" customHeight="1" x14ac:dyDescent="0.3">
      <c r="C29" s="3"/>
      <c r="D29" s="8">
        <v>2019</v>
      </c>
      <c r="E29" s="14">
        <f>Data!E29</f>
        <v>593701000000</v>
      </c>
      <c r="F29" s="14">
        <f>Data!H29</f>
        <v>1291778000000</v>
      </c>
      <c r="G29" s="12">
        <f t="shared" si="0"/>
        <v>0.45959986932739216</v>
      </c>
    </row>
    <row r="30" spans="2:7" ht="15" customHeight="1" x14ac:dyDescent="0.3">
      <c r="C30" s="3"/>
      <c r="D30" s="8">
        <v>2020</v>
      </c>
      <c r="E30" s="14">
        <f>Data!E30</f>
        <v>757656000000</v>
      </c>
      <c r="F30" s="14">
        <f>Data!H30</f>
        <v>1443225000000</v>
      </c>
      <c r="G30" s="12">
        <f t="shared" si="0"/>
        <v>0.52497427636023486</v>
      </c>
    </row>
    <row r="31" spans="2:7" ht="15" customHeight="1" x14ac:dyDescent="0.3">
      <c r="C31" s="3"/>
      <c r="D31" s="8">
        <v>2021</v>
      </c>
      <c r="E31" s="14">
        <f>Data!E31</f>
        <v>781493000000</v>
      </c>
      <c r="F31" s="14">
        <f>Data!H31</f>
        <v>1539961000000</v>
      </c>
      <c r="G31" s="12">
        <f t="shared" si="0"/>
        <v>0.5074758386738365</v>
      </c>
    </row>
    <row r="32" spans="2:7" ht="15" customHeight="1" x14ac:dyDescent="0.3">
      <c r="C32" s="3"/>
      <c r="D32" s="8">
        <v>2022</v>
      </c>
      <c r="E32" s="14">
        <f>Data!E32</f>
        <v>917912000000</v>
      </c>
      <c r="F32" s="14">
        <f>Data!H32</f>
        <v>2321280000000</v>
      </c>
      <c r="G32" s="12">
        <f t="shared" si="0"/>
        <v>0.39543355390129586</v>
      </c>
    </row>
    <row r="33" spans="2:7" ht="15" customHeight="1" x14ac:dyDescent="0.3">
      <c r="C33" s="3"/>
      <c r="D33" s="8">
        <v>2023</v>
      </c>
      <c r="E33" s="14">
        <f>Data!E33</f>
        <v>1253189000000</v>
      </c>
      <c r="F33" s="14">
        <f>Data!H33</f>
        <v>2581811000000</v>
      </c>
      <c r="G33" s="12">
        <f t="shared" si="0"/>
        <v>0.48539145584242999</v>
      </c>
    </row>
    <row r="34" spans="2:7" ht="15" customHeight="1" x14ac:dyDescent="0.3">
      <c r="C34" s="3"/>
      <c r="D34" s="8">
        <v>2024</v>
      </c>
      <c r="E34" s="14">
        <f>Data!E34</f>
        <v>1400159000000</v>
      </c>
      <c r="F34" s="14">
        <f>Data!H34</f>
        <v>2735029000000</v>
      </c>
      <c r="G34" s="12">
        <f t="shared" si="0"/>
        <v>0.51193570525211984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Data!E35</f>
        <v>0</v>
      </c>
      <c r="F35" s="14">
        <f>Data!H35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Data!E36</f>
        <v>0</v>
      </c>
      <c r="F36" s="14">
        <f>Data!H36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Data!E37</f>
        <v>0</v>
      </c>
      <c r="F37" s="14">
        <f>Data!H37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Data!E38</f>
        <v>0</v>
      </c>
      <c r="F38" s="14">
        <f>Data!H38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Data!E39</f>
        <v>0</v>
      </c>
      <c r="F39" s="14">
        <f>Data!H39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Data!E40</f>
        <v>0</v>
      </c>
      <c r="F40" s="14">
        <f>Data!H40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Data!E41</f>
        <v>0</v>
      </c>
      <c r="F41" s="14">
        <f>Data!H41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Data!E42</f>
        <v>0</v>
      </c>
      <c r="F42" s="14">
        <f>Data!H42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Data!E43</f>
        <v>172936000000</v>
      </c>
      <c r="F43" s="14">
        <f>Data!H43</f>
        <v>516180000000</v>
      </c>
      <c r="G43" s="12">
        <f t="shared" si="0"/>
        <v>0.33503041574644504</v>
      </c>
    </row>
    <row r="44" spans="2:7" ht="15" customHeight="1" x14ac:dyDescent="0.3">
      <c r="C44" s="4"/>
      <c r="D44" s="8">
        <v>2023</v>
      </c>
      <c r="E44" s="14">
        <f>Data!E44</f>
        <v>206081000000</v>
      </c>
      <c r="F44" s="14">
        <f>Data!H44</f>
        <v>432783000000</v>
      </c>
      <c r="G44" s="12">
        <f t="shared" si="0"/>
        <v>0.47617628234011039</v>
      </c>
    </row>
    <row r="45" spans="2:7" ht="15" customHeight="1" x14ac:dyDescent="0.3">
      <c r="C45" s="4"/>
      <c r="D45" s="8">
        <v>2024</v>
      </c>
      <c r="E45" s="14">
        <f>Data!E45</f>
        <v>160128000000</v>
      </c>
      <c r="F45" s="14">
        <f>Data!H45</f>
        <v>370778000000</v>
      </c>
      <c r="G45" s="12">
        <f t="shared" si="0"/>
        <v>0.43187028356590734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Data!E46</f>
        <v>0</v>
      </c>
      <c r="F46" s="14">
        <f>Data!H46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Data!E47</f>
        <v>31270004000</v>
      </c>
      <c r="F47" s="14">
        <f>Data!H47</f>
        <v>212592184000</v>
      </c>
      <c r="G47" s="12">
        <f t="shared" si="0"/>
        <v>0.14708915168772149</v>
      </c>
    </row>
    <row r="48" spans="2:7" ht="15" customHeight="1" x14ac:dyDescent="0.3">
      <c r="C48" s="3"/>
      <c r="D48" s="8">
        <v>2016</v>
      </c>
      <c r="E48" s="14">
        <f>Data!E48</f>
        <v>47737525000</v>
      </c>
      <c r="F48" s="14">
        <f>Data!H48</f>
        <v>132766311000</v>
      </c>
      <c r="G48" s="12">
        <f t="shared" si="0"/>
        <v>0.35956052887543138</v>
      </c>
    </row>
    <row r="49" spans="2:7" ht="15" customHeight="1" x14ac:dyDescent="0.3">
      <c r="C49" s="3"/>
      <c r="D49" s="8">
        <v>2017</v>
      </c>
      <c r="E49" s="14">
        <f>Data!E49</f>
        <v>51803533000</v>
      </c>
      <c r="F49" s="14">
        <f>Data!H49</f>
        <v>170181075000</v>
      </c>
      <c r="G49" s="12">
        <f t="shared" si="0"/>
        <v>0.30440243135142964</v>
      </c>
    </row>
    <row r="50" spans="2:7" ht="15" customHeight="1" x14ac:dyDescent="0.3">
      <c r="C50" s="3"/>
      <c r="D50" s="8">
        <v>2018</v>
      </c>
      <c r="E50" s="14">
        <f>Data!E50</f>
        <v>61423379000</v>
      </c>
      <c r="F50" s="14">
        <f>Data!H50</f>
        <v>362779204000</v>
      </c>
      <c r="G50" s="12">
        <f t="shared" si="0"/>
        <v>0.16931339592442571</v>
      </c>
    </row>
    <row r="51" spans="2:7" ht="15" customHeight="1" x14ac:dyDescent="0.3">
      <c r="C51" s="3"/>
      <c r="D51" s="8">
        <v>2019</v>
      </c>
      <c r="E51" s="14">
        <f>Data!E51</f>
        <v>68265000000</v>
      </c>
      <c r="F51" s="14">
        <f>Data!H51</f>
        <v>322081000000</v>
      </c>
      <c r="G51" s="12">
        <f t="shared" si="0"/>
        <v>0.21194978902822581</v>
      </c>
    </row>
    <row r="52" spans="2:7" ht="15" customHeight="1" x14ac:dyDescent="0.3">
      <c r="C52" s="3"/>
      <c r="D52" s="8">
        <v>2020</v>
      </c>
      <c r="E52" s="14">
        <f>Data!E52</f>
        <v>95700000000</v>
      </c>
      <c r="F52" s="14">
        <f>Data!H52</f>
        <v>255342000000</v>
      </c>
      <c r="G52" s="12">
        <f t="shared" si="0"/>
        <v>0.37479145616467324</v>
      </c>
    </row>
    <row r="53" spans="2:7" ht="15" customHeight="1" x14ac:dyDescent="0.3">
      <c r="C53" s="3"/>
      <c r="D53" s="8">
        <v>2021</v>
      </c>
      <c r="E53" s="14">
        <f>Data!E53</f>
        <v>79576000000</v>
      </c>
      <c r="F53" s="14">
        <f>Data!H53</f>
        <v>946159000000</v>
      </c>
      <c r="G53" s="12">
        <f t="shared" si="0"/>
        <v>8.4104257318273146E-2</v>
      </c>
    </row>
    <row r="54" spans="2:7" ht="15" customHeight="1" x14ac:dyDescent="0.3">
      <c r="C54" s="3"/>
      <c r="D54" s="8">
        <v>2022</v>
      </c>
      <c r="E54" s="14">
        <f>Data!E54</f>
        <v>65266000000</v>
      </c>
      <c r="F54" s="14">
        <f>Data!H54</f>
        <v>577879000000</v>
      </c>
      <c r="G54" s="12">
        <f t="shared" si="0"/>
        <v>0.1129405982913378</v>
      </c>
    </row>
    <row r="55" spans="2:7" ht="15" customHeight="1" x14ac:dyDescent="0.3">
      <c r="C55" s="3"/>
      <c r="D55" s="8">
        <v>2023</v>
      </c>
      <c r="E55" s="14">
        <f>Data!E55</f>
        <v>66255000000</v>
      </c>
      <c r="F55" s="14">
        <f>Data!H55</f>
        <v>318534000000</v>
      </c>
      <c r="G55" s="12">
        <f t="shared" si="0"/>
        <v>0.20799977396447475</v>
      </c>
    </row>
    <row r="56" spans="2:7" ht="15" customHeight="1" x14ac:dyDescent="0.3">
      <c r="C56" s="3"/>
      <c r="D56" s="8">
        <v>2024</v>
      </c>
      <c r="E56" s="14">
        <f>Data!E56</f>
        <v>0</v>
      </c>
      <c r="F56" s="14">
        <f>Data!H56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Data!E57</f>
        <v>0</v>
      </c>
      <c r="F57" s="14">
        <f>Data!H57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Data!E58</f>
        <v>0</v>
      </c>
      <c r="F58" s="14">
        <f>Data!H58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Data!E59</f>
        <v>7117000000</v>
      </c>
      <c r="F59" s="14">
        <f>Data!H59</f>
        <v>3417000000</v>
      </c>
      <c r="G59" s="12">
        <f t="shared" si="0"/>
        <v>2.0828211881767631</v>
      </c>
    </row>
    <row r="60" spans="2:7" ht="15" customHeight="1" x14ac:dyDescent="0.3">
      <c r="C60" s="3"/>
      <c r="D60" s="8">
        <v>2017</v>
      </c>
      <c r="E60" s="14">
        <f>Data!E60</f>
        <v>5273000000</v>
      </c>
      <c r="F60" s="14">
        <f>Data!H60</f>
        <v>7335000000</v>
      </c>
      <c r="G60" s="12">
        <f t="shared" si="0"/>
        <v>0.7188820722563054</v>
      </c>
    </row>
    <row r="61" spans="2:7" ht="15" customHeight="1" x14ac:dyDescent="0.3">
      <c r="C61" s="3"/>
      <c r="D61" s="8">
        <v>2018</v>
      </c>
      <c r="E61" s="14">
        <f>Data!E61</f>
        <v>9389000000</v>
      </c>
      <c r="F61" s="14">
        <f>Data!H61</f>
        <v>15989000000</v>
      </c>
      <c r="G61" s="12">
        <f t="shared" si="0"/>
        <v>0.58721621114516231</v>
      </c>
    </row>
    <row r="62" spans="2:7" ht="15" customHeight="1" x14ac:dyDescent="0.3">
      <c r="C62" s="3"/>
      <c r="D62" s="8">
        <v>2019</v>
      </c>
      <c r="E62" s="14">
        <f>Data!E62</f>
        <v>9265000000</v>
      </c>
      <c r="F62" s="14">
        <f>Data!H62</f>
        <v>14816000000</v>
      </c>
      <c r="G62" s="12">
        <f t="shared" si="0"/>
        <v>0.6253374730021598</v>
      </c>
    </row>
    <row r="63" spans="2:7" ht="15" customHeight="1" x14ac:dyDescent="0.3">
      <c r="C63" s="3"/>
      <c r="D63" s="8">
        <v>2020</v>
      </c>
      <c r="E63" s="14">
        <f>Data!E63</f>
        <v>24303000000</v>
      </c>
      <c r="F63" s="14">
        <f>Data!H63</f>
        <v>14810000000</v>
      </c>
      <c r="G63" s="12">
        <f t="shared" si="0"/>
        <v>1.6409858203916272</v>
      </c>
    </row>
    <row r="64" spans="2:7" ht="15" customHeight="1" x14ac:dyDescent="0.3">
      <c r="C64" s="3"/>
      <c r="D64" s="8">
        <v>2021</v>
      </c>
      <c r="E64" s="14">
        <f>Data!E64</f>
        <v>33236000000</v>
      </c>
      <c r="F64" s="14">
        <f>Data!H64</f>
        <v>33110000000</v>
      </c>
      <c r="G64" s="12">
        <f t="shared" si="0"/>
        <v>1.0038054968287526</v>
      </c>
    </row>
    <row r="65" spans="2:7" ht="15" customHeight="1" x14ac:dyDescent="0.3">
      <c r="C65" s="3"/>
      <c r="D65" s="8">
        <v>2022</v>
      </c>
      <c r="E65" s="14">
        <f>Data!E65</f>
        <v>29813000000</v>
      </c>
      <c r="F65" s="14">
        <f>Data!H65</f>
        <v>40437000000</v>
      </c>
      <c r="G65" s="12">
        <f t="shared" si="0"/>
        <v>0.73727032173504459</v>
      </c>
    </row>
    <row r="66" spans="2:7" ht="15" customHeight="1" x14ac:dyDescent="0.3">
      <c r="C66" s="3"/>
      <c r="D66" s="8">
        <v>2023</v>
      </c>
      <c r="E66" s="14">
        <f>Data!E66</f>
        <v>39592000000</v>
      </c>
      <c r="F66" s="14">
        <f>Data!H66</f>
        <v>58468000000</v>
      </c>
      <c r="G66" s="12">
        <f t="shared" si="0"/>
        <v>0.67715673530820275</v>
      </c>
    </row>
    <row r="67" spans="2:7" ht="15" customHeight="1" x14ac:dyDescent="0.3">
      <c r="C67" s="3"/>
      <c r="D67" s="8">
        <v>2024</v>
      </c>
      <c r="E67" s="14">
        <f>Data!E67</f>
        <v>42438000000</v>
      </c>
      <c r="F67" s="14">
        <f>Data!H67</f>
        <v>70006000000</v>
      </c>
      <c r="G67" s="12">
        <f t="shared" ref="G67:G130" si="1">IFERROR(E67/F67,0)</f>
        <v>0.60620518241293608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Data!E68</f>
        <v>0</v>
      </c>
      <c r="F68" s="14">
        <f>Data!H68</f>
        <v>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Data!E69</f>
        <v>187589000000</v>
      </c>
      <c r="F69" s="14">
        <f>Data!H69</f>
        <v>323188000000</v>
      </c>
      <c r="G69" s="12">
        <f t="shared" si="1"/>
        <v>0.58043306063343936</v>
      </c>
    </row>
    <row r="70" spans="2:7" ht="15" customHeight="1" x14ac:dyDescent="0.3">
      <c r="C70" s="3"/>
      <c r="D70" s="8">
        <v>2016</v>
      </c>
      <c r="E70" s="14">
        <f>Data!E70</f>
        <v>584373000000</v>
      </c>
      <c r="F70" s="14">
        <f>Data!H70</f>
        <v>406803000000</v>
      </c>
      <c r="G70" s="12">
        <f t="shared" si="1"/>
        <v>1.4365012057433204</v>
      </c>
    </row>
    <row r="71" spans="2:7" ht="15" customHeight="1" x14ac:dyDescent="0.3">
      <c r="C71" s="3"/>
      <c r="D71" s="8">
        <v>2017</v>
      </c>
      <c r="E71" s="14">
        <f>Data!E71</f>
        <v>589034000000</v>
      </c>
      <c r="F71" s="14">
        <f>Data!H71</f>
        <v>364804000000</v>
      </c>
      <c r="G71" s="12">
        <f t="shared" si="1"/>
        <v>1.6146588304952796</v>
      </c>
    </row>
    <row r="72" spans="2:7" ht="15" customHeight="1" x14ac:dyDescent="0.3">
      <c r="C72" s="3"/>
      <c r="D72" s="8">
        <v>2018</v>
      </c>
      <c r="E72" s="14">
        <f>Data!E72</f>
        <v>805555000000</v>
      </c>
      <c r="F72" s="14">
        <f>Data!H72</f>
        <v>381609000000</v>
      </c>
      <c r="G72" s="12">
        <f t="shared" si="1"/>
        <v>2.1109434001818617</v>
      </c>
    </row>
    <row r="73" spans="2:7" ht="15" customHeight="1" x14ac:dyDescent="0.3">
      <c r="C73" s="3"/>
      <c r="D73" s="8">
        <v>2019</v>
      </c>
      <c r="E73" s="14">
        <f>Data!E73</f>
        <v>601357000000</v>
      </c>
      <c r="F73" s="14">
        <f>Data!H73</f>
        <v>397846000000</v>
      </c>
      <c r="G73" s="12">
        <f t="shared" si="1"/>
        <v>1.5115321003604409</v>
      </c>
    </row>
    <row r="74" spans="2:7" ht="15" customHeight="1" x14ac:dyDescent="0.3">
      <c r="C74" s="3"/>
      <c r="D74" s="8">
        <v>2020</v>
      </c>
      <c r="E74" s="14">
        <f>Data!E74</f>
        <v>588417000000</v>
      </c>
      <c r="F74" s="14">
        <f>Data!H74</f>
        <v>582749000000</v>
      </c>
      <c r="G74" s="12">
        <f t="shared" si="1"/>
        <v>1.0097263144166699</v>
      </c>
    </row>
    <row r="75" spans="2:7" ht="15" customHeight="1" x14ac:dyDescent="0.3">
      <c r="C75" s="3"/>
      <c r="D75" s="8">
        <v>2021</v>
      </c>
      <c r="E75" s="14">
        <f>Data!E75</f>
        <v>453748000000</v>
      </c>
      <c r="F75" s="14">
        <f>Data!H75</f>
        <v>386504000000</v>
      </c>
      <c r="G75" s="12">
        <f t="shared" si="1"/>
        <v>1.1739800881750253</v>
      </c>
    </row>
    <row r="76" spans="2:7" ht="15" customHeight="1" x14ac:dyDescent="0.3">
      <c r="C76" s="3"/>
      <c r="D76" s="8">
        <v>2022</v>
      </c>
      <c r="E76" s="14">
        <f>Data!E76</f>
        <v>554809000000</v>
      </c>
      <c r="F76" s="14">
        <f>Data!H76</f>
        <v>673005000000</v>
      </c>
      <c r="G76" s="12">
        <f t="shared" si="1"/>
        <v>0.8243757475798843</v>
      </c>
    </row>
    <row r="77" spans="2:7" ht="15" customHeight="1" x14ac:dyDescent="0.3">
      <c r="C77" s="3"/>
      <c r="D77" s="8">
        <v>2023</v>
      </c>
      <c r="E77" s="14">
        <f>Data!E77</f>
        <v>347200000000</v>
      </c>
      <c r="F77" s="14">
        <f>Data!H77</f>
        <v>840770000000</v>
      </c>
      <c r="G77" s="12">
        <f t="shared" si="1"/>
        <v>0.41295479144117891</v>
      </c>
    </row>
    <row r="78" spans="2:7" ht="15" customHeight="1" x14ac:dyDescent="0.3">
      <c r="C78" s="3"/>
      <c r="D78" s="8">
        <v>2024</v>
      </c>
      <c r="E78" s="14">
        <f>Data!E78</f>
        <v>295483000000</v>
      </c>
      <c r="F78" s="14">
        <f>Data!H78</f>
        <v>701500000000</v>
      </c>
      <c r="G78" s="12">
        <f t="shared" si="1"/>
        <v>0.42121596578759801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Data!E79</f>
        <v>0</v>
      </c>
      <c r="F79" s="14">
        <f>Data!H79</f>
        <v>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Data!E80</f>
        <v>10832000000</v>
      </c>
      <c r="F80" s="14">
        <f>Data!H80</f>
        <v>15519000000</v>
      </c>
      <c r="G80" s="12">
        <f t="shared" si="1"/>
        <v>0.69798311746890906</v>
      </c>
    </row>
    <row r="81" spans="2:7" ht="15" customHeight="1" x14ac:dyDescent="0.3">
      <c r="C81" s="3"/>
      <c r="D81" s="8">
        <v>2016</v>
      </c>
      <c r="E81" s="14">
        <f>Data!E81</f>
        <v>9355000000</v>
      </c>
      <c r="F81" s="14">
        <f>Data!H81</f>
        <v>44397000000</v>
      </c>
      <c r="G81" s="12">
        <f t="shared" si="1"/>
        <v>0.21071243552492286</v>
      </c>
    </row>
    <row r="82" spans="2:7" ht="15" customHeight="1" x14ac:dyDescent="0.3">
      <c r="C82" s="3"/>
      <c r="D82" s="8">
        <v>2017</v>
      </c>
      <c r="E82" s="14">
        <f>Data!E82</f>
        <v>9023000000</v>
      </c>
      <c r="F82" s="14">
        <f>Data!H82</f>
        <v>96254000000</v>
      </c>
      <c r="G82" s="12">
        <f t="shared" si="1"/>
        <v>9.3741558792361873E-2</v>
      </c>
    </row>
    <row r="83" spans="2:7" ht="15" customHeight="1" x14ac:dyDescent="0.3">
      <c r="C83" s="3"/>
      <c r="D83" s="8">
        <v>2018</v>
      </c>
      <c r="E83" s="14">
        <f>Data!E83</f>
        <v>2165000000</v>
      </c>
      <c r="F83" s="14">
        <f>Data!H83</f>
        <v>62173000000</v>
      </c>
      <c r="G83" s="12">
        <f t="shared" si="1"/>
        <v>3.4822189696492048E-2</v>
      </c>
    </row>
    <row r="84" spans="2:7" ht="15" customHeight="1" x14ac:dyDescent="0.3">
      <c r="C84" s="3"/>
      <c r="D84" s="8">
        <v>2019</v>
      </c>
      <c r="E84" s="14">
        <f>Data!E84</f>
        <v>5650000000</v>
      </c>
      <c r="F84" s="14">
        <f>Data!H84</f>
        <v>76452000000</v>
      </c>
      <c r="G84" s="12">
        <f t="shared" si="1"/>
        <v>7.3902579396222468E-2</v>
      </c>
    </row>
    <row r="85" spans="2:7" ht="15" customHeight="1" x14ac:dyDescent="0.3">
      <c r="C85" s="3"/>
      <c r="D85" s="8">
        <v>2020</v>
      </c>
      <c r="E85" s="14">
        <f>Data!E85</f>
        <v>13881000000</v>
      </c>
      <c r="F85" s="14">
        <f>Data!H85</f>
        <v>89869000000</v>
      </c>
      <c r="G85" s="12">
        <f t="shared" si="1"/>
        <v>0.15445815576005073</v>
      </c>
    </row>
    <row r="86" spans="2:7" ht="15" customHeight="1" x14ac:dyDescent="0.3">
      <c r="C86" s="3"/>
      <c r="D86" s="8">
        <v>2021</v>
      </c>
      <c r="E86" s="14">
        <f>Data!E86</f>
        <v>2873000000</v>
      </c>
      <c r="F86" s="14">
        <f>Data!H86</f>
        <v>84761000000</v>
      </c>
      <c r="G86" s="12">
        <f t="shared" si="1"/>
        <v>3.3895305624048799E-2</v>
      </c>
    </row>
    <row r="87" spans="2:7" ht="15" customHeight="1" x14ac:dyDescent="0.3">
      <c r="C87" s="3"/>
      <c r="D87" s="8">
        <v>2022</v>
      </c>
      <c r="E87" s="14">
        <f>Data!E87</f>
        <v>7230000000</v>
      </c>
      <c r="F87" s="14">
        <f>Data!H87</f>
        <v>117537000000</v>
      </c>
      <c r="G87" s="12">
        <f t="shared" si="1"/>
        <v>6.151254498583425E-2</v>
      </c>
    </row>
    <row r="88" spans="2:7" ht="15" customHeight="1" x14ac:dyDescent="0.3">
      <c r="C88" s="3"/>
      <c r="D88" s="8">
        <v>2023</v>
      </c>
      <c r="E88" s="14">
        <f>Data!E88</f>
        <v>3676000000</v>
      </c>
      <c r="F88" s="14">
        <f>Data!H88</f>
        <v>132809000000</v>
      </c>
      <c r="G88" s="12">
        <f t="shared" si="1"/>
        <v>2.7678847066087389E-2</v>
      </c>
    </row>
    <row r="89" spans="2:7" ht="15" customHeight="1" x14ac:dyDescent="0.3">
      <c r="C89" s="3"/>
      <c r="D89" s="8">
        <v>2024</v>
      </c>
      <c r="E89" s="14">
        <f>Data!E89</f>
        <v>2728000000</v>
      </c>
      <c r="F89" s="14">
        <f>Data!H89</f>
        <v>97813000000</v>
      </c>
      <c r="G89" s="12">
        <f t="shared" si="1"/>
        <v>2.7889953278194105E-2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Data!E90</f>
        <v>0</v>
      </c>
      <c r="F90" s="14">
        <f>Data!H90</f>
        <v>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Data!E91</f>
        <v>9150000000</v>
      </c>
      <c r="F91" s="14">
        <f>Data!H91</f>
        <v>62044000000</v>
      </c>
      <c r="G91" s="12">
        <f t="shared" si="1"/>
        <v>0.1474759847849913</v>
      </c>
    </row>
    <row r="92" spans="2:7" ht="15" customHeight="1" x14ac:dyDescent="0.3">
      <c r="C92" s="3"/>
      <c r="D92" s="8">
        <v>2016</v>
      </c>
      <c r="E92" s="14">
        <f>Data!E92</f>
        <v>99955000000</v>
      </c>
      <c r="F92" s="14">
        <f>Data!H92</f>
        <v>374125000000</v>
      </c>
      <c r="G92" s="12">
        <f t="shared" si="1"/>
        <v>0.26717006348145672</v>
      </c>
    </row>
    <row r="93" spans="2:7" ht="15" customHeight="1" x14ac:dyDescent="0.3">
      <c r="C93" s="3"/>
      <c r="D93" s="8">
        <v>2017</v>
      </c>
      <c r="E93" s="14">
        <f>Data!E93</f>
        <v>19011000000</v>
      </c>
      <c r="F93" s="14">
        <f>Data!H93</f>
        <v>403817000000</v>
      </c>
      <c r="G93" s="12">
        <f t="shared" si="1"/>
        <v>4.7078255744557561E-2</v>
      </c>
    </row>
    <row r="94" spans="2:7" ht="15" customHeight="1" x14ac:dyDescent="0.3">
      <c r="C94" s="3"/>
      <c r="D94" s="8">
        <v>2018</v>
      </c>
      <c r="E94" s="14">
        <f>Data!E94</f>
        <v>14894000000</v>
      </c>
      <c r="F94" s="14">
        <f>Data!H94</f>
        <v>446855000000</v>
      </c>
      <c r="G94" s="12">
        <f t="shared" si="1"/>
        <v>3.3330722493873852E-2</v>
      </c>
    </row>
    <row r="95" spans="2:7" ht="15" customHeight="1" x14ac:dyDescent="0.3">
      <c r="C95" s="3"/>
      <c r="D95" s="8">
        <v>2019</v>
      </c>
      <c r="E95" s="14">
        <f>Data!E95</f>
        <v>13047000000</v>
      </c>
      <c r="F95" s="14">
        <f>Data!H95</f>
        <v>410765000000</v>
      </c>
      <c r="G95" s="12">
        <f t="shared" si="1"/>
        <v>3.1762686694338613E-2</v>
      </c>
    </row>
    <row r="96" spans="2:7" ht="15" customHeight="1" x14ac:dyDescent="0.3">
      <c r="C96" s="3"/>
      <c r="D96" s="8">
        <v>2020</v>
      </c>
      <c r="E96" s="14">
        <f>Data!E96</f>
        <v>17657000000</v>
      </c>
      <c r="F96" s="14">
        <f>Data!H96</f>
        <v>418551000000</v>
      </c>
      <c r="G96" s="12">
        <f t="shared" si="1"/>
        <v>4.218601795241201E-2</v>
      </c>
    </row>
    <row r="97" spans="2:7" ht="15" customHeight="1" x14ac:dyDescent="0.3">
      <c r="C97" s="3"/>
      <c r="D97" s="8">
        <v>2021</v>
      </c>
      <c r="E97" s="14">
        <f>Data!E97</f>
        <v>12463000000</v>
      </c>
      <c r="F97" s="14">
        <f>Data!H97</f>
        <v>389107000000</v>
      </c>
      <c r="G97" s="12">
        <f t="shared" si="1"/>
        <v>3.2029750171546641E-2</v>
      </c>
    </row>
    <row r="98" spans="2:7" ht="15" customHeight="1" x14ac:dyDescent="0.3">
      <c r="C98" s="3"/>
      <c r="D98" s="8">
        <v>2022</v>
      </c>
      <c r="E98" s="14">
        <f>Data!E98</f>
        <v>31388000000</v>
      </c>
      <c r="F98" s="14">
        <f>Data!H98</f>
        <v>384877000000</v>
      </c>
      <c r="G98" s="12">
        <f t="shared" si="1"/>
        <v>8.1553327426684363E-2</v>
      </c>
    </row>
    <row r="99" spans="2:7" ht="15" customHeight="1" x14ac:dyDescent="0.3">
      <c r="C99" s="3"/>
      <c r="D99" s="8">
        <v>2023</v>
      </c>
      <c r="E99" s="14">
        <f>Data!E99</f>
        <v>14432000000</v>
      </c>
      <c r="F99" s="14">
        <f>Data!H99</f>
        <v>515004000000</v>
      </c>
      <c r="G99" s="12">
        <f t="shared" si="1"/>
        <v>2.802308331585774E-2</v>
      </c>
    </row>
    <row r="100" spans="2:7" ht="15" customHeight="1" x14ac:dyDescent="0.3">
      <c r="C100" s="3"/>
      <c r="D100" s="8">
        <v>2024</v>
      </c>
      <c r="E100" s="14">
        <f>Data!E100</f>
        <v>65375000000</v>
      </c>
      <c r="F100" s="14">
        <f>Data!H100</f>
        <v>403540000000</v>
      </c>
      <c r="G100" s="12">
        <f t="shared" si="1"/>
        <v>0.16200376666501462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Data!E101</f>
        <v>0</v>
      </c>
      <c r="F101" s="14">
        <f>Data!H101</f>
        <v>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Data!E102</f>
        <v>70831000000</v>
      </c>
      <c r="F102" s="14">
        <f>Data!H102</f>
        <v>554291000000</v>
      </c>
      <c r="G102" s="12">
        <f t="shared" si="1"/>
        <v>0.12778666801373287</v>
      </c>
    </row>
    <row r="103" spans="2:7" ht="15" customHeight="1" x14ac:dyDescent="0.3">
      <c r="C103" s="3"/>
      <c r="D103" s="8">
        <v>2016</v>
      </c>
      <c r="E103" s="14">
        <f>Data!E103</f>
        <v>33914000000</v>
      </c>
      <c r="F103" s="14">
        <f>Data!H103</f>
        <v>758439000000</v>
      </c>
      <c r="G103" s="12">
        <f t="shared" si="1"/>
        <v>4.4715527550666566E-2</v>
      </c>
    </row>
    <row r="104" spans="2:7" ht="15" customHeight="1" x14ac:dyDescent="0.3">
      <c r="C104" s="3"/>
      <c r="D104" s="8">
        <v>2017</v>
      </c>
      <c r="E104" s="14">
        <f>Data!E104</f>
        <v>117853000000</v>
      </c>
      <c r="F104" s="14">
        <f>Data!H104</f>
        <v>935319000000</v>
      </c>
      <c r="G104" s="12">
        <f t="shared" si="1"/>
        <v>0.12600300004597362</v>
      </c>
    </row>
    <row r="105" spans="2:7" ht="15" customHeight="1" x14ac:dyDescent="0.3">
      <c r="C105" s="3"/>
      <c r="D105" s="8">
        <v>2018</v>
      </c>
      <c r="E105" s="14">
        <f>Data!E105</f>
        <v>87247000000</v>
      </c>
      <c r="F105" s="14">
        <f>Data!H105</f>
        <v>1063719000000</v>
      </c>
      <c r="G105" s="12">
        <f t="shared" si="1"/>
        <v>8.2020721637951377E-2</v>
      </c>
    </row>
    <row r="106" spans="2:7" ht="15" customHeight="1" x14ac:dyDescent="0.3">
      <c r="C106" s="3"/>
      <c r="D106" s="8">
        <v>2019</v>
      </c>
      <c r="E106" s="14">
        <f>Data!E106</f>
        <v>44205000000</v>
      </c>
      <c r="F106" s="14">
        <f>Data!H106</f>
        <v>1283172000000</v>
      </c>
      <c r="G106" s="12">
        <f t="shared" si="1"/>
        <v>3.4449785375616049E-2</v>
      </c>
    </row>
    <row r="107" spans="2:7" ht="15" customHeight="1" x14ac:dyDescent="0.3">
      <c r="C107" s="3"/>
      <c r="D107" s="8">
        <v>2020</v>
      </c>
      <c r="E107" s="14">
        <f>Data!E107</f>
        <v>44950000000</v>
      </c>
      <c r="F107" s="14">
        <f>Data!H107</f>
        <v>1201864000000</v>
      </c>
      <c r="G107" s="12">
        <f t="shared" si="1"/>
        <v>3.7400238296512747E-2</v>
      </c>
    </row>
    <row r="108" spans="2:7" ht="15" customHeight="1" x14ac:dyDescent="0.3">
      <c r="C108" s="3"/>
      <c r="D108" s="8">
        <v>2021</v>
      </c>
      <c r="E108" s="14">
        <f>Data!E108</f>
        <v>219753000000</v>
      </c>
      <c r="F108" s="14">
        <f>Data!H108</f>
        <v>1067047000000</v>
      </c>
      <c r="G108" s="12">
        <f t="shared" si="1"/>
        <v>0.20594500523407122</v>
      </c>
    </row>
    <row r="109" spans="2:7" ht="15" customHeight="1" x14ac:dyDescent="0.3">
      <c r="C109" s="3"/>
      <c r="D109" s="8">
        <v>2022</v>
      </c>
      <c r="E109" s="14">
        <f>Data!E109</f>
        <v>199236000000</v>
      </c>
      <c r="F109" s="14">
        <f>Data!H109</f>
        <v>803384000000</v>
      </c>
      <c r="G109" s="12">
        <f t="shared" si="1"/>
        <v>0.24799597701721718</v>
      </c>
    </row>
    <row r="110" spans="2:7" ht="15" customHeight="1" x14ac:dyDescent="0.3">
      <c r="C110" s="3"/>
      <c r="D110" s="8">
        <v>2023</v>
      </c>
      <c r="E110" s="14">
        <f>Data!E110</f>
        <v>305311000000</v>
      </c>
      <c r="F110" s="14">
        <f>Data!H110</f>
        <v>872401000000</v>
      </c>
      <c r="G110" s="12">
        <f t="shared" si="1"/>
        <v>0.34996635721417102</v>
      </c>
    </row>
    <row r="111" spans="2:7" ht="15" customHeight="1" x14ac:dyDescent="0.3">
      <c r="C111" s="3"/>
      <c r="D111" s="8">
        <v>2024</v>
      </c>
      <c r="E111" s="14">
        <f>Data!E111</f>
        <v>300119000000</v>
      </c>
      <c r="F111" s="14">
        <f>Data!H111</f>
        <v>874886000000</v>
      </c>
      <c r="G111" s="12">
        <f t="shared" si="1"/>
        <v>0.34303783578660535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Data!E112</f>
        <v>0</v>
      </c>
      <c r="F112" s="14">
        <f>Data!H112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Data!E113</f>
        <v>0</v>
      </c>
      <c r="F113" s="14">
        <f>Data!H113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Data!E114</f>
        <v>0</v>
      </c>
      <c r="F114" s="14">
        <f>Data!H114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Data!E115</f>
        <v>0</v>
      </c>
      <c r="F115" s="14">
        <f>Data!H115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Data!E116</f>
        <v>0</v>
      </c>
      <c r="F116" s="14">
        <f>Data!H116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Data!E117</f>
        <v>0</v>
      </c>
      <c r="F117" s="14">
        <f>Data!H117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Data!E118</f>
        <v>120198000000</v>
      </c>
      <c r="F118" s="14">
        <f>Data!H118</f>
        <v>3784000000</v>
      </c>
      <c r="G118" s="12">
        <f t="shared" si="1"/>
        <v>31.764799154334039</v>
      </c>
    </row>
    <row r="119" spans="2:7" ht="15" customHeight="1" x14ac:dyDescent="0.3">
      <c r="C119" s="3"/>
      <c r="D119" s="8">
        <v>2021</v>
      </c>
      <c r="E119" s="14">
        <f>Data!E119</f>
        <v>7270832000000</v>
      </c>
      <c r="F119" s="14">
        <f>Data!H119</f>
        <v>102752000000</v>
      </c>
      <c r="G119" s="12">
        <f t="shared" si="1"/>
        <v>70.760977888508251</v>
      </c>
    </row>
    <row r="120" spans="2:7" ht="15" customHeight="1" x14ac:dyDescent="0.3">
      <c r="C120" s="3"/>
      <c r="D120" s="8">
        <v>2022</v>
      </c>
      <c r="E120" s="14">
        <f>Data!E120</f>
        <v>818075000000</v>
      </c>
      <c r="F120" s="14">
        <f>Data!H120</f>
        <v>661209000000</v>
      </c>
      <c r="G120" s="12">
        <f t="shared" si="1"/>
        <v>1.2372411748781398</v>
      </c>
    </row>
    <row r="121" spans="2:7" ht="15" customHeight="1" x14ac:dyDescent="0.3">
      <c r="C121" s="3"/>
      <c r="D121" s="8">
        <v>2023</v>
      </c>
      <c r="E121" s="14">
        <f>Data!E121</f>
        <v>2292974000000</v>
      </c>
      <c r="F121" s="14">
        <f>Data!H121</f>
        <v>1279533000000</v>
      </c>
      <c r="G121" s="12">
        <f t="shared" si="1"/>
        <v>1.79203975200327</v>
      </c>
    </row>
    <row r="122" spans="2:7" ht="15" customHeight="1" x14ac:dyDescent="0.3">
      <c r="C122" s="3"/>
      <c r="D122" s="8">
        <v>2024</v>
      </c>
      <c r="E122" s="14">
        <f>Data!E122</f>
        <v>3341763000000</v>
      </c>
      <c r="F122" s="14">
        <f>Data!H122</f>
        <v>753219000000</v>
      </c>
      <c r="G122" s="12">
        <f t="shared" si="1"/>
        <v>4.4366419328243181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Data!E123</f>
        <v>0</v>
      </c>
      <c r="F123" s="14">
        <f>Data!H123</f>
        <v>0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Data!E124</f>
        <v>1006649227955</v>
      </c>
      <c r="F124" s="14">
        <f>Data!H124</f>
        <v>139573940067</v>
      </c>
      <c r="G124" s="12">
        <f t="shared" si="1"/>
        <v>7.2123007165361663</v>
      </c>
    </row>
    <row r="125" spans="2:7" ht="15" customHeight="1" x14ac:dyDescent="0.3">
      <c r="C125" s="3"/>
      <c r="D125" s="8">
        <v>2016</v>
      </c>
      <c r="E125" s="14">
        <f>Data!E125</f>
        <v>1011852653131</v>
      </c>
      <c r="F125" s="14">
        <f>Data!H125</f>
        <v>195681769660</v>
      </c>
      <c r="G125" s="12">
        <f t="shared" si="1"/>
        <v>5.1709091495294075</v>
      </c>
    </row>
    <row r="126" spans="2:7" ht="15" customHeight="1" x14ac:dyDescent="0.3">
      <c r="C126" s="3"/>
      <c r="D126" s="8">
        <v>2017</v>
      </c>
      <c r="E126" s="14">
        <f>Data!E126</f>
        <v>646688275362</v>
      </c>
      <c r="F126" s="14">
        <f>Data!H126</f>
        <v>155487317812</v>
      </c>
      <c r="G126" s="12">
        <f t="shared" si="1"/>
        <v>4.1591062503497032</v>
      </c>
    </row>
    <row r="127" spans="2:7" ht="15" customHeight="1" x14ac:dyDescent="0.3">
      <c r="C127" s="3"/>
      <c r="D127" s="8">
        <v>2018</v>
      </c>
      <c r="E127" s="14">
        <f>Data!E127</f>
        <v>921361725401</v>
      </c>
      <c r="F127" s="14">
        <f>Data!H127</f>
        <v>128223143455</v>
      </c>
      <c r="G127" s="12">
        <f t="shared" si="1"/>
        <v>7.1856117435176792</v>
      </c>
    </row>
    <row r="128" spans="2:7" ht="15" customHeight="1" x14ac:dyDescent="0.3">
      <c r="C128" s="3"/>
      <c r="D128" s="8">
        <v>2019</v>
      </c>
      <c r="E128" s="14">
        <f>Data!E128</f>
        <v>615590973246</v>
      </c>
      <c r="F128" s="14">
        <f>Data!H128</f>
        <v>126084240451</v>
      </c>
      <c r="G128" s="12">
        <f t="shared" si="1"/>
        <v>4.8823784086262272</v>
      </c>
    </row>
    <row r="129" spans="2:7" ht="15" customHeight="1" x14ac:dyDescent="0.3">
      <c r="C129" s="3"/>
      <c r="D129" s="8">
        <v>2020</v>
      </c>
      <c r="E129" s="14">
        <f>Data!E129</f>
        <v>729239341748</v>
      </c>
      <c r="F129" s="14">
        <f>Data!H129</f>
        <v>210216132795</v>
      </c>
      <c r="G129" s="12">
        <f t="shared" si="1"/>
        <v>3.4689979881760293</v>
      </c>
    </row>
    <row r="130" spans="2:7" ht="15" customHeight="1" x14ac:dyDescent="0.3">
      <c r="C130" s="3"/>
      <c r="D130" s="8">
        <v>2021</v>
      </c>
      <c r="E130" s="14">
        <f>Data!E130</f>
        <v>850764003592</v>
      </c>
      <c r="F130" s="14">
        <f>Data!H130</f>
        <v>252832013024</v>
      </c>
      <c r="G130" s="12">
        <f t="shared" si="1"/>
        <v>3.364937823404671</v>
      </c>
    </row>
    <row r="131" spans="2:7" ht="15" customHeight="1" x14ac:dyDescent="0.3">
      <c r="C131" s="3"/>
      <c r="D131" s="8">
        <v>2022</v>
      </c>
      <c r="E131" s="14">
        <f>Data!E131</f>
        <v>903232945360</v>
      </c>
      <c r="F131" s="14">
        <f>Data!H131</f>
        <v>204956274588</v>
      </c>
      <c r="G131" s="12">
        <f t="shared" ref="G131:G194" si="2">IFERROR(E131/F131,0)</f>
        <v>4.4069543475829915</v>
      </c>
    </row>
    <row r="132" spans="2:7" ht="15" customHeight="1" x14ac:dyDescent="0.3">
      <c r="C132" s="3"/>
      <c r="D132" s="8">
        <v>2023</v>
      </c>
      <c r="E132" s="14">
        <f>Data!E132</f>
        <v>928778792431</v>
      </c>
      <c r="F132" s="14">
        <f>Data!H132</f>
        <v>170483736755</v>
      </c>
      <c r="G132" s="12">
        <f t="shared" si="2"/>
        <v>5.4479025982738527</v>
      </c>
    </row>
    <row r="133" spans="2:7" ht="15" customHeight="1" x14ac:dyDescent="0.3">
      <c r="C133" s="3"/>
      <c r="D133" s="8">
        <v>2024</v>
      </c>
      <c r="E133" s="14">
        <f>Data!E133</f>
        <v>1316364597807</v>
      </c>
      <c r="F133" s="14">
        <f>Data!H133</f>
        <v>314919635603</v>
      </c>
      <c r="G133" s="12">
        <f t="shared" si="2"/>
        <v>4.1800016543473353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Data!E134</f>
        <v>0</v>
      </c>
      <c r="F134" s="14">
        <f>Data!H134</f>
        <v>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Data!E135</f>
        <v>1122634000000</v>
      </c>
      <c r="F135" s="14">
        <f>Data!H135</f>
        <v>1669747000000</v>
      </c>
      <c r="G135" s="12">
        <f t="shared" si="2"/>
        <v>0.67233778530519894</v>
      </c>
    </row>
    <row r="136" spans="2:7" ht="15" customHeight="1" x14ac:dyDescent="0.3">
      <c r="C136" s="3"/>
      <c r="D136" s="8">
        <v>2016</v>
      </c>
      <c r="E136" s="14">
        <f>Data!E136</f>
        <v>142660000000</v>
      </c>
      <c r="F136" s="14">
        <f>Data!H136</f>
        <v>1889789000000</v>
      </c>
      <c r="G136" s="12">
        <f t="shared" si="2"/>
        <v>7.548990919092026E-2</v>
      </c>
    </row>
    <row r="137" spans="2:7" ht="15" customHeight="1" x14ac:dyDescent="0.3">
      <c r="C137" s="3"/>
      <c r="D137" s="8">
        <v>2017</v>
      </c>
      <c r="E137" s="14">
        <f>Data!E137</f>
        <v>193739000000</v>
      </c>
      <c r="F137" s="14">
        <f>Data!H137</f>
        <v>2186058000000</v>
      </c>
      <c r="G137" s="12">
        <f t="shared" si="2"/>
        <v>8.8624821482321148E-2</v>
      </c>
    </row>
    <row r="138" spans="2:7" ht="15" customHeight="1" x14ac:dyDescent="0.3">
      <c r="C138" s="3"/>
      <c r="D138" s="8">
        <v>2018</v>
      </c>
      <c r="E138" s="14">
        <f>Data!E138</f>
        <v>148516000000</v>
      </c>
      <c r="F138" s="14">
        <f>Data!H138</f>
        <v>2116088000000</v>
      </c>
      <c r="G138" s="12">
        <f t="shared" si="2"/>
        <v>7.018422674293319E-2</v>
      </c>
    </row>
    <row r="139" spans="2:7" ht="15" customHeight="1" x14ac:dyDescent="0.3">
      <c r="C139" s="3"/>
      <c r="D139" s="8">
        <v>2019</v>
      </c>
      <c r="E139" s="14">
        <f>Data!E139</f>
        <v>220929000000</v>
      </c>
      <c r="F139" s="14">
        <f>Data!H139</f>
        <v>2514494000000</v>
      </c>
      <c r="G139" s="12">
        <f t="shared" si="2"/>
        <v>8.7862210051008277E-2</v>
      </c>
    </row>
    <row r="140" spans="2:7" ht="15" customHeight="1" x14ac:dyDescent="0.3">
      <c r="C140" s="3"/>
      <c r="D140" s="8">
        <v>2020</v>
      </c>
      <c r="E140" s="14">
        <f>Data!E140</f>
        <v>824652000000</v>
      </c>
      <c r="F140" s="14">
        <f>Data!H140</f>
        <v>3170242000000</v>
      </c>
      <c r="G140" s="12">
        <f t="shared" si="2"/>
        <v>0.26012272880114518</v>
      </c>
    </row>
    <row r="141" spans="2:7" ht="15" customHeight="1" x14ac:dyDescent="0.3">
      <c r="C141" s="3"/>
      <c r="D141" s="8">
        <v>2021</v>
      </c>
      <c r="E141" s="14">
        <f>Data!E141</f>
        <v>387462000000</v>
      </c>
      <c r="F141" s="14">
        <f>Data!H141</f>
        <v>2952975000000</v>
      </c>
      <c r="G141" s="12">
        <f t="shared" si="2"/>
        <v>0.13121072816397022</v>
      </c>
    </row>
    <row r="142" spans="2:7" ht="15" customHeight="1" x14ac:dyDescent="0.3">
      <c r="C142" s="3"/>
      <c r="D142" s="8">
        <v>2022</v>
      </c>
      <c r="E142" s="14">
        <f>Data!E142</f>
        <v>481070000000</v>
      </c>
      <c r="F142" s="14">
        <f>Data!H142</f>
        <v>3343074000000</v>
      </c>
      <c r="G142" s="12">
        <f t="shared" si="2"/>
        <v>0.14390049397650187</v>
      </c>
    </row>
    <row r="143" spans="2:7" ht="15" customHeight="1" x14ac:dyDescent="0.3">
      <c r="C143" s="3"/>
      <c r="D143" s="8">
        <v>2023</v>
      </c>
      <c r="E143" s="14">
        <f>Data!E143</f>
        <v>703003000000</v>
      </c>
      <c r="F143" s="14">
        <f>Data!H143</f>
        <v>4202144000000</v>
      </c>
      <c r="G143" s="12">
        <f t="shared" si="2"/>
        <v>0.167296265906166</v>
      </c>
    </row>
    <row r="144" spans="2:7" ht="15" customHeight="1" x14ac:dyDescent="0.3">
      <c r="C144" s="3"/>
      <c r="D144" s="8">
        <v>2024</v>
      </c>
      <c r="E144" s="14">
        <f>Data!E144</f>
        <v>1059886000000</v>
      </c>
      <c r="F144" s="14">
        <f>Data!H144</f>
        <v>4478469000000</v>
      </c>
      <c r="G144" s="12">
        <f t="shared" si="2"/>
        <v>0.23666257375009184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Data!E145</f>
        <v>0</v>
      </c>
      <c r="F145" s="14">
        <f>Data!H145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Data!E146</f>
        <v>0</v>
      </c>
      <c r="F146" s="14">
        <f>Data!H146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Data!E147</f>
        <v>0</v>
      </c>
      <c r="F147" s="14">
        <f>Data!H147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Data!E148</f>
        <v>0</v>
      </c>
      <c r="F148" s="14">
        <f>Data!H148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Data!E149</f>
        <v>0</v>
      </c>
      <c r="F149" s="14">
        <f>Data!H149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Data!E150</f>
        <v>0</v>
      </c>
      <c r="F150" s="14">
        <f>Data!H150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Data!E151</f>
        <v>0</v>
      </c>
      <c r="F151" s="14">
        <f>Data!H151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Data!E152</f>
        <v>0</v>
      </c>
      <c r="F152" s="14">
        <f>Data!H152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Data!E153</f>
        <v>0</v>
      </c>
      <c r="F153" s="14">
        <f>Data!H153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Data!E154</f>
        <v>0</v>
      </c>
      <c r="F154" s="14">
        <f>Data!H154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Data!E155</f>
        <v>62404000000</v>
      </c>
      <c r="F155" s="14">
        <f>Data!H155</f>
        <v>96460000000</v>
      </c>
      <c r="G155" s="12">
        <f t="shared" si="2"/>
        <v>0.64694173750777528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Data!E156</f>
        <v>0</v>
      </c>
      <c r="F156" s="14">
        <f>Data!H156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Data!E157</f>
        <v>0</v>
      </c>
      <c r="F157" s="14">
        <f>Data!H157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Data!E158</f>
        <v>0</v>
      </c>
      <c r="F158" s="14">
        <f>Data!H158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Data!E159</f>
        <v>962000000</v>
      </c>
      <c r="F159" s="14">
        <f>Data!H159</f>
        <v>19628410000</v>
      </c>
      <c r="G159" s="12">
        <f t="shared" si="2"/>
        <v>4.9010592299630992E-2</v>
      </c>
    </row>
    <row r="160" spans="2:7" ht="15" customHeight="1" x14ac:dyDescent="0.3">
      <c r="C160" s="3"/>
      <c r="D160" s="8">
        <v>2018</v>
      </c>
      <c r="E160" s="14">
        <f>Data!E160</f>
        <v>6170290000</v>
      </c>
      <c r="F160" s="14">
        <f>Data!H160</f>
        <v>15510570000</v>
      </c>
      <c r="G160" s="12">
        <f t="shared" si="2"/>
        <v>0.39781194372611711</v>
      </c>
    </row>
    <row r="161" spans="2:7" ht="15" customHeight="1" x14ac:dyDescent="0.3">
      <c r="C161" s="3"/>
      <c r="D161" s="8">
        <v>2019</v>
      </c>
      <c r="E161" s="14">
        <f>Data!E161</f>
        <v>4984620000</v>
      </c>
      <c r="F161" s="14">
        <f>Data!H161</f>
        <v>18574370000</v>
      </c>
      <c r="G161" s="12">
        <f t="shared" si="2"/>
        <v>0.26836011127160708</v>
      </c>
    </row>
    <row r="162" spans="2:7" ht="15" customHeight="1" x14ac:dyDescent="0.3">
      <c r="C162" s="3"/>
      <c r="D162" s="8">
        <v>2020</v>
      </c>
      <c r="E162" s="14">
        <f>Data!E162</f>
        <v>1720940000</v>
      </c>
      <c r="F162" s="14">
        <f>Data!H162</f>
        <v>37122650000</v>
      </c>
      <c r="G162" s="12">
        <f t="shared" si="2"/>
        <v>4.6358220655044829E-2</v>
      </c>
    </row>
    <row r="163" spans="2:7" ht="15" customHeight="1" x14ac:dyDescent="0.3">
      <c r="C163" s="3"/>
      <c r="D163" s="8">
        <v>2021</v>
      </c>
      <c r="E163" s="14">
        <f>Data!E163</f>
        <v>3039940000</v>
      </c>
      <c r="F163" s="14">
        <f>Data!H163</f>
        <v>67823740000.000008</v>
      </c>
      <c r="G163" s="12">
        <f t="shared" si="2"/>
        <v>4.4821179132852294E-2</v>
      </c>
    </row>
    <row r="164" spans="2:7" ht="15" customHeight="1" x14ac:dyDescent="0.3">
      <c r="C164" s="3"/>
      <c r="D164" s="8">
        <v>2022</v>
      </c>
      <c r="E164" s="14">
        <f>Data!E164</f>
        <v>1903350000</v>
      </c>
      <c r="F164" s="14">
        <f>Data!H164</f>
        <v>76907390000</v>
      </c>
      <c r="G164" s="12">
        <f t="shared" si="2"/>
        <v>2.4748596981382414E-2</v>
      </c>
    </row>
    <row r="165" spans="2:7" ht="15" customHeight="1" x14ac:dyDescent="0.3">
      <c r="C165" s="3"/>
      <c r="D165" s="8">
        <v>2023</v>
      </c>
      <c r="E165" s="14">
        <f>Data!E165</f>
        <v>4327160000</v>
      </c>
      <c r="F165" s="14">
        <f>Data!H165</f>
        <v>93604730000</v>
      </c>
      <c r="G165" s="12">
        <f t="shared" si="2"/>
        <v>4.6228005785605063E-2</v>
      </c>
    </row>
    <row r="166" spans="2:7" ht="15" customHeight="1" x14ac:dyDescent="0.3">
      <c r="C166" s="3"/>
      <c r="D166" s="8">
        <v>2024</v>
      </c>
      <c r="E166" s="14">
        <f>Data!E166</f>
        <v>5451660000</v>
      </c>
      <c r="F166" s="14">
        <f>Data!H166</f>
        <v>41858560000</v>
      </c>
      <c r="G166" s="12">
        <f t="shared" si="2"/>
        <v>0.13024002736835669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Data!E167</f>
        <v>0</v>
      </c>
      <c r="F167" s="14">
        <f>Data!H167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Data!E168</f>
        <v>1975550000</v>
      </c>
      <c r="F168" s="14">
        <f>Data!H168</f>
        <v>54659890000</v>
      </c>
      <c r="G168" s="12">
        <f t="shared" si="2"/>
        <v>3.6142590114981936E-2</v>
      </c>
    </row>
    <row r="169" spans="2:7" ht="15" customHeight="1" x14ac:dyDescent="0.3">
      <c r="C169" s="3"/>
      <c r="D169" s="8">
        <v>2016</v>
      </c>
      <c r="E169" s="14">
        <f>Data!E169</f>
        <v>2490790000</v>
      </c>
      <c r="F169" s="14">
        <f>Data!H169</f>
        <v>22064120000</v>
      </c>
      <c r="G169" s="12">
        <f t="shared" si="2"/>
        <v>0.11288870800195068</v>
      </c>
    </row>
    <row r="170" spans="2:7" ht="15" customHeight="1" x14ac:dyDescent="0.3">
      <c r="C170" s="3"/>
      <c r="D170" s="8">
        <v>2017</v>
      </c>
      <c r="E170" s="14">
        <f>Data!E170</f>
        <v>823030000</v>
      </c>
      <c r="F170" s="14">
        <f>Data!H170</f>
        <v>179961290000</v>
      </c>
      <c r="G170" s="12">
        <f t="shared" si="2"/>
        <v>4.573372418035012E-3</v>
      </c>
    </row>
    <row r="171" spans="2:7" ht="15" customHeight="1" x14ac:dyDescent="0.3">
      <c r="C171" s="3"/>
      <c r="D171" s="8">
        <v>2018</v>
      </c>
      <c r="E171" s="14">
        <f>Data!E171</f>
        <v>766130000</v>
      </c>
      <c r="F171" s="14">
        <f>Data!H171</f>
        <v>281331340000</v>
      </c>
      <c r="G171" s="12">
        <f t="shared" si="2"/>
        <v>2.723230195398778E-3</v>
      </c>
    </row>
    <row r="172" spans="2:7" ht="15" customHeight="1" x14ac:dyDescent="0.3">
      <c r="C172" s="3"/>
      <c r="D172" s="8">
        <v>2019</v>
      </c>
      <c r="E172" s="14">
        <f>Data!E172</f>
        <v>12258790000</v>
      </c>
      <c r="F172" s="14">
        <f>Data!H172</f>
        <v>153488600000</v>
      </c>
      <c r="G172" s="12">
        <f t="shared" si="2"/>
        <v>7.986775565090827E-2</v>
      </c>
    </row>
    <row r="173" spans="2:7" ht="15" customHeight="1" x14ac:dyDescent="0.3">
      <c r="C173" s="3"/>
      <c r="D173" s="8">
        <v>2020</v>
      </c>
      <c r="E173" s="14">
        <f>Data!E173</f>
        <v>16478439999.999998</v>
      </c>
      <c r="F173" s="14">
        <f>Data!H173</f>
        <v>233719540000</v>
      </c>
      <c r="G173" s="12">
        <f t="shared" si="2"/>
        <v>7.0505187542299619E-2</v>
      </c>
    </row>
    <row r="174" spans="2:7" ht="15" customHeight="1" x14ac:dyDescent="0.3">
      <c r="C174" s="3"/>
      <c r="D174" s="8">
        <v>2021</v>
      </c>
      <c r="E174" s="14">
        <f>Data!E174</f>
        <v>7711790000</v>
      </c>
      <c r="F174" s="14">
        <f>Data!H174</f>
        <v>293984740000</v>
      </c>
      <c r="G174" s="12">
        <f t="shared" si="2"/>
        <v>2.6231939793881817E-2</v>
      </c>
    </row>
    <row r="175" spans="2:7" ht="15" customHeight="1" x14ac:dyDescent="0.3">
      <c r="C175" s="3"/>
      <c r="D175" s="8">
        <v>2022</v>
      </c>
      <c r="E175" s="14">
        <f>Data!E175</f>
        <v>6937800000</v>
      </c>
      <c r="F175" s="14">
        <f>Data!H175</f>
        <v>108708360000</v>
      </c>
      <c r="G175" s="12">
        <f t="shared" si="2"/>
        <v>6.3820298641245249E-2</v>
      </c>
    </row>
    <row r="176" spans="2:7" ht="15" customHeight="1" x14ac:dyDescent="0.3">
      <c r="C176" s="3"/>
      <c r="D176" s="8">
        <v>2023</v>
      </c>
      <c r="E176" s="14">
        <f>Data!E176</f>
        <v>9608340000</v>
      </c>
      <c r="F176" s="14">
        <f>Data!H176</f>
        <v>39738180000</v>
      </c>
      <c r="G176" s="12">
        <f t="shared" si="2"/>
        <v>0.24179114393261089</v>
      </c>
    </row>
    <row r="177" spans="2:7" ht="15" customHeight="1" x14ac:dyDescent="0.3">
      <c r="C177" s="3"/>
      <c r="D177" s="8">
        <v>2024</v>
      </c>
      <c r="E177" s="14">
        <f>Data!E177</f>
        <v>22014950000</v>
      </c>
      <c r="F177" s="14">
        <f>Data!H177</f>
        <v>28887430000</v>
      </c>
      <c r="G177" s="12">
        <f t="shared" si="2"/>
        <v>0.76209444730805065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Data!E178</f>
        <v>0</v>
      </c>
      <c r="F178" s="14">
        <f>Data!H178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Data!E179</f>
        <v>0</v>
      </c>
      <c r="F179" s="14">
        <f>Data!H179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Data!E180</f>
        <v>0</v>
      </c>
      <c r="F180" s="14">
        <f>Data!H180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Data!E181</f>
        <v>0</v>
      </c>
      <c r="F181" s="14">
        <f>Data!H181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Data!E182</f>
        <v>0</v>
      </c>
      <c r="F182" s="14">
        <f>Data!H182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Data!E183</f>
        <v>525000000</v>
      </c>
      <c r="F183" s="14">
        <f>Data!H183</f>
        <v>8382000000</v>
      </c>
      <c r="G183" s="12">
        <f t="shared" si="2"/>
        <v>6.2634216177523266E-2</v>
      </c>
    </row>
    <row r="184" spans="2:7" ht="15" customHeight="1" x14ac:dyDescent="0.3">
      <c r="C184" s="3"/>
      <c r="D184" s="8">
        <v>2020</v>
      </c>
      <c r="E184" s="14">
        <f>Data!E184</f>
        <v>960000000</v>
      </c>
      <c r="F184" s="14">
        <f>Data!H184</f>
        <v>124000000</v>
      </c>
      <c r="G184" s="12">
        <f t="shared" si="2"/>
        <v>7.741935483870968</v>
      </c>
    </row>
    <row r="185" spans="2:7" ht="15" customHeight="1" x14ac:dyDescent="0.3">
      <c r="C185" s="3"/>
      <c r="D185" s="8">
        <v>2021</v>
      </c>
      <c r="E185" s="14">
        <f>Data!E185</f>
        <v>47697000000</v>
      </c>
      <c r="F185" s="14">
        <f>Data!H185</f>
        <v>3278000000</v>
      </c>
      <c r="G185" s="12">
        <f t="shared" si="2"/>
        <v>14.550640634533252</v>
      </c>
    </row>
    <row r="186" spans="2:7" ht="15" customHeight="1" x14ac:dyDescent="0.3">
      <c r="C186" s="3"/>
      <c r="D186" s="8">
        <v>2022</v>
      </c>
      <c r="E186" s="14">
        <f>Data!E186</f>
        <v>22606000000</v>
      </c>
      <c r="F186" s="14">
        <f>Data!H186</f>
        <v>6355000000</v>
      </c>
      <c r="G186" s="12">
        <f t="shared" si="2"/>
        <v>3.5571990558615263</v>
      </c>
    </row>
    <row r="187" spans="2:7" ht="15" customHeight="1" x14ac:dyDescent="0.3">
      <c r="C187" s="3"/>
      <c r="D187" s="8">
        <v>2023</v>
      </c>
      <c r="E187" s="14">
        <f>Data!E187</f>
        <v>59072000000</v>
      </c>
      <c r="F187" s="14">
        <f>Data!H187</f>
        <v>27996000000</v>
      </c>
      <c r="G187" s="12">
        <f t="shared" si="2"/>
        <v>2.110015716530933</v>
      </c>
    </row>
    <row r="188" spans="2:7" ht="15" customHeight="1" x14ac:dyDescent="0.3">
      <c r="C188" s="3"/>
      <c r="D188" s="8">
        <v>2024</v>
      </c>
      <c r="E188" s="14">
        <f>Data!E188</f>
        <v>49439000000</v>
      </c>
      <c r="F188" s="14">
        <f>Data!H188</f>
        <v>61943000000</v>
      </c>
      <c r="G188" s="12">
        <f t="shared" si="2"/>
        <v>0.79813699691652007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Data!E189</f>
        <v>0</v>
      </c>
      <c r="F189" s="14">
        <f>Data!H189</f>
        <v>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Data!E190</f>
        <v>561000000</v>
      </c>
      <c r="F190" s="14">
        <f>Data!H190</f>
        <v>18086000000</v>
      </c>
      <c r="G190" s="12">
        <f t="shared" si="2"/>
        <v>3.1018467322791111E-2</v>
      </c>
    </row>
    <row r="191" spans="2:7" ht="15" customHeight="1" x14ac:dyDescent="0.3">
      <c r="C191" s="3"/>
      <c r="D191" s="8">
        <v>2016</v>
      </c>
      <c r="E191" s="14">
        <f>Data!E191</f>
        <v>3621000000</v>
      </c>
      <c r="F191" s="14">
        <f>Data!H191</f>
        <v>18598000000</v>
      </c>
      <c r="G191" s="12">
        <f t="shared" si="2"/>
        <v>0.19469835466179158</v>
      </c>
    </row>
    <row r="192" spans="2:7" ht="15" customHeight="1" x14ac:dyDescent="0.3">
      <c r="C192" s="3"/>
      <c r="D192" s="8">
        <v>2017</v>
      </c>
      <c r="E192" s="14">
        <f>Data!E192</f>
        <v>8109000000</v>
      </c>
      <c r="F192" s="14">
        <f>Data!H192</f>
        <v>17535000000</v>
      </c>
      <c r="G192" s="12">
        <f t="shared" si="2"/>
        <v>0.46244653550042769</v>
      </c>
    </row>
    <row r="193" spans="2:7" ht="15" customHeight="1" x14ac:dyDescent="0.3">
      <c r="C193" s="3"/>
      <c r="D193" s="8">
        <v>2018</v>
      </c>
      <c r="E193" s="14">
        <f>Data!E193</f>
        <v>4240000000</v>
      </c>
      <c r="F193" s="14">
        <f>Data!H193</f>
        <v>24879000000</v>
      </c>
      <c r="G193" s="12">
        <f t="shared" si="2"/>
        <v>0.17042485630451384</v>
      </c>
    </row>
    <row r="194" spans="2:7" ht="15" customHeight="1" x14ac:dyDescent="0.3">
      <c r="C194" s="3"/>
      <c r="D194" s="8">
        <v>2019</v>
      </c>
      <c r="E194" s="14">
        <f>Data!E194</f>
        <v>3452000000</v>
      </c>
      <c r="F194" s="14">
        <f>Data!H194</f>
        <v>20506000000</v>
      </c>
      <c r="G194" s="12">
        <f t="shared" si="2"/>
        <v>0.16834097337364673</v>
      </c>
    </row>
    <row r="195" spans="2:7" ht="15" customHeight="1" x14ac:dyDescent="0.3">
      <c r="C195" s="3"/>
      <c r="D195" s="8">
        <v>2020</v>
      </c>
      <c r="E195" s="14">
        <f>Data!E195</f>
        <v>4645000000</v>
      </c>
      <c r="F195" s="14">
        <f>Data!H195</f>
        <v>33375000000</v>
      </c>
      <c r="G195" s="12">
        <f t="shared" ref="G195:G258" si="3">IFERROR(E195/F195,0)</f>
        <v>0.13917602996254683</v>
      </c>
    </row>
    <row r="196" spans="2:7" ht="15" customHeight="1" x14ac:dyDescent="0.3">
      <c r="C196" s="3"/>
      <c r="D196" s="8">
        <v>2021</v>
      </c>
      <c r="E196" s="14">
        <f>Data!E196</f>
        <v>6204000000</v>
      </c>
      <c r="F196" s="14">
        <f>Data!H196</f>
        <v>36928000000</v>
      </c>
      <c r="G196" s="12">
        <f t="shared" si="3"/>
        <v>0.16800259965337955</v>
      </c>
    </row>
    <row r="197" spans="2:7" ht="15" customHeight="1" x14ac:dyDescent="0.3">
      <c r="C197" s="3"/>
      <c r="D197" s="8">
        <v>2022</v>
      </c>
      <c r="E197" s="14">
        <f>Data!E197</f>
        <v>6220000000</v>
      </c>
      <c r="F197" s="14">
        <f>Data!H197</f>
        <v>37483000000</v>
      </c>
      <c r="G197" s="12">
        <f t="shared" si="3"/>
        <v>0.16594189365845849</v>
      </c>
    </row>
    <row r="198" spans="2:7" ht="15" customHeight="1" x14ac:dyDescent="0.3">
      <c r="C198" s="3"/>
      <c r="D198" s="8">
        <v>2023</v>
      </c>
      <c r="E198" s="14">
        <f>Data!E198</f>
        <v>13841000000</v>
      </c>
      <c r="F198" s="14">
        <f>Data!H198</f>
        <v>56014000000</v>
      </c>
      <c r="G198" s="12">
        <f t="shared" si="3"/>
        <v>0.24709893955082657</v>
      </c>
    </row>
    <row r="199" spans="2:7" ht="15" customHeight="1" x14ac:dyDescent="0.3">
      <c r="C199" s="3"/>
      <c r="D199" s="8">
        <v>2024</v>
      </c>
      <c r="E199" s="14">
        <f>Data!E199</f>
        <v>12764000000</v>
      </c>
      <c r="F199" s="14">
        <f>Data!H199</f>
        <v>48468000000</v>
      </c>
      <c r="G199" s="12">
        <f t="shared" si="3"/>
        <v>0.26334901378228937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Data!E200</f>
        <v>0</v>
      </c>
      <c r="F200" s="14">
        <f>Data!H200</f>
        <v>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Data!E201</f>
        <v>103788000000</v>
      </c>
      <c r="F201" s="14">
        <f>Data!H201</f>
        <v>427059000000</v>
      </c>
      <c r="G201" s="12">
        <f t="shared" si="3"/>
        <v>0.2430296516406398</v>
      </c>
    </row>
    <row r="202" spans="2:7" ht="15" customHeight="1" x14ac:dyDescent="0.3">
      <c r="C202" s="3"/>
      <c r="D202" s="8">
        <v>2016</v>
      </c>
      <c r="E202" s="14">
        <f>Data!E202</f>
        <v>161718000000</v>
      </c>
      <c r="F202" s="14">
        <f>Data!H202</f>
        <v>491733000000</v>
      </c>
      <c r="G202" s="12">
        <f t="shared" si="3"/>
        <v>0.32887359603687366</v>
      </c>
    </row>
    <row r="203" spans="2:7" ht="15" customHeight="1" x14ac:dyDescent="0.3">
      <c r="C203" s="3"/>
      <c r="D203" s="8">
        <v>2017</v>
      </c>
      <c r="E203" s="14">
        <f>Data!E203</f>
        <v>61206000000</v>
      </c>
      <c r="F203" s="14">
        <f>Data!H203</f>
        <v>577850000000</v>
      </c>
      <c r="G203" s="12">
        <f t="shared" si="3"/>
        <v>0.1059202215107727</v>
      </c>
    </row>
    <row r="204" spans="2:7" ht="15" customHeight="1" x14ac:dyDescent="0.3">
      <c r="C204" s="3"/>
      <c r="D204" s="8">
        <v>2018</v>
      </c>
      <c r="E204" s="14">
        <f>Data!E204</f>
        <v>90703000000</v>
      </c>
      <c r="F204" s="14">
        <f>Data!H204</f>
        <v>693381000000</v>
      </c>
      <c r="G204" s="12">
        <f t="shared" si="3"/>
        <v>0.13081264124629893</v>
      </c>
    </row>
    <row r="205" spans="2:7" ht="15" customHeight="1" x14ac:dyDescent="0.3">
      <c r="C205" s="3"/>
      <c r="D205" s="8">
        <v>2019</v>
      </c>
      <c r="E205" s="14">
        <f>Data!E205</f>
        <v>72281000000</v>
      </c>
      <c r="F205" s="14">
        <f>Data!H205</f>
        <v>667382000000</v>
      </c>
      <c r="G205" s="12">
        <f t="shared" si="3"/>
        <v>0.10830528842551941</v>
      </c>
    </row>
    <row r="206" spans="2:7" ht="15" customHeight="1" x14ac:dyDescent="0.3">
      <c r="C206" s="3"/>
      <c r="D206" s="8">
        <v>2020</v>
      </c>
      <c r="E206" s="14">
        <f>Data!E206</f>
        <v>102692000000</v>
      </c>
      <c r="F206" s="14">
        <f>Data!H206</f>
        <v>733361000000</v>
      </c>
      <c r="G206" s="12">
        <f t="shared" si="3"/>
        <v>0.14002926253236811</v>
      </c>
    </row>
    <row r="207" spans="2:7" ht="15" customHeight="1" x14ac:dyDescent="0.3">
      <c r="C207" s="3"/>
      <c r="D207" s="8">
        <v>2021</v>
      </c>
      <c r="E207" s="14">
        <f>Data!E207</f>
        <v>64519000000</v>
      </c>
      <c r="F207" s="14">
        <f>Data!H207</f>
        <v>848492000000</v>
      </c>
      <c r="G207" s="12">
        <f t="shared" si="3"/>
        <v>7.6039609094723348E-2</v>
      </c>
    </row>
    <row r="208" spans="2:7" ht="15" customHeight="1" x14ac:dyDescent="0.3">
      <c r="C208" s="3"/>
      <c r="D208" s="8">
        <v>2022</v>
      </c>
      <c r="E208" s="14">
        <f>Data!E208</f>
        <v>77180000000</v>
      </c>
      <c r="F208" s="14">
        <f>Data!H208</f>
        <v>899938000000</v>
      </c>
      <c r="G208" s="12">
        <f t="shared" si="3"/>
        <v>8.5761463567490204E-2</v>
      </c>
    </row>
    <row r="209" spans="2:7" ht="15" customHeight="1" x14ac:dyDescent="0.3">
      <c r="C209" s="3"/>
      <c r="D209" s="8">
        <v>2023</v>
      </c>
      <c r="E209" s="14">
        <f>Data!E209</f>
        <v>114288000000</v>
      </c>
      <c r="F209" s="14">
        <f>Data!H209</f>
        <v>1050391000000</v>
      </c>
      <c r="G209" s="12">
        <f t="shared" si="3"/>
        <v>0.1088051973027187</v>
      </c>
    </row>
    <row r="210" spans="2:7" ht="15" customHeight="1" x14ac:dyDescent="0.3">
      <c r="C210" s="3"/>
      <c r="D210" s="8">
        <v>2024</v>
      </c>
      <c r="E210" s="14">
        <f>Data!E210</f>
        <v>82147000000</v>
      </c>
      <c r="F210" s="14">
        <f>Data!H210</f>
        <v>1059091000000</v>
      </c>
      <c r="G210" s="12">
        <f t="shared" si="3"/>
        <v>7.7563684329297486E-2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Data!E211</f>
        <v>0</v>
      </c>
      <c r="F211" s="14">
        <f>Data!H211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Data!E212</f>
        <v>0</v>
      </c>
      <c r="F212" s="14">
        <f>Data!H212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Data!E213</f>
        <v>0</v>
      </c>
      <c r="F213" s="14">
        <f>Data!H213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Data!E214</f>
        <v>87336000000</v>
      </c>
      <c r="F214" s="14">
        <f>Data!H214</f>
        <v>95828000000</v>
      </c>
      <c r="G214" s="12">
        <f t="shared" si="3"/>
        <v>0.9113828943523814</v>
      </c>
    </row>
    <row r="215" spans="2:7" ht="15" customHeight="1" x14ac:dyDescent="0.3">
      <c r="C215" s="3"/>
      <c r="D215" s="8">
        <v>2018</v>
      </c>
      <c r="E215" s="14">
        <f>Data!E215</f>
        <v>30098000000</v>
      </c>
      <c r="F215" s="14">
        <f>Data!H215</f>
        <v>77853000000</v>
      </c>
      <c r="G215" s="12">
        <f t="shared" si="3"/>
        <v>0.38660038791054935</v>
      </c>
    </row>
    <row r="216" spans="2:7" ht="15" customHeight="1" x14ac:dyDescent="0.3">
      <c r="C216" s="3"/>
      <c r="D216" s="8">
        <v>2019</v>
      </c>
      <c r="E216" s="14">
        <f>Data!E216</f>
        <v>57486000000</v>
      </c>
      <c r="F216" s="14">
        <f>Data!H216</f>
        <v>87745000000</v>
      </c>
      <c r="G216" s="12">
        <f t="shared" si="3"/>
        <v>0.65514844150663853</v>
      </c>
    </row>
    <row r="217" spans="2:7" ht="15" customHeight="1" x14ac:dyDescent="0.3">
      <c r="C217" s="3"/>
      <c r="D217" s="8">
        <v>2020</v>
      </c>
      <c r="E217" s="14">
        <f>Data!E217</f>
        <v>37963000000</v>
      </c>
      <c r="F217" s="14">
        <f>Data!H217</f>
        <v>89225000000</v>
      </c>
      <c r="G217" s="12">
        <f t="shared" si="3"/>
        <v>0.42547492294760436</v>
      </c>
    </row>
    <row r="218" spans="2:7" ht="15" customHeight="1" x14ac:dyDescent="0.3">
      <c r="C218" s="3"/>
      <c r="D218" s="8">
        <v>2021</v>
      </c>
      <c r="E218" s="14">
        <f>Data!E218</f>
        <v>406221000000</v>
      </c>
      <c r="F218" s="14">
        <f>Data!H218</f>
        <v>43490000000</v>
      </c>
      <c r="G218" s="12">
        <f t="shared" si="3"/>
        <v>9.3405610485168999</v>
      </c>
    </row>
    <row r="219" spans="2:7" ht="15" customHeight="1" x14ac:dyDescent="0.3">
      <c r="C219" s="3"/>
      <c r="D219" s="8">
        <v>2022</v>
      </c>
      <c r="E219" s="14">
        <f>Data!E219</f>
        <v>52916000000</v>
      </c>
      <c r="F219" s="14">
        <f>Data!H219</f>
        <v>92917000000</v>
      </c>
      <c r="G219" s="12">
        <f t="shared" si="3"/>
        <v>0.5694975085291174</v>
      </c>
    </row>
    <row r="220" spans="2:7" ht="15" customHeight="1" x14ac:dyDescent="0.3">
      <c r="C220" s="3"/>
      <c r="D220" s="8">
        <v>2023</v>
      </c>
      <c r="E220" s="14">
        <f>Data!E220</f>
        <v>28401000000</v>
      </c>
      <c r="F220" s="14">
        <f>Data!H220</f>
        <v>57643000000</v>
      </c>
      <c r="G220" s="12">
        <f t="shared" si="3"/>
        <v>0.4927050986242909</v>
      </c>
    </row>
    <row r="221" spans="2:7" ht="15" customHeight="1" x14ac:dyDescent="0.3">
      <c r="C221" s="3"/>
      <c r="D221" s="8">
        <v>2024</v>
      </c>
      <c r="E221" s="14">
        <f>Data!E221</f>
        <v>216357000000</v>
      </c>
      <c r="F221" s="14">
        <f>Data!H221</f>
        <v>44937000000</v>
      </c>
      <c r="G221" s="12">
        <f t="shared" si="3"/>
        <v>4.8146738767607982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Data!E222</f>
        <v>0</v>
      </c>
      <c r="F222" s="14">
        <f>Data!H222</f>
        <v>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Data!E223</f>
        <v>23148000000</v>
      </c>
      <c r="F223" s="14">
        <f>Data!H223</f>
        <v>143299000000</v>
      </c>
      <c r="G223" s="12">
        <f t="shared" si="3"/>
        <v>0.16153636801373353</v>
      </c>
    </row>
    <row r="224" spans="2:7" ht="15" customHeight="1" x14ac:dyDescent="0.3">
      <c r="C224" s="4"/>
      <c r="D224" s="8">
        <v>2016</v>
      </c>
      <c r="E224" s="14">
        <f>Data!E224</f>
        <v>69308000000</v>
      </c>
      <c r="F224" s="14">
        <f>Data!H224</f>
        <v>62386000000</v>
      </c>
      <c r="G224" s="12">
        <f t="shared" si="3"/>
        <v>1.110954380790562</v>
      </c>
    </row>
    <row r="225" spans="2:7" ht="15" customHeight="1" x14ac:dyDescent="0.3">
      <c r="C225" s="4"/>
      <c r="D225" s="8">
        <v>2017</v>
      </c>
      <c r="E225" s="14">
        <f>Data!E225</f>
        <v>37603000000</v>
      </c>
      <c r="F225" s="14">
        <f>Data!H225</f>
        <v>56650000000</v>
      </c>
      <c r="G225" s="12">
        <f t="shared" si="3"/>
        <v>0.66377758164165934</v>
      </c>
    </row>
    <row r="226" spans="2:7" ht="15" customHeight="1" x14ac:dyDescent="0.3">
      <c r="C226" s="4"/>
      <c r="D226" s="8">
        <v>2018</v>
      </c>
      <c r="E226" s="14">
        <f>Data!E226</f>
        <v>25435000000</v>
      </c>
      <c r="F226" s="14">
        <f>Data!H226</f>
        <v>125467000000</v>
      </c>
      <c r="G226" s="12">
        <f t="shared" si="3"/>
        <v>0.20272262826081758</v>
      </c>
    </row>
    <row r="227" spans="2:7" ht="15" customHeight="1" x14ac:dyDescent="0.3">
      <c r="C227" s="4"/>
      <c r="D227" s="8">
        <v>2019</v>
      </c>
      <c r="E227" s="14">
        <f>Data!E227</f>
        <v>35313000000</v>
      </c>
      <c r="F227" s="14">
        <f>Data!H227</f>
        <v>43897000000</v>
      </c>
      <c r="G227" s="12">
        <f t="shared" si="3"/>
        <v>0.80445132924801244</v>
      </c>
    </row>
    <row r="228" spans="2:7" ht="15" customHeight="1" x14ac:dyDescent="0.3">
      <c r="C228" s="4"/>
      <c r="D228" s="8">
        <v>2020</v>
      </c>
      <c r="E228" s="14">
        <f>Data!E228</f>
        <v>27869000000</v>
      </c>
      <c r="F228" s="14">
        <f>Data!H228</f>
        <v>35990000000</v>
      </c>
      <c r="G228" s="12">
        <f t="shared" si="3"/>
        <v>0.77435398721867188</v>
      </c>
    </row>
    <row r="229" spans="2:7" ht="15" customHeight="1" x14ac:dyDescent="0.3">
      <c r="C229" s="4"/>
      <c r="D229" s="8">
        <v>2021</v>
      </c>
      <c r="E229" s="14">
        <f>Data!E229</f>
        <v>30812000000</v>
      </c>
      <c r="F229" s="14">
        <f>Data!H229</f>
        <v>38934000000</v>
      </c>
      <c r="G229" s="12">
        <f t="shared" si="3"/>
        <v>0.7913905583808496</v>
      </c>
    </row>
    <row r="230" spans="2:7" ht="15" customHeight="1" x14ac:dyDescent="0.3">
      <c r="C230" s="4"/>
      <c r="D230" s="8">
        <v>2022</v>
      </c>
      <c r="E230" s="14">
        <f>Data!E230</f>
        <v>29033000000</v>
      </c>
      <c r="F230" s="14">
        <f>Data!H230</f>
        <v>98566000000</v>
      </c>
      <c r="G230" s="12">
        <f t="shared" si="3"/>
        <v>0.29455390296856926</v>
      </c>
    </row>
    <row r="231" spans="2:7" ht="15" customHeight="1" x14ac:dyDescent="0.3">
      <c r="C231" s="4"/>
      <c r="D231" s="8">
        <v>2023</v>
      </c>
      <c r="E231" s="14">
        <f>Data!E231</f>
        <v>34311000000</v>
      </c>
      <c r="F231" s="14">
        <f>Data!H231</f>
        <v>147467000000</v>
      </c>
      <c r="G231" s="12">
        <f t="shared" si="3"/>
        <v>0.23266900391273979</v>
      </c>
    </row>
    <row r="232" spans="2:7" ht="15" customHeight="1" x14ac:dyDescent="0.3">
      <c r="C232" s="4"/>
      <c r="D232" s="8">
        <v>2024</v>
      </c>
      <c r="E232" s="14">
        <f>Data!E232</f>
        <v>25641000000</v>
      </c>
      <c r="F232" s="14">
        <f>Data!H232</f>
        <v>166234000000</v>
      </c>
      <c r="G232" s="12">
        <f t="shared" si="3"/>
        <v>0.15424642371596664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Data!E233</f>
        <v>0</v>
      </c>
      <c r="F233" s="14">
        <f>Data!H233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Data!E234</f>
        <v>0</v>
      </c>
      <c r="F234" s="14">
        <f>Data!H234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Data!E235</f>
        <v>2595000000</v>
      </c>
      <c r="F235" s="14">
        <f>Data!H235</f>
        <v>116000000</v>
      </c>
      <c r="G235" s="12">
        <f t="shared" si="3"/>
        <v>22.370689655172413</v>
      </c>
    </row>
    <row r="236" spans="2:7" ht="15" customHeight="1" x14ac:dyDescent="0.3">
      <c r="C236" s="4"/>
      <c r="D236" s="8">
        <v>2017</v>
      </c>
      <c r="E236" s="14">
        <f>Data!E236</f>
        <v>20027000000</v>
      </c>
      <c r="F236" s="14">
        <f>Data!H236</f>
        <v>22273000000</v>
      </c>
      <c r="G236" s="12">
        <f t="shared" si="3"/>
        <v>0.89916041844385575</v>
      </c>
    </row>
    <row r="237" spans="2:7" ht="15" customHeight="1" x14ac:dyDescent="0.3">
      <c r="C237" s="4"/>
      <c r="D237" s="8">
        <v>2018</v>
      </c>
      <c r="E237" s="14">
        <f>Data!E237</f>
        <v>17497000000</v>
      </c>
      <c r="F237" s="14">
        <f>Data!H237</f>
        <v>49141000000</v>
      </c>
      <c r="G237" s="12">
        <f t="shared" si="3"/>
        <v>0.3560570602958833</v>
      </c>
    </row>
    <row r="238" spans="2:7" ht="15" customHeight="1" x14ac:dyDescent="0.3">
      <c r="C238" s="4"/>
      <c r="D238" s="8">
        <v>2019</v>
      </c>
      <c r="E238" s="14">
        <f>Data!E238</f>
        <v>12171000000</v>
      </c>
      <c r="F238" s="14">
        <f>Data!H238</f>
        <v>55501000000</v>
      </c>
      <c r="G238" s="12">
        <f t="shared" si="3"/>
        <v>0.21929334606583664</v>
      </c>
    </row>
    <row r="239" spans="2:7" ht="15" customHeight="1" x14ac:dyDescent="0.3">
      <c r="C239" s="4"/>
      <c r="D239" s="8">
        <v>2020</v>
      </c>
      <c r="E239" s="14">
        <f>Data!E239</f>
        <v>31677000000</v>
      </c>
      <c r="F239" s="14">
        <f>Data!H239</f>
        <v>53213000000</v>
      </c>
      <c r="G239" s="12">
        <f t="shared" si="3"/>
        <v>0.59528686599139313</v>
      </c>
    </row>
    <row r="240" spans="2:7" ht="15" customHeight="1" x14ac:dyDescent="0.3">
      <c r="C240" s="4"/>
      <c r="D240" s="8">
        <v>2021</v>
      </c>
      <c r="E240" s="14">
        <f>Data!E240</f>
        <v>15647000000</v>
      </c>
      <c r="F240" s="14">
        <f>Data!H240</f>
        <v>82889000000</v>
      </c>
      <c r="G240" s="12">
        <f t="shared" si="3"/>
        <v>0.18877052443629433</v>
      </c>
    </row>
    <row r="241" spans="2:7" ht="15" customHeight="1" x14ac:dyDescent="0.3">
      <c r="C241" s="4"/>
      <c r="D241" s="8">
        <v>2022</v>
      </c>
      <c r="E241" s="14">
        <f>Data!E241</f>
        <v>67947000000</v>
      </c>
      <c r="F241" s="14">
        <f>Data!H241</f>
        <v>107143000000</v>
      </c>
      <c r="G241" s="12">
        <f t="shared" si="3"/>
        <v>0.63417115443846073</v>
      </c>
    </row>
    <row r="242" spans="2:7" ht="15" customHeight="1" x14ac:dyDescent="0.3">
      <c r="C242" s="4"/>
      <c r="D242" s="8">
        <v>2023</v>
      </c>
      <c r="E242" s="14">
        <f>Data!E242</f>
        <v>17254000000</v>
      </c>
      <c r="F242" s="14">
        <f>Data!H242</f>
        <v>127782000000</v>
      </c>
      <c r="G242" s="12">
        <f t="shared" si="3"/>
        <v>0.13502684259128828</v>
      </c>
    </row>
    <row r="243" spans="2:7" ht="15" customHeight="1" x14ac:dyDescent="0.3">
      <c r="C243" s="4"/>
      <c r="D243" s="8">
        <v>2024</v>
      </c>
      <c r="E243" s="14">
        <f>Data!E243</f>
        <v>5013000000</v>
      </c>
      <c r="F243" s="14">
        <f>Data!H243</f>
        <v>24344000000</v>
      </c>
      <c r="G243" s="12">
        <f t="shared" si="3"/>
        <v>0.20592343082484391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Data!E244</f>
        <v>0</v>
      </c>
      <c r="F244" s="14">
        <f>Data!H244</f>
        <v>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Data!E245</f>
        <v>35476000000</v>
      </c>
      <c r="F245" s="14">
        <f>Data!H245</f>
        <v>1766000000</v>
      </c>
      <c r="G245" s="12">
        <f t="shared" si="3"/>
        <v>20.088335220838051</v>
      </c>
    </row>
    <row r="246" spans="2:7" ht="15" customHeight="1" x14ac:dyDescent="0.3">
      <c r="C246" s="4"/>
      <c r="D246" s="8">
        <v>2016</v>
      </c>
      <c r="E246" s="14">
        <f>Data!E246</f>
        <v>3025000000</v>
      </c>
      <c r="F246" s="14">
        <f>Data!H246</f>
        <v>1260000000</v>
      </c>
      <c r="G246" s="12">
        <f t="shared" si="3"/>
        <v>2.4007936507936507</v>
      </c>
    </row>
    <row r="247" spans="2:7" ht="15" customHeight="1" x14ac:dyDescent="0.3">
      <c r="C247" s="4"/>
      <c r="D247" s="8">
        <v>2017</v>
      </c>
      <c r="E247" s="14">
        <f>Data!E247</f>
        <v>43576000000</v>
      </c>
      <c r="F247" s="14">
        <f>Data!H247</f>
        <v>10292000000</v>
      </c>
      <c r="G247" s="12">
        <f t="shared" si="3"/>
        <v>4.2339681305868639</v>
      </c>
    </row>
    <row r="248" spans="2:7" ht="15" customHeight="1" x14ac:dyDescent="0.3">
      <c r="C248" s="4"/>
      <c r="D248" s="8">
        <v>2018</v>
      </c>
      <c r="E248" s="14">
        <f>Data!E248</f>
        <v>7824000000</v>
      </c>
      <c r="F248" s="14">
        <f>Data!H248</f>
        <v>9380000000</v>
      </c>
      <c r="G248" s="12">
        <f t="shared" si="3"/>
        <v>0.83411513859275055</v>
      </c>
    </row>
    <row r="249" spans="2:7" ht="15" customHeight="1" x14ac:dyDescent="0.3">
      <c r="C249" s="4"/>
      <c r="D249" s="8">
        <v>2019</v>
      </c>
      <c r="E249" s="14">
        <f>Data!E249</f>
        <v>7755000000</v>
      </c>
      <c r="F249" s="14">
        <f>Data!H249</f>
        <v>15211000000</v>
      </c>
      <c r="G249" s="12">
        <f t="shared" si="3"/>
        <v>0.5098284136480179</v>
      </c>
    </row>
    <row r="250" spans="2:7" ht="15" customHeight="1" x14ac:dyDescent="0.3">
      <c r="C250" s="4"/>
      <c r="D250" s="8">
        <v>2020</v>
      </c>
      <c r="E250" s="14">
        <f>Data!E250</f>
        <v>36297000000</v>
      </c>
      <c r="F250" s="14">
        <f>Data!H250</f>
        <v>37548000000</v>
      </c>
      <c r="G250" s="12">
        <f t="shared" si="3"/>
        <v>0.96668264621284761</v>
      </c>
    </row>
    <row r="251" spans="2:7" ht="15" customHeight="1" x14ac:dyDescent="0.3">
      <c r="C251" s="4"/>
      <c r="D251" s="8">
        <v>2021</v>
      </c>
      <c r="E251" s="14">
        <f>Data!E251</f>
        <v>18517000000</v>
      </c>
      <c r="F251" s="14">
        <f>Data!H251</f>
        <v>51024000000</v>
      </c>
      <c r="G251" s="12">
        <f t="shared" si="3"/>
        <v>0.36290765130134839</v>
      </c>
    </row>
    <row r="252" spans="2:7" ht="15" customHeight="1" x14ac:dyDescent="0.3">
      <c r="C252" s="4"/>
      <c r="D252" s="8">
        <v>2022</v>
      </c>
      <c r="E252" s="14">
        <f>Data!E252</f>
        <v>18454000000</v>
      </c>
      <c r="F252" s="14">
        <f>Data!H252</f>
        <v>56225000000</v>
      </c>
      <c r="G252" s="12">
        <f t="shared" si="3"/>
        <v>0.32821698532681193</v>
      </c>
    </row>
    <row r="253" spans="2:7" ht="15" customHeight="1" x14ac:dyDescent="0.3">
      <c r="C253" s="4"/>
      <c r="D253" s="8">
        <v>2023</v>
      </c>
      <c r="E253" s="14">
        <f>Data!E253</f>
        <v>7428000000</v>
      </c>
      <c r="F253" s="14">
        <f>Data!H253</f>
        <v>86482000000</v>
      </c>
      <c r="G253" s="12">
        <f t="shared" si="3"/>
        <v>8.5890705580351986E-2</v>
      </c>
    </row>
    <row r="254" spans="2:7" ht="15" customHeight="1" x14ac:dyDescent="0.3">
      <c r="C254" s="4"/>
      <c r="D254" s="8">
        <v>2024</v>
      </c>
      <c r="E254" s="14">
        <f>Data!E254</f>
        <v>8752000000</v>
      </c>
      <c r="F254" s="14">
        <f>Data!H254</f>
        <v>114042000000</v>
      </c>
      <c r="G254" s="12">
        <f t="shared" si="3"/>
        <v>7.6743655846091788E-2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Data!E255</f>
        <v>0</v>
      </c>
      <c r="F255" s="14">
        <f>Data!H255</f>
        <v>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Data!E256</f>
        <v>2824000000</v>
      </c>
      <c r="F256" s="14">
        <f>Data!H256</f>
        <v>6278000000</v>
      </c>
      <c r="G256" s="12">
        <f t="shared" si="3"/>
        <v>0.44982478496336414</v>
      </c>
    </row>
    <row r="257" spans="2:7" ht="15" customHeight="1" x14ac:dyDescent="0.3">
      <c r="C257" s="4"/>
      <c r="D257" s="8">
        <v>2016</v>
      </c>
      <c r="E257" s="14">
        <f>Data!E257</f>
        <v>5211000000</v>
      </c>
      <c r="F257" s="14">
        <f>Data!H257</f>
        <v>6665000000</v>
      </c>
      <c r="G257" s="12">
        <f t="shared" si="3"/>
        <v>0.78184546136534139</v>
      </c>
    </row>
    <row r="258" spans="2:7" ht="15" customHeight="1" x14ac:dyDescent="0.3">
      <c r="C258" s="4"/>
      <c r="D258" s="8">
        <v>2017</v>
      </c>
      <c r="E258" s="14">
        <f>Data!E258</f>
        <v>4810000000</v>
      </c>
      <c r="F258" s="14">
        <f>Data!H258</f>
        <v>9796000000</v>
      </c>
      <c r="G258" s="12">
        <f t="shared" si="3"/>
        <v>0.49101674152715397</v>
      </c>
    </row>
    <row r="259" spans="2:7" ht="15" customHeight="1" x14ac:dyDescent="0.3">
      <c r="C259" s="4"/>
      <c r="D259" s="8">
        <v>2018</v>
      </c>
      <c r="E259" s="14">
        <f>Data!E259</f>
        <v>4153000000</v>
      </c>
      <c r="F259" s="14">
        <f>Data!H259</f>
        <v>11172000000</v>
      </c>
      <c r="G259" s="12">
        <f t="shared" ref="G259:G322" si="4">IFERROR(E259/F259,0)</f>
        <v>0.37173290368779088</v>
      </c>
    </row>
    <row r="260" spans="2:7" ht="15" customHeight="1" x14ac:dyDescent="0.3">
      <c r="C260" s="4"/>
      <c r="D260" s="8">
        <v>2019</v>
      </c>
      <c r="E260" s="14">
        <f>Data!E260</f>
        <v>6288000000</v>
      </c>
      <c r="F260" s="14">
        <f>Data!H260</f>
        <v>11781000000</v>
      </c>
      <c r="G260" s="12">
        <f t="shared" si="4"/>
        <v>0.53374076903488665</v>
      </c>
    </row>
    <row r="261" spans="2:7" ht="15" customHeight="1" x14ac:dyDescent="0.3">
      <c r="C261" s="4"/>
      <c r="D261" s="8">
        <v>2020</v>
      </c>
      <c r="E261" s="14">
        <f>Data!E261</f>
        <v>8104000000</v>
      </c>
      <c r="F261" s="14">
        <f>Data!H261</f>
        <v>10105000000</v>
      </c>
      <c r="G261" s="12">
        <f t="shared" si="4"/>
        <v>0.80197921820880758</v>
      </c>
    </row>
    <row r="262" spans="2:7" ht="15" customHeight="1" x14ac:dyDescent="0.3">
      <c r="C262" s="4"/>
      <c r="D262" s="8">
        <v>2021</v>
      </c>
      <c r="E262" s="14">
        <f>Data!E262</f>
        <v>6661000000</v>
      </c>
      <c r="F262" s="14">
        <f>Data!H262</f>
        <v>8572000000</v>
      </c>
      <c r="G262" s="12">
        <f t="shared" si="4"/>
        <v>0.77706486234251049</v>
      </c>
    </row>
    <row r="263" spans="2:7" ht="15" customHeight="1" x14ac:dyDescent="0.3">
      <c r="C263" s="4"/>
      <c r="D263" s="8">
        <v>2022</v>
      </c>
      <c r="E263" s="14">
        <f>Data!E263</f>
        <v>4037000000</v>
      </c>
      <c r="F263" s="14">
        <f>Data!H263</f>
        <v>10627000000</v>
      </c>
      <c r="G263" s="12">
        <f t="shared" si="4"/>
        <v>0.37988143408299613</v>
      </c>
    </row>
    <row r="264" spans="2:7" ht="15" customHeight="1" x14ac:dyDescent="0.3">
      <c r="C264" s="4"/>
      <c r="D264" s="8">
        <v>2023</v>
      </c>
      <c r="E264" s="14">
        <f>Data!E264</f>
        <v>34219000000</v>
      </c>
      <c r="F264" s="14">
        <f>Data!H264</f>
        <v>13927000000</v>
      </c>
      <c r="G264" s="12">
        <f t="shared" si="4"/>
        <v>2.4570259208731242</v>
      </c>
    </row>
    <row r="265" spans="2:7" ht="15" customHeight="1" x14ac:dyDescent="0.3">
      <c r="C265" s="4"/>
      <c r="D265" s="8">
        <v>2024</v>
      </c>
      <c r="E265" s="14">
        <f>Data!E265</f>
        <v>27855000000</v>
      </c>
      <c r="F265" s="14">
        <f>Data!H265</f>
        <v>20600000000</v>
      </c>
      <c r="G265" s="12">
        <f t="shared" si="4"/>
        <v>1.3521844660194176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Data!E266</f>
        <v>0</v>
      </c>
      <c r="F266" s="14">
        <f>Data!H266</f>
        <v>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Data!E267</f>
        <v>365000000</v>
      </c>
      <c r="F267" s="14">
        <f>Data!H267</f>
        <v>11484000000</v>
      </c>
      <c r="G267" s="12">
        <f t="shared" si="4"/>
        <v>3.178335074886799E-2</v>
      </c>
    </row>
    <row r="268" spans="2:7" ht="15" customHeight="1" x14ac:dyDescent="0.3">
      <c r="C268" s="3"/>
      <c r="D268" s="8">
        <v>2016</v>
      </c>
      <c r="E268" s="14">
        <f>Data!E268</f>
        <v>744000000</v>
      </c>
      <c r="F268" s="14">
        <f>Data!H268</f>
        <v>22429000000</v>
      </c>
      <c r="G268" s="12">
        <f t="shared" si="4"/>
        <v>3.3171340675018951E-2</v>
      </c>
    </row>
    <row r="269" spans="2:7" ht="15" customHeight="1" x14ac:dyDescent="0.3">
      <c r="C269" s="3"/>
      <c r="D269" s="8">
        <v>2017</v>
      </c>
      <c r="E269" s="14">
        <f>Data!E269</f>
        <v>3059240000</v>
      </c>
      <c r="F269" s="14">
        <f>Data!H269</f>
        <v>54178820000</v>
      </c>
      <c r="G269" s="12">
        <f t="shared" si="4"/>
        <v>5.6465607778094833E-2</v>
      </c>
    </row>
    <row r="270" spans="2:7" ht="15" customHeight="1" x14ac:dyDescent="0.3">
      <c r="C270" s="3"/>
      <c r="D270" s="8">
        <v>2018</v>
      </c>
      <c r="E270" s="14">
        <f>Data!E270</f>
        <v>1017510000</v>
      </c>
      <c r="F270" s="14">
        <f>Data!H270</f>
        <v>46513720000</v>
      </c>
      <c r="G270" s="12">
        <f t="shared" si="4"/>
        <v>2.1875481040862781E-2</v>
      </c>
    </row>
    <row r="271" spans="2:7" ht="15" customHeight="1" x14ac:dyDescent="0.3">
      <c r="C271" s="3"/>
      <c r="D271" s="8">
        <v>2019</v>
      </c>
      <c r="E271" s="14">
        <f>Data!E271</f>
        <v>979040000</v>
      </c>
      <c r="F271" s="14">
        <f>Data!H271</f>
        <v>42961400000</v>
      </c>
      <c r="G271" s="12">
        <f t="shared" si="4"/>
        <v>2.2788829041884111E-2</v>
      </c>
    </row>
    <row r="272" spans="2:7" ht="15" customHeight="1" x14ac:dyDescent="0.3">
      <c r="C272" s="3"/>
      <c r="D272" s="8">
        <v>2020</v>
      </c>
      <c r="E272" s="14">
        <f>Data!E272</f>
        <v>2422380000</v>
      </c>
      <c r="F272" s="14">
        <f>Data!H272</f>
        <v>66000130000.000008</v>
      </c>
      <c r="G272" s="12">
        <f t="shared" si="4"/>
        <v>3.6702654979618977E-2</v>
      </c>
    </row>
    <row r="273" spans="2:7" ht="15" customHeight="1" x14ac:dyDescent="0.3">
      <c r="C273" s="3"/>
      <c r="D273" s="8">
        <v>2021</v>
      </c>
      <c r="E273" s="14">
        <f>Data!E273</f>
        <v>3033890000</v>
      </c>
      <c r="F273" s="14">
        <f>Data!H273</f>
        <v>87872780000</v>
      </c>
      <c r="G273" s="12">
        <f t="shared" si="4"/>
        <v>3.4525936245558636E-2</v>
      </c>
    </row>
    <row r="274" spans="2:7" ht="15" customHeight="1" x14ac:dyDescent="0.3">
      <c r="C274" s="3"/>
      <c r="D274" s="8">
        <v>2022</v>
      </c>
      <c r="E274" s="14">
        <f>Data!E274</f>
        <v>7065660000</v>
      </c>
      <c r="F274" s="14">
        <f>Data!H274</f>
        <v>93847560000</v>
      </c>
      <c r="G274" s="12">
        <f t="shared" si="4"/>
        <v>7.5288691575998351E-2</v>
      </c>
    </row>
    <row r="275" spans="2:7" ht="15" customHeight="1" x14ac:dyDescent="0.3">
      <c r="C275" s="3"/>
      <c r="D275" s="8">
        <v>2023</v>
      </c>
      <c r="E275" s="14">
        <f>Data!E275</f>
        <v>7546460000</v>
      </c>
      <c r="F275" s="14">
        <f>Data!H275</f>
        <v>118797230000</v>
      </c>
      <c r="G275" s="12">
        <f t="shared" si="4"/>
        <v>6.3523871726638745E-2</v>
      </c>
    </row>
    <row r="276" spans="2:7" ht="15" customHeight="1" x14ac:dyDescent="0.3">
      <c r="C276" s="3"/>
      <c r="D276" s="8">
        <v>2024</v>
      </c>
      <c r="E276" s="14">
        <f>Data!E276</f>
        <v>13037530000</v>
      </c>
      <c r="F276" s="14">
        <f>Data!H276</f>
        <v>141824740000</v>
      </c>
      <c r="G276" s="12">
        <f t="shared" si="4"/>
        <v>9.1927050245253397E-2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Data!E277</f>
        <v>0</v>
      </c>
      <c r="F277" s="14">
        <f>Data!H277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Data!E278</f>
        <v>0</v>
      </c>
      <c r="F278" s="14">
        <f>Data!H278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Data!E279</f>
        <v>0</v>
      </c>
      <c r="F279" s="14">
        <f>Data!H279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Data!E280</f>
        <v>0</v>
      </c>
      <c r="F280" s="14">
        <f>Data!H280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Data!E281</f>
        <v>0</v>
      </c>
      <c r="F281" s="14">
        <f>Data!H281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Data!E282</f>
        <v>0</v>
      </c>
      <c r="F282" s="14">
        <f>Data!H282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Data!E283</f>
        <v>0</v>
      </c>
      <c r="F283" s="14">
        <f>Data!H283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Data!E284</f>
        <v>0</v>
      </c>
      <c r="F284" s="14">
        <f>Data!H284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Data!E285</f>
        <v>84790000</v>
      </c>
      <c r="F285" s="14">
        <f>Data!H285</f>
        <v>3936980000</v>
      </c>
      <c r="G285" s="12">
        <f t="shared" si="4"/>
        <v>2.1536812480632363E-2</v>
      </c>
    </row>
    <row r="286" spans="2:7" ht="15" customHeight="1" x14ac:dyDescent="0.3">
      <c r="C286" s="3"/>
      <c r="D286" s="8">
        <v>2023</v>
      </c>
      <c r="E286" s="14">
        <f>Data!E286</f>
        <v>16730000</v>
      </c>
      <c r="F286" s="14">
        <f>Data!H286</f>
        <v>3639590000</v>
      </c>
      <c r="G286" s="12">
        <f t="shared" si="4"/>
        <v>4.5966716031201321E-3</v>
      </c>
    </row>
    <row r="287" spans="2:7" ht="15" customHeight="1" x14ac:dyDescent="0.3">
      <c r="C287" s="3"/>
      <c r="D287" s="8">
        <v>2024</v>
      </c>
      <c r="E287" s="14">
        <f>Data!E287</f>
        <v>129309400000</v>
      </c>
      <c r="F287" s="14">
        <f>Data!H287</f>
        <v>1176750000</v>
      </c>
      <c r="G287" s="12">
        <f t="shared" si="4"/>
        <v>109.8868918631825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Data!E288</f>
        <v>0</v>
      </c>
      <c r="F288" s="14">
        <f>Data!H288</f>
        <v>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Data!E289</f>
        <v>58540000000</v>
      </c>
      <c r="F289" s="14">
        <f>Data!H289</f>
        <v>132907000000</v>
      </c>
      <c r="G289" s="12">
        <f t="shared" si="4"/>
        <v>0.44045836562408303</v>
      </c>
    </row>
    <row r="290" spans="2:7" ht="15" customHeight="1" x14ac:dyDescent="0.3">
      <c r="C290" s="3"/>
      <c r="D290" s="8">
        <v>2016</v>
      </c>
      <c r="E290" s="14">
        <f>Data!E290</f>
        <v>31597000000</v>
      </c>
      <c r="F290" s="14">
        <f>Data!H290</f>
        <v>218192000000</v>
      </c>
      <c r="G290" s="12">
        <f t="shared" si="4"/>
        <v>0.14481282540148127</v>
      </c>
    </row>
    <row r="291" spans="2:7" ht="15" customHeight="1" x14ac:dyDescent="0.3">
      <c r="C291" s="3"/>
      <c r="D291" s="8">
        <v>2017</v>
      </c>
      <c r="E291" s="14">
        <f>Data!E291</f>
        <v>109963000000</v>
      </c>
      <c r="F291" s="14">
        <f>Data!H291</f>
        <v>1036920000000</v>
      </c>
      <c r="G291" s="12">
        <f t="shared" si="4"/>
        <v>0.10604771824248736</v>
      </c>
    </row>
    <row r="292" spans="2:7" ht="15" customHeight="1" x14ac:dyDescent="0.3">
      <c r="C292" s="3"/>
      <c r="D292" s="8">
        <v>2018</v>
      </c>
      <c r="E292" s="14">
        <f>Data!E292</f>
        <v>105913000000</v>
      </c>
      <c r="F292" s="14">
        <f>Data!H292</f>
        <v>1155735000000</v>
      </c>
      <c r="G292" s="12">
        <f t="shared" si="4"/>
        <v>9.164124994051405E-2</v>
      </c>
    </row>
    <row r="293" spans="2:7" ht="15" customHeight="1" x14ac:dyDescent="0.3">
      <c r="C293" s="3"/>
      <c r="D293" s="8">
        <v>2019</v>
      </c>
      <c r="E293" s="14">
        <f>Data!E293</f>
        <v>161217000000</v>
      </c>
      <c r="F293" s="14">
        <f>Data!H293</f>
        <v>697988000000</v>
      </c>
      <c r="G293" s="12">
        <f t="shared" si="4"/>
        <v>0.23097388493784993</v>
      </c>
    </row>
    <row r="294" spans="2:7" ht="15" customHeight="1" x14ac:dyDescent="0.3">
      <c r="C294" s="3"/>
      <c r="D294" s="8">
        <v>2020</v>
      </c>
      <c r="E294" s="14">
        <f>Data!E294</f>
        <v>268812000000</v>
      </c>
      <c r="F294" s="14">
        <f>Data!H294</f>
        <v>843388000000</v>
      </c>
      <c r="G294" s="12">
        <f t="shared" si="4"/>
        <v>0.31872874643698984</v>
      </c>
    </row>
    <row r="295" spans="2:7" ht="15" customHeight="1" x14ac:dyDescent="0.3">
      <c r="C295" s="3"/>
      <c r="D295" s="8">
        <v>2021</v>
      </c>
      <c r="E295" s="14">
        <f>Data!E295</f>
        <v>288684000000</v>
      </c>
      <c r="F295" s="14">
        <f>Data!H295</f>
        <v>1005708000000</v>
      </c>
      <c r="G295" s="12">
        <f t="shared" si="4"/>
        <v>0.28704554403465021</v>
      </c>
    </row>
    <row r="296" spans="2:7" ht="15" customHeight="1" x14ac:dyDescent="0.3">
      <c r="C296" s="3"/>
      <c r="D296" s="8">
        <v>2022</v>
      </c>
      <c r="E296" s="14">
        <f>Data!E296</f>
        <v>267042000000</v>
      </c>
      <c r="F296" s="14">
        <f>Data!H296</f>
        <v>974284000000</v>
      </c>
      <c r="G296" s="12">
        <f t="shared" si="4"/>
        <v>0.27409051159620806</v>
      </c>
    </row>
    <row r="297" spans="2:7" ht="15" customHeight="1" x14ac:dyDescent="0.3">
      <c r="C297" s="3"/>
      <c r="D297" s="8">
        <v>2023</v>
      </c>
      <c r="E297" s="14">
        <f>Data!E297</f>
        <v>300354000000</v>
      </c>
      <c r="F297" s="14">
        <f>Data!H297</f>
        <v>884837000000</v>
      </c>
      <c r="G297" s="12">
        <f t="shared" si="4"/>
        <v>0.33944557020106531</v>
      </c>
    </row>
    <row r="298" spans="2:7" ht="15" customHeight="1" x14ac:dyDescent="0.3">
      <c r="C298" s="3"/>
      <c r="D298" s="8">
        <v>2024</v>
      </c>
      <c r="E298" s="14">
        <f>Data!E298</f>
        <v>259729000000</v>
      </c>
      <c r="F298" s="14">
        <f>Data!H298</f>
        <v>1012197000000</v>
      </c>
      <c r="G298" s="12">
        <f t="shared" si="4"/>
        <v>0.2565992588399294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Data!E299</f>
        <v>0</v>
      </c>
      <c r="F299" s="14">
        <f>Data!H299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Data!E300</f>
        <v>15000000</v>
      </c>
      <c r="F300" s="14">
        <f>Data!H300</f>
        <v>114000000</v>
      </c>
      <c r="G300" s="12">
        <f t="shared" si="4"/>
        <v>0.13157894736842105</v>
      </c>
    </row>
    <row r="301" spans="2:7" ht="15" customHeight="1" x14ac:dyDescent="0.3">
      <c r="C301" s="4"/>
      <c r="D301" s="8">
        <v>2016</v>
      </c>
      <c r="E301" s="14">
        <f>Data!E301</f>
        <v>7792000000</v>
      </c>
      <c r="F301" s="14">
        <f>Data!H301</f>
        <v>5797000000</v>
      </c>
      <c r="G301" s="12">
        <f t="shared" si="4"/>
        <v>1.344143522511644</v>
      </c>
    </row>
    <row r="302" spans="2:7" ht="15" customHeight="1" x14ac:dyDescent="0.3">
      <c r="C302" s="4"/>
      <c r="D302" s="8">
        <v>2017</v>
      </c>
      <c r="E302" s="14">
        <f>Data!E302</f>
        <v>14232000000</v>
      </c>
      <c r="F302" s="14">
        <f>Data!H302</f>
        <v>8919000000</v>
      </c>
      <c r="G302" s="12">
        <f t="shared" si="4"/>
        <v>1.5956945845946855</v>
      </c>
    </row>
    <row r="303" spans="2:7" ht="15" customHeight="1" x14ac:dyDescent="0.3">
      <c r="C303" s="4"/>
      <c r="D303" s="8">
        <v>2018</v>
      </c>
      <c r="E303" s="14">
        <f>Data!E303</f>
        <v>22773000000</v>
      </c>
      <c r="F303" s="14">
        <f>Data!H303</f>
        <v>18801000000</v>
      </c>
      <c r="G303" s="12">
        <f t="shared" si="4"/>
        <v>1.2112653582256263</v>
      </c>
    </row>
    <row r="304" spans="2:7" ht="15" customHeight="1" x14ac:dyDescent="0.3">
      <c r="C304" s="4"/>
      <c r="D304" s="8">
        <v>2019</v>
      </c>
      <c r="E304" s="14">
        <f>Data!E304</f>
        <v>14413000000</v>
      </c>
      <c r="F304" s="14">
        <f>Data!H304</f>
        <v>14673000000</v>
      </c>
      <c r="G304" s="12">
        <f t="shared" si="4"/>
        <v>0.98228037892728137</v>
      </c>
    </row>
    <row r="305" spans="2:7" ht="15" customHeight="1" x14ac:dyDescent="0.3">
      <c r="C305" s="4"/>
      <c r="D305" s="8">
        <v>2020</v>
      </c>
      <c r="E305" s="14">
        <f>Data!E305</f>
        <v>25566000000</v>
      </c>
      <c r="F305" s="14">
        <f>Data!H305</f>
        <v>21439000000</v>
      </c>
      <c r="G305" s="12">
        <f t="shared" si="4"/>
        <v>1.1924996501702505</v>
      </c>
    </row>
    <row r="306" spans="2:7" ht="15" customHeight="1" x14ac:dyDescent="0.3">
      <c r="C306" s="4"/>
      <c r="D306" s="8">
        <v>2021</v>
      </c>
      <c r="E306" s="14">
        <f>Data!E306</f>
        <v>39898000000</v>
      </c>
      <c r="F306" s="14">
        <f>Data!H306</f>
        <v>29790000000</v>
      </c>
      <c r="G306" s="12">
        <f t="shared" si="4"/>
        <v>1.3393084927828129</v>
      </c>
    </row>
    <row r="307" spans="2:7" ht="15" customHeight="1" x14ac:dyDescent="0.3">
      <c r="C307" s="4"/>
      <c r="D307" s="8">
        <v>2022</v>
      </c>
      <c r="E307" s="14">
        <f>Data!E307</f>
        <v>47607000000</v>
      </c>
      <c r="F307" s="14">
        <f>Data!H307</f>
        <v>32408000000</v>
      </c>
      <c r="G307" s="12">
        <f t="shared" si="4"/>
        <v>1.4689891384843248</v>
      </c>
    </row>
    <row r="308" spans="2:7" ht="15" customHeight="1" x14ac:dyDescent="0.3">
      <c r="C308" s="4"/>
      <c r="D308" s="8">
        <v>2023</v>
      </c>
      <c r="E308" s="14">
        <f>Data!E308</f>
        <v>50544000000</v>
      </c>
      <c r="F308" s="14">
        <f>Data!H308</f>
        <v>38312000000</v>
      </c>
      <c r="G308" s="12">
        <f t="shared" si="4"/>
        <v>1.3192733347254124</v>
      </c>
    </row>
    <row r="309" spans="2:7" ht="15" customHeight="1" x14ac:dyDescent="0.3">
      <c r="C309" s="4"/>
      <c r="D309" s="8">
        <v>2024</v>
      </c>
      <c r="E309" s="14">
        <f>Data!E309</f>
        <v>51036000000</v>
      </c>
      <c r="F309" s="14">
        <f>Data!H309</f>
        <v>40022000000</v>
      </c>
      <c r="G309" s="12">
        <f t="shared" si="4"/>
        <v>1.2751986407475888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Data!E310</f>
        <v>0</v>
      </c>
      <c r="F310" s="14">
        <f>Data!H310</f>
        <v>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 t="e">
        <f>Data!#REF!</f>
        <v>#REF!</v>
      </c>
      <c r="F311" s="14">
        <f>Data!H311</f>
        <v>32754000000</v>
      </c>
      <c r="G311" s="12">
        <f t="shared" si="4"/>
        <v>0</v>
      </c>
    </row>
    <row r="312" spans="2:7" ht="15" customHeight="1" x14ac:dyDescent="0.3">
      <c r="C312" s="4"/>
      <c r="D312" s="8">
        <v>2016</v>
      </c>
      <c r="E312" s="14">
        <f>Data!E312</f>
        <v>37712000000</v>
      </c>
      <c r="F312" s="14">
        <f>Data!H312</f>
        <v>28812000000</v>
      </c>
      <c r="G312" s="12">
        <f t="shared" si="4"/>
        <v>1.3088990698320144</v>
      </c>
    </row>
    <row r="313" spans="2:7" ht="15" customHeight="1" x14ac:dyDescent="0.3">
      <c r="C313" s="4"/>
      <c r="D313" s="8">
        <v>2017</v>
      </c>
      <c r="E313" s="14">
        <f>Data!E313</f>
        <v>31432000000</v>
      </c>
      <c r="F313" s="14">
        <f>Data!H313</f>
        <v>32629000000</v>
      </c>
      <c r="G313" s="12">
        <f t="shared" si="4"/>
        <v>0.96331484262465905</v>
      </c>
    </row>
    <row r="314" spans="2:7" ht="15" customHeight="1" x14ac:dyDescent="0.3">
      <c r="C314" s="4"/>
      <c r="D314" s="8">
        <v>2018</v>
      </c>
      <c r="E314" s="14">
        <f>Data!E314</f>
        <v>16708000000</v>
      </c>
      <c r="F314" s="14">
        <f>Data!H314</f>
        <v>65935000000</v>
      </c>
      <c r="G314" s="12">
        <f t="shared" si="4"/>
        <v>0.25340107681807839</v>
      </c>
    </row>
    <row r="315" spans="2:7" ht="15" customHeight="1" x14ac:dyDescent="0.3">
      <c r="C315" s="4"/>
      <c r="D315" s="8">
        <v>2019</v>
      </c>
      <c r="E315" s="14">
        <f>Data!E315</f>
        <v>16995000000</v>
      </c>
      <c r="F315" s="14">
        <f>Data!H315</f>
        <v>75435000000</v>
      </c>
      <c r="G315" s="12">
        <f t="shared" si="4"/>
        <v>0.22529329886657387</v>
      </c>
    </row>
    <row r="316" spans="2:7" ht="15" customHeight="1" x14ac:dyDescent="0.3">
      <c r="C316" s="4"/>
      <c r="D316" s="8">
        <v>2020</v>
      </c>
      <c r="E316" s="14">
        <f>Data!E316</f>
        <v>23097000000</v>
      </c>
      <c r="F316" s="14">
        <f>Data!H316</f>
        <v>63162000000</v>
      </c>
      <c r="G316" s="12">
        <f t="shared" si="4"/>
        <v>0.36567873088249264</v>
      </c>
    </row>
    <row r="317" spans="2:7" ht="15" customHeight="1" x14ac:dyDescent="0.3">
      <c r="C317" s="4"/>
      <c r="D317" s="8">
        <v>2021</v>
      </c>
      <c r="E317" s="14">
        <f>Data!E317</f>
        <v>18171000000</v>
      </c>
      <c r="F317" s="14">
        <f>Data!H317</f>
        <v>77166000000</v>
      </c>
      <c r="G317" s="12">
        <f t="shared" si="4"/>
        <v>0.23547935619314206</v>
      </c>
    </row>
    <row r="318" spans="2:7" ht="15" customHeight="1" x14ac:dyDescent="0.3">
      <c r="C318" s="4"/>
      <c r="D318" s="8">
        <v>2022</v>
      </c>
      <c r="E318" s="14">
        <f>Data!E318</f>
        <v>19662000000</v>
      </c>
      <c r="F318" s="14">
        <f>Data!H318</f>
        <v>65905000000</v>
      </c>
      <c r="G318" s="12">
        <f t="shared" si="4"/>
        <v>0.2983385175631591</v>
      </c>
    </row>
    <row r="319" spans="2:7" ht="15" customHeight="1" x14ac:dyDescent="0.3">
      <c r="C319" s="4"/>
      <c r="D319" s="8">
        <v>2023</v>
      </c>
      <c r="E319" s="14">
        <f>Data!E319</f>
        <v>10173000000</v>
      </c>
      <c r="F319" s="14">
        <f>Data!H319</f>
        <v>82539000000</v>
      </c>
      <c r="G319" s="12">
        <f t="shared" si="4"/>
        <v>0.12325082688183768</v>
      </c>
    </row>
    <row r="320" spans="2:7" ht="15" customHeight="1" x14ac:dyDescent="0.3">
      <c r="C320" s="4"/>
      <c r="D320" s="8">
        <v>2024</v>
      </c>
      <c r="E320" s="14">
        <f>Data!E320</f>
        <v>19844000000</v>
      </c>
      <c r="F320" s="14">
        <f>Data!H320</f>
        <v>76007000000</v>
      </c>
      <c r="G320" s="12">
        <f t="shared" si="4"/>
        <v>0.26108121620377073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Data!E321</f>
        <v>0</v>
      </c>
      <c r="F321" s="14">
        <f>Data!H321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Data!E322</f>
        <v>0</v>
      </c>
      <c r="F322" s="14">
        <f>Data!H322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Data!E323</f>
        <v>0</v>
      </c>
      <c r="F323" s="14">
        <f>Data!H323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Data!E324</f>
        <v>96846000000</v>
      </c>
      <c r="F324" s="14">
        <f>Data!H324</f>
        <v>1223298000000</v>
      </c>
      <c r="G324" s="12">
        <f t="shared" si="5"/>
        <v>7.9167954169793456E-2</v>
      </c>
    </row>
    <row r="325" spans="2:7" ht="15" customHeight="1" x14ac:dyDescent="0.3">
      <c r="C325" s="3"/>
      <c r="D325" s="8">
        <v>2018</v>
      </c>
      <c r="E325" s="14">
        <f>Data!E325</f>
        <v>63967000000</v>
      </c>
      <c r="F325" s="14">
        <f>Data!H325</f>
        <v>1243621000000</v>
      </c>
      <c r="G325" s="12">
        <f t="shared" si="5"/>
        <v>5.1436088647586364E-2</v>
      </c>
    </row>
    <row r="326" spans="2:7" ht="15" customHeight="1" x14ac:dyDescent="0.3">
      <c r="C326" s="3"/>
      <c r="D326" s="8">
        <v>2019</v>
      </c>
      <c r="E326" s="14">
        <f>Data!E326</f>
        <v>72285000000</v>
      </c>
      <c r="F326" s="14">
        <f>Data!H326</f>
        <v>1289816000000</v>
      </c>
      <c r="G326" s="12">
        <f t="shared" si="5"/>
        <v>5.6042877433680464E-2</v>
      </c>
    </row>
    <row r="327" spans="2:7" ht="15" customHeight="1" x14ac:dyDescent="0.3">
      <c r="C327" s="3"/>
      <c r="D327" s="8">
        <v>2020</v>
      </c>
      <c r="E327" s="14">
        <f>Data!E327</f>
        <v>180755000000</v>
      </c>
      <c r="F327" s="14">
        <f>Data!H327</f>
        <v>1328822000000</v>
      </c>
      <c r="G327" s="12">
        <f t="shared" si="5"/>
        <v>0.1360264956480251</v>
      </c>
    </row>
    <row r="328" spans="2:7" ht="15" customHeight="1" x14ac:dyDescent="0.3">
      <c r="C328" s="3"/>
      <c r="D328" s="8">
        <v>2021</v>
      </c>
      <c r="E328" s="14">
        <f>Data!E328</f>
        <v>31251000000</v>
      </c>
      <c r="F328" s="14">
        <f>Data!H328</f>
        <v>1171802000000</v>
      </c>
      <c r="G328" s="12">
        <f t="shared" si="5"/>
        <v>2.6669181312201209E-2</v>
      </c>
    </row>
    <row r="329" spans="2:7" ht="15" customHeight="1" x14ac:dyDescent="0.3">
      <c r="C329" s="3"/>
      <c r="D329" s="8">
        <v>2022</v>
      </c>
      <c r="E329" s="14">
        <f>Data!E329</f>
        <v>58396000000</v>
      </c>
      <c r="F329" s="14">
        <f>Data!H329</f>
        <v>1060797000000</v>
      </c>
      <c r="G329" s="12">
        <f t="shared" si="5"/>
        <v>5.504917528989995E-2</v>
      </c>
    </row>
    <row r="330" spans="2:7" ht="15" customHeight="1" x14ac:dyDescent="0.3">
      <c r="C330" s="3"/>
      <c r="D330" s="8">
        <v>2023</v>
      </c>
      <c r="E330" s="14">
        <f>Data!E330</f>
        <v>65493000000</v>
      </c>
      <c r="F330" s="14">
        <f>Data!H330</f>
        <v>1052829000000</v>
      </c>
      <c r="G330" s="12">
        <f t="shared" si="5"/>
        <v>6.2206683136577734E-2</v>
      </c>
    </row>
    <row r="331" spans="2:7" ht="15" customHeight="1" x14ac:dyDescent="0.3">
      <c r="C331" s="3"/>
      <c r="D331" s="8">
        <v>2024</v>
      </c>
      <c r="E331" s="14">
        <f>Data!E331</f>
        <v>35549000000</v>
      </c>
      <c r="F331" s="14">
        <f>Data!H331</f>
        <v>1099836000000</v>
      </c>
      <c r="G331" s="12">
        <f t="shared" si="5"/>
        <v>3.2322091657301634E-2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Data!E332</f>
        <v>0</v>
      </c>
      <c r="F332" s="14">
        <f>Data!H332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Data!E333</f>
        <v>0</v>
      </c>
      <c r="F333" s="14">
        <f>Data!H333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Data!E334</f>
        <v>0</v>
      </c>
      <c r="F334" s="14">
        <f>Data!H334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Data!E335</f>
        <v>0</v>
      </c>
      <c r="F335" s="14">
        <f>Data!H335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Data!E336</f>
        <v>0</v>
      </c>
      <c r="F336" s="14">
        <f>Data!H336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Data!E337</f>
        <v>106048000000</v>
      </c>
      <c r="F337" s="14">
        <f>Data!H337</f>
        <v>441964000000</v>
      </c>
      <c r="G337" s="12">
        <f t="shared" si="5"/>
        <v>0.23994714501633618</v>
      </c>
    </row>
    <row r="338" spans="2:7" ht="15" customHeight="1" x14ac:dyDescent="0.3">
      <c r="C338" s="3"/>
      <c r="D338" s="8">
        <v>2020</v>
      </c>
      <c r="E338" s="14">
        <f>Data!E338</f>
        <v>49380000000</v>
      </c>
      <c r="F338" s="14">
        <f>Data!H338</f>
        <v>569840000000</v>
      </c>
      <c r="G338" s="12">
        <f t="shared" si="5"/>
        <v>8.6655903411483923E-2</v>
      </c>
    </row>
    <row r="339" spans="2:7" ht="15" customHeight="1" x14ac:dyDescent="0.3">
      <c r="C339" s="3"/>
      <c r="D339" s="8">
        <v>2021</v>
      </c>
      <c r="E339" s="14">
        <f>Data!E339</f>
        <v>73281000000</v>
      </c>
      <c r="F339" s="14">
        <f>Data!H339</f>
        <v>612450000000</v>
      </c>
      <c r="G339" s="12">
        <f t="shared" si="5"/>
        <v>0.11965221650747</v>
      </c>
    </row>
    <row r="340" spans="2:7" ht="15" customHeight="1" x14ac:dyDescent="0.3">
      <c r="C340" s="3"/>
      <c r="D340" s="8">
        <v>2022</v>
      </c>
      <c r="E340" s="14">
        <f>Data!E340</f>
        <v>49770000000</v>
      </c>
      <c r="F340" s="14">
        <f>Data!H340</f>
        <v>813361000000</v>
      </c>
      <c r="G340" s="12">
        <f t="shared" si="5"/>
        <v>6.1190541469286083E-2</v>
      </c>
    </row>
    <row r="341" spans="2:7" ht="15" customHeight="1" x14ac:dyDescent="0.3">
      <c r="C341" s="3"/>
      <c r="D341" s="8">
        <v>2023</v>
      </c>
      <c r="E341" s="14">
        <f>Data!E341</f>
        <v>57974000000</v>
      </c>
      <c r="F341" s="14">
        <f>Data!H341</f>
        <v>756234000000</v>
      </c>
      <c r="G341" s="12">
        <f t="shared" si="5"/>
        <v>7.6661456639082609E-2</v>
      </c>
    </row>
    <row r="342" spans="2:7" ht="15" customHeight="1" x14ac:dyDescent="0.3">
      <c r="C342" s="3"/>
      <c r="D342" s="8">
        <v>2024</v>
      </c>
      <c r="E342" s="14">
        <f>Data!E342</f>
        <v>155087000000</v>
      </c>
      <c r="F342" s="14">
        <f>Data!H342</f>
        <v>498213000000</v>
      </c>
      <c r="G342" s="12">
        <f t="shared" si="5"/>
        <v>0.31128653808712337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Data!E343</f>
        <v>0</v>
      </c>
      <c r="F343" s="14">
        <f>Data!H343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Data!E344</f>
        <v>0</v>
      </c>
      <c r="F344" s="14">
        <f>Data!H344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Data!E345</f>
        <v>688629000000</v>
      </c>
      <c r="F345" s="14">
        <f>Data!H345</f>
        <v>1720967000000</v>
      </c>
      <c r="G345" s="12">
        <f t="shared" si="5"/>
        <v>0.40014073483105717</v>
      </c>
    </row>
    <row r="346" spans="2:7" ht="15" customHeight="1" x14ac:dyDescent="0.3">
      <c r="C346" s="3"/>
      <c r="D346" s="8">
        <v>2017</v>
      </c>
      <c r="E346" s="14">
        <f>Data!E346</f>
        <v>1203485000000</v>
      </c>
      <c r="F346" s="14">
        <f>Data!H346</f>
        <v>1500873000000</v>
      </c>
      <c r="G346" s="12">
        <f t="shared" si="5"/>
        <v>0.80185665276142615</v>
      </c>
    </row>
    <row r="347" spans="2:7" ht="15" customHeight="1" x14ac:dyDescent="0.3">
      <c r="C347" s="3"/>
      <c r="D347" s="8">
        <v>2018</v>
      </c>
      <c r="E347" s="14">
        <f>Data!E347</f>
        <v>1604365000000</v>
      </c>
      <c r="F347" s="14">
        <f>Data!H347</f>
        <v>1309073000000</v>
      </c>
      <c r="G347" s="12">
        <f t="shared" si="5"/>
        <v>1.2255733637467123</v>
      </c>
    </row>
    <row r="348" spans="2:7" ht="15" customHeight="1" x14ac:dyDescent="0.3">
      <c r="C348" s="3"/>
      <c r="D348" s="8">
        <v>2019</v>
      </c>
      <c r="E348" s="14">
        <f>Data!E348</f>
        <v>1168411000000</v>
      </c>
      <c r="F348" s="14">
        <f>Data!H348</f>
        <v>1405292000000</v>
      </c>
      <c r="G348" s="12">
        <f t="shared" si="5"/>
        <v>0.8314364559109424</v>
      </c>
    </row>
    <row r="349" spans="2:7" ht="15" customHeight="1" x14ac:dyDescent="0.3">
      <c r="C349" s="3"/>
      <c r="D349" s="8">
        <v>2020</v>
      </c>
      <c r="E349" s="14">
        <f>Data!E349</f>
        <v>1119759000000</v>
      </c>
      <c r="F349" s="14">
        <f>Data!H349</f>
        <v>2048920000000</v>
      </c>
      <c r="G349" s="12">
        <f t="shared" si="5"/>
        <v>0.54651182086172223</v>
      </c>
    </row>
    <row r="350" spans="2:7" ht="15" customHeight="1" x14ac:dyDescent="0.3">
      <c r="C350" s="3"/>
      <c r="D350" s="8">
        <v>2021</v>
      </c>
      <c r="E350" s="14">
        <f>Data!E350</f>
        <v>1055101000000</v>
      </c>
      <c r="F350" s="14">
        <f>Data!H350</f>
        <v>2694084000000</v>
      </c>
      <c r="G350" s="12">
        <f t="shared" si="5"/>
        <v>0.39163626672368046</v>
      </c>
    </row>
    <row r="351" spans="2:7" ht="15" customHeight="1" x14ac:dyDescent="0.3">
      <c r="C351" s="3"/>
      <c r="D351" s="8">
        <v>2022</v>
      </c>
      <c r="E351" s="14">
        <f>Data!E351</f>
        <v>2111414000000</v>
      </c>
      <c r="F351" s="14">
        <f>Data!H351</f>
        <v>2445401000000</v>
      </c>
      <c r="G351" s="12">
        <f t="shared" si="5"/>
        <v>0.86342239984362479</v>
      </c>
    </row>
    <row r="352" spans="2:7" ht="15" customHeight="1" x14ac:dyDescent="0.3">
      <c r="C352" s="3"/>
      <c r="D352" s="8">
        <v>2023</v>
      </c>
      <c r="E352" s="14">
        <f>Data!E352</f>
        <v>1777491000000</v>
      </c>
      <c r="F352" s="14">
        <f>Data!H352</f>
        <v>2731143000000</v>
      </c>
      <c r="G352" s="12">
        <f t="shared" si="5"/>
        <v>0.65082311691478623</v>
      </c>
    </row>
    <row r="353" spans="2:7" ht="15" customHeight="1" x14ac:dyDescent="0.3">
      <c r="C353" s="3"/>
      <c r="D353" s="8">
        <v>2024</v>
      </c>
      <c r="E353" s="14">
        <f>Data!E353</f>
        <v>2348106000000</v>
      </c>
      <c r="F353" s="14">
        <f>Data!H353</f>
        <v>2761524000000</v>
      </c>
      <c r="G353" s="12">
        <f t="shared" si="5"/>
        <v>0.85029353357059367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Data!E354</f>
        <v>0</v>
      </c>
      <c r="F354" s="14">
        <f>Data!H354</f>
        <v>0</v>
      </c>
      <c r="G354" s="12">
        <f t="shared" si="5"/>
        <v>0</v>
      </c>
    </row>
    <row r="355" spans="2:7" ht="15" customHeight="1" x14ac:dyDescent="0.3">
      <c r="C355" s="3"/>
      <c r="D355" s="8">
        <v>2015</v>
      </c>
      <c r="E355" s="14">
        <f>Data!E355</f>
        <v>0</v>
      </c>
      <c r="F355" s="14">
        <f>Data!H355</f>
        <v>0</v>
      </c>
      <c r="G355" s="12">
        <f t="shared" si="5"/>
        <v>0</v>
      </c>
    </row>
    <row r="356" spans="2:7" ht="15" customHeight="1" x14ac:dyDescent="0.3">
      <c r="C356" s="3"/>
      <c r="D356" s="8">
        <v>2016</v>
      </c>
      <c r="E356" s="14">
        <f>Data!E356</f>
        <v>80237930000</v>
      </c>
      <c r="F356" s="14">
        <f>Data!H356</f>
        <v>101000000</v>
      </c>
      <c r="G356" s="12">
        <f t="shared" si="5"/>
        <v>794.43495049504952</v>
      </c>
    </row>
    <row r="357" spans="2:7" ht="15" customHeight="1" x14ac:dyDescent="0.3">
      <c r="C357" s="3"/>
      <c r="D357" s="8">
        <v>2017</v>
      </c>
      <c r="E357" s="14">
        <f>Data!E357</f>
        <v>12014050000</v>
      </c>
      <c r="F357" s="14">
        <f>Data!H357</f>
        <v>91991920000</v>
      </c>
      <c r="G357" s="12">
        <f t="shared" si="5"/>
        <v>0.13059896999649534</v>
      </c>
    </row>
    <row r="358" spans="2:7" ht="15" customHeight="1" x14ac:dyDescent="0.3">
      <c r="C358" s="3"/>
      <c r="D358" s="8">
        <v>2018</v>
      </c>
      <c r="E358" s="14">
        <f>Data!E358</f>
        <v>14429000000</v>
      </c>
      <c r="F358" s="14">
        <f>Data!H358</f>
        <v>138570000000</v>
      </c>
      <c r="G358" s="12">
        <f t="shared" si="5"/>
        <v>0.10412787760698564</v>
      </c>
    </row>
    <row r="359" spans="2:7" ht="15" customHeight="1" x14ac:dyDescent="0.3">
      <c r="C359" s="3"/>
      <c r="D359" s="8">
        <v>2019</v>
      </c>
      <c r="E359" s="14">
        <f>Data!E359</f>
        <v>28321000000</v>
      </c>
      <c r="F359" s="14">
        <f>Data!H359</f>
        <v>309747000000</v>
      </c>
      <c r="G359" s="12">
        <f t="shared" si="5"/>
        <v>9.1432685385169188E-2</v>
      </c>
    </row>
    <row r="360" spans="2:7" ht="15" customHeight="1" x14ac:dyDescent="0.3">
      <c r="C360" s="3"/>
      <c r="D360" s="8">
        <v>2020</v>
      </c>
      <c r="E360" s="14">
        <f>Data!E360</f>
        <v>32984000000</v>
      </c>
      <c r="F360" s="14">
        <f>Data!H360</f>
        <v>88465000000</v>
      </c>
      <c r="G360" s="12">
        <f t="shared" si="5"/>
        <v>0.37284801899056125</v>
      </c>
    </row>
    <row r="361" spans="2:7" ht="15" customHeight="1" x14ac:dyDescent="0.3">
      <c r="C361" s="3"/>
      <c r="D361" s="8">
        <v>2021</v>
      </c>
      <c r="E361" s="14">
        <f>Data!E361</f>
        <v>9974000000</v>
      </c>
      <c r="F361" s="14">
        <f>Data!H361</f>
        <v>89184000000</v>
      </c>
      <c r="G361" s="12">
        <f t="shared" si="5"/>
        <v>0.11183620380337281</v>
      </c>
    </row>
    <row r="362" spans="2:7" ht="15" customHeight="1" x14ac:dyDescent="0.3">
      <c r="C362" s="3"/>
      <c r="D362" s="8">
        <v>2022</v>
      </c>
      <c r="E362" s="14">
        <f>Data!E362</f>
        <v>14926000000</v>
      </c>
      <c r="F362" s="14">
        <f>Data!H362</f>
        <v>74653000000</v>
      </c>
      <c r="G362" s="12">
        <f t="shared" si="5"/>
        <v>0.19993838157877111</v>
      </c>
    </row>
    <row r="363" spans="2:7" ht="15" customHeight="1" x14ac:dyDescent="0.3">
      <c r="C363" s="3"/>
      <c r="D363" s="8">
        <v>2023</v>
      </c>
      <c r="E363" s="14">
        <f>Data!E363</f>
        <v>8813000000</v>
      </c>
      <c r="F363" s="14">
        <f>Data!H363</f>
        <v>49664000000</v>
      </c>
      <c r="G363" s="12">
        <f t="shared" si="5"/>
        <v>0.17745248067010308</v>
      </c>
    </row>
    <row r="364" spans="2:7" ht="15" customHeight="1" x14ac:dyDescent="0.3">
      <c r="C364" s="3"/>
      <c r="D364" s="8">
        <v>2024</v>
      </c>
      <c r="E364" s="14">
        <f>Data!E364</f>
        <v>20619000000</v>
      </c>
      <c r="F364" s="14">
        <f>Data!H364</f>
        <v>67583000000</v>
      </c>
      <c r="G364" s="12">
        <f t="shared" si="5"/>
        <v>0.30509151709749494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Data!E365</f>
        <v>0</v>
      </c>
      <c r="F365" s="14">
        <f>Data!H365</f>
        <v>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Data!E366</f>
        <v>113512000000</v>
      </c>
      <c r="F366" s="14">
        <f>Data!H366</f>
        <v>231327000000</v>
      </c>
      <c r="G366" s="12">
        <f t="shared" si="5"/>
        <v>0.49069931309358611</v>
      </c>
    </row>
    <row r="367" spans="2:7" ht="15" customHeight="1" x14ac:dyDescent="0.3">
      <c r="C367" s="3"/>
      <c r="D367" s="8">
        <v>2016</v>
      </c>
      <c r="E367" s="14">
        <f>Data!E367</f>
        <v>261473000000</v>
      </c>
      <c r="F367" s="14">
        <f>Data!H367</f>
        <v>328147000000</v>
      </c>
      <c r="G367" s="12">
        <f t="shared" si="5"/>
        <v>0.7968166705775156</v>
      </c>
    </row>
    <row r="368" spans="2:7" ht="15" customHeight="1" x14ac:dyDescent="0.3">
      <c r="C368" s="3"/>
      <c r="D368" s="8">
        <v>2017</v>
      </c>
      <c r="E368" s="14">
        <f>Data!E368</f>
        <v>131013000000</v>
      </c>
      <c r="F368" s="14">
        <f>Data!H368</f>
        <v>349291000000</v>
      </c>
      <c r="G368" s="12">
        <f t="shared" si="5"/>
        <v>0.37508266746065599</v>
      </c>
    </row>
    <row r="369" spans="2:7" ht="15" customHeight="1" x14ac:dyDescent="0.3">
      <c r="C369" s="3"/>
      <c r="D369" s="8">
        <v>2018</v>
      </c>
      <c r="E369" s="14">
        <f>Data!E369</f>
        <v>92954000000</v>
      </c>
      <c r="F369" s="14">
        <f>Data!H369</f>
        <v>1168581000000</v>
      </c>
      <c r="G369" s="12">
        <f t="shared" si="5"/>
        <v>7.9544336250546605E-2</v>
      </c>
    </row>
    <row r="370" spans="2:7" ht="15" customHeight="1" x14ac:dyDescent="0.3">
      <c r="C370" s="3"/>
      <c r="D370" s="8">
        <v>2019</v>
      </c>
      <c r="E370" s="14">
        <f>Data!E370</f>
        <v>14039000000</v>
      </c>
      <c r="F370" s="14">
        <f>Data!H370</f>
        <v>418667000000</v>
      </c>
      <c r="G370" s="12">
        <f t="shared" si="5"/>
        <v>3.3532616614158746E-2</v>
      </c>
    </row>
    <row r="371" spans="2:7" ht="15" customHeight="1" x14ac:dyDescent="0.3">
      <c r="C371" s="3"/>
      <c r="D371" s="8">
        <v>2020</v>
      </c>
      <c r="E371" s="14">
        <f>Data!E371</f>
        <v>48963000000</v>
      </c>
      <c r="F371" s="14">
        <f>Data!H371</f>
        <v>396011000000</v>
      </c>
      <c r="G371" s="12">
        <f t="shared" si="5"/>
        <v>0.12364050493546896</v>
      </c>
    </row>
    <row r="372" spans="2:7" ht="15" customHeight="1" x14ac:dyDescent="0.3">
      <c r="C372" s="3"/>
      <c r="D372" s="8">
        <v>2021</v>
      </c>
      <c r="E372" s="14">
        <f>Data!E372</f>
        <v>61729000000</v>
      </c>
      <c r="F372" s="14">
        <f>Data!H372</f>
        <v>1331376000000</v>
      </c>
      <c r="G372" s="12">
        <f t="shared" si="5"/>
        <v>4.6364813546285945E-2</v>
      </c>
    </row>
    <row r="373" spans="2:7" ht="15" customHeight="1" x14ac:dyDescent="0.3">
      <c r="C373" s="3"/>
      <c r="D373" s="8">
        <v>2022</v>
      </c>
      <c r="E373" s="14">
        <f>Data!E373</f>
        <v>40850000000</v>
      </c>
      <c r="F373" s="14">
        <f>Data!H373</f>
        <v>660640000000</v>
      </c>
      <c r="G373" s="12">
        <f t="shared" si="5"/>
        <v>6.1833979171712281E-2</v>
      </c>
    </row>
    <row r="374" spans="2:7" ht="15" customHeight="1" x14ac:dyDescent="0.3">
      <c r="C374" s="3"/>
      <c r="D374" s="8">
        <v>2023</v>
      </c>
      <c r="E374" s="14">
        <f>Data!E374</f>
        <v>45233000000</v>
      </c>
      <c r="F374" s="14">
        <f>Data!H374</f>
        <v>743423000000</v>
      </c>
      <c r="G374" s="12">
        <f t="shared" si="5"/>
        <v>6.0844230000955041E-2</v>
      </c>
    </row>
    <row r="375" spans="2:7" ht="15" customHeight="1" x14ac:dyDescent="0.3">
      <c r="C375" s="3"/>
      <c r="D375" s="8">
        <v>2024</v>
      </c>
      <c r="E375" s="14">
        <f>Data!E375</f>
        <v>18209000000</v>
      </c>
      <c r="F375" s="14">
        <f>Data!H375</f>
        <v>1000874000000</v>
      </c>
      <c r="G375" s="12">
        <f t="shared" si="5"/>
        <v>1.8193099231271867E-2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Data!E376</f>
        <v>0</v>
      </c>
      <c r="F376" s="14">
        <f>Data!H376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Data!E377</f>
        <v>0</v>
      </c>
      <c r="F377" s="14">
        <f>Data!H377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Data!E378</f>
        <v>0</v>
      </c>
      <c r="F378" s="14">
        <f>Data!H378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Data!E379</f>
        <v>0</v>
      </c>
      <c r="F379" s="14">
        <f>Data!H379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Data!E380</f>
        <v>0</v>
      </c>
      <c r="F380" s="14">
        <f>Data!H380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Data!E381</f>
        <v>0</v>
      </c>
      <c r="F381" s="14">
        <f>Data!H381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Data!E382</f>
        <v>68042700000</v>
      </c>
      <c r="F382" s="14">
        <f>Data!H382</f>
        <v>59592360000</v>
      </c>
      <c r="G382" s="12">
        <f t="shared" si="5"/>
        <v>1.141802405543261</v>
      </c>
    </row>
    <row r="383" spans="2:7" ht="15" customHeight="1" x14ac:dyDescent="0.3">
      <c r="C383" s="3"/>
      <c r="D383" s="8">
        <v>2021</v>
      </c>
      <c r="E383" s="14">
        <f>Data!E383</f>
        <v>67066149999.999992</v>
      </c>
      <c r="F383" s="14">
        <f>Data!H383</f>
        <v>249002420000</v>
      </c>
      <c r="G383" s="12">
        <f t="shared" si="5"/>
        <v>0.26933935019587357</v>
      </c>
    </row>
    <row r="384" spans="2:7" ht="15" customHeight="1" x14ac:dyDescent="0.3">
      <c r="C384" s="3"/>
      <c r="D384" s="8">
        <v>2022</v>
      </c>
      <c r="E384" s="14">
        <f>Data!E384</f>
        <v>101459860000</v>
      </c>
      <c r="F384" s="14">
        <f>Data!H384</f>
        <v>342939730000</v>
      </c>
      <c r="G384" s="12">
        <f t="shared" si="5"/>
        <v>0.29585332676386022</v>
      </c>
    </row>
    <row r="385" spans="2:7" ht="15" customHeight="1" x14ac:dyDescent="0.3">
      <c r="C385" s="3"/>
      <c r="D385" s="8">
        <v>2023</v>
      </c>
      <c r="E385" s="14">
        <f>Data!E385</f>
        <v>58034510000</v>
      </c>
      <c r="F385" s="14">
        <f>Data!H385</f>
        <v>183678040000</v>
      </c>
      <c r="G385" s="12">
        <f t="shared" si="5"/>
        <v>0.31595780312115701</v>
      </c>
    </row>
    <row r="386" spans="2:7" ht="15" customHeight="1" x14ac:dyDescent="0.3">
      <c r="C386" s="3"/>
      <c r="D386" s="8">
        <v>2024</v>
      </c>
      <c r="E386" s="14">
        <f>Data!E386</f>
        <v>62779550000</v>
      </c>
      <c r="F386" s="14">
        <f>Data!H386</f>
        <v>189020460000</v>
      </c>
      <c r="G386" s="12">
        <f t="shared" si="5"/>
        <v>0.33213097672072112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Data!E387</f>
        <v>0</v>
      </c>
      <c r="F387" s="14">
        <f>Data!H387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Data!E388</f>
        <v>0</v>
      </c>
      <c r="F388" s="14">
        <f>Data!H388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Data!E389</f>
        <v>356140000</v>
      </c>
      <c r="F389" s="14">
        <f>Data!H389</f>
        <v>895480000</v>
      </c>
      <c r="G389" s="12">
        <f t="shared" si="6"/>
        <v>0.397708491535266</v>
      </c>
    </row>
    <row r="390" spans="2:7" ht="15" customHeight="1" x14ac:dyDescent="0.3">
      <c r="C390" s="4"/>
      <c r="D390" s="8">
        <v>2017</v>
      </c>
      <c r="E390" s="14">
        <f>Data!E390</f>
        <v>70588370000</v>
      </c>
      <c r="F390" s="14">
        <f>Data!H390</f>
        <v>19106340000</v>
      </c>
      <c r="G390" s="12">
        <f t="shared" si="6"/>
        <v>3.6944998361800323</v>
      </c>
    </row>
    <row r="391" spans="2:7" ht="15" customHeight="1" x14ac:dyDescent="0.3">
      <c r="C391" s="4"/>
      <c r="D391" s="8">
        <v>2018</v>
      </c>
      <c r="E391" s="14">
        <f>Data!E391</f>
        <v>49594310000</v>
      </c>
      <c r="F391" s="14">
        <f>Data!H391</f>
        <v>79612880000</v>
      </c>
      <c r="G391" s="12">
        <f t="shared" si="6"/>
        <v>0.62294329761716949</v>
      </c>
    </row>
    <row r="392" spans="2:7" ht="15" customHeight="1" x14ac:dyDescent="0.3">
      <c r="C392" s="4"/>
      <c r="D392" s="8">
        <v>2019</v>
      </c>
      <c r="E392" s="14">
        <f>Data!E392</f>
        <v>119014330000</v>
      </c>
      <c r="F392" s="14">
        <f>Data!H392</f>
        <v>192883640000</v>
      </c>
      <c r="G392" s="12">
        <f t="shared" si="6"/>
        <v>0.61702656586115856</v>
      </c>
    </row>
    <row r="393" spans="2:7" ht="15" customHeight="1" x14ac:dyDescent="0.3">
      <c r="C393" s="4"/>
      <c r="D393" s="8">
        <v>2020</v>
      </c>
      <c r="E393" s="14">
        <f>Data!E393</f>
        <v>180347000000</v>
      </c>
      <c r="F393" s="14">
        <f>Data!H393</f>
        <v>359522440000</v>
      </c>
      <c r="G393" s="12">
        <f t="shared" si="6"/>
        <v>0.50162932806085758</v>
      </c>
    </row>
    <row r="394" spans="2:7" ht="15" customHeight="1" x14ac:dyDescent="0.3">
      <c r="C394" s="4"/>
      <c r="D394" s="8">
        <v>2021</v>
      </c>
      <c r="E394" s="14">
        <f>Data!E394</f>
        <v>67880899999.999992</v>
      </c>
      <c r="F394" s="14">
        <f>Data!H394</f>
        <v>376261850000.00006</v>
      </c>
      <c r="G394" s="12">
        <f t="shared" si="6"/>
        <v>0.18040867018540407</v>
      </c>
    </row>
    <row r="395" spans="2:7" ht="15" customHeight="1" x14ac:dyDescent="0.3">
      <c r="C395" s="4"/>
      <c r="D395" s="8">
        <v>2022</v>
      </c>
      <c r="E395" s="14">
        <f>Data!E395</f>
        <v>56612890000</v>
      </c>
      <c r="F395" s="14">
        <f>Data!H395</f>
        <v>279023860000</v>
      </c>
      <c r="G395" s="12">
        <f t="shared" si="6"/>
        <v>0.20289623260175671</v>
      </c>
    </row>
    <row r="396" spans="2:7" ht="15" customHeight="1" x14ac:dyDescent="0.3">
      <c r="C396" s="4"/>
      <c r="D396" s="8">
        <v>2023</v>
      </c>
      <c r="E396" s="14">
        <f>Data!E396</f>
        <v>25344460000</v>
      </c>
      <c r="F396" s="14">
        <f>Data!H396</f>
        <v>199352689999.99997</v>
      </c>
      <c r="G396" s="12">
        <f t="shared" si="6"/>
        <v>0.1271337748188901</v>
      </c>
    </row>
    <row r="397" spans="2:7" ht="15" customHeight="1" x14ac:dyDescent="0.3">
      <c r="C397" s="4"/>
      <c r="D397" s="8">
        <v>2024</v>
      </c>
      <c r="E397" s="14">
        <f>Data!E397</f>
        <v>0</v>
      </c>
      <c r="F397" s="14">
        <f>Data!H397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Data!E398</f>
        <v>0</v>
      </c>
      <c r="F398" s="14">
        <f>Data!H398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Data!E399</f>
        <v>0</v>
      </c>
      <c r="F399" s="14">
        <f>Data!H399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Data!E400</f>
        <v>0</v>
      </c>
      <c r="F400" s="14">
        <f>Data!H400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Data!E401</f>
        <v>418310000</v>
      </c>
      <c r="F401" s="14">
        <f>Data!H401</f>
        <v>7157860000</v>
      </c>
      <c r="G401" s="12">
        <f t="shared" si="6"/>
        <v>5.8440651256101685E-2</v>
      </c>
    </row>
    <row r="402" spans="2:7" ht="15" customHeight="1" x14ac:dyDescent="0.3">
      <c r="C402" s="3"/>
      <c r="D402" s="8">
        <v>2018</v>
      </c>
      <c r="E402" s="14">
        <f>Data!E402</f>
        <v>815530000</v>
      </c>
      <c r="F402" s="14">
        <f>Data!H402</f>
        <v>9251190000</v>
      </c>
      <c r="G402" s="12">
        <f t="shared" si="6"/>
        <v>8.8154064504134058E-2</v>
      </c>
    </row>
    <row r="403" spans="2:7" ht="15" customHeight="1" x14ac:dyDescent="0.3">
      <c r="C403" s="3"/>
      <c r="D403" s="8">
        <v>2019</v>
      </c>
      <c r="E403" s="14">
        <f>Data!E403</f>
        <v>1653830000</v>
      </c>
      <c r="F403" s="14">
        <f>Data!H403</f>
        <v>14783630000</v>
      </c>
      <c r="G403" s="12">
        <f t="shared" si="6"/>
        <v>0.11186900646187709</v>
      </c>
    </row>
    <row r="404" spans="2:7" ht="15" customHeight="1" x14ac:dyDescent="0.3">
      <c r="C404" s="3"/>
      <c r="D404" s="8">
        <v>2020</v>
      </c>
      <c r="E404" s="14">
        <f>Data!E404</f>
        <v>672130000</v>
      </c>
      <c r="F404" s="14">
        <f>Data!H404</f>
        <v>15996270000</v>
      </c>
      <c r="G404" s="12">
        <f t="shared" si="6"/>
        <v>4.2017920427699709E-2</v>
      </c>
    </row>
    <row r="405" spans="2:7" ht="15" customHeight="1" x14ac:dyDescent="0.3">
      <c r="C405" s="3"/>
      <c r="D405" s="8">
        <v>2021</v>
      </c>
      <c r="E405" s="14">
        <f>Data!E405</f>
        <v>361340000</v>
      </c>
      <c r="F405" s="14">
        <f>Data!H405</f>
        <v>9289160000</v>
      </c>
      <c r="G405" s="12">
        <f t="shared" si="6"/>
        <v>3.8899103901752149E-2</v>
      </c>
    </row>
    <row r="406" spans="2:7" ht="15" customHeight="1" x14ac:dyDescent="0.3">
      <c r="C406" s="3"/>
      <c r="D406" s="8">
        <v>2022</v>
      </c>
      <c r="E406" s="14">
        <f>Data!E406</f>
        <v>785730000</v>
      </c>
      <c r="F406" s="14">
        <f>Data!H406</f>
        <v>9193230000</v>
      </c>
      <c r="G406" s="12">
        <f t="shared" si="6"/>
        <v>8.5468328324212486E-2</v>
      </c>
    </row>
    <row r="407" spans="2:7" ht="15" customHeight="1" x14ac:dyDescent="0.3">
      <c r="C407" s="3"/>
      <c r="D407" s="8">
        <v>2023</v>
      </c>
      <c r="E407" s="14">
        <f>Data!E407</f>
        <v>913970000</v>
      </c>
      <c r="F407" s="14">
        <f>Data!H407</f>
        <v>15253790000</v>
      </c>
      <c r="G407" s="12">
        <f t="shared" si="6"/>
        <v>5.9917568027355823E-2</v>
      </c>
    </row>
    <row r="408" spans="2:7" ht="15" customHeight="1" x14ac:dyDescent="0.3">
      <c r="C408" s="3"/>
      <c r="D408" s="8">
        <v>2024</v>
      </c>
      <c r="E408" s="14">
        <f>Data!E408</f>
        <v>3092000000</v>
      </c>
      <c r="F408" s="14">
        <f>Data!H408</f>
        <v>15947000000</v>
      </c>
      <c r="G408" s="12">
        <f t="shared" si="6"/>
        <v>0.19389226813820781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Data!E409</f>
        <v>0</v>
      </c>
      <c r="F409" s="14">
        <f>Data!H409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Data!E410</f>
        <v>0</v>
      </c>
      <c r="F410" s="14">
        <f>Data!H410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Data!E411</f>
        <v>0</v>
      </c>
      <c r="F411" s="14">
        <f>Data!H411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Data!E412</f>
        <v>756000000</v>
      </c>
      <c r="F412" s="14">
        <f>Data!H412</f>
        <v>444000000</v>
      </c>
      <c r="G412" s="12">
        <f t="shared" si="6"/>
        <v>1.7027027027027026</v>
      </c>
    </row>
    <row r="413" spans="2:7" ht="15" customHeight="1" x14ac:dyDescent="0.3">
      <c r="C413" s="3"/>
      <c r="D413" s="8">
        <v>2018</v>
      </c>
      <c r="E413" s="14">
        <f>Data!E413</f>
        <v>4303000000</v>
      </c>
      <c r="F413" s="14">
        <f>Data!H413</f>
        <v>11583000000</v>
      </c>
      <c r="G413" s="12">
        <f t="shared" si="6"/>
        <v>0.37149270482603813</v>
      </c>
    </row>
    <row r="414" spans="2:7" ht="15" customHeight="1" x14ac:dyDescent="0.3">
      <c r="C414" s="3"/>
      <c r="D414" s="8">
        <v>2019</v>
      </c>
      <c r="E414" s="14">
        <f>Data!E414</f>
        <v>2503000000</v>
      </c>
      <c r="F414" s="14">
        <f>Data!H414</f>
        <v>37107000000</v>
      </c>
      <c r="G414" s="12">
        <f t="shared" si="6"/>
        <v>6.7453580187026713E-2</v>
      </c>
    </row>
    <row r="415" spans="2:7" ht="15" customHeight="1" x14ac:dyDescent="0.3">
      <c r="C415" s="3"/>
      <c r="D415" s="8">
        <v>2020</v>
      </c>
      <c r="E415" s="14">
        <f>Data!E415</f>
        <v>8032000000</v>
      </c>
      <c r="F415" s="14">
        <f>Data!H415</f>
        <v>83801000000</v>
      </c>
      <c r="G415" s="12">
        <f t="shared" si="6"/>
        <v>9.5846111621579688E-2</v>
      </c>
    </row>
    <row r="416" spans="2:7" ht="15" customHeight="1" x14ac:dyDescent="0.3">
      <c r="C416" s="3"/>
      <c r="D416" s="8">
        <v>2021</v>
      </c>
      <c r="E416" s="14">
        <f>Data!E416</f>
        <v>37946000000</v>
      </c>
      <c r="F416" s="14">
        <f>Data!H416</f>
        <v>47857000000</v>
      </c>
      <c r="G416" s="12">
        <f t="shared" si="6"/>
        <v>0.7929038594145057</v>
      </c>
    </row>
    <row r="417" spans="2:7" ht="15" customHeight="1" x14ac:dyDescent="0.3">
      <c r="C417" s="3"/>
      <c r="D417" s="8">
        <v>2022</v>
      </c>
      <c r="E417" s="14">
        <f>Data!E417</f>
        <v>47036000000</v>
      </c>
      <c r="F417" s="14">
        <f>Data!H417</f>
        <v>20687000000</v>
      </c>
      <c r="G417" s="12">
        <f t="shared" si="6"/>
        <v>2.2736984579687727</v>
      </c>
    </row>
    <row r="418" spans="2:7" ht="15" customHeight="1" x14ac:dyDescent="0.3">
      <c r="C418" s="3"/>
      <c r="D418" s="8">
        <v>2023</v>
      </c>
      <c r="E418" s="14">
        <f>Data!E418</f>
        <v>41102000000</v>
      </c>
      <c r="F418" s="14">
        <f>Data!H418</f>
        <v>12949000000</v>
      </c>
      <c r="G418" s="12">
        <f t="shared" si="6"/>
        <v>3.1741447216001237</v>
      </c>
    </row>
    <row r="419" spans="2:7" ht="15" customHeight="1" x14ac:dyDescent="0.3">
      <c r="C419" s="3"/>
      <c r="D419" s="8">
        <v>2024</v>
      </c>
      <c r="E419" s="14">
        <f>Data!E419</f>
        <v>58949000000</v>
      </c>
      <c r="F419" s="14">
        <f>Data!H419</f>
        <v>30439000000</v>
      </c>
      <c r="G419" s="12">
        <f t="shared" si="6"/>
        <v>1.9366273530667892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Data!E420</f>
        <v>0</v>
      </c>
      <c r="F420" s="14">
        <f>Data!H420</f>
        <v>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Data!E421</f>
        <v>23730000000</v>
      </c>
      <c r="F421" s="14">
        <f>Data!H421</f>
        <v>142776000000</v>
      </c>
      <c r="G421" s="12">
        <f t="shared" si="6"/>
        <v>0.16620440410152967</v>
      </c>
    </row>
    <row r="422" spans="2:7" ht="15" customHeight="1" x14ac:dyDescent="0.3">
      <c r="C422" s="3"/>
      <c r="D422" s="8">
        <v>2016</v>
      </c>
      <c r="E422" s="14">
        <f>Data!E422</f>
        <v>9537000000</v>
      </c>
      <c r="F422" s="14">
        <f>Data!H422</f>
        <v>193951000000</v>
      </c>
      <c r="G422" s="12">
        <f t="shared" si="6"/>
        <v>4.9172213600342352E-2</v>
      </c>
    </row>
    <row r="423" spans="2:7" ht="15" customHeight="1" x14ac:dyDescent="0.3">
      <c r="C423" s="3"/>
      <c r="D423" s="8">
        <v>2017</v>
      </c>
      <c r="E423" s="14">
        <f>Data!E423</f>
        <v>30931000000</v>
      </c>
      <c r="F423" s="14">
        <f>Data!H423</f>
        <v>197864000000</v>
      </c>
      <c r="G423" s="12">
        <f t="shared" si="6"/>
        <v>0.15632454615291311</v>
      </c>
    </row>
    <row r="424" spans="2:7" ht="15" customHeight="1" x14ac:dyDescent="0.3">
      <c r="C424" s="3"/>
      <c r="D424" s="8">
        <v>2018</v>
      </c>
      <c r="E424" s="14">
        <f>Data!E424</f>
        <v>107507000000</v>
      </c>
      <c r="F424" s="14">
        <f>Data!H424</f>
        <v>177438000000</v>
      </c>
      <c r="G424" s="12">
        <f t="shared" si="6"/>
        <v>0.6058848724624939</v>
      </c>
    </row>
    <row r="425" spans="2:7" ht="15" customHeight="1" x14ac:dyDescent="0.3">
      <c r="C425" s="3"/>
      <c r="D425" s="8">
        <v>2019</v>
      </c>
      <c r="E425" s="14">
        <f>Data!E425</f>
        <v>78294000000</v>
      </c>
      <c r="F425" s="14">
        <f>Data!H425</f>
        <v>159266000000</v>
      </c>
      <c r="G425" s="12">
        <f t="shared" si="6"/>
        <v>0.49159268142604196</v>
      </c>
    </row>
    <row r="426" spans="2:7" ht="15" customHeight="1" x14ac:dyDescent="0.3">
      <c r="C426" s="3"/>
      <c r="D426" s="8">
        <v>2020</v>
      </c>
      <c r="E426" s="14">
        <f>Data!E426</f>
        <v>149147000000</v>
      </c>
      <c r="F426" s="14">
        <f>Data!H426</f>
        <v>196225000000</v>
      </c>
      <c r="G426" s="12">
        <f t="shared" si="6"/>
        <v>0.76008153904956044</v>
      </c>
    </row>
    <row r="427" spans="2:7" ht="15" customHeight="1" x14ac:dyDescent="0.3">
      <c r="C427" s="3"/>
      <c r="D427" s="8">
        <v>2021</v>
      </c>
      <c r="E427" s="14">
        <f>Data!E427</f>
        <v>123507000000</v>
      </c>
      <c r="F427" s="14">
        <f>Data!H427</f>
        <v>238153000000</v>
      </c>
      <c r="G427" s="12">
        <f t="shared" si="6"/>
        <v>0.51860358676984963</v>
      </c>
    </row>
    <row r="428" spans="2:7" ht="15" customHeight="1" x14ac:dyDescent="0.3">
      <c r="C428" s="3"/>
      <c r="D428" s="8">
        <v>2022</v>
      </c>
      <c r="E428" s="14">
        <f>Data!E428</f>
        <v>67868000000</v>
      </c>
      <c r="F428" s="14">
        <f>Data!H428</f>
        <v>291754000000</v>
      </c>
      <c r="G428" s="12">
        <f t="shared" si="6"/>
        <v>0.23262063245062622</v>
      </c>
    </row>
    <row r="429" spans="2:7" ht="15" customHeight="1" x14ac:dyDescent="0.3">
      <c r="C429" s="3"/>
      <c r="D429" s="8">
        <v>2023</v>
      </c>
      <c r="E429" s="14">
        <f>Data!E429</f>
        <v>208787000000</v>
      </c>
      <c r="F429" s="14">
        <f>Data!H429</f>
        <v>508892000000</v>
      </c>
      <c r="G429" s="12">
        <f t="shared" si="6"/>
        <v>0.41027762275689145</v>
      </c>
    </row>
    <row r="430" spans="2:7" ht="15" customHeight="1" x14ac:dyDescent="0.3">
      <c r="C430" s="3"/>
      <c r="D430" s="8">
        <v>2024</v>
      </c>
      <c r="E430" s="14">
        <f>Data!E430</f>
        <v>97783000000</v>
      </c>
      <c r="F430" s="14">
        <f>Data!H430</f>
        <v>577330000000</v>
      </c>
      <c r="G430" s="12">
        <f t="shared" si="6"/>
        <v>0.16937107027176831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Data!E431</f>
        <v>0</v>
      </c>
      <c r="F431" s="14">
        <f>Data!H431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Data!E432</f>
        <v>0</v>
      </c>
      <c r="F432" s="14">
        <f>Data!H432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Data!E433</f>
        <v>0</v>
      </c>
      <c r="F433" s="14">
        <f>Data!H433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Data!E434</f>
        <v>0</v>
      </c>
      <c r="F434" s="14">
        <f>Data!H434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>
        <f>Data!E435</f>
        <v>14831000000</v>
      </c>
      <c r="F435" s="14">
        <f>Data!H435</f>
        <v>97084000000</v>
      </c>
      <c r="G435" s="12">
        <f t="shared" si="6"/>
        <v>0.15276461620864407</v>
      </c>
    </row>
    <row r="436" spans="2:7" ht="15" customHeight="1" x14ac:dyDescent="0.3">
      <c r="C436" s="3"/>
      <c r="D436" s="8">
        <v>2019</v>
      </c>
      <c r="E436" s="14">
        <f>Data!E436</f>
        <v>11409000000</v>
      </c>
      <c r="F436" s="14">
        <f>Data!H436</f>
        <v>107340000000</v>
      </c>
      <c r="G436" s="12">
        <f t="shared" si="6"/>
        <v>0.10628842929010621</v>
      </c>
    </row>
    <row r="437" spans="2:7" ht="15" customHeight="1" x14ac:dyDescent="0.3">
      <c r="C437" s="3"/>
      <c r="D437" s="8">
        <v>2020</v>
      </c>
      <c r="E437" s="14">
        <f>Data!E437</f>
        <v>21962000000</v>
      </c>
      <c r="F437" s="14">
        <f>Data!H437</f>
        <v>125709000000</v>
      </c>
      <c r="G437" s="12">
        <f t="shared" si="6"/>
        <v>0.17470507282692568</v>
      </c>
    </row>
    <row r="438" spans="2:7" ht="15" customHeight="1" x14ac:dyDescent="0.3">
      <c r="C438" s="3"/>
      <c r="D438" s="8">
        <v>2021</v>
      </c>
      <c r="E438" s="14">
        <f>Data!E438</f>
        <v>12099000000</v>
      </c>
      <c r="F438" s="14">
        <f>Data!H438</f>
        <v>100582000000</v>
      </c>
      <c r="G438" s="12">
        <f t="shared" si="6"/>
        <v>0.12028991270803921</v>
      </c>
    </row>
    <row r="439" spans="2:7" ht="15" customHeight="1" x14ac:dyDescent="0.3">
      <c r="C439" s="3"/>
      <c r="D439" s="8">
        <v>2022</v>
      </c>
      <c r="E439" s="14">
        <f>Data!E439</f>
        <v>11370000000</v>
      </c>
      <c r="F439" s="14">
        <f>Data!H439</f>
        <v>97579000000</v>
      </c>
      <c r="G439" s="12">
        <f t="shared" si="6"/>
        <v>0.11652097275028439</v>
      </c>
    </row>
    <row r="440" spans="2:7" ht="15" customHeight="1" x14ac:dyDescent="0.3">
      <c r="C440" s="3"/>
      <c r="D440" s="8">
        <v>2023</v>
      </c>
      <c r="E440" s="14">
        <f>Data!E440</f>
        <v>14570000000</v>
      </c>
      <c r="F440" s="14">
        <f>Data!H440</f>
        <v>107994000000</v>
      </c>
      <c r="G440" s="12">
        <f t="shared" si="6"/>
        <v>0.13491490267977851</v>
      </c>
    </row>
    <row r="441" spans="2:7" ht="15" customHeight="1" x14ac:dyDescent="0.3">
      <c r="C441" s="3"/>
      <c r="D441" s="8">
        <v>2024</v>
      </c>
      <c r="E441" s="14">
        <f>Data!E441</f>
        <v>8736000000</v>
      </c>
      <c r="F441" s="14">
        <f>Data!H441</f>
        <v>122514000000</v>
      </c>
      <c r="G441" s="12">
        <f t="shared" si="6"/>
        <v>7.1306136441549539E-2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Data!E442</f>
        <v>0</v>
      </c>
      <c r="F442" s="14">
        <f>Data!H442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Data!E443</f>
        <v>0</v>
      </c>
      <c r="F443" s="14">
        <f>Data!H443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Data!E444</f>
        <v>0</v>
      </c>
      <c r="F444" s="14">
        <f>Data!H444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Data!E445</f>
        <v>0</v>
      </c>
      <c r="F445" s="14">
        <f>Data!H445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Data!E446</f>
        <v>66120000000</v>
      </c>
      <c r="F446" s="14">
        <f>Data!H446</f>
        <v>355012000000</v>
      </c>
      <c r="G446" s="12">
        <f t="shared" si="6"/>
        <v>0.18624722544590042</v>
      </c>
    </row>
    <row r="447" spans="2:7" ht="15" customHeight="1" x14ac:dyDescent="0.3">
      <c r="C447" s="3"/>
      <c r="D447" s="8">
        <v>2019</v>
      </c>
      <c r="E447" s="14">
        <f>Data!E447</f>
        <v>5691719000000</v>
      </c>
      <c r="F447" s="14">
        <f>Data!H447</f>
        <v>570269000000</v>
      </c>
      <c r="G447" s="12">
        <f t="shared" si="6"/>
        <v>9.9807617107014401</v>
      </c>
    </row>
    <row r="448" spans="2:7" ht="15" customHeight="1" x14ac:dyDescent="0.3">
      <c r="C448" s="3"/>
      <c r="D448" s="8">
        <v>2020</v>
      </c>
      <c r="E448" s="14">
        <f>Data!E448</f>
        <v>1317211000000</v>
      </c>
      <c r="F448" s="14">
        <f>Data!H448</f>
        <v>1006670000000</v>
      </c>
      <c r="G448" s="12">
        <f t="shared" si="6"/>
        <v>1.3084834156178291</v>
      </c>
    </row>
    <row r="449" spans="2:7" ht="15" customHeight="1" x14ac:dyDescent="0.3">
      <c r="C449" s="3"/>
      <c r="D449" s="8">
        <v>2021</v>
      </c>
      <c r="E449" s="14">
        <f>Data!E449</f>
        <v>632888000000</v>
      </c>
      <c r="F449" s="14">
        <f>Data!H449</f>
        <v>1289835000000</v>
      </c>
      <c r="G449" s="12">
        <f t="shared" si="6"/>
        <v>0.49067361329162257</v>
      </c>
    </row>
    <row r="450" spans="2:7" ht="15" customHeight="1" x14ac:dyDescent="0.3">
      <c r="C450" s="3"/>
      <c r="D450" s="8">
        <v>2022</v>
      </c>
      <c r="E450" s="14">
        <f>Data!E450</f>
        <v>454460000000</v>
      </c>
      <c r="F450" s="14">
        <f>Data!H450</f>
        <v>1124666000000</v>
      </c>
      <c r="G450" s="12">
        <f t="shared" si="6"/>
        <v>0.40408441261672357</v>
      </c>
    </row>
    <row r="451" spans="2:7" ht="15" customHeight="1" x14ac:dyDescent="0.3">
      <c r="C451" s="3"/>
      <c r="D451" s="8">
        <v>2023</v>
      </c>
      <c r="E451" s="14">
        <f>Data!E451</f>
        <v>454220000000</v>
      </c>
      <c r="F451" s="14">
        <f>Data!H451</f>
        <v>1037222000000</v>
      </c>
      <c r="G451" s="12">
        <f t="shared" ref="G451:G514" si="7">IFERROR(E451/F451,0)</f>
        <v>0.43791975102726322</v>
      </c>
    </row>
    <row r="452" spans="2:7" ht="15" customHeight="1" x14ac:dyDescent="0.3">
      <c r="C452" s="3"/>
      <c r="D452" s="8">
        <v>2024</v>
      </c>
      <c r="E452" s="14">
        <f>Data!E452</f>
        <v>339138000000</v>
      </c>
      <c r="F452" s="14">
        <f>Data!H452</f>
        <v>1130458000000</v>
      </c>
      <c r="G452" s="12">
        <f t="shared" si="7"/>
        <v>0.30000053075832983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Data!E453</f>
        <v>0</v>
      </c>
      <c r="F453" s="14">
        <f>Data!H453</f>
        <v>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Data!E454</f>
        <v>23502880000</v>
      </c>
      <c r="F454" s="14">
        <f>Data!H454</f>
        <v>162929950000</v>
      </c>
      <c r="G454" s="12">
        <f t="shared" si="7"/>
        <v>0.14425144057308065</v>
      </c>
    </row>
    <row r="455" spans="2:7" ht="15" customHeight="1" x14ac:dyDescent="0.3">
      <c r="C455" s="3"/>
      <c r="D455" s="8">
        <v>2016</v>
      </c>
      <c r="E455" s="14">
        <f>Data!E455</f>
        <v>38712540000</v>
      </c>
      <c r="F455" s="14">
        <f>Data!H455</f>
        <v>122768640000</v>
      </c>
      <c r="G455" s="12">
        <f t="shared" si="7"/>
        <v>0.31532922414062742</v>
      </c>
    </row>
    <row r="456" spans="2:7" ht="15" customHeight="1" x14ac:dyDescent="0.3">
      <c r="C456" s="3"/>
      <c r="D456" s="8">
        <v>2017</v>
      </c>
      <c r="E456" s="14">
        <f>Data!E456</f>
        <v>74897810000</v>
      </c>
      <c r="F456" s="14">
        <f>Data!H456</f>
        <v>184387450000</v>
      </c>
      <c r="G456" s="12">
        <f t="shared" si="7"/>
        <v>0.40619798147867436</v>
      </c>
    </row>
    <row r="457" spans="2:7" ht="15" customHeight="1" x14ac:dyDescent="0.3">
      <c r="C457" s="3"/>
      <c r="D457" s="8">
        <v>2018</v>
      </c>
      <c r="E457" s="14">
        <f>Data!E457</f>
        <v>92159490000</v>
      </c>
      <c r="F457" s="14">
        <f>Data!H457</f>
        <v>169377150000</v>
      </c>
      <c r="G457" s="12">
        <f t="shared" si="7"/>
        <v>0.54410816335025125</v>
      </c>
    </row>
    <row r="458" spans="2:7" ht="15" customHeight="1" x14ac:dyDescent="0.3">
      <c r="C458" s="3"/>
      <c r="D458" s="8">
        <v>2019</v>
      </c>
      <c r="E458" s="14">
        <f>Data!E458</f>
        <v>146349960000</v>
      </c>
      <c r="F458" s="14">
        <f>Data!H458</f>
        <v>172621780000</v>
      </c>
      <c r="G458" s="12">
        <f t="shared" si="7"/>
        <v>0.84780703802266433</v>
      </c>
    </row>
    <row r="459" spans="2:7" ht="15" customHeight="1" x14ac:dyDescent="0.3">
      <c r="C459" s="3"/>
      <c r="D459" s="8">
        <v>2020</v>
      </c>
      <c r="E459" s="14">
        <f>Data!E459</f>
        <v>143388390000</v>
      </c>
      <c r="F459" s="14">
        <f>Data!H459</f>
        <v>207307310000</v>
      </c>
      <c r="G459" s="12">
        <f t="shared" si="7"/>
        <v>0.69167068927767184</v>
      </c>
    </row>
    <row r="460" spans="2:7" ht="15" customHeight="1" x14ac:dyDescent="0.3">
      <c r="C460" s="3"/>
      <c r="D460" s="8">
        <v>2021</v>
      </c>
      <c r="E460" s="14">
        <f>Data!E460</f>
        <v>194398370000</v>
      </c>
      <c r="F460" s="14">
        <f>Data!H460</f>
        <v>212694280000</v>
      </c>
      <c r="G460" s="12">
        <f t="shared" si="7"/>
        <v>0.91398024432062774</v>
      </c>
    </row>
    <row r="461" spans="2:7" ht="15" customHeight="1" x14ac:dyDescent="0.3">
      <c r="C461" s="3"/>
      <c r="D461" s="8">
        <v>2022</v>
      </c>
      <c r="E461" s="14">
        <f>Data!E461</f>
        <v>164157330000</v>
      </c>
      <c r="F461" s="14">
        <f>Data!H461</f>
        <v>220018100000</v>
      </c>
      <c r="G461" s="12">
        <f t="shared" si="7"/>
        <v>0.74610829745370943</v>
      </c>
    </row>
    <row r="462" spans="2:7" ht="15" customHeight="1" x14ac:dyDescent="0.3">
      <c r="C462" s="3"/>
      <c r="D462" s="8">
        <v>2023</v>
      </c>
      <c r="E462" s="14">
        <f>Data!E462</f>
        <v>235290360000</v>
      </c>
      <c r="F462" s="14">
        <f>Data!H462</f>
        <v>539769510000</v>
      </c>
      <c r="G462" s="12">
        <f t="shared" si="7"/>
        <v>0.4359089493587735</v>
      </c>
    </row>
    <row r="463" spans="2:7" ht="15" customHeight="1" x14ac:dyDescent="0.3">
      <c r="C463" s="3"/>
      <c r="D463" s="8">
        <v>2024</v>
      </c>
      <c r="E463" s="14">
        <f>Data!E463</f>
        <v>183021780000</v>
      </c>
      <c r="F463" s="14">
        <f>Data!H463</f>
        <v>495093520000</v>
      </c>
      <c r="G463" s="12">
        <f t="shared" si="7"/>
        <v>0.36967112799214175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Data!E464</f>
        <v>0</v>
      </c>
      <c r="F464" s="14">
        <f>Data!H464</f>
        <v>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Data!E465</f>
        <v>34925770000</v>
      </c>
      <c r="F465" s="14">
        <f>Data!H465</f>
        <v>31138850000</v>
      </c>
      <c r="G465" s="12">
        <f t="shared" si="7"/>
        <v>1.1216139966633321</v>
      </c>
    </row>
    <row r="466" spans="2:7" ht="15" customHeight="1" x14ac:dyDescent="0.3">
      <c r="C466" s="3"/>
      <c r="D466" s="8">
        <v>2016</v>
      </c>
      <c r="E466" s="14">
        <f>Data!E466</f>
        <v>101500010000</v>
      </c>
      <c r="F466" s="14">
        <f>Data!H466</f>
        <v>95850690000</v>
      </c>
      <c r="G466" s="12">
        <f t="shared" si="7"/>
        <v>1.0589387515102917</v>
      </c>
    </row>
    <row r="467" spans="2:7" ht="15" customHeight="1" x14ac:dyDescent="0.3">
      <c r="C467" s="3"/>
      <c r="D467" s="8">
        <v>2017</v>
      </c>
      <c r="E467" s="14">
        <f>Data!E467</f>
        <v>109655410000</v>
      </c>
      <c r="F467" s="14">
        <f>Data!H467</f>
        <v>56686980000</v>
      </c>
      <c r="G467" s="12">
        <f t="shared" si="7"/>
        <v>1.9344020443495138</v>
      </c>
    </row>
    <row r="468" spans="2:7" ht="15" customHeight="1" x14ac:dyDescent="0.3">
      <c r="C468" s="3"/>
      <c r="D468" s="8">
        <v>2018</v>
      </c>
      <c r="E468" s="14">
        <f>Data!E468</f>
        <v>44541320000</v>
      </c>
      <c r="F468" s="14">
        <f>Data!H468</f>
        <v>83125860000</v>
      </c>
      <c r="G468" s="12">
        <f t="shared" si="7"/>
        <v>0.53582988494795725</v>
      </c>
    </row>
    <row r="469" spans="2:7" ht="15" customHeight="1" x14ac:dyDescent="0.3">
      <c r="C469" s="3"/>
      <c r="D469" s="8">
        <v>2019</v>
      </c>
      <c r="E469" s="14">
        <f>Data!E469</f>
        <v>20488660000</v>
      </c>
      <c r="F469" s="14">
        <f>Data!H469</f>
        <v>54008560000</v>
      </c>
      <c r="G469" s="12">
        <f t="shared" si="7"/>
        <v>0.37935949412463504</v>
      </c>
    </row>
    <row r="470" spans="2:7" ht="15" customHeight="1" x14ac:dyDescent="0.3">
      <c r="C470" s="3"/>
      <c r="D470" s="8">
        <v>2020</v>
      </c>
      <c r="E470" s="14">
        <f>Data!E470</f>
        <v>48411680000</v>
      </c>
      <c r="F470" s="14">
        <f>Data!H470</f>
        <v>71042670000</v>
      </c>
      <c r="G470" s="12">
        <f t="shared" si="7"/>
        <v>0.68144510897464861</v>
      </c>
    </row>
    <row r="471" spans="2:7" ht="15" customHeight="1" x14ac:dyDescent="0.3">
      <c r="C471" s="3"/>
      <c r="D471" s="8">
        <v>2021</v>
      </c>
      <c r="E471" s="14">
        <f>Data!E471</f>
        <v>22243780000</v>
      </c>
      <c r="F471" s="14">
        <f>Data!H471</f>
        <v>70457740000</v>
      </c>
      <c r="G471" s="12">
        <f t="shared" si="7"/>
        <v>0.31570385311819538</v>
      </c>
    </row>
    <row r="472" spans="2:7" ht="15" customHeight="1" x14ac:dyDescent="0.3">
      <c r="C472" s="3"/>
      <c r="D472" s="8">
        <v>2022</v>
      </c>
      <c r="E472" s="14">
        <f>Data!E472</f>
        <v>279935820000</v>
      </c>
      <c r="F472" s="14">
        <f>Data!H472</f>
        <v>115107770000</v>
      </c>
      <c r="G472" s="12">
        <f t="shared" si="7"/>
        <v>2.4319454716219417</v>
      </c>
    </row>
    <row r="473" spans="2:7" ht="15" customHeight="1" x14ac:dyDescent="0.3">
      <c r="C473" s="3"/>
      <c r="D473" s="8">
        <v>2023</v>
      </c>
      <c r="E473" s="14">
        <f>Data!E473</f>
        <v>30002710000</v>
      </c>
      <c r="F473" s="14">
        <f>Data!H473</f>
        <v>119965820000</v>
      </c>
      <c r="G473" s="12">
        <f t="shared" si="7"/>
        <v>0.25009381838927119</v>
      </c>
    </row>
    <row r="474" spans="2:7" ht="15" customHeight="1" x14ac:dyDescent="0.3">
      <c r="C474" s="3"/>
      <c r="D474" s="8">
        <v>2024</v>
      </c>
      <c r="E474" s="14">
        <f>Data!E474</f>
        <v>27479940000</v>
      </c>
      <c r="F474" s="14">
        <f>Data!H474</f>
        <v>116231640000</v>
      </c>
      <c r="G474" s="12">
        <f t="shared" si="7"/>
        <v>0.23642392037142382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Data!E475</f>
        <v>0</v>
      </c>
      <c r="F475" s="14">
        <f>Data!H475</f>
        <v>0</v>
      </c>
      <c r="G475" s="12">
        <f t="shared" si="7"/>
        <v>0</v>
      </c>
    </row>
    <row r="476" spans="2:7" ht="15" customHeight="1" x14ac:dyDescent="0.3">
      <c r="C476" s="3"/>
      <c r="D476" s="8">
        <v>2015</v>
      </c>
      <c r="E476" s="14">
        <f>Data!E476</f>
        <v>7425000000</v>
      </c>
      <c r="F476" s="14">
        <f>Data!H476</f>
        <v>14468000000</v>
      </c>
      <c r="G476" s="12">
        <f t="shared" si="7"/>
        <v>0.51320154824440145</v>
      </c>
    </row>
    <row r="477" spans="2:7" ht="15" customHeight="1" x14ac:dyDescent="0.3">
      <c r="C477" s="3"/>
      <c r="D477" s="8">
        <v>2016</v>
      </c>
      <c r="E477" s="14">
        <f>Data!E477</f>
        <v>21590000000</v>
      </c>
      <c r="F477" s="14">
        <f>Data!H477</f>
        <v>63872000000</v>
      </c>
      <c r="G477" s="12">
        <f t="shared" si="7"/>
        <v>0.33801978957915829</v>
      </c>
    </row>
    <row r="478" spans="2:7" ht="15" customHeight="1" x14ac:dyDescent="0.3">
      <c r="C478" s="3"/>
      <c r="D478" s="8">
        <v>2017</v>
      </c>
      <c r="E478" s="14">
        <f>Data!E478</f>
        <v>21597000000</v>
      </c>
      <c r="F478" s="14">
        <f>Data!H478</f>
        <v>51201000000</v>
      </c>
      <c r="G478" s="12">
        <f t="shared" si="7"/>
        <v>0.42180816780922248</v>
      </c>
    </row>
    <row r="479" spans="2:7" ht="15" customHeight="1" x14ac:dyDescent="0.3">
      <c r="C479" s="3"/>
      <c r="D479" s="8">
        <v>2018</v>
      </c>
      <c r="E479" s="14">
        <f>Data!E479</f>
        <v>67265000000</v>
      </c>
      <c r="F479" s="14">
        <f>Data!H479</f>
        <v>94527000000</v>
      </c>
      <c r="G479" s="12">
        <f t="shared" si="7"/>
        <v>0.71159562876215265</v>
      </c>
    </row>
    <row r="480" spans="2:7" ht="15" customHeight="1" x14ac:dyDescent="0.3">
      <c r="C480" s="3"/>
      <c r="D480" s="8">
        <v>2019</v>
      </c>
      <c r="E480" s="14">
        <f>Data!E480</f>
        <v>70692000000</v>
      </c>
      <c r="F480" s="14">
        <f>Data!H480</f>
        <v>124966000000</v>
      </c>
      <c r="G480" s="12">
        <f t="shared" si="7"/>
        <v>0.5656898676439992</v>
      </c>
    </row>
    <row r="481" spans="2:7" ht="15" customHeight="1" x14ac:dyDescent="0.3">
      <c r="C481" s="3"/>
      <c r="D481" s="8">
        <v>2020</v>
      </c>
      <c r="E481" s="14">
        <f>Data!E481</f>
        <v>117091000000</v>
      </c>
      <c r="F481" s="14">
        <f>Data!H481</f>
        <v>159233000000</v>
      </c>
      <c r="G481" s="12">
        <f t="shared" si="7"/>
        <v>0.73534380436216107</v>
      </c>
    </row>
    <row r="482" spans="2:7" ht="15" customHeight="1" x14ac:dyDescent="0.3">
      <c r="C482" s="3"/>
      <c r="D482" s="8">
        <v>2021</v>
      </c>
      <c r="E482" s="14">
        <f>Data!E482</f>
        <v>102610000000</v>
      </c>
      <c r="F482" s="14">
        <f>Data!H482</f>
        <v>180791000000</v>
      </c>
      <c r="G482" s="12">
        <f t="shared" si="7"/>
        <v>0.56756143834593531</v>
      </c>
    </row>
    <row r="483" spans="2:7" ht="15" customHeight="1" x14ac:dyDescent="0.3">
      <c r="C483" s="3"/>
      <c r="D483" s="8">
        <v>2022</v>
      </c>
      <c r="E483" s="14">
        <f>Data!E483</f>
        <v>59277000000</v>
      </c>
      <c r="F483" s="14">
        <f>Data!H483</f>
        <v>128460000000</v>
      </c>
      <c r="G483" s="12">
        <f t="shared" si="7"/>
        <v>0.46144325081737508</v>
      </c>
    </row>
    <row r="484" spans="2:7" ht="15" customHeight="1" x14ac:dyDescent="0.3">
      <c r="C484" s="3"/>
      <c r="D484" s="8">
        <v>2023</v>
      </c>
      <c r="E484" s="14">
        <f>Data!E484</f>
        <v>32258000000</v>
      </c>
      <c r="F484" s="14">
        <f>Data!H484</f>
        <v>97800000000</v>
      </c>
      <c r="G484" s="12">
        <f t="shared" si="7"/>
        <v>0.32983640081799592</v>
      </c>
    </row>
    <row r="485" spans="2:7" ht="15" customHeight="1" x14ac:dyDescent="0.3">
      <c r="C485" s="3"/>
      <c r="D485" s="8">
        <v>2024</v>
      </c>
      <c r="E485" s="14">
        <f>Data!E485</f>
        <v>10964000000</v>
      </c>
      <c r="F485" s="14">
        <f>Data!H485</f>
        <v>74432000000</v>
      </c>
      <c r="G485" s="12">
        <f t="shared" si="7"/>
        <v>0.14730223559759242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Data!E486</f>
        <v>0</v>
      </c>
      <c r="F486" s="14">
        <f>Data!H486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Data!E487</f>
        <v>0</v>
      </c>
      <c r="F487" s="14">
        <f>Data!H487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Data!E488</f>
        <v>0</v>
      </c>
      <c r="F488" s="14">
        <f>Data!H488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Data!E489</f>
        <v>0</v>
      </c>
      <c r="F489" s="14">
        <f>Data!H489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>
        <f>Data!E490</f>
        <v>84835000000</v>
      </c>
      <c r="F490" s="14">
        <f>Data!H490</f>
        <v>36574000000</v>
      </c>
      <c r="G490" s="12">
        <f t="shared" si="7"/>
        <v>2.319543938316837</v>
      </c>
    </row>
    <row r="491" spans="2:7" ht="15" customHeight="1" x14ac:dyDescent="0.3">
      <c r="C491" s="3"/>
      <c r="D491" s="8">
        <v>2019</v>
      </c>
      <c r="E491" s="14">
        <f>Data!E491</f>
        <v>80079000000</v>
      </c>
      <c r="F491" s="14">
        <f>Data!H491</f>
        <v>47815000000</v>
      </c>
      <c r="G491" s="12">
        <f t="shared" si="7"/>
        <v>1.6747673324270627</v>
      </c>
    </row>
    <row r="492" spans="2:7" ht="15" customHeight="1" x14ac:dyDescent="0.3">
      <c r="C492" s="3"/>
      <c r="D492" s="8">
        <v>2020</v>
      </c>
      <c r="E492" s="14">
        <f>Data!E492</f>
        <v>173713000000</v>
      </c>
      <c r="F492" s="14">
        <f>Data!H492</f>
        <v>75194000000</v>
      </c>
      <c r="G492" s="12">
        <f t="shared" si="7"/>
        <v>2.3101976221507035</v>
      </c>
    </row>
    <row r="493" spans="2:7" ht="15" customHeight="1" x14ac:dyDescent="0.3">
      <c r="C493" s="3"/>
      <c r="D493" s="8">
        <v>2021</v>
      </c>
      <c r="E493" s="14">
        <f>Data!E493</f>
        <v>86815000000</v>
      </c>
      <c r="F493" s="14">
        <f>Data!H493</f>
        <v>64058000000</v>
      </c>
      <c r="G493" s="12">
        <f t="shared" si="7"/>
        <v>1.3552561740922289</v>
      </c>
    </row>
    <row r="494" spans="2:7" ht="15" customHeight="1" x14ac:dyDescent="0.3">
      <c r="C494" s="3"/>
      <c r="D494" s="8">
        <v>2022</v>
      </c>
      <c r="E494" s="14">
        <f>Data!E494</f>
        <v>162970000000</v>
      </c>
      <c r="F494" s="14">
        <f>Data!H494</f>
        <v>58234000000</v>
      </c>
      <c r="G494" s="12">
        <f t="shared" si="7"/>
        <v>2.7985369371844628</v>
      </c>
    </row>
    <row r="495" spans="2:7" ht="15" customHeight="1" x14ac:dyDescent="0.3">
      <c r="C495" s="3"/>
      <c r="D495" s="8">
        <v>2023</v>
      </c>
      <c r="E495" s="14">
        <f>Data!E495</f>
        <v>140270000000</v>
      </c>
      <c r="F495" s="14">
        <f>Data!H495</f>
        <v>24102000000</v>
      </c>
      <c r="G495" s="12">
        <f t="shared" si="7"/>
        <v>5.8198489751887807</v>
      </c>
    </row>
    <row r="496" spans="2:7" ht="15" customHeight="1" x14ac:dyDescent="0.3">
      <c r="C496" s="3"/>
      <c r="D496" s="8">
        <v>2024</v>
      </c>
      <c r="E496" s="14">
        <f>Data!E496</f>
        <v>146932000000</v>
      </c>
      <c r="F496" s="14">
        <f>Data!H496</f>
        <v>20557000000</v>
      </c>
      <c r="G496" s="12">
        <f t="shared" si="7"/>
        <v>7.1475409836065573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Data!E497</f>
        <v>0</v>
      </c>
      <c r="F497" s="14">
        <f>Data!H497</f>
        <v>0</v>
      </c>
      <c r="G497" s="12">
        <f t="shared" si="7"/>
        <v>0</v>
      </c>
    </row>
    <row r="498" spans="2:7" ht="15" customHeight="1" x14ac:dyDescent="0.3">
      <c r="C498" s="3"/>
      <c r="D498" s="8">
        <v>2015</v>
      </c>
      <c r="E498" s="14">
        <f>Data!E498</f>
        <v>0</v>
      </c>
      <c r="F498" s="14">
        <f>Data!H498</f>
        <v>0</v>
      </c>
      <c r="G498" s="12">
        <f t="shared" si="7"/>
        <v>0</v>
      </c>
    </row>
    <row r="499" spans="2:7" ht="15" customHeight="1" x14ac:dyDescent="0.3">
      <c r="C499" s="3"/>
      <c r="D499" s="8">
        <v>2016</v>
      </c>
      <c r="E499" s="14">
        <f>Data!E499</f>
        <v>2479000000</v>
      </c>
      <c r="F499" s="14">
        <f>Data!H499</f>
        <v>11864000000</v>
      </c>
      <c r="G499" s="12">
        <f t="shared" si="7"/>
        <v>0.20895144976399191</v>
      </c>
    </row>
    <row r="500" spans="2:7" ht="15" customHeight="1" x14ac:dyDescent="0.3">
      <c r="C500" s="3"/>
      <c r="D500" s="8">
        <v>2017</v>
      </c>
      <c r="E500" s="14">
        <f>Data!E500</f>
        <v>4305000000</v>
      </c>
      <c r="F500" s="14">
        <f>Data!H500</f>
        <v>6577000000</v>
      </c>
      <c r="G500" s="12">
        <f t="shared" si="7"/>
        <v>0.65455374790938115</v>
      </c>
    </row>
    <row r="501" spans="2:7" ht="15" customHeight="1" x14ac:dyDescent="0.3">
      <c r="C501" s="3"/>
      <c r="D501" s="8">
        <v>2018</v>
      </c>
      <c r="E501" s="14">
        <f>Data!E501</f>
        <v>2591000000</v>
      </c>
      <c r="F501" s="14">
        <f>Data!H501</f>
        <v>8121000000</v>
      </c>
      <c r="G501" s="12">
        <f t="shared" si="7"/>
        <v>0.31904937815539958</v>
      </c>
    </row>
    <row r="502" spans="2:7" ht="15" customHeight="1" x14ac:dyDescent="0.3">
      <c r="C502" s="3"/>
      <c r="D502" s="8">
        <v>2019</v>
      </c>
      <c r="E502" s="14">
        <f>Data!E502</f>
        <v>5282000000</v>
      </c>
      <c r="F502" s="14">
        <f>Data!H502</f>
        <v>12494000000</v>
      </c>
      <c r="G502" s="12">
        <f t="shared" si="7"/>
        <v>0.42276292620457817</v>
      </c>
    </row>
    <row r="503" spans="2:7" ht="15" customHeight="1" x14ac:dyDescent="0.3">
      <c r="C503" s="3"/>
      <c r="D503" s="8">
        <v>2020</v>
      </c>
      <c r="E503" s="14">
        <f>Data!E503</f>
        <v>3680000000</v>
      </c>
      <c r="F503" s="14">
        <f>Data!H503</f>
        <v>15643000000</v>
      </c>
      <c r="G503" s="12">
        <f t="shared" si="7"/>
        <v>0.23524899315987982</v>
      </c>
    </row>
    <row r="504" spans="2:7" ht="15" customHeight="1" x14ac:dyDescent="0.3">
      <c r="C504" s="3"/>
      <c r="D504" s="8">
        <v>2021</v>
      </c>
      <c r="E504" s="14">
        <f>Data!E504</f>
        <v>2420000000</v>
      </c>
      <c r="F504" s="14">
        <f>Data!H504</f>
        <v>31877000000</v>
      </c>
      <c r="G504" s="12">
        <f t="shared" si="7"/>
        <v>7.5916805220064623E-2</v>
      </c>
    </row>
    <row r="505" spans="2:7" ht="15" customHeight="1" x14ac:dyDescent="0.3">
      <c r="C505" s="3"/>
      <c r="D505" s="8">
        <v>2022</v>
      </c>
      <c r="E505" s="14">
        <f>Data!E505</f>
        <v>2704000000</v>
      </c>
      <c r="F505" s="14">
        <f>Data!H505</f>
        <v>21296000000</v>
      </c>
      <c r="G505" s="12">
        <f t="shared" si="7"/>
        <v>0.12697220135236664</v>
      </c>
    </row>
    <row r="506" spans="2:7" ht="15" customHeight="1" x14ac:dyDescent="0.3">
      <c r="C506" s="3"/>
      <c r="D506" s="8">
        <v>2023</v>
      </c>
      <c r="E506" s="14">
        <f>Data!E506</f>
        <v>10705000000</v>
      </c>
      <c r="F506" s="14">
        <f>Data!H506</f>
        <v>22209000000</v>
      </c>
      <c r="G506" s="12">
        <f t="shared" si="7"/>
        <v>0.48201179701922642</v>
      </c>
    </row>
    <row r="507" spans="2:7" ht="15" customHeight="1" x14ac:dyDescent="0.3">
      <c r="C507" s="3"/>
      <c r="D507" s="8">
        <v>2024</v>
      </c>
      <c r="E507" s="14">
        <f>Data!E507</f>
        <v>5701000000</v>
      </c>
      <c r="F507" s="14">
        <f>Data!H507</f>
        <v>21991000000</v>
      </c>
      <c r="G507" s="12">
        <f t="shared" si="7"/>
        <v>0.25924241735255332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Data!E508</f>
        <v>0</v>
      </c>
      <c r="F508" s="14">
        <f>Data!H508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Data!E509</f>
        <v>0</v>
      </c>
      <c r="F509" s="14">
        <f>Data!H509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Data!E510</f>
        <v>0</v>
      </c>
      <c r="F510" s="14">
        <f>Data!H510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Data!E511</f>
        <v>0</v>
      </c>
      <c r="F511" s="14">
        <f>Data!H511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Data!E512</f>
        <v>0</v>
      </c>
      <c r="F512" s="14">
        <f>Data!H512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Data!E513</f>
        <v>76437900000</v>
      </c>
      <c r="F513" s="14">
        <f>Data!H513</f>
        <v>31570130000</v>
      </c>
      <c r="G513" s="12">
        <f t="shared" si="7"/>
        <v>2.4212095420576349</v>
      </c>
    </row>
    <row r="514" spans="2:7" ht="15" customHeight="1" x14ac:dyDescent="0.3">
      <c r="C514" s="3"/>
      <c r="D514" s="8">
        <v>2020</v>
      </c>
      <c r="E514" s="14">
        <f>Data!E514</f>
        <v>79350780000</v>
      </c>
      <c r="F514" s="14">
        <f>Data!H514</f>
        <v>75595850000</v>
      </c>
      <c r="G514" s="12">
        <f t="shared" si="7"/>
        <v>1.0496711128983933</v>
      </c>
    </row>
    <row r="515" spans="2:7" ht="15" customHeight="1" x14ac:dyDescent="0.3">
      <c r="C515" s="3"/>
      <c r="D515" s="8">
        <v>2021</v>
      </c>
      <c r="E515" s="14">
        <f>Data!E515</f>
        <v>49674100000</v>
      </c>
      <c r="F515" s="14">
        <f>Data!H515</f>
        <v>33850260000.000004</v>
      </c>
      <c r="G515" s="12">
        <f t="shared" ref="G515:G578" si="8">IFERROR(E515/F515,0)</f>
        <v>1.4674658333495811</v>
      </c>
    </row>
    <row r="516" spans="2:7" ht="15" customHeight="1" x14ac:dyDescent="0.3">
      <c r="C516" s="3"/>
      <c r="D516" s="8">
        <v>2022</v>
      </c>
      <c r="E516" s="14">
        <f>Data!E516</f>
        <v>58940000000</v>
      </c>
      <c r="F516" s="14">
        <f>Data!H516</f>
        <v>22509000000</v>
      </c>
      <c r="G516" s="12">
        <f t="shared" si="8"/>
        <v>2.6185081522946376</v>
      </c>
    </row>
    <row r="517" spans="2:7" ht="15" customHeight="1" x14ac:dyDescent="0.3">
      <c r="C517" s="3"/>
      <c r="D517" s="8">
        <v>2023</v>
      </c>
      <c r="E517" s="14">
        <f>Data!E517</f>
        <v>114339000000</v>
      </c>
      <c r="F517" s="14">
        <f>Data!H517</f>
        <v>29303000000</v>
      </c>
      <c r="G517" s="12">
        <f t="shared" si="8"/>
        <v>3.9019554311845202</v>
      </c>
    </row>
    <row r="518" spans="2:7" ht="15" customHeight="1" x14ac:dyDescent="0.3">
      <c r="C518" s="3"/>
      <c r="D518" s="8">
        <v>2024</v>
      </c>
      <c r="E518" s="14">
        <f>Data!E518</f>
        <v>55979000000</v>
      </c>
      <c r="F518" s="14">
        <f>Data!H518</f>
        <v>33572000000</v>
      </c>
      <c r="G518" s="12">
        <f t="shared" si="8"/>
        <v>1.6674311926605505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Data!E519</f>
        <v>0</v>
      </c>
      <c r="F519" s="14">
        <f>Data!H519</f>
        <v>0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Data!E520</f>
        <v>265187870000</v>
      </c>
      <c r="F520" s="14">
        <f>Data!H520</f>
        <v>367867520000</v>
      </c>
      <c r="G520" s="12">
        <f t="shared" si="8"/>
        <v>0.72087872829870925</v>
      </c>
    </row>
    <row r="521" spans="2:7" ht="15" customHeight="1" x14ac:dyDescent="0.3">
      <c r="C521" s="3"/>
      <c r="D521" s="8">
        <v>2016</v>
      </c>
      <c r="E521" s="14">
        <f>Data!E521</f>
        <v>356416430000</v>
      </c>
      <c r="F521" s="14">
        <f>Data!H521</f>
        <v>642036840000</v>
      </c>
      <c r="G521" s="12">
        <f t="shared" si="8"/>
        <v>0.55513392346769386</v>
      </c>
    </row>
    <row r="522" spans="2:7" ht="15" customHeight="1" x14ac:dyDescent="0.3">
      <c r="C522" s="3"/>
      <c r="D522" s="8">
        <v>2017</v>
      </c>
      <c r="E522" s="14">
        <f>Data!E522</f>
        <v>647361660000</v>
      </c>
      <c r="F522" s="14">
        <f>Data!H522</f>
        <v>471887300000</v>
      </c>
      <c r="G522" s="12">
        <f t="shared" si="8"/>
        <v>1.3718565004822125</v>
      </c>
    </row>
    <row r="523" spans="2:7" ht="15" customHeight="1" x14ac:dyDescent="0.3">
      <c r="C523" s="3"/>
      <c r="D523" s="8">
        <v>2018</v>
      </c>
      <c r="E523" s="14">
        <f>Data!E523</f>
        <v>664326490000</v>
      </c>
      <c r="F523" s="14">
        <f>Data!H523</f>
        <v>661481230000</v>
      </c>
      <c r="G523" s="12">
        <f t="shared" si="8"/>
        <v>1.0043013465400976</v>
      </c>
    </row>
    <row r="524" spans="2:7" ht="15" customHeight="1" x14ac:dyDescent="0.3">
      <c r="C524" s="3"/>
      <c r="D524" s="8">
        <v>2019</v>
      </c>
      <c r="E524" s="14">
        <f>Data!E524</f>
        <v>614297260000</v>
      </c>
      <c r="F524" s="14">
        <f>Data!H524</f>
        <v>420773560000</v>
      </c>
      <c r="G524" s="12">
        <f t="shared" si="8"/>
        <v>1.4599236225774261</v>
      </c>
    </row>
    <row r="525" spans="2:7" ht="15" customHeight="1" x14ac:dyDescent="0.3">
      <c r="C525" s="3"/>
      <c r="D525" s="8">
        <v>2020</v>
      </c>
      <c r="E525" s="14">
        <f>Data!E525</f>
        <v>714060100000</v>
      </c>
      <c r="F525" s="14">
        <f>Data!H525</f>
        <v>499314920000</v>
      </c>
      <c r="G525" s="12">
        <f t="shared" si="8"/>
        <v>1.430079637916688</v>
      </c>
    </row>
    <row r="526" spans="2:7" ht="15" customHeight="1" x14ac:dyDescent="0.3">
      <c r="C526" s="3"/>
      <c r="D526" s="8">
        <v>2021</v>
      </c>
      <c r="E526" s="14">
        <f>Data!E526</f>
        <v>1400954150000</v>
      </c>
      <c r="F526" s="14">
        <f>Data!H526</f>
        <v>667619490000</v>
      </c>
      <c r="G526" s="12">
        <f t="shared" si="8"/>
        <v>2.0984320724369505</v>
      </c>
    </row>
    <row r="527" spans="2:7" ht="15" customHeight="1" x14ac:dyDescent="0.3">
      <c r="C527" s="3"/>
      <c r="D527" s="8">
        <v>2022</v>
      </c>
      <c r="E527" s="14">
        <f>Data!E527</f>
        <v>1324005270000</v>
      </c>
      <c r="F527" s="14">
        <f>Data!H527</f>
        <v>659902540000</v>
      </c>
      <c r="G527" s="12">
        <f t="shared" si="8"/>
        <v>2.0063648641206928</v>
      </c>
    </row>
    <row r="528" spans="2:7" ht="15" customHeight="1" x14ac:dyDescent="0.3">
      <c r="C528" s="3"/>
      <c r="D528" s="8">
        <v>2023</v>
      </c>
      <c r="E528" s="14">
        <f>Data!E528</f>
        <v>759438290000</v>
      </c>
      <c r="F528" s="14">
        <f>Data!H528</f>
        <v>810615190000</v>
      </c>
      <c r="G528" s="12">
        <f t="shared" si="8"/>
        <v>0.93686659140942075</v>
      </c>
    </row>
    <row r="529" spans="2:7" ht="15" customHeight="1" x14ac:dyDescent="0.3">
      <c r="C529" s="3"/>
      <c r="D529" s="8">
        <v>2024</v>
      </c>
      <c r="E529" s="14">
        <f>Data!E529</f>
        <v>612858620000</v>
      </c>
      <c r="F529" s="14">
        <f>Data!H529</f>
        <v>873359750000</v>
      </c>
      <c r="G529" s="12">
        <f t="shared" si="8"/>
        <v>0.70172528559966263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Data!E530</f>
        <v>0</v>
      </c>
      <c r="F530" s="14">
        <f>Data!H530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Data!E531</f>
        <v>0</v>
      </c>
      <c r="F531" s="14">
        <f>Data!H531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>
        <f>Data!E532</f>
        <v>3349000000</v>
      </c>
      <c r="F532" s="14">
        <f>Data!H532</f>
        <v>22162000000</v>
      </c>
      <c r="G532" s="12">
        <f t="shared" si="8"/>
        <v>0.15111452035014891</v>
      </c>
    </row>
    <row r="533" spans="2:7" ht="15" customHeight="1" x14ac:dyDescent="0.3">
      <c r="C533" s="3"/>
      <c r="D533" s="8">
        <v>2017</v>
      </c>
      <c r="E533" s="14">
        <f>Data!E533</f>
        <v>905000000</v>
      </c>
      <c r="F533" s="14">
        <f>Data!H533</f>
        <v>142000000</v>
      </c>
      <c r="G533" s="12">
        <f t="shared" si="8"/>
        <v>6.373239436619718</v>
      </c>
    </row>
    <row r="534" spans="2:7" ht="15" customHeight="1" x14ac:dyDescent="0.3">
      <c r="C534" s="3"/>
      <c r="D534" s="8">
        <v>2018</v>
      </c>
      <c r="E534" s="14">
        <f>Data!E534</f>
        <v>2863000000</v>
      </c>
      <c r="F534" s="14">
        <f>Data!H534</f>
        <v>3721000000</v>
      </c>
      <c r="G534" s="12">
        <f t="shared" si="8"/>
        <v>0.76941682343456064</v>
      </c>
    </row>
    <row r="535" spans="2:7" ht="15" customHeight="1" x14ac:dyDescent="0.3">
      <c r="C535" s="3"/>
      <c r="D535" s="8">
        <v>2019</v>
      </c>
      <c r="E535" s="14">
        <f>Data!E535</f>
        <v>4734000000</v>
      </c>
      <c r="F535" s="14">
        <f>Data!H535</f>
        <v>28024000000</v>
      </c>
      <c r="G535" s="12">
        <f t="shared" si="8"/>
        <v>0.16892663431344562</v>
      </c>
    </row>
    <row r="536" spans="2:7" ht="15" customHeight="1" x14ac:dyDescent="0.3">
      <c r="C536" s="3"/>
      <c r="D536" s="8">
        <v>2020</v>
      </c>
      <c r="E536" s="14">
        <f>Data!E536</f>
        <v>1691000000</v>
      </c>
      <c r="F536" s="14">
        <f>Data!H536</f>
        <v>13512000000</v>
      </c>
      <c r="G536" s="12">
        <f t="shared" si="8"/>
        <v>0.12514801657785671</v>
      </c>
    </row>
    <row r="537" spans="2:7" ht="15" customHeight="1" x14ac:dyDescent="0.3">
      <c r="C537" s="3"/>
      <c r="D537" s="8">
        <v>2021</v>
      </c>
      <c r="E537" s="14">
        <f>Data!E537</f>
        <v>1736000000</v>
      </c>
      <c r="F537" s="14">
        <f>Data!H537</f>
        <v>10556000000</v>
      </c>
      <c r="G537" s="12">
        <f t="shared" si="8"/>
        <v>0.16445623342175067</v>
      </c>
    </row>
    <row r="538" spans="2:7" ht="15" customHeight="1" x14ac:dyDescent="0.3">
      <c r="C538" s="3"/>
      <c r="D538" s="8">
        <v>2022</v>
      </c>
      <c r="E538" s="14">
        <f>Data!E538</f>
        <v>4922000000</v>
      </c>
      <c r="F538" s="14">
        <f>Data!H538</f>
        <v>6926000000</v>
      </c>
      <c r="G538" s="12">
        <f t="shared" si="8"/>
        <v>0.71065550101068442</v>
      </c>
    </row>
    <row r="539" spans="2:7" ht="15" customHeight="1" x14ac:dyDescent="0.3">
      <c r="C539" s="3"/>
      <c r="D539" s="8">
        <v>2023</v>
      </c>
      <c r="E539" s="14">
        <f>Data!E539</f>
        <v>55003000000</v>
      </c>
      <c r="F539" s="14">
        <f>Data!H539</f>
        <v>8482000000</v>
      </c>
      <c r="G539" s="12">
        <f t="shared" si="8"/>
        <v>6.4846734260787553</v>
      </c>
    </row>
    <row r="540" spans="2:7" ht="15" customHeight="1" x14ac:dyDescent="0.3">
      <c r="C540" s="3"/>
      <c r="D540" s="8">
        <v>2024</v>
      </c>
      <c r="E540" s="14">
        <f>Data!E540</f>
        <v>18763000000</v>
      </c>
      <c r="F540" s="14">
        <f>Data!H540</f>
        <v>12454000000</v>
      </c>
      <c r="G540" s="12">
        <f t="shared" si="8"/>
        <v>1.5065842299662759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Data!E541</f>
        <v>0</v>
      </c>
      <c r="F541" s="14">
        <f>Data!H541</f>
        <v>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Data!E542</f>
        <v>96041000000</v>
      </c>
      <c r="F542" s="14">
        <f>Data!H542</f>
        <v>292900000000</v>
      </c>
      <c r="G542" s="12">
        <f t="shared" si="8"/>
        <v>0.32789689313758963</v>
      </c>
    </row>
    <row r="543" spans="2:7" ht="15" customHeight="1" x14ac:dyDescent="0.3">
      <c r="C543" s="3"/>
      <c r="D543" s="8">
        <v>2016</v>
      </c>
      <c r="E543" s="14">
        <f>Data!E543</f>
        <v>74325000000</v>
      </c>
      <c r="F543" s="14">
        <f>Data!H543</f>
        <v>274769000000</v>
      </c>
      <c r="G543" s="12">
        <f t="shared" si="8"/>
        <v>0.27049994722839915</v>
      </c>
    </row>
    <row r="544" spans="2:7" ht="15" customHeight="1" x14ac:dyDescent="0.3">
      <c r="C544" s="3"/>
      <c r="D544" s="8">
        <v>2017</v>
      </c>
      <c r="E544" s="14">
        <f>Data!E544</f>
        <v>78164000000</v>
      </c>
      <c r="F544" s="14">
        <f>Data!H544</f>
        <v>314014000000</v>
      </c>
      <c r="G544" s="12">
        <f t="shared" si="8"/>
        <v>0.24891883801359174</v>
      </c>
    </row>
    <row r="545" spans="2:7" ht="15" customHeight="1" x14ac:dyDescent="0.3">
      <c r="C545" s="3"/>
      <c r="D545" s="8">
        <v>2018</v>
      </c>
      <c r="E545" s="14">
        <f>Data!E545</f>
        <v>66285000000</v>
      </c>
      <c r="F545" s="14">
        <f>Data!H545</f>
        <v>318030000000</v>
      </c>
      <c r="G545" s="12">
        <f t="shared" si="8"/>
        <v>0.2084237336100368</v>
      </c>
    </row>
    <row r="546" spans="2:7" ht="15" customHeight="1" x14ac:dyDescent="0.3">
      <c r="C546" s="3"/>
      <c r="D546" s="8">
        <v>2019</v>
      </c>
      <c r="E546" s="14">
        <f>Data!E546</f>
        <v>82757000000</v>
      </c>
      <c r="F546" s="14">
        <f>Data!H546</f>
        <v>387921000000</v>
      </c>
      <c r="G546" s="12">
        <f t="shared" si="8"/>
        <v>0.2133346738124515</v>
      </c>
    </row>
    <row r="547" spans="2:7" ht="15" customHeight="1" x14ac:dyDescent="0.3">
      <c r="C547" s="3"/>
      <c r="D547" s="8">
        <v>2020</v>
      </c>
      <c r="E547" s="14">
        <f>Data!E547</f>
        <v>102468000000</v>
      </c>
      <c r="F547" s="14">
        <f>Data!H547</f>
        <v>527908000000</v>
      </c>
      <c r="G547" s="12">
        <f t="shared" si="8"/>
        <v>0.19410200262166893</v>
      </c>
    </row>
    <row r="548" spans="2:7" ht="15" customHeight="1" x14ac:dyDescent="0.3">
      <c r="C548" s="3"/>
      <c r="D548" s="8">
        <v>2021</v>
      </c>
      <c r="E548" s="14">
        <f>Data!E548</f>
        <v>113896000000</v>
      </c>
      <c r="F548" s="14">
        <f>Data!H548</f>
        <v>398551000000</v>
      </c>
      <c r="G548" s="12">
        <f t="shared" si="8"/>
        <v>0.28577522073712019</v>
      </c>
    </row>
    <row r="549" spans="2:7" ht="15" customHeight="1" x14ac:dyDescent="0.3">
      <c r="C549" s="3"/>
      <c r="D549" s="8">
        <v>2022</v>
      </c>
      <c r="E549" s="14">
        <f>Data!E549</f>
        <v>151307000000</v>
      </c>
      <c r="F549" s="14">
        <f>Data!H549</f>
        <v>403065000000</v>
      </c>
      <c r="G549" s="12">
        <f t="shared" si="8"/>
        <v>0.3753910659571037</v>
      </c>
    </row>
    <row r="550" spans="2:7" ht="15" customHeight="1" x14ac:dyDescent="0.3">
      <c r="C550" s="3"/>
      <c r="D550" s="8">
        <v>2023</v>
      </c>
      <c r="E550" s="14">
        <f>Data!E550</f>
        <v>189217000000</v>
      </c>
      <c r="F550" s="14">
        <f>Data!H550</f>
        <v>485978000000</v>
      </c>
      <c r="G550" s="12">
        <f t="shared" si="8"/>
        <v>0.38935301598014727</v>
      </c>
    </row>
    <row r="551" spans="2:7" ht="15" customHeight="1" x14ac:dyDescent="0.3">
      <c r="C551" s="3"/>
      <c r="D551" s="8">
        <v>2024</v>
      </c>
      <c r="E551" s="14">
        <f>Data!E551</f>
        <v>225368000000</v>
      </c>
      <c r="F551" s="14">
        <f>Data!H551</f>
        <v>532821000000</v>
      </c>
      <c r="G551" s="12">
        <f t="shared" si="8"/>
        <v>0.42297131682122141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Data!E552</f>
        <v>0</v>
      </c>
      <c r="F552" s="14">
        <f>Data!H552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Data!E553</f>
        <v>0</v>
      </c>
      <c r="F553" s="14">
        <f>Data!H553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Data!E554</f>
        <v>0</v>
      </c>
      <c r="F554" s="14">
        <f>Data!H554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Data!E555</f>
        <v>0</v>
      </c>
      <c r="F555" s="14">
        <f>Data!H555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Data!E556</f>
        <v>0</v>
      </c>
      <c r="F556" s="14">
        <f>Data!H556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Data!E557</f>
        <v>8182000000</v>
      </c>
      <c r="F557" s="14">
        <f>Data!H557</f>
        <v>44411000000</v>
      </c>
      <c r="G557" s="12">
        <f t="shared" si="8"/>
        <v>0.18423363581094773</v>
      </c>
    </row>
    <row r="558" spans="2:7" ht="15" customHeight="1" x14ac:dyDescent="0.3">
      <c r="C558" s="3"/>
      <c r="D558" s="8">
        <v>2020</v>
      </c>
      <c r="E558" s="14">
        <f>Data!E558</f>
        <v>29333000000</v>
      </c>
      <c r="F558" s="14">
        <f>Data!H558</f>
        <v>95681000000</v>
      </c>
      <c r="G558" s="12">
        <f t="shared" si="8"/>
        <v>0.30657079252934227</v>
      </c>
    </row>
    <row r="559" spans="2:7" ht="15" customHeight="1" x14ac:dyDescent="0.3">
      <c r="C559" s="3"/>
      <c r="D559" s="8">
        <v>2021</v>
      </c>
      <c r="E559" s="14">
        <f>Data!E559</f>
        <v>43702900000</v>
      </c>
      <c r="F559" s="14">
        <f>Data!H559</f>
        <v>76167000000</v>
      </c>
      <c r="G559" s="12">
        <f t="shared" si="8"/>
        <v>0.57377735764832538</v>
      </c>
    </row>
    <row r="560" spans="2:7" ht="15" customHeight="1" x14ac:dyDescent="0.3">
      <c r="C560" s="3"/>
      <c r="D560" s="8">
        <v>2022</v>
      </c>
      <c r="E560" s="14">
        <f>Data!E560</f>
        <v>123888000000</v>
      </c>
      <c r="F560" s="14">
        <f>Data!H560</f>
        <v>208363000000</v>
      </c>
      <c r="G560" s="12">
        <f t="shared" si="8"/>
        <v>0.59457773213094456</v>
      </c>
    </row>
    <row r="561" spans="2:7" ht="15" customHeight="1" x14ac:dyDescent="0.3">
      <c r="C561" s="3"/>
      <c r="D561" s="8">
        <v>2023</v>
      </c>
      <c r="E561" s="14">
        <f>Data!E561</f>
        <v>26287000000</v>
      </c>
      <c r="F561" s="14">
        <f>Data!H561</f>
        <v>151372000000</v>
      </c>
      <c r="G561" s="12">
        <f t="shared" si="8"/>
        <v>0.17365827233570277</v>
      </c>
    </row>
    <row r="562" spans="2:7" ht="15" customHeight="1" x14ac:dyDescent="0.3">
      <c r="C562" s="3"/>
      <c r="D562" s="8">
        <v>2024</v>
      </c>
      <c r="E562" s="14">
        <f>Data!E562</f>
        <v>6924000000</v>
      </c>
      <c r="F562" s="14">
        <f>Data!H562</f>
        <v>128256000000</v>
      </c>
      <c r="G562" s="12">
        <f t="shared" si="8"/>
        <v>5.3985778443113773E-2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Data!E563</f>
        <v>0</v>
      </c>
      <c r="F563" s="14">
        <f>Data!H563</f>
        <v>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Data!E564</f>
        <v>10655000000</v>
      </c>
      <c r="F564" s="14">
        <f>Data!H564</f>
        <v>16676000000</v>
      </c>
      <c r="G564" s="12">
        <f t="shared" si="8"/>
        <v>0.63894219237227157</v>
      </c>
    </row>
    <row r="565" spans="2:7" ht="15" customHeight="1" x14ac:dyDescent="0.3">
      <c r="C565" s="3"/>
      <c r="D565" s="8">
        <v>2016</v>
      </c>
      <c r="E565" s="14">
        <f>Data!E565</f>
        <v>65184000000</v>
      </c>
      <c r="F565" s="14">
        <f>Data!H565</f>
        <v>28414000000</v>
      </c>
      <c r="G565" s="12">
        <f t="shared" si="8"/>
        <v>2.2940803829098333</v>
      </c>
    </row>
    <row r="566" spans="2:7" ht="15" customHeight="1" x14ac:dyDescent="0.3">
      <c r="C566" s="3"/>
      <c r="D566" s="8">
        <v>2017</v>
      </c>
      <c r="E566" s="14">
        <f>Data!E566</f>
        <v>60639000000</v>
      </c>
      <c r="F566" s="14">
        <f>Data!H566</f>
        <v>43747000000</v>
      </c>
      <c r="G566" s="12">
        <f t="shared" si="8"/>
        <v>1.3861293345829429</v>
      </c>
    </row>
    <row r="567" spans="2:7" ht="15" customHeight="1" x14ac:dyDescent="0.3">
      <c r="C567" s="3"/>
      <c r="D567" s="8">
        <v>2018</v>
      </c>
      <c r="E567" s="14">
        <f>Data!E567</f>
        <v>45733000000</v>
      </c>
      <c r="F567" s="14">
        <f>Data!H567</f>
        <v>57508000000</v>
      </c>
      <c r="G567" s="12">
        <f t="shared" si="8"/>
        <v>0.79524587883424913</v>
      </c>
    </row>
    <row r="568" spans="2:7" ht="15" customHeight="1" x14ac:dyDescent="0.3">
      <c r="C568" s="3"/>
      <c r="D568" s="8">
        <v>2019</v>
      </c>
      <c r="E568" s="14">
        <f>Data!E568</f>
        <v>44217000000</v>
      </c>
      <c r="F568" s="14">
        <f>Data!H568</f>
        <v>91711000000</v>
      </c>
      <c r="G568" s="12">
        <f t="shared" si="8"/>
        <v>0.48213409514671085</v>
      </c>
    </row>
    <row r="569" spans="2:7" ht="15" customHeight="1" x14ac:dyDescent="0.3">
      <c r="C569" s="3"/>
      <c r="D569" s="8">
        <v>2020</v>
      </c>
      <c r="E569" s="14">
        <f>Data!E569</f>
        <v>47780000000</v>
      </c>
      <c r="F569" s="14">
        <f>Data!H569</f>
        <v>126756000000</v>
      </c>
      <c r="G569" s="12">
        <f t="shared" si="8"/>
        <v>0.37694468111963142</v>
      </c>
    </row>
    <row r="570" spans="2:7" ht="15" customHeight="1" x14ac:dyDescent="0.3">
      <c r="C570" s="3"/>
      <c r="D570" s="8">
        <v>2021</v>
      </c>
      <c r="E570" s="14">
        <f>Data!E570</f>
        <v>59599000000</v>
      </c>
      <c r="F570" s="14">
        <f>Data!H570</f>
        <v>115737000000</v>
      </c>
      <c r="G570" s="12">
        <f t="shared" si="8"/>
        <v>0.51495200324874502</v>
      </c>
    </row>
    <row r="571" spans="2:7" ht="15" customHeight="1" x14ac:dyDescent="0.3">
      <c r="C571" s="3"/>
      <c r="D571" s="8">
        <v>2022</v>
      </c>
      <c r="E571" s="14">
        <f>Data!E571</f>
        <v>31917000000</v>
      </c>
      <c r="F571" s="14">
        <f>Data!H571</f>
        <v>131702000000</v>
      </c>
      <c r="G571" s="12">
        <f t="shared" si="8"/>
        <v>0.2423425612367314</v>
      </c>
    </row>
    <row r="572" spans="2:7" ht="15" customHeight="1" x14ac:dyDescent="0.3">
      <c r="C572" s="3"/>
      <c r="D572" s="8">
        <v>2023</v>
      </c>
      <c r="E572" s="14">
        <f>Data!E572</f>
        <v>34356000000</v>
      </c>
      <c r="F572" s="14">
        <f>Data!H572</f>
        <v>108267000000</v>
      </c>
      <c r="G572" s="12">
        <f t="shared" si="8"/>
        <v>0.31732660921610462</v>
      </c>
    </row>
    <row r="573" spans="2:7" ht="15" customHeight="1" x14ac:dyDescent="0.3">
      <c r="C573" s="3"/>
      <c r="D573" s="8">
        <v>2024</v>
      </c>
      <c r="E573" s="14">
        <f>Data!E573</f>
        <v>48762000000</v>
      </c>
      <c r="F573" s="14">
        <f>Data!H573</f>
        <v>134237000000</v>
      </c>
      <c r="G573" s="12">
        <f t="shared" si="8"/>
        <v>0.36325305243710748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Data!E574</f>
        <v>0</v>
      </c>
      <c r="F574" s="14">
        <f>Data!H574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Data!E575</f>
        <v>0</v>
      </c>
      <c r="F575" s="14">
        <f>Data!H575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Data!E576</f>
        <v>667406000000</v>
      </c>
      <c r="F576" s="14">
        <f>Data!H576</f>
        <v>3004966000000</v>
      </c>
      <c r="G576" s="12">
        <f t="shared" si="8"/>
        <v>0.22210101545242109</v>
      </c>
    </row>
    <row r="577" spans="2:7" ht="15" customHeight="1" x14ac:dyDescent="0.3">
      <c r="C577" s="3"/>
      <c r="D577" s="8">
        <v>2017</v>
      </c>
      <c r="E577" s="14">
        <f>Data!E577</f>
        <v>779166000000</v>
      </c>
      <c r="F577" s="14">
        <f>Data!H577</f>
        <v>3056753000000</v>
      </c>
      <c r="G577" s="12">
        <f t="shared" si="8"/>
        <v>0.25489988886900578</v>
      </c>
    </row>
    <row r="578" spans="2:7" ht="15" customHeight="1" x14ac:dyDescent="0.3">
      <c r="C578" s="3"/>
      <c r="D578" s="8">
        <v>2018</v>
      </c>
      <c r="E578" s="14">
        <f>Data!E578</f>
        <v>481274000000</v>
      </c>
      <c r="F578" s="14">
        <f>Data!H578</f>
        <v>3204706000000</v>
      </c>
      <c r="G578" s="12">
        <f t="shared" si="8"/>
        <v>0.15017727055149521</v>
      </c>
    </row>
    <row r="579" spans="2:7" ht="15" customHeight="1" x14ac:dyDescent="0.3">
      <c r="C579" s="3"/>
      <c r="D579" s="8">
        <v>2019</v>
      </c>
      <c r="E579" s="14">
        <f>Data!E579</f>
        <v>443213000000</v>
      </c>
      <c r="F579" s="14">
        <f>Data!H579</f>
        <v>4422507000000</v>
      </c>
      <c r="G579" s="12">
        <f t="shared" ref="G579:G642" si="9">IFERROR(E579/F579,0)</f>
        <v>0.10021759151540065</v>
      </c>
    </row>
    <row r="580" spans="2:7" ht="15" customHeight="1" x14ac:dyDescent="0.3">
      <c r="C580" s="3"/>
      <c r="D580" s="8">
        <v>2020</v>
      </c>
      <c r="E580" s="14">
        <f>Data!E580</f>
        <v>614033000000</v>
      </c>
      <c r="F580" s="14">
        <f>Data!H580</f>
        <v>3739598000000</v>
      </c>
      <c r="G580" s="12">
        <f t="shared" si="9"/>
        <v>0.16419759557043298</v>
      </c>
    </row>
    <row r="581" spans="2:7" ht="15" customHeight="1" x14ac:dyDescent="0.3">
      <c r="C581" s="3"/>
      <c r="D581" s="8">
        <v>2021</v>
      </c>
      <c r="E581" s="14">
        <f>Data!E581</f>
        <v>849255000000</v>
      </c>
      <c r="F581" s="14">
        <f>Data!H581</f>
        <v>3016962000000</v>
      </c>
      <c r="G581" s="12">
        <f t="shared" si="9"/>
        <v>0.2814934361122215</v>
      </c>
    </row>
    <row r="582" spans="2:7" ht="15" customHeight="1" x14ac:dyDescent="0.3">
      <c r="C582" s="3"/>
      <c r="D582" s="8">
        <v>2022</v>
      </c>
      <c r="E582" s="14">
        <f>Data!E582</f>
        <v>981446000000</v>
      </c>
      <c r="F582" s="14">
        <f>Data!H582</f>
        <v>2725654000000</v>
      </c>
      <c r="G582" s="12">
        <f t="shared" si="9"/>
        <v>0.36007725118448636</v>
      </c>
    </row>
    <row r="583" spans="2:7" ht="15" customHeight="1" x14ac:dyDescent="0.3">
      <c r="C583" s="3"/>
      <c r="D583" s="8">
        <v>2023</v>
      </c>
      <c r="E583" s="14">
        <f>Data!E583</f>
        <v>1493603000000</v>
      </c>
      <c r="F583" s="14">
        <f>Data!H583</f>
        <v>2422273000000</v>
      </c>
      <c r="G583" s="12">
        <f t="shared" si="9"/>
        <v>0.61661216551561282</v>
      </c>
    </row>
    <row r="584" spans="2:7" ht="15" customHeight="1" x14ac:dyDescent="0.3">
      <c r="C584" s="3"/>
      <c r="D584" s="8">
        <v>2024</v>
      </c>
      <c r="E584" s="14">
        <f>Data!E584</f>
        <v>1772845000000</v>
      </c>
      <c r="F584" s="14">
        <f>Data!H584</f>
        <v>2557916000000</v>
      </c>
      <c r="G584" s="12">
        <f t="shared" si="9"/>
        <v>0.69308179001968795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Data!E585</f>
        <v>0</v>
      </c>
      <c r="F585" s="14">
        <f>Data!H585</f>
        <v>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Data!E586</f>
        <v>0</v>
      </c>
      <c r="F586" s="14">
        <f>Data!H586</f>
        <v>0</v>
      </c>
      <c r="G586" s="12">
        <f t="shared" si="9"/>
        <v>0</v>
      </c>
    </row>
    <row r="587" spans="2:7" ht="15" customHeight="1" x14ac:dyDescent="0.3">
      <c r="C587" s="4"/>
      <c r="D587" s="8">
        <v>2016</v>
      </c>
      <c r="E587" s="14">
        <f>Data!E587</f>
        <v>0</v>
      </c>
      <c r="F587" s="14">
        <f>Data!H587</f>
        <v>0</v>
      </c>
      <c r="G587" s="12">
        <f t="shared" si="9"/>
        <v>0</v>
      </c>
    </row>
    <row r="588" spans="2:7" ht="15" customHeight="1" x14ac:dyDescent="0.3">
      <c r="C588" s="4"/>
      <c r="D588" s="8">
        <v>2017</v>
      </c>
      <c r="E588" s="14">
        <f>Data!E588</f>
        <v>0</v>
      </c>
      <c r="F588" s="14">
        <f>Data!H588</f>
        <v>0</v>
      </c>
      <c r="G588" s="12">
        <f t="shared" si="9"/>
        <v>0</v>
      </c>
    </row>
    <row r="589" spans="2:7" ht="15" customHeight="1" x14ac:dyDescent="0.3">
      <c r="C589" s="4"/>
      <c r="D589" s="8">
        <v>2018</v>
      </c>
      <c r="E589" s="14">
        <f>Data!E589</f>
        <v>0</v>
      </c>
      <c r="F589" s="14">
        <f>Data!H589</f>
        <v>0</v>
      </c>
      <c r="G589" s="12">
        <f t="shared" si="9"/>
        <v>0</v>
      </c>
    </row>
    <row r="590" spans="2:7" ht="15" customHeight="1" x14ac:dyDescent="0.3">
      <c r="C590" s="4"/>
      <c r="D590" s="8">
        <v>2019</v>
      </c>
      <c r="E590" s="14">
        <f>Data!E590</f>
        <v>0</v>
      </c>
      <c r="F590" s="14">
        <f>Data!H590</f>
        <v>0</v>
      </c>
      <c r="G590" s="12">
        <f t="shared" si="9"/>
        <v>0</v>
      </c>
    </row>
    <row r="591" spans="2:7" ht="15" customHeight="1" x14ac:dyDescent="0.3">
      <c r="C591" s="4"/>
      <c r="D591" s="8">
        <v>2020</v>
      </c>
      <c r="E591" s="14">
        <f>Data!E591</f>
        <v>0</v>
      </c>
      <c r="F591" s="14">
        <f>Data!H591</f>
        <v>0</v>
      </c>
      <c r="G591" s="12">
        <f t="shared" si="9"/>
        <v>0</v>
      </c>
    </row>
    <row r="592" spans="2:7" ht="15" customHeight="1" x14ac:dyDescent="0.3">
      <c r="C592" s="4"/>
      <c r="D592" s="8">
        <v>2021</v>
      </c>
      <c r="E592" s="14">
        <f>Data!E592</f>
        <v>80562000000</v>
      </c>
      <c r="F592" s="14">
        <f>Data!H592</f>
        <v>402000000</v>
      </c>
      <c r="G592" s="12">
        <f t="shared" si="9"/>
        <v>200.40298507462686</v>
      </c>
    </row>
    <row r="593" spans="2:7" ht="15" customHeight="1" x14ac:dyDescent="0.3">
      <c r="C593" s="4"/>
      <c r="D593" s="8">
        <v>2022</v>
      </c>
      <c r="E593" s="14">
        <f>Data!E593</f>
        <v>909028000000</v>
      </c>
      <c r="F593" s="14">
        <f>Data!H593</f>
        <v>491304000000</v>
      </c>
      <c r="G593" s="12">
        <f t="shared" si="9"/>
        <v>1.8502352922019767</v>
      </c>
    </row>
    <row r="594" spans="2:7" ht="15" customHeight="1" x14ac:dyDescent="0.3">
      <c r="C594" s="4"/>
      <c r="D594" s="8">
        <v>2023</v>
      </c>
      <c r="E594" s="14">
        <f>Data!E594</f>
        <v>778196000000</v>
      </c>
      <c r="F594" s="14">
        <f>Data!H594</f>
        <v>575915000000</v>
      </c>
      <c r="G594" s="12">
        <f t="shared" si="9"/>
        <v>1.3512341230910812</v>
      </c>
    </row>
    <row r="595" spans="2:7" ht="15" customHeight="1" x14ac:dyDescent="0.3">
      <c r="C595" s="4"/>
      <c r="D595" s="8">
        <v>2024</v>
      </c>
      <c r="E595" s="14">
        <f>Data!E595</f>
        <v>744603000000</v>
      </c>
      <c r="F595" s="14">
        <f>Data!H595</f>
        <v>541296000000</v>
      </c>
      <c r="G595" s="12">
        <f t="shared" si="9"/>
        <v>1.3755930211935798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>
        <f>Data!E596</f>
        <v>0</v>
      </c>
      <c r="F596" s="14">
        <f>Data!H596</f>
        <v>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>
        <f>Data!E597</f>
        <v>106373000000</v>
      </c>
      <c r="F597" s="14">
        <f>Data!H597</f>
        <v>329271000000</v>
      </c>
      <c r="G597" s="12">
        <f t="shared" si="9"/>
        <v>0.32305608450182371</v>
      </c>
    </row>
    <row r="598" spans="2:7" ht="15" customHeight="1" x14ac:dyDescent="0.3">
      <c r="C598" s="3"/>
      <c r="D598" s="8">
        <v>2016</v>
      </c>
      <c r="E598" s="14">
        <f>Data!E598</f>
        <v>142893000000</v>
      </c>
      <c r="F598" s="14">
        <f>Data!H598</f>
        <v>629809000000</v>
      </c>
      <c r="G598" s="12">
        <f t="shared" si="9"/>
        <v>0.22688307089927265</v>
      </c>
    </row>
    <row r="599" spans="2:7" ht="15" customHeight="1" x14ac:dyDescent="0.3">
      <c r="C599" s="3"/>
      <c r="D599" s="8">
        <v>2017</v>
      </c>
      <c r="E599" s="14">
        <f>Data!E599</f>
        <v>111576000000</v>
      </c>
      <c r="F599" s="14">
        <f>Data!H599</f>
        <v>748107000000</v>
      </c>
      <c r="G599" s="12">
        <f t="shared" si="9"/>
        <v>0.14914444056799361</v>
      </c>
    </row>
    <row r="600" spans="2:7" ht="15" customHeight="1" x14ac:dyDescent="0.3">
      <c r="C600" s="3"/>
      <c r="D600" s="8">
        <v>2018</v>
      </c>
      <c r="E600" s="14">
        <f>Data!E600</f>
        <v>141319000000</v>
      </c>
      <c r="F600" s="14">
        <f>Data!H600</f>
        <v>844384000000</v>
      </c>
      <c r="G600" s="12">
        <f t="shared" si="9"/>
        <v>0.16736342706635843</v>
      </c>
    </row>
    <row r="601" spans="2:7" ht="15" customHeight="1" x14ac:dyDescent="0.3">
      <c r="C601" s="3"/>
      <c r="D601" s="8">
        <v>2019</v>
      </c>
      <c r="E601" s="14">
        <f>Data!E601</f>
        <v>154932000000</v>
      </c>
      <c r="F601" s="14">
        <f>Data!H601</f>
        <v>928508000000</v>
      </c>
      <c r="G601" s="12">
        <f t="shared" si="9"/>
        <v>0.16686124406036351</v>
      </c>
    </row>
    <row r="602" spans="2:7" ht="15" customHeight="1" x14ac:dyDescent="0.3">
      <c r="C602" s="3"/>
      <c r="D602" s="8">
        <v>2020</v>
      </c>
      <c r="E602" s="14">
        <f>Data!E602</f>
        <v>213569000000</v>
      </c>
      <c r="F602" s="14">
        <f>Data!H602</f>
        <v>993385000000</v>
      </c>
      <c r="G602" s="12">
        <f t="shared" si="9"/>
        <v>0.21499116656683964</v>
      </c>
    </row>
    <row r="603" spans="2:7" ht="15" customHeight="1" x14ac:dyDescent="0.3">
      <c r="C603" s="3"/>
      <c r="D603" s="8">
        <v>2021</v>
      </c>
      <c r="E603" s="14">
        <f>Data!E603</f>
        <v>612657000000</v>
      </c>
      <c r="F603" s="14">
        <f>Data!H603</f>
        <v>1116255000000</v>
      </c>
      <c r="G603" s="12">
        <f t="shared" si="9"/>
        <v>0.54885039708668715</v>
      </c>
    </row>
    <row r="604" spans="2:7" ht="15" customHeight="1" x14ac:dyDescent="0.3">
      <c r="C604" s="3"/>
      <c r="D604" s="8">
        <v>2022</v>
      </c>
      <c r="E604" s="14">
        <f>Data!E604</f>
        <v>197932000000</v>
      </c>
      <c r="F604" s="14">
        <f>Data!H604</f>
        <v>1093068000000</v>
      </c>
      <c r="G604" s="12">
        <f t="shared" si="9"/>
        <v>0.18107931071077005</v>
      </c>
    </row>
    <row r="605" spans="2:7" ht="15" customHeight="1" x14ac:dyDescent="0.3">
      <c r="C605" s="3"/>
      <c r="D605" s="8">
        <v>2023</v>
      </c>
      <c r="E605" s="14">
        <f>Data!E605</f>
        <v>570845000000</v>
      </c>
      <c r="F605" s="14">
        <f>Data!H605</f>
        <v>1147074000000</v>
      </c>
      <c r="G605" s="12">
        <f t="shared" si="9"/>
        <v>0.49765315925563652</v>
      </c>
    </row>
    <row r="606" spans="2:7" ht="15" customHeight="1" x14ac:dyDescent="0.3">
      <c r="C606" s="3"/>
      <c r="D606" s="8">
        <v>2024</v>
      </c>
      <c r="E606" s="14">
        <f>Data!E606</f>
        <v>591242000000</v>
      </c>
      <c r="F606" s="14">
        <f>Data!H606</f>
        <v>1224064000000</v>
      </c>
      <c r="G606" s="12">
        <f t="shared" si="9"/>
        <v>0.48301559395587157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Data!E607</f>
        <v>0</v>
      </c>
      <c r="F607" s="14">
        <f>Data!H607</f>
        <v>0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Data!E608</f>
        <v>32603000000</v>
      </c>
      <c r="F608" s="14">
        <f>Data!H608</f>
        <v>102667000000</v>
      </c>
      <c r="G608" s="12">
        <f t="shared" si="9"/>
        <v>0.31756065727059329</v>
      </c>
    </row>
    <row r="609" spans="2:7" ht="15" customHeight="1" x14ac:dyDescent="0.3">
      <c r="C609" s="3"/>
      <c r="D609" s="8">
        <v>2016</v>
      </c>
      <c r="E609" s="14">
        <f>Data!E609</f>
        <v>46458000000</v>
      </c>
      <c r="F609" s="14">
        <f>Data!H609</f>
        <v>152337000000</v>
      </c>
      <c r="G609" s="12">
        <f t="shared" si="9"/>
        <v>0.30496858937749854</v>
      </c>
    </row>
    <row r="610" spans="2:7" ht="15" customHeight="1" x14ac:dyDescent="0.3">
      <c r="C610" s="3"/>
      <c r="D610" s="8">
        <v>2017</v>
      </c>
      <c r="E610" s="14">
        <f>Data!E610</f>
        <v>24936000000</v>
      </c>
      <c r="F610" s="14">
        <f>Data!H610</f>
        <v>155284000000</v>
      </c>
      <c r="G610" s="12">
        <f t="shared" si="9"/>
        <v>0.16058318951083175</v>
      </c>
    </row>
    <row r="611" spans="2:7" ht="15" customHeight="1" x14ac:dyDescent="0.3">
      <c r="C611" s="3"/>
      <c r="D611" s="8">
        <v>2018</v>
      </c>
      <c r="E611" s="14">
        <f>Data!E611</f>
        <v>28515000000</v>
      </c>
      <c r="F611" s="14">
        <f>Data!H611</f>
        <v>154994000000</v>
      </c>
      <c r="G611" s="12">
        <f t="shared" si="9"/>
        <v>0.18397486354310488</v>
      </c>
    </row>
    <row r="612" spans="2:7" ht="15" customHeight="1" x14ac:dyDescent="0.3">
      <c r="C612" s="3"/>
      <c r="D612" s="8">
        <v>2019</v>
      </c>
      <c r="E612" s="14">
        <f>Data!E612</f>
        <v>39511000000</v>
      </c>
      <c r="F612" s="14">
        <f>Data!H612</f>
        <v>161274000000</v>
      </c>
      <c r="G612" s="12">
        <f t="shared" si="9"/>
        <v>0.24499299329092103</v>
      </c>
    </row>
    <row r="613" spans="2:7" ht="15" customHeight="1" x14ac:dyDescent="0.3">
      <c r="C613" s="3"/>
      <c r="D613" s="8">
        <v>2020</v>
      </c>
      <c r="E613" s="14">
        <f>Data!E613</f>
        <v>34126000000</v>
      </c>
      <c r="F613" s="14">
        <f>Data!H613</f>
        <v>193663000000</v>
      </c>
      <c r="G613" s="12">
        <f t="shared" si="9"/>
        <v>0.1762133190129245</v>
      </c>
    </row>
    <row r="614" spans="2:7" ht="15" customHeight="1" x14ac:dyDescent="0.3">
      <c r="C614" s="3"/>
      <c r="D614" s="8">
        <v>2021</v>
      </c>
      <c r="E614" s="14">
        <f>Data!E614</f>
        <v>32567000000</v>
      </c>
      <c r="F614" s="14">
        <f>Data!H614</f>
        <v>199660000000</v>
      </c>
      <c r="G614" s="12">
        <f t="shared" si="9"/>
        <v>0.16311229089452067</v>
      </c>
    </row>
    <row r="615" spans="2:7" ht="15" customHeight="1" x14ac:dyDescent="0.3">
      <c r="C615" s="3"/>
      <c r="D615" s="8">
        <v>2022</v>
      </c>
      <c r="E615" s="14">
        <f>Data!E615</f>
        <v>53688000000</v>
      </c>
      <c r="F615" s="14">
        <f>Data!H615</f>
        <v>188609000000</v>
      </c>
      <c r="G615" s="12">
        <f t="shared" si="9"/>
        <v>0.28465237607961447</v>
      </c>
    </row>
    <row r="616" spans="2:7" ht="15" customHeight="1" x14ac:dyDescent="0.3">
      <c r="C616" s="3"/>
      <c r="D616" s="8">
        <v>2023</v>
      </c>
      <c r="E616" s="14">
        <f>Data!E616</f>
        <v>42465000000</v>
      </c>
      <c r="F616" s="14">
        <f>Data!H616</f>
        <v>158195000000</v>
      </c>
      <c r="G616" s="12">
        <f t="shared" si="9"/>
        <v>0.26843452700780684</v>
      </c>
    </row>
    <row r="617" spans="2:7" ht="15" customHeight="1" x14ac:dyDescent="0.3">
      <c r="C617" s="3"/>
      <c r="D617" s="8">
        <v>2024</v>
      </c>
      <c r="E617" s="14">
        <f>Data!E617</f>
        <v>56002000000</v>
      </c>
      <c r="F617" s="14">
        <f>Data!H617</f>
        <v>195205000000</v>
      </c>
      <c r="G617" s="12">
        <f t="shared" si="9"/>
        <v>0.286888143234036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Data!E618</f>
        <v>0</v>
      </c>
      <c r="F618" s="14">
        <f>Data!H618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Data!E619</f>
        <v>0</v>
      </c>
      <c r="F619" s="14">
        <f>Data!H619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Data!E620</f>
        <v>0</v>
      </c>
      <c r="F620" s="14">
        <f>Data!H620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Data!E621</f>
        <v>446000000</v>
      </c>
      <c r="F621" s="14">
        <f>Data!H621</f>
        <v>1784000000</v>
      </c>
      <c r="G621" s="12">
        <f t="shared" si="9"/>
        <v>0.25</v>
      </c>
    </row>
    <row r="622" spans="2:7" ht="15" customHeight="1" x14ac:dyDescent="0.3">
      <c r="C622" s="3"/>
      <c r="D622" s="8">
        <v>2018</v>
      </c>
      <c r="E622" s="14">
        <f>Data!E622</f>
        <v>1746000000</v>
      </c>
      <c r="F622" s="14">
        <f>Data!H622</f>
        <v>686000000</v>
      </c>
      <c r="G622" s="12">
        <f t="shared" si="9"/>
        <v>2.545189504373178</v>
      </c>
    </row>
    <row r="623" spans="2:7" ht="15" customHeight="1" x14ac:dyDescent="0.3">
      <c r="C623" s="3"/>
      <c r="D623" s="8">
        <v>2019</v>
      </c>
      <c r="E623" s="14">
        <f>Data!E623</f>
        <v>10880000000</v>
      </c>
      <c r="F623" s="14">
        <f>Data!H623</f>
        <v>11575000000</v>
      </c>
      <c r="G623" s="12">
        <f t="shared" si="9"/>
        <v>0.93995680345572352</v>
      </c>
    </row>
    <row r="624" spans="2:7" ht="15" customHeight="1" x14ac:dyDescent="0.3">
      <c r="C624" s="3"/>
      <c r="D624" s="8">
        <v>2020</v>
      </c>
      <c r="E624" s="14">
        <f>Data!E624</f>
        <v>4248000000</v>
      </c>
      <c r="F624" s="14">
        <f>Data!H624</f>
        <v>2806000000</v>
      </c>
      <c r="G624" s="12">
        <f t="shared" si="9"/>
        <v>1.5138987883107626</v>
      </c>
    </row>
    <row r="625" spans="1:7" ht="15" customHeight="1" x14ac:dyDescent="0.3">
      <c r="C625" s="3"/>
      <c r="D625" s="8">
        <v>2021</v>
      </c>
      <c r="E625" s="14">
        <f>Data!E625</f>
        <v>15181000000</v>
      </c>
      <c r="F625" s="14">
        <f>Data!H625</f>
        <v>9610000000</v>
      </c>
      <c r="G625" s="12">
        <f t="shared" si="9"/>
        <v>1.5797086368366284</v>
      </c>
    </row>
    <row r="626" spans="1:7" ht="15" customHeight="1" x14ac:dyDescent="0.3">
      <c r="C626" s="3"/>
      <c r="D626" s="8">
        <v>2022</v>
      </c>
      <c r="E626" s="14">
        <f>Data!E626</f>
        <v>520000000</v>
      </c>
      <c r="F626" s="14">
        <f>Data!H626</f>
        <v>2080000000</v>
      </c>
      <c r="G626" s="12">
        <f t="shared" si="9"/>
        <v>0.25</v>
      </c>
    </row>
    <row r="627" spans="1:7" ht="15" customHeight="1" x14ac:dyDescent="0.3">
      <c r="C627" s="3"/>
      <c r="D627" s="8">
        <v>2023</v>
      </c>
      <c r="E627" s="14">
        <f>Data!E627</f>
        <v>1438000000</v>
      </c>
      <c r="F627" s="14">
        <f>Data!H627</f>
        <v>4029000000</v>
      </c>
      <c r="G627" s="12">
        <f t="shared" si="9"/>
        <v>0.35691238520724744</v>
      </c>
    </row>
    <row r="628" spans="1:7" ht="15" customHeight="1" x14ac:dyDescent="0.3">
      <c r="C628" s="3"/>
      <c r="D628" s="8">
        <v>2024</v>
      </c>
      <c r="E628" s="14">
        <f>Data!E628</f>
        <v>6281000000</v>
      </c>
      <c r="F628" s="14">
        <f>Data!H628</f>
        <v>4948000000</v>
      </c>
      <c r="G628" s="12">
        <f t="shared" si="9"/>
        <v>1.2694017784963623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Data!E629</f>
        <v>0</v>
      </c>
      <c r="F629" s="14">
        <f>Data!H629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Data!E630</f>
        <v>0</v>
      </c>
      <c r="F630" s="14">
        <f>Data!H630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Data!E631</f>
        <v>0</v>
      </c>
      <c r="F631" s="14">
        <f>Data!H631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Data!E632</f>
        <v>0</v>
      </c>
      <c r="F632" s="14">
        <f>Data!H632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Data!E633</f>
        <v>0</v>
      </c>
      <c r="F633" s="14">
        <f>Data!H633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Data!E634</f>
        <v>0</v>
      </c>
      <c r="F634" s="14">
        <f>Data!H634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Data!E635</f>
        <v>34692000000</v>
      </c>
      <c r="F635" s="14">
        <f>Data!H635</f>
        <v>224870000000</v>
      </c>
      <c r="G635" s="12">
        <f t="shared" si="9"/>
        <v>0.1542758037977498</v>
      </c>
    </row>
    <row r="636" spans="1:7" ht="15" customHeight="1" x14ac:dyDescent="0.3">
      <c r="C636" s="4"/>
      <c r="D636" s="8">
        <v>2021</v>
      </c>
      <c r="E636" s="14">
        <f>Data!E636</f>
        <v>44531000000</v>
      </c>
      <c r="F636" s="14">
        <f>Data!H636</f>
        <v>240029000000</v>
      </c>
      <c r="G636" s="12">
        <f t="shared" si="9"/>
        <v>0.18552341592057625</v>
      </c>
    </row>
    <row r="637" spans="1:7" ht="15" customHeight="1" x14ac:dyDescent="0.3">
      <c r="C637" s="4"/>
      <c r="D637" s="8">
        <v>2022</v>
      </c>
      <c r="E637" s="14">
        <f>Data!E637</f>
        <v>38336000000</v>
      </c>
      <c r="F637" s="14">
        <f>Data!H637</f>
        <v>273984000000</v>
      </c>
      <c r="G637" s="12">
        <f t="shared" si="9"/>
        <v>0.13992057930390095</v>
      </c>
    </row>
    <row r="638" spans="1:7" ht="15" customHeight="1" x14ac:dyDescent="0.3">
      <c r="C638" s="4"/>
      <c r="D638" s="8">
        <v>2023</v>
      </c>
      <c r="E638" s="14">
        <f>Data!E638</f>
        <v>129690000000</v>
      </c>
      <c r="F638" s="14">
        <f>Data!H638</f>
        <v>277508000000</v>
      </c>
      <c r="G638" s="12">
        <f t="shared" si="9"/>
        <v>0.46733787854764547</v>
      </c>
    </row>
    <row r="639" spans="1:7" ht="15" customHeight="1" x14ac:dyDescent="0.3">
      <c r="C639" s="4"/>
      <c r="D639" s="8">
        <v>2024</v>
      </c>
      <c r="E639" s="14">
        <f>Data!E639</f>
        <v>34315000000</v>
      </c>
      <c r="F639" s="14">
        <f>Data!H639</f>
        <v>216375000000</v>
      </c>
      <c r="G639" s="12">
        <f t="shared" si="9"/>
        <v>0.15859041016753322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Data!E640</f>
        <v>0</v>
      </c>
      <c r="F640" s="14">
        <f>Data!H640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Data!E641</f>
        <v>0</v>
      </c>
      <c r="F641" s="14">
        <f>Data!H641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Data!E642</f>
        <v>0</v>
      </c>
      <c r="F642" s="14">
        <f>Data!H642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Data!E643</f>
        <v>0</v>
      </c>
      <c r="F643" s="14">
        <f>Data!H643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Data!E644</f>
        <v>0</v>
      </c>
      <c r="F644" s="14">
        <f>Data!H644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Data!E645</f>
        <v>88956000000</v>
      </c>
      <c r="F645" s="14">
        <f>Data!H645</f>
        <v>225165000000</v>
      </c>
      <c r="G645" s="12">
        <f t="shared" si="10"/>
        <v>0.39507028179335152</v>
      </c>
    </row>
    <row r="646" spans="2:7" ht="15" customHeight="1" x14ac:dyDescent="0.3">
      <c r="C646" s="2"/>
      <c r="D646" s="8">
        <v>2020</v>
      </c>
      <c r="E646" s="14">
        <f>Data!E646</f>
        <v>16190000000</v>
      </c>
      <c r="F646" s="14">
        <f>Data!H646</f>
        <v>164785000000</v>
      </c>
      <c r="G646" s="12">
        <f t="shared" si="10"/>
        <v>9.8249233850168399E-2</v>
      </c>
    </row>
    <row r="647" spans="2:7" ht="15" customHeight="1" x14ac:dyDescent="0.3">
      <c r="C647" s="2"/>
      <c r="D647" s="8">
        <v>2021</v>
      </c>
      <c r="E647" s="14">
        <f>Data!E647</f>
        <v>24188000000</v>
      </c>
      <c r="F647" s="14">
        <f>Data!H647</f>
        <v>188316000000</v>
      </c>
      <c r="G647" s="12">
        <f t="shared" si="10"/>
        <v>0.12844367977229762</v>
      </c>
    </row>
    <row r="648" spans="2:7" ht="15" customHeight="1" x14ac:dyDescent="0.3">
      <c r="C648" s="2"/>
      <c r="D648" s="8">
        <v>2022</v>
      </c>
      <c r="E648" s="14">
        <f>Data!E648</f>
        <v>47706000000</v>
      </c>
      <c r="F648" s="14">
        <f>Data!H648</f>
        <v>195114000000</v>
      </c>
      <c r="G648" s="12">
        <f t="shared" si="10"/>
        <v>0.24450321350595036</v>
      </c>
    </row>
    <row r="649" spans="2:7" ht="15" customHeight="1" x14ac:dyDescent="0.3">
      <c r="C649" s="2"/>
      <c r="D649" s="8">
        <v>2023</v>
      </c>
      <c r="E649" s="14">
        <f>Data!E649</f>
        <v>47153000000</v>
      </c>
      <c r="F649" s="14">
        <f>Data!H649</f>
        <v>182849000000</v>
      </c>
      <c r="G649" s="12">
        <f t="shared" si="10"/>
        <v>0.25787945244436666</v>
      </c>
    </row>
    <row r="650" spans="2:7" ht="15" customHeight="1" x14ac:dyDescent="0.3">
      <c r="C650" s="2"/>
      <c r="D650" s="8">
        <v>2024</v>
      </c>
      <c r="E650" s="14">
        <f>Data!E650</f>
        <v>94149000000</v>
      </c>
      <c r="F650" s="14">
        <f>Data!H650</f>
        <v>214218000000</v>
      </c>
      <c r="G650" s="12">
        <f t="shared" si="10"/>
        <v>0.43950088227880008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Data!E651</f>
        <v>0</v>
      </c>
      <c r="F651" s="14">
        <f>Data!H651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Data!E652</f>
        <v>0</v>
      </c>
      <c r="F652" s="14">
        <f>Data!H652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Data!E653</f>
        <v>0</v>
      </c>
      <c r="F653" s="14">
        <f>Data!H653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Data!E654</f>
        <v>0</v>
      </c>
      <c r="F654" s="14">
        <f>Data!H654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Data!E655</f>
        <v>0</v>
      </c>
      <c r="F655" s="14">
        <f>Data!H655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Data!E656</f>
        <v>0</v>
      </c>
      <c r="F656" s="14">
        <f>Data!H656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Data!E657</f>
        <v>35644000000</v>
      </c>
      <c r="F657" s="14">
        <f>Data!H657</f>
        <v>85038000000</v>
      </c>
      <c r="G657" s="12">
        <f t="shared" si="10"/>
        <v>0.4191537900703215</v>
      </c>
    </row>
    <row r="658" spans="2:7" ht="15" customHeight="1" x14ac:dyDescent="0.3">
      <c r="C658" s="2"/>
      <c r="D658" s="8">
        <v>2021</v>
      </c>
      <c r="E658" s="14">
        <f>Data!E658</f>
        <v>16571000000</v>
      </c>
      <c r="F658" s="14">
        <f>Data!H658</f>
        <v>70345000000</v>
      </c>
      <c r="G658" s="12">
        <f t="shared" si="10"/>
        <v>0.23556755988343167</v>
      </c>
    </row>
    <row r="659" spans="2:7" ht="15" customHeight="1" x14ac:dyDescent="0.3">
      <c r="C659" s="2"/>
      <c r="D659" s="8">
        <v>2022</v>
      </c>
      <c r="E659" s="14">
        <f>Data!E659</f>
        <v>22433000000</v>
      </c>
      <c r="F659" s="14">
        <f>Data!H659</f>
        <v>80237000000</v>
      </c>
      <c r="G659" s="12">
        <f t="shared" si="10"/>
        <v>0.27958423171354863</v>
      </c>
    </row>
    <row r="660" spans="2:7" ht="15" customHeight="1" x14ac:dyDescent="0.3">
      <c r="C660" s="2"/>
      <c r="D660" s="8">
        <v>2023</v>
      </c>
      <c r="E660" s="14">
        <f>Data!E660</f>
        <v>15897000000</v>
      </c>
      <c r="F660" s="14">
        <f>Data!H660</f>
        <v>109480000000</v>
      </c>
      <c r="G660" s="12">
        <f t="shared" si="10"/>
        <v>0.14520460358056267</v>
      </c>
    </row>
    <row r="661" spans="2:7" ht="15" customHeight="1" x14ac:dyDescent="0.3">
      <c r="C661" s="2"/>
      <c r="D661" s="8">
        <v>2024</v>
      </c>
      <c r="E661" s="14">
        <f>Data!E661</f>
        <v>23292000000</v>
      </c>
      <c r="F661" s="14">
        <f>Data!H661</f>
        <v>115062000000</v>
      </c>
      <c r="G661" s="12">
        <f t="shared" si="10"/>
        <v>0.20242999426396205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Data!E662</f>
        <v>0</v>
      </c>
      <c r="F662" s="14">
        <f>Data!H662</f>
        <v>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Data!E663</f>
        <v>51173000000</v>
      </c>
      <c r="F663" s="14">
        <f>Data!H663</f>
        <v>263629000000</v>
      </c>
      <c r="G663" s="12">
        <f t="shared" si="10"/>
        <v>0.19410990444905529</v>
      </c>
    </row>
    <row r="664" spans="2:7" ht="15" customHeight="1" x14ac:dyDescent="0.3">
      <c r="C664" s="2"/>
      <c r="D664" s="8">
        <v>2016</v>
      </c>
      <c r="E664" s="14">
        <f>Data!E664</f>
        <v>23890000000</v>
      </c>
      <c r="F664" s="14">
        <f>Data!H664</f>
        <v>290615000000</v>
      </c>
      <c r="G664" s="12">
        <f t="shared" si="10"/>
        <v>8.2204979096054911E-2</v>
      </c>
    </row>
    <row r="665" spans="2:7" ht="15" customHeight="1" x14ac:dyDescent="0.3">
      <c r="C665" s="2"/>
      <c r="D665" s="8">
        <v>2017</v>
      </c>
      <c r="E665" s="14">
        <f>Data!E665</f>
        <v>19871000000</v>
      </c>
      <c r="F665" s="14">
        <f>Data!H665</f>
        <v>427191000000</v>
      </c>
      <c r="G665" s="12">
        <f t="shared" si="10"/>
        <v>4.6515493069844635E-2</v>
      </c>
    </row>
    <row r="666" spans="2:7" ht="15" customHeight="1" x14ac:dyDescent="0.3">
      <c r="C666" s="2"/>
      <c r="D666" s="8">
        <v>2018</v>
      </c>
      <c r="E666" s="14">
        <f>Data!E666</f>
        <v>18697000000</v>
      </c>
      <c r="F666" s="14">
        <f>Data!H666</f>
        <v>394336000000</v>
      </c>
      <c r="G666" s="12">
        <f t="shared" si="10"/>
        <v>4.7413880548567718E-2</v>
      </c>
    </row>
    <row r="667" spans="2:7" ht="15" customHeight="1" x14ac:dyDescent="0.3">
      <c r="C667" s="2"/>
      <c r="D667" s="8">
        <v>2019</v>
      </c>
      <c r="E667" s="14">
        <f>Data!E667</f>
        <v>24499000000</v>
      </c>
      <c r="F667" s="14">
        <f>Data!H667</f>
        <v>527360000000</v>
      </c>
      <c r="G667" s="12">
        <f t="shared" si="10"/>
        <v>4.6455931432038834E-2</v>
      </c>
    </row>
    <row r="668" spans="2:7" ht="15" customHeight="1" x14ac:dyDescent="0.3">
      <c r="C668" s="2"/>
      <c r="D668" s="8">
        <v>2020</v>
      </c>
      <c r="E668" s="14">
        <f>Data!E668</f>
        <v>67793000000</v>
      </c>
      <c r="F668" s="14">
        <f>Data!H668</f>
        <v>526458000000</v>
      </c>
      <c r="G668" s="12">
        <f t="shared" si="10"/>
        <v>0.12877190583104445</v>
      </c>
    </row>
    <row r="669" spans="2:7" ht="15" customHeight="1" x14ac:dyDescent="0.3">
      <c r="C669" s="2"/>
      <c r="D669" s="8">
        <v>2021</v>
      </c>
      <c r="E669" s="14">
        <f>Data!E669</f>
        <v>51743000000</v>
      </c>
      <c r="F669" s="14">
        <f>Data!H669</f>
        <v>509008000000</v>
      </c>
      <c r="G669" s="12">
        <f t="shared" si="10"/>
        <v>0.10165459089051646</v>
      </c>
    </row>
    <row r="670" spans="2:7" ht="15" customHeight="1" x14ac:dyDescent="0.3">
      <c r="C670" s="2"/>
      <c r="D670" s="8">
        <v>2022</v>
      </c>
      <c r="E670" s="14">
        <f>Data!E670</f>
        <v>84045000000</v>
      </c>
      <c r="F670" s="14">
        <f>Data!H670</f>
        <v>442021000000</v>
      </c>
      <c r="G670" s="12">
        <f t="shared" si="10"/>
        <v>0.19013802511645375</v>
      </c>
    </row>
    <row r="671" spans="2:7" ht="15" customHeight="1" x14ac:dyDescent="0.3">
      <c r="C671" s="2"/>
      <c r="D671" s="8">
        <v>2023</v>
      </c>
      <c r="E671" s="14">
        <f>Data!E671</f>
        <v>60186000000</v>
      </c>
      <c r="F671" s="14">
        <f>Data!H671</f>
        <v>443480000000</v>
      </c>
      <c r="G671" s="12">
        <f t="shared" si="10"/>
        <v>0.13571299720393254</v>
      </c>
    </row>
    <row r="672" spans="2:7" ht="15" customHeight="1" x14ac:dyDescent="0.3">
      <c r="C672" s="2"/>
      <c r="D672" s="8">
        <v>2024</v>
      </c>
      <c r="E672" s="14">
        <f>Data!E672</f>
        <v>95105000000</v>
      </c>
      <c r="F672" s="14">
        <f>Data!H672</f>
        <v>353964000000</v>
      </c>
      <c r="G672" s="12">
        <f t="shared" si="10"/>
        <v>0.26868551604117935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Data!E673</f>
        <v>0</v>
      </c>
      <c r="F673" s="14">
        <f>Data!H673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Data!E674</f>
        <v>0</v>
      </c>
      <c r="F674" s="14">
        <f>Data!H674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Data!E675</f>
        <v>0</v>
      </c>
      <c r="F675" s="14">
        <f>Data!H675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Data!E676</f>
        <v>0</v>
      </c>
      <c r="F676" s="14">
        <f>Data!H676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Data!E677</f>
        <v>7453510000</v>
      </c>
      <c r="F677" s="14">
        <f>Data!H677</f>
        <v>106322810000</v>
      </c>
      <c r="G677" s="12">
        <f t="shared" si="10"/>
        <v>7.0102643073485363E-2</v>
      </c>
    </row>
    <row r="678" spans="2:7" ht="15" customHeight="1" x14ac:dyDescent="0.3">
      <c r="C678" s="2"/>
      <c r="D678" s="8">
        <v>2019</v>
      </c>
      <c r="E678" s="14">
        <f>Data!E678</f>
        <v>12471500000</v>
      </c>
      <c r="F678" s="14">
        <f>Data!H678</f>
        <v>106487040000</v>
      </c>
      <c r="G678" s="12">
        <f t="shared" si="10"/>
        <v>0.11711753843472407</v>
      </c>
    </row>
    <row r="679" spans="2:7" ht="15" customHeight="1" x14ac:dyDescent="0.3">
      <c r="C679" s="2"/>
      <c r="D679" s="8">
        <v>2020</v>
      </c>
      <c r="E679" s="14">
        <f>Data!E679</f>
        <v>11280550000</v>
      </c>
      <c r="F679" s="14">
        <f>Data!H679</f>
        <v>97254110000</v>
      </c>
      <c r="G679" s="12">
        <f t="shared" si="10"/>
        <v>0.11599047073691796</v>
      </c>
    </row>
    <row r="680" spans="2:7" ht="15" customHeight="1" x14ac:dyDescent="0.3">
      <c r="C680" s="2"/>
      <c r="D680" s="8">
        <v>2021</v>
      </c>
      <c r="E680" s="14">
        <f>Data!E680</f>
        <v>29331250000</v>
      </c>
      <c r="F680" s="14">
        <f>Data!H680</f>
        <v>104758650000</v>
      </c>
      <c r="G680" s="12">
        <f t="shared" si="10"/>
        <v>0.2799888123796937</v>
      </c>
    </row>
    <row r="681" spans="2:7" ht="15" customHeight="1" x14ac:dyDescent="0.3">
      <c r="C681" s="2"/>
      <c r="D681" s="8">
        <v>2022</v>
      </c>
      <c r="E681" s="14">
        <f>Data!E681</f>
        <v>32027370000</v>
      </c>
      <c r="F681" s="14">
        <f>Data!H681</f>
        <v>121282130000</v>
      </c>
      <c r="G681" s="12">
        <f t="shared" si="10"/>
        <v>0.26407328103488947</v>
      </c>
    </row>
    <row r="682" spans="2:7" ht="15" customHeight="1" x14ac:dyDescent="0.3">
      <c r="C682" s="2"/>
      <c r="D682" s="8">
        <v>2023</v>
      </c>
      <c r="E682" s="14">
        <f>Data!E682</f>
        <v>22749700000</v>
      </c>
      <c r="F682" s="14">
        <f>Data!H682</f>
        <v>133271299999.99998</v>
      </c>
      <c r="G682" s="12">
        <f t="shared" si="10"/>
        <v>0.17070216918421297</v>
      </c>
    </row>
    <row r="683" spans="2:7" ht="15" customHeight="1" x14ac:dyDescent="0.3">
      <c r="C683" s="2"/>
      <c r="D683" s="8">
        <v>2024</v>
      </c>
      <c r="E683" s="14">
        <f>Data!E683</f>
        <v>25784860000</v>
      </c>
      <c r="F683" s="14">
        <f>Data!H683</f>
        <v>164999500000</v>
      </c>
      <c r="G683" s="12">
        <f t="shared" si="10"/>
        <v>0.15627235234046163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Data!E684</f>
        <v>0</v>
      </c>
      <c r="F684" s="14">
        <f>Data!H684</f>
        <v>0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Data!E685</f>
        <v>79342741759</v>
      </c>
      <c r="F685" s="14">
        <f>Data!H685</f>
        <v>1460563642928</v>
      </c>
      <c r="G685" s="12">
        <f t="shared" si="10"/>
        <v>5.4323371763479726E-2</v>
      </c>
    </row>
    <row r="686" spans="2:7" ht="15" customHeight="1" x14ac:dyDescent="0.3">
      <c r="C686" s="2"/>
      <c r="D686" s="8">
        <v>2016</v>
      </c>
      <c r="E686" s="14">
        <f>Data!E686</f>
        <v>72557687985</v>
      </c>
      <c r="F686" s="14">
        <f>Data!H686</f>
        <v>1198742833687</v>
      </c>
      <c r="G686" s="12">
        <f t="shared" si="10"/>
        <v>6.0528151615165622E-2</v>
      </c>
    </row>
    <row r="687" spans="2:7" ht="15" customHeight="1" x14ac:dyDescent="0.3">
      <c r="C687" s="2"/>
      <c r="D687" s="8">
        <v>2017</v>
      </c>
      <c r="E687" s="14">
        <f>Data!E687</f>
        <v>132438667412</v>
      </c>
      <c r="F687" s="14">
        <f>Data!H687</f>
        <v>888978343853</v>
      </c>
      <c r="G687" s="12">
        <f t="shared" si="10"/>
        <v>0.14897850811301636</v>
      </c>
    </row>
    <row r="688" spans="2:7" ht="15" customHeight="1" x14ac:dyDescent="0.3">
      <c r="C688" s="2"/>
      <c r="D688" s="8">
        <v>2018</v>
      </c>
      <c r="E688" s="14">
        <f>Data!E688</f>
        <v>55636851068</v>
      </c>
      <c r="F688" s="14">
        <f>Data!H688</f>
        <v>763972708661</v>
      </c>
      <c r="G688" s="12">
        <f t="shared" si="10"/>
        <v>7.282570494633718E-2</v>
      </c>
    </row>
    <row r="689" spans="2:7" ht="15" customHeight="1" x14ac:dyDescent="0.3">
      <c r="C689" s="2"/>
      <c r="D689" s="8">
        <v>2019</v>
      </c>
      <c r="E689" s="14">
        <f>Data!E689</f>
        <v>208408624619</v>
      </c>
      <c r="F689" s="14">
        <f>Data!H689</f>
        <v>928279045262</v>
      </c>
      <c r="G689" s="12">
        <f t="shared" si="10"/>
        <v>0.22451074995469514</v>
      </c>
    </row>
    <row r="690" spans="2:7" ht="15" customHeight="1" x14ac:dyDescent="0.3">
      <c r="C690" s="2"/>
      <c r="D690" s="8">
        <v>2020</v>
      </c>
      <c r="E690" s="14">
        <f>Data!E690</f>
        <v>33781778493</v>
      </c>
      <c r="F690" s="14">
        <f>Data!H690</f>
        <v>808970689695</v>
      </c>
      <c r="G690" s="12">
        <f t="shared" si="10"/>
        <v>4.175896472310571E-2</v>
      </c>
    </row>
    <row r="691" spans="2:7" ht="15" customHeight="1" x14ac:dyDescent="0.3">
      <c r="C691" s="2"/>
      <c r="D691" s="8">
        <v>2021</v>
      </c>
      <c r="E691" s="14">
        <f>Data!E691</f>
        <v>100004824768</v>
      </c>
      <c r="F691" s="14">
        <f>Data!H691</f>
        <v>786685333487</v>
      </c>
      <c r="G691" s="12">
        <f t="shared" si="10"/>
        <v>0.12712176077406506</v>
      </c>
    </row>
    <row r="692" spans="2:7" ht="15" customHeight="1" x14ac:dyDescent="0.3">
      <c r="C692" s="2"/>
      <c r="D692" s="8">
        <v>2022</v>
      </c>
      <c r="E692" s="14">
        <f>Data!E692</f>
        <v>36610363739</v>
      </c>
      <c r="F692" s="14">
        <f>Data!H692</f>
        <v>888717028449</v>
      </c>
      <c r="G692" s="12">
        <f t="shared" si="10"/>
        <v>4.1194623898332255E-2</v>
      </c>
    </row>
    <row r="693" spans="2:7" ht="15" customHeight="1" x14ac:dyDescent="0.3">
      <c r="C693" s="2"/>
      <c r="D693" s="8">
        <v>2023</v>
      </c>
      <c r="E693" s="14">
        <f>Data!E693</f>
        <v>46775430043</v>
      </c>
      <c r="F693" s="14">
        <f>Data!H693</f>
        <v>1335805044604</v>
      </c>
      <c r="G693" s="12">
        <f t="shared" si="10"/>
        <v>3.5016659228792324E-2</v>
      </c>
    </row>
    <row r="694" spans="2:7" ht="15" customHeight="1" x14ac:dyDescent="0.3">
      <c r="C694" s="2"/>
      <c r="D694" s="8">
        <v>2024</v>
      </c>
      <c r="E694" s="14">
        <f>Data!E694</f>
        <v>21769000000</v>
      </c>
      <c r="F694" s="14">
        <f>Data!H694</f>
        <v>149500000000</v>
      </c>
      <c r="G694" s="12">
        <f t="shared" si="10"/>
        <v>0.14561204013377926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Data!E695</f>
        <v>0</v>
      </c>
      <c r="F695" s="14">
        <f>Data!H695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Data!E696</f>
        <v>0</v>
      </c>
      <c r="F696" s="14">
        <f>Data!H696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Data!E697</f>
        <v>0</v>
      </c>
      <c r="F697" s="14">
        <f>Data!H697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Data!E698</f>
        <v>16001000000</v>
      </c>
      <c r="F698" s="14">
        <f>Data!H698</f>
        <v>55220000</v>
      </c>
      <c r="G698" s="12">
        <f t="shared" si="10"/>
        <v>289.76819992756248</v>
      </c>
    </row>
    <row r="699" spans="2:7" ht="15" customHeight="1" x14ac:dyDescent="0.3">
      <c r="C699" s="1"/>
      <c r="D699" s="8">
        <v>2018</v>
      </c>
      <c r="E699" s="14">
        <f>Data!E699</f>
        <v>43309000000</v>
      </c>
      <c r="F699" s="14">
        <f>Data!H699</f>
        <v>29268000000</v>
      </c>
      <c r="G699" s="12">
        <f t="shared" si="10"/>
        <v>1.4797389640563072</v>
      </c>
    </row>
    <row r="700" spans="2:7" ht="15" customHeight="1" x14ac:dyDescent="0.3">
      <c r="C700" s="1"/>
      <c r="D700" s="8">
        <v>2019</v>
      </c>
      <c r="E700" s="14">
        <f>Data!E700</f>
        <v>58364000000</v>
      </c>
      <c r="F700" s="14">
        <f>Data!H700</f>
        <v>29598000000</v>
      </c>
      <c r="G700" s="12">
        <f t="shared" si="10"/>
        <v>1.9718899925670654</v>
      </c>
    </row>
    <row r="701" spans="2:7" ht="15" customHeight="1" x14ac:dyDescent="0.3">
      <c r="C701" s="1"/>
      <c r="D701" s="8">
        <v>2020</v>
      </c>
      <c r="E701" s="14">
        <f>Data!E701</f>
        <v>61394000000</v>
      </c>
      <c r="F701" s="14">
        <f>Data!H701</f>
        <v>35552000000</v>
      </c>
      <c r="G701" s="12">
        <f t="shared" si="10"/>
        <v>1.7268789378937894</v>
      </c>
    </row>
    <row r="702" spans="2:7" ht="15" customHeight="1" x14ac:dyDescent="0.3">
      <c r="C702" s="1"/>
      <c r="D702" s="8">
        <v>2021</v>
      </c>
      <c r="E702" s="14">
        <f>Data!E702</f>
        <v>88675000000</v>
      </c>
      <c r="F702" s="14">
        <f>Data!H702</f>
        <v>39107000000</v>
      </c>
      <c r="G702" s="12">
        <f t="shared" si="10"/>
        <v>2.2674968675684659</v>
      </c>
    </row>
    <row r="703" spans="2:7" ht="15" customHeight="1" x14ac:dyDescent="0.3">
      <c r="C703" s="1"/>
      <c r="D703" s="8">
        <v>2022</v>
      </c>
      <c r="E703" s="14">
        <f>Data!E703</f>
        <v>94129000000</v>
      </c>
      <c r="F703" s="14">
        <f>Data!H703</f>
        <v>102479000000</v>
      </c>
      <c r="G703" s="12">
        <f t="shared" si="10"/>
        <v>0.91851989188028771</v>
      </c>
    </row>
    <row r="704" spans="2:7" ht="15" customHeight="1" x14ac:dyDescent="0.3">
      <c r="C704" s="1"/>
      <c r="D704" s="8">
        <v>2023</v>
      </c>
      <c r="E704" s="14">
        <f>Data!E704</f>
        <v>132591000000</v>
      </c>
      <c r="F704" s="14">
        <f>Data!H704</f>
        <v>102470000000</v>
      </c>
      <c r="G704" s="12">
        <f t="shared" si="10"/>
        <v>1.2939494486191081</v>
      </c>
    </row>
    <row r="705" spans="2:7" ht="15" customHeight="1" x14ac:dyDescent="0.3">
      <c r="C705" s="1"/>
      <c r="D705" s="8">
        <v>2024</v>
      </c>
      <c r="E705" s="14">
        <f>Data!E705</f>
        <v>83273000000</v>
      </c>
      <c r="F705" s="14">
        <f>Data!H705</f>
        <v>94895000000</v>
      </c>
      <c r="G705" s="12">
        <f t="shared" si="10"/>
        <v>0.87752779387744351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Data!E706</f>
        <v>0</v>
      </c>
      <c r="F706" s="14">
        <f>Data!H706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Data!E707</f>
        <v>0</v>
      </c>
      <c r="F707" s="14">
        <f>Data!H707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Data!E708</f>
        <v>0</v>
      </c>
      <c r="F708" s="14">
        <f>Data!H708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Data!E709</f>
        <v>0</v>
      </c>
      <c r="F709" s="14">
        <f>Data!H709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Data!E710</f>
        <v>0</v>
      </c>
      <c r="F710" s="14">
        <f>Data!H710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Data!E711</f>
        <v>0</v>
      </c>
      <c r="F711" s="14">
        <f>Data!H711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Data!E712</f>
        <v>0</v>
      </c>
      <c r="F712" s="14">
        <f>Data!H712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Data!E713</f>
        <v>0</v>
      </c>
      <c r="F713" s="14">
        <f>Data!H713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Data!E714</f>
        <v>91623245000</v>
      </c>
      <c r="F714" s="14">
        <f>Data!H714</f>
        <v>1780181093000</v>
      </c>
      <c r="G714" s="12">
        <f t="shared" si="11"/>
        <v>5.1468496862639129E-2</v>
      </c>
    </row>
    <row r="715" spans="2:7" ht="15" customHeight="1" x14ac:dyDescent="0.3">
      <c r="C715" s="2"/>
      <c r="D715" s="8">
        <v>2023</v>
      </c>
      <c r="E715" s="14">
        <f>Data!E715</f>
        <v>92463705000</v>
      </c>
      <c r="F715" s="14">
        <f>Data!H715</f>
        <v>1609285534000</v>
      </c>
      <c r="G715" s="12">
        <f t="shared" si="11"/>
        <v>5.7456369952058488E-2</v>
      </c>
    </row>
    <row r="716" spans="2:7" ht="15" customHeight="1" x14ac:dyDescent="0.3">
      <c r="C716" s="2"/>
      <c r="D716" s="8">
        <v>2024</v>
      </c>
      <c r="E716" s="14">
        <f>Data!E716</f>
        <v>77518221000</v>
      </c>
      <c r="F716" s="14">
        <f>Data!H716</f>
        <v>1821116744000</v>
      </c>
      <c r="G716" s="12">
        <f t="shared" si="11"/>
        <v>4.2566310619787481E-2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Data!E717</f>
        <v>0</v>
      </c>
      <c r="F717" s="14">
        <f>Data!H717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Data!E718</f>
        <v>94934436742</v>
      </c>
      <c r="F718" s="14">
        <f>Data!H718</f>
        <v>315034000000</v>
      </c>
      <c r="G718" s="12">
        <f t="shared" si="11"/>
        <v>0.30134663795653804</v>
      </c>
    </row>
    <row r="719" spans="2:7" ht="15" customHeight="1" x14ac:dyDescent="0.3">
      <c r="C719" s="2"/>
      <c r="D719" s="8">
        <v>2016</v>
      </c>
      <c r="E719" s="14">
        <f>Data!E719</f>
        <v>93449000000</v>
      </c>
      <c r="F719" s="14">
        <f>Data!H719</f>
        <v>269693000000</v>
      </c>
      <c r="G719" s="12">
        <f t="shared" si="11"/>
        <v>0.34650139232386457</v>
      </c>
    </row>
    <row r="720" spans="2:7" ht="15" customHeight="1" x14ac:dyDescent="0.3">
      <c r="C720" s="2"/>
      <c r="D720" s="8">
        <v>2017</v>
      </c>
      <c r="E720" s="14">
        <f>Data!E720</f>
        <v>141136000000</v>
      </c>
      <c r="F720" s="14">
        <f>Data!H720</f>
        <v>381206000000</v>
      </c>
      <c r="G720" s="12">
        <f t="shared" si="11"/>
        <v>0.37023551570541913</v>
      </c>
    </row>
    <row r="721" spans="2:7" ht="15" customHeight="1" x14ac:dyDescent="0.3">
      <c r="C721" s="2"/>
      <c r="D721" s="8">
        <v>2018</v>
      </c>
      <c r="E721" s="14">
        <f>Data!E721</f>
        <v>88830000000</v>
      </c>
      <c r="F721" s="14">
        <f>Data!H721</f>
        <v>358956000000</v>
      </c>
      <c r="G721" s="12">
        <f t="shared" si="11"/>
        <v>0.24746765620298866</v>
      </c>
    </row>
    <row r="722" spans="2:7" ht="15" customHeight="1" x14ac:dyDescent="0.3">
      <c r="C722" s="2"/>
      <c r="D722" s="8">
        <v>2019</v>
      </c>
      <c r="E722" s="14">
        <f>Data!E722</f>
        <v>90054000000</v>
      </c>
      <c r="F722" s="14">
        <f>Data!H722</f>
        <v>248305000000</v>
      </c>
      <c r="G722" s="12">
        <f t="shared" si="11"/>
        <v>0.36267493606653106</v>
      </c>
    </row>
    <row r="723" spans="2:7" ht="15" customHeight="1" x14ac:dyDescent="0.3">
      <c r="C723" s="2"/>
      <c r="D723" s="8">
        <v>2020</v>
      </c>
      <c r="E723" s="14">
        <f>Data!E723</f>
        <v>76566000000</v>
      </c>
      <c r="F723" s="14">
        <f>Data!H723</f>
        <v>236618000000</v>
      </c>
      <c r="G723" s="12">
        <f t="shared" si="11"/>
        <v>0.32358484984236197</v>
      </c>
    </row>
    <row r="724" spans="2:7" ht="15" customHeight="1" x14ac:dyDescent="0.3">
      <c r="C724" s="2"/>
      <c r="D724" s="8">
        <v>2021</v>
      </c>
      <c r="E724" s="14">
        <f>Data!E724</f>
        <v>86626000000</v>
      </c>
      <c r="F724" s="14">
        <f>Data!H724</f>
        <v>250428000000</v>
      </c>
      <c r="G724" s="12">
        <f t="shared" si="11"/>
        <v>0.34591179900011182</v>
      </c>
    </row>
    <row r="725" spans="2:7" ht="15" customHeight="1" x14ac:dyDescent="0.3">
      <c r="C725" s="2"/>
      <c r="D725" s="8">
        <v>2022</v>
      </c>
      <c r="E725" s="14">
        <f>Data!E725</f>
        <v>294840000000</v>
      </c>
      <c r="F725" s="14">
        <f>Data!H725</f>
        <v>526695000000</v>
      </c>
      <c r="G725" s="12">
        <f t="shared" si="11"/>
        <v>0.55979266938171046</v>
      </c>
    </row>
    <row r="726" spans="2:7" ht="15" customHeight="1" x14ac:dyDescent="0.3">
      <c r="C726" s="2"/>
      <c r="D726" s="8">
        <v>2023</v>
      </c>
      <c r="E726" s="14">
        <f>Data!E726</f>
        <v>238005000000</v>
      </c>
      <c r="F726" s="14">
        <f>Data!H726</f>
        <v>325275000000</v>
      </c>
      <c r="G726" s="12">
        <f t="shared" si="11"/>
        <v>0.73170394281761586</v>
      </c>
    </row>
    <row r="727" spans="2:7" ht="15" customHeight="1" x14ac:dyDescent="0.3">
      <c r="C727" s="2"/>
      <c r="D727" s="8">
        <v>2024</v>
      </c>
      <c r="E727" s="14">
        <f>Data!E727</f>
        <v>0</v>
      </c>
      <c r="F727" s="14">
        <f>Data!H727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Data!E728</f>
        <v>0</v>
      </c>
      <c r="F728" s="14">
        <f>Data!H728</f>
        <v>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Data!E729</f>
        <v>4963000000</v>
      </c>
      <c r="F729" s="14">
        <f>Data!H729</f>
        <v>33415000000</v>
      </c>
      <c r="G729" s="12">
        <f t="shared" si="11"/>
        <v>0.14852611102798144</v>
      </c>
    </row>
    <row r="730" spans="2:7" ht="15" customHeight="1" x14ac:dyDescent="0.3">
      <c r="C730" s="2"/>
      <c r="D730" s="8">
        <v>2016</v>
      </c>
      <c r="E730" s="14">
        <f>Data!E730</f>
        <v>5280000000</v>
      </c>
      <c r="F730" s="14">
        <f>Data!H730</f>
        <v>21018000000</v>
      </c>
      <c r="G730" s="12">
        <f t="shared" si="11"/>
        <v>0.25121324578932341</v>
      </c>
    </row>
    <row r="731" spans="2:7" ht="15" customHeight="1" x14ac:dyDescent="0.3">
      <c r="C731" s="2"/>
      <c r="D731" s="8">
        <v>2017</v>
      </c>
      <c r="E731" s="14">
        <f>Data!E731</f>
        <v>5793650000</v>
      </c>
      <c r="F731" s="14">
        <f>Data!H731</f>
        <v>16282120000</v>
      </c>
      <c r="G731" s="12">
        <f t="shared" si="11"/>
        <v>0.35582897067458047</v>
      </c>
    </row>
    <row r="732" spans="2:7" ht="15" customHeight="1" x14ac:dyDescent="0.3">
      <c r="C732" s="2"/>
      <c r="D732" s="8">
        <v>2018</v>
      </c>
      <c r="E732" s="14">
        <f>Data!E732</f>
        <v>7097600000</v>
      </c>
      <c r="F732" s="14">
        <f>Data!H732</f>
        <v>17807910000</v>
      </c>
      <c r="G732" s="12">
        <f t="shared" si="11"/>
        <v>0.39856445815370811</v>
      </c>
    </row>
    <row r="733" spans="2:7" ht="15" customHeight="1" x14ac:dyDescent="0.3">
      <c r="C733" s="2"/>
      <c r="D733" s="8">
        <v>2019</v>
      </c>
      <c r="E733" s="14">
        <f>Data!E733</f>
        <v>4414500000</v>
      </c>
      <c r="F733" s="14">
        <f>Data!H733</f>
        <v>21915240000</v>
      </c>
      <c r="G733" s="12">
        <f t="shared" si="11"/>
        <v>0.20143516566553685</v>
      </c>
    </row>
    <row r="734" spans="2:7" ht="15" customHeight="1" x14ac:dyDescent="0.3">
      <c r="C734" s="2"/>
      <c r="D734" s="8">
        <v>2020</v>
      </c>
      <c r="E734" s="14">
        <f>Data!E734</f>
        <v>4582640000</v>
      </c>
      <c r="F734" s="14">
        <f>Data!H734</f>
        <v>22478030000</v>
      </c>
      <c r="G734" s="12">
        <f t="shared" si="11"/>
        <v>0.20387195853017367</v>
      </c>
    </row>
    <row r="735" spans="2:7" ht="15" customHeight="1" x14ac:dyDescent="0.3">
      <c r="C735" s="2"/>
      <c r="D735" s="8">
        <v>2021</v>
      </c>
      <c r="E735" s="14">
        <f>Data!E735</f>
        <v>5713610000</v>
      </c>
      <c r="F735" s="14">
        <f>Data!H735</f>
        <v>23644350000</v>
      </c>
      <c r="G735" s="12">
        <f t="shared" si="11"/>
        <v>0.2416480047030263</v>
      </c>
    </row>
    <row r="736" spans="2:7" ht="15" customHeight="1" x14ac:dyDescent="0.3">
      <c r="C736" s="2"/>
      <c r="D736" s="8">
        <v>2022</v>
      </c>
      <c r="E736" s="14">
        <f>Data!E736</f>
        <v>9569530000</v>
      </c>
      <c r="F736" s="14">
        <f>Data!H736</f>
        <v>27204760000</v>
      </c>
      <c r="G736" s="12">
        <f t="shared" si="11"/>
        <v>0.35175939798770511</v>
      </c>
    </row>
    <row r="737" spans="2:7" ht="15" customHeight="1" x14ac:dyDescent="0.3">
      <c r="C737" s="2"/>
      <c r="D737" s="8">
        <v>2023</v>
      </c>
      <c r="E737" s="14">
        <f>Data!E737</f>
        <v>9607700000</v>
      </c>
      <c r="F737" s="14">
        <f>Data!H737</f>
        <v>40349410000</v>
      </c>
      <c r="G737" s="12">
        <f t="shared" si="11"/>
        <v>0.23811252754377327</v>
      </c>
    </row>
    <row r="738" spans="2:7" ht="15" customHeight="1" x14ac:dyDescent="0.3">
      <c r="C738" s="2"/>
      <c r="D738" s="8">
        <v>2024</v>
      </c>
      <c r="E738" s="14">
        <f>Data!E738</f>
        <v>10923100000</v>
      </c>
      <c r="F738" s="14">
        <f>Data!H738</f>
        <v>42785830000</v>
      </c>
      <c r="G738" s="12">
        <f t="shared" si="11"/>
        <v>0.25529713926316261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Data!E739</f>
        <v>0</v>
      </c>
      <c r="F739" s="14">
        <f>Data!H739</f>
        <v>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Data!E740</f>
        <v>1071101499000</v>
      </c>
      <c r="F740" s="14">
        <f>Data!H740</f>
        <v>1579809224000</v>
      </c>
      <c r="G740" s="12">
        <f t="shared" si="11"/>
        <v>0.67799420507751129</v>
      </c>
    </row>
    <row r="741" spans="2:7" ht="15" customHeight="1" x14ac:dyDescent="0.3">
      <c r="C741" s="2"/>
      <c r="D741" s="8">
        <v>2016</v>
      </c>
      <c r="E741" s="14">
        <f>Data!E741</f>
        <v>862527281000</v>
      </c>
      <c r="F741" s="14">
        <f>Data!H741</f>
        <v>1529583603000</v>
      </c>
      <c r="G741" s="12">
        <f t="shared" si="11"/>
        <v>0.56389678819013855</v>
      </c>
    </row>
    <row r="742" spans="2:7" ht="15" customHeight="1" x14ac:dyDescent="0.3">
      <c r="C742" s="2"/>
      <c r="D742" s="8">
        <v>2017</v>
      </c>
      <c r="E742" s="14">
        <f>Data!E742</f>
        <v>505500828000</v>
      </c>
      <c r="F742" s="14">
        <f>Data!H742</f>
        <v>1548214090000</v>
      </c>
      <c r="G742" s="12">
        <f t="shared" si="11"/>
        <v>0.32650576639565398</v>
      </c>
    </row>
    <row r="743" spans="2:7" ht="15" customHeight="1" x14ac:dyDescent="0.3">
      <c r="C743" s="2"/>
      <c r="D743" s="8">
        <v>2018</v>
      </c>
      <c r="E743" s="14">
        <f>Data!E743</f>
        <v>711046435000</v>
      </c>
      <c r="F743" s="14">
        <f>Data!H743</f>
        <v>1449498888000</v>
      </c>
      <c r="G743" s="12">
        <f t="shared" si="11"/>
        <v>0.49054638184724153</v>
      </c>
    </row>
    <row r="744" spans="2:7" ht="15" customHeight="1" x14ac:dyDescent="0.3">
      <c r="C744" s="2"/>
      <c r="D744" s="8">
        <v>2019</v>
      </c>
      <c r="E744" s="14">
        <f>Data!E744</f>
        <v>1026642680000</v>
      </c>
      <c r="F744" s="14">
        <f>Data!H744</f>
        <v>1200768430000</v>
      </c>
      <c r="G744" s="12">
        <f t="shared" si="11"/>
        <v>0.85498806793246551</v>
      </c>
    </row>
    <row r="745" spans="2:7" ht="15" customHeight="1" x14ac:dyDescent="0.3">
      <c r="C745" s="2"/>
      <c r="D745" s="8">
        <v>2020</v>
      </c>
      <c r="E745" s="14">
        <f>Data!E745</f>
        <v>625083696000</v>
      </c>
      <c r="F745" s="14">
        <f>Data!H745</f>
        <v>964031503000</v>
      </c>
      <c r="G745" s="12">
        <f t="shared" si="11"/>
        <v>0.64840588098499097</v>
      </c>
    </row>
    <row r="746" spans="2:7" ht="15" customHeight="1" x14ac:dyDescent="0.3">
      <c r="C746" s="2"/>
      <c r="D746" s="8">
        <v>2021</v>
      </c>
      <c r="E746" s="14">
        <f>Data!E746</f>
        <v>385152941000</v>
      </c>
      <c r="F746" s="14">
        <f>Data!H746</f>
        <v>862621954000</v>
      </c>
      <c r="G746" s="12">
        <f t="shared" si="11"/>
        <v>0.44649100247685092</v>
      </c>
    </row>
    <row r="747" spans="2:7" ht="15" customHeight="1" x14ac:dyDescent="0.3">
      <c r="C747" s="2"/>
      <c r="D747" s="8">
        <v>2022</v>
      </c>
      <c r="E747" s="14">
        <f>Data!E747</f>
        <v>445550439000</v>
      </c>
      <c r="F747" s="14">
        <f>Data!H747</f>
        <v>824459703000</v>
      </c>
      <c r="G747" s="12">
        <f t="shared" si="11"/>
        <v>0.5404150589516441</v>
      </c>
    </row>
    <row r="748" spans="2:7" ht="15" customHeight="1" x14ac:dyDescent="0.3">
      <c r="C748" s="2"/>
      <c r="D748" s="8">
        <v>2023</v>
      </c>
      <c r="E748" s="14">
        <f>Data!E748</f>
        <v>722652379000</v>
      </c>
      <c r="F748" s="14">
        <f>Data!H748</f>
        <v>993201589000</v>
      </c>
      <c r="G748" s="12">
        <f t="shared" si="11"/>
        <v>0.72759889533362399</v>
      </c>
    </row>
    <row r="749" spans="2:7" ht="15" customHeight="1" x14ac:dyDescent="0.3">
      <c r="C749" s="2"/>
      <c r="D749" s="8">
        <v>2024</v>
      </c>
      <c r="E749" s="14">
        <f>Data!E749</f>
        <v>422870963000</v>
      </c>
      <c r="F749" s="14">
        <f>Data!H749</f>
        <v>1046909801000</v>
      </c>
      <c r="G749" s="12">
        <f t="shared" si="11"/>
        <v>0.40392301475836501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Data!E750</f>
        <v>0</v>
      </c>
      <c r="F750" s="14">
        <f>Data!H750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Data!E751</f>
        <v>0</v>
      </c>
      <c r="F751" s="14">
        <f>Data!H751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Data!E752</f>
        <v>0</v>
      </c>
      <c r="F752" s="14">
        <f>Data!H752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Data!E753</f>
        <v>7655690000</v>
      </c>
      <c r="F753" s="14">
        <f>Data!H753</f>
        <v>52944070000</v>
      </c>
      <c r="G753" s="12">
        <f t="shared" si="11"/>
        <v>0.14459957460769449</v>
      </c>
    </row>
    <row r="754" spans="2:7" ht="15" customHeight="1" x14ac:dyDescent="0.3">
      <c r="C754" s="2"/>
      <c r="D754" s="8">
        <v>2018</v>
      </c>
      <c r="E754" s="14">
        <f>Data!E754</f>
        <v>7243520000</v>
      </c>
      <c r="F754" s="14">
        <f>Data!H754</f>
        <v>54765320000</v>
      </c>
      <c r="G754" s="12">
        <f t="shared" si="11"/>
        <v>0.1322647251947035</v>
      </c>
    </row>
    <row r="755" spans="2:7" ht="15" customHeight="1" x14ac:dyDescent="0.3">
      <c r="C755" s="2"/>
      <c r="D755" s="8">
        <v>2019</v>
      </c>
      <c r="E755" s="14">
        <f>Data!E755</f>
        <v>32668860000</v>
      </c>
      <c r="F755" s="14">
        <f>Data!H755</f>
        <v>50782820000</v>
      </c>
      <c r="G755" s="12">
        <f t="shared" si="11"/>
        <v>0.64330535405477685</v>
      </c>
    </row>
    <row r="756" spans="2:7" ht="15" customHeight="1" x14ac:dyDescent="0.3">
      <c r="C756" s="2"/>
      <c r="D756" s="8">
        <v>2020</v>
      </c>
      <c r="E756" s="14">
        <f>Data!E756</f>
        <v>18575050000</v>
      </c>
      <c r="F756" s="14">
        <f>Data!H756</f>
        <v>69018200000</v>
      </c>
      <c r="G756" s="12">
        <f t="shared" si="11"/>
        <v>0.26913263458044401</v>
      </c>
    </row>
    <row r="757" spans="2:7" ht="15" customHeight="1" x14ac:dyDescent="0.3">
      <c r="C757" s="2"/>
      <c r="D757" s="8">
        <v>2021</v>
      </c>
      <c r="E757" s="14">
        <f>Data!E757</f>
        <v>23053970000</v>
      </c>
      <c r="F757" s="14">
        <f>Data!H757</f>
        <v>90856490000</v>
      </c>
      <c r="G757" s="12">
        <f t="shared" si="11"/>
        <v>0.25374048678305755</v>
      </c>
    </row>
    <row r="758" spans="2:7" ht="15" customHeight="1" x14ac:dyDescent="0.3">
      <c r="C758" s="2"/>
      <c r="D758" s="8">
        <v>2022</v>
      </c>
      <c r="E758" s="14">
        <f>Data!E758</f>
        <v>39551150000</v>
      </c>
      <c r="F758" s="14">
        <f>Data!H758</f>
        <v>74198980000</v>
      </c>
      <c r="G758" s="12">
        <f t="shared" si="11"/>
        <v>0.53304169410415081</v>
      </c>
    </row>
    <row r="759" spans="2:7" ht="15" customHeight="1" x14ac:dyDescent="0.3">
      <c r="C759" s="2"/>
      <c r="D759" s="8">
        <v>2023</v>
      </c>
      <c r="E759" s="14">
        <f>Data!E759</f>
        <v>44663130000</v>
      </c>
      <c r="F759" s="14">
        <f>Data!H759</f>
        <v>82051450000</v>
      </c>
      <c r="G759" s="12">
        <f t="shared" si="11"/>
        <v>0.54433078269792912</v>
      </c>
    </row>
    <row r="760" spans="2:7" ht="15" customHeight="1" x14ac:dyDescent="0.3">
      <c r="C760" s="2"/>
      <c r="D760" s="8">
        <v>2024</v>
      </c>
      <c r="E760" s="14">
        <f>Data!E760</f>
        <v>77439340000</v>
      </c>
      <c r="F760" s="14">
        <f>Data!H760</f>
        <v>95242450000</v>
      </c>
      <c r="G760" s="12">
        <f t="shared" si="11"/>
        <v>0.81307589210483355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Data!E761</f>
        <v>0</v>
      </c>
      <c r="F761" s="14">
        <f>Data!H761</f>
        <v>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Data!E762</f>
        <v>6983516000</v>
      </c>
      <c r="F762" s="14">
        <f>Data!H762</f>
        <v>76180300000</v>
      </c>
      <c r="G762" s="12">
        <f t="shared" si="11"/>
        <v>9.1670891293418377E-2</v>
      </c>
    </row>
    <row r="763" spans="2:7" ht="15" customHeight="1" x14ac:dyDescent="0.3">
      <c r="C763" s="2"/>
      <c r="D763" s="8">
        <v>2016</v>
      </c>
      <c r="E763" s="14">
        <f>Data!E763</f>
        <v>20921179000</v>
      </c>
      <c r="F763" s="14">
        <f>Data!H763</f>
        <v>58415820000</v>
      </c>
      <c r="G763" s="12">
        <f t="shared" si="11"/>
        <v>0.35814234911022391</v>
      </c>
    </row>
    <row r="764" spans="2:7" ht="15" customHeight="1" x14ac:dyDescent="0.3">
      <c r="C764" s="2"/>
      <c r="D764" s="8">
        <v>2017</v>
      </c>
      <c r="E764" s="14">
        <f>Data!E764</f>
        <v>21799624000</v>
      </c>
      <c r="F764" s="14">
        <f>Data!H764</f>
        <v>119138398000</v>
      </c>
      <c r="G764" s="12">
        <f t="shared" si="11"/>
        <v>0.182977313493841</v>
      </c>
    </row>
    <row r="765" spans="2:7" ht="15" customHeight="1" x14ac:dyDescent="0.3">
      <c r="C765" s="2"/>
      <c r="D765" s="8">
        <v>2018</v>
      </c>
      <c r="E765" s="14">
        <f>Data!E765</f>
        <v>23975854000</v>
      </c>
      <c r="F765" s="14">
        <f>Data!H765</f>
        <v>130924547000</v>
      </c>
      <c r="G765" s="12">
        <f t="shared" si="11"/>
        <v>0.18312726336948867</v>
      </c>
    </row>
    <row r="766" spans="2:7" ht="15" customHeight="1" x14ac:dyDescent="0.3">
      <c r="C766" s="2"/>
      <c r="D766" s="8">
        <v>2019</v>
      </c>
      <c r="E766" s="14">
        <f>Data!E766</f>
        <v>25446117000</v>
      </c>
      <c r="F766" s="14">
        <f>Data!H766</f>
        <v>83135850000</v>
      </c>
      <c r="G766" s="12">
        <f t="shared" si="11"/>
        <v>0.30607874942037638</v>
      </c>
    </row>
    <row r="767" spans="2:7" ht="15" customHeight="1" x14ac:dyDescent="0.3">
      <c r="C767" s="2"/>
      <c r="D767" s="8">
        <v>2020</v>
      </c>
      <c r="E767" s="14">
        <f>Data!E767</f>
        <v>26810850000</v>
      </c>
      <c r="F767" s="14">
        <f>Data!H767</f>
        <v>101973594000</v>
      </c>
      <c r="G767" s="12">
        <f t="shared" si="11"/>
        <v>0.26291953581630162</v>
      </c>
    </row>
    <row r="768" spans="2:7" ht="15" customHeight="1" x14ac:dyDescent="0.3">
      <c r="C768" s="2"/>
      <c r="D768" s="8">
        <v>2021</v>
      </c>
      <c r="E768" s="14">
        <f>Data!E768</f>
        <v>19190856000</v>
      </c>
      <c r="F768" s="14">
        <f>Data!H768</f>
        <v>126100072000</v>
      </c>
      <c r="G768" s="12">
        <f t="shared" si="11"/>
        <v>0.1521875102497959</v>
      </c>
    </row>
    <row r="769" spans="2:7" ht="15" customHeight="1" x14ac:dyDescent="0.3">
      <c r="C769" s="2"/>
      <c r="D769" s="8">
        <v>2022</v>
      </c>
      <c r="E769" s="14">
        <f>Data!E769</f>
        <v>27234576000</v>
      </c>
      <c r="F769" s="14">
        <f>Data!H769</f>
        <v>91031534000</v>
      </c>
      <c r="G769" s="12">
        <f t="shared" si="11"/>
        <v>0.2991773817631152</v>
      </c>
    </row>
    <row r="770" spans="2:7" ht="15" customHeight="1" x14ac:dyDescent="0.3">
      <c r="C770" s="2"/>
      <c r="D770" s="8">
        <v>2023</v>
      </c>
      <c r="E770" s="14">
        <f>Data!E770</f>
        <v>16191590000</v>
      </c>
      <c r="F770" s="14">
        <f>Data!H770</f>
        <v>92642463000</v>
      </c>
      <c r="G770" s="12">
        <f t="shared" si="11"/>
        <v>0.17477503809457226</v>
      </c>
    </row>
    <row r="771" spans="2:7" ht="15" customHeight="1" x14ac:dyDescent="0.3">
      <c r="C771" s="2"/>
      <c r="D771" s="8">
        <v>2024</v>
      </c>
      <c r="E771" s="14">
        <f>Data!E771</f>
        <v>9987853000</v>
      </c>
      <c r="F771" s="14">
        <f>Data!H771</f>
        <v>110720162000</v>
      </c>
      <c r="G771" s="12">
        <f t="shared" ref="G771:G834" si="12">IFERROR(E771/F771,0)</f>
        <v>9.020807791086867E-2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Data!E772</f>
        <v>0</v>
      </c>
      <c r="F772" s="14">
        <f>Data!H772</f>
        <v>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Data!E773</f>
        <v>6835000000</v>
      </c>
      <c r="F773" s="14">
        <f>Data!H773</f>
        <v>65534000000</v>
      </c>
      <c r="G773" s="12">
        <f t="shared" si="12"/>
        <v>0.10429700613422041</v>
      </c>
    </row>
    <row r="774" spans="2:7" ht="15" customHeight="1" x14ac:dyDescent="0.3">
      <c r="C774" s="2"/>
      <c r="D774" s="8">
        <v>2016</v>
      </c>
      <c r="E774" s="14">
        <f>Data!E774</f>
        <v>9311000000</v>
      </c>
      <c r="F774" s="14">
        <f>Data!H774</f>
        <v>83251000000</v>
      </c>
      <c r="G774" s="12">
        <f t="shared" si="12"/>
        <v>0.11184250039038571</v>
      </c>
    </row>
    <row r="775" spans="2:7" ht="15" customHeight="1" x14ac:dyDescent="0.3">
      <c r="C775" s="2"/>
      <c r="D775" s="8">
        <v>2017</v>
      </c>
      <c r="E775" s="14">
        <f>Data!E775</f>
        <v>9700000000</v>
      </c>
      <c r="F775" s="14">
        <f>Data!H775</f>
        <v>74365000000</v>
      </c>
      <c r="G775" s="12">
        <f t="shared" si="12"/>
        <v>0.13043770591003834</v>
      </c>
    </row>
    <row r="776" spans="2:7" ht="15" customHeight="1" x14ac:dyDescent="0.3">
      <c r="C776" s="2"/>
      <c r="D776" s="8">
        <v>2018</v>
      </c>
      <c r="E776" s="14">
        <f>Data!E776</f>
        <v>10773000000</v>
      </c>
      <c r="F776" s="14">
        <f>Data!H776</f>
        <v>88296000000</v>
      </c>
      <c r="G776" s="12">
        <f t="shared" si="12"/>
        <v>0.12201005708072846</v>
      </c>
    </row>
    <row r="777" spans="2:7" ht="15" customHeight="1" x14ac:dyDescent="0.3">
      <c r="C777" s="2"/>
      <c r="D777" s="8">
        <v>2019</v>
      </c>
      <c r="E777" s="14">
        <f>Data!E777</f>
        <v>7504000000</v>
      </c>
      <c r="F777" s="14">
        <f>Data!H777</f>
        <v>83426000000</v>
      </c>
      <c r="G777" s="12">
        <f t="shared" si="12"/>
        <v>8.9947977848632316E-2</v>
      </c>
    </row>
    <row r="778" spans="2:7" ht="15" customHeight="1" x14ac:dyDescent="0.3">
      <c r="C778" s="2"/>
      <c r="D778" s="8">
        <v>2020</v>
      </c>
      <c r="E778" s="14">
        <f>Data!E778</f>
        <v>11370000000</v>
      </c>
      <c r="F778" s="14">
        <f>Data!H778</f>
        <v>84355000000</v>
      </c>
      <c r="G778" s="12">
        <f t="shared" si="12"/>
        <v>0.13478750518641455</v>
      </c>
    </row>
    <row r="779" spans="2:7" ht="15" customHeight="1" x14ac:dyDescent="0.3">
      <c r="C779" s="2"/>
      <c r="D779" s="8">
        <v>2021</v>
      </c>
      <c r="E779" s="14">
        <f>Data!E779</f>
        <v>9272000000</v>
      </c>
      <c r="F779" s="14">
        <f>Data!H779</f>
        <v>73439000000</v>
      </c>
      <c r="G779" s="12">
        <f t="shared" si="12"/>
        <v>0.12625444246245182</v>
      </c>
    </row>
    <row r="780" spans="2:7" ht="15" customHeight="1" x14ac:dyDescent="0.3">
      <c r="C780" s="2"/>
      <c r="D780" s="8">
        <v>2022</v>
      </c>
      <c r="E780" s="14">
        <f>Data!E780</f>
        <v>10828000000</v>
      </c>
      <c r="F780" s="14">
        <f>Data!H780</f>
        <v>44117000000</v>
      </c>
      <c r="G780" s="12">
        <f t="shared" si="12"/>
        <v>0.24543826642790761</v>
      </c>
    </row>
    <row r="781" spans="2:7" ht="15" customHeight="1" x14ac:dyDescent="0.3">
      <c r="C781" s="2"/>
      <c r="D781" s="8">
        <v>2023</v>
      </c>
      <c r="E781" s="14">
        <f>Data!E781</f>
        <v>7135000000</v>
      </c>
      <c r="F781" s="14">
        <f>Data!H781</f>
        <v>39662000000</v>
      </c>
      <c r="G781" s="12">
        <f t="shared" si="12"/>
        <v>0.17989511371085673</v>
      </c>
    </row>
    <row r="782" spans="2:7" ht="15" customHeight="1" x14ac:dyDescent="0.3">
      <c r="C782" s="2"/>
      <c r="D782" s="8">
        <v>2024</v>
      </c>
      <c r="E782" s="14">
        <f>Data!E782</f>
        <v>11100000000</v>
      </c>
      <c r="F782" s="14">
        <f>Data!H782</f>
        <v>38377000000</v>
      </c>
      <c r="G782" s="12">
        <f t="shared" si="12"/>
        <v>0.28923574015686476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Data!E783</f>
        <v>0</v>
      </c>
      <c r="F783" s="14">
        <f>Data!H783</f>
        <v>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Data!E784</f>
        <v>32672000000</v>
      </c>
      <c r="F784" s="14">
        <f>Data!H784</f>
        <v>71272000000</v>
      </c>
      <c r="G784" s="12">
        <f t="shared" si="12"/>
        <v>0.45841284094735663</v>
      </c>
    </row>
    <row r="785" spans="2:7" ht="15" customHeight="1" x14ac:dyDescent="0.3">
      <c r="C785" s="2"/>
      <c r="D785" s="8">
        <v>2016</v>
      </c>
      <c r="E785" s="14">
        <f>Data!E785</f>
        <v>35713000000</v>
      </c>
      <c r="F785" s="14">
        <f>Data!H785</f>
        <v>65619000000</v>
      </c>
      <c r="G785" s="12">
        <f t="shared" si="12"/>
        <v>0.54424785504198481</v>
      </c>
    </row>
    <row r="786" spans="2:7" ht="15" customHeight="1" x14ac:dyDescent="0.3">
      <c r="C786" s="2"/>
      <c r="D786" s="8">
        <v>2017</v>
      </c>
      <c r="E786" s="14">
        <f>Data!E786</f>
        <v>76275000000</v>
      </c>
      <c r="F786" s="14">
        <f>Data!H786</f>
        <v>171672000000</v>
      </c>
      <c r="G786" s="12">
        <f t="shared" si="12"/>
        <v>0.44430658464979728</v>
      </c>
    </row>
    <row r="787" spans="2:7" ht="15" customHeight="1" x14ac:dyDescent="0.3">
      <c r="C787" s="2"/>
      <c r="D787" s="8">
        <v>2018</v>
      </c>
      <c r="E787" s="14">
        <f>Data!E787</f>
        <v>80224000000</v>
      </c>
      <c r="F787" s="14">
        <f>Data!H787</f>
        <v>254286000000</v>
      </c>
      <c r="G787" s="12">
        <f t="shared" si="12"/>
        <v>0.31548728596934161</v>
      </c>
    </row>
    <row r="788" spans="2:7" ht="15" customHeight="1" x14ac:dyDescent="0.3">
      <c r="C788" s="2"/>
      <c r="D788" s="8">
        <v>2019</v>
      </c>
      <c r="E788" s="14">
        <f>Data!E788</f>
        <v>43439000000</v>
      </c>
      <c r="F788" s="14">
        <f>Data!H788</f>
        <v>331285000000</v>
      </c>
      <c r="G788" s="12">
        <f t="shared" si="12"/>
        <v>0.13112274929441417</v>
      </c>
    </row>
    <row r="789" spans="2:7" ht="15" customHeight="1" x14ac:dyDescent="0.3">
      <c r="C789" s="2"/>
      <c r="D789" s="8">
        <v>2020</v>
      </c>
      <c r="E789" s="14">
        <f>Data!E789</f>
        <v>45164000000</v>
      </c>
      <c r="F789" s="14">
        <f>Data!H789</f>
        <v>290993000000</v>
      </c>
      <c r="G789" s="12">
        <f t="shared" si="12"/>
        <v>0.15520648263016637</v>
      </c>
    </row>
    <row r="790" spans="2:7" ht="15" customHeight="1" x14ac:dyDescent="0.3">
      <c r="C790" s="2"/>
      <c r="D790" s="8">
        <v>2021</v>
      </c>
      <c r="E790" s="14">
        <f>Data!E790</f>
        <v>52302000000</v>
      </c>
      <c r="F790" s="14">
        <f>Data!H790</f>
        <v>333827000000</v>
      </c>
      <c r="G790" s="12">
        <f t="shared" si="12"/>
        <v>0.15667396585656643</v>
      </c>
    </row>
    <row r="791" spans="2:7" ht="15" customHeight="1" x14ac:dyDescent="0.3">
      <c r="C791" s="2"/>
      <c r="D791" s="8">
        <v>2022</v>
      </c>
      <c r="E791" s="14">
        <f>Data!E791</f>
        <v>23285000000</v>
      </c>
      <c r="F791" s="14">
        <f>Data!H791</f>
        <v>257723000000</v>
      </c>
      <c r="G791" s="12">
        <f t="shared" si="12"/>
        <v>9.0348940529172792E-2</v>
      </c>
    </row>
    <row r="792" spans="2:7" ht="15" customHeight="1" x14ac:dyDescent="0.3">
      <c r="C792" s="2"/>
      <c r="D792" s="8">
        <v>2023</v>
      </c>
      <c r="E792" s="14">
        <f>Data!E792</f>
        <v>33864000000</v>
      </c>
      <c r="F792" s="14">
        <f>Data!H792</f>
        <v>301484000000</v>
      </c>
      <c r="G792" s="12">
        <f t="shared" si="12"/>
        <v>0.1123243687890568</v>
      </c>
    </row>
    <row r="793" spans="2:7" ht="15" customHeight="1" x14ac:dyDescent="0.3">
      <c r="C793" s="2"/>
      <c r="D793" s="8">
        <v>2024</v>
      </c>
      <c r="E793" s="14">
        <f>Data!E793</f>
        <v>50553000000</v>
      </c>
      <c r="F793" s="14">
        <f>Data!H793</f>
        <v>255706000000</v>
      </c>
      <c r="G793" s="12">
        <f t="shared" si="12"/>
        <v>0.19769970200151737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Data!E794</f>
        <v>0</v>
      </c>
      <c r="F794" s="14">
        <f>Data!H794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Data!E795</f>
        <v>0</v>
      </c>
      <c r="F795" s="14">
        <f>Data!H795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Data!E796</f>
        <v>0</v>
      </c>
      <c r="F796" s="14">
        <f>Data!H796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Data!E797</f>
        <v>0</v>
      </c>
      <c r="F797" s="14">
        <f>Data!H797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Data!E798</f>
        <v>0</v>
      </c>
      <c r="F798" s="14">
        <f>Data!H798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Data!E799</f>
        <v>4143000000</v>
      </c>
      <c r="F799" s="14">
        <f>Data!H799</f>
        <v>59000000</v>
      </c>
      <c r="G799" s="12">
        <f t="shared" si="12"/>
        <v>70.220338983050851</v>
      </c>
    </row>
    <row r="800" spans="2:7" ht="15" customHeight="1" x14ac:dyDescent="0.3">
      <c r="C800" s="2"/>
      <c r="D800" s="8">
        <v>2020</v>
      </c>
      <c r="E800" s="14">
        <f>Data!E800</f>
        <v>19444000000</v>
      </c>
      <c r="F800" s="14">
        <f>Data!H800</f>
        <v>96944000000</v>
      </c>
      <c r="G800" s="12">
        <f t="shared" si="12"/>
        <v>0.20056940089123618</v>
      </c>
    </row>
    <row r="801" spans="2:7" ht="15" customHeight="1" x14ac:dyDescent="0.3">
      <c r="C801" s="2"/>
      <c r="D801" s="8">
        <v>2021</v>
      </c>
      <c r="E801" s="14">
        <f>Data!E801</f>
        <v>8865000000</v>
      </c>
      <c r="F801" s="14">
        <f>Data!H801</f>
        <v>83232000000</v>
      </c>
      <c r="G801" s="12">
        <f t="shared" si="12"/>
        <v>0.10650951557093426</v>
      </c>
    </row>
    <row r="802" spans="2:7" ht="15" customHeight="1" x14ac:dyDescent="0.3">
      <c r="C802" s="2"/>
      <c r="D802" s="8">
        <v>2022</v>
      </c>
      <c r="E802" s="14">
        <f>Data!E802</f>
        <v>11649000000</v>
      </c>
      <c r="F802" s="14">
        <f>Data!H802</f>
        <v>104582000000</v>
      </c>
      <c r="G802" s="12">
        <f t="shared" si="12"/>
        <v>0.11138628062190434</v>
      </c>
    </row>
    <row r="803" spans="2:7" ht="15" customHeight="1" x14ac:dyDescent="0.3">
      <c r="C803" s="2"/>
      <c r="D803" s="8">
        <v>2023</v>
      </c>
      <c r="E803" s="14">
        <f>Data!E803</f>
        <v>7021000000</v>
      </c>
      <c r="F803" s="14">
        <f>Data!H803</f>
        <v>93855000000</v>
      </c>
      <c r="G803" s="12">
        <f t="shared" si="12"/>
        <v>7.4806882957753978E-2</v>
      </c>
    </row>
    <row r="804" spans="2:7" ht="15" customHeight="1" x14ac:dyDescent="0.3">
      <c r="C804" s="2"/>
      <c r="D804" s="8">
        <v>2024</v>
      </c>
      <c r="E804" s="14">
        <f>Data!E804</f>
        <v>5328000000</v>
      </c>
      <c r="F804" s="14">
        <f>Data!H804</f>
        <v>131053000000</v>
      </c>
      <c r="G804" s="12">
        <f t="shared" si="12"/>
        <v>4.065530739471817E-2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Data!E805</f>
        <v>0</v>
      </c>
      <c r="F805" s="14">
        <f>Data!H805</f>
        <v>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Data!E806</f>
        <v>326915100126</v>
      </c>
      <c r="F806" s="14">
        <f>Data!H806</f>
        <v>1448447000000</v>
      </c>
      <c r="G806" s="12">
        <f t="shared" si="12"/>
        <v>0.22570042267752979</v>
      </c>
    </row>
    <row r="807" spans="2:7" ht="15" customHeight="1" x14ac:dyDescent="0.3">
      <c r="C807" s="2"/>
      <c r="D807" s="8">
        <v>2016</v>
      </c>
      <c r="E807" s="14">
        <f>Data!E807</f>
        <v>320420000000</v>
      </c>
      <c r="F807" s="14">
        <f>Data!H807</f>
        <v>1425025000000</v>
      </c>
      <c r="G807" s="12">
        <f t="shared" si="12"/>
        <v>0.22485219557551622</v>
      </c>
    </row>
    <row r="808" spans="2:7" ht="15" customHeight="1" x14ac:dyDescent="0.3">
      <c r="C808" s="2"/>
      <c r="D808" s="8">
        <v>2017</v>
      </c>
      <c r="E808" s="14">
        <f>Data!E808</f>
        <v>331648000000</v>
      </c>
      <c r="F808" s="14">
        <f>Data!H808</f>
        <v>1977547000000</v>
      </c>
      <c r="G808" s="12">
        <f t="shared" si="12"/>
        <v>0.16770675994047171</v>
      </c>
    </row>
    <row r="809" spans="2:7" ht="15" customHeight="1" x14ac:dyDescent="0.3">
      <c r="C809" s="2"/>
      <c r="D809" s="8">
        <v>2018</v>
      </c>
      <c r="E809" s="14">
        <f>Data!E809</f>
        <v>439345000000</v>
      </c>
      <c r="F809" s="14">
        <f>Data!H809</f>
        <v>1817846000000</v>
      </c>
      <c r="G809" s="12">
        <f t="shared" si="12"/>
        <v>0.24168438910666801</v>
      </c>
    </row>
    <row r="810" spans="2:7" ht="15" customHeight="1" x14ac:dyDescent="0.3">
      <c r="C810" s="2"/>
      <c r="D810" s="8">
        <v>2019</v>
      </c>
      <c r="E810" s="14">
        <f>Data!E810</f>
        <v>332382000000</v>
      </c>
      <c r="F810" s="14">
        <f>Data!H810</f>
        <v>1626780000000</v>
      </c>
      <c r="G810" s="12">
        <f t="shared" si="12"/>
        <v>0.20431896138383801</v>
      </c>
    </row>
    <row r="811" spans="2:7" ht="15" customHeight="1" x14ac:dyDescent="0.3">
      <c r="C811" s="2"/>
      <c r="D811" s="8">
        <v>2020</v>
      </c>
      <c r="E811" s="14">
        <f>Data!E811</f>
        <v>373054000000</v>
      </c>
      <c r="F811" s="14">
        <f>Data!H811</f>
        <v>1404323000000</v>
      </c>
      <c r="G811" s="12">
        <f t="shared" si="12"/>
        <v>0.26564686329284642</v>
      </c>
    </row>
    <row r="812" spans="2:7" ht="15" customHeight="1" x14ac:dyDescent="0.3">
      <c r="C812" s="2"/>
      <c r="D812" s="8">
        <v>2021</v>
      </c>
      <c r="E812" s="14">
        <f>Data!E812</f>
        <v>374062000000</v>
      </c>
      <c r="F812" s="14">
        <f>Data!H812</f>
        <v>1546917000000</v>
      </c>
      <c r="G812" s="12">
        <f t="shared" si="12"/>
        <v>0.24181129304287172</v>
      </c>
    </row>
    <row r="813" spans="2:7" ht="15" customHeight="1" x14ac:dyDescent="0.3">
      <c r="C813" s="2"/>
      <c r="D813" s="8">
        <v>2022</v>
      </c>
      <c r="E813" s="14">
        <f>Data!E813</f>
        <v>599935000000</v>
      </c>
      <c r="F813" s="14">
        <f>Data!H813</f>
        <v>1889979000000</v>
      </c>
      <c r="G813" s="12">
        <f t="shared" si="12"/>
        <v>0.31742945291984725</v>
      </c>
    </row>
    <row r="814" spans="2:7" ht="15" customHeight="1" x14ac:dyDescent="0.3">
      <c r="C814" s="2"/>
      <c r="D814" s="8">
        <v>2023</v>
      </c>
      <c r="E814" s="14">
        <f>Data!E814</f>
        <v>654659000000</v>
      </c>
      <c r="F814" s="14">
        <f>Data!H814</f>
        <v>1976992000000</v>
      </c>
      <c r="G814" s="12">
        <f t="shared" si="12"/>
        <v>0.33113892216053481</v>
      </c>
    </row>
    <row r="815" spans="2:7" ht="15" customHeight="1" x14ac:dyDescent="0.3">
      <c r="C815" s="2"/>
      <c r="D815" s="8">
        <v>2024</v>
      </c>
      <c r="E815" s="14">
        <f>Data!E815</f>
        <v>771614000000</v>
      </c>
      <c r="F815" s="14">
        <f>Data!H815</f>
        <v>2194910000000</v>
      </c>
      <c r="G815" s="12">
        <f t="shared" si="12"/>
        <v>0.35154698825919967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Data!E816</f>
        <v>0</v>
      </c>
      <c r="F816" s="14">
        <f>Data!H816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Data!E817</f>
        <v>0</v>
      </c>
      <c r="F817" s="14">
        <f>Data!H817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Data!E818</f>
        <v>0</v>
      </c>
      <c r="F818" s="14">
        <f>Data!H818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Data!E819</f>
        <v>0</v>
      </c>
      <c r="F819" s="14">
        <f>Data!H819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Data!E820</f>
        <v>0</v>
      </c>
      <c r="F820" s="14">
        <f>Data!H820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Data!E821</f>
        <v>0</v>
      </c>
      <c r="F821" s="14">
        <f>Data!H821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Data!E822</f>
        <v>0</v>
      </c>
      <c r="F822" s="14">
        <f>Data!H822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Data!E823</f>
        <v>0</v>
      </c>
      <c r="F823" s="14">
        <f>Data!H823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Data!E824</f>
        <v>0</v>
      </c>
      <c r="F824" s="14">
        <f>Data!H824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Data!E825</f>
        <v>0</v>
      </c>
      <c r="F825" s="14">
        <f>Data!H825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Data!E826</f>
        <v>0</v>
      </c>
      <c r="F826" s="14">
        <f>Data!H826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Data!E827</f>
        <v>0</v>
      </c>
      <c r="F827" s="14">
        <f>Data!H827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Data!E828</f>
        <v>0</v>
      </c>
      <c r="F828" s="14">
        <f>Data!H828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Data!E829</f>
        <v>0</v>
      </c>
      <c r="F829" s="14">
        <f>Data!H829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Data!E830</f>
        <v>0</v>
      </c>
      <c r="F830" s="14">
        <f>Data!H830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Data!E831</f>
        <v>0</v>
      </c>
      <c r="F831" s="14">
        <f>Data!H831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Data!E832</f>
        <v>42180151000</v>
      </c>
      <c r="F832" s="14">
        <f>Data!H832</f>
        <v>204901967000</v>
      </c>
      <c r="G832" s="12">
        <f t="shared" si="12"/>
        <v>0.20585527614773946</v>
      </c>
    </row>
    <row r="833" spans="2:7" ht="15" customHeight="1" x14ac:dyDescent="0.3">
      <c r="C833" s="2"/>
      <c r="D833" s="8">
        <v>2020</v>
      </c>
      <c r="E833" s="14">
        <f>Data!E833</f>
        <v>14269577000</v>
      </c>
      <c r="F833" s="14">
        <f>Data!H833</f>
        <v>123690172000</v>
      </c>
      <c r="G833" s="12">
        <f t="shared" si="12"/>
        <v>0.11536548756678906</v>
      </c>
    </row>
    <row r="834" spans="2:7" ht="15" customHeight="1" x14ac:dyDescent="0.3">
      <c r="C834" s="2"/>
      <c r="D834" s="8">
        <v>2021</v>
      </c>
      <c r="E834" s="14">
        <f>Data!E834</f>
        <v>11241496000</v>
      </c>
      <c r="F834" s="14">
        <f>Data!H834</f>
        <v>116712744000</v>
      </c>
      <c r="G834" s="12">
        <f t="shared" si="12"/>
        <v>9.6317639485881679E-2</v>
      </c>
    </row>
    <row r="835" spans="2:7" ht="15" customHeight="1" x14ac:dyDescent="0.3">
      <c r="C835" s="2"/>
      <c r="D835" s="8">
        <v>2022</v>
      </c>
      <c r="E835" s="14">
        <f>Data!E835</f>
        <v>12911272000</v>
      </c>
      <c r="F835" s="14">
        <f>Data!H835</f>
        <v>205051401000</v>
      </c>
      <c r="G835" s="12">
        <f t="shared" ref="G835:G898" si="13">IFERROR(E835/F835,0)</f>
        <v>6.2966026747605597E-2</v>
      </c>
    </row>
    <row r="836" spans="2:7" ht="15" customHeight="1" x14ac:dyDescent="0.3">
      <c r="C836" s="2"/>
      <c r="D836" s="8">
        <v>2023</v>
      </c>
      <c r="E836" s="14">
        <f>Data!E836</f>
        <v>13693684000</v>
      </c>
      <c r="F836" s="14">
        <f>Data!H836</f>
        <v>157547114000</v>
      </c>
      <c r="G836" s="12">
        <f t="shared" si="13"/>
        <v>8.6918025042337491E-2</v>
      </c>
    </row>
    <row r="837" spans="2:7" ht="15" customHeight="1" x14ac:dyDescent="0.3">
      <c r="C837" s="2"/>
      <c r="D837" s="8">
        <v>2024</v>
      </c>
      <c r="E837" s="14">
        <f>Data!E837</f>
        <v>13927163000</v>
      </c>
      <c r="F837" s="14">
        <f>Data!H837</f>
        <v>152224187000</v>
      </c>
      <c r="G837" s="12">
        <f t="shared" si="13"/>
        <v>9.1491130775426643E-2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Data!E838</f>
        <v>0</v>
      </c>
      <c r="F838" s="14">
        <f>Data!H838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Data!E839</f>
        <v>0</v>
      </c>
      <c r="F839" s="14">
        <f>Data!H839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Data!E840</f>
        <v>0</v>
      </c>
      <c r="F840" s="14">
        <f>Data!H840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Data!E841</f>
        <v>0</v>
      </c>
      <c r="F841" s="14">
        <f>Data!H841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Data!E842</f>
        <v>24744060000</v>
      </c>
      <c r="F842" s="14">
        <f>Data!H842</f>
        <v>95091040000</v>
      </c>
      <c r="G842" s="12">
        <f t="shared" si="13"/>
        <v>0.26021442188454347</v>
      </c>
    </row>
    <row r="843" spans="2:7" ht="15" customHeight="1" x14ac:dyDescent="0.3">
      <c r="C843" s="2"/>
      <c r="D843" s="8">
        <v>2019</v>
      </c>
      <c r="E843" s="14">
        <f>Data!E843</f>
        <v>18468470000</v>
      </c>
      <c r="F843" s="14">
        <f>Data!H843</f>
        <v>56007480000</v>
      </c>
      <c r="G843" s="12">
        <f t="shared" si="13"/>
        <v>0.32975006195601014</v>
      </c>
    </row>
    <row r="844" spans="2:7" ht="15" customHeight="1" x14ac:dyDescent="0.3">
      <c r="C844" s="2"/>
      <c r="D844" s="8">
        <v>2020</v>
      </c>
      <c r="E844" s="14">
        <f>Data!E844</f>
        <v>9060340000</v>
      </c>
      <c r="F844" s="14">
        <f>Data!H844</f>
        <v>43036940000</v>
      </c>
      <c r="G844" s="12">
        <f t="shared" si="13"/>
        <v>0.21052472596797078</v>
      </c>
    </row>
    <row r="845" spans="2:7" ht="15" customHeight="1" x14ac:dyDescent="0.3">
      <c r="C845" s="2"/>
      <c r="D845" s="8">
        <v>2021</v>
      </c>
      <c r="E845" s="14">
        <f>Data!E845</f>
        <v>4342740000</v>
      </c>
      <c r="F845" s="14">
        <f>Data!H845</f>
        <v>35514240000</v>
      </c>
      <c r="G845" s="12">
        <f t="shared" si="13"/>
        <v>0.12228165378169432</v>
      </c>
    </row>
    <row r="846" spans="2:7" ht="15" customHeight="1" x14ac:dyDescent="0.3">
      <c r="C846" s="2"/>
      <c r="D846" s="8">
        <v>2022</v>
      </c>
      <c r="E846" s="14">
        <f>Data!E846</f>
        <v>32102150000</v>
      </c>
      <c r="F846" s="14">
        <f>Data!H846</f>
        <v>37382400000</v>
      </c>
      <c r="G846" s="12">
        <f t="shared" si="13"/>
        <v>0.85875037450778979</v>
      </c>
    </row>
    <row r="847" spans="2:7" ht="15" customHeight="1" x14ac:dyDescent="0.3">
      <c r="C847" s="2"/>
      <c r="D847" s="8">
        <v>2023</v>
      </c>
      <c r="E847" s="14">
        <f>Data!E847</f>
        <v>17635000000</v>
      </c>
      <c r="F847" s="14">
        <f>Data!H847</f>
        <v>93465000000</v>
      </c>
      <c r="G847" s="12">
        <f t="shared" si="13"/>
        <v>0.18868025464077462</v>
      </c>
    </row>
    <row r="848" spans="2:7" ht="15" customHeight="1" x14ac:dyDescent="0.3">
      <c r="C848" s="2"/>
      <c r="D848" s="8">
        <v>2024</v>
      </c>
      <c r="E848" s="14">
        <f>Data!E848</f>
        <v>19076000000</v>
      </c>
      <c r="F848" s="14">
        <f>Data!H848</f>
        <v>433710000000</v>
      </c>
      <c r="G848" s="12">
        <f t="shared" si="13"/>
        <v>4.3983306817919808E-2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Data!E849</f>
        <v>0</v>
      </c>
      <c r="F849" s="14">
        <f>Data!H849</f>
        <v>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Data!E850</f>
        <v>6601232000</v>
      </c>
      <c r="F850" s="14">
        <f>Data!H850</f>
        <v>11045828000</v>
      </c>
      <c r="G850" s="12">
        <f t="shared" si="13"/>
        <v>0.5976221972676018</v>
      </c>
    </row>
    <row r="851" spans="2:7" ht="15" customHeight="1" x14ac:dyDescent="0.3">
      <c r="C851" s="2"/>
      <c r="D851" s="8">
        <v>2016</v>
      </c>
      <c r="E851" s="14">
        <f>Data!E851</f>
        <v>4634506000</v>
      </c>
      <c r="F851" s="14">
        <f>Data!H851</f>
        <v>16322405000</v>
      </c>
      <c r="G851" s="12">
        <f t="shared" si="13"/>
        <v>0.28393524116084606</v>
      </c>
    </row>
    <row r="852" spans="2:7" ht="15" customHeight="1" x14ac:dyDescent="0.3">
      <c r="C852" s="2"/>
      <c r="D852" s="8">
        <v>2017</v>
      </c>
      <c r="E852" s="14">
        <f>Data!E852</f>
        <v>9777699000</v>
      </c>
      <c r="F852" s="14">
        <f>Data!H852</f>
        <v>12066535000</v>
      </c>
      <c r="G852" s="12">
        <f t="shared" si="13"/>
        <v>0.81031538880051313</v>
      </c>
    </row>
    <row r="853" spans="2:7" ht="15" customHeight="1" x14ac:dyDescent="0.3">
      <c r="C853" s="2"/>
      <c r="D853" s="8">
        <v>2018</v>
      </c>
      <c r="E853" s="14">
        <f>Data!E853</f>
        <v>22988000000</v>
      </c>
      <c r="F853" s="14">
        <f>Data!H853</f>
        <v>29307000000</v>
      </c>
      <c r="G853" s="12">
        <f t="shared" si="13"/>
        <v>0.78438598287098649</v>
      </c>
    </row>
    <row r="854" spans="2:7" ht="15" customHeight="1" x14ac:dyDescent="0.3">
      <c r="C854" s="2"/>
      <c r="D854" s="8">
        <v>2019</v>
      </c>
      <c r="E854" s="14">
        <f>Data!E854</f>
        <v>27604952000</v>
      </c>
      <c r="F854" s="14">
        <f>Data!H854</f>
        <v>17140093000</v>
      </c>
      <c r="G854" s="12">
        <f t="shared" si="13"/>
        <v>1.6105485541997935</v>
      </c>
    </row>
    <row r="855" spans="2:7" ht="15" customHeight="1" x14ac:dyDescent="0.3">
      <c r="C855" s="2"/>
      <c r="D855" s="8">
        <v>2020</v>
      </c>
      <c r="E855" s="14">
        <f>Data!E855</f>
        <v>30393939000</v>
      </c>
      <c r="F855" s="14">
        <f>Data!H855</f>
        <v>18347530000</v>
      </c>
      <c r="G855" s="12">
        <f t="shared" si="13"/>
        <v>1.6565684318270635</v>
      </c>
    </row>
    <row r="856" spans="2:7" ht="15" customHeight="1" x14ac:dyDescent="0.3">
      <c r="C856" s="2"/>
      <c r="D856" s="8">
        <v>2021</v>
      </c>
      <c r="E856" s="14">
        <f>Data!E856</f>
        <v>33102000000</v>
      </c>
      <c r="F856" s="14">
        <f>Data!H856</f>
        <v>26323000000</v>
      </c>
      <c r="G856" s="12">
        <f t="shared" si="13"/>
        <v>1.2575314363864301</v>
      </c>
    </row>
    <row r="857" spans="2:7" ht="15" customHeight="1" x14ac:dyDescent="0.3">
      <c r="C857" s="2"/>
      <c r="D857" s="8">
        <v>2022</v>
      </c>
      <c r="E857" s="14">
        <f>Data!E857</f>
        <v>90199000000</v>
      </c>
      <c r="F857" s="14">
        <f>Data!H857</f>
        <v>51134000000</v>
      </c>
      <c r="G857" s="12">
        <f t="shared" si="13"/>
        <v>1.7639730903117299</v>
      </c>
    </row>
    <row r="858" spans="2:7" ht="15" customHeight="1" x14ac:dyDescent="0.3">
      <c r="C858" s="2"/>
      <c r="D858" s="8">
        <v>2023</v>
      </c>
      <c r="E858" s="14">
        <f>Data!E858</f>
        <v>100609000000</v>
      </c>
      <c r="F858" s="14">
        <f>Data!H858</f>
        <v>64300000000</v>
      </c>
      <c r="G858" s="12">
        <f t="shared" si="13"/>
        <v>1.5646811819595645</v>
      </c>
    </row>
    <row r="859" spans="2:7" ht="15" customHeight="1" x14ac:dyDescent="0.3">
      <c r="C859" s="2"/>
      <c r="D859" s="8">
        <v>2024</v>
      </c>
      <c r="E859" s="14">
        <f>Data!E859</f>
        <v>209064000000</v>
      </c>
      <c r="F859" s="14">
        <f>Data!H859</f>
        <v>118180000000</v>
      </c>
      <c r="G859" s="12">
        <f t="shared" si="13"/>
        <v>1.7690302927737349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Data!E860</f>
        <v>0</v>
      </c>
      <c r="F860" s="14">
        <f>Data!H860</f>
        <v>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Data!E861</f>
        <v>115035860000</v>
      </c>
      <c r="F861" s="14">
        <f>Data!H861</f>
        <v>142006400000</v>
      </c>
      <c r="G861" s="12">
        <f t="shared" si="13"/>
        <v>0.81007517971021026</v>
      </c>
    </row>
    <row r="862" spans="2:7" ht="15" customHeight="1" x14ac:dyDescent="0.3">
      <c r="C862" s="2"/>
      <c r="D862" s="8">
        <v>2016</v>
      </c>
      <c r="E862" s="14">
        <f>Data!E862</f>
        <v>74268420000</v>
      </c>
      <c r="F862" s="14">
        <f>Data!H862</f>
        <v>197646970000</v>
      </c>
      <c r="G862" s="12">
        <f t="shared" si="13"/>
        <v>0.37576300815539948</v>
      </c>
    </row>
    <row r="863" spans="2:7" ht="15" customHeight="1" x14ac:dyDescent="0.3">
      <c r="C863" s="2"/>
      <c r="D863" s="8">
        <v>2017</v>
      </c>
      <c r="E863" s="14">
        <f>Data!E863</f>
        <v>67487840000</v>
      </c>
      <c r="F863" s="14">
        <f>Data!H863</f>
        <v>168716880000</v>
      </c>
      <c r="G863" s="12">
        <f t="shared" si="13"/>
        <v>0.40000644867306695</v>
      </c>
    </row>
    <row r="864" spans="2:7" ht="15" customHeight="1" x14ac:dyDescent="0.3">
      <c r="C864" s="2"/>
      <c r="D864" s="8">
        <v>2018</v>
      </c>
      <c r="E864" s="14">
        <f>Data!E864</f>
        <v>56331080000</v>
      </c>
      <c r="F864" s="14">
        <f>Data!H864</f>
        <v>88808670000</v>
      </c>
      <c r="G864" s="12">
        <f t="shared" si="13"/>
        <v>0.63429707932795298</v>
      </c>
    </row>
    <row r="865" spans="2:7" ht="15" customHeight="1" x14ac:dyDescent="0.3">
      <c r="C865" s="2"/>
      <c r="D865" s="8">
        <v>2019</v>
      </c>
      <c r="E865" s="14">
        <f>Data!E865</f>
        <v>12771410000</v>
      </c>
      <c r="F865" s="14">
        <f>Data!H865</f>
        <v>56343740000</v>
      </c>
      <c r="G865" s="12">
        <f t="shared" si="13"/>
        <v>0.22666954660801714</v>
      </c>
    </row>
    <row r="866" spans="2:7" ht="15" customHeight="1" x14ac:dyDescent="0.3">
      <c r="C866" s="2"/>
      <c r="D866" s="8">
        <v>2020</v>
      </c>
      <c r="E866" s="14">
        <f>Data!E866</f>
        <v>43432000000</v>
      </c>
      <c r="F866" s="14">
        <f>Data!H866</f>
        <v>139301000000</v>
      </c>
      <c r="G866" s="12">
        <f t="shared" si="13"/>
        <v>0.31178527074464646</v>
      </c>
    </row>
    <row r="867" spans="2:7" ht="15" customHeight="1" x14ac:dyDescent="0.3">
      <c r="C867" s="2"/>
      <c r="D867" s="8">
        <v>2021</v>
      </c>
      <c r="E867" s="14">
        <f>Data!E867</f>
        <v>307376000000</v>
      </c>
      <c r="F867" s="14">
        <f>Data!H867</f>
        <v>471302000000</v>
      </c>
      <c r="G867" s="12">
        <f t="shared" si="13"/>
        <v>0.65218479870656187</v>
      </c>
    </row>
    <row r="868" spans="2:7" ht="15" customHeight="1" x14ac:dyDescent="0.3">
      <c r="C868" s="2"/>
      <c r="D868" s="8">
        <v>2022</v>
      </c>
      <c r="E868" s="14">
        <f>Data!E868</f>
        <v>178408000000</v>
      </c>
      <c r="F868" s="14">
        <f>Data!H868</f>
        <v>363664000000</v>
      </c>
      <c r="G868" s="12">
        <f t="shared" si="13"/>
        <v>0.49058471556161731</v>
      </c>
    </row>
    <row r="869" spans="2:7" ht="15" customHeight="1" x14ac:dyDescent="0.3">
      <c r="C869" s="2"/>
      <c r="D869" s="8">
        <v>2023</v>
      </c>
      <c r="E869" s="14">
        <f>Data!E869</f>
        <v>171038000000</v>
      </c>
      <c r="F869" s="14">
        <f>Data!H869</f>
        <v>308755000000</v>
      </c>
      <c r="G869" s="12">
        <f t="shared" si="13"/>
        <v>0.55396025975287855</v>
      </c>
    </row>
    <row r="870" spans="2:7" ht="15" customHeight="1" x14ac:dyDescent="0.3">
      <c r="C870" s="2"/>
      <c r="D870" s="8">
        <v>2024</v>
      </c>
      <c r="E870" s="14">
        <f>Data!E870</f>
        <v>104435000000</v>
      </c>
      <c r="F870" s="14">
        <f>Data!H870</f>
        <v>144736000000</v>
      </c>
      <c r="G870" s="12">
        <f t="shared" si="13"/>
        <v>0.72155510722971483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Data!E871</f>
        <v>0</v>
      </c>
      <c r="F871" s="14">
        <f>Data!H871</f>
        <v>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Data!E872</f>
        <v>108708000000</v>
      </c>
      <c r="F872" s="14">
        <f>Data!H872</f>
        <v>425659000000</v>
      </c>
      <c r="G872" s="12">
        <f t="shared" si="13"/>
        <v>0.25538752851460911</v>
      </c>
    </row>
    <row r="873" spans="2:7" ht="15" customHeight="1" x14ac:dyDescent="0.3">
      <c r="C873" s="2"/>
      <c r="D873" s="8">
        <v>2016</v>
      </c>
      <c r="E873" s="14">
        <f>Data!E873</f>
        <v>88094000000</v>
      </c>
      <c r="F873" s="14">
        <f>Data!H873</f>
        <v>324697000000</v>
      </c>
      <c r="G873" s="12">
        <f t="shared" si="13"/>
        <v>0.27131140725045194</v>
      </c>
    </row>
    <row r="874" spans="2:7" ht="15" customHeight="1" x14ac:dyDescent="0.3">
      <c r="C874" s="2"/>
      <c r="D874" s="8">
        <v>2017</v>
      </c>
      <c r="E874" s="14">
        <f>Data!E874</f>
        <v>59117000000</v>
      </c>
      <c r="F874" s="14">
        <f>Data!H874</f>
        <v>383500000000</v>
      </c>
      <c r="G874" s="12">
        <f t="shared" si="13"/>
        <v>0.15415123859191657</v>
      </c>
    </row>
    <row r="875" spans="2:7" ht="15" customHeight="1" x14ac:dyDescent="0.3">
      <c r="C875" s="2"/>
      <c r="D875" s="8">
        <v>2018</v>
      </c>
      <c r="E875" s="14">
        <f>Data!E875</f>
        <v>96053000000</v>
      </c>
      <c r="F875" s="14">
        <f>Data!H875</f>
        <v>360699000000</v>
      </c>
      <c r="G875" s="12">
        <f t="shared" si="13"/>
        <v>0.26629682921216857</v>
      </c>
    </row>
    <row r="876" spans="2:7" ht="15" customHeight="1" x14ac:dyDescent="0.3">
      <c r="C876" s="2"/>
      <c r="D876" s="8">
        <v>2019</v>
      </c>
      <c r="E876" s="14">
        <f>Data!E876</f>
        <v>134197000000</v>
      </c>
      <c r="F876" s="14">
        <f>Data!H876</f>
        <v>356029000000</v>
      </c>
      <c r="G876" s="12">
        <f t="shared" si="13"/>
        <v>0.37692716042794266</v>
      </c>
    </row>
    <row r="877" spans="2:7" ht="15" customHeight="1" x14ac:dyDescent="0.3">
      <c r="C877" s="2"/>
      <c r="D877" s="8">
        <v>2020</v>
      </c>
      <c r="E877" s="14">
        <f>Data!E877</f>
        <v>54712000000</v>
      </c>
      <c r="F877" s="14">
        <f>Data!H877</f>
        <v>348478000000</v>
      </c>
      <c r="G877" s="12">
        <f t="shared" si="13"/>
        <v>0.15700273761901756</v>
      </c>
    </row>
    <row r="878" spans="2:7" ht="15" customHeight="1" x14ac:dyDescent="0.3">
      <c r="C878" s="2"/>
      <c r="D878" s="8">
        <v>2021</v>
      </c>
      <c r="E878" s="14">
        <f>Data!E878</f>
        <v>80474000000</v>
      </c>
      <c r="F878" s="14">
        <f>Data!H878</f>
        <v>359383000000</v>
      </c>
      <c r="G878" s="12">
        <f t="shared" si="13"/>
        <v>0.22392266746062001</v>
      </c>
    </row>
    <row r="879" spans="2:7" ht="15" customHeight="1" x14ac:dyDescent="0.3">
      <c r="C879" s="2"/>
      <c r="D879" s="8">
        <v>2022</v>
      </c>
      <c r="E879" s="14">
        <f>Data!E879</f>
        <v>71352000000</v>
      </c>
      <c r="F879" s="14">
        <f>Data!H879</f>
        <v>471420000000</v>
      </c>
      <c r="G879" s="12">
        <f t="shared" si="13"/>
        <v>0.15135547919053075</v>
      </c>
    </row>
    <row r="880" spans="2:7" ht="15" customHeight="1" x14ac:dyDescent="0.3">
      <c r="C880" s="2"/>
      <c r="D880" s="8">
        <v>2023</v>
      </c>
      <c r="E880" s="14">
        <f>Data!E880</f>
        <v>12531000000</v>
      </c>
      <c r="F880" s="14">
        <f>Data!H880</f>
        <v>364675000000</v>
      </c>
      <c r="G880" s="12">
        <f t="shared" si="13"/>
        <v>3.4362103242613289E-2</v>
      </c>
    </row>
    <row r="881" spans="2:7" ht="15" customHeight="1" x14ac:dyDescent="0.3">
      <c r="C881" s="2"/>
      <c r="D881" s="8">
        <v>2024</v>
      </c>
      <c r="E881" s="14">
        <f>Data!E881</f>
        <v>9750000000</v>
      </c>
      <c r="F881" s="14">
        <f>Data!H881</f>
        <v>529310000000</v>
      </c>
      <c r="G881" s="12">
        <f t="shared" si="13"/>
        <v>1.8420207439874554E-2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Data!E882</f>
        <v>0</v>
      </c>
      <c r="F882" s="14">
        <f>Data!H882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Data!E883</f>
        <v>0</v>
      </c>
      <c r="F883" s="14">
        <f>Data!H883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Data!E884</f>
        <v>0</v>
      </c>
      <c r="F884" s="14">
        <f>Data!H884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Data!E885</f>
        <v>0</v>
      </c>
      <c r="F885" s="14">
        <f>Data!H885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Data!E886</f>
        <v>9531405000</v>
      </c>
      <c r="F886" s="14">
        <f>Data!H886</f>
        <v>113969800000</v>
      </c>
      <c r="G886" s="12">
        <f t="shared" si="13"/>
        <v>8.3630970660648701E-2</v>
      </c>
    </row>
    <row r="887" spans="2:7" ht="15" customHeight="1" x14ac:dyDescent="0.3">
      <c r="C887" s="2"/>
      <c r="D887" s="8">
        <v>2019</v>
      </c>
      <c r="E887" s="14">
        <f>Data!E887</f>
        <v>4673515000</v>
      </c>
      <c r="F887" s="14">
        <f>Data!H887</f>
        <v>159104105000</v>
      </c>
      <c r="G887" s="12">
        <f t="shared" si="13"/>
        <v>2.9373943557270254E-2</v>
      </c>
    </row>
    <row r="888" spans="2:7" ht="15" customHeight="1" x14ac:dyDescent="0.3">
      <c r="C888" s="2"/>
      <c r="D888" s="8">
        <v>2020</v>
      </c>
      <c r="E888" s="14">
        <f>Data!E888</f>
        <v>13411781000</v>
      </c>
      <c r="F888" s="14">
        <f>Data!H888</f>
        <v>100459890000</v>
      </c>
      <c r="G888" s="12">
        <f t="shared" si="13"/>
        <v>0.13350383919393102</v>
      </c>
    </row>
    <row r="889" spans="2:7" ht="15" customHeight="1" x14ac:dyDescent="0.3">
      <c r="C889" s="2"/>
      <c r="D889" s="8">
        <v>2021</v>
      </c>
      <c r="E889" s="14">
        <f>Data!E889</f>
        <v>5516123000</v>
      </c>
      <c r="F889" s="14">
        <f>Data!H889</f>
        <v>78433465000</v>
      </c>
      <c r="G889" s="12">
        <f t="shared" si="13"/>
        <v>7.0328691968409143E-2</v>
      </c>
    </row>
    <row r="890" spans="2:7" ht="15" customHeight="1" x14ac:dyDescent="0.3">
      <c r="C890" s="2"/>
      <c r="D890" s="8">
        <v>2022</v>
      </c>
      <c r="E890" s="14">
        <f>Data!E890</f>
        <v>12997983000</v>
      </c>
      <c r="F890" s="14">
        <f>Data!H890</f>
        <v>58527371000</v>
      </c>
      <c r="G890" s="12">
        <f t="shared" si="13"/>
        <v>0.22208383492913086</v>
      </c>
    </row>
    <row r="891" spans="2:7" ht="15" customHeight="1" x14ac:dyDescent="0.3">
      <c r="C891" s="2"/>
      <c r="D891" s="8">
        <v>2023</v>
      </c>
      <c r="E891" s="14">
        <f>Data!E891</f>
        <v>12798662000</v>
      </c>
      <c r="F891" s="14">
        <f>Data!H891</f>
        <v>39381671000</v>
      </c>
      <c r="G891" s="12">
        <f t="shared" si="13"/>
        <v>0.32499032354416857</v>
      </c>
    </row>
    <row r="892" spans="2:7" ht="15" customHeight="1" x14ac:dyDescent="0.3">
      <c r="C892" s="2"/>
      <c r="D892" s="8">
        <v>2024</v>
      </c>
      <c r="E892" s="14">
        <f>Data!E892</f>
        <v>13573988000</v>
      </c>
      <c r="F892" s="14">
        <f>Data!H892</f>
        <v>94523757000</v>
      </c>
      <c r="G892" s="12">
        <f t="shared" si="13"/>
        <v>0.14360398307062636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Data!E893</f>
        <v>0</v>
      </c>
      <c r="F893" s="14">
        <f>Data!H893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Data!E894</f>
        <v>0</v>
      </c>
      <c r="F894" s="14">
        <f>Data!H894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Data!E895</f>
        <v>0</v>
      </c>
      <c r="F895" s="14">
        <f>Data!H895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Data!E896</f>
        <v>0</v>
      </c>
      <c r="F896" s="14">
        <f>Data!H896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Data!E897</f>
        <v>0</v>
      </c>
      <c r="F897" s="14">
        <f>Data!H897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Data!E898</f>
        <v>0</v>
      </c>
      <c r="F898" s="14">
        <f>Data!H898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Data!E899</f>
        <v>6723000000</v>
      </c>
      <c r="F899" s="14">
        <f>Data!H899</f>
        <v>67462000000</v>
      </c>
      <c r="G899" s="12">
        <f t="shared" ref="G899:G962" si="14">IFERROR(E899/F899,0)</f>
        <v>9.9656102694850437E-2</v>
      </c>
    </row>
    <row r="900" spans="2:7" ht="15" customHeight="1" x14ac:dyDescent="0.3">
      <c r="C900" s="2"/>
      <c r="D900" s="8">
        <v>2021</v>
      </c>
      <c r="E900" s="14">
        <f>Data!E900</f>
        <v>37957000000</v>
      </c>
      <c r="F900" s="14">
        <f>Data!H900</f>
        <v>111761000000</v>
      </c>
      <c r="G900" s="12">
        <f t="shared" si="14"/>
        <v>0.33962652445844255</v>
      </c>
    </row>
    <row r="901" spans="2:7" ht="15" customHeight="1" x14ac:dyDescent="0.3">
      <c r="C901" s="2"/>
      <c r="D901" s="8">
        <v>2022</v>
      </c>
      <c r="E901" s="14">
        <f>Data!E901</f>
        <v>75868000000</v>
      </c>
      <c r="F901" s="14">
        <f>Data!H901</f>
        <v>90895000000</v>
      </c>
      <c r="G901" s="12">
        <f t="shared" si="14"/>
        <v>0.83467737499312389</v>
      </c>
    </row>
    <row r="902" spans="2:7" ht="15" customHeight="1" x14ac:dyDescent="0.3">
      <c r="C902" s="2"/>
      <c r="D902" s="8">
        <v>2023</v>
      </c>
      <c r="E902" s="14">
        <f>Data!E902</f>
        <v>322921000000</v>
      </c>
      <c r="F902" s="14">
        <f>Data!H902</f>
        <v>66752000000</v>
      </c>
      <c r="G902" s="12">
        <f t="shared" si="14"/>
        <v>4.8376228427612658</v>
      </c>
    </row>
    <row r="903" spans="2:7" ht="15" customHeight="1" x14ac:dyDescent="0.3">
      <c r="C903" s="2"/>
      <c r="D903" s="8">
        <v>2024</v>
      </c>
      <c r="E903" s="14">
        <f>Data!E903</f>
        <v>372188000000</v>
      </c>
      <c r="F903" s="14">
        <f>Data!H903</f>
        <v>61881000000</v>
      </c>
      <c r="G903" s="12">
        <f t="shared" si="14"/>
        <v>6.0145763643121475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Data!E904</f>
        <v>0</v>
      </c>
      <c r="F904" s="14">
        <f>Data!H904</f>
        <v>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Data!E905</f>
        <v>1139467000000</v>
      </c>
      <c r="F905" s="14">
        <f>Data!H905</f>
        <v>2127477000000</v>
      </c>
      <c r="G905" s="12">
        <f t="shared" si="14"/>
        <v>0.53559544944551696</v>
      </c>
    </row>
    <row r="906" spans="2:7" ht="15" customHeight="1" x14ac:dyDescent="0.3">
      <c r="C906" s="2"/>
      <c r="D906" s="8">
        <v>2016</v>
      </c>
      <c r="E906" s="14">
        <f>Data!E906</f>
        <v>1004808000000</v>
      </c>
      <c r="F906" s="14">
        <f>Data!H906</f>
        <v>2756358000000</v>
      </c>
      <c r="G906" s="12">
        <f t="shared" si="14"/>
        <v>0.36454190638516476</v>
      </c>
    </row>
    <row r="907" spans="2:7" ht="15" customHeight="1" x14ac:dyDescent="0.3">
      <c r="C907" s="2"/>
      <c r="D907" s="8">
        <v>2017</v>
      </c>
      <c r="E907" s="14">
        <f>Data!E907</f>
        <v>1752107000000</v>
      </c>
      <c r="F907" s="14">
        <f>Data!H907</f>
        <v>3763335000000</v>
      </c>
      <c r="G907" s="12">
        <f t="shared" si="14"/>
        <v>0.46557295590214531</v>
      </c>
    </row>
    <row r="908" spans="2:7" ht="15" customHeight="1" x14ac:dyDescent="0.3">
      <c r="C908" s="2"/>
      <c r="D908" s="8">
        <v>2018</v>
      </c>
      <c r="E908" s="14">
        <f>Data!E908</f>
        <v>1461625000000</v>
      </c>
      <c r="F908" s="14">
        <f>Data!H908</f>
        <v>3811889000000</v>
      </c>
      <c r="G908" s="12">
        <f t="shared" si="14"/>
        <v>0.38343849991434692</v>
      </c>
    </row>
    <row r="909" spans="2:7" ht="15" customHeight="1" x14ac:dyDescent="0.3">
      <c r="C909" s="2"/>
      <c r="D909" s="8">
        <v>2019</v>
      </c>
      <c r="E909" s="14">
        <f>Data!E909</f>
        <v>1333816000000</v>
      </c>
      <c r="F909" s="14">
        <f>Data!H909</f>
        <v>3427714000000</v>
      </c>
      <c r="G909" s="12">
        <f t="shared" si="14"/>
        <v>0.38912698083912484</v>
      </c>
    </row>
    <row r="910" spans="2:7" ht="15" customHeight="1" x14ac:dyDescent="0.3">
      <c r="C910" s="2"/>
      <c r="D910" s="8">
        <v>2020</v>
      </c>
      <c r="E910" s="14">
        <f>Data!E910</f>
        <v>2108578000000</v>
      </c>
      <c r="F910" s="14">
        <f>Data!H910</f>
        <v>3059741000000</v>
      </c>
      <c r="G910" s="12">
        <f t="shared" si="14"/>
        <v>0.68913610661817459</v>
      </c>
    </row>
    <row r="911" spans="2:7" ht="15" customHeight="1" x14ac:dyDescent="0.3">
      <c r="C911" s="2"/>
      <c r="D911" s="8">
        <v>2021</v>
      </c>
      <c r="E911" s="14">
        <f>Data!E911</f>
        <v>1131985000000</v>
      </c>
      <c r="F911" s="14">
        <f>Data!H911</f>
        <v>2790390000000</v>
      </c>
      <c r="G911" s="12">
        <f t="shared" si="14"/>
        <v>0.40567268374671639</v>
      </c>
    </row>
    <row r="912" spans="2:7" ht="15" customHeight="1" x14ac:dyDescent="0.3">
      <c r="C912" s="2"/>
      <c r="D912" s="8">
        <v>2022</v>
      </c>
      <c r="E912" s="14">
        <f>Data!E912</f>
        <v>1079208000000</v>
      </c>
      <c r="F912" s="14">
        <f>Data!H912</f>
        <v>3256663000000</v>
      </c>
      <c r="G912" s="12">
        <f t="shared" si="14"/>
        <v>0.33138461056609175</v>
      </c>
    </row>
    <row r="913" spans="2:7" ht="15" customHeight="1" x14ac:dyDescent="0.3">
      <c r="C913" s="2"/>
      <c r="D913" s="8">
        <v>2023</v>
      </c>
      <c r="E913" s="14">
        <f>Data!E913</f>
        <v>538456000000</v>
      </c>
      <c r="F913" s="14">
        <f>Data!H913</f>
        <v>3758053000000</v>
      </c>
      <c r="G913" s="12">
        <f t="shared" si="14"/>
        <v>0.14328057640485645</v>
      </c>
    </row>
    <row r="914" spans="2:7" ht="15" customHeight="1" x14ac:dyDescent="0.3">
      <c r="C914" s="2"/>
      <c r="D914" s="8">
        <v>2024</v>
      </c>
      <c r="E914" s="14">
        <f>Data!E914</f>
        <v>764117000000</v>
      </c>
      <c r="F914" s="14">
        <f>Data!H914</f>
        <v>3814570000000</v>
      </c>
      <c r="G914" s="12">
        <f t="shared" si="14"/>
        <v>0.20031536975334049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Data!E915</f>
        <v>0</v>
      </c>
      <c r="F915" s="14">
        <f>Data!H915</f>
        <v>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Data!E916</f>
        <v>16669000000</v>
      </c>
      <c r="F916" s="14">
        <f>Data!H916</f>
        <v>213518000000</v>
      </c>
      <c r="G916" s="12">
        <f t="shared" si="14"/>
        <v>7.8068359576241822E-2</v>
      </c>
    </row>
    <row r="917" spans="2:7" ht="15" customHeight="1" x14ac:dyDescent="0.3">
      <c r="C917" s="2"/>
      <c r="D917" s="8">
        <v>2016</v>
      </c>
      <c r="E917" s="14">
        <f>Data!E917</f>
        <v>11601000000</v>
      </c>
      <c r="F917" s="14">
        <f>Data!H917</f>
        <v>230303000000</v>
      </c>
      <c r="G917" s="12">
        <f t="shared" si="14"/>
        <v>5.037276978589076E-2</v>
      </c>
    </row>
    <row r="918" spans="2:7" ht="15" customHeight="1" x14ac:dyDescent="0.3">
      <c r="C918" s="2"/>
      <c r="D918" s="8">
        <v>2017</v>
      </c>
      <c r="E918" s="14">
        <f>Data!E918</f>
        <v>14520000000</v>
      </c>
      <c r="F918" s="14">
        <f>Data!H918</f>
        <v>225398000000</v>
      </c>
      <c r="G918" s="12">
        <f t="shared" si="14"/>
        <v>6.4419382603217418E-2</v>
      </c>
    </row>
    <row r="919" spans="2:7" ht="15" customHeight="1" x14ac:dyDescent="0.3">
      <c r="C919" s="2"/>
      <c r="D919" s="8">
        <v>2018</v>
      </c>
      <c r="E919" s="14">
        <f>Data!E919</f>
        <v>11676000000</v>
      </c>
      <c r="F919" s="14">
        <f>Data!H919</f>
        <v>250599000000</v>
      </c>
      <c r="G919" s="12">
        <f t="shared" si="14"/>
        <v>4.6592364694192714E-2</v>
      </c>
    </row>
    <row r="920" spans="2:7" ht="15" customHeight="1" x14ac:dyDescent="0.3">
      <c r="C920" s="2"/>
      <c r="D920" s="8">
        <v>2019</v>
      </c>
      <c r="E920" s="14">
        <f>Data!E920</f>
        <v>9181000000</v>
      </c>
      <c r="F920" s="14">
        <f>Data!H920</f>
        <v>234994000000</v>
      </c>
      <c r="G920" s="12">
        <f t="shared" si="14"/>
        <v>3.9069082614875274E-2</v>
      </c>
    </row>
    <row r="921" spans="2:7" ht="15" customHeight="1" x14ac:dyDescent="0.3">
      <c r="C921" s="2"/>
      <c r="D921" s="8">
        <v>2020</v>
      </c>
      <c r="E921" s="14">
        <f>Data!E921</f>
        <v>10218000000</v>
      </c>
      <c r="F921" s="14">
        <f>Data!H921</f>
        <v>145779000000</v>
      </c>
      <c r="G921" s="12">
        <f t="shared" si="14"/>
        <v>7.0092400139937852E-2</v>
      </c>
    </row>
    <row r="922" spans="2:7" ht="15" customHeight="1" x14ac:dyDescent="0.3">
      <c r="C922" s="2"/>
      <c r="D922" s="8">
        <v>2021</v>
      </c>
      <c r="E922" s="14">
        <f>Data!E922</f>
        <v>8302000000</v>
      </c>
      <c r="F922" s="14">
        <f>Data!H922</f>
        <v>213911000000</v>
      </c>
      <c r="G922" s="12">
        <f t="shared" si="14"/>
        <v>3.881053335265601E-2</v>
      </c>
    </row>
    <row r="923" spans="2:7" ht="15" customHeight="1" x14ac:dyDescent="0.3">
      <c r="C923" s="2"/>
      <c r="D923" s="8">
        <v>2022</v>
      </c>
      <c r="E923" s="14">
        <f>Data!E923</f>
        <v>9785000000</v>
      </c>
      <c r="F923" s="14">
        <f>Data!H923</f>
        <v>177296000000</v>
      </c>
      <c r="G923" s="12">
        <f t="shared" si="14"/>
        <v>5.5190190416027435E-2</v>
      </c>
    </row>
    <row r="924" spans="2:7" ht="15" customHeight="1" x14ac:dyDescent="0.3">
      <c r="C924" s="2"/>
      <c r="D924" s="8">
        <v>2023</v>
      </c>
      <c r="E924" s="14">
        <f>Data!E924</f>
        <v>9958000000</v>
      </c>
      <c r="F924" s="14">
        <f>Data!H924</f>
        <v>169625000000</v>
      </c>
      <c r="G924" s="12">
        <f t="shared" si="14"/>
        <v>5.870596904937362E-2</v>
      </c>
    </row>
    <row r="925" spans="2:7" ht="15" customHeight="1" x14ac:dyDescent="0.3">
      <c r="C925" s="2"/>
      <c r="D925" s="8">
        <v>2024</v>
      </c>
      <c r="E925" s="14">
        <f>Data!E925</f>
        <v>8710000000</v>
      </c>
      <c r="F925" s="14">
        <f>Data!H925</f>
        <v>243065000000</v>
      </c>
      <c r="G925" s="12">
        <f t="shared" si="14"/>
        <v>3.583403616316623E-2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Data!E926</f>
        <v>0</v>
      </c>
      <c r="F926" s="14">
        <f>Data!H926</f>
        <v>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Data!E927</f>
        <v>78169000000</v>
      </c>
      <c r="F927" s="14">
        <f>Data!H927</f>
        <v>839866000000</v>
      </c>
      <c r="G927" s="12">
        <f t="shared" si="14"/>
        <v>9.3073180721686549E-2</v>
      </c>
    </row>
    <row r="928" spans="2:7" ht="15" customHeight="1" x14ac:dyDescent="0.3">
      <c r="C928" s="2"/>
      <c r="D928" s="8">
        <v>2016</v>
      </c>
      <c r="E928" s="14">
        <f>Data!E928</f>
        <v>71830000000</v>
      </c>
      <c r="F928" s="14">
        <f>Data!H928</f>
        <v>845138000000</v>
      </c>
      <c r="G928" s="12">
        <f t="shared" si="14"/>
        <v>8.4992036803456947E-2</v>
      </c>
    </row>
    <row r="929" spans="2:7" ht="15" customHeight="1" x14ac:dyDescent="0.3">
      <c r="C929" s="2"/>
      <c r="D929" s="8">
        <v>2017</v>
      </c>
      <c r="E929" s="14">
        <f>Data!E929</f>
        <v>97285000000</v>
      </c>
      <c r="F929" s="14">
        <f>Data!H930</f>
        <v>262242000000</v>
      </c>
      <c r="G929" s="12">
        <f t="shared" si="14"/>
        <v>0.37097413839125692</v>
      </c>
    </row>
    <row r="930" spans="2:7" ht="15" customHeight="1" x14ac:dyDescent="0.3">
      <c r="C930" s="2"/>
      <c r="D930" s="8">
        <v>2018</v>
      </c>
      <c r="E930" s="14">
        <f>Data!E930</f>
        <v>90099000000</v>
      </c>
      <c r="F930" s="14" t="e">
        <f>Data!#REF!</f>
        <v>#REF!</v>
      </c>
      <c r="G930" s="12">
        <f t="shared" si="14"/>
        <v>0</v>
      </c>
    </row>
    <row r="931" spans="2:7" ht="15" customHeight="1" x14ac:dyDescent="0.3">
      <c r="C931" s="2"/>
      <c r="D931" s="8">
        <v>2019</v>
      </c>
      <c r="E931" s="14">
        <f>Data!E931</f>
        <v>128503000000</v>
      </c>
      <c r="F931" s="14">
        <f>Data!H931</f>
        <v>402832000000</v>
      </c>
      <c r="G931" s="12">
        <f t="shared" si="14"/>
        <v>0.31899898717083053</v>
      </c>
    </row>
    <row r="932" spans="2:7" ht="15" customHeight="1" x14ac:dyDescent="0.3">
      <c r="C932" s="2"/>
      <c r="D932" s="8">
        <v>2020</v>
      </c>
      <c r="E932" s="14">
        <f>Data!E932</f>
        <v>197973000000</v>
      </c>
      <c r="F932" s="14">
        <f>Data!H932</f>
        <v>390634000000</v>
      </c>
      <c r="G932" s="12">
        <f t="shared" si="14"/>
        <v>0.50679920334635487</v>
      </c>
    </row>
    <row r="933" spans="2:7" ht="15" customHeight="1" x14ac:dyDescent="0.3">
      <c r="C933" s="2"/>
      <c r="D933" s="8">
        <v>2021</v>
      </c>
      <c r="E933" s="14">
        <f>Data!E933</f>
        <v>118678000000</v>
      </c>
      <c r="F933" s="14">
        <f>Data!H933</f>
        <v>354040000000</v>
      </c>
      <c r="G933" s="12">
        <f t="shared" si="14"/>
        <v>0.33521071065416336</v>
      </c>
    </row>
    <row r="934" spans="2:7" ht="15" customHeight="1" x14ac:dyDescent="0.3">
      <c r="C934" s="2"/>
      <c r="D934" s="8">
        <v>2022</v>
      </c>
      <c r="E934" s="14">
        <f>Data!E934</f>
        <v>333107000000</v>
      </c>
      <c r="F934" s="14">
        <f>Data!H934</f>
        <v>442158000000</v>
      </c>
      <c r="G934" s="12">
        <f t="shared" si="14"/>
        <v>0.75336644366945749</v>
      </c>
    </row>
    <row r="935" spans="2:7" ht="15" customHeight="1" x14ac:dyDescent="0.3">
      <c r="C935" s="2"/>
      <c r="D935" s="8">
        <v>2023</v>
      </c>
      <c r="E935" s="14">
        <f>Data!E935</f>
        <v>534740000000</v>
      </c>
      <c r="F935" s="14">
        <f>Data!H935</f>
        <v>787043000000</v>
      </c>
      <c r="G935" s="12">
        <f t="shared" si="14"/>
        <v>0.67942920526578598</v>
      </c>
    </row>
    <row r="936" spans="2:7" ht="15" customHeight="1" x14ac:dyDescent="0.3">
      <c r="C936" s="2"/>
      <c r="D936" s="8">
        <v>2024</v>
      </c>
      <c r="E936" s="14">
        <f>Data!E936</f>
        <v>422746000000</v>
      </c>
      <c r="F936" s="14">
        <f>Data!H936</f>
        <v>1041274000000</v>
      </c>
      <c r="G936" s="12">
        <f t="shared" si="14"/>
        <v>0.40598920168946884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Data!E937</f>
        <v>0</v>
      </c>
      <c r="F937" s="14">
        <f>Data!H937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Data!E938</f>
        <v>0</v>
      </c>
      <c r="F938" s="14">
        <f>Data!H938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Data!E939</f>
        <v>15239000000</v>
      </c>
      <c r="F939" s="14">
        <f>Data!H939</f>
        <v>60781000000</v>
      </c>
      <c r="G939" s="12">
        <f t="shared" si="14"/>
        <v>0.25071979730507887</v>
      </c>
    </row>
    <row r="940" spans="2:7" ht="15" customHeight="1" x14ac:dyDescent="0.3">
      <c r="C940" s="1"/>
      <c r="D940" s="8">
        <v>2017</v>
      </c>
      <c r="E940" s="14">
        <f>Data!E940</f>
        <v>9439000000</v>
      </c>
      <c r="F940" s="14">
        <f>Data!H940</f>
        <v>46850000000</v>
      </c>
      <c r="G940" s="12">
        <f t="shared" si="14"/>
        <v>0.2014727854855923</v>
      </c>
    </row>
    <row r="941" spans="2:7" ht="15" customHeight="1" x14ac:dyDescent="0.3">
      <c r="C941" s="1"/>
      <c r="D941" s="8">
        <v>2018</v>
      </c>
      <c r="E941" s="14">
        <f>Data!E941</f>
        <v>4509000000</v>
      </c>
      <c r="F941" s="14">
        <f>Data!H941</f>
        <v>69364000000</v>
      </c>
      <c r="G941" s="12">
        <f t="shared" si="14"/>
        <v>6.500490167810391E-2</v>
      </c>
    </row>
    <row r="942" spans="2:7" ht="15" customHeight="1" x14ac:dyDescent="0.3">
      <c r="C942" s="1"/>
      <c r="D942" s="8">
        <v>2019</v>
      </c>
      <c r="E942" s="14">
        <f>Data!E942</f>
        <v>9362000000</v>
      </c>
      <c r="F942" s="14">
        <f>Data!H942</f>
        <v>92578000000</v>
      </c>
      <c r="G942" s="12">
        <f t="shared" si="14"/>
        <v>0.10112553738469182</v>
      </c>
    </row>
    <row r="943" spans="2:7" ht="15" customHeight="1" x14ac:dyDescent="0.3">
      <c r="C943" s="1"/>
      <c r="D943" s="8">
        <v>2020</v>
      </c>
      <c r="E943" s="14">
        <f>Data!E943</f>
        <v>6108000000</v>
      </c>
      <c r="F943" s="14">
        <f>Data!H943</f>
        <v>101774000000</v>
      </c>
      <c r="G943" s="12">
        <f t="shared" si="14"/>
        <v>6.0015328079863227E-2</v>
      </c>
    </row>
    <row r="944" spans="2:7" ht="15" customHeight="1" x14ac:dyDescent="0.3">
      <c r="C944" s="1"/>
      <c r="D944" s="8">
        <v>2021</v>
      </c>
      <c r="E944" s="14">
        <f>Data!E944</f>
        <v>10537000000</v>
      </c>
      <c r="F944" s="14">
        <f>Data!H944</f>
        <v>101675000000</v>
      </c>
      <c r="G944" s="12">
        <f t="shared" si="14"/>
        <v>0.10363412835013523</v>
      </c>
    </row>
    <row r="945" spans="2:7" ht="15" customHeight="1" x14ac:dyDescent="0.3">
      <c r="C945" s="1"/>
      <c r="D945" s="8">
        <v>2022</v>
      </c>
      <c r="E945" s="14">
        <f>Data!E945</f>
        <v>4486000000</v>
      </c>
      <c r="F945" s="14">
        <f>Data!H945</f>
        <v>109752000000</v>
      </c>
      <c r="G945" s="12">
        <f t="shared" si="14"/>
        <v>4.0873970406006266E-2</v>
      </c>
    </row>
    <row r="946" spans="2:7" ht="15" customHeight="1" x14ac:dyDescent="0.3">
      <c r="C946" s="1"/>
      <c r="D946" s="8">
        <v>2023</v>
      </c>
      <c r="E946" s="14">
        <f>Data!E946</f>
        <v>2068000000</v>
      </c>
      <c r="F946" s="14">
        <f>Data!H946</f>
        <v>103714000000</v>
      </c>
      <c r="G946" s="12">
        <f t="shared" si="14"/>
        <v>1.9939448869005148E-2</v>
      </c>
    </row>
    <row r="947" spans="2:7" ht="15" customHeight="1" x14ac:dyDescent="0.3">
      <c r="C947" s="1"/>
      <c r="D947" s="8">
        <v>2024</v>
      </c>
      <c r="E947" s="14">
        <f>Data!E947</f>
        <v>1823000000</v>
      </c>
      <c r="F947" s="14">
        <f>Data!H947</f>
        <v>158442000000</v>
      </c>
      <c r="G947" s="12">
        <f t="shared" si="14"/>
        <v>1.1505787606821423E-2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Data!E948</f>
        <v>0</v>
      </c>
      <c r="F948" s="14">
        <f>Data!H948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Data!E949</f>
        <v>0</v>
      </c>
      <c r="F949" s="14">
        <f>Data!H949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Data!E950</f>
        <v>0</v>
      </c>
      <c r="F950" s="14">
        <f>Data!H950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Data!E951</f>
        <v>0</v>
      </c>
      <c r="F951" s="14">
        <f>Data!H951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Data!E952</f>
        <v>0</v>
      </c>
      <c r="F952" s="14">
        <f>Data!H952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Data!E953</f>
        <v>0</v>
      </c>
      <c r="F953" s="14">
        <f>Data!H953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Data!E954</f>
        <v>0</v>
      </c>
      <c r="F954" s="14">
        <f>Data!H954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Data!E955</f>
        <v>0</v>
      </c>
      <c r="F955" s="14">
        <f>Data!H955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Data!E956</f>
        <v>0</v>
      </c>
      <c r="F956" s="14">
        <f>Data!H956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Data!E957</f>
        <v>0</v>
      </c>
      <c r="F957" s="14">
        <f>Data!H957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Data!E958</f>
        <v>0</v>
      </c>
      <c r="F958" s="14">
        <f>Data!H958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Data!E959</f>
        <v>0</v>
      </c>
      <c r="F959" s="14">
        <f>Data!H959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Data!E960</f>
        <v>0</v>
      </c>
      <c r="F960" s="14">
        <f>Data!H960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Data!E961</f>
        <v>0</v>
      </c>
      <c r="F961" s="14">
        <f>Data!H961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Data!E962</f>
        <v>0</v>
      </c>
      <c r="F962" s="14">
        <f>Data!H962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Data!E963</f>
        <v>0</v>
      </c>
      <c r="F963" s="14">
        <f>Data!H963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Data!E964</f>
        <v>0</v>
      </c>
      <c r="F964" s="14">
        <f>Data!H964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Data!E965</f>
        <v>0</v>
      </c>
      <c r="F965" s="14">
        <f>Data!H965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Data!E966</f>
        <v>0</v>
      </c>
      <c r="F966" s="14">
        <f>Data!H966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Data!E967</f>
        <v>0</v>
      </c>
      <c r="F967" s="14">
        <f>Data!H967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Data!E968</f>
        <v>0</v>
      </c>
      <c r="F968" s="14">
        <f>Data!H968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Data!E969</f>
        <v>0</v>
      </c>
      <c r="F969" s="14">
        <f>Data!H969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Data!E970</f>
        <v>0</v>
      </c>
      <c r="F970" s="14">
        <f>Data!H970</f>
        <v>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 t="e">
        <f>Data!#REF!</f>
        <v>#REF!</v>
      </c>
      <c r="F971" s="14">
        <f>Data!H971</f>
        <v>139680162903</v>
      </c>
      <c r="G971" s="12">
        <f t="shared" si="15"/>
        <v>0</v>
      </c>
    </row>
    <row r="972" spans="2:7" ht="15" customHeight="1" x14ac:dyDescent="0.3">
      <c r="C972" s="2"/>
      <c r="D972" s="8">
        <v>2016</v>
      </c>
      <c r="E972" s="14">
        <f>Data!E972</f>
        <v>4959849789</v>
      </c>
      <c r="F972" s="14">
        <f>Data!H972</f>
        <v>146731297668</v>
      </c>
      <c r="G972" s="12">
        <f t="shared" si="15"/>
        <v>3.3802262147386929E-2</v>
      </c>
    </row>
    <row r="973" spans="2:7" ht="15" customHeight="1" x14ac:dyDescent="0.3">
      <c r="C973" s="2"/>
      <c r="D973" s="8">
        <v>2017</v>
      </c>
      <c r="E973" s="14">
        <f>Data!E973</f>
        <v>3063169002</v>
      </c>
      <c r="F973" s="14">
        <f>Data!H973</f>
        <v>155395632847</v>
      </c>
      <c r="G973" s="12">
        <f t="shared" si="15"/>
        <v>1.9712066200830405E-2</v>
      </c>
    </row>
    <row r="974" spans="2:7" ht="15" customHeight="1" x14ac:dyDescent="0.3">
      <c r="C974" s="2"/>
      <c r="D974" s="8">
        <v>2018</v>
      </c>
      <c r="E974" s="14">
        <f>Data!E974</f>
        <v>5853410707</v>
      </c>
      <c r="F974" s="14">
        <f>Data!H974</f>
        <v>187888163205</v>
      </c>
      <c r="G974" s="12">
        <f t="shared" si="15"/>
        <v>3.1153695938862802E-2</v>
      </c>
    </row>
    <row r="975" spans="2:7" ht="15" customHeight="1" x14ac:dyDescent="0.3">
      <c r="C975" s="2"/>
      <c r="D975" s="8">
        <v>2019</v>
      </c>
      <c r="E975" s="14">
        <f>Data!E975</f>
        <v>10327839284</v>
      </c>
      <c r="F975" s="14">
        <f>Data!H975</f>
        <v>169711432103</v>
      </c>
      <c r="G975" s="12">
        <f t="shared" si="15"/>
        <v>6.0855295109005413E-2</v>
      </c>
    </row>
    <row r="976" spans="2:7" ht="15" customHeight="1" x14ac:dyDescent="0.3">
      <c r="C976" s="2"/>
      <c r="D976" s="8">
        <v>2020</v>
      </c>
      <c r="E976" s="14">
        <f>Data!E976</f>
        <v>27753266725</v>
      </c>
      <c r="F976" s="14">
        <f>Data!H976</f>
        <v>129463585915</v>
      </c>
      <c r="G976" s="12">
        <f t="shared" si="15"/>
        <v>0.21437121897134498</v>
      </c>
    </row>
    <row r="977" spans="2:7" ht="15" customHeight="1" x14ac:dyDescent="0.3">
      <c r="C977" s="2"/>
      <c r="D977" s="8">
        <v>2021</v>
      </c>
      <c r="E977" s="14">
        <f>Data!E977</f>
        <v>27286512817</v>
      </c>
      <c r="F977" s="14">
        <f>Data!H977</f>
        <v>84785705077</v>
      </c>
      <c r="G977" s="12">
        <f t="shared" si="15"/>
        <v>0.3218291667471439</v>
      </c>
    </row>
    <row r="978" spans="2:7" ht="15" customHeight="1" x14ac:dyDescent="0.3">
      <c r="C978" s="2"/>
      <c r="D978" s="8">
        <v>2022</v>
      </c>
      <c r="E978" s="14">
        <f>Data!E978</f>
        <v>89523370375</v>
      </c>
      <c r="F978" s="14">
        <f>Data!H978</f>
        <v>162928979422</v>
      </c>
      <c r="G978" s="12">
        <f t="shared" si="15"/>
        <v>0.54946253694455915</v>
      </c>
    </row>
    <row r="979" spans="2:7" ht="15" customHeight="1" x14ac:dyDescent="0.3">
      <c r="C979" s="2"/>
      <c r="D979" s="8">
        <v>2023</v>
      </c>
      <c r="E979" s="14">
        <f>Data!E979</f>
        <v>15366595260</v>
      </c>
      <c r="F979" s="14">
        <f>Data!H979</f>
        <v>75021397740</v>
      </c>
      <c r="G979" s="12">
        <f t="shared" si="15"/>
        <v>0.20482949828868385</v>
      </c>
    </row>
    <row r="980" spans="2:7" ht="15" customHeight="1" x14ac:dyDescent="0.3">
      <c r="C980" s="2"/>
      <c r="D980" s="8">
        <v>2024</v>
      </c>
      <c r="E980" s="14">
        <f>Data!E980</f>
        <v>18714740122</v>
      </c>
      <c r="F980" s="14">
        <f>Data!H980</f>
        <v>80749877256</v>
      </c>
      <c r="G980" s="12">
        <f t="shared" si="15"/>
        <v>0.23176183986842444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Data!E981</f>
        <v>0</v>
      </c>
      <c r="F981" s="14">
        <f>Data!H981</f>
        <v>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Data!E982</f>
        <v>6765000000</v>
      </c>
      <c r="F982" s="14">
        <f>Data!H982</f>
        <v>72703000000</v>
      </c>
      <c r="G982" s="12">
        <f t="shared" si="15"/>
        <v>9.3049805372543093E-2</v>
      </c>
    </row>
    <row r="983" spans="2:7" ht="15" customHeight="1" x14ac:dyDescent="0.3">
      <c r="C983" s="2"/>
      <c r="D983" s="8">
        <v>2016</v>
      </c>
      <c r="E983" s="14">
        <f>Data!E983</f>
        <v>6518000000</v>
      </c>
      <c r="F983" s="14">
        <f>Data!H983</f>
        <v>83019000000</v>
      </c>
      <c r="G983" s="12">
        <f t="shared" si="15"/>
        <v>7.8512147821583014E-2</v>
      </c>
    </row>
    <row r="984" spans="2:7" ht="15" customHeight="1" x14ac:dyDescent="0.3">
      <c r="C984" s="2"/>
      <c r="D984" s="8">
        <v>2017</v>
      </c>
      <c r="E984" s="14">
        <f>Data!E984</f>
        <v>15010000000</v>
      </c>
      <c r="F984" s="14">
        <f>Data!H984</f>
        <v>106657000000</v>
      </c>
      <c r="G984" s="12">
        <f t="shared" si="15"/>
        <v>0.14073150379253119</v>
      </c>
    </row>
    <row r="985" spans="2:7" ht="15" customHeight="1" x14ac:dyDescent="0.3">
      <c r="C985" s="2"/>
      <c r="D985" s="8">
        <v>2018</v>
      </c>
      <c r="E985" s="14">
        <f>Data!E985</f>
        <v>37175000000</v>
      </c>
      <c r="F985" s="14">
        <f>Data!H985</f>
        <v>87834000000</v>
      </c>
      <c r="G985" s="12">
        <f t="shared" si="15"/>
        <v>0.42324156932395202</v>
      </c>
    </row>
    <row r="986" spans="2:7" ht="15" customHeight="1" x14ac:dyDescent="0.3">
      <c r="C986" s="2"/>
      <c r="D986" s="8">
        <v>2019</v>
      </c>
      <c r="E986" s="14">
        <f>Data!E986</f>
        <v>18216000000</v>
      </c>
      <c r="F986" s="14">
        <f>Data!H986</f>
        <v>100487000000</v>
      </c>
      <c r="G986" s="12">
        <f t="shared" si="15"/>
        <v>0.18127718013275348</v>
      </c>
    </row>
    <row r="987" spans="2:7" ht="15" customHeight="1" x14ac:dyDescent="0.3">
      <c r="C987" s="2"/>
      <c r="D987" s="8">
        <v>2020</v>
      </c>
      <c r="E987" s="14">
        <f>Data!E987</f>
        <v>40357000000</v>
      </c>
      <c r="F987" s="14">
        <f>Data!H987</f>
        <v>119555000000</v>
      </c>
      <c r="G987" s="12">
        <f t="shared" si="15"/>
        <v>0.33756011877378611</v>
      </c>
    </row>
    <row r="988" spans="2:7" ht="15" customHeight="1" x14ac:dyDescent="0.3">
      <c r="C988" s="2"/>
      <c r="D988" s="8">
        <v>2021</v>
      </c>
      <c r="E988" s="14">
        <f>Data!E988</f>
        <v>36595000000</v>
      </c>
      <c r="F988" s="14">
        <f>Data!H988</f>
        <v>152595000000</v>
      </c>
      <c r="G988" s="12">
        <f t="shared" si="15"/>
        <v>0.23981781840820474</v>
      </c>
    </row>
    <row r="989" spans="2:7" ht="15" customHeight="1" x14ac:dyDescent="0.3">
      <c r="C989" s="2"/>
      <c r="D989" s="8">
        <v>2022</v>
      </c>
      <c r="E989" s="14">
        <f>Data!E989</f>
        <v>41330000000</v>
      </c>
      <c r="F989" s="14">
        <f>Data!H989</f>
        <v>104736000000</v>
      </c>
      <c r="G989" s="12">
        <f t="shared" si="15"/>
        <v>0.39461121295447604</v>
      </c>
    </row>
    <row r="990" spans="2:7" ht="15" customHeight="1" x14ac:dyDescent="0.3">
      <c r="C990" s="2"/>
      <c r="D990" s="8">
        <v>2023</v>
      </c>
      <c r="E990" s="14">
        <f>Data!E990</f>
        <v>40708000000</v>
      </c>
      <c r="F990" s="14">
        <f>Data!H990</f>
        <v>183912000000</v>
      </c>
      <c r="G990" s="12">
        <f t="shared" si="15"/>
        <v>0.22134499108269173</v>
      </c>
    </row>
    <row r="991" spans="2:7" ht="15" customHeight="1" x14ac:dyDescent="0.3">
      <c r="C991" s="2"/>
      <c r="D991" s="8">
        <v>2024</v>
      </c>
      <c r="E991" s="14">
        <f>Data!E991</f>
        <v>24982000000</v>
      </c>
      <c r="F991" s="14">
        <f>Data!H991</f>
        <v>187808000000</v>
      </c>
      <c r="G991" s="12">
        <f t="shared" si="15"/>
        <v>0.13301882773896745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Data!E992</f>
        <v>0</v>
      </c>
      <c r="F992" s="14">
        <f>Data!H992</f>
        <v>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Data!E993</f>
        <v>18659000000</v>
      </c>
      <c r="F993" s="14">
        <f>Data!H993</f>
        <v>367727000000</v>
      </c>
      <c r="G993" s="12">
        <f t="shared" si="15"/>
        <v>5.0741446779812197E-2</v>
      </c>
    </row>
    <row r="994" spans="2:7" ht="15" customHeight="1" x14ac:dyDescent="0.3">
      <c r="C994" s="2"/>
      <c r="D994" s="8">
        <v>2016</v>
      </c>
      <c r="E994" s="14">
        <f>Data!E994</f>
        <v>25147000000</v>
      </c>
      <c r="F994" s="14">
        <f>Data!H994</f>
        <v>338229000000</v>
      </c>
      <c r="G994" s="12">
        <f t="shared" si="15"/>
        <v>7.4349035712490644E-2</v>
      </c>
    </row>
    <row r="995" spans="2:7" ht="15" customHeight="1" x14ac:dyDescent="0.3">
      <c r="C995" s="2"/>
      <c r="D995" s="8">
        <v>2017</v>
      </c>
      <c r="E995" s="14">
        <f>Data!E995</f>
        <v>32520000000</v>
      </c>
      <c r="F995" s="14">
        <f>Data!H995</f>
        <v>372558000000</v>
      </c>
      <c r="G995" s="12">
        <f t="shared" si="15"/>
        <v>8.7288422205401575E-2</v>
      </c>
    </row>
    <row r="996" spans="2:7" ht="15" customHeight="1" x14ac:dyDescent="0.3">
      <c r="C996" s="2"/>
      <c r="D996" s="8">
        <v>2018</v>
      </c>
      <c r="E996" s="14">
        <f>Data!E996</f>
        <v>22729000000</v>
      </c>
      <c r="F996" s="14">
        <f>Data!H996</f>
        <v>842161000000</v>
      </c>
      <c r="G996" s="12">
        <f t="shared" si="15"/>
        <v>2.6988901172103671E-2</v>
      </c>
    </row>
    <row r="997" spans="2:7" ht="15" customHeight="1" x14ac:dyDescent="0.3">
      <c r="C997" s="2"/>
      <c r="D997" s="8">
        <v>2019</v>
      </c>
      <c r="E997" s="14">
        <f>Data!E997</f>
        <v>27048000000</v>
      </c>
      <c r="F997" s="14">
        <f>Data!H997</f>
        <v>760848000000</v>
      </c>
      <c r="G997" s="12">
        <f t="shared" si="15"/>
        <v>3.5549807583117786E-2</v>
      </c>
    </row>
    <row r="998" spans="2:7" ht="15" customHeight="1" x14ac:dyDescent="0.3">
      <c r="C998" s="2"/>
      <c r="D998" s="8">
        <v>2020</v>
      </c>
      <c r="E998" s="14">
        <f>Data!E998</f>
        <v>41179000000</v>
      </c>
      <c r="F998" s="14">
        <f>Data!H998</f>
        <v>884413000000</v>
      </c>
      <c r="G998" s="12">
        <f t="shared" si="15"/>
        <v>4.6560826220329192E-2</v>
      </c>
    </row>
    <row r="999" spans="2:7" ht="15" customHeight="1" x14ac:dyDescent="0.3">
      <c r="C999" s="2"/>
      <c r="D999" s="8">
        <v>2021</v>
      </c>
      <c r="E999" s="14">
        <f>Data!E999</f>
        <v>78954000000</v>
      </c>
      <c r="F999" s="14">
        <f>Data!H999</f>
        <v>903737000000</v>
      </c>
      <c r="G999" s="12">
        <f t="shared" si="15"/>
        <v>8.7363912288641501E-2</v>
      </c>
    </row>
    <row r="1000" spans="2:7" ht="15" customHeight="1" x14ac:dyDescent="0.3">
      <c r="C1000" s="2"/>
      <c r="D1000" s="8">
        <v>2022</v>
      </c>
      <c r="E1000" s="14">
        <f>Data!E1000</f>
        <v>29336000000</v>
      </c>
      <c r="F1000" s="14">
        <f>Data!H1000</f>
        <v>1085174000000</v>
      </c>
      <c r="G1000" s="12">
        <f t="shared" si="15"/>
        <v>2.7033452699751378E-2</v>
      </c>
    </row>
    <row r="1001" spans="2:7" ht="15" customHeight="1" x14ac:dyDescent="0.3">
      <c r="C1001" s="2"/>
      <c r="D1001" s="8">
        <v>2023</v>
      </c>
      <c r="E1001" s="14">
        <f>Data!E1001</f>
        <v>23209000000</v>
      </c>
      <c r="F1001" s="14">
        <f>Data!H1001</f>
        <v>1044353000000</v>
      </c>
      <c r="G1001" s="12">
        <f t="shared" si="15"/>
        <v>2.222332870207679E-2</v>
      </c>
    </row>
    <row r="1002" spans="2:7" ht="15" customHeight="1" x14ac:dyDescent="0.3">
      <c r="C1002" s="2"/>
      <c r="D1002" s="8">
        <v>2024</v>
      </c>
      <c r="E1002" s="14">
        <f>Data!E1002</f>
        <v>7974000000</v>
      </c>
      <c r="F1002" s="14">
        <f>Data!H1002</f>
        <v>978116000000</v>
      </c>
      <c r="G1002" s="12">
        <f t="shared" si="15"/>
        <v>8.152407280936004E-3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Data!E1003</f>
        <v>0</v>
      </c>
      <c r="F1003" s="14">
        <f>Data!H1003</f>
        <v>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Data!E1004</f>
        <v>18403395000</v>
      </c>
      <c r="F1004" s="14">
        <f>Data!H1004</f>
        <v>184957408000</v>
      </c>
      <c r="G1004" s="12">
        <f t="shared" si="15"/>
        <v>9.9500718565433188E-2</v>
      </c>
    </row>
    <row r="1005" spans="2:7" ht="15" customHeight="1" x14ac:dyDescent="0.3">
      <c r="C1005" s="2"/>
      <c r="D1005" s="8">
        <v>2016</v>
      </c>
      <c r="E1005" s="14">
        <f>Data!E1005</f>
        <v>52831381000</v>
      </c>
      <c r="F1005" s="14">
        <f>Data!H1005</f>
        <v>268669474000</v>
      </c>
      <c r="G1005" s="12">
        <f t="shared" si="15"/>
        <v>0.19664080259449199</v>
      </c>
    </row>
    <row r="1006" spans="2:7" ht="15" customHeight="1" x14ac:dyDescent="0.3">
      <c r="C1006" s="2"/>
      <c r="D1006" s="8">
        <v>2017</v>
      </c>
      <c r="E1006" s="14">
        <f>Data!E1006</f>
        <v>61418035000</v>
      </c>
      <c r="F1006" s="14">
        <f>Data!H1006</f>
        <v>350343544000</v>
      </c>
      <c r="G1006" s="12">
        <f t="shared" si="15"/>
        <v>0.17530802565609716</v>
      </c>
    </row>
    <row r="1007" spans="2:7" ht="15" customHeight="1" x14ac:dyDescent="0.3">
      <c r="C1007" s="2"/>
      <c r="D1007" s="8">
        <v>2018</v>
      </c>
      <c r="E1007" s="14">
        <f>Data!E1007</f>
        <v>66521167000</v>
      </c>
      <c r="F1007" s="14">
        <f>Data!H1007</f>
        <v>359981966000</v>
      </c>
      <c r="G1007" s="12">
        <f t="shared" si="15"/>
        <v>0.18479027641067997</v>
      </c>
    </row>
    <row r="1008" spans="2:7" ht="15" customHeight="1" x14ac:dyDescent="0.3">
      <c r="C1008" s="2"/>
      <c r="D1008" s="8">
        <v>2019</v>
      </c>
      <c r="E1008" s="14">
        <f>Data!E1008</f>
        <v>42965502000</v>
      </c>
      <c r="F1008" s="14">
        <f>Data!H1008</f>
        <v>396037217000</v>
      </c>
      <c r="G1008" s="12">
        <f t="shared" si="15"/>
        <v>0.10848854641860591</v>
      </c>
    </row>
    <row r="1009" spans="2:7" ht="15" customHeight="1" x14ac:dyDescent="0.3">
      <c r="C1009" s="2"/>
      <c r="D1009" s="8">
        <v>2020</v>
      </c>
      <c r="E1009" s="14">
        <f>Data!E1009</f>
        <v>1002410482000</v>
      </c>
      <c r="F1009" s="14">
        <f>Data!H1009</f>
        <v>505994348000</v>
      </c>
      <c r="G1009" s="12">
        <f t="shared" si="15"/>
        <v>1.9810705118785239</v>
      </c>
    </row>
    <row r="1010" spans="2:7" ht="15" customHeight="1" x14ac:dyDescent="0.3">
      <c r="C1010" s="2"/>
      <c r="D1010" s="8">
        <v>2021</v>
      </c>
      <c r="E1010" s="14">
        <f>Data!E1010</f>
        <v>104029021000</v>
      </c>
      <c r="F1010" s="14">
        <f>Data!H1010</f>
        <v>488236990000</v>
      </c>
      <c r="G1010" s="12">
        <f t="shared" si="15"/>
        <v>0.21307074869521869</v>
      </c>
    </row>
    <row r="1011" spans="2:7" ht="15" customHeight="1" x14ac:dyDescent="0.3">
      <c r="C1011" s="2"/>
      <c r="D1011" s="8">
        <v>2022</v>
      </c>
      <c r="E1011" s="14">
        <f>Data!E1011</f>
        <v>77402505000</v>
      </c>
      <c r="F1011" s="14">
        <f>Data!H1011</f>
        <v>489851066000</v>
      </c>
      <c r="G1011" s="12">
        <f t="shared" si="15"/>
        <v>0.1580123232803172</v>
      </c>
    </row>
    <row r="1012" spans="2:7" ht="15" customHeight="1" x14ac:dyDescent="0.3">
      <c r="C1012" s="2"/>
      <c r="D1012" s="8">
        <v>2023</v>
      </c>
      <c r="E1012" s="14">
        <f>Data!E1012</f>
        <v>97176075000</v>
      </c>
      <c r="F1012" s="14">
        <f>Data!H1012</f>
        <v>522666097000</v>
      </c>
      <c r="G1012" s="12">
        <f t="shared" si="15"/>
        <v>0.18592381552538312</v>
      </c>
    </row>
    <row r="1013" spans="2:7" ht="15" customHeight="1" x14ac:dyDescent="0.3">
      <c r="C1013" s="2"/>
      <c r="D1013" s="8">
        <v>2024</v>
      </c>
      <c r="E1013" s="14">
        <f>Data!E1013</f>
        <v>86627441000</v>
      </c>
      <c r="F1013" s="14">
        <f>Data!H1013</f>
        <v>591519962000</v>
      </c>
      <c r="G1013" s="12">
        <f t="shared" si="15"/>
        <v>0.14644888856684096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Data!E1014</f>
        <v>0</v>
      </c>
      <c r="F1014" s="14">
        <f>Data!H1014</f>
        <v>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Data!E1015</f>
        <v>26979000000</v>
      </c>
      <c r="F1015" s="14">
        <f>Data!H1015</f>
        <v>230544000000</v>
      </c>
      <c r="G1015" s="12">
        <f t="shared" si="15"/>
        <v>0.11702321465750573</v>
      </c>
    </row>
    <row r="1016" spans="2:7" ht="15" customHeight="1" x14ac:dyDescent="0.3">
      <c r="C1016" s="2"/>
      <c r="D1016" s="8">
        <v>2016</v>
      </c>
      <c r="E1016" s="14">
        <f>Data!E1016</f>
        <v>14031000000</v>
      </c>
      <c r="F1016" s="14">
        <f>Data!H1016</f>
        <v>170455000000</v>
      </c>
      <c r="G1016" s="12">
        <f t="shared" si="15"/>
        <v>8.2314980493385356E-2</v>
      </c>
    </row>
    <row r="1017" spans="2:7" ht="15" customHeight="1" x14ac:dyDescent="0.3">
      <c r="C1017" s="2"/>
      <c r="D1017" s="8">
        <v>2017</v>
      </c>
      <c r="E1017" s="14">
        <f>Data!E1017</f>
        <v>10518000000</v>
      </c>
      <c r="F1017" s="14">
        <f>Data!H1017</f>
        <v>192539000000</v>
      </c>
      <c r="G1017" s="12">
        <f t="shared" si="15"/>
        <v>5.462789356961447E-2</v>
      </c>
    </row>
    <row r="1018" spans="2:7" ht="15" customHeight="1" x14ac:dyDescent="0.3">
      <c r="C1018" s="2"/>
      <c r="D1018" s="8">
        <v>2018</v>
      </c>
      <c r="E1018" s="14">
        <f>Data!E1018</f>
        <v>24705000000</v>
      </c>
      <c r="F1018" s="14">
        <f>Data!H1018</f>
        <v>212641000000</v>
      </c>
      <c r="G1018" s="12">
        <f t="shared" si="15"/>
        <v>0.1161817335321034</v>
      </c>
    </row>
    <row r="1019" spans="2:7" ht="15" customHeight="1" x14ac:dyDescent="0.3">
      <c r="C1019" s="2"/>
      <c r="D1019" s="8">
        <v>2019</v>
      </c>
      <c r="E1019" s="14">
        <f>Data!E1019</f>
        <v>17576000000</v>
      </c>
      <c r="F1019" s="14">
        <f>Data!H1019</f>
        <v>189099000000</v>
      </c>
      <c r="G1019" s="12">
        <f t="shared" si="15"/>
        <v>9.2946022982670448E-2</v>
      </c>
    </row>
    <row r="1020" spans="2:7" ht="15" customHeight="1" x14ac:dyDescent="0.3">
      <c r="C1020" s="2"/>
      <c r="D1020" s="8">
        <v>2020</v>
      </c>
      <c r="E1020" s="14">
        <f>Data!E1020</f>
        <v>29373000000</v>
      </c>
      <c r="F1020" s="14">
        <f>Data!H1020</f>
        <v>117471000000</v>
      </c>
      <c r="G1020" s="12">
        <f t="shared" si="15"/>
        <v>0.25004469188140049</v>
      </c>
    </row>
    <row r="1021" spans="2:7" ht="15" customHeight="1" x14ac:dyDescent="0.3">
      <c r="C1021" s="2"/>
      <c r="D1021" s="8">
        <v>2021</v>
      </c>
      <c r="E1021" s="14">
        <f>Data!E1021</f>
        <v>31916000000</v>
      </c>
      <c r="F1021" s="14">
        <f>Data!H1021</f>
        <v>125241000000</v>
      </c>
      <c r="G1021" s="12">
        <f t="shared" si="15"/>
        <v>0.25483667489081052</v>
      </c>
    </row>
    <row r="1022" spans="2:7" ht="15" customHeight="1" x14ac:dyDescent="0.3">
      <c r="C1022" s="2"/>
      <c r="D1022" s="8">
        <v>2022</v>
      </c>
      <c r="E1022" s="14">
        <f>Data!E1022</f>
        <v>40420000000</v>
      </c>
      <c r="F1022" s="14">
        <f>Data!H1022</f>
        <v>173851000000</v>
      </c>
      <c r="G1022" s="12">
        <f t="shared" si="15"/>
        <v>0.23249794364139406</v>
      </c>
    </row>
    <row r="1023" spans="2:7" ht="15" customHeight="1" x14ac:dyDescent="0.3">
      <c r="C1023" s="2"/>
      <c r="D1023" s="8">
        <v>2023</v>
      </c>
      <c r="E1023" s="14">
        <f>Data!E1023</f>
        <v>54220000000</v>
      </c>
      <c r="F1023" s="14">
        <f>Data!H1023</f>
        <v>128803000000</v>
      </c>
      <c r="G1023" s="12">
        <f t="shared" si="15"/>
        <v>0.42095292811502838</v>
      </c>
    </row>
    <row r="1024" spans="2:7" ht="15" customHeight="1" x14ac:dyDescent="0.3">
      <c r="C1024" s="2"/>
      <c r="D1024" s="8">
        <v>2024</v>
      </c>
      <c r="E1024" s="14">
        <f>Data!E1024</f>
        <v>39896000000</v>
      </c>
      <c r="F1024" s="14">
        <f>Data!H1024</f>
        <v>1094311000000</v>
      </c>
      <c r="G1024" s="12">
        <f t="shared" si="15"/>
        <v>3.64576432111164E-2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Data!E1025</f>
        <v>0</v>
      </c>
      <c r="F1025" s="14">
        <f>Data!H1025</f>
        <v>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Data!E1026</f>
        <v>877059850000</v>
      </c>
      <c r="F1026" s="14">
        <f>Data!H1026</f>
        <v>688812200000</v>
      </c>
      <c r="G1026" s="12">
        <f t="shared" si="15"/>
        <v>1.2732931414397133</v>
      </c>
    </row>
    <row r="1027" spans="2:7" ht="15" customHeight="1" x14ac:dyDescent="0.3">
      <c r="C1027" s="2"/>
      <c r="D1027" s="8">
        <v>2016</v>
      </c>
      <c r="E1027" s="14">
        <f>Data!E1027</f>
        <v>280548030000</v>
      </c>
      <c r="F1027" s="14">
        <f>Data!H1027</f>
        <v>601214530000</v>
      </c>
      <c r="G1027" s="12">
        <f t="shared" ref="G1027:G1090" si="16">IFERROR(E1027/F1027,0)</f>
        <v>0.46663547868678423</v>
      </c>
    </row>
    <row r="1028" spans="2:7" ht="15" customHeight="1" x14ac:dyDescent="0.3">
      <c r="C1028" s="2"/>
      <c r="D1028" s="8">
        <v>2017</v>
      </c>
      <c r="E1028" s="14">
        <f>Data!E1028</f>
        <v>167993000000</v>
      </c>
      <c r="F1028" s="14">
        <f>Data!H1028</f>
        <v>656686000000</v>
      </c>
      <c r="G1028" s="12">
        <f t="shared" si="16"/>
        <v>0.25581937181544911</v>
      </c>
    </row>
    <row r="1029" spans="2:7" ht="15" customHeight="1" x14ac:dyDescent="0.3">
      <c r="C1029" s="2"/>
      <c r="D1029" s="8">
        <v>2018</v>
      </c>
      <c r="E1029" s="14">
        <f>Data!E1029</f>
        <v>173241000000</v>
      </c>
      <c r="F1029" s="14">
        <f>Data!H1029</f>
        <v>752357000000</v>
      </c>
      <c r="G1029" s="12">
        <f t="shared" si="16"/>
        <v>0.23026435588424113</v>
      </c>
    </row>
    <row r="1030" spans="2:7" ht="15" customHeight="1" x14ac:dyDescent="0.3">
      <c r="C1030" s="2"/>
      <c r="D1030" s="8">
        <v>2019</v>
      </c>
      <c r="E1030" s="14">
        <f>Data!E1030</f>
        <v>124029000000</v>
      </c>
      <c r="F1030" s="14">
        <f>Data!H1030</f>
        <v>710207000000</v>
      </c>
      <c r="G1030" s="12">
        <f t="shared" si="16"/>
        <v>0.17463781686184451</v>
      </c>
    </row>
    <row r="1031" spans="2:7" ht="15" customHeight="1" x14ac:dyDescent="0.3">
      <c r="C1031" s="2"/>
      <c r="D1031" s="8">
        <v>2020</v>
      </c>
      <c r="E1031" s="14">
        <f>Data!E1031</f>
        <v>11540000000</v>
      </c>
      <c r="F1031" s="14">
        <f>Data!H1031</f>
        <v>543425000000</v>
      </c>
      <c r="G1031" s="12">
        <f t="shared" si="16"/>
        <v>2.1235681096747481E-2</v>
      </c>
    </row>
    <row r="1032" spans="2:7" ht="15" customHeight="1" x14ac:dyDescent="0.3">
      <c r="C1032" s="2"/>
      <c r="D1032" s="8">
        <v>2021</v>
      </c>
      <c r="E1032" s="14">
        <f>Data!E1032</f>
        <v>11382000000</v>
      </c>
      <c r="F1032" s="14">
        <f>Data!H1032</f>
        <v>554772000000</v>
      </c>
      <c r="G1032" s="12">
        <f t="shared" si="16"/>
        <v>2.0516536523112198E-2</v>
      </c>
    </row>
    <row r="1033" spans="2:7" ht="15" customHeight="1" x14ac:dyDescent="0.3">
      <c r="C1033" s="2"/>
      <c r="D1033" s="8">
        <v>2022</v>
      </c>
      <c r="E1033" s="14">
        <f>Data!E1033</f>
        <v>23518000000</v>
      </c>
      <c r="F1033" s="14">
        <f>Data!H1033</f>
        <v>662959000000</v>
      </c>
      <c r="G1033" s="12">
        <f t="shared" si="16"/>
        <v>3.5474290265310522E-2</v>
      </c>
    </row>
    <row r="1034" spans="2:7" ht="15" customHeight="1" x14ac:dyDescent="0.3">
      <c r="C1034" s="2"/>
      <c r="D1034" s="8">
        <v>2023</v>
      </c>
      <c r="E1034" s="14">
        <f>Data!E1034</f>
        <v>70055000000</v>
      </c>
      <c r="F1034" s="14">
        <f>Data!H1034</f>
        <v>754896000000</v>
      </c>
      <c r="G1034" s="12">
        <f t="shared" si="16"/>
        <v>9.2800862635382883E-2</v>
      </c>
    </row>
    <row r="1035" spans="2:7" ht="15" customHeight="1" x14ac:dyDescent="0.3">
      <c r="C1035" s="2"/>
      <c r="D1035" s="8">
        <v>2024</v>
      </c>
      <c r="E1035" s="14">
        <f>Data!E1035</f>
        <v>52066000000</v>
      </c>
      <c r="F1035" s="14">
        <f>Data!H1035</f>
        <v>758191000000</v>
      </c>
      <c r="G1035" s="12">
        <f t="shared" si="16"/>
        <v>6.8671350622732261E-2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Data!E1036</f>
        <v>0</v>
      </c>
      <c r="F1036" s="14">
        <f>Data!H1036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Data!E1037</f>
        <v>0</v>
      </c>
      <c r="F1037" s="14">
        <f>Data!H1037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Data!E1038</f>
        <v>0</v>
      </c>
      <c r="F1038" s="14">
        <f>Data!H1038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Data!E1039</f>
        <v>0</v>
      </c>
      <c r="F1039" s="14">
        <f>Data!H1039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Data!E1040</f>
        <v>0</v>
      </c>
      <c r="F1040" s="14">
        <f>Data!H1040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Data!E1041</f>
        <v>5835330900</v>
      </c>
      <c r="F1041" s="14">
        <f>Data!H1041</f>
        <v>42676527001</v>
      </c>
      <c r="G1041" s="12">
        <f t="shared" si="16"/>
        <v>0.13673396853177078</v>
      </c>
    </row>
    <row r="1042" spans="2:7" ht="15" customHeight="1" x14ac:dyDescent="0.3">
      <c r="C1042" s="2"/>
      <c r="D1042" s="8">
        <v>2020</v>
      </c>
      <c r="E1042" s="14">
        <f>Data!E1042</f>
        <v>4181000000</v>
      </c>
      <c r="F1042" s="14">
        <f>Data!H1042</f>
        <v>61586000000</v>
      </c>
      <c r="G1042" s="12">
        <f t="shared" si="16"/>
        <v>6.7888805897444227E-2</v>
      </c>
    </row>
    <row r="1043" spans="2:7" ht="15" customHeight="1" x14ac:dyDescent="0.3">
      <c r="C1043" s="2"/>
      <c r="D1043" s="8">
        <v>2021</v>
      </c>
      <c r="E1043" s="14">
        <f>Data!E1043</f>
        <v>3689000000</v>
      </c>
      <c r="F1043" s="14">
        <f>Data!H1043</f>
        <v>34249000000</v>
      </c>
      <c r="G1043" s="12">
        <f t="shared" si="16"/>
        <v>0.10771117404887734</v>
      </c>
    </row>
    <row r="1044" spans="2:7" ht="15" customHeight="1" x14ac:dyDescent="0.3">
      <c r="C1044" s="2"/>
      <c r="D1044" s="8">
        <v>2022</v>
      </c>
      <c r="E1044" s="14">
        <f>Data!E1044</f>
        <v>4294000000</v>
      </c>
      <c r="F1044" s="14">
        <f>Data!H1044</f>
        <v>29853000000</v>
      </c>
      <c r="G1044" s="12">
        <f t="shared" si="16"/>
        <v>0.14383814022041336</v>
      </c>
    </row>
    <row r="1045" spans="2:7" ht="15" customHeight="1" x14ac:dyDescent="0.3">
      <c r="C1045" s="2"/>
      <c r="D1045" s="8">
        <v>2023</v>
      </c>
      <c r="E1045" s="14">
        <f>Data!E1045</f>
        <v>3490000000</v>
      </c>
      <c r="F1045" s="14">
        <f>Data!H1045</f>
        <v>46121000000</v>
      </c>
      <c r="G1045" s="12">
        <f t="shared" si="16"/>
        <v>7.5670518852583427E-2</v>
      </c>
    </row>
    <row r="1046" spans="2:7" ht="15" customHeight="1" x14ac:dyDescent="0.3">
      <c r="C1046" s="2"/>
      <c r="D1046" s="8">
        <v>2024</v>
      </c>
      <c r="E1046" s="14">
        <f>Data!E1046</f>
        <v>16918000000</v>
      </c>
      <c r="F1046" s="14">
        <f>Data!H1046</f>
        <v>48097000000</v>
      </c>
      <c r="G1046" s="12">
        <f t="shared" si="16"/>
        <v>0.35174751023972389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Data!E1047</f>
        <v>0</v>
      </c>
      <c r="F1047" s="14">
        <f>Data!H1047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Data!E1048</f>
        <v>36399601119</v>
      </c>
      <c r="F1048" s="14">
        <f>Data!H1048</f>
        <v>141427534686</v>
      </c>
      <c r="G1048" s="12">
        <f t="shared" si="16"/>
        <v>0.25737280367514759</v>
      </c>
    </row>
    <row r="1049" spans="2:7" ht="15" customHeight="1" x14ac:dyDescent="0.3">
      <c r="C1049" s="2"/>
      <c r="D1049" s="8">
        <v>2016</v>
      </c>
      <c r="E1049" s="14" t="e">
        <f>Data!#REF!</f>
        <v>#REF!</v>
      </c>
      <c r="F1049" s="14">
        <f>Data!H1050</f>
        <v>176219226792</v>
      </c>
      <c r="G1049" s="12">
        <f t="shared" si="16"/>
        <v>0</v>
      </c>
    </row>
    <row r="1050" spans="2:7" ht="15" customHeight="1" x14ac:dyDescent="0.3">
      <c r="C1050" s="2"/>
      <c r="D1050" s="8">
        <v>2017</v>
      </c>
      <c r="E1050" s="14">
        <f>Data!E1050</f>
        <v>58834584316</v>
      </c>
      <c r="F1050" s="14" t="e">
        <f>Data!#REF!</f>
        <v>#REF!</v>
      </c>
      <c r="G1050" s="12">
        <f t="shared" si="16"/>
        <v>0</v>
      </c>
    </row>
    <row r="1051" spans="2:7" ht="15" customHeight="1" x14ac:dyDescent="0.3">
      <c r="C1051" s="2"/>
      <c r="D1051" s="8">
        <v>2018</v>
      </c>
      <c r="E1051" s="14">
        <f>Data!E1051</f>
        <v>47582389796</v>
      </c>
      <c r="F1051" s="14">
        <f>Data!H1051</f>
        <v>165438514304</v>
      </c>
      <c r="G1051" s="12">
        <f t="shared" si="16"/>
        <v>0.28761373973998233</v>
      </c>
    </row>
    <row r="1052" spans="2:7" ht="15" customHeight="1" x14ac:dyDescent="0.3">
      <c r="C1052" s="2"/>
      <c r="D1052" s="8">
        <v>2019</v>
      </c>
      <c r="E1052" s="14">
        <f>Data!E1052</f>
        <v>35967111031</v>
      </c>
      <c r="F1052" s="14">
        <f>Data!H1052</f>
        <v>174880404531</v>
      </c>
      <c r="G1052" s="12">
        <f t="shared" si="16"/>
        <v>0.20566690206062696</v>
      </c>
    </row>
    <row r="1053" spans="2:7" ht="15" customHeight="1" x14ac:dyDescent="0.3">
      <c r="C1053" s="2"/>
      <c r="D1053" s="8">
        <v>2020</v>
      </c>
      <c r="E1053" s="14">
        <f>Data!E1053</f>
        <v>78276193765</v>
      </c>
      <c r="F1053" s="14">
        <f>Data!H1053</f>
        <v>169182471154</v>
      </c>
      <c r="G1053" s="12">
        <f t="shared" si="16"/>
        <v>0.46267319085171849</v>
      </c>
    </row>
    <row r="1054" spans="2:7" ht="15" customHeight="1" x14ac:dyDescent="0.3">
      <c r="C1054" s="2"/>
      <c r="D1054" s="8">
        <v>2021</v>
      </c>
      <c r="E1054" s="14">
        <f>Data!E1054</f>
        <v>63562053431</v>
      </c>
      <c r="F1054" s="14">
        <f>Data!H1054</f>
        <v>222775899875</v>
      </c>
      <c r="G1054" s="12">
        <f t="shared" si="16"/>
        <v>0.28531835565096941</v>
      </c>
    </row>
    <row r="1055" spans="2:7" ht="15" customHeight="1" x14ac:dyDescent="0.3">
      <c r="C1055" s="2"/>
      <c r="D1055" s="8">
        <v>2022</v>
      </c>
      <c r="E1055" s="14">
        <f>Data!E1055</f>
        <v>60289877256</v>
      </c>
      <c r="F1055" s="14">
        <f>Data!H1055</f>
        <v>222589977877</v>
      </c>
      <c r="G1055" s="12">
        <f t="shared" si="16"/>
        <v>0.27085620759311685</v>
      </c>
    </row>
    <row r="1056" spans="2:7" ht="15" customHeight="1" x14ac:dyDescent="0.3">
      <c r="C1056" s="2"/>
      <c r="D1056" s="8">
        <v>2023</v>
      </c>
      <c r="E1056" s="14">
        <f>Data!E1056</f>
        <v>52983049082</v>
      </c>
      <c r="F1056" s="14">
        <f>Data!H1056</f>
        <v>313204489304</v>
      </c>
      <c r="G1056" s="12">
        <f t="shared" si="16"/>
        <v>0.16916439863214738</v>
      </c>
    </row>
    <row r="1057" spans="2:7" ht="15" customHeight="1" x14ac:dyDescent="0.3">
      <c r="C1057" s="2"/>
      <c r="D1057" s="8">
        <v>2024</v>
      </c>
      <c r="E1057" s="14">
        <f>Data!E1057</f>
        <v>82533283904</v>
      </c>
      <c r="F1057" s="14">
        <f>Data!H1057</f>
        <v>347898320669</v>
      </c>
      <c r="G1057" s="12">
        <f t="shared" si="16"/>
        <v>0.23723392439863034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Data!E1058</f>
        <v>0</v>
      </c>
      <c r="F1058" s="14">
        <f>Data!H1058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Data!E1059</f>
        <v>0</v>
      </c>
      <c r="F1059" s="14">
        <f>Data!H1059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Data!E1060</f>
        <v>0</v>
      </c>
      <c r="F1060" s="14">
        <f>Data!H1060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Data!E1061</f>
        <v>4947000000</v>
      </c>
      <c r="F1061" s="14">
        <f>Data!H1061</f>
        <v>36385000000</v>
      </c>
      <c r="G1061" s="12">
        <f t="shared" si="16"/>
        <v>0.13596262195959874</v>
      </c>
    </row>
    <row r="1062" spans="2:7" ht="15" customHeight="1" x14ac:dyDescent="0.3">
      <c r="C1062" s="2"/>
      <c r="D1062" s="8">
        <v>2018</v>
      </c>
      <c r="E1062" s="14">
        <f>Data!E1062</f>
        <v>9622000000</v>
      </c>
      <c r="F1062" s="14">
        <f>Data!H1062</f>
        <v>51794000000</v>
      </c>
      <c r="G1062" s="12">
        <f t="shared" si="16"/>
        <v>0.18577441402479053</v>
      </c>
    </row>
    <row r="1063" spans="2:7" ht="15" customHeight="1" x14ac:dyDescent="0.3">
      <c r="C1063" s="2"/>
      <c r="D1063" s="8">
        <v>2019</v>
      </c>
      <c r="E1063" s="14">
        <f>Data!E1063</f>
        <v>52011000000</v>
      </c>
      <c r="F1063" s="14">
        <f>Data!H1063</f>
        <v>57546000000</v>
      </c>
      <c r="G1063" s="12">
        <f t="shared" si="16"/>
        <v>0.90381607757272442</v>
      </c>
    </row>
    <row r="1064" spans="2:7" ht="15" customHeight="1" x14ac:dyDescent="0.3">
      <c r="C1064" s="2"/>
      <c r="D1064" s="8">
        <v>2020</v>
      </c>
      <c r="E1064" s="14">
        <f>Data!E1064</f>
        <v>44795000000</v>
      </c>
      <c r="F1064" s="14">
        <f>Data!H1064</f>
        <v>49670000000</v>
      </c>
      <c r="G1064" s="12">
        <f t="shared" si="16"/>
        <v>0.90185222468290716</v>
      </c>
    </row>
    <row r="1065" spans="2:7" ht="15" customHeight="1" x14ac:dyDescent="0.3">
      <c r="C1065" s="2"/>
      <c r="D1065" s="8">
        <v>2021</v>
      </c>
      <c r="E1065" s="14">
        <f>Data!E1065</f>
        <v>26894000000</v>
      </c>
      <c r="F1065" s="14">
        <f>Data!H1065</f>
        <v>101252000000</v>
      </c>
      <c r="G1065" s="12">
        <f t="shared" si="16"/>
        <v>0.26561450638012091</v>
      </c>
    </row>
    <row r="1066" spans="2:7" ht="15" customHeight="1" x14ac:dyDescent="0.3">
      <c r="C1066" s="2"/>
      <c r="D1066" s="8">
        <v>2022</v>
      </c>
      <c r="E1066" s="14">
        <f>Data!E1066</f>
        <v>9318000000</v>
      </c>
      <c r="F1066" s="14">
        <f>Data!H1066</f>
        <v>67472000000</v>
      </c>
      <c r="G1066" s="12">
        <f t="shared" si="16"/>
        <v>0.1381017310884515</v>
      </c>
    </row>
    <row r="1067" spans="2:7" ht="15" customHeight="1" x14ac:dyDescent="0.3">
      <c r="C1067" s="2"/>
      <c r="D1067" s="8">
        <v>2023</v>
      </c>
      <c r="E1067" s="14">
        <f>Data!E1067</f>
        <v>37949000000</v>
      </c>
      <c r="F1067" s="14">
        <f>Data!H1067</f>
        <v>129755000000</v>
      </c>
      <c r="G1067" s="12">
        <f t="shared" si="16"/>
        <v>0.29246657161573736</v>
      </c>
    </row>
    <row r="1068" spans="2:7" ht="15" customHeight="1" x14ac:dyDescent="0.3">
      <c r="C1068" s="2"/>
      <c r="D1068" s="8">
        <v>2024</v>
      </c>
      <c r="E1068" s="14">
        <f>Data!E1068</f>
        <v>29058000000</v>
      </c>
      <c r="F1068" s="14">
        <f>Data!H1068</f>
        <v>147238000000</v>
      </c>
      <c r="G1068" s="12">
        <f t="shared" si="16"/>
        <v>0.19735394395468561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Data!E1069</f>
        <v>0</v>
      </c>
      <c r="F1069" s="14">
        <f>Data!H1069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Data!E1070</f>
        <v>0</v>
      </c>
      <c r="F1070" s="14">
        <f>Data!H1070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Data!E1071</f>
        <v>0</v>
      </c>
      <c r="F1071" s="14">
        <f>Data!H1071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Data!E1072</f>
        <v>22378720000</v>
      </c>
      <c r="F1072" s="14">
        <f>Data!H1072</f>
        <v>71592790000</v>
      </c>
      <c r="G1072" s="12">
        <f t="shared" si="16"/>
        <v>0.31258343193497556</v>
      </c>
    </row>
    <row r="1073" spans="2:7" ht="15" customHeight="1" x14ac:dyDescent="0.3">
      <c r="C1073" s="2"/>
      <c r="D1073" s="8">
        <v>2018</v>
      </c>
      <c r="E1073" s="14">
        <f>Data!E1073</f>
        <v>16448410000</v>
      </c>
      <c r="F1073" s="14">
        <f>Data!H1073</f>
        <v>90213460000</v>
      </c>
      <c r="G1073" s="12">
        <f t="shared" si="16"/>
        <v>0.18232767039419617</v>
      </c>
    </row>
    <row r="1074" spans="2:7" ht="15" customHeight="1" x14ac:dyDescent="0.3">
      <c r="C1074" s="2"/>
      <c r="D1074" s="8">
        <v>2019</v>
      </c>
      <c r="E1074" s="14">
        <f>Data!E1074</f>
        <v>8853680000</v>
      </c>
      <c r="F1074" s="14">
        <f>Data!H1074</f>
        <v>67526820000.000008</v>
      </c>
      <c r="G1074" s="12">
        <f t="shared" si="16"/>
        <v>0.13111353385217903</v>
      </c>
    </row>
    <row r="1075" spans="2:7" ht="15" customHeight="1" x14ac:dyDescent="0.3">
      <c r="C1075" s="2"/>
      <c r="D1075" s="8">
        <v>2020</v>
      </c>
      <c r="E1075" s="14">
        <f>Data!E1075</f>
        <v>9225520000</v>
      </c>
      <c r="F1075" s="14">
        <f>Data!H1075</f>
        <v>99569210000</v>
      </c>
      <c r="G1075" s="12">
        <f t="shared" si="16"/>
        <v>9.2654345655649978E-2</v>
      </c>
    </row>
    <row r="1076" spans="2:7" ht="15" customHeight="1" x14ac:dyDescent="0.3">
      <c r="C1076" s="2"/>
      <c r="D1076" s="8">
        <v>2021</v>
      </c>
      <c r="E1076" s="14">
        <f>Data!E1076</f>
        <v>14606400000</v>
      </c>
      <c r="F1076" s="14">
        <f>Data!H1076</f>
        <v>105411690000</v>
      </c>
      <c r="G1076" s="12">
        <f t="shared" si="16"/>
        <v>0.13856527677338254</v>
      </c>
    </row>
    <row r="1077" spans="2:7" ht="15" customHeight="1" x14ac:dyDescent="0.3">
      <c r="C1077" s="2"/>
      <c r="D1077" s="8">
        <v>2022</v>
      </c>
      <c r="E1077" s="14">
        <f>Data!E1077</f>
        <v>29792320000</v>
      </c>
      <c r="F1077" s="14">
        <f>Data!H1077</f>
        <v>106391240000</v>
      </c>
      <c r="G1077" s="12">
        <f t="shared" si="16"/>
        <v>0.28002606229610633</v>
      </c>
    </row>
    <row r="1078" spans="2:7" ht="15" customHeight="1" x14ac:dyDescent="0.3">
      <c r="C1078" s="2"/>
      <c r="D1078" s="8">
        <v>2023</v>
      </c>
      <c r="E1078" s="14">
        <f>Data!E1078</f>
        <v>45895160000</v>
      </c>
      <c r="F1078" s="14">
        <f>Data!H1078</f>
        <v>107575740000</v>
      </c>
      <c r="G1078" s="12">
        <f t="shared" si="16"/>
        <v>0.42663113449184731</v>
      </c>
    </row>
    <row r="1079" spans="2:7" ht="15" customHeight="1" x14ac:dyDescent="0.3">
      <c r="C1079" s="2"/>
      <c r="D1079" s="8">
        <v>2024</v>
      </c>
      <c r="E1079" s="14">
        <f>Data!E1079</f>
        <v>63011100000</v>
      </c>
      <c r="F1079" s="14">
        <f>Data!H1079</f>
        <v>82817300000</v>
      </c>
      <c r="G1079" s="12">
        <f t="shared" si="16"/>
        <v>0.76084465443814275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Data!E1080</f>
        <v>0</v>
      </c>
      <c r="F1080" s="14">
        <f>Data!H1080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Data!E1081</f>
        <v>0</v>
      </c>
      <c r="F1081" s="14">
        <f>Data!H1081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Data!E1082</f>
        <v>0</v>
      </c>
      <c r="F1082" s="14">
        <f>Data!H1082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Data!E1083</f>
        <v>0</v>
      </c>
      <c r="F1083" s="14">
        <f>Data!H1083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Data!E1084</f>
        <v>0</v>
      </c>
      <c r="F1084" s="14">
        <f>Data!H1084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Data!E1085</f>
        <v>0</v>
      </c>
      <c r="F1085" s="14">
        <f>Data!H1085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Data!E1086</f>
        <v>0</v>
      </c>
      <c r="F1086" s="14">
        <f>Data!H1086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Data!E1087</f>
        <v>45076000000</v>
      </c>
      <c r="F1087" s="14">
        <f>Data!H1087</f>
        <v>259571000000</v>
      </c>
      <c r="G1087" s="12">
        <f t="shared" si="16"/>
        <v>0.17365576277781417</v>
      </c>
    </row>
    <row r="1088" spans="2:7" ht="15" customHeight="1" x14ac:dyDescent="0.3">
      <c r="C1088" s="2"/>
      <c r="D1088" s="8">
        <v>2022</v>
      </c>
      <c r="E1088" s="14">
        <f>Data!E1088</f>
        <v>94604000000</v>
      </c>
      <c r="F1088" s="14">
        <f>Data!H1088</f>
        <v>337904000000</v>
      </c>
      <c r="G1088" s="12">
        <f t="shared" si="16"/>
        <v>0.2799730100857048</v>
      </c>
    </row>
    <row r="1089" spans="2:7" ht="15" customHeight="1" x14ac:dyDescent="0.3">
      <c r="C1089" s="2"/>
      <c r="D1089" s="8">
        <v>2023</v>
      </c>
      <c r="E1089" s="14">
        <f>Data!E1089</f>
        <v>1919000000</v>
      </c>
      <c r="F1089" s="14">
        <f>Data!H1089</f>
        <v>313105000000</v>
      </c>
      <c r="G1089" s="12">
        <f t="shared" si="16"/>
        <v>6.1289343830344453E-3</v>
      </c>
    </row>
    <row r="1090" spans="2:7" ht="15" customHeight="1" x14ac:dyDescent="0.3">
      <c r="C1090" s="2"/>
      <c r="D1090" s="8">
        <v>2024</v>
      </c>
      <c r="E1090" s="14">
        <f>Data!E1090</f>
        <v>2070000000</v>
      </c>
      <c r="F1090" s="14">
        <f>Data!H1090</f>
        <v>347075000000</v>
      </c>
      <c r="G1090" s="12">
        <f t="shared" si="16"/>
        <v>5.9641287906072177E-3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Data!E1091</f>
        <v>0</v>
      </c>
      <c r="F1091" s="14">
        <f>Data!H1091</f>
        <v>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Data!E1092</f>
        <v>1564000000</v>
      </c>
      <c r="F1092" s="14">
        <f>Data!H1092</f>
        <v>4349000000</v>
      </c>
      <c r="G1092" s="12">
        <f t="shared" si="17"/>
        <v>0.35962290181650952</v>
      </c>
    </row>
    <row r="1093" spans="2:7" ht="15" customHeight="1" x14ac:dyDescent="0.3">
      <c r="C1093" s="2"/>
      <c r="D1093" s="8">
        <v>2016</v>
      </c>
      <c r="E1093" s="14">
        <f>Data!E1093</f>
        <v>2928000000</v>
      </c>
      <c r="F1093" s="14">
        <f>Data!H1093</f>
        <v>6228000000</v>
      </c>
      <c r="G1093" s="12">
        <f t="shared" si="17"/>
        <v>0.47013487475915222</v>
      </c>
    </row>
    <row r="1094" spans="2:7" ht="15" customHeight="1" x14ac:dyDescent="0.3">
      <c r="C1094" s="2"/>
      <c r="D1094" s="8">
        <v>2017</v>
      </c>
      <c r="E1094" s="14">
        <f>Data!E1094</f>
        <v>1023000000</v>
      </c>
      <c r="F1094" s="14">
        <f>Data!H1094</f>
        <v>8040000000</v>
      </c>
      <c r="G1094" s="12">
        <f t="shared" si="17"/>
        <v>0.12723880597014925</v>
      </c>
    </row>
    <row r="1095" spans="2:7" ht="15" customHeight="1" x14ac:dyDescent="0.3">
      <c r="C1095" s="2"/>
      <c r="D1095" s="8">
        <v>2018</v>
      </c>
      <c r="E1095" s="14">
        <f>Data!E1095</f>
        <v>1569000000</v>
      </c>
      <c r="F1095" s="14">
        <f>Data!H1095</f>
        <v>18070000000</v>
      </c>
      <c r="G1095" s="12">
        <f t="shared" si="17"/>
        <v>8.6828998339789701E-2</v>
      </c>
    </row>
    <row r="1096" spans="2:7" ht="15" customHeight="1" x14ac:dyDescent="0.3">
      <c r="C1096" s="2"/>
      <c r="D1096" s="8">
        <v>2019</v>
      </c>
      <c r="E1096" s="14">
        <f>Data!E1096</f>
        <v>35938000000</v>
      </c>
      <c r="F1096" s="14">
        <f>Data!H1096</f>
        <v>141519000000</v>
      </c>
      <c r="G1096" s="12">
        <f t="shared" si="17"/>
        <v>0.25394470000494634</v>
      </c>
    </row>
    <row r="1097" spans="2:7" ht="15" customHeight="1" x14ac:dyDescent="0.3">
      <c r="C1097" s="2"/>
      <c r="D1097" s="8">
        <v>2020</v>
      </c>
      <c r="E1097" s="14">
        <f>Data!E1097</f>
        <v>7009000000</v>
      </c>
      <c r="F1097" s="14">
        <f>Data!H1097</f>
        <v>91855000000</v>
      </c>
      <c r="G1097" s="12">
        <f t="shared" si="17"/>
        <v>7.6305045996407375E-2</v>
      </c>
    </row>
    <row r="1098" spans="2:7" ht="15" customHeight="1" x14ac:dyDescent="0.3">
      <c r="C1098" s="2"/>
      <c r="D1098" s="8">
        <v>2021</v>
      </c>
      <c r="E1098" s="14">
        <f>Data!E1098</f>
        <v>10515000000</v>
      </c>
      <c r="F1098" s="14">
        <f>Data!H1098</f>
        <v>113472000000</v>
      </c>
      <c r="G1098" s="12">
        <f t="shared" si="17"/>
        <v>9.2666032148900165E-2</v>
      </c>
    </row>
    <row r="1099" spans="2:7" ht="15" customHeight="1" x14ac:dyDescent="0.3">
      <c r="C1099" s="2"/>
      <c r="D1099" s="8">
        <v>2022</v>
      </c>
      <c r="E1099" s="14">
        <f>Data!E1099</f>
        <v>3837000000</v>
      </c>
      <c r="F1099" s="14">
        <f>Data!H1099</f>
        <v>97248000000</v>
      </c>
      <c r="G1099" s="12">
        <f t="shared" si="17"/>
        <v>3.9455824284304046E-2</v>
      </c>
    </row>
    <row r="1100" spans="2:7" ht="15" customHeight="1" x14ac:dyDescent="0.3">
      <c r="C1100" s="2"/>
      <c r="D1100" s="8">
        <v>2023</v>
      </c>
      <c r="E1100" s="14">
        <f>Data!E1100</f>
        <v>184673000000</v>
      </c>
      <c r="F1100" s="14">
        <f>Data!H1100</f>
        <v>82789000000</v>
      </c>
      <c r="G1100" s="12">
        <f t="shared" si="17"/>
        <v>2.2306465834833129</v>
      </c>
    </row>
    <row r="1101" spans="2:7" ht="15" customHeight="1" x14ac:dyDescent="0.3">
      <c r="C1101" s="2"/>
      <c r="D1101" s="8">
        <v>2024</v>
      </c>
      <c r="E1101" s="14">
        <f>Data!E1101</f>
        <v>237041000000</v>
      </c>
      <c r="F1101" s="14">
        <f>Data!H1101</f>
        <v>70301000000</v>
      </c>
      <c r="G1101" s="12">
        <f t="shared" si="17"/>
        <v>3.3718012546051979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Data!E1102</f>
        <v>0</v>
      </c>
      <c r="F1102" s="14">
        <f>Data!H1102</f>
        <v>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Data!E1103</f>
        <v>68782000000</v>
      </c>
      <c r="F1103" s="14">
        <f>Data!H1103</f>
        <v>488901000000</v>
      </c>
      <c r="G1103" s="12">
        <f t="shared" si="17"/>
        <v>0.14068696934553213</v>
      </c>
    </row>
    <row r="1104" spans="2:7" ht="15" customHeight="1" x14ac:dyDescent="0.3">
      <c r="C1104" s="2"/>
      <c r="D1104" s="8">
        <v>2016</v>
      </c>
      <c r="E1104" s="14">
        <f>Data!E1104</f>
        <v>46755000000</v>
      </c>
      <c r="F1104" s="14">
        <f>Data!H1104</f>
        <v>469691000000</v>
      </c>
      <c r="G1104" s="12">
        <f t="shared" si="17"/>
        <v>9.9544168400075794E-2</v>
      </c>
    </row>
    <row r="1105" spans="2:7" ht="15" customHeight="1" x14ac:dyDescent="0.3">
      <c r="C1105" s="2"/>
      <c r="D1105" s="8">
        <v>2017</v>
      </c>
      <c r="E1105" s="14">
        <f>Data!E1105</f>
        <v>146390000000</v>
      </c>
      <c r="F1105" s="14">
        <f>Data!H1106</f>
        <v>1905285000000</v>
      </c>
      <c r="G1105" s="12">
        <f t="shared" si="17"/>
        <v>7.6833649558989858E-2</v>
      </c>
    </row>
    <row r="1106" spans="2:7" ht="15" customHeight="1" x14ac:dyDescent="0.3">
      <c r="C1106" s="2"/>
      <c r="D1106" s="8">
        <v>2018</v>
      </c>
      <c r="E1106" s="14">
        <f>Data!E1106</f>
        <v>168843000000</v>
      </c>
      <c r="F1106" s="14" t="e">
        <f>Data!#REF!</f>
        <v>#REF!</v>
      </c>
      <c r="G1106" s="12">
        <f t="shared" si="17"/>
        <v>0</v>
      </c>
    </row>
    <row r="1107" spans="2:7" ht="15" customHeight="1" x14ac:dyDescent="0.3">
      <c r="C1107" s="2"/>
      <c r="D1107" s="8">
        <v>2019</v>
      </c>
      <c r="E1107" s="14">
        <f>Data!E1107</f>
        <v>270910000000</v>
      </c>
      <c r="F1107" s="14">
        <f>Data!H1107</f>
        <v>1788693000000</v>
      </c>
      <c r="G1107" s="12">
        <f t="shared" si="17"/>
        <v>0.15145695767803641</v>
      </c>
    </row>
    <row r="1108" spans="2:7" ht="15" customHeight="1" x14ac:dyDescent="0.3">
      <c r="C1108" s="2"/>
      <c r="D1108" s="8">
        <v>2020</v>
      </c>
      <c r="E1108" s="14">
        <f>Data!E1108</f>
        <v>513921000000</v>
      </c>
      <c r="F1108" s="14">
        <f>Data!H1108</f>
        <v>1926735000000</v>
      </c>
      <c r="G1108" s="12">
        <f t="shared" si="17"/>
        <v>0.26673154325841386</v>
      </c>
    </row>
    <row r="1109" spans="2:7" ht="15" customHeight="1" x14ac:dyDescent="0.3">
      <c r="C1109" s="2"/>
      <c r="D1109" s="8">
        <v>2021</v>
      </c>
      <c r="E1109" s="14">
        <f>Data!E1109</f>
        <v>493638000000</v>
      </c>
      <c r="F1109" s="14">
        <f>Data!H1109</f>
        <v>1881779000000</v>
      </c>
      <c r="G1109" s="12">
        <f t="shared" si="17"/>
        <v>0.2623251720845009</v>
      </c>
    </row>
    <row r="1110" spans="2:7" ht="15" customHeight="1" x14ac:dyDescent="0.3">
      <c r="C1110" s="2"/>
      <c r="D1110" s="8">
        <v>2022</v>
      </c>
      <c r="E1110" s="14">
        <f>Data!E1110</f>
        <v>428420000000</v>
      </c>
      <c r="F1110" s="14">
        <f>Data!H1110</f>
        <v>2960094000000</v>
      </c>
      <c r="G1110" s="12">
        <f t="shared" si="17"/>
        <v>0.14473189027105221</v>
      </c>
    </row>
    <row r="1111" spans="2:7" ht="15" customHeight="1" x14ac:dyDescent="0.3">
      <c r="C1111" s="2"/>
      <c r="D1111" s="8">
        <v>2023</v>
      </c>
      <c r="E1111" s="14">
        <f>Data!E1111</f>
        <v>684066000000</v>
      </c>
      <c r="F1111" s="14">
        <f>Data!H1111</f>
        <v>2554865000000</v>
      </c>
      <c r="G1111" s="12">
        <f t="shared" si="17"/>
        <v>0.26775035080131437</v>
      </c>
    </row>
    <row r="1112" spans="2:7" ht="15" customHeight="1" x14ac:dyDescent="0.3">
      <c r="C1112" s="2"/>
      <c r="D1112" s="8">
        <v>2024</v>
      </c>
      <c r="E1112" s="14">
        <f>Data!E1112</f>
        <v>414121000000</v>
      </c>
      <c r="F1112" s="14">
        <f>Data!H1112</f>
        <v>2594531000000</v>
      </c>
      <c r="G1112" s="12">
        <f t="shared" si="17"/>
        <v>0.15961304759896874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Data!E1113</f>
        <v>0</v>
      </c>
      <c r="F1113" s="14">
        <f>Data!H1113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Data!E1114</f>
        <v>7051000000</v>
      </c>
      <c r="F1114" s="14">
        <f>Data!H1114</f>
        <v>1340000000</v>
      </c>
      <c r="G1114" s="12">
        <f t="shared" si="17"/>
        <v>5.2619402985074624</v>
      </c>
    </row>
    <row r="1115" spans="2:7" ht="15" customHeight="1" x14ac:dyDescent="0.3">
      <c r="C1115" s="1"/>
      <c r="D1115" s="8">
        <v>2016</v>
      </c>
      <c r="E1115" s="14">
        <f>Data!E1115</f>
        <v>3615000000</v>
      </c>
      <c r="F1115" s="14">
        <f>Data!H1115</f>
        <v>1181000000</v>
      </c>
      <c r="G1115" s="12">
        <f t="shared" si="17"/>
        <v>3.0609652836579171</v>
      </c>
    </row>
    <row r="1116" spans="2:7" ht="15" customHeight="1" x14ac:dyDescent="0.3">
      <c r="C1116" s="1"/>
      <c r="D1116" s="8">
        <v>2017</v>
      </c>
      <c r="E1116" s="14">
        <f>Data!E1116</f>
        <v>4978000000</v>
      </c>
      <c r="F1116" s="14">
        <f>Data!H1116</f>
        <v>111000000</v>
      </c>
      <c r="G1116" s="12">
        <f t="shared" si="17"/>
        <v>44.846846846846844</v>
      </c>
    </row>
    <row r="1117" spans="2:7" ht="15" customHeight="1" x14ac:dyDescent="0.3">
      <c r="C1117" s="1"/>
      <c r="D1117" s="8">
        <v>2018</v>
      </c>
      <c r="E1117" s="14">
        <f>Data!E1117</f>
        <v>3718000000</v>
      </c>
      <c r="F1117" s="14">
        <f>Data!H1117</f>
        <v>1641000000</v>
      </c>
      <c r="G1117" s="12">
        <f t="shared" si="17"/>
        <v>2.2656916514320535</v>
      </c>
    </row>
    <row r="1118" spans="2:7" ht="15" customHeight="1" x14ac:dyDescent="0.3">
      <c r="C1118" s="1"/>
      <c r="D1118" s="8">
        <v>2019</v>
      </c>
      <c r="E1118" s="14">
        <f>Data!E1118</f>
        <v>5606000000</v>
      </c>
      <c r="F1118" s="14">
        <f>Data!H1118</f>
        <v>274000000</v>
      </c>
      <c r="G1118" s="12">
        <f t="shared" si="17"/>
        <v>20.459854014598541</v>
      </c>
    </row>
    <row r="1119" spans="2:7" ht="15" customHeight="1" x14ac:dyDescent="0.3">
      <c r="C1119" s="1"/>
      <c r="D1119" s="8">
        <v>2020</v>
      </c>
      <c r="E1119" s="14">
        <f>Data!E1119</f>
        <v>4725000000</v>
      </c>
      <c r="F1119" s="14">
        <f>Data!H1119</f>
        <v>700000000</v>
      </c>
      <c r="G1119" s="12">
        <f t="shared" si="17"/>
        <v>6.75</v>
      </c>
    </row>
    <row r="1120" spans="2:7" ht="15" customHeight="1" x14ac:dyDescent="0.3">
      <c r="C1120" s="1"/>
      <c r="D1120" s="8">
        <v>2021</v>
      </c>
      <c r="E1120" s="14">
        <f>Data!E1120</f>
        <v>6874000000</v>
      </c>
      <c r="F1120" s="14">
        <f>Data!H1120</f>
        <v>993000000</v>
      </c>
      <c r="G1120" s="12">
        <f t="shared" si="17"/>
        <v>6.9224572004028193</v>
      </c>
    </row>
    <row r="1121" spans="2:7" ht="15" customHeight="1" x14ac:dyDescent="0.3">
      <c r="C1121" s="1"/>
      <c r="D1121" s="8">
        <v>2022</v>
      </c>
      <c r="E1121" s="14">
        <f>Data!E1121</f>
        <v>4436000000</v>
      </c>
      <c r="F1121" s="14">
        <f>Data!H1121</f>
        <v>555000000</v>
      </c>
      <c r="G1121" s="12">
        <f t="shared" si="17"/>
        <v>7.9927927927927929</v>
      </c>
    </row>
    <row r="1122" spans="2:7" ht="15" customHeight="1" x14ac:dyDescent="0.3">
      <c r="C1122" s="1"/>
      <c r="D1122" s="8">
        <v>2023</v>
      </c>
      <c r="E1122" s="14">
        <f>Data!E1122</f>
        <v>3645000000</v>
      </c>
      <c r="F1122" s="14">
        <f>Data!H1122</f>
        <v>736000000</v>
      </c>
      <c r="G1122" s="12">
        <f t="shared" si="17"/>
        <v>4.9524456521739131</v>
      </c>
    </row>
    <row r="1123" spans="2:7" ht="15" customHeight="1" x14ac:dyDescent="0.3">
      <c r="C1123" s="1"/>
      <c r="D1123" s="8">
        <v>2024</v>
      </c>
      <c r="E1123" s="14">
        <f>Data!E1123</f>
        <v>3585000000</v>
      </c>
      <c r="F1123" s="14">
        <f>Data!H1123</f>
        <v>123000000</v>
      </c>
      <c r="G1123" s="12">
        <f t="shared" si="17"/>
        <v>29.146341463414632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Data!E1124</f>
        <v>0</v>
      </c>
      <c r="F1124" s="14">
        <f>Data!H1124</f>
        <v>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Data!E1125</f>
        <v>12417000000</v>
      </c>
      <c r="F1125" s="14">
        <f>Data!H1125</f>
        <v>39911000000</v>
      </c>
      <c r="G1125" s="12">
        <f t="shared" si="17"/>
        <v>0.31111723584976575</v>
      </c>
    </row>
    <row r="1126" spans="2:7" ht="15" customHeight="1" x14ac:dyDescent="0.3">
      <c r="C1126" s="2"/>
      <c r="D1126" s="8">
        <v>2016</v>
      </c>
      <c r="E1126" s="14">
        <f>Data!E1126</f>
        <v>10721000000</v>
      </c>
      <c r="F1126" s="14">
        <f>Data!H1126</f>
        <v>19425000000</v>
      </c>
      <c r="G1126" s="12">
        <f t="shared" si="17"/>
        <v>0.55191763191763188</v>
      </c>
    </row>
    <row r="1127" spans="2:7" ht="15" customHeight="1" x14ac:dyDescent="0.3">
      <c r="C1127" s="2"/>
      <c r="D1127" s="8">
        <v>2017</v>
      </c>
      <c r="E1127" s="14">
        <f>Data!E1127</f>
        <v>4971000000</v>
      </c>
      <c r="F1127" s="14">
        <f>Data!H1127</f>
        <v>20016000000</v>
      </c>
      <c r="G1127" s="12">
        <f t="shared" si="17"/>
        <v>0.24835131894484413</v>
      </c>
    </row>
    <row r="1128" spans="2:7" ht="15" customHeight="1" x14ac:dyDescent="0.3">
      <c r="C1128" s="2"/>
      <c r="D1128" s="8">
        <v>2018</v>
      </c>
      <c r="E1128" s="14">
        <f>Data!E1128</f>
        <v>9947000000</v>
      </c>
      <c r="F1128" s="14">
        <f>Data!H1129</f>
        <v>18415000000</v>
      </c>
      <c r="G1128" s="12">
        <f t="shared" si="17"/>
        <v>0.54015748031496058</v>
      </c>
    </row>
    <row r="1129" spans="2:7" ht="15" customHeight="1" x14ac:dyDescent="0.3">
      <c r="C1129" s="2"/>
      <c r="D1129" s="8">
        <v>2019</v>
      </c>
      <c r="E1129" s="14">
        <f>Data!E1129</f>
        <v>23409000000</v>
      </c>
      <c r="F1129" s="14" t="e">
        <f>Data!#REF!</f>
        <v>#REF!</v>
      </c>
      <c r="G1129" s="12">
        <f t="shared" si="17"/>
        <v>0</v>
      </c>
    </row>
    <row r="1130" spans="2:7" ht="15" customHeight="1" x14ac:dyDescent="0.3">
      <c r="C1130" s="2"/>
      <c r="D1130" s="8">
        <v>2020</v>
      </c>
      <c r="E1130" s="14">
        <f>Data!E1130</f>
        <v>64260000000</v>
      </c>
      <c r="F1130" s="14">
        <f>Data!H1130</f>
        <v>34058000000</v>
      </c>
      <c r="G1130" s="12">
        <f t="shared" si="17"/>
        <v>1.8867813729520231</v>
      </c>
    </row>
    <row r="1131" spans="2:7" ht="15" customHeight="1" x14ac:dyDescent="0.3">
      <c r="C1131" s="2"/>
      <c r="D1131" s="8">
        <v>2021</v>
      </c>
      <c r="E1131" s="14">
        <f>Data!E1131</f>
        <v>30537000000</v>
      </c>
      <c r="F1131" s="14">
        <f>Data!H1131</f>
        <v>47109000000</v>
      </c>
      <c r="G1131" s="12">
        <f t="shared" si="17"/>
        <v>0.64822008533401265</v>
      </c>
    </row>
    <row r="1132" spans="2:7" ht="15" customHeight="1" x14ac:dyDescent="0.3">
      <c r="C1132" s="2"/>
      <c r="D1132" s="8">
        <v>2022</v>
      </c>
      <c r="E1132" s="14">
        <f>Data!E1132</f>
        <v>29622000000</v>
      </c>
      <c r="F1132" s="14">
        <f>Data!H1132</f>
        <v>65212000000</v>
      </c>
      <c r="G1132" s="12">
        <f t="shared" si="17"/>
        <v>0.4542415506348525</v>
      </c>
    </row>
    <row r="1133" spans="2:7" ht="15" customHeight="1" x14ac:dyDescent="0.3">
      <c r="C1133" s="2"/>
      <c r="D1133" s="8">
        <v>2023</v>
      </c>
      <c r="E1133" s="14">
        <f>Data!E1133</f>
        <v>17704000000</v>
      </c>
      <c r="F1133" s="14">
        <f>Data!H1133</f>
        <v>51047000000</v>
      </c>
      <c r="G1133" s="12">
        <f t="shared" si="17"/>
        <v>0.34681763864673731</v>
      </c>
    </row>
    <row r="1134" spans="2:7" ht="15" customHeight="1" x14ac:dyDescent="0.3">
      <c r="C1134" s="2"/>
      <c r="D1134" s="8">
        <v>2024</v>
      </c>
      <c r="E1134" s="14">
        <f>Data!E1134</f>
        <v>46047000000</v>
      </c>
      <c r="F1134" s="14">
        <f>Data!H1134</f>
        <v>80450000000</v>
      </c>
      <c r="G1134" s="12">
        <f t="shared" si="17"/>
        <v>0.57236793039154754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Data!E1135</f>
        <v>0</v>
      </c>
      <c r="F1135" s="14">
        <f>Data!H1135</f>
        <v>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Data!E1136</f>
        <v>472000000</v>
      </c>
      <c r="F1136" s="14">
        <f>Data!H1136</f>
        <v>19532000000</v>
      </c>
      <c r="G1136" s="12">
        <f t="shared" si="17"/>
        <v>2.4165472045873437E-2</v>
      </c>
    </row>
    <row r="1137" spans="2:7" ht="15" customHeight="1" x14ac:dyDescent="0.3">
      <c r="C1137" s="2"/>
      <c r="D1137" s="8">
        <v>2016</v>
      </c>
      <c r="E1137" s="14">
        <f>Data!E1137</f>
        <v>153000000</v>
      </c>
      <c r="F1137" s="14">
        <f>Data!H1137</f>
        <v>43459000000</v>
      </c>
      <c r="G1137" s="12">
        <f t="shared" si="17"/>
        <v>3.5205596079063025E-3</v>
      </c>
    </row>
    <row r="1138" spans="2:7" ht="15" customHeight="1" x14ac:dyDescent="0.3">
      <c r="C1138" s="2"/>
      <c r="D1138" s="8">
        <v>2017</v>
      </c>
      <c r="E1138" s="14">
        <f>Data!E1138</f>
        <v>697000000</v>
      </c>
      <c r="F1138" s="14">
        <f>Data!H1138</f>
        <v>283014000000</v>
      </c>
      <c r="G1138" s="12">
        <f t="shared" si="17"/>
        <v>2.4627756930752543E-3</v>
      </c>
    </row>
    <row r="1139" spans="2:7" ht="15" customHeight="1" x14ac:dyDescent="0.3">
      <c r="C1139" s="2"/>
      <c r="D1139" s="8">
        <v>2018</v>
      </c>
      <c r="E1139" s="14">
        <f>Data!E1139</f>
        <v>538000000</v>
      </c>
      <c r="F1139" s="14">
        <f>Data!H1139</f>
        <v>291073000000</v>
      </c>
      <c r="G1139" s="12">
        <f t="shared" si="17"/>
        <v>1.8483335795487731E-3</v>
      </c>
    </row>
    <row r="1140" spans="2:7" ht="15" customHeight="1" x14ac:dyDescent="0.3">
      <c r="C1140" s="2"/>
      <c r="D1140" s="8">
        <v>2019</v>
      </c>
      <c r="E1140" s="14">
        <f>Data!E1140</f>
        <v>499000000</v>
      </c>
      <c r="F1140" s="14">
        <f>Data!H1140</f>
        <v>219056000000</v>
      </c>
      <c r="G1140" s="12">
        <f t="shared" si="17"/>
        <v>2.2779563216711709E-3</v>
      </c>
    </row>
    <row r="1141" spans="2:7" ht="15" customHeight="1" x14ac:dyDescent="0.3">
      <c r="C1141" s="2"/>
      <c r="D1141" s="8">
        <v>2020</v>
      </c>
      <c r="E1141" s="14">
        <f>Data!E1141</f>
        <v>225000000</v>
      </c>
      <c r="F1141" s="14">
        <f>Data!H1141</f>
        <v>112999000000</v>
      </c>
      <c r="G1141" s="12">
        <f t="shared" si="17"/>
        <v>1.9911680634341895E-3</v>
      </c>
    </row>
    <row r="1142" spans="2:7" ht="15" customHeight="1" x14ac:dyDescent="0.3">
      <c r="C1142" s="2"/>
      <c r="D1142" s="8">
        <v>2021</v>
      </c>
      <c r="E1142" s="14">
        <f>Data!E1142</f>
        <v>725000000</v>
      </c>
      <c r="F1142" s="14">
        <f>Data!H1142</f>
        <v>100656000000</v>
      </c>
      <c r="G1142" s="12">
        <f t="shared" si="17"/>
        <v>7.20274996026069E-3</v>
      </c>
    </row>
    <row r="1143" spans="2:7" ht="15" customHeight="1" x14ac:dyDescent="0.3">
      <c r="C1143" s="2"/>
      <c r="D1143" s="8">
        <v>2022</v>
      </c>
      <c r="E1143" s="14">
        <f>Data!E1143</f>
        <v>290000000</v>
      </c>
      <c r="F1143" s="14">
        <f>Data!H1143</f>
        <v>149594000000</v>
      </c>
      <c r="G1143" s="12">
        <f t="shared" si="17"/>
        <v>1.93858042434857E-3</v>
      </c>
    </row>
    <row r="1144" spans="2:7" ht="15" customHeight="1" x14ac:dyDescent="0.3">
      <c r="C1144" s="2"/>
      <c r="D1144" s="8">
        <v>2023</v>
      </c>
      <c r="E1144" s="14">
        <f>Data!E1144</f>
        <v>299000000</v>
      </c>
      <c r="F1144" s="14">
        <f>Data!H1144</f>
        <v>203228000000</v>
      </c>
      <c r="G1144" s="12">
        <f t="shared" si="17"/>
        <v>1.4712539610683567E-3</v>
      </c>
    </row>
    <row r="1145" spans="2:7" ht="15" customHeight="1" x14ac:dyDescent="0.3">
      <c r="C1145" s="2"/>
      <c r="D1145" s="8">
        <v>2024</v>
      </c>
      <c r="E1145" s="14">
        <f>Data!E1145</f>
        <v>586000000</v>
      </c>
      <c r="F1145" s="14">
        <f>Data!H1145</f>
        <v>258144000000</v>
      </c>
      <c r="G1145" s="12">
        <f t="shared" si="17"/>
        <v>2.2700508243461014E-3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Data!E1146</f>
        <v>0</v>
      </c>
      <c r="F1146" s="14">
        <f>Data!H1146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Data!E1147</f>
        <v>0</v>
      </c>
      <c r="F1147" s="14">
        <f>Data!H1147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Data!E1148</f>
        <v>5384000000</v>
      </c>
      <c r="F1148" s="14">
        <f>Data!H1148</f>
        <v>9397000000</v>
      </c>
      <c r="G1148" s="12">
        <f t="shared" si="17"/>
        <v>0.57294881345110138</v>
      </c>
    </row>
    <row r="1149" spans="2:7" ht="15" customHeight="1" x14ac:dyDescent="0.3">
      <c r="C1149" s="1"/>
      <c r="D1149" s="8">
        <v>2017</v>
      </c>
      <c r="E1149" s="14">
        <f>Data!E1149</f>
        <v>1839000000</v>
      </c>
      <c r="F1149" s="14">
        <f>Data!H1149</f>
        <v>7403000000</v>
      </c>
      <c r="G1149" s="12">
        <f t="shared" si="17"/>
        <v>0.24841280561934351</v>
      </c>
    </row>
    <row r="1150" spans="2:7" ht="15" customHeight="1" x14ac:dyDescent="0.3">
      <c r="C1150" s="1"/>
      <c r="D1150" s="8">
        <v>2018</v>
      </c>
      <c r="E1150" s="14">
        <f>Data!E1150</f>
        <v>1468000000</v>
      </c>
      <c r="F1150" s="14">
        <f>Data!H1150</f>
        <v>4082000000</v>
      </c>
      <c r="G1150" s="12">
        <f t="shared" si="17"/>
        <v>0.35962763351298382</v>
      </c>
    </row>
    <row r="1151" spans="2:7" ht="15" customHeight="1" x14ac:dyDescent="0.3">
      <c r="C1151" s="1"/>
      <c r="D1151" s="8">
        <v>2019</v>
      </c>
      <c r="E1151" s="14">
        <f>Data!E1151</f>
        <v>2439000000</v>
      </c>
      <c r="F1151" s="14">
        <f>Data!H1151</f>
        <v>18935000000</v>
      </c>
      <c r="G1151" s="12">
        <f t="shared" si="17"/>
        <v>0.12880908370742011</v>
      </c>
    </row>
    <row r="1152" spans="2:7" ht="15" customHeight="1" x14ac:dyDescent="0.3">
      <c r="C1152" s="1"/>
      <c r="D1152" s="8">
        <v>2020</v>
      </c>
      <c r="E1152" s="14">
        <f>Data!E1152</f>
        <v>3260000000</v>
      </c>
      <c r="F1152" s="14">
        <f>Data!H1152</f>
        <v>20555000000</v>
      </c>
      <c r="G1152" s="12">
        <f t="shared" si="17"/>
        <v>0.15859888105083922</v>
      </c>
    </row>
    <row r="1153" spans="2:7" ht="15" customHeight="1" x14ac:dyDescent="0.3">
      <c r="C1153" s="1"/>
      <c r="D1153" s="8">
        <v>2021</v>
      </c>
      <c r="E1153" s="14">
        <f>Data!E1153</f>
        <v>1969000000</v>
      </c>
      <c r="F1153" s="14">
        <f>Data!H1153</f>
        <v>25229000000</v>
      </c>
      <c r="G1153" s="12">
        <f t="shared" si="17"/>
        <v>7.8045106821514929E-2</v>
      </c>
    </row>
    <row r="1154" spans="2:7" ht="15" customHeight="1" x14ac:dyDescent="0.3">
      <c r="C1154" s="1"/>
      <c r="D1154" s="8">
        <v>2022</v>
      </c>
      <c r="E1154" s="14">
        <f>Data!E1154</f>
        <v>6204000000</v>
      </c>
      <c r="F1154" s="14">
        <f>Data!H1154</f>
        <v>29428000000</v>
      </c>
      <c r="G1154" s="12">
        <f t="shared" si="17"/>
        <v>0.21081962756558381</v>
      </c>
    </row>
    <row r="1155" spans="2:7" ht="15" customHeight="1" x14ac:dyDescent="0.3">
      <c r="C1155" s="1"/>
      <c r="D1155" s="8">
        <v>2023</v>
      </c>
      <c r="E1155" s="14">
        <f>Data!E1155</f>
        <v>5027000000</v>
      </c>
      <c r="F1155" s="14">
        <f>Data!H1155</f>
        <v>30794000000</v>
      </c>
      <c r="G1155" s="12">
        <f t="shared" ref="G1155:G1218" si="18">IFERROR(E1155/F1155,0)</f>
        <v>0.16324608690004547</v>
      </c>
    </row>
    <row r="1156" spans="2:7" ht="15" customHeight="1" x14ac:dyDescent="0.3">
      <c r="C1156" s="1"/>
      <c r="D1156" s="8">
        <v>2024</v>
      </c>
      <c r="E1156" s="14">
        <f>Data!E1156</f>
        <v>4899000000</v>
      </c>
      <c r="F1156" s="14">
        <f>Data!H1156</f>
        <v>25950000000</v>
      </c>
      <c r="G1156" s="12">
        <f t="shared" si="18"/>
        <v>0.18878612716763005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Data!E1157</f>
        <v>0</v>
      </c>
      <c r="F1157" s="14">
        <f>Data!H1157</f>
        <v>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Data!E1158</f>
        <v>52606000000</v>
      </c>
      <c r="F1158" s="14">
        <f>Data!H1158</f>
        <v>511940000000</v>
      </c>
      <c r="G1158" s="12">
        <f t="shared" si="18"/>
        <v>0.10275813571902957</v>
      </c>
    </row>
    <row r="1159" spans="2:7" ht="15" customHeight="1" x14ac:dyDescent="0.3">
      <c r="C1159" s="2"/>
      <c r="D1159" s="8">
        <v>2016</v>
      </c>
      <c r="E1159" s="14">
        <f>Data!E1159</f>
        <v>73479000000</v>
      </c>
      <c r="F1159" s="14">
        <f>Data!H1159</f>
        <v>584313000000</v>
      </c>
      <c r="G1159" s="12">
        <f t="shared" si="18"/>
        <v>0.12575280714274711</v>
      </c>
    </row>
    <row r="1160" spans="2:7" ht="15" customHeight="1" x14ac:dyDescent="0.3">
      <c r="C1160" s="2"/>
      <c r="D1160" s="8">
        <v>2017</v>
      </c>
      <c r="E1160" s="14">
        <f>Data!E1160</f>
        <v>28802000000</v>
      </c>
      <c r="F1160" s="14">
        <f>Data!H1160</f>
        <v>624845000000</v>
      </c>
      <c r="G1160" s="12">
        <f t="shared" si="18"/>
        <v>4.6094631468604215E-2</v>
      </c>
    </row>
    <row r="1161" spans="2:7" ht="15" customHeight="1" x14ac:dyDescent="0.3">
      <c r="C1161" s="2"/>
      <c r="D1161" s="8">
        <v>2018</v>
      </c>
      <c r="E1161" s="14">
        <f>Data!E1161</f>
        <v>44025000000</v>
      </c>
      <c r="F1161" s="14">
        <f>Data!H1161</f>
        <v>446487000000</v>
      </c>
      <c r="G1161" s="12">
        <f t="shared" si="18"/>
        <v>9.8603094826949053E-2</v>
      </c>
    </row>
    <row r="1162" spans="2:7" ht="15" customHeight="1" x14ac:dyDescent="0.3">
      <c r="C1162" s="2"/>
      <c r="D1162" s="8">
        <v>2019</v>
      </c>
      <c r="E1162" s="14">
        <f>Data!E1162</f>
        <v>41326000000</v>
      </c>
      <c r="F1162" s="14">
        <f>Data!H1162</f>
        <v>427673000000</v>
      </c>
      <c r="G1162" s="12">
        <f t="shared" si="18"/>
        <v>9.6629901817510105E-2</v>
      </c>
    </row>
    <row r="1163" spans="2:7" ht="15" customHeight="1" x14ac:dyDescent="0.3">
      <c r="C1163" s="2"/>
      <c r="D1163" s="8">
        <v>2020</v>
      </c>
      <c r="E1163" s="14">
        <f>Data!E1163</f>
        <v>51507000000</v>
      </c>
      <c r="F1163" s="14">
        <f>Data!H1163</f>
        <v>504997000000</v>
      </c>
      <c r="G1163" s="12">
        <f t="shared" si="18"/>
        <v>0.10199466531484346</v>
      </c>
    </row>
    <row r="1164" spans="2:7" ht="15" customHeight="1" x14ac:dyDescent="0.3">
      <c r="C1164" s="2"/>
      <c r="D1164" s="8">
        <v>2021</v>
      </c>
      <c r="E1164" s="14">
        <f>Data!E1164</f>
        <v>47923000000</v>
      </c>
      <c r="F1164" s="14">
        <f>Data!H1164</f>
        <v>503749000000</v>
      </c>
      <c r="G1164" s="12">
        <f t="shared" si="18"/>
        <v>9.5132695052496385E-2</v>
      </c>
    </row>
    <row r="1165" spans="2:7" ht="15" customHeight="1" x14ac:dyDescent="0.3">
      <c r="C1165" s="2"/>
      <c r="D1165" s="8">
        <v>2022</v>
      </c>
      <c r="E1165" s="14">
        <f>Data!E1165</f>
        <v>59791000000</v>
      </c>
      <c r="F1165" s="14">
        <f>Data!H1165</f>
        <v>628663000000</v>
      </c>
      <c r="G1165" s="12">
        <f t="shared" si="18"/>
        <v>9.5108189920513855E-2</v>
      </c>
    </row>
    <row r="1166" spans="2:7" ht="15" customHeight="1" x14ac:dyDescent="0.3">
      <c r="C1166" s="2"/>
      <c r="D1166" s="8">
        <v>2023</v>
      </c>
      <c r="E1166" s="14">
        <f>Data!E1166</f>
        <v>42704000000</v>
      </c>
      <c r="F1166" s="14">
        <f>Data!H1166</f>
        <v>662759000000</v>
      </c>
      <c r="G1166" s="12">
        <f t="shared" si="18"/>
        <v>6.4433678003618211E-2</v>
      </c>
    </row>
    <row r="1167" spans="2:7" ht="15" customHeight="1" x14ac:dyDescent="0.3">
      <c r="C1167" s="2"/>
      <c r="D1167" s="8">
        <v>2024</v>
      </c>
      <c r="E1167" s="14">
        <f>Data!E1167</f>
        <v>28672000000</v>
      </c>
      <c r="F1167" s="14">
        <f>Data!H1167</f>
        <v>769685000000</v>
      </c>
      <c r="G1167" s="12">
        <f t="shared" si="18"/>
        <v>3.725160292847074E-2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Data!E1168</f>
        <v>0</v>
      </c>
      <c r="F1168" s="14">
        <f>Data!H1168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Data!E1169</f>
        <v>0</v>
      </c>
      <c r="F1169" s="14">
        <f>Data!H1169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Data!E1170</f>
        <v>0</v>
      </c>
      <c r="F1170" s="14">
        <f>Data!H1170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Data!E1171</f>
        <v>0</v>
      </c>
      <c r="F1171" s="14">
        <f>Data!H1171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Data!E1172</f>
        <v>0</v>
      </c>
      <c r="F1172" s="14">
        <f>Data!H1172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Data!E1173</f>
        <v>6540000000</v>
      </c>
      <c r="F1173" s="14">
        <f>Data!H1173</f>
        <v>52198000000</v>
      </c>
      <c r="G1173" s="12">
        <f t="shared" si="18"/>
        <v>0.12529215678761638</v>
      </c>
    </row>
    <row r="1174" spans="2:7" ht="15" customHeight="1" x14ac:dyDescent="0.3">
      <c r="C1174" s="2"/>
      <c r="D1174" s="8">
        <v>2020</v>
      </c>
      <c r="E1174" s="14">
        <f>Data!E1174</f>
        <v>8134000000</v>
      </c>
      <c r="F1174" s="14">
        <f>Data!H1174</f>
        <v>79494000000</v>
      </c>
      <c r="G1174" s="12">
        <f t="shared" si="18"/>
        <v>0.10232218783807583</v>
      </c>
    </row>
    <row r="1175" spans="2:7" ht="15" customHeight="1" x14ac:dyDescent="0.3">
      <c r="C1175" s="2"/>
      <c r="D1175" s="8">
        <v>2021</v>
      </c>
      <c r="E1175" s="14">
        <f>Data!E1175</f>
        <v>9607000000</v>
      </c>
      <c r="F1175" s="14">
        <f>Data!H1175</f>
        <v>90646000000</v>
      </c>
      <c r="G1175" s="12">
        <f t="shared" si="18"/>
        <v>0.105983716876641</v>
      </c>
    </row>
    <row r="1176" spans="2:7" ht="15" customHeight="1" x14ac:dyDescent="0.3">
      <c r="C1176" s="2"/>
      <c r="D1176" s="8">
        <v>2022</v>
      </c>
      <c r="E1176" s="14">
        <f>Data!E1176</f>
        <v>24911000000</v>
      </c>
      <c r="F1176" s="14">
        <f>Data!H1176</f>
        <v>100027000000</v>
      </c>
      <c r="G1176" s="12">
        <f t="shared" si="18"/>
        <v>0.24904275845521709</v>
      </c>
    </row>
    <row r="1177" spans="2:7" ht="15" customHeight="1" x14ac:dyDescent="0.3">
      <c r="C1177" s="2"/>
      <c r="D1177" s="8">
        <v>2023</v>
      </c>
      <c r="E1177" s="14">
        <f>Data!E1177</f>
        <v>27403000000</v>
      </c>
      <c r="F1177" s="14">
        <f>Data!H1177</f>
        <v>70858000000</v>
      </c>
      <c r="G1177" s="12">
        <f t="shared" si="18"/>
        <v>0.38673120889666657</v>
      </c>
    </row>
    <row r="1178" spans="2:7" ht="15" customHeight="1" x14ac:dyDescent="0.3">
      <c r="C1178" s="2"/>
      <c r="D1178" s="8">
        <v>2024</v>
      </c>
      <c r="E1178" s="14">
        <f>Data!E1178</f>
        <v>24427000000</v>
      </c>
      <c r="F1178" s="14">
        <f>Data!H1178</f>
        <v>77100000000</v>
      </c>
      <c r="G1178" s="12">
        <f t="shared" si="18"/>
        <v>0.31682230869001299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Data!E1179</f>
        <v>0</v>
      </c>
      <c r="F1179" s="14">
        <f>Data!H1179</f>
        <v>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Data!E1180</f>
        <v>37352000000</v>
      </c>
      <c r="F1180" s="14">
        <f>Data!H1180</f>
        <v>119265000000</v>
      </c>
      <c r="G1180" s="12">
        <f t="shared" si="18"/>
        <v>0.31318492432817674</v>
      </c>
    </row>
    <row r="1181" spans="2:7" ht="15" customHeight="1" x14ac:dyDescent="0.3">
      <c r="C1181" s="1"/>
      <c r="D1181" s="8">
        <v>2016</v>
      </c>
      <c r="E1181" s="14">
        <f>Data!E1181</f>
        <v>42221000000</v>
      </c>
      <c r="F1181" s="14">
        <f>Data!H1181</f>
        <v>181103000000</v>
      </c>
      <c r="G1181" s="12">
        <f t="shared" si="18"/>
        <v>0.23313252679414476</v>
      </c>
    </row>
    <row r="1182" spans="2:7" ht="15" customHeight="1" x14ac:dyDescent="0.3">
      <c r="C1182" s="1"/>
      <c r="D1182" s="8">
        <v>2017</v>
      </c>
      <c r="E1182" s="14">
        <f>Data!E1182</f>
        <v>16978000000</v>
      </c>
      <c r="F1182" s="14">
        <f>Data!H1183</f>
        <v>287932000000</v>
      </c>
      <c r="G1182" s="12">
        <f t="shared" si="18"/>
        <v>5.8965311254046096E-2</v>
      </c>
    </row>
    <row r="1183" spans="2:7" ht="15" customHeight="1" x14ac:dyDescent="0.3">
      <c r="C1183" s="1"/>
      <c r="D1183" s="8">
        <v>2018</v>
      </c>
      <c r="E1183" s="14">
        <f>Data!E1183</f>
        <v>27470000000</v>
      </c>
      <c r="F1183" s="14" t="e">
        <f>Data!#REF!</f>
        <v>#REF!</v>
      </c>
      <c r="G1183" s="12">
        <f t="shared" si="18"/>
        <v>0</v>
      </c>
    </row>
    <row r="1184" spans="2:7" ht="15" customHeight="1" x14ac:dyDescent="0.3">
      <c r="C1184" s="1"/>
      <c r="D1184" s="8">
        <v>2019</v>
      </c>
      <c r="E1184" s="14">
        <f>Data!E1184</f>
        <v>31931000000</v>
      </c>
      <c r="F1184" s="14">
        <f>Data!H1184</f>
        <v>355930000000</v>
      </c>
      <c r="G1184" s="12">
        <f t="shared" si="18"/>
        <v>8.9711460118562639E-2</v>
      </c>
    </row>
    <row r="1185" spans="2:7" ht="15" customHeight="1" x14ac:dyDescent="0.3">
      <c r="C1185" s="1"/>
      <c r="D1185" s="8">
        <v>2020</v>
      </c>
      <c r="E1185" s="14">
        <f>Data!E1185</f>
        <v>36607000000</v>
      </c>
      <c r="F1185" s="14">
        <f>Data!H1185</f>
        <v>353206000000</v>
      </c>
      <c r="G1185" s="12">
        <f t="shared" si="18"/>
        <v>0.10364206723555093</v>
      </c>
    </row>
    <row r="1186" spans="2:7" ht="15" customHeight="1" x14ac:dyDescent="0.3">
      <c r="C1186" s="1"/>
      <c r="D1186" s="8">
        <v>2021</v>
      </c>
      <c r="E1186" s="14">
        <f>Data!E1186</f>
        <v>31607000000</v>
      </c>
      <c r="F1186" s="14">
        <f>Data!H1186</f>
        <v>332105000000</v>
      </c>
      <c r="G1186" s="12">
        <f t="shared" si="18"/>
        <v>9.5171707743033074E-2</v>
      </c>
    </row>
    <row r="1187" spans="2:7" ht="15" customHeight="1" x14ac:dyDescent="0.3">
      <c r="C1187" s="1"/>
      <c r="D1187" s="8">
        <v>2022</v>
      </c>
      <c r="E1187" s="14">
        <f>Data!E1187</f>
        <v>46797000000</v>
      </c>
      <c r="F1187" s="14">
        <f>Data!H1187</f>
        <v>453906000000</v>
      </c>
      <c r="G1187" s="12">
        <f t="shared" si="18"/>
        <v>0.10309843888382177</v>
      </c>
    </row>
    <row r="1188" spans="2:7" ht="15" customHeight="1" x14ac:dyDescent="0.3">
      <c r="C1188" s="1"/>
      <c r="D1188" s="8">
        <v>2023</v>
      </c>
      <c r="E1188" s="14">
        <f>Data!E1188</f>
        <v>177539000000</v>
      </c>
      <c r="F1188" s="14">
        <f>Data!H1188</f>
        <v>465383000000</v>
      </c>
      <c r="G1188" s="12">
        <f t="shared" si="18"/>
        <v>0.38149008451103716</v>
      </c>
    </row>
    <row r="1189" spans="2:7" ht="15" customHeight="1" x14ac:dyDescent="0.3">
      <c r="C1189" s="1"/>
      <c r="D1189" s="8">
        <v>2024</v>
      </c>
      <c r="E1189" s="14">
        <f>Data!E1189</f>
        <v>188598000000</v>
      </c>
      <c r="F1189" s="14">
        <f>Data!H1189</f>
        <v>470191000000</v>
      </c>
      <c r="G1189" s="12">
        <f t="shared" si="18"/>
        <v>0.40110933641860436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Data!E1190</f>
        <v>0</v>
      </c>
      <c r="F1190" s="14">
        <f>Data!H1190</f>
        <v>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Data!E1202</f>
        <v>7247000000</v>
      </c>
      <c r="F1191" s="14">
        <f>Data!H1203</f>
        <v>394427000000</v>
      </c>
      <c r="G1191" s="12">
        <f t="shared" si="18"/>
        <v>1.8373488630342244E-2</v>
      </c>
    </row>
    <row r="1192" spans="2:7" ht="15" customHeight="1" x14ac:dyDescent="0.3">
      <c r="C1192" s="2"/>
      <c r="D1192" s="8">
        <v>2016</v>
      </c>
      <c r="E1192" s="14">
        <f>Data!E1203</f>
        <v>8661000000</v>
      </c>
      <c r="F1192" s="14" t="e">
        <f>Data!#REF!</f>
        <v>#REF!</v>
      </c>
      <c r="G1192" s="12">
        <f t="shared" si="18"/>
        <v>0</v>
      </c>
    </row>
    <row r="1193" spans="2:7" ht="15" customHeight="1" x14ac:dyDescent="0.3">
      <c r="C1193" s="2"/>
      <c r="D1193" s="8">
        <v>2017</v>
      </c>
      <c r="E1193" s="14">
        <f>Data!E1193</f>
        <v>153394000000</v>
      </c>
      <c r="F1193" s="14">
        <f>Data!H1193</f>
        <v>1390252000000</v>
      </c>
      <c r="G1193" s="12">
        <f t="shared" si="18"/>
        <v>0.11033539243245109</v>
      </c>
    </row>
    <row r="1194" spans="2:7" ht="15" customHeight="1" x14ac:dyDescent="0.3">
      <c r="C1194" s="2"/>
      <c r="D1194" s="8">
        <v>2018</v>
      </c>
      <c r="E1194" s="14">
        <f>Data!E1194</f>
        <v>67672000000</v>
      </c>
      <c r="F1194" s="14">
        <f>Data!H1194</f>
        <v>1808654000000</v>
      </c>
      <c r="G1194" s="12">
        <f t="shared" si="18"/>
        <v>3.7415669332000481E-2</v>
      </c>
    </row>
    <row r="1195" spans="2:7" ht="15" customHeight="1" x14ac:dyDescent="0.3">
      <c r="C1195" s="2"/>
      <c r="D1195" s="8">
        <v>2019</v>
      </c>
      <c r="E1195" s="14">
        <f>Data!E1195</f>
        <v>170561000000</v>
      </c>
      <c r="F1195" s="14">
        <f>Data!H1195</f>
        <v>1880432000000</v>
      </c>
      <c r="G1195" s="12">
        <f t="shared" si="18"/>
        <v>9.0703093757179207E-2</v>
      </c>
    </row>
    <row r="1196" spans="2:7" ht="15" customHeight="1" x14ac:dyDescent="0.3">
      <c r="C1196" s="2"/>
      <c r="D1196" s="8">
        <v>2020</v>
      </c>
      <c r="E1196" s="14">
        <f>Data!E1196</f>
        <v>213824000000</v>
      </c>
      <c r="F1196" s="14">
        <f>Data!H1196</f>
        <v>1836937000000</v>
      </c>
      <c r="G1196" s="12">
        <f t="shared" si="18"/>
        <v>0.11640246780374068</v>
      </c>
    </row>
    <row r="1197" spans="2:7" ht="15" customHeight="1" x14ac:dyDescent="0.3">
      <c r="C1197" s="2"/>
      <c r="D1197" s="8">
        <v>2021</v>
      </c>
      <c r="E1197" s="14">
        <f>Data!E1197</f>
        <v>368851000000</v>
      </c>
      <c r="F1197" s="14">
        <f>Data!H1197</f>
        <v>2241147000000</v>
      </c>
      <c r="G1197" s="12">
        <f t="shared" si="18"/>
        <v>0.16458135053166972</v>
      </c>
    </row>
    <row r="1198" spans="2:7" ht="15" customHeight="1" x14ac:dyDescent="0.3">
      <c r="C1198" s="2"/>
      <c r="D1198" s="8">
        <v>2022</v>
      </c>
      <c r="E1198" s="14">
        <f>Data!E1198</f>
        <v>339511000000</v>
      </c>
      <c r="F1198" s="14">
        <f>Data!H1198</f>
        <v>2147657000000</v>
      </c>
      <c r="G1198" s="12">
        <f t="shared" si="18"/>
        <v>0.15808436822080993</v>
      </c>
    </row>
    <row r="1199" spans="2:7" ht="15" customHeight="1" x14ac:dyDescent="0.3">
      <c r="C1199" s="2"/>
      <c r="D1199" s="8">
        <v>2023</v>
      </c>
      <c r="E1199" s="14">
        <f>Data!E1199</f>
        <v>273646000000</v>
      </c>
      <c r="F1199" s="14">
        <f>Data!H1199</f>
        <v>3065006000000</v>
      </c>
      <c r="G1199" s="12">
        <f t="shared" si="18"/>
        <v>8.9280738765274842E-2</v>
      </c>
    </row>
    <row r="1200" spans="2:7" ht="15" customHeight="1" x14ac:dyDescent="0.3">
      <c r="C1200" s="2"/>
      <c r="D1200" s="8">
        <v>2024</v>
      </c>
      <c r="E1200" s="14">
        <f>Data!E1200</f>
        <v>156505000000</v>
      </c>
      <c r="F1200" s="14">
        <f>Data!H1200</f>
        <v>2654735000000</v>
      </c>
      <c r="G1200" s="12">
        <f t="shared" si="18"/>
        <v>5.8953153516264338E-2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Data!E1201</f>
        <v>0</v>
      </c>
      <c r="F1201" s="14">
        <f>Data!H1201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 t="e">
        <f>Data!#REF!</f>
        <v>#REF!</v>
      </c>
      <c r="F1202" s="14" t="e">
        <f>Data!#REF!</f>
        <v>#REF!</v>
      </c>
      <c r="G1202" s="12">
        <f t="shared" si="18"/>
        <v>0</v>
      </c>
    </row>
    <row r="1203" spans="2:7" ht="15" customHeight="1" x14ac:dyDescent="0.3">
      <c r="C1203" s="2"/>
      <c r="D1203" s="8">
        <v>2016</v>
      </c>
      <c r="E1203" s="14" t="e">
        <f>Data!#REF!</f>
        <v>#REF!</v>
      </c>
      <c r="F1203" s="14" t="e">
        <f>Data!#REF!</f>
        <v>#REF!</v>
      </c>
      <c r="G1203" s="12">
        <f t="shared" si="18"/>
        <v>0</v>
      </c>
    </row>
    <row r="1204" spans="2:7" ht="15" customHeight="1" x14ac:dyDescent="0.3">
      <c r="C1204" s="2"/>
      <c r="D1204" s="8">
        <v>2017</v>
      </c>
      <c r="E1204" s="14">
        <f>Data!E1204</f>
        <v>7319000000</v>
      </c>
      <c r="F1204" s="14">
        <f>Data!H1204</f>
        <v>515658000000</v>
      </c>
      <c r="G1204" s="12">
        <f t="shared" si="18"/>
        <v>1.4193515857409368E-2</v>
      </c>
    </row>
    <row r="1205" spans="2:7" ht="15" customHeight="1" x14ac:dyDescent="0.3">
      <c r="C1205" s="2"/>
      <c r="D1205" s="8">
        <v>2018</v>
      </c>
      <c r="E1205" s="14">
        <f>Data!E1205</f>
        <v>12819000000</v>
      </c>
      <c r="F1205" s="14">
        <f>Data!H1205</f>
        <v>608232000000</v>
      </c>
      <c r="G1205" s="12">
        <f t="shared" si="18"/>
        <v>2.1075839482302804E-2</v>
      </c>
    </row>
    <row r="1206" spans="2:7" ht="15" customHeight="1" x14ac:dyDescent="0.3">
      <c r="C1206" s="2"/>
      <c r="D1206" s="8">
        <v>2019</v>
      </c>
      <c r="E1206" s="14">
        <f>Data!E1206</f>
        <v>8647000000</v>
      </c>
      <c r="F1206" s="14">
        <f>Data!H1206</f>
        <v>650813000000</v>
      </c>
      <c r="G1206" s="12">
        <f t="shared" si="18"/>
        <v>1.3286458629437335E-2</v>
      </c>
    </row>
    <row r="1207" spans="2:7" ht="15" customHeight="1" x14ac:dyDescent="0.3">
      <c r="C1207" s="2"/>
      <c r="D1207" s="8">
        <v>2020</v>
      </c>
      <c r="E1207" s="14">
        <f>Data!E1207</f>
        <v>17301000000</v>
      </c>
      <c r="F1207" s="14">
        <f>Data!H1207</f>
        <v>494639000000</v>
      </c>
      <c r="G1207" s="12">
        <f t="shared" si="18"/>
        <v>3.4977023647549017E-2</v>
      </c>
    </row>
    <row r="1208" spans="2:7" ht="15" customHeight="1" x14ac:dyDescent="0.3">
      <c r="C1208" s="2"/>
      <c r="D1208" s="8">
        <v>2021</v>
      </c>
      <c r="E1208" s="14">
        <f>Data!E1208</f>
        <v>12033000000</v>
      </c>
      <c r="F1208" s="14">
        <f>Data!H1208</f>
        <v>496923000000</v>
      </c>
      <c r="G1208" s="12">
        <f t="shared" si="18"/>
        <v>2.421501922833115E-2</v>
      </c>
    </row>
    <row r="1209" spans="2:7" ht="15" customHeight="1" x14ac:dyDescent="0.3">
      <c r="C1209" s="2"/>
      <c r="D1209" s="8">
        <v>2022</v>
      </c>
      <c r="E1209" s="14">
        <f>Data!E1209</f>
        <v>16479000000</v>
      </c>
      <c r="F1209" s="14">
        <f>Data!H1209</f>
        <v>552127000000</v>
      </c>
      <c r="G1209" s="12">
        <f t="shared" si="18"/>
        <v>2.9846394036154727E-2</v>
      </c>
    </row>
    <row r="1210" spans="2:7" ht="15" customHeight="1" x14ac:dyDescent="0.3">
      <c r="C1210" s="2"/>
      <c r="D1210" s="8">
        <v>2023</v>
      </c>
      <c r="E1210" s="14">
        <f>Data!E1210</f>
        <v>35064000000</v>
      </c>
      <c r="F1210" s="14">
        <f>Data!H1210</f>
        <v>737034000000</v>
      </c>
      <c r="G1210" s="12">
        <f t="shared" si="18"/>
        <v>4.7574467392277699E-2</v>
      </c>
    </row>
    <row r="1211" spans="2:7" ht="15" customHeight="1" x14ac:dyDescent="0.3">
      <c r="C1211" s="2"/>
      <c r="D1211" s="8">
        <v>2024</v>
      </c>
      <c r="E1211" s="14">
        <f>Data!E1211</f>
        <v>4708000000</v>
      </c>
      <c r="F1211" s="14">
        <f>Data!H1211</f>
        <v>876156000000</v>
      </c>
      <c r="G1211" s="12">
        <f t="shared" si="18"/>
        <v>5.3734723040189192E-3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Data!E1212</f>
        <v>0</v>
      </c>
      <c r="F1212" s="14">
        <f>Data!H1212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Data!E1213</f>
        <v>12530000000</v>
      </c>
      <c r="F1213" s="14">
        <f>Data!H1213</f>
        <v>62788000000</v>
      </c>
      <c r="G1213" s="12">
        <f t="shared" si="18"/>
        <v>0.19956042555902401</v>
      </c>
    </row>
    <row r="1214" spans="2:7" ht="15" customHeight="1" x14ac:dyDescent="0.3">
      <c r="C1214" s="2"/>
      <c r="D1214" s="8">
        <v>2016</v>
      </c>
      <c r="E1214" s="14">
        <f>Data!E1214</f>
        <v>18816000000</v>
      </c>
      <c r="F1214" s="14">
        <f>Data!H1214</f>
        <v>55489000000</v>
      </c>
      <c r="G1214" s="12">
        <f t="shared" si="18"/>
        <v>0.33909423489340229</v>
      </c>
    </row>
    <row r="1215" spans="2:7" ht="15" customHeight="1" x14ac:dyDescent="0.3">
      <c r="C1215" s="2"/>
      <c r="D1215" s="8">
        <v>2017</v>
      </c>
      <c r="E1215" s="14">
        <f>Data!E1215</f>
        <v>28605000000</v>
      </c>
      <c r="F1215" s="14">
        <f>Data!H1215</f>
        <v>113380000000</v>
      </c>
      <c r="G1215" s="12">
        <f t="shared" si="18"/>
        <v>0.25229317339918855</v>
      </c>
    </row>
    <row r="1216" spans="2:7" ht="15" customHeight="1" x14ac:dyDescent="0.3">
      <c r="C1216" s="2"/>
      <c r="D1216" s="8">
        <v>2018</v>
      </c>
      <c r="E1216" s="14">
        <f>Data!E1216</f>
        <v>24352000000</v>
      </c>
      <c r="F1216" s="14">
        <f>Data!H1216</f>
        <v>97191000000</v>
      </c>
      <c r="G1216" s="12">
        <f t="shared" si="18"/>
        <v>0.25055817925528084</v>
      </c>
    </row>
    <row r="1217" spans="2:7" ht="15" customHeight="1" x14ac:dyDescent="0.3">
      <c r="C1217" s="2"/>
      <c r="D1217" s="8">
        <v>2019</v>
      </c>
      <c r="E1217" s="14">
        <f>Data!E1217</f>
        <v>34457000000</v>
      </c>
      <c r="F1217" s="14">
        <f>Data!H1217</f>
        <v>96719000000</v>
      </c>
      <c r="G1217" s="12">
        <f t="shared" si="18"/>
        <v>0.35625885296580817</v>
      </c>
    </row>
    <row r="1218" spans="2:7" ht="15" customHeight="1" x14ac:dyDescent="0.3">
      <c r="C1218" s="2"/>
      <c r="D1218" s="8">
        <v>2020</v>
      </c>
      <c r="E1218" s="14">
        <f>Data!E1218</f>
        <v>30708000000</v>
      </c>
      <c r="F1218" s="14">
        <f>Data!H1218</f>
        <v>96245000000</v>
      </c>
      <c r="G1218" s="12">
        <f t="shared" si="18"/>
        <v>0.31906073042755467</v>
      </c>
    </row>
    <row r="1219" spans="2:7" ht="15" customHeight="1" x14ac:dyDescent="0.3">
      <c r="C1219" s="2"/>
      <c r="D1219" s="8">
        <v>2021</v>
      </c>
      <c r="E1219" s="14">
        <f>Data!E1219</f>
        <v>28135000000</v>
      </c>
      <c r="F1219" s="14">
        <f>Data!H1219</f>
        <v>90416000000</v>
      </c>
      <c r="G1219" s="12">
        <f t="shared" ref="G1219:G1282" si="19">IFERROR(E1219/F1219,0)</f>
        <v>0.31117280127411079</v>
      </c>
    </row>
    <row r="1220" spans="2:7" ht="15" customHeight="1" x14ac:dyDescent="0.3">
      <c r="C1220" s="2"/>
      <c r="D1220" s="8">
        <v>2022</v>
      </c>
      <c r="E1220" s="14">
        <f>Data!E1220</f>
        <v>29056000000</v>
      </c>
      <c r="F1220" s="14">
        <f>Data!H1220</f>
        <v>94054000000</v>
      </c>
      <c r="G1220" s="12">
        <f t="shared" si="19"/>
        <v>0.30892891317753629</v>
      </c>
    </row>
    <row r="1221" spans="2:7" ht="15" customHeight="1" x14ac:dyDescent="0.3">
      <c r="C1221" s="2"/>
      <c r="D1221" s="8">
        <v>2023</v>
      </c>
      <c r="E1221" s="14">
        <f>Data!E1221</f>
        <v>54075000000</v>
      </c>
      <c r="F1221" s="14">
        <f>Data!H1221</f>
        <v>138144000000</v>
      </c>
      <c r="G1221" s="12">
        <f t="shared" si="19"/>
        <v>0.3914393676164003</v>
      </c>
    </row>
    <row r="1222" spans="2:7" ht="15" customHeight="1" x14ac:dyDescent="0.3">
      <c r="C1222" s="2"/>
      <c r="D1222" s="8">
        <v>2024</v>
      </c>
      <c r="E1222" s="14">
        <f>Data!E1222</f>
        <v>62032000000</v>
      </c>
      <c r="F1222" s="14">
        <f>Data!H1222</f>
        <v>125560000000</v>
      </c>
      <c r="G1222" s="12">
        <f t="shared" si="19"/>
        <v>0.4940426887543804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Data!E1223</f>
        <v>0</v>
      </c>
      <c r="F1223" s="14">
        <f>Data!H1223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 t="e">
        <f>Data!#REF!</f>
        <v>#REF!</v>
      </c>
      <c r="F1224" s="14">
        <f>Data!H1225</f>
        <v>201250000000</v>
      </c>
      <c r="G1224" s="12">
        <f t="shared" si="19"/>
        <v>0</v>
      </c>
    </row>
    <row r="1225" spans="2:7" ht="15" customHeight="1" x14ac:dyDescent="0.3">
      <c r="C1225" s="2"/>
      <c r="D1225" s="8">
        <v>2016</v>
      </c>
      <c r="E1225" s="14">
        <f>Data!E1225</f>
        <v>23259000000</v>
      </c>
      <c r="F1225" s="14" t="e">
        <f>Data!#REF!</f>
        <v>#REF!</v>
      </c>
      <c r="G1225" s="12">
        <f t="shared" si="19"/>
        <v>0</v>
      </c>
    </row>
    <row r="1226" spans="2:7" ht="15" customHeight="1" x14ac:dyDescent="0.3">
      <c r="C1226" s="2"/>
      <c r="D1226" s="8">
        <v>2017</v>
      </c>
      <c r="E1226" s="14">
        <f>Data!E1226</f>
        <v>23024000000</v>
      </c>
      <c r="F1226" s="14">
        <f>Data!H1226</f>
        <v>217204000000</v>
      </c>
      <c r="G1226" s="12">
        <f t="shared" si="19"/>
        <v>0.10600173109150844</v>
      </c>
    </row>
    <row r="1227" spans="2:7" ht="15" customHeight="1" x14ac:dyDescent="0.3">
      <c r="C1227" s="2"/>
      <c r="D1227" s="8">
        <v>2018</v>
      </c>
      <c r="E1227" s="14">
        <f>Data!E1227</f>
        <v>16013000000</v>
      </c>
      <c r="F1227" s="14">
        <f>Data!H1227</f>
        <v>215836000000</v>
      </c>
      <c r="G1227" s="12">
        <f t="shared" si="19"/>
        <v>7.4190589151022071E-2</v>
      </c>
    </row>
    <row r="1228" spans="2:7" ht="15" customHeight="1" x14ac:dyDescent="0.3">
      <c r="C1228" s="2"/>
      <c r="D1228" s="8">
        <v>2019</v>
      </c>
      <c r="E1228" s="14">
        <f>Data!E1228</f>
        <v>14991000000</v>
      </c>
      <c r="F1228" s="14">
        <f>Data!H1228</f>
        <v>119846000000</v>
      </c>
      <c r="G1228" s="12">
        <f t="shared" si="19"/>
        <v>0.12508552642557949</v>
      </c>
    </row>
    <row r="1229" spans="2:7" ht="15" customHeight="1" x14ac:dyDescent="0.3">
      <c r="C1229" s="2"/>
      <c r="D1229" s="8">
        <v>2020</v>
      </c>
      <c r="E1229" s="14">
        <f>Data!E1229</f>
        <v>20885000000</v>
      </c>
      <c r="F1229" s="14">
        <f>Data!H1229</f>
        <v>114542000000</v>
      </c>
      <c r="G1229" s="12">
        <f t="shared" si="19"/>
        <v>0.18233486406732902</v>
      </c>
    </row>
    <row r="1230" spans="2:7" ht="15" customHeight="1" x14ac:dyDescent="0.3">
      <c r="C1230" s="2"/>
      <c r="D1230" s="8">
        <v>2021</v>
      </c>
      <c r="E1230" s="14">
        <f>Data!E1230</f>
        <v>18479000000</v>
      </c>
      <c r="F1230" s="14">
        <f>Data!H1230</f>
        <v>143307000000</v>
      </c>
      <c r="G1230" s="12">
        <f t="shared" si="19"/>
        <v>0.12894694606683554</v>
      </c>
    </row>
    <row r="1231" spans="2:7" ht="15" customHeight="1" x14ac:dyDescent="0.3">
      <c r="C1231" s="2"/>
      <c r="D1231" s="8">
        <v>2022</v>
      </c>
      <c r="E1231" s="14">
        <f>Data!E1231</f>
        <v>13319000000</v>
      </c>
      <c r="F1231" s="14">
        <f>Data!H1231</f>
        <v>300905000000</v>
      </c>
      <c r="G1231" s="12">
        <f t="shared" si="19"/>
        <v>4.4263139529087253E-2</v>
      </c>
    </row>
    <row r="1232" spans="2:7" ht="15" customHeight="1" x14ac:dyDescent="0.3">
      <c r="C1232" s="2"/>
      <c r="D1232" s="8">
        <v>2023</v>
      </c>
      <c r="E1232" s="14">
        <f>Data!E1232</f>
        <v>16881000000</v>
      </c>
      <c r="F1232" s="14">
        <f>Data!H1232</f>
        <v>491650000000</v>
      </c>
      <c r="G1232" s="12">
        <f t="shared" si="19"/>
        <v>3.433540120004068E-2</v>
      </c>
    </row>
    <row r="1233" spans="2:7" ht="15" customHeight="1" x14ac:dyDescent="0.3">
      <c r="C1233" s="2"/>
      <c r="D1233" s="8">
        <v>2024</v>
      </c>
      <c r="E1233" s="14">
        <f>Data!E1233</f>
        <v>10141000000</v>
      </c>
      <c r="F1233" s="14">
        <f>Data!H1233</f>
        <v>401681000000</v>
      </c>
      <c r="G1233" s="12">
        <f t="shared" si="19"/>
        <v>2.5246401995613434E-2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Data!E1234</f>
        <v>0</v>
      </c>
      <c r="F1234" s="14">
        <f>Data!H1234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Data!E1235</f>
        <v>0</v>
      </c>
      <c r="F1235" s="14">
        <f>Data!H1235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Data!E1236</f>
        <v>0</v>
      </c>
      <c r="F1236" s="14">
        <f>Data!H1236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Data!E1237</f>
        <v>0</v>
      </c>
      <c r="F1237" s="14">
        <f>Data!H1237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Data!E1238</f>
        <v>17997000000</v>
      </c>
      <c r="F1238" s="14">
        <f>Data!H1238</f>
        <v>28224000000</v>
      </c>
      <c r="G1238" s="12">
        <f t="shared" si="19"/>
        <v>0.63764880952380953</v>
      </c>
    </row>
    <row r="1239" spans="2:7" ht="15" customHeight="1" x14ac:dyDescent="0.3">
      <c r="C1239" s="2"/>
      <c r="D1239" s="8">
        <v>2019</v>
      </c>
      <c r="E1239" s="14">
        <f>Data!E1239</f>
        <v>14970000000</v>
      </c>
      <c r="F1239" s="14">
        <f>Data!H1239</f>
        <v>29241000000</v>
      </c>
      <c r="G1239" s="12">
        <f t="shared" si="19"/>
        <v>0.51195239560890526</v>
      </c>
    </row>
    <row r="1240" spans="2:7" ht="15" customHeight="1" x14ac:dyDescent="0.3">
      <c r="C1240" s="2"/>
      <c r="D1240" s="8">
        <v>2020</v>
      </c>
      <c r="E1240" s="14">
        <f>Data!E1240</f>
        <v>13388000000</v>
      </c>
      <c r="F1240" s="14">
        <f>Data!H1240</f>
        <v>16037000000</v>
      </c>
      <c r="G1240" s="12">
        <f t="shared" si="19"/>
        <v>0.83481947995260963</v>
      </c>
    </row>
    <row r="1241" spans="2:7" ht="15" customHeight="1" x14ac:dyDescent="0.3">
      <c r="C1241" s="2"/>
      <c r="D1241" s="8">
        <v>2021</v>
      </c>
      <c r="E1241" s="14">
        <f>Data!E1241</f>
        <v>11845000000</v>
      </c>
      <c r="F1241" s="14">
        <f>Data!H1241</f>
        <v>12985000000</v>
      </c>
      <c r="G1241" s="12">
        <f t="shared" si="19"/>
        <v>0.91220639199075859</v>
      </c>
    </row>
    <row r="1242" spans="2:7" ht="15" customHeight="1" x14ac:dyDescent="0.3">
      <c r="C1242" s="2"/>
      <c r="D1242" s="8">
        <v>2022</v>
      </c>
      <c r="E1242" s="14">
        <f>Data!E1242</f>
        <v>64668000000</v>
      </c>
      <c r="F1242" s="14">
        <f>Data!H1242</f>
        <v>10630000000</v>
      </c>
      <c r="G1242" s="12">
        <f t="shared" si="19"/>
        <v>6.0835371589840079</v>
      </c>
    </row>
    <row r="1243" spans="2:7" ht="15" customHeight="1" x14ac:dyDescent="0.3">
      <c r="C1243" s="2"/>
      <c r="D1243" s="8">
        <v>2023</v>
      </c>
      <c r="E1243" s="14">
        <f>Data!E1243</f>
        <v>36236000000</v>
      </c>
      <c r="F1243" s="14">
        <f>Data!H1243</f>
        <v>31299000000</v>
      </c>
      <c r="G1243" s="12">
        <f t="shared" si="19"/>
        <v>1.1577366689031598</v>
      </c>
    </row>
    <row r="1244" spans="2:7" ht="15" customHeight="1" x14ac:dyDescent="0.3">
      <c r="C1244" s="2"/>
      <c r="D1244" s="8">
        <v>2024</v>
      </c>
      <c r="E1244" s="14">
        <f>Data!E1244</f>
        <v>90465000000</v>
      </c>
      <c r="F1244" s="14">
        <f>Data!H1244</f>
        <v>196218000000</v>
      </c>
      <c r="G1244" s="12">
        <f t="shared" si="19"/>
        <v>0.46104332935816283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Data!E1245</f>
        <v>0</v>
      </c>
      <c r="F1245" s="14">
        <f>Data!H1245</f>
        <v>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Data!E1246</f>
        <v>5354170000</v>
      </c>
      <c r="F1246" s="14">
        <f>Data!H1246</f>
        <v>20679690000</v>
      </c>
      <c r="G1246" s="12">
        <f t="shared" si="19"/>
        <v>0.25890958713597739</v>
      </c>
    </row>
    <row r="1247" spans="2:7" ht="15" customHeight="1" x14ac:dyDescent="0.3">
      <c r="C1247" s="2"/>
      <c r="D1247" s="8">
        <v>2016</v>
      </c>
      <c r="E1247" s="14">
        <f>Data!E1247</f>
        <v>5483040000</v>
      </c>
      <c r="F1247" s="14">
        <f>Data!H1247</f>
        <v>19883710000</v>
      </c>
      <c r="G1247" s="12">
        <f t="shared" si="19"/>
        <v>0.27575537965500402</v>
      </c>
    </row>
    <row r="1248" spans="2:7" ht="15" customHeight="1" x14ac:dyDescent="0.3">
      <c r="C1248" s="2"/>
      <c r="D1248" s="8">
        <v>2017</v>
      </c>
      <c r="E1248" s="14">
        <f>Data!E1248</f>
        <v>3973270000</v>
      </c>
      <c r="F1248" s="14">
        <f>Data!H1248</f>
        <v>21236380000</v>
      </c>
      <c r="G1248" s="12">
        <f t="shared" si="19"/>
        <v>0.18709733014760518</v>
      </c>
    </row>
    <row r="1249" spans="2:7" ht="15" customHeight="1" x14ac:dyDescent="0.3">
      <c r="C1249" s="2"/>
      <c r="D1249" s="8">
        <v>2018</v>
      </c>
      <c r="E1249" s="14">
        <f>Data!E1249</f>
        <v>6196850000</v>
      </c>
      <c r="F1249" s="14">
        <f>Data!H1249</f>
        <v>20074570000</v>
      </c>
      <c r="G1249" s="12">
        <f t="shared" si="19"/>
        <v>0.30869154357976286</v>
      </c>
    </row>
    <row r="1250" spans="2:7" ht="15" customHeight="1" x14ac:dyDescent="0.3">
      <c r="C1250" s="2"/>
      <c r="D1250" s="8">
        <v>2019</v>
      </c>
      <c r="E1250" s="14">
        <f>Data!E1250</f>
        <v>4750690000</v>
      </c>
      <c r="F1250" s="14">
        <f>Data!H1250</f>
        <v>38202490000</v>
      </c>
      <c r="G1250" s="12">
        <f t="shared" si="19"/>
        <v>0.12435550666985319</v>
      </c>
    </row>
    <row r="1251" spans="2:7" ht="15" customHeight="1" x14ac:dyDescent="0.3">
      <c r="C1251" s="2"/>
      <c r="D1251" s="8">
        <v>2020</v>
      </c>
      <c r="E1251" s="14">
        <f>Data!E1251</f>
        <v>3496820000</v>
      </c>
      <c r="F1251" s="14">
        <f>Data!H1251</f>
        <v>43663510000</v>
      </c>
      <c r="G1251" s="12">
        <f t="shared" si="19"/>
        <v>8.0085636725036533E-2</v>
      </c>
    </row>
    <row r="1252" spans="2:7" ht="15" customHeight="1" x14ac:dyDescent="0.3">
      <c r="C1252" s="2"/>
      <c r="D1252" s="8">
        <v>2021</v>
      </c>
      <c r="E1252" s="14">
        <f>Data!E1252</f>
        <v>4502270000</v>
      </c>
      <c r="F1252" s="14">
        <f>Data!H1252</f>
        <v>40307730000</v>
      </c>
      <c r="G1252" s="12">
        <f t="shared" si="19"/>
        <v>0.11169743371804862</v>
      </c>
    </row>
    <row r="1253" spans="2:7" ht="15" customHeight="1" x14ac:dyDescent="0.3">
      <c r="C1253" s="2"/>
      <c r="D1253" s="8">
        <v>2022</v>
      </c>
      <c r="E1253" s="14">
        <f>Data!E1253</f>
        <v>4781090000</v>
      </c>
      <c r="F1253" s="14">
        <f>Data!H1253</f>
        <v>43470440000</v>
      </c>
      <c r="G1253" s="12">
        <f t="shared" si="19"/>
        <v>0.10998485407555111</v>
      </c>
    </row>
    <row r="1254" spans="2:7" ht="15" customHeight="1" x14ac:dyDescent="0.3">
      <c r="C1254" s="2"/>
      <c r="D1254" s="8">
        <v>2023</v>
      </c>
      <c r="E1254" s="14">
        <f>Data!E1254</f>
        <v>4512200000</v>
      </c>
      <c r="F1254" s="14">
        <f>Data!H1254</f>
        <v>39272760000</v>
      </c>
      <c r="G1254" s="12">
        <f t="shared" si="19"/>
        <v>0.1148938857365767</v>
      </c>
    </row>
    <row r="1255" spans="2:7" ht="15" customHeight="1" x14ac:dyDescent="0.3">
      <c r="C1255" s="2"/>
      <c r="D1255" s="8">
        <v>2024</v>
      </c>
      <c r="E1255" s="14">
        <f>Data!E1255</f>
        <v>6001330000</v>
      </c>
      <c r="F1255" s="14">
        <f>Data!H1255</f>
        <v>47617020000</v>
      </c>
      <c r="G1255" s="12">
        <f t="shared" si="19"/>
        <v>0.12603329649776487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Data!E1256</f>
        <v>0</v>
      </c>
      <c r="F1256" s="14">
        <f>Data!H1256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Data!E1257</f>
        <v>0</v>
      </c>
      <c r="F1257" s="14">
        <f>Data!H1257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Data!E1258</f>
        <v>0</v>
      </c>
      <c r="F1258" s="14">
        <f>Data!H1258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Data!E1259</f>
        <v>0</v>
      </c>
      <c r="F1259" s="14">
        <f>Data!H1259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Data!E1260</f>
        <v>0</v>
      </c>
      <c r="F1260" s="14">
        <f>Data!H1260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Data!E1261</f>
        <v>0</v>
      </c>
      <c r="F1261" s="14">
        <f>Data!H1261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Data!E1262</f>
        <v>0</v>
      </c>
      <c r="F1262" s="14">
        <f>Data!H1262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Data!E1263</f>
        <v>0</v>
      </c>
      <c r="F1263" s="14">
        <f>Data!H1263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Data!E1264</f>
        <v>46535130000</v>
      </c>
      <c r="F1264" s="14">
        <f>Data!H1264</f>
        <v>1029260000</v>
      </c>
      <c r="G1264" s="12">
        <f t="shared" si="19"/>
        <v>45.212220430212</v>
      </c>
    </row>
    <row r="1265" spans="2:7" ht="15" customHeight="1" x14ac:dyDescent="0.3">
      <c r="C1265" s="1"/>
      <c r="D1265" s="8">
        <v>2023</v>
      </c>
      <c r="E1265" s="14">
        <f>Data!E1265</f>
        <v>8042760000</v>
      </c>
      <c r="F1265" s="14">
        <f>Data!H1265</f>
        <v>7560890000</v>
      </c>
      <c r="G1265" s="12">
        <f t="shared" si="19"/>
        <v>1.0637319151581361</v>
      </c>
    </row>
    <row r="1266" spans="2:7" ht="15" customHeight="1" x14ac:dyDescent="0.3">
      <c r="C1266" s="1"/>
      <c r="D1266" s="8">
        <v>2024</v>
      </c>
      <c r="E1266" s="14">
        <f>Data!E1266</f>
        <v>4207950000</v>
      </c>
      <c r="F1266" s="14">
        <f>Data!H1266</f>
        <v>27717560000</v>
      </c>
      <c r="G1266" s="12">
        <f t="shared" si="19"/>
        <v>0.15181531130445824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Data!E1267</f>
        <v>0</v>
      </c>
      <c r="F1267" s="14">
        <f>Data!H1267</f>
        <v>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Data!E1268</f>
        <v>50849000000</v>
      </c>
      <c r="F1268" s="14">
        <f>Data!H1268</f>
        <v>769499000000</v>
      </c>
      <c r="G1268" s="12">
        <f t="shared" si="19"/>
        <v>6.608065767466885E-2</v>
      </c>
    </row>
    <row r="1269" spans="2:7" ht="15" customHeight="1" x14ac:dyDescent="0.3">
      <c r="C1269" s="1"/>
      <c r="D1269" s="8">
        <v>2016</v>
      </c>
      <c r="E1269" s="14">
        <f>Data!E1269</f>
        <v>50805000000</v>
      </c>
      <c r="F1269" s="14">
        <f>Data!H1269</f>
        <v>553481000000</v>
      </c>
      <c r="G1269" s="12">
        <f t="shared" si="19"/>
        <v>9.1791768823139372E-2</v>
      </c>
    </row>
    <row r="1270" spans="2:7" ht="15" customHeight="1" x14ac:dyDescent="0.3">
      <c r="C1270" s="1"/>
      <c r="D1270" s="8">
        <v>2017</v>
      </c>
      <c r="E1270" s="14">
        <f>Data!E1270</f>
        <v>57581000000</v>
      </c>
      <c r="F1270" s="14">
        <f>Data!H1270</f>
        <v>411311000000</v>
      </c>
      <c r="G1270" s="12">
        <f t="shared" si="19"/>
        <v>0.13999382462418949</v>
      </c>
    </row>
    <row r="1271" spans="2:7" ht="15" customHeight="1" x14ac:dyDescent="0.3">
      <c r="C1271" s="1"/>
      <c r="D1271" s="8">
        <v>2018</v>
      </c>
      <c r="E1271" s="14">
        <f>Data!E1271</f>
        <v>45214000000</v>
      </c>
      <c r="F1271" s="14">
        <f>Data!H1271</f>
        <v>447364000000</v>
      </c>
      <c r="G1271" s="12">
        <f t="shared" si="19"/>
        <v>0.10106758702085997</v>
      </c>
    </row>
    <row r="1272" spans="2:7" ht="15" customHeight="1" x14ac:dyDescent="0.3">
      <c r="C1272" s="1"/>
      <c r="D1272" s="8">
        <v>2019</v>
      </c>
      <c r="E1272" s="14">
        <f>Data!E1272</f>
        <v>42055000000</v>
      </c>
      <c r="F1272" s="14">
        <f>Data!H1272</f>
        <v>429665000000</v>
      </c>
      <c r="G1272" s="12">
        <f t="shared" si="19"/>
        <v>9.7878579823816231E-2</v>
      </c>
    </row>
    <row r="1273" spans="2:7" ht="15" customHeight="1" x14ac:dyDescent="0.3">
      <c r="C1273" s="1"/>
      <c r="D1273" s="8">
        <v>2020</v>
      </c>
      <c r="E1273" s="14">
        <f>Data!E1273</f>
        <v>55228000000</v>
      </c>
      <c r="F1273" s="14">
        <f>Data!H1273</f>
        <v>615186000000</v>
      </c>
      <c r="G1273" s="12">
        <f t="shared" si="19"/>
        <v>8.9774474711713209E-2</v>
      </c>
    </row>
    <row r="1274" spans="2:7" ht="15" customHeight="1" x14ac:dyDescent="0.3">
      <c r="C1274" s="1"/>
      <c r="D1274" s="8">
        <v>2021</v>
      </c>
      <c r="E1274" s="14">
        <f>Data!E1274</f>
        <v>42130000000</v>
      </c>
      <c r="F1274" s="14">
        <f>Data!H1274</f>
        <v>629393000000</v>
      </c>
      <c r="G1274" s="12">
        <f t="shared" si="19"/>
        <v>6.6937509632296513E-2</v>
      </c>
    </row>
    <row r="1275" spans="2:7" ht="15" customHeight="1" x14ac:dyDescent="0.3">
      <c r="C1275" s="1"/>
      <c r="D1275" s="8">
        <v>2022</v>
      </c>
      <c r="E1275" s="14">
        <f>Data!E1275</f>
        <v>31697000000</v>
      </c>
      <c r="F1275" s="14">
        <f>Data!H1275</f>
        <v>668116000000</v>
      </c>
      <c r="G1275" s="12">
        <f t="shared" si="19"/>
        <v>4.7442360308688911E-2</v>
      </c>
    </row>
    <row r="1276" spans="2:7" ht="15" customHeight="1" x14ac:dyDescent="0.3">
      <c r="C1276" s="1"/>
      <c r="D1276" s="8">
        <v>2023</v>
      </c>
      <c r="E1276" s="14">
        <f>Data!E1276</f>
        <v>40926000000</v>
      </c>
      <c r="F1276" s="14">
        <f>Data!H1276</f>
        <v>891040000000</v>
      </c>
      <c r="G1276" s="12">
        <f t="shared" si="19"/>
        <v>4.5930597952953851E-2</v>
      </c>
    </row>
    <row r="1277" spans="2:7" ht="15" customHeight="1" x14ac:dyDescent="0.3">
      <c r="C1277" s="1"/>
      <c r="D1277" s="8">
        <v>2024</v>
      </c>
      <c r="E1277" s="14">
        <f>Data!E1277</f>
        <v>42905000000</v>
      </c>
      <c r="F1277" s="14">
        <f>Data!H1277</f>
        <v>1042734000000</v>
      </c>
      <c r="G1277" s="12">
        <f t="shared" si="19"/>
        <v>4.1146639507295246E-2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Data!E1278</f>
        <v>0</v>
      </c>
      <c r="F1278" s="14">
        <f>Data!H1278</f>
        <v>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Data!E1279</f>
        <v>18557000000</v>
      </c>
      <c r="F1279" s="14">
        <f>Data!H1279</f>
        <v>18894000000</v>
      </c>
      <c r="G1279" s="12">
        <f t="shared" si="19"/>
        <v>0.98216364983592674</v>
      </c>
    </row>
    <row r="1280" spans="2:7" ht="15" customHeight="1" x14ac:dyDescent="0.3">
      <c r="C1280" s="2"/>
      <c r="D1280" s="8">
        <v>2016</v>
      </c>
      <c r="E1280" s="14">
        <f>Data!E1280</f>
        <v>19249000000</v>
      </c>
      <c r="F1280" s="14">
        <f>Data!H1280</f>
        <v>23833000000</v>
      </c>
      <c r="G1280" s="12">
        <f t="shared" si="19"/>
        <v>0.80766164561742126</v>
      </c>
    </row>
    <row r="1281" spans="2:7" ht="15" customHeight="1" x14ac:dyDescent="0.3">
      <c r="C1281" s="2"/>
      <c r="D1281" s="8">
        <v>2017</v>
      </c>
      <c r="E1281" s="14">
        <f>Data!E1281</f>
        <v>22039000000</v>
      </c>
      <c r="F1281" s="14">
        <f>Data!H1281</f>
        <v>27972000000</v>
      </c>
      <c r="G1281" s="12">
        <f t="shared" si="19"/>
        <v>0.7878950378950379</v>
      </c>
    </row>
    <row r="1282" spans="2:7" ht="15" customHeight="1" x14ac:dyDescent="0.3">
      <c r="C1282" s="2"/>
      <c r="D1282" s="8">
        <v>2018</v>
      </c>
      <c r="E1282" s="14">
        <f>Data!E1282</f>
        <v>24100000000</v>
      </c>
      <c r="F1282" s="14">
        <f>Data!H1282</f>
        <v>32703000000</v>
      </c>
      <c r="G1282" s="12">
        <f t="shared" si="19"/>
        <v>0.73693544934715471</v>
      </c>
    </row>
    <row r="1283" spans="2:7" ht="15" customHeight="1" x14ac:dyDescent="0.3">
      <c r="C1283" s="2"/>
      <c r="D1283" s="8">
        <v>2019</v>
      </c>
      <c r="E1283" s="14">
        <f>Data!E1283</f>
        <v>23111000000</v>
      </c>
      <c r="F1283" s="14">
        <f>Data!H1283</f>
        <v>52321000000</v>
      </c>
      <c r="G1283" s="12">
        <f t="shared" ref="G1283:G1346" si="20">IFERROR(E1283/F1283,0)</f>
        <v>0.44171556354045222</v>
      </c>
    </row>
    <row r="1284" spans="2:7" ht="15" customHeight="1" x14ac:dyDescent="0.3">
      <c r="C1284" s="2"/>
      <c r="D1284" s="8">
        <v>2020</v>
      </c>
      <c r="E1284" s="14">
        <f>Data!E1284</f>
        <v>20338000000</v>
      </c>
      <c r="F1284" s="14">
        <f>Data!H1284</f>
        <v>63634000000</v>
      </c>
      <c r="G1284" s="12">
        <f t="shared" si="20"/>
        <v>0.31960901404909325</v>
      </c>
    </row>
    <row r="1285" spans="2:7" ht="15" customHeight="1" x14ac:dyDescent="0.3">
      <c r="C1285" s="2"/>
      <c r="D1285" s="8">
        <v>2021</v>
      </c>
      <c r="E1285" s="14">
        <f>Data!E1285</f>
        <v>14662000000</v>
      </c>
      <c r="F1285" s="14">
        <f>Data!H1285</f>
        <v>72066000000</v>
      </c>
      <c r="G1285" s="12">
        <f t="shared" si="20"/>
        <v>0.2034523908639303</v>
      </c>
    </row>
    <row r="1286" spans="2:7" ht="15" customHeight="1" x14ac:dyDescent="0.3">
      <c r="C1286" s="2"/>
      <c r="D1286" s="8">
        <v>2022</v>
      </c>
      <c r="E1286" s="14">
        <f>Data!E1286</f>
        <v>19917000000</v>
      </c>
      <c r="F1286" s="14">
        <f>Data!H1286</f>
        <v>69879000000</v>
      </c>
      <c r="G1286" s="12">
        <f t="shared" si="20"/>
        <v>0.28502125101961961</v>
      </c>
    </row>
    <row r="1287" spans="2:7" ht="15" customHeight="1" x14ac:dyDescent="0.3">
      <c r="C1287" s="2"/>
      <c r="D1287" s="8">
        <v>2023</v>
      </c>
      <c r="E1287" s="14">
        <f>Data!E1287</f>
        <v>26189000000</v>
      </c>
      <c r="F1287" s="14">
        <f>Data!H1287</f>
        <v>80971000000</v>
      </c>
      <c r="G1287" s="12">
        <f t="shared" si="20"/>
        <v>0.32343678600980597</v>
      </c>
    </row>
    <row r="1288" spans="2:7" ht="15" customHeight="1" x14ac:dyDescent="0.3">
      <c r="C1288" s="2"/>
      <c r="D1288" s="8">
        <v>2024</v>
      </c>
      <c r="E1288" s="14">
        <f>Data!E1288</f>
        <v>26981000000</v>
      </c>
      <c r="F1288" s="14">
        <f>Data!H1288</f>
        <v>149154000000</v>
      </c>
      <c r="G1288" s="12">
        <f t="shared" si="20"/>
        <v>0.18089357308553575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Data!E1289</f>
        <v>0</v>
      </c>
      <c r="F1289" s="14">
        <f>Data!H1289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Data!E1290</f>
        <v>0</v>
      </c>
      <c r="F1290" s="14">
        <f>Data!H1290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Data!E1291</f>
        <v>0</v>
      </c>
      <c r="F1291" s="14">
        <f>Data!H1291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Data!E1292</f>
        <v>0</v>
      </c>
      <c r="F1292" s="14">
        <f>Data!H1292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Data!E1293</f>
        <v>41669561000</v>
      </c>
      <c r="F1293" s="14">
        <f>Data!H1293</f>
        <v>325385627000</v>
      </c>
      <c r="G1293" s="12">
        <f t="shared" si="20"/>
        <v>0.12806208247176204</v>
      </c>
    </row>
    <row r="1294" spans="2:7" ht="15" customHeight="1" x14ac:dyDescent="0.3">
      <c r="C1294" s="3"/>
      <c r="D1294" s="8">
        <v>2019</v>
      </c>
      <c r="E1294" s="14">
        <f>Data!E1294</f>
        <v>52017891000</v>
      </c>
      <c r="F1294" s="14">
        <f>Data!H1294</f>
        <v>344468540000</v>
      </c>
      <c r="G1294" s="12">
        <f t="shared" si="20"/>
        <v>0.15100911972977271</v>
      </c>
    </row>
    <row r="1295" spans="2:7" ht="15" customHeight="1" x14ac:dyDescent="0.3">
      <c r="C1295" s="3"/>
      <c r="D1295" s="8">
        <v>2020</v>
      </c>
      <c r="E1295" s="14">
        <f>Data!E1295</f>
        <v>80312948000</v>
      </c>
      <c r="F1295" s="14">
        <f>Data!H1295</f>
        <v>424529810000</v>
      </c>
      <c r="G1295" s="12">
        <f t="shared" si="20"/>
        <v>0.18918093878966943</v>
      </c>
    </row>
    <row r="1296" spans="2:7" ht="15" customHeight="1" x14ac:dyDescent="0.3">
      <c r="C1296" s="3"/>
      <c r="D1296" s="8">
        <v>2021</v>
      </c>
      <c r="E1296" s="14">
        <f>Data!E1296</f>
        <v>64601905000</v>
      </c>
      <c r="F1296" s="14">
        <f>Data!H1296</f>
        <v>400824998000</v>
      </c>
      <c r="G1296" s="12">
        <f t="shared" si="20"/>
        <v>0.16117234534359057</v>
      </c>
    </row>
    <row r="1297" spans="2:7" ht="15" customHeight="1" x14ac:dyDescent="0.3">
      <c r="C1297" s="3"/>
      <c r="D1297" s="8">
        <v>2022</v>
      </c>
      <c r="E1297" s="14">
        <f>Data!E1297</f>
        <v>70142995000</v>
      </c>
      <c r="F1297" s="14">
        <f>Data!H1297</f>
        <v>325056487000</v>
      </c>
      <c r="G1297" s="12">
        <f t="shared" si="20"/>
        <v>0.21578709487499015</v>
      </c>
    </row>
    <row r="1298" spans="2:7" ht="15" customHeight="1" x14ac:dyDescent="0.3">
      <c r="C1298" s="3"/>
      <c r="D1298" s="8">
        <v>2023</v>
      </c>
      <c r="E1298" s="14">
        <f>Data!E1298</f>
        <v>38162274000</v>
      </c>
      <c r="F1298" s="14">
        <f>Data!H1298</f>
        <v>294128976000</v>
      </c>
      <c r="G1298" s="12">
        <f t="shared" si="20"/>
        <v>0.1297467339634025</v>
      </c>
    </row>
    <row r="1299" spans="2:7" ht="15" customHeight="1" x14ac:dyDescent="0.3">
      <c r="C1299" s="3"/>
      <c r="D1299" s="8">
        <v>2024</v>
      </c>
      <c r="E1299" s="14">
        <f>Data!E1299</f>
        <v>36845829000</v>
      </c>
      <c r="F1299" s="14">
        <f>Data!H1299</f>
        <v>403735812000</v>
      </c>
      <c r="G1299" s="12">
        <f t="shared" si="20"/>
        <v>9.1262226200533328E-2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Data!E1300</f>
        <v>0</v>
      </c>
      <c r="F1300" s="14">
        <f>Data!H1300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Data!E1301</f>
        <v>23620000000</v>
      </c>
      <c r="F1301" s="14">
        <f>Data!H1301</f>
        <v>17881000000</v>
      </c>
      <c r="G1301" s="12">
        <f t="shared" si="20"/>
        <v>1.3209552038476595</v>
      </c>
    </row>
    <row r="1302" spans="2:7" ht="15" customHeight="1" x14ac:dyDescent="0.3">
      <c r="C1302" s="2"/>
      <c r="D1302" s="8">
        <v>2016</v>
      </c>
      <c r="E1302" s="14">
        <f>Data!E1302</f>
        <v>17375000000</v>
      </c>
      <c r="F1302" s="14">
        <f>Data!H1302</f>
        <v>36495000000</v>
      </c>
      <c r="G1302" s="12">
        <f t="shared" si="20"/>
        <v>0.47609261542677078</v>
      </c>
    </row>
    <row r="1303" spans="2:7" ht="15" customHeight="1" x14ac:dyDescent="0.3">
      <c r="C1303" s="2"/>
      <c r="D1303" s="8">
        <v>2017</v>
      </c>
      <c r="E1303" s="14">
        <f>Data!E1303</f>
        <v>7460000000</v>
      </c>
      <c r="F1303" s="14">
        <f>Data!H1303</f>
        <v>33163000000</v>
      </c>
      <c r="G1303" s="12">
        <f t="shared" si="20"/>
        <v>0.22494949190362754</v>
      </c>
    </row>
    <row r="1304" spans="2:7" ht="15" customHeight="1" x14ac:dyDescent="0.3">
      <c r="C1304" s="2"/>
      <c r="D1304" s="8">
        <v>2018</v>
      </c>
      <c r="E1304" s="14">
        <f>Data!E1304</f>
        <v>14825000000</v>
      </c>
      <c r="F1304" s="14">
        <f>Data!H1304</f>
        <v>40712000000</v>
      </c>
      <c r="G1304" s="12">
        <f t="shared" si="20"/>
        <v>0.3641432501473767</v>
      </c>
    </row>
    <row r="1305" spans="2:7" ht="15" customHeight="1" x14ac:dyDescent="0.3">
      <c r="C1305" s="2"/>
      <c r="D1305" s="8">
        <v>2019</v>
      </c>
      <c r="E1305" s="14">
        <f>Data!E1305</f>
        <v>21203000000</v>
      </c>
      <c r="F1305" s="14">
        <f>Data!H1305</f>
        <v>38568000000</v>
      </c>
      <c r="G1305" s="12">
        <f t="shared" si="20"/>
        <v>0.54975627463181909</v>
      </c>
    </row>
    <row r="1306" spans="2:7" ht="15" customHeight="1" x14ac:dyDescent="0.3">
      <c r="C1306" s="2"/>
      <c r="D1306" s="8">
        <v>2020</v>
      </c>
      <c r="E1306" s="14">
        <f>Data!E1306</f>
        <v>42626000000</v>
      </c>
      <c r="F1306" s="14">
        <f>Data!H1306</f>
        <v>58663000000</v>
      </c>
      <c r="G1306" s="12">
        <f t="shared" si="20"/>
        <v>0.72662495951451511</v>
      </c>
    </row>
    <row r="1307" spans="2:7" ht="15" customHeight="1" x14ac:dyDescent="0.3">
      <c r="C1307" s="2"/>
      <c r="D1307" s="8">
        <v>2021</v>
      </c>
      <c r="E1307" s="14">
        <f>Data!E1307</f>
        <v>21586000000</v>
      </c>
      <c r="F1307" s="14">
        <f>Data!H1307</f>
        <v>25566000000</v>
      </c>
      <c r="G1307" s="12">
        <f t="shared" si="20"/>
        <v>0.84432449346788707</v>
      </c>
    </row>
    <row r="1308" spans="2:7" ht="15" customHeight="1" x14ac:dyDescent="0.3">
      <c r="C1308" s="2"/>
      <c r="D1308" s="8">
        <v>2022</v>
      </c>
      <c r="E1308" s="14">
        <f>Data!E1308</f>
        <v>26254000000</v>
      </c>
      <c r="F1308" s="14">
        <f>Data!H1308</f>
        <v>34365000000</v>
      </c>
      <c r="G1308" s="12">
        <f t="shared" si="20"/>
        <v>0.76397497453804741</v>
      </c>
    </row>
    <row r="1309" spans="2:7" ht="15" customHeight="1" x14ac:dyDescent="0.3">
      <c r="C1309" s="2"/>
      <c r="D1309" s="8">
        <v>2023</v>
      </c>
      <c r="E1309" s="14">
        <f>Data!E1309</f>
        <v>29971000000</v>
      </c>
      <c r="F1309" s="14">
        <f>Data!H1309</f>
        <v>71713000000</v>
      </c>
      <c r="G1309" s="12">
        <f t="shared" si="20"/>
        <v>0.41792980352237391</v>
      </c>
    </row>
    <row r="1310" spans="2:7" ht="15" customHeight="1" x14ac:dyDescent="0.3">
      <c r="C1310" s="2"/>
      <c r="D1310" s="8">
        <v>2024</v>
      </c>
      <c r="E1310" s="14">
        <f>Data!E1310</f>
        <v>0</v>
      </c>
      <c r="F1310" s="14">
        <f>Data!H1310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Data!E1311</f>
        <v>0</v>
      </c>
      <c r="F1311" s="14">
        <f>Data!H1311</f>
        <v>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Data!E1312</f>
        <v>255096000000</v>
      </c>
      <c r="F1312" s="14">
        <f>Data!H1312</f>
        <v>228944000000</v>
      </c>
      <c r="G1312" s="12">
        <f t="shared" si="20"/>
        <v>1.1142288070445174</v>
      </c>
    </row>
    <row r="1313" spans="2:7" ht="15" customHeight="1" x14ac:dyDescent="0.3">
      <c r="C1313" s="2"/>
      <c r="D1313" s="8">
        <v>2016</v>
      </c>
      <c r="E1313" s="14">
        <f>Data!E1313</f>
        <v>41975000000</v>
      </c>
      <c r="F1313" s="14">
        <f>Data!H1313</f>
        <v>277021000000</v>
      </c>
      <c r="G1313" s="12">
        <f t="shared" si="20"/>
        <v>0.1515228087401316</v>
      </c>
    </row>
    <row r="1314" spans="2:7" ht="15" customHeight="1" x14ac:dyDescent="0.3">
      <c r="C1314" s="2"/>
      <c r="D1314" s="8">
        <v>2017</v>
      </c>
      <c r="E1314" s="14">
        <f>Data!E1314</f>
        <v>81581000000</v>
      </c>
      <c r="F1314" s="14">
        <f>Data!H1314</f>
        <v>683468000000</v>
      </c>
      <c r="G1314" s="12">
        <f t="shared" si="20"/>
        <v>0.11936330596311752</v>
      </c>
    </row>
    <row r="1315" spans="2:7" ht="15" customHeight="1" x14ac:dyDescent="0.3">
      <c r="C1315" s="2"/>
      <c r="D1315" s="8">
        <v>2018</v>
      </c>
      <c r="E1315" s="14">
        <f>Data!E1315</f>
        <v>84149000000</v>
      </c>
      <c r="F1315" s="14">
        <f>Data!H1315</f>
        <v>553537000000</v>
      </c>
      <c r="G1315" s="12">
        <f t="shared" si="20"/>
        <v>0.15202055147171734</v>
      </c>
    </row>
    <row r="1316" spans="2:7" ht="15" customHeight="1" x14ac:dyDescent="0.3">
      <c r="C1316" s="2"/>
      <c r="D1316" s="8">
        <v>2019</v>
      </c>
      <c r="E1316" s="14">
        <f>Data!E1316</f>
        <v>92532000000</v>
      </c>
      <c r="F1316" s="14">
        <f>Data!H1316</f>
        <v>455104000000</v>
      </c>
      <c r="G1316" s="12">
        <f t="shared" si="20"/>
        <v>0.20332055969624527</v>
      </c>
    </row>
    <row r="1317" spans="2:7" ht="15" customHeight="1" x14ac:dyDescent="0.3">
      <c r="C1317" s="2"/>
      <c r="D1317" s="8">
        <v>2020</v>
      </c>
      <c r="E1317" s="14">
        <f>Data!E1317</f>
        <v>74774000000</v>
      </c>
      <c r="F1317" s="14">
        <f>Data!H1317</f>
        <v>469924000000</v>
      </c>
      <c r="G1317" s="12">
        <f t="shared" si="20"/>
        <v>0.15911934695823154</v>
      </c>
    </row>
    <row r="1318" spans="2:7" ht="15" customHeight="1" x14ac:dyDescent="0.3">
      <c r="C1318" s="2"/>
      <c r="D1318" s="8">
        <v>2021</v>
      </c>
      <c r="E1318" s="14">
        <f>Data!E1318</f>
        <v>151032000000</v>
      </c>
      <c r="F1318" s="14">
        <f>Data!H1318</f>
        <v>603872000000</v>
      </c>
      <c r="G1318" s="12">
        <f t="shared" si="20"/>
        <v>0.25010598272481588</v>
      </c>
    </row>
    <row r="1319" spans="2:7" ht="15" customHeight="1" x14ac:dyDescent="0.3">
      <c r="C1319" s="2"/>
      <c r="D1319" s="8">
        <v>2022</v>
      </c>
      <c r="E1319" s="14">
        <f>Data!E1319</f>
        <v>197371000000</v>
      </c>
      <c r="F1319" s="14">
        <f>Data!H1319</f>
        <v>569414000000</v>
      </c>
      <c r="G1319" s="12">
        <f t="shared" si="20"/>
        <v>0.34662126326363596</v>
      </c>
    </row>
    <row r="1320" spans="2:7" ht="15" customHeight="1" x14ac:dyDescent="0.3">
      <c r="C1320" s="2"/>
      <c r="D1320" s="8">
        <v>2023</v>
      </c>
      <c r="E1320" s="14">
        <f>Data!E1320</f>
        <v>374373000000</v>
      </c>
      <c r="F1320" s="14">
        <f>Data!H1320</f>
        <v>774670000000</v>
      </c>
      <c r="G1320" s="12">
        <f t="shared" si="20"/>
        <v>0.48326771399434598</v>
      </c>
    </row>
    <row r="1321" spans="2:7" ht="15" customHeight="1" x14ac:dyDescent="0.3">
      <c r="C1321" s="2"/>
      <c r="D1321" s="8">
        <v>2024</v>
      </c>
      <c r="E1321" s="14">
        <f>Data!E1321</f>
        <v>498947000000</v>
      </c>
      <c r="F1321" s="14">
        <f>Data!H1321</f>
        <v>856486000000</v>
      </c>
      <c r="G1321" s="12">
        <f t="shared" si="20"/>
        <v>0.58255126178361349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Data!E1322</f>
        <v>0</v>
      </c>
      <c r="F1322" s="14">
        <f>Data!H1322</f>
        <v>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Data!E1323</f>
        <v>64699000000</v>
      </c>
      <c r="F1323" s="14">
        <f>Data!H1323</f>
        <v>99275000000</v>
      </c>
      <c r="G1323" s="12">
        <f t="shared" si="20"/>
        <v>0.6517149332661798</v>
      </c>
    </row>
    <row r="1324" spans="2:7" ht="15" customHeight="1" x14ac:dyDescent="0.3">
      <c r="C1324" s="2"/>
      <c r="D1324" s="8">
        <v>2016</v>
      </c>
      <c r="E1324" s="14">
        <f>Data!E1324</f>
        <v>68225000000</v>
      </c>
      <c r="F1324" s="14">
        <f>Data!H1324</f>
        <v>194589000000</v>
      </c>
      <c r="G1324" s="12">
        <f t="shared" si="20"/>
        <v>0.35061077450421146</v>
      </c>
    </row>
    <row r="1325" spans="2:7" ht="15" customHeight="1" x14ac:dyDescent="0.3">
      <c r="C1325" s="2"/>
      <c r="D1325" s="8">
        <v>2017</v>
      </c>
      <c r="E1325" s="14">
        <f>Data!E1325</f>
        <v>107799000000</v>
      </c>
      <c r="F1325" s="14">
        <f>Data!H1325</f>
        <v>203473000000</v>
      </c>
      <c r="G1325" s="12">
        <f t="shared" si="20"/>
        <v>0.5297951079504406</v>
      </c>
    </row>
    <row r="1326" spans="2:7" ht="15" customHeight="1" x14ac:dyDescent="0.3">
      <c r="C1326" s="2"/>
      <c r="D1326" s="8">
        <v>2018</v>
      </c>
      <c r="E1326" s="14">
        <f>Data!E1326</f>
        <v>72078000000</v>
      </c>
      <c r="F1326" s="14">
        <f>Data!H1326</f>
        <v>273431000000</v>
      </c>
      <c r="G1326" s="12">
        <f t="shared" si="20"/>
        <v>0.26360580914380594</v>
      </c>
    </row>
    <row r="1327" spans="2:7" ht="15" customHeight="1" x14ac:dyDescent="0.3">
      <c r="C1327" s="2"/>
      <c r="D1327" s="8">
        <v>2019</v>
      </c>
      <c r="E1327" s="14">
        <f>Data!E1327</f>
        <v>75351000000</v>
      </c>
      <c r="F1327" s="14">
        <f>Data!H1327</f>
        <v>276594000000</v>
      </c>
      <c r="G1327" s="12">
        <f t="shared" si="20"/>
        <v>0.27242456452417624</v>
      </c>
    </row>
    <row r="1328" spans="2:7" ht="15" customHeight="1" x14ac:dyDescent="0.3">
      <c r="C1328" s="2"/>
      <c r="D1328" s="8">
        <v>2020</v>
      </c>
      <c r="E1328" s="14">
        <f>Data!E1328</f>
        <v>106596000000</v>
      </c>
      <c r="F1328" s="14">
        <f>Data!H1328</f>
        <v>307720000000</v>
      </c>
      <c r="G1328" s="12">
        <f t="shared" si="20"/>
        <v>0.34640582347588716</v>
      </c>
    </row>
    <row r="1329" spans="2:7" ht="15" customHeight="1" x14ac:dyDescent="0.3">
      <c r="C1329" s="2"/>
      <c r="D1329" s="8">
        <v>2021</v>
      </c>
      <c r="E1329" s="14">
        <f>Data!E1329</f>
        <v>108437000000</v>
      </c>
      <c r="F1329" s="14">
        <f>Data!H1329</f>
        <v>272755000000</v>
      </c>
      <c r="G1329" s="12">
        <f t="shared" si="20"/>
        <v>0.39756191453868855</v>
      </c>
    </row>
    <row r="1330" spans="2:7" ht="15" customHeight="1" x14ac:dyDescent="0.3">
      <c r="C1330" s="2"/>
      <c r="D1330" s="8">
        <v>2022</v>
      </c>
      <c r="E1330" s="14">
        <f>Data!E1330</f>
        <v>46498000000</v>
      </c>
      <c r="F1330" s="14">
        <f>Data!H1330</f>
        <v>371945000000</v>
      </c>
      <c r="G1330" s="12">
        <f t="shared" si="20"/>
        <v>0.12501310677653954</v>
      </c>
    </row>
    <row r="1331" spans="2:7" ht="15" customHeight="1" x14ac:dyDescent="0.3">
      <c r="C1331" s="2"/>
      <c r="D1331" s="8">
        <v>2023</v>
      </c>
      <c r="E1331" s="14">
        <f>Data!E1331</f>
        <v>16326000000</v>
      </c>
      <c r="F1331" s="14">
        <f>Data!H1331</f>
        <v>657392000000</v>
      </c>
      <c r="G1331" s="12">
        <f t="shared" si="20"/>
        <v>2.4834497529632245E-2</v>
      </c>
    </row>
    <row r="1332" spans="2:7" ht="15" customHeight="1" x14ac:dyDescent="0.3">
      <c r="C1332" s="2"/>
      <c r="D1332" s="8">
        <v>2024</v>
      </c>
      <c r="E1332" s="14">
        <f>Data!E1332</f>
        <v>8135000000</v>
      </c>
      <c r="F1332" s="14">
        <f>Data!H1332</f>
        <v>464502000000</v>
      </c>
      <c r="G1332" s="12">
        <f t="shared" si="20"/>
        <v>1.7513379920861483E-2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Data!E1333</f>
        <v>0</v>
      </c>
      <c r="F1333" s="14">
        <f>Data!H1333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Data!E1334</f>
        <v>0</v>
      </c>
      <c r="F1334" s="14">
        <f>Data!H1334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Data!E1335</f>
        <v>0</v>
      </c>
      <c r="F1335" s="14">
        <f>Data!H1335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Data!E1336</f>
        <v>0</v>
      </c>
      <c r="F1336" s="14">
        <f>Data!H1336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Data!E1337</f>
        <v>0</v>
      </c>
      <c r="F1337" s="14">
        <f>Data!H1337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Data!E1338</f>
        <v>0</v>
      </c>
      <c r="F1338" s="14">
        <f>Data!H1338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Data!E1339</f>
        <v>0</v>
      </c>
      <c r="F1339" s="14">
        <f>Data!H1339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Data!E1340</f>
        <v>0</v>
      </c>
      <c r="F1340" s="14">
        <f>Data!H1340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Data!E1341</f>
        <v>0</v>
      </c>
      <c r="F1341" s="14">
        <f>Data!H1341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Data!E1342</f>
        <v>0</v>
      </c>
      <c r="F1342" s="14">
        <f>Data!H1342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Data!E1343</f>
        <v>0</v>
      </c>
      <c r="F1343" s="14">
        <f>Data!H1343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Data!E1344</f>
        <v>0</v>
      </c>
      <c r="F1344" s="14">
        <f>Data!H1344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Data!E1345</f>
        <v>0</v>
      </c>
      <c r="F1345" s="14">
        <f>Data!H1345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Data!E1346</f>
        <v>0</v>
      </c>
      <c r="F1346" s="14">
        <f>Data!H1346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Data!E1347</f>
        <v>0</v>
      </c>
      <c r="F1347" s="14">
        <f>Data!H1347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Data!E1348</f>
        <v>0</v>
      </c>
      <c r="F1348" s="14">
        <f>Data!H1348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Data!E1349</f>
        <v>3300330866</v>
      </c>
      <c r="F1349" s="14">
        <f>Data!H1349</f>
        <v>107423127916</v>
      </c>
      <c r="G1349" s="12">
        <f t="shared" si="21"/>
        <v>3.0722721726933036E-2</v>
      </c>
    </row>
    <row r="1350" spans="2:7" ht="15" customHeight="1" x14ac:dyDescent="0.3">
      <c r="C1350" s="2"/>
      <c r="D1350" s="8">
        <v>2020</v>
      </c>
      <c r="E1350" s="14">
        <f>Data!E1350</f>
        <v>5575273998</v>
      </c>
      <c r="F1350" s="14">
        <f>Data!H1350</f>
        <v>182131316020</v>
      </c>
      <c r="G1350" s="12">
        <f t="shared" si="21"/>
        <v>3.0611287063822535E-2</v>
      </c>
    </row>
    <row r="1351" spans="2:7" ht="15" customHeight="1" x14ac:dyDescent="0.3">
      <c r="C1351" s="2"/>
      <c r="D1351" s="8">
        <v>2021</v>
      </c>
      <c r="E1351" s="14">
        <f>Data!E1351</f>
        <v>19902997886</v>
      </c>
      <c r="F1351" s="14">
        <f>Data!H1351</f>
        <v>74574505034</v>
      </c>
      <c r="G1351" s="12">
        <f t="shared" si="21"/>
        <v>0.26688742857798153</v>
      </c>
    </row>
    <row r="1352" spans="2:7" ht="15" customHeight="1" x14ac:dyDescent="0.3">
      <c r="C1352" s="2"/>
      <c r="D1352" s="8">
        <v>2022</v>
      </c>
      <c r="E1352" s="14">
        <f>Data!E1352</f>
        <v>67551703991</v>
      </c>
      <c r="F1352" s="14">
        <f>Data!H1352</f>
        <v>121049138701</v>
      </c>
      <c r="G1352" s="12">
        <f t="shared" si="21"/>
        <v>0.55805191772456575</v>
      </c>
    </row>
    <row r="1353" spans="2:7" ht="15" customHeight="1" x14ac:dyDescent="0.3">
      <c r="C1353" s="2"/>
      <c r="D1353" s="8">
        <v>2023</v>
      </c>
      <c r="E1353" s="14">
        <f>Data!E1353</f>
        <v>201074436559</v>
      </c>
      <c r="F1353" s="14">
        <f>Data!H1353</f>
        <v>197192201191</v>
      </c>
      <c r="G1353" s="12">
        <f t="shared" si="21"/>
        <v>1.0196875705253661</v>
      </c>
    </row>
    <row r="1354" spans="2:7" ht="15" customHeight="1" x14ac:dyDescent="0.3">
      <c r="C1354" s="2"/>
      <c r="D1354" s="8">
        <v>2024</v>
      </c>
      <c r="E1354" s="14">
        <f>Data!E1354</f>
        <v>256350410422</v>
      </c>
      <c r="F1354" s="14">
        <f>Data!H1354</f>
        <v>144745737669</v>
      </c>
      <c r="G1354" s="12">
        <f t="shared" si="21"/>
        <v>1.7710394416463859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Data!E1355</f>
        <v>0</v>
      </c>
      <c r="F1355" s="14">
        <f>Data!H1355</f>
        <v>0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Data!E1356</f>
        <v>108270915249</v>
      </c>
      <c r="F1356" s="14">
        <f>Data!H1356</f>
        <v>68423281852</v>
      </c>
      <c r="G1356" s="12">
        <f t="shared" si="21"/>
        <v>1.5823695139790384</v>
      </c>
    </row>
    <row r="1357" spans="2:7" ht="15" customHeight="1" x14ac:dyDescent="0.3">
      <c r="C1357" s="2"/>
      <c r="D1357" s="8">
        <v>2016</v>
      </c>
      <c r="E1357" s="14">
        <f>Data!E1357</f>
        <v>55682377014</v>
      </c>
      <c r="F1357" s="14">
        <f>Data!H1357</f>
        <v>77197007405</v>
      </c>
      <c r="G1357" s="12">
        <f t="shared" si="21"/>
        <v>0.72130227434688732</v>
      </c>
    </row>
    <row r="1358" spans="2:7" ht="15" customHeight="1" x14ac:dyDescent="0.3">
      <c r="C1358" s="2"/>
      <c r="D1358" s="8">
        <v>2017</v>
      </c>
      <c r="E1358" s="14">
        <f>Data!E1358</f>
        <v>74517739179</v>
      </c>
      <c r="F1358" s="14">
        <f>Data!H1358</f>
        <v>62609971818</v>
      </c>
      <c r="G1358" s="12">
        <f t="shared" si="21"/>
        <v>1.1901896297863623</v>
      </c>
    </row>
    <row r="1359" spans="2:7" ht="15" customHeight="1" x14ac:dyDescent="0.3">
      <c r="C1359" s="2"/>
      <c r="D1359" s="8">
        <v>2018</v>
      </c>
      <c r="E1359" s="14">
        <f>Data!E1359</f>
        <v>36421000000</v>
      </c>
      <c r="F1359" s="14">
        <f>Data!H1359</f>
        <v>52863000000</v>
      </c>
      <c r="G1359" s="12">
        <f t="shared" si="21"/>
        <v>0.68896960066587221</v>
      </c>
    </row>
    <row r="1360" spans="2:7" ht="15" customHeight="1" x14ac:dyDescent="0.3">
      <c r="C1360" s="2"/>
      <c r="D1360" s="8">
        <v>2019</v>
      </c>
      <c r="E1360" s="14">
        <f>Data!E1360</f>
        <v>134354000000</v>
      </c>
      <c r="F1360" s="14">
        <f>Data!H1360</f>
        <v>59387000000</v>
      </c>
      <c r="G1360" s="12">
        <f t="shared" si="21"/>
        <v>2.262346978294913</v>
      </c>
    </row>
    <row r="1361" spans="2:7" ht="15" customHeight="1" x14ac:dyDescent="0.3">
      <c r="C1361" s="2"/>
      <c r="D1361" s="8">
        <v>2020</v>
      </c>
      <c r="E1361" s="14">
        <f>Data!E1361</f>
        <v>73260000000</v>
      </c>
      <c r="F1361" s="14">
        <f>Data!H1361</f>
        <v>85537000000</v>
      </c>
      <c r="G1361" s="12">
        <f t="shared" si="21"/>
        <v>0.85647146848732125</v>
      </c>
    </row>
    <row r="1362" spans="2:7" ht="15" customHeight="1" x14ac:dyDescent="0.3">
      <c r="C1362" s="2"/>
      <c r="D1362" s="8">
        <v>2021</v>
      </c>
      <c r="E1362" s="14">
        <f>Data!E1362</f>
        <v>57220000000</v>
      </c>
      <c r="F1362" s="14">
        <f>Data!H1362</f>
        <v>129832000000</v>
      </c>
      <c r="G1362" s="12">
        <f t="shared" si="21"/>
        <v>0.44072339638917984</v>
      </c>
    </row>
    <row r="1363" spans="2:7" ht="15" customHeight="1" x14ac:dyDescent="0.3">
      <c r="C1363" s="2"/>
      <c r="D1363" s="8">
        <v>2022</v>
      </c>
      <c r="E1363" s="14">
        <f>Data!E1363</f>
        <v>72036000000</v>
      </c>
      <c r="F1363" s="14">
        <f>Data!H1363</f>
        <v>169817000000</v>
      </c>
      <c r="G1363" s="12">
        <f t="shared" si="21"/>
        <v>0.42419781293981168</v>
      </c>
    </row>
    <row r="1364" spans="2:7" ht="15" customHeight="1" x14ac:dyDescent="0.3">
      <c r="C1364" s="2"/>
      <c r="D1364" s="8">
        <v>2023</v>
      </c>
      <c r="E1364" s="14">
        <f>Data!E1364</f>
        <v>231609000000</v>
      </c>
      <c r="F1364" s="14">
        <f>Data!H1364</f>
        <v>296257000000</v>
      </c>
      <c r="G1364" s="12">
        <f t="shared" si="21"/>
        <v>0.78178405911083959</v>
      </c>
    </row>
    <row r="1365" spans="2:7" ht="15" customHeight="1" x14ac:dyDescent="0.3">
      <c r="C1365" s="2"/>
      <c r="D1365" s="8">
        <v>2024</v>
      </c>
      <c r="E1365" s="14">
        <f>Data!E1365</f>
        <v>181691000000</v>
      </c>
      <c r="F1365" s="14">
        <f>Data!H1365</f>
        <v>316577000000</v>
      </c>
      <c r="G1365" s="12">
        <f t="shared" si="21"/>
        <v>0.57392356361959329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Data!E1366</f>
        <v>0</v>
      </c>
      <c r="F1366" s="14">
        <f>Data!H1366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Data!E1367</f>
        <v>0</v>
      </c>
      <c r="F1367" s="14">
        <f>Data!H1367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Data!E1368</f>
        <v>0</v>
      </c>
      <c r="F1368" s="14">
        <f>Data!H1368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Data!E1369</f>
        <v>0</v>
      </c>
      <c r="F1369" s="14">
        <f>Data!H1369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Data!E1370</f>
        <v>0</v>
      </c>
      <c r="F1370" s="14">
        <f>Data!H1370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Data!E1371</f>
        <v>0</v>
      </c>
      <c r="F1371" s="14">
        <f>Data!H1371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Data!E1372</f>
        <v>0</v>
      </c>
      <c r="F1372" s="14">
        <f>Data!H1372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Data!E1373</f>
        <v>0</v>
      </c>
      <c r="F1373" s="14">
        <f>Data!H1373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Data!E1374</f>
        <v>0</v>
      </c>
      <c r="F1374" s="14">
        <f>Data!H1374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Data!E1375</f>
        <v>0</v>
      </c>
      <c r="F1375" s="14">
        <f>Data!H1375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Data!E1376</f>
        <v>0</v>
      </c>
      <c r="F1376" s="14">
        <f>Data!H1376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Data!E1377</f>
        <v>0</v>
      </c>
      <c r="F1377" s="14">
        <f>Data!H1377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Data!E1378</f>
        <v>0</v>
      </c>
      <c r="F1378" s="14">
        <f>Data!H1378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Data!E1379</f>
        <v>17690624602</v>
      </c>
      <c r="F1379" s="14">
        <f>Data!H1379</f>
        <v>125214349045</v>
      </c>
      <c r="G1379" s="12">
        <f t="shared" si="21"/>
        <v>0.14128272627638128</v>
      </c>
    </row>
    <row r="1380" spans="2:7" ht="15" customHeight="1" x14ac:dyDescent="0.3">
      <c r="C1380" s="2"/>
      <c r="D1380" s="8">
        <v>2017</v>
      </c>
      <c r="E1380" s="14">
        <f>Data!E1380</f>
        <v>24275265494</v>
      </c>
      <c r="F1380" s="14">
        <f>Data!H1380</f>
        <v>124185744554</v>
      </c>
      <c r="G1380" s="12">
        <f t="shared" si="21"/>
        <v>0.19547545961238993</v>
      </c>
    </row>
    <row r="1381" spans="2:7" ht="15" customHeight="1" x14ac:dyDescent="0.3">
      <c r="C1381" s="2"/>
      <c r="D1381" s="8">
        <v>2018</v>
      </c>
      <c r="E1381" s="14">
        <f>Data!E1381</f>
        <v>16493397856</v>
      </c>
      <c r="F1381" s="14">
        <f>Data!H1381</f>
        <v>119793149450</v>
      </c>
      <c r="G1381" s="12">
        <f t="shared" si="21"/>
        <v>0.1376823126508091</v>
      </c>
    </row>
    <row r="1382" spans="2:7" ht="15" customHeight="1" x14ac:dyDescent="0.3">
      <c r="C1382" s="2"/>
      <c r="D1382" s="8">
        <v>2019</v>
      </c>
      <c r="E1382" s="14">
        <f>Data!E1382</f>
        <v>17515063757</v>
      </c>
      <c r="F1382" s="14">
        <f>Data!H1382</f>
        <v>134135872849</v>
      </c>
      <c r="G1382" s="12">
        <f t="shared" si="21"/>
        <v>0.13057702898550586</v>
      </c>
    </row>
    <row r="1383" spans="2:7" ht="15" customHeight="1" x14ac:dyDescent="0.3">
      <c r="C1383" s="2"/>
      <c r="D1383" s="8">
        <v>2020</v>
      </c>
      <c r="E1383" s="14">
        <f>Data!E1383</f>
        <v>24104264372</v>
      </c>
      <c r="F1383" s="14">
        <f>Data!H1383</f>
        <v>192221679695</v>
      </c>
      <c r="G1383" s="12">
        <f t="shared" si="21"/>
        <v>0.12539826106111687</v>
      </c>
    </row>
    <row r="1384" spans="2:7" ht="15" customHeight="1" x14ac:dyDescent="0.3">
      <c r="C1384" s="2"/>
      <c r="D1384" s="8">
        <v>2021</v>
      </c>
      <c r="E1384" s="14">
        <f>Data!E1384</f>
        <v>29526483066</v>
      </c>
      <c r="F1384" s="14">
        <f>Data!H1384</f>
        <v>185565438936</v>
      </c>
      <c r="G1384" s="12">
        <f t="shared" si="21"/>
        <v>0.1591162839120244</v>
      </c>
    </row>
    <row r="1385" spans="2:7" ht="15" customHeight="1" x14ac:dyDescent="0.3">
      <c r="C1385" s="2"/>
      <c r="D1385" s="8">
        <v>2022</v>
      </c>
      <c r="E1385" s="14">
        <f>Data!E1385</f>
        <v>40321961783</v>
      </c>
      <c r="F1385" s="14">
        <f>Data!H1385</f>
        <v>179127901433</v>
      </c>
      <c r="G1385" s="12">
        <f t="shared" si="21"/>
        <v>0.2251015138369262</v>
      </c>
    </row>
    <row r="1386" spans="2:7" ht="15" customHeight="1" x14ac:dyDescent="0.3">
      <c r="C1386" s="2"/>
      <c r="D1386" s="8">
        <v>2023</v>
      </c>
      <c r="E1386" s="14">
        <f>Data!E1386</f>
        <v>21023141057</v>
      </c>
      <c r="F1386" s="14">
        <f>Data!H1386</f>
        <v>228522158103</v>
      </c>
      <c r="G1386" s="12">
        <f t="shared" si="21"/>
        <v>9.1996072641342741E-2</v>
      </c>
    </row>
    <row r="1387" spans="2:7" ht="15" customHeight="1" x14ac:dyDescent="0.3">
      <c r="C1387" s="2"/>
      <c r="D1387" s="8">
        <v>2024</v>
      </c>
      <c r="E1387" s="14">
        <f>Data!E1387</f>
        <v>15387497994</v>
      </c>
      <c r="F1387" s="14">
        <f>Data!H1387</f>
        <v>411988350113</v>
      </c>
      <c r="G1387" s="12">
        <f t="shared" si="21"/>
        <v>3.7349352208089194E-2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Data!E1388</f>
        <v>0</v>
      </c>
      <c r="F1388" s="14">
        <f>Data!H1388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Data!E1389</f>
        <v>0</v>
      </c>
      <c r="F1389" s="14">
        <f>Data!H1389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 t="e">
        <f>Data!#REF!</f>
        <v>#REF!</v>
      </c>
      <c r="F1390" s="14">
        <f>Data!H1390</f>
        <v>161242670434</v>
      </c>
      <c r="G1390" s="12">
        <f t="shared" si="21"/>
        <v>0</v>
      </c>
    </row>
    <row r="1391" spans="2:7" ht="15" customHeight="1" x14ac:dyDescent="0.3">
      <c r="C1391" s="2"/>
      <c r="D1391" s="8">
        <v>2017</v>
      </c>
      <c r="E1391" s="14">
        <f>Data!E1391</f>
        <v>4404135572</v>
      </c>
      <c r="F1391" s="14">
        <f>Data!H1391</f>
        <v>162798436027</v>
      </c>
      <c r="G1391" s="12">
        <f t="shared" si="21"/>
        <v>2.7052689690886082E-2</v>
      </c>
    </row>
    <row r="1392" spans="2:7" ht="15" customHeight="1" x14ac:dyDescent="0.3">
      <c r="C1392" s="2"/>
      <c r="D1392" s="8">
        <v>2018</v>
      </c>
      <c r="E1392" s="14">
        <f>Data!E1392</f>
        <v>12243105866</v>
      </c>
      <c r="F1392" s="14">
        <f>Data!H1392</f>
        <v>188199261248</v>
      </c>
      <c r="G1392" s="12">
        <f t="shared" si="21"/>
        <v>6.5053952841327145E-2</v>
      </c>
    </row>
    <row r="1393" spans="2:7" ht="15" customHeight="1" x14ac:dyDescent="0.3">
      <c r="C1393" s="2"/>
      <c r="D1393" s="8">
        <v>2019</v>
      </c>
      <c r="E1393" s="14">
        <f>Data!E1393</f>
        <v>13001214534</v>
      </c>
      <c r="F1393" s="14">
        <f>Data!H1393</f>
        <v>289450158711</v>
      </c>
      <c r="G1393" s="12">
        <f t="shared" si="21"/>
        <v>4.4916936967310472E-2</v>
      </c>
    </row>
    <row r="1394" spans="2:7" ht="15" customHeight="1" x14ac:dyDescent="0.3">
      <c r="C1394" s="2"/>
      <c r="D1394" s="8">
        <v>2020</v>
      </c>
      <c r="E1394" s="14">
        <f>Data!E1394</f>
        <v>8475840183</v>
      </c>
      <c r="F1394" s="14">
        <f>Data!H1394</f>
        <v>410346088642</v>
      </c>
      <c r="G1394" s="12">
        <f t="shared" si="21"/>
        <v>2.0655345372122248E-2</v>
      </c>
    </row>
    <row r="1395" spans="2:7" ht="15" customHeight="1" x14ac:dyDescent="0.3">
      <c r="C1395" s="2"/>
      <c r="D1395" s="8">
        <v>2021</v>
      </c>
      <c r="E1395" s="14">
        <f>Data!E1395</f>
        <v>4788279504</v>
      </c>
      <c r="F1395" s="14">
        <f>Data!H1395</f>
        <v>390939931019</v>
      </c>
      <c r="G1395" s="12">
        <f t="shared" si="21"/>
        <v>1.224812080853231E-2</v>
      </c>
    </row>
    <row r="1396" spans="2:7" ht="15" customHeight="1" x14ac:dyDescent="0.3">
      <c r="C1396" s="2"/>
      <c r="D1396" s="8">
        <v>2022</v>
      </c>
      <c r="E1396" s="14">
        <f>Data!E1396</f>
        <v>12830392796</v>
      </c>
      <c r="F1396" s="14">
        <f>Data!H1396</f>
        <v>743554380337</v>
      </c>
      <c r="G1396" s="12">
        <f t="shared" si="21"/>
        <v>1.7255486801361995E-2</v>
      </c>
    </row>
    <row r="1397" spans="2:7" ht="15" customHeight="1" x14ac:dyDescent="0.3">
      <c r="C1397" s="2"/>
      <c r="D1397" s="8">
        <v>2023</v>
      </c>
      <c r="E1397" s="14">
        <f>Data!E1397</f>
        <v>16072143806</v>
      </c>
      <c r="F1397" s="14">
        <f>Data!H1397</f>
        <v>1335373820430</v>
      </c>
      <c r="G1397" s="12">
        <f t="shared" si="21"/>
        <v>1.2035688853645981E-2</v>
      </c>
    </row>
    <row r="1398" spans="2:7" ht="15" customHeight="1" x14ac:dyDescent="0.3">
      <c r="C1398" s="2"/>
      <c r="D1398" s="8">
        <v>2024</v>
      </c>
      <c r="E1398" s="14">
        <f>Data!E1398</f>
        <v>43319635678</v>
      </c>
      <c r="F1398" s="14">
        <f>Data!H1398</f>
        <v>2193903042948</v>
      </c>
      <c r="G1398" s="12">
        <f t="shared" si="21"/>
        <v>1.9745464968128387E-2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Data!E1399</f>
        <v>0</v>
      </c>
      <c r="F1399" s="14">
        <f>Data!H1399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Data!E1400</f>
        <v>0</v>
      </c>
      <c r="F1400" s="14">
        <f>Data!H1400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Data!E1401</f>
        <v>0</v>
      </c>
      <c r="F1401" s="14">
        <f>Data!H1401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Data!E1402</f>
        <v>0</v>
      </c>
      <c r="F1402" s="14">
        <f>Data!H1402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Data!E1403</f>
        <v>5191000000</v>
      </c>
      <c r="F1403" s="14">
        <f>Data!H1403</f>
        <v>56857000000</v>
      </c>
      <c r="G1403" s="12">
        <f t="shared" si="21"/>
        <v>9.1299224369910476E-2</v>
      </c>
    </row>
    <row r="1404" spans="2:7" ht="15" customHeight="1" x14ac:dyDescent="0.3">
      <c r="C1404" s="2"/>
      <c r="D1404" s="8">
        <v>2019</v>
      </c>
      <c r="E1404" s="14">
        <f>Data!E1404</f>
        <v>17914000000</v>
      </c>
      <c r="F1404" s="14">
        <f>Data!H1404</f>
        <v>65076000000</v>
      </c>
      <c r="G1404" s="12">
        <f t="shared" si="21"/>
        <v>0.27527813633290305</v>
      </c>
    </row>
    <row r="1405" spans="2:7" ht="15" customHeight="1" x14ac:dyDescent="0.3">
      <c r="C1405" s="2"/>
      <c r="D1405" s="8">
        <v>2020</v>
      </c>
      <c r="E1405" s="14">
        <f>Data!E1405</f>
        <v>38264000000</v>
      </c>
      <c r="F1405" s="14">
        <f>Data!H1405</f>
        <v>64119000000</v>
      </c>
      <c r="G1405" s="12">
        <f t="shared" si="21"/>
        <v>0.59676538935416956</v>
      </c>
    </row>
    <row r="1406" spans="2:7" ht="15" customHeight="1" x14ac:dyDescent="0.3">
      <c r="C1406" s="2"/>
      <c r="D1406" s="8">
        <v>2021</v>
      </c>
      <c r="E1406" s="14">
        <f>Data!E1406</f>
        <v>38139000000</v>
      </c>
      <c r="F1406" s="14">
        <f>Data!H1406</f>
        <v>80860000000</v>
      </c>
      <c r="G1406" s="12">
        <f t="shared" si="21"/>
        <v>0.47166707890180559</v>
      </c>
    </row>
    <row r="1407" spans="2:7" ht="15" customHeight="1" x14ac:dyDescent="0.3">
      <c r="C1407" s="2"/>
      <c r="D1407" s="8">
        <v>2022</v>
      </c>
      <c r="E1407" s="14">
        <f>Data!E1407</f>
        <v>22212000000</v>
      </c>
      <c r="F1407" s="14">
        <f>Data!H1407</f>
        <v>53685000000</v>
      </c>
      <c r="G1407" s="12">
        <f t="shared" si="21"/>
        <v>0.41374685666387256</v>
      </c>
    </row>
    <row r="1408" spans="2:7" ht="15" customHeight="1" x14ac:dyDescent="0.3">
      <c r="C1408" s="2"/>
      <c r="D1408" s="8">
        <v>2023</v>
      </c>
      <c r="E1408" s="14">
        <f>Data!E1408</f>
        <v>34720000000</v>
      </c>
      <c r="F1408" s="14">
        <f>Data!H1408</f>
        <v>70359000000</v>
      </c>
      <c r="G1408" s="12">
        <f t="shared" si="21"/>
        <v>0.49346920791938487</v>
      </c>
    </row>
    <row r="1409" spans="2:7" ht="15" customHeight="1" x14ac:dyDescent="0.3">
      <c r="C1409" s="2"/>
      <c r="D1409" s="8">
        <v>2024</v>
      </c>
      <c r="E1409" s="14">
        <f>Data!E1409</f>
        <v>97823000000</v>
      </c>
      <c r="F1409" s="14">
        <f>Data!H1409</f>
        <v>32499000000</v>
      </c>
      <c r="G1409" s="12">
        <f t="shared" si="21"/>
        <v>3.0100310778793196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Data!E1410</f>
        <v>0</v>
      </c>
      <c r="F1410" s="14">
        <f>Data!H1410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 t="e">
        <f>Data!#REF!</f>
        <v>#REF!</v>
      </c>
      <c r="F1411" s="14">
        <f>Data!H1411</f>
        <v>70020000000</v>
      </c>
      <c r="G1411" s="12">
        <f t="shared" ref="G1411:G1474" si="22">IFERROR(E1411/F1411,0)</f>
        <v>0</v>
      </c>
    </row>
    <row r="1412" spans="2:7" ht="15" customHeight="1" x14ac:dyDescent="0.3">
      <c r="C1412" s="2"/>
      <c r="D1412" s="8">
        <v>2016</v>
      </c>
      <c r="E1412" s="14">
        <f>Data!E1412</f>
        <v>9229000000</v>
      </c>
      <c r="F1412" s="14">
        <f>Data!H1412</f>
        <v>48073000000</v>
      </c>
      <c r="G1412" s="12">
        <f t="shared" si="22"/>
        <v>0.19197886547542278</v>
      </c>
    </row>
    <row r="1413" spans="2:7" ht="15" customHeight="1" x14ac:dyDescent="0.3">
      <c r="C1413" s="2"/>
      <c r="D1413" s="8">
        <v>2017</v>
      </c>
      <c r="E1413" s="14">
        <f>Data!E1413</f>
        <v>97179000000</v>
      </c>
      <c r="F1413" s="14">
        <f>Data!H1413</f>
        <v>124492000000</v>
      </c>
      <c r="G1413" s="12">
        <f t="shared" si="22"/>
        <v>0.78060437618481504</v>
      </c>
    </row>
    <row r="1414" spans="2:7" ht="15" customHeight="1" x14ac:dyDescent="0.3">
      <c r="C1414" s="2"/>
      <c r="D1414" s="8">
        <v>2018</v>
      </c>
      <c r="E1414" s="14">
        <f>Data!E1414</f>
        <v>10697000000</v>
      </c>
      <c r="F1414" s="14">
        <f>Data!H1414</f>
        <v>29897000000</v>
      </c>
      <c r="G1414" s="12">
        <f t="shared" si="22"/>
        <v>0.35779509649797636</v>
      </c>
    </row>
    <row r="1415" spans="2:7" ht="15" customHeight="1" x14ac:dyDescent="0.3">
      <c r="C1415" s="2"/>
      <c r="D1415" s="8">
        <v>2019</v>
      </c>
      <c r="E1415" s="14">
        <f>Data!E1415</f>
        <v>33321000000</v>
      </c>
      <c r="F1415" s="14">
        <f>Data!H1415</f>
        <v>57125000000</v>
      </c>
      <c r="G1415" s="12">
        <f t="shared" si="22"/>
        <v>0.58329978118161929</v>
      </c>
    </row>
    <row r="1416" spans="2:7" ht="15" customHeight="1" x14ac:dyDescent="0.3">
      <c r="C1416" s="2"/>
      <c r="D1416" s="8">
        <v>2020</v>
      </c>
      <c r="E1416" s="14">
        <f>Data!E1416</f>
        <v>14390000000</v>
      </c>
      <c r="F1416" s="14">
        <f>Data!H1416</f>
        <v>39724000000</v>
      </c>
      <c r="G1416" s="12">
        <f t="shared" si="22"/>
        <v>0.36224952169972813</v>
      </c>
    </row>
    <row r="1417" spans="2:7" ht="15" customHeight="1" x14ac:dyDescent="0.3">
      <c r="C1417" s="2"/>
      <c r="D1417" s="8">
        <v>2021</v>
      </c>
      <c r="E1417" s="14">
        <f>Data!E1417</f>
        <v>63282000000</v>
      </c>
      <c r="F1417" s="14">
        <f>Data!H1417</f>
        <v>40059000000</v>
      </c>
      <c r="G1417" s="12">
        <f t="shared" si="22"/>
        <v>1.5797199131281361</v>
      </c>
    </row>
    <row r="1418" spans="2:7" ht="15" customHeight="1" x14ac:dyDescent="0.3">
      <c r="C1418" s="2"/>
      <c r="D1418" s="8">
        <v>2022</v>
      </c>
      <c r="E1418" s="14">
        <f>Data!E1418</f>
        <v>45236000000</v>
      </c>
      <c r="F1418" s="14">
        <f>Data!H1418</f>
        <v>73568000000</v>
      </c>
      <c r="G1418" s="12">
        <f t="shared" si="22"/>
        <v>0.61488690735102214</v>
      </c>
    </row>
    <row r="1419" spans="2:7" ht="15" customHeight="1" x14ac:dyDescent="0.3">
      <c r="C1419" s="2"/>
      <c r="D1419" s="8">
        <v>2023</v>
      </c>
      <c r="E1419" s="14">
        <f>Data!E1419</f>
        <v>119409000000</v>
      </c>
      <c r="F1419" s="14">
        <f>Data!H1419</f>
        <v>63803000000</v>
      </c>
      <c r="G1419" s="12">
        <f t="shared" si="22"/>
        <v>1.8715264172531072</v>
      </c>
    </row>
    <row r="1420" spans="2:7" ht="15" customHeight="1" x14ac:dyDescent="0.3">
      <c r="C1420" s="2"/>
      <c r="D1420" s="8">
        <v>2024</v>
      </c>
      <c r="E1420" s="14">
        <f>Data!E1420</f>
        <v>26769000000</v>
      </c>
      <c r="F1420" s="14">
        <f>Data!H1420</f>
        <v>88414000000</v>
      </c>
      <c r="G1420" s="12">
        <f t="shared" si="22"/>
        <v>0.30276879227271697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Data!E1421</f>
        <v>0</v>
      </c>
      <c r="F1421" s="14">
        <f>Data!H1421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Data!E1422</f>
        <v>0</v>
      </c>
      <c r="F1422" s="14">
        <f>Data!H1422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Data!E1423</f>
        <v>0</v>
      </c>
      <c r="F1423" s="14">
        <f>Data!H1423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Data!E1424</f>
        <v>0</v>
      </c>
      <c r="F1424" s="14">
        <f>Data!H1424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Data!E1425</f>
        <v>0</v>
      </c>
      <c r="F1425" s="14">
        <f>Data!H1425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Data!E1426</f>
        <v>15002000000</v>
      </c>
      <c r="F1426" s="14">
        <f>Data!H1426</f>
        <v>117985000000</v>
      </c>
      <c r="G1426" s="12">
        <f t="shared" si="22"/>
        <v>0.12715175657922617</v>
      </c>
    </row>
    <row r="1427" spans="2:7" ht="15" customHeight="1" x14ac:dyDescent="0.3">
      <c r="C1427" s="2"/>
      <c r="D1427" s="8">
        <v>2020</v>
      </c>
      <c r="E1427" s="14">
        <f>Data!E1427</f>
        <v>12875000000</v>
      </c>
      <c r="F1427" s="14">
        <f>Data!H1427</f>
        <v>48896000000</v>
      </c>
      <c r="G1427" s="12">
        <f t="shared" si="22"/>
        <v>0.26331397251308902</v>
      </c>
    </row>
    <row r="1428" spans="2:7" ht="15" customHeight="1" x14ac:dyDescent="0.3">
      <c r="C1428" s="2"/>
      <c r="D1428" s="8">
        <v>2021</v>
      </c>
      <c r="E1428" s="14">
        <f>Data!E1428</f>
        <v>41189000000</v>
      </c>
      <c r="F1428" s="14">
        <f>Data!H1428</f>
        <v>43549000000</v>
      </c>
      <c r="G1428" s="12">
        <f t="shared" si="22"/>
        <v>0.9458081701072355</v>
      </c>
    </row>
    <row r="1429" spans="2:7" ht="15" customHeight="1" x14ac:dyDescent="0.3">
      <c r="C1429" s="2"/>
      <c r="D1429" s="8">
        <v>2022</v>
      </c>
      <c r="E1429" s="14">
        <f>Data!E1429</f>
        <v>5982000000</v>
      </c>
      <c r="F1429" s="14">
        <f>Data!H1429</f>
        <v>28623000000</v>
      </c>
      <c r="G1429" s="12">
        <f t="shared" si="22"/>
        <v>0.20899276805366312</v>
      </c>
    </row>
    <row r="1430" spans="2:7" ht="15" customHeight="1" x14ac:dyDescent="0.3">
      <c r="C1430" s="2"/>
      <c r="D1430" s="8">
        <v>2023</v>
      </c>
      <c r="E1430" s="14">
        <f>Data!E1430</f>
        <v>49133000000</v>
      </c>
      <c r="F1430" s="14">
        <f>Data!H1430</f>
        <v>43141000000</v>
      </c>
      <c r="G1430" s="12">
        <f t="shared" si="22"/>
        <v>1.1388933960733409</v>
      </c>
    </row>
    <row r="1431" spans="2:7" ht="15" customHeight="1" x14ac:dyDescent="0.3">
      <c r="C1431" s="2"/>
      <c r="D1431" s="8">
        <v>2024</v>
      </c>
      <c r="E1431" s="14">
        <f>Data!E1431</f>
        <v>53659000000</v>
      </c>
      <c r="F1431" s="14">
        <f>Data!H1431</f>
        <v>26900000000</v>
      </c>
      <c r="G1431" s="12">
        <f t="shared" si="22"/>
        <v>1.9947583643122677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Data!E1432</f>
        <v>0</v>
      </c>
      <c r="F1432" s="14">
        <f>Data!H1432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Data!E1433</f>
        <v>34407000000</v>
      </c>
      <c r="F1433" s="14">
        <f>Data!H1433</f>
        <v>320336000000</v>
      </c>
      <c r="G1433" s="12">
        <f t="shared" si="22"/>
        <v>0.10740909544977774</v>
      </c>
    </row>
    <row r="1434" spans="2:7" ht="15" customHeight="1" x14ac:dyDescent="0.3">
      <c r="C1434" s="2"/>
      <c r="D1434" s="8">
        <v>2016</v>
      </c>
      <c r="E1434" s="14">
        <f>Data!E1434</f>
        <v>90846000000</v>
      </c>
      <c r="F1434" s="14">
        <f>Data!H1434</f>
        <v>336452000000</v>
      </c>
      <c r="G1434" s="12">
        <f t="shared" si="22"/>
        <v>0.2700117698809934</v>
      </c>
    </row>
    <row r="1435" spans="2:7" ht="15" customHeight="1" x14ac:dyDescent="0.3">
      <c r="C1435" s="2"/>
      <c r="D1435" s="8">
        <v>2017</v>
      </c>
      <c r="E1435" s="14">
        <f>Data!E1435</f>
        <v>64860000000</v>
      </c>
      <c r="F1435" s="14">
        <f>Data!H1435</f>
        <v>507943000000</v>
      </c>
      <c r="G1435" s="12">
        <f t="shared" si="22"/>
        <v>0.12769149294310583</v>
      </c>
    </row>
    <row r="1436" spans="2:7" ht="15" customHeight="1" x14ac:dyDescent="0.3">
      <c r="C1436" s="2"/>
      <c r="D1436" s="8">
        <v>2018</v>
      </c>
      <c r="E1436" s="14">
        <f>Data!E1436</f>
        <v>69490000000</v>
      </c>
      <c r="F1436" s="14">
        <f>Data!H1436</f>
        <v>590480000000</v>
      </c>
      <c r="G1436" s="12">
        <f t="shared" si="22"/>
        <v>0.11768391816826988</v>
      </c>
    </row>
    <row r="1437" spans="2:7" ht="15" customHeight="1" x14ac:dyDescent="0.3">
      <c r="C1437" s="2"/>
      <c r="D1437" s="8">
        <v>2019</v>
      </c>
      <c r="E1437" s="14">
        <f>Data!E1437</f>
        <v>65828000000</v>
      </c>
      <c r="F1437" s="14">
        <f>Data!H1437</f>
        <v>722236000000</v>
      </c>
      <c r="G1437" s="12">
        <f t="shared" si="22"/>
        <v>9.1144722777596249E-2</v>
      </c>
    </row>
    <row r="1438" spans="2:7" ht="15" customHeight="1" x14ac:dyDescent="0.3">
      <c r="C1438" s="2"/>
      <c r="D1438" s="8">
        <v>2020</v>
      </c>
      <c r="E1438" s="14">
        <f>Data!E1438</f>
        <v>79685000000</v>
      </c>
      <c r="F1438" s="14">
        <f>Data!H1438</f>
        <v>778127000000</v>
      </c>
      <c r="G1438" s="12">
        <f t="shared" si="22"/>
        <v>0.10240616249018476</v>
      </c>
    </row>
    <row r="1439" spans="2:7" ht="15" customHeight="1" x14ac:dyDescent="0.3">
      <c r="C1439" s="2"/>
      <c r="D1439" s="8">
        <v>2021</v>
      </c>
      <c r="E1439" s="14">
        <f>Data!E1439</f>
        <v>95157000000</v>
      </c>
      <c r="F1439" s="14">
        <f>Data!H1439</f>
        <v>772513000000</v>
      </c>
      <c r="G1439" s="12">
        <f t="shared" si="22"/>
        <v>0.12317850961731389</v>
      </c>
    </row>
    <row r="1440" spans="2:7" ht="15" customHeight="1" x14ac:dyDescent="0.3">
      <c r="C1440" s="2"/>
      <c r="D1440" s="8">
        <v>2022</v>
      </c>
      <c r="E1440" s="14">
        <f>Data!E1440</f>
        <v>128040000000</v>
      </c>
      <c r="F1440" s="14">
        <f>Data!H1440</f>
        <v>1001588000000</v>
      </c>
      <c r="G1440" s="12">
        <f t="shared" si="22"/>
        <v>0.12783699485217476</v>
      </c>
    </row>
    <row r="1441" spans="2:7" ht="15" customHeight="1" x14ac:dyDescent="0.3">
      <c r="C1441" s="2"/>
      <c r="D1441" s="8">
        <v>2023</v>
      </c>
      <c r="E1441" s="14">
        <f>Data!E1441</f>
        <v>132785000000</v>
      </c>
      <c r="F1441" s="14">
        <f>Data!H1441</f>
        <v>753772000000</v>
      </c>
      <c r="G1441" s="12">
        <f t="shared" si="22"/>
        <v>0.17616069580722021</v>
      </c>
    </row>
    <row r="1442" spans="2:7" ht="15" customHeight="1" x14ac:dyDescent="0.3">
      <c r="C1442" s="2"/>
      <c r="D1442" s="8">
        <v>2024</v>
      </c>
      <c r="E1442" s="14">
        <f>Data!E1442</f>
        <v>183948000000</v>
      </c>
      <c r="F1442" s="14">
        <f>Data!H1442</f>
        <v>1211496000000</v>
      </c>
      <c r="G1442" s="12">
        <f t="shared" si="22"/>
        <v>0.15183541670793796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Data!E1443</f>
        <v>0</v>
      </c>
      <c r="F1443" s="14">
        <f>Data!H1443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Data!E1444</f>
        <v>0</v>
      </c>
      <c r="F1444" s="14">
        <f>Data!H1444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Data!E1445</f>
        <v>1487000000</v>
      </c>
      <c r="F1445" s="14">
        <f>Data!H1445</f>
        <v>57351000000</v>
      </c>
      <c r="G1445" s="12">
        <f t="shared" si="22"/>
        <v>2.5928057052187408E-2</v>
      </c>
    </row>
    <row r="1446" spans="2:7" ht="15" customHeight="1" x14ac:dyDescent="0.3">
      <c r="C1446" s="2"/>
      <c r="D1446" s="8">
        <v>2017</v>
      </c>
      <c r="E1446" s="14">
        <f>Data!E1446</f>
        <v>3090000000</v>
      </c>
      <c r="F1446" s="14">
        <f>Data!H1446</f>
        <v>57654000000</v>
      </c>
      <c r="G1446" s="12">
        <f t="shared" si="22"/>
        <v>5.3595587470080135E-2</v>
      </c>
    </row>
    <row r="1447" spans="2:7" ht="15" customHeight="1" x14ac:dyDescent="0.3">
      <c r="C1447" s="2"/>
      <c r="D1447" s="8">
        <v>2018</v>
      </c>
      <c r="E1447" s="14">
        <f>Data!E1447</f>
        <v>2529000000</v>
      </c>
      <c r="F1447" s="14">
        <f>Data!H1447</f>
        <v>70734000000</v>
      </c>
      <c r="G1447" s="12">
        <f t="shared" si="22"/>
        <v>3.5753668674187805E-2</v>
      </c>
    </row>
    <row r="1448" spans="2:7" ht="15" customHeight="1" x14ac:dyDescent="0.3">
      <c r="C1448" s="2"/>
      <c r="D1448" s="8">
        <v>2019</v>
      </c>
      <c r="E1448" s="14">
        <f>Data!E1448</f>
        <v>10586000000</v>
      </c>
      <c r="F1448" s="14">
        <f>Data!H1448</f>
        <v>82558000000</v>
      </c>
      <c r="G1448" s="12">
        <f t="shared" si="22"/>
        <v>0.12822500545071344</v>
      </c>
    </row>
    <row r="1449" spans="2:7" ht="15" customHeight="1" x14ac:dyDescent="0.3">
      <c r="C1449" s="2"/>
      <c r="D1449" s="8">
        <v>2020</v>
      </c>
      <c r="E1449" s="14">
        <f>Data!E1449</f>
        <v>4776000000</v>
      </c>
      <c r="F1449" s="14">
        <f>Data!H1449</f>
        <v>106386000000</v>
      </c>
      <c r="G1449" s="12">
        <f t="shared" si="22"/>
        <v>4.4893125035248997E-2</v>
      </c>
    </row>
    <row r="1450" spans="2:7" ht="15" customHeight="1" x14ac:dyDescent="0.3">
      <c r="C1450" s="2"/>
      <c r="D1450" s="8">
        <v>2021</v>
      </c>
      <c r="E1450" s="14">
        <f>Data!E1450</f>
        <v>30939000000</v>
      </c>
      <c r="F1450" s="14">
        <f>Data!H1450</f>
        <v>170365000000</v>
      </c>
      <c r="G1450" s="12">
        <f t="shared" si="22"/>
        <v>0.18160420274117337</v>
      </c>
    </row>
    <row r="1451" spans="2:7" ht="15" customHeight="1" x14ac:dyDescent="0.3">
      <c r="C1451" s="2"/>
      <c r="D1451" s="8">
        <v>2022</v>
      </c>
      <c r="E1451" s="14">
        <f>Data!E1451</f>
        <v>51823000000</v>
      </c>
      <c r="F1451" s="14">
        <f>Data!H1451</f>
        <v>144528000000</v>
      </c>
      <c r="G1451" s="12">
        <f t="shared" si="22"/>
        <v>0.3585671980515886</v>
      </c>
    </row>
    <row r="1452" spans="2:7" ht="15" customHeight="1" x14ac:dyDescent="0.3">
      <c r="C1452" s="2"/>
      <c r="D1452" s="8">
        <v>2023</v>
      </c>
      <c r="E1452" s="14">
        <f>Data!E1452</f>
        <v>66823000000</v>
      </c>
      <c r="F1452" s="14">
        <f>Data!H1452</f>
        <v>243714000000</v>
      </c>
      <c r="G1452" s="12">
        <f t="shared" si="22"/>
        <v>0.27418613620883492</v>
      </c>
    </row>
    <row r="1453" spans="2:7" ht="15" customHeight="1" x14ac:dyDescent="0.3">
      <c r="C1453" s="2"/>
      <c r="D1453" s="8">
        <v>2024</v>
      </c>
      <c r="E1453" s="14">
        <f>Data!E1453</f>
        <v>24753000000</v>
      </c>
      <c r="F1453" s="14">
        <f>Data!H1453</f>
        <v>109169000000</v>
      </c>
      <c r="G1453" s="12">
        <f t="shared" si="22"/>
        <v>0.22674019181269409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Data!E1454</f>
        <v>0</v>
      </c>
      <c r="F1454" s="14">
        <f>Data!H1454</f>
        <v>0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Data!E1455</f>
        <v>2520936305</v>
      </c>
      <c r="F1455" s="14">
        <f>Data!H1455</f>
        <v>12834962871</v>
      </c>
      <c r="G1455" s="12">
        <f t="shared" si="22"/>
        <v>0.19641165543968483</v>
      </c>
    </row>
    <row r="1456" spans="2:7" ht="15" customHeight="1" x14ac:dyDescent="0.3">
      <c r="C1456" s="1"/>
      <c r="D1456" s="8">
        <v>2016</v>
      </c>
      <c r="E1456" s="14">
        <f>Data!E1456</f>
        <v>1875646444</v>
      </c>
      <c r="F1456" s="14">
        <f>Data!H1456</f>
        <v>19776400996</v>
      </c>
      <c r="G1456" s="12">
        <f t="shared" si="22"/>
        <v>9.4842658397722143E-2</v>
      </c>
    </row>
    <row r="1457" spans="2:7" ht="15" customHeight="1" x14ac:dyDescent="0.3">
      <c r="C1457" s="1"/>
      <c r="D1457" s="8">
        <v>2017</v>
      </c>
      <c r="E1457" s="14">
        <f>Data!E1457</f>
        <v>2476004813</v>
      </c>
      <c r="F1457" s="14">
        <f>Data!H1457</f>
        <v>10324939192</v>
      </c>
      <c r="G1457" s="12">
        <f t="shared" si="22"/>
        <v>0.23980817387461859</v>
      </c>
    </row>
    <row r="1458" spans="2:7" ht="15" customHeight="1" x14ac:dyDescent="0.3">
      <c r="C1458" s="1"/>
      <c r="D1458" s="8">
        <v>2018</v>
      </c>
      <c r="E1458" s="14">
        <f>Data!E1458</f>
        <v>2018400502</v>
      </c>
      <c r="F1458" s="14">
        <f>Data!H1458</f>
        <v>17354538655</v>
      </c>
      <c r="G1458" s="12">
        <f t="shared" si="22"/>
        <v>0.11630389848585693</v>
      </c>
    </row>
    <row r="1459" spans="2:7" ht="15" customHeight="1" x14ac:dyDescent="0.3">
      <c r="C1459" s="1"/>
      <c r="D1459" s="8">
        <v>2019</v>
      </c>
      <c r="E1459" s="14">
        <f>Data!E1459</f>
        <v>2142712050</v>
      </c>
      <c r="F1459" s="14">
        <f>Data!H1459</f>
        <v>21767693289</v>
      </c>
      <c r="G1459" s="12">
        <f t="shared" si="22"/>
        <v>9.8435420857514083E-2</v>
      </c>
    </row>
    <row r="1460" spans="2:7" ht="15" customHeight="1" x14ac:dyDescent="0.3">
      <c r="C1460" s="1"/>
      <c r="D1460" s="8">
        <v>2020</v>
      </c>
      <c r="E1460" s="14">
        <f>Data!E1460</f>
        <v>4445852808</v>
      </c>
      <c r="F1460" s="14">
        <f>Data!H1460</f>
        <v>52725666469</v>
      </c>
      <c r="G1460" s="12">
        <f t="shared" si="22"/>
        <v>8.4320466780897579E-2</v>
      </c>
    </row>
    <row r="1461" spans="2:7" ht="15" customHeight="1" x14ac:dyDescent="0.3">
      <c r="C1461" s="1"/>
      <c r="D1461" s="8">
        <v>2021</v>
      </c>
      <c r="E1461" s="14">
        <f>Data!E1461</f>
        <v>4191422955</v>
      </c>
      <c r="F1461" s="14">
        <f>Data!H1461</f>
        <v>35457622256</v>
      </c>
      <c r="G1461" s="12">
        <f t="shared" si="22"/>
        <v>0.1182093634124252</v>
      </c>
    </row>
    <row r="1462" spans="2:7" ht="15" customHeight="1" x14ac:dyDescent="0.3">
      <c r="C1462" s="1"/>
      <c r="D1462" s="8">
        <v>2022</v>
      </c>
      <c r="E1462" s="14">
        <f>Data!E1462</f>
        <v>6224774666</v>
      </c>
      <c r="F1462" s="14">
        <f>Data!H1462</f>
        <v>33484760572</v>
      </c>
      <c r="G1462" s="12">
        <f t="shared" si="22"/>
        <v>0.18589873601202228</v>
      </c>
    </row>
    <row r="1463" spans="2:7" ht="15" customHeight="1" x14ac:dyDescent="0.3">
      <c r="C1463" s="1"/>
      <c r="D1463" s="8">
        <v>2023</v>
      </c>
      <c r="E1463" s="14">
        <f>Data!E1463</f>
        <v>3162408112</v>
      </c>
      <c r="F1463" s="14">
        <f>Data!H1463</f>
        <v>27225512194</v>
      </c>
      <c r="G1463" s="12">
        <f t="shared" si="22"/>
        <v>0.11615605574160461</v>
      </c>
    </row>
    <row r="1464" spans="2:7" ht="15" customHeight="1" x14ac:dyDescent="0.3">
      <c r="C1464" s="1"/>
      <c r="D1464" s="8">
        <v>2024</v>
      </c>
      <c r="E1464" s="14">
        <f>Data!E1464</f>
        <v>1254672807</v>
      </c>
      <c r="F1464" s="14">
        <f>Data!H1464</f>
        <v>34649582666</v>
      </c>
      <c r="G1464" s="12">
        <f t="shared" si="22"/>
        <v>3.6210329546945773E-2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Data!E1465</f>
        <v>0</v>
      </c>
      <c r="F1465" s="14">
        <f>Data!H1465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Data!E1466</f>
        <v>0</v>
      </c>
      <c r="F1466" s="14">
        <f>Data!H1466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Data!E1467</f>
        <v>0</v>
      </c>
      <c r="F1467" s="14">
        <f>Data!H1467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Data!E1468</f>
        <v>0</v>
      </c>
      <c r="F1468" s="14">
        <f>Data!H1468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Data!E1469</f>
        <v>0</v>
      </c>
      <c r="F1469" s="14">
        <f>Data!H1469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Data!E1470</f>
        <v>0</v>
      </c>
      <c r="F1470" s="14">
        <f>Data!H1470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 t="e">
        <f>Data!#REF!</f>
        <v>#REF!</v>
      </c>
      <c r="F1471" s="14">
        <f>Data!H1471</f>
        <v>853364000000</v>
      </c>
      <c r="G1471" s="12">
        <f t="shared" si="22"/>
        <v>0</v>
      </c>
    </row>
    <row r="1472" spans="2:7" ht="15" customHeight="1" x14ac:dyDescent="0.3">
      <c r="C1472" s="2"/>
      <c r="D1472" s="8">
        <v>2021</v>
      </c>
      <c r="E1472" s="14" t="e">
        <f>Data!#REF!</f>
        <v>#REF!</v>
      </c>
      <c r="F1472" s="14">
        <f>Data!H1472</f>
        <v>1509040000000</v>
      </c>
      <c r="G1472" s="12">
        <f t="shared" si="22"/>
        <v>0</v>
      </c>
    </row>
    <row r="1473" spans="1:7" ht="15" customHeight="1" x14ac:dyDescent="0.3">
      <c r="C1473" s="2"/>
      <c r="D1473" s="8">
        <v>2022</v>
      </c>
      <c r="E1473" s="14">
        <f>Data!E1473</f>
        <v>72220000000</v>
      </c>
      <c r="F1473" s="14">
        <f>Data!H1473</f>
        <v>652457000000</v>
      </c>
      <c r="G1473" s="12">
        <f t="shared" si="22"/>
        <v>0.1106892868035748</v>
      </c>
    </row>
    <row r="1474" spans="1:7" ht="15" customHeight="1" x14ac:dyDescent="0.3">
      <c r="C1474" s="2"/>
      <c r="D1474" s="8">
        <v>2023</v>
      </c>
      <c r="E1474" s="14">
        <f>Data!E1474</f>
        <v>78049000000</v>
      </c>
      <c r="F1474" s="14">
        <f>Data!H1474</f>
        <v>620423000000</v>
      </c>
      <c r="G1474" s="12">
        <f t="shared" si="22"/>
        <v>0.12579965604112034</v>
      </c>
    </row>
    <row r="1475" spans="1:7" ht="15" customHeight="1" x14ac:dyDescent="0.3">
      <c r="C1475" s="2"/>
      <c r="D1475" s="8">
        <v>2024</v>
      </c>
      <c r="E1475" s="14">
        <f>Data!E1475</f>
        <v>133599000000</v>
      </c>
      <c r="F1475" s="14">
        <f>Data!H1475</f>
        <v>706302000000</v>
      </c>
      <c r="G1475" s="12">
        <f t="shared" ref="G1475:G1538" si="23">IFERROR(E1475/F1475,0)</f>
        <v>0.18915279866119591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Data!E1476</f>
        <v>0</v>
      </c>
      <c r="F1476" s="14">
        <f>Data!H1476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Data!E1477</f>
        <v>0</v>
      </c>
      <c r="F1477" s="14">
        <f>Data!H1477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Data!E1478</f>
        <v>0</v>
      </c>
      <c r="F1478" s="14">
        <f>Data!H1478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Data!E1479</f>
        <v>0</v>
      </c>
      <c r="F1479" s="14">
        <f>Data!H1479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Data!E1480</f>
        <v>0</v>
      </c>
      <c r="F1480" s="14">
        <f>Data!H1480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Data!E1481</f>
        <v>0</v>
      </c>
      <c r="F1481" s="14">
        <f>Data!H1481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Data!E1482</f>
        <v>1088443000000</v>
      </c>
      <c r="F1482" s="14">
        <f>Data!H1482</f>
        <v>277910000000</v>
      </c>
      <c r="G1482" s="12">
        <f t="shared" si="23"/>
        <v>3.9165305314670218</v>
      </c>
    </row>
    <row r="1483" spans="1:7" ht="15" customHeight="1" x14ac:dyDescent="0.3">
      <c r="C1483" s="1"/>
      <c r="D1483" s="8">
        <v>2021</v>
      </c>
      <c r="E1483" s="14">
        <f>Data!E1483</f>
        <v>404749000000</v>
      </c>
      <c r="F1483" s="14">
        <f>Data!H1483</f>
        <v>142411000000</v>
      </c>
      <c r="G1483" s="12">
        <f t="shared" si="23"/>
        <v>2.8421189374416302</v>
      </c>
    </row>
    <row r="1484" spans="1:7" ht="15" customHeight="1" x14ac:dyDescent="0.3">
      <c r="C1484" s="1"/>
      <c r="D1484" s="8">
        <v>2022</v>
      </c>
      <c r="E1484" s="14">
        <f>Data!E1484</f>
        <v>278904000000</v>
      </c>
      <c r="F1484" s="14">
        <f>Data!H1484</f>
        <v>186107000000</v>
      </c>
      <c r="G1484" s="12">
        <f t="shared" si="23"/>
        <v>1.4986217606000849</v>
      </c>
    </row>
    <row r="1485" spans="1:7" ht="15" customHeight="1" x14ac:dyDescent="0.3">
      <c r="C1485" s="1"/>
      <c r="D1485" s="8">
        <v>2023</v>
      </c>
      <c r="E1485" s="14">
        <f>Data!E1485</f>
        <v>245845000000</v>
      </c>
      <c r="F1485" s="14">
        <f>Data!H1485</f>
        <v>248102000000</v>
      </c>
      <c r="G1485" s="12">
        <f t="shared" si="23"/>
        <v>0.9909029350831513</v>
      </c>
    </row>
    <row r="1486" spans="1:7" ht="15" customHeight="1" x14ac:dyDescent="0.3">
      <c r="C1486" s="1"/>
      <c r="D1486" s="8">
        <v>2024</v>
      </c>
      <c r="E1486" s="14">
        <f>Data!E1486</f>
        <v>133911000000</v>
      </c>
      <c r="F1486" s="14">
        <f>Data!H1486</f>
        <v>301425000000</v>
      </c>
      <c r="G1486" s="12">
        <f t="shared" si="23"/>
        <v>0.4442597661109729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Data!E1487</f>
        <v>0</v>
      </c>
      <c r="F1487" s="14">
        <f>Data!H1487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Data!E1488</f>
        <v>0</v>
      </c>
      <c r="F1488" s="14">
        <f>Data!H1488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Data!E1489</f>
        <v>0</v>
      </c>
      <c r="F1489" s="14">
        <f>Data!H1489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Data!E1490</f>
        <v>0</v>
      </c>
      <c r="F1490" s="14">
        <f>Data!H1490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Data!E1491</f>
        <v>0</v>
      </c>
      <c r="F1491" s="14">
        <f>Data!H1491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Data!E1492</f>
        <v>0</v>
      </c>
      <c r="F1492" s="14">
        <f>Data!H1492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Data!E1493</f>
        <v>0</v>
      </c>
      <c r="F1493" s="14">
        <f>Data!H1493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Data!E1494</f>
        <v>0</v>
      </c>
      <c r="F1494" s="14">
        <f>Data!H1494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Data!E1495</f>
        <v>1617000000</v>
      </c>
      <c r="F1495" s="14">
        <f>Data!H1495</f>
        <v>19536000000</v>
      </c>
      <c r="G1495" s="12">
        <f t="shared" si="23"/>
        <v>8.2770270270270271E-2</v>
      </c>
    </row>
    <row r="1496" spans="2:7" ht="15" customHeight="1" x14ac:dyDescent="0.3">
      <c r="C1496" s="1"/>
      <c r="D1496" s="8">
        <v>2023</v>
      </c>
      <c r="E1496" s="14">
        <f>Data!E1496</f>
        <v>8364000000</v>
      </c>
      <c r="F1496" s="14">
        <f>Data!H1496</f>
        <v>179935000000</v>
      </c>
      <c r="G1496" s="12">
        <f t="shared" si="23"/>
        <v>4.6483452357795871E-2</v>
      </c>
    </row>
    <row r="1497" spans="2:7" ht="15" customHeight="1" x14ac:dyDescent="0.3">
      <c r="C1497" s="1"/>
      <c r="D1497" s="8">
        <v>2024</v>
      </c>
      <c r="E1497" s="14">
        <f>Data!E1497</f>
        <v>4275000000</v>
      </c>
      <c r="F1497" s="14">
        <f>Data!H1497</f>
        <v>220528000000</v>
      </c>
      <c r="G1497" s="12">
        <f t="shared" si="23"/>
        <v>1.9385293477472247E-2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Data!E1498</f>
        <v>0</v>
      </c>
      <c r="F1498" s="14">
        <f>Data!H1498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Data!E1499</f>
        <v>0</v>
      </c>
      <c r="F1499" s="14">
        <f>Data!H1499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Data!E1500</f>
        <v>10110000000</v>
      </c>
      <c r="F1500" s="14">
        <f>Data!H1500</f>
        <v>185976000000</v>
      </c>
      <c r="G1500" s="12">
        <f t="shared" si="23"/>
        <v>5.4361853142340946E-2</v>
      </c>
    </row>
    <row r="1501" spans="2:7" ht="15" customHeight="1" x14ac:dyDescent="0.3">
      <c r="C1501" s="1"/>
      <c r="D1501" s="8">
        <v>2017</v>
      </c>
      <c r="E1501" s="14">
        <f>Data!E1501</f>
        <v>11325000000</v>
      </c>
      <c r="F1501" s="14">
        <f>Data!H1501</f>
        <v>299277000000</v>
      </c>
      <c r="G1501" s="12">
        <f t="shared" si="23"/>
        <v>3.7841197285457956E-2</v>
      </c>
    </row>
    <row r="1502" spans="2:7" ht="15" customHeight="1" x14ac:dyDescent="0.3">
      <c r="C1502" s="1"/>
      <c r="D1502" s="8">
        <v>2018</v>
      </c>
      <c r="E1502" s="14">
        <f>Data!E1502</f>
        <v>8867000000</v>
      </c>
      <c r="F1502" s="14">
        <f>Data!H1502</f>
        <v>552415000000</v>
      </c>
      <c r="G1502" s="12">
        <f t="shared" si="23"/>
        <v>1.6051338214928993E-2</v>
      </c>
    </row>
    <row r="1503" spans="2:7" ht="15" customHeight="1" x14ac:dyDescent="0.3">
      <c r="C1503" s="1"/>
      <c r="D1503" s="8">
        <v>2019</v>
      </c>
      <c r="E1503" s="14">
        <f>Data!E1503</f>
        <v>32650000000</v>
      </c>
      <c r="F1503" s="14">
        <f>Data!H1503</f>
        <v>591657000000</v>
      </c>
      <c r="G1503" s="12">
        <f t="shared" si="23"/>
        <v>5.5184000189298865E-2</v>
      </c>
    </row>
    <row r="1504" spans="2:7" ht="15" customHeight="1" x14ac:dyDescent="0.3">
      <c r="C1504" s="1"/>
      <c r="D1504" s="8">
        <v>2020</v>
      </c>
      <c r="E1504" s="14">
        <f>Data!E1504</f>
        <v>19360000000</v>
      </c>
      <c r="F1504" s="14">
        <f>Data!H1504</f>
        <v>566970000000</v>
      </c>
      <c r="G1504" s="12">
        <f t="shared" si="23"/>
        <v>3.4146427500573222E-2</v>
      </c>
    </row>
    <row r="1505" spans="2:7" ht="15" customHeight="1" x14ac:dyDescent="0.3">
      <c r="C1505" s="1"/>
      <c r="D1505" s="8">
        <v>2021</v>
      </c>
      <c r="E1505" s="14">
        <f>Data!E1505</f>
        <v>8793000000</v>
      </c>
      <c r="F1505" s="14">
        <f>Data!H1505</f>
        <v>536424000000</v>
      </c>
      <c r="G1505" s="12">
        <f t="shared" si="23"/>
        <v>1.639188403203436E-2</v>
      </c>
    </row>
    <row r="1506" spans="2:7" ht="15" customHeight="1" x14ac:dyDescent="0.3">
      <c r="C1506" s="1"/>
      <c r="D1506" s="8">
        <v>2022</v>
      </c>
      <c r="E1506" s="14">
        <f>Data!E1506</f>
        <v>5908000000</v>
      </c>
      <c r="F1506" s="14">
        <f>Data!H1506</f>
        <v>441130000000</v>
      </c>
      <c r="G1506" s="12">
        <f t="shared" si="23"/>
        <v>1.3392877383084352E-2</v>
      </c>
    </row>
    <row r="1507" spans="2:7" ht="15" customHeight="1" x14ac:dyDescent="0.3">
      <c r="C1507" s="1"/>
      <c r="D1507" s="8">
        <v>2023</v>
      </c>
      <c r="E1507" s="14">
        <f>Data!E1507</f>
        <v>8206000000</v>
      </c>
      <c r="F1507" s="14">
        <f>Data!H1507</f>
        <v>339497000000</v>
      </c>
      <c r="G1507" s="12">
        <f t="shared" si="23"/>
        <v>2.4171053057906254E-2</v>
      </c>
    </row>
    <row r="1508" spans="2:7" ht="15" customHeight="1" x14ac:dyDescent="0.3">
      <c r="C1508" s="1"/>
      <c r="D1508" s="8">
        <v>2024</v>
      </c>
      <c r="E1508" s="14">
        <f>Data!E1508</f>
        <v>4799000000</v>
      </c>
      <c r="F1508" s="14">
        <f>Data!H1508</f>
        <v>353993000000</v>
      </c>
      <c r="G1508" s="12">
        <f t="shared" si="23"/>
        <v>1.3556765246770417E-2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Data!E1509</f>
        <v>0</v>
      </c>
      <c r="F1509" s="14">
        <f>Data!H1509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Data!E1510</f>
        <v>0</v>
      </c>
      <c r="F1510" s="14">
        <f>Data!H1510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Data!E1511</f>
        <v>0</v>
      </c>
      <c r="F1511" s="14">
        <f>Data!H1511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Data!E1512</f>
        <v>0</v>
      </c>
      <c r="F1512" s="14">
        <f>Data!H1512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Data!E1513</f>
        <v>0</v>
      </c>
      <c r="F1513" s="14">
        <f>Data!H1513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Data!E1514</f>
        <v>0</v>
      </c>
      <c r="F1514" s="14">
        <f>Data!H1514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Data!E1515</f>
        <v>0</v>
      </c>
      <c r="F1515" s="14">
        <f>Data!H1515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Data!E1516</f>
        <v>0</v>
      </c>
      <c r="F1516" s="14">
        <f>Data!H1516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Data!E1517</f>
        <v>0</v>
      </c>
      <c r="F1517" s="14">
        <f>Data!H1517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Data!E1518</f>
        <v>0</v>
      </c>
      <c r="F1518" s="14">
        <f>Data!H1518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 t="e">
        <f>Data!#REF!</f>
        <v>#REF!</v>
      </c>
      <c r="F1519" s="14">
        <f>Data!H1519</f>
        <v>6553000000</v>
      </c>
      <c r="G1519" s="12">
        <f t="shared" si="23"/>
        <v>0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Data!E1520</f>
        <v>0</v>
      </c>
      <c r="F1520" s="14">
        <f>Data!H1520</f>
        <v>0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Data!E1521</f>
        <v>88779306935</v>
      </c>
      <c r="F1521" s="14">
        <f>Data!H1521</f>
        <v>3801430671179</v>
      </c>
      <c r="G1521" s="12">
        <f t="shared" si="23"/>
        <v>2.3354182836501768E-2</v>
      </c>
    </row>
    <row r="1522" spans="2:7" ht="15" customHeight="1" x14ac:dyDescent="0.3">
      <c r="C1522" s="1"/>
      <c r="D1522" s="8">
        <v>2016</v>
      </c>
      <c r="E1522" s="14">
        <f>Data!E1522</f>
        <v>97057538204</v>
      </c>
      <c r="F1522" s="14">
        <f>Data!H1522</f>
        <v>4113897177891</v>
      </c>
      <c r="G1522" s="12">
        <f t="shared" si="23"/>
        <v>2.3592601858308183E-2</v>
      </c>
    </row>
    <row r="1523" spans="2:7" ht="15" customHeight="1" x14ac:dyDescent="0.3">
      <c r="C1523" s="1"/>
      <c r="D1523" s="8">
        <v>2017</v>
      </c>
      <c r="E1523" s="14">
        <f>Data!E1523</f>
        <v>188809508250</v>
      </c>
      <c r="F1523" s="14">
        <f>Data!H1523</f>
        <v>4638825808781</v>
      </c>
      <c r="G1523" s="12">
        <f t="shared" si="23"/>
        <v>4.0702004350453451E-2</v>
      </c>
    </row>
    <row r="1524" spans="2:7" ht="15" customHeight="1" x14ac:dyDescent="0.3">
      <c r="C1524" s="1"/>
      <c r="D1524" s="8">
        <v>2018</v>
      </c>
      <c r="E1524" s="14">
        <f>Data!E1524</f>
        <v>68560251693</v>
      </c>
      <c r="F1524" s="14">
        <f>Data!H1524</f>
        <v>5240697941724</v>
      </c>
      <c r="G1524" s="12">
        <f t="shared" si="23"/>
        <v>1.3082275005234543E-2</v>
      </c>
    </row>
    <row r="1525" spans="2:7" ht="15" customHeight="1" x14ac:dyDescent="0.3">
      <c r="C1525" s="1"/>
      <c r="D1525" s="8">
        <v>2019</v>
      </c>
      <c r="E1525" s="14">
        <f>Data!E1525</f>
        <v>246321163686</v>
      </c>
      <c r="F1525" s="14">
        <f>Data!H1525</f>
        <v>6024665070223</v>
      </c>
      <c r="G1525" s="12">
        <f t="shared" si="23"/>
        <v>4.0885453517316032E-2</v>
      </c>
    </row>
    <row r="1526" spans="2:7" ht="15" customHeight="1" x14ac:dyDescent="0.3">
      <c r="C1526" s="1"/>
      <c r="D1526" s="8">
        <v>2020</v>
      </c>
      <c r="E1526" s="14">
        <f>Data!E1526</f>
        <v>109070071537</v>
      </c>
      <c r="F1526" s="14">
        <f>Data!H1526</f>
        <v>6538404729036</v>
      </c>
      <c r="G1526" s="12">
        <f t="shared" si="23"/>
        <v>1.6681449995384564E-2</v>
      </c>
    </row>
    <row r="1527" spans="2:7" ht="15" customHeight="1" x14ac:dyDescent="0.3">
      <c r="C1527" s="1"/>
      <c r="D1527" s="8">
        <v>2021</v>
      </c>
      <c r="E1527" s="14">
        <f>Data!E1527</f>
        <v>147398913561</v>
      </c>
      <c r="F1527" s="14">
        <f>Data!H1527</f>
        <v>7714230329067</v>
      </c>
      <c r="G1527" s="12">
        <f t="shared" si="23"/>
        <v>1.9107403755576898E-2</v>
      </c>
    </row>
    <row r="1528" spans="2:7" ht="15" customHeight="1" x14ac:dyDescent="0.3">
      <c r="C1528" s="1"/>
      <c r="D1528" s="8">
        <v>2022</v>
      </c>
      <c r="E1528" s="14">
        <f>Data!E1528</f>
        <v>67190536855</v>
      </c>
      <c r="F1528" s="14">
        <f>Data!H1528</f>
        <v>8242900253718</v>
      </c>
      <c r="G1528" s="12">
        <f t="shared" si="23"/>
        <v>8.1513223242866955E-3</v>
      </c>
    </row>
    <row r="1529" spans="2:7" ht="15" customHeight="1" x14ac:dyDescent="0.3">
      <c r="C1529" s="1"/>
      <c r="D1529" s="8">
        <v>2023</v>
      </c>
      <c r="E1529" s="14">
        <f>Data!E1529</f>
        <v>185908672711</v>
      </c>
      <c r="F1529" s="14">
        <f>Data!H1529</f>
        <v>10983537357645</v>
      </c>
      <c r="G1529" s="12">
        <f t="shared" si="23"/>
        <v>1.6926120124824796E-2</v>
      </c>
    </row>
    <row r="1530" spans="2:7" ht="15" customHeight="1" x14ac:dyDescent="0.3">
      <c r="C1530" s="1"/>
      <c r="D1530" s="8">
        <v>2024</v>
      </c>
      <c r="E1530" s="14">
        <f>Data!E1530</f>
        <v>277097197572</v>
      </c>
      <c r="F1530" s="14">
        <f>Data!H1530</f>
        <v>12095378518152</v>
      </c>
      <c r="G1530" s="12">
        <f t="shared" si="23"/>
        <v>2.2909344850692317E-2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Data!E1531</f>
        <v>0</v>
      </c>
      <c r="F1531" s="14">
        <f>Data!H1531</f>
        <v>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Data!E1532</f>
        <v>4077000000</v>
      </c>
      <c r="F1532" s="14">
        <f>Data!H1532</f>
        <v>49898000000</v>
      </c>
      <c r="G1532" s="12">
        <f t="shared" si="23"/>
        <v>8.1706681630526273E-2</v>
      </c>
    </row>
    <row r="1533" spans="2:7" ht="15" customHeight="1" x14ac:dyDescent="0.3">
      <c r="C1533" s="1"/>
      <c r="D1533" s="8">
        <v>2016</v>
      </c>
      <c r="E1533" s="14">
        <f>Data!E1533</f>
        <v>3661000000</v>
      </c>
      <c r="F1533" s="14">
        <f>Data!H1533</f>
        <v>33688000000</v>
      </c>
      <c r="G1533" s="12">
        <f t="shared" si="23"/>
        <v>0.10867371170743291</v>
      </c>
    </row>
    <row r="1534" spans="2:7" ht="15" customHeight="1" x14ac:dyDescent="0.3">
      <c r="C1534" s="1"/>
      <c r="D1534" s="8">
        <v>2017</v>
      </c>
      <c r="E1534" s="14">
        <f>Data!E1534</f>
        <v>4478000000</v>
      </c>
      <c r="F1534" s="14">
        <f>Data!H1534</f>
        <v>42136000000</v>
      </c>
      <c r="G1534" s="12">
        <f t="shared" si="23"/>
        <v>0.10627491930890449</v>
      </c>
    </row>
    <row r="1535" spans="2:7" ht="15" customHeight="1" x14ac:dyDescent="0.3">
      <c r="C1535" s="1"/>
      <c r="D1535" s="8">
        <v>2018</v>
      </c>
      <c r="E1535" s="14">
        <f>Data!E1535</f>
        <v>3501000000</v>
      </c>
      <c r="F1535" s="14">
        <f>Data!H1535</f>
        <v>63291000000</v>
      </c>
      <c r="G1535" s="12">
        <f t="shared" si="23"/>
        <v>5.5315921695027727E-2</v>
      </c>
    </row>
    <row r="1536" spans="2:7" ht="15" customHeight="1" x14ac:dyDescent="0.3">
      <c r="C1536" s="1"/>
      <c r="D1536" s="8">
        <v>2019</v>
      </c>
      <c r="E1536" s="14">
        <f>Data!E1536</f>
        <v>2713000000</v>
      </c>
      <c r="F1536" s="14">
        <f>Data!H1536</f>
        <v>70553000000</v>
      </c>
      <c r="G1536" s="12">
        <f t="shared" si="23"/>
        <v>3.845336130285034E-2</v>
      </c>
    </row>
    <row r="1537" spans="2:7" ht="15" customHeight="1" x14ac:dyDescent="0.3">
      <c r="C1537" s="1"/>
      <c r="D1537" s="8">
        <v>2020</v>
      </c>
      <c r="E1537" s="14">
        <f>Data!E1537</f>
        <v>2428000000</v>
      </c>
      <c r="F1537" s="14">
        <f>Data!H1537</f>
        <v>56089000000</v>
      </c>
      <c r="G1537" s="12">
        <f t="shared" si="23"/>
        <v>4.3288345308349234E-2</v>
      </c>
    </row>
    <row r="1538" spans="2:7" ht="15" customHeight="1" x14ac:dyDescent="0.3">
      <c r="C1538" s="1"/>
      <c r="D1538" s="8">
        <v>2021</v>
      </c>
      <c r="E1538" s="14">
        <f>Data!E1538</f>
        <v>4101000000</v>
      </c>
      <c r="F1538" s="14">
        <f>Data!H1538</f>
        <v>53285000000</v>
      </c>
      <c r="G1538" s="12">
        <f t="shared" si="23"/>
        <v>7.6963498170216763E-2</v>
      </c>
    </row>
    <row r="1539" spans="2:7" ht="15" customHeight="1" x14ac:dyDescent="0.3">
      <c r="C1539" s="1"/>
      <c r="D1539" s="8">
        <v>2022</v>
      </c>
      <c r="E1539" s="14">
        <f>Data!E1539</f>
        <v>3078000000</v>
      </c>
      <c r="F1539" s="14">
        <f>Data!H1539</f>
        <v>66321000000</v>
      </c>
      <c r="G1539" s="12">
        <f t="shared" ref="G1539:G1602" si="24">IFERROR(E1539/F1539,0)</f>
        <v>4.6410639164065681E-2</v>
      </c>
    </row>
    <row r="1540" spans="2:7" ht="15" customHeight="1" x14ac:dyDescent="0.3">
      <c r="C1540" s="1"/>
      <c r="D1540" s="8">
        <v>2023</v>
      </c>
      <c r="E1540" s="14">
        <f>Data!E1540</f>
        <v>3848000000</v>
      </c>
      <c r="F1540" s="14">
        <f>Data!H1540</f>
        <v>78574000000</v>
      </c>
      <c r="G1540" s="12">
        <f t="shared" si="24"/>
        <v>4.8972942703693331E-2</v>
      </c>
    </row>
    <row r="1541" spans="2:7" ht="15" customHeight="1" x14ac:dyDescent="0.3">
      <c r="C1541" s="1"/>
      <c r="D1541" s="8">
        <v>2024</v>
      </c>
      <c r="E1541" s="14">
        <f>Data!E1541</f>
        <v>1083000000</v>
      </c>
      <c r="F1541" s="14">
        <f>Data!H1541</f>
        <v>60071000000</v>
      </c>
      <c r="G1541" s="12">
        <f t="shared" si="24"/>
        <v>1.8028666078473806E-2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Data!E1542</f>
        <v>0</v>
      </c>
      <c r="F1542" s="14">
        <f>Data!H1542</f>
        <v>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Data!E1543</f>
        <v>16633000000</v>
      </c>
      <c r="F1543" s="14">
        <f>Data!H1543</f>
        <v>190232000000</v>
      </c>
      <c r="G1543" s="12">
        <f t="shared" si="24"/>
        <v>8.7435342108583197E-2</v>
      </c>
    </row>
    <row r="1544" spans="2:7" ht="15" customHeight="1" x14ac:dyDescent="0.3">
      <c r="C1544" s="1"/>
      <c r="D1544" s="8">
        <v>2016</v>
      </c>
      <c r="E1544" s="14">
        <f>Data!E1544</f>
        <v>4582000000</v>
      </c>
      <c r="F1544" s="14">
        <f>Data!H1544</f>
        <v>176853000000</v>
      </c>
      <c r="G1544" s="12">
        <f t="shared" si="24"/>
        <v>2.5908522897547682E-2</v>
      </c>
    </row>
    <row r="1545" spans="2:7" ht="15" customHeight="1" x14ac:dyDescent="0.3">
      <c r="C1545" s="1"/>
      <c r="D1545" s="8">
        <v>2017</v>
      </c>
      <c r="E1545" s="14">
        <f>Data!E1545</f>
        <v>0</v>
      </c>
      <c r="F1545" s="14">
        <f>Data!H1545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Data!E1546</f>
        <v>8960000000</v>
      </c>
      <c r="F1546" s="14">
        <f>Data!H1546</f>
        <v>370799000000</v>
      </c>
      <c r="G1546" s="12">
        <f t="shared" si="24"/>
        <v>2.4164034962338085E-2</v>
      </c>
    </row>
    <row r="1547" spans="2:7" ht="15" customHeight="1" x14ac:dyDescent="0.3">
      <c r="C1547" s="1"/>
      <c r="D1547" s="8">
        <v>2019</v>
      </c>
      <c r="E1547" s="14">
        <f>Data!E1547</f>
        <v>21281000000</v>
      </c>
      <c r="F1547" s="14">
        <f>Data!H1547</f>
        <v>499643000000</v>
      </c>
      <c r="G1547" s="12">
        <f t="shared" si="24"/>
        <v>4.2592410981440745E-2</v>
      </c>
    </row>
    <row r="1548" spans="2:7" ht="15" customHeight="1" x14ac:dyDescent="0.3">
      <c r="C1548" s="1"/>
      <c r="D1548" s="8">
        <v>2020</v>
      </c>
      <c r="E1548" s="14">
        <f>Data!E1548</f>
        <v>61255000000</v>
      </c>
      <c r="F1548" s="14">
        <f>Data!H1548</f>
        <v>883555000000</v>
      </c>
      <c r="G1548" s="12">
        <f t="shared" si="24"/>
        <v>6.9327885643791276E-2</v>
      </c>
    </row>
    <row r="1549" spans="2:7" ht="15" customHeight="1" x14ac:dyDescent="0.3">
      <c r="C1549" s="1"/>
      <c r="D1549" s="8">
        <v>2021</v>
      </c>
      <c r="E1549" s="14">
        <f>Data!E1549</f>
        <v>110855000000</v>
      </c>
      <c r="F1549" s="14">
        <f>Data!H1549</f>
        <v>988459000000</v>
      </c>
      <c r="G1549" s="12">
        <f t="shared" si="24"/>
        <v>0.11214931524726873</v>
      </c>
    </row>
    <row r="1550" spans="2:7" ht="15" customHeight="1" x14ac:dyDescent="0.3">
      <c r="C1550" s="1"/>
      <c r="D1550" s="8">
        <v>2022</v>
      </c>
      <c r="E1550" s="14">
        <f>Data!E1550</f>
        <v>37534000000</v>
      </c>
      <c r="F1550" s="14">
        <f>Data!H1550</f>
        <v>1369405000000</v>
      </c>
      <c r="G1550" s="12">
        <f t="shared" si="24"/>
        <v>2.740898419386522E-2</v>
      </c>
    </row>
    <row r="1551" spans="2:7" ht="15" customHeight="1" x14ac:dyDescent="0.3">
      <c r="C1551" s="1"/>
      <c r="D1551" s="8">
        <v>2023</v>
      </c>
      <c r="E1551" s="14">
        <f>Data!E1551</f>
        <v>29511000000</v>
      </c>
      <c r="F1551" s="14">
        <f>Data!H1551</f>
        <v>1882983000000</v>
      </c>
      <c r="G1551" s="12">
        <f t="shared" si="24"/>
        <v>1.5672472879468376E-2</v>
      </c>
    </row>
    <row r="1552" spans="2:7" ht="15" customHeight="1" x14ac:dyDescent="0.3">
      <c r="C1552" s="1"/>
      <c r="D1552" s="8">
        <v>2024</v>
      </c>
      <c r="E1552" s="14">
        <f>Data!E1552</f>
        <v>86308000000</v>
      </c>
      <c r="F1552" s="14">
        <f>Data!H1552</f>
        <v>1570439000000</v>
      </c>
      <c r="G1552" s="12">
        <f t="shared" si="24"/>
        <v>5.4957881203918139E-2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Data!E1553</f>
        <v>0</v>
      </c>
      <c r="F1553" s="14">
        <f>Data!H1553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Data!E1556</f>
        <v>143000000</v>
      </c>
      <c r="F1554" s="14">
        <f>Data!H1556</f>
        <v>32948000000</v>
      </c>
      <c r="G1554" s="12">
        <f t="shared" si="24"/>
        <v>4.3401723928614784E-3</v>
      </c>
    </row>
    <row r="1555" spans="2:7" ht="15" customHeight="1" x14ac:dyDescent="0.3">
      <c r="C1555" s="1"/>
      <c r="D1555" s="8">
        <v>2016</v>
      </c>
      <c r="E1555" s="14">
        <f>Data!E1555</f>
        <v>0</v>
      </c>
      <c r="F1555" s="14">
        <f>Data!H1555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 t="e">
        <f>Data!#REF!</f>
        <v>#REF!</v>
      </c>
      <c r="F1556" s="14" t="e">
        <f>Data!#REF!</f>
        <v>#REF!</v>
      </c>
      <c r="G1556" s="12">
        <f t="shared" si="24"/>
        <v>0</v>
      </c>
    </row>
    <row r="1557" spans="2:7" ht="15" customHeight="1" x14ac:dyDescent="0.3">
      <c r="C1557" s="1"/>
      <c r="D1557" s="8">
        <v>2018</v>
      </c>
      <c r="E1557" s="14">
        <f>Data!E1557</f>
        <v>0</v>
      </c>
      <c r="F1557" s="14">
        <f>Data!H1557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>
        <f>Data!E1558</f>
        <v>2630000000</v>
      </c>
      <c r="F1558" s="14">
        <f>Data!H1558</f>
        <v>143090000000</v>
      </c>
      <c r="G1558" s="12">
        <f t="shared" si="24"/>
        <v>1.8380040533929696E-2</v>
      </c>
    </row>
    <row r="1559" spans="2:7" ht="15" customHeight="1" x14ac:dyDescent="0.3">
      <c r="C1559" s="1"/>
      <c r="D1559" s="8">
        <v>2020</v>
      </c>
      <c r="E1559" s="14">
        <f>Data!E1559</f>
        <v>3604000000</v>
      </c>
      <c r="F1559" s="14">
        <f>Data!H1559</f>
        <v>461779000000</v>
      </c>
      <c r="G1559" s="12">
        <f t="shared" si="24"/>
        <v>7.8045991697327077E-3</v>
      </c>
    </row>
    <row r="1560" spans="2:7" ht="15" customHeight="1" x14ac:dyDescent="0.3">
      <c r="C1560" s="1"/>
      <c r="D1560" s="8">
        <v>2021</v>
      </c>
      <c r="E1560" s="14">
        <f>Data!E1560</f>
        <v>37619000000</v>
      </c>
      <c r="F1560" s="14">
        <f>Data!H1560</f>
        <v>64954000000</v>
      </c>
      <c r="G1560" s="12">
        <f t="shared" si="24"/>
        <v>0.57916371586045512</v>
      </c>
    </row>
    <row r="1561" spans="2:7" ht="15" customHeight="1" x14ac:dyDescent="0.3">
      <c r="C1561" s="1"/>
      <c r="D1561" s="8">
        <v>2022</v>
      </c>
      <c r="E1561" s="14">
        <f>Data!E1561</f>
        <v>2080000000</v>
      </c>
      <c r="F1561" s="14">
        <f>Data!H1561</f>
        <v>730521000000</v>
      </c>
      <c r="G1561" s="12">
        <f t="shared" si="24"/>
        <v>2.8472829665403183E-3</v>
      </c>
    </row>
    <row r="1562" spans="2:7" ht="15" customHeight="1" x14ac:dyDescent="0.3">
      <c r="C1562" s="1"/>
      <c r="D1562" s="8">
        <v>2023</v>
      </c>
      <c r="E1562" s="14">
        <f>Data!E1562</f>
        <v>15908000000</v>
      </c>
      <c r="F1562" s="14">
        <f>Data!H1562</f>
        <v>560129000000</v>
      </c>
      <c r="G1562" s="12">
        <f t="shared" si="24"/>
        <v>2.8400600575938757E-2</v>
      </c>
    </row>
    <row r="1563" spans="2:7" ht="15" customHeight="1" x14ac:dyDescent="0.3">
      <c r="C1563" s="1"/>
      <c r="D1563" s="8">
        <v>2024</v>
      </c>
      <c r="E1563" s="14">
        <f>Data!E1563</f>
        <v>1105000000</v>
      </c>
      <c r="F1563" s="14">
        <f>Data!H1563</f>
        <v>588695000000</v>
      </c>
      <c r="G1563" s="12">
        <f t="shared" si="24"/>
        <v>1.877033098633418E-3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Data!E1564</f>
        <v>0</v>
      </c>
      <c r="F1564" s="14">
        <f>Data!H1564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Data!E1565</f>
        <v>0</v>
      </c>
      <c r="F1565" s="14">
        <f>Data!H1565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Data!E1566</f>
        <v>0</v>
      </c>
      <c r="F1566" s="14">
        <f>Data!H1566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Data!E1567</f>
        <v>0</v>
      </c>
      <c r="F1567" s="14">
        <f>Data!H1567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Data!E1568</f>
        <v>0</v>
      </c>
      <c r="F1568" s="14">
        <f>Data!H1568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Data!E1569</f>
        <v>0</v>
      </c>
      <c r="F1569" s="14">
        <f>Data!H1569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Data!E1570</f>
        <v>0</v>
      </c>
      <c r="F1570" s="14">
        <f>Data!H1570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Data!E1571</f>
        <v>0</v>
      </c>
      <c r="F1571" s="14">
        <f>Data!H1571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Data!E1572</f>
        <v>0</v>
      </c>
      <c r="F1572" s="14">
        <f>Data!H1572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Data!E1573</f>
        <v>0</v>
      </c>
      <c r="F1573" s="14">
        <f>Data!H1573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Data!E1574</f>
        <v>0</v>
      </c>
      <c r="F1574" s="14">
        <f>Data!H1574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Data!E1575</f>
        <v>0</v>
      </c>
      <c r="F1575" s="14">
        <f>Data!H1575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Data!E1576</f>
        <v>0</v>
      </c>
      <c r="F1576" s="14">
        <f>Data!H1576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Data!E1577</f>
        <v>0</v>
      </c>
      <c r="F1577" s="14">
        <f>Data!H1577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Data!E1578</f>
        <v>50145000000</v>
      </c>
      <c r="F1578" s="14">
        <f>Data!H1578</f>
        <v>204136000000</v>
      </c>
      <c r="G1578" s="12">
        <f t="shared" si="24"/>
        <v>0.24564506015597445</v>
      </c>
    </row>
    <row r="1579" spans="2:7" ht="15" customHeight="1" x14ac:dyDescent="0.3">
      <c r="C1579" s="1"/>
      <c r="D1579" s="8">
        <v>2018</v>
      </c>
      <c r="E1579" s="14">
        <f>Data!E1579</f>
        <v>6040000000</v>
      </c>
      <c r="F1579" s="14">
        <f>Data!H1579</f>
        <v>133292000000</v>
      </c>
      <c r="G1579" s="12">
        <f t="shared" si="24"/>
        <v>4.5314047354679948E-2</v>
      </c>
    </row>
    <row r="1580" spans="2:7" ht="15" customHeight="1" x14ac:dyDescent="0.3">
      <c r="C1580" s="1"/>
      <c r="D1580" s="8">
        <v>2019</v>
      </c>
      <c r="E1580" s="14">
        <f>Data!E1580</f>
        <v>7873000000</v>
      </c>
      <c r="F1580" s="14">
        <f>Data!H1580</f>
        <v>135099000000</v>
      </c>
      <c r="G1580" s="12">
        <f t="shared" si="24"/>
        <v>5.8275782944359325E-2</v>
      </c>
    </row>
    <row r="1581" spans="2:7" ht="15" customHeight="1" x14ac:dyDescent="0.3">
      <c r="C1581" s="1"/>
      <c r="D1581" s="8">
        <v>2020</v>
      </c>
      <c r="E1581" s="14">
        <f>Data!E1581</f>
        <v>9598000000</v>
      </c>
      <c r="F1581" s="14">
        <f>Data!H1581</f>
        <v>144721000000</v>
      </c>
      <c r="G1581" s="12">
        <f t="shared" si="24"/>
        <v>6.6320713649021215E-2</v>
      </c>
    </row>
    <row r="1582" spans="2:7" ht="15" customHeight="1" x14ac:dyDescent="0.3">
      <c r="C1582" s="1"/>
      <c r="D1582" s="8">
        <v>2021</v>
      </c>
      <c r="E1582" s="14">
        <f>Data!E1582</f>
        <v>12118000000</v>
      </c>
      <c r="F1582" s="14">
        <f>Data!H1582</f>
        <v>157820000000</v>
      </c>
      <c r="G1582" s="12">
        <f t="shared" si="24"/>
        <v>7.6783677607400833E-2</v>
      </c>
    </row>
    <row r="1583" spans="2:7" ht="15" customHeight="1" x14ac:dyDescent="0.3">
      <c r="C1583" s="1"/>
      <c r="D1583" s="8">
        <v>2022</v>
      </c>
      <c r="E1583" s="14">
        <f>Data!E1583</f>
        <v>128231000000</v>
      </c>
      <c r="F1583" s="14">
        <f>Data!H1583</f>
        <v>161372000000</v>
      </c>
      <c r="G1583" s="12">
        <f t="shared" si="24"/>
        <v>0.79462979946954859</v>
      </c>
    </row>
    <row r="1584" spans="2:7" ht="15" customHeight="1" x14ac:dyDescent="0.3">
      <c r="C1584" s="1"/>
      <c r="D1584" s="8">
        <v>2023</v>
      </c>
      <c r="E1584" s="14">
        <f>Data!E1584</f>
        <v>162778000000</v>
      </c>
      <c r="F1584" s="14">
        <f>Data!H1584</f>
        <v>187211000000</v>
      </c>
      <c r="G1584" s="12">
        <f t="shared" si="24"/>
        <v>0.86948950649267409</v>
      </c>
    </row>
    <row r="1585" spans="1:7" ht="15" customHeight="1" x14ac:dyDescent="0.3">
      <c r="C1585" s="1"/>
      <c r="D1585" s="8">
        <v>2024</v>
      </c>
      <c r="E1585" s="14">
        <f>Data!E1585</f>
        <v>84076000000</v>
      </c>
      <c r="F1585" s="14">
        <f>Data!H1585</f>
        <v>196777000000</v>
      </c>
      <c r="G1585" s="12">
        <f t="shared" si="24"/>
        <v>0.42726538162488503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Data!E1586</f>
        <v>0</v>
      </c>
      <c r="F1586" s="14">
        <f>Data!H1586</f>
        <v>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Data!E1587</f>
        <v>869804000000</v>
      </c>
      <c r="F1587" s="14">
        <f>Data!H1587</f>
        <v>1722618000000</v>
      </c>
      <c r="G1587" s="12">
        <f t="shared" si="24"/>
        <v>0.50493144736674067</v>
      </c>
    </row>
    <row r="1588" spans="1:7" ht="15" customHeight="1" x14ac:dyDescent="0.3">
      <c r="C1588" s="4"/>
      <c r="D1588" s="8">
        <v>2016</v>
      </c>
      <c r="E1588" s="14">
        <f>Data!E1588</f>
        <v>116069000000</v>
      </c>
      <c r="F1588" s="14">
        <f>Data!H1588</f>
        <v>2069575000000</v>
      </c>
      <c r="G1588" s="12">
        <f t="shared" si="24"/>
        <v>5.6083495403645676E-2</v>
      </c>
    </row>
    <row r="1589" spans="1:7" ht="15" customHeight="1" x14ac:dyDescent="0.3">
      <c r="C1589" s="4"/>
      <c r="D1589" s="8">
        <v>2017</v>
      </c>
      <c r="E1589" s="14">
        <f>Data!E1589</f>
        <v>119012000000</v>
      </c>
      <c r="F1589" s="14">
        <f>Data!H1589</f>
        <v>1737096000000</v>
      </c>
      <c r="G1589" s="12">
        <f t="shared" si="24"/>
        <v>6.8512045390698037E-2</v>
      </c>
    </row>
    <row r="1590" spans="1:7" ht="15" customHeight="1" x14ac:dyDescent="0.3">
      <c r="C1590" s="4"/>
      <c r="D1590" s="8">
        <v>2018</v>
      </c>
      <c r="E1590" s="14">
        <f>Data!E1590</f>
        <v>0</v>
      </c>
      <c r="F1590" s="14">
        <f>Data!H1590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Data!E1591</f>
        <v>0</v>
      </c>
      <c r="F1591" s="14">
        <f>Data!H1591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Data!E1592</f>
        <v>0</v>
      </c>
      <c r="F1592" s="14">
        <f>Data!H1592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Data!E1593</f>
        <v>0</v>
      </c>
      <c r="F1593" s="14">
        <f>Data!H1593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Data!E1594</f>
        <v>0</v>
      </c>
      <c r="F1594" s="14">
        <f>Data!H1594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Data!E1595</f>
        <v>0</v>
      </c>
      <c r="F1595" s="14">
        <f>Data!H1595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Data!E1596</f>
        <v>0</v>
      </c>
      <c r="F1596" s="14">
        <f>Data!H1596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Data!E1597</f>
        <v>0</v>
      </c>
      <c r="F1597" s="14">
        <f>Data!H1597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Data!E1598</f>
        <v>0</v>
      </c>
      <c r="F1598" s="14">
        <f>Data!H1598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Data!E1599</f>
        <v>0</v>
      </c>
      <c r="F1599" s="14">
        <f>Data!H1599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Data!E1600</f>
        <v>0</v>
      </c>
      <c r="F1600" s="14">
        <f>Data!H1600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Data!E1601</f>
        <v>0</v>
      </c>
      <c r="F1601" s="14">
        <f>Data!H1601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Data!E1602</f>
        <v>0</v>
      </c>
      <c r="F1602" s="14">
        <f>Data!H1602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Data!E1603</f>
        <v>0</v>
      </c>
      <c r="F1603" s="14">
        <f>Data!H1603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Data!E1604</f>
        <v>0</v>
      </c>
      <c r="F1604" s="14">
        <f>Data!H1604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Data!E1605</f>
        <v>0</v>
      </c>
      <c r="F1605" s="14">
        <f>Data!H1605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Data!E1606</f>
        <v>0</v>
      </c>
      <c r="F1606" s="14">
        <f>Data!H1606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Data!E1607</f>
        <v>0</v>
      </c>
      <c r="F1607" s="14">
        <f>Data!H1607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Data!E1608</f>
        <v>0</v>
      </c>
      <c r="F1608" s="14">
        <f>Data!H1608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Data!F1609</f>
        <v>7628240000000</v>
      </c>
      <c r="F1609" s="14">
        <f>Data!H1609</f>
        <v>964822000000</v>
      </c>
      <c r="G1609" s="12">
        <f t="shared" si="25"/>
        <v>7.9063702942097089</v>
      </c>
    </row>
    <row r="1610" spans="1:7" ht="15" customHeight="1" x14ac:dyDescent="0.3">
      <c r="C1610" s="4"/>
      <c r="D1610" s="8">
        <v>2016</v>
      </c>
      <c r="E1610" s="14">
        <f>Data!E1610</f>
        <v>2159521000000</v>
      </c>
      <c r="F1610" s="14">
        <f>Data!H1610</f>
        <v>550120000000</v>
      </c>
      <c r="G1610" s="12">
        <f t="shared" si="25"/>
        <v>3.9255453355631498</v>
      </c>
    </row>
    <row r="1611" spans="1:7" ht="15" customHeight="1" x14ac:dyDescent="0.3">
      <c r="C1611" s="4"/>
      <c r="D1611" s="8">
        <v>2017</v>
      </c>
      <c r="E1611" s="14">
        <f>Data!E1611</f>
        <v>2101297000000</v>
      </c>
      <c r="F1611" s="14">
        <f>Data!H1611</f>
        <v>693009000000</v>
      </c>
      <c r="G1611" s="12">
        <f t="shared" si="25"/>
        <v>3.0321352247950606</v>
      </c>
    </row>
    <row r="1612" spans="1:7" ht="15" customHeight="1" x14ac:dyDescent="0.3">
      <c r="C1612" s="4"/>
      <c r="D1612" s="8">
        <v>2018</v>
      </c>
      <c r="E1612" s="14">
        <f>Data!E1612</f>
        <v>2356550000000</v>
      </c>
      <c r="F1612" s="14">
        <f>Data!H1612</f>
        <v>679710000000</v>
      </c>
      <c r="G1612" s="12">
        <f t="shared" si="25"/>
        <v>3.4669932765444087</v>
      </c>
    </row>
    <row r="1613" spans="1:7" ht="15" customHeight="1" x14ac:dyDescent="0.3">
      <c r="C1613" s="4"/>
      <c r="D1613" s="8">
        <v>2019</v>
      </c>
      <c r="E1613" s="14">
        <f>Data!E1613</f>
        <v>984145000000</v>
      </c>
      <c r="F1613" s="14">
        <f>Data!H1613</f>
        <v>643631000000</v>
      </c>
      <c r="G1613" s="12">
        <f t="shared" si="25"/>
        <v>1.5290515839044421</v>
      </c>
    </row>
    <row r="1614" spans="1:7" ht="15" customHeight="1" x14ac:dyDescent="0.3">
      <c r="C1614" s="4"/>
      <c r="D1614" s="8">
        <v>2020</v>
      </c>
      <c r="E1614" s="14">
        <f>Data!E1614</f>
        <v>1291764000000</v>
      </c>
      <c r="F1614" s="14">
        <f>Data!H1614</f>
        <v>573689000000</v>
      </c>
      <c r="G1614" s="12">
        <f t="shared" si="25"/>
        <v>2.2516799171676638</v>
      </c>
    </row>
    <row r="1615" spans="1:7" ht="15" customHeight="1" x14ac:dyDescent="0.3">
      <c r="C1615" s="4"/>
      <c r="D1615" s="8">
        <v>2021</v>
      </c>
      <c r="E1615" s="14">
        <f>Data!E1615</f>
        <v>3853455000000</v>
      </c>
      <c r="F1615" s="14">
        <f>Data!H1615</f>
        <v>563933000000</v>
      </c>
      <c r="G1615" s="12">
        <f t="shared" si="25"/>
        <v>6.8331787641439679</v>
      </c>
    </row>
    <row r="1616" spans="1:7" ht="15" customHeight="1" x14ac:dyDescent="0.3">
      <c r="C1616" s="4"/>
      <c r="D1616" s="8">
        <v>2022</v>
      </c>
      <c r="E1616" s="14">
        <f>Data!E1616</f>
        <v>3824416000000</v>
      </c>
      <c r="F1616" s="14">
        <f>Data!H1616</f>
        <v>1695237000000</v>
      </c>
      <c r="G1616" s="12">
        <f t="shared" si="25"/>
        <v>2.2559771878504304</v>
      </c>
    </row>
    <row r="1617" spans="2:7" ht="15" customHeight="1" x14ac:dyDescent="0.3">
      <c r="C1617" s="4"/>
      <c r="D1617" s="8">
        <v>2023</v>
      </c>
      <c r="E1617" s="14">
        <f>Data!E1617</f>
        <v>2014986000000</v>
      </c>
      <c r="F1617" s="14">
        <f>Data!H1617</f>
        <v>623723000000</v>
      </c>
      <c r="G1617" s="12">
        <f t="shared" si="25"/>
        <v>3.2305783176185581</v>
      </c>
    </row>
    <row r="1618" spans="2:7" ht="15" customHeight="1" x14ac:dyDescent="0.3">
      <c r="C1618" s="4"/>
      <c r="D1618" s="8">
        <v>2024</v>
      </c>
      <c r="E1618" s="14">
        <f>Data!E1618</f>
        <v>2070149000000</v>
      </c>
      <c r="F1618" s="14">
        <f>Data!H1618</f>
        <v>590993000000</v>
      </c>
      <c r="G1618" s="12">
        <f t="shared" si="25"/>
        <v>3.5028316748252517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Data!E1619</f>
        <v>0</v>
      </c>
      <c r="F1619" s="14">
        <f>Data!H1619</f>
        <v>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Data!E1620</f>
        <v>1244956000000</v>
      </c>
      <c r="F1620" s="14">
        <f>Data!H1620</f>
        <v>913706000000</v>
      </c>
      <c r="G1620" s="12">
        <f t="shared" si="25"/>
        <v>1.3625345570675906</v>
      </c>
    </row>
    <row r="1621" spans="2:7" ht="15" customHeight="1" x14ac:dyDescent="0.3">
      <c r="C1621" s="5"/>
      <c r="D1621" s="8">
        <v>2016</v>
      </c>
      <c r="E1621" s="14">
        <f>Data!E1621</f>
        <v>1042826000000</v>
      </c>
      <c r="F1621" s="14">
        <f>Data!H1621</f>
        <v>1376384000000</v>
      </c>
      <c r="G1621" s="12">
        <f t="shared" si="25"/>
        <v>0.75765629359248576</v>
      </c>
    </row>
    <row r="1622" spans="2:7" ht="15" customHeight="1" x14ac:dyDescent="0.3">
      <c r="C1622" s="5"/>
      <c r="D1622" s="8">
        <v>2017</v>
      </c>
      <c r="E1622" s="14">
        <f>Data!E1622</f>
        <v>1065045000000</v>
      </c>
      <c r="F1622" s="14">
        <f>Data!H1622</f>
        <v>1109290000000</v>
      </c>
      <c r="G1622" s="12">
        <f t="shared" si="25"/>
        <v>0.96011412705424193</v>
      </c>
    </row>
    <row r="1623" spans="2:7" ht="15" customHeight="1" x14ac:dyDescent="0.3">
      <c r="C1623" s="5"/>
      <c r="D1623" s="8">
        <v>2018</v>
      </c>
      <c r="E1623" s="14">
        <f>Data!E1623</f>
        <v>1278840000000</v>
      </c>
      <c r="F1623" s="14">
        <f>Data!H1623</f>
        <v>1215201000000</v>
      </c>
      <c r="G1623" s="12">
        <f t="shared" si="25"/>
        <v>1.0523691142452978</v>
      </c>
    </row>
    <row r="1624" spans="2:7" ht="15" customHeight="1" x14ac:dyDescent="0.3">
      <c r="C1624" s="5"/>
      <c r="D1624" s="8">
        <v>2019</v>
      </c>
      <c r="E1624" s="14">
        <f>Data!E1624</f>
        <v>1431518000000</v>
      </c>
      <c r="F1624" s="14">
        <f>Data!H1624</f>
        <v>1637977000000</v>
      </c>
      <c r="G1624" s="12">
        <f t="shared" si="25"/>
        <v>0.87395488459239656</v>
      </c>
    </row>
    <row r="1625" spans="2:7" ht="15" customHeight="1" x14ac:dyDescent="0.3">
      <c r="C1625" s="5"/>
      <c r="D1625" s="8">
        <v>2020</v>
      </c>
      <c r="E1625" s="14">
        <f>Data!E1625</f>
        <v>1238022000000</v>
      </c>
      <c r="F1625" s="14">
        <f>Data!H1625</f>
        <v>1386535000000</v>
      </c>
      <c r="G1625" s="12">
        <f t="shared" si="25"/>
        <v>0.89288910846101976</v>
      </c>
    </row>
    <row r="1626" spans="2:7" ht="15" customHeight="1" x14ac:dyDescent="0.3">
      <c r="C1626" s="5"/>
      <c r="D1626" s="8">
        <v>2021</v>
      </c>
      <c r="E1626" s="14">
        <f>Data!E1626</f>
        <v>1711811000000</v>
      </c>
      <c r="F1626" s="14">
        <f>Data!H1626</f>
        <v>1625147000000</v>
      </c>
      <c r="G1626" s="12">
        <f t="shared" si="25"/>
        <v>1.0533268682771466</v>
      </c>
    </row>
    <row r="1627" spans="2:7" ht="15" customHeight="1" x14ac:dyDescent="0.3">
      <c r="C1627" s="5"/>
      <c r="D1627" s="8">
        <v>2022</v>
      </c>
      <c r="E1627" s="14">
        <f>Data!E1627</f>
        <v>1528820000000</v>
      </c>
      <c r="F1627" s="14">
        <f>Data!H1627</f>
        <v>1548048000000</v>
      </c>
      <c r="G1627" s="12">
        <f t="shared" si="25"/>
        <v>0.98757919651070247</v>
      </c>
    </row>
    <row r="1628" spans="2:7" ht="15" customHeight="1" x14ac:dyDescent="0.3">
      <c r="C1628" s="5"/>
      <c r="D1628" s="8">
        <v>2023</v>
      </c>
      <c r="E1628" s="14">
        <f>Data!E1628</f>
        <v>90444000000</v>
      </c>
      <c r="F1628" s="14">
        <f>Data!H1628</f>
        <v>1335581000000</v>
      </c>
      <c r="G1628" s="12">
        <f t="shared" si="25"/>
        <v>6.7718842960479378E-2</v>
      </c>
    </row>
    <row r="1629" spans="2:7" ht="15" customHeight="1" x14ac:dyDescent="0.3">
      <c r="C1629" s="5"/>
      <c r="D1629" s="8">
        <v>2024</v>
      </c>
      <c r="E1629" s="14">
        <f>Data!E1629</f>
        <v>1168787000000</v>
      </c>
      <c r="F1629" s="14">
        <f>Data!H1629</f>
        <v>1028497000000</v>
      </c>
      <c r="G1629" s="12">
        <f t="shared" si="25"/>
        <v>1.136402925822827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E386-F643-4E10-9A90-AC45E50AD7C3}">
  <sheetPr codeName="Sheet5"/>
  <dimension ref="A1:G1629"/>
  <sheetViews>
    <sheetView workbookViewId="0">
      <selection activeCell="G2" sqref="G2:G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6" width="19" style="14" bestFit="1" customWidth="1"/>
    <col min="7" max="7" width="19.554687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164</v>
      </c>
      <c r="F1" s="13" t="s">
        <v>160</v>
      </c>
      <c r="G1" s="11" t="s">
        <v>172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Data!I2</f>
        <v>0</v>
      </c>
      <c r="F2" s="14">
        <f>Data!G2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Data!I3</f>
        <v>0</v>
      </c>
      <c r="F3" s="14">
        <f>Data!G3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Data!I4</f>
        <v>0</v>
      </c>
      <c r="F4" s="14">
        <f>Data!G4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Data!I5</f>
        <v>0</v>
      </c>
      <c r="F5" s="14">
        <f>Data!G5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Data!I6</f>
        <v>0</v>
      </c>
      <c r="F6" s="14">
        <f>Data!G6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Data!I7</f>
        <v>0</v>
      </c>
      <c r="F7" s="14">
        <f>Data!G7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Data!I8</f>
        <v>0</v>
      </c>
      <c r="F8" s="14">
        <f>Data!G8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Data!I9</f>
        <v>0</v>
      </c>
      <c r="F9" s="14">
        <f>Data!G9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Data!I10</f>
        <v>0</v>
      </c>
      <c r="F10" s="14">
        <f>Data!G10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Data!I11</f>
        <v>0</v>
      </c>
      <c r="F11" s="14">
        <f>Data!G11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Data!I12</f>
        <v>0</v>
      </c>
      <c r="F12" s="14">
        <f>Data!G12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Data!I13</f>
        <v>0</v>
      </c>
      <c r="F13" s="14">
        <f>Data!G13</f>
        <v>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Data!I14</f>
        <v>25291701000000</v>
      </c>
      <c r="F14" s="14">
        <f>Data!G14</f>
        <v>31860954000000</v>
      </c>
      <c r="G14" s="12">
        <f t="shared" si="0"/>
        <v>0.79381493096534395</v>
      </c>
    </row>
    <row r="15" spans="1:7" ht="15" customHeight="1" x14ac:dyDescent="0.3">
      <c r="C15" s="3"/>
      <c r="D15" s="8">
        <v>2016</v>
      </c>
      <c r="E15" s="14">
        <f>Data!I15</f>
        <v>28001542000000</v>
      </c>
      <c r="F15" s="14">
        <f>Data!G15</f>
        <v>35767906000000</v>
      </c>
      <c r="G15" s="12">
        <f t="shared" si="0"/>
        <v>0.78286780333184725</v>
      </c>
    </row>
    <row r="16" spans="1:7" ht="15" customHeight="1" x14ac:dyDescent="0.3">
      <c r="C16" s="3"/>
      <c r="D16" s="8">
        <v>2017</v>
      </c>
      <c r="E16" s="14">
        <f>Data!I16</f>
        <v>34375378000000</v>
      </c>
      <c r="F16" s="14">
        <f>Data!G16</f>
        <v>44937292000000</v>
      </c>
      <c r="G16" s="12">
        <f t="shared" si="0"/>
        <v>0.7649632737103963</v>
      </c>
    </row>
    <row r="17" spans="2:7" ht="15" customHeight="1" x14ac:dyDescent="0.3">
      <c r="C17" s="3"/>
      <c r="D17" s="8">
        <v>2018</v>
      </c>
      <c r="E17" s="14">
        <f>Data!I17</f>
        <v>35535336000000</v>
      </c>
      <c r="F17" s="14">
        <f>Data!G17</f>
        <v>46562563000000</v>
      </c>
      <c r="G17" s="12">
        <f t="shared" si="0"/>
        <v>0.76317396875253629</v>
      </c>
    </row>
    <row r="18" spans="2:7" ht="15" customHeight="1" x14ac:dyDescent="0.3">
      <c r="C18" s="3"/>
      <c r="D18" s="8">
        <v>2019</v>
      </c>
      <c r="E18" s="14">
        <f>Data!I18</f>
        <v>38172435000000</v>
      </c>
      <c r="F18" s="14">
        <f>Data!G18</f>
        <v>50043024000000</v>
      </c>
      <c r="G18" s="12">
        <f t="shared" si="0"/>
        <v>0.76279233245377021</v>
      </c>
    </row>
    <row r="19" spans="2:7" ht="15" customHeight="1" x14ac:dyDescent="0.3">
      <c r="C19" s="3"/>
      <c r="D19" s="8">
        <v>2020</v>
      </c>
      <c r="E19" s="14">
        <f>Data!I19</f>
        <v>41373205000000</v>
      </c>
      <c r="F19" s="14">
        <f>Data!G19</f>
        <v>53134780000000</v>
      </c>
      <c r="G19" s="12">
        <f t="shared" si="0"/>
        <v>0.7786463969550641</v>
      </c>
    </row>
    <row r="20" spans="2:7" ht="15" customHeight="1" x14ac:dyDescent="0.3">
      <c r="C20" s="3"/>
      <c r="D20" s="8">
        <v>2021</v>
      </c>
      <c r="E20" s="14">
        <f>Data!I20</f>
        <v>40473683000000</v>
      </c>
      <c r="F20" s="14">
        <f>Data!G20</f>
        <v>52330016000000</v>
      </c>
      <c r="G20" s="12">
        <f t="shared" si="0"/>
        <v>0.77343150439701758</v>
      </c>
    </row>
    <row r="21" spans="2:7" ht="15" customHeight="1" x14ac:dyDescent="0.3">
      <c r="C21" s="3"/>
      <c r="D21" s="8">
        <v>2022</v>
      </c>
      <c r="E21" s="14">
        <f>Data!I21</f>
        <v>36682436000000</v>
      </c>
      <c r="F21" s="14">
        <f>Data!G21</f>
        <v>44912325000000</v>
      </c>
      <c r="G21" s="12">
        <f t="shared" si="0"/>
        <v>0.81675655847253514</v>
      </c>
    </row>
    <row r="22" spans="2:7" ht="15" customHeight="1" x14ac:dyDescent="0.3">
      <c r="C22" s="3"/>
      <c r="D22" s="8">
        <v>2023</v>
      </c>
      <c r="E22" s="14">
        <f>Data!I22</f>
        <v>33736676000000</v>
      </c>
      <c r="F22" s="14">
        <f>Data!G22</f>
        <v>41785302000000</v>
      </c>
      <c r="G22" s="12">
        <f t="shared" si="0"/>
        <v>0.80738140889827725</v>
      </c>
    </row>
    <row r="23" spans="2:7" ht="15" customHeight="1" x14ac:dyDescent="0.3">
      <c r="C23" s="3"/>
      <c r="D23" s="8">
        <v>2024</v>
      </c>
      <c r="E23" s="14">
        <f>Data!I23</f>
        <v>30987181000000</v>
      </c>
      <c r="F23" s="14">
        <f>Data!G23</f>
        <v>39899482000000</v>
      </c>
      <c r="G23" s="12">
        <f t="shared" si="0"/>
        <v>0.77663116027421109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Data!I24</f>
        <v>0</v>
      </c>
      <c r="F24" s="14">
        <f>Data!G24</f>
        <v>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Data!I25</f>
        <v>22909265000000</v>
      </c>
      <c r="F25" s="14">
        <f>Data!G25</f>
        <v>27635118000000</v>
      </c>
      <c r="G25" s="12">
        <f t="shared" si="0"/>
        <v>0.8289910323523858</v>
      </c>
    </row>
    <row r="26" spans="2:7" ht="15" customHeight="1" x14ac:dyDescent="0.3">
      <c r="C26" s="3"/>
      <c r="D26" s="8">
        <v>2016</v>
      </c>
      <c r="E26" s="14">
        <f>Data!I26</f>
        <v>24436046000000</v>
      </c>
      <c r="F26" s="14">
        <f>Data!G26</f>
        <v>30294789000000</v>
      </c>
      <c r="G26" s="12">
        <f t="shared" si="0"/>
        <v>0.80660888577240131</v>
      </c>
    </row>
    <row r="27" spans="2:7" ht="15" customHeight="1" x14ac:dyDescent="0.3">
      <c r="C27" s="3"/>
      <c r="D27" s="8">
        <v>2017</v>
      </c>
      <c r="E27" s="14">
        <f>Data!I27</f>
        <v>27527468000000</v>
      </c>
      <c r="F27" s="14">
        <f>Data!G27</f>
        <v>35751863000000</v>
      </c>
      <c r="G27" s="12">
        <f t="shared" si="0"/>
        <v>0.76995898087884262</v>
      </c>
    </row>
    <row r="28" spans="2:7" ht="15" customHeight="1" x14ac:dyDescent="0.3">
      <c r="C28" s="3"/>
      <c r="D28" s="8">
        <v>2018</v>
      </c>
      <c r="E28" s="14">
        <f>Data!I28</f>
        <v>27304202000000</v>
      </c>
      <c r="F28" s="14">
        <f>Data!G28</f>
        <v>35266933000000</v>
      </c>
      <c r="G28" s="12">
        <f t="shared" si="0"/>
        <v>0.77421538187060379</v>
      </c>
    </row>
    <row r="29" spans="2:7" ht="15" customHeight="1" x14ac:dyDescent="0.3">
      <c r="C29" s="3"/>
      <c r="D29" s="8">
        <v>2019</v>
      </c>
      <c r="E29" s="14">
        <f>Data!I29</f>
        <v>29736010000000</v>
      </c>
      <c r="F29" s="14">
        <f>Data!G29</f>
        <v>38345233000000</v>
      </c>
      <c r="G29" s="12">
        <f t="shared" si="0"/>
        <v>0.77548127038372672</v>
      </c>
    </row>
    <row r="30" spans="2:7" ht="15" customHeight="1" x14ac:dyDescent="0.3">
      <c r="C30" s="3"/>
      <c r="D30" s="8">
        <v>2020</v>
      </c>
      <c r="E30" s="14">
        <f>Data!I30</f>
        <v>31830554000000</v>
      </c>
      <c r="F30" s="14">
        <f>Data!G30</f>
        <v>41166712000000</v>
      </c>
      <c r="G30" s="12">
        <f t="shared" si="0"/>
        <v>0.77321098658547227</v>
      </c>
    </row>
    <row r="31" spans="2:7" ht="15" customHeight="1" x14ac:dyDescent="0.3">
      <c r="C31" s="3"/>
      <c r="D31" s="8">
        <v>2021</v>
      </c>
      <c r="E31" s="14">
        <f>Data!I31</f>
        <v>33849131000000</v>
      </c>
      <c r="F31" s="14">
        <f>Data!G31</f>
        <v>42808931000000</v>
      </c>
      <c r="G31" s="12">
        <f t="shared" si="0"/>
        <v>0.79070255223144914</v>
      </c>
    </row>
    <row r="32" spans="2:7" ht="15" customHeight="1" x14ac:dyDescent="0.3">
      <c r="C32" s="3"/>
      <c r="D32" s="8">
        <v>2022</v>
      </c>
      <c r="E32" s="14">
        <f>Data!I32</f>
        <v>32037270000000</v>
      </c>
      <c r="F32" s="14">
        <f>Data!G32</f>
        <v>41194961000000</v>
      </c>
      <c r="G32" s="12">
        <f t="shared" si="0"/>
        <v>0.77769875786506992</v>
      </c>
    </row>
    <row r="33" spans="2:7" ht="15" customHeight="1" x14ac:dyDescent="0.3">
      <c r="C33" s="3"/>
      <c r="D33" s="8">
        <v>2023</v>
      </c>
      <c r="E33" s="14">
        <f>Data!I33</f>
        <v>31712785000000</v>
      </c>
      <c r="F33" s="14">
        <f>Data!G33</f>
        <v>40147448000000</v>
      </c>
      <c r="G33" s="12">
        <f t="shared" si="0"/>
        <v>0.78990786662205781</v>
      </c>
    </row>
    <row r="34" spans="2:7" ht="15" customHeight="1" x14ac:dyDescent="0.3">
      <c r="C34" s="3"/>
      <c r="D34" s="8">
        <v>2024</v>
      </c>
      <c r="E34" s="14">
        <f>Data!I34</f>
        <v>30372565000000</v>
      </c>
      <c r="F34" s="14">
        <f>Data!G34</f>
        <v>39131978000000</v>
      </c>
      <c r="G34" s="12">
        <f t="shared" si="0"/>
        <v>0.77615716230853449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Data!I35</f>
        <v>0</v>
      </c>
      <c r="F35" s="14">
        <f>Data!G35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Data!I36</f>
        <v>0</v>
      </c>
      <c r="F36" s="14">
        <f>Data!G36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Data!I37</f>
        <v>0</v>
      </c>
      <c r="F37" s="14">
        <f>Data!G37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Data!I38</f>
        <v>0</v>
      </c>
      <c r="F38" s="14">
        <f>Data!G38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Data!I39</f>
        <v>0</v>
      </c>
      <c r="F39" s="14">
        <f>Data!G39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Data!I40</f>
        <v>0</v>
      </c>
      <c r="F40" s="14">
        <f>Data!G40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Data!I41</f>
        <v>0</v>
      </c>
      <c r="F41" s="14">
        <f>Data!G41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Data!I42</f>
        <v>0</v>
      </c>
      <c r="F42" s="14">
        <f>Data!G42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Data!I43</f>
        <v>891833000000</v>
      </c>
      <c r="F43" s="14">
        <f>Data!G43</f>
        <v>4337827000000</v>
      </c>
      <c r="G43" s="12">
        <f t="shared" si="0"/>
        <v>0.20559441397732089</v>
      </c>
    </row>
    <row r="44" spans="2:7" ht="15" customHeight="1" x14ac:dyDescent="0.3">
      <c r="C44" s="4"/>
      <c r="D44" s="8">
        <v>2023</v>
      </c>
      <c r="E44" s="14">
        <f>Data!I44</f>
        <v>867595000000</v>
      </c>
      <c r="F44" s="14">
        <f>Data!G44</f>
        <v>3620310000000</v>
      </c>
      <c r="G44" s="12">
        <f t="shared" si="0"/>
        <v>0.23964660484875605</v>
      </c>
    </row>
    <row r="45" spans="2:7" ht="15" customHeight="1" x14ac:dyDescent="0.3">
      <c r="C45" s="4"/>
      <c r="D45" s="8">
        <v>2024</v>
      </c>
      <c r="E45" s="14">
        <f>Data!I45</f>
        <v>913660000000</v>
      </c>
      <c r="F45" s="14">
        <f>Data!G45</f>
        <v>3339322000000</v>
      </c>
      <c r="G45" s="12">
        <f t="shared" si="0"/>
        <v>0.2736064386722814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Data!I46</f>
        <v>0</v>
      </c>
      <c r="F46" s="14">
        <f>Data!G46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Data!I47</f>
        <v>3608103108000</v>
      </c>
      <c r="F47" s="14">
        <f>Data!G47</f>
        <v>4933308738000</v>
      </c>
      <c r="G47" s="12">
        <f t="shared" si="0"/>
        <v>0.73137589792581115</v>
      </c>
    </row>
    <row r="48" spans="2:7" ht="15" customHeight="1" x14ac:dyDescent="0.3">
      <c r="C48" s="3"/>
      <c r="D48" s="8">
        <v>2016</v>
      </c>
      <c r="E48" s="14">
        <f>Data!I48</f>
        <v>4512591084000</v>
      </c>
      <c r="F48" s="14">
        <f>Data!G48</f>
        <v>6176329027000</v>
      </c>
      <c r="G48" s="12">
        <f t="shared" si="0"/>
        <v>0.73062673058269378</v>
      </c>
    </row>
    <row r="49" spans="2:7" ht="15" customHeight="1" x14ac:dyDescent="0.3">
      <c r="C49" s="3"/>
      <c r="D49" s="8">
        <v>2017</v>
      </c>
      <c r="E49" s="14">
        <f>Data!I49</f>
        <v>5984418466000</v>
      </c>
      <c r="F49" s="14">
        <f>Data!G49</f>
        <v>8162691116000</v>
      </c>
      <c r="G49" s="12">
        <f t="shared" si="0"/>
        <v>0.73314283009799486</v>
      </c>
    </row>
    <row r="50" spans="2:7" ht="15" customHeight="1" x14ac:dyDescent="0.3">
      <c r="C50" s="3"/>
      <c r="D50" s="8">
        <v>2018</v>
      </c>
      <c r="E50" s="14">
        <f>Data!I50</f>
        <v>7033564683000</v>
      </c>
      <c r="F50" s="14">
        <f>Data!G50</f>
        <v>9356504263000</v>
      </c>
      <c r="G50" s="12">
        <f t="shared" si="0"/>
        <v>0.75172997150378151</v>
      </c>
    </row>
    <row r="51" spans="2:7" ht="15" customHeight="1" x14ac:dyDescent="0.3">
      <c r="C51" s="3"/>
      <c r="D51" s="8">
        <v>2019</v>
      </c>
      <c r="E51" s="14">
        <f>Data!I51</f>
        <v>8407279000000</v>
      </c>
      <c r="F51" s="14">
        <f>Data!G51</f>
        <v>11084971000000</v>
      </c>
      <c r="G51" s="12">
        <f t="shared" si="0"/>
        <v>0.75843942216898896</v>
      </c>
    </row>
    <row r="52" spans="2:7" ht="15" customHeight="1" x14ac:dyDescent="0.3">
      <c r="C52" s="3"/>
      <c r="D52" s="8">
        <v>2020</v>
      </c>
      <c r="E52" s="14">
        <f>Data!I52</f>
        <v>10081934000000</v>
      </c>
      <c r="F52" s="14">
        <f>Data!G52</f>
        <v>13044264000000</v>
      </c>
      <c r="G52" s="12">
        <f t="shared" si="0"/>
        <v>0.77290171373409799</v>
      </c>
    </row>
    <row r="53" spans="2:7" ht="15" customHeight="1" x14ac:dyDescent="0.3">
      <c r="C53" s="3"/>
      <c r="D53" s="8">
        <v>2021</v>
      </c>
      <c r="E53" s="14">
        <f>Data!I53</f>
        <v>11381796000000</v>
      </c>
      <c r="F53" s="14">
        <f>Data!G53</f>
        <v>18260736000000</v>
      </c>
      <c r="G53" s="12">
        <f t="shared" si="0"/>
        <v>0.62329338751734875</v>
      </c>
    </row>
    <row r="54" spans="2:7" ht="15" customHeight="1" x14ac:dyDescent="0.3">
      <c r="C54" s="3"/>
      <c r="D54" s="8">
        <v>2022</v>
      </c>
      <c r="E54" s="14">
        <f>Data!I54</f>
        <v>13552263000000</v>
      </c>
      <c r="F54" s="14">
        <f>Data!G54</f>
        <v>21494817000000</v>
      </c>
      <c r="G54" s="12">
        <f t="shared" si="0"/>
        <v>0.63048980598439153</v>
      </c>
    </row>
    <row r="55" spans="2:7" ht="15" customHeight="1" x14ac:dyDescent="0.3">
      <c r="C55" s="3"/>
      <c r="D55" s="8">
        <v>2023</v>
      </c>
      <c r="E55" s="14">
        <f>Data!I55</f>
        <v>14172581000000</v>
      </c>
      <c r="F55" s="14">
        <f>Data!G55</f>
        <v>23552167000000</v>
      </c>
      <c r="G55" s="12">
        <f t="shared" si="0"/>
        <v>0.60175273893056214</v>
      </c>
    </row>
    <row r="56" spans="2:7" ht="15" customHeight="1" x14ac:dyDescent="0.3">
      <c r="C56" s="3"/>
      <c r="D56" s="8">
        <v>2024</v>
      </c>
      <c r="E56" s="14">
        <f>Data!I56</f>
        <v>0</v>
      </c>
      <c r="F56" s="14">
        <f>Data!G56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Data!I57</f>
        <v>0</v>
      </c>
      <c r="F57" s="14">
        <f>Data!G57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Data!I58</f>
        <v>0</v>
      </c>
      <c r="F58" s="14">
        <f>Data!G58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Data!I59</f>
        <v>3417000000</v>
      </c>
      <c r="F59" s="14">
        <f>Data!G59</f>
        <v>98507000000</v>
      </c>
      <c r="G59" s="12">
        <f t="shared" si="0"/>
        <v>3.4687890200696396E-2</v>
      </c>
    </row>
    <row r="60" spans="2:7" ht="15" customHeight="1" x14ac:dyDescent="0.3">
      <c r="C60" s="3"/>
      <c r="D60" s="8">
        <v>2017</v>
      </c>
      <c r="E60" s="14">
        <f>Data!I60</f>
        <v>11160000000</v>
      </c>
      <c r="F60" s="14">
        <f>Data!G60</f>
        <v>116479000000</v>
      </c>
      <c r="G60" s="12">
        <f t="shared" si="0"/>
        <v>9.5811262115917895E-2</v>
      </c>
    </row>
    <row r="61" spans="2:7" ht="15" customHeight="1" x14ac:dyDescent="0.3">
      <c r="C61" s="3"/>
      <c r="D61" s="8">
        <v>2018</v>
      </c>
      <c r="E61" s="14">
        <f>Data!I61</f>
        <v>50492000000</v>
      </c>
      <c r="F61" s="14">
        <f>Data!G61</f>
        <v>152680000000</v>
      </c>
      <c r="G61" s="12">
        <f t="shared" si="0"/>
        <v>0.33070474194393501</v>
      </c>
    </row>
    <row r="62" spans="2:7" ht="15" customHeight="1" x14ac:dyDescent="0.3">
      <c r="C62" s="3"/>
      <c r="D62" s="8">
        <v>2019</v>
      </c>
      <c r="E62" s="14">
        <f>Data!I62</f>
        <v>87535000000</v>
      </c>
      <c r="F62" s="14">
        <f>Data!G62</f>
        <v>214472000000</v>
      </c>
      <c r="G62" s="12">
        <f t="shared" si="0"/>
        <v>0.40814185534708491</v>
      </c>
    </row>
    <row r="63" spans="2:7" ht="15" customHeight="1" x14ac:dyDescent="0.3">
      <c r="C63" s="3"/>
      <c r="D63" s="8">
        <v>2020</v>
      </c>
      <c r="E63" s="14">
        <f>Data!I63</f>
        <v>138272000000</v>
      </c>
      <c r="F63" s="14">
        <f>Data!G63</f>
        <v>278255000000</v>
      </c>
      <c r="G63" s="12">
        <f t="shared" si="0"/>
        <v>0.49692548202188641</v>
      </c>
    </row>
    <row r="64" spans="2:7" ht="15" customHeight="1" x14ac:dyDescent="0.3">
      <c r="C64" s="3"/>
      <c r="D64" s="8">
        <v>2021</v>
      </c>
      <c r="E64" s="14">
        <f>Data!I64</f>
        <v>252304000000</v>
      </c>
      <c r="F64" s="14">
        <f>Data!G64</f>
        <v>384372000000</v>
      </c>
      <c r="G64" s="12">
        <f t="shared" si="0"/>
        <v>0.65640577357351737</v>
      </c>
    </row>
    <row r="65" spans="2:7" ht="15" customHeight="1" x14ac:dyDescent="0.3">
      <c r="C65" s="3"/>
      <c r="D65" s="8">
        <v>2022</v>
      </c>
      <c r="E65" s="14">
        <f>Data!I65</f>
        <v>359910000000</v>
      </c>
      <c r="F65" s="14">
        <f>Data!G65</f>
        <v>517439000000</v>
      </c>
      <c r="G65" s="12">
        <f t="shared" si="0"/>
        <v>0.69556024961396412</v>
      </c>
    </row>
    <row r="66" spans="2:7" ht="15" customHeight="1" x14ac:dyDescent="0.3">
      <c r="C66" s="3"/>
      <c r="D66" s="8">
        <v>2023</v>
      </c>
      <c r="E66" s="14">
        <f>Data!I66</f>
        <v>548082000000</v>
      </c>
      <c r="F66" s="14">
        <f>Data!G66</f>
        <v>714057000000</v>
      </c>
      <c r="G66" s="12">
        <f t="shared" si="0"/>
        <v>0.76756057289544111</v>
      </c>
    </row>
    <row r="67" spans="2:7" ht="15" customHeight="1" x14ac:dyDescent="0.3">
      <c r="C67" s="3"/>
      <c r="D67" s="8">
        <v>2024</v>
      </c>
      <c r="E67" s="14">
        <f>Data!I67</f>
        <v>796246000000</v>
      </c>
      <c r="F67" s="14">
        <f>Data!G67</f>
        <v>997332000000</v>
      </c>
      <c r="G67" s="12">
        <f t="shared" ref="G67:G130" si="1">IFERROR(E67/F67,0)</f>
        <v>0.79837606734768363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Data!I68</f>
        <v>0</v>
      </c>
      <c r="F68" s="14">
        <f>Data!G68</f>
        <v>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Data!I69</f>
        <v>1364281000000</v>
      </c>
      <c r="F69" s="14">
        <f>Data!G69</f>
        <v>1899837000000</v>
      </c>
      <c r="G69" s="12">
        <f t="shared" si="1"/>
        <v>0.71810423736352114</v>
      </c>
    </row>
    <row r="70" spans="2:7" ht="15" customHeight="1" x14ac:dyDescent="0.3">
      <c r="C70" s="3"/>
      <c r="D70" s="8">
        <v>2016</v>
      </c>
      <c r="E70" s="14">
        <f>Data!I70</f>
        <v>2965233000000</v>
      </c>
      <c r="F70" s="14">
        <f>Data!G70</f>
        <v>3802688000000</v>
      </c>
      <c r="G70" s="12">
        <f t="shared" si="1"/>
        <v>0.7797728869683761</v>
      </c>
    </row>
    <row r="71" spans="2:7" ht="15" customHeight="1" x14ac:dyDescent="0.3">
      <c r="C71" s="3"/>
      <c r="D71" s="8">
        <v>2017</v>
      </c>
      <c r="E71" s="14">
        <f>Data!I71</f>
        <v>3703552000000</v>
      </c>
      <c r="F71" s="14">
        <f>Data!G71</f>
        <v>4315435000000</v>
      </c>
      <c r="G71" s="12">
        <f t="shared" si="1"/>
        <v>0.85821058595483424</v>
      </c>
    </row>
    <row r="72" spans="2:7" ht="15" customHeight="1" x14ac:dyDescent="0.3">
      <c r="C72" s="3"/>
      <c r="D72" s="8">
        <v>2018</v>
      </c>
      <c r="E72" s="14">
        <f>Data!I72</f>
        <v>4569886000000</v>
      </c>
      <c r="F72" s="14">
        <f>Data!G72</f>
        <v>5004717000000</v>
      </c>
      <c r="G72" s="12">
        <f t="shared" si="1"/>
        <v>0.91311576658580296</v>
      </c>
    </row>
    <row r="73" spans="2:7" ht="15" customHeight="1" x14ac:dyDescent="0.3">
      <c r="C73" s="3"/>
      <c r="D73" s="8">
        <v>2019</v>
      </c>
      <c r="E73" s="14">
        <f>Data!I73</f>
        <v>5043700000000</v>
      </c>
      <c r="F73" s="14">
        <f>Data!G73</f>
        <v>5901298000000</v>
      </c>
      <c r="G73" s="12">
        <f t="shared" si="1"/>
        <v>0.8546763779765062</v>
      </c>
    </row>
    <row r="74" spans="2:7" ht="15" customHeight="1" x14ac:dyDescent="0.3">
      <c r="C74" s="3"/>
      <c r="D74" s="8">
        <v>2020</v>
      </c>
      <c r="E74" s="14">
        <f>Data!I74</f>
        <v>5746720000000</v>
      </c>
      <c r="F74" s="14">
        <f>Data!G74</f>
        <v>6587066000000</v>
      </c>
      <c r="G74" s="12">
        <f t="shared" si="1"/>
        <v>0.87242483983005481</v>
      </c>
    </row>
    <row r="75" spans="2:7" ht="15" customHeight="1" x14ac:dyDescent="0.3">
      <c r="C75" s="3"/>
      <c r="D75" s="8">
        <v>2021</v>
      </c>
      <c r="E75" s="14">
        <f>Data!I75</f>
        <v>6266517000000</v>
      </c>
      <c r="F75" s="14">
        <f>Data!G75</f>
        <v>7092935000000</v>
      </c>
      <c r="G75" s="12">
        <f t="shared" si="1"/>
        <v>0.88348716011072992</v>
      </c>
    </row>
    <row r="76" spans="2:7" ht="15" customHeight="1" x14ac:dyDescent="0.3">
      <c r="C76" s="3"/>
      <c r="D76" s="8">
        <v>2022</v>
      </c>
      <c r="E76" s="14">
        <f>Data!I76</f>
        <v>6661879000000</v>
      </c>
      <c r="F76" s="14">
        <f>Data!G76</f>
        <v>7345755000000</v>
      </c>
      <c r="G76" s="12">
        <f t="shared" si="1"/>
        <v>0.90690187734276462</v>
      </c>
    </row>
    <row r="77" spans="2:7" ht="15" customHeight="1" x14ac:dyDescent="0.3">
      <c r="C77" s="3"/>
      <c r="D77" s="8">
        <v>2023</v>
      </c>
      <c r="E77" s="14">
        <f>Data!I77</f>
        <v>6800327000000</v>
      </c>
      <c r="F77" s="14">
        <f>Data!G77</f>
        <v>7501061000000</v>
      </c>
      <c r="G77" s="12">
        <f t="shared" si="1"/>
        <v>0.90658201553086959</v>
      </c>
    </row>
    <row r="78" spans="2:7" ht="15" customHeight="1" x14ac:dyDescent="0.3">
      <c r="C78" s="3"/>
      <c r="D78" s="8">
        <v>2024</v>
      </c>
      <c r="E78" s="14">
        <f>Data!I78</f>
        <v>6056599000000</v>
      </c>
      <c r="F78" s="14">
        <f>Data!G78</f>
        <v>6806055000000</v>
      </c>
      <c r="G78" s="12">
        <f t="shared" si="1"/>
        <v>0.88988393423209189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Data!I79</f>
        <v>0</v>
      </c>
      <c r="F79" s="14">
        <f>Data!G79</f>
        <v>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Data!I80</f>
        <v>52698000000</v>
      </c>
      <c r="F80" s="14">
        <f>Data!G80</f>
        <v>281282000000</v>
      </c>
      <c r="G80" s="12">
        <f t="shared" si="1"/>
        <v>0.18734935047390164</v>
      </c>
    </row>
    <row r="81" spans="2:7" ht="15" customHeight="1" x14ac:dyDescent="0.3">
      <c r="C81" s="3"/>
      <c r="D81" s="8">
        <v>2016</v>
      </c>
      <c r="E81" s="14">
        <f>Data!I81</f>
        <v>181020000000</v>
      </c>
      <c r="F81" s="14">
        <f>Data!G81</f>
        <v>385447000000</v>
      </c>
      <c r="G81" s="12">
        <f t="shared" si="1"/>
        <v>0.46963655184759512</v>
      </c>
    </row>
    <row r="82" spans="2:7" ht="15" customHeight="1" x14ac:dyDescent="0.3">
      <c r="C82" s="3"/>
      <c r="D82" s="8">
        <v>2017</v>
      </c>
      <c r="E82" s="14">
        <f>Data!I82</f>
        <v>375260000000</v>
      </c>
      <c r="F82" s="14">
        <f>Data!G82</f>
        <v>842122000000</v>
      </c>
      <c r="G82" s="12">
        <f t="shared" si="1"/>
        <v>0.44561239345368009</v>
      </c>
    </row>
    <row r="83" spans="2:7" ht="15" customHeight="1" x14ac:dyDescent="0.3">
      <c r="C83" s="3"/>
      <c r="D83" s="8">
        <v>2018</v>
      </c>
      <c r="E83" s="14">
        <f>Data!I83</f>
        <v>514818000000</v>
      </c>
      <c r="F83" s="14">
        <f>Data!G83</f>
        <v>902876000000</v>
      </c>
      <c r="G83" s="12">
        <f t="shared" si="1"/>
        <v>0.57019790092991729</v>
      </c>
    </row>
    <row r="84" spans="2:7" ht="15" customHeight="1" x14ac:dyDescent="0.3">
      <c r="C84" s="3"/>
      <c r="D84" s="8">
        <v>2019</v>
      </c>
      <c r="E84" s="14">
        <f>Data!I84</f>
        <v>753776000000</v>
      </c>
      <c r="F84" s="14">
        <f>Data!G84</f>
        <v>1154689000000</v>
      </c>
      <c r="G84" s="12">
        <f t="shared" si="1"/>
        <v>0.65279568784322017</v>
      </c>
    </row>
    <row r="85" spans="2:7" ht="15" customHeight="1" x14ac:dyDescent="0.3">
      <c r="C85" s="3"/>
      <c r="D85" s="8">
        <v>2020</v>
      </c>
      <c r="E85" s="14">
        <f>Data!I85</f>
        <v>975453000000</v>
      </c>
      <c r="F85" s="14">
        <f>Data!G85</f>
        <v>1467896000000</v>
      </c>
      <c r="G85" s="12">
        <f t="shared" si="1"/>
        <v>0.66452459847291634</v>
      </c>
    </row>
    <row r="86" spans="2:7" ht="15" customHeight="1" x14ac:dyDescent="0.3">
      <c r="C86" s="3"/>
      <c r="D86" s="8">
        <v>2021</v>
      </c>
      <c r="E86" s="14">
        <f>Data!I86</f>
        <v>1397617000000</v>
      </c>
      <c r="F86" s="14">
        <f>Data!G86</f>
        <v>1930213000000</v>
      </c>
      <c r="G86" s="12">
        <f t="shared" si="1"/>
        <v>0.72407397525558059</v>
      </c>
    </row>
    <row r="87" spans="2:7" ht="15" customHeight="1" x14ac:dyDescent="0.3">
      <c r="C87" s="3"/>
      <c r="D87" s="8">
        <v>2022</v>
      </c>
      <c r="E87" s="14">
        <f>Data!I87</f>
        <v>1688561000000</v>
      </c>
      <c r="F87" s="14">
        <f>Data!G87</f>
        <v>2347921000000</v>
      </c>
      <c r="G87" s="12">
        <f t="shared" si="1"/>
        <v>0.71917283417968492</v>
      </c>
    </row>
    <row r="88" spans="2:7" ht="15" customHeight="1" x14ac:dyDescent="0.3">
      <c r="C88" s="3"/>
      <c r="D88" s="8">
        <v>2023</v>
      </c>
      <c r="E88" s="14">
        <f>Data!I88</f>
        <v>2148138000000</v>
      </c>
      <c r="F88" s="14">
        <f>Data!G88</f>
        <v>2878724000000</v>
      </c>
      <c r="G88" s="12">
        <f t="shared" si="1"/>
        <v>0.74621186331166167</v>
      </c>
    </row>
    <row r="89" spans="2:7" ht="15" customHeight="1" x14ac:dyDescent="0.3">
      <c r="C89" s="3"/>
      <c r="D89" s="8">
        <v>2024</v>
      </c>
      <c r="E89" s="14">
        <f>Data!I89</f>
        <v>2525508000000</v>
      </c>
      <c r="F89" s="14">
        <f>Data!G89</f>
        <v>3339666000000</v>
      </c>
      <c r="G89" s="12">
        <f t="shared" si="1"/>
        <v>0.75621574133461256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Data!I90</f>
        <v>0</v>
      </c>
      <c r="F90" s="14">
        <f>Data!G90</f>
        <v>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Data!I91</f>
        <v>2852326000000</v>
      </c>
      <c r="F91" s="14">
        <f>Data!G91</f>
        <v>4598462000000</v>
      </c>
      <c r="G91" s="12">
        <f t="shared" si="1"/>
        <v>0.6202782582524331</v>
      </c>
    </row>
    <row r="92" spans="2:7" ht="15" customHeight="1" x14ac:dyDescent="0.3">
      <c r="C92" s="3"/>
      <c r="D92" s="8">
        <v>2016</v>
      </c>
      <c r="E92" s="14">
        <f>Data!I92</f>
        <v>3397124000000</v>
      </c>
      <c r="F92" s="14">
        <f>Data!G92</f>
        <v>5298273000000</v>
      </c>
      <c r="G92" s="12">
        <f t="shared" si="1"/>
        <v>0.64117571895596925</v>
      </c>
    </row>
    <row r="93" spans="2:7" ht="15" customHeight="1" x14ac:dyDescent="0.3">
      <c r="C93" s="3"/>
      <c r="D93" s="8">
        <v>2017</v>
      </c>
      <c r="E93" s="14">
        <f>Data!I93</f>
        <v>4348556000000</v>
      </c>
      <c r="F93" s="14">
        <f>Data!G93</f>
        <v>5618666000000</v>
      </c>
      <c r="G93" s="12">
        <f t="shared" si="1"/>
        <v>0.77394812220552001</v>
      </c>
    </row>
    <row r="94" spans="2:7" ht="15" customHeight="1" x14ac:dyDescent="0.3">
      <c r="C94" s="3"/>
      <c r="D94" s="8">
        <v>2018</v>
      </c>
      <c r="E94" s="14">
        <f>Data!I94</f>
        <v>5300406000000</v>
      </c>
      <c r="F94" s="14">
        <f>Data!G94</f>
        <v>6696353000000</v>
      </c>
      <c r="G94" s="12">
        <f t="shared" si="1"/>
        <v>0.79153622875018681</v>
      </c>
    </row>
    <row r="95" spans="2:7" ht="15" customHeight="1" x14ac:dyDescent="0.3">
      <c r="C95" s="3"/>
      <c r="D95" s="8">
        <v>2019</v>
      </c>
      <c r="E95" s="14">
        <f>Data!I95</f>
        <v>6383523000000</v>
      </c>
      <c r="F95" s="14">
        <f>Data!G95</f>
        <v>8158087000000</v>
      </c>
      <c r="G95" s="12">
        <f t="shared" si="1"/>
        <v>0.78247792650409342</v>
      </c>
    </row>
    <row r="96" spans="2:7" ht="15" customHeight="1" x14ac:dyDescent="0.3">
      <c r="C96" s="3"/>
      <c r="D96" s="8">
        <v>2020</v>
      </c>
      <c r="E96" s="14">
        <f>Data!I96</f>
        <v>6749524000000</v>
      </c>
      <c r="F96" s="14">
        <f>Data!G96</f>
        <v>8569933000000</v>
      </c>
      <c r="G96" s="12">
        <f t="shared" si="1"/>
        <v>0.78758188657951</v>
      </c>
    </row>
    <row r="97" spans="2:7" ht="15" customHeight="1" x14ac:dyDescent="0.3">
      <c r="C97" s="3"/>
      <c r="D97" s="8">
        <v>2021</v>
      </c>
      <c r="E97" s="14">
        <f>Data!I97</f>
        <v>7169272000000</v>
      </c>
      <c r="F97" s="14">
        <f>Data!G97</f>
        <v>10111397000000</v>
      </c>
      <c r="G97" s="12">
        <f t="shared" si="1"/>
        <v>0.70902883152545593</v>
      </c>
    </row>
    <row r="98" spans="2:7" ht="15" customHeight="1" x14ac:dyDescent="0.3">
      <c r="C98" s="3"/>
      <c r="D98" s="8">
        <v>2022</v>
      </c>
      <c r="E98" s="14">
        <f>Data!I98</f>
        <v>7279861000000</v>
      </c>
      <c r="F98" s="14">
        <f>Data!G98</f>
        <v>10357588000000</v>
      </c>
      <c r="G98" s="12">
        <f t="shared" si="1"/>
        <v>0.70285292290058266</v>
      </c>
    </row>
    <row r="99" spans="2:7" ht="15" customHeight="1" x14ac:dyDescent="0.3">
      <c r="C99" s="3"/>
      <c r="D99" s="8">
        <v>2023</v>
      </c>
      <c r="E99" s="14">
        <f>Data!I99</f>
        <v>7874976000000</v>
      </c>
      <c r="F99" s="14">
        <f>Data!G99</f>
        <v>11033985000000</v>
      </c>
      <c r="G99" s="12">
        <f t="shared" si="1"/>
        <v>0.71370189464640377</v>
      </c>
    </row>
    <row r="100" spans="2:7" ht="15" customHeight="1" x14ac:dyDescent="0.3">
      <c r="C100" s="3"/>
      <c r="D100" s="8">
        <v>2024</v>
      </c>
      <c r="E100" s="14">
        <f>Data!I100</f>
        <v>7771730000000</v>
      </c>
      <c r="F100" s="14">
        <f>Data!G100</f>
        <v>11181540000000</v>
      </c>
      <c r="G100" s="12">
        <f t="shared" si="1"/>
        <v>0.69505005571683331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Data!I101</f>
        <v>0</v>
      </c>
      <c r="F101" s="14">
        <f>Data!G101</f>
        <v>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Data!I102</f>
        <v>3808764000000</v>
      </c>
      <c r="F102" s="14">
        <f>Data!G102</f>
        <v>4276820000000</v>
      </c>
      <c r="G102" s="12">
        <f t="shared" si="1"/>
        <v>0.89055980845581528</v>
      </c>
    </row>
    <row r="103" spans="2:7" ht="15" customHeight="1" x14ac:dyDescent="0.3">
      <c r="C103" s="3"/>
      <c r="D103" s="8">
        <v>2016</v>
      </c>
      <c r="E103" s="14">
        <f>Data!I103</f>
        <v>4662827000000</v>
      </c>
      <c r="F103" s="14">
        <f>Data!G103</f>
        <v>5419377000000</v>
      </c>
      <c r="G103" s="12">
        <f t="shared" si="1"/>
        <v>0.86039908277279842</v>
      </c>
    </row>
    <row r="104" spans="2:7" ht="15" customHeight="1" x14ac:dyDescent="0.3">
      <c r="C104" s="3"/>
      <c r="D104" s="8">
        <v>2017</v>
      </c>
      <c r="E104" s="14">
        <f>Data!I104</f>
        <v>5986467000000</v>
      </c>
      <c r="F104" s="14">
        <f>Data!G104</f>
        <v>6841389000000</v>
      </c>
      <c r="G104" s="12">
        <f t="shared" si="1"/>
        <v>0.87503677981181893</v>
      </c>
    </row>
    <row r="105" spans="2:7" ht="15" customHeight="1" x14ac:dyDescent="0.3">
      <c r="C105" s="3"/>
      <c r="D105" s="8">
        <v>2018</v>
      </c>
      <c r="E105" s="14">
        <f>Data!I105</f>
        <v>5972519000000</v>
      </c>
      <c r="F105" s="14">
        <f>Data!G105</f>
        <v>6994875000000</v>
      </c>
      <c r="G105" s="12">
        <f t="shared" si="1"/>
        <v>0.85384213441984314</v>
      </c>
    </row>
    <row r="106" spans="2:7" ht="15" customHeight="1" x14ac:dyDescent="0.3">
      <c r="C106" s="3"/>
      <c r="D106" s="8">
        <v>2019</v>
      </c>
      <c r="E106" s="14">
        <f>Data!I106</f>
        <v>5843491000000</v>
      </c>
      <c r="F106" s="14">
        <f>Data!G106</f>
        <v>7060254000000</v>
      </c>
      <c r="G106" s="12">
        <f t="shared" si="1"/>
        <v>0.82766016633395911</v>
      </c>
    </row>
    <row r="107" spans="2:7" ht="15" customHeight="1" x14ac:dyDescent="0.3">
      <c r="C107" s="3"/>
      <c r="D107" s="8">
        <v>2020</v>
      </c>
      <c r="E107" s="14">
        <f>Data!I107</f>
        <v>5855352000000</v>
      </c>
      <c r="F107" s="14">
        <f>Data!G107</f>
        <v>7356577000000</v>
      </c>
      <c r="G107" s="12">
        <f t="shared" si="1"/>
        <v>0.79593430477245053</v>
      </c>
    </row>
    <row r="108" spans="2:7" ht="15" customHeight="1" x14ac:dyDescent="0.3">
      <c r="C108" s="3"/>
      <c r="D108" s="8">
        <v>2021</v>
      </c>
      <c r="E108" s="14">
        <f>Data!I108</f>
        <v>5757070000000</v>
      </c>
      <c r="F108" s="14">
        <f>Data!G108</f>
        <v>7322006000000</v>
      </c>
      <c r="G108" s="12">
        <f t="shared" si="1"/>
        <v>0.78626950046203181</v>
      </c>
    </row>
    <row r="109" spans="2:7" ht="15" customHeight="1" x14ac:dyDescent="0.3">
      <c r="C109" s="3"/>
      <c r="D109" s="8">
        <v>2022</v>
      </c>
      <c r="E109" s="14">
        <f>Data!I109</f>
        <v>4591181000000</v>
      </c>
      <c r="F109" s="14">
        <f>Data!G109</f>
        <v>6140160000000</v>
      </c>
      <c r="G109" s="12">
        <f t="shared" si="1"/>
        <v>0.74772986371690642</v>
      </c>
    </row>
    <row r="110" spans="2:7" ht="15" customHeight="1" x14ac:dyDescent="0.3">
      <c r="C110" s="3"/>
      <c r="D110" s="8">
        <v>2023</v>
      </c>
      <c r="E110" s="14">
        <f>Data!I110</f>
        <v>4795308000000</v>
      </c>
      <c r="F110" s="14">
        <f>Data!G110</f>
        <v>6183771000000</v>
      </c>
      <c r="G110" s="12">
        <f t="shared" si="1"/>
        <v>0.77546662061062743</v>
      </c>
    </row>
    <row r="111" spans="2:7" ht="15" customHeight="1" x14ac:dyDescent="0.3">
      <c r="C111" s="3"/>
      <c r="D111" s="8">
        <v>2024</v>
      </c>
      <c r="E111" s="14">
        <f>Data!I111</f>
        <v>4725950000000</v>
      </c>
      <c r="F111" s="14">
        <f>Data!G111</f>
        <v>5946070000000</v>
      </c>
      <c r="G111" s="12">
        <f t="shared" si="1"/>
        <v>0.79480228117058827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Data!I112</f>
        <v>0</v>
      </c>
      <c r="F112" s="14">
        <f>Data!G112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Data!I113</f>
        <v>0</v>
      </c>
      <c r="F113" s="14">
        <f>Data!G113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Data!I114</f>
        <v>0</v>
      </c>
      <c r="F114" s="14">
        <f>Data!G114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Data!I115</f>
        <v>0</v>
      </c>
      <c r="F115" s="14">
        <f>Data!G115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Data!I116</f>
        <v>0</v>
      </c>
      <c r="F116" s="14">
        <f>Data!G116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Data!I117</f>
        <v>0</v>
      </c>
      <c r="F117" s="14">
        <f>Data!G117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Data!I118</f>
        <v>3784000000</v>
      </c>
      <c r="F118" s="14">
        <f>Data!G118</f>
        <v>153511000000</v>
      </c>
      <c r="G118" s="12">
        <f t="shared" si="1"/>
        <v>2.4649699370077716E-2</v>
      </c>
    </row>
    <row r="119" spans="2:7" ht="15" customHeight="1" x14ac:dyDescent="0.3">
      <c r="C119" s="3"/>
      <c r="D119" s="8">
        <v>2021</v>
      </c>
      <c r="E119" s="14">
        <f>Data!I119</f>
        <v>20060427000000</v>
      </c>
      <c r="F119" s="14">
        <f>Data!G119</f>
        <v>21046070000000</v>
      </c>
      <c r="G119" s="12">
        <f t="shared" si="1"/>
        <v>0.9531673609372201</v>
      </c>
    </row>
    <row r="120" spans="2:7" ht="15" customHeight="1" x14ac:dyDescent="0.3">
      <c r="C120" s="3"/>
      <c r="D120" s="8">
        <v>2022</v>
      </c>
      <c r="E120" s="14">
        <f>Data!I120</f>
        <v>27791846000000</v>
      </c>
      <c r="F120" s="14">
        <f>Data!G120</f>
        <v>30095971000000</v>
      </c>
      <c r="G120" s="12">
        <f t="shared" si="1"/>
        <v>0.92344074892948291</v>
      </c>
    </row>
    <row r="121" spans="2:7" ht="15" customHeight="1" x14ac:dyDescent="0.3">
      <c r="C121" s="3"/>
      <c r="D121" s="8">
        <v>2023</v>
      </c>
      <c r="E121" s="14">
        <f>Data!I121</f>
        <v>30055304000000</v>
      </c>
      <c r="F121" s="14">
        <f>Data!G121</f>
        <v>33088034000000</v>
      </c>
      <c r="G121" s="12">
        <f t="shared" si="1"/>
        <v>0.90834360240321321</v>
      </c>
    </row>
    <row r="122" spans="2:7" ht="15" customHeight="1" x14ac:dyDescent="0.3">
      <c r="C122" s="3"/>
      <c r="D122" s="8">
        <v>2024</v>
      </c>
      <c r="E122" s="14">
        <f>Data!I122</f>
        <v>30742842000000</v>
      </c>
      <c r="F122" s="14">
        <f>Data!G122</f>
        <v>34967966000000</v>
      </c>
      <c r="G122" s="12">
        <f t="shared" si="1"/>
        <v>0.87917158235626292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Data!I123</f>
        <v>0</v>
      </c>
      <c r="F123" s="14">
        <f>Data!G123</f>
        <v>0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Data!I124</f>
        <v>538764300315</v>
      </c>
      <c r="F124" s="14">
        <f>Data!G124</f>
        <v>1841695394740</v>
      </c>
      <c r="G124" s="12">
        <f t="shared" si="1"/>
        <v>0.29253713825518884</v>
      </c>
    </row>
    <row r="125" spans="2:7" ht="15" customHeight="1" x14ac:dyDescent="0.3">
      <c r="C125" s="3"/>
      <c r="D125" s="8">
        <v>2016</v>
      </c>
      <c r="E125" s="14">
        <f>Data!I125</f>
        <v>742532507113</v>
      </c>
      <c r="F125" s="14">
        <f>Data!G125</f>
        <v>2128604012037</v>
      </c>
      <c r="G125" s="12">
        <f t="shared" si="1"/>
        <v>0.34883543529659244</v>
      </c>
    </row>
    <row r="126" spans="2:7" ht="15" customHeight="1" x14ac:dyDescent="0.3">
      <c r="C126" s="3"/>
      <c r="D126" s="8">
        <v>2017</v>
      </c>
      <c r="E126" s="14">
        <f>Data!I126</f>
        <v>780587185363</v>
      </c>
      <c r="F126" s="14">
        <f>Data!G126</f>
        <v>2224965279992</v>
      </c>
      <c r="G126" s="12">
        <f t="shared" si="1"/>
        <v>0.35083117583111528</v>
      </c>
    </row>
    <row r="127" spans="2:7" ht="15" customHeight="1" x14ac:dyDescent="0.3">
      <c r="C127" s="3"/>
      <c r="D127" s="8">
        <v>2018</v>
      </c>
      <c r="E127" s="14">
        <f>Data!I127</f>
        <v>800539947884</v>
      </c>
      <c r="F127" s="14">
        <f>Data!G127</f>
        <v>2146354535548</v>
      </c>
      <c r="G127" s="12">
        <f t="shared" si="1"/>
        <v>0.3729765677689445</v>
      </c>
    </row>
    <row r="128" spans="2:7" ht="15" customHeight="1" x14ac:dyDescent="0.3">
      <c r="C128" s="3"/>
      <c r="D128" s="8">
        <v>2019</v>
      </c>
      <c r="E128" s="14">
        <f>Data!I128</f>
        <v>883374854335</v>
      </c>
      <c r="F128" s="14">
        <f>Data!G128</f>
        <v>2200245923342</v>
      </c>
      <c r="G128" s="12">
        <f t="shared" si="1"/>
        <v>0.40148914490123144</v>
      </c>
    </row>
    <row r="129" spans="2:7" ht="15" customHeight="1" x14ac:dyDescent="0.3">
      <c r="C129" s="3"/>
      <c r="D129" s="8">
        <v>2020</v>
      </c>
      <c r="E129" s="14">
        <f>Data!I129</f>
        <v>950707130160</v>
      </c>
      <c r="F129" s="14">
        <f>Data!G129</f>
        <v>2254736989884</v>
      </c>
      <c r="G129" s="12">
        <f t="shared" si="1"/>
        <v>0.42164879293035029</v>
      </c>
    </row>
    <row r="130" spans="2:7" ht="15" customHeight="1" x14ac:dyDescent="0.3">
      <c r="C130" s="3"/>
      <c r="D130" s="8">
        <v>2021</v>
      </c>
      <c r="E130" s="14">
        <f>Data!I130</f>
        <v>1156312746370</v>
      </c>
      <c r="F130" s="14">
        <f>Data!G130</f>
        <v>2524302538621</v>
      </c>
      <c r="G130" s="12">
        <f t="shared" si="1"/>
        <v>0.4580721718885889</v>
      </c>
    </row>
    <row r="131" spans="2:7" ht="15" customHeight="1" x14ac:dyDescent="0.3">
      <c r="C131" s="3"/>
      <c r="D131" s="8">
        <v>2022</v>
      </c>
      <c r="E131" s="14">
        <f>Data!I131</f>
        <v>1229661186622</v>
      </c>
      <c r="F131" s="14">
        <f>Data!G131</f>
        <v>2668916537113</v>
      </c>
      <c r="G131" s="12">
        <f t="shared" ref="G131:G194" si="2">IFERROR(E131/F131,0)</f>
        <v>0.46073422286638444</v>
      </c>
    </row>
    <row r="132" spans="2:7" ht="15" customHeight="1" x14ac:dyDescent="0.3">
      <c r="C132" s="3"/>
      <c r="D132" s="8">
        <v>2023</v>
      </c>
      <c r="E132" s="14">
        <f>Data!I132</f>
        <v>1238114232857</v>
      </c>
      <c r="F132" s="14">
        <f>Data!G132</f>
        <v>2823141641461</v>
      </c>
      <c r="G132" s="12">
        <f t="shared" si="2"/>
        <v>0.43855902044513262</v>
      </c>
    </row>
    <row r="133" spans="2:7" ht="15" customHeight="1" x14ac:dyDescent="0.3">
      <c r="C133" s="3"/>
      <c r="D133" s="8">
        <v>2024</v>
      </c>
      <c r="E133" s="14">
        <f>Data!I133</f>
        <v>2033279403618</v>
      </c>
      <c r="F133" s="14">
        <f>Data!G133</f>
        <v>3609299613555</v>
      </c>
      <c r="G133" s="12">
        <f t="shared" si="2"/>
        <v>0.56334458795880071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Data!I134</f>
        <v>0</v>
      </c>
      <c r="F134" s="14">
        <f>Data!G134</f>
        <v>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Data!I135</f>
        <v>29253480000000</v>
      </c>
      <c r="F135" s="14">
        <f>Data!G135</f>
        <v>36751228000000</v>
      </c>
      <c r="G135" s="12">
        <f t="shared" si="2"/>
        <v>0.79598646336389089</v>
      </c>
    </row>
    <row r="136" spans="2:7" ht="15" customHeight="1" x14ac:dyDescent="0.3">
      <c r="C136" s="3"/>
      <c r="D136" s="8">
        <v>2016</v>
      </c>
      <c r="E136" s="14">
        <f>Data!I136</f>
        <v>31692909000000</v>
      </c>
      <c r="F136" s="14">
        <f>Data!G136</f>
        <v>39719030000000</v>
      </c>
      <c r="G136" s="12">
        <f t="shared" si="2"/>
        <v>0.79792756771753992</v>
      </c>
    </row>
    <row r="137" spans="2:7" ht="15" customHeight="1" x14ac:dyDescent="0.3">
      <c r="C137" s="3"/>
      <c r="D137" s="8">
        <v>2017</v>
      </c>
      <c r="E137" s="14">
        <f>Data!I137</f>
        <v>34773790000000</v>
      </c>
      <c r="F137" s="14">
        <f>Data!G137</f>
        <v>45637074000000</v>
      </c>
      <c r="G137" s="12">
        <f t="shared" si="2"/>
        <v>0.76196361756233544</v>
      </c>
    </row>
    <row r="138" spans="2:7" ht="15" customHeight="1" x14ac:dyDescent="0.3">
      <c r="C138" s="3"/>
      <c r="D138" s="8">
        <v>2018</v>
      </c>
      <c r="E138" s="14">
        <f>Data!I138</f>
        <v>34451064000000</v>
      </c>
      <c r="F138" s="14">
        <f>Data!G138</f>
        <v>45704853000000</v>
      </c>
      <c r="G138" s="12">
        <f t="shared" si="2"/>
        <v>0.75377255890091144</v>
      </c>
    </row>
    <row r="139" spans="2:7" ht="15" customHeight="1" x14ac:dyDescent="0.3">
      <c r="C139" s="3"/>
      <c r="D139" s="8">
        <v>2019</v>
      </c>
      <c r="E139" s="14">
        <f>Data!I139</f>
        <v>36916849000000</v>
      </c>
      <c r="F139" s="14">
        <f>Data!G139</f>
        <v>51009132000000</v>
      </c>
      <c r="G139" s="12">
        <f t="shared" si="2"/>
        <v>0.72373019403662853</v>
      </c>
    </row>
    <row r="140" spans="2:7" ht="15" customHeight="1" x14ac:dyDescent="0.3">
      <c r="C140" s="3"/>
      <c r="D140" s="8">
        <v>2020</v>
      </c>
      <c r="E140" s="14">
        <f>Data!I140</f>
        <v>41705262000000</v>
      </c>
      <c r="F140" s="14">
        <f>Data!G140</f>
        <v>57279397000000</v>
      </c>
      <c r="G140" s="12">
        <f t="shared" si="2"/>
        <v>0.72810232272522002</v>
      </c>
    </row>
    <row r="141" spans="2:7" ht="15" customHeight="1" x14ac:dyDescent="0.3">
      <c r="C141" s="3"/>
      <c r="D141" s="8">
        <v>2021</v>
      </c>
      <c r="E141" s="14">
        <f>Data!I141</f>
        <v>44511042000000</v>
      </c>
      <c r="F141" s="14">
        <f>Data!G141</f>
        <v>59794320000000</v>
      </c>
      <c r="G141" s="12">
        <f t="shared" si="2"/>
        <v>0.74440251181048633</v>
      </c>
    </row>
    <row r="142" spans="2:7" ht="15" customHeight="1" x14ac:dyDescent="0.3">
      <c r="C142" s="3"/>
      <c r="D142" s="8">
        <v>2022</v>
      </c>
      <c r="E142" s="14">
        <f>Data!I142</f>
        <v>44294497000000</v>
      </c>
      <c r="F142" s="14">
        <f>Data!G142</f>
        <v>59078951000000</v>
      </c>
      <c r="G142" s="12">
        <f t="shared" si="2"/>
        <v>0.74975090536052347</v>
      </c>
    </row>
    <row r="143" spans="2:7" ht="15" customHeight="1" x14ac:dyDescent="0.3">
      <c r="C143" s="3"/>
      <c r="D143" s="8">
        <v>2023</v>
      </c>
      <c r="E143" s="14">
        <f>Data!I143</f>
        <v>47176200000000</v>
      </c>
      <c r="F143" s="14">
        <f>Data!G143</f>
        <v>62274577000000</v>
      </c>
      <c r="G143" s="12">
        <f t="shared" si="2"/>
        <v>0.7575515125538308</v>
      </c>
    </row>
    <row r="144" spans="2:7" ht="15" customHeight="1" x14ac:dyDescent="0.3">
      <c r="C144" s="3"/>
      <c r="D144" s="8">
        <v>2024</v>
      </c>
      <c r="E144" s="14">
        <f>Data!I144</f>
        <v>46335611000000</v>
      </c>
      <c r="F144" s="14">
        <f>Data!G144</f>
        <v>61973362000000</v>
      </c>
      <c r="G144" s="12">
        <f t="shared" si="2"/>
        <v>0.74766979722675042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Data!I145</f>
        <v>0</v>
      </c>
      <c r="F145" s="14">
        <f>Data!G145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Data!I146</f>
        <v>0</v>
      </c>
      <c r="F146" s="14">
        <f>Data!G146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Data!I147</f>
        <v>0</v>
      </c>
      <c r="F147" s="14">
        <f>Data!G147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Data!I148</f>
        <v>0</v>
      </c>
      <c r="F148" s="14">
        <f>Data!G148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Data!I149</f>
        <v>0</v>
      </c>
      <c r="F149" s="14">
        <f>Data!G149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Data!I150</f>
        <v>0</v>
      </c>
      <c r="F150" s="14">
        <f>Data!G150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Data!I151</f>
        <v>0</v>
      </c>
      <c r="F151" s="14">
        <f>Data!G151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Data!I152</f>
        <v>0</v>
      </c>
      <c r="F152" s="14">
        <f>Data!G152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Data!I153</f>
        <v>0</v>
      </c>
      <c r="F153" s="14">
        <f>Data!G153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Data!I154</f>
        <v>0</v>
      </c>
      <c r="F154" s="14">
        <f>Data!G154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Data!I155</f>
        <v>169375000000</v>
      </c>
      <c r="F155" s="14">
        <f>Data!G155</f>
        <v>1272836000000</v>
      </c>
      <c r="G155" s="12">
        <f t="shared" si="2"/>
        <v>0.13306898924920413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Data!I156</f>
        <v>0</v>
      </c>
      <c r="F156" s="14">
        <f>Data!G156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Data!I157</f>
        <v>0</v>
      </c>
      <c r="F157" s="14">
        <f>Data!G157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Data!I158</f>
        <v>0</v>
      </c>
      <c r="F158" s="14">
        <f>Data!G158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Data!I159</f>
        <v>46880840000</v>
      </c>
      <c r="F159" s="14">
        <f>Data!G159</f>
        <v>202382380000</v>
      </c>
      <c r="G159" s="12">
        <f t="shared" si="2"/>
        <v>0.23164486947925012</v>
      </c>
    </row>
    <row r="160" spans="2:7" ht="15" customHeight="1" x14ac:dyDescent="0.3">
      <c r="C160" s="3"/>
      <c r="D160" s="8">
        <v>2018</v>
      </c>
      <c r="E160" s="14">
        <f>Data!I160</f>
        <v>80917560000</v>
      </c>
      <c r="F160" s="14">
        <f>Data!G160</f>
        <v>237879500000</v>
      </c>
      <c r="G160" s="12">
        <f t="shared" si="2"/>
        <v>0.340161972763521</v>
      </c>
    </row>
    <row r="161" spans="2:7" ht="15" customHeight="1" x14ac:dyDescent="0.3">
      <c r="C161" s="3"/>
      <c r="D161" s="8">
        <v>2019</v>
      </c>
      <c r="E161" s="14">
        <f>Data!I161</f>
        <v>91675330000</v>
      </c>
      <c r="F161" s="14">
        <f>Data!G161</f>
        <v>254091990000</v>
      </c>
      <c r="G161" s="12">
        <f t="shared" si="2"/>
        <v>0.36079582831398976</v>
      </c>
    </row>
    <row r="162" spans="2:7" ht="15" customHeight="1" x14ac:dyDescent="0.3">
      <c r="C162" s="3"/>
      <c r="D162" s="8">
        <v>2020</v>
      </c>
      <c r="E162" s="14">
        <f>Data!I162</f>
        <v>132187840000</v>
      </c>
      <c r="F162" s="14">
        <f>Data!G162</f>
        <v>297990000000</v>
      </c>
      <c r="G162" s="12">
        <f t="shared" si="2"/>
        <v>0.44359824155172994</v>
      </c>
    </row>
    <row r="163" spans="2:7" ht="15" customHeight="1" x14ac:dyDescent="0.3">
      <c r="C163" s="3"/>
      <c r="D163" s="8">
        <v>2021</v>
      </c>
      <c r="E163" s="14">
        <f>Data!I163</f>
        <v>196304730000</v>
      </c>
      <c r="F163" s="14">
        <f>Data!G163</f>
        <v>374138510000</v>
      </c>
      <c r="G163" s="12">
        <f t="shared" si="2"/>
        <v>0.52468464152487271</v>
      </c>
    </row>
    <row r="164" spans="2:7" ht="15" customHeight="1" x14ac:dyDescent="0.3">
      <c r="C164" s="3"/>
      <c r="D164" s="8">
        <v>2022</v>
      </c>
      <c r="E164" s="14">
        <f>Data!I164</f>
        <v>244381780000</v>
      </c>
      <c r="F164" s="14">
        <f>Data!G164</f>
        <v>431376860000</v>
      </c>
      <c r="G164" s="12">
        <f t="shared" si="2"/>
        <v>0.56651573753863382</v>
      </c>
    </row>
    <row r="165" spans="2:7" ht="15" customHeight="1" x14ac:dyDescent="0.3">
      <c r="C165" s="3"/>
      <c r="D165" s="8">
        <v>2023</v>
      </c>
      <c r="E165" s="14">
        <f>Data!I165</f>
        <v>315087260000</v>
      </c>
      <c r="F165" s="14">
        <f>Data!G165</f>
        <v>507970770000</v>
      </c>
      <c r="G165" s="12">
        <f t="shared" si="2"/>
        <v>0.62028620268839485</v>
      </c>
    </row>
    <row r="166" spans="2:7" ht="15" customHeight="1" x14ac:dyDescent="0.3">
      <c r="C166" s="3"/>
      <c r="D166" s="8">
        <v>2024</v>
      </c>
      <c r="E166" s="14">
        <f>Data!I166</f>
        <v>329716810000</v>
      </c>
      <c r="F166" s="14">
        <f>Data!G166</f>
        <v>516246820000</v>
      </c>
      <c r="G166" s="12">
        <f t="shared" si="2"/>
        <v>0.63868056368850856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Data!I167</f>
        <v>0</v>
      </c>
      <c r="F167" s="14">
        <f>Data!G167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Data!I168</f>
        <v>227086410000</v>
      </c>
      <c r="F168" s="14">
        <f>Data!G168</f>
        <v>362414130000</v>
      </c>
      <c r="G168" s="12">
        <f t="shared" si="2"/>
        <v>0.62659369820928335</v>
      </c>
    </row>
    <row r="169" spans="2:7" ht="15" customHeight="1" x14ac:dyDescent="0.3">
      <c r="C169" s="3"/>
      <c r="D169" s="8">
        <v>2016</v>
      </c>
      <c r="E169" s="14">
        <f>Data!I169</f>
        <v>279549570000</v>
      </c>
      <c r="F169" s="14">
        <f>Data!G169</f>
        <v>436068360000</v>
      </c>
      <c r="G169" s="12">
        <f t="shared" si="2"/>
        <v>0.64106822609189074</v>
      </c>
    </row>
    <row r="170" spans="2:7" ht="15" customHeight="1" x14ac:dyDescent="0.3">
      <c r="C170" s="3"/>
      <c r="D170" s="8">
        <v>2017</v>
      </c>
      <c r="E170" s="14">
        <f>Data!I170</f>
        <v>571241150000</v>
      </c>
      <c r="F170" s="14">
        <f>Data!G170</f>
        <v>754337470000</v>
      </c>
      <c r="G170" s="12">
        <f t="shared" si="2"/>
        <v>0.75727532134920994</v>
      </c>
    </row>
    <row r="171" spans="2:7" ht="15" customHeight="1" x14ac:dyDescent="0.3">
      <c r="C171" s="3"/>
      <c r="D171" s="8">
        <v>2018</v>
      </c>
      <c r="E171" s="14">
        <f>Data!I171</f>
        <v>725535110000</v>
      </c>
      <c r="F171" s="14">
        <f>Data!G171</f>
        <v>831082530000</v>
      </c>
      <c r="G171" s="12">
        <f t="shared" si="2"/>
        <v>0.87300007377125355</v>
      </c>
    </row>
    <row r="172" spans="2:7" ht="15" customHeight="1" x14ac:dyDescent="0.3">
      <c r="C172" s="3"/>
      <c r="D172" s="8">
        <v>2019</v>
      </c>
      <c r="E172" s="14">
        <f>Data!I172</f>
        <v>646463100000</v>
      </c>
      <c r="F172" s="14">
        <f>Data!G172</f>
        <v>805109390000</v>
      </c>
      <c r="G172" s="12">
        <f t="shared" si="2"/>
        <v>0.80295064003662908</v>
      </c>
    </row>
    <row r="173" spans="2:7" ht="15" customHeight="1" x14ac:dyDescent="0.3">
      <c r="C173" s="3"/>
      <c r="D173" s="8">
        <v>2020</v>
      </c>
      <c r="E173" s="14">
        <f>Data!I173</f>
        <v>795726500000</v>
      </c>
      <c r="F173" s="14">
        <f>Data!G173</f>
        <v>972655010000</v>
      </c>
      <c r="G173" s="12">
        <f t="shared" si="2"/>
        <v>0.81809736424428636</v>
      </c>
    </row>
    <row r="174" spans="2:7" ht="15" customHeight="1" x14ac:dyDescent="0.3">
      <c r="C174" s="3"/>
      <c r="D174" s="8">
        <v>2021</v>
      </c>
      <c r="E174" s="14">
        <f>Data!I174</f>
        <v>1002818320000</v>
      </c>
      <c r="F174" s="14">
        <f>Data!G174</f>
        <v>1191013470000</v>
      </c>
      <c r="G174" s="12">
        <f t="shared" si="2"/>
        <v>0.84198738743063917</v>
      </c>
    </row>
    <row r="175" spans="2:7" ht="15" customHeight="1" x14ac:dyDescent="0.3">
      <c r="C175" s="3"/>
      <c r="D175" s="8">
        <v>2022</v>
      </c>
      <c r="E175" s="14">
        <f>Data!I175</f>
        <v>759786880000</v>
      </c>
      <c r="F175" s="14">
        <f>Data!G175</f>
        <v>979771550000</v>
      </c>
      <c r="G175" s="12">
        <f t="shared" si="2"/>
        <v>0.77547350706396811</v>
      </c>
    </row>
    <row r="176" spans="2:7" ht="15" customHeight="1" x14ac:dyDescent="0.3">
      <c r="C176" s="3"/>
      <c r="D176" s="8">
        <v>2023</v>
      </c>
      <c r="E176" s="14">
        <f>Data!I176</f>
        <v>827919660000</v>
      </c>
      <c r="F176" s="14">
        <f>Data!G176</f>
        <v>1073555960000</v>
      </c>
      <c r="G176" s="12">
        <f t="shared" si="2"/>
        <v>0.77119376245650018</v>
      </c>
    </row>
    <row r="177" spans="2:7" ht="15" customHeight="1" x14ac:dyDescent="0.3">
      <c r="C177" s="3"/>
      <c r="D177" s="8">
        <v>2024</v>
      </c>
      <c r="E177" s="14">
        <f>Data!I177</f>
        <v>803194520000</v>
      </c>
      <c r="F177" s="14">
        <f>Data!G177</f>
        <v>1026468020000</v>
      </c>
      <c r="G177" s="12">
        <f t="shared" si="2"/>
        <v>0.78248372511400799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Data!I178</f>
        <v>0</v>
      </c>
      <c r="F178" s="14">
        <f>Data!G178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Data!I179</f>
        <v>0</v>
      </c>
      <c r="F179" s="14">
        <f>Data!G179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Data!I180</f>
        <v>0</v>
      </c>
      <c r="F180" s="14">
        <f>Data!G180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Data!I181</f>
        <v>0</v>
      </c>
      <c r="F181" s="14">
        <f>Data!G181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Data!I182</f>
        <v>0</v>
      </c>
      <c r="F182" s="14">
        <f>Data!G182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Data!I183</f>
        <v>27079000000</v>
      </c>
      <c r="F183" s="14">
        <f>Data!G183</f>
        <v>90345000000</v>
      </c>
      <c r="G183" s="12">
        <f t="shared" si="2"/>
        <v>0.29972881731141732</v>
      </c>
    </row>
    <row r="184" spans="2:7" ht="15" customHeight="1" x14ac:dyDescent="0.3">
      <c r="C184" s="3"/>
      <c r="D184" s="8">
        <v>2020</v>
      </c>
      <c r="E184" s="14">
        <f>Data!I184</f>
        <v>124000000</v>
      </c>
      <c r="F184" s="14">
        <f>Data!G184</f>
        <v>68529000000</v>
      </c>
      <c r="G184" s="12">
        <f t="shared" si="2"/>
        <v>1.8094529323352158E-3</v>
      </c>
    </row>
    <row r="185" spans="2:7" ht="15" customHeight="1" x14ac:dyDescent="0.3">
      <c r="C185" s="3"/>
      <c r="D185" s="8">
        <v>2021</v>
      </c>
      <c r="E185" s="14">
        <f>Data!I185</f>
        <v>3278000000</v>
      </c>
      <c r="F185" s="14">
        <f>Data!G185</f>
        <v>119565000000</v>
      </c>
      <c r="G185" s="12">
        <f t="shared" si="2"/>
        <v>2.7416049847363358E-2</v>
      </c>
    </row>
    <row r="186" spans="2:7" ht="15" customHeight="1" x14ac:dyDescent="0.3">
      <c r="C186" s="3"/>
      <c r="D186" s="8">
        <v>2022</v>
      </c>
      <c r="E186" s="14">
        <f>Data!I186</f>
        <v>31523000000</v>
      </c>
      <c r="F186" s="14">
        <f>Data!G186</f>
        <v>144258000000</v>
      </c>
      <c r="G186" s="12">
        <f t="shared" si="2"/>
        <v>0.21851821042853775</v>
      </c>
    </row>
    <row r="187" spans="2:7" ht="15" customHeight="1" x14ac:dyDescent="0.3">
      <c r="C187" s="3"/>
      <c r="D187" s="8">
        <v>2023</v>
      </c>
      <c r="E187" s="14">
        <f>Data!I187</f>
        <v>98464000000</v>
      </c>
      <c r="F187" s="14">
        <f>Data!G187</f>
        <v>266213000000</v>
      </c>
      <c r="G187" s="12">
        <f t="shared" si="2"/>
        <v>0.3698692400446259</v>
      </c>
    </row>
    <row r="188" spans="2:7" ht="15" customHeight="1" x14ac:dyDescent="0.3">
      <c r="C188" s="3"/>
      <c r="D188" s="8">
        <v>2024</v>
      </c>
      <c r="E188" s="14">
        <f>Data!I188</f>
        <v>156649000000</v>
      </c>
      <c r="F188" s="14">
        <f>Data!G188</f>
        <v>394077000000</v>
      </c>
      <c r="G188" s="12">
        <f t="shared" si="2"/>
        <v>0.39750860872367583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Data!I189</f>
        <v>0</v>
      </c>
      <c r="F189" s="14">
        <f>Data!G189</f>
        <v>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Data!I190</f>
        <v>223987000000</v>
      </c>
      <c r="F190" s="14">
        <f>Data!G190</f>
        <v>461158000000</v>
      </c>
      <c r="G190" s="12">
        <f t="shared" si="2"/>
        <v>0.48570554994166859</v>
      </c>
    </row>
    <row r="191" spans="2:7" ht="15" customHeight="1" x14ac:dyDescent="0.3">
      <c r="C191" s="3"/>
      <c r="D191" s="8">
        <v>2016</v>
      </c>
      <c r="E191" s="14">
        <f>Data!I191</f>
        <v>244449000000</v>
      </c>
      <c r="F191" s="14">
        <f>Data!G191</f>
        <v>484771000000</v>
      </c>
      <c r="G191" s="12">
        <f t="shared" si="2"/>
        <v>0.50425664901572087</v>
      </c>
    </row>
    <row r="192" spans="2:7" ht="15" customHeight="1" x14ac:dyDescent="0.3">
      <c r="C192" s="3"/>
      <c r="D192" s="8">
        <v>2017</v>
      </c>
      <c r="E192" s="14">
        <f>Data!I192</f>
        <v>255000000000</v>
      </c>
      <c r="F192" s="14">
        <f>Data!G192</f>
        <v>519654000000</v>
      </c>
      <c r="G192" s="12">
        <f t="shared" si="2"/>
        <v>0.49071112701913194</v>
      </c>
    </row>
    <row r="193" spans="2:7" ht="15" customHeight="1" x14ac:dyDescent="0.3">
      <c r="C193" s="3"/>
      <c r="D193" s="8">
        <v>2018</v>
      </c>
      <c r="E193" s="14">
        <f>Data!I193</f>
        <v>251007000000</v>
      </c>
      <c r="F193" s="14">
        <f>Data!G193</f>
        <v>490309000000</v>
      </c>
      <c r="G193" s="12">
        <f t="shared" si="2"/>
        <v>0.51193635034233509</v>
      </c>
    </row>
    <row r="194" spans="2:7" ht="15" customHeight="1" x14ac:dyDescent="0.3">
      <c r="C194" s="3"/>
      <c r="D194" s="8">
        <v>2019</v>
      </c>
      <c r="E194" s="14">
        <f>Data!I194</f>
        <v>259193000000</v>
      </c>
      <c r="F194" s="14">
        <f>Data!G194</f>
        <v>504039000000</v>
      </c>
      <c r="G194" s="12">
        <f t="shared" si="2"/>
        <v>0.51423203363231818</v>
      </c>
    </row>
    <row r="195" spans="2:7" ht="15" customHeight="1" x14ac:dyDescent="0.3">
      <c r="C195" s="3"/>
      <c r="D195" s="8">
        <v>2020</v>
      </c>
      <c r="E195" s="14">
        <f>Data!I195</f>
        <v>272457000000</v>
      </c>
      <c r="F195" s="14">
        <f>Data!G195</f>
        <v>499976000000</v>
      </c>
      <c r="G195" s="12">
        <f t="shared" ref="G195:G258" si="3">IFERROR(E195/F195,0)</f>
        <v>0.54494015712754207</v>
      </c>
    </row>
    <row r="196" spans="2:7" ht="15" customHeight="1" x14ac:dyDescent="0.3">
      <c r="C196" s="3"/>
      <c r="D196" s="8">
        <v>2021</v>
      </c>
      <c r="E196" s="14">
        <f>Data!I196</f>
        <v>293295000000</v>
      </c>
      <c r="F196" s="14">
        <f>Data!G196</f>
        <v>508600000000</v>
      </c>
      <c r="G196" s="12">
        <f t="shared" si="3"/>
        <v>0.57667125442390876</v>
      </c>
    </row>
    <row r="197" spans="2:7" ht="15" customHeight="1" x14ac:dyDescent="0.3">
      <c r="C197" s="3"/>
      <c r="D197" s="8">
        <v>2022</v>
      </c>
      <c r="E197" s="14">
        <f>Data!I197</f>
        <v>295580000000</v>
      </c>
      <c r="F197" s="14">
        <f>Data!G197</f>
        <v>491148000000</v>
      </c>
      <c r="G197" s="12">
        <f t="shared" si="3"/>
        <v>0.60181452433889582</v>
      </c>
    </row>
    <row r="198" spans="2:7" ht="15" customHeight="1" x14ac:dyDescent="0.3">
      <c r="C198" s="3"/>
      <c r="D198" s="8">
        <v>2023</v>
      </c>
      <c r="E198" s="14">
        <f>Data!I198</f>
        <v>337729000000</v>
      </c>
      <c r="F198" s="14">
        <f>Data!G198</f>
        <v>510045000000</v>
      </c>
      <c r="G198" s="12">
        <f t="shared" si="3"/>
        <v>0.66215530002254708</v>
      </c>
    </row>
    <row r="199" spans="2:7" ht="15" customHeight="1" x14ac:dyDescent="0.3">
      <c r="C199" s="3"/>
      <c r="D199" s="8">
        <v>2024</v>
      </c>
      <c r="E199" s="14">
        <f>Data!I199</f>
        <v>345674000000</v>
      </c>
      <c r="F199" s="14">
        <f>Data!G199</f>
        <v>488793000000</v>
      </c>
      <c r="G199" s="12">
        <f t="shared" si="3"/>
        <v>0.70719916201745936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Data!I200</f>
        <v>0</v>
      </c>
      <c r="F200" s="14">
        <f>Data!G200</f>
        <v>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Data!I201</f>
        <v>9772141000000</v>
      </c>
      <c r="F201" s="14">
        <f>Data!G201</f>
        <v>15369953000000</v>
      </c>
      <c r="G201" s="12">
        <f t="shared" si="3"/>
        <v>0.63579511271114497</v>
      </c>
    </row>
    <row r="202" spans="2:7" ht="15" customHeight="1" x14ac:dyDescent="0.3">
      <c r="C202" s="3"/>
      <c r="D202" s="8">
        <v>2016</v>
      </c>
      <c r="E202" s="14">
        <f>Data!I202</f>
        <v>10745675000000</v>
      </c>
      <c r="F202" s="14">
        <f>Data!G202</f>
        <v>16520666000000</v>
      </c>
      <c r="G202" s="12">
        <f t="shared" si="3"/>
        <v>0.65043836610461103</v>
      </c>
    </row>
    <row r="203" spans="2:7" ht="15" customHeight="1" x14ac:dyDescent="0.3">
      <c r="C203" s="3"/>
      <c r="D203" s="8">
        <v>2017</v>
      </c>
      <c r="E203" s="14">
        <f>Data!I203</f>
        <v>12338338000000</v>
      </c>
      <c r="F203" s="14">
        <f>Data!G203</f>
        <v>18732840000000</v>
      </c>
      <c r="G203" s="12">
        <f t="shared" si="3"/>
        <v>0.658647487513906</v>
      </c>
    </row>
    <row r="204" spans="2:7" ht="15" customHeight="1" x14ac:dyDescent="0.3">
      <c r="C204" s="3"/>
      <c r="D204" s="8">
        <v>2018</v>
      </c>
      <c r="E204" s="14">
        <f>Data!I204</f>
        <v>12047911000000</v>
      </c>
      <c r="F204" s="14">
        <f>Data!G204</f>
        <v>18420333000000</v>
      </c>
      <c r="G204" s="12">
        <f t="shared" si="3"/>
        <v>0.65405500541168282</v>
      </c>
    </row>
    <row r="205" spans="2:7" ht="15" customHeight="1" x14ac:dyDescent="0.3">
      <c r="C205" s="3"/>
      <c r="D205" s="8">
        <v>2019</v>
      </c>
      <c r="E205" s="14">
        <f>Data!I205</f>
        <v>12318384000000</v>
      </c>
      <c r="F205" s="14">
        <f>Data!G205</f>
        <v>18871652000000</v>
      </c>
      <c r="G205" s="12">
        <f t="shared" si="3"/>
        <v>0.65274539823010724</v>
      </c>
    </row>
    <row r="206" spans="2:7" ht="15" customHeight="1" x14ac:dyDescent="0.3">
      <c r="C206" s="3"/>
      <c r="D206" s="8">
        <v>2020</v>
      </c>
      <c r="E206" s="14">
        <f>Data!I206</f>
        <v>12528881000000</v>
      </c>
      <c r="F206" s="14">
        <f>Data!G206</f>
        <v>19996724000000</v>
      </c>
      <c r="G206" s="12">
        <f t="shared" si="3"/>
        <v>0.62654667834591304</v>
      </c>
    </row>
    <row r="207" spans="2:7" ht="15" customHeight="1" x14ac:dyDescent="0.3">
      <c r="C207" s="3"/>
      <c r="D207" s="8">
        <v>2021</v>
      </c>
      <c r="E207" s="14">
        <f>Data!I207</f>
        <v>12351087000000</v>
      </c>
      <c r="F207" s="14">
        <f>Data!G207</f>
        <v>19215974000000</v>
      </c>
      <c r="G207" s="12">
        <f t="shared" si="3"/>
        <v>0.64275102578719145</v>
      </c>
    </row>
    <row r="208" spans="2:7" ht="15" customHeight="1" x14ac:dyDescent="0.3">
      <c r="C208" s="3"/>
      <c r="D208" s="8">
        <v>2022</v>
      </c>
      <c r="E208" s="14">
        <f>Data!I208</f>
        <v>12000719000000</v>
      </c>
      <c r="F208" s="14">
        <f>Data!G208</f>
        <v>19085714000000</v>
      </c>
      <c r="G208" s="12">
        <f t="shared" si="3"/>
        <v>0.62878019653862571</v>
      </c>
    </row>
    <row r="209" spans="2:7" ht="15" customHeight="1" x14ac:dyDescent="0.3">
      <c r="C209" s="3"/>
      <c r="D209" s="8">
        <v>2023</v>
      </c>
      <c r="E209" s="14">
        <f>Data!I209</f>
        <v>12106761000000</v>
      </c>
      <c r="F209" s="14">
        <f>Data!G209</f>
        <v>19037633000000</v>
      </c>
      <c r="G209" s="12">
        <f t="shared" si="3"/>
        <v>0.63593835431116885</v>
      </c>
    </row>
    <row r="210" spans="2:7" ht="15" customHeight="1" x14ac:dyDescent="0.3">
      <c r="C210" s="3"/>
      <c r="D210" s="8">
        <v>2024</v>
      </c>
      <c r="E210" s="14">
        <f>Data!I210</f>
        <v>11794087000000</v>
      </c>
      <c r="F210" s="14">
        <f>Data!G210</f>
        <v>19145925000000</v>
      </c>
      <c r="G210" s="12">
        <f t="shared" si="3"/>
        <v>0.61601029984187239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Data!I211</f>
        <v>0</v>
      </c>
      <c r="F211" s="14">
        <f>Data!G211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Data!I212</f>
        <v>0</v>
      </c>
      <c r="F212" s="14">
        <f>Data!G212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Data!I213</f>
        <v>0</v>
      </c>
      <c r="F213" s="14">
        <f>Data!G213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Data!I214</f>
        <v>124491000000</v>
      </c>
      <c r="F214" s="14">
        <f>Data!G214</f>
        <v>112089000000</v>
      </c>
      <c r="G214" s="12">
        <f t="shared" si="3"/>
        <v>1.1106442202178626</v>
      </c>
    </row>
    <row r="215" spans="2:7" ht="15" customHeight="1" x14ac:dyDescent="0.3">
      <c r="C215" s="3"/>
      <c r="D215" s="8">
        <v>2018</v>
      </c>
      <c r="E215" s="14">
        <f>Data!I215</f>
        <v>103855000000</v>
      </c>
      <c r="F215" s="14">
        <f>Data!G215</f>
        <v>211218000000</v>
      </c>
      <c r="G215" s="12">
        <f t="shared" si="3"/>
        <v>0.4916957835032999</v>
      </c>
    </row>
    <row r="216" spans="2:7" ht="15" customHeight="1" x14ac:dyDescent="0.3">
      <c r="C216" s="3"/>
      <c r="D216" s="8">
        <v>2019</v>
      </c>
      <c r="E216" s="14">
        <f>Data!I216</f>
        <v>2422720000000</v>
      </c>
      <c r="F216" s="14">
        <f>Data!G216</f>
        <v>2554055000000</v>
      </c>
      <c r="G216" s="12">
        <f t="shared" si="3"/>
        <v>0.94857784973307158</v>
      </c>
    </row>
    <row r="217" spans="2:7" ht="15" customHeight="1" x14ac:dyDescent="0.3">
      <c r="C217" s="3"/>
      <c r="D217" s="8">
        <v>2020</v>
      </c>
      <c r="E217" s="14">
        <f>Data!I217</f>
        <v>2222727000000</v>
      </c>
      <c r="F217" s="14">
        <f>Data!G217</f>
        <v>2377806000000</v>
      </c>
      <c r="G217" s="12">
        <f t="shared" si="3"/>
        <v>0.9347806339121022</v>
      </c>
    </row>
    <row r="218" spans="2:7" ht="15" customHeight="1" x14ac:dyDescent="0.3">
      <c r="C218" s="3"/>
      <c r="D218" s="8">
        <v>2021</v>
      </c>
      <c r="E218" s="14">
        <f>Data!I218</f>
        <v>3282858000000</v>
      </c>
      <c r="F218" s="14">
        <f>Data!G218</f>
        <v>3481452000000</v>
      </c>
      <c r="G218" s="12">
        <f t="shared" si="3"/>
        <v>0.94295655950448265</v>
      </c>
    </row>
    <row r="219" spans="2:7" ht="15" customHeight="1" x14ac:dyDescent="0.3">
      <c r="C219" s="3"/>
      <c r="D219" s="8">
        <v>2022</v>
      </c>
      <c r="E219" s="14">
        <f>Data!I219</f>
        <v>4625569000000</v>
      </c>
      <c r="F219" s="14">
        <f>Data!G219</f>
        <v>4940936000000</v>
      </c>
      <c r="G219" s="12">
        <f t="shared" si="3"/>
        <v>0.93617261992464584</v>
      </c>
    </row>
    <row r="220" spans="2:7" ht="15" customHeight="1" x14ac:dyDescent="0.3">
      <c r="C220" s="3"/>
      <c r="D220" s="8">
        <v>2023</v>
      </c>
      <c r="E220" s="14">
        <f>Data!I220</f>
        <v>4179795000000</v>
      </c>
      <c r="F220" s="14">
        <f>Data!G220</f>
        <v>4445677000000</v>
      </c>
      <c r="G220" s="12">
        <f t="shared" si="3"/>
        <v>0.94019313593857579</v>
      </c>
    </row>
    <row r="221" spans="2:7" ht="15" customHeight="1" x14ac:dyDescent="0.3">
      <c r="C221" s="3"/>
      <c r="D221" s="8">
        <v>2024</v>
      </c>
      <c r="E221" s="14">
        <f>Data!I221</f>
        <v>5020831000000</v>
      </c>
      <c r="F221" s="14">
        <f>Data!G221</f>
        <v>5304605000000</v>
      </c>
      <c r="G221" s="12">
        <f t="shared" si="3"/>
        <v>0.94650421661933359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Data!I222</f>
        <v>0</v>
      </c>
      <c r="F222" s="14">
        <f>Data!G222</f>
        <v>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Data!I223</f>
        <v>262357000000</v>
      </c>
      <c r="F223" s="14">
        <f>Data!G223</f>
        <v>488002000000</v>
      </c>
      <c r="G223" s="12">
        <f t="shared" si="3"/>
        <v>0.53761459994016414</v>
      </c>
    </row>
    <row r="224" spans="2:7" ht="15" customHeight="1" x14ac:dyDescent="0.3">
      <c r="C224" s="4"/>
      <c r="D224" s="8">
        <v>2016</v>
      </c>
      <c r="E224" s="14">
        <f>Data!I224</f>
        <v>154809000000</v>
      </c>
      <c r="F224" s="14">
        <f>Data!G224</f>
        <v>432956000000</v>
      </c>
      <c r="G224" s="12">
        <f t="shared" si="3"/>
        <v>0.35756289322702539</v>
      </c>
    </row>
    <row r="225" spans="2:7" ht="15" customHeight="1" x14ac:dyDescent="0.3">
      <c r="C225" s="4"/>
      <c r="D225" s="8">
        <v>2017</v>
      </c>
      <c r="E225" s="14">
        <f>Data!I225</f>
        <v>437500000000</v>
      </c>
      <c r="F225" s="14">
        <f>Data!G225</f>
        <v>736721000000</v>
      </c>
      <c r="G225" s="12">
        <f t="shared" si="3"/>
        <v>0.59384760309533735</v>
      </c>
    </row>
    <row r="226" spans="2:7" ht="15" customHeight="1" x14ac:dyDescent="0.3">
      <c r="C226" s="4"/>
      <c r="D226" s="8">
        <v>2018</v>
      </c>
      <c r="E226" s="14">
        <f>Data!I226</f>
        <v>361514000000</v>
      </c>
      <c r="F226" s="14">
        <f>Data!G226</f>
        <v>623688000000</v>
      </c>
      <c r="G226" s="12">
        <f t="shared" si="3"/>
        <v>0.57963917856364078</v>
      </c>
    </row>
    <row r="227" spans="2:7" ht="15" customHeight="1" x14ac:dyDescent="0.3">
      <c r="C227" s="4"/>
      <c r="D227" s="8">
        <v>2019</v>
      </c>
      <c r="E227" s="14">
        <f>Data!I227</f>
        <v>807862000000</v>
      </c>
      <c r="F227" s="14">
        <f>Data!G227</f>
        <v>1041986000000</v>
      </c>
      <c r="G227" s="12">
        <f t="shared" si="3"/>
        <v>0.77530984101513845</v>
      </c>
    </row>
    <row r="228" spans="2:7" ht="15" customHeight="1" x14ac:dyDescent="0.3">
      <c r="C228" s="4"/>
      <c r="D228" s="8">
        <v>2020</v>
      </c>
      <c r="E228" s="14">
        <f>Data!I228</f>
        <v>999145000000</v>
      </c>
      <c r="F228" s="14">
        <f>Data!G228</f>
        <v>1243173000000</v>
      </c>
      <c r="G228" s="12">
        <f t="shared" si="3"/>
        <v>0.80370551805742241</v>
      </c>
    </row>
    <row r="229" spans="2:7" ht="15" customHeight="1" x14ac:dyDescent="0.3">
      <c r="C229" s="4"/>
      <c r="D229" s="8">
        <v>2021</v>
      </c>
      <c r="E229" s="14">
        <f>Data!I229</f>
        <v>1176597000000</v>
      </c>
      <c r="F229" s="14">
        <f>Data!G229</f>
        <v>1459438000000</v>
      </c>
      <c r="G229" s="12">
        <f t="shared" si="3"/>
        <v>0.80619868743995982</v>
      </c>
    </row>
    <row r="230" spans="2:7" ht="15" customHeight="1" x14ac:dyDescent="0.3">
      <c r="C230" s="4"/>
      <c r="D230" s="8">
        <v>2022</v>
      </c>
      <c r="E230" s="14">
        <f>Data!I230</f>
        <v>1413687000000</v>
      </c>
      <c r="F230" s="14">
        <f>Data!G230</f>
        <v>1767079000000</v>
      </c>
      <c r="G230" s="12">
        <f t="shared" si="3"/>
        <v>0.80001346855460342</v>
      </c>
    </row>
    <row r="231" spans="2:7" ht="15" customHeight="1" x14ac:dyDescent="0.3">
      <c r="C231" s="4"/>
      <c r="D231" s="8">
        <v>2023</v>
      </c>
      <c r="E231" s="14">
        <f>Data!I231</f>
        <v>1915614000000</v>
      </c>
      <c r="F231" s="14">
        <f>Data!G231</f>
        <v>2331849000000</v>
      </c>
      <c r="G231" s="12">
        <f t="shared" si="3"/>
        <v>0.82150001994125688</v>
      </c>
    </row>
    <row r="232" spans="2:7" ht="15" customHeight="1" x14ac:dyDescent="0.3">
      <c r="C232" s="4"/>
      <c r="D232" s="8">
        <v>2024</v>
      </c>
      <c r="E232" s="14">
        <f>Data!I232</f>
        <v>2493572000000</v>
      </c>
      <c r="F232" s="14">
        <f>Data!G232</f>
        <v>2985382000000</v>
      </c>
      <c r="G232" s="12">
        <f t="shared" si="3"/>
        <v>0.83526061321465728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Data!I233</f>
        <v>0</v>
      </c>
      <c r="F233" s="14">
        <f>Data!G233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Data!I234</f>
        <v>0</v>
      </c>
      <c r="F234" s="14">
        <f>Data!G234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Data!I235</f>
        <v>425000000</v>
      </c>
      <c r="F235" s="14">
        <f>Data!G235</f>
        <v>96470000000</v>
      </c>
      <c r="G235" s="12">
        <f t="shared" si="3"/>
        <v>4.4055146677723644E-3</v>
      </c>
    </row>
    <row r="236" spans="2:7" ht="15" customHeight="1" x14ac:dyDescent="0.3">
      <c r="C236" s="4"/>
      <c r="D236" s="8">
        <v>2017</v>
      </c>
      <c r="E236" s="14">
        <f>Data!I236</f>
        <v>129031000000</v>
      </c>
      <c r="F236" s="14">
        <f>Data!G236</f>
        <v>956998000000</v>
      </c>
      <c r="G236" s="12">
        <f t="shared" si="3"/>
        <v>0.13482891291308863</v>
      </c>
    </row>
    <row r="237" spans="2:7" ht="15" customHeight="1" x14ac:dyDescent="0.3">
      <c r="C237" s="4"/>
      <c r="D237" s="8">
        <v>2018</v>
      </c>
      <c r="E237" s="14">
        <f>Data!I237</f>
        <v>120783000000</v>
      </c>
      <c r="F237" s="14">
        <f>Data!G237</f>
        <v>891253000000</v>
      </c>
      <c r="G237" s="12">
        <f t="shared" si="3"/>
        <v>0.1355204414459194</v>
      </c>
    </row>
    <row r="238" spans="2:7" ht="15" customHeight="1" x14ac:dyDescent="0.3">
      <c r="C238" s="4"/>
      <c r="D238" s="8">
        <v>2019</v>
      </c>
      <c r="E238" s="14">
        <f>Data!I238</f>
        <v>128719000000</v>
      </c>
      <c r="F238" s="14">
        <f>Data!G238</f>
        <v>782742000000</v>
      </c>
      <c r="G238" s="12">
        <f t="shared" si="3"/>
        <v>0.16444626709694893</v>
      </c>
    </row>
    <row r="239" spans="2:7" ht="15" customHeight="1" x14ac:dyDescent="0.3">
      <c r="C239" s="4"/>
      <c r="D239" s="8">
        <v>2020</v>
      </c>
      <c r="E239" s="14">
        <f>Data!I239</f>
        <v>124000000000</v>
      </c>
      <c r="F239" s="14">
        <f>Data!G239</f>
        <v>661899000000</v>
      </c>
      <c r="G239" s="12">
        <f t="shared" si="3"/>
        <v>0.18733976029575508</v>
      </c>
    </row>
    <row r="240" spans="2:7" ht="15" customHeight="1" x14ac:dyDescent="0.3">
      <c r="C240" s="4"/>
      <c r="D240" s="8">
        <v>2021</v>
      </c>
      <c r="E240" s="14">
        <f>Data!I240</f>
        <v>158453000000</v>
      </c>
      <c r="F240" s="14">
        <f>Data!G240</f>
        <v>561340000000</v>
      </c>
      <c r="G240" s="12">
        <f t="shared" si="3"/>
        <v>0.28227633876082231</v>
      </c>
    </row>
    <row r="241" spans="2:7" ht="15" customHeight="1" x14ac:dyDescent="0.3">
      <c r="C241" s="4"/>
      <c r="D241" s="8">
        <v>2022</v>
      </c>
      <c r="E241" s="14">
        <f>Data!I241</f>
        <v>192767000000</v>
      </c>
      <c r="F241" s="14">
        <f>Data!G241</f>
        <v>471233000000</v>
      </c>
      <c r="G241" s="12">
        <f t="shared" si="3"/>
        <v>0.40906939878998289</v>
      </c>
    </row>
    <row r="242" spans="2:7" ht="15" customHeight="1" x14ac:dyDescent="0.3">
      <c r="C242" s="4"/>
      <c r="D242" s="8">
        <v>2023</v>
      </c>
      <c r="E242" s="14">
        <f>Data!I242</f>
        <v>189955000000</v>
      </c>
      <c r="F242" s="14">
        <f>Data!G242</f>
        <v>387763000000</v>
      </c>
      <c r="G242" s="12">
        <f t="shared" si="3"/>
        <v>0.4898739694091494</v>
      </c>
    </row>
    <row r="243" spans="2:7" ht="15" customHeight="1" x14ac:dyDescent="0.3">
      <c r="C243" s="4"/>
      <c r="D243" s="8">
        <v>2024</v>
      </c>
      <c r="E243" s="14">
        <f>Data!I243</f>
        <v>77888000000</v>
      </c>
      <c r="F243" s="14">
        <f>Data!G243</f>
        <v>350722000000</v>
      </c>
      <c r="G243" s="12">
        <f t="shared" si="3"/>
        <v>0.2220790255530021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Data!I244</f>
        <v>0</v>
      </c>
      <c r="F244" s="14">
        <f>Data!G244</f>
        <v>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Data!I245</f>
        <v>2925000000</v>
      </c>
      <c r="F245" s="14">
        <f>Data!G245</f>
        <v>66654000000</v>
      </c>
      <c r="G245" s="12">
        <f t="shared" si="3"/>
        <v>4.3883337834188497E-2</v>
      </c>
    </row>
    <row r="246" spans="2:7" ht="15" customHeight="1" x14ac:dyDescent="0.3">
      <c r="C246" s="4"/>
      <c r="D246" s="8">
        <v>2016</v>
      </c>
      <c r="E246" s="14">
        <f>Data!I246</f>
        <v>4202000000</v>
      </c>
      <c r="F246" s="14">
        <f>Data!G246</f>
        <v>68251000000</v>
      </c>
      <c r="G246" s="12">
        <f t="shared" si="3"/>
        <v>6.1566863489179648E-2</v>
      </c>
    </row>
    <row r="247" spans="2:7" ht="15" customHeight="1" x14ac:dyDescent="0.3">
      <c r="C247" s="4"/>
      <c r="D247" s="8">
        <v>2017</v>
      </c>
      <c r="E247" s="14">
        <f>Data!I247</f>
        <v>51252000000</v>
      </c>
      <c r="F247" s="14">
        <f>Data!G247</f>
        <v>166267000000</v>
      </c>
      <c r="G247" s="12">
        <f t="shared" si="3"/>
        <v>0.30825118634485499</v>
      </c>
    </row>
    <row r="248" spans="2:7" ht="15" customHeight="1" x14ac:dyDescent="0.3">
      <c r="C248" s="4"/>
      <c r="D248" s="8">
        <v>2018</v>
      </c>
      <c r="E248" s="14">
        <f>Data!I248</f>
        <v>64754000000</v>
      </c>
      <c r="F248" s="14">
        <f>Data!G248</f>
        <v>179015000000</v>
      </c>
      <c r="G248" s="12">
        <f t="shared" si="3"/>
        <v>0.3617238778873279</v>
      </c>
    </row>
    <row r="249" spans="2:7" ht="15" customHeight="1" x14ac:dyDescent="0.3">
      <c r="C249" s="4"/>
      <c r="D249" s="8">
        <v>2019</v>
      </c>
      <c r="E249" s="14">
        <f>Data!I249</f>
        <v>97502000000</v>
      </c>
      <c r="F249" s="14">
        <f>Data!G249</f>
        <v>198032000000</v>
      </c>
      <c r="G249" s="12">
        <f t="shared" si="3"/>
        <v>0.49235477094610974</v>
      </c>
    </row>
    <row r="250" spans="2:7" ht="15" customHeight="1" x14ac:dyDescent="0.3">
      <c r="C250" s="4"/>
      <c r="D250" s="8">
        <v>2020</v>
      </c>
      <c r="E250" s="14">
        <f>Data!I250</f>
        <v>135545000000</v>
      </c>
      <c r="F250" s="14">
        <f>Data!G250</f>
        <v>239408000000</v>
      </c>
      <c r="G250" s="12">
        <f t="shared" si="3"/>
        <v>0.56616737953618923</v>
      </c>
    </row>
    <row r="251" spans="2:7" ht="15" customHeight="1" x14ac:dyDescent="0.3">
      <c r="C251" s="4"/>
      <c r="D251" s="8">
        <v>2021</v>
      </c>
      <c r="E251" s="14">
        <f>Data!I251</f>
        <v>135341000000</v>
      </c>
      <c r="F251" s="14">
        <f>Data!G251</f>
        <v>249051000000</v>
      </c>
      <c r="G251" s="12">
        <f t="shared" si="3"/>
        <v>0.54342684831620836</v>
      </c>
    </row>
    <row r="252" spans="2:7" ht="15" customHeight="1" x14ac:dyDescent="0.3">
      <c r="C252" s="4"/>
      <c r="D252" s="8">
        <v>2022</v>
      </c>
      <c r="E252" s="14">
        <f>Data!I252</f>
        <v>170464000000</v>
      </c>
      <c r="F252" s="14">
        <f>Data!G252</f>
        <v>293113000000</v>
      </c>
      <c r="G252" s="12">
        <f t="shared" si="3"/>
        <v>0.58156410667558245</v>
      </c>
    </row>
    <row r="253" spans="2:7" ht="15" customHeight="1" x14ac:dyDescent="0.3">
      <c r="C253" s="4"/>
      <c r="D253" s="8">
        <v>2023</v>
      </c>
      <c r="E253" s="14">
        <f>Data!I253</f>
        <v>205976000000</v>
      </c>
      <c r="F253" s="14">
        <f>Data!G253</f>
        <v>303072000000</v>
      </c>
      <c r="G253" s="12">
        <f t="shared" si="3"/>
        <v>0.67962728328581989</v>
      </c>
    </row>
    <row r="254" spans="2:7" ht="15" customHeight="1" x14ac:dyDescent="0.3">
      <c r="C254" s="4"/>
      <c r="D254" s="8">
        <v>2024</v>
      </c>
      <c r="E254" s="14">
        <f>Data!I254</f>
        <v>231468000000</v>
      </c>
      <c r="F254" s="14">
        <f>Data!G254</f>
        <v>306176000000</v>
      </c>
      <c r="G254" s="12">
        <f t="shared" si="3"/>
        <v>0.75599655100334451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Data!I255</f>
        <v>0</v>
      </c>
      <c r="F255" s="14">
        <f>Data!G255</f>
        <v>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Data!I256</f>
        <v>10060000000</v>
      </c>
      <c r="F256" s="14">
        <f>Data!G256</f>
        <v>71504000000</v>
      </c>
      <c r="G256" s="12">
        <f t="shared" si="3"/>
        <v>0.14069142985007832</v>
      </c>
    </row>
    <row r="257" spans="2:7" ht="15" customHeight="1" x14ac:dyDescent="0.3">
      <c r="C257" s="4"/>
      <c r="D257" s="8">
        <v>2016</v>
      </c>
      <c r="E257" s="14">
        <f>Data!I257</f>
        <v>10520000000</v>
      </c>
      <c r="F257" s="14">
        <f>Data!G257</f>
        <v>68929000000</v>
      </c>
      <c r="G257" s="12">
        <f t="shared" si="3"/>
        <v>0.15262081272033542</v>
      </c>
    </row>
    <row r="258" spans="2:7" ht="15" customHeight="1" x14ac:dyDescent="0.3">
      <c r="C258" s="4"/>
      <c r="D258" s="8">
        <v>2017</v>
      </c>
      <c r="E258" s="14">
        <f>Data!I258</f>
        <v>28060000000</v>
      </c>
      <c r="F258" s="14">
        <f>Data!G258</f>
        <v>87746000000</v>
      </c>
      <c r="G258" s="12">
        <f t="shared" si="3"/>
        <v>0.31978665694162695</v>
      </c>
    </row>
    <row r="259" spans="2:7" ht="15" customHeight="1" x14ac:dyDescent="0.3">
      <c r="C259" s="4"/>
      <c r="D259" s="8">
        <v>2018</v>
      </c>
      <c r="E259" s="14">
        <f>Data!I259</f>
        <v>30807000000</v>
      </c>
      <c r="F259" s="14">
        <f>Data!G259</f>
        <v>96855000000</v>
      </c>
      <c r="G259" s="12">
        <f t="shared" ref="G259:G322" si="4">IFERROR(E259/F259,0)</f>
        <v>0.31807340870373241</v>
      </c>
    </row>
    <row r="260" spans="2:7" ht="15" customHeight="1" x14ac:dyDescent="0.3">
      <c r="C260" s="4"/>
      <c r="D260" s="8">
        <v>2019</v>
      </c>
      <c r="E260" s="14">
        <f>Data!I260</f>
        <v>29286000000</v>
      </c>
      <c r="F260" s="14">
        <f>Data!G260</f>
        <v>104668000000</v>
      </c>
      <c r="G260" s="12">
        <f t="shared" si="4"/>
        <v>0.27979898345244009</v>
      </c>
    </row>
    <row r="261" spans="2:7" ht="15" customHeight="1" x14ac:dyDescent="0.3">
      <c r="C261" s="4"/>
      <c r="D261" s="8">
        <v>2020</v>
      </c>
      <c r="E261" s="14">
        <f>Data!I261</f>
        <v>30367000000</v>
      </c>
      <c r="F261" s="14">
        <f>Data!G261</f>
        <v>96960000000</v>
      </c>
      <c r="G261" s="12">
        <f t="shared" si="4"/>
        <v>0.31319100660066007</v>
      </c>
    </row>
    <row r="262" spans="2:7" ht="15" customHeight="1" x14ac:dyDescent="0.3">
      <c r="C262" s="4"/>
      <c r="D262" s="8">
        <v>2021</v>
      </c>
      <c r="E262" s="14">
        <f>Data!I262</f>
        <v>30303000000</v>
      </c>
      <c r="F262" s="14">
        <f>Data!G262</f>
        <v>95396000000</v>
      </c>
      <c r="G262" s="12">
        <f t="shared" si="4"/>
        <v>0.31765482829468739</v>
      </c>
    </row>
    <row r="263" spans="2:7" ht="15" customHeight="1" x14ac:dyDescent="0.3">
      <c r="C263" s="4"/>
      <c r="D263" s="8">
        <v>2022</v>
      </c>
      <c r="E263" s="14">
        <f>Data!I263</f>
        <v>40196000000</v>
      </c>
      <c r="F263" s="14">
        <f>Data!G263</f>
        <v>112679000000</v>
      </c>
      <c r="G263" s="12">
        <f t="shared" si="4"/>
        <v>0.35673018042403642</v>
      </c>
    </row>
    <row r="264" spans="2:7" ht="15" customHeight="1" x14ac:dyDescent="0.3">
      <c r="C264" s="4"/>
      <c r="D264" s="8">
        <v>2023</v>
      </c>
      <c r="E264" s="14">
        <f>Data!I264</f>
        <v>73522000000</v>
      </c>
      <c r="F264" s="14">
        <f>Data!G264</f>
        <v>151981000000</v>
      </c>
      <c r="G264" s="12">
        <f t="shared" si="4"/>
        <v>0.48375783815082146</v>
      </c>
    </row>
    <row r="265" spans="2:7" ht="15" customHeight="1" x14ac:dyDescent="0.3">
      <c r="C265" s="4"/>
      <c r="D265" s="8">
        <v>2024</v>
      </c>
      <c r="E265" s="14">
        <f>Data!I265</f>
        <v>94238000000</v>
      </c>
      <c r="F265" s="14">
        <f>Data!G265</f>
        <v>179851000000</v>
      </c>
      <c r="G265" s="12">
        <f t="shared" si="4"/>
        <v>0.52397818193949441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Data!I266</f>
        <v>0</v>
      </c>
      <c r="F266" s="14">
        <f>Data!G266</f>
        <v>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Data!I267</f>
        <v>2348962000000</v>
      </c>
      <c r="F267" s="14">
        <f>Data!G267</f>
        <v>2704180000000</v>
      </c>
      <c r="G267" s="12">
        <f t="shared" si="4"/>
        <v>0.86864114075246468</v>
      </c>
    </row>
    <row r="268" spans="2:7" ht="15" customHeight="1" x14ac:dyDescent="0.3">
      <c r="C268" s="3"/>
      <c r="D268" s="8">
        <v>2016</v>
      </c>
      <c r="E268" s="14">
        <f>Data!I268</f>
        <v>2581487000000</v>
      </c>
      <c r="F268" s="14">
        <f>Data!G268</f>
        <v>2966353000000</v>
      </c>
      <c r="G268" s="12">
        <f t="shared" si="4"/>
        <v>0.87025616978154652</v>
      </c>
    </row>
    <row r="269" spans="2:7" ht="15" customHeight="1" x14ac:dyDescent="0.3">
      <c r="C269" s="3"/>
      <c r="D269" s="8">
        <v>2017</v>
      </c>
      <c r="E269" s="14">
        <f>Data!I269</f>
        <v>2928008100000</v>
      </c>
      <c r="F269" s="14">
        <f>Data!G269</f>
        <v>3416166470000</v>
      </c>
      <c r="G269" s="12">
        <f t="shared" si="4"/>
        <v>0.85710345959809153</v>
      </c>
    </row>
    <row r="270" spans="2:7" ht="15" customHeight="1" x14ac:dyDescent="0.3">
      <c r="C270" s="3"/>
      <c r="D270" s="8">
        <v>2018</v>
      </c>
      <c r="E270" s="14">
        <f>Data!I270</f>
        <v>3054048040000</v>
      </c>
      <c r="F270" s="14">
        <f>Data!G270</f>
        <v>3459841500000</v>
      </c>
      <c r="G270" s="12">
        <f t="shared" si="4"/>
        <v>0.88271328036269869</v>
      </c>
    </row>
    <row r="271" spans="2:7" ht="15" customHeight="1" x14ac:dyDescent="0.3">
      <c r="C271" s="3"/>
      <c r="D271" s="8">
        <v>2019</v>
      </c>
      <c r="E271" s="14">
        <f>Data!I271</f>
        <v>4008880410000</v>
      </c>
      <c r="F271" s="14">
        <f>Data!G271</f>
        <v>4490719460000</v>
      </c>
      <c r="G271" s="12">
        <f t="shared" si="4"/>
        <v>0.89270337319178694</v>
      </c>
    </row>
    <row r="272" spans="2:7" ht="15" customHeight="1" x14ac:dyDescent="0.3">
      <c r="C272" s="3"/>
      <c r="D272" s="8">
        <v>2020</v>
      </c>
      <c r="E272" s="14">
        <f>Data!I272</f>
        <v>4747966030000</v>
      </c>
      <c r="F272" s="14">
        <f>Data!G272</f>
        <v>5264244540000</v>
      </c>
      <c r="G272" s="12">
        <f t="shared" si="4"/>
        <v>0.90192733143814019</v>
      </c>
    </row>
    <row r="273" spans="2:7" ht="15" customHeight="1" x14ac:dyDescent="0.3">
      <c r="C273" s="3"/>
      <c r="D273" s="8">
        <v>2021</v>
      </c>
      <c r="E273" s="14">
        <f>Data!I273</f>
        <v>5441023440000</v>
      </c>
      <c r="F273" s="14">
        <f>Data!G273</f>
        <v>6020512330000</v>
      </c>
      <c r="G273" s="12">
        <f t="shared" si="4"/>
        <v>0.90374757857193855</v>
      </c>
    </row>
    <row r="274" spans="2:7" ht="15" customHeight="1" x14ac:dyDescent="0.3">
      <c r="C274" s="3"/>
      <c r="D274" s="8">
        <v>2022</v>
      </c>
      <c r="E274" s="14">
        <f>Data!I274</f>
        <v>5983958260000</v>
      </c>
      <c r="F274" s="14">
        <f>Data!G274</f>
        <v>6600387150000</v>
      </c>
      <c r="G274" s="12">
        <f t="shared" si="4"/>
        <v>0.90660716167232702</v>
      </c>
    </row>
    <row r="275" spans="2:7" ht="15" customHeight="1" x14ac:dyDescent="0.3">
      <c r="C275" s="3"/>
      <c r="D275" s="8">
        <v>2023</v>
      </c>
      <c r="E275" s="14">
        <f>Data!I275</f>
        <v>6786718560000</v>
      </c>
      <c r="F275" s="14">
        <f>Data!G275</f>
        <v>7499012820000</v>
      </c>
      <c r="G275" s="12">
        <f t="shared" si="4"/>
        <v>0.90501492968510489</v>
      </c>
    </row>
    <row r="276" spans="2:7" ht="15" customHeight="1" x14ac:dyDescent="0.3">
      <c r="C276" s="3"/>
      <c r="D276" s="8">
        <v>2024</v>
      </c>
      <c r="E276" s="14">
        <f>Data!I276</f>
        <v>7746022140000</v>
      </c>
      <c r="F276" s="14">
        <f>Data!G276</f>
        <v>8435110859999.999</v>
      </c>
      <c r="G276" s="12">
        <f t="shared" si="4"/>
        <v>0.91830709383231524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Data!I277</f>
        <v>0</v>
      </c>
      <c r="F277" s="14">
        <f>Data!G277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Data!I278</f>
        <v>0</v>
      </c>
      <c r="F278" s="14">
        <f>Data!G278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Data!I279</f>
        <v>0</v>
      </c>
      <c r="F279" s="14">
        <f>Data!G279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Data!I280</f>
        <v>0</v>
      </c>
      <c r="F280" s="14">
        <f>Data!G280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Data!I281</f>
        <v>0</v>
      </c>
      <c r="F281" s="14">
        <f>Data!G281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Data!I282</f>
        <v>0</v>
      </c>
      <c r="F282" s="14">
        <f>Data!G282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Data!I283</f>
        <v>0</v>
      </c>
      <c r="F283" s="14">
        <f>Data!G283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Data!I284</f>
        <v>0</v>
      </c>
      <c r="F284" s="14">
        <f>Data!G284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Data!I285</f>
        <v>4616560000</v>
      </c>
      <c r="F285" s="14">
        <f>Data!G285</f>
        <v>132949170000.00002</v>
      </c>
      <c r="G285" s="12">
        <f t="shared" si="4"/>
        <v>3.47242483725171E-2</v>
      </c>
    </row>
    <row r="286" spans="2:7" ht="15" customHeight="1" x14ac:dyDescent="0.3">
      <c r="C286" s="3"/>
      <c r="D286" s="8">
        <v>2023</v>
      </c>
      <c r="E286" s="14">
        <f>Data!I286</f>
        <v>4060880000</v>
      </c>
      <c r="F286" s="14">
        <f>Data!G286</f>
        <v>132473380000</v>
      </c>
      <c r="G286" s="12">
        <f t="shared" si="4"/>
        <v>3.0654309567703337E-2</v>
      </c>
    </row>
    <row r="287" spans="2:7" ht="15" customHeight="1" x14ac:dyDescent="0.3">
      <c r="C287" s="3"/>
      <c r="D287" s="8">
        <v>2024</v>
      </c>
      <c r="E287" s="14">
        <f>Data!I287</f>
        <v>1557730000</v>
      </c>
      <c r="F287" s="14">
        <f>Data!G287</f>
        <v>159746690000</v>
      </c>
      <c r="G287" s="12">
        <f t="shared" si="4"/>
        <v>9.7512505579927817E-3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Data!I288</f>
        <v>0</v>
      </c>
      <c r="F288" s="14">
        <f>Data!G288</f>
        <v>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Data!I289</f>
        <v>677805000000</v>
      </c>
      <c r="F289" s="14">
        <f>Data!G289</f>
        <v>1239559000000</v>
      </c>
      <c r="G289" s="12">
        <f t="shared" si="4"/>
        <v>0.54681140631466518</v>
      </c>
    </row>
    <row r="290" spans="2:7" ht="15" customHeight="1" x14ac:dyDescent="0.3">
      <c r="C290" s="3"/>
      <c r="D290" s="8">
        <v>2016</v>
      </c>
      <c r="E290" s="14">
        <f>Data!I290</f>
        <v>12516868000000</v>
      </c>
      <c r="F290" s="14">
        <f>Data!G290</f>
        <v>13122331000000</v>
      </c>
      <c r="G290" s="12">
        <f t="shared" si="4"/>
        <v>0.95386010305638536</v>
      </c>
    </row>
    <row r="291" spans="2:7" ht="15" customHeight="1" x14ac:dyDescent="0.3">
      <c r="C291" s="3"/>
      <c r="D291" s="8">
        <v>2017</v>
      </c>
      <c r="E291" s="14">
        <f>Data!I291</f>
        <v>24167565000000</v>
      </c>
      <c r="F291" s="14">
        <f>Data!G291</f>
        <v>24838435000000</v>
      </c>
      <c r="G291" s="12">
        <f t="shared" si="4"/>
        <v>0.97299064937062263</v>
      </c>
    </row>
    <row r="292" spans="2:7" ht="15" customHeight="1" x14ac:dyDescent="0.3">
      <c r="C292" s="3"/>
      <c r="D292" s="8">
        <v>2018</v>
      </c>
      <c r="E292" s="14">
        <f>Data!I292</f>
        <v>30121442000000</v>
      </c>
      <c r="F292" s="14">
        <f>Data!G292</f>
        <v>30914118000000</v>
      </c>
      <c r="G292" s="12">
        <f t="shared" si="4"/>
        <v>0.97435877031976137</v>
      </c>
    </row>
    <row r="293" spans="2:7" ht="15" customHeight="1" x14ac:dyDescent="0.3">
      <c r="C293" s="3"/>
      <c r="D293" s="8">
        <v>2019</v>
      </c>
      <c r="E293" s="14">
        <f>Data!I293</f>
        <v>34246083000000</v>
      </c>
      <c r="F293" s="14">
        <f>Data!G293</f>
        <v>35182475000000</v>
      </c>
      <c r="G293" s="12">
        <f t="shared" si="4"/>
        <v>0.97338470360598561</v>
      </c>
    </row>
    <row r="294" spans="2:7" ht="15" customHeight="1" x14ac:dyDescent="0.3">
      <c r="C294" s="3"/>
      <c r="D294" s="8">
        <v>2020</v>
      </c>
      <c r="E294" s="14">
        <f>Data!I294</f>
        <v>31156364000000</v>
      </c>
      <c r="F294" s="14">
        <f>Data!G294</f>
        <v>32223291000000</v>
      </c>
      <c r="G294" s="12">
        <f t="shared" si="4"/>
        <v>0.96688957065248238</v>
      </c>
    </row>
    <row r="295" spans="2:7" ht="15" customHeight="1" x14ac:dyDescent="0.3">
      <c r="C295" s="3"/>
      <c r="D295" s="8">
        <v>2021</v>
      </c>
      <c r="E295" s="14">
        <f>Data!I295</f>
        <v>32541700000000</v>
      </c>
      <c r="F295" s="14">
        <f>Data!G295</f>
        <v>33647581000000</v>
      </c>
      <c r="G295" s="12">
        <f t="shared" si="4"/>
        <v>0.96713341740673719</v>
      </c>
    </row>
    <row r="296" spans="2:7" ht="15" customHeight="1" x14ac:dyDescent="0.3">
      <c r="C296" s="3"/>
      <c r="D296" s="8">
        <v>2022</v>
      </c>
      <c r="E296" s="14">
        <f>Data!I296</f>
        <v>27628766000000</v>
      </c>
      <c r="F296" s="14">
        <f>Data!G296</f>
        <v>28879077000000</v>
      </c>
      <c r="G296" s="12">
        <f t="shared" si="4"/>
        <v>0.9567052991340409</v>
      </c>
    </row>
    <row r="297" spans="2:7" ht="15" customHeight="1" x14ac:dyDescent="0.3">
      <c r="C297" s="3"/>
      <c r="D297" s="8">
        <v>2023</v>
      </c>
      <c r="E297" s="14">
        <f>Data!I297</f>
        <v>22062179000000</v>
      </c>
      <c r="F297" s="14">
        <f>Data!G297</f>
        <v>23420850000000</v>
      </c>
      <c r="G297" s="12">
        <f t="shared" si="4"/>
        <v>0.94198882619546254</v>
      </c>
    </row>
    <row r="298" spans="2:7" ht="15" customHeight="1" x14ac:dyDescent="0.3">
      <c r="C298" s="3"/>
      <c r="D298" s="8">
        <v>2024</v>
      </c>
      <c r="E298" s="14">
        <f>Data!I298</f>
        <v>22495949000000</v>
      </c>
      <c r="F298" s="14">
        <f>Data!G298</f>
        <v>24021114000000</v>
      </c>
      <c r="G298" s="12">
        <f t="shared" si="4"/>
        <v>0.93650731602206294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Data!I299</f>
        <v>0</v>
      </c>
      <c r="F299" s="14">
        <f>Data!G299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Data!I300</f>
        <v>114000000</v>
      </c>
      <c r="F300" s="14">
        <f>Data!G300</f>
        <v>60739000000</v>
      </c>
      <c r="G300" s="12">
        <f t="shared" si="4"/>
        <v>1.8768830570144387E-3</v>
      </c>
    </row>
    <row r="301" spans="2:7" ht="15" customHeight="1" x14ac:dyDescent="0.3">
      <c r="C301" s="4"/>
      <c r="D301" s="8">
        <v>2016</v>
      </c>
      <c r="E301" s="14">
        <f>Data!I301</f>
        <v>7811000000</v>
      </c>
      <c r="F301" s="14">
        <f>Data!G301</f>
        <v>69732000000</v>
      </c>
      <c r="G301" s="12">
        <f t="shared" si="4"/>
        <v>0.11201457006826135</v>
      </c>
    </row>
    <row r="302" spans="2:7" ht="15" customHeight="1" x14ac:dyDescent="0.3">
      <c r="C302" s="4"/>
      <c r="D302" s="8">
        <v>2017</v>
      </c>
      <c r="E302" s="14">
        <f>Data!I302</f>
        <v>13530000000</v>
      </c>
      <c r="F302" s="14">
        <f>Data!G302</f>
        <v>74776000000</v>
      </c>
      <c r="G302" s="12">
        <f t="shared" si="4"/>
        <v>0.18094040868727934</v>
      </c>
    </row>
    <row r="303" spans="2:7" ht="15" customHeight="1" x14ac:dyDescent="0.3">
      <c r="C303" s="4"/>
      <c r="D303" s="8">
        <v>2018</v>
      </c>
      <c r="E303" s="14">
        <f>Data!I303</f>
        <v>28509000000</v>
      </c>
      <c r="F303" s="14">
        <f>Data!G303</f>
        <v>89317000000</v>
      </c>
      <c r="G303" s="12">
        <f t="shared" si="4"/>
        <v>0.31918895618975113</v>
      </c>
    </row>
    <row r="304" spans="2:7" ht="15" customHeight="1" x14ac:dyDescent="0.3">
      <c r="C304" s="4"/>
      <c r="D304" s="8">
        <v>2019</v>
      </c>
      <c r="E304" s="14">
        <f>Data!I304</f>
        <v>39414000000</v>
      </c>
      <c r="F304" s="14">
        <f>Data!G304</f>
        <v>105000000000</v>
      </c>
      <c r="G304" s="12">
        <f t="shared" si="4"/>
        <v>0.37537142857142858</v>
      </c>
    </row>
    <row r="305" spans="2:7" ht="15" customHeight="1" x14ac:dyDescent="0.3">
      <c r="C305" s="4"/>
      <c r="D305" s="8">
        <v>2020</v>
      </c>
      <c r="E305" s="14">
        <f>Data!I305</f>
        <v>53875000000</v>
      </c>
      <c r="F305" s="14">
        <f>Data!G305</f>
        <v>121421000000</v>
      </c>
      <c r="G305" s="12">
        <f t="shared" si="4"/>
        <v>0.44370413684617982</v>
      </c>
    </row>
    <row r="306" spans="2:7" ht="15" customHeight="1" x14ac:dyDescent="0.3">
      <c r="C306" s="4"/>
      <c r="D306" s="8">
        <v>2021</v>
      </c>
      <c r="E306" s="14">
        <f>Data!I306</f>
        <v>69966000000</v>
      </c>
      <c r="F306" s="14">
        <f>Data!G306</f>
        <v>140074000000</v>
      </c>
      <c r="G306" s="12">
        <f t="shared" si="4"/>
        <v>0.49949312506246696</v>
      </c>
    </row>
    <row r="307" spans="2:7" ht="15" customHeight="1" x14ac:dyDescent="0.3">
      <c r="C307" s="4"/>
      <c r="D307" s="8">
        <v>2022</v>
      </c>
      <c r="E307" s="14">
        <f>Data!I307</f>
        <v>81616000000</v>
      </c>
      <c r="F307" s="14">
        <f>Data!G307</f>
        <v>154307000000</v>
      </c>
      <c r="G307" s="12">
        <f t="shared" si="4"/>
        <v>0.52891962127447234</v>
      </c>
    </row>
    <row r="308" spans="2:7" ht="15" customHeight="1" x14ac:dyDescent="0.3">
      <c r="C308" s="4"/>
      <c r="D308" s="8">
        <v>2023</v>
      </c>
      <c r="E308" s="14">
        <f>Data!I308</f>
        <v>77192000000</v>
      </c>
      <c r="F308" s="14">
        <f>Data!G308</f>
        <v>154726000000</v>
      </c>
      <c r="G308" s="12">
        <f t="shared" si="4"/>
        <v>0.49889482052143791</v>
      </c>
    </row>
    <row r="309" spans="2:7" ht="15" customHeight="1" x14ac:dyDescent="0.3">
      <c r="C309" s="4"/>
      <c r="D309" s="8">
        <v>2024</v>
      </c>
      <c r="E309" s="14">
        <f>Data!I309</f>
        <v>61601000000</v>
      </c>
      <c r="F309" s="14">
        <f>Data!G309</f>
        <v>155845000000</v>
      </c>
      <c r="G309" s="12">
        <f t="shared" si="4"/>
        <v>0.39527094228239595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Data!I310</f>
        <v>0</v>
      </c>
      <c r="F310" s="14">
        <f>Data!G310</f>
        <v>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>
        <f>Data!I311</f>
        <v>240551000000</v>
      </c>
      <c r="F311" s="14">
        <f>Data!G311</f>
        <v>1064512000000</v>
      </c>
      <c r="G311" s="12">
        <f t="shared" si="4"/>
        <v>0.22597302801659352</v>
      </c>
    </row>
    <row r="312" spans="2:7" ht="15" customHeight="1" x14ac:dyDescent="0.3">
      <c r="C312" s="4"/>
      <c r="D312" s="8">
        <v>2016</v>
      </c>
      <c r="E312" s="14">
        <f>Data!I312</f>
        <v>257116000000</v>
      </c>
      <c r="F312" s="14">
        <f>Data!G312</f>
        <v>1162835000000</v>
      </c>
      <c r="G312" s="12">
        <f t="shared" si="4"/>
        <v>0.22111133565811142</v>
      </c>
    </row>
    <row r="313" spans="2:7" ht="15" customHeight="1" x14ac:dyDescent="0.3">
      <c r="C313" s="4"/>
      <c r="D313" s="8">
        <v>2017</v>
      </c>
      <c r="E313" s="14">
        <f>Data!I313</f>
        <v>331887000000</v>
      </c>
      <c r="F313" s="14">
        <f>Data!G313</f>
        <v>1660572000000</v>
      </c>
      <c r="G313" s="12">
        <f t="shared" si="4"/>
        <v>0.19986305923501058</v>
      </c>
    </row>
    <row r="314" spans="2:7" ht="15" customHeight="1" x14ac:dyDescent="0.3">
      <c r="C314" s="4"/>
      <c r="D314" s="8">
        <v>2018</v>
      </c>
      <c r="E314" s="14">
        <f>Data!I314</f>
        <v>366550000000</v>
      </c>
      <c r="F314" s="14">
        <f>Data!G314</f>
        <v>1712378000000</v>
      </c>
      <c r="G314" s="12">
        <f t="shared" si="4"/>
        <v>0.21405904537432741</v>
      </c>
    </row>
    <row r="315" spans="2:7" ht="15" customHeight="1" x14ac:dyDescent="0.3">
      <c r="C315" s="4"/>
      <c r="D315" s="8">
        <v>2019</v>
      </c>
      <c r="E315" s="14">
        <f>Data!I315</f>
        <v>466826000000</v>
      </c>
      <c r="F315" s="14">
        <f>Data!G315</f>
        <v>1805094000000</v>
      </c>
      <c r="G315" s="12">
        <f t="shared" si="4"/>
        <v>0.25861589479550651</v>
      </c>
    </row>
    <row r="316" spans="2:7" ht="15" customHeight="1" x14ac:dyDescent="0.3">
      <c r="C316" s="4"/>
      <c r="D316" s="8">
        <v>2020</v>
      </c>
      <c r="E316" s="14">
        <f>Data!I316</f>
        <v>494103000000</v>
      </c>
      <c r="F316" s="14">
        <f>Data!G316</f>
        <v>1821015000000</v>
      </c>
      <c r="G316" s="12">
        <f t="shared" si="4"/>
        <v>0.27133384403752853</v>
      </c>
    </row>
    <row r="317" spans="2:7" ht="15" customHeight="1" x14ac:dyDescent="0.3">
      <c r="C317" s="4"/>
      <c r="D317" s="8">
        <v>2021</v>
      </c>
      <c r="E317" s="14">
        <f>Data!I317</f>
        <v>575223000000</v>
      </c>
      <c r="F317" s="14">
        <f>Data!G317</f>
        <v>1820850000000</v>
      </c>
      <c r="G317" s="12">
        <f t="shared" si="4"/>
        <v>0.31590905346404152</v>
      </c>
    </row>
    <row r="318" spans="2:7" ht="15" customHeight="1" x14ac:dyDescent="0.3">
      <c r="C318" s="4"/>
      <c r="D318" s="8">
        <v>2022</v>
      </c>
      <c r="E318" s="14">
        <f>Data!I318</f>
        <v>647883000000</v>
      </c>
      <c r="F318" s="14">
        <f>Data!G318</f>
        <v>1844693000000</v>
      </c>
      <c r="G318" s="12">
        <f t="shared" si="4"/>
        <v>0.35121453813724018</v>
      </c>
    </row>
    <row r="319" spans="2:7" ht="15" customHeight="1" x14ac:dyDescent="0.3">
      <c r="C319" s="4"/>
      <c r="D319" s="8">
        <v>2023</v>
      </c>
      <c r="E319" s="14">
        <f>Data!I319</f>
        <v>675459000000</v>
      </c>
      <c r="F319" s="14">
        <f>Data!G319</f>
        <v>1791328000000</v>
      </c>
      <c r="G319" s="12">
        <f t="shared" si="4"/>
        <v>0.37707164740349058</v>
      </c>
    </row>
    <row r="320" spans="2:7" ht="15" customHeight="1" x14ac:dyDescent="0.3">
      <c r="C320" s="4"/>
      <c r="D320" s="8">
        <v>2024</v>
      </c>
      <c r="E320" s="14">
        <f>Data!I320</f>
        <v>565896000000</v>
      </c>
      <c r="F320" s="14">
        <f>Data!G320</f>
        <v>1662152000000</v>
      </c>
      <c r="G320" s="12">
        <f t="shared" si="4"/>
        <v>0.34045983760811288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Data!I321</f>
        <v>0</v>
      </c>
      <c r="F321" s="14">
        <f>Data!G321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Data!I322</f>
        <v>0</v>
      </c>
      <c r="F322" s="14">
        <f>Data!G322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Data!I323</f>
        <v>0</v>
      </c>
      <c r="F323" s="14">
        <f>Data!G323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Data!I324</f>
        <v>8868810000000</v>
      </c>
      <c r="F324" s="14">
        <f>Data!G324</f>
        <v>10926484000000</v>
      </c>
      <c r="G324" s="12">
        <f t="shared" si="5"/>
        <v>0.81168013424995633</v>
      </c>
    </row>
    <row r="325" spans="2:7" ht="15" customHeight="1" x14ac:dyDescent="0.3">
      <c r="C325" s="3"/>
      <c r="D325" s="8">
        <v>2018</v>
      </c>
      <c r="E325" s="14">
        <f>Data!I325</f>
        <v>8438294000000</v>
      </c>
      <c r="F325" s="14">
        <f>Data!G325</f>
        <v>10229507000000</v>
      </c>
      <c r="G325" s="12">
        <f t="shared" si="5"/>
        <v>0.82489742663062848</v>
      </c>
    </row>
    <row r="326" spans="2:7" ht="15" customHeight="1" x14ac:dyDescent="0.3">
      <c r="C326" s="3"/>
      <c r="D326" s="8">
        <v>2019</v>
      </c>
      <c r="E326" s="14">
        <f>Data!I326</f>
        <v>9867528000000</v>
      </c>
      <c r="F326" s="14">
        <f>Data!G326</f>
        <v>11985227000000</v>
      </c>
      <c r="G326" s="12">
        <f t="shared" si="5"/>
        <v>0.82330756021558871</v>
      </c>
    </row>
    <row r="327" spans="2:7" ht="15" customHeight="1" x14ac:dyDescent="0.3">
      <c r="C327" s="3"/>
      <c r="D327" s="8">
        <v>2020</v>
      </c>
      <c r="E327" s="14">
        <f>Data!I327</f>
        <v>9038891000000</v>
      </c>
      <c r="F327" s="14">
        <f>Data!G327</f>
        <v>11238753000000</v>
      </c>
      <c r="G327" s="12">
        <f t="shared" si="5"/>
        <v>0.80426102433250379</v>
      </c>
    </row>
    <row r="328" spans="2:7" ht="15" customHeight="1" x14ac:dyDescent="0.3">
      <c r="C328" s="3"/>
      <c r="D328" s="8">
        <v>2021</v>
      </c>
      <c r="E328" s="14">
        <f>Data!I328</f>
        <v>7491360000000</v>
      </c>
      <c r="F328" s="14">
        <f>Data!G328</f>
        <v>9745939000000</v>
      </c>
      <c r="G328" s="12">
        <f t="shared" si="5"/>
        <v>0.76866477411771206</v>
      </c>
    </row>
    <row r="329" spans="2:7" ht="15" customHeight="1" x14ac:dyDescent="0.3">
      <c r="C329" s="3"/>
      <c r="D329" s="8">
        <v>2022</v>
      </c>
      <c r="E329" s="14">
        <f>Data!I329</f>
        <v>5158807000000</v>
      </c>
      <c r="F329" s="14">
        <f>Data!G329</f>
        <v>7080639000000</v>
      </c>
      <c r="G329" s="12">
        <f t="shared" si="5"/>
        <v>0.72857929912822839</v>
      </c>
    </row>
    <row r="330" spans="2:7" ht="15" customHeight="1" x14ac:dyDescent="0.3">
      <c r="C330" s="3"/>
      <c r="D330" s="8">
        <v>2023</v>
      </c>
      <c r="E330" s="14">
        <f>Data!I330</f>
        <v>4736663000000</v>
      </c>
      <c r="F330" s="14">
        <f>Data!G330</f>
        <v>7019115000000</v>
      </c>
      <c r="G330" s="12">
        <f t="shared" si="5"/>
        <v>0.67482339297760474</v>
      </c>
    </row>
    <row r="331" spans="2:7" ht="15" customHeight="1" x14ac:dyDescent="0.3">
      <c r="C331" s="3"/>
      <c r="D331" s="8">
        <v>2024</v>
      </c>
      <c r="E331" s="14">
        <f>Data!I331</f>
        <v>4152265000000</v>
      </c>
      <c r="F331" s="14">
        <f>Data!G331</f>
        <v>6182592000000</v>
      </c>
      <c r="G331" s="12">
        <f t="shared" si="5"/>
        <v>0.67160585721975508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Data!I332</f>
        <v>0</v>
      </c>
      <c r="F332" s="14">
        <f>Data!G332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Data!I333</f>
        <v>0</v>
      </c>
      <c r="F333" s="14">
        <f>Data!G333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Data!I334</f>
        <v>0</v>
      </c>
      <c r="F334" s="14">
        <f>Data!G334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Data!I335</f>
        <v>0</v>
      </c>
      <c r="F335" s="14">
        <f>Data!G335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Data!I336</f>
        <v>0</v>
      </c>
      <c r="F336" s="14">
        <f>Data!G336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Data!I337</f>
        <v>5205566000000</v>
      </c>
      <c r="F337" s="14">
        <f>Data!G337</f>
        <v>6174958000000</v>
      </c>
      <c r="G337" s="12">
        <f t="shared" si="5"/>
        <v>0.84301237352545555</v>
      </c>
    </row>
    <row r="338" spans="2:7" ht="15" customHeight="1" x14ac:dyDescent="0.3">
      <c r="C338" s="3"/>
      <c r="D338" s="8">
        <v>2020</v>
      </c>
      <c r="E338" s="14">
        <f>Data!I338</f>
        <v>5327460000000</v>
      </c>
      <c r="F338" s="14">
        <f>Data!G338</f>
        <v>6360147000000</v>
      </c>
      <c r="G338" s="12">
        <f t="shared" si="5"/>
        <v>0.83763158304359941</v>
      </c>
    </row>
    <row r="339" spans="2:7" ht="15" customHeight="1" x14ac:dyDescent="0.3">
      <c r="C339" s="3"/>
      <c r="D339" s="8">
        <v>2021</v>
      </c>
      <c r="E339" s="14">
        <f>Data!I339</f>
        <v>5304976000000</v>
      </c>
      <c r="F339" s="14">
        <f>Data!G339</f>
        <v>6454782000000</v>
      </c>
      <c r="G339" s="12">
        <f t="shared" si="5"/>
        <v>0.82186757043072867</v>
      </c>
    </row>
    <row r="340" spans="2:7" ht="15" customHeight="1" x14ac:dyDescent="0.3">
      <c r="C340" s="3"/>
      <c r="D340" s="8">
        <v>2022</v>
      </c>
      <c r="E340" s="14">
        <f>Data!I340</f>
        <v>5430786000000</v>
      </c>
      <c r="F340" s="14">
        <f>Data!G340</f>
        <v>6650529000000</v>
      </c>
      <c r="G340" s="12">
        <f t="shared" si="5"/>
        <v>0.81659458969354171</v>
      </c>
    </row>
    <row r="341" spans="2:7" ht="15" customHeight="1" x14ac:dyDescent="0.3">
      <c r="C341" s="3"/>
      <c r="D341" s="8">
        <v>2023</v>
      </c>
      <c r="E341" s="14">
        <f>Data!I341</f>
        <v>5497327000000</v>
      </c>
      <c r="F341" s="14">
        <f>Data!G341</f>
        <v>7227612000000</v>
      </c>
      <c r="G341" s="12">
        <f t="shared" si="5"/>
        <v>0.76060073506989578</v>
      </c>
    </row>
    <row r="342" spans="2:7" ht="15" customHeight="1" x14ac:dyDescent="0.3">
      <c r="C342" s="3"/>
      <c r="D342" s="8">
        <v>2024</v>
      </c>
      <c r="E342" s="14">
        <f>Data!I342</f>
        <v>5019888000000</v>
      </c>
      <c r="F342" s="14">
        <f>Data!G342</f>
        <v>6708375000000</v>
      </c>
      <c r="G342" s="12">
        <f t="shared" si="5"/>
        <v>0.74830163787802562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Data!I343</f>
        <v>0</v>
      </c>
      <c r="F343" s="14">
        <f>Data!G343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Data!I344</f>
        <v>0</v>
      </c>
      <c r="F344" s="14">
        <f>Data!G344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Data!I345</f>
        <v>23639751000000</v>
      </c>
      <c r="F345" s="14">
        <f>Data!G345</f>
        <v>25983699000000</v>
      </c>
      <c r="G345" s="12">
        <f t="shared" si="5"/>
        <v>0.90979159664680542</v>
      </c>
    </row>
    <row r="346" spans="2:7" ht="15" customHeight="1" x14ac:dyDescent="0.3">
      <c r="C346" s="3"/>
      <c r="D346" s="8">
        <v>2017</v>
      </c>
      <c r="E346" s="14">
        <f>Data!I346</f>
        <v>28026604000000</v>
      </c>
      <c r="F346" s="14">
        <f>Data!G346</f>
        <v>30228537000000</v>
      </c>
      <c r="G346" s="12">
        <f t="shared" si="5"/>
        <v>0.92715714293417506</v>
      </c>
    </row>
    <row r="347" spans="2:7" ht="15" customHeight="1" x14ac:dyDescent="0.3">
      <c r="C347" s="3"/>
      <c r="D347" s="8">
        <v>2018</v>
      </c>
      <c r="E347" s="14">
        <f>Data!I347</f>
        <v>27260085000000</v>
      </c>
      <c r="F347" s="14">
        <f>Data!G347</f>
        <v>29576153000000</v>
      </c>
      <c r="G347" s="12">
        <f t="shared" si="5"/>
        <v>0.92169137074723684</v>
      </c>
    </row>
    <row r="348" spans="2:7" ht="15" customHeight="1" x14ac:dyDescent="0.3">
      <c r="C348" s="3"/>
      <c r="D348" s="8">
        <v>2019</v>
      </c>
      <c r="E348" s="14">
        <f>Data!I348</f>
        <v>29809992000000</v>
      </c>
      <c r="F348" s="14">
        <f>Data!G348</f>
        <v>32753111000000</v>
      </c>
      <c r="G348" s="12">
        <f t="shared" si="5"/>
        <v>0.91014230678728503</v>
      </c>
    </row>
    <row r="349" spans="2:7" ht="15" customHeight="1" x14ac:dyDescent="0.3">
      <c r="C349" s="3"/>
      <c r="D349" s="8">
        <v>2020</v>
      </c>
      <c r="E349" s="14">
        <f>Data!I349</f>
        <v>34520466000000</v>
      </c>
      <c r="F349" s="14">
        <f>Data!G349</f>
        <v>37555991000000</v>
      </c>
      <c r="G349" s="12">
        <f t="shared" si="5"/>
        <v>0.91917334840132425</v>
      </c>
    </row>
    <row r="350" spans="2:7" ht="15" customHeight="1" x14ac:dyDescent="0.3">
      <c r="C350" s="3"/>
      <c r="D350" s="8">
        <v>2021</v>
      </c>
      <c r="E350" s="14">
        <f>Data!I350</f>
        <v>38016882000000</v>
      </c>
      <c r="F350" s="14">
        <f>Data!G350</f>
        <v>41079324000000</v>
      </c>
      <c r="G350" s="12">
        <f t="shared" si="5"/>
        <v>0.9254505259142044</v>
      </c>
    </row>
    <row r="351" spans="2:7" ht="15" customHeight="1" x14ac:dyDescent="0.3">
      <c r="C351" s="3"/>
      <c r="D351" s="8">
        <v>2022</v>
      </c>
      <c r="E351" s="14">
        <f>Data!I351</f>
        <v>36880066000000</v>
      </c>
      <c r="F351" s="14">
        <f>Data!G351</f>
        <v>40154026000000</v>
      </c>
      <c r="G351" s="12">
        <f t="shared" si="5"/>
        <v>0.91846496289064516</v>
      </c>
    </row>
    <row r="352" spans="2:7" ht="15" customHeight="1" x14ac:dyDescent="0.3">
      <c r="C352" s="3"/>
      <c r="D352" s="8">
        <v>2023</v>
      </c>
      <c r="E352" s="14">
        <f>Data!I352</f>
        <v>37446703000000</v>
      </c>
      <c r="F352" s="14">
        <f>Data!G352</f>
        <v>41114473000000</v>
      </c>
      <c r="G352" s="12">
        <f t="shared" si="5"/>
        <v>0.91079126807730215</v>
      </c>
    </row>
    <row r="353" spans="2:7" ht="15" customHeight="1" x14ac:dyDescent="0.3">
      <c r="C353" s="3"/>
      <c r="D353" s="8">
        <v>2024</v>
      </c>
      <c r="E353" s="14">
        <f>Data!I353</f>
        <v>37465317000000</v>
      </c>
      <c r="F353" s="14">
        <f>Data!G353</f>
        <v>41914379000000</v>
      </c>
      <c r="G353" s="12">
        <f t="shared" si="5"/>
        <v>0.89385356275945305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Data!I354</f>
        <v>0</v>
      </c>
      <c r="F354" s="14">
        <f>Data!G354</f>
        <v>0</v>
      </c>
      <c r="G354" s="12">
        <f t="shared" si="5"/>
        <v>0</v>
      </c>
    </row>
    <row r="355" spans="2:7" ht="15" customHeight="1" x14ac:dyDescent="0.3">
      <c r="C355" s="3"/>
      <c r="D355" s="8">
        <v>2015</v>
      </c>
      <c r="E355" s="14">
        <f>Data!I355</f>
        <v>0</v>
      </c>
      <c r="F355" s="14">
        <f>Data!G355</f>
        <v>0</v>
      </c>
      <c r="G355" s="12">
        <f t="shared" si="5"/>
        <v>0</v>
      </c>
    </row>
    <row r="356" spans="2:7" ht="15" customHeight="1" x14ac:dyDescent="0.3">
      <c r="C356" s="3"/>
      <c r="D356" s="8">
        <v>2016</v>
      </c>
      <c r="E356" s="14">
        <f>Data!I356</f>
        <v>101000000</v>
      </c>
      <c r="F356" s="14">
        <f>Data!G356</f>
        <v>100237930000</v>
      </c>
      <c r="G356" s="12">
        <f t="shared" si="5"/>
        <v>1.0076026111073921E-3</v>
      </c>
    </row>
    <row r="357" spans="2:7" ht="15" customHeight="1" x14ac:dyDescent="0.3">
      <c r="C357" s="3"/>
      <c r="D357" s="8">
        <v>2017</v>
      </c>
      <c r="E357" s="14">
        <f>Data!I357</f>
        <v>626270310000</v>
      </c>
      <c r="F357" s="14">
        <f>Data!G357</f>
        <v>1237823420000</v>
      </c>
      <c r="G357" s="12">
        <f t="shared" si="5"/>
        <v>0.50594478976654034</v>
      </c>
    </row>
    <row r="358" spans="2:7" ht="15" customHeight="1" x14ac:dyDescent="0.3">
      <c r="C358" s="3"/>
      <c r="D358" s="8">
        <v>2018</v>
      </c>
      <c r="E358" s="14">
        <f>Data!I358</f>
        <v>1049654000000</v>
      </c>
      <c r="F358" s="14">
        <f>Data!G358</f>
        <v>1679206000000</v>
      </c>
      <c r="G358" s="12">
        <f t="shared" si="5"/>
        <v>0.62508947681225535</v>
      </c>
    </row>
    <row r="359" spans="2:7" ht="15" customHeight="1" x14ac:dyDescent="0.3">
      <c r="C359" s="3"/>
      <c r="D359" s="8">
        <v>2019</v>
      </c>
      <c r="E359" s="14">
        <f>Data!I359</f>
        <v>1273014000000</v>
      </c>
      <c r="F359" s="14">
        <f>Data!G359</f>
        <v>1939912000000</v>
      </c>
      <c r="G359" s="12">
        <f t="shared" si="5"/>
        <v>0.65622255030125076</v>
      </c>
    </row>
    <row r="360" spans="2:7" ht="15" customHeight="1" x14ac:dyDescent="0.3">
      <c r="C360" s="3"/>
      <c r="D360" s="8">
        <v>2020</v>
      </c>
      <c r="E360" s="14">
        <f>Data!I360</f>
        <v>988783000000</v>
      </c>
      <c r="F360" s="14">
        <f>Data!G360</f>
        <v>1342235000000</v>
      </c>
      <c r="G360" s="12">
        <f t="shared" si="5"/>
        <v>0.73666906316703107</v>
      </c>
    </row>
    <row r="361" spans="2:7" ht="15" customHeight="1" x14ac:dyDescent="0.3">
      <c r="C361" s="3"/>
      <c r="D361" s="8">
        <v>2021</v>
      </c>
      <c r="E361" s="14">
        <f>Data!I361</f>
        <v>1021933000000</v>
      </c>
      <c r="F361" s="14">
        <f>Data!G361</f>
        <v>1434941000000</v>
      </c>
      <c r="G361" s="12">
        <f t="shared" si="5"/>
        <v>0.71217771323002133</v>
      </c>
    </row>
    <row r="362" spans="2:7" ht="15" customHeight="1" x14ac:dyDescent="0.3">
      <c r="C362" s="3"/>
      <c r="D362" s="8">
        <v>2022</v>
      </c>
      <c r="E362" s="14">
        <f>Data!I362</f>
        <v>857299000000</v>
      </c>
      <c r="F362" s="14">
        <f>Data!G362</f>
        <v>1681509000000</v>
      </c>
      <c r="G362" s="12">
        <f t="shared" si="5"/>
        <v>0.50983907906529191</v>
      </c>
    </row>
    <row r="363" spans="2:7" ht="15" customHeight="1" x14ac:dyDescent="0.3">
      <c r="C363" s="3"/>
      <c r="D363" s="8">
        <v>2023</v>
      </c>
      <c r="E363" s="14">
        <f>Data!I363</f>
        <v>926823000000</v>
      </c>
      <c r="F363" s="14">
        <f>Data!G363</f>
        <v>1752173000000</v>
      </c>
      <c r="G363" s="12">
        <f t="shared" si="5"/>
        <v>0.52895633022538302</v>
      </c>
    </row>
    <row r="364" spans="2:7" ht="15" customHeight="1" x14ac:dyDescent="0.3">
      <c r="C364" s="3"/>
      <c r="D364" s="8">
        <v>2024</v>
      </c>
      <c r="E364" s="14">
        <f>Data!I364</f>
        <v>1061374000000</v>
      </c>
      <c r="F364" s="14">
        <f>Data!G364</f>
        <v>1434685000000</v>
      </c>
      <c r="G364" s="12">
        <f t="shared" si="5"/>
        <v>0.73979584368694173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Data!I365</f>
        <v>0</v>
      </c>
      <c r="F365" s="14">
        <f>Data!G365</f>
        <v>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Data!I366</f>
        <v>5092671000000</v>
      </c>
      <c r="F366" s="14">
        <f>Data!G366</f>
        <v>9915762000000</v>
      </c>
      <c r="G366" s="12">
        <f t="shared" si="5"/>
        <v>0.51359350900112366</v>
      </c>
    </row>
    <row r="367" spans="2:7" ht="15" customHeight="1" x14ac:dyDescent="0.3">
      <c r="C367" s="3"/>
      <c r="D367" s="8">
        <v>2016</v>
      </c>
      <c r="E367" s="14">
        <f>Data!I367</f>
        <v>8162741000000</v>
      </c>
      <c r="F367" s="14">
        <f>Data!G367</f>
        <v>13069215000000</v>
      </c>
      <c r="G367" s="12">
        <f t="shared" si="5"/>
        <v>0.62457775773066704</v>
      </c>
    </row>
    <row r="368" spans="2:7" ht="15" customHeight="1" x14ac:dyDescent="0.3">
      <c r="C368" s="3"/>
      <c r="D368" s="8">
        <v>2017</v>
      </c>
      <c r="E368" s="14">
        <f>Data!I368</f>
        <v>10520189000000</v>
      </c>
      <c r="F368" s="14">
        <f>Data!G368</f>
        <v>15733814000000</v>
      </c>
      <c r="G368" s="12">
        <f t="shared" si="5"/>
        <v>0.66863565312263129</v>
      </c>
    </row>
    <row r="369" spans="2:7" ht="15" customHeight="1" x14ac:dyDescent="0.3">
      <c r="C369" s="3"/>
      <c r="D369" s="8">
        <v>2018</v>
      </c>
      <c r="E369" s="14">
        <f>Data!I369</f>
        <v>11409721000000</v>
      </c>
      <c r="F369" s="14">
        <f>Data!G369</f>
        <v>16472664000000</v>
      </c>
      <c r="G369" s="12">
        <f t="shared" si="5"/>
        <v>0.69264576755769436</v>
      </c>
    </row>
    <row r="370" spans="2:7" ht="15" customHeight="1" x14ac:dyDescent="0.3">
      <c r="C370" s="3"/>
      <c r="D370" s="8">
        <v>2019</v>
      </c>
      <c r="E370" s="14">
        <f>Data!I370</f>
        <v>11914384000000</v>
      </c>
      <c r="F370" s="14">
        <f>Data!G370</f>
        <v>17356774000000</v>
      </c>
      <c r="G370" s="12">
        <f t="shared" si="5"/>
        <v>0.686440003194142</v>
      </c>
    </row>
    <row r="371" spans="2:7" ht="15" customHeight="1" x14ac:dyDescent="0.3">
      <c r="C371" s="3"/>
      <c r="D371" s="8">
        <v>2020</v>
      </c>
      <c r="E371" s="14">
        <f>Data!I371</f>
        <v>13868360000000</v>
      </c>
      <c r="F371" s="14">
        <f>Data!G371</f>
        <v>19539925000000</v>
      </c>
      <c r="G371" s="12">
        <f t="shared" si="5"/>
        <v>0.70974479175329486</v>
      </c>
    </row>
    <row r="372" spans="2:7" ht="15" customHeight="1" x14ac:dyDescent="0.3">
      <c r="C372" s="3"/>
      <c r="D372" s="8">
        <v>2021</v>
      </c>
      <c r="E372" s="14">
        <f>Data!I372</f>
        <v>15977115000000</v>
      </c>
      <c r="F372" s="14">
        <f>Data!G372</f>
        <v>21685279000000</v>
      </c>
      <c r="G372" s="12">
        <f t="shared" si="5"/>
        <v>0.73677239753290702</v>
      </c>
    </row>
    <row r="373" spans="2:7" ht="15" customHeight="1" x14ac:dyDescent="0.3">
      <c r="C373" s="3"/>
      <c r="D373" s="8">
        <v>2022</v>
      </c>
      <c r="E373" s="14">
        <f>Data!I373</f>
        <v>16478385000000</v>
      </c>
      <c r="F373" s="14">
        <f>Data!G373</f>
        <v>22212474000000</v>
      </c>
      <c r="G373" s="12">
        <f t="shared" si="5"/>
        <v>0.74185275354739866</v>
      </c>
    </row>
    <row r="374" spans="2:7" ht="15" customHeight="1" x14ac:dyDescent="0.3">
      <c r="C374" s="3"/>
      <c r="D374" s="8">
        <v>2023</v>
      </c>
      <c r="E374" s="14">
        <f>Data!I374</f>
        <v>17574494000000</v>
      </c>
      <c r="F374" s="14">
        <f>Data!G374</f>
        <v>23602266000000</v>
      </c>
      <c r="G374" s="12">
        <f t="shared" si="5"/>
        <v>0.74461045392844905</v>
      </c>
    </row>
    <row r="375" spans="2:7" ht="15" customHeight="1" x14ac:dyDescent="0.3">
      <c r="C375" s="3"/>
      <c r="D375" s="8">
        <v>2024</v>
      </c>
      <c r="E375" s="14">
        <f>Data!I375</f>
        <v>19242677000000</v>
      </c>
      <c r="F375" s="14">
        <f>Data!G375</f>
        <v>25240685000000</v>
      </c>
      <c r="G375" s="12">
        <f t="shared" si="5"/>
        <v>0.76236746348207274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Data!I376</f>
        <v>0</v>
      </c>
      <c r="F376" s="14">
        <f>Data!G376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Data!I377</f>
        <v>0</v>
      </c>
      <c r="F377" s="14">
        <f>Data!G377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Data!I378</f>
        <v>0</v>
      </c>
      <c r="F378" s="14">
        <f>Data!G378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Data!I379</f>
        <v>0</v>
      </c>
      <c r="F379" s="14">
        <f>Data!G379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Data!I380</f>
        <v>0</v>
      </c>
      <c r="F380" s="14">
        <f>Data!G380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Data!I381</f>
        <v>0</v>
      </c>
      <c r="F381" s="14">
        <f>Data!G381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Data!I382</f>
        <v>5033827000000</v>
      </c>
      <c r="F382" s="14">
        <f>Data!G382</f>
        <v>6861957190000</v>
      </c>
      <c r="G382" s="12">
        <f t="shared" si="5"/>
        <v>0.73358472817869624</v>
      </c>
    </row>
    <row r="383" spans="2:7" ht="15" customHeight="1" x14ac:dyDescent="0.3">
      <c r="C383" s="3"/>
      <c r="D383" s="8">
        <v>2021</v>
      </c>
      <c r="E383" s="14">
        <f>Data!I383</f>
        <v>5012332090000</v>
      </c>
      <c r="F383" s="14">
        <f>Data!G383</f>
        <v>6975768190000</v>
      </c>
      <c r="G383" s="12">
        <f t="shared" si="5"/>
        <v>0.7185347840522206</v>
      </c>
    </row>
    <row r="384" spans="2:7" ht="15" customHeight="1" x14ac:dyDescent="0.3">
      <c r="C384" s="3"/>
      <c r="D384" s="8">
        <v>2022</v>
      </c>
      <c r="E384" s="14">
        <f>Data!I384</f>
        <v>4075878680000</v>
      </c>
      <c r="F384" s="14">
        <f>Data!G384</f>
        <v>6087701790000</v>
      </c>
      <c r="G384" s="12">
        <f t="shared" si="5"/>
        <v>0.66952666549719408</v>
      </c>
    </row>
    <row r="385" spans="2:7" ht="15" customHeight="1" x14ac:dyDescent="0.3">
      <c r="C385" s="3"/>
      <c r="D385" s="8">
        <v>2023</v>
      </c>
      <c r="E385" s="14">
        <f>Data!I385</f>
        <v>2695567140000</v>
      </c>
      <c r="F385" s="14">
        <f>Data!G385</f>
        <v>4352235559999.9995</v>
      </c>
      <c r="G385" s="12">
        <f t="shared" si="5"/>
        <v>0.61935230821927301</v>
      </c>
    </row>
    <row r="386" spans="2:7" ht="15" customHeight="1" x14ac:dyDescent="0.3">
      <c r="C386" s="3"/>
      <c r="D386" s="8">
        <v>2024</v>
      </c>
      <c r="E386" s="14">
        <f>Data!I386</f>
        <v>2764697080000</v>
      </c>
      <c r="F386" s="14">
        <f>Data!G386</f>
        <v>4260842769999.9995</v>
      </c>
      <c r="G386" s="12">
        <f t="shared" si="5"/>
        <v>0.64886155843765159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Data!I387</f>
        <v>0</v>
      </c>
      <c r="F387" s="14">
        <f>Data!G387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Data!I388</f>
        <v>0</v>
      </c>
      <c r="F388" s="14">
        <f>Data!G388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Data!I389</f>
        <v>895480000</v>
      </c>
      <c r="F389" s="14">
        <f>Data!G389</f>
        <v>53760200000</v>
      </c>
      <c r="G389" s="12">
        <f t="shared" si="6"/>
        <v>1.6656932079865773E-2</v>
      </c>
    </row>
    <row r="390" spans="2:7" ht="15" customHeight="1" x14ac:dyDescent="0.3">
      <c r="C390" s="4"/>
      <c r="D390" s="8">
        <v>2017</v>
      </c>
      <c r="E390" s="14">
        <f>Data!I390</f>
        <v>19464980000</v>
      </c>
      <c r="F390" s="14">
        <f>Data!G390</f>
        <v>778476670000</v>
      </c>
      <c r="G390" s="12">
        <f t="shared" si="6"/>
        <v>2.5003934928454569E-2</v>
      </c>
    </row>
    <row r="391" spans="2:7" ht="15" customHeight="1" x14ac:dyDescent="0.3">
      <c r="C391" s="4"/>
      <c r="D391" s="8">
        <v>2018</v>
      </c>
      <c r="E391" s="14">
        <f>Data!I391</f>
        <v>80879010000</v>
      </c>
      <c r="F391" s="14">
        <f>Data!G391</f>
        <v>1964847040000</v>
      </c>
      <c r="G391" s="12">
        <f t="shared" si="6"/>
        <v>4.1163005747256537E-2</v>
      </c>
    </row>
    <row r="392" spans="2:7" ht="15" customHeight="1" x14ac:dyDescent="0.3">
      <c r="C392" s="4"/>
      <c r="D392" s="8">
        <v>2019</v>
      </c>
      <c r="E392" s="14">
        <f>Data!I392</f>
        <v>199851940000</v>
      </c>
      <c r="F392" s="14">
        <f>Data!G392</f>
        <v>3207673580000</v>
      </c>
      <c r="G392" s="12">
        <f t="shared" si="6"/>
        <v>6.2304325865975431E-2</v>
      </c>
    </row>
    <row r="393" spans="2:7" ht="15" customHeight="1" x14ac:dyDescent="0.3">
      <c r="C393" s="4"/>
      <c r="D393" s="8">
        <v>2020</v>
      </c>
      <c r="E393" s="14">
        <f>Data!I393</f>
        <v>369297450000</v>
      </c>
      <c r="F393" s="14">
        <f>Data!G393</f>
        <v>3055349430000</v>
      </c>
      <c r="G393" s="12">
        <f t="shared" si="6"/>
        <v>0.12086913738046649</v>
      </c>
    </row>
    <row r="394" spans="2:7" ht="15" customHeight="1" x14ac:dyDescent="0.3">
      <c r="C394" s="4"/>
      <c r="D394" s="8">
        <v>2021</v>
      </c>
      <c r="E394" s="14">
        <f>Data!I394</f>
        <v>394754750000</v>
      </c>
      <c r="F394" s="14">
        <f>Data!G394</f>
        <v>3988679990000</v>
      </c>
      <c r="G394" s="12">
        <f t="shared" si="6"/>
        <v>9.8968769364724096E-2</v>
      </c>
    </row>
    <row r="395" spans="2:7" ht="15" customHeight="1" x14ac:dyDescent="0.3">
      <c r="C395" s="4"/>
      <c r="D395" s="8">
        <v>2022</v>
      </c>
      <c r="E395" s="14">
        <f>Data!I395</f>
        <v>335452410000</v>
      </c>
      <c r="F395" s="14">
        <f>Data!G395</f>
        <v>4245491780000.0005</v>
      </c>
      <c r="G395" s="12">
        <f t="shared" si="6"/>
        <v>7.9013793309005056E-2</v>
      </c>
    </row>
    <row r="396" spans="2:7" ht="15" customHeight="1" x14ac:dyDescent="0.3">
      <c r="C396" s="4"/>
      <c r="D396" s="8">
        <v>2023</v>
      </c>
      <c r="E396" s="14">
        <f>Data!I396</f>
        <v>287061980000</v>
      </c>
      <c r="F396" s="14">
        <f>Data!G396</f>
        <v>3240789950000</v>
      </c>
      <c r="G396" s="12">
        <f t="shared" si="6"/>
        <v>8.8577780241511792E-2</v>
      </c>
    </row>
    <row r="397" spans="2:7" ht="15" customHeight="1" x14ac:dyDescent="0.3">
      <c r="C397" s="4"/>
      <c r="D397" s="8">
        <v>2024</v>
      </c>
      <c r="E397" s="14">
        <f>Data!I397</f>
        <v>0</v>
      </c>
      <c r="F397" s="14">
        <f>Data!G397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Data!I398</f>
        <v>0</v>
      </c>
      <c r="F398" s="14">
        <f>Data!G398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Data!I399</f>
        <v>0</v>
      </c>
      <c r="F399" s="14">
        <f>Data!G399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Data!I400</f>
        <v>0</v>
      </c>
      <c r="F400" s="14">
        <f>Data!G400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Data!I401</f>
        <v>25608960000</v>
      </c>
      <c r="F401" s="14">
        <f>Data!G401</f>
        <v>140505220000</v>
      </c>
      <c r="G401" s="12">
        <f t="shared" si="6"/>
        <v>0.18226340629906845</v>
      </c>
    </row>
    <row r="402" spans="2:7" ht="15" customHeight="1" x14ac:dyDescent="0.3">
      <c r="C402" s="3"/>
      <c r="D402" s="8">
        <v>2018</v>
      </c>
      <c r="E402" s="14">
        <f>Data!I402</f>
        <v>31570190000</v>
      </c>
      <c r="F402" s="14">
        <f>Data!G402</f>
        <v>143642400000</v>
      </c>
      <c r="G402" s="12">
        <f t="shared" si="6"/>
        <v>0.21978322556571039</v>
      </c>
    </row>
    <row r="403" spans="2:7" ht="15" customHeight="1" x14ac:dyDescent="0.3">
      <c r="C403" s="3"/>
      <c r="D403" s="8">
        <v>2019</v>
      </c>
      <c r="E403" s="14">
        <f>Data!I403</f>
        <v>39292500000</v>
      </c>
      <c r="F403" s="14">
        <f>Data!G403</f>
        <v>157594280000</v>
      </c>
      <c r="G403" s="12">
        <f t="shared" si="6"/>
        <v>0.24932694257684987</v>
      </c>
    </row>
    <row r="404" spans="2:7" ht="15" customHeight="1" x14ac:dyDescent="0.3">
      <c r="C404" s="3"/>
      <c r="D404" s="8">
        <v>2020</v>
      </c>
      <c r="E404" s="14">
        <f>Data!I404</f>
        <v>48075880000</v>
      </c>
      <c r="F404" s="14">
        <f>Data!G404</f>
        <v>169752220000</v>
      </c>
      <c r="G404" s="12">
        <f t="shared" si="6"/>
        <v>0.28321208405993159</v>
      </c>
    </row>
    <row r="405" spans="2:7" ht="15" customHeight="1" x14ac:dyDescent="0.3">
      <c r="C405" s="3"/>
      <c r="D405" s="8">
        <v>2021</v>
      </c>
      <c r="E405" s="14">
        <f>Data!I405</f>
        <v>44041980000</v>
      </c>
      <c r="F405" s="14">
        <f>Data!G405</f>
        <v>171563860000</v>
      </c>
      <c r="G405" s="12">
        <f t="shared" si="6"/>
        <v>0.25670895956759193</v>
      </c>
    </row>
    <row r="406" spans="2:7" ht="15" customHeight="1" x14ac:dyDescent="0.3">
      <c r="C406" s="3"/>
      <c r="D406" s="8">
        <v>2022</v>
      </c>
      <c r="E406" s="14">
        <f>Data!I406</f>
        <v>47227500000</v>
      </c>
      <c r="F406" s="14">
        <f>Data!G406</f>
        <v>176564460000</v>
      </c>
      <c r="G406" s="12">
        <f t="shared" si="6"/>
        <v>0.26748021657359583</v>
      </c>
    </row>
    <row r="407" spans="2:7" ht="15" customHeight="1" x14ac:dyDescent="0.3">
      <c r="C407" s="3"/>
      <c r="D407" s="8">
        <v>2023</v>
      </c>
      <c r="E407" s="14">
        <f>Data!I407</f>
        <v>61888120000</v>
      </c>
      <c r="F407" s="14">
        <f>Data!G407</f>
        <v>181228690000</v>
      </c>
      <c r="G407" s="12">
        <f t="shared" si="6"/>
        <v>0.34149184657241632</v>
      </c>
    </row>
    <row r="408" spans="2:7" ht="15" customHeight="1" x14ac:dyDescent="0.3">
      <c r="C408" s="3"/>
      <c r="D408" s="8">
        <v>2024</v>
      </c>
      <c r="E408" s="14">
        <f>Data!I408</f>
        <v>84425000000</v>
      </c>
      <c r="F408" s="14">
        <f>Data!G408</f>
        <v>207086000000</v>
      </c>
      <c r="G408" s="12">
        <f t="shared" si="6"/>
        <v>0.40768086688622118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Data!I409</f>
        <v>0</v>
      </c>
      <c r="F409" s="14">
        <f>Data!G409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Data!I410</f>
        <v>0</v>
      </c>
      <c r="F410" s="14">
        <f>Data!G410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Data!I411</f>
        <v>0</v>
      </c>
      <c r="F411" s="14">
        <f>Data!G411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Data!I412</f>
        <v>444000000</v>
      </c>
      <c r="F412" s="14">
        <f>Data!G412</f>
        <v>107161000000</v>
      </c>
      <c r="G412" s="12">
        <f t="shared" si="6"/>
        <v>4.1432984014706841E-3</v>
      </c>
    </row>
    <row r="413" spans="2:7" ht="15" customHeight="1" x14ac:dyDescent="0.3">
      <c r="C413" s="3"/>
      <c r="D413" s="8">
        <v>2018</v>
      </c>
      <c r="E413" s="14">
        <f>Data!I413</f>
        <v>11583000000</v>
      </c>
      <c r="F413" s="14">
        <f>Data!G413</f>
        <v>382472000000</v>
      </c>
      <c r="G413" s="12">
        <f t="shared" si="6"/>
        <v>3.02845698508649E-2</v>
      </c>
    </row>
    <row r="414" spans="2:7" ht="15" customHeight="1" x14ac:dyDescent="0.3">
      <c r="C414" s="3"/>
      <c r="D414" s="8">
        <v>2019</v>
      </c>
      <c r="E414" s="14">
        <f>Data!I414</f>
        <v>48812000000</v>
      </c>
      <c r="F414" s="14">
        <f>Data!G414</f>
        <v>387737000000</v>
      </c>
      <c r="G414" s="12">
        <f t="shared" si="6"/>
        <v>0.12588945599723525</v>
      </c>
    </row>
    <row r="415" spans="2:7" ht="15" customHeight="1" x14ac:dyDescent="0.3">
      <c r="C415" s="3"/>
      <c r="D415" s="8">
        <v>2020</v>
      </c>
      <c r="E415" s="14">
        <f>Data!I415</f>
        <v>138906000000</v>
      </c>
      <c r="F415" s="14">
        <f>Data!G415</f>
        <v>449491000000</v>
      </c>
      <c r="G415" s="12">
        <f t="shared" si="6"/>
        <v>0.30902954675399508</v>
      </c>
    </row>
    <row r="416" spans="2:7" ht="15" customHeight="1" x14ac:dyDescent="0.3">
      <c r="C416" s="3"/>
      <c r="D416" s="8">
        <v>2021</v>
      </c>
      <c r="E416" s="14">
        <f>Data!I416</f>
        <v>164477000000</v>
      </c>
      <c r="F416" s="14">
        <f>Data!G416</f>
        <v>425122000000</v>
      </c>
      <c r="G416" s="12">
        <f t="shared" si="6"/>
        <v>0.38689364464788933</v>
      </c>
    </row>
    <row r="417" spans="2:7" ht="15" customHeight="1" x14ac:dyDescent="0.3">
      <c r="C417" s="3"/>
      <c r="D417" s="8">
        <v>2022</v>
      </c>
      <c r="E417" s="14">
        <f>Data!I417</f>
        <v>168319000000</v>
      </c>
      <c r="F417" s="14">
        <f>Data!G417</f>
        <v>392960000000</v>
      </c>
      <c r="G417" s="12">
        <f t="shared" si="6"/>
        <v>0.42833621742671008</v>
      </c>
    </row>
    <row r="418" spans="2:7" ht="15" customHeight="1" x14ac:dyDescent="0.3">
      <c r="C418" s="3"/>
      <c r="D418" s="8">
        <v>2023</v>
      </c>
      <c r="E418" s="14">
        <f>Data!I418</f>
        <v>200905000000</v>
      </c>
      <c r="F418" s="14">
        <f>Data!G418</f>
        <v>377348000000</v>
      </c>
      <c r="G418" s="12">
        <f t="shared" si="6"/>
        <v>0.53241305108282011</v>
      </c>
    </row>
    <row r="419" spans="2:7" ht="15" customHeight="1" x14ac:dyDescent="0.3">
      <c r="C419" s="3"/>
      <c r="D419" s="8">
        <v>2024</v>
      </c>
      <c r="E419" s="14">
        <f>Data!I419</f>
        <v>251721000000</v>
      </c>
      <c r="F419" s="14">
        <f>Data!G419</f>
        <v>378530000000</v>
      </c>
      <c r="G419" s="12">
        <f t="shared" si="6"/>
        <v>0.66499616939212214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Data!I420</f>
        <v>0</v>
      </c>
      <c r="F420" s="14">
        <f>Data!G420</f>
        <v>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Data!I421</f>
        <v>1233374000000</v>
      </c>
      <c r="F421" s="14">
        <f>Data!G421</f>
        <v>1642577000000</v>
      </c>
      <c r="G421" s="12">
        <f t="shared" si="6"/>
        <v>0.7508774322299655</v>
      </c>
    </row>
    <row r="422" spans="2:7" ht="15" customHeight="1" x14ac:dyDescent="0.3">
      <c r="C422" s="3"/>
      <c r="D422" s="8">
        <v>2016</v>
      </c>
      <c r="E422" s="14">
        <f>Data!I422</f>
        <v>1642680000000</v>
      </c>
      <c r="F422" s="14">
        <f>Data!G422</f>
        <v>2028209000000</v>
      </c>
      <c r="G422" s="12">
        <f t="shared" si="6"/>
        <v>0.80991653227058946</v>
      </c>
    </row>
    <row r="423" spans="2:7" ht="15" customHeight="1" x14ac:dyDescent="0.3">
      <c r="C423" s="3"/>
      <c r="D423" s="8">
        <v>2017</v>
      </c>
      <c r="E423" s="14">
        <f>Data!I423</f>
        <v>2116641000000</v>
      </c>
      <c r="F423" s="14">
        <f>Data!G423</f>
        <v>2626619000000</v>
      </c>
      <c r="G423" s="12">
        <f t="shared" si="6"/>
        <v>0.80584241566820314</v>
      </c>
    </row>
    <row r="424" spans="2:7" ht="15" customHeight="1" x14ac:dyDescent="0.3">
      <c r="C424" s="3"/>
      <c r="D424" s="8">
        <v>2018</v>
      </c>
      <c r="E424" s="14">
        <f>Data!I424</f>
        <v>2135770000000</v>
      </c>
      <c r="F424" s="14">
        <f>Data!G424</f>
        <v>2735670000000</v>
      </c>
      <c r="G424" s="12">
        <f t="shared" si="6"/>
        <v>0.78071185486553574</v>
      </c>
    </row>
    <row r="425" spans="2:7" ht="15" customHeight="1" x14ac:dyDescent="0.3">
      <c r="C425" s="3"/>
      <c r="D425" s="8">
        <v>2019</v>
      </c>
      <c r="E425" s="14">
        <f>Data!I425</f>
        <v>2022525000000</v>
      </c>
      <c r="F425" s="14">
        <f>Data!G425</f>
        <v>2726383000000</v>
      </c>
      <c r="G425" s="12">
        <f t="shared" si="6"/>
        <v>0.7418345111453527</v>
      </c>
    </row>
    <row r="426" spans="2:7" ht="15" customHeight="1" x14ac:dyDescent="0.3">
      <c r="C426" s="3"/>
      <c r="D426" s="8">
        <v>2020</v>
      </c>
      <c r="E426" s="14">
        <f>Data!I426</f>
        <v>1907139000000</v>
      </c>
      <c r="F426" s="14">
        <f>Data!G426</f>
        <v>2741223000000</v>
      </c>
      <c r="G426" s="12">
        <f t="shared" si="6"/>
        <v>0.69572559401405865</v>
      </c>
    </row>
    <row r="427" spans="2:7" ht="15" customHeight="1" x14ac:dyDescent="0.3">
      <c r="C427" s="3"/>
      <c r="D427" s="8">
        <v>2021</v>
      </c>
      <c r="E427" s="14">
        <f>Data!I427</f>
        <v>1826530000000</v>
      </c>
      <c r="F427" s="14">
        <f>Data!G427</f>
        <v>2690231000000</v>
      </c>
      <c r="G427" s="12">
        <f t="shared" si="6"/>
        <v>0.67894913113409217</v>
      </c>
    </row>
    <row r="428" spans="2:7" ht="15" customHeight="1" x14ac:dyDescent="0.3">
      <c r="C428" s="3"/>
      <c r="D428" s="8">
        <v>2022</v>
      </c>
      <c r="E428" s="14">
        <f>Data!I428</f>
        <v>1849667000000</v>
      </c>
      <c r="F428" s="14">
        <f>Data!G428</f>
        <v>2650010000000</v>
      </c>
      <c r="G428" s="12">
        <f t="shared" si="6"/>
        <v>0.6979849132644782</v>
      </c>
    </row>
    <row r="429" spans="2:7" ht="15" customHeight="1" x14ac:dyDescent="0.3">
      <c r="C429" s="3"/>
      <c r="D429" s="8">
        <v>2023</v>
      </c>
      <c r="E429" s="14">
        <f>Data!I429</f>
        <v>2839439000000</v>
      </c>
      <c r="F429" s="14">
        <f>Data!G429</f>
        <v>4022226000000</v>
      </c>
      <c r="G429" s="12">
        <f t="shared" si="6"/>
        <v>0.70593720989322828</v>
      </c>
    </row>
    <row r="430" spans="2:7" ht="15" customHeight="1" x14ac:dyDescent="0.3">
      <c r="C430" s="3"/>
      <c r="D430" s="8">
        <v>2024</v>
      </c>
      <c r="E430" s="14">
        <f>Data!I430</f>
        <v>2602124000000</v>
      </c>
      <c r="F430" s="14">
        <f>Data!G430</f>
        <v>3619977000000</v>
      </c>
      <c r="G430" s="12">
        <f t="shared" si="6"/>
        <v>0.71882335164007949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Data!I431</f>
        <v>0</v>
      </c>
      <c r="F431" s="14">
        <f>Data!G431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Data!I432</f>
        <v>0</v>
      </c>
      <c r="F432" s="14">
        <f>Data!G432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Data!I433</f>
        <v>0</v>
      </c>
      <c r="F433" s="14">
        <f>Data!G433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Data!I434</f>
        <v>0</v>
      </c>
      <c r="F434" s="14">
        <f>Data!G434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>
        <f>Data!I435</f>
        <v>1940821000000</v>
      </c>
      <c r="F435" s="14">
        <f>Data!G435</f>
        <v>2378498000000</v>
      </c>
      <c r="G435" s="12">
        <f t="shared" si="6"/>
        <v>0.81598597097832326</v>
      </c>
    </row>
    <row r="436" spans="2:7" ht="15" customHeight="1" x14ac:dyDescent="0.3">
      <c r="C436" s="3"/>
      <c r="D436" s="8">
        <v>2019</v>
      </c>
      <c r="E436" s="14">
        <f>Data!I436</f>
        <v>2024926000000</v>
      </c>
      <c r="F436" s="14">
        <f>Data!G436</f>
        <v>2492624000000</v>
      </c>
      <c r="G436" s="12">
        <f t="shared" si="6"/>
        <v>0.81236720821110608</v>
      </c>
    </row>
    <row r="437" spans="2:7" ht="15" customHeight="1" x14ac:dyDescent="0.3">
      <c r="C437" s="3"/>
      <c r="D437" s="8">
        <v>2020</v>
      </c>
      <c r="E437" s="14">
        <f>Data!I437</f>
        <v>1964870000000</v>
      </c>
      <c r="F437" s="14">
        <f>Data!G437</f>
        <v>2412636000000</v>
      </c>
      <c r="G437" s="12">
        <f t="shared" si="6"/>
        <v>0.81440797534315168</v>
      </c>
    </row>
    <row r="438" spans="2:7" ht="15" customHeight="1" x14ac:dyDescent="0.3">
      <c r="C438" s="3"/>
      <c r="D438" s="8">
        <v>2021</v>
      </c>
      <c r="E438" s="14">
        <f>Data!I438</f>
        <v>2028693000000</v>
      </c>
      <c r="F438" s="14">
        <f>Data!G438</f>
        <v>2456501000000</v>
      </c>
      <c r="G438" s="12">
        <f t="shared" si="6"/>
        <v>0.82584660051023795</v>
      </c>
    </row>
    <row r="439" spans="2:7" ht="15" customHeight="1" x14ac:dyDescent="0.3">
      <c r="C439" s="3"/>
      <c r="D439" s="8">
        <v>2022</v>
      </c>
      <c r="E439" s="14">
        <f>Data!I439</f>
        <v>2074104000000</v>
      </c>
      <c r="F439" s="14">
        <f>Data!G439</f>
        <v>2561445000000</v>
      </c>
      <c r="G439" s="12">
        <f t="shared" si="6"/>
        <v>0.80973981483108171</v>
      </c>
    </row>
    <row r="440" spans="2:7" ht="15" customHeight="1" x14ac:dyDescent="0.3">
      <c r="C440" s="3"/>
      <c r="D440" s="8">
        <v>2023</v>
      </c>
      <c r="E440" s="14">
        <f>Data!I440</f>
        <v>2042909000000</v>
      </c>
      <c r="F440" s="14">
        <f>Data!G440</f>
        <v>2481923000000</v>
      </c>
      <c r="G440" s="12">
        <f t="shared" si="6"/>
        <v>0.82311538270929441</v>
      </c>
    </row>
    <row r="441" spans="2:7" ht="15" customHeight="1" x14ac:dyDescent="0.3">
      <c r="C441" s="3"/>
      <c r="D441" s="8">
        <v>2024</v>
      </c>
      <c r="E441" s="14">
        <f>Data!I441</f>
        <v>1909084000000</v>
      </c>
      <c r="F441" s="14">
        <f>Data!G441</f>
        <v>2348307000000</v>
      </c>
      <c r="G441" s="12">
        <f t="shared" si="6"/>
        <v>0.81296184868503141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Data!I442</f>
        <v>0</v>
      </c>
      <c r="F442" s="14">
        <f>Data!G442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Data!I443</f>
        <v>0</v>
      </c>
      <c r="F443" s="14">
        <f>Data!G443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Data!I444</f>
        <v>0</v>
      </c>
      <c r="F444" s="14">
        <f>Data!G444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Data!I445</f>
        <v>0</v>
      </c>
      <c r="F445" s="14">
        <f>Data!G445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Data!I446</f>
        <v>1094703000000</v>
      </c>
      <c r="F446" s="14">
        <f>Data!G446</f>
        <v>1484207000000</v>
      </c>
      <c r="G446" s="12">
        <f t="shared" si="6"/>
        <v>0.73756760344076</v>
      </c>
    </row>
    <row r="447" spans="2:7" ht="15" customHeight="1" x14ac:dyDescent="0.3">
      <c r="C447" s="3"/>
      <c r="D447" s="8">
        <v>2019</v>
      </c>
      <c r="E447" s="14">
        <f>Data!I447</f>
        <v>1522450000000</v>
      </c>
      <c r="F447" s="14">
        <f>Data!G447</f>
        <v>7538924000000</v>
      </c>
      <c r="G447" s="12">
        <f t="shared" si="6"/>
        <v>0.20194526433745719</v>
      </c>
    </row>
    <row r="448" spans="2:7" ht="15" customHeight="1" x14ac:dyDescent="0.3">
      <c r="C448" s="3"/>
      <c r="D448" s="8">
        <v>2020</v>
      </c>
      <c r="E448" s="14">
        <f>Data!I448</f>
        <v>7824000000000</v>
      </c>
      <c r="F448" s="14">
        <f>Data!G448</f>
        <v>13444989000000</v>
      </c>
      <c r="G448" s="12">
        <f t="shared" si="6"/>
        <v>0.58192684278135143</v>
      </c>
    </row>
    <row r="449" spans="2:7" ht="15" customHeight="1" x14ac:dyDescent="0.3">
      <c r="C449" s="3"/>
      <c r="D449" s="8">
        <v>2021</v>
      </c>
      <c r="E449" s="14">
        <f>Data!I449</f>
        <v>8031898000000</v>
      </c>
      <c r="F449" s="14">
        <f>Data!G449</f>
        <v>13618419000000</v>
      </c>
      <c r="G449" s="12">
        <f t="shared" si="6"/>
        <v>0.58978197102027774</v>
      </c>
    </row>
    <row r="450" spans="2:7" ht="15" customHeight="1" x14ac:dyDescent="0.3">
      <c r="C450" s="3"/>
      <c r="D450" s="8">
        <v>2022</v>
      </c>
      <c r="E450" s="14">
        <f>Data!I450</f>
        <v>7225617000000</v>
      </c>
      <c r="F450" s="14">
        <f>Data!G450</f>
        <v>12421466000000</v>
      </c>
      <c r="G450" s="12">
        <f t="shared" si="6"/>
        <v>0.58170404362898875</v>
      </c>
    </row>
    <row r="451" spans="2:7" ht="15" customHeight="1" x14ac:dyDescent="0.3">
      <c r="C451" s="3"/>
      <c r="D451" s="8">
        <v>2023</v>
      </c>
      <c r="E451" s="14">
        <f>Data!I451</f>
        <v>6461975000000</v>
      </c>
      <c r="F451" s="14">
        <f>Data!G451</f>
        <v>9777097000000</v>
      </c>
      <c r="G451" s="12">
        <f t="shared" ref="G451:G514" si="7">IFERROR(E451/F451,0)</f>
        <v>0.66092982405718181</v>
      </c>
    </row>
    <row r="452" spans="2:7" ht="15" customHeight="1" x14ac:dyDescent="0.3">
      <c r="C452" s="3"/>
      <c r="D452" s="8">
        <v>2024</v>
      </c>
      <c r="E452" s="14">
        <f>Data!I452</f>
        <v>5359980000000</v>
      </c>
      <c r="F452" s="14">
        <f>Data!G452</f>
        <v>7842866000000</v>
      </c>
      <c r="G452" s="12">
        <f t="shared" si="7"/>
        <v>0.68342108611826335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Data!I453</f>
        <v>0</v>
      </c>
      <c r="F453" s="14">
        <f>Data!G453</f>
        <v>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Data!I454</f>
        <v>2284481460000</v>
      </c>
      <c r="F454" s="14">
        <f>Data!G454</f>
        <v>2405430040000</v>
      </c>
      <c r="G454" s="12">
        <f t="shared" si="7"/>
        <v>0.94971852101755572</v>
      </c>
    </row>
    <row r="455" spans="2:7" ht="15" customHeight="1" x14ac:dyDescent="0.3">
      <c r="C455" s="3"/>
      <c r="D455" s="8">
        <v>2016</v>
      </c>
      <c r="E455" s="14">
        <f>Data!I455</f>
        <v>2326479790000</v>
      </c>
      <c r="F455" s="14">
        <f>Data!G455</f>
        <v>2607832010000</v>
      </c>
      <c r="G455" s="12">
        <f t="shared" si="7"/>
        <v>0.89211259815773181</v>
      </c>
    </row>
    <row r="456" spans="2:7" ht="15" customHeight="1" x14ac:dyDescent="0.3">
      <c r="C456" s="3"/>
      <c r="D456" s="8">
        <v>2017</v>
      </c>
      <c r="E456" s="14">
        <f>Data!I456</f>
        <v>2989222780000</v>
      </c>
      <c r="F456" s="14">
        <f>Data!G456</f>
        <v>3661165660000</v>
      </c>
      <c r="G456" s="12">
        <f t="shared" si="7"/>
        <v>0.81646750177373839</v>
      </c>
    </row>
    <row r="457" spans="2:7" ht="15" customHeight="1" x14ac:dyDescent="0.3">
      <c r="C457" s="3"/>
      <c r="D457" s="8">
        <v>2018</v>
      </c>
      <c r="E457" s="14">
        <f>Data!I457</f>
        <v>3976839290000</v>
      </c>
      <c r="F457" s="14">
        <f>Data!G457</f>
        <v>4552765330000</v>
      </c>
      <c r="G457" s="12">
        <f t="shared" si="7"/>
        <v>0.87349973076692711</v>
      </c>
    </row>
    <row r="458" spans="2:7" ht="15" customHeight="1" x14ac:dyDescent="0.3">
      <c r="C458" s="3"/>
      <c r="D458" s="8">
        <v>2019</v>
      </c>
      <c r="E458" s="14">
        <f>Data!I458</f>
        <v>5179089530000</v>
      </c>
      <c r="F458" s="14">
        <f>Data!G458</f>
        <v>5934705760000</v>
      </c>
      <c r="G458" s="12">
        <f t="shared" si="7"/>
        <v>0.87267840048737311</v>
      </c>
    </row>
    <row r="459" spans="2:7" ht="15" customHeight="1" x14ac:dyDescent="0.3">
      <c r="C459" s="3"/>
      <c r="D459" s="8">
        <v>2020</v>
      </c>
      <c r="E459" s="14">
        <f>Data!I459</f>
        <v>6174520620000</v>
      </c>
      <c r="F459" s="14">
        <f>Data!G459</f>
        <v>7033128220000</v>
      </c>
      <c r="G459" s="12">
        <f t="shared" si="7"/>
        <v>0.87791952981059118</v>
      </c>
    </row>
    <row r="460" spans="2:7" ht="15" customHeight="1" x14ac:dyDescent="0.3">
      <c r="C460" s="3"/>
      <c r="D460" s="8">
        <v>2021</v>
      </c>
      <c r="E460" s="14">
        <f>Data!I460</f>
        <v>7327543120000</v>
      </c>
      <c r="F460" s="14">
        <f>Data!G460</f>
        <v>8154877340000</v>
      </c>
      <c r="G460" s="12">
        <f t="shared" si="7"/>
        <v>0.89854731279134115</v>
      </c>
    </row>
    <row r="461" spans="2:7" ht="15" customHeight="1" x14ac:dyDescent="0.3">
      <c r="C461" s="3"/>
      <c r="D461" s="8">
        <v>2022</v>
      </c>
      <c r="E461" s="14">
        <f>Data!I461</f>
        <v>9503394000000</v>
      </c>
      <c r="F461" s="14">
        <f>Data!G461</f>
        <v>9927373960000</v>
      </c>
      <c r="G461" s="12">
        <f t="shared" si="7"/>
        <v>0.95729183148450669</v>
      </c>
    </row>
    <row r="462" spans="2:7" ht="15" customHeight="1" x14ac:dyDescent="0.3">
      <c r="C462" s="3"/>
      <c r="D462" s="8">
        <v>2023</v>
      </c>
      <c r="E462" s="14">
        <f>Data!I462</f>
        <v>11099363410000</v>
      </c>
      <c r="F462" s="14">
        <f>Data!G462</f>
        <v>12202897890000</v>
      </c>
      <c r="G462" s="12">
        <f t="shared" si="7"/>
        <v>0.90956783462850066</v>
      </c>
    </row>
    <row r="463" spans="2:7" ht="15" customHeight="1" x14ac:dyDescent="0.3">
      <c r="C463" s="3"/>
      <c r="D463" s="8">
        <v>2024</v>
      </c>
      <c r="E463" s="14">
        <f>Data!I463</f>
        <v>12900621940000</v>
      </c>
      <c r="F463" s="14">
        <f>Data!G463</f>
        <v>13904807770000</v>
      </c>
      <c r="G463" s="12">
        <f t="shared" si="7"/>
        <v>0.92778139427669337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Data!I464</f>
        <v>0</v>
      </c>
      <c r="F464" s="14">
        <f>Data!G464</f>
        <v>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Data!I465</f>
        <v>104803500000</v>
      </c>
      <c r="F465" s="14">
        <f>Data!G465</f>
        <v>397316560000</v>
      </c>
      <c r="G465" s="12">
        <f t="shared" si="7"/>
        <v>0.26377833332695722</v>
      </c>
    </row>
    <row r="466" spans="2:7" ht="15" customHeight="1" x14ac:dyDescent="0.3">
      <c r="C466" s="3"/>
      <c r="D466" s="8">
        <v>2016</v>
      </c>
      <c r="E466" s="14">
        <f>Data!I466</f>
        <v>298194120000</v>
      </c>
      <c r="F466" s="14">
        <f>Data!G466</f>
        <v>2179146730000</v>
      </c>
      <c r="G466" s="12">
        <f t="shared" si="7"/>
        <v>0.13683985382663974</v>
      </c>
    </row>
    <row r="467" spans="2:7" ht="15" customHeight="1" x14ac:dyDescent="0.3">
      <c r="C467" s="3"/>
      <c r="D467" s="8">
        <v>2017</v>
      </c>
      <c r="E467" s="14">
        <f>Data!I467</f>
        <v>268039320000</v>
      </c>
      <c r="F467" s="14">
        <f>Data!G467</f>
        <v>2092063190000</v>
      </c>
      <c r="G467" s="12">
        <f t="shared" si="7"/>
        <v>0.12812199998605206</v>
      </c>
    </row>
    <row r="468" spans="2:7" ht="15" customHeight="1" x14ac:dyDescent="0.3">
      <c r="C468" s="3"/>
      <c r="D468" s="8">
        <v>2018</v>
      </c>
      <c r="E468" s="14">
        <f>Data!I468</f>
        <v>220033250000</v>
      </c>
      <c r="F468" s="14">
        <f>Data!G468</f>
        <v>2041539070000</v>
      </c>
      <c r="G468" s="12">
        <f t="shared" si="7"/>
        <v>0.10777812349190065</v>
      </c>
    </row>
    <row r="469" spans="2:7" ht="15" customHeight="1" x14ac:dyDescent="0.3">
      <c r="C469" s="3"/>
      <c r="D469" s="8">
        <v>2019</v>
      </c>
      <c r="E469" s="14">
        <f>Data!I469</f>
        <v>192669430000</v>
      </c>
      <c r="F469" s="14">
        <f>Data!G469</f>
        <v>2042482180000</v>
      </c>
      <c r="G469" s="12">
        <f t="shared" si="7"/>
        <v>9.4331021287049857E-2</v>
      </c>
    </row>
    <row r="470" spans="2:7" ht="15" customHeight="1" x14ac:dyDescent="0.3">
      <c r="C470" s="3"/>
      <c r="D470" s="8">
        <v>2020</v>
      </c>
      <c r="E470" s="14">
        <f>Data!I470</f>
        <v>204091090000</v>
      </c>
      <c r="F470" s="14">
        <f>Data!G470</f>
        <v>2065906600000</v>
      </c>
      <c r="G470" s="12">
        <f t="shared" si="7"/>
        <v>9.8790085669894279E-2</v>
      </c>
    </row>
    <row r="471" spans="2:7" ht="15" customHeight="1" x14ac:dyDescent="0.3">
      <c r="C471" s="3"/>
      <c r="D471" s="8">
        <v>2021</v>
      </c>
      <c r="E471" s="14">
        <f>Data!I471</f>
        <v>165986630000</v>
      </c>
      <c r="F471" s="14">
        <f>Data!G471</f>
        <v>2038125650000</v>
      </c>
      <c r="G471" s="12">
        <f t="shared" si="7"/>
        <v>8.1440822846226391E-2</v>
      </c>
    </row>
    <row r="472" spans="2:7" ht="15" customHeight="1" x14ac:dyDescent="0.3">
      <c r="C472" s="3"/>
      <c r="D472" s="8">
        <v>2022</v>
      </c>
      <c r="E472" s="14">
        <f>Data!I472</f>
        <v>256639780000</v>
      </c>
      <c r="F472" s="14">
        <f>Data!G472</f>
        <v>2063240460000</v>
      </c>
      <c r="G472" s="12">
        <f t="shared" si="7"/>
        <v>0.1243867522838322</v>
      </c>
    </row>
    <row r="473" spans="2:7" ht="15" customHeight="1" x14ac:dyDescent="0.3">
      <c r="C473" s="3"/>
      <c r="D473" s="8">
        <v>2023</v>
      </c>
      <c r="E473" s="14">
        <f>Data!I473</f>
        <v>350116800000</v>
      </c>
      <c r="F473" s="14">
        <f>Data!G473</f>
        <v>2119874980000</v>
      </c>
      <c r="G473" s="12">
        <f t="shared" si="7"/>
        <v>0.165159173679195</v>
      </c>
    </row>
    <row r="474" spans="2:7" ht="15" customHeight="1" x14ac:dyDescent="0.3">
      <c r="C474" s="3"/>
      <c r="D474" s="8">
        <v>2024</v>
      </c>
      <c r="E474" s="14">
        <f>Data!I474</f>
        <v>423259370000</v>
      </c>
      <c r="F474" s="14">
        <f>Data!G474</f>
        <v>2111825970000.0002</v>
      </c>
      <c r="G474" s="12">
        <f t="shared" si="7"/>
        <v>0.20042341367740635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Data!I475</f>
        <v>0</v>
      </c>
      <c r="F475" s="14">
        <f>Data!G475</f>
        <v>0</v>
      </c>
      <c r="G475" s="12">
        <f t="shared" si="7"/>
        <v>0</v>
      </c>
    </row>
    <row r="476" spans="2:7" ht="15" customHeight="1" x14ac:dyDescent="0.3">
      <c r="C476" s="3"/>
      <c r="D476" s="8">
        <v>2015</v>
      </c>
      <c r="E476" s="14">
        <f>Data!I476</f>
        <v>519260000000</v>
      </c>
      <c r="F476" s="14">
        <f>Data!G476</f>
        <v>610334000000</v>
      </c>
      <c r="G476" s="12">
        <f t="shared" si="7"/>
        <v>0.85078006468589329</v>
      </c>
    </row>
    <row r="477" spans="2:7" ht="15" customHeight="1" x14ac:dyDescent="0.3">
      <c r="C477" s="3"/>
      <c r="D477" s="8">
        <v>2016</v>
      </c>
      <c r="E477" s="14">
        <f>Data!I477</f>
        <v>637591000000</v>
      </c>
      <c r="F477" s="14">
        <f>Data!G477</f>
        <v>802706000000</v>
      </c>
      <c r="G477" s="12">
        <f t="shared" si="7"/>
        <v>0.79430202340582978</v>
      </c>
    </row>
    <row r="478" spans="2:7" ht="15" customHeight="1" x14ac:dyDescent="0.3">
      <c r="C478" s="3"/>
      <c r="D478" s="8">
        <v>2017</v>
      </c>
      <c r="E478" s="14">
        <f>Data!I478</f>
        <v>775084000000</v>
      </c>
      <c r="F478" s="14">
        <f>Data!G478</f>
        <v>978417000000</v>
      </c>
      <c r="G478" s="12">
        <f t="shared" si="7"/>
        <v>0.79218165669648011</v>
      </c>
    </row>
    <row r="479" spans="2:7" ht="15" customHeight="1" x14ac:dyDescent="0.3">
      <c r="C479" s="3"/>
      <c r="D479" s="8">
        <v>2018</v>
      </c>
      <c r="E479" s="14">
        <f>Data!I479</f>
        <v>1117137000000</v>
      </c>
      <c r="F479" s="14">
        <f>Data!G479</f>
        <v>1390323000000</v>
      </c>
      <c r="G479" s="12">
        <f t="shared" si="7"/>
        <v>0.80350896877919731</v>
      </c>
    </row>
    <row r="480" spans="2:7" ht="15" customHeight="1" x14ac:dyDescent="0.3">
      <c r="C480" s="3"/>
      <c r="D480" s="8">
        <v>2019</v>
      </c>
      <c r="E480" s="14">
        <f>Data!I480</f>
        <v>915192000000</v>
      </c>
      <c r="F480" s="14">
        <f>Data!G480</f>
        <v>1106579000000</v>
      </c>
      <c r="G480" s="12">
        <f t="shared" si="7"/>
        <v>0.82704623890386497</v>
      </c>
    </row>
    <row r="481" spans="2:7" ht="15" customHeight="1" x14ac:dyDescent="0.3">
      <c r="C481" s="3"/>
      <c r="D481" s="8">
        <v>2020</v>
      </c>
      <c r="E481" s="14">
        <f>Data!I481</f>
        <v>803885000000</v>
      </c>
      <c r="F481" s="14">
        <f>Data!G481</f>
        <v>1002361000000</v>
      </c>
      <c r="G481" s="12">
        <f t="shared" si="7"/>
        <v>0.80199149807304948</v>
      </c>
    </row>
    <row r="482" spans="2:7" ht="15" customHeight="1" x14ac:dyDescent="0.3">
      <c r="C482" s="3"/>
      <c r="D482" s="8">
        <v>2021</v>
      </c>
      <c r="E482" s="14">
        <f>Data!I482</f>
        <v>734623000000</v>
      </c>
      <c r="F482" s="14">
        <f>Data!G482</f>
        <v>936527000000</v>
      </c>
      <c r="G482" s="12">
        <f t="shared" si="7"/>
        <v>0.78441198171542303</v>
      </c>
    </row>
    <row r="483" spans="2:7" ht="15" customHeight="1" x14ac:dyDescent="0.3">
      <c r="C483" s="3"/>
      <c r="D483" s="8">
        <v>2022</v>
      </c>
      <c r="E483" s="14">
        <f>Data!I483</f>
        <v>508530000000</v>
      </c>
      <c r="F483" s="14">
        <f>Data!G483</f>
        <v>735547000000</v>
      </c>
      <c r="G483" s="12">
        <f t="shared" si="7"/>
        <v>0.69136302642795089</v>
      </c>
    </row>
    <row r="484" spans="2:7" ht="15" customHeight="1" x14ac:dyDescent="0.3">
      <c r="C484" s="3"/>
      <c r="D484" s="8">
        <v>2023</v>
      </c>
      <c r="E484" s="14">
        <f>Data!I484</f>
        <v>730399000000</v>
      </c>
      <c r="F484" s="14">
        <f>Data!G484</f>
        <v>962805000000</v>
      </c>
      <c r="G484" s="12">
        <f t="shared" si="7"/>
        <v>0.75861571138496375</v>
      </c>
    </row>
    <row r="485" spans="2:7" ht="15" customHeight="1" x14ac:dyDescent="0.3">
      <c r="C485" s="3"/>
      <c r="D485" s="8">
        <v>2024</v>
      </c>
      <c r="E485" s="14">
        <f>Data!I485</f>
        <v>769355000000</v>
      </c>
      <c r="F485" s="14">
        <f>Data!G485</f>
        <v>1009145000000</v>
      </c>
      <c r="G485" s="12">
        <f t="shared" si="7"/>
        <v>0.76238300739735121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Data!I486</f>
        <v>0</v>
      </c>
      <c r="F486" s="14">
        <f>Data!G486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Data!I487</f>
        <v>0</v>
      </c>
      <c r="F487" s="14">
        <f>Data!G487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Data!I488</f>
        <v>0</v>
      </c>
      <c r="F488" s="14">
        <f>Data!G488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Data!I489</f>
        <v>0</v>
      </c>
      <c r="F489" s="14">
        <f>Data!G489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>
        <f>Data!I490</f>
        <v>22442944000000</v>
      </c>
      <c r="F490" s="14">
        <f>Data!G490</f>
        <v>28475766000000</v>
      </c>
      <c r="G490" s="12">
        <f t="shared" si="7"/>
        <v>0.78814188879062985</v>
      </c>
    </row>
    <row r="491" spans="2:7" ht="15" customHeight="1" x14ac:dyDescent="0.3">
      <c r="C491" s="3"/>
      <c r="D491" s="8">
        <v>2019</v>
      </c>
      <c r="E491" s="14">
        <f>Data!I491</f>
        <v>25585556000000</v>
      </c>
      <c r="F491" s="14">
        <f>Data!G491</f>
        <v>32755714000000</v>
      </c>
      <c r="G491" s="12">
        <f t="shared" si="7"/>
        <v>0.78110206970301421</v>
      </c>
    </row>
    <row r="492" spans="2:7" ht="15" customHeight="1" x14ac:dyDescent="0.3">
      <c r="C492" s="3"/>
      <c r="D492" s="8">
        <v>2020</v>
      </c>
      <c r="E492" s="14">
        <f>Data!I492</f>
        <v>23860505000000</v>
      </c>
      <c r="F492" s="14">
        <f>Data!G492</f>
        <v>28980403000000</v>
      </c>
      <c r="G492" s="12">
        <f t="shared" si="7"/>
        <v>0.82333240845546563</v>
      </c>
    </row>
    <row r="493" spans="2:7" ht="15" customHeight="1" x14ac:dyDescent="0.3">
      <c r="C493" s="3"/>
      <c r="D493" s="8">
        <v>2021</v>
      </c>
      <c r="E493" s="14">
        <f>Data!I493</f>
        <v>29590943000000</v>
      </c>
      <c r="F493" s="14">
        <f>Data!G493</f>
        <v>48671323000000</v>
      </c>
      <c r="G493" s="12">
        <f t="shared" si="7"/>
        <v>0.60797490546948973</v>
      </c>
    </row>
    <row r="494" spans="2:7" ht="15" customHeight="1" x14ac:dyDescent="0.3">
      <c r="C494" s="3"/>
      <c r="D494" s="8">
        <v>2022</v>
      </c>
      <c r="E494" s="14">
        <f>Data!I494</f>
        <v>33995704000000</v>
      </c>
      <c r="F494" s="14">
        <f>Data!G494</f>
        <v>52585440000000</v>
      </c>
      <c r="G494" s="12">
        <f t="shared" si="7"/>
        <v>0.64648511070745063</v>
      </c>
    </row>
    <row r="495" spans="2:7" ht="15" customHeight="1" x14ac:dyDescent="0.3">
      <c r="C495" s="3"/>
      <c r="D495" s="8">
        <v>2023</v>
      </c>
      <c r="E495" s="14">
        <f>Data!I495</f>
        <v>37754189000000</v>
      </c>
      <c r="F495" s="14">
        <f>Data!G495</f>
        <v>55829030000000</v>
      </c>
      <c r="G495" s="12">
        <f t="shared" si="7"/>
        <v>0.67624655130135702</v>
      </c>
    </row>
    <row r="496" spans="2:7" ht="15" customHeight="1" x14ac:dyDescent="0.3">
      <c r="C496" s="3"/>
      <c r="D496" s="8">
        <v>2024</v>
      </c>
      <c r="E496" s="14">
        <f>Data!I496</f>
        <v>41497355000000</v>
      </c>
      <c r="F496" s="14">
        <f>Data!G496</f>
        <v>60598376000000</v>
      </c>
      <c r="G496" s="12">
        <f t="shared" si="7"/>
        <v>0.68479318653688015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Data!I497</f>
        <v>0</v>
      </c>
      <c r="F497" s="14">
        <f>Data!G497</f>
        <v>0</v>
      </c>
      <c r="G497" s="12">
        <f t="shared" si="7"/>
        <v>0</v>
      </c>
    </row>
    <row r="498" spans="2:7" ht="15" customHeight="1" x14ac:dyDescent="0.3">
      <c r="C498" s="3"/>
      <c r="D498" s="8">
        <v>2015</v>
      </c>
      <c r="E498" s="14">
        <f>Data!I498</f>
        <v>0</v>
      </c>
      <c r="F498" s="14">
        <f>Data!G498</f>
        <v>0</v>
      </c>
      <c r="G498" s="12">
        <f t="shared" si="7"/>
        <v>0</v>
      </c>
    </row>
    <row r="499" spans="2:7" ht="15" customHeight="1" x14ac:dyDescent="0.3">
      <c r="C499" s="3"/>
      <c r="D499" s="8">
        <v>2016</v>
      </c>
      <c r="E499" s="14">
        <f>Data!I499</f>
        <v>20220000000</v>
      </c>
      <c r="F499" s="14">
        <f>Data!G499</f>
        <v>114403000000</v>
      </c>
      <c r="G499" s="12">
        <f t="shared" si="7"/>
        <v>0.17674361686319415</v>
      </c>
    </row>
    <row r="500" spans="2:7" ht="15" customHeight="1" x14ac:dyDescent="0.3">
      <c r="C500" s="3"/>
      <c r="D500" s="8">
        <v>2017</v>
      </c>
      <c r="E500" s="14">
        <f>Data!I500</f>
        <v>29540000000</v>
      </c>
      <c r="F500" s="14">
        <f>Data!G500</f>
        <v>137120000000</v>
      </c>
      <c r="G500" s="12">
        <f t="shared" si="7"/>
        <v>0.21543173862310386</v>
      </c>
    </row>
    <row r="501" spans="2:7" ht="15" customHeight="1" x14ac:dyDescent="0.3">
      <c r="C501" s="3"/>
      <c r="D501" s="8">
        <v>2018</v>
      </c>
      <c r="E501" s="14">
        <f>Data!I501</f>
        <v>62507000000</v>
      </c>
      <c r="F501" s="14">
        <f>Data!G501</f>
        <v>162534000000</v>
      </c>
      <c r="G501" s="12">
        <f t="shared" si="7"/>
        <v>0.38457799598853165</v>
      </c>
    </row>
    <row r="502" spans="2:7" ht="15" customHeight="1" x14ac:dyDescent="0.3">
      <c r="C502" s="3"/>
      <c r="D502" s="8">
        <v>2019</v>
      </c>
      <c r="E502" s="14">
        <f>Data!I502</f>
        <v>67971000000</v>
      </c>
      <c r="F502" s="14">
        <f>Data!G502</f>
        <v>170462000000</v>
      </c>
      <c r="G502" s="12">
        <f t="shared" si="7"/>
        <v>0.39874576151869623</v>
      </c>
    </row>
    <row r="503" spans="2:7" ht="15" customHeight="1" x14ac:dyDescent="0.3">
      <c r="C503" s="3"/>
      <c r="D503" s="8">
        <v>2020</v>
      </c>
      <c r="E503" s="14">
        <f>Data!I503</f>
        <v>80527000000</v>
      </c>
      <c r="F503" s="14">
        <f>Data!G503</f>
        <v>184950000000</v>
      </c>
      <c r="G503" s="12">
        <f t="shared" si="7"/>
        <v>0.43539875642065423</v>
      </c>
    </row>
    <row r="504" spans="2:7" ht="15" customHeight="1" x14ac:dyDescent="0.3">
      <c r="C504" s="3"/>
      <c r="D504" s="8">
        <v>2021</v>
      </c>
      <c r="E504" s="14">
        <f>Data!I504</f>
        <v>128595000000</v>
      </c>
      <c r="F504" s="14">
        <f>Data!G504</f>
        <v>235603000000</v>
      </c>
      <c r="G504" s="12">
        <f t="shared" si="7"/>
        <v>0.54581223498851883</v>
      </c>
    </row>
    <row r="505" spans="2:7" ht="15" customHeight="1" x14ac:dyDescent="0.3">
      <c r="C505" s="3"/>
      <c r="D505" s="8">
        <v>2022</v>
      </c>
      <c r="E505" s="14">
        <f>Data!I505</f>
        <v>131396000000</v>
      </c>
      <c r="F505" s="14">
        <f>Data!G505</f>
        <v>238711000000</v>
      </c>
      <c r="G505" s="12">
        <f t="shared" si="7"/>
        <v>0.55043965296949027</v>
      </c>
    </row>
    <row r="506" spans="2:7" ht="15" customHeight="1" x14ac:dyDescent="0.3">
      <c r="C506" s="3"/>
      <c r="D506" s="8">
        <v>2023</v>
      </c>
      <c r="E506" s="14">
        <f>Data!I506</f>
        <v>165984000000</v>
      </c>
      <c r="F506" s="14">
        <f>Data!G506</f>
        <v>287420000000</v>
      </c>
      <c r="G506" s="12">
        <f t="shared" si="7"/>
        <v>0.57749634680954698</v>
      </c>
    </row>
    <row r="507" spans="2:7" ht="15" customHeight="1" x14ac:dyDescent="0.3">
      <c r="C507" s="3"/>
      <c r="D507" s="8">
        <v>2024</v>
      </c>
      <c r="E507" s="14">
        <f>Data!I507</f>
        <v>178221000000</v>
      </c>
      <c r="F507" s="14">
        <f>Data!G507</f>
        <v>306445000000</v>
      </c>
      <c r="G507" s="12">
        <f t="shared" si="7"/>
        <v>0.5815758129517532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Data!I508</f>
        <v>0</v>
      </c>
      <c r="F508" s="14">
        <f>Data!G508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Data!I509</f>
        <v>0</v>
      </c>
      <c r="F509" s="14">
        <f>Data!G509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Data!I510</f>
        <v>0</v>
      </c>
      <c r="F510" s="14">
        <f>Data!G510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Data!I511</f>
        <v>0</v>
      </c>
      <c r="F511" s="14">
        <f>Data!G511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Data!I512</f>
        <v>0</v>
      </c>
      <c r="F512" s="14">
        <f>Data!G512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Data!I513</f>
        <v>395992100000</v>
      </c>
      <c r="F513" s="14">
        <f>Data!G513</f>
        <v>504064360000</v>
      </c>
      <c r="G513" s="12">
        <f t="shared" si="7"/>
        <v>0.78559829145627358</v>
      </c>
    </row>
    <row r="514" spans="2:7" ht="15" customHeight="1" x14ac:dyDescent="0.3">
      <c r="C514" s="3"/>
      <c r="D514" s="8">
        <v>2020</v>
      </c>
      <c r="E514" s="14">
        <f>Data!I514</f>
        <v>284215060000</v>
      </c>
      <c r="F514" s="14">
        <f>Data!G514</f>
        <v>384395640000</v>
      </c>
      <c r="G514" s="12">
        <f t="shared" si="7"/>
        <v>0.7393815913208589</v>
      </c>
    </row>
    <row r="515" spans="2:7" ht="15" customHeight="1" x14ac:dyDescent="0.3">
      <c r="C515" s="3"/>
      <c r="D515" s="8">
        <v>2021</v>
      </c>
      <c r="E515" s="14">
        <f>Data!I515</f>
        <v>264800469999.99997</v>
      </c>
      <c r="F515" s="14">
        <f>Data!G515</f>
        <v>376601330000</v>
      </c>
      <c r="G515" s="12">
        <f t="shared" ref="G515:G578" si="8">IFERROR(E515/F515,0)</f>
        <v>0.70313206275718665</v>
      </c>
    </row>
    <row r="516" spans="2:7" ht="15" customHeight="1" x14ac:dyDescent="0.3">
      <c r="C516" s="3"/>
      <c r="D516" s="8">
        <v>2022</v>
      </c>
      <c r="E516" s="14">
        <f>Data!I516</f>
        <v>257990000000</v>
      </c>
      <c r="F516" s="14">
        <f>Data!G516</f>
        <v>371969000000</v>
      </c>
      <c r="G516" s="12">
        <f t="shared" si="8"/>
        <v>0.69357930365164844</v>
      </c>
    </row>
    <row r="517" spans="2:7" ht="15" customHeight="1" x14ac:dyDescent="0.3">
      <c r="C517" s="3"/>
      <c r="D517" s="8">
        <v>2023</v>
      </c>
      <c r="E517" s="14">
        <f>Data!I517</f>
        <v>282722000000</v>
      </c>
      <c r="F517" s="14">
        <f>Data!G517</f>
        <v>405875000000</v>
      </c>
      <c r="G517" s="12">
        <f t="shared" si="8"/>
        <v>0.69657406837080382</v>
      </c>
    </row>
    <row r="518" spans="2:7" ht="15" customHeight="1" x14ac:dyDescent="0.3">
      <c r="C518" s="3"/>
      <c r="D518" s="8">
        <v>2024</v>
      </c>
      <c r="E518" s="14">
        <f>Data!I518</f>
        <v>522397000000</v>
      </c>
      <c r="F518" s="14">
        <f>Data!G518</f>
        <v>693393000000</v>
      </c>
      <c r="G518" s="12">
        <f t="shared" si="8"/>
        <v>0.75339237632915246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Data!I519</f>
        <v>0</v>
      </c>
      <c r="F519" s="14">
        <f>Data!G519</f>
        <v>0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Data!I520</f>
        <v>8125147140000</v>
      </c>
      <c r="F520" s="14">
        <f>Data!G520</f>
        <v>15348592390000</v>
      </c>
      <c r="G520" s="12">
        <f t="shared" si="8"/>
        <v>0.52937409070122554</v>
      </c>
    </row>
    <row r="521" spans="2:7" ht="15" customHeight="1" x14ac:dyDescent="0.3">
      <c r="C521" s="3"/>
      <c r="D521" s="8">
        <v>2016</v>
      </c>
      <c r="E521" s="14">
        <f>Data!I521</f>
        <v>8086322480000</v>
      </c>
      <c r="F521" s="14">
        <f>Data!G521</f>
        <v>15860037150000</v>
      </c>
      <c r="G521" s="12">
        <f t="shared" si="8"/>
        <v>0.50985520421684505</v>
      </c>
    </row>
    <row r="522" spans="2:7" ht="15" customHeight="1" x14ac:dyDescent="0.3">
      <c r="C522" s="3"/>
      <c r="D522" s="8">
        <v>2017</v>
      </c>
      <c r="E522" s="14">
        <f>Data!I522</f>
        <v>7024267460000</v>
      </c>
      <c r="F522" s="14">
        <f>Data!G522</f>
        <v>15534781440000</v>
      </c>
      <c r="G522" s="12">
        <f t="shared" si="8"/>
        <v>0.45216390633687603</v>
      </c>
    </row>
    <row r="523" spans="2:7" ht="15" customHeight="1" x14ac:dyDescent="0.3">
      <c r="C523" s="3"/>
      <c r="D523" s="8">
        <v>2018</v>
      </c>
      <c r="E523" s="14">
        <f>Data!I523</f>
        <v>7543035990000</v>
      </c>
      <c r="F523" s="14">
        <f>Data!G523</f>
        <v>14646070810000</v>
      </c>
      <c r="G523" s="12">
        <f t="shared" si="8"/>
        <v>0.51502113350768375</v>
      </c>
    </row>
    <row r="524" spans="2:7" ht="15" customHeight="1" x14ac:dyDescent="0.3">
      <c r="C524" s="3"/>
      <c r="D524" s="8">
        <v>2019</v>
      </c>
      <c r="E524" s="14">
        <f>Data!I524</f>
        <v>7778429180000</v>
      </c>
      <c r="F524" s="14">
        <f>Data!G524</f>
        <v>15520643350000</v>
      </c>
      <c r="G524" s="12">
        <f t="shared" si="8"/>
        <v>0.50116667232096401</v>
      </c>
    </row>
    <row r="525" spans="2:7" ht="15" customHeight="1" x14ac:dyDescent="0.3">
      <c r="C525" s="3"/>
      <c r="D525" s="8">
        <v>2020</v>
      </c>
      <c r="E525" s="14">
        <f>Data!I525</f>
        <v>7172374420000</v>
      </c>
      <c r="F525" s="14">
        <f>Data!G525</f>
        <v>15214292140000</v>
      </c>
      <c r="G525" s="12">
        <f t="shared" si="8"/>
        <v>0.47142347169363608</v>
      </c>
    </row>
    <row r="526" spans="2:7" ht="15" customHeight="1" x14ac:dyDescent="0.3">
      <c r="C526" s="3"/>
      <c r="D526" s="8">
        <v>2021</v>
      </c>
      <c r="E526" s="14">
        <f>Data!I526</f>
        <v>8197149650000</v>
      </c>
      <c r="F526" s="14">
        <f>Data!G526</f>
        <v>15792655920000</v>
      </c>
      <c r="G526" s="12">
        <f t="shared" si="8"/>
        <v>0.51904820136168706</v>
      </c>
    </row>
    <row r="527" spans="2:7" ht="15" customHeight="1" x14ac:dyDescent="0.3">
      <c r="C527" s="3"/>
      <c r="D527" s="8">
        <v>2022</v>
      </c>
      <c r="E527" s="14">
        <f>Data!I527</f>
        <v>7291622440000</v>
      </c>
      <c r="F527" s="14">
        <f>Data!G527</f>
        <v>14863256240000</v>
      </c>
      <c r="G527" s="12">
        <f t="shared" si="8"/>
        <v>0.49058041671762231</v>
      </c>
    </row>
    <row r="528" spans="2:7" ht="15" customHeight="1" x14ac:dyDescent="0.3">
      <c r="C528" s="3"/>
      <c r="D528" s="8">
        <v>2023</v>
      </c>
      <c r="E528" s="14">
        <f>Data!I528</f>
        <v>6927405080000</v>
      </c>
      <c r="F528" s="14">
        <f>Data!G528</f>
        <v>14368742350000</v>
      </c>
      <c r="G528" s="12">
        <f t="shared" si="8"/>
        <v>0.48211631270568367</v>
      </c>
    </row>
    <row r="529" spans="2:7" ht="15" customHeight="1" x14ac:dyDescent="0.3">
      <c r="C529" s="3"/>
      <c r="D529" s="8">
        <v>2024</v>
      </c>
      <c r="E529" s="14">
        <f>Data!I529</f>
        <v>6479775300000</v>
      </c>
      <c r="F529" s="14">
        <f>Data!G529</f>
        <v>14072702040000</v>
      </c>
      <c r="G529" s="12">
        <f t="shared" si="8"/>
        <v>0.4604499748223192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Data!I530</f>
        <v>0</v>
      </c>
      <c r="F530" s="14">
        <f>Data!G530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Data!I531</f>
        <v>0</v>
      </c>
      <c r="F531" s="14">
        <f>Data!G531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>
        <f>Data!I532</f>
        <v>22162000000</v>
      </c>
      <c r="F532" s="14">
        <f>Data!G532</f>
        <v>130830000000</v>
      </c>
      <c r="G532" s="12">
        <f t="shared" si="8"/>
        <v>0.16939539860888175</v>
      </c>
    </row>
    <row r="533" spans="2:7" ht="15" customHeight="1" x14ac:dyDescent="0.3">
      <c r="C533" s="3"/>
      <c r="D533" s="8">
        <v>2017</v>
      </c>
      <c r="E533" s="14">
        <f>Data!I533</f>
        <v>3076000000</v>
      </c>
      <c r="F533" s="14">
        <f>Data!G533</f>
        <v>113846000000</v>
      </c>
      <c r="G533" s="12">
        <f t="shared" si="8"/>
        <v>2.7018955431020852E-2</v>
      </c>
    </row>
    <row r="534" spans="2:7" ht="15" customHeight="1" x14ac:dyDescent="0.3">
      <c r="C534" s="3"/>
      <c r="D534" s="8">
        <v>2018</v>
      </c>
      <c r="E534" s="14">
        <f>Data!I534</f>
        <v>149392000000</v>
      </c>
      <c r="F534" s="14">
        <f>Data!G534</f>
        <v>259861000000</v>
      </c>
      <c r="G534" s="12">
        <f t="shared" si="8"/>
        <v>0.57489196147170984</v>
      </c>
    </row>
    <row r="535" spans="2:7" ht="15" customHeight="1" x14ac:dyDescent="0.3">
      <c r="C535" s="3"/>
      <c r="D535" s="8">
        <v>2019</v>
      </c>
      <c r="E535" s="14">
        <f>Data!I535</f>
        <v>861477000000</v>
      </c>
      <c r="F535" s="14">
        <f>Data!G535</f>
        <v>1042407000000</v>
      </c>
      <c r="G535" s="12">
        <f t="shared" si="8"/>
        <v>0.82643055927291353</v>
      </c>
    </row>
    <row r="536" spans="2:7" ht="15" customHeight="1" x14ac:dyDescent="0.3">
      <c r="C536" s="3"/>
      <c r="D536" s="8">
        <v>2020</v>
      </c>
      <c r="E536" s="14">
        <f>Data!I536</f>
        <v>1414625000000</v>
      </c>
      <c r="F536" s="14">
        <f>Data!G536</f>
        <v>1732276000000</v>
      </c>
      <c r="G536" s="12">
        <f t="shared" si="8"/>
        <v>0.81662795074226047</v>
      </c>
    </row>
    <row r="537" spans="2:7" ht="15" customHeight="1" x14ac:dyDescent="0.3">
      <c r="C537" s="3"/>
      <c r="D537" s="8">
        <v>2021</v>
      </c>
      <c r="E537" s="14">
        <f>Data!I537</f>
        <v>2164223000000</v>
      </c>
      <c r="F537" s="14">
        <f>Data!G537</f>
        <v>2538317000000</v>
      </c>
      <c r="G537" s="12">
        <f t="shared" si="8"/>
        <v>0.85262124470663037</v>
      </c>
    </row>
    <row r="538" spans="2:7" ht="15" customHeight="1" x14ac:dyDescent="0.3">
      <c r="C538" s="3"/>
      <c r="D538" s="8">
        <v>2022</v>
      </c>
      <c r="E538" s="14">
        <f>Data!I538</f>
        <v>2389973000000</v>
      </c>
      <c r="F538" s="14">
        <f>Data!G538</f>
        <v>2772112000000</v>
      </c>
      <c r="G538" s="12">
        <f t="shared" si="8"/>
        <v>0.86214878763917191</v>
      </c>
    </row>
    <row r="539" spans="2:7" ht="15" customHeight="1" x14ac:dyDescent="0.3">
      <c r="C539" s="3"/>
      <c r="D539" s="8">
        <v>2023</v>
      </c>
      <c r="E539" s="14">
        <f>Data!I539</f>
        <v>2410494000000</v>
      </c>
      <c r="F539" s="14">
        <f>Data!G539</f>
        <v>2933798000000</v>
      </c>
      <c r="G539" s="12">
        <f t="shared" si="8"/>
        <v>0.82162916465278113</v>
      </c>
    </row>
    <row r="540" spans="2:7" ht="15" customHeight="1" x14ac:dyDescent="0.3">
      <c r="C540" s="3"/>
      <c r="D540" s="8">
        <v>2024</v>
      </c>
      <c r="E540" s="14">
        <f>Data!I540</f>
        <v>2651807000000</v>
      </c>
      <c r="F540" s="14">
        <f>Data!G540</f>
        <v>3369312000000</v>
      </c>
      <c r="G540" s="12">
        <f t="shared" si="8"/>
        <v>0.7870470291857804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Data!I541</f>
        <v>0</v>
      </c>
      <c r="F541" s="14">
        <f>Data!G541</f>
        <v>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Data!I542</f>
        <v>4282242000000</v>
      </c>
      <c r="F542" s="14">
        <f>Data!G542</f>
        <v>8887980000000</v>
      </c>
      <c r="G542" s="12">
        <f t="shared" si="8"/>
        <v>0.48180148920227095</v>
      </c>
    </row>
    <row r="543" spans="2:7" ht="15" customHeight="1" x14ac:dyDescent="0.3">
      <c r="C543" s="3"/>
      <c r="D543" s="8">
        <v>2016</v>
      </c>
      <c r="E543" s="14">
        <f>Data!I543</f>
        <v>4321332000000</v>
      </c>
      <c r="F543" s="14">
        <f>Data!G543</f>
        <v>9079542000000</v>
      </c>
      <c r="G543" s="12">
        <f t="shared" si="8"/>
        <v>0.47594162789268446</v>
      </c>
    </row>
    <row r="544" spans="2:7" ht="15" customHeight="1" x14ac:dyDescent="0.3">
      <c r="C544" s="3"/>
      <c r="D544" s="8">
        <v>2017</v>
      </c>
      <c r="E544" s="14">
        <f>Data!I544</f>
        <v>4186739000000</v>
      </c>
      <c r="F544" s="14">
        <f>Data!G544</f>
        <v>9158871000000</v>
      </c>
      <c r="G544" s="12">
        <f t="shared" si="8"/>
        <v>0.45712391843929234</v>
      </c>
    </row>
    <row r="545" spans="2:7" ht="15" customHeight="1" x14ac:dyDescent="0.3">
      <c r="C545" s="3"/>
      <c r="D545" s="8">
        <v>2018</v>
      </c>
      <c r="E545" s="14">
        <f>Data!I545</f>
        <v>4207935000000</v>
      </c>
      <c r="F545" s="14">
        <f>Data!G545</f>
        <v>9082567000000</v>
      </c>
      <c r="G545" s="12">
        <f t="shared" si="8"/>
        <v>0.46329798613101342</v>
      </c>
    </row>
    <row r="546" spans="2:7" ht="15" customHeight="1" x14ac:dyDescent="0.3">
      <c r="C546" s="3"/>
      <c r="D546" s="8">
        <v>2019</v>
      </c>
      <c r="E546" s="14">
        <f>Data!I546</f>
        <v>4129518000000</v>
      </c>
      <c r="F546" s="14">
        <f>Data!G546</f>
        <v>9112658000000</v>
      </c>
      <c r="G546" s="12">
        <f t="shared" si="8"/>
        <v>0.45316284227938763</v>
      </c>
    </row>
    <row r="547" spans="2:7" ht="15" customHeight="1" x14ac:dyDescent="0.3">
      <c r="C547" s="3"/>
      <c r="D547" s="8">
        <v>2020</v>
      </c>
      <c r="E547" s="14">
        <f>Data!I547</f>
        <v>4274240000000</v>
      </c>
      <c r="F547" s="14">
        <f>Data!G547</f>
        <v>9641705000000</v>
      </c>
      <c r="G547" s="12">
        <f t="shared" si="8"/>
        <v>0.4433074855536443</v>
      </c>
    </row>
    <row r="548" spans="2:7" ht="15" customHeight="1" x14ac:dyDescent="0.3">
      <c r="C548" s="3"/>
      <c r="D548" s="8">
        <v>2021</v>
      </c>
      <c r="E548" s="14">
        <f>Data!I548</f>
        <v>4387355000000</v>
      </c>
      <c r="F548" s="14">
        <f>Data!G548</f>
        <v>9598517000000</v>
      </c>
      <c r="G548" s="12">
        <f t="shared" si="8"/>
        <v>0.45708675621452771</v>
      </c>
    </row>
    <row r="549" spans="2:7" ht="15" customHeight="1" x14ac:dyDescent="0.3">
      <c r="C549" s="3"/>
      <c r="D549" s="8">
        <v>2022</v>
      </c>
      <c r="E549" s="14">
        <f>Data!I549</f>
        <v>4125395000000</v>
      </c>
      <c r="F549" s="14">
        <f>Data!G549</f>
        <v>8650793000000</v>
      </c>
      <c r="G549" s="12">
        <f t="shared" si="8"/>
        <v>0.47688055881119801</v>
      </c>
    </row>
    <row r="550" spans="2:7" ht="15" customHeight="1" x14ac:dyDescent="0.3">
      <c r="C550" s="3"/>
      <c r="D550" s="8">
        <v>2023</v>
      </c>
      <c r="E550" s="14">
        <f>Data!I550</f>
        <v>4236878000000</v>
      </c>
      <c r="F550" s="14">
        <f>Data!G550</f>
        <v>8978472000000</v>
      </c>
      <c r="G550" s="12">
        <f t="shared" si="8"/>
        <v>0.47189299025491199</v>
      </c>
    </row>
    <row r="551" spans="2:7" ht="15" customHeight="1" x14ac:dyDescent="0.3">
      <c r="C551" s="3"/>
      <c r="D551" s="8">
        <v>2024</v>
      </c>
      <c r="E551" s="14">
        <f>Data!I551</f>
        <v>4274543000000</v>
      </c>
      <c r="F551" s="14">
        <f>Data!G551</f>
        <v>8986258000000</v>
      </c>
      <c r="G551" s="12">
        <f t="shared" si="8"/>
        <v>0.47567552589743139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Data!I552</f>
        <v>0</v>
      </c>
      <c r="F552" s="14">
        <f>Data!G552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Data!I553</f>
        <v>0</v>
      </c>
      <c r="F553" s="14">
        <f>Data!G553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Data!I554</f>
        <v>0</v>
      </c>
      <c r="F554" s="14">
        <f>Data!G554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Data!I555</f>
        <v>0</v>
      </c>
      <c r="F555" s="14">
        <f>Data!G555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Data!I556</f>
        <v>0</v>
      </c>
      <c r="F556" s="14">
        <f>Data!G556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Data!I557</f>
        <v>1534233000000</v>
      </c>
      <c r="F557" s="14">
        <f>Data!G557</f>
        <v>1697933000000</v>
      </c>
      <c r="G557" s="12">
        <f t="shared" si="8"/>
        <v>0.90358865750297568</v>
      </c>
    </row>
    <row r="558" spans="2:7" ht="15" customHeight="1" x14ac:dyDescent="0.3">
      <c r="C558" s="3"/>
      <c r="D558" s="8">
        <v>2020</v>
      </c>
      <c r="E558" s="14">
        <f>Data!I558</f>
        <v>1628341000000</v>
      </c>
      <c r="F558" s="14">
        <f>Data!G558</f>
        <v>1957853000000</v>
      </c>
      <c r="G558" s="12">
        <f t="shared" si="8"/>
        <v>0.83169727247142666</v>
      </c>
    </row>
    <row r="559" spans="2:7" ht="15" customHeight="1" x14ac:dyDescent="0.3">
      <c r="C559" s="3"/>
      <c r="D559" s="8">
        <v>2021</v>
      </c>
      <c r="E559" s="14">
        <f>Data!I559</f>
        <v>1743934000000</v>
      </c>
      <c r="F559" s="14">
        <f>Data!G559</f>
        <v>2100153000000</v>
      </c>
      <c r="G559" s="12">
        <f t="shared" si="8"/>
        <v>0.83038426247992403</v>
      </c>
    </row>
    <row r="560" spans="2:7" ht="15" customHeight="1" x14ac:dyDescent="0.3">
      <c r="C560" s="3"/>
      <c r="D560" s="8">
        <v>2022</v>
      </c>
      <c r="E560" s="14">
        <f>Data!I560</f>
        <v>1955230000000</v>
      </c>
      <c r="F560" s="14">
        <f>Data!G560</f>
        <v>2377506000000</v>
      </c>
      <c r="G560" s="12">
        <f t="shared" si="8"/>
        <v>0.82238698871843019</v>
      </c>
    </row>
    <row r="561" spans="2:7" ht="15" customHeight="1" x14ac:dyDescent="0.3">
      <c r="C561" s="3"/>
      <c r="D561" s="8">
        <v>2023</v>
      </c>
      <c r="E561" s="14">
        <f>Data!I561</f>
        <v>2326080000000</v>
      </c>
      <c r="F561" s="14">
        <f>Data!G561</f>
        <v>2877857000000</v>
      </c>
      <c r="G561" s="12">
        <f t="shared" si="8"/>
        <v>0.80826809671224109</v>
      </c>
    </row>
    <row r="562" spans="2:7" ht="15" customHeight="1" x14ac:dyDescent="0.3">
      <c r="C562" s="3"/>
      <c r="D562" s="8">
        <v>2024</v>
      </c>
      <c r="E562" s="14">
        <f>Data!I562</f>
        <v>2505638000000</v>
      </c>
      <c r="F562" s="14">
        <f>Data!G562</f>
        <v>3111702000000</v>
      </c>
      <c r="G562" s="12">
        <f t="shared" si="8"/>
        <v>0.80523070653937945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Data!I563</f>
        <v>0</v>
      </c>
      <c r="F563" s="14">
        <f>Data!G563</f>
        <v>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Data!I564</f>
        <v>91182000000</v>
      </c>
      <c r="F564" s="14">
        <f>Data!G564</f>
        <v>233945000000</v>
      </c>
      <c r="G564" s="12">
        <f t="shared" si="8"/>
        <v>0.389758276517985</v>
      </c>
    </row>
    <row r="565" spans="2:7" ht="15" customHeight="1" x14ac:dyDescent="0.3">
      <c r="C565" s="3"/>
      <c r="D565" s="8">
        <v>2016</v>
      </c>
      <c r="E565" s="14">
        <f>Data!I565</f>
        <v>206951000000</v>
      </c>
      <c r="F565" s="14">
        <f>Data!G565</f>
        <v>423296000000</v>
      </c>
      <c r="G565" s="12">
        <f t="shared" si="8"/>
        <v>0.48890374584215301</v>
      </c>
    </row>
    <row r="566" spans="2:7" ht="15" customHeight="1" x14ac:dyDescent="0.3">
      <c r="C566" s="3"/>
      <c r="D566" s="8">
        <v>2017</v>
      </c>
      <c r="E566" s="14">
        <f>Data!I566</f>
        <v>438079000000</v>
      </c>
      <c r="F566" s="14">
        <f>Data!G566</f>
        <v>741105000000</v>
      </c>
      <c r="G566" s="12">
        <f t="shared" si="8"/>
        <v>0.59111596872238081</v>
      </c>
    </row>
    <row r="567" spans="2:7" ht="15" customHeight="1" x14ac:dyDescent="0.3">
      <c r="C567" s="3"/>
      <c r="D567" s="8">
        <v>2018</v>
      </c>
      <c r="E567" s="14">
        <f>Data!I567</f>
        <v>736719000000</v>
      </c>
      <c r="F567" s="14">
        <f>Data!G567</f>
        <v>1011939000000</v>
      </c>
      <c r="G567" s="12">
        <f t="shared" si="8"/>
        <v>0.72802708463652455</v>
      </c>
    </row>
    <row r="568" spans="2:7" ht="15" customHeight="1" x14ac:dyDescent="0.3">
      <c r="C568" s="3"/>
      <c r="D568" s="8">
        <v>2019</v>
      </c>
      <c r="E568" s="14">
        <f>Data!I568</f>
        <v>1066523000000</v>
      </c>
      <c r="F568" s="14">
        <f>Data!G568</f>
        <v>1335416000000</v>
      </c>
      <c r="G568" s="12">
        <f t="shared" si="8"/>
        <v>0.79864476687414254</v>
      </c>
    </row>
    <row r="569" spans="2:7" ht="15" customHeight="1" x14ac:dyDescent="0.3">
      <c r="C569" s="3"/>
      <c r="D569" s="8">
        <v>2020</v>
      </c>
      <c r="E569" s="14">
        <f>Data!I569</f>
        <v>1458930000000</v>
      </c>
      <c r="F569" s="14">
        <f>Data!G569</f>
        <v>1779231000000</v>
      </c>
      <c r="G569" s="12">
        <f t="shared" si="8"/>
        <v>0.81997784436085031</v>
      </c>
    </row>
    <row r="570" spans="2:7" ht="15" customHeight="1" x14ac:dyDescent="0.3">
      <c r="C570" s="3"/>
      <c r="D570" s="8">
        <v>2021</v>
      </c>
      <c r="E570" s="14">
        <f>Data!I570</f>
        <v>1712216000000</v>
      </c>
      <c r="F570" s="14">
        <f>Data!G570</f>
        <v>2080340000000</v>
      </c>
      <c r="G570" s="12">
        <f t="shared" si="8"/>
        <v>0.82304623282732625</v>
      </c>
    </row>
    <row r="571" spans="2:7" ht="15" customHeight="1" x14ac:dyDescent="0.3">
      <c r="C571" s="3"/>
      <c r="D571" s="8">
        <v>2022</v>
      </c>
      <c r="E571" s="14">
        <f>Data!I571</f>
        <v>1560197000000</v>
      </c>
      <c r="F571" s="14">
        <f>Data!G571</f>
        <v>1986810000000</v>
      </c>
      <c r="G571" s="12">
        <f t="shared" si="8"/>
        <v>0.78527740448256245</v>
      </c>
    </row>
    <row r="572" spans="2:7" ht="15" customHeight="1" x14ac:dyDescent="0.3">
      <c r="C572" s="3"/>
      <c r="D572" s="8">
        <v>2023</v>
      </c>
      <c r="E572" s="14">
        <f>Data!I572</f>
        <v>1690987000000</v>
      </c>
      <c r="F572" s="14">
        <f>Data!G572</f>
        <v>2162993000000</v>
      </c>
      <c r="G572" s="12">
        <f t="shared" si="8"/>
        <v>0.78178107834838118</v>
      </c>
    </row>
    <row r="573" spans="2:7" ht="15" customHeight="1" x14ac:dyDescent="0.3">
      <c r="C573" s="3"/>
      <c r="D573" s="8">
        <v>2024</v>
      </c>
      <c r="E573" s="14">
        <f>Data!I573</f>
        <v>1528209000000</v>
      </c>
      <c r="F573" s="14">
        <f>Data!G573</f>
        <v>2029003000000</v>
      </c>
      <c r="G573" s="12">
        <f t="shared" si="8"/>
        <v>0.75318222792179212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Data!I574</f>
        <v>0</v>
      </c>
      <c r="F574" s="14">
        <f>Data!G574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Data!I575</f>
        <v>0</v>
      </c>
      <c r="F575" s="14">
        <f>Data!G575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Data!I576</f>
        <v>54215523000000</v>
      </c>
      <c r="F576" s="14">
        <f>Data!G576</f>
        <v>60793273000000</v>
      </c>
      <c r="G576" s="12">
        <f t="shared" si="8"/>
        <v>0.89180135111330494</v>
      </c>
    </row>
    <row r="577" spans="2:7" ht="15" customHeight="1" x14ac:dyDescent="0.3">
      <c r="C577" s="3"/>
      <c r="D577" s="8">
        <v>2017</v>
      </c>
      <c r="E577" s="14">
        <f>Data!I577</f>
        <v>65472980000000</v>
      </c>
      <c r="F577" s="14">
        <f>Data!G577</f>
        <v>71757702000000</v>
      </c>
      <c r="G577" s="12">
        <f t="shared" si="8"/>
        <v>0.91241745729259838</v>
      </c>
    </row>
    <row r="578" spans="2:7" ht="15" customHeight="1" x14ac:dyDescent="0.3">
      <c r="C578" s="3"/>
      <c r="D578" s="8">
        <v>2018</v>
      </c>
      <c r="E578" s="14">
        <f>Data!I578</f>
        <v>64175512000000</v>
      </c>
      <c r="F578" s="14">
        <f>Data!G578</f>
        <v>67767980000000</v>
      </c>
      <c r="G578" s="12">
        <f t="shared" si="8"/>
        <v>0.94698871059754175</v>
      </c>
    </row>
    <row r="579" spans="2:7" ht="15" customHeight="1" x14ac:dyDescent="0.3">
      <c r="C579" s="3"/>
      <c r="D579" s="8">
        <v>2019</v>
      </c>
      <c r="E579" s="14">
        <f>Data!I579</f>
        <v>66178403000000</v>
      </c>
      <c r="F579" s="14">
        <f>Data!G579</f>
        <v>71619133000000</v>
      </c>
      <c r="G579" s="12">
        <f t="shared" ref="G579:G642" si="9">IFERROR(E579/F579,0)</f>
        <v>0.92403245093737729</v>
      </c>
    </row>
    <row r="580" spans="2:7" ht="15" customHeight="1" x14ac:dyDescent="0.3">
      <c r="C580" s="3"/>
      <c r="D580" s="8">
        <v>2020</v>
      </c>
      <c r="E580" s="14">
        <f>Data!I580</f>
        <v>62024901000000</v>
      </c>
      <c r="F580" s="14">
        <f>Data!G580</f>
        <v>67396709000000</v>
      </c>
      <c r="G580" s="12">
        <f t="shared" si="9"/>
        <v>0.92029569277633427</v>
      </c>
    </row>
    <row r="581" spans="2:7" ht="15" customHeight="1" x14ac:dyDescent="0.3">
      <c r="C581" s="3"/>
      <c r="D581" s="8">
        <v>2021</v>
      </c>
      <c r="E581" s="14">
        <f>Data!I581</f>
        <v>59445139000000</v>
      </c>
      <c r="F581" s="14">
        <f>Data!G581</f>
        <v>64403397000000</v>
      </c>
      <c r="G581" s="12">
        <f t="shared" si="9"/>
        <v>0.92301247712135437</v>
      </c>
    </row>
    <row r="582" spans="2:7" ht="15" customHeight="1" x14ac:dyDescent="0.3">
      <c r="C582" s="3"/>
      <c r="D582" s="8">
        <v>2022</v>
      </c>
      <c r="E582" s="14">
        <f>Data!I582</f>
        <v>55627695000000</v>
      </c>
      <c r="F582" s="14">
        <f>Data!G582</f>
        <v>61327114000000</v>
      </c>
      <c r="G582" s="12">
        <f t="shared" si="9"/>
        <v>0.90706526643337559</v>
      </c>
    </row>
    <row r="583" spans="2:7" ht="15" customHeight="1" x14ac:dyDescent="0.3">
      <c r="C583" s="3"/>
      <c r="D583" s="8">
        <v>2023</v>
      </c>
      <c r="E583" s="14">
        <f>Data!I583</f>
        <v>54070771000000</v>
      </c>
      <c r="F583" s="14">
        <f>Data!G583</f>
        <v>60222226000000</v>
      </c>
      <c r="G583" s="12">
        <f t="shared" si="9"/>
        <v>0.89785407467336065</v>
      </c>
    </row>
    <row r="584" spans="2:7" ht="15" customHeight="1" x14ac:dyDescent="0.3">
      <c r="C584" s="3"/>
      <c r="D584" s="8">
        <v>2024</v>
      </c>
      <c r="E584" s="14">
        <f>Data!I584</f>
        <v>50954919000000</v>
      </c>
      <c r="F584" s="14">
        <f>Data!G584</f>
        <v>57560023000000</v>
      </c>
      <c r="G584" s="12">
        <f t="shared" si="9"/>
        <v>0.88524841277426169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Data!I585</f>
        <v>0</v>
      </c>
      <c r="F585" s="14">
        <f>Data!G585</f>
        <v>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Data!I586</f>
        <v>0</v>
      </c>
      <c r="F586" s="14">
        <f>Data!G586</f>
        <v>0</v>
      </c>
      <c r="G586" s="12">
        <f t="shared" si="9"/>
        <v>0</v>
      </c>
    </row>
    <row r="587" spans="2:7" ht="15" customHeight="1" x14ac:dyDescent="0.3">
      <c r="C587" s="4"/>
      <c r="D587" s="8">
        <v>2016</v>
      </c>
      <c r="E587" s="14">
        <f>Data!I587</f>
        <v>0</v>
      </c>
      <c r="F587" s="14">
        <f>Data!G587</f>
        <v>0</v>
      </c>
      <c r="G587" s="12">
        <f t="shared" si="9"/>
        <v>0</v>
      </c>
    </row>
    <row r="588" spans="2:7" ht="15" customHeight="1" x14ac:dyDescent="0.3">
      <c r="C588" s="4"/>
      <c r="D588" s="8">
        <v>2017</v>
      </c>
      <c r="E588" s="14">
        <f>Data!I588</f>
        <v>0</v>
      </c>
      <c r="F588" s="14">
        <f>Data!G588</f>
        <v>0</v>
      </c>
      <c r="G588" s="12">
        <f t="shared" si="9"/>
        <v>0</v>
      </c>
    </row>
    <row r="589" spans="2:7" ht="15" customHeight="1" x14ac:dyDescent="0.3">
      <c r="C589" s="4"/>
      <c r="D589" s="8">
        <v>2018</v>
      </c>
      <c r="E589" s="14">
        <f>Data!I589</f>
        <v>0</v>
      </c>
      <c r="F589" s="14">
        <f>Data!G589</f>
        <v>0</v>
      </c>
      <c r="G589" s="12">
        <f t="shared" si="9"/>
        <v>0</v>
      </c>
    </row>
    <row r="590" spans="2:7" ht="15" customHeight="1" x14ac:dyDescent="0.3">
      <c r="C590" s="4"/>
      <c r="D590" s="8">
        <v>2019</v>
      </c>
      <c r="E590" s="14">
        <f>Data!I590</f>
        <v>0</v>
      </c>
      <c r="F590" s="14">
        <f>Data!G590</f>
        <v>0</v>
      </c>
      <c r="G590" s="12">
        <f t="shared" si="9"/>
        <v>0</v>
      </c>
    </row>
    <row r="591" spans="2:7" ht="15" customHeight="1" x14ac:dyDescent="0.3">
      <c r="C591" s="4"/>
      <c r="D591" s="8">
        <v>2020</v>
      </c>
      <c r="E591" s="14">
        <f>Data!I591</f>
        <v>0</v>
      </c>
      <c r="F591" s="14">
        <f>Data!G591</f>
        <v>0</v>
      </c>
      <c r="G591" s="12">
        <f t="shared" si="9"/>
        <v>0</v>
      </c>
    </row>
    <row r="592" spans="2:7" ht="15" customHeight="1" x14ac:dyDescent="0.3">
      <c r="C592" s="4"/>
      <c r="D592" s="8">
        <v>2021</v>
      </c>
      <c r="E592" s="14">
        <f>Data!I592</f>
        <v>402000000</v>
      </c>
      <c r="F592" s="14">
        <f>Data!G592</f>
        <v>101008000000</v>
      </c>
      <c r="G592" s="12">
        <f t="shared" si="9"/>
        <v>3.9798827815618566E-3</v>
      </c>
    </row>
    <row r="593" spans="2:7" ht="15" customHeight="1" x14ac:dyDescent="0.3">
      <c r="C593" s="4"/>
      <c r="D593" s="8">
        <v>2022</v>
      </c>
      <c r="E593" s="14">
        <f>Data!I593</f>
        <v>1441321000000</v>
      </c>
      <c r="F593" s="14">
        <f>Data!G593</f>
        <v>6700834000000</v>
      </c>
      <c r="G593" s="12">
        <f t="shared" si="9"/>
        <v>0.21509576270655265</v>
      </c>
    </row>
    <row r="594" spans="2:7" ht="15" customHeight="1" x14ac:dyDescent="0.3">
      <c r="C594" s="4"/>
      <c r="D594" s="8">
        <v>2023</v>
      </c>
      <c r="E594" s="14">
        <f>Data!I594</f>
        <v>1722952000000</v>
      </c>
      <c r="F594" s="14">
        <f>Data!G594</f>
        <v>6672476000000</v>
      </c>
      <c r="G594" s="12">
        <f t="shared" si="9"/>
        <v>0.25821778901864917</v>
      </c>
    </row>
    <row r="595" spans="2:7" ht="15" customHeight="1" x14ac:dyDescent="0.3">
      <c r="C595" s="4"/>
      <c r="D595" s="8">
        <v>2024</v>
      </c>
      <c r="E595" s="14">
        <f>Data!I595</f>
        <v>2107312000000</v>
      </c>
      <c r="F595" s="14">
        <f>Data!G595</f>
        <v>6628170000000</v>
      </c>
      <c r="G595" s="12">
        <f t="shared" si="9"/>
        <v>0.31793270238995075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>
        <f>Data!I596</f>
        <v>0</v>
      </c>
      <c r="F596" s="14">
        <f>Data!G596</f>
        <v>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>
        <f>Data!I597</f>
        <v>4994243000000</v>
      </c>
      <c r="F597" s="14">
        <f>Data!G597</f>
        <v>6060345000000</v>
      </c>
      <c r="G597" s="12">
        <f t="shared" si="9"/>
        <v>0.82408559248689639</v>
      </c>
    </row>
    <row r="598" spans="2:7" ht="15" customHeight="1" x14ac:dyDescent="0.3">
      <c r="C598" s="3"/>
      <c r="D598" s="8">
        <v>2016</v>
      </c>
      <c r="E598" s="14">
        <f>Data!I598</f>
        <v>8329631000000</v>
      </c>
      <c r="F598" s="14">
        <f>Data!G598</f>
        <v>9618219000000</v>
      </c>
      <c r="G598" s="12">
        <f t="shared" si="9"/>
        <v>0.8660263402195354</v>
      </c>
    </row>
    <row r="599" spans="2:7" ht="15" customHeight="1" x14ac:dyDescent="0.3">
      <c r="C599" s="3"/>
      <c r="D599" s="8">
        <v>2017</v>
      </c>
      <c r="E599" s="14">
        <f>Data!I599</f>
        <v>10191827000000</v>
      </c>
      <c r="F599" s="14">
        <f>Data!G599</f>
        <v>11742806000000</v>
      </c>
      <c r="G599" s="12">
        <f t="shared" si="9"/>
        <v>0.86792092111544716</v>
      </c>
    </row>
    <row r="600" spans="2:7" ht="15" customHeight="1" x14ac:dyDescent="0.3">
      <c r="C600" s="3"/>
      <c r="D600" s="8">
        <v>2018</v>
      </c>
      <c r="E600" s="14">
        <f>Data!I600</f>
        <v>10500179000000</v>
      </c>
      <c r="F600" s="14">
        <f>Data!G600</f>
        <v>11996023000000</v>
      </c>
      <c r="G600" s="12">
        <f t="shared" si="9"/>
        <v>0.87530500733451411</v>
      </c>
    </row>
    <row r="601" spans="2:7" ht="15" customHeight="1" x14ac:dyDescent="0.3">
      <c r="C601" s="3"/>
      <c r="D601" s="8">
        <v>2019</v>
      </c>
      <c r="E601" s="14">
        <f>Data!I601</f>
        <v>12002435000000</v>
      </c>
      <c r="F601" s="14">
        <f>Data!G601</f>
        <v>13386719000000</v>
      </c>
      <c r="G601" s="12">
        <f t="shared" si="9"/>
        <v>0.89659273493378022</v>
      </c>
    </row>
    <row r="602" spans="2:7" ht="15" customHeight="1" x14ac:dyDescent="0.3">
      <c r="C602" s="3"/>
      <c r="D602" s="8">
        <v>2020</v>
      </c>
      <c r="E602" s="14">
        <f>Data!I602</f>
        <v>13324758000000</v>
      </c>
      <c r="F602" s="14">
        <f>Data!G602</f>
        <v>14446272000000</v>
      </c>
      <c r="G602" s="12">
        <f t="shared" si="9"/>
        <v>0.92236654550045849</v>
      </c>
    </row>
    <row r="603" spans="2:7" ht="15" customHeight="1" x14ac:dyDescent="0.3">
      <c r="C603" s="3"/>
      <c r="D603" s="8">
        <v>2021</v>
      </c>
      <c r="E603" s="14">
        <f>Data!I603</f>
        <v>14152151000000</v>
      </c>
      <c r="F603" s="14">
        <f>Data!G603</f>
        <v>15389456000000</v>
      </c>
      <c r="G603" s="12">
        <f t="shared" si="9"/>
        <v>0.91960047190751903</v>
      </c>
    </row>
    <row r="604" spans="2:7" ht="15" customHeight="1" x14ac:dyDescent="0.3">
      <c r="C604" s="3"/>
      <c r="D604" s="8">
        <v>2022</v>
      </c>
      <c r="E604" s="14">
        <f>Data!I604</f>
        <v>13701913000000</v>
      </c>
      <c r="F604" s="14">
        <f>Data!G604</f>
        <v>20936453000000</v>
      </c>
      <c r="G604" s="12">
        <f t="shared" si="9"/>
        <v>0.65445245190290824</v>
      </c>
    </row>
    <row r="605" spans="2:7" ht="15" customHeight="1" x14ac:dyDescent="0.3">
      <c r="C605" s="3"/>
      <c r="D605" s="8">
        <v>2023</v>
      </c>
      <c r="E605" s="14">
        <f>Data!I605</f>
        <v>12752277000000</v>
      </c>
      <c r="F605" s="14">
        <f>Data!G605</f>
        <v>20527159000000</v>
      </c>
      <c r="G605" s="12">
        <f t="shared" si="9"/>
        <v>0.62123925673299452</v>
      </c>
    </row>
    <row r="606" spans="2:7" ht="15" customHeight="1" x14ac:dyDescent="0.3">
      <c r="C606" s="3"/>
      <c r="D606" s="8">
        <v>2024</v>
      </c>
      <c r="E606" s="14">
        <f>Data!I606</f>
        <v>11478728000000</v>
      </c>
      <c r="F606" s="14">
        <f>Data!G606</f>
        <v>19441396000000</v>
      </c>
      <c r="G606" s="12">
        <f t="shared" si="9"/>
        <v>0.59042714833852461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Data!I607</f>
        <v>0</v>
      </c>
      <c r="F607" s="14">
        <f>Data!G607</f>
        <v>0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Data!I608</f>
        <v>302295000000</v>
      </c>
      <c r="F608" s="14">
        <f>Data!G608</f>
        <v>791528000000</v>
      </c>
      <c r="G608" s="12">
        <f t="shared" si="9"/>
        <v>0.38191321090346775</v>
      </c>
    </row>
    <row r="609" spans="2:7" ht="15" customHeight="1" x14ac:dyDescent="0.3">
      <c r="C609" s="3"/>
      <c r="D609" s="8">
        <v>2016</v>
      </c>
      <c r="E609" s="14">
        <f>Data!I609</f>
        <v>578596000000</v>
      </c>
      <c r="F609" s="14">
        <f>Data!G609</f>
        <v>1192863000000</v>
      </c>
      <c r="G609" s="12">
        <f t="shared" si="9"/>
        <v>0.4850481572485692</v>
      </c>
    </row>
    <row r="610" spans="2:7" ht="15" customHeight="1" x14ac:dyDescent="0.3">
      <c r="C610" s="3"/>
      <c r="D610" s="8">
        <v>2017</v>
      </c>
      <c r="E610" s="14">
        <f>Data!I610</f>
        <v>838485000000</v>
      </c>
      <c r="F610" s="14">
        <f>Data!G610</f>
        <v>2300432000000</v>
      </c>
      <c r="G610" s="12">
        <f t="shared" si="9"/>
        <v>0.364490234877623</v>
      </c>
    </row>
    <row r="611" spans="2:7" ht="15" customHeight="1" x14ac:dyDescent="0.3">
      <c r="C611" s="3"/>
      <c r="D611" s="8">
        <v>2018</v>
      </c>
      <c r="E611" s="14">
        <f>Data!I611</f>
        <v>1053155000000</v>
      </c>
      <c r="F611" s="14">
        <f>Data!G611</f>
        <v>2364703000000</v>
      </c>
      <c r="G611" s="12">
        <f t="shared" si="9"/>
        <v>0.4453645975837135</v>
      </c>
    </row>
    <row r="612" spans="2:7" ht="15" customHeight="1" x14ac:dyDescent="0.3">
      <c r="C612" s="3"/>
      <c r="D612" s="8">
        <v>2019</v>
      </c>
      <c r="E612" s="14">
        <f>Data!I612</f>
        <v>1296816000000</v>
      </c>
      <c r="F612" s="14">
        <f>Data!G612</f>
        <v>2454333000000</v>
      </c>
      <c r="G612" s="12">
        <f t="shared" si="9"/>
        <v>0.52837817851122892</v>
      </c>
    </row>
    <row r="613" spans="2:7" ht="15" customHeight="1" x14ac:dyDescent="0.3">
      <c r="C613" s="3"/>
      <c r="D613" s="8">
        <v>2020</v>
      </c>
      <c r="E613" s="14">
        <f>Data!I613</f>
        <v>1440826000000</v>
      </c>
      <c r="F613" s="14">
        <f>Data!G613</f>
        <v>2494484000000</v>
      </c>
      <c r="G613" s="12">
        <f t="shared" si="9"/>
        <v>0.57760482729093476</v>
      </c>
    </row>
    <row r="614" spans="2:7" ht="15" customHeight="1" x14ac:dyDescent="0.3">
      <c r="C614" s="3"/>
      <c r="D614" s="8">
        <v>2021</v>
      </c>
      <c r="E614" s="14">
        <f>Data!I614</f>
        <v>1506170000000</v>
      </c>
      <c r="F614" s="14">
        <f>Data!G614</f>
        <v>2367310000000</v>
      </c>
      <c r="G614" s="12">
        <f t="shared" si="9"/>
        <v>0.63623691024834095</v>
      </c>
    </row>
    <row r="615" spans="2:7" ht="15" customHeight="1" x14ac:dyDescent="0.3">
      <c r="C615" s="3"/>
      <c r="D615" s="8">
        <v>2022</v>
      </c>
      <c r="E615" s="14">
        <f>Data!I615</f>
        <v>1559745000000</v>
      </c>
      <c r="F615" s="14">
        <f>Data!G615</f>
        <v>2250592000000</v>
      </c>
      <c r="G615" s="12">
        <f t="shared" si="9"/>
        <v>0.69303765409278983</v>
      </c>
    </row>
    <row r="616" spans="2:7" ht="15" customHeight="1" x14ac:dyDescent="0.3">
      <c r="C616" s="3"/>
      <c r="D616" s="8">
        <v>2023</v>
      </c>
      <c r="E616" s="14">
        <f>Data!I616</f>
        <v>1548212000000</v>
      </c>
      <c r="F616" s="14">
        <f>Data!G616</f>
        <v>2041725000000</v>
      </c>
      <c r="G616" s="12">
        <f t="shared" si="9"/>
        <v>0.7582862530458313</v>
      </c>
    </row>
    <row r="617" spans="2:7" ht="15" customHeight="1" x14ac:dyDescent="0.3">
      <c r="C617" s="3"/>
      <c r="D617" s="8">
        <v>2024</v>
      </c>
      <c r="E617" s="14">
        <f>Data!I617</f>
        <v>1544940000000</v>
      </c>
      <c r="F617" s="14">
        <f>Data!G617</f>
        <v>1857834000000</v>
      </c>
      <c r="G617" s="12">
        <f t="shared" si="9"/>
        <v>0.8315812930541695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Data!I618</f>
        <v>0</v>
      </c>
      <c r="F618" s="14">
        <f>Data!G618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Data!I619</f>
        <v>0</v>
      </c>
      <c r="F619" s="14">
        <f>Data!G619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Data!I620</f>
        <v>0</v>
      </c>
      <c r="F620" s="14">
        <f>Data!G620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Data!I621</f>
        <v>27813000000</v>
      </c>
      <c r="F621" s="14">
        <f>Data!G621</f>
        <v>198763000000</v>
      </c>
      <c r="G621" s="12">
        <f t="shared" si="9"/>
        <v>0.13993046995668207</v>
      </c>
    </row>
    <row r="622" spans="2:7" ht="15" customHeight="1" x14ac:dyDescent="0.3">
      <c r="C622" s="3"/>
      <c r="D622" s="8">
        <v>2018</v>
      </c>
      <c r="E622" s="14">
        <f>Data!I622</f>
        <v>249155000000</v>
      </c>
      <c r="F622" s="14">
        <f>Data!G622</f>
        <v>412000000000</v>
      </c>
      <c r="G622" s="12">
        <f t="shared" si="9"/>
        <v>0.60474514563106796</v>
      </c>
    </row>
    <row r="623" spans="2:7" ht="15" customHeight="1" x14ac:dyDescent="0.3">
      <c r="C623" s="3"/>
      <c r="D623" s="8">
        <v>2019</v>
      </c>
      <c r="E623" s="14">
        <f>Data!I623</f>
        <v>232698000000</v>
      </c>
      <c r="F623" s="14">
        <f>Data!G623</f>
        <v>421315000000</v>
      </c>
      <c r="G623" s="12">
        <f t="shared" si="9"/>
        <v>0.55231358959448396</v>
      </c>
    </row>
    <row r="624" spans="2:7" ht="15" customHeight="1" x14ac:dyDescent="0.3">
      <c r="C624" s="3"/>
      <c r="D624" s="8">
        <v>2020</v>
      </c>
      <c r="E624" s="14">
        <f>Data!I624</f>
        <v>92098000000</v>
      </c>
      <c r="F624" s="14">
        <f>Data!G624</f>
        <v>257248000000</v>
      </c>
      <c r="G624" s="12">
        <f t="shared" si="9"/>
        <v>0.35801250155491976</v>
      </c>
    </row>
    <row r="625" spans="1:7" ht="15" customHeight="1" x14ac:dyDescent="0.3">
      <c r="C625" s="3"/>
      <c r="D625" s="8">
        <v>2021</v>
      </c>
      <c r="E625" s="14">
        <f>Data!I625</f>
        <v>221034000000</v>
      </c>
      <c r="F625" s="14">
        <f>Data!G625</f>
        <v>483985000000</v>
      </c>
      <c r="G625" s="12">
        <f t="shared" si="9"/>
        <v>0.45669597198260276</v>
      </c>
    </row>
    <row r="626" spans="1:7" ht="15" customHeight="1" x14ac:dyDescent="0.3">
      <c r="C626" s="3"/>
      <c r="D626" s="8">
        <v>2022</v>
      </c>
      <c r="E626" s="14">
        <f>Data!I626</f>
        <v>211147000000</v>
      </c>
      <c r="F626" s="14">
        <f>Data!G626</f>
        <v>366488000000</v>
      </c>
      <c r="G626" s="12">
        <f t="shared" si="9"/>
        <v>0.5761361899980354</v>
      </c>
    </row>
    <row r="627" spans="1:7" ht="15" customHeight="1" x14ac:dyDescent="0.3">
      <c r="C627" s="3"/>
      <c r="D627" s="8">
        <v>2023</v>
      </c>
      <c r="E627" s="14">
        <f>Data!I627</f>
        <v>22046000000</v>
      </c>
      <c r="F627" s="14">
        <f>Data!G627</f>
        <v>148210000000</v>
      </c>
      <c r="G627" s="12">
        <f t="shared" si="9"/>
        <v>0.14874839754402536</v>
      </c>
    </row>
    <row r="628" spans="1:7" ht="15" customHeight="1" x14ac:dyDescent="0.3">
      <c r="C628" s="3"/>
      <c r="D628" s="8">
        <v>2024</v>
      </c>
      <c r="E628" s="14">
        <f>Data!I628</f>
        <v>46736000000</v>
      </c>
      <c r="F628" s="14">
        <f>Data!G628</f>
        <v>179384000000</v>
      </c>
      <c r="G628" s="12">
        <f t="shared" si="9"/>
        <v>0.26053605672746732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Data!I629</f>
        <v>0</v>
      </c>
      <c r="F629" s="14">
        <f>Data!G629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Data!I630</f>
        <v>0</v>
      </c>
      <c r="F630" s="14">
        <f>Data!G630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Data!I631</f>
        <v>0</v>
      </c>
      <c r="F631" s="14">
        <f>Data!G631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Data!I632</f>
        <v>0</v>
      </c>
      <c r="F632" s="14">
        <f>Data!G632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Data!I633</f>
        <v>0</v>
      </c>
      <c r="F633" s="14">
        <f>Data!G633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Data!I634</f>
        <v>0</v>
      </c>
      <c r="F634" s="14">
        <f>Data!G634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Data!I635</f>
        <v>1238970000000</v>
      </c>
      <c r="F635" s="14">
        <f>Data!G635</f>
        <v>1657001000000</v>
      </c>
      <c r="G635" s="12">
        <f t="shared" si="9"/>
        <v>0.74771831761115415</v>
      </c>
    </row>
    <row r="636" spans="1:7" ht="15" customHeight="1" x14ac:dyDescent="0.3">
      <c r="C636" s="4"/>
      <c r="D636" s="8">
        <v>2021</v>
      </c>
      <c r="E636" s="14">
        <f>Data!I636</f>
        <v>1456771000000</v>
      </c>
      <c r="F636" s="14">
        <f>Data!G636</f>
        <v>1706301000000</v>
      </c>
      <c r="G636" s="12">
        <f t="shared" si="9"/>
        <v>0.85375968249447198</v>
      </c>
    </row>
    <row r="637" spans="1:7" ht="15" customHeight="1" x14ac:dyDescent="0.3">
      <c r="C637" s="4"/>
      <c r="D637" s="8">
        <v>2022</v>
      </c>
      <c r="E637" s="14">
        <f>Data!I637</f>
        <v>1692392000000</v>
      </c>
      <c r="F637" s="14">
        <f>Data!G637</f>
        <v>2050028000000</v>
      </c>
      <c r="G637" s="12">
        <f t="shared" si="9"/>
        <v>0.82554579742325473</v>
      </c>
    </row>
    <row r="638" spans="1:7" ht="15" customHeight="1" x14ac:dyDescent="0.3">
      <c r="C638" s="4"/>
      <c r="D638" s="8">
        <v>2023</v>
      </c>
      <c r="E638" s="14">
        <f>Data!I638</f>
        <v>1931437000000</v>
      </c>
      <c r="F638" s="14">
        <f>Data!G638</f>
        <v>2178462000000</v>
      </c>
      <c r="G638" s="12">
        <f t="shared" si="9"/>
        <v>0.88660577967391674</v>
      </c>
    </row>
    <row r="639" spans="1:7" ht="15" customHeight="1" x14ac:dyDescent="0.3">
      <c r="C639" s="4"/>
      <c r="D639" s="8">
        <v>2024</v>
      </c>
      <c r="E639" s="14">
        <f>Data!I639</f>
        <v>2058022000000</v>
      </c>
      <c r="F639" s="14">
        <f>Data!G639</f>
        <v>2347784000000</v>
      </c>
      <c r="G639" s="12">
        <f t="shared" si="9"/>
        <v>0.87658063944553677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Data!I640</f>
        <v>0</v>
      </c>
      <c r="F640" s="14">
        <f>Data!G640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Data!I641</f>
        <v>0</v>
      </c>
      <c r="F641" s="14">
        <f>Data!G641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Data!I642</f>
        <v>0</v>
      </c>
      <c r="F642" s="14">
        <f>Data!G642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Data!I643</f>
        <v>0</v>
      </c>
      <c r="F643" s="14">
        <f>Data!G643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Data!I644</f>
        <v>0</v>
      </c>
      <c r="F644" s="14">
        <f>Data!G644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Data!I645</f>
        <v>836701000000</v>
      </c>
      <c r="F645" s="14">
        <f>Data!G645</f>
        <v>1222801000000</v>
      </c>
      <c r="G645" s="12">
        <f t="shared" si="10"/>
        <v>0.68424952220353108</v>
      </c>
    </row>
    <row r="646" spans="2:7" ht="15" customHeight="1" x14ac:dyDescent="0.3">
      <c r="C646" s="2"/>
      <c r="D646" s="8">
        <v>2020</v>
      </c>
      <c r="E646" s="14">
        <f>Data!I646</f>
        <v>764761000000</v>
      </c>
      <c r="F646" s="14">
        <f>Data!G646</f>
        <v>1153735000000</v>
      </c>
      <c r="G646" s="12">
        <f t="shared" si="10"/>
        <v>0.6628567218642063</v>
      </c>
    </row>
    <row r="647" spans="2:7" ht="15" customHeight="1" x14ac:dyDescent="0.3">
      <c r="C647" s="2"/>
      <c r="D647" s="8">
        <v>2021</v>
      </c>
      <c r="E647" s="14">
        <f>Data!I647</f>
        <v>760574000000</v>
      </c>
      <c r="F647" s="14">
        <f>Data!G647</f>
        <v>1145364000000</v>
      </c>
      <c r="G647" s="12">
        <f t="shared" si="10"/>
        <v>0.66404566583199753</v>
      </c>
    </row>
    <row r="648" spans="2:7" ht="15" customHeight="1" x14ac:dyDescent="0.3">
      <c r="C648" s="2"/>
      <c r="D648" s="8">
        <v>2022</v>
      </c>
      <c r="E648" s="14">
        <f>Data!I648</f>
        <v>809235000000</v>
      </c>
      <c r="F648" s="14">
        <f>Data!G648</f>
        <v>1200901000000</v>
      </c>
      <c r="G648" s="12">
        <f t="shared" si="10"/>
        <v>0.67385654604334577</v>
      </c>
    </row>
    <row r="649" spans="2:7" ht="15" customHeight="1" x14ac:dyDescent="0.3">
      <c r="C649" s="2"/>
      <c r="D649" s="8">
        <v>2023</v>
      </c>
      <c r="E649" s="14">
        <f>Data!I649</f>
        <v>782248000000</v>
      </c>
      <c r="F649" s="14">
        <f>Data!G649</f>
        <v>1229251000000</v>
      </c>
      <c r="G649" s="12">
        <f t="shared" si="10"/>
        <v>0.63636149167257139</v>
      </c>
    </row>
    <row r="650" spans="2:7" ht="15" customHeight="1" x14ac:dyDescent="0.3">
      <c r="C650" s="2"/>
      <c r="D650" s="8">
        <v>2024</v>
      </c>
      <c r="E650" s="14">
        <f>Data!I650</f>
        <v>861055000000</v>
      </c>
      <c r="F650" s="14">
        <f>Data!G650</f>
        <v>1460518000000</v>
      </c>
      <c r="G650" s="12">
        <f t="shared" si="10"/>
        <v>0.58955452791406882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Data!I651</f>
        <v>0</v>
      </c>
      <c r="F651" s="14">
        <f>Data!G651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Data!I652</f>
        <v>0</v>
      </c>
      <c r="F652" s="14">
        <f>Data!G652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Data!I653</f>
        <v>0</v>
      </c>
      <c r="F653" s="14">
        <f>Data!G653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Data!I654</f>
        <v>0</v>
      </c>
      <c r="F654" s="14">
        <f>Data!G654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Data!I655</f>
        <v>0</v>
      </c>
      <c r="F655" s="14">
        <f>Data!G655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Data!I656</f>
        <v>0</v>
      </c>
      <c r="F656" s="14">
        <f>Data!G656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Data!I657</f>
        <v>200258000000</v>
      </c>
      <c r="F657" s="14">
        <f>Data!G657</f>
        <v>426700000000</v>
      </c>
      <c r="G657" s="12">
        <f t="shared" si="10"/>
        <v>0.46931802202952894</v>
      </c>
    </row>
    <row r="658" spans="2:7" ht="15" customHeight="1" x14ac:dyDescent="0.3">
      <c r="C658" s="2"/>
      <c r="D658" s="8">
        <v>2021</v>
      </c>
      <c r="E658" s="14">
        <f>Data!I658</f>
        <v>400530000000</v>
      </c>
      <c r="F658" s="14">
        <f>Data!G658</f>
        <v>587684000000</v>
      </c>
      <c r="G658" s="12">
        <f t="shared" si="10"/>
        <v>0.68153973904343146</v>
      </c>
    </row>
    <row r="659" spans="2:7" ht="15" customHeight="1" x14ac:dyDescent="0.3">
      <c r="C659" s="2"/>
      <c r="D659" s="8">
        <v>2022</v>
      </c>
      <c r="E659" s="14">
        <f>Data!I659</f>
        <v>400512000000</v>
      </c>
      <c r="F659" s="14">
        <f>Data!G659</f>
        <v>610818000000</v>
      </c>
      <c r="G659" s="12">
        <f t="shared" si="10"/>
        <v>0.65569776922094636</v>
      </c>
    </row>
    <row r="660" spans="2:7" ht="15" customHeight="1" x14ac:dyDescent="0.3">
      <c r="C660" s="2"/>
      <c r="D660" s="8">
        <v>2023</v>
      </c>
      <c r="E660" s="14">
        <f>Data!I660</f>
        <v>376583000000</v>
      </c>
      <c r="F660" s="14">
        <f>Data!G660</f>
        <v>594083000000</v>
      </c>
      <c r="G660" s="12">
        <f t="shared" si="10"/>
        <v>0.6338895406870757</v>
      </c>
    </row>
    <row r="661" spans="2:7" ht="15" customHeight="1" x14ac:dyDescent="0.3">
      <c r="C661" s="2"/>
      <c r="D661" s="8">
        <v>2024</v>
      </c>
      <c r="E661" s="14">
        <f>Data!I661</f>
        <v>420720000000</v>
      </c>
      <c r="F661" s="14">
        <f>Data!G661</f>
        <v>683086000000</v>
      </c>
      <c r="G661" s="12">
        <f t="shared" si="10"/>
        <v>0.61591073451951872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Data!I662</f>
        <v>0</v>
      </c>
      <c r="F662" s="14">
        <f>Data!G662</f>
        <v>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Data!I663</f>
        <v>1685896000000</v>
      </c>
      <c r="F663" s="14">
        <f>Data!G663</f>
        <v>2137811000000</v>
      </c>
      <c r="G663" s="12">
        <f t="shared" si="10"/>
        <v>0.78860853461788716</v>
      </c>
    </row>
    <row r="664" spans="2:7" ht="15" customHeight="1" x14ac:dyDescent="0.3">
      <c r="C664" s="2"/>
      <c r="D664" s="8">
        <v>2016</v>
      </c>
      <c r="E664" s="14">
        <f>Data!I664</f>
        <v>1480566000000</v>
      </c>
      <c r="F664" s="14">
        <f>Data!G664</f>
        <v>1872156000000</v>
      </c>
      <c r="G664" s="12">
        <f t="shared" si="10"/>
        <v>0.79083473813079674</v>
      </c>
    </row>
    <row r="665" spans="2:7" ht="15" customHeight="1" x14ac:dyDescent="0.3">
      <c r="C665" s="2"/>
      <c r="D665" s="8">
        <v>2017</v>
      </c>
      <c r="E665" s="14">
        <f>Data!I665</f>
        <v>1363489000000</v>
      </c>
      <c r="F665" s="14">
        <f>Data!G665</f>
        <v>2305493000000</v>
      </c>
      <c r="G665" s="12">
        <f t="shared" si="10"/>
        <v>0.5914088656959704</v>
      </c>
    </row>
    <row r="666" spans="2:7" ht="15" customHeight="1" x14ac:dyDescent="0.3">
      <c r="C666" s="2"/>
      <c r="D666" s="8">
        <v>2018</v>
      </c>
      <c r="E666" s="14">
        <f>Data!I666</f>
        <v>1629372000000</v>
      </c>
      <c r="F666" s="14">
        <f>Data!G666</f>
        <v>2550221000000</v>
      </c>
      <c r="G666" s="12">
        <f t="shared" si="10"/>
        <v>0.63891403921464063</v>
      </c>
    </row>
    <row r="667" spans="2:7" ht="15" customHeight="1" x14ac:dyDescent="0.3">
      <c r="C667" s="2"/>
      <c r="D667" s="8">
        <v>2019</v>
      </c>
      <c r="E667" s="14">
        <f>Data!I667</f>
        <v>1486614000000</v>
      </c>
      <c r="F667" s="14">
        <f>Data!G667</f>
        <v>2424572000000</v>
      </c>
      <c r="G667" s="12">
        <f t="shared" si="10"/>
        <v>0.61314491794840487</v>
      </c>
    </row>
    <row r="668" spans="2:7" ht="15" customHeight="1" x14ac:dyDescent="0.3">
      <c r="C668" s="2"/>
      <c r="D668" s="8">
        <v>2020</v>
      </c>
      <c r="E668" s="14">
        <f>Data!I668</f>
        <v>1510673000000</v>
      </c>
      <c r="F668" s="14">
        <f>Data!G668</f>
        <v>2420320000000</v>
      </c>
      <c r="G668" s="12">
        <f t="shared" si="10"/>
        <v>0.62416250743703316</v>
      </c>
    </row>
    <row r="669" spans="2:7" ht="15" customHeight="1" x14ac:dyDescent="0.3">
      <c r="C669" s="2"/>
      <c r="D669" s="8">
        <v>2021</v>
      </c>
      <c r="E669" s="14">
        <f>Data!I669</f>
        <v>1318945000000</v>
      </c>
      <c r="F669" s="14">
        <f>Data!G669</f>
        <v>2187497000000</v>
      </c>
      <c r="G669" s="12">
        <f t="shared" si="10"/>
        <v>0.60294711261318301</v>
      </c>
    </row>
    <row r="670" spans="2:7" ht="15" customHeight="1" x14ac:dyDescent="0.3">
      <c r="C670" s="2"/>
      <c r="D670" s="8">
        <v>2022</v>
      </c>
      <c r="E670" s="14">
        <f>Data!I670</f>
        <v>1181869000000</v>
      </c>
      <c r="F670" s="14">
        <f>Data!G670</f>
        <v>2029348000000</v>
      </c>
      <c r="G670" s="12">
        <f t="shared" si="10"/>
        <v>0.58238853070050089</v>
      </c>
    </row>
    <row r="671" spans="2:7" ht="15" customHeight="1" x14ac:dyDescent="0.3">
      <c r="C671" s="2"/>
      <c r="D671" s="8">
        <v>2023</v>
      </c>
      <c r="E671" s="14">
        <f>Data!I671</f>
        <v>1189715000000</v>
      </c>
      <c r="F671" s="14">
        <f>Data!G671</f>
        <v>2056708000000</v>
      </c>
      <c r="G671" s="12">
        <f t="shared" si="10"/>
        <v>0.57845595971815156</v>
      </c>
    </row>
    <row r="672" spans="2:7" ht="15" customHeight="1" x14ac:dyDescent="0.3">
      <c r="C672" s="2"/>
      <c r="D672" s="8">
        <v>2024</v>
      </c>
      <c r="E672" s="14">
        <f>Data!I672</f>
        <v>1112875000000</v>
      </c>
      <c r="F672" s="14">
        <f>Data!G672</f>
        <v>1997940000000</v>
      </c>
      <c r="G672" s="12">
        <f t="shared" si="10"/>
        <v>0.55701122155820493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Data!I673</f>
        <v>0</v>
      </c>
      <c r="F673" s="14">
        <f>Data!G673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Data!I674</f>
        <v>0</v>
      </c>
      <c r="F674" s="14">
        <f>Data!G674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Data!I675</f>
        <v>0</v>
      </c>
      <c r="F675" s="14">
        <f>Data!G675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Data!I676</f>
        <v>0</v>
      </c>
      <c r="F676" s="14">
        <f>Data!G676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Data!I677</f>
        <v>187058940000</v>
      </c>
      <c r="F677" s="14">
        <f>Data!G677</f>
        <v>341369410000</v>
      </c>
      <c r="G677" s="12">
        <f t="shared" si="10"/>
        <v>0.54796632187986616</v>
      </c>
    </row>
    <row r="678" spans="2:7" ht="15" customHeight="1" x14ac:dyDescent="0.3">
      <c r="C678" s="2"/>
      <c r="D678" s="8">
        <v>2019</v>
      </c>
      <c r="E678" s="14">
        <f>Data!I678</f>
        <v>201400590000</v>
      </c>
      <c r="F678" s="14">
        <f>Data!G678</f>
        <v>369621330000</v>
      </c>
      <c r="G678" s="12">
        <f t="shared" si="10"/>
        <v>0.54488357043680358</v>
      </c>
    </row>
    <row r="679" spans="2:7" ht="15" customHeight="1" x14ac:dyDescent="0.3">
      <c r="C679" s="2"/>
      <c r="D679" s="8">
        <v>2020</v>
      </c>
      <c r="E679" s="14">
        <f>Data!I679</f>
        <v>201597760000</v>
      </c>
      <c r="F679" s="14">
        <f>Data!G679</f>
        <v>387906760000</v>
      </c>
      <c r="G679" s="12">
        <f t="shared" si="10"/>
        <v>0.51970674602319378</v>
      </c>
    </row>
    <row r="680" spans="2:7" ht="15" customHeight="1" x14ac:dyDescent="0.3">
      <c r="C680" s="2"/>
      <c r="D680" s="8">
        <v>2021</v>
      </c>
      <c r="E680" s="14">
        <f>Data!I680</f>
        <v>289225300000</v>
      </c>
      <c r="F680" s="14">
        <f>Data!G680</f>
        <v>496279220000</v>
      </c>
      <c r="G680" s="12">
        <f t="shared" si="10"/>
        <v>0.582787447759751</v>
      </c>
    </row>
    <row r="681" spans="2:7" ht="15" customHeight="1" x14ac:dyDescent="0.3">
      <c r="C681" s="2"/>
      <c r="D681" s="8">
        <v>2022</v>
      </c>
      <c r="E681" s="14">
        <f>Data!I681</f>
        <v>296077300000</v>
      </c>
      <c r="F681" s="14">
        <f>Data!G681</f>
        <v>516469170000</v>
      </c>
      <c r="G681" s="12">
        <f t="shared" si="10"/>
        <v>0.57327197284593001</v>
      </c>
    </row>
    <row r="682" spans="2:7" ht="15" customHeight="1" x14ac:dyDescent="0.3">
      <c r="C682" s="2"/>
      <c r="D682" s="8">
        <v>2023</v>
      </c>
      <c r="E682" s="14">
        <f>Data!I682</f>
        <v>352472400000</v>
      </c>
      <c r="F682" s="14">
        <f>Data!G682</f>
        <v>595658540000</v>
      </c>
      <c r="G682" s="12">
        <f t="shared" si="10"/>
        <v>0.59173566117259058</v>
      </c>
    </row>
    <row r="683" spans="2:7" ht="15" customHeight="1" x14ac:dyDescent="0.3">
      <c r="C683" s="2"/>
      <c r="D683" s="8">
        <v>2024</v>
      </c>
      <c r="E683" s="14">
        <f>Data!I683</f>
        <v>440863040000</v>
      </c>
      <c r="F683" s="14">
        <f>Data!G683</f>
        <v>697102860000</v>
      </c>
      <c r="G683" s="12">
        <f t="shared" si="10"/>
        <v>0.63242179210109684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Data!I684</f>
        <v>0</v>
      </c>
      <c r="F684" s="14">
        <f>Data!G684</f>
        <v>0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Data!I685</f>
        <v>1500985683943</v>
      </c>
      <c r="F685" s="14">
        <f>Data!G685</f>
        <v>2091538245349</v>
      </c>
      <c r="G685" s="12">
        <f t="shared" si="10"/>
        <v>0.71764677852808823</v>
      </c>
    </row>
    <row r="686" spans="2:7" ht="15" customHeight="1" x14ac:dyDescent="0.3">
      <c r="C686" s="2"/>
      <c r="D686" s="8">
        <v>2016</v>
      </c>
      <c r="E686" s="14">
        <f>Data!I686</f>
        <v>1245228027584</v>
      </c>
      <c r="F686" s="14">
        <f>Data!G686</f>
        <v>1847306963482</v>
      </c>
      <c r="G686" s="12">
        <f t="shared" si="10"/>
        <v>0.67407748262739298</v>
      </c>
    </row>
    <row r="687" spans="2:7" ht="15" customHeight="1" x14ac:dyDescent="0.3">
      <c r="C687" s="2"/>
      <c r="D687" s="8">
        <v>2017</v>
      </c>
      <c r="E687" s="14">
        <f>Data!I687</f>
        <v>1124423373764</v>
      </c>
      <c r="F687" s="14">
        <f>Data!G687</f>
        <v>1558769299360</v>
      </c>
      <c r="G687" s="12">
        <f t="shared" si="10"/>
        <v>0.72135329726192721</v>
      </c>
    </row>
    <row r="688" spans="2:7" ht="15" customHeight="1" x14ac:dyDescent="0.3">
      <c r="C688" s="2"/>
      <c r="D688" s="8">
        <v>2018</v>
      </c>
      <c r="E688" s="14">
        <f>Data!I688</f>
        <v>1065130101641</v>
      </c>
      <c r="F688" s="14">
        <f>Data!G688</f>
        <v>1504014425963</v>
      </c>
      <c r="G688" s="12">
        <f t="shared" si="10"/>
        <v>0.70819141309699318</v>
      </c>
    </row>
    <row r="689" spans="2:7" ht="15" customHeight="1" x14ac:dyDescent="0.3">
      <c r="C689" s="2"/>
      <c r="D689" s="8">
        <v>2019</v>
      </c>
      <c r="E689" s="14">
        <f>Data!I689</f>
        <v>1365048977150</v>
      </c>
      <c r="F689" s="14">
        <f>Data!G689</f>
        <v>1814324020621</v>
      </c>
      <c r="G689" s="12">
        <f t="shared" si="10"/>
        <v>0.75237331459833523</v>
      </c>
    </row>
    <row r="690" spans="2:7" ht="15" customHeight="1" x14ac:dyDescent="0.3">
      <c r="C690" s="2"/>
      <c r="D690" s="8">
        <v>2020</v>
      </c>
      <c r="E690" s="14">
        <f>Data!I690</f>
        <v>1239034114593</v>
      </c>
      <c r="F690" s="14">
        <f>Data!G690</f>
        <v>1696979239602</v>
      </c>
      <c r="G690" s="12">
        <f t="shared" si="10"/>
        <v>0.73014099741349581</v>
      </c>
    </row>
    <row r="691" spans="2:7" ht="15" customHeight="1" x14ac:dyDescent="0.3">
      <c r="C691" s="2"/>
      <c r="D691" s="8">
        <v>2021</v>
      </c>
      <c r="E691" s="14">
        <f>Data!I691</f>
        <v>1219624155934</v>
      </c>
      <c r="F691" s="14">
        <f>Data!G691</f>
        <v>1696009882944</v>
      </c>
      <c r="G691" s="12">
        <f t="shared" si="10"/>
        <v>0.71911382604500451</v>
      </c>
    </row>
    <row r="692" spans="2:7" ht="15" customHeight="1" x14ac:dyDescent="0.3">
      <c r="C692" s="2"/>
      <c r="D692" s="8">
        <v>2022</v>
      </c>
      <c r="E692" s="14">
        <f>Data!I692</f>
        <v>1315020713818</v>
      </c>
      <c r="F692" s="14">
        <f>Data!G692</f>
        <v>1806935158886</v>
      </c>
      <c r="G692" s="12">
        <f t="shared" si="10"/>
        <v>0.72776308953373181</v>
      </c>
    </row>
    <row r="693" spans="2:7" ht="15" customHeight="1" x14ac:dyDescent="0.3">
      <c r="C693" s="2"/>
      <c r="D693" s="8">
        <v>2023</v>
      </c>
      <c r="E693" s="14">
        <f>Data!I693</f>
        <v>1768069736144</v>
      </c>
      <c r="F693" s="14">
        <f>Data!G693</f>
        <v>2234736630576</v>
      </c>
      <c r="G693" s="12">
        <f t="shared" si="10"/>
        <v>0.79117588710589248</v>
      </c>
    </row>
    <row r="694" spans="2:7" ht="15" customHeight="1" x14ac:dyDescent="0.3">
      <c r="C694" s="2"/>
      <c r="D694" s="8">
        <v>2024</v>
      </c>
      <c r="E694" s="14">
        <f>Data!I694</f>
        <v>1766098000000</v>
      </c>
      <c r="F694" s="14">
        <f>Data!G694</f>
        <v>2539539000000</v>
      </c>
      <c r="G694" s="12">
        <f t="shared" si="10"/>
        <v>0.69544039292170745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Data!I695</f>
        <v>0</v>
      </c>
      <c r="F695" s="14">
        <f>Data!G695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Data!I696</f>
        <v>0</v>
      </c>
      <c r="F696" s="14">
        <f>Data!G696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Data!I697</f>
        <v>0</v>
      </c>
      <c r="F697" s="14">
        <f>Data!G697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Data!I698</f>
        <v>11439000000</v>
      </c>
      <c r="F698" s="14">
        <f>Data!G698</f>
        <v>111934000000</v>
      </c>
      <c r="G698" s="12">
        <f t="shared" si="10"/>
        <v>0.10219415012418032</v>
      </c>
    </row>
    <row r="699" spans="2:7" ht="15" customHeight="1" x14ac:dyDescent="0.3">
      <c r="C699" s="1"/>
      <c r="D699" s="8">
        <v>2018</v>
      </c>
      <c r="E699" s="14">
        <f>Data!I699</f>
        <v>246438000000</v>
      </c>
      <c r="F699" s="14">
        <f>Data!G699</f>
        <v>532259000000</v>
      </c>
      <c r="G699" s="12">
        <f t="shared" si="10"/>
        <v>0.46300391350827325</v>
      </c>
    </row>
    <row r="700" spans="2:7" ht="15" customHeight="1" x14ac:dyDescent="0.3">
      <c r="C700" s="1"/>
      <c r="D700" s="8">
        <v>2019</v>
      </c>
      <c r="E700" s="14">
        <f>Data!I700</f>
        <v>288105000000</v>
      </c>
      <c r="F700" s="14">
        <f>Data!G700</f>
        <v>597964000000</v>
      </c>
      <c r="G700" s="12">
        <f t="shared" si="10"/>
        <v>0.48180994173562286</v>
      </c>
    </row>
    <row r="701" spans="2:7" ht="15" customHeight="1" x14ac:dyDescent="0.3">
      <c r="C701" s="1"/>
      <c r="D701" s="8">
        <v>2020</v>
      </c>
      <c r="E701" s="14">
        <f>Data!I701</f>
        <v>369381000000</v>
      </c>
      <c r="F701" s="14">
        <f>Data!G701</f>
        <v>730449000000</v>
      </c>
      <c r="G701" s="12">
        <f t="shared" si="10"/>
        <v>0.50569033567025212</v>
      </c>
    </row>
    <row r="702" spans="2:7" ht="15" customHeight="1" x14ac:dyDescent="0.3">
      <c r="C702" s="1"/>
      <c r="D702" s="8">
        <v>2021</v>
      </c>
      <c r="E702" s="14">
        <f>Data!I702</f>
        <v>492812000000</v>
      </c>
      <c r="F702" s="14">
        <f>Data!G702</f>
        <v>882584000000</v>
      </c>
      <c r="G702" s="12">
        <f t="shared" si="10"/>
        <v>0.5583740471161952</v>
      </c>
    </row>
    <row r="703" spans="2:7" ht="15" customHeight="1" x14ac:dyDescent="0.3">
      <c r="C703" s="1"/>
      <c r="D703" s="8">
        <v>2022</v>
      </c>
      <c r="E703" s="14">
        <f>Data!I703</f>
        <v>583035000000</v>
      </c>
      <c r="F703" s="14">
        <f>Data!G703</f>
        <v>1025085000000</v>
      </c>
      <c r="G703" s="12">
        <f t="shared" si="10"/>
        <v>0.56876746806362399</v>
      </c>
    </row>
    <row r="704" spans="2:7" ht="15" customHeight="1" x14ac:dyDescent="0.3">
      <c r="C704" s="1"/>
      <c r="D704" s="8">
        <v>2023</v>
      </c>
      <c r="E704" s="14">
        <f>Data!I704</f>
        <v>820409000000</v>
      </c>
      <c r="F704" s="14">
        <f>Data!G704</f>
        <v>1368246000000</v>
      </c>
      <c r="G704" s="12">
        <f t="shared" si="10"/>
        <v>0.59960635733632694</v>
      </c>
    </row>
    <row r="705" spans="2:7" ht="15" customHeight="1" x14ac:dyDescent="0.3">
      <c r="C705" s="1"/>
      <c r="D705" s="8">
        <v>2024</v>
      </c>
      <c r="E705" s="14">
        <f>Data!I705</f>
        <v>1542453000000</v>
      </c>
      <c r="F705" s="14">
        <f>Data!G705</f>
        <v>1631846000000</v>
      </c>
      <c r="G705" s="12">
        <f t="shared" si="10"/>
        <v>0.94521970823227197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Data!I706</f>
        <v>0</v>
      </c>
      <c r="F706" s="14">
        <f>Data!G706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Data!I707</f>
        <v>0</v>
      </c>
      <c r="F707" s="14">
        <f>Data!G707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Data!I708</f>
        <v>0</v>
      </c>
      <c r="F708" s="14">
        <f>Data!G708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Data!I709</f>
        <v>0</v>
      </c>
      <c r="F709" s="14">
        <f>Data!G709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Data!I710</f>
        <v>0</v>
      </c>
      <c r="F710" s="14">
        <f>Data!G710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Data!I711</f>
        <v>0</v>
      </c>
      <c r="F711" s="14">
        <f>Data!G711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Data!I712</f>
        <v>0</v>
      </c>
      <c r="F712" s="14">
        <f>Data!G712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Data!I713</f>
        <v>0</v>
      </c>
      <c r="F713" s="14">
        <f>Data!G713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Data!I714</f>
        <v>9433322174000</v>
      </c>
      <c r="F714" s="14">
        <f>Data!G714</f>
        <v>16603575802000</v>
      </c>
      <c r="G714" s="12">
        <f t="shared" si="11"/>
        <v>0.56815003505833361</v>
      </c>
    </row>
    <row r="715" spans="2:7" ht="15" customHeight="1" x14ac:dyDescent="0.3">
      <c r="C715" s="2"/>
      <c r="D715" s="8">
        <v>2023</v>
      </c>
      <c r="E715" s="14">
        <f>Data!I715</f>
        <v>10626007747000</v>
      </c>
      <c r="F715" s="14">
        <f>Data!G715</f>
        <v>18377880959000</v>
      </c>
      <c r="G715" s="12">
        <f t="shared" si="11"/>
        <v>0.57819548242291996</v>
      </c>
    </row>
    <row r="716" spans="2:7" ht="15" customHeight="1" x14ac:dyDescent="0.3">
      <c r="C716" s="2"/>
      <c r="D716" s="8">
        <v>2024</v>
      </c>
      <c r="E716" s="14">
        <f>Data!I716</f>
        <v>11819625314000</v>
      </c>
      <c r="F716" s="14">
        <f>Data!G716</f>
        <v>20178714079000</v>
      </c>
      <c r="G716" s="12">
        <f t="shared" si="11"/>
        <v>0.58574720211238296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Data!I717</f>
        <v>0</v>
      </c>
      <c r="F717" s="14">
        <f>Data!G717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Data!I718</f>
        <v>1470570630031</v>
      </c>
      <c r="F718" s="14">
        <f>Data!G718</f>
        <v>2075168653798</v>
      </c>
      <c r="G718" s="12">
        <f t="shared" si="11"/>
        <v>0.70865113895178733</v>
      </c>
    </row>
    <row r="719" spans="2:7" ht="15" customHeight="1" x14ac:dyDescent="0.3">
      <c r="C719" s="2"/>
      <c r="D719" s="8">
        <v>2016</v>
      </c>
      <c r="E719" s="14">
        <f>Data!I719</f>
        <v>1585275000000</v>
      </c>
      <c r="F719" s="14">
        <f>Data!G719</f>
        <v>2313046000000</v>
      </c>
      <c r="G719" s="12">
        <f t="shared" si="11"/>
        <v>0.68536250467997606</v>
      </c>
    </row>
    <row r="720" spans="2:7" ht="15" customHeight="1" x14ac:dyDescent="0.3">
      <c r="C720" s="2"/>
      <c r="D720" s="8">
        <v>2017</v>
      </c>
      <c r="E720" s="14">
        <f>Data!I720</f>
        <v>1830348000000</v>
      </c>
      <c r="F720" s="14">
        <f>Data!G720</f>
        <v>2690394000000</v>
      </c>
      <c r="G720" s="12">
        <f t="shared" si="11"/>
        <v>0.68032711937359358</v>
      </c>
    </row>
    <row r="721" spans="2:7" ht="15" customHeight="1" x14ac:dyDescent="0.3">
      <c r="C721" s="2"/>
      <c r="D721" s="8">
        <v>2018</v>
      </c>
      <c r="E721" s="14">
        <f>Data!I721</f>
        <v>1759497000000</v>
      </c>
      <c r="F721" s="14">
        <f>Data!G721</f>
        <v>2661545000000</v>
      </c>
      <c r="G721" s="12">
        <f t="shared" si="11"/>
        <v>0.66108106381819587</v>
      </c>
    </row>
    <row r="722" spans="2:7" ht="15" customHeight="1" x14ac:dyDescent="0.3">
      <c r="C722" s="2"/>
      <c r="D722" s="8">
        <v>2019</v>
      </c>
      <c r="E722" s="14">
        <f>Data!I722</f>
        <v>2164631000000</v>
      </c>
      <c r="F722" s="14">
        <f>Data!G722</f>
        <v>3040661000000</v>
      </c>
      <c r="G722" s="12">
        <f t="shared" si="11"/>
        <v>0.71189488075125773</v>
      </c>
    </row>
    <row r="723" spans="2:7" ht="15" customHeight="1" x14ac:dyDescent="0.3">
      <c r="C723" s="2"/>
      <c r="D723" s="8">
        <v>2020</v>
      </c>
      <c r="E723" s="14">
        <f>Data!I723</f>
        <v>2089872000000</v>
      </c>
      <c r="F723" s="14">
        <f>Data!G723</f>
        <v>2996972000000</v>
      </c>
      <c r="G723" s="12">
        <f t="shared" si="11"/>
        <v>0.69732783622936756</v>
      </c>
    </row>
    <row r="724" spans="2:7" ht="15" customHeight="1" x14ac:dyDescent="0.3">
      <c r="C724" s="2"/>
      <c r="D724" s="8">
        <v>2021</v>
      </c>
      <c r="E724" s="14">
        <f>Data!I724</f>
        <v>2137056000000</v>
      </c>
      <c r="F724" s="14">
        <f>Data!G724</f>
        <v>3088637000000</v>
      </c>
      <c r="G724" s="12">
        <f t="shared" si="11"/>
        <v>0.69190908481637692</v>
      </c>
    </row>
    <row r="725" spans="2:7" ht="15" customHeight="1" x14ac:dyDescent="0.3">
      <c r="C725" s="2"/>
      <c r="D725" s="8">
        <v>2022</v>
      </c>
      <c r="E725" s="14">
        <f>Data!I725</f>
        <v>2547358000000</v>
      </c>
      <c r="F725" s="14">
        <f>Data!G725</f>
        <v>3550161000000</v>
      </c>
      <c r="G725" s="12">
        <f t="shared" si="11"/>
        <v>0.71753309216117245</v>
      </c>
    </row>
    <row r="726" spans="2:7" ht="15" customHeight="1" x14ac:dyDescent="0.3">
      <c r="C726" s="2"/>
      <c r="D726" s="8">
        <v>2023</v>
      </c>
      <c r="E726" s="14">
        <f>Data!I726</f>
        <v>2781458000000</v>
      </c>
      <c r="F726" s="14">
        <f>Data!G726</f>
        <v>3862435000000</v>
      </c>
      <c r="G726" s="12">
        <f t="shared" si="11"/>
        <v>0.72013069475602831</v>
      </c>
    </row>
    <row r="727" spans="2:7" ht="15" customHeight="1" x14ac:dyDescent="0.3">
      <c r="C727" s="2"/>
      <c r="D727" s="8">
        <v>2024</v>
      </c>
      <c r="E727" s="14">
        <f>Data!I727</f>
        <v>0</v>
      </c>
      <c r="F727" s="14">
        <f>Data!G727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Data!I728</f>
        <v>0</v>
      </c>
      <c r="F728" s="14">
        <f>Data!G728</f>
        <v>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Data!I729</f>
        <v>74919000000</v>
      </c>
      <c r="F729" s="14">
        <f>Data!G729</f>
        <v>180728000000</v>
      </c>
      <c r="G729" s="12">
        <f t="shared" si="11"/>
        <v>0.41454008233367268</v>
      </c>
    </row>
    <row r="730" spans="2:7" ht="15" customHeight="1" x14ac:dyDescent="0.3">
      <c r="C730" s="2"/>
      <c r="D730" s="8">
        <v>2016</v>
      </c>
      <c r="E730" s="14">
        <f>Data!I730</f>
        <v>60594000000</v>
      </c>
      <c r="F730" s="14">
        <f>Data!G730</f>
        <v>172481000000</v>
      </c>
      <c r="G730" s="12">
        <f t="shared" si="11"/>
        <v>0.3513082600402363</v>
      </c>
    </row>
    <row r="731" spans="2:7" ht="15" customHeight="1" x14ac:dyDescent="0.3">
      <c r="C731" s="2"/>
      <c r="D731" s="8">
        <v>2017</v>
      </c>
      <c r="E731" s="14">
        <f>Data!I731</f>
        <v>60090320000</v>
      </c>
      <c r="F731" s="14">
        <f>Data!G731</f>
        <v>171728990000</v>
      </c>
      <c r="G731" s="12">
        <f t="shared" si="11"/>
        <v>0.34991366338321794</v>
      </c>
    </row>
    <row r="732" spans="2:7" ht="15" customHeight="1" x14ac:dyDescent="0.3">
      <c r="C732" s="2"/>
      <c r="D732" s="8">
        <v>2018</v>
      </c>
      <c r="E732" s="14">
        <f>Data!I732</f>
        <v>58748170000</v>
      </c>
      <c r="F732" s="14">
        <f>Data!G732</f>
        <v>171191550000</v>
      </c>
      <c r="G732" s="12">
        <f t="shared" si="11"/>
        <v>0.34317213670885038</v>
      </c>
    </row>
    <row r="733" spans="2:7" ht="15" customHeight="1" x14ac:dyDescent="0.3">
      <c r="C733" s="2"/>
      <c r="D733" s="8">
        <v>2019</v>
      </c>
      <c r="E733" s="14">
        <f>Data!I733</f>
        <v>72134670000</v>
      </c>
      <c r="F733" s="14">
        <f>Data!G733</f>
        <v>186330430000</v>
      </c>
      <c r="G733" s="12">
        <f t="shared" si="11"/>
        <v>0.38713306248474821</v>
      </c>
    </row>
    <row r="734" spans="2:7" ht="15" customHeight="1" x14ac:dyDescent="0.3">
      <c r="C734" s="2"/>
      <c r="D734" s="8">
        <v>2020</v>
      </c>
      <c r="E734" s="14">
        <f>Data!I734</f>
        <v>92001970000</v>
      </c>
      <c r="F734" s="14">
        <f>Data!G734</f>
        <v>211221340000</v>
      </c>
      <c r="G734" s="12">
        <f t="shared" si="11"/>
        <v>0.43557137739965102</v>
      </c>
    </row>
    <row r="735" spans="2:7" ht="15" customHeight="1" x14ac:dyDescent="0.3">
      <c r="C735" s="2"/>
      <c r="D735" s="8">
        <v>2021</v>
      </c>
      <c r="E735" s="14">
        <f>Data!I735</f>
        <v>81256900000</v>
      </c>
      <c r="F735" s="14">
        <f>Data!G735</f>
        <v>208178180000</v>
      </c>
      <c r="G735" s="12">
        <f t="shared" si="11"/>
        <v>0.39032380819161738</v>
      </c>
    </row>
    <row r="736" spans="2:7" ht="15" customHeight="1" x14ac:dyDescent="0.3">
      <c r="C736" s="2"/>
      <c r="D736" s="8">
        <v>2022</v>
      </c>
      <c r="E736" s="14">
        <f>Data!I736</f>
        <v>95058410000</v>
      </c>
      <c r="F736" s="14">
        <f>Data!G736</f>
        <v>217432640000</v>
      </c>
      <c r="G736" s="12">
        <f t="shared" si="11"/>
        <v>0.43718555778929974</v>
      </c>
    </row>
    <row r="737" spans="2:7" ht="15" customHeight="1" x14ac:dyDescent="0.3">
      <c r="C737" s="2"/>
      <c r="D737" s="8">
        <v>2023</v>
      </c>
      <c r="E737" s="14">
        <f>Data!I737</f>
        <v>280807320000</v>
      </c>
      <c r="F737" s="14">
        <f>Data!G737</f>
        <v>408529730000</v>
      </c>
      <c r="G737" s="12">
        <f t="shared" si="11"/>
        <v>0.68736079501484504</v>
      </c>
    </row>
    <row r="738" spans="2:7" ht="15" customHeight="1" x14ac:dyDescent="0.3">
      <c r="C738" s="2"/>
      <c r="D738" s="8">
        <v>2024</v>
      </c>
      <c r="E738" s="14">
        <f>Data!I738</f>
        <v>178804200000</v>
      </c>
      <c r="F738" s="14">
        <f>Data!G738</f>
        <v>308465380000</v>
      </c>
      <c r="G738" s="12">
        <f t="shared" si="11"/>
        <v>0.57965726980447529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Data!I739</f>
        <v>0</v>
      </c>
      <c r="F739" s="14">
        <f>Data!G739</f>
        <v>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Data!I740</f>
        <v>1625205582000</v>
      </c>
      <c r="F740" s="14">
        <f>Data!G740</f>
        <v>2846759759000</v>
      </c>
      <c r="G740" s="12">
        <f t="shared" si="11"/>
        <v>0.57089664024578479</v>
      </c>
    </row>
    <row r="741" spans="2:7" ht="15" customHeight="1" x14ac:dyDescent="0.3">
      <c r="C741" s="2"/>
      <c r="D741" s="8">
        <v>2016</v>
      </c>
      <c r="E741" s="14">
        <f>Data!I741</f>
        <v>1582165362000</v>
      </c>
      <c r="F741" s="14">
        <f>Data!G741</f>
        <v>2813838947000</v>
      </c>
      <c r="G741" s="12">
        <f t="shared" si="11"/>
        <v>0.56227999960226582</v>
      </c>
    </row>
    <row r="742" spans="2:7" ht="15" customHeight="1" x14ac:dyDescent="0.3">
      <c r="C742" s="2"/>
      <c r="D742" s="8">
        <v>2017</v>
      </c>
      <c r="E742" s="14">
        <f>Data!I742</f>
        <v>1591479311000</v>
      </c>
      <c r="F742" s="14">
        <f>Data!G742</f>
        <v>2966605878000</v>
      </c>
      <c r="G742" s="12">
        <f t="shared" si="11"/>
        <v>0.53646469280001874</v>
      </c>
    </row>
    <row r="743" spans="2:7" ht="15" customHeight="1" x14ac:dyDescent="0.3">
      <c r="C743" s="2"/>
      <c r="D743" s="8">
        <v>2018</v>
      </c>
      <c r="E743" s="14">
        <f>Data!I743</f>
        <v>1556041961000</v>
      </c>
      <c r="F743" s="14">
        <f>Data!G743</f>
        <v>2890427512000</v>
      </c>
      <c r="G743" s="12">
        <f t="shared" si="11"/>
        <v>0.53834318782944102</v>
      </c>
    </row>
    <row r="744" spans="2:7" ht="15" customHeight="1" x14ac:dyDescent="0.3">
      <c r="C744" s="2"/>
      <c r="D744" s="8">
        <v>2019</v>
      </c>
      <c r="E744" s="14">
        <f>Data!I744</f>
        <v>1325948582000</v>
      </c>
      <c r="F744" s="14">
        <f>Data!G744</f>
        <v>2579654391000</v>
      </c>
      <c r="G744" s="12">
        <f t="shared" si="11"/>
        <v>0.51400241312402994</v>
      </c>
    </row>
    <row r="745" spans="2:7" ht="15" customHeight="1" x14ac:dyDescent="0.3">
      <c r="C745" s="2"/>
      <c r="D745" s="8">
        <v>2020</v>
      </c>
      <c r="E745" s="14">
        <f>Data!I745</f>
        <v>1090545646000</v>
      </c>
      <c r="F745" s="14">
        <f>Data!G745</f>
        <v>2477781648000</v>
      </c>
      <c r="G745" s="12">
        <f t="shared" si="11"/>
        <v>0.44012984230481311</v>
      </c>
    </row>
    <row r="746" spans="2:7" ht="15" customHeight="1" x14ac:dyDescent="0.3">
      <c r="C746" s="2"/>
      <c r="D746" s="8">
        <v>2021</v>
      </c>
      <c r="E746" s="14">
        <f>Data!I746</f>
        <v>983787506000</v>
      </c>
      <c r="F746" s="14">
        <f>Data!G746</f>
        <v>2495890568000</v>
      </c>
      <c r="G746" s="12">
        <f t="shared" si="11"/>
        <v>0.39416291668120923</v>
      </c>
    </row>
    <row r="747" spans="2:7" ht="15" customHeight="1" x14ac:dyDescent="0.3">
      <c r="C747" s="2"/>
      <c r="D747" s="8">
        <v>2022</v>
      </c>
      <c r="E747" s="14">
        <f>Data!I747</f>
        <v>966617847000</v>
      </c>
      <c r="F747" s="14">
        <f>Data!G747</f>
        <v>2472105924000</v>
      </c>
      <c r="G747" s="12">
        <f t="shared" si="11"/>
        <v>0.3910098825522656</v>
      </c>
    </row>
    <row r="748" spans="2:7" ht="15" customHeight="1" x14ac:dyDescent="0.3">
      <c r="C748" s="2"/>
      <c r="D748" s="8">
        <v>2023</v>
      </c>
      <c r="E748" s="14">
        <f>Data!I748</f>
        <v>1115590529000</v>
      </c>
      <c r="F748" s="14">
        <f>Data!G748</f>
        <v>2664450707000</v>
      </c>
      <c r="G748" s="12">
        <f t="shared" si="11"/>
        <v>0.41869437706959239</v>
      </c>
    </row>
    <row r="749" spans="2:7" ht="15" customHeight="1" x14ac:dyDescent="0.3">
      <c r="C749" s="2"/>
      <c r="D749" s="8">
        <v>2024</v>
      </c>
      <c r="E749" s="14">
        <f>Data!I749</f>
        <v>1192828879000</v>
      </c>
      <c r="F749" s="14">
        <f>Data!G749</f>
        <v>2751906616000</v>
      </c>
      <c r="G749" s="12">
        <f t="shared" si="11"/>
        <v>0.43345543488456806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Data!I750</f>
        <v>0</v>
      </c>
      <c r="F750" s="14">
        <f>Data!G750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Data!I751</f>
        <v>0</v>
      </c>
      <c r="F751" s="14">
        <f>Data!G751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Data!I752</f>
        <v>0</v>
      </c>
      <c r="F752" s="14">
        <f>Data!G752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Data!I753</f>
        <v>238868790000</v>
      </c>
      <c r="F753" s="14">
        <f>Data!G753</f>
        <v>390722630000</v>
      </c>
      <c r="G753" s="12">
        <f t="shared" si="11"/>
        <v>0.61135130565639362</v>
      </c>
    </row>
    <row r="754" spans="2:7" ht="15" customHeight="1" x14ac:dyDescent="0.3">
      <c r="C754" s="2"/>
      <c r="D754" s="8">
        <v>2018</v>
      </c>
      <c r="E754" s="14">
        <f>Data!I754</f>
        <v>281514920000</v>
      </c>
      <c r="F754" s="14">
        <f>Data!G754</f>
        <v>445745740000</v>
      </c>
      <c r="G754" s="12">
        <f t="shared" si="11"/>
        <v>0.6315594177075029</v>
      </c>
    </row>
    <row r="755" spans="2:7" ht="15" customHeight="1" x14ac:dyDescent="0.3">
      <c r="C755" s="2"/>
      <c r="D755" s="8">
        <v>2019</v>
      </c>
      <c r="E755" s="14">
        <f>Data!I755</f>
        <v>363903830000</v>
      </c>
      <c r="F755" s="14">
        <f>Data!G755</f>
        <v>541929699999.99994</v>
      </c>
      <c r="G755" s="12">
        <f t="shared" si="11"/>
        <v>0.67149637674406859</v>
      </c>
    </row>
    <row r="756" spans="2:7" ht="15" customHeight="1" x14ac:dyDescent="0.3">
      <c r="C756" s="2"/>
      <c r="D756" s="8">
        <v>2020</v>
      </c>
      <c r="E756" s="14">
        <f>Data!I756</f>
        <v>461577700000</v>
      </c>
      <c r="F756" s="14">
        <f>Data!G756</f>
        <v>651096710000</v>
      </c>
      <c r="G756" s="12">
        <f t="shared" si="11"/>
        <v>0.70892341016436711</v>
      </c>
    </row>
    <row r="757" spans="2:7" ht="15" customHeight="1" x14ac:dyDescent="0.3">
      <c r="C757" s="2"/>
      <c r="D757" s="8">
        <v>2021</v>
      </c>
      <c r="E757" s="14">
        <f>Data!I757</f>
        <v>451562710000</v>
      </c>
      <c r="F757" s="14">
        <f>Data!G757</f>
        <v>638850140000</v>
      </c>
      <c r="G757" s="12">
        <f t="shared" si="11"/>
        <v>0.70683667690829655</v>
      </c>
    </row>
    <row r="758" spans="2:7" ht="15" customHeight="1" x14ac:dyDescent="0.3">
      <c r="C758" s="2"/>
      <c r="D758" s="8">
        <v>2022</v>
      </c>
      <c r="E758" s="14">
        <f>Data!I758</f>
        <v>512266590000</v>
      </c>
      <c r="F758" s="14">
        <f>Data!G758</f>
        <v>717529210000</v>
      </c>
      <c r="G758" s="12">
        <f t="shared" si="11"/>
        <v>0.71393133946421494</v>
      </c>
    </row>
    <row r="759" spans="2:7" ht="15" customHeight="1" x14ac:dyDescent="0.3">
      <c r="C759" s="2"/>
      <c r="D759" s="8">
        <v>2023</v>
      </c>
      <c r="E759" s="14">
        <f>Data!I759</f>
        <v>603190080000</v>
      </c>
      <c r="F759" s="14">
        <f>Data!G759</f>
        <v>862563240000</v>
      </c>
      <c r="G759" s="12">
        <f t="shared" si="11"/>
        <v>0.69929954353259938</v>
      </c>
    </row>
    <row r="760" spans="2:7" ht="15" customHeight="1" x14ac:dyDescent="0.3">
      <c r="C760" s="2"/>
      <c r="D760" s="8">
        <v>2024</v>
      </c>
      <c r="E760" s="14">
        <f>Data!I760</f>
        <v>640518160000</v>
      </c>
      <c r="F760" s="14">
        <f>Data!G760</f>
        <v>914639760000</v>
      </c>
      <c r="G760" s="12">
        <f t="shared" si="11"/>
        <v>0.70029555679932387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Data!I761</f>
        <v>0</v>
      </c>
      <c r="F761" s="14">
        <f>Data!G761</f>
        <v>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Data!I762</f>
        <v>333297913000</v>
      </c>
      <c r="F762" s="14">
        <f>Data!G762</f>
        <v>494002999000</v>
      </c>
      <c r="G762" s="12">
        <f t="shared" si="11"/>
        <v>0.67468803564894952</v>
      </c>
    </row>
    <row r="763" spans="2:7" ht="15" customHeight="1" x14ac:dyDescent="0.3">
      <c r="C763" s="2"/>
      <c r="D763" s="8">
        <v>2016</v>
      </c>
      <c r="E763" s="14">
        <f>Data!I763</f>
        <v>352247208000</v>
      </c>
      <c r="F763" s="14">
        <f>Data!G763</f>
        <v>525898830000</v>
      </c>
      <c r="G763" s="12">
        <f t="shared" si="11"/>
        <v>0.66980032642400056</v>
      </c>
    </row>
    <row r="764" spans="2:7" ht="15" customHeight="1" x14ac:dyDescent="0.3">
      <c r="C764" s="2"/>
      <c r="D764" s="8">
        <v>2017</v>
      </c>
      <c r="E764" s="14">
        <f>Data!I764</f>
        <v>470635644000</v>
      </c>
      <c r="F764" s="14">
        <f>Data!G764</f>
        <v>738183659000</v>
      </c>
      <c r="G764" s="12">
        <f t="shared" si="11"/>
        <v>0.63755901158467665</v>
      </c>
    </row>
    <row r="765" spans="2:7" ht="15" customHeight="1" x14ac:dyDescent="0.3">
      <c r="C765" s="2"/>
      <c r="D765" s="8">
        <v>2018</v>
      </c>
      <c r="E765" s="14">
        <f>Data!I765</f>
        <v>593110979000</v>
      </c>
      <c r="F765" s="14">
        <f>Data!G765</f>
        <v>874472888000</v>
      </c>
      <c r="G765" s="12">
        <f t="shared" si="11"/>
        <v>0.67824970578161592</v>
      </c>
    </row>
    <row r="766" spans="2:7" ht="15" customHeight="1" x14ac:dyDescent="0.3">
      <c r="C766" s="2"/>
      <c r="D766" s="8">
        <v>2019</v>
      </c>
      <c r="E766" s="14">
        <f>Data!I766</f>
        <v>566035087000</v>
      </c>
      <c r="F766" s="14">
        <f>Data!G766</f>
        <v>857520585000</v>
      </c>
      <c r="G766" s="12">
        <f t="shared" si="11"/>
        <v>0.66008338097213137</v>
      </c>
    </row>
    <row r="767" spans="2:7" ht="15" customHeight="1" x14ac:dyDescent="0.3">
      <c r="C767" s="2"/>
      <c r="D767" s="8">
        <v>2020</v>
      </c>
      <c r="E767" s="14">
        <f>Data!I767</f>
        <v>557997452000</v>
      </c>
      <c r="F767" s="14">
        <f>Data!G767</f>
        <v>871769183000</v>
      </c>
      <c r="G767" s="12">
        <f t="shared" si="11"/>
        <v>0.64007476162414423</v>
      </c>
    </row>
    <row r="768" spans="2:7" ht="15" customHeight="1" x14ac:dyDescent="0.3">
      <c r="C768" s="2"/>
      <c r="D768" s="8">
        <v>2021</v>
      </c>
      <c r="E768" s="14">
        <f>Data!I768</f>
        <v>498914085000</v>
      </c>
      <c r="F768" s="14">
        <f>Data!G768</f>
        <v>954657152000</v>
      </c>
      <c r="G768" s="12">
        <f t="shared" si="11"/>
        <v>0.52261074455345413</v>
      </c>
    </row>
    <row r="769" spans="2:7" ht="15" customHeight="1" x14ac:dyDescent="0.3">
      <c r="C769" s="2"/>
      <c r="D769" s="8">
        <v>2022</v>
      </c>
      <c r="E769" s="14">
        <f>Data!I769</f>
        <v>620559335000</v>
      </c>
      <c r="F769" s="14">
        <f>Data!G769</f>
        <v>989810930000</v>
      </c>
      <c r="G769" s="12">
        <f t="shared" si="11"/>
        <v>0.62694734538847741</v>
      </c>
    </row>
    <row r="770" spans="2:7" ht="15" customHeight="1" x14ac:dyDescent="0.3">
      <c r="C770" s="2"/>
      <c r="D770" s="8">
        <v>2023</v>
      </c>
      <c r="E770" s="14">
        <f>Data!I770</f>
        <v>582681646000</v>
      </c>
      <c r="F770" s="14">
        <f>Data!G770</f>
        <v>970378457000</v>
      </c>
      <c r="G770" s="12">
        <f t="shared" si="11"/>
        <v>0.60046844795112764</v>
      </c>
    </row>
    <row r="771" spans="2:7" ht="15" customHeight="1" x14ac:dyDescent="0.3">
      <c r="C771" s="2"/>
      <c r="D771" s="8">
        <v>2024</v>
      </c>
      <c r="E771" s="14">
        <f>Data!I771</f>
        <v>481266234000</v>
      </c>
      <c r="F771" s="14">
        <f>Data!G771</f>
        <v>903498744000</v>
      </c>
      <c r="G771" s="12">
        <f t="shared" ref="G771:G834" si="12">IFERROR(E771/F771,0)</f>
        <v>0.53266951082778702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Data!I772</f>
        <v>0</v>
      </c>
      <c r="F772" s="14">
        <f>Data!G772</f>
        <v>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Data!I773</f>
        <v>248326000000</v>
      </c>
      <c r="F773" s="14">
        <f>Data!G773</f>
        <v>393493000000</v>
      </c>
      <c r="G773" s="12">
        <f t="shared" si="12"/>
        <v>0.63108111198928574</v>
      </c>
    </row>
    <row r="774" spans="2:7" ht="15" customHeight="1" x14ac:dyDescent="0.3">
      <c r="C774" s="2"/>
      <c r="D774" s="8">
        <v>2016</v>
      </c>
      <c r="E774" s="14">
        <f>Data!I774</f>
        <v>278889000000</v>
      </c>
      <c r="F774" s="14">
        <f>Data!G774</f>
        <v>445968000000</v>
      </c>
      <c r="G774" s="12">
        <f t="shared" si="12"/>
        <v>0.62535652782262408</v>
      </c>
    </row>
    <row r="775" spans="2:7" ht="15" customHeight="1" x14ac:dyDescent="0.3">
      <c r="C775" s="2"/>
      <c r="D775" s="8">
        <v>2017</v>
      </c>
      <c r="E775" s="14">
        <f>Data!I775</f>
        <v>232219000000</v>
      </c>
      <c r="F775" s="14">
        <f>Data!G775</f>
        <v>413902000000</v>
      </c>
      <c r="G775" s="12">
        <f t="shared" si="12"/>
        <v>0.56104826746427894</v>
      </c>
    </row>
    <row r="776" spans="2:7" ht="15" customHeight="1" x14ac:dyDescent="0.3">
      <c r="C776" s="2"/>
      <c r="D776" s="8">
        <v>2018</v>
      </c>
      <c r="E776" s="14">
        <f>Data!I776</f>
        <v>259710000000</v>
      </c>
      <c r="F776" s="14">
        <f>Data!G776</f>
        <v>458423000000</v>
      </c>
      <c r="G776" s="12">
        <f t="shared" si="12"/>
        <v>0.56652916629401229</v>
      </c>
    </row>
    <row r="777" spans="2:7" ht="15" customHeight="1" x14ac:dyDescent="0.3">
      <c r="C777" s="2"/>
      <c r="D777" s="8">
        <v>2019</v>
      </c>
      <c r="E777" s="14">
        <f>Data!I777</f>
        <v>266476000000</v>
      </c>
      <c r="F777" s="14">
        <f>Data!G777</f>
        <v>475599000000</v>
      </c>
      <c r="G777" s="12">
        <f t="shared" si="12"/>
        <v>0.56029554309407714</v>
      </c>
    </row>
    <row r="778" spans="2:7" ht="15" customHeight="1" x14ac:dyDescent="0.3">
      <c r="C778" s="2"/>
      <c r="D778" s="8">
        <v>2020</v>
      </c>
      <c r="E778" s="14">
        <f>Data!I778</f>
        <v>250475000000</v>
      </c>
      <c r="F778" s="14">
        <f>Data!G778</f>
        <v>491590000000</v>
      </c>
      <c r="G778" s="12">
        <f t="shared" si="12"/>
        <v>0.50952012856241991</v>
      </c>
    </row>
    <row r="779" spans="2:7" ht="15" customHeight="1" x14ac:dyDescent="0.3">
      <c r="C779" s="2"/>
      <c r="D779" s="8">
        <v>2021</v>
      </c>
      <c r="E779" s="14">
        <f>Data!I779</f>
        <v>322732000000</v>
      </c>
      <c r="F779" s="14">
        <f>Data!G779</f>
        <v>558562000000</v>
      </c>
      <c r="G779" s="12">
        <f t="shared" si="12"/>
        <v>0.57779082715974239</v>
      </c>
    </row>
    <row r="780" spans="2:7" ht="15" customHeight="1" x14ac:dyDescent="0.3">
      <c r="C780" s="2"/>
      <c r="D780" s="8">
        <v>2022</v>
      </c>
      <c r="E780" s="14">
        <f>Data!I780</f>
        <v>375508000000</v>
      </c>
      <c r="F780" s="14">
        <f>Data!G780</f>
        <v>633061000000</v>
      </c>
      <c r="G780" s="12">
        <f t="shared" si="12"/>
        <v>0.59316242826520671</v>
      </c>
    </row>
    <row r="781" spans="2:7" ht="15" customHeight="1" x14ac:dyDescent="0.3">
      <c r="C781" s="2"/>
      <c r="D781" s="8">
        <v>2023</v>
      </c>
      <c r="E781" s="14">
        <f>Data!I781</f>
        <v>474715000000</v>
      </c>
      <c r="F781" s="14">
        <f>Data!G781</f>
        <v>720422000000</v>
      </c>
      <c r="G781" s="12">
        <f t="shared" si="12"/>
        <v>0.65894017672975003</v>
      </c>
    </row>
    <row r="782" spans="2:7" ht="15" customHeight="1" x14ac:dyDescent="0.3">
      <c r="C782" s="2"/>
      <c r="D782" s="8">
        <v>2024</v>
      </c>
      <c r="E782" s="14">
        <f>Data!I782</f>
        <v>394905000000</v>
      </c>
      <c r="F782" s="14">
        <f>Data!G782</f>
        <v>708738000000</v>
      </c>
      <c r="G782" s="12">
        <f t="shared" si="12"/>
        <v>0.55719461916815527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Data!I783</f>
        <v>0</v>
      </c>
      <c r="F783" s="14">
        <f>Data!G783</f>
        <v>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Data!I784</f>
        <v>258179000000</v>
      </c>
      <c r="F784" s="14">
        <f>Data!G784</f>
        <v>376932000000</v>
      </c>
      <c r="G784" s="12">
        <f t="shared" si="12"/>
        <v>0.68494847877070664</v>
      </c>
    </row>
    <row r="785" spans="2:7" ht="15" customHeight="1" x14ac:dyDescent="0.3">
      <c r="C785" s="2"/>
      <c r="D785" s="8">
        <v>2016</v>
      </c>
      <c r="E785" s="14">
        <f>Data!I785</f>
        <v>360390000000</v>
      </c>
      <c r="F785" s="14">
        <f>Data!G785</f>
        <v>505969000000</v>
      </c>
      <c r="G785" s="12">
        <f t="shared" si="12"/>
        <v>0.71227683909488526</v>
      </c>
    </row>
    <row r="786" spans="2:7" ht="15" customHeight="1" x14ac:dyDescent="0.3">
      <c r="C786" s="2"/>
      <c r="D786" s="8">
        <v>2017</v>
      </c>
      <c r="E786" s="14">
        <f>Data!I786</f>
        <v>610792000000</v>
      </c>
      <c r="F786" s="14">
        <f>Data!G786</f>
        <v>786758000000</v>
      </c>
      <c r="G786" s="12">
        <f t="shared" si="12"/>
        <v>0.77634037404131895</v>
      </c>
    </row>
    <row r="787" spans="2:7" ht="15" customHeight="1" x14ac:dyDescent="0.3">
      <c r="C787" s="2"/>
      <c r="D787" s="8">
        <v>2018</v>
      </c>
      <c r="E787" s="14">
        <f>Data!I787</f>
        <v>879111000000</v>
      </c>
      <c r="F787" s="14">
        <f>Data!G787</f>
        <v>1105918000000</v>
      </c>
      <c r="G787" s="12">
        <f t="shared" si="12"/>
        <v>0.79491517454277805</v>
      </c>
    </row>
    <row r="788" spans="2:7" ht="15" customHeight="1" x14ac:dyDescent="0.3">
      <c r="C788" s="2"/>
      <c r="D788" s="8">
        <v>2019</v>
      </c>
      <c r="E788" s="14">
        <f>Data!I788</f>
        <v>798690000000</v>
      </c>
      <c r="F788" s="14">
        <f>Data!G788</f>
        <v>1092838000000</v>
      </c>
      <c r="G788" s="12">
        <f t="shared" si="12"/>
        <v>0.73084025262664731</v>
      </c>
    </row>
    <row r="789" spans="2:7" ht="15" customHeight="1" x14ac:dyDescent="0.3">
      <c r="C789" s="2"/>
      <c r="D789" s="8">
        <v>2020</v>
      </c>
      <c r="E789" s="14">
        <f>Data!I789</f>
        <v>768086000000</v>
      </c>
      <c r="F789" s="14">
        <f>Data!G789</f>
        <v>1071885000000</v>
      </c>
      <c r="G789" s="12">
        <f t="shared" si="12"/>
        <v>0.71657500571423238</v>
      </c>
    </row>
    <row r="790" spans="2:7" ht="15" customHeight="1" x14ac:dyDescent="0.3">
      <c r="C790" s="2"/>
      <c r="D790" s="8">
        <v>2021</v>
      </c>
      <c r="E790" s="14">
        <f>Data!I790</f>
        <v>759838000000</v>
      </c>
      <c r="F790" s="14">
        <f>Data!G790</f>
        <v>1104816000000</v>
      </c>
      <c r="G790" s="12">
        <f t="shared" si="12"/>
        <v>0.68775072048196262</v>
      </c>
    </row>
    <row r="791" spans="2:7" ht="15" customHeight="1" x14ac:dyDescent="0.3">
      <c r="C791" s="2"/>
      <c r="D791" s="8">
        <v>2022</v>
      </c>
      <c r="E791" s="14">
        <f>Data!I791</f>
        <v>640355000000</v>
      </c>
      <c r="F791" s="14">
        <f>Data!G791</f>
        <v>1001209000000</v>
      </c>
      <c r="G791" s="12">
        <f t="shared" si="12"/>
        <v>0.63958174566948556</v>
      </c>
    </row>
    <row r="792" spans="2:7" ht="15" customHeight="1" x14ac:dyDescent="0.3">
      <c r="C792" s="2"/>
      <c r="D792" s="8">
        <v>2023</v>
      </c>
      <c r="E792" s="14">
        <f>Data!I792</f>
        <v>704866000000</v>
      </c>
      <c r="F792" s="14">
        <f>Data!G792</f>
        <v>1085786000000</v>
      </c>
      <c r="G792" s="12">
        <f t="shared" si="12"/>
        <v>0.64917580444028566</v>
      </c>
    </row>
    <row r="793" spans="2:7" ht="15" customHeight="1" x14ac:dyDescent="0.3">
      <c r="C793" s="2"/>
      <c r="D793" s="8">
        <v>2024</v>
      </c>
      <c r="E793" s="14">
        <f>Data!I793</f>
        <v>604592000000</v>
      </c>
      <c r="F793" s="14">
        <f>Data!G793</f>
        <v>1007550000000</v>
      </c>
      <c r="G793" s="12">
        <f t="shared" si="12"/>
        <v>0.60006153540767204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Data!I794</f>
        <v>0</v>
      </c>
      <c r="F794" s="14">
        <f>Data!G794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Data!I795</f>
        <v>0</v>
      </c>
      <c r="F795" s="14">
        <f>Data!G795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Data!I796</f>
        <v>0</v>
      </c>
      <c r="F796" s="14">
        <f>Data!G796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Data!I797</f>
        <v>0</v>
      </c>
      <c r="F797" s="14">
        <f>Data!G797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Data!I798</f>
        <v>0</v>
      </c>
      <c r="F798" s="14">
        <f>Data!G798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Data!I799</f>
        <v>59000000</v>
      </c>
      <c r="F799" s="14">
        <f>Data!G799</f>
        <v>200264000000</v>
      </c>
      <c r="G799" s="12">
        <f t="shared" si="12"/>
        <v>2.9461111333040389E-4</v>
      </c>
    </row>
    <row r="800" spans="2:7" ht="15" customHeight="1" x14ac:dyDescent="0.3">
      <c r="C800" s="2"/>
      <c r="D800" s="8">
        <v>2020</v>
      </c>
      <c r="E800" s="14">
        <f>Data!I800</f>
        <v>158187000000</v>
      </c>
      <c r="F800" s="14">
        <f>Data!G800</f>
        <v>361478000000</v>
      </c>
      <c r="G800" s="12">
        <f t="shared" si="12"/>
        <v>0.43761169421098933</v>
      </c>
    </row>
    <row r="801" spans="2:7" ht="15" customHeight="1" x14ac:dyDescent="0.3">
      <c r="C801" s="2"/>
      <c r="D801" s="8">
        <v>2021</v>
      </c>
      <c r="E801" s="14">
        <f>Data!I801</f>
        <v>243171000000</v>
      </c>
      <c r="F801" s="14">
        <f>Data!G801</f>
        <v>451600000000</v>
      </c>
      <c r="G801" s="12">
        <f t="shared" si="12"/>
        <v>0.53846545615589014</v>
      </c>
    </row>
    <row r="802" spans="2:7" ht="15" customHeight="1" x14ac:dyDescent="0.3">
      <c r="C802" s="2"/>
      <c r="D802" s="8">
        <v>2022</v>
      </c>
      <c r="E802" s="14">
        <f>Data!I802</f>
        <v>295528000000</v>
      </c>
      <c r="F802" s="14">
        <f>Data!G802</f>
        <v>513082000000</v>
      </c>
      <c r="G802" s="12">
        <f t="shared" si="12"/>
        <v>0.57598590478714906</v>
      </c>
    </row>
    <row r="803" spans="2:7" ht="15" customHeight="1" x14ac:dyDescent="0.3">
      <c r="C803" s="2"/>
      <c r="D803" s="8">
        <v>2023</v>
      </c>
      <c r="E803" s="14">
        <f>Data!I803</f>
        <v>394741000000</v>
      </c>
      <c r="F803" s="14">
        <f>Data!G803</f>
        <v>624335000000</v>
      </c>
      <c r="G803" s="12">
        <f t="shared" si="12"/>
        <v>0.63225832285551831</v>
      </c>
    </row>
    <row r="804" spans="2:7" ht="15" customHeight="1" x14ac:dyDescent="0.3">
      <c r="C804" s="2"/>
      <c r="D804" s="8">
        <v>2024</v>
      </c>
      <c r="E804" s="14">
        <f>Data!I804</f>
        <v>468345000000</v>
      </c>
      <c r="F804" s="14">
        <f>Data!G804</f>
        <v>714332000000</v>
      </c>
      <c r="G804" s="12">
        <f t="shared" si="12"/>
        <v>0.65564051449466076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Data!I805</f>
        <v>0</v>
      </c>
      <c r="F805" s="14">
        <f>Data!G805</f>
        <v>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Data!I806</f>
        <v>4963028593627</v>
      </c>
      <c r="F806" s="14">
        <f>Data!G806</f>
        <v>9225611000000</v>
      </c>
      <c r="G806" s="12">
        <f t="shared" si="12"/>
        <v>0.53796204865206221</v>
      </c>
    </row>
    <row r="807" spans="2:7" ht="15" customHeight="1" x14ac:dyDescent="0.3">
      <c r="C807" s="2"/>
      <c r="D807" s="8">
        <v>2016</v>
      </c>
      <c r="E807" s="14">
        <f>Data!I807</f>
        <v>4357497000000</v>
      </c>
      <c r="F807" s="14">
        <f>Data!G807</f>
        <v>8734642000000</v>
      </c>
      <c r="G807" s="12">
        <f t="shared" si="12"/>
        <v>0.49887528303964834</v>
      </c>
    </row>
    <row r="808" spans="2:7" ht="15" customHeight="1" x14ac:dyDescent="0.3">
      <c r="C808" s="2"/>
      <c r="D808" s="8">
        <v>2017</v>
      </c>
      <c r="E808" s="14">
        <f>Data!I808</f>
        <v>4928001000000</v>
      </c>
      <c r="F808" s="14">
        <f>Data!G808</f>
        <v>8918691000000</v>
      </c>
      <c r="G808" s="12">
        <f t="shared" si="12"/>
        <v>0.55254756555642526</v>
      </c>
    </row>
    <row r="809" spans="2:7" ht="15" customHeight="1" x14ac:dyDescent="0.3">
      <c r="C809" s="2"/>
      <c r="D809" s="8">
        <v>2018</v>
      </c>
      <c r="E809" s="14">
        <f>Data!I809</f>
        <v>4904882000000</v>
      </c>
      <c r="F809" s="14">
        <f>Data!G809</f>
        <v>9398031000000</v>
      </c>
      <c r="G809" s="12">
        <f t="shared" si="12"/>
        <v>0.52190527994640579</v>
      </c>
    </row>
    <row r="810" spans="2:7" ht="15" customHeight="1" x14ac:dyDescent="0.3">
      <c r="C810" s="2"/>
      <c r="D810" s="8">
        <v>2019</v>
      </c>
      <c r="E810" s="14">
        <f>Data!I810</f>
        <v>5259275000000</v>
      </c>
      <c r="F810" s="14">
        <f>Data!G810</f>
        <v>10790332000000</v>
      </c>
      <c r="G810" s="12">
        <f t="shared" si="12"/>
        <v>0.48740622624030477</v>
      </c>
    </row>
    <row r="811" spans="2:7" ht="15" customHeight="1" x14ac:dyDescent="0.3">
      <c r="C811" s="2"/>
      <c r="D811" s="8">
        <v>2020</v>
      </c>
      <c r="E811" s="14">
        <f>Data!I811</f>
        <v>4838640000000</v>
      </c>
      <c r="F811" s="14">
        <f>Data!G811</f>
        <v>10589546000000</v>
      </c>
      <c r="G811" s="12">
        <f t="shared" si="12"/>
        <v>0.45692610429191205</v>
      </c>
    </row>
    <row r="812" spans="2:7" ht="15" customHeight="1" x14ac:dyDescent="0.3">
      <c r="C812" s="2"/>
      <c r="D812" s="8">
        <v>2021</v>
      </c>
      <c r="E812" s="14">
        <f>Data!I812</f>
        <v>5339467000000</v>
      </c>
      <c r="F812" s="14">
        <f>Data!G812</f>
        <v>12170557000000</v>
      </c>
      <c r="G812" s="12">
        <f t="shared" si="12"/>
        <v>0.43872001914127678</v>
      </c>
    </row>
    <row r="813" spans="2:7" ht="15" customHeight="1" x14ac:dyDescent="0.3">
      <c r="C813" s="2"/>
      <c r="D813" s="8">
        <v>2022</v>
      </c>
      <c r="E813" s="14">
        <f>Data!I813</f>
        <v>6228902000000</v>
      </c>
      <c r="F813" s="14">
        <f>Data!G813</f>
        <v>13092783000000</v>
      </c>
      <c r="G813" s="12">
        <f t="shared" si="12"/>
        <v>0.4757508010329049</v>
      </c>
    </row>
    <row r="814" spans="2:7" ht="15" customHeight="1" x14ac:dyDescent="0.3">
      <c r="C814" s="2"/>
      <c r="D814" s="8">
        <v>2023</v>
      </c>
      <c r="E814" s="14">
        <f>Data!I814</f>
        <v>7236140000000</v>
      </c>
      <c r="F814" s="14">
        <f>Data!G814</f>
        <v>14409652000000</v>
      </c>
      <c r="G814" s="12">
        <f t="shared" si="12"/>
        <v>0.50217312673477477</v>
      </c>
    </row>
    <row r="815" spans="2:7" ht="15" customHeight="1" x14ac:dyDescent="0.3">
      <c r="C815" s="2"/>
      <c r="D815" s="8">
        <v>2024</v>
      </c>
      <c r="E815" s="14">
        <f>Data!I815</f>
        <v>7597445000000</v>
      </c>
      <c r="F815" s="14">
        <f>Data!G815</f>
        <v>16164429000000</v>
      </c>
      <c r="G815" s="12">
        <f t="shared" si="12"/>
        <v>0.47001010675972532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Data!I816</f>
        <v>0</v>
      </c>
      <c r="F816" s="14">
        <f>Data!G816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Data!I817</f>
        <v>0</v>
      </c>
      <c r="F817" s="14">
        <f>Data!G817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Data!I818</f>
        <v>0</v>
      </c>
      <c r="F818" s="14">
        <f>Data!G818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Data!I819</f>
        <v>0</v>
      </c>
      <c r="F819" s="14">
        <f>Data!G819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Data!I820</f>
        <v>0</v>
      </c>
      <c r="F820" s="14">
        <f>Data!G820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Data!I821</f>
        <v>0</v>
      </c>
      <c r="F821" s="14">
        <f>Data!G821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Data!I822</f>
        <v>0</v>
      </c>
      <c r="F822" s="14">
        <f>Data!G822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Data!I823</f>
        <v>0</v>
      </c>
      <c r="F823" s="14">
        <f>Data!G823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Data!I824</f>
        <v>0</v>
      </c>
      <c r="F824" s="14">
        <f>Data!G824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Data!I825</f>
        <v>0</v>
      </c>
      <c r="F825" s="14">
        <f>Data!G825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Data!I826</f>
        <v>0</v>
      </c>
      <c r="F826" s="14">
        <f>Data!G826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Data!I827</f>
        <v>0</v>
      </c>
      <c r="F827" s="14">
        <f>Data!G827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Data!I828</f>
        <v>0</v>
      </c>
      <c r="F828" s="14">
        <f>Data!G828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Data!I829</f>
        <v>0</v>
      </c>
      <c r="F829" s="14">
        <f>Data!G829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Data!I830</f>
        <v>0</v>
      </c>
      <c r="F830" s="14">
        <f>Data!G830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Data!I831</f>
        <v>0</v>
      </c>
      <c r="F831" s="14">
        <f>Data!G831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Data!I832</f>
        <v>823936164000</v>
      </c>
      <c r="F832" s="14">
        <f>Data!G832</f>
        <v>1158038755000</v>
      </c>
      <c r="G832" s="12">
        <f t="shared" si="12"/>
        <v>0.711492737563865</v>
      </c>
    </row>
    <row r="833" spans="2:7" ht="15" customHeight="1" x14ac:dyDescent="0.3">
      <c r="C833" s="2"/>
      <c r="D833" s="8">
        <v>2020</v>
      </c>
      <c r="E833" s="14">
        <f>Data!I833</f>
        <v>508174714000</v>
      </c>
      <c r="F833" s="14">
        <f>Data!G833</f>
        <v>859876511000</v>
      </c>
      <c r="G833" s="12">
        <f t="shared" si="12"/>
        <v>0.59098569096743236</v>
      </c>
    </row>
    <row r="834" spans="2:7" ht="15" customHeight="1" x14ac:dyDescent="0.3">
      <c r="C834" s="2"/>
      <c r="D834" s="8">
        <v>2021</v>
      </c>
      <c r="E834" s="14">
        <f>Data!I834</f>
        <v>462797631000</v>
      </c>
      <c r="F834" s="14">
        <f>Data!G834</f>
        <v>822740369000</v>
      </c>
      <c r="G834" s="12">
        <f t="shared" si="12"/>
        <v>0.5625075035062489</v>
      </c>
    </row>
    <row r="835" spans="2:7" ht="15" customHeight="1" x14ac:dyDescent="0.3">
      <c r="C835" s="2"/>
      <c r="D835" s="8">
        <v>2022</v>
      </c>
      <c r="E835" s="14">
        <f>Data!I835</f>
        <v>823847643000</v>
      </c>
      <c r="F835" s="14">
        <f>Data!G835</f>
        <v>888973513000</v>
      </c>
      <c r="G835" s="12">
        <f t="shared" ref="G835:G898" si="13">IFERROR(E835/F835,0)</f>
        <v>0.92674037072238391</v>
      </c>
    </row>
    <row r="836" spans="2:7" ht="15" customHeight="1" x14ac:dyDescent="0.3">
      <c r="C836" s="2"/>
      <c r="D836" s="8">
        <v>2023</v>
      </c>
      <c r="E836" s="14">
        <f>Data!I836</f>
        <v>611216174000</v>
      </c>
      <c r="F836" s="14">
        <f>Data!G836</f>
        <v>982940217000</v>
      </c>
      <c r="G836" s="12">
        <f t="shared" si="13"/>
        <v>0.62182436269163255</v>
      </c>
    </row>
    <row r="837" spans="2:7" ht="15" customHeight="1" x14ac:dyDescent="0.3">
      <c r="C837" s="2"/>
      <c r="D837" s="8">
        <v>2024</v>
      </c>
      <c r="E837" s="14">
        <f>Data!I837</f>
        <v>684080375000</v>
      </c>
      <c r="F837" s="14">
        <f>Data!G837</f>
        <v>1082550737000</v>
      </c>
      <c r="G837" s="12">
        <f t="shared" si="13"/>
        <v>0.6319153011670805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Data!I838</f>
        <v>0</v>
      </c>
      <c r="F838" s="14">
        <f>Data!G838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Data!I839</f>
        <v>0</v>
      </c>
      <c r="F839" s="14">
        <f>Data!G839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Data!I840</f>
        <v>0</v>
      </c>
      <c r="F840" s="14">
        <f>Data!G840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Data!I841</f>
        <v>0</v>
      </c>
      <c r="F841" s="14">
        <f>Data!G841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Data!I842</f>
        <v>246931460000</v>
      </c>
      <c r="F842" s="14">
        <f>Data!G842</f>
        <v>364590550000</v>
      </c>
      <c r="G842" s="12">
        <f t="shared" si="13"/>
        <v>0.67728431249795151</v>
      </c>
    </row>
    <row r="843" spans="2:7" ht="15" customHeight="1" x14ac:dyDescent="0.3">
      <c r="C843" s="2"/>
      <c r="D843" s="8">
        <v>2019</v>
      </c>
      <c r="E843" s="14">
        <f>Data!I843</f>
        <v>137224290000.00002</v>
      </c>
      <c r="F843" s="14">
        <f>Data!G843</f>
        <v>255980130000</v>
      </c>
      <c r="G843" s="12">
        <f t="shared" si="13"/>
        <v>0.53607399136800193</v>
      </c>
    </row>
    <row r="844" spans="2:7" ht="15" customHeight="1" x14ac:dyDescent="0.3">
      <c r="C844" s="2"/>
      <c r="D844" s="8">
        <v>2020</v>
      </c>
      <c r="E844" s="14">
        <f>Data!I844</f>
        <v>207512450000</v>
      </c>
      <c r="F844" s="14">
        <f>Data!G844</f>
        <v>314220790000</v>
      </c>
      <c r="G844" s="12">
        <f t="shared" si="13"/>
        <v>0.66040331067845637</v>
      </c>
    </row>
    <row r="845" spans="2:7" ht="15" customHeight="1" x14ac:dyDescent="0.3">
      <c r="C845" s="2"/>
      <c r="D845" s="8">
        <v>2021</v>
      </c>
      <c r="E845" s="14">
        <f>Data!I845</f>
        <v>153227870000</v>
      </c>
      <c r="F845" s="14">
        <f>Data!G845</f>
        <v>240789680000</v>
      </c>
      <c r="G845" s="12">
        <f t="shared" si="13"/>
        <v>0.63635563617178281</v>
      </c>
    </row>
    <row r="846" spans="2:7" ht="15" customHeight="1" x14ac:dyDescent="0.3">
      <c r="C846" s="2"/>
      <c r="D846" s="8">
        <v>2022</v>
      </c>
      <c r="E846" s="14">
        <f>Data!I846</f>
        <v>115249340000</v>
      </c>
      <c r="F846" s="14">
        <f>Data!G846</f>
        <v>218360480000</v>
      </c>
      <c r="G846" s="12">
        <f t="shared" si="13"/>
        <v>0.52779394879512997</v>
      </c>
    </row>
    <row r="847" spans="2:7" ht="15" customHeight="1" x14ac:dyDescent="0.3">
      <c r="C847" s="2"/>
      <c r="D847" s="8">
        <v>2023</v>
      </c>
      <c r="E847" s="14">
        <f>Data!I847</f>
        <v>147057000000</v>
      </c>
      <c r="F847" s="14">
        <f>Data!G847</f>
        <v>252198000000</v>
      </c>
      <c r="G847" s="12">
        <f t="shared" si="13"/>
        <v>0.58310137273094953</v>
      </c>
    </row>
    <row r="848" spans="2:7" ht="15" customHeight="1" x14ac:dyDescent="0.3">
      <c r="C848" s="2"/>
      <c r="D848" s="8">
        <v>2024</v>
      </c>
      <c r="E848" s="14">
        <f>Data!I848</f>
        <v>88564000000</v>
      </c>
      <c r="F848" s="14">
        <f>Data!G848</f>
        <v>256066000000</v>
      </c>
      <c r="G848" s="12">
        <f t="shared" si="13"/>
        <v>0.34586395694859917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Data!I849</f>
        <v>0</v>
      </c>
      <c r="F849" s="14">
        <f>Data!G849</f>
        <v>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Data!I850</f>
        <v>46437132000</v>
      </c>
      <c r="F850" s="14">
        <f>Data!G850</f>
        <v>158115174000</v>
      </c>
      <c r="G850" s="12">
        <f t="shared" si="13"/>
        <v>0.29369181227350133</v>
      </c>
    </row>
    <row r="851" spans="2:7" ht="15" customHeight="1" x14ac:dyDescent="0.3">
      <c r="C851" s="2"/>
      <c r="D851" s="8">
        <v>2016</v>
      </c>
      <c r="E851" s="14">
        <f>Data!I851</f>
        <v>53805659000</v>
      </c>
      <c r="F851" s="14">
        <f>Data!G851</f>
        <v>157375377000</v>
      </c>
      <c r="G851" s="12">
        <f t="shared" si="13"/>
        <v>0.34189375762384988</v>
      </c>
    </row>
    <row r="852" spans="2:7" ht="15" customHeight="1" x14ac:dyDescent="0.3">
      <c r="C852" s="2"/>
      <c r="D852" s="8">
        <v>2017</v>
      </c>
      <c r="E852" s="14">
        <f>Data!I852</f>
        <v>50322916000</v>
      </c>
      <c r="F852" s="14">
        <f>Data!G852</f>
        <v>165304046000</v>
      </c>
      <c r="G852" s="12">
        <f t="shared" si="13"/>
        <v>0.30442640224305217</v>
      </c>
    </row>
    <row r="853" spans="2:7" ht="15" customHeight="1" x14ac:dyDescent="0.3">
      <c r="C853" s="2"/>
      <c r="D853" s="8">
        <v>2018</v>
      </c>
      <c r="E853" s="14">
        <f>Data!I853</f>
        <v>101582000000</v>
      </c>
      <c r="F853" s="14">
        <f>Data!G853</f>
        <v>229521000000</v>
      </c>
      <c r="G853" s="12">
        <f t="shared" si="13"/>
        <v>0.44258259592804144</v>
      </c>
    </row>
    <row r="854" spans="2:7" ht="15" customHeight="1" x14ac:dyDescent="0.3">
      <c r="C854" s="2"/>
      <c r="D854" s="8">
        <v>2019</v>
      </c>
      <c r="E854" s="14">
        <f>Data!I854</f>
        <v>80881175000</v>
      </c>
      <c r="F854" s="14">
        <f>Data!G854</f>
        <v>211559644000</v>
      </c>
      <c r="G854" s="12">
        <f t="shared" si="13"/>
        <v>0.38230909010226921</v>
      </c>
    </row>
    <row r="855" spans="2:7" ht="15" customHeight="1" x14ac:dyDescent="0.3">
      <c r="C855" s="2"/>
      <c r="D855" s="8">
        <v>2020</v>
      </c>
      <c r="E855" s="14">
        <f>Data!I855</f>
        <v>75897105000</v>
      </c>
      <c r="F855" s="14">
        <f>Data!G855</f>
        <v>207903297000</v>
      </c>
      <c r="G855" s="12">
        <f t="shared" si="13"/>
        <v>0.36505965078562463</v>
      </c>
    </row>
    <row r="856" spans="2:7" ht="15" customHeight="1" x14ac:dyDescent="0.3">
      <c r="C856" s="2"/>
      <c r="D856" s="8">
        <v>2021</v>
      </c>
      <c r="E856" s="14">
        <f>Data!I856</f>
        <v>76165000000</v>
      </c>
      <c r="F856" s="14">
        <f>Data!G856</f>
        <v>179676000000</v>
      </c>
      <c r="G856" s="12">
        <f t="shared" si="13"/>
        <v>0.42390191233108482</v>
      </c>
    </row>
    <row r="857" spans="2:7" ht="15" customHeight="1" x14ac:dyDescent="0.3">
      <c r="C857" s="2"/>
      <c r="D857" s="8">
        <v>2022</v>
      </c>
      <c r="E857" s="14">
        <f>Data!I857</f>
        <v>154580000000</v>
      </c>
      <c r="F857" s="14">
        <f>Data!G857</f>
        <v>269647000000</v>
      </c>
      <c r="G857" s="12">
        <f t="shared" si="13"/>
        <v>0.5732680133656225</v>
      </c>
    </row>
    <row r="858" spans="2:7" ht="15" customHeight="1" x14ac:dyDescent="0.3">
      <c r="C858" s="2"/>
      <c r="D858" s="8">
        <v>2023</v>
      </c>
      <c r="E858" s="14">
        <f>Data!I858</f>
        <v>268834000000</v>
      </c>
      <c r="F858" s="14">
        <f>Data!G858</f>
        <v>387608000000</v>
      </c>
      <c r="G858" s="12">
        <f t="shared" si="13"/>
        <v>0.6935718561020412</v>
      </c>
    </row>
    <row r="859" spans="2:7" ht="15" customHeight="1" x14ac:dyDescent="0.3">
      <c r="C859" s="2"/>
      <c r="D859" s="8">
        <v>2024</v>
      </c>
      <c r="E859" s="14">
        <f>Data!I859</f>
        <v>413481000000</v>
      </c>
      <c r="F859" s="14">
        <f>Data!G859</f>
        <v>576261000000</v>
      </c>
      <c r="G859" s="12">
        <f t="shared" si="13"/>
        <v>0.71752383034770706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Data!I860</f>
        <v>0</v>
      </c>
      <c r="F860" s="14">
        <f>Data!G860</f>
        <v>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Data!I861</f>
        <v>604181300000</v>
      </c>
      <c r="F861" s="14">
        <f>Data!G861</f>
        <v>726345620000</v>
      </c>
      <c r="G861" s="12">
        <f t="shared" si="13"/>
        <v>0.83180965557416042</v>
      </c>
    </row>
    <row r="862" spans="2:7" ht="15" customHeight="1" x14ac:dyDescent="0.3">
      <c r="C862" s="2"/>
      <c r="D862" s="8">
        <v>2016</v>
      </c>
      <c r="E862" s="14">
        <f>Data!I862</f>
        <v>718435730000</v>
      </c>
      <c r="F862" s="14">
        <f>Data!G862</f>
        <v>865785160000</v>
      </c>
      <c r="G862" s="12">
        <f t="shared" si="13"/>
        <v>0.82980832103890534</v>
      </c>
    </row>
    <row r="863" spans="2:7" ht="15" customHeight="1" x14ac:dyDescent="0.3">
      <c r="C863" s="2"/>
      <c r="D863" s="8">
        <v>2017</v>
      </c>
      <c r="E863" s="14">
        <f>Data!I863</f>
        <v>729036600000</v>
      </c>
      <c r="F863" s="14">
        <f>Data!G863</f>
        <v>927525210000</v>
      </c>
      <c r="G863" s="12">
        <f t="shared" si="13"/>
        <v>0.78600192441130523</v>
      </c>
    </row>
    <row r="864" spans="2:7" ht="15" customHeight="1" x14ac:dyDescent="0.3">
      <c r="C864" s="2"/>
      <c r="D864" s="8">
        <v>2018</v>
      </c>
      <c r="E864" s="14">
        <f>Data!I864</f>
        <v>823379540000</v>
      </c>
      <c r="F864" s="14">
        <f>Data!G864</f>
        <v>1045273900000</v>
      </c>
      <c r="G864" s="12">
        <f t="shared" si="13"/>
        <v>0.78771654013364345</v>
      </c>
    </row>
    <row r="865" spans="2:7" ht="15" customHeight="1" x14ac:dyDescent="0.3">
      <c r="C865" s="2"/>
      <c r="D865" s="8">
        <v>2019</v>
      </c>
      <c r="E865" s="14">
        <f>Data!I865</f>
        <v>418595600000</v>
      </c>
      <c r="F865" s="14">
        <f>Data!G865</f>
        <v>617588470000</v>
      </c>
      <c r="G865" s="12">
        <f t="shared" si="13"/>
        <v>0.6777905034399363</v>
      </c>
    </row>
    <row r="866" spans="2:7" ht="15" customHeight="1" x14ac:dyDescent="0.3">
      <c r="C866" s="2"/>
      <c r="D866" s="8">
        <v>2020</v>
      </c>
      <c r="E866" s="14">
        <f>Data!I866</f>
        <v>804279000000</v>
      </c>
      <c r="F866" s="14">
        <f>Data!G866</f>
        <v>1015763000000</v>
      </c>
      <c r="G866" s="12">
        <f t="shared" si="13"/>
        <v>0.79179788986210364</v>
      </c>
    </row>
    <row r="867" spans="2:7" ht="15" customHeight="1" x14ac:dyDescent="0.3">
      <c r="C867" s="2"/>
      <c r="D867" s="8">
        <v>2021</v>
      </c>
      <c r="E867" s="14">
        <f>Data!I867</f>
        <v>1256018000000</v>
      </c>
      <c r="F867" s="14">
        <f>Data!G867</f>
        <v>1306165000000</v>
      </c>
      <c r="G867" s="12">
        <f t="shared" si="13"/>
        <v>0.96160745388216651</v>
      </c>
    </row>
    <row r="868" spans="2:7" ht="15" customHeight="1" x14ac:dyDescent="0.3">
      <c r="C868" s="2"/>
      <c r="D868" s="8">
        <v>2022</v>
      </c>
      <c r="E868" s="14">
        <f>Data!I868</f>
        <v>984909000000</v>
      </c>
      <c r="F868" s="14">
        <f>Data!G868</f>
        <v>1207430000000</v>
      </c>
      <c r="G868" s="12">
        <f t="shared" si="13"/>
        <v>0.81570691468656564</v>
      </c>
    </row>
    <row r="869" spans="2:7" ht="15" customHeight="1" x14ac:dyDescent="0.3">
      <c r="C869" s="2"/>
      <c r="D869" s="8">
        <v>2023</v>
      </c>
      <c r="E869" s="14">
        <f>Data!I869</f>
        <v>739769000000</v>
      </c>
      <c r="F869" s="14">
        <f>Data!G869</f>
        <v>952959000000</v>
      </c>
      <c r="G869" s="12">
        <f t="shared" si="13"/>
        <v>0.77628628304050862</v>
      </c>
    </row>
    <row r="870" spans="2:7" ht="15" customHeight="1" x14ac:dyDescent="0.3">
      <c r="C870" s="2"/>
      <c r="D870" s="8">
        <v>2024</v>
      </c>
      <c r="E870" s="14">
        <f>Data!I870</f>
        <v>639262000000</v>
      </c>
      <c r="F870" s="14">
        <f>Data!G870</f>
        <v>880166000000</v>
      </c>
      <c r="G870" s="12">
        <f t="shared" si="13"/>
        <v>0.72629708486808175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Data!I871</f>
        <v>0</v>
      </c>
      <c r="F871" s="14">
        <f>Data!G871</f>
        <v>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Data!I872</f>
        <v>1242670000000</v>
      </c>
      <c r="F872" s="14">
        <f>Data!G872</f>
        <v>1425414000000</v>
      </c>
      <c r="G872" s="12">
        <f t="shared" si="13"/>
        <v>0.87179584317258008</v>
      </c>
    </row>
    <row r="873" spans="2:7" ht="15" customHeight="1" x14ac:dyDescent="0.3">
      <c r="C873" s="2"/>
      <c r="D873" s="8">
        <v>2016</v>
      </c>
      <c r="E873" s="14">
        <f>Data!I873</f>
        <v>1245274000000</v>
      </c>
      <c r="F873" s="14">
        <f>Data!G873</f>
        <v>1447531000000</v>
      </c>
      <c r="G873" s="12">
        <f t="shared" si="13"/>
        <v>0.86027449498490882</v>
      </c>
    </row>
    <row r="874" spans="2:7" ht="15" customHeight="1" x14ac:dyDescent="0.3">
      <c r="C874" s="2"/>
      <c r="D874" s="8">
        <v>2017</v>
      </c>
      <c r="E874" s="14">
        <f>Data!I874</f>
        <v>1320815000000</v>
      </c>
      <c r="F874" s="14">
        <f>Data!G874</f>
        <v>1546804000000</v>
      </c>
      <c r="G874" s="12">
        <f t="shared" si="13"/>
        <v>0.85389939513991431</v>
      </c>
    </row>
    <row r="875" spans="2:7" ht="15" customHeight="1" x14ac:dyDescent="0.3">
      <c r="C875" s="2"/>
      <c r="D875" s="8">
        <v>2018</v>
      </c>
      <c r="E875" s="14">
        <f>Data!I875</f>
        <v>1505101000000</v>
      </c>
      <c r="F875" s="14">
        <f>Data!G875</f>
        <v>1778439000000</v>
      </c>
      <c r="G875" s="12">
        <f t="shared" si="13"/>
        <v>0.84630454010511469</v>
      </c>
    </row>
    <row r="876" spans="2:7" ht="15" customHeight="1" x14ac:dyDescent="0.3">
      <c r="C876" s="2"/>
      <c r="D876" s="8">
        <v>2019</v>
      </c>
      <c r="E876" s="14">
        <f>Data!I876</f>
        <v>1485112000000</v>
      </c>
      <c r="F876" s="14">
        <f>Data!G876</f>
        <v>1785466000000</v>
      </c>
      <c r="G876" s="12">
        <f t="shared" si="13"/>
        <v>0.83177837046462944</v>
      </c>
    </row>
    <row r="877" spans="2:7" ht="15" customHeight="1" x14ac:dyDescent="0.3">
      <c r="C877" s="2"/>
      <c r="D877" s="8">
        <v>2020</v>
      </c>
      <c r="E877" s="14">
        <f>Data!I877</f>
        <v>1332323000000</v>
      </c>
      <c r="F877" s="14">
        <f>Data!G877</f>
        <v>1618403000000</v>
      </c>
      <c r="G877" s="12">
        <f t="shared" si="13"/>
        <v>0.82323315021042354</v>
      </c>
    </row>
    <row r="878" spans="2:7" ht="15" customHeight="1" x14ac:dyDescent="0.3">
      <c r="C878" s="2"/>
      <c r="D878" s="8">
        <v>2021</v>
      </c>
      <c r="E878" s="14">
        <f>Data!I878</f>
        <v>1362813000000</v>
      </c>
      <c r="F878" s="14">
        <f>Data!G878</f>
        <v>1662278000000</v>
      </c>
      <c r="G878" s="12">
        <f t="shared" si="13"/>
        <v>0.81984662012010023</v>
      </c>
    </row>
    <row r="879" spans="2:7" ht="15" customHeight="1" x14ac:dyDescent="0.3">
      <c r="C879" s="2"/>
      <c r="D879" s="8">
        <v>2022</v>
      </c>
      <c r="E879" s="14">
        <f>Data!I879</f>
        <v>1771107000000</v>
      </c>
      <c r="F879" s="14">
        <f>Data!G879</f>
        <v>2086886000000</v>
      </c>
      <c r="G879" s="12">
        <f t="shared" si="13"/>
        <v>0.84868411595075155</v>
      </c>
    </row>
    <row r="880" spans="2:7" ht="15" customHeight="1" x14ac:dyDescent="0.3">
      <c r="C880" s="2"/>
      <c r="D880" s="8">
        <v>2023</v>
      </c>
      <c r="E880" s="14">
        <f>Data!I880</f>
        <v>1289836000000</v>
      </c>
      <c r="F880" s="14">
        <f>Data!G880</f>
        <v>1616151000000</v>
      </c>
      <c r="G880" s="12">
        <f t="shared" si="13"/>
        <v>0.79809126746201309</v>
      </c>
    </row>
    <row r="881" spans="2:7" ht="15" customHeight="1" x14ac:dyDescent="0.3">
      <c r="C881" s="2"/>
      <c r="D881" s="8">
        <v>2024</v>
      </c>
      <c r="E881" s="14">
        <f>Data!I881</f>
        <v>1323407000000</v>
      </c>
      <c r="F881" s="14">
        <f>Data!G881</f>
        <v>1596064000000</v>
      </c>
      <c r="G881" s="12">
        <f t="shared" si="13"/>
        <v>0.82916913106241352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Data!I882</f>
        <v>0</v>
      </c>
      <c r="F882" s="14">
        <f>Data!G882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Data!I883</f>
        <v>0</v>
      </c>
      <c r="F883" s="14">
        <f>Data!G883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Data!I884</f>
        <v>0</v>
      </c>
      <c r="F884" s="14">
        <f>Data!G884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Data!I885</f>
        <v>0</v>
      </c>
      <c r="F885" s="14">
        <f>Data!G885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Data!I886</f>
        <v>364592692000</v>
      </c>
      <c r="F886" s="14">
        <f>Data!G886</f>
        <v>628464862000</v>
      </c>
      <c r="G886" s="12">
        <f t="shared" si="13"/>
        <v>0.58013218247355247</v>
      </c>
    </row>
    <row r="887" spans="2:7" ht="15" customHeight="1" x14ac:dyDescent="0.3">
      <c r="C887" s="2"/>
      <c r="D887" s="8">
        <v>2019</v>
      </c>
      <c r="E887" s="14">
        <f>Data!I887</f>
        <v>433311390000</v>
      </c>
      <c r="F887" s="14">
        <f>Data!G887</f>
        <v>582236244000</v>
      </c>
      <c r="G887" s="12">
        <f t="shared" si="13"/>
        <v>0.74421919704469652</v>
      </c>
    </row>
    <row r="888" spans="2:7" ht="15" customHeight="1" x14ac:dyDescent="0.3">
      <c r="C888" s="2"/>
      <c r="D888" s="8">
        <v>2020</v>
      </c>
      <c r="E888" s="14">
        <f>Data!I888</f>
        <v>472175668000</v>
      </c>
      <c r="F888" s="14">
        <f>Data!G888</f>
        <v>577744818000</v>
      </c>
      <c r="G888" s="12">
        <f t="shared" si="13"/>
        <v>0.81727373970146111</v>
      </c>
    </row>
    <row r="889" spans="2:7" ht="15" customHeight="1" x14ac:dyDescent="0.3">
      <c r="C889" s="2"/>
      <c r="D889" s="8">
        <v>2021</v>
      </c>
      <c r="E889" s="14">
        <f>Data!I889</f>
        <v>544767542000</v>
      </c>
      <c r="F889" s="14">
        <f>Data!G889</f>
        <v>666903763000</v>
      </c>
      <c r="G889" s="12">
        <f t="shared" si="13"/>
        <v>0.81686080094887692</v>
      </c>
    </row>
    <row r="890" spans="2:7" ht="15" customHeight="1" x14ac:dyDescent="0.3">
      <c r="C890" s="2"/>
      <c r="D890" s="8">
        <v>2022</v>
      </c>
      <c r="E890" s="14">
        <f>Data!I890</f>
        <v>723212185000</v>
      </c>
      <c r="F890" s="14">
        <f>Data!G890</f>
        <v>933279448000</v>
      </c>
      <c r="G890" s="12">
        <f t="shared" si="13"/>
        <v>0.77491493737468442</v>
      </c>
    </row>
    <row r="891" spans="2:7" ht="15" customHeight="1" x14ac:dyDescent="0.3">
      <c r="C891" s="2"/>
      <c r="D891" s="8">
        <v>2023</v>
      </c>
      <c r="E891" s="14">
        <f>Data!I891</f>
        <v>781419952000</v>
      </c>
      <c r="F891" s="14">
        <f>Data!G891</f>
        <v>997499063000</v>
      </c>
      <c r="G891" s="12">
        <f t="shared" si="13"/>
        <v>0.78337913386090063</v>
      </c>
    </row>
    <row r="892" spans="2:7" ht="15" customHeight="1" x14ac:dyDescent="0.3">
      <c r="C892" s="2"/>
      <c r="D892" s="8">
        <v>2024</v>
      </c>
      <c r="E892" s="14">
        <f>Data!I892</f>
        <v>847738126000</v>
      </c>
      <c r="F892" s="14">
        <f>Data!G892</f>
        <v>1071029173000</v>
      </c>
      <c r="G892" s="12">
        <f t="shared" si="13"/>
        <v>0.79151730631710815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Data!I893</f>
        <v>0</v>
      </c>
      <c r="F893" s="14">
        <f>Data!G893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Data!I894</f>
        <v>0</v>
      </c>
      <c r="F894" s="14">
        <f>Data!G894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Data!I895</f>
        <v>0</v>
      </c>
      <c r="F895" s="14">
        <f>Data!G895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Data!I896</f>
        <v>0</v>
      </c>
      <c r="F896" s="14">
        <f>Data!G896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Data!I897</f>
        <v>0</v>
      </c>
      <c r="F897" s="14">
        <f>Data!G897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Data!I898</f>
        <v>0</v>
      </c>
      <c r="F898" s="14">
        <f>Data!G898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Data!I899</f>
        <v>113494000000</v>
      </c>
      <c r="F899" s="14">
        <f>Data!G899</f>
        <v>268957000000</v>
      </c>
      <c r="G899" s="12">
        <f t="shared" ref="G899:G962" si="14">IFERROR(E899/F899,0)</f>
        <v>0.42197823443896237</v>
      </c>
    </row>
    <row r="900" spans="2:7" ht="15" customHeight="1" x14ac:dyDescent="0.3">
      <c r="C900" s="2"/>
      <c r="D900" s="8">
        <v>2021</v>
      </c>
      <c r="E900" s="14">
        <f>Data!I900</f>
        <v>144392000000</v>
      </c>
      <c r="F900" s="14">
        <f>Data!G900</f>
        <v>300393000000</v>
      </c>
      <c r="G900" s="12">
        <f t="shared" si="14"/>
        <v>0.48067697982309843</v>
      </c>
    </row>
    <row r="901" spans="2:7" ht="15" customHeight="1" x14ac:dyDescent="0.3">
      <c r="C901" s="2"/>
      <c r="D901" s="8">
        <v>2022</v>
      </c>
      <c r="E901" s="14">
        <f>Data!I901</f>
        <v>168087000000</v>
      </c>
      <c r="F901" s="14">
        <f>Data!G901</f>
        <v>335530000000</v>
      </c>
      <c r="G901" s="12">
        <f t="shared" si="14"/>
        <v>0.50095967573689382</v>
      </c>
    </row>
    <row r="902" spans="2:7" ht="15" customHeight="1" x14ac:dyDescent="0.3">
      <c r="C902" s="2"/>
      <c r="D902" s="8">
        <v>2023</v>
      </c>
      <c r="E902" s="14">
        <f>Data!I902</f>
        <v>313912000000</v>
      </c>
      <c r="F902" s="14">
        <f>Data!G902</f>
        <v>512116000000</v>
      </c>
      <c r="G902" s="12">
        <f t="shared" si="14"/>
        <v>0.61297049887134947</v>
      </c>
    </row>
    <row r="903" spans="2:7" ht="15" customHeight="1" x14ac:dyDescent="0.3">
      <c r="C903" s="2"/>
      <c r="D903" s="8">
        <v>2024</v>
      </c>
      <c r="E903" s="14">
        <f>Data!I903</f>
        <v>293683000000</v>
      </c>
      <c r="F903" s="14">
        <f>Data!G903</f>
        <v>554465000000</v>
      </c>
      <c r="G903" s="12">
        <f t="shared" si="14"/>
        <v>0.5296691405228463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Data!I904</f>
        <v>0</v>
      </c>
      <c r="F904" s="14">
        <f>Data!G904</f>
        <v>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Data!I905</f>
        <v>9046986000000</v>
      </c>
      <c r="F905" s="14">
        <f>Data!G905</f>
        <v>11393914000000</v>
      </c>
      <c r="G905" s="12">
        <f t="shared" si="14"/>
        <v>0.7940191579469531</v>
      </c>
    </row>
    <row r="906" spans="2:7" ht="15" customHeight="1" x14ac:dyDescent="0.3">
      <c r="C906" s="2"/>
      <c r="D906" s="8">
        <v>2016</v>
      </c>
      <c r="E906" s="14">
        <f>Data!I906</f>
        <v>9376170000000</v>
      </c>
      <c r="F906" s="14">
        <f>Data!G906</f>
        <v>12076472000000</v>
      </c>
      <c r="G906" s="12">
        <f t="shared" si="14"/>
        <v>0.77639976310962344</v>
      </c>
    </row>
    <row r="907" spans="2:7" ht="15" customHeight="1" x14ac:dyDescent="0.3">
      <c r="C907" s="2"/>
      <c r="D907" s="8">
        <v>2017</v>
      </c>
      <c r="E907" s="14">
        <f>Data!I907</f>
        <v>8691107000000</v>
      </c>
      <c r="F907" s="14">
        <f>Data!G907</f>
        <v>11752706000000</v>
      </c>
      <c r="G907" s="12">
        <f t="shared" si="14"/>
        <v>0.73949837594848367</v>
      </c>
    </row>
    <row r="908" spans="2:7" ht="15" customHeight="1" x14ac:dyDescent="0.3">
      <c r="C908" s="2"/>
      <c r="D908" s="8">
        <v>2018</v>
      </c>
      <c r="E908" s="14">
        <f>Data!I908</f>
        <v>10292519000000</v>
      </c>
      <c r="F908" s="14">
        <f>Data!G908</f>
        <v>13475850000000</v>
      </c>
      <c r="G908" s="12">
        <f t="shared" si="14"/>
        <v>0.76377512364711686</v>
      </c>
    </row>
    <row r="909" spans="2:7" ht="15" customHeight="1" x14ac:dyDescent="0.3">
      <c r="C909" s="2"/>
      <c r="D909" s="8">
        <v>2019</v>
      </c>
      <c r="E909" s="14">
        <f>Data!I909</f>
        <v>9400478000000</v>
      </c>
      <c r="F909" s="14">
        <f>Data!G909</f>
        <v>12688036000000</v>
      </c>
      <c r="G909" s="12">
        <f t="shared" si="14"/>
        <v>0.74089307438913321</v>
      </c>
    </row>
    <row r="910" spans="2:7" ht="15" customHeight="1" x14ac:dyDescent="0.3">
      <c r="C910" s="2"/>
      <c r="D910" s="8">
        <v>2020</v>
      </c>
      <c r="E910" s="14">
        <f>Data!I910</f>
        <v>12975487000000</v>
      </c>
      <c r="F910" s="14">
        <f>Data!G910</f>
        <v>13914348000000</v>
      </c>
      <c r="G910" s="12">
        <f t="shared" si="14"/>
        <v>0.93252569218478654</v>
      </c>
    </row>
    <row r="911" spans="2:7" ht="15" customHeight="1" x14ac:dyDescent="0.3">
      <c r="C911" s="2"/>
      <c r="D911" s="8">
        <v>2021</v>
      </c>
      <c r="E911" s="14">
        <f>Data!I911</f>
        <v>13118813000000</v>
      </c>
      <c r="F911" s="14">
        <f>Data!G911</f>
        <v>14077069000000</v>
      </c>
      <c r="G911" s="12">
        <f t="shared" si="14"/>
        <v>0.931927875042738</v>
      </c>
    </row>
    <row r="912" spans="2:7" ht="15" customHeight="1" x14ac:dyDescent="0.3">
      <c r="C912" s="2"/>
      <c r="D912" s="8">
        <v>2022</v>
      </c>
      <c r="E912" s="14">
        <f>Data!I912</f>
        <v>12493562000000</v>
      </c>
      <c r="F912" s="14">
        <f>Data!G912</f>
        <v>12576512000000</v>
      </c>
      <c r="G912" s="12">
        <f t="shared" si="14"/>
        <v>0.99340437157774752</v>
      </c>
    </row>
    <row r="913" spans="2:7" ht="15" customHeight="1" x14ac:dyDescent="0.3">
      <c r="C913" s="2"/>
      <c r="D913" s="8">
        <v>2023</v>
      </c>
      <c r="E913" s="14">
        <f>Data!I913</f>
        <v>12043350000000</v>
      </c>
      <c r="F913" s="14">
        <f>Data!G913</f>
        <v>12154715000000</v>
      </c>
      <c r="G913" s="12">
        <f t="shared" si="14"/>
        <v>0.99083771194964254</v>
      </c>
    </row>
    <row r="914" spans="2:7" ht="15" customHeight="1" x14ac:dyDescent="0.3">
      <c r="C914" s="2"/>
      <c r="D914" s="8">
        <v>2024</v>
      </c>
      <c r="E914" s="14">
        <f>Data!I914</f>
        <v>11763926000000</v>
      </c>
      <c r="F914" s="14">
        <f>Data!G914</f>
        <v>15005896000000</v>
      </c>
      <c r="G914" s="12">
        <f t="shared" si="14"/>
        <v>0.78395358730994802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Data!I915</f>
        <v>0</v>
      </c>
      <c r="F915" s="14">
        <f>Data!G915</f>
        <v>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Data!I916</f>
        <v>223867000000</v>
      </c>
      <c r="F916" s="14">
        <f>Data!G916</f>
        <v>390083000000</v>
      </c>
      <c r="G916" s="12">
        <f t="shared" si="14"/>
        <v>0.57389581191695105</v>
      </c>
    </row>
    <row r="917" spans="2:7" ht="15" customHeight="1" x14ac:dyDescent="0.3">
      <c r="C917" s="2"/>
      <c r="D917" s="8">
        <v>2016</v>
      </c>
      <c r="E917" s="14">
        <f>Data!I917</f>
        <v>243519000000</v>
      </c>
      <c r="F917" s="14">
        <f>Data!G917</f>
        <v>427049000000</v>
      </c>
      <c r="G917" s="12">
        <f t="shared" si="14"/>
        <v>0.57023667073333506</v>
      </c>
    </row>
    <row r="918" spans="2:7" ht="15" customHeight="1" x14ac:dyDescent="0.3">
      <c r="C918" s="2"/>
      <c r="D918" s="8">
        <v>2017</v>
      </c>
      <c r="E918" s="14">
        <f>Data!I918</f>
        <v>234664000000</v>
      </c>
      <c r="F918" s="14">
        <f>Data!G918</f>
        <v>446108000000</v>
      </c>
      <c r="G918" s="12">
        <f t="shared" si="14"/>
        <v>0.5260250880952595</v>
      </c>
    </row>
    <row r="919" spans="2:7" ht="15" customHeight="1" x14ac:dyDescent="0.3">
      <c r="C919" s="2"/>
      <c r="D919" s="8">
        <v>2018</v>
      </c>
      <c r="E919" s="14">
        <f>Data!I919</f>
        <v>258813000000</v>
      </c>
      <c r="F919" s="14">
        <f>Data!G919</f>
        <v>478439000000</v>
      </c>
      <c r="G919" s="12">
        <f t="shared" si="14"/>
        <v>0.54095297415135468</v>
      </c>
    </row>
    <row r="920" spans="2:7" ht="15" customHeight="1" x14ac:dyDescent="0.3">
      <c r="C920" s="2"/>
      <c r="D920" s="8">
        <v>2019</v>
      </c>
      <c r="E920" s="14">
        <f>Data!I920</f>
        <v>238307000000</v>
      </c>
      <c r="F920" s="14">
        <f>Data!G920</f>
        <v>447670000000</v>
      </c>
      <c r="G920" s="12">
        <f t="shared" si="14"/>
        <v>0.53232738401054347</v>
      </c>
    </row>
    <row r="921" spans="2:7" ht="15" customHeight="1" x14ac:dyDescent="0.3">
      <c r="C921" s="2"/>
      <c r="D921" s="8">
        <v>2020</v>
      </c>
      <c r="E921" s="14">
        <f>Data!I921</f>
        <v>156229000000</v>
      </c>
      <c r="F921" s="14">
        <f>Data!G921</f>
        <v>365764000000</v>
      </c>
      <c r="G921" s="12">
        <f t="shared" si="14"/>
        <v>0.42713060880786519</v>
      </c>
    </row>
    <row r="922" spans="2:7" ht="15" customHeight="1" x14ac:dyDescent="0.3">
      <c r="C922" s="2"/>
      <c r="D922" s="8">
        <v>2021</v>
      </c>
      <c r="E922" s="14">
        <f>Data!I922</f>
        <v>219398000000</v>
      </c>
      <c r="F922" s="14">
        <f>Data!G922</f>
        <v>527852000000</v>
      </c>
      <c r="G922" s="12">
        <f t="shared" si="14"/>
        <v>0.41564302114986779</v>
      </c>
    </row>
    <row r="923" spans="2:7" ht="15" customHeight="1" x14ac:dyDescent="0.3">
      <c r="C923" s="2"/>
      <c r="D923" s="8">
        <v>2022</v>
      </c>
      <c r="E923" s="14">
        <f>Data!I923</f>
        <v>181190000000</v>
      </c>
      <c r="F923" s="14">
        <f>Data!G923</f>
        <v>499032000000</v>
      </c>
      <c r="G923" s="12">
        <f t="shared" si="14"/>
        <v>0.36308292854967217</v>
      </c>
    </row>
    <row r="924" spans="2:7" ht="15" customHeight="1" x14ac:dyDescent="0.3">
      <c r="C924" s="2"/>
      <c r="D924" s="8">
        <v>2023</v>
      </c>
      <c r="E924" s="14">
        <f>Data!I924</f>
        <v>174349000000</v>
      </c>
      <c r="F924" s="14">
        <f>Data!G924</f>
        <v>498723000000</v>
      </c>
      <c r="G924" s="12">
        <f t="shared" si="14"/>
        <v>0.34959085504378185</v>
      </c>
    </row>
    <row r="925" spans="2:7" ht="15" customHeight="1" x14ac:dyDescent="0.3">
      <c r="C925" s="2"/>
      <c r="D925" s="8">
        <v>2024</v>
      </c>
      <c r="E925" s="14">
        <f>Data!I925</f>
        <v>246340000000</v>
      </c>
      <c r="F925" s="14">
        <f>Data!G925</f>
        <v>573438000000</v>
      </c>
      <c r="G925" s="12">
        <f t="shared" si="14"/>
        <v>0.4295843665749392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Data!I926</f>
        <v>0</v>
      </c>
      <c r="F926" s="14">
        <f>Data!G926</f>
        <v>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Data!I927</f>
        <v>857350000000</v>
      </c>
      <c r="F927" s="14">
        <f>Data!G927</f>
        <v>1561827000000</v>
      </c>
      <c r="G927" s="12">
        <f t="shared" si="14"/>
        <v>0.5489404396261558</v>
      </c>
    </row>
    <row r="928" spans="2:7" ht="15" customHeight="1" x14ac:dyDescent="0.3">
      <c r="C928" s="2"/>
      <c r="D928" s="8">
        <v>2016</v>
      </c>
      <c r="E928" s="14">
        <f>Data!I928</f>
        <v>867760000000</v>
      </c>
      <c r="F928" s="14">
        <f>Data!G928</f>
        <v>1616165000000</v>
      </c>
      <c r="G928" s="12">
        <f t="shared" si="14"/>
        <v>0.53692537581249444</v>
      </c>
    </row>
    <row r="929" spans="2:7" ht="15" customHeight="1" x14ac:dyDescent="0.3">
      <c r="C929" s="2"/>
      <c r="D929" s="8">
        <v>2017</v>
      </c>
      <c r="E929" s="14">
        <f>Data!I929</f>
        <v>1122332000000</v>
      </c>
      <c r="F929" s="14">
        <f>Data!G929</f>
        <v>1972319000000</v>
      </c>
      <c r="G929" s="12">
        <f t="shared" si="14"/>
        <v>0.56904182335616094</v>
      </c>
    </row>
    <row r="930" spans="2:7" ht="15" customHeight="1" x14ac:dyDescent="0.3">
      <c r="C930" s="2"/>
      <c r="D930" s="8">
        <v>2018</v>
      </c>
      <c r="E930" s="14">
        <f>Data!I930</f>
        <v>1237414000000</v>
      </c>
      <c r="F930" s="14">
        <f>Data!G930</f>
        <v>2152910000000</v>
      </c>
      <c r="G930" s="12">
        <f t="shared" si="14"/>
        <v>0.57476345968944365</v>
      </c>
    </row>
    <row r="931" spans="2:7" ht="15" customHeight="1" x14ac:dyDescent="0.3">
      <c r="C931" s="2"/>
      <c r="D931" s="8">
        <v>2019</v>
      </c>
      <c r="E931" s="14">
        <f>Data!I931</f>
        <v>1977319000000</v>
      </c>
      <c r="F931" s="14">
        <f>Data!G931</f>
        <v>3001696000000</v>
      </c>
      <c r="G931" s="12">
        <f t="shared" si="14"/>
        <v>0.65873392908542372</v>
      </c>
    </row>
    <row r="932" spans="2:7" ht="15" customHeight="1" x14ac:dyDescent="0.3">
      <c r="C932" s="2"/>
      <c r="D932" s="8">
        <v>2020</v>
      </c>
      <c r="E932" s="14">
        <f>Data!I932</f>
        <v>2249497000000</v>
      </c>
      <c r="F932" s="14">
        <f>Data!G932</f>
        <v>3337722000000</v>
      </c>
      <c r="G932" s="12">
        <f t="shared" si="14"/>
        <v>0.67396176194422419</v>
      </c>
    </row>
    <row r="933" spans="2:7" ht="15" customHeight="1" x14ac:dyDescent="0.3">
      <c r="C933" s="2"/>
      <c r="D933" s="8">
        <v>2021</v>
      </c>
      <c r="E933" s="14">
        <f>Data!I933</f>
        <v>2187167000000</v>
      </c>
      <c r="F933" s="14">
        <f>Data!G933</f>
        <v>3327804000000</v>
      </c>
      <c r="G933" s="12">
        <f t="shared" si="14"/>
        <v>0.65724033025983497</v>
      </c>
    </row>
    <row r="934" spans="2:7" ht="15" customHeight="1" x14ac:dyDescent="0.3">
      <c r="C934" s="2"/>
      <c r="D934" s="8">
        <v>2022</v>
      </c>
      <c r="E934" s="14">
        <f>Data!I934</f>
        <v>2393678000000</v>
      </c>
      <c r="F934" s="14">
        <f>Data!G934</f>
        <v>3595146000000</v>
      </c>
      <c r="G934" s="12">
        <f t="shared" si="14"/>
        <v>0.66580828706261164</v>
      </c>
    </row>
    <row r="935" spans="2:7" ht="15" customHeight="1" x14ac:dyDescent="0.3">
      <c r="C935" s="2"/>
      <c r="D935" s="8">
        <v>2023</v>
      </c>
      <c r="E935" s="14">
        <f>Data!I935</f>
        <v>2796593000000</v>
      </c>
      <c r="F935" s="14">
        <f>Data!G935</f>
        <v>4115086000000</v>
      </c>
      <c r="G935" s="12">
        <f t="shared" si="14"/>
        <v>0.67959527455805302</v>
      </c>
    </row>
    <row r="936" spans="2:7" ht="15" customHeight="1" x14ac:dyDescent="0.3">
      <c r="C936" s="2"/>
      <c r="D936" s="8">
        <v>2024</v>
      </c>
      <c r="E936" s="14">
        <f>Data!I936</f>
        <v>2891027000000</v>
      </c>
      <c r="F936" s="14">
        <f>Data!G936</f>
        <v>4320584000000</v>
      </c>
      <c r="G936" s="12">
        <f t="shared" si="14"/>
        <v>0.66912875666808003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Data!I937</f>
        <v>0</v>
      </c>
      <c r="F937" s="14">
        <f>Data!G937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Data!I938</f>
        <v>0</v>
      </c>
      <c r="F938" s="14">
        <f>Data!G938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Data!I939</f>
        <v>143626000000</v>
      </c>
      <c r="F939" s="14">
        <f>Data!G939</f>
        <v>259049000000</v>
      </c>
      <c r="G939" s="12">
        <f t="shared" si="14"/>
        <v>0.55443564730996842</v>
      </c>
    </row>
    <row r="940" spans="2:7" ht="15" customHeight="1" x14ac:dyDescent="0.3">
      <c r="C940" s="1"/>
      <c r="D940" s="8">
        <v>2017</v>
      </c>
      <c r="E940" s="14">
        <f>Data!I940</f>
        <v>134857000000</v>
      </c>
      <c r="F940" s="14">
        <f>Data!G940</f>
        <v>262108000000</v>
      </c>
      <c r="G940" s="12">
        <f t="shared" si="14"/>
        <v>0.51450928624841663</v>
      </c>
    </row>
    <row r="941" spans="2:7" ht="15" customHeight="1" x14ac:dyDescent="0.3">
      <c r="C941" s="1"/>
      <c r="D941" s="8">
        <v>2018</v>
      </c>
      <c r="E941" s="14">
        <f>Data!I941</f>
        <v>144562000000</v>
      </c>
      <c r="F941" s="14">
        <f>Data!G941</f>
        <v>256197000000</v>
      </c>
      <c r="G941" s="12">
        <f t="shared" si="14"/>
        <v>0.56426109595350449</v>
      </c>
    </row>
    <row r="942" spans="2:7" ht="15" customHeight="1" x14ac:dyDescent="0.3">
      <c r="C942" s="1"/>
      <c r="D942" s="8">
        <v>2019</v>
      </c>
      <c r="E942" s="14">
        <f>Data!I942</f>
        <v>176045000000</v>
      </c>
      <c r="F942" s="14">
        <f>Data!G942</f>
        <v>300364000000</v>
      </c>
      <c r="G942" s="12">
        <f t="shared" si="14"/>
        <v>0.58610552529597426</v>
      </c>
    </row>
    <row r="943" spans="2:7" ht="15" customHeight="1" x14ac:dyDescent="0.3">
      <c r="C943" s="1"/>
      <c r="D943" s="8">
        <v>2020</v>
      </c>
      <c r="E943" s="14">
        <f>Data!I943</f>
        <v>414010000000</v>
      </c>
      <c r="F943" s="14">
        <f>Data!G943</f>
        <v>462210000000</v>
      </c>
      <c r="G943" s="12">
        <f t="shared" si="14"/>
        <v>0.8957183963999048</v>
      </c>
    </row>
    <row r="944" spans="2:7" ht="15" customHeight="1" x14ac:dyDescent="0.3">
      <c r="C944" s="1"/>
      <c r="D944" s="8">
        <v>2021</v>
      </c>
      <c r="E944" s="14">
        <f>Data!I944</f>
        <v>433870000000</v>
      </c>
      <c r="F944" s="14">
        <f>Data!G944</f>
        <v>430360000000</v>
      </c>
      <c r="G944" s="12">
        <f t="shared" si="14"/>
        <v>1.0081559624500418</v>
      </c>
    </row>
    <row r="945" spans="2:7" ht="15" customHeight="1" x14ac:dyDescent="0.3">
      <c r="C945" s="1"/>
      <c r="D945" s="8">
        <v>2022</v>
      </c>
      <c r="E945" s="14">
        <f>Data!I945</f>
        <v>501977000000</v>
      </c>
      <c r="F945" s="14">
        <f>Data!G945</f>
        <v>567878000000</v>
      </c>
      <c r="G945" s="12">
        <f t="shared" si="14"/>
        <v>0.88395218691338628</v>
      </c>
    </row>
    <row r="946" spans="2:7" ht="15" customHeight="1" x14ac:dyDescent="0.3">
      <c r="C946" s="1"/>
      <c r="D946" s="8">
        <v>2023</v>
      </c>
      <c r="E946" s="14">
        <f>Data!I946</f>
        <v>496049000000</v>
      </c>
      <c r="F946" s="14">
        <f>Data!G946</f>
        <v>580720000000</v>
      </c>
      <c r="G946" s="12">
        <f t="shared" si="14"/>
        <v>0.85419651467144231</v>
      </c>
    </row>
    <row r="947" spans="2:7" ht="15" customHeight="1" x14ac:dyDescent="0.3">
      <c r="C947" s="1"/>
      <c r="D947" s="8">
        <v>2024</v>
      </c>
      <c r="E947" s="14">
        <f>Data!I947</f>
        <v>520310000000</v>
      </c>
      <c r="F947" s="14">
        <f>Data!G947</f>
        <v>603899000000</v>
      </c>
      <c r="G947" s="12">
        <f t="shared" si="14"/>
        <v>0.86158447025082008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Data!I948</f>
        <v>0</v>
      </c>
      <c r="F948" s="14">
        <f>Data!G948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Data!I949</f>
        <v>0</v>
      </c>
      <c r="F949" s="14">
        <f>Data!G949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Data!I950</f>
        <v>0</v>
      </c>
      <c r="F950" s="14">
        <f>Data!G950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Data!I951</f>
        <v>0</v>
      </c>
      <c r="F951" s="14">
        <f>Data!G951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Data!I952</f>
        <v>0</v>
      </c>
      <c r="F952" s="14">
        <f>Data!G952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Data!I953</f>
        <v>0</v>
      </c>
      <c r="F953" s="14">
        <f>Data!G953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Data!I954</f>
        <v>0</v>
      </c>
      <c r="F954" s="14">
        <f>Data!G954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Data!I955</f>
        <v>0</v>
      </c>
      <c r="F955" s="14">
        <f>Data!G955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Data!I956</f>
        <v>0</v>
      </c>
      <c r="F956" s="14">
        <f>Data!G956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Data!I957</f>
        <v>0</v>
      </c>
      <c r="F957" s="14">
        <f>Data!G957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Data!I958</f>
        <v>0</v>
      </c>
      <c r="F958" s="14">
        <f>Data!G958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Data!I959</f>
        <v>0</v>
      </c>
      <c r="F959" s="14">
        <f>Data!G959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Data!I960</f>
        <v>0</v>
      </c>
      <c r="F960" s="14">
        <f>Data!G960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Data!I961</f>
        <v>0</v>
      </c>
      <c r="F961" s="14">
        <f>Data!G961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Data!I962</f>
        <v>0</v>
      </c>
      <c r="F962" s="14">
        <f>Data!G962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Data!I963</f>
        <v>0</v>
      </c>
      <c r="F963" s="14">
        <f>Data!G963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Data!I964</f>
        <v>0</v>
      </c>
      <c r="F964" s="14">
        <f>Data!G964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Data!I965</f>
        <v>0</v>
      </c>
      <c r="F965" s="14">
        <f>Data!G965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Data!I966</f>
        <v>0</v>
      </c>
      <c r="F966" s="14">
        <f>Data!G966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Data!I967</f>
        <v>0</v>
      </c>
      <c r="F967" s="14">
        <f>Data!G967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Data!I968</f>
        <v>0</v>
      </c>
      <c r="F968" s="14">
        <f>Data!G968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Data!I969</f>
        <v>0</v>
      </c>
      <c r="F969" s="14">
        <f>Data!G969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Data!I970</f>
        <v>0</v>
      </c>
      <c r="F970" s="14">
        <f>Data!G970</f>
        <v>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>
        <f>Data!I971</f>
        <v>333838896607</v>
      </c>
      <c r="F971" s="14">
        <f>Data!G971</f>
        <v>559080454850</v>
      </c>
      <c r="G971" s="12">
        <f t="shared" si="15"/>
        <v>0.59712138693270578</v>
      </c>
    </row>
    <row r="972" spans="2:7" ht="15" customHeight="1" x14ac:dyDescent="0.3">
      <c r="C972" s="2"/>
      <c r="D972" s="8">
        <v>2016</v>
      </c>
      <c r="E972" s="14">
        <f>Data!I972</f>
        <v>348018575948</v>
      </c>
      <c r="F972" s="14">
        <f>Data!G972</f>
        <v>617651155745</v>
      </c>
      <c r="G972" s="12">
        <f t="shared" si="15"/>
        <v>0.5634549093140222</v>
      </c>
    </row>
    <row r="973" spans="2:7" ht="15" customHeight="1" x14ac:dyDescent="0.3">
      <c r="C973" s="2"/>
      <c r="D973" s="8">
        <v>2017</v>
      </c>
      <c r="E973" s="14">
        <f>Data!I973</f>
        <v>403521972590</v>
      </c>
      <c r="F973" s="14">
        <f>Data!G973</f>
        <v>858490283480</v>
      </c>
      <c r="G973" s="12">
        <f t="shared" si="15"/>
        <v>0.47003673816117308</v>
      </c>
    </row>
    <row r="974" spans="2:7" ht="15" customHeight="1" x14ac:dyDescent="0.3">
      <c r="C974" s="2"/>
      <c r="D974" s="8">
        <v>2018</v>
      </c>
      <c r="E974" s="14">
        <f>Data!I974</f>
        <v>450272263738</v>
      </c>
      <c r="F974" s="14">
        <f>Data!G974</f>
        <v>969866560976</v>
      </c>
      <c r="G974" s="12">
        <f t="shared" si="15"/>
        <v>0.46426207671793551</v>
      </c>
    </row>
    <row r="975" spans="2:7" ht="15" customHeight="1" x14ac:dyDescent="0.3">
      <c r="C975" s="2"/>
      <c r="D975" s="8">
        <v>2019</v>
      </c>
      <c r="E975" s="14">
        <f>Data!I975</f>
        <v>445392630259</v>
      </c>
      <c r="F975" s="14">
        <f>Data!G975</f>
        <v>975687462693</v>
      </c>
      <c r="G975" s="12">
        <f t="shared" si="15"/>
        <v>0.45649108683806339</v>
      </c>
    </row>
    <row r="976" spans="2:7" ht="15" customHeight="1" x14ac:dyDescent="0.3">
      <c r="C976" s="2"/>
      <c r="D976" s="8">
        <v>2020</v>
      </c>
      <c r="E976" s="14">
        <f>Data!I976</f>
        <v>547541424689</v>
      </c>
      <c r="F976" s="14">
        <f>Data!G976</f>
        <v>990991744064</v>
      </c>
      <c r="G976" s="12">
        <f t="shared" si="15"/>
        <v>0.55251865413486112</v>
      </c>
    </row>
    <row r="977" spans="2:7" ht="15" customHeight="1" x14ac:dyDescent="0.3">
      <c r="C977" s="2"/>
      <c r="D977" s="8">
        <v>2021</v>
      </c>
      <c r="E977" s="14">
        <f>Data!I977</f>
        <v>518209589004</v>
      </c>
      <c r="F977" s="14">
        <f>Data!G977</f>
        <v>981089572950</v>
      </c>
      <c r="G977" s="12">
        <f t="shared" si="15"/>
        <v>0.52819803949787758</v>
      </c>
    </row>
    <row r="978" spans="2:7" ht="15" customHeight="1" x14ac:dyDescent="0.3">
      <c r="C978" s="2"/>
      <c r="D978" s="8">
        <v>2022</v>
      </c>
      <c r="E978" s="14">
        <f>Data!I978</f>
        <v>686518502953</v>
      </c>
      <c r="F978" s="14">
        <f>Data!G978</f>
        <v>1063470852516</v>
      </c>
      <c r="G978" s="12">
        <f t="shared" si="15"/>
        <v>0.64554519884471517</v>
      </c>
    </row>
    <row r="979" spans="2:7" ht="15" customHeight="1" x14ac:dyDescent="0.3">
      <c r="C979" s="2"/>
      <c r="D979" s="8">
        <v>2023</v>
      </c>
      <c r="E979" s="14">
        <f>Data!I979</f>
        <v>575621048674</v>
      </c>
      <c r="F979" s="14">
        <f>Data!G979</f>
        <v>961063073477</v>
      </c>
      <c r="G979" s="12">
        <f t="shared" si="15"/>
        <v>0.59894200969711453</v>
      </c>
    </row>
    <row r="980" spans="2:7" ht="15" customHeight="1" x14ac:dyDescent="0.3">
      <c r="C980" s="2"/>
      <c r="D980" s="8">
        <v>2024</v>
      </c>
      <c r="E980" s="14">
        <f>Data!I980</f>
        <v>717540883246</v>
      </c>
      <c r="F980" s="14">
        <f>Data!G980</f>
        <v>1108514523644</v>
      </c>
      <c r="G980" s="12">
        <f t="shared" si="15"/>
        <v>0.647299487684871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Data!I981</f>
        <v>0</v>
      </c>
      <c r="F981" s="14">
        <f>Data!G981</f>
        <v>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Data!I982</f>
        <v>267054000000</v>
      </c>
      <c r="F982" s="14">
        <f>Data!G982</f>
        <v>431955000000</v>
      </c>
      <c r="G982" s="12">
        <f t="shared" si="15"/>
        <v>0.61824495607181307</v>
      </c>
    </row>
    <row r="983" spans="2:7" ht="15" customHeight="1" x14ac:dyDescent="0.3">
      <c r="C983" s="2"/>
      <c r="D983" s="8">
        <v>2016</v>
      </c>
      <c r="E983" s="14">
        <f>Data!I983</f>
        <v>388016000000</v>
      </c>
      <c r="F983" s="14">
        <f>Data!G983</f>
        <v>594080000000</v>
      </c>
      <c r="G983" s="12">
        <f t="shared" si="15"/>
        <v>0.65313762456234847</v>
      </c>
    </row>
    <row r="984" spans="2:7" ht="15" customHeight="1" x14ac:dyDescent="0.3">
      <c r="C984" s="2"/>
      <c r="D984" s="8">
        <v>2017</v>
      </c>
      <c r="E984" s="14">
        <f>Data!I984</f>
        <v>509983000000</v>
      </c>
      <c r="F984" s="14">
        <f>Data!G984</f>
        <v>782898000000</v>
      </c>
      <c r="G984" s="12">
        <f t="shared" si="15"/>
        <v>0.65140414204660124</v>
      </c>
    </row>
    <row r="985" spans="2:7" ht="15" customHeight="1" x14ac:dyDescent="0.3">
      <c r="C985" s="2"/>
      <c r="D985" s="8">
        <v>2018</v>
      </c>
      <c r="E985" s="14">
        <f>Data!I985</f>
        <v>691064000000</v>
      </c>
      <c r="F985" s="14">
        <f>Data!G985</f>
        <v>1026523000000</v>
      </c>
      <c r="G985" s="12">
        <f t="shared" si="15"/>
        <v>0.67320849118821502</v>
      </c>
    </row>
    <row r="986" spans="2:7" ht="15" customHeight="1" x14ac:dyDescent="0.3">
      <c r="C986" s="2"/>
      <c r="D986" s="8">
        <v>2019</v>
      </c>
      <c r="E986" s="14">
        <f>Data!I986</f>
        <v>703404000000</v>
      </c>
      <c r="F986" s="14">
        <f>Data!G986</f>
        <v>1118465000000</v>
      </c>
      <c r="G986" s="12">
        <f t="shared" si="15"/>
        <v>0.62890121729334403</v>
      </c>
    </row>
    <row r="987" spans="2:7" ht="15" customHeight="1" x14ac:dyDescent="0.3">
      <c r="C987" s="2"/>
      <c r="D987" s="8">
        <v>2020</v>
      </c>
      <c r="E987" s="14">
        <f>Data!I987</f>
        <v>1178813000000</v>
      </c>
      <c r="F987" s="14">
        <f>Data!G987</f>
        <v>1702005000000</v>
      </c>
      <c r="G987" s="12">
        <f t="shared" si="15"/>
        <v>0.69260254817112754</v>
      </c>
    </row>
    <row r="988" spans="2:7" ht="15" customHeight="1" x14ac:dyDescent="0.3">
      <c r="C988" s="2"/>
      <c r="D988" s="8">
        <v>2021</v>
      </c>
      <c r="E988" s="14">
        <f>Data!I988</f>
        <v>1417106000000</v>
      </c>
      <c r="F988" s="14">
        <f>Data!G988</f>
        <v>2024029000000</v>
      </c>
      <c r="G988" s="12">
        <f t="shared" si="15"/>
        <v>0.70014115410401734</v>
      </c>
    </row>
    <row r="989" spans="2:7" ht="15" customHeight="1" x14ac:dyDescent="0.3">
      <c r="C989" s="2"/>
      <c r="D989" s="8">
        <v>2022</v>
      </c>
      <c r="E989" s="14">
        <f>Data!I989</f>
        <v>1351600000000</v>
      </c>
      <c r="F989" s="14">
        <f>Data!G989</f>
        <v>2022456000000</v>
      </c>
      <c r="G989" s="12">
        <f t="shared" si="15"/>
        <v>0.66829636837587569</v>
      </c>
    </row>
    <row r="990" spans="2:7" ht="15" customHeight="1" x14ac:dyDescent="0.3">
      <c r="C990" s="2"/>
      <c r="D990" s="8">
        <v>2023</v>
      </c>
      <c r="E990" s="14">
        <f>Data!I990</f>
        <v>1431367000000</v>
      </c>
      <c r="F990" s="14">
        <f>Data!G990</f>
        <v>2148834000000</v>
      </c>
      <c r="G990" s="12">
        <f t="shared" si="15"/>
        <v>0.66611334332945216</v>
      </c>
    </row>
    <row r="991" spans="2:7" ht="15" customHeight="1" x14ac:dyDescent="0.3">
      <c r="C991" s="2"/>
      <c r="D991" s="8">
        <v>2024</v>
      </c>
      <c r="E991" s="14">
        <f>Data!I991</f>
        <v>1377998000000</v>
      </c>
      <c r="F991" s="14">
        <f>Data!G991</f>
        <v>2133757000000</v>
      </c>
      <c r="G991" s="12">
        <f t="shared" si="15"/>
        <v>0.64580830900613329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Data!I992</f>
        <v>0</v>
      </c>
      <c r="F992" s="14">
        <f>Data!G992</f>
        <v>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Data!I993</f>
        <v>2200288000000</v>
      </c>
      <c r="F993" s="14">
        <f>Data!G993</f>
        <v>2926660000000</v>
      </c>
      <c r="G993" s="12">
        <f t="shared" si="15"/>
        <v>0.75180854626092541</v>
      </c>
    </row>
    <row r="994" spans="2:7" ht="15" customHeight="1" x14ac:dyDescent="0.3">
      <c r="C994" s="2"/>
      <c r="D994" s="8">
        <v>2016</v>
      </c>
      <c r="E994" s="14">
        <f>Data!I994</f>
        <v>1724253000000</v>
      </c>
      <c r="F994" s="14">
        <f>Data!G994</f>
        <v>2513178000000</v>
      </c>
      <c r="G994" s="12">
        <f t="shared" si="15"/>
        <v>0.68608471027519735</v>
      </c>
    </row>
    <row r="995" spans="2:7" ht="15" customHeight="1" x14ac:dyDescent="0.3">
      <c r="C995" s="2"/>
      <c r="D995" s="8">
        <v>2017</v>
      </c>
      <c r="E995" s="14">
        <f>Data!I995</f>
        <v>1704424000000</v>
      </c>
      <c r="F995" s="14">
        <f>Data!G995</f>
        <v>2547394000000</v>
      </c>
      <c r="G995" s="12">
        <f t="shared" si="15"/>
        <v>0.66908534761407146</v>
      </c>
    </row>
    <row r="996" spans="2:7" ht="15" customHeight="1" x14ac:dyDescent="0.3">
      <c r="C996" s="2"/>
      <c r="D996" s="8">
        <v>2018</v>
      </c>
      <c r="E996" s="14">
        <f>Data!I996</f>
        <v>2498964000000</v>
      </c>
      <c r="F996" s="14">
        <f>Data!G996</f>
        <v>3374090000000</v>
      </c>
      <c r="G996" s="12">
        <f t="shared" si="15"/>
        <v>0.74063347450720041</v>
      </c>
    </row>
    <row r="997" spans="2:7" ht="15" customHeight="1" x14ac:dyDescent="0.3">
      <c r="C997" s="2"/>
      <c r="D997" s="8">
        <v>2019</v>
      </c>
      <c r="E997" s="14">
        <f>Data!I997</f>
        <v>2523111000000</v>
      </c>
      <c r="F997" s="14">
        <f>Data!G997</f>
        <v>3475230000000</v>
      </c>
      <c r="G997" s="12">
        <f t="shared" si="15"/>
        <v>0.72602705432446202</v>
      </c>
    </row>
    <row r="998" spans="2:7" ht="15" customHeight="1" x14ac:dyDescent="0.3">
      <c r="C998" s="2"/>
      <c r="D998" s="8">
        <v>2020</v>
      </c>
      <c r="E998" s="14">
        <f>Data!I998</f>
        <v>4165154000000</v>
      </c>
      <c r="F998" s="14">
        <f>Data!G998</f>
        <v>5184821000000</v>
      </c>
      <c r="G998" s="12">
        <f t="shared" si="15"/>
        <v>0.80333612288640244</v>
      </c>
    </row>
    <row r="999" spans="2:7" ht="15" customHeight="1" x14ac:dyDescent="0.3">
      <c r="C999" s="2"/>
      <c r="D999" s="8">
        <v>2021</v>
      </c>
      <c r="E999" s="14">
        <f>Data!I999</f>
        <v>3990215000000</v>
      </c>
      <c r="F999" s="14">
        <f>Data!G999</f>
        <v>5087106000000</v>
      </c>
      <c r="G999" s="12">
        <f t="shared" si="15"/>
        <v>0.78437819066479053</v>
      </c>
    </row>
    <row r="1000" spans="2:7" ht="15" customHeight="1" x14ac:dyDescent="0.3">
      <c r="C1000" s="2"/>
      <c r="D1000" s="8">
        <v>2022</v>
      </c>
      <c r="E1000" s="14">
        <f>Data!I1000</f>
        <v>3593551000000</v>
      </c>
      <c r="F1000" s="14">
        <f>Data!G1000</f>
        <v>4655875000000</v>
      </c>
      <c r="G1000" s="12">
        <f t="shared" si="15"/>
        <v>0.77183150320831206</v>
      </c>
    </row>
    <row r="1001" spans="2:7" ht="15" customHeight="1" x14ac:dyDescent="0.3">
      <c r="C1001" s="2"/>
      <c r="D1001" s="8">
        <v>2023</v>
      </c>
      <c r="E1001" s="14">
        <f>Data!I1001</f>
        <v>3072578000000</v>
      </c>
      <c r="F1001" s="14">
        <f>Data!G1001</f>
        <v>4304220000000</v>
      </c>
      <c r="G1001" s="12">
        <f t="shared" si="15"/>
        <v>0.7138524517798811</v>
      </c>
    </row>
    <row r="1002" spans="2:7" ht="15" customHeight="1" x14ac:dyDescent="0.3">
      <c r="C1002" s="2"/>
      <c r="D1002" s="8">
        <v>2024</v>
      </c>
      <c r="E1002" s="14">
        <f>Data!I1002</f>
        <v>3003809000000</v>
      </c>
      <c r="F1002" s="14">
        <f>Data!G1002</f>
        <v>4131880000000</v>
      </c>
      <c r="G1002" s="12">
        <f t="shared" si="15"/>
        <v>0.72698360068540224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Data!I1003</f>
        <v>0</v>
      </c>
      <c r="F1003" s="14">
        <f>Data!G1003</f>
        <v>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Data!I1004</f>
        <v>1119285041000</v>
      </c>
      <c r="F1004" s="14">
        <f>Data!G1004</f>
        <v>2627811764000</v>
      </c>
      <c r="G1004" s="12">
        <f t="shared" si="15"/>
        <v>0.4259380585526597</v>
      </c>
    </row>
    <row r="1005" spans="2:7" ht="15" customHeight="1" x14ac:dyDescent="0.3">
      <c r="C1005" s="2"/>
      <c r="D1005" s="8">
        <v>2016</v>
      </c>
      <c r="E1005" s="14">
        <f>Data!I1005</f>
        <v>1672629954000</v>
      </c>
      <c r="F1005" s="14">
        <f>Data!G1005</f>
        <v>3436388457000</v>
      </c>
      <c r="G1005" s="12">
        <f t="shared" si="15"/>
        <v>0.48674065081111989</v>
      </c>
    </row>
    <row r="1006" spans="2:7" ht="15" customHeight="1" x14ac:dyDescent="0.3">
      <c r="C1006" s="2"/>
      <c r="D1006" s="8">
        <v>2017</v>
      </c>
      <c r="E1006" s="14">
        <f>Data!I1006</f>
        <v>2032951536000</v>
      </c>
      <c r="F1006" s="14">
        <f>Data!G1006</f>
        <v>3886960940000</v>
      </c>
      <c r="G1006" s="12">
        <f t="shared" si="15"/>
        <v>0.52301825703450466</v>
      </c>
    </row>
    <row r="1007" spans="2:7" ht="15" customHeight="1" x14ac:dyDescent="0.3">
      <c r="C1007" s="2"/>
      <c r="D1007" s="8">
        <v>2018</v>
      </c>
      <c r="E1007" s="14">
        <f>Data!I1007</f>
        <v>2454424995000</v>
      </c>
      <c r="F1007" s="14">
        <f>Data!G1007</f>
        <v>4280729979000</v>
      </c>
      <c r="G1007" s="12">
        <f t="shared" si="15"/>
        <v>0.57336599295930502</v>
      </c>
    </row>
    <row r="1008" spans="2:7" ht="15" customHeight="1" x14ac:dyDescent="0.3">
      <c r="C1008" s="2"/>
      <c r="D1008" s="8">
        <v>2019</v>
      </c>
      <c r="E1008" s="14">
        <f>Data!I1008</f>
        <v>2675535753000</v>
      </c>
      <c r="F1008" s="14">
        <f>Data!G1008</f>
        <v>4626630367000</v>
      </c>
      <c r="G1008" s="12">
        <f t="shared" si="15"/>
        <v>0.5782903626975654</v>
      </c>
    </row>
    <row r="1009" spans="2:7" ht="15" customHeight="1" x14ac:dyDescent="0.3">
      <c r="C1009" s="2"/>
      <c r="D1009" s="8">
        <v>2020</v>
      </c>
      <c r="E1009" s="14">
        <f>Data!I1009</f>
        <v>2730755387000</v>
      </c>
      <c r="F1009" s="14">
        <f>Data!G1009</f>
        <v>4737130041000</v>
      </c>
      <c r="G1009" s="12">
        <f t="shared" si="15"/>
        <v>0.57645776311083541</v>
      </c>
    </row>
    <row r="1010" spans="2:7" ht="15" customHeight="1" x14ac:dyDescent="0.3">
      <c r="C1010" s="2"/>
      <c r="D1010" s="8">
        <v>2021</v>
      </c>
      <c r="E1010" s="14">
        <f>Data!I1010</f>
        <v>2793055857000</v>
      </c>
      <c r="F1010" s="14">
        <f>Data!G1010</f>
        <v>4652817906000</v>
      </c>
      <c r="G1010" s="12">
        <f t="shared" si="15"/>
        <v>0.60029339497645928</v>
      </c>
    </row>
    <row r="1011" spans="2:7" ht="15" customHeight="1" x14ac:dyDescent="0.3">
      <c r="C1011" s="2"/>
      <c r="D1011" s="8">
        <v>2022</v>
      </c>
      <c r="E1011" s="14">
        <f>Data!I1011</f>
        <v>3005509450000</v>
      </c>
      <c r="F1011" s="14">
        <f>Data!G1011</f>
        <v>4705846343000</v>
      </c>
      <c r="G1011" s="12">
        <f t="shared" si="15"/>
        <v>0.63867564534288912</v>
      </c>
    </row>
    <row r="1012" spans="2:7" ht="15" customHeight="1" x14ac:dyDescent="0.3">
      <c r="C1012" s="2"/>
      <c r="D1012" s="8">
        <v>2023</v>
      </c>
      <c r="E1012" s="14">
        <f>Data!I1012</f>
        <v>3410344046000</v>
      </c>
      <c r="F1012" s="14">
        <f>Data!G1012</f>
        <v>5116000794000</v>
      </c>
      <c r="G1012" s="12">
        <f t="shared" si="15"/>
        <v>0.66660350209476527</v>
      </c>
    </row>
    <row r="1013" spans="2:7" ht="15" customHeight="1" x14ac:dyDescent="0.3">
      <c r="C1013" s="2"/>
      <c r="D1013" s="8">
        <v>2024</v>
      </c>
      <c r="E1013" s="14">
        <f>Data!I1013</f>
        <v>3548732475000</v>
      </c>
      <c r="F1013" s="14">
        <f>Data!G1013</f>
        <v>5366438278000</v>
      </c>
      <c r="G1013" s="12">
        <f t="shared" si="15"/>
        <v>0.66128264058271535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Data!I1014</f>
        <v>0</v>
      </c>
      <c r="F1014" s="14">
        <f>Data!G1014</f>
        <v>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Data!I1015</f>
        <v>565655000000</v>
      </c>
      <c r="F1015" s="14">
        <f>Data!G1015</f>
        <v>688536000000</v>
      </c>
      <c r="G1015" s="12">
        <f t="shared" si="15"/>
        <v>0.82153293364471869</v>
      </c>
    </row>
    <row r="1016" spans="2:7" ht="15" customHeight="1" x14ac:dyDescent="0.3">
      <c r="C1016" s="2"/>
      <c r="D1016" s="8">
        <v>2016</v>
      </c>
      <c r="E1016" s="14">
        <f>Data!I1016</f>
        <v>366409000000</v>
      </c>
      <c r="F1016" s="14">
        <f>Data!G1016</f>
        <v>585160000000</v>
      </c>
      <c r="G1016" s="12">
        <f t="shared" si="15"/>
        <v>0.62616891106705863</v>
      </c>
    </row>
    <row r="1017" spans="2:7" ht="15" customHeight="1" x14ac:dyDescent="0.3">
      <c r="C1017" s="2"/>
      <c r="D1017" s="8">
        <v>2017</v>
      </c>
      <c r="E1017" s="14">
        <f>Data!I1017</f>
        <v>577099000000</v>
      </c>
      <c r="F1017" s="14">
        <f>Data!G1017</f>
        <v>803478000000</v>
      </c>
      <c r="G1017" s="12">
        <f t="shared" si="15"/>
        <v>0.71825115311184629</v>
      </c>
    </row>
    <row r="1018" spans="2:7" ht="15" customHeight="1" x14ac:dyDescent="0.3">
      <c r="C1018" s="2"/>
      <c r="D1018" s="8">
        <v>2018</v>
      </c>
      <c r="E1018" s="14">
        <f>Data!I1018</f>
        <v>806608000000</v>
      </c>
      <c r="F1018" s="14">
        <f>Data!G1018</f>
        <v>1041532000000</v>
      </c>
      <c r="G1018" s="12">
        <f t="shared" si="15"/>
        <v>0.77444380009447622</v>
      </c>
    </row>
    <row r="1019" spans="2:7" ht="15" customHeight="1" x14ac:dyDescent="0.3">
      <c r="C1019" s="2"/>
      <c r="D1019" s="8">
        <v>2019</v>
      </c>
      <c r="E1019" s="14">
        <f>Data!I1019</f>
        <v>1038652000000</v>
      </c>
      <c r="F1019" s="14">
        <f>Data!G1019</f>
        <v>1221480000000</v>
      </c>
      <c r="G1019" s="12">
        <f t="shared" si="15"/>
        <v>0.85032255951796176</v>
      </c>
    </row>
    <row r="1020" spans="2:7" ht="15" customHeight="1" x14ac:dyDescent="0.3">
      <c r="C1020" s="2"/>
      <c r="D1020" s="8">
        <v>2020</v>
      </c>
      <c r="E1020" s="14">
        <f>Data!I1020</f>
        <v>969383000000</v>
      </c>
      <c r="F1020" s="14">
        <f>Data!G1020</f>
        <v>1204013000000</v>
      </c>
      <c r="G1020" s="12">
        <f t="shared" si="15"/>
        <v>0.8051266888314329</v>
      </c>
    </row>
    <row r="1021" spans="2:7" ht="15" customHeight="1" x14ac:dyDescent="0.3">
      <c r="C1021" s="2"/>
      <c r="D1021" s="8">
        <v>2021</v>
      </c>
      <c r="E1021" s="14">
        <f>Data!I1021</f>
        <v>1287801000000</v>
      </c>
      <c r="F1021" s="14">
        <f>Data!G1021</f>
        <v>1538686000000</v>
      </c>
      <c r="G1021" s="12">
        <f t="shared" si="15"/>
        <v>0.8369485392081295</v>
      </c>
    </row>
    <row r="1022" spans="2:7" ht="15" customHeight="1" x14ac:dyDescent="0.3">
      <c r="C1022" s="2"/>
      <c r="D1022" s="8">
        <v>2022</v>
      </c>
      <c r="E1022" s="14">
        <f>Data!I1022</f>
        <v>1428957000000</v>
      </c>
      <c r="F1022" s="14">
        <f>Data!G1022</f>
        <v>1734932000000</v>
      </c>
      <c r="G1022" s="12">
        <f t="shared" si="15"/>
        <v>0.82363862099494389</v>
      </c>
    </row>
    <row r="1023" spans="2:7" ht="15" customHeight="1" x14ac:dyDescent="0.3">
      <c r="C1023" s="2"/>
      <c r="D1023" s="8">
        <v>2023</v>
      </c>
      <c r="E1023" s="14">
        <f>Data!I1023</f>
        <v>1388194000000</v>
      </c>
      <c r="F1023" s="14">
        <f>Data!G1023</f>
        <v>1763338000000</v>
      </c>
      <c r="G1023" s="12">
        <f t="shared" si="15"/>
        <v>0.78725349309094461</v>
      </c>
    </row>
    <row r="1024" spans="2:7" ht="15" customHeight="1" x14ac:dyDescent="0.3">
      <c r="C1024" s="2"/>
      <c r="D1024" s="8">
        <v>2024</v>
      </c>
      <c r="E1024" s="14">
        <f>Data!I1024</f>
        <v>5903549000000</v>
      </c>
      <c r="F1024" s="14">
        <f>Data!G1024</f>
        <v>6304848000000</v>
      </c>
      <c r="G1024" s="12">
        <f t="shared" si="15"/>
        <v>0.93635072566380662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Data!I1025</f>
        <v>0</v>
      </c>
      <c r="F1025" s="14">
        <f>Data!G1025</f>
        <v>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Data!I1026</f>
        <v>1264379490000</v>
      </c>
      <c r="F1026" s="14">
        <f>Data!G1026</f>
        <v>1609399500000</v>
      </c>
      <c r="G1026" s="12">
        <f t="shared" si="15"/>
        <v>0.78562189810547345</v>
      </c>
    </row>
    <row r="1027" spans="2:7" ht="15" customHeight="1" x14ac:dyDescent="0.3">
      <c r="C1027" s="2"/>
      <c r="D1027" s="8">
        <v>2016</v>
      </c>
      <c r="E1027" s="14">
        <f>Data!I1027</f>
        <v>1157358770000</v>
      </c>
      <c r="F1027" s="14">
        <f>Data!G1027</f>
        <v>1527605960000</v>
      </c>
      <c r="G1027" s="12">
        <f t="shared" ref="G1027:G1090" si="16">IFERROR(E1027/F1027,0)</f>
        <v>0.75762912708196029</v>
      </c>
    </row>
    <row r="1028" spans="2:7" ht="15" customHeight="1" x14ac:dyDescent="0.3">
      <c r="C1028" s="2"/>
      <c r="D1028" s="8">
        <v>2017</v>
      </c>
      <c r="E1028" s="14">
        <f>Data!I1028</f>
        <v>1198772000000</v>
      </c>
      <c r="F1028" s="14">
        <f>Data!G1028</f>
        <v>1595563000000</v>
      </c>
      <c r="G1028" s="12">
        <f t="shared" si="16"/>
        <v>0.7513159931635417</v>
      </c>
    </row>
    <row r="1029" spans="2:7" ht="15" customHeight="1" x14ac:dyDescent="0.3">
      <c r="C1029" s="2"/>
      <c r="D1029" s="8">
        <v>2018</v>
      </c>
      <c r="E1029" s="14">
        <f>Data!I1029</f>
        <v>1317117000000</v>
      </c>
      <c r="F1029" s="14">
        <f>Data!G1029</f>
        <v>1741510000000</v>
      </c>
      <c r="G1029" s="12">
        <f t="shared" si="16"/>
        <v>0.75630745732151983</v>
      </c>
    </row>
    <row r="1030" spans="2:7" ht="15" customHeight="1" x14ac:dyDescent="0.3">
      <c r="C1030" s="2"/>
      <c r="D1030" s="8">
        <v>2019</v>
      </c>
      <c r="E1030" s="14">
        <f>Data!I1030</f>
        <v>1306926000000</v>
      </c>
      <c r="F1030" s="14">
        <f>Data!G1030</f>
        <v>1763884000000</v>
      </c>
      <c r="G1030" s="12">
        <f t="shared" si="16"/>
        <v>0.74093647881606728</v>
      </c>
    </row>
    <row r="1031" spans="2:7" ht="15" customHeight="1" x14ac:dyDescent="0.3">
      <c r="C1031" s="2"/>
      <c r="D1031" s="8">
        <v>2020</v>
      </c>
      <c r="E1031" s="14">
        <f>Data!I1031</f>
        <v>1057337000000</v>
      </c>
      <c r="F1031" s="14">
        <f>Data!G1031</f>
        <v>1554564000000</v>
      </c>
      <c r="G1031" s="12">
        <f t="shared" si="16"/>
        <v>0.68015019002112487</v>
      </c>
    </row>
    <row r="1032" spans="2:7" ht="15" customHeight="1" x14ac:dyDescent="0.3">
      <c r="C1032" s="2"/>
      <c r="D1032" s="8">
        <v>2021</v>
      </c>
      <c r="E1032" s="14">
        <f>Data!I1032</f>
        <v>1096132000000</v>
      </c>
      <c r="F1032" s="14">
        <f>Data!G1032</f>
        <v>1639874000000</v>
      </c>
      <c r="G1032" s="12">
        <f t="shared" si="16"/>
        <v>0.66842452529889496</v>
      </c>
    </row>
    <row r="1033" spans="2:7" ht="15" customHeight="1" x14ac:dyDescent="0.3">
      <c r="C1033" s="2"/>
      <c r="D1033" s="8">
        <v>2022</v>
      </c>
      <c r="E1033" s="14">
        <f>Data!I1033</f>
        <v>1288215000000</v>
      </c>
      <c r="F1033" s="14">
        <f>Data!G1033</f>
        <v>1939292000000</v>
      </c>
      <c r="G1033" s="12">
        <f t="shared" si="16"/>
        <v>0.66427077510761656</v>
      </c>
    </row>
    <row r="1034" spans="2:7" ht="15" customHeight="1" x14ac:dyDescent="0.3">
      <c r="C1034" s="2"/>
      <c r="D1034" s="8">
        <v>2023</v>
      </c>
      <c r="E1034" s="14">
        <f>Data!I1034</f>
        <v>1480307000000</v>
      </c>
      <c r="F1034" s="14">
        <f>Data!G1034</f>
        <v>2186737000000</v>
      </c>
      <c r="G1034" s="12">
        <f t="shared" si="16"/>
        <v>0.67694789085290097</v>
      </c>
    </row>
    <row r="1035" spans="2:7" ht="15" customHeight="1" x14ac:dyDescent="0.3">
      <c r="C1035" s="2"/>
      <c r="D1035" s="8">
        <v>2024</v>
      </c>
      <c r="E1035" s="14">
        <f>Data!I1035</f>
        <v>1512006000000</v>
      </c>
      <c r="F1035" s="14">
        <f>Data!G1035</f>
        <v>2288683000000</v>
      </c>
      <c r="G1035" s="12">
        <f t="shared" si="16"/>
        <v>0.66064457157238465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Data!I1036</f>
        <v>0</v>
      </c>
      <c r="F1036" s="14">
        <f>Data!G1036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Data!I1037</f>
        <v>0</v>
      </c>
      <c r="F1037" s="14">
        <f>Data!G1037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Data!I1038</f>
        <v>0</v>
      </c>
      <c r="F1038" s="14">
        <f>Data!G1038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Data!I1039</f>
        <v>0</v>
      </c>
      <c r="F1039" s="14">
        <f>Data!G1039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Data!I1040</f>
        <v>0</v>
      </c>
      <c r="F1040" s="14">
        <f>Data!G1040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Data!I1041</f>
        <v>84964649275</v>
      </c>
      <c r="F1041" s="14">
        <f>Data!G1041</f>
        <v>196174651501</v>
      </c>
      <c r="G1041" s="12">
        <f t="shared" si="16"/>
        <v>0.43310717579924896</v>
      </c>
    </row>
    <row r="1042" spans="2:7" ht="15" customHeight="1" x14ac:dyDescent="0.3">
      <c r="C1042" s="2"/>
      <c r="D1042" s="8">
        <v>2020</v>
      </c>
      <c r="E1042" s="14">
        <f>Data!I1042</f>
        <v>88331000000</v>
      </c>
      <c r="F1042" s="14">
        <f>Data!G1042</f>
        <v>199744000000</v>
      </c>
      <c r="G1042" s="12">
        <f t="shared" si="16"/>
        <v>0.44222104293495673</v>
      </c>
    </row>
    <row r="1043" spans="2:7" ht="15" customHeight="1" x14ac:dyDescent="0.3">
      <c r="C1043" s="2"/>
      <c r="D1043" s="8">
        <v>2021</v>
      </c>
      <c r="E1043" s="14">
        <f>Data!I1043</f>
        <v>57845000000</v>
      </c>
      <c r="F1043" s="14">
        <f>Data!G1043</f>
        <v>173288000000</v>
      </c>
      <c r="G1043" s="12">
        <f t="shared" si="16"/>
        <v>0.33380845759660221</v>
      </c>
    </row>
    <row r="1044" spans="2:7" ht="15" customHeight="1" x14ac:dyDescent="0.3">
      <c r="C1044" s="2"/>
      <c r="D1044" s="8">
        <v>2022</v>
      </c>
      <c r="E1044" s="14">
        <f>Data!I1044</f>
        <v>61026000000</v>
      </c>
      <c r="F1044" s="14">
        <f>Data!G1044</f>
        <v>163542000000</v>
      </c>
      <c r="G1044" s="12">
        <f t="shared" si="16"/>
        <v>0.37315185090068609</v>
      </c>
    </row>
    <row r="1045" spans="2:7" ht="15" customHeight="1" x14ac:dyDescent="0.3">
      <c r="C1045" s="2"/>
      <c r="D1045" s="8">
        <v>2023</v>
      </c>
      <c r="E1045" s="14">
        <f>Data!I1045</f>
        <v>80434000000</v>
      </c>
      <c r="F1045" s="14">
        <f>Data!G1045</f>
        <v>180812000000</v>
      </c>
      <c r="G1045" s="12">
        <f t="shared" si="16"/>
        <v>0.4448487932216888</v>
      </c>
    </row>
    <row r="1046" spans="2:7" ht="15" customHeight="1" x14ac:dyDescent="0.3">
      <c r="C1046" s="2"/>
      <c r="D1046" s="8">
        <v>2024</v>
      </c>
      <c r="E1046" s="14">
        <f>Data!I1046</f>
        <v>97296000000</v>
      </c>
      <c r="F1046" s="14">
        <f>Data!G1046</f>
        <v>237329000000</v>
      </c>
      <c r="G1046" s="12">
        <f t="shared" si="16"/>
        <v>0.40996254145089728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Data!I1047</f>
        <v>0</v>
      </c>
      <c r="F1047" s="14">
        <f>Data!G1047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Data!I1048</f>
        <v>1147680454337</v>
      </c>
      <c r="F1048" s="14">
        <f>Data!G1048</f>
        <v>1422094069358</v>
      </c>
      <c r="G1048" s="12">
        <f t="shared" si="16"/>
        <v>0.80703553939657224</v>
      </c>
    </row>
    <row r="1049" spans="2:7" ht="15" customHeight="1" x14ac:dyDescent="0.3">
      <c r="C1049" s="2"/>
      <c r="D1049" s="8">
        <v>2016</v>
      </c>
      <c r="E1049" s="14">
        <f>Data!I1049</f>
        <v>1124162800820</v>
      </c>
      <c r="F1049" s="14">
        <f>Data!G1049</f>
        <v>1434654843880</v>
      </c>
      <c r="G1049" s="12">
        <f t="shared" si="16"/>
        <v>0.78357718277360744</v>
      </c>
    </row>
    <row r="1050" spans="2:7" ht="15" customHeight="1" x14ac:dyDescent="0.3">
      <c r="C1050" s="2"/>
      <c r="D1050" s="8">
        <v>2017</v>
      </c>
      <c r="E1050" s="14">
        <f>Data!I1050</f>
        <v>1062228874493</v>
      </c>
      <c r="F1050" s="14">
        <f>Data!G1050</f>
        <v>1418524795003</v>
      </c>
      <c r="G1050" s="12">
        <f t="shared" si="16"/>
        <v>0.74882644155032452</v>
      </c>
    </row>
    <row r="1051" spans="2:7" ht="15" customHeight="1" x14ac:dyDescent="0.3">
      <c r="C1051" s="2"/>
      <c r="D1051" s="8">
        <v>2018</v>
      </c>
      <c r="E1051" s="14">
        <f>Data!I1051</f>
        <v>1072221723281</v>
      </c>
      <c r="F1051" s="14">
        <f>Data!G1051</f>
        <v>1478007061719</v>
      </c>
      <c r="G1051" s="12">
        <f t="shared" si="16"/>
        <v>0.72545101512163934</v>
      </c>
    </row>
    <row r="1052" spans="2:7" ht="15" customHeight="1" x14ac:dyDescent="0.3">
      <c r="C1052" s="2"/>
      <c r="D1052" s="8">
        <v>2019</v>
      </c>
      <c r="E1052" s="14">
        <f>Data!I1052</f>
        <v>1104712550189</v>
      </c>
      <c r="F1052" s="14">
        <f>Data!G1052</f>
        <v>1548001829554</v>
      </c>
      <c r="G1052" s="12">
        <f t="shared" si="16"/>
        <v>0.71363775487738434</v>
      </c>
    </row>
    <row r="1053" spans="2:7" ht="15" customHeight="1" x14ac:dyDescent="0.3">
      <c r="C1053" s="2"/>
      <c r="D1053" s="8">
        <v>2020</v>
      </c>
      <c r="E1053" s="14">
        <f>Data!I1053</f>
        <v>1013381758085</v>
      </c>
      <c r="F1053" s="14">
        <f>Data!G1053</f>
        <v>1516562973028</v>
      </c>
      <c r="G1053" s="12">
        <f t="shared" si="16"/>
        <v>0.66820948164233607</v>
      </c>
    </row>
    <row r="1054" spans="2:7" ht="15" customHeight="1" x14ac:dyDescent="0.3">
      <c r="C1054" s="2"/>
      <c r="D1054" s="8">
        <v>2021</v>
      </c>
      <c r="E1054" s="14">
        <f>Data!I1054</f>
        <v>862113850198</v>
      </c>
      <c r="F1054" s="14">
        <f>Data!G1054</f>
        <v>1411160148272</v>
      </c>
      <c r="G1054" s="12">
        <f t="shared" si="16"/>
        <v>0.61092559285611869</v>
      </c>
    </row>
    <row r="1055" spans="2:7" ht="15" customHeight="1" x14ac:dyDescent="0.3">
      <c r="C1055" s="2"/>
      <c r="D1055" s="8">
        <v>2022</v>
      </c>
      <c r="E1055" s="14">
        <f>Data!I1055</f>
        <v>1013123874462</v>
      </c>
      <c r="F1055" s="14">
        <f>Data!G1055</f>
        <v>1627241657686</v>
      </c>
      <c r="G1055" s="12">
        <f t="shared" si="16"/>
        <v>0.62260197781729665</v>
      </c>
    </row>
    <row r="1056" spans="2:7" ht="15" customHeight="1" x14ac:dyDescent="0.3">
      <c r="C1056" s="2"/>
      <c r="D1056" s="8">
        <v>2023</v>
      </c>
      <c r="E1056" s="14">
        <f>Data!I1056</f>
        <v>1172290013843</v>
      </c>
      <c r="F1056" s="14">
        <f>Data!G1056</f>
        <v>1850769013354</v>
      </c>
      <c r="G1056" s="12">
        <f t="shared" si="16"/>
        <v>0.6334069813058697</v>
      </c>
    </row>
    <row r="1057" spans="2:7" ht="15" customHeight="1" x14ac:dyDescent="0.3">
      <c r="C1057" s="2"/>
      <c r="D1057" s="8">
        <v>2024</v>
      </c>
      <c r="E1057" s="14">
        <f>Data!I1057</f>
        <v>1060235701791</v>
      </c>
      <c r="F1057" s="14">
        <f>Data!G1057</f>
        <v>1748726624469</v>
      </c>
      <c r="G1057" s="12">
        <f t="shared" si="16"/>
        <v>0.60629013532228915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Data!I1058</f>
        <v>0</v>
      </c>
      <c r="F1058" s="14">
        <f>Data!G1058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Data!I1059</f>
        <v>0</v>
      </c>
      <c r="F1059" s="14">
        <f>Data!G1059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Data!I1060</f>
        <v>0</v>
      </c>
      <c r="F1060" s="14">
        <f>Data!G1060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Data!I1061</f>
        <v>230178000000</v>
      </c>
      <c r="F1061" s="14">
        <f>Data!G1061</f>
        <v>443187000000</v>
      </c>
      <c r="G1061" s="12">
        <f t="shared" si="16"/>
        <v>0.51936992736700305</v>
      </c>
    </row>
    <row r="1062" spans="2:7" ht="15" customHeight="1" x14ac:dyDescent="0.3">
      <c r="C1062" s="2"/>
      <c r="D1062" s="8">
        <v>2018</v>
      </c>
      <c r="E1062" s="14">
        <f>Data!I1062</f>
        <v>288430000000</v>
      </c>
      <c r="F1062" s="14">
        <f>Data!G1062</f>
        <v>543888000000</v>
      </c>
      <c r="G1062" s="12">
        <f t="shared" si="16"/>
        <v>0.5303113876386315</v>
      </c>
    </row>
    <row r="1063" spans="2:7" ht="15" customHeight="1" x14ac:dyDescent="0.3">
      <c r="C1063" s="2"/>
      <c r="D1063" s="8">
        <v>2019</v>
      </c>
      <c r="E1063" s="14">
        <f>Data!I1063</f>
        <v>318537000000</v>
      </c>
      <c r="F1063" s="14">
        <f>Data!G1063</f>
        <v>606281000000</v>
      </c>
      <c r="G1063" s="12">
        <f t="shared" si="16"/>
        <v>0.52539499011184587</v>
      </c>
    </row>
    <row r="1064" spans="2:7" ht="15" customHeight="1" x14ac:dyDescent="0.3">
      <c r="C1064" s="2"/>
      <c r="D1064" s="8">
        <v>2020</v>
      </c>
      <c r="E1064" s="14">
        <f>Data!I1064</f>
        <v>282787000000</v>
      </c>
      <c r="F1064" s="14">
        <f>Data!G1064</f>
        <v>606330000000</v>
      </c>
      <c r="G1064" s="12">
        <f t="shared" si="16"/>
        <v>0.46639123909422264</v>
      </c>
    </row>
    <row r="1065" spans="2:7" ht="15" customHeight="1" x14ac:dyDescent="0.3">
      <c r="C1065" s="2"/>
      <c r="D1065" s="8">
        <v>2021</v>
      </c>
      <c r="E1065" s="14">
        <f>Data!I1065</f>
        <v>362441000000</v>
      </c>
      <c r="F1065" s="14">
        <f>Data!G1065</f>
        <v>734486000000</v>
      </c>
      <c r="G1065" s="12">
        <f t="shared" si="16"/>
        <v>0.49346209458042767</v>
      </c>
    </row>
    <row r="1066" spans="2:7" ht="15" customHeight="1" x14ac:dyDescent="0.3">
      <c r="C1066" s="2"/>
      <c r="D1066" s="8">
        <v>2022</v>
      </c>
      <c r="E1066" s="14">
        <f>Data!I1066</f>
        <v>316695000000</v>
      </c>
      <c r="F1066" s="14">
        <f>Data!G1066</f>
        <v>693414000000</v>
      </c>
      <c r="G1066" s="12">
        <f t="shared" si="16"/>
        <v>0.45671849717484791</v>
      </c>
    </row>
    <row r="1067" spans="2:7" ht="15" customHeight="1" x14ac:dyDescent="0.3">
      <c r="C1067" s="2"/>
      <c r="D1067" s="8">
        <v>2023</v>
      </c>
      <c r="E1067" s="14">
        <f>Data!I1067</f>
        <v>447854000000</v>
      </c>
      <c r="F1067" s="14">
        <f>Data!G1067</f>
        <v>842799000000</v>
      </c>
      <c r="G1067" s="12">
        <f t="shared" si="16"/>
        <v>0.53138886021459442</v>
      </c>
    </row>
    <row r="1068" spans="2:7" ht="15" customHeight="1" x14ac:dyDescent="0.3">
      <c r="C1068" s="2"/>
      <c r="D1068" s="8">
        <v>2024</v>
      </c>
      <c r="E1068" s="14">
        <f>Data!I1068</f>
        <v>575206000000</v>
      </c>
      <c r="F1068" s="14">
        <f>Data!G1068</f>
        <v>965173000000</v>
      </c>
      <c r="G1068" s="12">
        <f t="shared" si="16"/>
        <v>0.5959615530065594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Data!I1069</f>
        <v>0</v>
      </c>
      <c r="F1069" s="14">
        <f>Data!G1069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Data!I1070</f>
        <v>0</v>
      </c>
      <c r="F1070" s="14">
        <f>Data!G1070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Data!I1071</f>
        <v>0</v>
      </c>
      <c r="F1071" s="14">
        <f>Data!G1071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Data!I1072</f>
        <v>282731490000</v>
      </c>
      <c r="F1072" s="14">
        <f>Data!G1072</f>
        <v>438728480000</v>
      </c>
      <c r="G1072" s="12">
        <f t="shared" si="16"/>
        <v>0.6444338648815322</v>
      </c>
    </row>
    <row r="1073" spans="2:7" ht="15" customHeight="1" x14ac:dyDescent="0.3">
      <c r="C1073" s="2"/>
      <c r="D1073" s="8">
        <v>2018</v>
      </c>
      <c r="E1073" s="14">
        <f>Data!I1073</f>
        <v>307879870000</v>
      </c>
      <c r="F1073" s="14">
        <f>Data!G1073</f>
        <v>465529950000</v>
      </c>
      <c r="G1073" s="12">
        <f t="shared" si="16"/>
        <v>0.66135351764156103</v>
      </c>
    </row>
    <row r="1074" spans="2:7" ht="15" customHeight="1" x14ac:dyDescent="0.3">
      <c r="C1074" s="2"/>
      <c r="D1074" s="8">
        <v>2019</v>
      </c>
      <c r="E1074" s="14">
        <f>Data!I1074</f>
        <v>368782690000</v>
      </c>
      <c r="F1074" s="14">
        <f>Data!G1074</f>
        <v>530838510000</v>
      </c>
      <c r="G1074" s="12">
        <f t="shared" si="16"/>
        <v>0.69471728793753118</v>
      </c>
    </row>
    <row r="1075" spans="2:7" ht="15" customHeight="1" x14ac:dyDescent="0.3">
      <c r="C1075" s="2"/>
      <c r="D1075" s="8">
        <v>2020</v>
      </c>
      <c r="E1075" s="14">
        <f>Data!I1075</f>
        <v>405905110000</v>
      </c>
      <c r="F1075" s="14">
        <f>Data!G1075</f>
        <v>602525150000</v>
      </c>
      <c r="G1075" s="12">
        <f t="shared" si="16"/>
        <v>0.67367330641716783</v>
      </c>
    </row>
    <row r="1076" spans="2:7" ht="15" customHeight="1" x14ac:dyDescent="0.3">
      <c r="C1076" s="2"/>
      <c r="D1076" s="8">
        <v>2021</v>
      </c>
      <c r="E1076" s="14">
        <f>Data!I1076</f>
        <v>403668910000</v>
      </c>
      <c r="F1076" s="14">
        <f>Data!G1076</f>
        <v>612411540000</v>
      </c>
      <c r="G1076" s="12">
        <f t="shared" si="16"/>
        <v>0.65914647852651498</v>
      </c>
    </row>
    <row r="1077" spans="2:7" ht="15" customHeight="1" x14ac:dyDescent="0.3">
      <c r="C1077" s="2"/>
      <c r="D1077" s="8">
        <v>2022</v>
      </c>
      <c r="E1077" s="14">
        <f>Data!I1077</f>
        <v>540692390000</v>
      </c>
      <c r="F1077" s="14">
        <f>Data!G1077</f>
        <v>767599240000</v>
      </c>
      <c r="G1077" s="12">
        <f t="shared" si="16"/>
        <v>0.70439411847255085</v>
      </c>
    </row>
    <row r="1078" spans="2:7" ht="15" customHeight="1" x14ac:dyDescent="0.3">
      <c r="C1078" s="2"/>
      <c r="D1078" s="8">
        <v>2023</v>
      </c>
      <c r="E1078" s="14">
        <f>Data!I1078</f>
        <v>657579540000</v>
      </c>
      <c r="F1078" s="14">
        <f>Data!G1078</f>
        <v>914778240000</v>
      </c>
      <c r="G1078" s="12">
        <f t="shared" si="16"/>
        <v>0.71884038256091443</v>
      </c>
    </row>
    <row r="1079" spans="2:7" ht="15" customHeight="1" x14ac:dyDescent="0.3">
      <c r="C1079" s="2"/>
      <c r="D1079" s="8">
        <v>2024</v>
      </c>
      <c r="E1079" s="14">
        <f>Data!I1079</f>
        <v>601065430000</v>
      </c>
      <c r="F1079" s="14">
        <f>Data!G1079</f>
        <v>896022680000</v>
      </c>
      <c r="G1079" s="12">
        <f t="shared" si="16"/>
        <v>0.67081497312099292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Data!I1080</f>
        <v>0</v>
      </c>
      <c r="F1080" s="14">
        <f>Data!G1080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Data!I1081</f>
        <v>0</v>
      </c>
      <c r="F1081" s="14">
        <f>Data!G1081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Data!I1082</f>
        <v>0</v>
      </c>
      <c r="F1082" s="14">
        <f>Data!G1082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Data!I1083</f>
        <v>0</v>
      </c>
      <c r="F1083" s="14">
        <f>Data!G1083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Data!I1084</f>
        <v>0</v>
      </c>
      <c r="F1084" s="14">
        <f>Data!G1084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Data!I1085</f>
        <v>0</v>
      </c>
      <c r="F1085" s="14">
        <f>Data!G1085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Data!I1086</f>
        <v>0</v>
      </c>
      <c r="F1086" s="14">
        <f>Data!G1086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Data!I1087</f>
        <v>1046453000000</v>
      </c>
      <c r="F1087" s="14">
        <f>Data!G1087</f>
        <v>1386012000000</v>
      </c>
      <c r="G1087" s="12">
        <f t="shared" si="16"/>
        <v>0.75501005763297868</v>
      </c>
    </row>
    <row r="1088" spans="2:7" ht="15" customHeight="1" x14ac:dyDescent="0.3">
      <c r="C1088" s="2"/>
      <c r="D1088" s="8">
        <v>2022</v>
      </c>
      <c r="E1088" s="14">
        <f>Data!I1088</f>
        <v>1004525000000</v>
      </c>
      <c r="F1088" s="14">
        <f>Data!G1088</f>
        <v>1289972000000</v>
      </c>
      <c r="G1088" s="12">
        <f t="shared" si="16"/>
        <v>0.77871845280362673</v>
      </c>
    </row>
    <row r="1089" spans="2:7" ht="15" customHeight="1" x14ac:dyDescent="0.3">
      <c r="C1089" s="2"/>
      <c r="D1089" s="8">
        <v>2023</v>
      </c>
      <c r="E1089" s="14">
        <f>Data!I1089</f>
        <v>935069000000</v>
      </c>
      <c r="F1089" s="14">
        <f>Data!G1089</f>
        <v>1334934000000</v>
      </c>
      <c r="G1089" s="12">
        <f t="shared" si="16"/>
        <v>0.70046084675347242</v>
      </c>
    </row>
    <row r="1090" spans="2:7" ht="15" customHeight="1" x14ac:dyDescent="0.3">
      <c r="C1090" s="2"/>
      <c r="D1090" s="8">
        <v>2024</v>
      </c>
      <c r="E1090" s="14">
        <f>Data!I1090</f>
        <v>939600000000</v>
      </c>
      <c r="F1090" s="14">
        <f>Data!G1090</f>
        <v>1374888000000</v>
      </c>
      <c r="G1090" s="12">
        <f t="shared" si="16"/>
        <v>0.6834011206731021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Data!I1091</f>
        <v>0</v>
      </c>
      <c r="F1091" s="14">
        <f>Data!G1091</f>
        <v>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Data!I1092</f>
        <v>9329000000</v>
      </c>
      <c r="F1092" s="14">
        <f>Data!G1092</f>
        <v>122165000000</v>
      </c>
      <c r="G1092" s="12">
        <f t="shared" si="17"/>
        <v>7.6363934023656529E-2</v>
      </c>
    </row>
    <row r="1093" spans="2:7" ht="15" customHeight="1" x14ac:dyDescent="0.3">
      <c r="C1093" s="2"/>
      <c r="D1093" s="8">
        <v>2016</v>
      </c>
      <c r="E1093" s="14">
        <f>Data!I1093</f>
        <v>15992000000</v>
      </c>
      <c r="F1093" s="14">
        <f>Data!G1093</f>
        <v>130238000000</v>
      </c>
      <c r="G1093" s="12">
        <f t="shared" si="17"/>
        <v>0.12279058339347963</v>
      </c>
    </row>
    <row r="1094" spans="2:7" ht="15" customHeight="1" x14ac:dyDescent="0.3">
      <c r="C1094" s="2"/>
      <c r="D1094" s="8">
        <v>2017</v>
      </c>
      <c r="E1094" s="14">
        <f>Data!I1094</f>
        <v>18475000000</v>
      </c>
      <c r="F1094" s="14">
        <f>Data!G1094</f>
        <v>177485000000</v>
      </c>
      <c r="G1094" s="12">
        <f t="shared" si="17"/>
        <v>0.10409330365946418</v>
      </c>
    </row>
    <row r="1095" spans="2:7" ht="15" customHeight="1" x14ac:dyDescent="0.3">
      <c r="C1095" s="2"/>
      <c r="D1095" s="8">
        <v>2018</v>
      </c>
      <c r="E1095" s="14">
        <f>Data!I1095</f>
        <v>42834000000</v>
      </c>
      <c r="F1095" s="14">
        <f>Data!G1095</f>
        <v>311845000000</v>
      </c>
      <c r="G1095" s="12">
        <f t="shared" si="17"/>
        <v>0.13735669964245056</v>
      </c>
    </row>
    <row r="1096" spans="2:7" ht="15" customHeight="1" x14ac:dyDescent="0.3">
      <c r="C1096" s="2"/>
      <c r="D1096" s="8">
        <v>2019</v>
      </c>
      <c r="E1096" s="14">
        <f>Data!I1096</f>
        <v>558559000000</v>
      </c>
      <c r="F1096" s="14">
        <f>Data!G1096</f>
        <v>889636000000</v>
      </c>
      <c r="G1096" s="12">
        <f t="shared" si="17"/>
        <v>0.62785116609489722</v>
      </c>
    </row>
    <row r="1097" spans="2:7" ht="15" customHeight="1" x14ac:dyDescent="0.3">
      <c r="C1097" s="2"/>
      <c r="D1097" s="8">
        <v>2020</v>
      </c>
      <c r="E1097" s="14">
        <f>Data!I1097</f>
        <v>456451000000</v>
      </c>
      <c r="F1097" s="14">
        <f>Data!G1097</f>
        <v>767127000000</v>
      </c>
      <c r="G1097" s="12">
        <f t="shared" si="17"/>
        <v>0.59501360270202974</v>
      </c>
    </row>
    <row r="1098" spans="2:7" ht="15" customHeight="1" x14ac:dyDescent="0.3">
      <c r="C1098" s="2"/>
      <c r="D1098" s="8">
        <v>2021</v>
      </c>
      <c r="E1098" s="14">
        <f>Data!I1098</f>
        <v>444935000000</v>
      </c>
      <c r="F1098" s="14">
        <f>Data!G1098</f>
        <v>808290000000</v>
      </c>
      <c r="G1098" s="12">
        <f t="shared" si="17"/>
        <v>0.55046456098677454</v>
      </c>
    </row>
    <row r="1099" spans="2:7" ht="15" customHeight="1" x14ac:dyDescent="0.3">
      <c r="C1099" s="2"/>
      <c r="D1099" s="8">
        <v>2022</v>
      </c>
      <c r="E1099" s="14">
        <f>Data!I1099</f>
        <v>409815000000</v>
      </c>
      <c r="F1099" s="14">
        <f>Data!G1099</f>
        <v>920252000000</v>
      </c>
      <c r="G1099" s="12">
        <f t="shared" si="17"/>
        <v>0.44532910550588317</v>
      </c>
    </row>
    <row r="1100" spans="2:7" ht="15" customHeight="1" x14ac:dyDescent="0.3">
      <c r="C1100" s="2"/>
      <c r="D1100" s="8">
        <v>2023</v>
      </c>
      <c r="E1100" s="14">
        <f>Data!I1100</f>
        <v>545751000000</v>
      </c>
      <c r="F1100" s="14">
        <f>Data!G1100</f>
        <v>1176944000000</v>
      </c>
      <c r="G1100" s="12">
        <f t="shared" si="17"/>
        <v>0.46370175641321931</v>
      </c>
    </row>
    <row r="1101" spans="2:7" ht="15" customHeight="1" x14ac:dyDescent="0.3">
      <c r="C1101" s="2"/>
      <c r="D1101" s="8">
        <v>2024</v>
      </c>
      <c r="E1101" s="14">
        <f>Data!I1101</f>
        <v>973123000000</v>
      </c>
      <c r="F1101" s="14">
        <f>Data!G1101</f>
        <v>1733065000000</v>
      </c>
      <c r="G1101" s="12">
        <f t="shared" si="17"/>
        <v>0.56150404052935121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Data!I1102</f>
        <v>0</v>
      </c>
      <c r="F1102" s="14">
        <f>Data!G1102</f>
        <v>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Data!I1103</f>
        <v>3528172000000</v>
      </c>
      <c r="F1103" s="14">
        <f>Data!G1103</f>
        <v>6191014000000</v>
      </c>
      <c r="G1103" s="12">
        <f t="shared" si="17"/>
        <v>0.56988596698376071</v>
      </c>
    </row>
    <row r="1104" spans="2:7" ht="15" customHeight="1" x14ac:dyDescent="0.3">
      <c r="C1104" s="2"/>
      <c r="D1104" s="8">
        <v>2016</v>
      </c>
      <c r="E1104" s="14">
        <f>Data!I1104</f>
        <v>3209577000000</v>
      </c>
      <c r="F1104" s="14">
        <f>Data!G1104</f>
        <v>5916686000000</v>
      </c>
      <c r="G1104" s="12">
        <f t="shared" si="17"/>
        <v>0.5424619457581491</v>
      </c>
    </row>
    <row r="1105" spans="2:7" ht="15" customHeight="1" x14ac:dyDescent="0.3">
      <c r="C1105" s="2"/>
      <c r="D1105" s="8">
        <v>2017</v>
      </c>
      <c r="E1105" s="14">
        <f>Data!I1105</f>
        <v>27953908000000</v>
      </c>
      <c r="F1105" s="14">
        <f>Data!G1105</f>
        <v>31271077000000</v>
      </c>
      <c r="G1105" s="12">
        <f t="shared" si="17"/>
        <v>0.89392213769931872</v>
      </c>
    </row>
    <row r="1106" spans="2:7" ht="15" customHeight="1" x14ac:dyDescent="0.3">
      <c r="C1106" s="2"/>
      <c r="D1106" s="8">
        <v>2018</v>
      </c>
      <c r="E1106" s="14">
        <f>Data!I1106</f>
        <v>35290723000000</v>
      </c>
      <c r="F1106" s="14">
        <f>Data!G1106</f>
        <v>39097329000000</v>
      </c>
      <c r="G1106" s="12">
        <f t="shared" si="17"/>
        <v>0.90263769681043937</v>
      </c>
    </row>
    <row r="1107" spans="2:7" ht="15" customHeight="1" x14ac:dyDescent="0.3">
      <c r="C1107" s="2"/>
      <c r="D1107" s="8">
        <v>2019</v>
      </c>
      <c r="E1107" s="14">
        <f>Data!I1107</f>
        <v>40201558000000</v>
      </c>
      <c r="F1107" s="14">
        <f>Data!G1107</f>
        <v>44577624000000</v>
      </c>
      <c r="G1107" s="12">
        <f t="shared" si="17"/>
        <v>0.90183267730913608</v>
      </c>
    </row>
    <row r="1108" spans="2:7" ht="15" customHeight="1" x14ac:dyDescent="0.3">
      <c r="C1108" s="2"/>
      <c r="D1108" s="8">
        <v>2020</v>
      </c>
      <c r="E1108" s="14">
        <f>Data!I1108</f>
        <v>39795144000000</v>
      </c>
      <c r="F1108" s="14">
        <f>Data!G1108</f>
        <v>44790941000000</v>
      </c>
      <c r="G1108" s="12">
        <f t="shared" si="17"/>
        <v>0.88846412045685752</v>
      </c>
    </row>
    <row r="1109" spans="2:7" ht="15" customHeight="1" x14ac:dyDescent="0.3">
      <c r="C1109" s="2"/>
      <c r="D1109" s="8">
        <v>2021</v>
      </c>
      <c r="E1109" s="14">
        <f>Data!I1109</f>
        <v>43197356000000</v>
      </c>
      <c r="F1109" s="14">
        <f>Data!G1109</f>
        <v>47706642000000</v>
      </c>
      <c r="G1109" s="12">
        <f t="shared" si="17"/>
        <v>0.90547886392842325</v>
      </c>
    </row>
    <row r="1110" spans="2:7" ht="15" customHeight="1" x14ac:dyDescent="0.3">
      <c r="C1110" s="2"/>
      <c r="D1110" s="8">
        <v>2022</v>
      </c>
      <c r="E1110" s="14">
        <f>Data!I1110</f>
        <v>40147435000000</v>
      </c>
      <c r="F1110" s="14">
        <f>Data!G1110</f>
        <v>45035755000000</v>
      </c>
      <c r="G1110" s="12">
        <f t="shared" si="17"/>
        <v>0.89145691018169892</v>
      </c>
    </row>
    <row r="1111" spans="2:7" ht="15" customHeight="1" x14ac:dyDescent="0.3">
      <c r="C1111" s="2"/>
      <c r="D1111" s="8">
        <v>2023</v>
      </c>
      <c r="E1111" s="14">
        <f>Data!I1111</f>
        <v>34855780000000</v>
      </c>
      <c r="F1111" s="14">
        <f>Data!G1111</f>
        <v>40386010000000</v>
      </c>
      <c r="G1111" s="12">
        <f t="shared" si="17"/>
        <v>0.86306570022639029</v>
      </c>
    </row>
    <row r="1112" spans="2:7" ht="15" customHeight="1" x14ac:dyDescent="0.3">
      <c r="C1112" s="2"/>
      <c r="D1112" s="8">
        <v>2024</v>
      </c>
      <c r="E1112" s="14">
        <f>Data!I1112</f>
        <v>34166611000000</v>
      </c>
      <c r="F1112" s="14">
        <f>Data!G1112</f>
        <v>40268335000000</v>
      </c>
      <c r="G1112" s="12">
        <f t="shared" si="17"/>
        <v>0.84847339727356497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Data!I1113</f>
        <v>0</v>
      </c>
      <c r="F1113" s="14">
        <f>Data!G1113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Data!I1114</f>
        <v>4196000000</v>
      </c>
      <c r="F1114" s="14">
        <f>Data!G1114</f>
        <v>61417000000</v>
      </c>
      <c r="G1114" s="12">
        <f t="shared" si="17"/>
        <v>6.8319846296627976E-2</v>
      </c>
    </row>
    <row r="1115" spans="2:7" ht="15" customHeight="1" x14ac:dyDescent="0.3">
      <c r="C1115" s="1"/>
      <c r="D1115" s="8">
        <v>2016</v>
      </c>
      <c r="E1115" s="14">
        <f>Data!I1115</f>
        <v>5077000000</v>
      </c>
      <c r="F1115" s="14">
        <f>Data!G1115</f>
        <v>65069000000</v>
      </c>
      <c r="G1115" s="12">
        <f t="shared" si="17"/>
        <v>7.802486591157079E-2</v>
      </c>
    </row>
    <row r="1116" spans="2:7" ht="15" customHeight="1" x14ac:dyDescent="0.3">
      <c r="C1116" s="1"/>
      <c r="D1116" s="8">
        <v>2017</v>
      </c>
      <c r="E1116" s="14">
        <f>Data!I1116</f>
        <v>6240000000</v>
      </c>
      <c r="F1116" s="14">
        <f>Data!G1116</f>
        <v>66934000000</v>
      </c>
      <c r="G1116" s="12">
        <f t="shared" si="17"/>
        <v>9.3226163086025035E-2</v>
      </c>
    </row>
    <row r="1117" spans="2:7" ht="15" customHeight="1" x14ac:dyDescent="0.3">
      <c r="C1117" s="1"/>
      <c r="D1117" s="8">
        <v>2018</v>
      </c>
      <c r="E1117" s="14">
        <f>Data!I1117</f>
        <v>6603000000</v>
      </c>
      <c r="F1117" s="14">
        <f>Data!G1117</f>
        <v>79330000000</v>
      </c>
      <c r="G1117" s="12">
        <f t="shared" si="17"/>
        <v>8.3234589688642377E-2</v>
      </c>
    </row>
    <row r="1118" spans="2:7" ht="15" customHeight="1" x14ac:dyDescent="0.3">
      <c r="C1118" s="1"/>
      <c r="D1118" s="8">
        <v>2019</v>
      </c>
      <c r="E1118" s="14">
        <f>Data!I1118</f>
        <v>6214000000</v>
      </c>
      <c r="F1118" s="14">
        <f>Data!G1118</f>
        <v>78593000000</v>
      </c>
      <c r="G1118" s="12">
        <f t="shared" si="17"/>
        <v>7.9065565635616397E-2</v>
      </c>
    </row>
    <row r="1119" spans="2:7" ht="15" customHeight="1" x14ac:dyDescent="0.3">
      <c r="C1119" s="1"/>
      <c r="D1119" s="8">
        <v>2020</v>
      </c>
      <c r="E1119" s="14">
        <f>Data!I1119</f>
        <v>7306000000</v>
      </c>
      <c r="F1119" s="14">
        <f>Data!G1119</f>
        <v>74531000000</v>
      </c>
      <c r="G1119" s="12">
        <f t="shared" si="17"/>
        <v>9.8026324616602489E-2</v>
      </c>
    </row>
    <row r="1120" spans="2:7" ht="15" customHeight="1" x14ac:dyDescent="0.3">
      <c r="C1120" s="1"/>
      <c r="D1120" s="8">
        <v>2021</v>
      </c>
      <c r="E1120" s="14">
        <f>Data!I1120</f>
        <v>7599000000</v>
      </c>
      <c r="F1120" s="14">
        <f>Data!G1120</f>
        <v>74654000000</v>
      </c>
      <c r="G1120" s="12">
        <f t="shared" si="17"/>
        <v>0.10178958930532858</v>
      </c>
    </row>
    <row r="1121" spans="2:7" ht="15" customHeight="1" x14ac:dyDescent="0.3">
      <c r="C1121" s="1"/>
      <c r="D1121" s="8">
        <v>2022</v>
      </c>
      <c r="E1121" s="14">
        <f>Data!I1121</f>
        <v>6866000000</v>
      </c>
      <c r="F1121" s="14">
        <f>Data!G1121</f>
        <v>73360000000</v>
      </c>
      <c r="G1121" s="12">
        <f t="shared" si="17"/>
        <v>9.3593238822246461E-2</v>
      </c>
    </row>
    <row r="1122" spans="2:7" ht="15" customHeight="1" x14ac:dyDescent="0.3">
      <c r="C1122" s="1"/>
      <c r="D1122" s="8">
        <v>2023</v>
      </c>
      <c r="E1122" s="14">
        <f>Data!I1122</f>
        <v>8163000000</v>
      </c>
      <c r="F1122" s="14">
        <f>Data!G1122</f>
        <v>74204000000</v>
      </c>
      <c r="G1122" s="12">
        <f t="shared" si="17"/>
        <v>0.11000754676297773</v>
      </c>
    </row>
    <row r="1123" spans="2:7" ht="15" customHeight="1" x14ac:dyDescent="0.3">
      <c r="C1123" s="1"/>
      <c r="D1123" s="8">
        <v>2024</v>
      </c>
      <c r="E1123" s="14">
        <f>Data!I1123</f>
        <v>2673000000</v>
      </c>
      <c r="F1123" s="14">
        <f>Data!G1123</f>
        <v>67569000000</v>
      </c>
      <c r="G1123" s="12">
        <f t="shared" si="17"/>
        <v>3.9559561337299647E-2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Data!I1124</f>
        <v>0</v>
      </c>
      <c r="F1124" s="14">
        <f>Data!G1124</f>
        <v>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Data!I1125</f>
        <v>138772000000</v>
      </c>
      <c r="F1125" s="14">
        <f>Data!G1125</f>
        <v>261120000000</v>
      </c>
      <c r="G1125" s="12">
        <f t="shared" si="17"/>
        <v>0.53144914215686279</v>
      </c>
    </row>
    <row r="1126" spans="2:7" ht="15" customHeight="1" x14ac:dyDescent="0.3">
      <c r="C1126" s="2"/>
      <c r="D1126" s="8">
        <v>2016</v>
      </c>
      <c r="E1126" s="14">
        <f>Data!I1126</f>
        <v>67978000000</v>
      </c>
      <c r="F1126" s="14">
        <f>Data!G1126</f>
        <v>204210000000</v>
      </c>
      <c r="G1126" s="12">
        <f t="shared" si="17"/>
        <v>0.33288281670829051</v>
      </c>
    </row>
    <row r="1127" spans="2:7" ht="15" customHeight="1" x14ac:dyDescent="0.3">
      <c r="C1127" s="2"/>
      <c r="D1127" s="8">
        <v>2017</v>
      </c>
      <c r="E1127" s="14">
        <f>Data!I1127</f>
        <v>70561000000</v>
      </c>
      <c r="F1127" s="14">
        <f>Data!G1127</f>
        <v>213492000000</v>
      </c>
      <c r="G1127" s="12">
        <f t="shared" si="17"/>
        <v>0.33050887152680192</v>
      </c>
    </row>
    <row r="1128" spans="2:7" ht="15" customHeight="1" x14ac:dyDescent="0.3">
      <c r="C1128" s="2"/>
      <c r="D1128" s="8">
        <v>2018</v>
      </c>
      <c r="E1128" s="14">
        <f>Data!I1129</f>
        <v>80937000000</v>
      </c>
      <c r="F1128" s="14">
        <f>Data!G1128</f>
        <v>227819000000</v>
      </c>
      <c r="G1128" s="12">
        <f t="shared" si="17"/>
        <v>0.35526887573029464</v>
      </c>
    </row>
    <row r="1129" spans="2:7" ht="15" customHeight="1" x14ac:dyDescent="0.3">
      <c r="C1129" s="2"/>
      <c r="D1129" s="8">
        <v>2019</v>
      </c>
      <c r="E1129" s="14" t="e">
        <f>Data!#REF!</f>
        <v>#REF!</v>
      </c>
      <c r="F1129" s="14">
        <f>Data!G1129</f>
        <v>238823000000</v>
      </c>
      <c r="G1129" s="12">
        <f t="shared" si="17"/>
        <v>0</v>
      </c>
    </row>
    <row r="1130" spans="2:7" ht="15" customHeight="1" x14ac:dyDescent="0.3">
      <c r="C1130" s="2"/>
      <c r="D1130" s="8">
        <v>2020</v>
      </c>
      <c r="E1130" s="14">
        <f>Data!I1130</f>
        <v>119908000000</v>
      </c>
      <c r="F1130" s="14">
        <f>Data!G1130</f>
        <v>298910000000</v>
      </c>
      <c r="G1130" s="12">
        <f t="shared" si="17"/>
        <v>0.40115084808136231</v>
      </c>
    </row>
    <row r="1131" spans="2:7" ht="15" customHeight="1" x14ac:dyDescent="0.3">
      <c r="C1131" s="2"/>
      <c r="D1131" s="8">
        <v>2021</v>
      </c>
      <c r="E1131" s="14">
        <f>Data!I1131</f>
        <v>47109000000</v>
      </c>
      <c r="F1131" s="14">
        <f>Data!G1131</f>
        <v>348144000000</v>
      </c>
      <c r="G1131" s="12">
        <f t="shared" si="17"/>
        <v>0.13531469736660692</v>
      </c>
    </row>
    <row r="1132" spans="2:7" ht="15" customHeight="1" x14ac:dyDescent="0.3">
      <c r="C1132" s="2"/>
      <c r="D1132" s="8">
        <v>2022</v>
      </c>
      <c r="E1132" s="14">
        <f>Data!I1132</f>
        <v>65212000000</v>
      </c>
      <c r="F1132" s="14">
        <f>Data!G1132</f>
        <v>362411000000</v>
      </c>
      <c r="G1132" s="12">
        <f t="shared" si="17"/>
        <v>0.17993935062677457</v>
      </c>
    </row>
    <row r="1133" spans="2:7" ht="15" customHeight="1" x14ac:dyDescent="0.3">
      <c r="C1133" s="2"/>
      <c r="D1133" s="8">
        <v>2023</v>
      </c>
      <c r="E1133" s="14">
        <f>Data!I1133</f>
        <v>219718000000</v>
      </c>
      <c r="F1133" s="14">
        <f>Data!G1133</f>
        <v>369134000000</v>
      </c>
      <c r="G1133" s="12">
        <f t="shared" si="17"/>
        <v>0.59522558203795917</v>
      </c>
    </row>
    <row r="1134" spans="2:7" ht="15" customHeight="1" x14ac:dyDescent="0.3">
      <c r="C1134" s="2"/>
      <c r="D1134" s="8">
        <v>2024</v>
      </c>
      <c r="E1134" s="14">
        <f>Data!I1134</f>
        <v>311972000000</v>
      </c>
      <c r="F1134" s="14">
        <f>Data!G1134</f>
        <v>574269000000</v>
      </c>
      <c r="G1134" s="12">
        <f t="shared" si="17"/>
        <v>0.54325063689664599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Data!I1135</f>
        <v>0</v>
      </c>
      <c r="F1135" s="14">
        <f>Data!G1135</f>
        <v>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Data!I1136</f>
        <v>440503000000</v>
      </c>
      <c r="F1136" s="14">
        <f>Data!G1136</f>
        <v>580123000000</v>
      </c>
      <c r="G1136" s="12">
        <f t="shared" si="17"/>
        <v>0.75932690136402103</v>
      </c>
    </row>
    <row r="1137" spans="2:7" ht="15" customHeight="1" x14ac:dyDescent="0.3">
      <c r="C1137" s="2"/>
      <c r="D1137" s="8">
        <v>2016</v>
      </c>
      <c r="E1137" s="14">
        <f>Data!I1137</f>
        <v>459993000000</v>
      </c>
      <c r="F1137" s="14">
        <f>Data!G1137</f>
        <v>580699000000</v>
      </c>
      <c r="G1137" s="12">
        <f t="shared" si="17"/>
        <v>0.79213671798987084</v>
      </c>
    </row>
    <row r="1138" spans="2:7" ht="15" customHeight="1" x14ac:dyDescent="0.3">
      <c r="C1138" s="2"/>
      <c r="D1138" s="8">
        <v>2017</v>
      </c>
      <c r="E1138" s="14">
        <f>Data!I1138</f>
        <v>442666000000</v>
      </c>
      <c r="F1138" s="14">
        <f>Data!G1138</f>
        <v>582719000000</v>
      </c>
      <c r="G1138" s="12">
        <f t="shared" si="17"/>
        <v>0.75965602631800233</v>
      </c>
    </row>
    <row r="1139" spans="2:7" ht="15" customHeight="1" x14ac:dyDescent="0.3">
      <c r="C1139" s="2"/>
      <c r="D1139" s="8">
        <v>2018</v>
      </c>
      <c r="E1139" s="14">
        <f>Data!I1139</f>
        <v>448846000000</v>
      </c>
      <c r="F1139" s="14">
        <f>Data!G1139</f>
        <v>584313000000</v>
      </c>
      <c r="G1139" s="12">
        <f t="shared" si="17"/>
        <v>0.76816021550093871</v>
      </c>
    </row>
    <row r="1140" spans="2:7" ht="15" customHeight="1" x14ac:dyDescent="0.3">
      <c r="C1140" s="2"/>
      <c r="D1140" s="8">
        <v>2019</v>
      </c>
      <c r="E1140" s="14">
        <f>Data!I1140</f>
        <v>346613000000</v>
      </c>
      <c r="F1140" s="14">
        <f>Data!G1140</f>
        <v>492869000000</v>
      </c>
      <c r="G1140" s="12">
        <f t="shared" si="17"/>
        <v>0.7032558347147011</v>
      </c>
    </row>
    <row r="1141" spans="2:7" ht="15" customHeight="1" x14ac:dyDescent="0.3">
      <c r="C1141" s="2"/>
      <c r="D1141" s="8">
        <v>2020</v>
      </c>
      <c r="E1141" s="14">
        <f>Data!I1141</f>
        <v>190572000000</v>
      </c>
      <c r="F1141" s="14">
        <f>Data!G1141</f>
        <v>330001000000</v>
      </c>
      <c r="G1141" s="12">
        <f t="shared" si="17"/>
        <v>0.5774891591237602</v>
      </c>
    </row>
    <row r="1142" spans="2:7" ht="15" customHeight="1" x14ac:dyDescent="0.3">
      <c r="C1142" s="2"/>
      <c r="D1142" s="8">
        <v>2021</v>
      </c>
      <c r="E1142" s="14">
        <f>Data!I1142</f>
        <v>162850000000</v>
      </c>
      <c r="F1142" s="14">
        <f>Data!G1142</f>
        <v>321358000000</v>
      </c>
      <c r="G1142" s="12">
        <f t="shared" si="17"/>
        <v>0.50675570547489091</v>
      </c>
    </row>
    <row r="1143" spans="2:7" ht="15" customHeight="1" x14ac:dyDescent="0.3">
      <c r="C1143" s="2"/>
      <c r="D1143" s="8">
        <v>2022</v>
      </c>
      <c r="E1143" s="14">
        <f>Data!I1143</f>
        <v>227485000000</v>
      </c>
      <c r="F1143" s="14">
        <f>Data!G1143</f>
        <v>390637000000</v>
      </c>
      <c r="G1143" s="12">
        <f t="shared" si="17"/>
        <v>0.58234371040121646</v>
      </c>
    </row>
    <row r="1144" spans="2:7" ht="15" customHeight="1" x14ac:dyDescent="0.3">
      <c r="C1144" s="2"/>
      <c r="D1144" s="8">
        <v>2023</v>
      </c>
      <c r="E1144" s="14">
        <f>Data!I1144</f>
        <v>304860000000</v>
      </c>
      <c r="F1144" s="14">
        <f>Data!G1144</f>
        <v>495889000000</v>
      </c>
      <c r="G1144" s="12">
        <f t="shared" si="17"/>
        <v>0.61477467739756275</v>
      </c>
    </row>
    <row r="1145" spans="2:7" ht="15" customHeight="1" x14ac:dyDescent="0.3">
      <c r="C1145" s="2"/>
      <c r="D1145" s="8">
        <v>2024</v>
      </c>
      <c r="E1145" s="14">
        <f>Data!I1145</f>
        <v>388832000000</v>
      </c>
      <c r="F1145" s="14">
        <f>Data!G1145</f>
        <v>637359000000</v>
      </c>
      <c r="G1145" s="12">
        <f t="shared" si="17"/>
        <v>0.61006748159200697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Data!I1146</f>
        <v>0</v>
      </c>
      <c r="F1146" s="14">
        <f>Data!G1146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Data!I1147</f>
        <v>0</v>
      </c>
      <c r="F1147" s="14">
        <f>Data!G1147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Data!I1148</f>
        <v>70292000000</v>
      </c>
      <c r="F1148" s="14">
        <f>Data!G1148</f>
        <v>133494000000</v>
      </c>
      <c r="G1148" s="12">
        <f t="shared" si="17"/>
        <v>0.52655550062175083</v>
      </c>
    </row>
    <row r="1149" spans="2:7" ht="15" customHeight="1" x14ac:dyDescent="0.3">
      <c r="C1149" s="1"/>
      <c r="D1149" s="8">
        <v>2017</v>
      </c>
      <c r="E1149" s="14">
        <f>Data!I1149</f>
        <v>44709000000</v>
      </c>
      <c r="F1149" s="14">
        <f>Data!G1149</f>
        <v>81636000000</v>
      </c>
      <c r="G1149" s="12">
        <f t="shared" si="17"/>
        <v>0.54766279582537114</v>
      </c>
    </row>
    <row r="1150" spans="2:7" ht="15" customHeight="1" x14ac:dyDescent="0.3">
      <c r="C1150" s="1"/>
      <c r="D1150" s="8">
        <v>2018</v>
      </c>
      <c r="E1150" s="14">
        <f>Data!I1150</f>
        <v>41119000000</v>
      </c>
      <c r="F1150" s="14">
        <f>Data!G1150</f>
        <v>130776000000</v>
      </c>
      <c r="G1150" s="12">
        <f t="shared" si="17"/>
        <v>0.31442313574356151</v>
      </c>
    </row>
    <row r="1151" spans="2:7" ht="15" customHeight="1" x14ac:dyDescent="0.3">
      <c r="C1151" s="1"/>
      <c r="D1151" s="8">
        <v>2019</v>
      </c>
      <c r="E1151" s="14">
        <f>Data!I1151</f>
        <v>57485000000</v>
      </c>
      <c r="F1151" s="14">
        <f>Data!G1151</f>
        <v>158605000000</v>
      </c>
      <c r="G1151" s="12">
        <f t="shared" si="17"/>
        <v>0.36244128495318556</v>
      </c>
    </row>
    <row r="1152" spans="2:7" ht="15" customHeight="1" x14ac:dyDescent="0.3">
      <c r="C1152" s="1"/>
      <c r="D1152" s="8">
        <v>2020</v>
      </c>
      <c r="E1152" s="14">
        <f>Data!I1152</f>
        <v>69115000000</v>
      </c>
      <c r="F1152" s="14">
        <f>Data!G1152</f>
        <v>189052000000</v>
      </c>
      <c r="G1152" s="12">
        <f t="shared" si="17"/>
        <v>0.36558724583712415</v>
      </c>
    </row>
    <row r="1153" spans="2:7" ht="15" customHeight="1" x14ac:dyDescent="0.3">
      <c r="C1153" s="1"/>
      <c r="D1153" s="8">
        <v>2021</v>
      </c>
      <c r="E1153" s="14">
        <f>Data!I1153</f>
        <v>103695000000</v>
      </c>
      <c r="F1153" s="14">
        <f>Data!G1153</f>
        <v>214266000000</v>
      </c>
      <c r="G1153" s="12">
        <f t="shared" si="17"/>
        <v>0.48395452381619108</v>
      </c>
    </row>
    <row r="1154" spans="2:7" ht="15" customHeight="1" x14ac:dyDescent="0.3">
      <c r="C1154" s="1"/>
      <c r="D1154" s="8">
        <v>2022</v>
      </c>
      <c r="E1154" s="14">
        <f>Data!I1154</f>
        <v>184450000000</v>
      </c>
      <c r="F1154" s="14">
        <f>Data!G1154</f>
        <v>294328000000</v>
      </c>
      <c r="G1154" s="12">
        <f t="shared" si="17"/>
        <v>0.6266817971786578</v>
      </c>
    </row>
    <row r="1155" spans="2:7" ht="15" customHeight="1" x14ac:dyDescent="0.3">
      <c r="C1155" s="1"/>
      <c r="D1155" s="8">
        <v>2023</v>
      </c>
      <c r="E1155" s="14">
        <f>Data!I1155</f>
        <v>258818000000</v>
      </c>
      <c r="F1155" s="14">
        <f>Data!G1155</f>
        <v>360413000000</v>
      </c>
      <c r="G1155" s="12">
        <f t="shared" ref="G1155:G1218" si="18">IFERROR(E1155/F1155,0)</f>
        <v>0.71811505134387499</v>
      </c>
    </row>
    <row r="1156" spans="2:7" ht="15" customHeight="1" x14ac:dyDescent="0.3">
      <c r="C1156" s="1"/>
      <c r="D1156" s="8">
        <v>2024</v>
      </c>
      <c r="E1156" s="14">
        <f>Data!I1156</f>
        <v>230991000000</v>
      </c>
      <c r="F1156" s="14">
        <f>Data!G1156</f>
        <v>365145000000</v>
      </c>
      <c r="G1156" s="12">
        <f t="shared" si="18"/>
        <v>0.63260074764819452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Data!I1157</f>
        <v>0</v>
      </c>
      <c r="F1157" s="14">
        <f>Data!G1157</f>
        <v>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Data!I1158</f>
        <v>2133784000000</v>
      </c>
      <c r="F1158" s="14">
        <f>Data!G1158</f>
        <v>2895488000000</v>
      </c>
      <c r="G1158" s="12">
        <f t="shared" si="18"/>
        <v>0.73693415410459306</v>
      </c>
    </row>
    <row r="1159" spans="2:7" ht="15" customHeight="1" x14ac:dyDescent="0.3">
      <c r="C1159" s="2"/>
      <c r="D1159" s="8">
        <v>2016</v>
      </c>
      <c r="E1159" s="14">
        <f>Data!I1159</f>
        <v>1848075000000</v>
      </c>
      <c r="F1159" s="14">
        <f>Data!G1159</f>
        <v>2337953000000</v>
      </c>
      <c r="G1159" s="12">
        <f t="shared" si="18"/>
        <v>0.79046713086191212</v>
      </c>
    </row>
    <row r="1160" spans="2:7" ht="15" customHeight="1" x14ac:dyDescent="0.3">
      <c r="C1160" s="2"/>
      <c r="D1160" s="8">
        <v>2017</v>
      </c>
      <c r="E1160" s="14">
        <f>Data!I1160</f>
        <v>1554785000000</v>
      </c>
      <c r="F1160" s="14">
        <f>Data!G1160</f>
        <v>2337953000000</v>
      </c>
      <c r="G1160" s="12">
        <f t="shared" si="18"/>
        <v>0.66501978440114062</v>
      </c>
    </row>
    <row r="1161" spans="2:7" ht="15" customHeight="1" x14ac:dyDescent="0.3">
      <c r="C1161" s="2"/>
      <c r="D1161" s="8">
        <v>2018</v>
      </c>
      <c r="E1161" s="14">
        <f>Data!I1161</f>
        <v>2095692000000</v>
      </c>
      <c r="F1161" s="14">
        <f>Data!G1161</f>
        <v>2952776000000</v>
      </c>
      <c r="G1161" s="12">
        <f t="shared" si="18"/>
        <v>0.70973619400862109</v>
      </c>
    </row>
    <row r="1162" spans="2:7" ht="15" customHeight="1" x14ac:dyDescent="0.3">
      <c r="C1162" s="2"/>
      <c r="D1162" s="8">
        <v>2019</v>
      </c>
      <c r="E1162" s="14">
        <f>Data!I1162</f>
        <v>2429395000000</v>
      </c>
      <c r="F1162" s="14">
        <f>Data!G1162</f>
        <v>3421606000000</v>
      </c>
      <c r="G1162" s="12">
        <f t="shared" si="18"/>
        <v>0.71001599833528461</v>
      </c>
    </row>
    <row r="1163" spans="2:7" ht="15" customHeight="1" x14ac:dyDescent="0.3">
      <c r="C1163" s="2"/>
      <c r="D1163" s="8">
        <v>2020</v>
      </c>
      <c r="E1163" s="14">
        <f>Data!I1163</f>
        <v>2769682000000</v>
      </c>
      <c r="F1163" s="14">
        <f>Data!G1163</f>
        <v>3929286000000</v>
      </c>
      <c r="G1163" s="12">
        <f t="shared" si="18"/>
        <v>0.70488175205368098</v>
      </c>
    </row>
    <row r="1164" spans="2:7" ht="15" customHeight="1" x14ac:dyDescent="0.3">
      <c r="C1164" s="2"/>
      <c r="D1164" s="8">
        <v>2021</v>
      </c>
      <c r="E1164" s="14">
        <f>Data!I1164</f>
        <v>3040461000000</v>
      </c>
      <c r="F1164" s="14">
        <f>Data!G1164</f>
        <v>4358974000000</v>
      </c>
      <c r="G1164" s="12">
        <f t="shared" si="18"/>
        <v>0.69751758097203609</v>
      </c>
    </row>
    <row r="1165" spans="2:7" ht="15" customHeight="1" x14ac:dyDescent="0.3">
      <c r="C1165" s="2"/>
      <c r="D1165" s="8">
        <v>2022</v>
      </c>
      <c r="E1165" s="14">
        <f>Data!I1165</f>
        <v>3182042000000</v>
      </c>
      <c r="F1165" s="14">
        <f>Data!G1165</f>
        <v>4638732000000</v>
      </c>
      <c r="G1165" s="12">
        <f t="shared" si="18"/>
        <v>0.68597237348482298</v>
      </c>
    </row>
    <row r="1166" spans="2:7" ht="15" customHeight="1" x14ac:dyDescent="0.3">
      <c r="C1166" s="2"/>
      <c r="D1166" s="8">
        <v>2023</v>
      </c>
      <c r="E1166" s="14">
        <f>Data!I1166</f>
        <v>4512000000000</v>
      </c>
      <c r="F1166" s="14">
        <f>Data!G1166</f>
        <v>5986249000000</v>
      </c>
      <c r="G1166" s="12">
        <f t="shared" si="18"/>
        <v>0.75372741761994866</v>
      </c>
    </row>
    <row r="1167" spans="2:7" ht="15" customHeight="1" x14ac:dyDescent="0.3">
      <c r="C1167" s="2"/>
      <c r="D1167" s="8">
        <v>2024</v>
      </c>
      <c r="E1167" s="14">
        <f>Data!I1167</f>
        <v>3795604000000</v>
      </c>
      <c r="F1167" s="14">
        <f>Data!G1167</f>
        <v>5352761000000</v>
      </c>
      <c r="G1167" s="12">
        <f t="shared" si="18"/>
        <v>0.70909274671519984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Data!I1168</f>
        <v>0</v>
      </c>
      <c r="F1168" s="14">
        <f>Data!G1168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Data!I1169</f>
        <v>0</v>
      </c>
      <c r="F1169" s="14">
        <f>Data!G1169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Data!I1170</f>
        <v>0</v>
      </c>
      <c r="F1170" s="14">
        <f>Data!G1170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Data!I1171</f>
        <v>0</v>
      </c>
      <c r="F1171" s="14">
        <f>Data!G1171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Data!I1172</f>
        <v>0</v>
      </c>
      <c r="F1172" s="14">
        <f>Data!G1172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Data!I1173</f>
        <v>228814000000</v>
      </c>
      <c r="F1173" s="14">
        <f>Data!G1173</f>
        <v>421963000000</v>
      </c>
      <c r="G1173" s="12">
        <f t="shared" si="18"/>
        <v>0.54226081433680207</v>
      </c>
    </row>
    <row r="1174" spans="2:7" ht="15" customHeight="1" x14ac:dyDescent="0.3">
      <c r="C1174" s="2"/>
      <c r="D1174" s="8">
        <v>2020</v>
      </c>
      <c r="E1174" s="14">
        <f>Data!I1174</f>
        <v>366142000000</v>
      </c>
      <c r="F1174" s="14">
        <f>Data!G1174</f>
        <v>574266000000</v>
      </c>
      <c r="G1174" s="12">
        <f t="shared" si="18"/>
        <v>0.63758258368073328</v>
      </c>
    </row>
    <row r="1175" spans="2:7" ht="15" customHeight="1" x14ac:dyDescent="0.3">
      <c r="C1175" s="2"/>
      <c r="D1175" s="8">
        <v>2021</v>
      </c>
      <c r="E1175" s="14">
        <f>Data!I1175</f>
        <v>517265000000</v>
      </c>
      <c r="F1175" s="14">
        <f>Data!G1175</f>
        <v>744732000000</v>
      </c>
      <c r="G1175" s="12">
        <f t="shared" si="18"/>
        <v>0.69456529328671257</v>
      </c>
    </row>
    <row r="1176" spans="2:7" ht="15" customHeight="1" x14ac:dyDescent="0.3">
      <c r="C1176" s="2"/>
      <c r="D1176" s="8">
        <v>2022</v>
      </c>
      <c r="E1176" s="14">
        <f>Data!I1176</f>
        <v>667416000000</v>
      </c>
      <c r="F1176" s="14">
        <f>Data!G1176</f>
        <v>918561000000</v>
      </c>
      <c r="G1176" s="12">
        <f t="shared" si="18"/>
        <v>0.72658865333929923</v>
      </c>
    </row>
    <row r="1177" spans="2:7" ht="15" customHeight="1" x14ac:dyDescent="0.3">
      <c r="C1177" s="2"/>
      <c r="D1177" s="8">
        <v>2023</v>
      </c>
      <c r="E1177" s="14">
        <f>Data!I1177</f>
        <v>769319000000</v>
      </c>
      <c r="F1177" s="14">
        <f>Data!G1177</f>
        <v>1085789000000</v>
      </c>
      <c r="G1177" s="12">
        <f t="shared" si="18"/>
        <v>0.70853453111055642</v>
      </c>
    </row>
    <row r="1178" spans="2:7" ht="15" customHeight="1" x14ac:dyDescent="0.3">
      <c r="C1178" s="2"/>
      <c r="D1178" s="8">
        <v>2024</v>
      </c>
      <c r="E1178" s="14">
        <f>Data!I1178</f>
        <v>888613000000</v>
      </c>
      <c r="F1178" s="14">
        <f>Data!G1178</f>
        <v>1280162000000</v>
      </c>
      <c r="G1178" s="12">
        <f t="shared" si="18"/>
        <v>0.6941410540228502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Data!I1179</f>
        <v>0</v>
      </c>
      <c r="F1179" s="14">
        <f>Data!G1179</f>
        <v>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Data!I1180</f>
        <v>928826000000</v>
      </c>
      <c r="F1180" s="14">
        <f>Data!G1180</f>
        <v>1342781000000</v>
      </c>
      <c r="G1180" s="12">
        <f t="shared" si="18"/>
        <v>0.6917181580615156</v>
      </c>
    </row>
    <row r="1181" spans="2:7" ht="15" customHeight="1" x14ac:dyDescent="0.3">
      <c r="C1181" s="1"/>
      <c r="D1181" s="8">
        <v>2016</v>
      </c>
      <c r="E1181" s="14">
        <f>Data!I1181</f>
        <v>892922000000</v>
      </c>
      <c r="F1181" s="14">
        <f>Data!G1181</f>
        <v>1316613000000</v>
      </c>
      <c r="G1181" s="12">
        <f t="shared" si="18"/>
        <v>0.67819625053071786</v>
      </c>
    </row>
    <row r="1182" spans="2:7" ht="15" customHeight="1" x14ac:dyDescent="0.3">
      <c r="C1182" s="1"/>
      <c r="D1182" s="8">
        <v>2017</v>
      </c>
      <c r="E1182" s="14">
        <f>Data!I1182</f>
        <v>973737000000</v>
      </c>
      <c r="F1182" s="14">
        <f>Data!G1182</f>
        <v>1393354000000</v>
      </c>
      <c r="G1182" s="12">
        <f t="shared" si="18"/>
        <v>0.69884394059226873</v>
      </c>
    </row>
    <row r="1183" spans="2:7" ht="15" customHeight="1" x14ac:dyDescent="0.3">
      <c r="C1183" s="1"/>
      <c r="D1183" s="8">
        <v>2018</v>
      </c>
      <c r="E1183" s="14">
        <f>Data!I1183</f>
        <v>1328090000000</v>
      </c>
      <c r="F1183" s="14">
        <f>Data!G1183</f>
        <v>1768434000000</v>
      </c>
      <c r="G1183" s="12">
        <f t="shared" si="18"/>
        <v>0.75099777543295365</v>
      </c>
    </row>
    <row r="1184" spans="2:7" ht="15" customHeight="1" x14ac:dyDescent="0.3">
      <c r="C1184" s="1"/>
      <c r="D1184" s="8">
        <v>2019</v>
      </c>
      <c r="E1184" s="14">
        <f>Data!I1184</f>
        <v>1233545000000</v>
      </c>
      <c r="F1184" s="14">
        <f>Data!G1184</f>
        <v>1704845000000</v>
      </c>
      <c r="G1184" s="12">
        <f t="shared" si="18"/>
        <v>0.72355258102642761</v>
      </c>
    </row>
    <row r="1185" spans="2:7" ht="15" customHeight="1" x14ac:dyDescent="0.3">
      <c r="C1185" s="1"/>
      <c r="D1185" s="8">
        <v>2020</v>
      </c>
      <c r="E1185" s="14">
        <f>Data!I1185</f>
        <v>1381000000000</v>
      </c>
      <c r="F1185" s="14">
        <f>Data!G1185</f>
        <v>1867407000000</v>
      </c>
      <c r="G1185" s="12">
        <f t="shared" si="18"/>
        <v>0.73952812643414101</v>
      </c>
    </row>
    <row r="1186" spans="2:7" ht="15" customHeight="1" x14ac:dyDescent="0.3">
      <c r="C1186" s="1"/>
      <c r="D1186" s="8">
        <v>2021</v>
      </c>
      <c r="E1186" s="14">
        <f>Data!I1186</f>
        <v>1809087000000</v>
      </c>
      <c r="F1186" s="14">
        <f>Data!G1186</f>
        <v>2331114000000</v>
      </c>
      <c r="G1186" s="12">
        <f t="shared" si="18"/>
        <v>0.77606114501478696</v>
      </c>
    </row>
    <row r="1187" spans="2:7" ht="15" customHeight="1" x14ac:dyDescent="0.3">
      <c r="C1187" s="1"/>
      <c r="D1187" s="8">
        <v>2022</v>
      </c>
      <c r="E1187" s="14">
        <f>Data!I1187</f>
        <v>2235549000000</v>
      </c>
      <c r="F1187" s="14">
        <f>Data!G1187</f>
        <v>2797976000000</v>
      </c>
      <c r="G1187" s="12">
        <f t="shared" si="18"/>
        <v>0.79898791126156909</v>
      </c>
    </row>
    <row r="1188" spans="2:7" ht="15" customHeight="1" x14ac:dyDescent="0.3">
      <c r="C1188" s="1"/>
      <c r="D1188" s="8">
        <v>2023</v>
      </c>
      <c r="E1188" s="14">
        <f>Data!I1188</f>
        <v>2862552000000</v>
      </c>
      <c r="F1188" s="14">
        <f>Data!G1188</f>
        <v>3492067000000</v>
      </c>
      <c r="G1188" s="12">
        <f t="shared" si="18"/>
        <v>0.81972997654397806</v>
      </c>
    </row>
    <row r="1189" spans="2:7" ht="15" customHeight="1" x14ac:dyDescent="0.3">
      <c r="C1189" s="1"/>
      <c r="D1189" s="8">
        <v>2024</v>
      </c>
      <c r="E1189" s="14">
        <f>Data!I1189</f>
        <v>3205418000000</v>
      </c>
      <c r="F1189" s="14">
        <f>Data!G1189</f>
        <v>3901353000000</v>
      </c>
      <c r="G1189" s="12">
        <f t="shared" si="18"/>
        <v>0.82161701337971726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Data!I1190</f>
        <v>0</v>
      </c>
      <c r="F1190" s="14">
        <f>Data!G1190</f>
        <v>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Data!I1202</f>
        <v>577397000000</v>
      </c>
      <c r="F1191" s="14">
        <f>Data!G1202</f>
        <v>898627000000</v>
      </c>
      <c r="G1191" s="12">
        <f t="shared" si="18"/>
        <v>0.64253244115745467</v>
      </c>
    </row>
    <row r="1192" spans="2:7" ht="15" customHeight="1" x14ac:dyDescent="0.3">
      <c r="C1192" s="2"/>
      <c r="D1192" s="8">
        <v>2016</v>
      </c>
      <c r="E1192" s="14">
        <f>Data!I1203</f>
        <v>760443000000</v>
      </c>
      <c r="F1192" s="14">
        <f>Data!G1203</f>
        <v>1133794000000</v>
      </c>
      <c r="G1192" s="12">
        <f t="shared" si="18"/>
        <v>0.6707064951834284</v>
      </c>
    </row>
    <row r="1193" spans="2:7" ht="15" customHeight="1" x14ac:dyDescent="0.3">
      <c r="C1193" s="2"/>
      <c r="D1193" s="8">
        <v>2017</v>
      </c>
      <c r="E1193" s="14">
        <f>Data!I1193</f>
        <v>4449194000000</v>
      </c>
      <c r="F1193" s="14">
        <f>Data!G1193</f>
        <v>8165389000000</v>
      </c>
      <c r="G1193" s="12">
        <f t="shared" si="18"/>
        <v>0.5448845119320096</v>
      </c>
    </row>
    <row r="1194" spans="2:7" ht="15" customHeight="1" x14ac:dyDescent="0.3">
      <c r="C1194" s="2"/>
      <c r="D1194" s="8">
        <v>2018</v>
      </c>
      <c r="E1194" s="14">
        <f>Data!I1194</f>
        <v>5785103000000</v>
      </c>
      <c r="F1194" s="14">
        <f>Data!G1194</f>
        <v>10452506000000</v>
      </c>
      <c r="G1194" s="12">
        <f t="shared" si="18"/>
        <v>0.55346564737681092</v>
      </c>
    </row>
    <row r="1195" spans="2:7" ht="15" customHeight="1" x14ac:dyDescent="0.3">
      <c r="C1195" s="2"/>
      <c r="D1195" s="8">
        <v>2019</v>
      </c>
      <c r="E1195" s="14">
        <f>Data!I1195</f>
        <v>7823887000000</v>
      </c>
      <c r="F1195" s="14">
        <f>Data!G1195</f>
        <v>12848766000000</v>
      </c>
      <c r="G1195" s="12">
        <f t="shared" si="18"/>
        <v>0.60892127695375575</v>
      </c>
    </row>
    <row r="1196" spans="2:7" ht="15" customHeight="1" x14ac:dyDescent="0.3">
      <c r="C1196" s="2"/>
      <c r="D1196" s="8">
        <v>2020</v>
      </c>
      <c r="E1196" s="14">
        <f>Data!I1196</f>
        <v>7147757000000</v>
      </c>
      <c r="F1196" s="14">
        <f>Data!G1196</f>
        <v>12366469000000</v>
      </c>
      <c r="G1196" s="12">
        <f t="shared" si="18"/>
        <v>0.57799497981194148</v>
      </c>
    </row>
    <row r="1197" spans="2:7" ht="15" customHeight="1" x14ac:dyDescent="0.3">
      <c r="C1197" s="2"/>
      <c r="D1197" s="8">
        <v>2021</v>
      </c>
      <c r="E1197" s="14">
        <f>Data!I1197</f>
        <v>7497879000000</v>
      </c>
      <c r="F1197" s="14">
        <f>Data!G1197</f>
        <v>12838271000000</v>
      </c>
      <c r="G1197" s="12">
        <f t="shared" si="18"/>
        <v>0.58402560594023911</v>
      </c>
    </row>
    <row r="1198" spans="2:7" ht="15" customHeight="1" x14ac:dyDescent="0.3">
      <c r="C1198" s="2"/>
      <c r="D1198" s="8">
        <v>2022</v>
      </c>
      <c r="E1198" s="14">
        <f>Data!I1198</f>
        <v>7754869000000</v>
      </c>
      <c r="F1198" s="14">
        <f>Data!G1198</f>
        <v>13358610000000</v>
      </c>
      <c r="G1198" s="12">
        <f t="shared" si="18"/>
        <v>0.58051466432510568</v>
      </c>
    </row>
    <row r="1199" spans="2:7" ht="15" customHeight="1" x14ac:dyDescent="0.3">
      <c r="C1199" s="2"/>
      <c r="D1199" s="8">
        <v>2023</v>
      </c>
      <c r="E1199" s="14">
        <f>Data!I1199</f>
        <v>9351637000000</v>
      </c>
      <c r="F1199" s="14">
        <f>Data!G1199</f>
        <v>16003743000000</v>
      </c>
      <c r="G1199" s="12">
        <f t="shared" si="18"/>
        <v>0.58434061331777198</v>
      </c>
    </row>
    <row r="1200" spans="2:7" ht="15" customHeight="1" x14ac:dyDescent="0.3">
      <c r="C1200" s="2"/>
      <c r="D1200" s="8">
        <v>2024</v>
      </c>
      <c r="E1200" s="14">
        <f>Data!I1200</f>
        <v>9993200000000</v>
      </c>
      <c r="F1200" s="14">
        <f>Data!G1200</f>
        <v>15761233000000</v>
      </c>
      <c r="G1200" s="12">
        <f t="shared" si="18"/>
        <v>0.63403668989602524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Data!I1201</f>
        <v>0</v>
      </c>
      <c r="F1201" s="14">
        <f>Data!G1201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 t="e">
        <f>Data!#REF!</f>
        <v>#REF!</v>
      </c>
      <c r="F1202" s="14" t="e">
        <f>Data!#REF!</f>
        <v>#REF!</v>
      </c>
      <c r="G1202" s="12">
        <f t="shared" si="18"/>
        <v>0</v>
      </c>
    </row>
    <row r="1203" spans="2:7" ht="15" customHeight="1" x14ac:dyDescent="0.3">
      <c r="C1203" s="2"/>
      <c r="D1203" s="8">
        <v>2016</v>
      </c>
      <c r="E1203" s="14" t="e">
        <f>Data!#REF!</f>
        <v>#REF!</v>
      </c>
      <c r="F1203" s="14" t="e">
        <f>Data!#REF!</f>
        <v>#REF!</v>
      </c>
      <c r="G1203" s="12">
        <f t="shared" si="18"/>
        <v>0</v>
      </c>
    </row>
    <row r="1204" spans="2:7" ht="15" customHeight="1" x14ac:dyDescent="0.3">
      <c r="C1204" s="2"/>
      <c r="D1204" s="8">
        <v>2017</v>
      </c>
      <c r="E1204" s="14">
        <f>Data!I1204</f>
        <v>985170000000</v>
      </c>
      <c r="F1204" s="14">
        <f>Data!G1204</f>
        <v>1430475000000</v>
      </c>
      <c r="G1204" s="12">
        <f t="shared" si="18"/>
        <v>0.68870130551040742</v>
      </c>
    </row>
    <row r="1205" spans="2:7" ht="15" customHeight="1" x14ac:dyDescent="0.3">
      <c r="C1205" s="2"/>
      <c r="D1205" s="8">
        <v>2018</v>
      </c>
      <c r="E1205" s="14">
        <f>Data!I1205</f>
        <v>1240072000000</v>
      </c>
      <c r="F1205" s="14">
        <f>Data!G1205</f>
        <v>1765350000000</v>
      </c>
      <c r="G1205" s="12">
        <f t="shared" si="18"/>
        <v>0.70245107202537738</v>
      </c>
    </row>
    <row r="1206" spans="2:7" ht="15" customHeight="1" x14ac:dyDescent="0.3">
      <c r="C1206" s="2"/>
      <c r="D1206" s="8">
        <v>2019</v>
      </c>
      <c r="E1206" s="14">
        <f>Data!I1206</f>
        <v>1396162000000</v>
      </c>
      <c r="F1206" s="14">
        <f>Data!G1206</f>
        <v>2060362000000</v>
      </c>
      <c r="G1206" s="12">
        <f t="shared" si="18"/>
        <v>0.67762946511341215</v>
      </c>
    </row>
    <row r="1207" spans="2:7" ht="15" customHeight="1" x14ac:dyDescent="0.3">
      <c r="C1207" s="2"/>
      <c r="D1207" s="8">
        <v>2020</v>
      </c>
      <c r="E1207" s="14">
        <f>Data!I1207</f>
        <v>1325278000000</v>
      </c>
      <c r="F1207" s="14">
        <f>Data!G1207</f>
        <v>2127340000000</v>
      </c>
      <c r="G1207" s="12">
        <f t="shared" si="18"/>
        <v>0.62297423072945557</v>
      </c>
    </row>
    <row r="1208" spans="2:7" ht="15" customHeight="1" x14ac:dyDescent="0.3">
      <c r="C1208" s="2"/>
      <c r="D1208" s="8">
        <v>2021</v>
      </c>
      <c r="E1208" s="14">
        <f>Data!I1208</f>
        <v>1376746000000</v>
      </c>
      <c r="F1208" s="14">
        <f>Data!G1208</f>
        <v>2305472000000</v>
      </c>
      <c r="G1208" s="12">
        <f t="shared" si="18"/>
        <v>0.59716448519001752</v>
      </c>
    </row>
    <row r="1209" spans="2:7" ht="15" customHeight="1" x14ac:dyDescent="0.3">
      <c r="C1209" s="2"/>
      <c r="D1209" s="8">
        <v>2022</v>
      </c>
      <c r="E1209" s="14">
        <f>Data!I1209</f>
        <v>1367878000000</v>
      </c>
      <c r="F1209" s="14">
        <f>Data!G1209</f>
        <v>2431927000000</v>
      </c>
      <c r="G1209" s="12">
        <f t="shared" si="18"/>
        <v>0.56246671877897647</v>
      </c>
    </row>
    <row r="1210" spans="2:7" ht="15" customHeight="1" x14ac:dyDescent="0.3">
      <c r="C1210" s="2"/>
      <c r="D1210" s="8">
        <v>2023</v>
      </c>
      <c r="E1210" s="14">
        <f>Data!I1210</f>
        <v>1761339000000</v>
      </c>
      <c r="F1210" s="14">
        <f>Data!G1210</f>
        <v>3005651000000</v>
      </c>
      <c r="G1210" s="12">
        <f t="shared" si="18"/>
        <v>0.58600915409007903</v>
      </c>
    </row>
    <row r="1211" spans="2:7" ht="15" customHeight="1" x14ac:dyDescent="0.3">
      <c r="C1211" s="2"/>
      <c r="D1211" s="8">
        <v>2024</v>
      </c>
      <c r="E1211" s="14">
        <f>Data!I1211</f>
        <v>2007285000000</v>
      </c>
      <c r="F1211" s="14">
        <f>Data!G1211</f>
        <v>3382556000000</v>
      </c>
      <c r="G1211" s="12">
        <f t="shared" si="18"/>
        <v>0.59342254791938409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Data!I1212</f>
        <v>0</v>
      </c>
      <c r="F1212" s="14">
        <f>Data!G1212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Data!I1213</f>
        <v>430645000000</v>
      </c>
      <c r="F1213" s="14">
        <f>Data!G1213</f>
        <v>655205000000</v>
      </c>
      <c r="G1213" s="12">
        <f t="shared" si="18"/>
        <v>0.65726757274440828</v>
      </c>
    </row>
    <row r="1214" spans="2:7" ht="15" customHeight="1" x14ac:dyDescent="0.3">
      <c r="C1214" s="2"/>
      <c r="D1214" s="8">
        <v>2016</v>
      </c>
      <c r="E1214" s="14">
        <f>Data!I1214</f>
        <v>436347000000</v>
      </c>
      <c r="F1214" s="14">
        <f>Data!G1214</f>
        <v>719020000000</v>
      </c>
      <c r="G1214" s="12">
        <f t="shared" si="18"/>
        <v>0.60686350866457117</v>
      </c>
    </row>
    <row r="1215" spans="2:7" ht="15" customHeight="1" x14ac:dyDescent="0.3">
      <c r="C1215" s="2"/>
      <c r="D1215" s="8">
        <v>2017</v>
      </c>
      <c r="E1215" s="14">
        <f>Data!I1215</f>
        <v>466070000000</v>
      </c>
      <c r="F1215" s="14">
        <f>Data!G1215</f>
        <v>736964000000</v>
      </c>
      <c r="G1215" s="12">
        <f t="shared" si="18"/>
        <v>0.63241895126491932</v>
      </c>
    </row>
    <row r="1216" spans="2:7" ht="15" customHeight="1" x14ac:dyDescent="0.3">
      <c r="C1216" s="2"/>
      <c r="D1216" s="8">
        <v>2018</v>
      </c>
      <c r="E1216" s="14">
        <f>Data!I1216</f>
        <v>568334000000</v>
      </c>
      <c r="F1216" s="14">
        <f>Data!G1216</f>
        <v>845010000000</v>
      </c>
      <c r="G1216" s="12">
        <f t="shared" si="18"/>
        <v>0.67257665589756332</v>
      </c>
    </row>
    <row r="1217" spans="2:7" ht="15" customHeight="1" x14ac:dyDescent="0.3">
      <c r="C1217" s="2"/>
      <c r="D1217" s="8">
        <v>2019</v>
      </c>
      <c r="E1217" s="14">
        <f>Data!I1217</f>
        <v>452723000000</v>
      </c>
      <c r="F1217" s="14">
        <f>Data!G1217</f>
        <v>744475000000</v>
      </c>
      <c r="G1217" s="12">
        <f t="shared" si="18"/>
        <v>0.60811041337855531</v>
      </c>
    </row>
    <row r="1218" spans="2:7" ht="15" customHeight="1" x14ac:dyDescent="0.3">
      <c r="C1218" s="2"/>
      <c r="D1218" s="8">
        <v>2020</v>
      </c>
      <c r="E1218" s="14">
        <f>Data!I1218</f>
        <v>424437000000</v>
      </c>
      <c r="F1218" s="14">
        <f>Data!G1218</f>
        <v>709777000000</v>
      </c>
      <c r="G1218" s="12">
        <f t="shared" si="18"/>
        <v>0.59798640981604079</v>
      </c>
    </row>
    <row r="1219" spans="2:7" ht="15" customHeight="1" x14ac:dyDescent="0.3">
      <c r="C1219" s="2"/>
      <c r="D1219" s="8">
        <v>2021</v>
      </c>
      <c r="E1219" s="14">
        <f>Data!I1219</f>
        <v>436076000000</v>
      </c>
      <c r="F1219" s="14">
        <f>Data!G1219</f>
        <v>733503000000</v>
      </c>
      <c r="G1219" s="12">
        <f t="shared" ref="G1219:G1282" si="19">IFERROR(E1219/F1219,0)</f>
        <v>0.59451154255674488</v>
      </c>
    </row>
    <row r="1220" spans="2:7" ht="15" customHeight="1" x14ac:dyDescent="0.3">
      <c r="C1220" s="2"/>
      <c r="D1220" s="8">
        <v>2022</v>
      </c>
      <c r="E1220" s="14">
        <f>Data!I1220</f>
        <v>482251000000</v>
      </c>
      <c r="F1220" s="14">
        <f>Data!G1220</f>
        <v>804217000000</v>
      </c>
      <c r="G1220" s="12">
        <f t="shared" si="19"/>
        <v>0.59965283001975833</v>
      </c>
    </row>
    <row r="1221" spans="2:7" ht="15" customHeight="1" x14ac:dyDescent="0.3">
      <c r="C1221" s="2"/>
      <c r="D1221" s="8">
        <v>2023</v>
      </c>
      <c r="E1221" s="14">
        <f>Data!I1221</f>
        <v>499592000000</v>
      </c>
      <c r="F1221" s="14">
        <f>Data!G1221</f>
        <v>824850000000</v>
      </c>
      <c r="G1221" s="12">
        <f t="shared" si="19"/>
        <v>0.60567618354852393</v>
      </c>
    </row>
    <row r="1222" spans="2:7" ht="15" customHeight="1" x14ac:dyDescent="0.3">
      <c r="C1222" s="2"/>
      <c r="D1222" s="8">
        <v>2024</v>
      </c>
      <c r="E1222" s="14">
        <f>Data!I1222</f>
        <v>496989000000</v>
      </c>
      <c r="F1222" s="14">
        <f>Data!G1222</f>
        <v>817749000000</v>
      </c>
      <c r="G1222" s="12">
        <f t="shared" si="19"/>
        <v>0.60775250107306766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Data!I1223</f>
        <v>0</v>
      </c>
      <c r="F1223" s="14">
        <f>Data!G1223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>
        <f>Data!I1224</f>
        <v>557236000000</v>
      </c>
      <c r="F1224" s="14">
        <f>Data!G1224</f>
        <v>906989000000</v>
      </c>
      <c r="G1224" s="12">
        <f t="shared" si="19"/>
        <v>0.61438010824828082</v>
      </c>
    </row>
    <row r="1225" spans="2:7" ht="15" customHeight="1" x14ac:dyDescent="0.3">
      <c r="C1225" s="2"/>
      <c r="D1225" s="8">
        <v>2016</v>
      </c>
      <c r="E1225" s="14">
        <f>Data!I1225</f>
        <v>581888000000</v>
      </c>
      <c r="F1225" s="14">
        <f>Data!G1225</f>
        <v>886222000000</v>
      </c>
      <c r="G1225" s="12">
        <f t="shared" si="19"/>
        <v>0.65659394598644583</v>
      </c>
    </row>
    <row r="1226" spans="2:7" ht="15" customHeight="1" x14ac:dyDescent="0.3">
      <c r="C1226" s="2"/>
      <c r="D1226" s="8">
        <v>2017</v>
      </c>
      <c r="E1226" s="14">
        <f>Data!I1226</f>
        <v>593374000000</v>
      </c>
      <c r="F1226" s="14">
        <f>Data!G1226</f>
        <v>910239000000</v>
      </c>
      <c r="G1226" s="12">
        <f t="shared" si="19"/>
        <v>0.65188813048001681</v>
      </c>
    </row>
    <row r="1227" spans="2:7" ht="15" customHeight="1" x14ac:dyDescent="0.3">
      <c r="C1227" s="2"/>
      <c r="D1227" s="8">
        <v>2018</v>
      </c>
      <c r="E1227" s="14">
        <f>Data!I1227</f>
        <v>755531000000</v>
      </c>
      <c r="F1227" s="14">
        <f>Data!G1227</f>
        <v>1068562000000</v>
      </c>
      <c r="G1227" s="12">
        <f t="shared" si="19"/>
        <v>0.70705396598419179</v>
      </c>
    </row>
    <row r="1228" spans="2:7" ht="15" customHeight="1" x14ac:dyDescent="0.3">
      <c r="C1228" s="2"/>
      <c r="D1228" s="8">
        <v>2019</v>
      </c>
      <c r="E1228" s="14">
        <f>Data!I1228</f>
        <v>731259000000</v>
      </c>
      <c r="F1228" s="14">
        <f>Data!G1228</f>
        <v>1098507000000</v>
      </c>
      <c r="G1228" s="12">
        <f t="shared" si="19"/>
        <v>0.66568442440512443</v>
      </c>
    </row>
    <row r="1229" spans="2:7" ht="15" customHeight="1" x14ac:dyDescent="0.3">
      <c r="C1229" s="2"/>
      <c r="D1229" s="8">
        <v>2020</v>
      </c>
      <c r="E1229" s="14">
        <f>Data!I1229</f>
        <v>539965000000</v>
      </c>
      <c r="F1229" s="14">
        <f>Data!G1229</f>
        <v>939785000000</v>
      </c>
      <c r="G1229" s="12">
        <f t="shared" si="19"/>
        <v>0.57456226690147216</v>
      </c>
    </row>
    <row r="1230" spans="2:7" ht="15" customHeight="1" x14ac:dyDescent="0.3">
      <c r="C1230" s="2"/>
      <c r="D1230" s="8">
        <v>2021</v>
      </c>
      <c r="E1230" s="14">
        <f>Data!I1230</f>
        <v>627044000000</v>
      </c>
      <c r="F1230" s="14">
        <f>Data!G1230</f>
        <v>1057639000000</v>
      </c>
      <c r="G1230" s="12">
        <f t="shared" si="19"/>
        <v>0.59287148072262841</v>
      </c>
    </row>
    <row r="1231" spans="2:7" ht="15" customHeight="1" x14ac:dyDescent="0.3">
      <c r="C1231" s="2"/>
      <c r="D1231" s="8">
        <v>2022</v>
      </c>
      <c r="E1231" s="14">
        <f>Data!I1231</f>
        <v>836122000000</v>
      </c>
      <c r="F1231" s="14">
        <f>Data!G1231</f>
        <v>1338220000000</v>
      </c>
      <c r="G1231" s="12">
        <f t="shared" si="19"/>
        <v>0.62480160212820013</v>
      </c>
    </row>
    <row r="1232" spans="2:7" ht="15" customHeight="1" x14ac:dyDescent="0.3">
      <c r="C1232" s="2"/>
      <c r="D1232" s="8">
        <v>2023</v>
      </c>
      <c r="E1232" s="14">
        <f>Data!I1232</f>
        <v>1132706000000</v>
      </c>
      <c r="F1232" s="14">
        <f>Data!G1232</f>
        <v>1759417000000</v>
      </c>
      <c r="G1232" s="12">
        <f t="shared" si="19"/>
        <v>0.64379621204069304</v>
      </c>
    </row>
    <row r="1233" spans="2:7" ht="15" customHeight="1" x14ac:dyDescent="0.3">
      <c r="C1233" s="2"/>
      <c r="D1233" s="8">
        <v>2024</v>
      </c>
      <c r="E1233" s="14">
        <f>Data!I1233</f>
        <v>1075040000000</v>
      </c>
      <c r="F1233" s="14">
        <f>Data!G1233</f>
        <v>1793696000000</v>
      </c>
      <c r="G1233" s="12">
        <f t="shared" si="19"/>
        <v>0.59934347849356862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Data!I1234</f>
        <v>0</v>
      </c>
      <c r="F1234" s="14">
        <f>Data!G1234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Data!I1235</f>
        <v>0</v>
      </c>
      <c r="F1235" s="14">
        <f>Data!G1235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Data!I1236</f>
        <v>0</v>
      </c>
      <c r="F1236" s="14">
        <f>Data!G1236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Data!I1237</f>
        <v>0</v>
      </c>
      <c r="F1237" s="14">
        <f>Data!G1237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Data!I1238</f>
        <v>242690000000</v>
      </c>
      <c r="F1238" s="14">
        <f>Data!G1238</f>
        <v>378337000000</v>
      </c>
      <c r="G1238" s="12">
        <f t="shared" si="19"/>
        <v>0.64146514879591476</v>
      </c>
    </row>
    <row r="1239" spans="2:7" ht="15" customHeight="1" x14ac:dyDescent="0.3">
      <c r="C1239" s="2"/>
      <c r="D1239" s="8">
        <v>2019</v>
      </c>
      <c r="E1239" s="14">
        <f>Data!I1239</f>
        <v>322752000000</v>
      </c>
      <c r="F1239" s="14">
        <f>Data!G1239</f>
        <v>460747000000</v>
      </c>
      <c r="G1239" s="12">
        <f t="shared" si="19"/>
        <v>0.70049723601021818</v>
      </c>
    </row>
    <row r="1240" spans="2:7" ht="15" customHeight="1" x14ac:dyDescent="0.3">
      <c r="C1240" s="2"/>
      <c r="D1240" s="8">
        <v>2020</v>
      </c>
      <c r="E1240" s="14">
        <f>Data!I1240</f>
        <v>284434000000</v>
      </c>
      <c r="F1240" s="14">
        <f>Data!G1240</f>
        <v>422492000000</v>
      </c>
      <c r="G1240" s="12">
        <f t="shared" si="19"/>
        <v>0.6732293155846738</v>
      </c>
    </row>
    <row r="1241" spans="2:7" ht="15" customHeight="1" x14ac:dyDescent="0.3">
      <c r="C1241" s="2"/>
      <c r="D1241" s="8">
        <v>2021</v>
      </c>
      <c r="E1241" s="14">
        <f>Data!I1241</f>
        <v>222037000000</v>
      </c>
      <c r="F1241" s="14">
        <f>Data!G1241</f>
        <v>336360000000</v>
      </c>
      <c r="G1241" s="12">
        <f t="shared" si="19"/>
        <v>0.66011713640147462</v>
      </c>
    </row>
    <row r="1242" spans="2:7" ht="15" customHeight="1" x14ac:dyDescent="0.3">
      <c r="C1242" s="2"/>
      <c r="D1242" s="8">
        <v>2022</v>
      </c>
      <c r="E1242" s="14">
        <f>Data!I1242</f>
        <v>130799000000</v>
      </c>
      <c r="F1242" s="14">
        <f>Data!G1242</f>
        <v>386436000000</v>
      </c>
      <c r="G1242" s="12">
        <f t="shared" si="19"/>
        <v>0.33847519382252172</v>
      </c>
    </row>
    <row r="1243" spans="2:7" ht="15" customHeight="1" x14ac:dyDescent="0.3">
      <c r="C1243" s="2"/>
      <c r="D1243" s="8">
        <v>2023</v>
      </c>
      <c r="E1243" s="14">
        <f>Data!I1243</f>
        <v>205363000000</v>
      </c>
      <c r="F1243" s="14">
        <f>Data!G1243</f>
        <v>336366000000</v>
      </c>
      <c r="G1243" s="12">
        <f t="shared" si="19"/>
        <v>0.61053435840721115</v>
      </c>
    </row>
    <row r="1244" spans="2:7" ht="15" customHeight="1" x14ac:dyDescent="0.3">
      <c r="C1244" s="2"/>
      <c r="D1244" s="8">
        <v>2024</v>
      </c>
      <c r="E1244" s="14">
        <f>Data!I1244</f>
        <v>540492000000</v>
      </c>
      <c r="F1244" s="14">
        <f>Data!G1244</f>
        <v>361307000000</v>
      </c>
      <c r="G1244" s="12">
        <f t="shared" si="19"/>
        <v>1.4959355894018107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Data!I1245</f>
        <v>0</v>
      </c>
      <c r="F1245" s="14">
        <f>Data!G1245</f>
        <v>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Data!I1246</f>
        <v>43591980000</v>
      </c>
      <c r="F1246" s="14">
        <f>Data!G1246</f>
        <v>159252900000</v>
      </c>
      <c r="G1246" s="12">
        <f t="shared" si="19"/>
        <v>0.27372801374417671</v>
      </c>
    </row>
    <row r="1247" spans="2:7" ht="15" customHeight="1" x14ac:dyDescent="0.3">
      <c r="C1247" s="2"/>
      <c r="D1247" s="8">
        <v>2016</v>
      </c>
      <c r="E1247" s="14">
        <f>Data!I1247</f>
        <v>41426760000</v>
      </c>
      <c r="F1247" s="14">
        <f>Data!G1247</f>
        <v>161493870000</v>
      </c>
      <c r="G1247" s="12">
        <f t="shared" si="19"/>
        <v>0.25652218254476161</v>
      </c>
    </row>
    <row r="1248" spans="2:7" ht="15" customHeight="1" x14ac:dyDescent="0.3">
      <c r="C1248" s="2"/>
      <c r="D1248" s="8">
        <v>2017</v>
      </c>
      <c r="E1248" s="14">
        <f>Data!I1248</f>
        <v>37433390000</v>
      </c>
      <c r="F1248" s="14">
        <f>Data!G1248</f>
        <v>161558950000</v>
      </c>
      <c r="G1248" s="12">
        <f t="shared" si="19"/>
        <v>0.23170112209815674</v>
      </c>
    </row>
    <row r="1249" spans="2:7" ht="15" customHeight="1" x14ac:dyDescent="0.3">
      <c r="C1249" s="2"/>
      <c r="D1249" s="8">
        <v>2018</v>
      </c>
      <c r="E1249" s="14">
        <f>Data!I1249</f>
        <v>37287300000</v>
      </c>
      <c r="F1249" s="14">
        <f>Data!G1249</f>
        <v>163247530000</v>
      </c>
      <c r="G1249" s="12">
        <f t="shared" si="19"/>
        <v>0.22840958144971626</v>
      </c>
    </row>
    <row r="1250" spans="2:7" ht="15" customHeight="1" x14ac:dyDescent="0.3">
      <c r="C1250" s="2"/>
      <c r="D1250" s="8">
        <v>2019</v>
      </c>
      <c r="E1250" s="14">
        <f>Data!I1250</f>
        <v>59322410000</v>
      </c>
      <c r="F1250" s="14">
        <f>Data!G1250</f>
        <v>190280030000</v>
      </c>
      <c r="G1250" s="12">
        <f t="shared" si="19"/>
        <v>0.31176372002884378</v>
      </c>
    </row>
    <row r="1251" spans="2:7" ht="15" customHeight="1" x14ac:dyDescent="0.3">
      <c r="C1251" s="2"/>
      <c r="D1251" s="8">
        <v>2020</v>
      </c>
      <c r="E1251" s="14">
        <f>Data!I1251</f>
        <v>65752860000</v>
      </c>
      <c r="F1251" s="14">
        <f>Data!G1251</f>
        <v>199137730000</v>
      </c>
      <c r="G1251" s="12">
        <f t="shared" si="19"/>
        <v>0.33018785541042373</v>
      </c>
    </row>
    <row r="1252" spans="2:7" ht="15" customHeight="1" x14ac:dyDescent="0.3">
      <c r="C1252" s="2"/>
      <c r="D1252" s="8">
        <v>2021</v>
      </c>
      <c r="E1252" s="14">
        <f>Data!I1252</f>
        <v>80772360000</v>
      </c>
      <c r="F1252" s="14">
        <f>Data!G1252</f>
        <v>218288880000</v>
      </c>
      <c r="G1252" s="12">
        <f t="shared" si="19"/>
        <v>0.3700250786938849</v>
      </c>
    </row>
    <row r="1253" spans="2:7" ht="15" customHeight="1" x14ac:dyDescent="0.3">
      <c r="C1253" s="2"/>
      <c r="D1253" s="8">
        <v>2022</v>
      </c>
      <c r="E1253" s="14">
        <f>Data!I1253</f>
        <v>84600180000</v>
      </c>
      <c r="F1253" s="14">
        <f>Data!G1253</f>
        <v>224731410000</v>
      </c>
      <c r="G1253" s="12">
        <f t="shared" si="19"/>
        <v>0.3764501811295537</v>
      </c>
    </row>
    <row r="1254" spans="2:7" ht="15" customHeight="1" x14ac:dyDescent="0.3">
      <c r="C1254" s="2"/>
      <c r="D1254" s="8">
        <v>2023</v>
      </c>
      <c r="E1254" s="14">
        <f>Data!I1254</f>
        <v>96105990000</v>
      </c>
      <c r="F1254" s="14">
        <f>Data!G1254</f>
        <v>241455130000</v>
      </c>
      <c r="G1254" s="12">
        <f t="shared" si="19"/>
        <v>0.39802836245392675</v>
      </c>
    </row>
    <row r="1255" spans="2:7" ht="15" customHeight="1" x14ac:dyDescent="0.3">
      <c r="C1255" s="2"/>
      <c r="D1255" s="8">
        <v>2024</v>
      </c>
      <c r="E1255" s="14">
        <f>Data!I1255</f>
        <v>88874610000</v>
      </c>
      <c r="F1255" s="14">
        <f>Data!G1255</f>
        <v>218925830000</v>
      </c>
      <c r="G1255" s="12">
        <f t="shared" si="19"/>
        <v>0.40595762500934679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Data!I1256</f>
        <v>0</v>
      </c>
      <c r="F1256" s="14">
        <f>Data!G1256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Data!I1257</f>
        <v>0</v>
      </c>
      <c r="F1257" s="14">
        <f>Data!G1257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Data!I1258</f>
        <v>0</v>
      </c>
      <c r="F1258" s="14">
        <f>Data!G1258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Data!I1259</f>
        <v>0</v>
      </c>
      <c r="F1259" s="14">
        <f>Data!G1259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Data!I1260</f>
        <v>0</v>
      </c>
      <c r="F1260" s="14">
        <f>Data!G1260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Data!I1261</f>
        <v>0</v>
      </c>
      <c r="F1261" s="14">
        <f>Data!G1261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Data!I1262</f>
        <v>0</v>
      </c>
      <c r="F1262" s="14">
        <f>Data!G1262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Data!I1263</f>
        <v>0</v>
      </c>
      <c r="F1263" s="14">
        <f>Data!G1263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Data!I1264</f>
        <v>1029260000</v>
      </c>
      <c r="F1264" s="14">
        <f>Data!G1264</f>
        <v>151070430000</v>
      </c>
      <c r="G1264" s="12">
        <f t="shared" si="19"/>
        <v>6.8131135921172658E-3</v>
      </c>
    </row>
    <row r="1265" spans="2:7" ht="15" customHeight="1" x14ac:dyDescent="0.3">
      <c r="C1265" s="1"/>
      <c r="D1265" s="8">
        <v>2023</v>
      </c>
      <c r="E1265" s="14">
        <f>Data!I1265</f>
        <v>11841590000</v>
      </c>
      <c r="F1265" s="14">
        <f>Data!G1265</f>
        <v>141458760000</v>
      </c>
      <c r="G1265" s="12">
        <f t="shared" si="19"/>
        <v>8.3710545744922413E-2</v>
      </c>
    </row>
    <row r="1266" spans="2:7" ht="15" customHeight="1" x14ac:dyDescent="0.3">
      <c r="C1266" s="1"/>
      <c r="D1266" s="8">
        <v>2024</v>
      </c>
      <c r="E1266" s="14">
        <f>Data!I1266</f>
        <v>56360210000</v>
      </c>
      <c r="F1266" s="14">
        <f>Data!G1266</f>
        <v>160317650000</v>
      </c>
      <c r="G1266" s="12">
        <f t="shared" si="19"/>
        <v>0.35155336920170671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Data!I1267</f>
        <v>0</v>
      </c>
      <c r="F1267" s="14">
        <f>Data!G1267</f>
        <v>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Data!I1268</f>
        <v>2161453000000</v>
      </c>
      <c r="F1268" s="14">
        <f>Data!G1268</f>
        <v>3020355000000</v>
      </c>
      <c r="G1268" s="12">
        <f t="shared" si="19"/>
        <v>0.71562879197975071</v>
      </c>
    </row>
    <row r="1269" spans="2:7" ht="15" customHeight="1" x14ac:dyDescent="0.3">
      <c r="C1269" s="1"/>
      <c r="D1269" s="8">
        <v>2016</v>
      </c>
      <c r="E1269" s="14">
        <f>Data!I1269</f>
        <v>2205404000000</v>
      </c>
      <c r="F1269" s="14">
        <f>Data!G1269</f>
        <v>3142807000000</v>
      </c>
      <c r="G1269" s="12">
        <f t="shared" si="19"/>
        <v>0.70173065033901227</v>
      </c>
    </row>
    <row r="1270" spans="2:7" ht="15" customHeight="1" x14ac:dyDescent="0.3">
      <c r="C1270" s="1"/>
      <c r="D1270" s="8">
        <v>2017</v>
      </c>
      <c r="E1270" s="14">
        <f>Data!I1270</f>
        <v>2280404000000</v>
      </c>
      <c r="F1270" s="14">
        <f>Data!G1270</f>
        <v>3282298000000</v>
      </c>
      <c r="G1270" s="12">
        <f t="shared" si="19"/>
        <v>0.69475836746084607</v>
      </c>
    </row>
    <row r="1271" spans="2:7" ht="15" customHeight="1" x14ac:dyDescent="0.3">
      <c r="C1271" s="1"/>
      <c r="D1271" s="8">
        <v>2018</v>
      </c>
      <c r="E1271" s="14">
        <f>Data!I1271</f>
        <v>2607229000000</v>
      </c>
      <c r="F1271" s="14">
        <f>Data!G1271</f>
        <v>3605680000000</v>
      </c>
      <c r="G1271" s="12">
        <f t="shared" si="19"/>
        <v>0.7230894033857691</v>
      </c>
    </row>
    <row r="1272" spans="2:7" ht="15" customHeight="1" x14ac:dyDescent="0.3">
      <c r="C1272" s="1"/>
      <c r="D1272" s="8">
        <v>2019</v>
      </c>
      <c r="E1272" s="14">
        <f>Data!I1272</f>
        <v>2723511000000</v>
      </c>
      <c r="F1272" s="14">
        <f>Data!G1272</f>
        <v>3868218000000</v>
      </c>
      <c r="G1272" s="12">
        <f t="shared" si="19"/>
        <v>0.70407381383365675</v>
      </c>
    </row>
    <row r="1273" spans="2:7" ht="15" customHeight="1" x14ac:dyDescent="0.3">
      <c r="C1273" s="1"/>
      <c r="D1273" s="8">
        <v>2020</v>
      </c>
      <c r="E1273" s="14">
        <f>Data!I1273</f>
        <v>2992586000000</v>
      </c>
      <c r="F1273" s="14">
        <f>Data!G1273</f>
        <v>4233124000000</v>
      </c>
      <c r="G1273" s="12">
        <f t="shared" si="19"/>
        <v>0.70694503633722994</v>
      </c>
    </row>
    <row r="1274" spans="2:7" ht="15" customHeight="1" x14ac:dyDescent="0.3">
      <c r="C1274" s="1"/>
      <c r="D1274" s="8">
        <v>2021</v>
      </c>
      <c r="E1274" s="14">
        <f>Data!I1274</f>
        <v>2951961000000</v>
      </c>
      <c r="F1274" s="14">
        <f>Data!G1274</f>
        <v>4261374000000</v>
      </c>
      <c r="G1274" s="12">
        <f t="shared" si="19"/>
        <v>0.69272516329240286</v>
      </c>
    </row>
    <row r="1275" spans="2:7" ht="15" customHeight="1" x14ac:dyDescent="0.3">
      <c r="C1275" s="1"/>
      <c r="D1275" s="8">
        <v>2022</v>
      </c>
      <c r="E1275" s="14">
        <f>Data!I1275</f>
        <v>3035635000000</v>
      </c>
      <c r="F1275" s="14">
        <f>Data!G1275</f>
        <v>4365214000000</v>
      </c>
      <c r="G1275" s="12">
        <f t="shared" si="19"/>
        <v>0.69541493269287602</v>
      </c>
    </row>
    <row r="1276" spans="2:7" ht="15" customHeight="1" x14ac:dyDescent="0.3">
      <c r="C1276" s="1"/>
      <c r="D1276" s="8">
        <v>2023</v>
      </c>
      <c r="E1276" s="14">
        <f>Data!I1276</f>
        <v>3497125000000</v>
      </c>
      <c r="F1276" s="14">
        <f>Data!G1276</f>
        <v>5010127000000</v>
      </c>
      <c r="G1276" s="12">
        <f t="shared" si="19"/>
        <v>0.69801124801826386</v>
      </c>
    </row>
    <row r="1277" spans="2:7" ht="15" customHeight="1" x14ac:dyDescent="0.3">
      <c r="C1277" s="1"/>
      <c r="D1277" s="8">
        <v>2024</v>
      </c>
      <c r="E1277" s="14">
        <f>Data!I1277</f>
        <v>3671607000000</v>
      </c>
      <c r="F1277" s="14">
        <f>Data!G1277</f>
        <v>5226747000000</v>
      </c>
      <c r="G1277" s="12">
        <f t="shared" si="19"/>
        <v>0.70246503226576684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Data!I1278</f>
        <v>0</v>
      </c>
      <c r="F1278" s="14">
        <f>Data!G1278</f>
        <v>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Data!I1279</f>
        <v>82274000000</v>
      </c>
      <c r="F1279" s="14">
        <f>Data!G1279</f>
        <v>196838000000</v>
      </c>
      <c r="G1279" s="12">
        <f t="shared" si="19"/>
        <v>0.41797823590973288</v>
      </c>
    </row>
    <row r="1280" spans="2:7" ht="15" customHeight="1" x14ac:dyDescent="0.3">
      <c r="C1280" s="2"/>
      <c r="D1280" s="8">
        <v>2016</v>
      </c>
      <c r="E1280" s="14">
        <f>Data!I1280</f>
        <v>89043000000</v>
      </c>
      <c r="F1280" s="14">
        <f>Data!G1280</f>
        <v>212248000000</v>
      </c>
      <c r="G1280" s="12">
        <f t="shared" si="19"/>
        <v>0.41952338773510234</v>
      </c>
    </row>
    <row r="1281" spans="2:7" ht="15" customHeight="1" x14ac:dyDescent="0.3">
      <c r="C1281" s="2"/>
      <c r="D1281" s="8">
        <v>2017</v>
      </c>
      <c r="E1281" s="14">
        <f>Data!I1281</f>
        <v>118323000000</v>
      </c>
      <c r="F1281" s="14">
        <f>Data!G1281</f>
        <v>246935000000</v>
      </c>
      <c r="G1281" s="12">
        <f t="shared" si="19"/>
        <v>0.47916658229898557</v>
      </c>
    </row>
    <row r="1282" spans="2:7" ht="15" customHeight="1" x14ac:dyDescent="0.3">
      <c r="C1282" s="2"/>
      <c r="D1282" s="8">
        <v>2018</v>
      </c>
      <c r="E1282" s="14">
        <f>Data!I1282</f>
        <v>137968000000</v>
      </c>
      <c r="F1282" s="14">
        <f>Data!G1282</f>
        <v>275638000000</v>
      </c>
      <c r="G1282" s="12">
        <f t="shared" si="19"/>
        <v>0.50054056407316838</v>
      </c>
    </row>
    <row r="1283" spans="2:7" ht="15" customHeight="1" x14ac:dyDescent="0.3">
      <c r="C1283" s="2"/>
      <c r="D1283" s="8">
        <v>2019</v>
      </c>
      <c r="E1283" s="14">
        <f>Data!I1283</f>
        <v>281159000000</v>
      </c>
      <c r="F1283" s="14">
        <f>Data!G1283</f>
        <v>430332000000</v>
      </c>
      <c r="G1283" s="12">
        <f t="shared" ref="G1283:G1346" si="20">IFERROR(E1283/F1283,0)</f>
        <v>0.65335368970934071</v>
      </c>
    </row>
    <row r="1284" spans="2:7" ht="15" customHeight="1" x14ac:dyDescent="0.3">
      <c r="C1284" s="2"/>
      <c r="D1284" s="8">
        <v>2020</v>
      </c>
      <c r="E1284" s="14">
        <f>Data!I1284</f>
        <v>269833000000</v>
      </c>
      <c r="F1284" s="14">
        <f>Data!G1284</f>
        <v>432693000000</v>
      </c>
      <c r="G1284" s="12">
        <f t="shared" si="20"/>
        <v>0.62361304666356976</v>
      </c>
    </row>
    <row r="1285" spans="2:7" ht="15" customHeight="1" x14ac:dyDescent="0.3">
      <c r="C1285" s="2"/>
      <c r="D1285" s="8">
        <v>2021</v>
      </c>
      <c r="E1285" s="14">
        <f>Data!I1285</f>
        <v>283830000000</v>
      </c>
      <c r="F1285" s="14">
        <f>Data!G1285</f>
        <v>469764000000</v>
      </c>
      <c r="G1285" s="12">
        <f t="shared" si="20"/>
        <v>0.60419700104733443</v>
      </c>
    </row>
    <row r="1286" spans="2:7" ht="15" customHeight="1" x14ac:dyDescent="0.3">
      <c r="C1286" s="2"/>
      <c r="D1286" s="8">
        <v>2022</v>
      </c>
      <c r="E1286" s="14">
        <f>Data!I1286</f>
        <v>288943000000</v>
      </c>
      <c r="F1286" s="14">
        <f>Data!G1286</f>
        <v>486808000000</v>
      </c>
      <c r="G1286" s="12">
        <f t="shared" si="20"/>
        <v>0.5935461208525743</v>
      </c>
    </row>
    <row r="1287" spans="2:7" ht="15" customHeight="1" x14ac:dyDescent="0.3">
      <c r="C1287" s="2"/>
      <c r="D1287" s="8">
        <v>2023</v>
      </c>
      <c r="E1287" s="14">
        <f>Data!I1287</f>
        <v>353766000000</v>
      </c>
      <c r="F1287" s="14">
        <f>Data!G1287</f>
        <v>566834000000</v>
      </c>
      <c r="G1287" s="12">
        <f t="shared" si="20"/>
        <v>0.62410864556466272</v>
      </c>
    </row>
    <row r="1288" spans="2:7" ht="15" customHeight="1" x14ac:dyDescent="0.3">
      <c r="C1288" s="2"/>
      <c r="D1288" s="8">
        <v>2024</v>
      </c>
      <c r="E1288" s="14">
        <f>Data!I1288</f>
        <v>597103000000</v>
      </c>
      <c r="F1288" s="14">
        <f>Data!G1288</f>
        <v>810868000000</v>
      </c>
      <c r="G1288" s="12">
        <f t="shared" si="20"/>
        <v>0.73637509434334569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Data!I1289</f>
        <v>0</v>
      </c>
      <c r="F1289" s="14">
        <f>Data!G1289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Data!I1290</f>
        <v>0</v>
      </c>
      <c r="F1290" s="14">
        <f>Data!G1290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Data!I1291</f>
        <v>0</v>
      </c>
      <c r="F1291" s="14">
        <f>Data!G1291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Data!I1292</f>
        <v>0</v>
      </c>
      <c r="F1292" s="14">
        <f>Data!G1292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Data!I1293</f>
        <v>2198831080000</v>
      </c>
      <c r="F1293" s="14">
        <f>Data!G1293</f>
        <v>2759490493000</v>
      </c>
      <c r="G1293" s="12">
        <f t="shared" si="20"/>
        <v>0.79682502461152704</v>
      </c>
    </row>
    <row r="1294" spans="2:7" ht="15" customHeight="1" x14ac:dyDescent="0.3">
      <c r="C1294" s="3"/>
      <c r="D1294" s="8">
        <v>2019</v>
      </c>
      <c r="E1294" s="14">
        <f>Data!I1294</f>
        <v>1900135867000</v>
      </c>
      <c r="F1294" s="14">
        <f>Data!G1294</f>
        <v>2404841887000</v>
      </c>
      <c r="G1294" s="12">
        <f t="shared" si="20"/>
        <v>0.79012922939827357</v>
      </c>
    </row>
    <row r="1295" spans="2:7" ht="15" customHeight="1" x14ac:dyDescent="0.3">
      <c r="C1295" s="3"/>
      <c r="D1295" s="8">
        <v>2020</v>
      </c>
      <c r="E1295" s="14">
        <f>Data!I1295</f>
        <v>2276886920000</v>
      </c>
      <c r="F1295" s="14">
        <f>Data!G1295</f>
        <v>2701070570000</v>
      </c>
      <c r="G1295" s="12">
        <f t="shared" si="20"/>
        <v>0.84295721307274096</v>
      </c>
    </row>
    <row r="1296" spans="2:7" ht="15" customHeight="1" x14ac:dyDescent="0.3">
      <c r="C1296" s="3"/>
      <c r="D1296" s="8">
        <v>2021</v>
      </c>
      <c r="E1296" s="14">
        <f>Data!I1296</f>
        <v>2101852339000</v>
      </c>
      <c r="F1296" s="14">
        <f>Data!G1296</f>
        <v>2509362304000</v>
      </c>
      <c r="G1296" s="12">
        <f t="shared" si="20"/>
        <v>0.8376041736378933</v>
      </c>
    </row>
    <row r="1297" spans="2:7" ht="15" customHeight="1" x14ac:dyDescent="0.3">
      <c r="C1297" s="3"/>
      <c r="D1297" s="8">
        <v>2022</v>
      </c>
      <c r="E1297" s="14">
        <f>Data!I1297</f>
        <v>2143620815000</v>
      </c>
      <c r="F1297" s="14">
        <f>Data!G1297</f>
        <v>2534662345000</v>
      </c>
      <c r="G1297" s="12">
        <f t="shared" si="20"/>
        <v>0.84572243684789505</v>
      </c>
    </row>
    <row r="1298" spans="2:7" ht="15" customHeight="1" x14ac:dyDescent="0.3">
      <c r="C1298" s="3"/>
      <c r="D1298" s="8">
        <v>2023</v>
      </c>
      <c r="E1298" s="14">
        <f>Data!I1298</f>
        <v>2160778483000</v>
      </c>
      <c r="F1298" s="14">
        <f>Data!G1298</f>
        <v>2567838757000</v>
      </c>
      <c r="G1298" s="12">
        <f t="shared" si="20"/>
        <v>0.84147747872005496</v>
      </c>
    </row>
    <row r="1299" spans="2:7" ht="15" customHeight="1" x14ac:dyDescent="0.3">
      <c r="C1299" s="3"/>
      <c r="D1299" s="8">
        <v>2024</v>
      </c>
      <c r="E1299" s="14">
        <f>Data!I1299</f>
        <v>2185762265000</v>
      </c>
      <c r="F1299" s="14">
        <f>Data!G1299</f>
        <v>2544622608000</v>
      </c>
      <c r="G1299" s="12">
        <f t="shared" si="20"/>
        <v>0.8589730587664417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Data!I1300</f>
        <v>0</v>
      </c>
      <c r="F1300" s="14">
        <f>Data!G1300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Data!I1301</f>
        <v>171908000000</v>
      </c>
      <c r="F1301" s="14">
        <f>Data!G1301</f>
        <v>277472000000</v>
      </c>
      <c r="G1301" s="12">
        <f t="shared" si="20"/>
        <v>0.61955080152231579</v>
      </c>
    </row>
    <row r="1302" spans="2:7" ht="15" customHeight="1" x14ac:dyDescent="0.3">
      <c r="C1302" s="2"/>
      <c r="D1302" s="8">
        <v>2016</v>
      </c>
      <c r="E1302" s="14">
        <f>Data!I1302</f>
        <v>191354000000</v>
      </c>
      <c r="F1302" s="14">
        <f>Data!G1302</f>
        <v>300402000000</v>
      </c>
      <c r="G1302" s="12">
        <f t="shared" si="20"/>
        <v>0.63699309591813635</v>
      </c>
    </row>
    <row r="1303" spans="2:7" ht="15" customHeight="1" x14ac:dyDescent="0.3">
      <c r="C1303" s="2"/>
      <c r="D1303" s="8">
        <v>2017</v>
      </c>
      <c r="E1303" s="14">
        <f>Data!I1303</f>
        <v>177564000000</v>
      </c>
      <c r="F1303" s="14">
        <f>Data!G1303</f>
        <v>291577000000</v>
      </c>
      <c r="G1303" s="12">
        <f t="shared" si="20"/>
        <v>0.60897807440230201</v>
      </c>
    </row>
    <row r="1304" spans="2:7" ht="15" customHeight="1" x14ac:dyDescent="0.3">
      <c r="C1304" s="2"/>
      <c r="D1304" s="8">
        <v>2018</v>
      </c>
      <c r="E1304" s="14">
        <f>Data!I1304</f>
        <v>237885000000</v>
      </c>
      <c r="F1304" s="14">
        <f>Data!G1304</f>
        <v>353211000000</v>
      </c>
      <c r="G1304" s="12">
        <f t="shared" si="20"/>
        <v>0.67349261489591206</v>
      </c>
    </row>
    <row r="1305" spans="2:7" ht="15" customHeight="1" x14ac:dyDescent="0.3">
      <c r="C1305" s="2"/>
      <c r="D1305" s="8">
        <v>2019</v>
      </c>
      <c r="E1305" s="14">
        <f>Data!I1305</f>
        <v>272064000000</v>
      </c>
      <c r="F1305" s="14">
        <f>Data!G1305</f>
        <v>399341000000</v>
      </c>
      <c r="G1305" s="12">
        <f t="shared" si="20"/>
        <v>0.68128241277504686</v>
      </c>
    </row>
    <row r="1306" spans="2:7" ht="15" customHeight="1" x14ac:dyDescent="0.3">
      <c r="C1306" s="2"/>
      <c r="D1306" s="8">
        <v>2020</v>
      </c>
      <c r="E1306" s="14">
        <f>Data!I1306</f>
        <v>294028000000</v>
      </c>
      <c r="F1306" s="14">
        <f>Data!G1306</f>
        <v>439686000000</v>
      </c>
      <c r="G1306" s="12">
        <f t="shared" si="20"/>
        <v>0.66872267936663887</v>
      </c>
    </row>
    <row r="1307" spans="2:7" ht="15" customHeight="1" x14ac:dyDescent="0.3">
      <c r="C1307" s="2"/>
      <c r="D1307" s="8">
        <v>2021</v>
      </c>
      <c r="E1307" s="14">
        <f>Data!I1307</f>
        <v>318419000000</v>
      </c>
      <c r="F1307" s="14">
        <f>Data!G1307</f>
        <v>470433000000</v>
      </c>
      <c r="G1307" s="12">
        <f t="shared" si="20"/>
        <v>0.67686365539832449</v>
      </c>
    </row>
    <row r="1308" spans="2:7" ht="15" customHeight="1" x14ac:dyDescent="0.3">
      <c r="C1308" s="2"/>
      <c r="D1308" s="8">
        <v>2022</v>
      </c>
      <c r="E1308" s="14">
        <f>Data!I1308</f>
        <v>303058000000</v>
      </c>
      <c r="F1308" s="14">
        <f>Data!G1308</f>
        <v>455182000000</v>
      </c>
      <c r="G1308" s="12">
        <f t="shared" si="20"/>
        <v>0.66579522037338912</v>
      </c>
    </row>
    <row r="1309" spans="2:7" ht="15" customHeight="1" x14ac:dyDescent="0.3">
      <c r="C1309" s="2"/>
      <c r="D1309" s="8">
        <v>2023</v>
      </c>
      <c r="E1309" s="14">
        <f>Data!I1309</f>
        <v>379238000000</v>
      </c>
      <c r="F1309" s="14">
        <f>Data!G1309</f>
        <v>526635000000</v>
      </c>
      <c r="G1309" s="12">
        <f t="shared" si="20"/>
        <v>0.72011544997958743</v>
      </c>
    </row>
    <row r="1310" spans="2:7" ht="15" customHeight="1" x14ac:dyDescent="0.3">
      <c r="C1310" s="2"/>
      <c r="D1310" s="8">
        <v>2024</v>
      </c>
      <c r="E1310" s="14">
        <f>Data!I1310</f>
        <v>0</v>
      </c>
      <c r="F1310" s="14">
        <f>Data!G1310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Data!I1311</f>
        <v>0</v>
      </c>
      <c r="F1311" s="14">
        <f>Data!G1311</f>
        <v>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Data!I1312</f>
        <v>1235721000000</v>
      </c>
      <c r="F1312" s="14">
        <f>Data!G1312</f>
        <v>1733310000000</v>
      </c>
      <c r="G1312" s="12">
        <f t="shared" si="20"/>
        <v>0.71292555861328899</v>
      </c>
    </row>
    <row r="1313" spans="2:7" ht="15" customHeight="1" x14ac:dyDescent="0.3">
      <c r="C1313" s="2"/>
      <c r="D1313" s="8">
        <v>2016</v>
      </c>
      <c r="E1313" s="14">
        <f>Data!I1313</f>
        <v>1506670000000</v>
      </c>
      <c r="F1313" s="14">
        <f>Data!G1313</f>
        <v>2072228000000</v>
      </c>
      <c r="G1313" s="12">
        <f t="shared" si="20"/>
        <v>0.72707732932862601</v>
      </c>
    </row>
    <row r="1314" spans="2:7" ht="15" customHeight="1" x14ac:dyDescent="0.3">
      <c r="C1314" s="2"/>
      <c r="D1314" s="8">
        <v>2017</v>
      </c>
      <c r="E1314" s="14">
        <f>Data!I1314</f>
        <v>1545062000000</v>
      </c>
      <c r="F1314" s="14">
        <f>Data!G1314</f>
        <v>2177932000000</v>
      </c>
      <c r="G1314" s="12">
        <f t="shared" si="20"/>
        <v>0.70941700659157403</v>
      </c>
    </row>
    <row r="1315" spans="2:7" ht="15" customHeight="1" x14ac:dyDescent="0.3">
      <c r="C1315" s="2"/>
      <c r="D1315" s="8">
        <v>2018</v>
      </c>
      <c r="E1315" s="14">
        <f>Data!I1315</f>
        <v>1633840000000</v>
      </c>
      <c r="F1315" s="14">
        <f>Data!G1315</f>
        <v>2345549000000</v>
      </c>
      <c r="G1315" s="12">
        <f t="shared" si="20"/>
        <v>0.69657039780452257</v>
      </c>
    </row>
    <row r="1316" spans="2:7" ht="15" customHeight="1" x14ac:dyDescent="0.3">
      <c r="C1316" s="2"/>
      <c r="D1316" s="8">
        <v>2019</v>
      </c>
      <c r="E1316" s="14">
        <f>Data!I1316</f>
        <v>1751308000000</v>
      </c>
      <c r="F1316" s="14">
        <f>Data!G1316</f>
        <v>2592413000000</v>
      </c>
      <c r="G1316" s="12">
        <f t="shared" si="20"/>
        <v>0.67555131069007912</v>
      </c>
    </row>
    <row r="1317" spans="2:7" ht="15" customHeight="1" x14ac:dyDescent="0.3">
      <c r="C1317" s="2"/>
      <c r="D1317" s="8">
        <v>2020</v>
      </c>
      <c r="E1317" s="14">
        <f>Data!I1317</f>
        <v>1945036000000</v>
      </c>
      <c r="F1317" s="14">
        <f>Data!G1317</f>
        <v>2952533000000</v>
      </c>
      <c r="G1317" s="12">
        <f t="shared" si="20"/>
        <v>0.65876858954667061</v>
      </c>
    </row>
    <row r="1318" spans="2:7" ht="15" customHeight="1" x14ac:dyDescent="0.3">
      <c r="C1318" s="2"/>
      <c r="D1318" s="8">
        <v>2021</v>
      </c>
      <c r="E1318" s="14">
        <f>Data!I1318</f>
        <v>2456715000000</v>
      </c>
      <c r="F1318" s="14">
        <f>Data!G1318</f>
        <v>3711223000000</v>
      </c>
      <c r="G1318" s="12">
        <f t="shared" si="20"/>
        <v>0.6619691136857041</v>
      </c>
    </row>
    <row r="1319" spans="2:7" ht="15" customHeight="1" x14ac:dyDescent="0.3">
      <c r="C1319" s="2"/>
      <c r="D1319" s="8">
        <v>2022</v>
      </c>
      <c r="E1319" s="14">
        <f>Data!I1319</f>
        <v>3161705000000</v>
      </c>
      <c r="F1319" s="14">
        <f>Data!G1319</f>
        <v>4715082000000</v>
      </c>
      <c r="G1319" s="12">
        <f t="shared" si="20"/>
        <v>0.67055143473644785</v>
      </c>
    </row>
    <row r="1320" spans="2:7" ht="15" customHeight="1" x14ac:dyDescent="0.3">
      <c r="C1320" s="2"/>
      <c r="D1320" s="8">
        <v>2023</v>
      </c>
      <c r="E1320" s="14">
        <f>Data!I1320</f>
        <v>4286980000000</v>
      </c>
      <c r="F1320" s="14">
        <f>Data!G1320</f>
        <v>6222550000000</v>
      </c>
      <c r="G1320" s="12">
        <f t="shared" si="20"/>
        <v>0.68894263605756478</v>
      </c>
    </row>
    <row r="1321" spans="2:7" ht="15" customHeight="1" x14ac:dyDescent="0.3">
      <c r="C1321" s="2"/>
      <c r="D1321" s="8">
        <v>2024</v>
      </c>
      <c r="E1321" s="14">
        <f>Data!I1321</f>
        <v>4896905000000</v>
      </c>
      <c r="F1321" s="14">
        <f>Data!G1321</f>
        <v>7402327000000</v>
      </c>
      <c r="G1321" s="12">
        <f t="shared" si="20"/>
        <v>0.66153589269968749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Data!I1322</f>
        <v>0</v>
      </c>
      <c r="F1322" s="14">
        <f>Data!G1322</f>
        <v>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Data!I1323</f>
        <v>355805000000</v>
      </c>
      <c r="F1323" s="14">
        <f>Data!G1323</f>
        <v>515144000000</v>
      </c>
      <c r="G1323" s="12">
        <f t="shared" si="20"/>
        <v>0.69069037007128109</v>
      </c>
    </row>
    <row r="1324" spans="2:7" ht="15" customHeight="1" x14ac:dyDescent="0.3">
      <c r="C1324" s="2"/>
      <c r="D1324" s="8">
        <v>2016</v>
      </c>
      <c r="E1324" s="14">
        <f>Data!I1324</f>
        <v>552157000000</v>
      </c>
      <c r="F1324" s="14">
        <f>Data!G1324</f>
        <v>711321000000</v>
      </c>
      <c r="G1324" s="12">
        <f t="shared" si="20"/>
        <v>0.77624166866998168</v>
      </c>
    </row>
    <row r="1325" spans="2:7" ht="15" customHeight="1" x14ac:dyDescent="0.3">
      <c r="C1325" s="2"/>
      <c r="D1325" s="8">
        <v>2017</v>
      </c>
      <c r="E1325" s="14">
        <f>Data!I1325</f>
        <v>679482000000</v>
      </c>
      <c r="F1325" s="14">
        <f>Data!G1325</f>
        <v>846759000000</v>
      </c>
      <c r="G1325" s="12">
        <f t="shared" si="20"/>
        <v>0.8024502839650951</v>
      </c>
    </row>
    <row r="1326" spans="2:7" ht="15" customHeight="1" x14ac:dyDescent="0.3">
      <c r="C1326" s="2"/>
      <c r="D1326" s="8">
        <v>2018</v>
      </c>
      <c r="E1326" s="14">
        <f>Data!I1326</f>
        <v>815854000000</v>
      </c>
      <c r="F1326" s="14">
        <f>Data!G1326</f>
        <v>997698000000</v>
      </c>
      <c r="G1326" s="12">
        <f t="shared" si="20"/>
        <v>0.81773642926015688</v>
      </c>
    </row>
    <row r="1327" spans="2:7" ht="15" customHeight="1" x14ac:dyDescent="0.3">
      <c r="C1327" s="2"/>
      <c r="D1327" s="8">
        <v>2019</v>
      </c>
      <c r="E1327" s="14">
        <f>Data!I1327</f>
        <v>1076290000000</v>
      </c>
      <c r="F1327" s="14">
        <f>Data!G1327</f>
        <v>1277790000000</v>
      </c>
      <c r="G1327" s="12">
        <f t="shared" si="20"/>
        <v>0.84230585620485365</v>
      </c>
    </row>
    <row r="1328" spans="2:7" ht="15" customHeight="1" x14ac:dyDescent="0.3">
      <c r="C1328" s="2"/>
      <c r="D1328" s="8">
        <v>2020</v>
      </c>
      <c r="E1328" s="14">
        <f>Data!I1328</f>
        <v>1339897000000</v>
      </c>
      <c r="F1328" s="14">
        <f>Data!G1328</f>
        <v>1557316000000</v>
      </c>
      <c r="G1328" s="12">
        <f t="shared" si="20"/>
        <v>0.8603886430242802</v>
      </c>
    </row>
    <row r="1329" spans="2:7" ht="15" customHeight="1" x14ac:dyDescent="0.3">
      <c r="C1329" s="2"/>
      <c r="D1329" s="8">
        <v>2021</v>
      </c>
      <c r="E1329" s="14">
        <f>Data!I1329</f>
        <v>1351260000000</v>
      </c>
      <c r="F1329" s="14">
        <f>Data!G1329</f>
        <v>1610433000000</v>
      </c>
      <c r="G1329" s="12">
        <f t="shared" si="20"/>
        <v>0.83906626354527014</v>
      </c>
    </row>
    <row r="1330" spans="2:7" ht="15" customHeight="1" x14ac:dyDescent="0.3">
      <c r="C1330" s="2"/>
      <c r="D1330" s="8">
        <v>2022</v>
      </c>
      <c r="E1330" s="14">
        <f>Data!I1330</f>
        <v>1183074000000</v>
      </c>
      <c r="F1330" s="14">
        <f>Data!G1330</f>
        <v>1483962000000</v>
      </c>
      <c r="G1330" s="12">
        <f t="shared" si="20"/>
        <v>0.79724009105354454</v>
      </c>
    </row>
    <row r="1331" spans="2:7" ht="15" customHeight="1" x14ac:dyDescent="0.3">
      <c r="C1331" s="2"/>
      <c r="D1331" s="8">
        <v>2023</v>
      </c>
      <c r="E1331" s="14">
        <f>Data!I1331</f>
        <v>1852153000000</v>
      </c>
      <c r="F1331" s="14">
        <f>Data!G1331</f>
        <v>2239940000000</v>
      </c>
      <c r="G1331" s="12">
        <f t="shared" si="20"/>
        <v>0.82687616632588368</v>
      </c>
    </row>
    <row r="1332" spans="2:7" ht="15" customHeight="1" x14ac:dyDescent="0.3">
      <c r="C1332" s="2"/>
      <c r="D1332" s="8">
        <v>2024</v>
      </c>
      <c r="E1332" s="14">
        <f>Data!I1332</f>
        <v>1834599000000</v>
      </c>
      <c r="F1332" s="14">
        <f>Data!G1332</f>
        <v>2280698000000</v>
      </c>
      <c r="G1332" s="12">
        <f t="shared" si="20"/>
        <v>0.8044024241701444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Data!I1333</f>
        <v>0</v>
      </c>
      <c r="F1333" s="14">
        <f>Data!G1333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Data!I1334</f>
        <v>0</v>
      </c>
      <c r="F1334" s="14">
        <f>Data!G1334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Data!I1335</f>
        <v>0</v>
      </c>
      <c r="F1335" s="14">
        <f>Data!G1335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Data!I1336</f>
        <v>0</v>
      </c>
      <c r="F1336" s="14">
        <f>Data!G1336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Data!I1337</f>
        <v>0</v>
      </c>
      <c r="F1337" s="14">
        <f>Data!G1337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Data!I1338</f>
        <v>0</v>
      </c>
      <c r="F1338" s="14">
        <f>Data!G1338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Data!I1339</f>
        <v>0</v>
      </c>
      <c r="F1339" s="14">
        <f>Data!G1339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Data!I1340</f>
        <v>0</v>
      </c>
      <c r="F1340" s="14">
        <f>Data!G1340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Data!I1341</f>
        <v>0</v>
      </c>
      <c r="F1341" s="14">
        <f>Data!G1341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Data!I1342</f>
        <v>0</v>
      </c>
      <c r="F1342" s="14">
        <f>Data!G1342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Data!I1343</f>
        <v>0</v>
      </c>
      <c r="F1343" s="14">
        <f>Data!G1343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Data!I1344</f>
        <v>0</v>
      </c>
      <c r="F1344" s="14">
        <f>Data!G1344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Data!I1345</f>
        <v>0</v>
      </c>
      <c r="F1345" s="14">
        <f>Data!G1345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Data!I1346</f>
        <v>0</v>
      </c>
      <c r="F1346" s="14">
        <f>Data!G1346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Data!I1347</f>
        <v>0</v>
      </c>
      <c r="F1347" s="14">
        <f>Data!G1347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Data!I1348</f>
        <v>0</v>
      </c>
      <c r="F1348" s="14">
        <f>Data!G1348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Data!I1349</f>
        <v>234894775499</v>
      </c>
      <c r="F1349" s="14">
        <f>Data!G1349</f>
        <v>348268361065</v>
      </c>
      <c r="G1349" s="12">
        <f t="shared" si="21"/>
        <v>0.67446487180372894</v>
      </c>
    </row>
    <row r="1350" spans="2:7" ht="15" customHeight="1" x14ac:dyDescent="0.3">
      <c r="C1350" s="2"/>
      <c r="D1350" s="8">
        <v>2020</v>
      </c>
      <c r="E1350" s="14">
        <f>Data!I1350</f>
        <v>278258189798</v>
      </c>
      <c r="F1350" s="14">
        <f>Data!G1350</f>
        <v>394436443248</v>
      </c>
      <c r="G1350" s="12">
        <f t="shared" si="21"/>
        <v>0.7054576080918733</v>
      </c>
    </row>
    <row r="1351" spans="2:7" ht="15" customHeight="1" x14ac:dyDescent="0.3">
      <c r="C1351" s="2"/>
      <c r="D1351" s="8">
        <v>2021</v>
      </c>
      <c r="E1351" s="14">
        <f>Data!I1351</f>
        <v>148551823874</v>
      </c>
      <c r="F1351" s="14">
        <f>Data!G1351</f>
        <v>268539063091</v>
      </c>
      <c r="G1351" s="12">
        <f t="shared" si="21"/>
        <v>0.55318515736259999</v>
      </c>
    </row>
    <row r="1352" spans="2:7" ht="15" customHeight="1" x14ac:dyDescent="0.3">
      <c r="C1352" s="2"/>
      <c r="D1352" s="8">
        <v>2022</v>
      </c>
      <c r="E1352" s="14">
        <f>Data!I1352</f>
        <v>284649382604</v>
      </c>
      <c r="F1352" s="14">
        <f>Data!G1352</f>
        <v>410446680382</v>
      </c>
      <c r="G1352" s="12">
        <f t="shared" si="21"/>
        <v>0.6935112310789765</v>
      </c>
    </row>
    <row r="1353" spans="2:7" ht="15" customHeight="1" x14ac:dyDescent="0.3">
      <c r="C1353" s="2"/>
      <c r="D1353" s="8">
        <v>2023</v>
      </c>
      <c r="E1353" s="14">
        <f>Data!I1353</f>
        <v>571841754906</v>
      </c>
      <c r="F1353" s="14">
        <f>Data!G1353</f>
        <v>862379828144</v>
      </c>
      <c r="G1353" s="12">
        <f t="shared" si="21"/>
        <v>0.66309732236746377</v>
      </c>
    </row>
    <row r="1354" spans="2:7" ht="15" customHeight="1" x14ac:dyDescent="0.3">
      <c r="C1354" s="2"/>
      <c r="D1354" s="8">
        <v>2024</v>
      </c>
      <c r="E1354" s="14">
        <f>Data!I1354</f>
        <v>712520572002</v>
      </c>
      <c r="F1354" s="14">
        <f>Data!G1354</f>
        <v>930448689416</v>
      </c>
      <c r="G1354" s="12">
        <f t="shared" si="21"/>
        <v>0.76578169232439508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Data!I1355</f>
        <v>0</v>
      </c>
      <c r="F1355" s="14">
        <f>Data!G1355</f>
        <v>0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Data!I1356</f>
        <v>705539104876</v>
      </c>
      <c r="F1356" s="14">
        <f>Data!G1356</f>
        <v>921927252120</v>
      </c>
      <c r="G1356" s="12">
        <f t="shared" si="21"/>
        <v>0.76528717776114241</v>
      </c>
    </row>
    <row r="1357" spans="2:7" ht="15" customHeight="1" x14ac:dyDescent="0.3">
      <c r="C1357" s="2"/>
      <c r="D1357" s="8">
        <v>2016</v>
      </c>
      <c r="E1357" s="14">
        <f>Data!I1357</f>
        <v>736615069781</v>
      </c>
      <c r="F1357" s="14">
        <f>Data!G1357</f>
        <v>1136810730112</v>
      </c>
      <c r="G1357" s="12">
        <f t="shared" si="21"/>
        <v>0.64796632391781506</v>
      </c>
    </row>
    <row r="1358" spans="2:7" ht="15" customHeight="1" x14ac:dyDescent="0.3">
      <c r="C1358" s="2"/>
      <c r="D1358" s="8">
        <v>2017</v>
      </c>
      <c r="E1358" s="14">
        <f>Data!I1358</f>
        <v>959959636629</v>
      </c>
      <c r="F1358" s="14">
        <f>Data!G1358</f>
        <v>1327250439408</v>
      </c>
      <c r="G1358" s="12">
        <f t="shared" si="21"/>
        <v>0.72326940577783905</v>
      </c>
    </row>
    <row r="1359" spans="2:7" ht="15" customHeight="1" x14ac:dyDescent="0.3">
      <c r="C1359" s="2"/>
      <c r="D1359" s="8">
        <v>2018</v>
      </c>
      <c r="E1359" s="14">
        <f>Data!I1359</f>
        <v>760633000000</v>
      </c>
      <c r="F1359" s="14">
        <f>Data!G1359</f>
        <v>1242415000000</v>
      </c>
      <c r="G1359" s="12">
        <f t="shared" si="21"/>
        <v>0.61222135920767218</v>
      </c>
    </row>
    <row r="1360" spans="2:7" ht="15" customHeight="1" x14ac:dyDescent="0.3">
      <c r="C1360" s="2"/>
      <c r="D1360" s="8">
        <v>2019</v>
      </c>
      <c r="E1360" s="14">
        <f>Data!I1360</f>
        <v>647787000000</v>
      </c>
      <c r="F1360" s="14">
        <f>Data!G1360</f>
        <v>1149812000000</v>
      </c>
      <c r="G1360" s="12">
        <f t="shared" si="21"/>
        <v>0.56338514470191647</v>
      </c>
    </row>
    <row r="1361" spans="2:7" ht="15" customHeight="1" x14ac:dyDescent="0.3">
      <c r="C1361" s="2"/>
      <c r="D1361" s="8">
        <v>2020</v>
      </c>
      <c r="E1361" s="14">
        <f>Data!I1361</f>
        <v>620369000000</v>
      </c>
      <c r="F1361" s="14">
        <f>Data!G1361</f>
        <v>1148806000000</v>
      </c>
      <c r="G1361" s="12">
        <f t="shared" si="21"/>
        <v>0.5400119776533201</v>
      </c>
    </row>
    <row r="1362" spans="2:7" ht="15" customHeight="1" x14ac:dyDescent="0.3">
      <c r="C1362" s="2"/>
      <c r="D1362" s="8">
        <v>2021</v>
      </c>
      <c r="E1362" s="14">
        <f>Data!I1362</f>
        <v>634345000000</v>
      </c>
      <c r="F1362" s="14">
        <f>Data!G1362</f>
        <v>1197031000000</v>
      </c>
      <c r="G1362" s="12">
        <f t="shared" si="21"/>
        <v>0.52993197335741515</v>
      </c>
    </row>
    <row r="1363" spans="2:7" ht="15" customHeight="1" x14ac:dyDescent="0.3">
      <c r="C1363" s="2"/>
      <c r="D1363" s="8">
        <v>2022</v>
      </c>
      <c r="E1363" s="14">
        <f>Data!I1363</f>
        <v>1037631000000</v>
      </c>
      <c r="F1363" s="14">
        <f>Data!G1363</f>
        <v>1513163000000</v>
      </c>
      <c r="G1363" s="12">
        <f t="shared" si="21"/>
        <v>0.68573643421098718</v>
      </c>
    </row>
    <row r="1364" spans="2:7" ht="15" customHeight="1" x14ac:dyDescent="0.3">
      <c r="C1364" s="2"/>
      <c r="D1364" s="8">
        <v>2023</v>
      </c>
      <c r="E1364" s="14">
        <f>Data!I1364</f>
        <v>1067275000000</v>
      </c>
      <c r="F1364" s="14">
        <f>Data!G1364</f>
        <v>1580050000000</v>
      </c>
      <c r="G1364" s="12">
        <f t="shared" si="21"/>
        <v>0.67546913072371129</v>
      </c>
    </row>
    <row r="1365" spans="2:7" ht="15" customHeight="1" x14ac:dyDescent="0.3">
      <c r="C1365" s="2"/>
      <c r="D1365" s="8">
        <v>2024</v>
      </c>
      <c r="E1365" s="14">
        <f>Data!I1365</f>
        <v>1061690000000</v>
      </c>
      <c r="F1365" s="14">
        <f>Data!G1365</f>
        <v>1618363000000</v>
      </c>
      <c r="G1365" s="12">
        <f t="shared" si="21"/>
        <v>0.65602710887483218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Data!I1366</f>
        <v>0</v>
      </c>
      <c r="F1366" s="14">
        <f>Data!G1366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Data!I1367</f>
        <v>0</v>
      </c>
      <c r="F1367" s="14">
        <f>Data!G1367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Data!I1368</f>
        <v>0</v>
      </c>
      <c r="F1368" s="14">
        <f>Data!G1368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Data!I1369</f>
        <v>0</v>
      </c>
      <c r="F1369" s="14">
        <f>Data!G1369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Data!I1370</f>
        <v>0</v>
      </c>
      <c r="F1370" s="14">
        <f>Data!G1370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Data!I1371</f>
        <v>0</v>
      </c>
      <c r="F1371" s="14">
        <f>Data!G1371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Data!I1372</f>
        <v>0</v>
      </c>
      <c r="F1372" s="14">
        <f>Data!G1372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Data!I1373</f>
        <v>0</v>
      </c>
      <c r="F1373" s="14">
        <f>Data!G1373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Data!I1374</f>
        <v>0</v>
      </c>
      <c r="F1374" s="14">
        <f>Data!G1374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Data!I1375</f>
        <v>0</v>
      </c>
      <c r="F1375" s="14">
        <f>Data!G1375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Data!I1376</f>
        <v>0</v>
      </c>
      <c r="F1376" s="14">
        <f>Data!G1376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Data!I1377</f>
        <v>0</v>
      </c>
      <c r="F1377" s="14">
        <f>Data!G1377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Data!I1378</f>
        <v>0</v>
      </c>
      <c r="F1378" s="14">
        <f>Data!G1378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Data!I1379</f>
        <v>1114898421463</v>
      </c>
      <c r="F1379" s="14">
        <f>Data!G1379</f>
        <v>2300958312318</v>
      </c>
      <c r="G1379" s="12">
        <f t="shared" si="21"/>
        <v>0.48453655830897879</v>
      </c>
    </row>
    <row r="1380" spans="2:7" ht="15" customHeight="1" x14ac:dyDescent="0.3">
      <c r="C1380" s="2"/>
      <c r="D1380" s="8">
        <v>2017</v>
      </c>
      <c r="E1380" s="14">
        <f>Data!I1380</f>
        <v>1291571022946</v>
      </c>
      <c r="F1380" s="14">
        <f>Data!G1380</f>
        <v>2363109344956</v>
      </c>
      <c r="G1380" s="12">
        <f t="shared" si="21"/>
        <v>0.54655575955586955</v>
      </c>
    </row>
    <row r="1381" spans="2:7" ht="15" customHeight="1" x14ac:dyDescent="0.3">
      <c r="C1381" s="2"/>
      <c r="D1381" s="8">
        <v>2018</v>
      </c>
      <c r="E1381" s="14">
        <f>Data!I1381</f>
        <v>1605367155250</v>
      </c>
      <c r="F1381" s="14">
        <f>Data!G1381</f>
        <v>2485186649117</v>
      </c>
      <c r="G1381" s="12">
        <f t="shared" si="21"/>
        <v>0.64597448075797259</v>
      </c>
    </row>
    <row r="1382" spans="2:7" ht="15" customHeight="1" x14ac:dyDescent="0.3">
      <c r="C1382" s="2"/>
      <c r="D1382" s="8">
        <v>2019</v>
      </c>
      <c r="E1382" s="14">
        <f>Data!I1382</f>
        <v>1575194310012</v>
      </c>
      <c r="F1382" s="14">
        <f>Data!G1382</f>
        <v>2423706043201</v>
      </c>
      <c r="G1382" s="12">
        <f t="shared" si="21"/>
        <v>0.64991145045445919</v>
      </c>
    </row>
    <row r="1383" spans="2:7" ht="15" customHeight="1" x14ac:dyDescent="0.3">
      <c r="C1383" s="2"/>
      <c r="D1383" s="8">
        <v>2020</v>
      </c>
      <c r="E1383" s="14">
        <f>Data!I1383</f>
        <v>1954498917680</v>
      </c>
      <c r="F1383" s="14">
        <f>Data!G1383</f>
        <v>2815578393095</v>
      </c>
      <c r="G1383" s="12">
        <f t="shared" si="21"/>
        <v>0.6941731483922684</v>
      </c>
    </row>
    <row r="1384" spans="2:7" ht="15" customHeight="1" x14ac:dyDescent="0.3">
      <c r="C1384" s="2"/>
      <c r="D1384" s="8">
        <v>2021</v>
      </c>
      <c r="E1384" s="14">
        <f>Data!I1384</f>
        <v>2051451547356</v>
      </c>
      <c r="F1384" s="14">
        <f>Data!G1384</f>
        <v>2923286260687</v>
      </c>
      <c r="G1384" s="12">
        <f t="shared" si="21"/>
        <v>0.70176211442046366</v>
      </c>
    </row>
    <row r="1385" spans="2:7" ht="15" customHeight="1" x14ac:dyDescent="0.3">
      <c r="C1385" s="2"/>
      <c r="D1385" s="8">
        <v>2022</v>
      </c>
      <c r="E1385" s="14">
        <f>Data!I1385</f>
        <v>2200516017855</v>
      </c>
      <c r="F1385" s="14">
        <f>Data!G1385</f>
        <v>2930664711078</v>
      </c>
      <c r="G1385" s="12">
        <f t="shared" si="21"/>
        <v>0.75085901486341433</v>
      </c>
    </row>
    <row r="1386" spans="2:7" ht="15" customHeight="1" x14ac:dyDescent="0.3">
      <c r="C1386" s="2"/>
      <c r="D1386" s="8">
        <v>2023</v>
      </c>
      <c r="E1386" s="14">
        <f>Data!I1386</f>
        <v>1925683411166</v>
      </c>
      <c r="F1386" s="14">
        <f>Data!G1386</f>
        <v>2769428113972</v>
      </c>
      <c r="G1386" s="12">
        <f t="shared" si="21"/>
        <v>0.69533612425278835</v>
      </c>
    </row>
    <row r="1387" spans="2:7" ht="15" customHeight="1" x14ac:dyDescent="0.3">
      <c r="C1387" s="2"/>
      <c r="D1387" s="8">
        <v>2024</v>
      </c>
      <c r="E1387" s="14">
        <f>Data!I1387</f>
        <v>2180240658651</v>
      </c>
      <c r="F1387" s="14">
        <f>Data!G1387</f>
        <v>3074044644967</v>
      </c>
      <c r="G1387" s="12">
        <f t="shared" si="21"/>
        <v>0.70924170285575183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Data!I1388</f>
        <v>0</v>
      </c>
      <c r="F1388" s="14">
        <f>Data!G1388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Data!I1389</f>
        <v>0</v>
      </c>
      <c r="F1389" s="14">
        <f>Data!G1389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>
        <f>Data!I1390</f>
        <v>164011629160</v>
      </c>
      <c r="F1390" s="14">
        <f>Data!G1390</f>
        <v>276987702218</v>
      </c>
      <c r="G1390" s="12">
        <f t="shared" si="21"/>
        <v>0.59212603247965323</v>
      </c>
    </row>
    <row r="1391" spans="2:7" ht="15" customHeight="1" x14ac:dyDescent="0.3">
      <c r="C1391" s="2"/>
      <c r="D1391" s="8">
        <v>2017</v>
      </c>
      <c r="E1391" s="14">
        <f>Data!I1391</f>
        <v>165785420562</v>
      </c>
      <c r="F1391" s="14">
        <f>Data!G1391</f>
        <v>299619149119</v>
      </c>
      <c r="G1391" s="12">
        <f t="shared" si="21"/>
        <v>0.55332051055306497</v>
      </c>
    </row>
    <row r="1392" spans="2:7" ht="15" customHeight="1" x14ac:dyDescent="0.3">
      <c r="C1392" s="2"/>
      <c r="D1392" s="8">
        <v>2018</v>
      </c>
      <c r="E1392" s="14">
        <f>Data!I1392</f>
        <v>191693092815</v>
      </c>
      <c r="F1392" s="14">
        <f>Data!G1392</f>
        <v>320972898768</v>
      </c>
      <c r="G1392" s="12">
        <f t="shared" si="21"/>
        <v>0.59722516620805499</v>
      </c>
    </row>
    <row r="1393" spans="2:7" ht="15" customHeight="1" x14ac:dyDescent="0.3">
      <c r="C1393" s="2"/>
      <c r="D1393" s="8">
        <v>2019</v>
      </c>
      <c r="E1393" s="14">
        <f>Data!I1393</f>
        <v>293347106205</v>
      </c>
      <c r="F1393" s="14">
        <f>Data!G1393</f>
        <v>423659163508</v>
      </c>
      <c r="G1393" s="12">
        <f t="shared" si="21"/>
        <v>0.6924129854197304</v>
      </c>
    </row>
    <row r="1394" spans="2:7" ht="15" customHeight="1" x14ac:dyDescent="0.3">
      <c r="C1394" s="2"/>
      <c r="D1394" s="8">
        <v>2020</v>
      </c>
      <c r="E1394" s="14">
        <f>Data!I1394</f>
        <v>417401945292</v>
      </c>
      <c r="F1394" s="14">
        <f>Data!G1394</f>
        <v>551011466072</v>
      </c>
      <c r="G1394" s="12">
        <f t="shared" si="21"/>
        <v>0.75751952725691296</v>
      </c>
    </row>
    <row r="1395" spans="2:7" ht="15" customHeight="1" x14ac:dyDescent="0.3">
      <c r="C1395" s="2"/>
      <c r="D1395" s="8">
        <v>2021</v>
      </c>
      <c r="E1395" s="14">
        <f>Data!I1395</f>
        <v>397498550318</v>
      </c>
      <c r="F1395" s="14">
        <f>Data!G1395</f>
        <v>534962808558</v>
      </c>
      <c r="G1395" s="12">
        <f t="shared" si="21"/>
        <v>0.74303959819087817</v>
      </c>
    </row>
    <row r="1396" spans="2:7" ht="15" customHeight="1" x14ac:dyDescent="0.3">
      <c r="C1396" s="2"/>
      <c r="D1396" s="8">
        <v>2022</v>
      </c>
      <c r="E1396" s="14">
        <f>Data!I1396</f>
        <v>749724065352</v>
      </c>
      <c r="F1396" s="14">
        <f>Data!G1396</f>
        <v>989741834422</v>
      </c>
      <c r="G1396" s="12">
        <f t="shared" si="21"/>
        <v>0.75749457007627841</v>
      </c>
    </row>
    <row r="1397" spans="2:7" ht="15" customHeight="1" x14ac:dyDescent="0.3">
      <c r="C1397" s="2"/>
      <c r="D1397" s="8">
        <v>2023</v>
      </c>
      <c r="E1397" s="14">
        <f>Data!I1397</f>
        <v>1346709540653</v>
      </c>
      <c r="F1397" s="14">
        <f>Data!G1397</f>
        <v>1627392898057</v>
      </c>
      <c r="G1397" s="12">
        <f t="shared" si="21"/>
        <v>0.82752575746206247</v>
      </c>
    </row>
    <row r="1398" spans="2:7" ht="15" customHeight="1" x14ac:dyDescent="0.3">
      <c r="C1398" s="2"/>
      <c r="D1398" s="8">
        <v>2024</v>
      </c>
      <c r="E1398" s="14">
        <f>Data!I1398</f>
        <v>2205819612615</v>
      </c>
      <c r="F1398" s="14">
        <f>Data!G1398</f>
        <v>2562013170057</v>
      </c>
      <c r="G1398" s="12">
        <f t="shared" si="21"/>
        <v>0.86097122309715712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Data!I1399</f>
        <v>0</v>
      </c>
      <c r="F1399" s="14">
        <f>Data!G1399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Data!I1400</f>
        <v>0</v>
      </c>
      <c r="F1400" s="14">
        <f>Data!G1400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Data!I1401</f>
        <v>0</v>
      </c>
      <c r="F1401" s="14">
        <f>Data!G1401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Data!I1402</f>
        <v>0</v>
      </c>
      <c r="F1402" s="14">
        <f>Data!G1402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Data!I1403</f>
        <v>173146000000</v>
      </c>
      <c r="F1403" s="14">
        <f>Data!G1403</f>
        <v>351591000000</v>
      </c>
      <c r="G1403" s="12">
        <f t="shared" si="21"/>
        <v>0.49246425534214472</v>
      </c>
    </row>
    <row r="1404" spans="2:7" ht="15" customHeight="1" x14ac:dyDescent="0.3">
      <c r="C1404" s="2"/>
      <c r="D1404" s="8">
        <v>2019</v>
      </c>
      <c r="E1404" s="14">
        <f>Data!I1404</f>
        <v>295390000000</v>
      </c>
      <c r="F1404" s="14">
        <f>Data!G1404</f>
        <v>495110000000</v>
      </c>
      <c r="G1404" s="12">
        <f t="shared" si="21"/>
        <v>0.59661489365999476</v>
      </c>
    </row>
    <row r="1405" spans="2:7" ht="15" customHeight="1" x14ac:dyDescent="0.3">
      <c r="C1405" s="2"/>
      <c r="D1405" s="8">
        <v>2020</v>
      </c>
      <c r="E1405" s="14">
        <f>Data!I1405</f>
        <v>291332000000</v>
      </c>
      <c r="F1405" s="14">
        <f>Data!G1405</f>
        <v>508956000000</v>
      </c>
      <c r="G1405" s="12">
        <f t="shared" si="21"/>
        <v>0.57241097462256074</v>
      </c>
    </row>
    <row r="1406" spans="2:7" ht="15" customHeight="1" x14ac:dyDescent="0.3">
      <c r="C1406" s="2"/>
      <c r="D1406" s="8">
        <v>2021</v>
      </c>
      <c r="E1406" s="14">
        <f>Data!I1406</f>
        <v>333196000000</v>
      </c>
      <c r="F1406" s="14">
        <f>Data!G1406</f>
        <v>575553000000</v>
      </c>
      <c r="G1406" s="12">
        <f t="shared" si="21"/>
        <v>0.57891453958193251</v>
      </c>
    </row>
    <row r="1407" spans="2:7" ht="15" customHeight="1" x14ac:dyDescent="0.3">
      <c r="C1407" s="2"/>
      <c r="D1407" s="8">
        <v>2022</v>
      </c>
      <c r="E1407" s="14">
        <f>Data!I1407</f>
        <v>431505000000</v>
      </c>
      <c r="F1407" s="14">
        <f>Data!G1407</f>
        <v>703772000000</v>
      </c>
      <c r="G1407" s="12">
        <f t="shared" si="21"/>
        <v>0.6131318097338343</v>
      </c>
    </row>
    <row r="1408" spans="2:7" ht="15" customHeight="1" x14ac:dyDescent="0.3">
      <c r="C1408" s="2"/>
      <c r="D1408" s="8">
        <v>2023</v>
      </c>
      <c r="E1408" s="14">
        <f>Data!I1408</f>
        <v>478352000000</v>
      </c>
      <c r="F1408" s="14">
        <f>Data!G1408</f>
        <v>773247000000</v>
      </c>
      <c r="G1408" s="12">
        <f t="shared" si="21"/>
        <v>0.6186276830042664</v>
      </c>
    </row>
    <row r="1409" spans="2:7" ht="15" customHeight="1" x14ac:dyDescent="0.3">
      <c r="C1409" s="2"/>
      <c r="D1409" s="8">
        <v>2024</v>
      </c>
      <c r="E1409" s="14">
        <f>Data!I1409</f>
        <v>244654000000</v>
      </c>
      <c r="F1409" s="14">
        <f>Data!G1409</f>
        <v>553767000000</v>
      </c>
      <c r="G1409" s="12">
        <f t="shared" si="21"/>
        <v>0.44179952940496636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Data!I1410</f>
        <v>0</v>
      </c>
      <c r="F1410" s="14">
        <f>Data!G1410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>
        <f>Data!I1411</f>
        <v>182894000000</v>
      </c>
      <c r="F1411" s="14">
        <f>Data!G1411</f>
        <v>335374000000</v>
      </c>
      <c r="G1411" s="12">
        <f t="shared" ref="G1411:G1474" si="22">IFERROR(E1411/F1411,0)</f>
        <v>0.54534340765831579</v>
      </c>
    </row>
    <row r="1412" spans="2:7" ht="15" customHeight="1" x14ac:dyDescent="0.3">
      <c r="C1412" s="2"/>
      <c r="D1412" s="8">
        <v>2016</v>
      </c>
      <c r="E1412" s="14">
        <f>Data!I1412</f>
        <v>235231000000</v>
      </c>
      <c r="F1412" s="14">
        <f>Data!G1412</f>
        <v>419115000000</v>
      </c>
      <c r="G1412" s="12">
        <f t="shared" si="22"/>
        <v>0.56125645705832528</v>
      </c>
    </row>
    <row r="1413" spans="2:7" ht="15" customHeight="1" x14ac:dyDescent="0.3">
      <c r="C1413" s="2"/>
      <c r="D1413" s="8">
        <v>2017</v>
      </c>
      <c r="E1413" s="14">
        <f>Data!I1413</f>
        <v>372449000000</v>
      </c>
      <c r="F1413" s="14">
        <f>Data!G1413</f>
        <v>569073000000</v>
      </c>
      <c r="G1413" s="12">
        <f t="shared" si="22"/>
        <v>0.654483695413418</v>
      </c>
    </row>
    <row r="1414" spans="2:7" ht="15" customHeight="1" x14ac:dyDescent="0.3">
      <c r="C1414" s="2"/>
      <c r="D1414" s="8">
        <v>2018</v>
      </c>
      <c r="E1414" s="14">
        <f>Data!I1414</f>
        <v>281950000000</v>
      </c>
      <c r="F1414" s="14">
        <f>Data!G1414</f>
        <v>483420000000</v>
      </c>
      <c r="G1414" s="12">
        <f t="shared" si="22"/>
        <v>0.583240246576476</v>
      </c>
    </row>
    <row r="1415" spans="2:7" ht="15" customHeight="1" x14ac:dyDescent="0.3">
      <c r="C1415" s="2"/>
      <c r="D1415" s="8">
        <v>2019</v>
      </c>
      <c r="E1415" s="14">
        <f>Data!I1415</f>
        <v>395301000000</v>
      </c>
      <c r="F1415" s="14">
        <f>Data!G1415</f>
        <v>596201000000</v>
      </c>
      <c r="G1415" s="12">
        <f t="shared" si="22"/>
        <v>0.66303310460733877</v>
      </c>
    </row>
    <row r="1416" spans="2:7" ht="15" customHeight="1" x14ac:dyDescent="0.3">
      <c r="C1416" s="2"/>
      <c r="D1416" s="8">
        <v>2020</v>
      </c>
      <c r="E1416" s="14">
        <f>Data!I1416</f>
        <v>365713000000</v>
      </c>
      <c r="F1416" s="14">
        <f>Data!G1416</f>
        <v>566735000000</v>
      </c>
      <c r="G1416" s="12">
        <f t="shared" si="22"/>
        <v>0.64529806699780323</v>
      </c>
    </row>
    <row r="1417" spans="2:7" ht="15" customHeight="1" x14ac:dyDescent="0.3">
      <c r="C1417" s="2"/>
      <c r="D1417" s="8">
        <v>2021</v>
      </c>
      <c r="E1417" s="14">
        <f>Data!I1417</f>
        <v>382472000000</v>
      </c>
      <c r="F1417" s="14">
        <f>Data!G1417</f>
        <v>591157000000</v>
      </c>
      <c r="G1417" s="12">
        <f t="shared" si="22"/>
        <v>0.64698887097674562</v>
      </c>
    </row>
    <row r="1418" spans="2:7" ht="15" customHeight="1" x14ac:dyDescent="0.3">
      <c r="C1418" s="2"/>
      <c r="D1418" s="8">
        <v>2022</v>
      </c>
      <c r="E1418" s="14">
        <f>Data!I1418</f>
        <v>430686000000</v>
      </c>
      <c r="F1418" s="14">
        <f>Data!G1418</f>
        <v>635138000000</v>
      </c>
      <c r="G1418" s="12">
        <f t="shared" si="22"/>
        <v>0.6780983030459522</v>
      </c>
    </row>
    <row r="1419" spans="2:7" ht="15" customHeight="1" x14ac:dyDescent="0.3">
      <c r="C1419" s="2"/>
      <c r="D1419" s="8">
        <v>2023</v>
      </c>
      <c r="E1419" s="14">
        <f>Data!I1419</f>
        <v>448499000000</v>
      </c>
      <c r="F1419" s="14">
        <f>Data!G1419</f>
        <v>678719000000</v>
      </c>
      <c r="G1419" s="12">
        <f t="shared" si="22"/>
        <v>0.66080218765055931</v>
      </c>
    </row>
    <row r="1420" spans="2:7" ht="15" customHeight="1" x14ac:dyDescent="0.3">
      <c r="C1420" s="2"/>
      <c r="D1420" s="8">
        <v>2024</v>
      </c>
      <c r="E1420" s="14">
        <f>Data!I1420</f>
        <v>419076000000</v>
      </c>
      <c r="F1420" s="14">
        <f>Data!G1420</f>
        <v>635835000000</v>
      </c>
      <c r="G1420" s="12">
        <f t="shared" si="22"/>
        <v>0.65909552006416761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Data!I1421</f>
        <v>0</v>
      </c>
      <c r="F1421" s="14">
        <f>Data!G1421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Data!I1422</f>
        <v>0</v>
      </c>
      <c r="F1422" s="14">
        <f>Data!G1422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Data!I1423</f>
        <v>0</v>
      </c>
      <c r="F1423" s="14">
        <f>Data!G1423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Data!I1424</f>
        <v>0</v>
      </c>
      <c r="F1424" s="14">
        <f>Data!G1424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Data!I1425</f>
        <v>0</v>
      </c>
      <c r="F1425" s="14">
        <f>Data!G1425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Data!I1426</f>
        <v>743653000000</v>
      </c>
      <c r="F1426" s="14">
        <f>Data!G1426</f>
        <v>927221000000</v>
      </c>
      <c r="G1426" s="12">
        <f t="shared" si="22"/>
        <v>0.80202346581882855</v>
      </c>
    </row>
    <row r="1427" spans="2:7" ht="15" customHeight="1" x14ac:dyDescent="0.3">
      <c r="C1427" s="2"/>
      <c r="D1427" s="8">
        <v>2020</v>
      </c>
      <c r="E1427" s="14">
        <f>Data!I1427</f>
        <v>561389000000</v>
      </c>
      <c r="F1427" s="14">
        <f>Data!G1427</f>
        <v>704994000000</v>
      </c>
      <c r="G1427" s="12">
        <f t="shared" si="22"/>
        <v>0.7963032309494833</v>
      </c>
    </row>
    <row r="1428" spans="2:7" ht="15" customHeight="1" x14ac:dyDescent="0.3">
      <c r="C1428" s="2"/>
      <c r="D1428" s="8">
        <v>2021</v>
      </c>
      <c r="E1428" s="14">
        <f>Data!I1428</f>
        <v>580034000000</v>
      </c>
      <c r="F1428" s="14">
        <f>Data!G1428</f>
        <v>687707000000</v>
      </c>
      <c r="G1428" s="12">
        <f t="shared" si="22"/>
        <v>0.84343186851377117</v>
      </c>
    </row>
    <row r="1429" spans="2:7" ht="15" customHeight="1" x14ac:dyDescent="0.3">
      <c r="C1429" s="2"/>
      <c r="D1429" s="8">
        <v>2022</v>
      </c>
      <c r="E1429" s="14">
        <f>Data!I1429</f>
        <v>425266000000</v>
      </c>
      <c r="F1429" s="14">
        <f>Data!G1429</f>
        <v>490826000000</v>
      </c>
      <c r="G1429" s="12">
        <f t="shared" si="22"/>
        <v>0.86642924376459274</v>
      </c>
    </row>
    <row r="1430" spans="2:7" ht="15" customHeight="1" x14ac:dyDescent="0.3">
      <c r="C1430" s="2"/>
      <c r="D1430" s="8">
        <v>2023</v>
      </c>
      <c r="E1430" s="14">
        <f>Data!I1430</f>
        <v>354185000000</v>
      </c>
      <c r="F1430" s="14">
        <f>Data!G1430</f>
        <v>587866000000</v>
      </c>
      <c r="G1430" s="12">
        <f t="shared" si="22"/>
        <v>0.6024927449452766</v>
      </c>
    </row>
    <row r="1431" spans="2:7" ht="15" customHeight="1" x14ac:dyDescent="0.3">
      <c r="C1431" s="2"/>
      <c r="D1431" s="8">
        <v>2024</v>
      </c>
      <c r="E1431" s="14">
        <f>Data!I1431</f>
        <v>307361000000</v>
      </c>
      <c r="F1431" s="14">
        <f>Data!G1431</f>
        <v>541991000000</v>
      </c>
      <c r="G1431" s="12">
        <f t="shared" si="22"/>
        <v>0.5670961325926076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Data!I1432</f>
        <v>0</v>
      </c>
      <c r="F1432" s="14">
        <f>Data!G1432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Data!I1433</f>
        <v>1255776000000</v>
      </c>
      <c r="F1433" s="14">
        <f>Data!G1433</f>
        <v>1654879000000</v>
      </c>
      <c r="G1433" s="12">
        <f t="shared" si="22"/>
        <v>0.75883251887298109</v>
      </c>
    </row>
    <row r="1434" spans="2:7" ht="15" customHeight="1" x14ac:dyDescent="0.3">
      <c r="C1434" s="2"/>
      <c r="D1434" s="8">
        <v>2016</v>
      </c>
      <c r="E1434" s="14">
        <f>Data!I1434</f>
        <v>1505935000000</v>
      </c>
      <c r="F1434" s="14">
        <f>Data!G1434</f>
        <v>2081528000000</v>
      </c>
      <c r="G1434" s="12">
        <f t="shared" si="22"/>
        <v>0.72347573513303687</v>
      </c>
    </row>
    <row r="1435" spans="2:7" ht="15" customHeight="1" x14ac:dyDescent="0.3">
      <c r="C1435" s="2"/>
      <c r="D1435" s="8">
        <v>2017</v>
      </c>
      <c r="E1435" s="14">
        <f>Data!I1435</f>
        <v>1811281000000</v>
      </c>
      <c r="F1435" s="14">
        <f>Data!G1435</f>
        <v>2509102000000</v>
      </c>
      <c r="G1435" s="12">
        <f t="shared" si="22"/>
        <v>0.7218841641352165</v>
      </c>
    </row>
    <row r="1436" spans="2:7" ht="15" customHeight="1" x14ac:dyDescent="0.3">
      <c r="C1436" s="2"/>
      <c r="D1436" s="8">
        <v>2018</v>
      </c>
      <c r="E1436" s="14">
        <f>Data!I1436</f>
        <v>2293431000000</v>
      </c>
      <c r="F1436" s="14">
        <f>Data!G1436</f>
        <v>3176819000000</v>
      </c>
      <c r="G1436" s="12">
        <f t="shared" si="22"/>
        <v>0.72192687087303364</v>
      </c>
    </row>
    <row r="1437" spans="2:7" ht="15" customHeight="1" x14ac:dyDescent="0.3">
      <c r="C1437" s="2"/>
      <c r="D1437" s="8">
        <v>2019</v>
      </c>
      <c r="E1437" s="14">
        <f>Data!I1437</f>
        <v>2785559000000</v>
      </c>
      <c r="F1437" s="14">
        <f>Data!G1437</f>
        <v>3778141000000</v>
      </c>
      <c r="G1437" s="12">
        <f t="shared" si="22"/>
        <v>0.73728296535253712</v>
      </c>
    </row>
    <row r="1438" spans="2:7" ht="15" customHeight="1" x14ac:dyDescent="0.3">
      <c r="C1438" s="2"/>
      <c r="D1438" s="8">
        <v>2020</v>
      </c>
      <c r="E1438" s="14">
        <f>Data!I1438</f>
        <v>2874147000000</v>
      </c>
      <c r="F1438" s="14">
        <f>Data!G1438</f>
        <v>3977183000000</v>
      </c>
      <c r="G1438" s="12">
        <f t="shared" si="22"/>
        <v>0.72265897747224606</v>
      </c>
    </row>
    <row r="1439" spans="2:7" ht="15" customHeight="1" x14ac:dyDescent="0.3">
      <c r="C1439" s="2"/>
      <c r="D1439" s="8">
        <v>2021</v>
      </c>
      <c r="E1439" s="14">
        <f>Data!I1439</f>
        <v>2686359000000</v>
      </c>
      <c r="F1439" s="14">
        <f>Data!G1439</f>
        <v>3813210000000</v>
      </c>
      <c r="G1439" s="12">
        <f t="shared" si="22"/>
        <v>0.70448755772695448</v>
      </c>
    </row>
    <row r="1440" spans="2:7" ht="15" customHeight="1" x14ac:dyDescent="0.3">
      <c r="C1440" s="2"/>
      <c r="D1440" s="8">
        <v>2022</v>
      </c>
      <c r="E1440" s="14">
        <f>Data!I1440</f>
        <v>3049300000000</v>
      </c>
      <c r="F1440" s="14">
        <f>Data!G1440</f>
        <v>4182576000000</v>
      </c>
      <c r="G1440" s="12">
        <f t="shared" si="22"/>
        <v>0.72904831854818652</v>
      </c>
    </row>
    <row r="1441" spans="2:7" ht="15" customHeight="1" x14ac:dyDescent="0.3">
      <c r="C1441" s="2"/>
      <c r="D1441" s="8">
        <v>2023</v>
      </c>
      <c r="E1441" s="14">
        <f>Data!I1441</f>
        <v>2747046000000</v>
      </c>
      <c r="F1441" s="14">
        <f>Data!G1441</f>
        <v>3974838000000</v>
      </c>
      <c r="G1441" s="12">
        <f t="shared" si="22"/>
        <v>0.69110892066544594</v>
      </c>
    </row>
    <row r="1442" spans="2:7" ht="15" customHeight="1" x14ac:dyDescent="0.3">
      <c r="C1442" s="2"/>
      <c r="D1442" s="8">
        <v>2024</v>
      </c>
      <c r="E1442" s="14">
        <f>Data!I1442</f>
        <v>3102337000000</v>
      </c>
      <c r="F1442" s="14">
        <f>Data!G1442</f>
        <v>4478676000000</v>
      </c>
      <c r="G1442" s="12">
        <f t="shared" si="22"/>
        <v>0.69269065232671445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Data!I1443</f>
        <v>0</v>
      </c>
      <c r="F1443" s="14">
        <f>Data!G1443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Data!I1444</f>
        <v>0</v>
      </c>
      <c r="F1444" s="14">
        <f>Data!G1444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Data!I1445</f>
        <v>246684000000</v>
      </c>
      <c r="F1445" s="14">
        <f>Data!G1445</f>
        <v>401317000000</v>
      </c>
      <c r="G1445" s="12">
        <f t="shared" si="22"/>
        <v>0.61468614586474035</v>
      </c>
    </row>
    <row r="1446" spans="2:7" ht="15" customHeight="1" x14ac:dyDescent="0.3">
      <c r="C1446" s="2"/>
      <c r="D1446" s="8">
        <v>2017</v>
      </c>
      <c r="E1446" s="14">
        <f>Data!I1446</f>
        <v>242180000000</v>
      </c>
      <c r="F1446" s="14">
        <f>Data!G1446</f>
        <v>398393000000</v>
      </c>
      <c r="G1446" s="12">
        <f t="shared" si="22"/>
        <v>0.60789220694138701</v>
      </c>
    </row>
    <row r="1447" spans="2:7" ht="15" customHeight="1" x14ac:dyDescent="0.3">
      <c r="C1447" s="2"/>
      <c r="D1447" s="8">
        <v>2018</v>
      </c>
      <c r="E1447" s="14">
        <f>Data!I1447</f>
        <v>297147000000</v>
      </c>
      <c r="F1447" s="14">
        <f>Data!G1447</f>
        <v>424899000000</v>
      </c>
      <c r="G1447" s="12">
        <f t="shared" si="22"/>
        <v>0.69933560681479601</v>
      </c>
    </row>
    <row r="1448" spans="2:7" ht="15" customHeight="1" x14ac:dyDescent="0.3">
      <c r="C1448" s="2"/>
      <c r="D1448" s="8">
        <v>2019</v>
      </c>
      <c r="E1448" s="14">
        <f>Data!I1448</f>
        <v>304449000000</v>
      </c>
      <c r="F1448" s="14">
        <f>Data!G1448</f>
        <v>436899000000</v>
      </c>
      <c r="G1448" s="12">
        <f t="shared" si="22"/>
        <v>0.69684068858019821</v>
      </c>
    </row>
    <row r="1449" spans="2:7" ht="15" customHeight="1" x14ac:dyDescent="0.3">
      <c r="C1449" s="2"/>
      <c r="D1449" s="8">
        <v>2020</v>
      </c>
      <c r="E1449" s="14">
        <f>Data!I1449</f>
        <v>433419000000</v>
      </c>
      <c r="F1449" s="14">
        <f>Data!G1449</f>
        <v>560015000000</v>
      </c>
      <c r="G1449" s="12">
        <f t="shared" si="22"/>
        <v>0.77394176941689063</v>
      </c>
    </row>
    <row r="1450" spans="2:7" ht="15" customHeight="1" x14ac:dyDescent="0.3">
      <c r="C1450" s="2"/>
      <c r="D1450" s="8">
        <v>2021</v>
      </c>
      <c r="E1450" s="14">
        <f>Data!I1450</f>
        <v>589127000000</v>
      </c>
      <c r="F1450" s="14">
        <f>Data!G1450</f>
        <v>722678000000</v>
      </c>
      <c r="G1450" s="12">
        <f t="shared" si="22"/>
        <v>0.81519985387683036</v>
      </c>
    </row>
    <row r="1451" spans="2:7" ht="15" customHeight="1" x14ac:dyDescent="0.3">
      <c r="C1451" s="2"/>
      <c r="D1451" s="8">
        <v>2022</v>
      </c>
      <c r="E1451" s="14">
        <f>Data!I1451</f>
        <v>522129000000</v>
      </c>
      <c r="F1451" s="14">
        <f>Data!G1451</f>
        <v>647073000000</v>
      </c>
      <c r="G1451" s="12">
        <f t="shared" si="22"/>
        <v>0.80690895772192628</v>
      </c>
    </row>
    <row r="1452" spans="2:7" ht="15" customHeight="1" x14ac:dyDescent="0.3">
      <c r="C1452" s="2"/>
      <c r="D1452" s="8">
        <v>2023</v>
      </c>
      <c r="E1452" s="14">
        <f>Data!I1452</f>
        <v>636319000000</v>
      </c>
      <c r="F1452" s="14">
        <f>Data!G1452</f>
        <v>768681000000</v>
      </c>
      <c r="G1452" s="12">
        <f t="shared" si="22"/>
        <v>0.82780633318632824</v>
      </c>
    </row>
    <row r="1453" spans="2:7" ht="15" customHeight="1" x14ac:dyDescent="0.3">
      <c r="C1453" s="2"/>
      <c r="D1453" s="8">
        <v>2024</v>
      </c>
      <c r="E1453" s="14">
        <f>Data!I1453</f>
        <v>477631000000</v>
      </c>
      <c r="F1453" s="14">
        <f>Data!G1453</f>
        <v>660490000000</v>
      </c>
      <c r="G1453" s="12">
        <f t="shared" si="22"/>
        <v>0.72314645187663706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Data!I1454</f>
        <v>0</v>
      </c>
      <c r="F1454" s="14">
        <f>Data!G1454</f>
        <v>0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Data!I1455</f>
        <v>46028515784</v>
      </c>
      <c r="F1455" s="14">
        <f>Data!G1455</f>
        <v>210608052893</v>
      </c>
      <c r="G1455" s="12">
        <f t="shared" si="22"/>
        <v>0.21855059743316138</v>
      </c>
    </row>
    <row r="1456" spans="2:7" ht="15" customHeight="1" x14ac:dyDescent="0.3">
      <c r="C1456" s="1"/>
      <c r="D1456" s="8">
        <v>2016</v>
      </c>
      <c r="E1456" s="14">
        <f>Data!I1456</f>
        <v>66608341403</v>
      </c>
      <c r="F1456" s="14">
        <f>Data!G1456</f>
        <v>233874624756</v>
      </c>
      <c r="G1456" s="12">
        <f t="shared" si="22"/>
        <v>0.28480362703945367</v>
      </c>
    </row>
    <row r="1457" spans="2:7" ht="15" customHeight="1" x14ac:dyDescent="0.3">
      <c r="C1457" s="1"/>
      <c r="D1457" s="8">
        <v>2017</v>
      </c>
      <c r="E1457" s="14">
        <f>Data!I1457</f>
        <v>63740887119</v>
      </c>
      <c r="F1457" s="14">
        <f>Data!G1457</f>
        <v>253642764681</v>
      </c>
      <c r="G1457" s="12">
        <f t="shared" si="22"/>
        <v>0.25130181497258663</v>
      </c>
    </row>
    <row r="1458" spans="2:7" ht="15" customHeight="1" x14ac:dyDescent="0.3">
      <c r="C1458" s="1"/>
      <c r="D1458" s="8">
        <v>2018</v>
      </c>
      <c r="E1458" s="14">
        <f>Data!I1458</f>
        <v>82390315351</v>
      </c>
      <c r="F1458" s="14">
        <f>Data!G1458</f>
        <v>262118630829</v>
      </c>
      <c r="G1458" s="12">
        <f t="shared" si="22"/>
        <v>0.31432452966210361</v>
      </c>
    </row>
    <row r="1459" spans="2:7" ht="15" customHeight="1" x14ac:dyDescent="0.3">
      <c r="C1459" s="1"/>
      <c r="D1459" s="8">
        <v>2019</v>
      </c>
      <c r="E1459" s="14">
        <f>Data!I1459</f>
        <v>97838690688</v>
      </c>
      <c r="F1459" s="14">
        <f>Data!G1459</f>
        <v>284170955431</v>
      </c>
      <c r="G1459" s="12">
        <f t="shared" si="22"/>
        <v>0.34429518153820038</v>
      </c>
    </row>
    <row r="1460" spans="2:7" ht="15" customHeight="1" x14ac:dyDescent="0.3">
      <c r="C1460" s="1"/>
      <c r="D1460" s="8">
        <v>2020</v>
      </c>
      <c r="E1460" s="14">
        <f>Data!I1460</f>
        <v>138095296876</v>
      </c>
      <c r="F1460" s="14">
        <f>Data!G1460</f>
        <v>322342387320</v>
      </c>
      <c r="G1460" s="12">
        <f t="shared" si="22"/>
        <v>0.42841184500786184</v>
      </c>
    </row>
    <row r="1461" spans="2:7" ht="15" customHeight="1" x14ac:dyDescent="0.3">
      <c r="C1461" s="1"/>
      <c r="D1461" s="8">
        <v>2021</v>
      </c>
      <c r="E1461" s="14">
        <f>Data!I1461</f>
        <v>115984412838</v>
      </c>
      <c r="F1461" s="14">
        <f>Data!G1461</f>
        <v>356588372475</v>
      </c>
      <c r="G1461" s="12">
        <f t="shared" si="22"/>
        <v>0.32526134274367441</v>
      </c>
    </row>
    <row r="1462" spans="2:7" ht="15" customHeight="1" x14ac:dyDescent="0.3">
      <c r="C1462" s="1"/>
      <c r="D1462" s="8">
        <v>2022</v>
      </c>
      <c r="E1462" s="14">
        <f>Data!I1462</f>
        <v>110511030657</v>
      </c>
      <c r="F1462" s="14">
        <f>Data!G1462</f>
        <v>297046208202</v>
      </c>
      <c r="G1462" s="12">
        <f t="shared" si="22"/>
        <v>0.37203313021874801</v>
      </c>
    </row>
    <row r="1463" spans="2:7" ht="15" customHeight="1" x14ac:dyDescent="0.3">
      <c r="C1463" s="1"/>
      <c r="D1463" s="8">
        <v>2023</v>
      </c>
      <c r="E1463" s="14">
        <f>Data!I1463</f>
        <v>89305716000</v>
      </c>
      <c r="F1463" s="14">
        <f>Data!G1463</f>
        <v>242935248490</v>
      </c>
      <c r="G1463" s="12">
        <f t="shared" si="22"/>
        <v>0.36761119086296823</v>
      </c>
    </row>
    <row r="1464" spans="2:7" ht="15" customHeight="1" x14ac:dyDescent="0.3">
      <c r="C1464" s="1"/>
      <c r="D1464" s="8">
        <v>2024</v>
      </c>
      <c r="E1464" s="14">
        <f>Data!I1464</f>
        <v>90986566446</v>
      </c>
      <c r="F1464" s="14">
        <f>Data!G1464</f>
        <v>243101289401</v>
      </c>
      <c r="G1464" s="12">
        <f t="shared" si="22"/>
        <v>0.37427430627863106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Data!I1465</f>
        <v>0</v>
      </c>
      <c r="F1465" s="14">
        <f>Data!G1465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Data!I1466</f>
        <v>0</v>
      </c>
      <c r="F1466" s="14">
        <f>Data!G1466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Data!I1467</f>
        <v>0</v>
      </c>
      <c r="F1467" s="14">
        <f>Data!G1467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Data!I1468</f>
        <v>0</v>
      </c>
      <c r="F1468" s="14">
        <f>Data!G1468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Data!I1469</f>
        <v>0</v>
      </c>
      <c r="F1469" s="14">
        <f>Data!G1469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Data!I1470</f>
        <v>0</v>
      </c>
      <c r="F1470" s="14">
        <f>Data!G1470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>
        <f>Data!I1471</f>
        <v>4272769000000</v>
      </c>
      <c r="F1471" s="14">
        <f>Data!G1471</f>
        <v>9083071000000</v>
      </c>
      <c r="G1471" s="12">
        <f t="shared" si="22"/>
        <v>0.47041017294701321</v>
      </c>
    </row>
    <row r="1472" spans="2:7" ht="15" customHeight="1" x14ac:dyDescent="0.3">
      <c r="C1472" s="2"/>
      <c r="D1472" s="8">
        <v>2021</v>
      </c>
      <c r="E1472" s="14">
        <f>Data!I1472</f>
        <v>4132285000000</v>
      </c>
      <c r="F1472" s="14">
        <f>Data!G1472</f>
        <v>8736337000000</v>
      </c>
      <c r="G1472" s="12">
        <f t="shared" si="22"/>
        <v>0.4729997251708582</v>
      </c>
    </row>
    <row r="1473" spans="1:7" ht="15" customHeight="1" x14ac:dyDescent="0.3">
      <c r="C1473" s="2"/>
      <c r="D1473" s="8">
        <v>2022</v>
      </c>
      <c r="E1473" s="14">
        <f>Data!I1473</f>
        <v>4323905000000</v>
      </c>
      <c r="F1473" s="14">
        <f>Data!G1473</f>
        <v>9007172000000</v>
      </c>
      <c r="G1473" s="12">
        <f t="shared" si="22"/>
        <v>0.48005134130890359</v>
      </c>
    </row>
    <row r="1474" spans="1:7" ht="15" customHeight="1" x14ac:dyDescent="0.3">
      <c r="C1474" s="2"/>
      <c r="D1474" s="8">
        <v>2023</v>
      </c>
      <c r="E1474" s="14">
        <f>Data!I1474</f>
        <v>4517653000000</v>
      </c>
      <c r="F1474" s="14">
        <f>Data!G1474</f>
        <v>9230856000000</v>
      </c>
      <c r="G1474" s="12">
        <f t="shared" si="22"/>
        <v>0.4894078078999391</v>
      </c>
    </row>
    <row r="1475" spans="1:7" ht="15" customHeight="1" x14ac:dyDescent="0.3">
      <c r="C1475" s="2"/>
      <c r="D1475" s="8">
        <v>2024</v>
      </c>
      <c r="E1475" s="14">
        <f>Data!I1475</f>
        <v>4526722000000</v>
      </c>
      <c r="F1475" s="14">
        <f>Data!G1475</f>
        <v>9328004000000</v>
      </c>
      <c r="G1475" s="12">
        <f t="shared" ref="G1475:G1538" si="23">IFERROR(E1475/F1475,0)</f>
        <v>0.48528302517880567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Data!I1476</f>
        <v>0</v>
      </c>
      <c r="F1476" s="14">
        <f>Data!G1476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Data!I1477</f>
        <v>0</v>
      </c>
      <c r="F1477" s="14">
        <f>Data!G1477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Data!I1478</f>
        <v>0</v>
      </c>
      <c r="F1478" s="14">
        <f>Data!G1478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Data!I1479</f>
        <v>0</v>
      </c>
      <c r="F1479" s="14">
        <f>Data!G1479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Data!I1480</f>
        <v>0</v>
      </c>
      <c r="F1480" s="14">
        <f>Data!G1480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Data!I1481</f>
        <v>0</v>
      </c>
      <c r="F1481" s="14">
        <f>Data!G1481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Data!I1482</f>
        <v>637357000000</v>
      </c>
      <c r="F1482" s="14">
        <f>Data!G1482</f>
        <v>1619009000000</v>
      </c>
      <c r="G1482" s="12">
        <f t="shared" si="23"/>
        <v>0.3936710666833847</v>
      </c>
    </row>
    <row r="1483" spans="1:7" ht="15" customHeight="1" x14ac:dyDescent="0.3">
      <c r="C1483" s="1"/>
      <c r="D1483" s="8">
        <v>2021</v>
      </c>
      <c r="E1483" s="14">
        <f>Data!I1483</f>
        <v>519143000000</v>
      </c>
      <c r="F1483" s="14">
        <f>Data!G1483</f>
        <v>1126499000000</v>
      </c>
      <c r="G1483" s="12">
        <f t="shared" si="23"/>
        <v>0.46084639222937612</v>
      </c>
    </row>
    <row r="1484" spans="1:7" ht="15" customHeight="1" x14ac:dyDescent="0.3">
      <c r="C1484" s="1"/>
      <c r="D1484" s="8">
        <v>2022</v>
      </c>
      <c r="E1484" s="14">
        <f>Data!I1484</f>
        <v>675837000000</v>
      </c>
      <c r="F1484" s="14">
        <f>Data!G1484</f>
        <v>1304211000000</v>
      </c>
      <c r="G1484" s="12">
        <f t="shared" si="23"/>
        <v>0.5181960587665646</v>
      </c>
    </row>
    <row r="1485" spans="1:7" ht="15" customHeight="1" x14ac:dyDescent="0.3">
      <c r="C1485" s="1"/>
      <c r="D1485" s="8">
        <v>2023</v>
      </c>
      <c r="E1485" s="14">
        <f>Data!I1485</f>
        <v>876248000000</v>
      </c>
      <c r="F1485" s="14">
        <f>Data!G1485</f>
        <v>1559910000000</v>
      </c>
      <c r="G1485" s="12">
        <f t="shared" si="23"/>
        <v>0.5617298433884006</v>
      </c>
    </row>
    <row r="1486" spans="1:7" ht="15" customHeight="1" x14ac:dyDescent="0.3">
      <c r="C1486" s="1"/>
      <c r="D1486" s="8">
        <v>2024</v>
      </c>
      <c r="E1486" s="14">
        <f>Data!I1486</f>
        <v>968691000000</v>
      </c>
      <c r="F1486" s="14">
        <f>Data!G1486</f>
        <v>1725230000000</v>
      </c>
      <c r="G1486" s="12">
        <f t="shared" si="23"/>
        <v>0.56148513531529132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Data!I1487</f>
        <v>0</v>
      </c>
      <c r="F1487" s="14">
        <f>Data!G1487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Data!I1488</f>
        <v>0</v>
      </c>
      <c r="F1488" s="14">
        <f>Data!G1488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Data!I1489</f>
        <v>0</v>
      </c>
      <c r="F1489" s="14">
        <f>Data!G1489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Data!I1490</f>
        <v>0</v>
      </c>
      <c r="F1490" s="14">
        <f>Data!G1490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Data!I1491</f>
        <v>0</v>
      </c>
      <c r="F1491" s="14">
        <f>Data!G1491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Data!I1492</f>
        <v>0</v>
      </c>
      <c r="F1492" s="14">
        <f>Data!G1492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Data!I1493</f>
        <v>0</v>
      </c>
      <c r="F1493" s="14">
        <f>Data!G1493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Data!I1494</f>
        <v>0</v>
      </c>
      <c r="F1494" s="14">
        <f>Data!G1494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Data!I1495</f>
        <v>70984000000</v>
      </c>
      <c r="F1495" s="14">
        <f>Data!G1495</f>
        <v>381774000000</v>
      </c>
      <c r="G1495" s="12">
        <f t="shared" si="23"/>
        <v>0.18593199117802678</v>
      </c>
    </row>
    <row r="1496" spans="2:7" ht="15" customHeight="1" x14ac:dyDescent="0.3">
      <c r="C1496" s="1"/>
      <c r="D1496" s="8">
        <v>2023</v>
      </c>
      <c r="E1496" s="14">
        <f>Data!I1496</f>
        <v>456391000000</v>
      </c>
      <c r="F1496" s="14">
        <f>Data!G1496</f>
        <v>786371000000</v>
      </c>
      <c r="G1496" s="12">
        <f t="shared" si="23"/>
        <v>0.58037618376059141</v>
      </c>
    </row>
    <row r="1497" spans="2:7" ht="15" customHeight="1" x14ac:dyDescent="0.3">
      <c r="C1497" s="1"/>
      <c r="D1497" s="8">
        <v>2024</v>
      </c>
      <c r="E1497" s="14">
        <f>Data!I1497</f>
        <v>969116000000</v>
      </c>
      <c r="F1497" s="14">
        <f>Data!G1497</f>
        <v>1543840000000</v>
      </c>
      <c r="G1497" s="12">
        <f t="shared" si="23"/>
        <v>0.62773085293812836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Data!I1498</f>
        <v>0</v>
      </c>
      <c r="F1498" s="14">
        <f>Data!G1498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Data!I1499</f>
        <v>0</v>
      </c>
      <c r="F1499" s="14">
        <f>Data!G1499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Data!I1500</f>
        <v>1087212000000</v>
      </c>
      <c r="F1500" s="14">
        <f>Data!G1500</f>
        <v>1833551000000</v>
      </c>
      <c r="G1500" s="12">
        <f t="shared" si="23"/>
        <v>0.59295432742258058</v>
      </c>
    </row>
    <row r="1501" spans="2:7" ht="15" customHeight="1" x14ac:dyDescent="0.3">
      <c r="C1501" s="1"/>
      <c r="D1501" s="8">
        <v>2017</v>
      </c>
      <c r="E1501" s="14">
        <f>Data!I1501</f>
        <v>1523055000000</v>
      </c>
      <c r="F1501" s="14">
        <f>Data!G1501</f>
        <v>2879988000000</v>
      </c>
      <c r="G1501" s="12">
        <f t="shared" si="23"/>
        <v>0.52884074516977153</v>
      </c>
    </row>
    <row r="1502" spans="2:7" ht="15" customHeight="1" x14ac:dyDescent="0.3">
      <c r="C1502" s="1"/>
      <c r="D1502" s="8">
        <v>2018</v>
      </c>
      <c r="E1502" s="14">
        <f>Data!I1502</f>
        <v>2016141000000</v>
      </c>
      <c r="F1502" s="14">
        <f>Data!G1502</f>
        <v>3426618000000</v>
      </c>
      <c r="G1502" s="12">
        <f t="shared" si="23"/>
        <v>0.5883763524267952</v>
      </c>
    </row>
    <row r="1503" spans="2:7" ht="15" customHeight="1" x14ac:dyDescent="0.3">
      <c r="C1503" s="1"/>
      <c r="D1503" s="8">
        <v>2019</v>
      </c>
      <c r="E1503" s="14">
        <f>Data!I1503</f>
        <v>2320513000000</v>
      </c>
      <c r="F1503" s="14">
        <f>Data!G1503</f>
        <v>3915599000000</v>
      </c>
      <c r="G1503" s="12">
        <f t="shared" si="23"/>
        <v>0.5926329534765945</v>
      </c>
    </row>
    <row r="1504" spans="2:7" ht="15" customHeight="1" x14ac:dyDescent="0.3">
      <c r="C1504" s="1"/>
      <c r="D1504" s="8">
        <v>2020</v>
      </c>
      <c r="E1504" s="14">
        <f>Data!I1504</f>
        <v>2447545000000</v>
      </c>
      <c r="F1504" s="14">
        <f>Data!G1504</f>
        <v>4203345000000</v>
      </c>
      <c r="G1504" s="12">
        <f t="shared" si="23"/>
        <v>0.58228506106446176</v>
      </c>
    </row>
    <row r="1505" spans="2:7" ht="15" customHeight="1" x14ac:dyDescent="0.3">
      <c r="C1505" s="1"/>
      <c r="D1505" s="8">
        <v>2021</v>
      </c>
      <c r="E1505" s="14">
        <f>Data!I1505</f>
        <v>2598192000000</v>
      </c>
      <c r="F1505" s="14">
        <f>Data!G1505</f>
        <v>3981209000000</v>
      </c>
      <c r="G1505" s="12">
        <f t="shared" si="23"/>
        <v>0.65261381655672934</v>
      </c>
    </row>
    <row r="1506" spans="2:7" ht="15" customHeight="1" x14ac:dyDescent="0.3">
      <c r="C1506" s="1"/>
      <c r="D1506" s="8">
        <v>2022</v>
      </c>
      <c r="E1506" s="14">
        <f>Data!I1506</f>
        <v>2889160000000</v>
      </c>
      <c r="F1506" s="14">
        <f>Data!G1506</f>
        <v>4286126000000</v>
      </c>
      <c r="G1506" s="12">
        <f t="shared" si="23"/>
        <v>0.67407257742772841</v>
      </c>
    </row>
    <row r="1507" spans="2:7" ht="15" customHeight="1" x14ac:dyDescent="0.3">
      <c r="C1507" s="1"/>
      <c r="D1507" s="8">
        <v>2023</v>
      </c>
      <c r="E1507" s="14">
        <f>Data!I1507</f>
        <v>3325712000000</v>
      </c>
      <c r="F1507" s="14">
        <f>Data!G1507</f>
        <v>4772681000000</v>
      </c>
      <c r="G1507" s="12">
        <f t="shared" si="23"/>
        <v>0.6968226034800985</v>
      </c>
    </row>
    <row r="1508" spans="2:7" ht="15" customHeight="1" x14ac:dyDescent="0.3">
      <c r="C1508" s="1"/>
      <c r="D1508" s="8">
        <v>2024</v>
      </c>
      <c r="E1508" s="14">
        <f>Data!I1508</f>
        <v>3512630000000</v>
      </c>
      <c r="F1508" s="14">
        <f>Data!G1508</f>
        <v>4965832000000</v>
      </c>
      <c r="G1508" s="12">
        <f t="shared" si="23"/>
        <v>0.70735981402512205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Data!I1509</f>
        <v>0</v>
      </c>
      <c r="F1509" s="14">
        <f>Data!G1509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Data!I1510</f>
        <v>0</v>
      </c>
      <c r="F1510" s="14">
        <f>Data!G1510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Data!I1511</f>
        <v>0</v>
      </c>
      <c r="F1511" s="14">
        <f>Data!G1511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Data!I1512</f>
        <v>0</v>
      </c>
      <c r="F1512" s="14">
        <f>Data!G1512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Data!I1513</f>
        <v>0</v>
      </c>
      <c r="F1513" s="14">
        <f>Data!G1513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Data!I1514</f>
        <v>0</v>
      </c>
      <c r="F1514" s="14">
        <f>Data!G1514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Data!I1515</f>
        <v>0</v>
      </c>
      <c r="F1515" s="14">
        <f>Data!G1515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Data!I1516</f>
        <v>0</v>
      </c>
      <c r="F1516" s="14">
        <f>Data!G1516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Data!I1517</f>
        <v>0</v>
      </c>
      <c r="F1517" s="14">
        <f>Data!G1517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Data!I1518</f>
        <v>0</v>
      </c>
      <c r="F1518" s="14">
        <f>Data!G1518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>
        <f>Data!I1519</f>
        <v>28746000000</v>
      </c>
      <c r="F1519" s="14">
        <f>Data!G1519</f>
        <v>548427000000</v>
      </c>
      <c r="G1519" s="12">
        <f t="shared" si="23"/>
        <v>5.2415362482153505E-2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Data!I1520</f>
        <v>0</v>
      </c>
      <c r="F1520" s="14">
        <f>Data!G1520</f>
        <v>0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Data!I1521</f>
        <v>4644202947542</v>
      </c>
      <c r="F1521" s="14">
        <f>Data!G1521</f>
        <v>6542316085964</v>
      </c>
      <c r="G1521" s="12">
        <f t="shared" si="23"/>
        <v>0.70987137987810689</v>
      </c>
    </row>
    <row r="1522" spans="2:7" ht="15" customHeight="1" x14ac:dyDescent="0.3">
      <c r="C1522" s="1"/>
      <c r="D1522" s="8">
        <v>2016</v>
      </c>
      <c r="E1522" s="14">
        <f>Data!I1522</f>
        <v>4751858868039</v>
      </c>
      <c r="F1522" s="14">
        <f>Data!G1522</f>
        <v>7102552587845</v>
      </c>
      <c r="G1522" s="12">
        <f t="shared" si="23"/>
        <v>0.66903536570375066</v>
      </c>
    </row>
    <row r="1523" spans="2:7" ht="15" customHeight="1" x14ac:dyDescent="0.3">
      <c r="C1523" s="1"/>
      <c r="D1523" s="8">
        <v>2017</v>
      </c>
      <c r="E1523" s="14">
        <f>Data!I1523</f>
        <v>5204276776165</v>
      </c>
      <c r="F1523" s="14">
        <f>Data!G1523</f>
        <v>8087703411676</v>
      </c>
      <c r="G1523" s="12">
        <f t="shared" si="23"/>
        <v>0.64348017122533518</v>
      </c>
    </row>
    <row r="1524" spans="2:7" ht="15" customHeight="1" x14ac:dyDescent="0.3">
      <c r="C1524" s="1"/>
      <c r="D1524" s="8">
        <v>2018</v>
      </c>
      <c r="E1524" s="14">
        <f>Data!I1524</f>
        <v>5786781275066</v>
      </c>
      <c r="F1524" s="14">
        <f>Data!G1524</f>
        <v>8691696386615</v>
      </c>
      <c r="G1524" s="12">
        <f t="shared" si="23"/>
        <v>0.66578272153839857</v>
      </c>
    </row>
    <row r="1525" spans="2:7" ht="15" customHeight="1" x14ac:dyDescent="0.3">
      <c r="C1525" s="1"/>
      <c r="D1525" s="8">
        <v>2019</v>
      </c>
      <c r="E1525" s="14">
        <f>Data!I1525</f>
        <v>6557175867879</v>
      </c>
      <c r="F1525" s="14">
        <f>Data!G1525</f>
        <v>9783822105104</v>
      </c>
      <c r="G1525" s="12">
        <f t="shared" si="23"/>
        <v>0.67020595810488715</v>
      </c>
    </row>
    <row r="1526" spans="2:7" ht="15" customHeight="1" x14ac:dyDescent="0.3">
      <c r="C1526" s="1"/>
      <c r="D1526" s="8">
        <v>2020</v>
      </c>
      <c r="E1526" s="14">
        <f>Data!I1526</f>
        <v>7061946887689</v>
      </c>
      <c r="F1526" s="14">
        <f>Data!G1526</f>
        <v>10491570839836</v>
      </c>
      <c r="G1526" s="12">
        <f t="shared" si="23"/>
        <v>0.67310672496010993</v>
      </c>
    </row>
    <row r="1527" spans="2:7" ht="15" customHeight="1" x14ac:dyDescent="0.3">
      <c r="C1527" s="1"/>
      <c r="D1527" s="8">
        <v>2021</v>
      </c>
      <c r="E1527" s="14">
        <f>Data!I1527</f>
        <v>8371640481405</v>
      </c>
      <c r="F1527" s="14">
        <f>Data!G1527</f>
        <v>11125019322948</v>
      </c>
      <c r="G1527" s="12">
        <f t="shared" si="23"/>
        <v>0.75250570254170246</v>
      </c>
    </row>
    <row r="1528" spans="2:7" ht="15" customHeight="1" x14ac:dyDescent="0.3">
      <c r="C1528" s="1"/>
      <c r="D1528" s="8">
        <v>2022</v>
      </c>
      <c r="E1528" s="14">
        <f>Data!I1528</f>
        <v>8817440831891</v>
      </c>
      <c r="F1528" s="14">
        <f>Data!G1528</f>
        <v>11382483837823</v>
      </c>
      <c r="G1528" s="12">
        <f t="shared" si="23"/>
        <v>0.77464997600887553</v>
      </c>
    </row>
    <row r="1529" spans="2:7" ht="15" customHeight="1" x14ac:dyDescent="0.3">
      <c r="C1529" s="1"/>
      <c r="D1529" s="8">
        <v>2023</v>
      </c>
      <c r="E1529" s="14">
        <f>Data!I1529</f>
        <v>11500998846020</v>
      </c>
      <c r="F1529" s="14">
        <f>Data!G1529</f>
        <v>14206716404940</v>
      </c>
      <c r="G1529" s="12">
        <f t="shared" si="23"/>
        <v>0.80954659178111277</v>
      </c>
    </row>
    <row r="1530" spans="2:7" ht="15" customHeight="1" x14ac:dyDescent="0.3">
      <c r="C1530" s="1"/>
      <c r="D1530" s="8">
        <v>2024</v>
      </c>
      <c r="E1530" s="14">
        <f>Data!I1530</f>
        <v>12771675318393</v>
      </c>
      <c r="F1530" s="14">
        <f>Data!G1530</f>
        <v>15296696649798</v>
      </c>
      <c r="G1530" s="12">
        <f t="shared" si="23"/>
        <v>0.83493028663555646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Data!I1531</f>
        <v>0</v>
      </c>
      <c r="F1531" s="14">
        <f>Data!G1531</f>
        <v>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Data!I1532</f>
        <v>174837000000</v>
      </c>
      <c r="F1532" s="14">
        <f>Data!G1532</f>
        <v>488607000000</v>
      </c>
      <c r="G1532" s="12">
        <f t="shared" si="23"/>
        <v>0.35782745642203245</v>
      </c>
    </row>
    <row r="1533" spans="2:7" ht="15" customHeight="1" x14ac:dyDescent="0.3">
      <c r="C1533" s="1"/>
      <c r="D1533" s="8">
        <v>2016</v>
      </c>
      <c r="E1533" s="14">
        <f>Data!I1533</f>
        <v>144733000000</v>
      </c>
      <c r="F1533" s="14">
        <f>Data!G1533</f>
        <v>513507000000</v>
      </c>
      <c r="G1533" s="12">
        <f t="shared" si="23"/>
        <v>0.28185204875493419</v>
      </c>
    </row>
    <row r="1534" spans="2:7" ht="15" customHeight="1" x14ac:dyDescent="0.3">
      <c r="C1534" s="1"/>
      <c r="D1534" s="8">
        <v>2017</v>
      </c>
      <c r="E1534" s="14">
        <f>Data!I1534</f>
        <v>158855000000</v>
      </c>
      <c r="F1534" s="14">
        <f>Data!G1534</f>
        <v>589348000000</v>
      </c>
      <c r="G1534" s="12">
        <f t="shared" si="23"/>
        <v>0.26954363126709519</v>
      </c>
    </row>
    <row r="1535" spans="2:7" ht="15" customHeight="1" x14ac:dyDescent="0.3">
      <c r="C1535" s="1"/>
      <c r="D1535" s="8">
        <v>2018</v>
      </c>
      <c r="E1535" s="14">
        <f>Data!I1535</f>
        <v>537559000000</v>
      </c>
      <c r="F1535" s="14">
        <f>Data!G1535</f>
        <v>980249000000</v>
      </c>
      <c r="G1535" s="12">
        <f t="shared" si="23"/>
        <v>0.5483902559451731</v>
      </c>
    </row>
    <row r="1536" spans="2:7" ht="15" customHeight="1" x14ac:dyDescent="0.3">
      <c r="C1536" s="1"/>
      <c r="D1536" s="8">
        <v>2019</v>
      </c>
      <c r="E1536" s="14">
        <f>Data!I1536</f>
        <v>358159000000</v>
      </c>
      <c r="F1536" s="14">
        <f>Data!G1536</f>
        <v>864815000000</v>
      </c>
      <c r="G1536" s="12">
        <f t="shared" si="23"/>
        <v>0.414145221810445</v>
      </c>
    </row>
    <row r="1537" spans="2:7" ht="15" customHeight="1" x14ac:dyDescent="0.3">
      <c r="C1537" s="1"/>
      <c r="D1537" s="8">
        <v>2020</v>
      </c>
      <c r="E1537" s="14">
        <f>Data!I1537</f>
        <v>238207000000</v>
      </c>
      <c r="F1537" s="14">
        <f>Data!G1537</f>
        <v>822014000000</v>
      </c>
      <c r="G1537" s="12">
        <f t="shared" si="23"/>
        <v>0.28978460220872149</v>
      </c>
    </row>
    <row r="1538" spans="2:7" ht="15" customHeight="1" x14ac:dyDescent="0.3">
      <c r="C1538" s="1"/>
      <c r="D1538" s="8">
        <v>2021</v>
      </c>
      <c r="E1538" s="14">
        <f>Data!I1538</f>
        <v>249996000000</v>
      </c>
      <c r="F1538" s="14">
        <f>Data!G1538</f>
        <v>871603000000</v>
      </c>
      <c r="G1538" s="12">
        <f t="shared" si="23"/>
        <v>0.28682324406868726</v>
      </c>
    </row>
    <row r="1539" spans="2:7" ht="15" customHeight="1" x14ac:dyDescent="0.3">
      <c r="C1539" s="1"/>
      <c r="D1539" s="8">
        <v>2022</v>
      </c>
      <c r="E1539" s="14">
        <f>Data!I1539</f>
        <v>277634000000</v>
      </c>
      <c r="F1539" s="14">
        <f>Data!G1539</f>
        <v>935775000000</v>
      </c>
      <c r="G1539" s="12">
        <f t="shared" ref="G1539:G1602" si="24">IFERROR(E1539/F1539,0)</f>
        <v>0.29668884080040608</v>
      </c>
    </row>
    <row r="1540" spans="2:7" ht="15" customHeight="1" x14ac:dyDescent="0.3">
      <c r="C1540" s="1"/>
      <c r="D1540" s="8">
        <v>2023</v>
      </c>
      <c r="E1540" s="14">
        <f>Data!I1540</f>
        <v>290054000000</v>
      </c>
      <c r="F1540" s="14">
        <f>Data!G1540</f>
        <v>1015192000000</v>
      </c>
      <c r="G1540" s="12">
        <f t="shared" si="24"/>
        <v>0.28571344139827737</v>
      </c>
    </row>
    <row r="1541" spans="2:7" ht="15" customHeight="1" x14ac:dyDescent="0.3">
      <c r="C1541" s="1"/>
      <c r="D1541" s="8">
        <v>2024</v>
      </c>
      <c r="E1541" s="14">
        <f>Data!I1541</f>
        <v>280757000000</v>
      </c>
      <c r="F1541" s="14">
        <f>Data!G1541</f>
        <v>1053668000000</v>
      </c>
      <c r="G1541" s="12">
        <f t="shared" si="24"/>
        <v>0.26645679663803018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Data!I1542</f>
        <v>0</v>
      </c>
      <c r="F1542" s="14">
        <f>Data!G1542</f>
        <v>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Data!I1543</f>
        <v>2909459000000</v>
      </c>
      <c r="F1543" s="14">
        <f>Data!G1543</f>
        <v>4116425000000</v>
      </c>
      <c r="G1543" s="12">
        <f t="shared" si="24"/>
        <v>0.7067926659662207</v>
      </c>
    </row>
    <row r="1544" spans="2:7" ht="15" customHeight="1" x14ac:dyDescent="0.3">
      <c r="C1544" s="1"/>
      <c r="D1544" s="8">
        <v>2016</v>
      </c>
      <c r="E1544" s="14">
        <f>Data!I1544</f>
        <v>3344488000000</v>
      </c>
      <c r="F1544" s="14">
        <f>Data!G1544</f>
        <v>4799748000000</v>
      </c>
      <c r="G1544" s="12">
        <f t="shared" si="24"/>
        <v>0.6968049155914019</v>
      </c>
    </row>
    <row r="1545" spans="2:7" ht="15" customHeight="1" x14ac:dyDescent="0.3">
      <c r="C1545" s="1"/>
      <c r="D1545" s="8">
        <v>2017</v>
      </c>
      <c r="E1545" s="14">
        <f>Data!I1545</f>
        <v>0</v>
      </c>
      <c r="F1545" s="14">
        <f>Data!G1545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Data!I1546</f>
        <v>3701883000000</v>
      </c>
      <c r="F1546" s="14">
        <f>Data!G1546</f>
        <v>5493920000000</v>
      </c>
      <c r="G1546" s="12">
        <f t="shared" si="24"/>
        <v>0.67381450767393769</v>
      </c>
    </row>
    <row r="1547" spans="2:7" ht="15" customHeight="1" x14ac:dyDescent="0.3">
      <c r="C1547" s="1"/>
      <c r="D1547" s="8">
        <v>2019</v>
      </c>
      <c r="E1547" s="14">
        <f>Data!I1547</f>
        <v>4280281000000</v>
      </c>
      <c r="F1547" s="14">
        <f>Data!G1547</f>
        <v>6324607000000</v>
      </c>
      <c r="G1547" s="12">
        <f t="shared" si="24"/>
        <v>0.67676631923532959</v>
      </c>
    </row>
    <row r="1548" spans="2:7" ht="15" customHeight="1" x14ac:dyDescent="0.3">
      <c r="C1548" s="1"/>
      <c r="D1548" s="8">
        <v>2020</v>
      </c>
      <c r="E1548" s="14">
        <f>Data!I1548</f>
        <v>7489242000000</v>
      </c>
      <c r="F1548" s="14">
        <f>Data!G1548</f>
        <v>7987733000000</v>
      </c>
      <c r="G1548" s="12">
        <f t="shared" si="24"/>
        <v>0.93759293156143297</v>
      </c>
    </row>
    <row r="1549" spans="2:7" ht="15" customHeight="1" x14ac:dyDescent="0.3">
      <c r="C1549" s="1"/>
      <c r="D1549" s="8">
        <v>2021</v>
      </c>
      <c r="E1549" s="14">
        <f>Data!I1549</f>
        <v>11148994000000</v>
      </c>
      <c r="F1549" s="14">
        <f>Data!G1549</f>
        <v>10521525000000</v>
      </c>
      <c r="G1549" s="12">
        <f t="shared" si="24"/>
        <v>1.0596366971517912</v>
      </c>
    </row>
    <row r="1550" spans="2:7" ht="15" customHeight="1" x14ac:dyDescent="0.3">
      <c r="C1550" s="1"/>
      <c r="D1550" s="8">
        <v>2022</v>
      </c>
      <c r="E1550" s="14">
        <f>Data!I1550</f>
        <v>12617797000000</v>
      </c>
      <c r="F1550" s="14">
        <f>Data!G1550</f>
        <v>11650082000000</v>
      </c>
      <c r="G1550" s="12">
        <f t="shared" si="24"/>
        <v>1.083065080571965</v>
      </c>
    </row>
    <row r="1551" spans="2:7" ht="15" customHeight="1" x14ac:dyDescent="0.3">
      <c r="C1551" s="1"/>
      <c r="D1551" s="8">
        <v>2023</v>
      </c>
      <c r="E1551" s="14">
        <f>Data!I1551</f>
        <v>13055202000000</v>
      </c>
      <c r="F1551" s="14">
        <f>Data!G1551</f>
        <v>11119311000000</v>
      </c>
      <c r="G1551" s="12">
        <f t="shared" si="24"/>
        <v>1.1741017046829609</v>
      </c>
    </row>
    <row r="1552" spans="2:7" ht="15" customHeight="1" x14ac:dyDescent="0.3">
      <c r="C1552" s="1"/>
      <c r="D1552" s="8">
        <v>2024</v>
      </c>
      <c r="E1552" s="14">
        <f>Data!I1552</f>
        <v>12372002000000</v>
      </c>
      <c r="F1552" s="14">
        <f>Data!G1552</f>
        <v>9361527000000</v>
      </c>
      <c r="G1552" s="12">
        <f t="shared" si="24"/>
        <v>1.3215794816379849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Data!I1553</f>
        <v>0</v>
      </c>
      <c r="F1553" s="14">
        <f>Data!G1553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Data!I1556</f>
        <v>82532000000</v>
      </c>
      <c r="F1554" s="14">
        <f>Data!G1556</f>
        <v>392736000000</v>
      </c>
      <c r="G1554" s="12">
        <f t="shared" si="24"/>
        <v>0.21014625600912573</v>
      </c>
    </row>
    <row r="1555" spans="2:7" ht="15" customHeight="1" x14ac:dyDescent="0.3">
      <c r="C1555" s="1"/>
      <c r="D1555" s="8">
        <v>2016</v>
      </c>
      <c r="E1555" s="14">
        <f>Data!I1555</f>
        <v>0</v>
      </c>
      <c r="F1555" s="14">
        <f>Data!G1555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 t="e">
        <f>Data!#REF!</f>
        <v>#REF!</v>
      </c>
      <c r="F1556" s="14" t="e">
        <f>Data!#REF!</f>
        <v>#REF!</v>
      </c>
      <c r="G1556" s="12">
        <f t="shared" si="24"/>
        <v>0</v>
      </c>
    </row>
    <row r="1557" spans="2:7" ht="15" customHeight="1" x14ac:dyDescent="0.3">
      <c r="C1557" s="1"/>
      <c r="D1557" s="8">
        <v>2018</v>
      </c>
      <c r="E1557" s="14">
        <f>Data!I1557</f>
        <v>0</v>
      </c>
      <c r="F1557" s="14">
        <f>Data!G1557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>
        <f>Data!I1558</f>
        <v>715934000000</v>
      </c>
      <c r="F1558" s="14">
        <f>Data!G1558</f>
        <v>1168609000000</v>
      </c>
      <c r="G1558" s="12">
        <f t="shared" si="24"/>
        <v>0.61263775993510228</v>
      </c>
    </row>
    <row r="1559" spans="2:7" ht="15" customHeight="1" x14ac:dyDescent="0.3">
      <c r="C1559" s="1"/>
      <c r="D1559" s="8">
        <v>2020</v>
      </c>
      <c r="E1559" s="14">
        <f>Data!I1559</f>
        <v>1459569000000</v>
      </c>
      <c r="F1559" s="14">
        <f>Data!G1559</f>
        <v>2088765000000</v>
      </c>
      <c r="G1559" s="12">
        <f t="shared" si="24"/>
        <v>0.69877128350963369</v>
      </c>
    </row>
    <row r="1560" spans="2:7" ht="15" customHeight="1" x14ac:dyDescent="0.3">
      <c r="C1560" s="1"/>
      <c r="D1560" s="8">
        <v>2021</v>
      </c>
      <c r="E1560" s="14">
        <f>Data!I1560</f>
        <v>1324861000000</v>
      </c>
      <c r="F1560" s="14">
        <f>Data!G1560</f>
        <v>1864949000000</v>
      </c>
      <c r="G1560" s="12">
        <f t="shared" si="24"/>
        <v>0.71040065974994493</v>
      </c>
    </row>
    <row r="1561" spans="2:7" ht="15" customHeight="1" x14ac:dyDescent="0.3">
      <c r="C1561" s="1"/>
      <c r="D1561" s="8">
        <v>2022</v>
      </c>
      <c r="E1561" s="14">
        <f>Data!I1561</f>
        <v>2452567000000</v>
      </c>
      <c r="F1561" s="14">
        <f>Data!G1561</f>
        <v>3039089000000</v>
      </c>
      <c r="G1561" s="12">
        <f t="shared" si="24"/>
        <v>0.80700729725256481</v>
      </c>
    </row>
    <row r="1562" spans="2:7" ht="15" customHeight="1" x14ac:dyDescent="0.3">
      <c r="C1562" s="1"/>
      <c r="D1562" s="8">
        <v>2023</v>
      </c>
      <c r="E1562" s="14">
        <f>Data!I1562</f>
        <v>2412082000000</v>
      </c>
      <c r="F1562" s="14">
        <f>Data!G1562</f>
        <v>3090740000000</v>
      </c>
      <c r="G1562" s="12">
        <f t="shared" si="24"/>
        <v>0.78042216427133959</v>
      </c>
    </row>
    <row r="1563" spans="2:7" ht="15" customHeight="1" x14ac:dyDescent="0.3">
      <c r="C1563" s="1"/>
      <c r="D1563" s="8">
        <v>2024</v>
      </c>
      <c r="E1563" s="14">
        <f>Data!I1563</f>
        <v>2332514000000</v>
      </c>
      <c r="F1563" s="14">
        <f>Data!G1563</f>
        <v>3235975000000</v>
      </c>
      <c r="G1563" s="12">
        <f t="shared" si="24"/>
        <v>0.72080717558077545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Data!I1564</f>
        <v>0</v>
      </c>
      <c r="F1564" s="14">
        <f>Data!G1564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Data!I1565</f>
        <v>0</v>
      </c>
      <c r="F1565" s="14">
        <f>Data!G1565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Data!I1566</f>
        <v>0</v>
      </c>
      <c r="F1566" s="14">
        <f>Data!G1566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Data!I1567</f>
        <v>0</v>
      </c>
      <c r="F1567" s="14">
        <f>Data!G1567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Data!I1568</f>
        <v>0</v>
      </c>
      <c r="F1568" s="14">
        <f>Data!G1568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Data!I1569</f>
        <v>0</v>
      </c>
      <c r="F1569" s="14">
        <f>Data!G1569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Data!I1570</f>
        <v>0</v>
      </c>
      <c r="F1570" s="14">
        <f>Data!G1570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Data!I1571</f>
        <v>0</v>
      </c>
      <c r="F1571" s="14">
        <f>Data!G1571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Data!I1572</f>
        <v>0</v>
      </c>
      <c r="F1572" s="14">
        <f>Data!G1572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Data!I1573</f>
        <v>0</v>
      </c>
      <c r="F1573" s="14">
        <f>Data!G1573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Data!I1574</f>
        <v>0</v>
      </c>
      <c r="F1574" s="14">
        <f>Data!G1574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Data!I1575</f>
        <v>0</v>
      </c>
      <c r="F1575" s="14">
        <f>Data!G1575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Data!I1576</f>
        <v>0</v>
      </c>
      <c r="F1576" s="14">
        <f>Data!G1576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Data!I1577</f>
        <v>0</v>
      </c>
      <c r="F1577" s="14">
        <f>Data!G1577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Data!I1578</f>
        <v>2408523000000</v>
      </c>
      <c r="F1578" s="14">
        <f>Data!G1578</f>
        <v>3465727000000</v>
      </c>
      <c r="G1578" s="12">
        <f t="shared" si="24"/>
        <v>0.6949546227963137</v>
      </c>
    </row>
    <row r="1579" spans="2:7" ht="15" customHeight="1" x14ac:dyDescent="0.3">
      <c r="C1579" s="1"/>
      <c r="D1579" s="8">
        <v>2018</v>
      </c>
      <c r="E1579" s="14">
        <f>Data!I1579</f>
        <v>2645155000000</v>
      </c>
      <c r="F1579" s="14">
        <f>Data!G1579</f>
        <v>3558941000000</v>
      </c>
      <c r="G1579" s="12">
        <f t="shared" si="24"/>
        <v>0.74324216108106311</v>
      </c>
    </row>
    <row r="1580" spans="2:7" ht="15" customHeight="1" x14ac:dyDescent="0.3">
      <c r="C1580" s="1"/>
      <c r="D1580" s="8">
        <v>2019</v>
      </c>
      <c r="E1580" s="14">
        <f>Data!I1580</f>
        <v>3520587000000</v>
      </c>
      <c r="F1580" s="14">
        <f>Data!G1580</f>
        <v>4941031000000</v>
      </c>
      <c r="G1580" s="12">
        <f t="shared" si="24"/>
        <v>0.71252072694949697</v>
      </c>
    </row>
    <row r="1581" spans="2:7" ht="15" customHeight="1" x14ac:dyDescent="0.3">
      <c r="C1581" s="1"/>
      <c r="D1581" s="8">
        <v>2020</v>
      </c>
      <c r="E1581" s="14">
        <f>Data!I1581</f>
        <v>3044547000000</v>
      </c>
      <c r="F1581" s="14">
        <f>Data!G1581</f>
        <v>4450772000000</v>
      </c>
      <c r="G1581" s="12">
        <f t="shared" si="24"/>
        <v>0.68404919416227117</v>
      </c>
    </row>
    <row r="1582" spans="2:7" ht="15" customHeight="1" x14ac:dyDescent="0.3">
      <c r="C1582" s="1"/>
      <c r="D1582" s="8">
        <v>2021</v>
      </c>
      <c r="E1582" s="14">
        <f>Data!I1582</f>
        <v>2930363000000</v>
      </c>
      <c r="F1582" s="14">
        <f>Data!G1582</f>
        <v>4351906000000</v>
      </c>
      <c r="G1582" s="12">
        <f t="shared" si="24"/>
        <v>0.67335163029716172</v>
      </c>
    </row>
    <row r="1583" spans="2:7" ht="15" customHeight="1" x14ac:dyDescent="0.3">
      <c r="C1583" s="1"/>
      <c r="D1583" s="8">
        <v>2022</v>
      </c>
      <c r="E1583" s="14">
        <f>Data!I1583</f>
        <v>3737933000000</v>
      </c>
      <c r="F1583" s="14">
        <f>Data!G1583</f>
        <v>5241287000000</v>
      </c>
      <c r="G1583" s="12">
        <f t="shared" si="24"/>
        <v>0.71317082998889392</v>
      </c>
    </row>
    <row r="1584" spans="2:7" ht="15" customHeight="1" x14ac:dyDescent="0.3">
      <c r="C1584" s="1"/>
      <c r="D1584" s="8">
        <v>2023</v>
      </c>
      <c r="E1584" s="14">
        <f>Data!I1584</f>
        <v>4478289000000</v>
      </c>
      <c r="F1584" s="14">
        <f>Data!G1584</f>
        <v>5915931000000</v>
      </c>
      <c r="G1584" s="12">
        <f t="shared" si="24"/>
        <v>0.75698803789293689</v>
      </c>
    </row>
    <row r="1585" spans="1:7" ht="15" customHeight="1" x14ac:dyDescent="0.3">
      <c r="C1585" s="1"/>
      <c r="D1585" s="8">
        <v>2024</v>
      </c>
      <c r="E1585" s="14">
        <f>Data!I1585</f>
        <v>4418803000000</v>
      </c>
      <c r="F1585" s="14">
        <f>Data!G1585</f>
        <v>5942450000000</v>
      </c>
      <c r="G1585" s="12">
        <f t="shared" si="24"/>
        <v>0.74359952544825791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Data!I1586</f>
        <v>0</v>
      </c>
      <c r="F1586" s="14">
        <f>Data!G1586</f>
        <v>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Data!I1587</f>
        <v>30496531000000</v>
      </c>
      <c r="F1587" s="14">
        <f>Data!G1587</f>
        <v>32312555000000</v>
      </c>
      <c r="G1587" s="12">
        <f t="shared" si="24"/>
        <v>0.94379819237445006</v>
      </c>
    </row>
    <row r="1588" spans="1:7" ht="15" customHeight="1" x14ac:dyDescent="0.3">
      <c r="C1588" s="4"/>
      <c r="D1588" s="8">
        <v>2016</v>
      </c>
      <c r="E1588" s="14">
        <f>Data!I1588</f>
        <v>34994322000000</v>
      </c>
      <c r="F1588" s="14">
        <f>Data!G1588</f>
        <v>36595437000000</v>
      </c>
      <c r="G1588" s="12">
        <f t="shared" si="24"/>
        <v>0.95624823389866886</v>
      </c>
    </row>
    <row r="1589" spans="1:7" ht="15" customHeight="1" x14ac:dyDescent="0.3">
      <c r="C1589" s="4"/>
      <c r="D1589" s="8">
        <v>2017</v>
      </c>
      <c r="E1589" s="14">
        <f>Data!I1589</f>
        <v>43615289000000</v>
      </c>
      <c r="F1589" s="14">
        <f>Data!G1589</f>
        <v>44801865000000</v>
      </c>
      <c r="G1589" s="12">
        <f t="shared" si="24"/>
        <v>0.9735150311264944</v>
      </c>
    </row>
    <row r="1590" spans="1:7" ht="15" customHeight="1" x14ac:dyDescent="0.3">
      <c r="C1590" s="4"/>
      <c r="D1590" s="8">
        <v>2018</v>
      </c>
      <c r="E1590" s="14">
        <f>Data!I1590</f>
        <v>0</v>
      </c>
      <c r="F1590" s="14">
        <f>Data!G1590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Data!I1591</f>
        <v>0</v>
      </c>
      <c r="F1591" s="14">
        <f>Data!G1591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Data!I1592</f>
        <v>0</v>
      </c>
      <c r="F1592" s="14">
        <f>Data!G1592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Data!I1593</f>
        <v>0</v>
      </c>
      <c r="F1593" s="14">
        <f>Data!G1593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Data!I1594</f>
        <v>0</v>
      </c>
      <c r="F1594" s="14">
        <f>Data!G1594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Data!I1595</f>
        <v>0</v>
      </c>
      <c r="F1595" s="14">
        <f>Data!G1595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Data!I1596</f>
        <v>0</v>
      </c>
      <c r="F1596" s="14">
        <f>Data!G1596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Data!I1597</f>
        <v>0</v>
      </c>
      <c r="F1597" s="14">
        <f>Data!G1597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Data!I1598</f>
        <v>0</v>
      </c>
      <c r="F1598" s="14">
        <f>Data!G1598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Data!I1599</f>
        <v>0</v>
      </c>
      <c r="F1599" s="14">
        <f>Data!G1599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Data!I1600</f>
        <v>0</v>
      </c>
      <c r="F1600" s="14">
        <f>Data!G1600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Data!I1601</f>
        <v>0</v>
      </c>
      <c r="F1601" s="14">
        <f>Data!G1601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Data!I1602</f>
        <v>0</v>
      </c>
      <c r="F1602" s="14">
        <f>Data!G1602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Data!I1603</f>
        <v>0</v>
      </c>
      <c r="F1603" s="14">
        <f>Data!G1603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Data!I1604</f>
        <v>0</v>
      </c>
      <c r="F1604" s="14">
        <f>Data!G1604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Data!I1605</f>
        <v>0</v>
      </c>
      <c r="F1605" s="14">
        <f>Data!G1605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Data!I1606</f>
        <v>0</v>
      </c>
      <c r="F1606" s="14">
        <f>Data!G1606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Data!I1607</f>
        <v>0</v>
      </c>
      <c r="F1607" s="14">
        <f>Data!G1607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Data!I1608</f>
        <v>0</v>
      </c>
      <c r="F1608" s="14">
        <f>Data!G1608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Data!I1609</f>
        <v>2034032000000</v>
      </c>
      <c r="F1609" s="14">
        <f>Data!G1609</f>
        <v>12150125000000</v>
      </c>
      <c r="G1609" s="12">
        <f t="shared" si="25"/>
        <v>0.16740831884445634</v>
      </c>
    </row>
    <row r="1610" spans="1:7" ht="15" customHeight="1" x14ac:dyDescent="0.3">
      <c r="C1610" s="4"/>
      <c r="D1610" s="8">
        <v>2016</v>
      </c>
      <c r="E1610" s="14">
        <f>Data!I1610</f>
        <v>1822914000000</v>
      </c>
      <c r="F1610" s="14">
        <f>Data!G1610</f>
        <v>12167652000000</v>
      </c>
      <c r="G1610" s="12">
        <f t="shared" si="25"/>
        <v>0.14981641486788083</v>
      </c>
    </row>
    <row r="1611" spans="1:7" ht="15" customHeight="1" x14ac:dyDescent="0.3">
      <c r="C1611" s="4"/>
      <c r="D1611" s="8">
        <v>2017</v>
      </c>
      <c r="E1611" s="14">
        <f>Data!I1611</f>
        <v>2437427000000</v>
      </c>
      <c r="F1611" s="14">
        <f>Data!G1611</f>
        <v>12600792000000</v>
      </c>
      <c r="G1611" s="12">
        <f t="shared" si="25"/>
        <v>0.19343442856607743</v>
      </c>
    </row>
    <row r="1612" spans="1:7" ht="15" customHeight="1" x14ac:dyDescent="0.3">
      <c r="C1612" s="4"/>
      <c r="D1612" s="8">
        <v>2018</v>
      </c>
      <c r="E1612" s="14">
        <f>Data!I1612</f>
        <v>2566710000000</v>
      </c>
      <c r="F1612" s="14">
        <f>Data!G1612</f>
        <v>12690713000000</v>
      </c>
      <c r="G1612" s="12">
        <f t="shared" si="25"/>
        <v>0.20225104767557189</v>
      </c>
    </row>
    <row r="1613" spans="1:7" ht="15" customHeight="1" x14ac:dyDescent="0.3">
      <c r="C1613" s="4"/>
      <c r="D1613" s="8">
        <v>2019</v>
      </c>
      <c r="E1613" s="14">
        <f>Data!I1613</f>
        <v>2959005000000</v>
      </c>
      <c r="F1613" s="14">
        <f>Data!G1613</f>
        <v>13262092000000</v>
      </c>
      <c r="G1613" s="12">
        <f t="shared" si="25"/>
        <v>0.22311751419006895</v>
      </c>
    </row>
    <row r="1614" spans="1:7" ht="15" customHeight="1" x14ac:dyDescent="0.3">
      <c r="C1614" s="4"/>
      <c r="D1614" s="8">
        <v>2020</v>
      </c>
      <c r="E1614" s="14">
        <f>Data!I1614</f>
        <v>3210037000000</v>
      </c>
      <c r="F1614" s="14">
        <f>Data!G1614</f>
        <v>13372478000000</v>
      </c>
      <c r="G1614" s="12">
        <f t="shared" si="25"/>
        <v>0.24004802999115049</v>
      </c>
    </row>
    <row r="1615" spans="1:7" ht="15" customHeight="1" x14ac:dyDescent="0.3">
      <c r="C1615" s="4"/>
      <c r="D1615" s="8">
        <v>2021</v>
      </c>
      <c r="E1615" s="14">
        <f>Data!I1615</f>
        <v>3360743000000</v>
      </c>
      <c r="F1615" s="14">
        <f>Data!G1615</f>
        <v>13991723000000</v>
      </c>
      <c r="G1615" s="12">
        <f t="shared" si="25"/>
        <v>0.2401950781901557</v>
      </c>
    </row>
    <row r="1616" spans="1:7" ht="15" customHeight="1" x14ac:dyDescent="0.3">
      <c r="C1616" s="4"/>
      <c r="D1616" s="8">
        <v>2022</v>
      </c>
      <c r="E1616" s="14">
        <f>Data!I1616</f>
        <v>3393030000000</v>
      </c>
      <c r="F1616" s="14">
        <f>Data!G1616</f>
        <v>14146679000000</v>
      </c>
      <c r="G1616" s="12">
        <f t="shared" si="25"/>
        <v>0.23984639787189629</v>
      </c>
    </row>
    <row r="1617" spans="2:7" ht="15" customHeight="1" x14ac:dyDescent="0.3">
      <c r="C1617" s="4"/>
      <c r="D1617" s="8">
        <v>2023</v>
      </c>
      <c r="E1617" s="14">
        <f>Data!I1617</f>
        <v>2595582000000</v>
      </c>
      <c r="F1617" s="14">
        <f>Data!G1617</f>
        <v>12884607000000</v>
      </c>
      <c r="G1617" s="12">
        <f t="shared" si="25"/>
        <v>0.20144828631560124</v>
      </c>
    </row>
    <row r="1618" spans="2:7" ht="15" customHeight="1" x14ac:dyDescent="0.3">
      <c r="C1618" s="4"/>
      <c r="D1618" s="8">
        <v>2024</v>
      </c>
      <c r="E1618" s="14">
        <f>Data!I1618</f>
        <v>2875705000000</v>
      </c>
      <c r="F1618" s="14">
        <f>Data!G1618</f>
        <v>13457903000000</v>
      </c>
      <c r="G1618" s="12">
        <f t="shared" si="25"/>
        <v>0.21368150743841741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Data!I1619</f>
        <v>0</v>
      </c>
      <c r="F1619" s="14">
        <f>Data!G1619</f>
        <v>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Data!I1620</f>
        <v>2167697000000</v>
      </c>
      <c r="F1620" s="14">
        <f>Data!G1620</f>
        <v>11080636000000</v>
      </c>
      <c r="G1620" s="12">
        <f t="shared" si="25"/>
        <v>0.19562929420296812</v>
      </c>
    </row>
    <row r="1621" spans="2:7" ht="15" customHeight="1" x14ac:dyDescent="0.3">
      <c r="C1621" s="5"/>
      <c r="D1621" s="8">
        <v>2016</v>
      </c>
      <c r="E1621" s="14">
        <f>Data!I1621</f>
        <v>2945231000000</v>
      </c>
      <c r="F1621" s="14">
        <f>Data!G1621</f>
        <v>13369971000000</v>
      </c>
      <c r="G1621" s="12">
        <f t="shared" si="25"/>
        <v>0.22028701483346524</v>
      </c>
    </row>
    <row r="1622" spans="2:7" ht="15" customHeight="1" x14ac:dyDescent="0.3">
      <c r="C1622" s="5"/>
      <c r="D1622" s="8">
        <v>2017</v>
      </c>
      <c r="E1622" s="14">
        <f>Data!I1622</f>
        <v>2534575000000</v>
      </c>
      <c r="F1622" s="14">
        <f>Data!G1622</f>
        <v>14455702000000</v>
      </c>
      <c r="G1622" s="12">
        <f t="shared" si="25"/>
        <v>0.17533392705522013</v>
      </c>
    </row>
    <row r="1623" spans="2:7" ht="15" customHeight="1" x14ac:dyDescent="0.3">
      <c r="C1623" s="5"/>
      <c r="D1623" s="8">
        <v>2018</v>
      </c>
      <c r="E1623" s="14">
        <f>Data!I1623</f>
        <v>2693439000000</v>
      </c>
      <c r="F1623" s="14">
        <f>Data!G1623</f>
        <v>14924414000000</v>
      </c>
      <c r="G1623" s="12">
        <f t="shared" si="25"/>
        <v>0.18047201049233827</v>
      </c>
    </row>
    <row r="1624" spans="2:7" ht="15" customHeight="1" x14ac:dyDescent="0.3">
      <c r="C1624" s="5"/>
      <c r="D1624" s="8">
        <v>2019</v>
      </c>
      <c r="E1624" s="14">
        <f>Data!I1624</f>
        <v>3505756000000</v>
      </c>
      <c r="F1624" s="14">
        <f>Data!G1624</f>
        <v>15837343000000</v>
      </c>
      <c r="G1624" s="12">
        <f t="shared" si="25"/>
        <v>0.22136011072059247</v>
      </c>
    </row>
    <row r="1625" spans="2:7" ht="15" customHeight="1" x14ac:dyDescent="0.3">
      <c r="C1625" s="5"/>
      <c r="D1625" s="8">
        <v>2020</v>
      </c>
      <c r="E1625" s="14">
        <f>Data!I1625</f>
        <v>3611690000000</v>
      </c>
      <c r="F1625" s="14">
        <f>Data!G1625</f>
        <v>15801971000000</v>
      </c>
      <c r="G1625" s="12">
        <f t="shared" si="25"/>
        <v>0.22855946261387267</v>
      </c>
    </row>
    <row r="1626" spans="2:7" ht="15" customHeight="1" x14ac:dyDescent="0.3">
      <c r="C1626" s="5"/>
      <c r="D1626" s="8">
        <v>2021</v>
      </c>
      <c r="E1626" s="14">
        <f>Data!I1626</f>
        <v>3975109000000</v>
      </c>
      <c r="F1626" s="14">
        <f>Data!G1626</f>
        <v>16149482000000</v>
      </c>
      <c r="G1626" s="12">
        <f t="shared" si="25"/>
        <v>0.24614467510474949</v>
      </c>
    </row>
    <row r="1627" spans="2:7" ht="15" customHeight="1" x14ac:dyDescent="0.3">
      <c r="C1627" s="5"/>
      <c r="D1627" s="8">
        <v>2022</v>
      </c>
      <c r="E1627" s="14">
        <f>Data!I1627</f>
        <v>3646801000000</v>
      </c>
      <c r="F1627" s="14">
        <f>Data!G1627</f>
        <v>16468014000000</v>
      </c>
      <c r="G1627" s="12">
        <f t="shared" si="25"/>
        <v>0.22144752852408311</v>
      </c>
    </row>
    <row r="1628" spans="2:7" ht="15" customHeight="1" x14ac:dyDescent="0.3">
      <c r="C1628" s="5"/>
      <c r="D1628" s="8">
        <v>2023</v>
      </c>
      <c r="E1628" s="14">
        <f>Data!I1628</f>
        <v>4346525000000</v>
      </c>
      <c r="F1628" s="14">
        <f>Data!G1628</f>
        <v>16787071000000</v>
      </c>
      <c r="G1628" s="12">
        <f t="shared" si="25"/>
        <v>0.25892098746708109</v>
      </c>
    </row>
    <row r="1629" spans="2:7" ht="15" customHeight="1" x14ac:dyDescent="0.3">
      <c r="C1629" s="5"/>
      <c r="D1629" s="8">
        <v>2024</v>
      </c>
      <c r="E1629" s="14">
        <f>Data!I1629</f>
        <v>4275360000000</v>
      </c>
      <c r="F1629" s="14">
        <f>Data!G1629</f>
        <v>16807910000000</v>
      </c>
      <c r="G1629" s="12">
        <f t="shared" si="25"/>
        <v>0.2543659503174398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EE5-4C58-4269-84A1-246405C2F436}">
  <sheetPr codeName="Sheet6"/>
  <dimension ref="A1:G1629"/>
  <sheetViews>
    <sheetView workbookViewId="0">
      <selection activeCell="G2" sqref="G2:G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6" width="19" style="14" bestFit="1" customWidth="1"/>
    <col min="7" max="7" width="20.3320312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164</v>
      </c>
      <c r="F1" s="13" t="s">
        <v>162</v>
      </c>
      <c r="G1" s="11" t="s">
        <v>171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Data!I2</f>
        <v>0</v>
      </c>
      <c r="F2" s="14">
        <f>Data!K2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Data!I3</f>
        <v>0</v>
      </c>
      <c r="F3" s="14">
        <f>Data!K3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Data!I4</f>
        <v>0</v>
      </c>
      <c r="F4" s="14">
        <f>Data!K4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Data!I5</f>
        <v>0</v>
      </c>
      <c r="F5" s="14">
        <f>Data!K5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Data!I6</f>
        <v>0</v>
      </c>
      <c r="F6" s="14">
        <f>Data!K6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Data!I7</f>
        <v>0</v>
      </c>
      <c r="F7" s="14">
        <f>Data!K7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Data!I8</f>
        <v>0</v>
      </c>
      <c r="F8" s="14">
        <f>Data!K8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Data!I9</f>
        <v>0</v>
      </c>
      <c r="F9" s="14">
        <f>Data!K9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Data!I10</f>
        <v>0</v>
      </c>
      <c r="F10" s="14">
        <f>Data!K10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Data!I11</f>
        <v>0</v>
      </c>
      <c r="F11" s="14">
        <f>Data!K11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Data!I12</f>
        <v>0</v>
      </c>
      <c r="F12" s="14">
        <f>Data!K12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Data!I13</f>
        <v>0</v>
      </c>
      <c r="F13" s="14">
        <f>Data!K13</f>
        <v>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Data!I14</f>
        <v>25291701000000</v>
      </c>
      <c r="F14" s="14">
        <f>Data!K14</f>
        <v>6569253000000</v>
      </c>
      <c r="G14" s="12">
        <f t="shared" si="0"/>
        <v>3.8500117136605945</v>
      </c>
    </row>
    <row r="15" spans="1:7" ht="15" customHeight="1" x14ac:dyDescent="0.3">
      <c r="C15" s="3"/>
      <c r="D15" s="8">
        <v>2016</v>
      </c>
      <c r="E15" s="14">
        <f>Data!I15</f>
        <v>28001542000000</v>
      </c>
      <c r="F15" s="14">
        <f>Data!K15</f>
        <v>7766364000000</v>
      </c>
      <c r="G15" s="12">
        <f t="shared" si="0"/>
        <v>3.605489261126571</v>
      </c>
    </row>
    <row r="16" spans="1:7" ht="15" customHeight="1" x14ac:dyDescent="0.3">
      <c r="C16" s="3"/>
      <c r="D16" s="8">
        <v>2017</v>
      </c>
      <c r="E16" s="14">
        <f>Data!I16</f>
        <v>34375378000000</v>
      </c>
      <c r="F16" s="14">
        <f>Data!K16</f>
        <v>10561914000000</v>
      </c>
      <c r="G16" s="12">
        <f t="shared" si="0"/>
        <v>3.2546542227100126</v>
      </c>
    </row>
    <row r="17" spans="2:7" ht="15" customHeight="1" x14ac:dyDescent="0.3">
      <c r="C17" s="3"/>
      <c r="D17" s="8">
        <v>2018</v>
      </c>
      <c r="E17" s="14">
        <f>Data!I17</f>
        <v>35535336000000</v>
      </c>
      <c r="F17" s="14">
        <f>Data!K17</f>
        <v>11027227000000</v>
      </c>
      <c r="G17" s="12">
        <f t="shared" si="0"/>
        <v>3.2225087957289715</v>
      </c>
    </row>
    <row r="18" spans="2:7" ht="15" customHeight="1" x14ac:dyDescent="0.3">
      <c r="C18" s="3"/>
      <c r="D18" s="8">
        <v>2019</v>
      </c>
      <c r="E18" s="14">
        <f>Data!I18</f>
        <v>38172435000000</v>
      </c>
      <c r="F18" s="14">
        <f>Data!K18</f>
        <v>11870589000000</v>
      </c>
      <c r="G18" s="12">
        <f t="shared" si="0"/>
        <v>3.2157153280262674</v>
      </c>
    </row>
    <row r="19" spans="2:7" ht="15" customHeight="1" x14ac:dyDescent="0.3">
      <c r="C19" s="3"/>
      <c r="D19" s="8">
        <v>2020</v>
      </c>
      <c r="E19" s="14">
        <f>Data!I19</f>
        <v>41373205000000</v>
      </c>
      <c r="F19" s="14">
        <f>Data!K19</f>
        <v>11761575000000</v>
      </c>
      <c r="G19" s="12">
        <f t="shared" si="0"/>
        <v>3.5176585618847818</v>
      </c>
    </row>
    <row r="20" spans="2:7" ht="15" customHeight="1" x14ac:dyDescent="0.3">
      <c r="C20" s="3"/>
      <c r="D20" s="8">
        <v>2021</v>
      </c>
      <c r="E20" s="14">
        <f>Data!I20</f>
        <v>40473683000000</v>
      </c>
      <c r="F20" s="14">
        <f>Data!K20</f>
        <v>11856333000000</v>
      </c>
      <c r="G20" s="12">
        <f t="shared" si="0"/>
        <v>3.4136763027826564</v>
      </c>
    </row>
    <row r="21" spans="2:7" ht="15" customHeight="1" x14ac:dyDescent="0.3">
      <c r="C21" s="3"/>
      <c r="D21" s="8">
        <v>2022</v>
      </c>
      <c r="E21" s="14">
        <f>Data!I21</f>
        <v>36682436000000</v>
      </c>
      <c r="F21" s="14">
        <f>Data!K21</f>
        <v>8229889000000</v>
      </c>
      <c r="G21" s="12">
        <f t="shared" si="0"/>
        <v>4.4572212334820067</v>
      </c>
    </row>
    <row r="22" spans="2:7" ht="15" customHeight="1" x14ac:dyDescent="0.3">
      <c r="C22" s="3"/>
      <c r="D22" s="8">
        <v>2023</v>
      </c>
      <c r="E22" s="14">
        <f>Data!I22</f>
        <v>33736676000000</v>
      </c>
      <c r="F22" s="14">
        <f>Data!K22</f>
        <v>8048626000000</v>
      </c>
      <c r="G22" s="12">
        <f t="shared" si="0"/>
        <v>4.1916068655693532</v>
      </c>
    </row>
    <row r="23" spans="2:7" ht="15" customHeight="1" x14ac:dyDescent="0.3">
      <c r="C23" s="3"/>
      <c r="D23" s="8">
        <v>2024</v>
      </c>
      <c r="E23" s="14">
        <f>Data!I23</f>
        <v>30987181000000</v>
      </c>
      <c r="F23" s="14">
        <f>Data!K23</f>
        <v>8912301000000</v>
      </c>
      <c r="G23" s="12">
        <f t="shared" si="0"/>
        <v>3.4769001854852073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Data!I24</f>
        <v>0</v>
      </c>
      <c r="F24" s="14">
        <f>Data!K24</f>
        <v>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Data!I25</f>
        <v>22909265000000</v>
      </c>
      <c r="F25" s="14">
        <f>Data!K25</f>
        <v>4355995000000</v>
      </c>
      <c r="G25" s="12">
        <f t="shared" si="0"/>
        <v>5.2592496088723699</v>
      </c>
    </row>
    <row r="26" spans="2:7" ht="15" customHeight="1" x14ac:dyDescent="0.3">
      <c r="C26" s="3"/>
      <c r="D26" s="8">
        <v>2016</v>
      </c>
      <c r="E26" s="14">
        <f>Data!I26</f>
        <v>24436046000000</v>
      </c>
      <c r="F26" s="14">
        <f>Data!K26</f>
        <v>5381290000000</v>
      </c>
      <c r="G26" s="12">
        <f t="shared" si="0"/>
        <v>4.5409271754542129</v>
      </c>
    </row>
    <row r="27" spans="2:7" ht="15" customHeight="1" x14ac:dyDescent="0.3">
      <c r="C27" s="3"/>
      <c r="D27" s="8">
        <v>2017</v>
      </c>
      <c r="E27" s="14">
        <f>Data!I27</f>
        <v>27527468000000</v>
      </c>
      <c r="F27" s="14">
        <f>Data!K27</f>
        <v>6030989000000</v>
      </c>
      <c r="G27" s="12">
        <f t="shared" si="0"/>
        <v>4.5643372919433283</v>
      </c>
    </row>
    <row r="28" spans="2:7" ht="15" customHeight="1" x14ac:dyDescent="0.3">
      <c r="C28" s="3"/>
      <c r="D28" s="8">
        <v>2018</v>
      </c>
      <c r="E28" s="14">
        <f>Data!I28</f>
        <v>27304202000000</v>
      </c>
      <c r="F28" s="14">
        <f>Data!K28</f>
        <v>5768100000000</v>
      </c>
      <c r="G28" s="12">
        <f t="shared" si="0"/>
        <v>4.733656143270748</v>
      </c>
    </row>
    <row r="29" spans="2:7" ht="15" customHeight="1" x14ac:dyDescent="0.3">
      <c r="C29" s="3"/>
      <c r="D29" s="8">
        <v>2019</v>
      </c>
      <c r="E29" s="14">
        <f>Data!I29</f>
        <v>29736010000000</v>
      </c>
      <c r="F29" s="14">
        <f>Data!K29</f>
        <v>6511324000000</v>
      </c>
      <c r="G29" s="12">
        <f t="shared" si="0"/>
        <v>4.5668146754792112</v>
      </c>
    </row>
    <row r="30" spans="2:7" ht="15" customHeight="1" x14ac:dyDescent="0.3">
      <c r="C30" s="3"/>
      <c r="D30" s="8">
        <v>2020</v>
      </c>
      <c r="E30" s="14">
        <f>Data!I30</f>
        <v>31830554000000</v>
      </c>
      <c r="F30" s="14">
        <f>Data!K30</f>
        <v>7090980000000</v>
      </c>
      <c r="G30" s="12">
        <f t="shared" si="0"/>
        <v>4.4888793932573492</v>
      </c>
    </row>
    <row r="31" spans="2:7" ht="15" customHeight="1" x14ac:dyDescent="0.3">
      <c r="C31" s="3"/>
      <c r="D31" s="8">
        <v>2021</v>
      </c>
      <c r="E31" s="14">
        <f>Data!I31</f>
        <v>33849131000000</v>
      </c>
      <c r="F31" s="14">
        <f>Data!K31</f>
        <v>6945025000000</v>
      </c>
      <c r="G31" s="12">
        <f t="shared" si="0"/>
        <v>4.8738674086846343</v>
      </c>
    </row>
    <row r="32" spans="2:7" ht="15" customHeight="1" x14ac:dyDescent="0.3">
      <c r="C32" s="3"/>
      <c r="D32" s="8">
        <v>2022</v>
      </c>
      <c r="E32" s="14">
        <f>Data!I32</f>
        <v>32037270000000</v>
      </c>
      <c r="F32" s="14">
        <f>Data!K32</f>
        <v>7208812000000</v>
      </c>
      <c r="G32" s="12">
        <f t="shared" si="0"/>
        <v>4.4441816487931716</v>
      </c>
    </row>
    <row r="33" spans="2:7" ht="15" customHeight="1" x14ac:dyDescent="0.3">
      <c r="C33" s="3"/>
      <c r="D33" s="8">
        <v>2023</v>
      </c>
      <c r="E33" s="14">
        <f>Data!I33</f>
        <v>31712785000000</v>
      </c>
      <c r="F33" s="14">
        <f>Data!K33</f>
        <v>6640072000000</v>
      </c>
      <c r="G33" s="12">
        <f t="shared" si="0"/>
        <v>4.7759700497223525</v>
      </c>
    </row>
    <row r="34" spans="2:7" ht="15" customHeight="1" x14ac:dyDescent="0.3">
      <c r="C34" s="3"/>
      <c r="D34" s="8">
        <v>2024</v>
      </c>
      <c r="E34" s="14">
        <f>Data!I34</f>
        <v>30372565000000</v>
      </c>
      <c r="F34" s="14">
        <f>Data!K34</f>
        <v>7301939000000</v>
      </c>
      <c r="G34" s="12">
        <f t="shared" si="0"/>
        <v>4.1595205054438278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Data!I35</f>
        <v>0</v>
      </c>
      <c r="F35" s="14">
        <f>Data!K35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Data!I36</f>
        <v>0</v>
      </c>
      <c r="F36" s="14">
        <f>Data!K36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Data!I37</f>
        <v>0</v>
      </c>
      <c r="F37" s="14">
        <f>Data!K37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Data!I38</f>
        <v>0</v>
      </c>
      <c r="F38" s="14">
        <f>Data!K38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Data!I39</f>
        <v>0</v>
      </c>
      <c r="F39" s="14">
        <f>Data!K39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Data!I40</f>
        <v>0</v>
      </c>
      <c r="F40" s="14">
        <f>Data!K40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Data!I41</f>
        <v>0</v>
      </c>
      <c r="F41" s="14">
        <f>Data!K41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Data!I42</f>
        <v>0</v>
      </c>
      <c r="F42" s="14">
        <f>Data!K42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Data!I43</f>
        <v>891833000000</v>
      </c>
      <c r="F43" s="14">
        <f>Data!K43</f>
        <v>1497483000000</v>
      </c>
      <c r="G43" s="12">
        <f t="shared" si="0"/>
        <v>0.59555467407643359</v>
      </c>
    </row>
    <row r="44" spans="2:7" ht="15" customHeight="1" x14ac:dyDescent="0.3">
      <c r="C44" s="4"/>
      <c r="D44" s="8">
        <v>2023</v>
      </c>
      <c r="E44" s="14">
        <f>Data!I44</f>
        <v>867595000000</v>
      </c>
      <c r="F44" s="14">
        <f>Data!K44</f>
        <v>958124000000</v>
      </c>
      <c r="G44" s="12">
        <f t="shared" si="0"/>
        <v>0.90551431756223622</v>
      </c>
    </row>
    <row r="45" spans="2:7" ht="15" customHeight="1" x14ac:dyDescent="0.3">
      <c r="C45" s="4"/>
      <c r="D45" s="8">
        <v>2024</v>
      </c>
      <c r="E45" s="14">
        <f>Data!I45</f>
        <v>913660000000</v>
      </c>
      <c r="F45" s="14">
        <f>Data!K45</f>
        <v>968188000000</v>
      </c>
      <c r="G45" s="12">
        <f t="shared" si="0"/>
        <v>0.94368035959958185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Data!I46</f>
        <v>0</v>
      </c>
      <c r="F46" s="14">
        <f>Data!K46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Data!I47</f>
        <v>3608103108000</v>
      </c>
      <c r="F47" s="14">
        <f>Data!K47</f>
        <v>4933308738000</v>
      </c>
      <c r="G47" s="12">
        <f t="shared" si="0"/>
        <v>0.73137589792581115</v>
      </c>
    </row>
    <row r="48" spans="2:7" ht="15" customHeight="1" x14ac:dyDescent="0.3">
      <c r="C48" s="3"/>
      <c r="D48" s="8">
        <v>2016</v>
      </c>
      <c r="E48" s="14">
        <f>Data!I48</f>
        <v>4512591084000</v>
      </c>
      <c r="F48" s="14">
        <f>Data!K48</f>
        <v>6176329027000</v>
      </c>
      <c r="G48" s="12">
        <f t="shared" si="0"/>
        <v>0.73062673058269378</v>
      </c>
    </row>
    <row r="49" spans="2:7" ht="15" customHeight="1" x14ac:dyDescent="0.3">
      <c r="C49" s="3"/>
      <c r="D49" s="8">
        <v>2017</v>
      </c>
      <c r="E49" s="14">
        <f>Data!H49</f>
        <v>170181075000</v>
      </c>
      <c r="F49" s="14">
        <f>Data!K49</f>
        <v>2104006591000</v>
      </c>
      <c r="G49" s="12">
        <f t="shared" si="0"/>
        <v>8.0884287971320329E-2</v>
      </c>
    </row>
    <row r="50" spans="2:7" ht="15" customHeight="1" x14ac:dyDescent="0.3">
      <c r="C50" s="3"/>
      <c r="D50" s="8">
        <v>2018</v>
      </c>
      <c r="E50" s="14">
        <f>Data!I50</f>
        <v>7033564683000</v>
      </c>
      <c r="F50" s="14">
        <f>Data!K50</f>
        <v>2231804990000</v>
      </c>
      <c r="G50" s="12">
        <f t="shared" si="0"/>
        <v>3.1515140052626194</v>
      </c>
    </row>
    <row r="51" spans="2:7" ht="15" customHeight="1" x14ac:dyDescent="0.3">
      <c r="C51" s="3"/>
      <c r="D51" s="8">
        <v>2019</v>
      </c>
      <c r="E51" s="14">
        <f>Data!I51</f>
        <v>8407279000000</v>
      </c>
      <c r="F51" s="14">
        <f>Data!K51</f>
        <v>2563929000000</v>
      </c>
      <c r="G51" s="12">
        <f t="shared" si="0"/>
        <v>3.2790607696234959</v>
      </c>
    </row>
    <row r="52" spans="2:7" ht="15" customHeight="1" x14ac:dyDescent="0.3">
      <c r="C52" s="3"/>
      <c r="D52" s="8">
        <v>2020</v>
      </c>
      <c r="E52" s="14">
        <f>Data!I52</f>
        <v>10081934000000</v>
      </c>
      <c r="F52" s="14">
        <f>Data!K52</f>
        <v>2794003000000</v>
      </c>
      <c r="G52" s="12">
        <f t="shared" si="0"/>
        <v>3.6084191749257251</v>
      </c>
    </row>
    <row r="53" spans="2:7" ht="15" customHeight="1" x14ac:dyDescent="0.3">
      <c r="C53" s="3"/>
      <c r="D53" s="8">
        <v>2021</v>
      </c>
      <c r="E53" s="14">
        <f>Data!I53</f>
        <v>11381796000000</v>
      </c>
      <c r="F53" s="14">
        <f>Data!K53</f>
        <v>6683102000000</v>
      </c>
      <c r="G53" s="12">
        <f t="shared" si="0"/>
        <v>1.7030708195086652</v>
      </c>
    </row>
    <row r="54" spans="2:7" ht="15" customHeight="1" x14ac:dyDescent="0.3">
      <c r="C54" s="3"/>
      <c r="D54" s="8">
        <v>2022</v>
      </c>
      <c r="E54" s="14">
        <f>Data!I54</f>
        <v>13552263000000</v>
      </c>
      <c r="F54" s="14">
        <f>Data!K54</f>
        <v>7706566000000</v>
      </c>
      <c r="G54" s="12">
        <f t="shared" si="0"/>
        <v>1.7585346054260744</v>
      </c>
    </row>
    <row r="55" spans="2:7" ht="15" customHeight="1" x14ac:dyDescent="0.3">
      <c r="C55" s="3"/>
      <c r="D55" s="8">
        <v>2023</v>
      </c>
      <c r="E55" s="14">
        <f>Data!I55</f>
        <v>14172581000000</v>
      </c>
      <c r="F55" s="14">
        <f>Data!K55</f>
        <v>9111525000000</v>
      </c>
      <c r="G55" s="12">
        <f t="shared" si="0"/>
        <v>1.5554565234689033</v>
      </c>
    </row>
    <row r="56" spans="2:7" ht="15" customHeight="1" x14ac:dyDescent="0.3">
      <c r="C56" s="3"/>
      <c r="D56" s="8">
        <v>2024</v>
      </c>
      <c r="E56" s="14">
        <f>Data!I56</f>
        <v>0</v>
      </c>
      <c r="F56" s="14">
        <f>Data!K56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Data!I57</f>
        <v>0</v>
      </c>
      <c r="F57" s="14">
        <f>Data!K57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Data!I58</f>
        <v>0</v>
      </c>
      <c r="F58" s="14">
        <f>Data!K58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Data!I59</f>
        <v>3417000000</v>
      </c>
      <c r="F59" s="14">
        <f>Data!K59</f>
        <v>95091000000</v>
      </c>
      <c r="G59" s="12">
        <f t="shared" si="0"/>
        <v>3.5934000063097452E-2</v>
      </c>
    </row>
    <row r="60" spans="2:7" ht="15" customHeight="1" x14ac:dyDescent="0.3">
      <c r="C60" s="3"/>
      <c r="D60" s="8">
        <v>2017</v>
      </c>
      <c r="E60" s="14">
        <f>Data!I60</f>
        <v>11160000000</v>
      </c>
      <c r="F60" s="14">
        <f>Data!K60</f>
        <v>105319000000</v>
      </c>
      <c r="G60" s="12">
        <f t="shared" si="0"/>
        <v>0.10596378621141485</v>
      </c>
    </row>
    <row r="61" spans="2:7" ht="15" customHeight="1" x14ac:dyDescent="0.3">
      <c r="C61" s="3"/>
      <c r="D61" s="8">
        <v>2018</v>
      </c>
      <c r="E61" s="14">
        <f>Data!I61</f>
        <v>50492000000</v>
      </c>
      <c r="F61" s="14">
        <f>Data!K61</f>
        <v>102188000000</v>
      </c>
      <c r="G61" s="12">
        <f t="shared" si="0"/>
        <v>0.49410889732649627</v>
      </c>
    </row>
    <row r="62" spans="2:7" ht="15" customHeight="1" x14ac:dyDescent="0.3">
      <c r="C62" s="3"/>
      <c r="D62" s="8">
        <v>2019</v>
      </c>
      <c r="E62" s="14">
        <f>Data!I62</f>
        <v>87535000000</v>
      </c>
      <c r="F62" s="14">
        <f>Data!K62</f>
        <v>126937000000</v>
      </c>
      <c r="G62" s="12">
        <f t="shared" si="0"/>
        <v>0.68959405059202594</v>
      </c>
    </row>
    <row r="63" spans="2:7" ht="15" customHeight="1" x14ac:dyDescent="0.3">
      <c r="C63" s="3"/>
      <c r="D63" s="8">
        <v>2020</v>
      </c>
      <c r="E63" s="14">
        <f>Data!I63</f>
        <v>138272000000</v>
      </c>
      <c r="F63" s="14">
        <f>Data!K63</f>
        <v>139982000000</v>
      </c>
      <c r="G63" s="12">
        <f t="shared" si="0"/>
        <v>0.9877841436756154</v>
      </c>
    </row>
    <row r="64" spans="2:7" ht="15" customHeight="1" x14ac:dyDescent="0.3">
      <c r="C64" s="3"/>
      <c r="D64" s="8">
        <v>2021</v>
      </c>
      <c r="E64" s="14">
        <f>Data!I64</f>
        <v>252304000000</v>
      </c>
      <c r="F64" s="14">
        <f>Data!K64</f>
        <v>132068000000</v>
      </c>
      <c r="G64" s="12">
        <f t="shared" si="0"/>
        <v>1.9104097888966289</v>
      </c>
    </row>
    <row r="65" spans="2:7" ht="15" customHeight="1" x14ac:dyDescent="0.3">
      <c r="C65" s="3"/>
      <c r="D65" s="8">
        <v>2022</v>
      </c>
      <c r="E65" s="14">
        <f>Data!I65</f>
        <v>359910000000</v>
      </c>
      <c r="F65" s="14">
        <f>Data!K65</f>
        <v>157529000000</v>
      </c>
      <c r="G65" s="12">
        <f t="shared" si="0"/>
        <v>2.2847221781386287</v>
      </c>
    </row>
    <row r="66" spans="2:7" ht="15" customHeight="1" x14ac:dyDescent="0.3">
      <c r="C66" s="3"/>
      <c r="D66" s="8">
        <v>2023</v>
      </c>
      <c r="E66" s="14">
        <f>Data!I66</f>
        <v>548082000000</v>
      </c>
      <c r="F66" s="14">
        <f>Data!K66</f>
        <v>165975000000</v>
      </c>
      <c r="G66" s="12">
        <f t="shared" si="0"/>
        <v>3.3021961138725713</v>
      </c>
    </row>
    <row r="67" spans="2:7" ht="15" customHeight="1" x14ac:dyDescent="0.3">
      <c r="C67" s="3"/>
      <c r="D67" s="8">
        <v>2024</v>
      </c>
      <c r="E67" s="14">
        <f>Data!I67</f>
        <v>796246000000</v>
      </c>
      <c r="F67" s="14">
        <f>Data!K67</f>
        <v>201086000000</v>
      </c>
      <c r="G67" s="12">
        <f t="shared" ref="G67:G130" si="1">IFERROR(E67/F67,0)</f>
        <v>3.9597286733039594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Data!I68</f>
        <v>0</v>
      </c>
      <c r="F68" s="14">
        <f>Data!K68</f>
        <v>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Data!I69</f>
        <v>1364281000000</v>
      </c>
      <c r="F69" s="14">
        <f>Data!K69</f>
        <v>535556000000</v>
      </c>
      <c r="G69" s="12">
        <f t="shared" si="1"/>
        <v>2.5474105415680155</v>
      </c>
    </row>
    <row r="70" spans="2:7" ht="15" customHeight="1" x14ac:dyDescent="0.3">
      <c r="C70" s="3"/>
      <c r="D70" s="8">
        <v>2016</v>
      </c>
      <c r="E70" s="14">
        <f>Data!I70</f>
        <v>2965233000000</v>
      </c>
      <c r="F70" s="14">
        <f>Data!K70</f>
        <v>837455000000</v>
      </c>
      <c r="G70" s="12">
        <f t="shared" si="1"/>
        <v>3.5407669665832793</v>
      </c>
    </row>
    <row r="71" spans="2:7" ht="15" customHeight="1" x14ac:dyDescent="0.3">
      <c r="C71" s="3"/>
      <c r="D71" s="8">
        <v>2017</v>
      </c>
      <c r="E71" s="14">
        <f>Data!I71</f>
        <v>3703552000000</v>
      </c>
      <c r="F71" s="14">
        <f>Data!K71</f>
        <v>611883000000</v>
      </c>
      <c r="G71" s="12">
        <f t="shared" si="1"/>
        <v>6.0527126918054597</v>
      </c>
    </row>
    <row r="72" spans="2:7" ht="15" customHeight="1" x14ac:dyDescent="0.3">
      <c r="C72" s="3"/>
      <c r="D72" s="8">
        <v>2018</v>
      </c>
      <c r="E72" s="14">
        <f>Data!I72</f>
        <v>4569886000000</v>
      </c>
      <c r="F72" s="14">
        <f>Data!K72</f>
        <v>434830000000</v>
      </c>
      <c r="G72" s="12">
        <f t="shared" si="1"/>
        <v>10.509592254444266</v>
      </c>
    </row>
    <row r="73" spans="2:7" ht="15" customHeight="1" x14ac:dyDescent="0.3">
      <c r="C73" s="3"/>
      <c r="D73" s="8">
        <v>2019</v>
      </c>
      <c r="E73" s="14">
        <f>Data!I73</f>
        <v>5043700000000</v>
      </c>
      <c r="F73" s="14">
        <f>Data!K73</f>
        <v>857598000000</v>
      </c>
      <c r="G73" s="12">
        <f t="shared" si="1"/>
        <v>5.881193752783938</v>
      </c>
    </row>
    <row r="74" spans="2:7" ht="15" customHeight="1" x14ac:dyDescent="0.3">
      <c r="C74" s="3"/>
      <c r="D74" s="8">
        <v>2020</v>
      </c>
      <c r="E74" s="14">
        <f>Data!I74</f>
        <v>5746720000000</v>
      </c>
      <c r="F74" s="14">
        <f>Data!K74</f>
        <v>840112000000</v>
      </c>
      <c r="G74" s="12">
        <f t="shared" si="1"/>
        <v>6.8404212771630446</v>
      </c>
    </row>
    <row r="75" spans="2:7" ht="15" customHeight="1" x14ac:dyDescent="0.3">
      <c r="C75" s="3"/>
      <c r="D75" s="8">
        <v>2021</v>
      </c>
      <c r="E75" s="14">
        <f>Data!I75</f>
        <v>6266517000000</v>
      </c>
      <c r="F75" s="14">
        <f>Data!K75</f>
        <v>826251000000</v>
      </c>
      <c r="G75" s="12">
        <f t="shared" si="1"/>
        <v>7.5842776589680376</v>
      </c>
    </row>
    <row r="76" spans="2:7" ht="15" customHeight="1" x14ac:dyDescent="0.3">
      <c r="C76" s="3"/>
      <c r="D76" s="8">
        <v>2022</v>
      </c>
      <c r="E76" s="14">
        <f>Data!I76</f>
        <v>6661879000000</v>
      </c>
      <c r="F76" s="14">
        <f>Data!K76</f>
        <v>683137000000</v>
      </c>
      <c r="G76" s="12">
        <f t="shared" si="1"/>
        <v>9.7518931048969684</v>
      </c>
    </row>
    <row r="77" spans="2:7" ht="15" customHeight="1" x14ac:dyDescent="0.3">
      <c r="C77" s="3"/>
      <c r="D77" s="8">
        <v>2023</v>
      </c>
      <c r="E77" s="14">
        <f>Data!I77</f>
        <v>6800327000000</v>
      </c>
      <c r="F77" s="14">
        <f>Data!K77</f>
        <v>699090000000</v>
      </c>
      <c r="G77" s="12">
        <f t="shared" si="1"/>
        <v>9.727398475160566</v>
      </c>
    </row>
    <row r="78" spans="2:7" ht="15" customHeight="1" x14ac:dyDescent="0.3">
      <c r="C78" s="3"/>
      <c r="D78" s="8">
        <v>2024</v>
      </c>
      <c r="E78" s="14">
        <f>Data!I78</f>
        <v>6056599000000</v>
      </c>
      <c r="F78" s="14">
        <f>Data!K78</f>
        <v>748206000000</v>
      </c>
      <c r="G78" s="12">
        <f t="shared" si="1"/>
        <v>8.0948281622975493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Data!I79</f>
        <v>0</v>
      </c>
      <c r="F79" s="14">
        <f>Data!K79</f>
        <v>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Data!I80</f>
        <v>52698000000</v>
      </c>
      <c r="F80" s="14">
        <f>Data!K80</f>
        <v>228584000000</v>
      </c>
      <c r="G80" s="12">
        <f t="shared" si="1"/>
        <v>0.23054107024113674</v>
      </c>
    </row>
    <row r="81" spans="2:7" ht="15" customHeight="1" x14ac:dyDescent="0.3">
      <c r="C81" s="3"/>
      <c r="D81" s="8">
        <v>2016</v>
      </c>
      <c r="E81" s="14">
        <f>Data!I81</f>
        <v>181020000000</v>
      </c>
      <c r="F81" s="14">
        <f>Data!K81</f>
        <v>204426000000</v>
      </c>
      <c r="G81" s="12">
        <f t="shared" si="1"/>
        <v>0.88550380088638436</v>
      </c>
    </row>
    <row r="82" spans="2:7" ht="15" customHeight="1" x14ac:dyDescent="0.3">
      <c r="C82" s="3"/>
      <c r="D82" s="8">
        <v>2017</v>
      </c>
      <c r="E82" s="14">
        <f>Data!I82</f>
        <v>375260000000</v>
      </c>
      <c r="F82" s="14">
        <f>Data!K82</f>
        <v>466862000000</v>
      </c>
      <c r="G82" s="12">
        <f t="shared" si="1"/>
        <v>0.80379212700969449</v>
      </c>
    </row>
    <row r="83" spans="2:7" ht="15" customHeight="1" x14ac:dyDescent="0.3">
      <c r="C83" s="3"/>
      <c r="D83" s="8">
        <v>2018</v>
      </c>
      <c r="E83" s="14">
        <f>Data!I83</f>
        <v>514818000000</v>
      </c>
      <c r="F83" s="14">
        <f>Data!K83</f>
        <v>388058000000</v>
      </c>
      <c r="G83" s="12">
        <f t="shared" si="1"/>
        <v>1.3266522014750373</v>
      </c>
    </row>
    <row r="84" spans="2:7" ht="15" customHeight="1" x14ac:dyDescent="0.3">
      <c r="C84" s="3"/>
      <c r="D84" s="8">
        <v>2019</v>
      </c>
      <c r="E84" s="14">
        <f>Data!I84</f>
        <v>753776000000</v>
      </c>
      <c r="F84" s="14">
        <f>Data!K84</f>
        <v>400913000000</v>
      </c>
      <c r="G84" s="12">
        <f t="shared" si="1"/>
        <v>1.8801485609097235</v>
      </c>
    </row>
    <row r="85" spans="2:7" ht="15" customHeight="1" x14ac:dyDescent="0.3">
      <c r="C85" s="3"/>
      <c r="D85" s="8">
        <v>2020</v>
      </c>
      <c r="E85" s="14">
        <f>Data!I85</f>
        <v>975453000000</v>
      </c>
      <c r="F85" s="14">
        <f>Data!K85</f>
        <v>492443000000</v>
      </c>
      <c r="G85" s="12">
        <f t="shared" si="1"/>
        <v>1.9808444835239813</v>
      </c>
    </row>
    <row r="86" spans="2:7" ht="15" customHeight="1" x14ac:dyDescent="0.3">
      <c r="C86" s="3"/>
      <c r="D86" s="8">
        <v>2021</v>
      </c>
      <c r="E86" s="14">
        <f>Data!I86</f>
        <v>1397617000000</v>
      </c>
      <c r="F86" s="14">
        <f>Data!K86</f>
        <v>532596000000</v>
      </c>
      <c r="G86" s="12">
        <f t="shared" si="1"/>
        <v>2.6241597758901682</v>
      </c>
    </row>
    <row r="87" spans="2:7" ht="15" customHeight="1" x14ac:dyDescent="0.3">
      <c r="C87" s="3"/>
      <c r="D87" s="8">
        <v>2022</v>
      </c>
      <c r="E87" s="14">
        <f>Data!I87</f>
        <v>1688561000000</v>
      </c>
      <c r="F87" s="14">
        <f>Data!K87</f>
        <v>659360000000</v>
      </c>
      <c r="G87" s="12">
        <f t="shared" si="1"/>
        <v>2.560909063334142</v>
      </c>
    </row>
    <row r="88" spans="2:7" ht="15" customHeight="1" x14ac:dyDescent="0.3">
      <c r="C88" s="3"/>
      <c r="D88" s="8">
        <v>2023</v>
      </c>
      <c r="E88" s="14">
        <f>Data!I88</f>
        <v>2148138000000</v>
      </c>
      <c r="F88" s="14">
        <f>Data!K88</f>
        <v>730586000000</v>
      </c>
      <c r="G88" s="12">
        <f t="shared" si="1"/>
        <v>2.9402945033165158</v>
      </c>
    </row>
    <row r="89" spans="2:7" ht="15" customHeight="1" x14ac:dyDescent="0.3">
      <c r="C89" s="3"/>
      <c r="D89" s="8">
        <v>2024</v>
      </c>
      <c r="E89" s="14">
        <f>Data!I89</f>
        <v>2525508000000</v>
      </c>
      <c r="F89" s="14">
        <f>Data!K89</f>
        <v>814158000000</v>
      </c>
      <c r="G89" s="12">
        <f t="shared" si="1"/>
        <v>3.1019875748933252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Data!I90</f>
        <v>0</v>
      </c>
      <c r="F90" s="14">
        <f>Data!K90</f>
        <v>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Data!I91</f>
        <v>2852326000000</v>
      </c>
      <c r="F91" s="14">
        <f>Data!K91</f>
        <v>1729967000000</v>
      </c>
      <c r="G91" s="12">
        <f t="shared" si="1"/>
        <v>1.6487748032187897</v>
      </c>
    </row>
    <row r="92" spans="2:7" ht="15" customHeight="1" x14ac:dyDescent="0.3">
      <c r="C92" s="3"/>
      <c r="D92" s="8">
        <v>2016</v>
      </c>
      <c r="E92" s="14">
        <f>Data!I92</f>
        <v>3397124000000</v>
      </c>
      <c r="F92" s="14">
        <f>Data!K92</f>
        <v>1901149000000</v>
      </c>
      <c r="G92" s="12">
        <f t="shared" si="1"/>
        <v>1.7868794081894686</v>
      </c>
    </row>
    <row r="93" spans="2:7" ht="15" customHeight="1" x14ac:dyDescent="0.3">
      <c r="C93" s="3"/>
      <c r="D93" s="8">
        <v>2017</v>
      </c>
      <c r="E93" s="14">
        <f>Data!I93</f>
        <v>4348556000000</v>
      </c>
      <c r="F93" s="14">
        <f>Data!K93</f>
        <v>1270110000000</v>
      </c>
      <c r="G93" s="12">
        <f t="shared" si="1"/>
        <v>3.4237632960924644</v>
      </c>
    </row>
    <row r="94" spans="2:7" ht="15" customHeight="1" x14ac:dyDescent="0.3">
      <c r="C94" s="3"/>
      <c r="D94" s="8">
        <v>2018</v>
      </c>
      <c r="E94" s="14">
        <f>Data!I94</f>
        <v>5300406000000</v>
      </c>
      <c r="F94" s="14">
        <f>Data!K94</f>
        <v>6696353000000</v>
      </c>
      <c r="G94" s="12">
        <f t="shared" si="1"/>
        <v>0.79153622875018681</v>
      </c>
    </row>
    <row r="95" spans="2:7" ht="15" customHeight="1" x14ac:dyDescent="0.3">
      <c r="C95" s="3"/>
      <c r="D95" s="8">
        <v>2019</v>
      </c>
      <c r="E95" s="14">
        <f>Data!I95</f>
        <v>6383523000000</v>
      </c>
      <c r="F95" s="14">
        <f>Data!K95</f>
        <v>8158087000000</v>
      </c>
      <c r="G95" s="12">
        <f t="shared" si="1"/>
        <v>0.78247792650409342</v>
      </c>
    </row>
    <row r="96" spans="2:7" ht="15" customHeight="1" x14ac:dyDescent="0.3">
      <c r="C96" s="3"/>
      <c r="D96" s="8">
        <v>2020</v>
      </c>
      <c r="E96" s="14">
        <f>Data!I96</f>
        <v>6749524000000</v>
      </c>
      <c r="F96" s="14">
        <f>Data!K96</f>
        <v>1820409000000</v>
      </c>
      <c r="G96" s="12">
        <f t="shared" si="1"/>
        <v>3.7076964572247224</v>
      </c>
    </row>
    <row r="97" spans="2:7" ht="15" customHeight="1" x14ac:dyDescent="0.3">
      <c r="C97" s="3"/>
      <c r="D97" s="8">
        <v>2021</v>
      </c>
      <c r="E97" s="14">
        <f>Data!I97</f>
        <v>7169272000000</v>
      </c>
      <c r="F97" s="14">
        <f>Data!K97</f>
        <v>2942125000000</v>
      </c>
      <c r="G97" s="12">
        <f t="shared" si="1"/>
        <v>2.4367666227641585</v>
      </c>
    </row>
    <row r="98" spans="2:7" ht="15" customHeight="1" x14ac:dyDescent="0.3">
      <c r="C98" s="3"/>
      <c r="D98" s="8">
        <v>2022</v>
      </c>
      <c r="E98" s="14">
        <f>Data!I98</f>
        <v>7279861000000</v>
      </c>
      <c r="F98" s="14">
        <f>Data!K98</f>
        <v>3077726000000</v>
      </c>
      <c r="G98" s="12">
        <f t="shared" si="1"/>
        <v>2.3653375901558489</v>
      </c>
    </row>
    <row r="99" spans="2:7" ht="15" customHeight="1" x14ac:dyDescent="0.3">
      <c r="C99" s="3"/>
      <c r="D99" s="8">
        <v>2023</v>
      </c>
      <c r="E99" s="14">
        <f>Data!I99</f>
        <v>7874976000000</v>
      </c>
      <c r="F99" s="14">
        <f>Data!K99</f>
        <v>3159009000000</v>
      </c>
      <c r="G99" s="12">
        <f t="shared" si="1"/>
        <v>2.4928627933633618</v>
      </c>
    </row>
    <row r="100" spans="2:7" ht="15" customHeight="1" x14ac:dyDescent="0.3">
      <c r="C100" s="3"/>
      <c r="D100" s="8">
        <v>2024</v>
      </c>
      <c r="E100" s="14">
        <f>Data!I100</f>
        <v>7771730000000</v>
      </c>
      <c r="F100" s="14">
        <f>Data!K100</f>
        <v>3409810000000</v>
      </c>
      <c r="G100" s="12">
        <f t="shared" si="1"/>
        <v>2.2792267017810377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Data!I101</f>
        <v>0</v>
      </c>
      <c r="F101" s="14">
        <f>Data!K101</f>
        <v>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Data!I102</f>
        <v>3808764000000</v>
      </c>
      <c r="F102" s="14">
        <f>Data!K102</f>
        <v>468056000000</v>
      </c>
      <c r="G102" s="12">
        <f t="shared" si="1"/>
        <v>8.1374109080964665</v>
      </c>
    </row>
    <row r="103" spans="2:7" ht="15" customHeight="1" x14ac:dyDescent="0.3">
      <c r="C103" s="3"/>
      <c r="D103" s="8">
        <v>2016</v>
      </c>
      <c r="E103" s="14">
        <f>Data!I103</f>
        <v>4662827000000</v>
      </c>
      <c r="F103" s="14">
        <f>Data!K103</f>
        <v>756550000000</v>
      </c>
      <c r="G103" s="12">
        <f t="shared" si="1"/>
        <v>6.1632767166743774</v>
      </c>
    </row>
    <row r="104" spans="2:7" ht="15" customHeight="1" x14ac:dyDescent="0.3">
      <c r="C104" s="3"/>
      <c r="D104" s="8">
        <v>2017</v>
      </c>
      <c r="E104" s="14">
        <f>Data!I104</f>
        <v>5986467000000</v>
      </c>
      <c r="F104" s="14">
        <f>Data!K104</f>
        <v>854686000000</v>
      </c>
      <c r="G104" s="12">
        <f t="shared" si="1"/>
        <v>7.0042881245276041</v>
      </c>
    </row>
    <row r="105" spans="2:7" ht="15" customHeight="1" x14ac:dyDescent="0.3">
      <c r="C105" s="3"/>
      <c r="D105" s="8">
        <v>2018</v>
      </c>
      <c r="E105" s="14">
        <f>Data!I105</f>
        <v>5972519000000</v>
      </c>
      <c r="F105" s="14">
        <f>Data!K105</f>
        <v>1016575000000</v>
      </c>
      <c r="G105" s="12">
        <f t="shared" si="1"/>
        <v>5.8751385780685146</v>
      </c>
    </row>
    <row r="106" spans="2:7" ht="15" customHeight="1" x14ac:dyDescent="0.3">
      <c r="C106" s="3"/>
      <c r="D106" s="8">
        <v>2019</v>
      </c>
      <c r="E106" s="14">
        <f>Data!I106</f>
        <v>5843491000000</v>
      </c>
      <c r="F106" s="14">
        <f>Data!K106</f>
        <v>1202982000000</v>
      </c>
      <c r="G106" s="12">
        <f t="shared" si="1"/>
        <v>4.8575049335734031</v>
      </c>
    </row>
    <row r="107" spans="2:7" ht="15" customHeight="1" x14ac:dyDescent="0.3">
      <c r="C107" s="3"/>
      <c r="D107" s="8">
        <v>2020</v>
      </c>
      <c r="E107" s="14">
        <f>Data!I107</f>
        <v>5855352000000</v>
      </c>
      <c r="F107" s="14">
        <f>Data!K107</f>
        <v>1479784000000</v>
      </c>
      <c r="G107" s="12">
        <f t="shared" si="1"/>
        <v>3.9568964119087648</v>
      </c>
    </row>
    <row r="108" spans="2:7" ht="15" customHeight="1" x14ac:dyDescent="0.3">
      <c r="C108" s="3"/>
      <c r="D108" s="8">
        <v>2021</v>
      </c>
      <c r="E108" s="14">
        <f>Data!I108</f>
        <v>5757070000000</v>
      </c>
      <c r="F108" s="14">
        <f>Data!K108</f>
        <v>1536586000000</v>
      </c>
      <c r="G108" s="12">
        <f t="shared" si="1"/>
        <v>3.7466630569327068</v>
      </c>
    </row>
    <row r="109" spans="2:7" ht="15" customHeight="1" x14ac:dyDescent="0.3">
      <c r="C109" s="3"/>
      <c r="D109" s="8">
        <v>2022</v>
      </c>
      <c r="E109" s="14">
        <f>Data!I109</f>
        <v>4591181000000</v>
      </c>
      <c r="F109" s="14">
        <f>Data!K109</f>
        <v>1509157000000</v>
      </c>
      <c r="G109" s="12">
        <f t="shared" si="1"/>
        <v>3.0422156210387654</v>
      </c>
    </row>
    <row r="110" spans="2:7" ht="15" customHeight="1" x14ac:dyDescent="0.3">
      <c r="C110" s="3"/>
      <c r="D110" s="8">
        <v>2023</v>
      </c>
      <c r="E110" s="14">
        <f>Data!I110</f>
        <v>4795308000000</v>
      </c>
      <c r="F110" s="14">
        <f>Data!K110</f>
        <v>1346152000000</v>
      </c>
      <c r="G110" s="12">
        <f t="shared" si="1"/>
        <v>3.5622336853490544</v>
      </c>
    </row>
    <row r="111" spans="2:7" ht="15" customHeight="1" x14ac:dyDescent="0.3">
      <c r="C111" s="3"/>
      <c r="D111" s="8">
        <v>2024</v>
      </c>
      <c r="E111" s="14">
        <f>Data!I111</f>
        <v>4725950000000</v>
      </c>
      <c r="F111" s="14">
        <f>Data!K111</f>
        <v>1172763000000</v>
      </c>
      <c r="G111" s="12">
        <f t="shared" si="1"/>
        <v>4.0297570779432847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Data!I112</f>
        <v>0</v>
      </c>
      <c r="F112" s="14">
        <f>Data!K112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Data!I113</f>
        <v>0</v>
      </c>
      <c r="F113" s="14">
        <f>Data!K113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Data!I114</f>
        <v>0</v>
      </c>
      <c r="F114" s="14">
        <f>Data!K114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Data!I115</f>
        <v>0</v>
      </c>
      <c r="F115" s="14">
        <f>Data!K115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Data!I116</f>
        <v>0</v>
      </c>
      <c r="F116" s="14">
        <f>Data!K116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Data!I117</f>
        <v>0</v>
      </c>
      <c r="F117" s="14">
        <f>Data!K117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Data!I118</f>
        <v>3784000000</v>
      </c>
      <c r="F118" s="14">
        <f>Data!K118</f>
        <v>149727000000</v>
      </c>
      <c r="G118" s="12">
        <f t="shared" si="1"/>
        <v>2.5272662913168632E-2</v>
      </c>
    </row>
    <row r="119" spans="2:7" ht="15" customHeight="1" x14ac:dyDescent="0.3">
      <c r="C119" s="3"/>
      <c r="D119" s="8">
        <v>2021</v>
      </c>
      <c r="E119" s="14">
        <f>Data!I119</f>
        <v>20060427000000</v>
      </c>
      <c r="F119" s="14">
        <f>Data!K119</f>
        <v>985643000000</v>
      </c>
      <c r="G119" s="12">
        <f t="shared" si="1"/>
        <v>20.352629704669948</v>
      </c>
    </row>
    <row r="120" spans="2:7" ht="15" customHeight="1" x14ac:dyDescent="0.3">
      <c r="C120" s="3"/>
      <c r="D120" s="8">
        <v>2022</v>
      </c>
      <c r="E120" s="14">
        <f>Data!I120</f>
        <v>27791846000000</v>
      </c>
      <c r="F120" s="14">
        <f>Data!K120</f>
        <v>2304125000000</v>
      </c>
      <c r="G120" s="12">
        <f t="shared" si="1"/>
        <v>12.061778766342972</v>
      </c>
    </row>
    <row r="121" spans="2:7" ht="15" customHeight="1" x14ac:dyDescent="0.3">
      <c r="C121" s="3"/>
      <c r="D121" s="8">
        <v>2023</v>
      </c>
      <c r="E121" s="14">
        <f>Data!I121</f>
        <v>30055304000000</v>
      </c>
      <c r="F121" s="14">
        <f>Data!K121</f>
        <v>3032730000000</v>
      </c>
      <c r="G121" s="12">
        <f t="shared" si="1"/>
        <v>9.9103131501980073</v>
      </c>
    </row>
    <row r="122" spans="2:7" ht="15" customHeight="1" x14ac:dyDescent="0.3">
      <c r="C122" s="3"/>
      <c r="D122" s="8">
        <v>2024</v>
      </c>
      <c r="E122" s="14">
        <f>Data!I122</f>
        <v>30742842000000</v>
      </c>
      <c r="F122" s="14">
        <f>Data!K122</f>
        <v>4225124000000</v>
      </c>
      <c r="G122" s="12">
        <f t="shared" si="1"/>
        <v>7.2761987577169336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Data!I123</f>
        <v>0</v>
      </c>
      <c r="F123" s="14">
        <f>Data!K123</f>
        <v>0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Data!I124</f>
        <v>538764300315</v>
      </c>
      <c r="F124" s="14">
        <f>Data!K124</f>
        <v>1302931094425</v>
      </c>
      <c r="G124" s="12">
        <f t="shared" si="1"/>
        <v>0.41350175970185399</v>
      </c>
    </row>
    <row r="125" spans="2:7" ht="15" customHeight="1" x14ac:dyDescent="0.3">
      <c r="C125" s="3"/>
      <c r="D125" s="8">
        <v>2016</v>
      </c>
      <c r="E125" s="14">
        <f>Data!I125</f>
        <v>742532507113</v>
      </c>
      <c r="F125" s="14">
        <f>Data!K125</f>
        <v>1386071504924</v>
      </c>
      <c r="G125" s="12">
        <f t="shared" si="1"/>
        <v>0.53571010187797918</v>
      </c>
    </row>
    <row r="126" spans="2:7" ht="15" customHeight="1" x14ac:dyDescent="0.3">
      <c r="C126" s="3"/>
      <c r="D126" s="8">
        <v>2017</v>
      </c>
      <c r="E126" s="14">
        <f>Data!I126</f>
        <v>780587185363</v>
      </c>
      <c r="F126" s="14">
        <f>Data!K126</f>
        <v>1444378094629</v>
      </c>
      <c r="G126" s="12">
        <f t="shared" si="1"/>
        <v>0.54043133738018923</v>
      </c>
    </row>
    <row r="127" spans="2:7" ht="15" customHeight="1" x14ac:dyDescent="0.3">
      <c r="C127" s="3"/>
      <c r="D127" s="8">
        <v>2018</v>
      </c>
      <c r="E127" s="14">
        <f>Data!I127</f>
        <v>800539947884</v>
      </c>
      <c r="F127" s="14">
        <f>Data!K127</f>
        <v>1345814587664</v>
      </c>
      <c r="G127" s="12">
        <f t="shared" si="1"/>
        <v>0.59483672953310651</v>
      </c>
    </row>
    <row r="128" spans="2:7" ht="15" customHeight="1" x14ac:dyDescent="0.3">
      <c r="C128" s="3"/>
      <c r="D128" s="8">
        <v>2019</v>
      </c>
      <c r="E128" s="14">
        <f>Data!I128</f>
        <v>883374854335</v>
      </c>
      <c r="F128" s="14">
        <f>Data!K128</f>
        <v>1316871069007</v>
      </c>
      <c r="G128" s="12">
        <f t="shared" si="1"/>
        <v>0.67081347227190413</v>
      </c>
    </row>
    <row r="129" spans="2:7" ht="15" customHeight="1" x14ac:dyDescent="0.3">
      <c r="C129" s="3"/>
      <c r="D129" s="8">
        <v>2020</v>
      </c>
      <c r="E129" s="14">
        <f>Data!I129</f>
        <v>950707130160</v>
      </c>
      <c r="F129" s="14">
        <f>Data!K129</f>
        <v>1304029859724</v>
      </c>
      <c r="G129" s="12">
        <f t="shared" si="1"/>
        <v>0.72905319082280728</v>
      </c>
    </row>
    <row r="130" spans="2:7" ht="15" customHeight="1" x14ac:dyDescent="0.3">
      <c r="C130" s="3"/>
      <c r="D130" s="8">
        <v>2021</v>
      </c>
      <c r="E130" s="14">
        <f>Data!I130</f>
        <v>1156312746370</v>
      </c>
      <c r="F130" s="14">
        <f>Data!K130</f>
        <v>2524302538621</v>
      </c>
      <c r="G130" s="12">
        <f t="shared" si="1"/>
        <v>0.4580721718885889</v>
      </c>
    </row>
    <row r="131" spans="2:7" ht="15" customHeight="1" x14ac:dyDescent="0.3">
      <c r="C131" s="3"/>
      <c r="D131" s="8">
        <v>2022</v>
      </c>
      <c r="E131" s="14">
        <f>Data!I131</f>
        <v>1229661186622</v>
      </c>
      <c r="F131" s="14">
        <f>Data!K131</f>
        <v>1439255350491</v>
      </c>
      <c r="G131" s="12">
        <f t="shared" ref="G131:G194" si="2">IFERROR(E131/F131,0)</f>
        <v>0.85437319111059951</v>
      </c>
    </row>
    <row r="132" spans="2:7" ht="15" customHeight="1" x14ac:dyDescent="0.3">
      <c r="C132" s="3"/>
      <c r="D132" s="8">
        <v>2023</v>
      </c>
      <c r="E132" s="14">
        <f>Data!I132</f>
        <v>1238114232857</v>
      </c>
      <c r="F132" s="14">
        <f>Data!K132</f>
        <v>1585027205340</v>
      </c>
      <c r="G132" s="12">
        <f t="shared" si="2"/>
        <v>0.78113121887483017</v>
      </c>
    </row>
    <row r="133" spans="2:7" ht="15" customHeight="1" x14ac:dyDescent="0.3">
      <c r="C133" s="3"/>
      <c r="D133" s="8">
        <v>2024</v>
      </c>
      <c r="E133" s="14">
        <f>Data!I133</f>
        <v>2033279403618</v>
      </c>
      <c r="F133" s="14">
        <f>Data!K133</f>
        <v>1576020209937</v>
      </c>
      <c r="G133" s="12">
        <f t="shared" si="2"/>
        <v>1.2901353617154938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Data!I134</f>
        <v>0</v>
      </c>
      <c r="F134" s="14">
        <f>Data!K134</f>
        <v>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Data!I135</f>
        <v>29253480000000</v>
      </c>
      <c r="F135" s="14">
        <f>Data!K135</f>
        <v>7497748000000</v>
      </c>
      <c r="G135" s="12">
        <f t="shared" si="2"/>
        <v>3.9016355310954705</v>
      </c>
    </row>
    <row r="136" spans="2:7" ht="15" customHeight="1" x14ac:dyDescent="0.3">
      <c r="C136" s="3"/>
      <c r="D136" s="8">
        <v>2016</v>
      </c>
      <c r="E136" s="14">
        <f>Data!I136</f>
        <v>31692909000000</v>
      </c>
      <c r="F136" s="14">
        <f>Data!K136</f>
        <v>8026121000000</v>
      </c>
      <c r="G136" s="12">
        <f t="shared" si="2"/>
        <v>3.9487205587854954</v>
      </c>
    </row>
    <row r="137" spans="2:7" ht="15" customHeight="1" x14ac:dyDescent="0.3">
      <c r="C137" s="3"/>
      <c r="D137" s="8">
        <v>2017</v>
      </c>
      <c r="E137" s="14">
        <f>Data!I137</f>
        <v>34773790000000</v>
      </c>
      <c r="F137" s="14">
        <f>Data!K137</f>
        <v>10863284000000</v>
      </c>
      <c r="G137" s="12">
        <f t="shared" si="2"/>
        <v>3.2010384705030264</v>
      </c>
    </row>
    <row r="138" spans="2:7" ht="15" customHeight="1" x14ac:dyDescent="0.3">
      <c r="C138" s="3"/>
      <c r="D138" s="8">
        <v>2018</v>
      </c>
      <c r="E138" s="14">
        <f>Data!I138</f>
        <v>34451064000000</v>
      </c>
      <c r="F138" s="14">
        <f>Data!K138</f>
        <v>11253789000000</v>
      </c>
      <c r="G138" s="12">
        <f t="shared" si="2"/>
        <v>3.0612857589563833</v>
      </c>
    </row>
    <row r="139" spans="2:7" ht="15" customHeight="1" x14ac:dyDescent="0.3">
      <c r="C139" s="3"/>
      <c r="D139" s="8">
        <v>2019</v>
      </c>
      <c r="E139" s="14">
        <f>Data!I139</f>
        <v>36916849000000</v>
      </c>
      <c r="F139" s="14">
        <f>Data!K139</f>
        <v>14092283000000</v>
      </c>
      <c r="G139" s="12">
        <f t="shared" si="2"/>
        <v>2.6196499885788556</v>
      </c>
    </row>
    <row r="140" spans="2:7" ht="15" customHeight="1" x14ac:dyDescent="0.3">
      <c r="C140" s="3"/>
      <c r="D140" s="8">
        <v>2020</v>
      </c>
      <c r="E140" s="14">
        <f>Data!I140</f>
        <v>41705262000000</v>
      </c>
      <c r="F140" s="14">
        <f>Data!K140</f>
        <v>15574135000000</v>
      </c>
      <c r="G140" s="12">
        <f t="shared" si="2"/>
        <v>2.6778541472768791</v>
      </c>
    </row>
    <row r="141" spans="2:7" ht="15" customHeight="1" x14ac:dyDescent="0.3">
      <c r="C141" s="3"/>
      <c r="D141" s="8">
        <v>2021</v>
      </c>
      <c r="E141" s="14">
        <f>Data!I141</f>
        <v>44511042000000</v>
      </c>
      <c r="F141" s="14">
        <f>Data!K141</f>
        <v>15283277000000</v>
      </c>
      <c r="G141" s="12">
        <f t="shared" si="2"/>
        <v>2.9124017054719351</v>
      </c>
    </row>
    <row r="142" spans="2:7" ht="15" customHeight="1" x14ac:dyDescent="0.3">
      <c r="C142" s="3"/>
      <c r="D142" s="8">
        <v>2022</v>
      </c>
      <c r="E142" s="14">
        <f>Data!I142</f>
        <v>44294497000000</v>
      </c>
      <c r="F142" s="14">
        <f>Data!K142</f>
        <v>14784454000000</v>
      </c>
      <c r="G142" s="12">
        <f t="shared" si="2"/>
        <v>2.9960184528965357</v>
      </c>
    </row>
    <row r="143" spans="2:7" ht="15" customHeight="1" x14ac:dyDescent="0.3">
      <c r="C143" s="3"/>
      <c r="D143" s="8">
        <v>2023</v>
      </c>
      <c r="E143" s="14">
        <f>Data!I143</f>
        <v>47176200000000</v>
      </c>
      <c r="F143" s="14">
        <f>Data!K143</f>
        <v>15098377000000</v>
      </c>
      <c r="G143" s="12">
        <f t="shared" si="2"/>
        <v>3.1245874970534913</v>
      </c>
    </row>
    <row r="144" spans="2:7" ht="15" customHeight="1" x14ac:dyDescent="0.3">
      <c r="C144" s="3"/>
      <c r="D144" s="8">
        <v>2024</v>
      </c>
      <c r="E144" s="14">
        <f>Data!I144</f>
        <v>46335611000000</v>
      </c>
      <c r="F144" s="14">
        <f>Data!K144</f>
        <v>15637751000000</v>
      </c>
      <c r="G144" s="12">
        <f t="shared" si="2"/>
        <v>2.963061056541954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Data!I145</f>
        <v>0</v>
      </c>
      <c r="F145" s="14">
        <f>Data!K145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Data!I146</f>
        <v>0</v>
      </c>
      <c r="F146" s="14">
        <f>Data!K146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Data!I147</f>
        <v>0</v>
      </c>
      <c r="F147" s="14">
        <f>Data!K147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Data!I148</f>
        <v>0</v>
      </c>
      <c r="F148" s="14">
        <f>Data!K148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Data!I149</f>
        <v>0</v>
      </c>
      <c r="F149" s="14">
        <f>Data!K149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Data!I150</f>
        <v>0</v>
      </c>
      <c r="F150" s="14">
        <f>Data!K150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Data!I151</f>
        <v>0</v>
      </c>
      <c r="F151" s="14">
        <f>Data!K151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Data!I152</f>
        <v>0</v>
      </c>
      <c r="F152" s="14">
        <f>Data!K152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Data!I153</f>
        <v>0</v>
      </c>
      <c r="F153" s="14">
        <f>Data!K153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Data!I154</f>
        <v>0</v>
      </c>
      <c r="F154" s="14">
        <f>Data!K154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Data!I155</f>
        <v>169375000000</v>
      </c>
      <c r="F155" s="14">
        <f>Data!K155</f>
        <v>342334000000</v>
      </c>
      <c r="G155" s="12">
        <f t="shared" si="2"/>
        <v>0.49476534612396084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Data!I156</f>
        <v>0</v>
      </c>
      <c r="F156" s="14">
        <f>Data!K156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Data!I157</f>
        <v>0</v>
      </c>
      <c r="F157" s="14">
        <f>Data!K157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Data!I158</f>
        <v>0</v>
      </c>
      <c r="F158" s="14">
        <f>Data!K158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Data!I159</f>
        <v>46880840000</v>
      </c>
      <c r="F159" s="14">
        <f>Data!K159</f>
        <v>155501540000</v>
      </c>
      <c r="G159" s="12">
        <f t="shared" si="2"/>
        <v>0.30148151587437655</v>
      </c>
    </row>
    <row r="160" spans="2:7" ht="15" customHeight="1" x14ac:dyDescent="0.3">
      <c r="C160" s="3"/>
      <c r="D160" s="8">
        <v>2018</v>
      </c>
      <c r="E160" s="14">
        <f>Data!I160</f>
        <v>80917560000</v>
      </c>
      <c r="F160" s="14">
        <f>Data!K160</f>
        <v>156961940000</v>
      </c>
      <c r="G160" s="12">
        <f t="shared" si="2"/>
        <v>0.51552344472806588</v>
      </c>
    </row>
    <row r="161" spans="2:7" ht="15" customHeight="1" x14ac:dyDescent="0.3">
      <c r="C161" s="3"/>
      <c r="D161" s="8">
        <v>2019</v>
      </c>
      <c r="E161" s="14">
        <f>Data!I161</f>
        <v>91675330000</v>
      </c>
      <c r="F161" s="14">
        <f>Data!K161</f>
        <v>162416660000</v>
      </c>
      <c r="G161" s="12">
        <f t="shared" si="2"/>
        <v>0.56444535923839345</v>
      </c>
    </row>
    <row r="162" spans="2:7" ht="15" customHeight="1" x14ac:dyDescent="0.3">
      <c r="C162" s="3"/>
      <c r="D162" s="8">
        <v>2020</v>
      </c>
      <c r="E162" s="14">
        <f>Data!I162</f>
        <v>132187840000</v>
      </c>
      <c r="F162" s="14">
        <f>Data!K162</f>
        <v>165802160000</v>
      </c>
      <c r="G162" s="12">
        <f t="shared" si="2"/>
        <v>0.79726247233449798</v>
      </c>
    </row>
    <row r="163" spans="2:7" ht="15" customHeight="1" x14ac:dyDescent="0.3">
      <c r="C163" s="3"/>
      <c r="D163" s="8">
        <v>2021</v>
      </c>
      <c r="E163" s="14">
        <f>Data!I163</f>
        <v>196304730000</v>
      </c>
      <c r="F163" s="14">
        <f>Data!K163</f>
        <v>177833770000</v>
      </c>
      <c r="G163" s="12">
        <f t="shared" si="2"/>
        <v>1.1038664366166224</v>
      </c>
    </row>
    <row r="164" spans="2:7" ht="15" customHeight="1" x14ac:dyDescent="0.3">
      <c r="C164" s="3"/>
      <c r="D164" s="8">
        <v>2022</v>
      </c>
      <c r="E164" s="14">
        <f>Data!I164</f>
        <v>244381780000</v>
      </c>
      <c r="F164" s="14">
        <f>Data!K164</f>
        <v>186995080000</v>
      </c>
      <c r="G164" s="12">
        <f t="shared" si="2"/>
        <v>1.306888822957267</v>
      </c>
    </row>
    <row r="165" spans="2:7" ht="15" customHeight="1" x14ac:dyDescent="0.3">
      <c r="C165" s="3"/>
      <c r="D165" s="8">
        <v>2023</v>
      </c>
      <c r="E165" s="14">
        <f>Data!I165</f>
        <v>315087260000</v>
      </c>
      <c r="F165" s="14">
        <f>Data!K165</f>
        <v>192883510000</v>
      </c>
      <c r="G165" s="12">
        <f t="shared" si="2"/>
        <v>1.6335624543539258</v>
      </c>
    </row>
    <row r="166" spans="2:7" ht="15" customHeight="1" x14ac:dyDescent="0.3">
      <c r="C166" s="3"/>
      <c r="D166" s="8">
        <v>2024</v>
      </c>
      <c r="E166" s="14">
        <f>Data!I166</f>
        <v>329716810000</v>
      </c>
      <c r="F166" s="14">
        <f>Data!K166</f>
        <v>186530010000</v>
      </c>
      <c r="G166" s="12">
        <f t="shared" si="2"/>
        <v>1.7676341195714298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Data!I167</f>
        <v>0</v>
      </c>
      <c r="F167" s="14">
        <f>Data!K167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Data!I168</f>
        <v>227086410000</v>
      </c>
      <c r="F168" s="14">
        <f>Data!K168</f>
        <v>135327720000</v>
      </c>
      <c r="G168" s="12">
        <f t="shared" si="2"/>
        <v>1.6780480008087035</v>
      </c>
    </row>
    <row r="169" spans="2:7" ht="15" customHeight="1" x14ac:dyDescent="0.3">
      <c r="C169" s="3"/>
      <c r="D169" s="8">
        <v>2016</v>
      </c>
      <c r="E169" s="14">
        <f>Data!I169</f>
        <v>279549570000</v>
      </c>
      <c r="F169" s="14">
        <f>Data!K169</f>
        <v>156518790000</v>
      </c>
      <c r="G169" s="12">
        <f t="shared" si="2"/>
        <v>1.7860447937273218</v>
      </c>
    </row>
    <row r="170" spans="2:7" ht="15" customHeight="1" x14ac:dyDescent="0.3">
      <c r="C170" s="3"/>
      <c r="D170" s="8">
        <v>2017</v>
      </c>
      <c r="E170" s="14">
        <f>Data!I170</f>
        <v>571241150000</v>
      </c>
      <c r="F170" s="14">
        <f>Data!K170</f>
        <v>183096330000</v>
      </c>
      <c r="G170" s="12">
        <f t="shared" si="2"/>
        <v>3.1198940470297796</v>
      </c>
    </row>
    <row r="171" spans="2:7" ht="15" customHeight="1" x14ac:dyDescent="0.3">
      <c r="C171" s="3"/>
      <c r="D171" s="8">
        <v>2018</v>
      </c>
      <c r="E171" s="14">
        <f>Data!I171</f>
        <v>725535110000</v>
      </c>
      <c r="F171" s="14">
        <f>Data!K171</f>
        <v>105550420000</v>
      </c>
      <c r="G171" s="12">
        <f t="shared" si="2"/>
        <v>6.8738249454620837</v>
      </c>
    </row>
    <row r="172" spans="2:7" ht="15" customHeight="1" x14ac:dyDescent="0.3">
      <c r="C172" s="3"/>
      <c r="D172" s="8">
        <v>2019</v>
      </c>
      <c r="E172" s="14">
        <f>Data!I172</f>
        <v>646463100000</v>
      </c>
      <c r="F172" s="14">
        <f>Data!K172</f>
        <v>158646300000</v>
      </c>
      <c r="G172" s="12">
        <f t="shared" si="2"/>
        <v>4.0748703247412639</v>
      </c>
    </row>
    <row r="173" spans="2:7" ht="15" customHeight="1" x14ac:dyDescent="0.3">
      <c r="C173" s="3"/>
      <c r="D173" s="8">
        <v>2020</v>
      </c>
      <c r="E173" s="14">
        <f>Data!I173</f>
        <v>795726500000</v>
      </c>
      <c r="F173" s="14">
        <f>Data!K173</f>
        <v>176928510000</v>
      </c>
      <c r="G173" s="12">
        <f t="shared" si="2"/>
        <v>4.4974464545030077</v>
      </c>
    </row>
    <row r="174" spans="2:7" ht="15" customHeight="1" x14ac:dyDescent="0.3">
      <c r="C174" s="3"/>
      <c r="D174" s="8">
        <v>2021</v>
      </c>
      <c r="E174" s="14">
        <f>Data!I174</f>
        <v>1002818320000</v>
      </c>
      <c r="F174" s="14">
        <f>Data!K174</f>
        <v>188195150000</v>
      </c>
      <c r="G174" s="12">
        <f t="shared" si="2"/>
        <v>5.328608734072052</v>
      </c>
    </row>
    <row r="175" spans="2:7" ht="15" customHeight="1" x14ac:dyDescent="0.3">
      <c r="C175" s="3"/>
      <c r="D175" s="8">
        <v>2022</v>
      </c>
      <c r="E175" s="14">
        <f>Data!I175</f>
        <v>759786880000</v>
      </c>
      <c r="F175" s="14">
        <f>Data!K175</f>
        <v>219984670000</v>
      </c>
      <c r="G175" s="12">
        <f t="shared" si="2"/>
        <v>3.453817395548517</v>
      </c>
    </row>
    <row r="176" spans="2:7" ht="15" customHeight="1" x14ac:dyDescent="0.3">
      <c r="C176" s="3"/>
      <c r="D176" s="8">
        <v>2023</v>
      </c>
      <c r="E176" s="14">
        <f>Data!I176</f>
        <v>827919660000</v>
      </c>
      <c r="F176" s="14">
        <f>Data!K176</f>
        <v>245636300000</v>
      </c>
      <c r="G176" s="12">
        <f t="shared" si="2"/>
        <v>3.3705102218198206</v>
      </c>
    </row>
    <row r="177" spans="2:7" ht="15" customHeight="1" x14ac:dyDescent="0.3">
      <c r="C177" s="3"/>
      <c r="D177" s="8">
        <v>2024</v>
      </c>
      <c r="E177" s="14">
        <f>Data!I177</f>
        <v>803194520000</v>
      </c>
      <c r="F177" s="14">
        <f>Data!K177</f>
        <v>223273490000</v>
      </c>
      <c r="G177" s="12">
        <f t="shared" si="2"/>
        <v>3.5973573038160507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Data!I178</f>
        <v>0</v>
      </c>
      <c r="F178" s="14">
        <f>Data!K178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Data!I179</f>
        <v>0</v>
      </c>
      <c r="F179" s="14">
        <f>Data!K179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Data!I180</f>
        <v>0</v>
      </c>
      <c r="F180" s="14">
        <f>Data!K180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Data!I181</f>
        <v>0</v>
      </c>
      <c r="F181" s="14">
        <f>Data!K181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Data!I182</f>
        <v>0</v>
      </c>
      <c r="F182" s="14">
        <f>Data!K182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Data!I183</f>
        <v>27079000000</v>
      </c>
      <c r="F183" s="14">
        <f>Data!K183</f>
        <v>63266000000</v>
      </c>
      <c r="G183" s="12">
        <f t="shared" si="2"/>
        <v>0.42801820883254826</v>
      </c>
    </row>
    <row r="184" spans="2:7" ht="15" customHeight="1" x14ac:dyDescent="0.3">
      <c r="C184" s="3"/>
      <c r="D184" s="8">
        <v>2020</v>
      </c>
      <c r="E184" s="14">
        <f>Data!I184</f>
        <v>124000000</v>
      </c>
      <c r="F184" s="14">
        <f>Data!K184</f>
        <v>68405000000</v>
      </c>
      <c r="G184" s="12">
        <f t="shared" si="2"/>
        <v>1.8127329873547256E-3</v>
      </c>
    </row>
    <row r="185" spans="2:7" ht="15" customHeight="1" x14ac:dyDescent="0.3">
      <c r="C185" s="3"/>
      <c r="D185" s="8">
        <v>2021</v>
      </c>
      <c r="E185" s="14">
        <f>Data!I185</f>
        <v>3278000000</v>
      </c>
      <c r="F185" s="14">
        <f>Data!K185</f>
        <v>116287000000</v>
      </c>
      <c r="G185" s="12">
        <f t="shared" si="2"/>
        <v>2.8188877518553236E-2</v>
      </c>
    </row>
    <row r="186" spans="2:7" ht="15" customHeight="1" x14ac:dyDescent="0.3">
      <c r="C186" s="3"/>
      <c r="D186" s="8">
        <v>2022</v>
      </c>
      <c r="E186" s="14">
        <f>Data!I186</f>
        <v>31523000000</v>
      </c>
      <c r="F186" s="14">
        <f>Data!K186</f>
        <v>112735000000</v>
      </c>
      <c r="G186" s="12">
        <f t="shared" si="2"/>
        <v>0.27962034860513596</v>
      </c>
    </row>
    <row r="187" spans="2:7" ht="15" customHeight="1" x14ac:dyDescent="0.3">
      <c r="C187" s="3"/>
      <c r="D187" s="8">
        <v>2023</v>
      </c>
      <c r="E187" s="14">
        <f>Data!I187</f>
        <v>98464000000</v>
      </c>
      <c r="F187" s="14">
        <f>Data!K187</f>
        <v>167749000000</v>
      </c>
      <c r="G187" s="12">
        <f t="shared" si="2"/>
        <v>0.58697220251685556</v>
      </c>
    </row>
    <row r="188" spans="2:7" ht="15" customHeight="1" x14ac:dyDescent="0.3">
      <c r="C188" s="3"/>
      <c r="D188" s="8">
        <v>2024</v>
      </c>
      <c r="E188" s="14">
        <f>Data!I188</f>
        <v>156649000000</v>
      </c>
      <c r="F188" s="14">
        <f>Data!K188</f>
        <v>237432000000</v>
      </c>
      <c r="G188" s="12">
        <f t="shared" si="2"/>
        <v>0.65976363758886758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Data!I189</f>
        <v>0</v>
      </c>
      <c r="F189" s="14">
        <f>Data!K189</f>
        <v>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Data!I190</f>
        <v>223987000000</v>
      </c>
      <c r="F190" s="14">
        <f>Data!K190</f>
        <v>237171000000</v>
      </c>
      <c r="G190" s="12">
        <f t="shared" si="2"/>
        <v>0.94441141623554314</v>
      </c>
    </row>
    <row r="191" spans="2:7" ht="15" customHeight="1" x14ac:dyDescent="0.3">
      <c r="C191" s="3"/>
      <c r="D191" s="8">
        <v>2016</v>
      </c>
      <c r="E191" s="14">
        <f>Data!I191</f>
        <v>244449000000</v>
      </c>
      <c r="F191" s="14">
        <f>Data!K191</f>
        <v>240322000000</v>
      </c>
      <c r="G191" s="12">
        <f t="shared" si="2"/>
        <v>1.0171727931691648</v>
      </c>
    </row>
    <row r="192" spans="2:7" ht="15" customHeight="1" x14ac:dyDescent="0.3">
      <c r="C192" s="3"/>
      <c r="D192" s="8">
        <v>2017</v>
      </c>
      <c r="E192" s="14">
        <f>Data!I192</f>
        <v>255000000000</v>
      </c>
      <c r="F192" s="14">
        <f>Data!K192</f>
        <v>264654000000</v>
      </c>
      <c r="G192" s="12">
        <f t="shared" si="2"/>
        <v>0.96352218368133491</v>
      </c>
    </row>
    <row r="193" spans="2:7" ht="15" customHeight="1" x14ac:dyDescent="0.3">
      <c r="C193" s="3"/>
      <c r="D193" s="8">
        <v>2018</v>
      </c>
      <c r="E193" s="14">
        <f>Data!I193</f>
        <v>251007000000</v>
      </c>
      <c r="F193" s="14">
        <f>Data!K193</f>
        <v>239302000000</v>
      </c>
      <c r="G193" s="12">
        <f t="shared" si="2"/>
        <v>1.0489130889002181</v>
      </c>
    </row>
    <row r="194" spans="2:7" ht="15" customHeight="1" x14ac:dyDescent="0.3">
      <c r="C194" s="3"/>
      <c r="D194" s="8">
        <v>2019</v>
      </c>
      <c r="E194" s="14">
        <f>Data!I194</f>
        <v>259193000000</v>
      </c>
      <c r="F194" s="14">
        <f>Data!K194</f>
        <v>244846000000</v>
      </c>
      <c r="G194" s="12">
        <f t="shared" si="2"/>
        <v>1.0585960154546123</v>
      </c>
    </row>
    <row r="195" spans="2:7" ht="15" customHeight="1" x14ac:dyDescent="0.3">
      <c r="C195" s="3"/>
      <c r="D195" s="8">
        <v>2020</v>
      </c>
      <c r="E195" s="14">
        <f>Data!I195</f>
        <v>272457000000</v>
      </c>
      <c r="F195" s="14">
        <f>Data!K195</f>
        <v>227519000000</v>
      </c>
      <c r="G195" s="12">
        <f t="shared" ref="G195:G258" si="3">IFERROR(E195/F195,0)</f>
        <v>1.1975131747238692</v>
      </c>
    </row>
    <row r="196" spans="2:7" ht="15" customHeight="1" x14ac:dyDescent="0.3">
      <c r="C196" s="3"/>
      <c r="D196" s="8">
        <v>2021</v>
      </c>
      <c r="E196" s="14">
        <f>Data!I196</f>
        <v>293295000000</v>
      </c>
      <c r="F196" s="14">
        <f>Data!K196</f>
        <v>215305000000</v>
      </c>
      <c r="G196" s="12">
        <f t="shared" si="3"/>
        <v>1.3622303244234923</v>
      </c>
    </row>
    <row r="197" spans="2:7" ht="15" customHeight="1" x14ac:dyDescent="0.3">
      <c r="C197" s="3"/>
      <c r="D197" s="8">
        <v>2022</v>
      </c>
      <c r="E197" s="14">
        <f>Data!I197</f>
        <v>295580000000</v>
      </c>
      <c r="F197" s="14">
        <f>Data!K197</f>
        <v>195568000000</v>
      </c>
      <c r="G197" s="12">
        <f t="shared" si="3"/>
        <v>1.5113924568436554</v>
      </c>
    </row>
    <row r="198" spans="2:7" ht="15" customHeight="1" x14ac:dyDescent="0.3">
      <c r="C198" s="3"/>
      <c r="D198" s="8">
        <v>2023</v>
      </c>
      <c r="E198" s="14">
        <f>Data!I198</f>
        <v>337729000000</v>
      </c>
      <c r="F198" s="14">
        <f>Data!K198</f>
        <v>172316000000</v>
      </c>
      <c r="G198" s="12">
        <f t="shared" si="3"/>
        <v>1.9599398778987442</v>
      </c>
    </row>
    <row r="199" spans="2:7" ht="15" customHeight="1" x14ac:dyDescent="0.3">
      <c r="C199" s="3"/>
      <c r="D199" s="8">
        <v>2024</v>
      </c>
      <c r="E199" s="14">
        <f>Data!I199</f>
        <v>345674000000</v>
      </c>
      <c r="F199" s="14">
        <f>Data!K199</f>
        <v>143119000000</v>
      </c>
      <c r="G199" s="12">
        <f t="shared" si="3"/>
        <v>2.4152907720148966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Data!I200</f>
        <v>0</v>
      </c>
      <c r="F200" s="14">
        <f>Data!K200</f>
        <v>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Data!I201</f>
        <v>9772141000000</v>
      </c>
      <c r="F201" s="14">
        <f>Data!K201</f>
        <v>5597812000000</v>
      </c>
      <c r="G201" s="12">
        <f t="shared" si="3"/>
        <v>1.7457072513331995</v>
      </c>
    </row>
    <row r="202" spans="2:7" ht="15" customHeight="1" x14ac:dyDescent="0.3">
      <c r="C202" s="3"/>
      <c r="D202" s="8">
        <v>2016</v>
      </c>
      <c r="E202" s="14">
        <f>Data!I202</f>
        <v>10745675000000</v>
      </c>
      <c r="F202" s="14">
        <f>Data!K202</f>
        <v>5774991000000</v>
      </c>
      <c r="G202" s="12">
        <f t="shared" si="3"/>
        <v>1.8607258435554273</v>
      </c>
    </row>
    <row r="203" spans="2:7" ht="15" customHeight="1" x14ac:dyDescent="0.3">
      <c r="C203" s="3"/>
      <c r="D203" s="8">
        <v>2017</v>
      </c>
      <c r="E203" s="14">
        <f>Data!I203</f>
        <v>12338338000000</v>
      </c>
      <c r="F203" s="14">
        <f>Data!K203</f>
        <v>6394502000000</v>
      </c>
      <c r="G203" s="12">
        <f t="shared" si="3"/>
        <v>1.9295228932604915</v>
      </c>
    </row>
    <row r="204" spans="2:7" ht="15" customHeight="1" x14ac:dyDescent="0.3">
      <c r="C204" s="3"/>
      <c r="D204" s="8">
        <v>2018</v>
      </c>
      <c r="E204" s="14">
        <f>Data!I204</f>
        <v>12047911000000</v>
      </c>
      <c r="F204" s="14">
        <f>Data!K204</f>
        <v>6372422000000</v>
      </c>
      <c r="G204" s="12">
        <f t="shared" si="3"/>
        <v>1.8906329492930631</v>
      </c>
    </row>
    <row r="205" spans="2:7" ht="15" customHeight="1" x14ac:dyDescent="0.3">
      <c r="C205" s="3"/>
      <c r="D205" s="8">
        <v>2019</v>
      </c>
      <c r="E205" s="14">
        <f>Data!I205</f>
        <v>12318384000000</v>
      </c>
      <c r="F205" s="14">
        <f>Data!K205</f>
        <v>6553268000000</v>
      </c>
      <c r="G205" s="12">
        <f t="shared" si="3"/>
        <v>1.8797314561223499</v>
      </c>
    </row>
    <row r="206" spans="2:7" ht="15" customHeight="1" x14ac:dyDescent="0.3">
      <c r="C206" s="3"/>
      <c r="D206" s="8">
        <v>2020</v>
      </c>
      <c r="E206" s="14">
        <f>Data!I206</f>
        <v>12528881000000</v>
      </c>
      <c r="F206" s="14">
        <f>Data!K206</f>
        <v>7467843000000</v>
      </c>
      <c r="G206" s="12">
        <f t="shared" si="3"/>
        <v>1.6777108195766837</v>
      </c>
    </row>
    <row r="207" spans="2:7" ht="15" customHeight="1" x14ac:dyDescent="0.3">
      <c r="C207" s="3"/>
      <c r="D207" s="8">
        <v>2021</v>
      </c>
      <c r="E207" s="14">
        <f>Data!I207</f>
        <v>12351087000000</v>
      </c>
      <c r="F207" s="14">
        <f>Data!K207</f>
        <v>6564887000000</v>
      </c>
      <c r="G207" s="12">
        <f t="shared" si="3"/>
        <v>1.8813860771708637</v>
      </c>
    </row>
    <row r="208" spans="2:7" ht="15" customHeight="1" x14ac:dyDescent="0.3">
      <c r="C208" s="3"/>
      <c r="D208" s="8">
        <v>2022</v>
      </c>
      <c r="E208" s="14">
        <f>Data!I208</f>
        <v>12000719000000</v>
      </c>
      <c r="F208" s="14">
        <f>Data!K208</f>
        <v>7084995000000</v>
      </c>
      <c r="G208" s="12">
        <f t="shared" si="3"/>
        <v>1.6938218022736784</v>
      </c>
    </row>
    <row r="209" spans="2:7" ht="15" customHeight="1" x14ac:dyDescent="0.3">
      <c r="C209" s="3"/>
      <c r="D209" s="8">
        <v>2023</v>
      </c>
      <c r="E209" s="14">
        <f>Data!I209</f>
        <v>12106761000000</v>
      </c>
      <c r="F209" s="14">
        <f>Data!K209</f>
        <v>6930872000000</v>
      </c>
      <c r="G209" s="12">
        <f t="shared" si="3"/>
        <v>1.746787561507412</v>
      </c>
    </row>
    <row r="210" spans="2:7" ht="15" customHeight="1" x14ac:dyDescent="0.3">
      <c r="C210" s="3"/>
      <c r="D210" s="8">
        <v>2024</v>
      </c>
      <c r="E210" s="14">
        <f>Data!I210</f>
        <v>11794087000000</v>
      </c>
      <c r="F210" s="14">
        <f>Data!K210</f>
        <v>7351838000000</v>
      </c>
      <c r="G210" s="12">
        <f t="shared" si="3"/>
        <v>1.6042365188133907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Data!I211</f>
        <v>0</v>
      </c>
      <c r="F211" s="14">
        <f>Data!K211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Data!I212</f>
        <v>0</v>
      </c>
      <c r="F212" s="14">
        <f>Data!K212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Data!I213</f>
        <v>0</v>
      </c>
      <c r="F213" s="14">
        <f>Data!K213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Data!I214</f>
        <v>124491000000</v>
      </c>
      <c r="F214" s="14">
        <f>Data!K214</f>
        <v>-12402000000</v>
      </c>
      <c r="G214" s="12">
        <f t="shared" si="3"/>
        <v>-10.037977745524916</v>
      </c>
    </row>
    <row r="215" spans="2:7" ht="15" customHeight="1" x14ac:dyDescent="0.3">
      <c r="C215" s="3"/>
      <c r="D215" s="8">
        <v>2018</v>
      </c>
      <c r="E215" s="14">
        <f>Data!I215</f>
        <v>103855000000</v>
      </c>
      <c r="F215" s="14">
        <f>Data!K215</f>
        <v>107363000000</v>
      </c>
      <c r="G215" s="12">
        <f t="shared" si="3"/>
        <v>0.96732580125369072</v>
      </c>
    </row>
    <row r="216" spans="2:7" ht="15" customHeight="1" x14ac:dyDescent="0.3">
      <c r="C216" s="3"/>
      <c r="D216" s="8">
        <v>2019</v>
      </c>
      <c r="E216" s="14">
        <f>Data!I216</f>
        <v>2422720000000</v>
      </c>
      <c r="F216" s="14">
        <f>Data!K216</f>
        <v>131334000000</v>
      </c>
      <c r="G216" s="12">
        <f t="shared" si="3"/>
        <v>18.447012959325079</v>
      </c>
    </row>
    <row r="217" spans="2:7" ht="15" customHeight="1" x14ac:dyDescent="0.3">
      <c r="C217" s="3"/>
      <c r="D217" s="8">
        <v>2020</v>
      </c>
      <c r="E217" s="14">
        <f>Data!I217</f>
        <v>2222727000000</v>
      </c>
      <c r="F217" s="14">
        <f>Data!K217</f>
        <v>154854000000</v>
      </c>
      <c r="G217" s="12">
        <f t="shared" si="3"/>
        <v>14.353694447673293</v>
      </c>
    </row>
    <row r="218" spans="2:7" ht="15" customHeight="1" x14ac:dyDescent="0.3">
      <c r="C218" s="3"/>
      <c r="D218" s="8">
        <v>2021</v>
      </c>
      <c r="E218" s="14">
        <f>Data!I218</f>
        <v>3282858000000</v>
      </c>
      <c r="F218" s="14">
        <f>Data!K218</f>
        <v>198594000000</v>
      </c>
      <c r="G218" s="12">
        <f t="shared" si="3"/>
        <v>16.530499410858333</v>
      </c>
    </row>
    <row r="219" spans="2:7" ht="15" customHeight="1" x14ac:dyDescent="0.3">
      <c r="C219" s="3"/>
      <c r="D219" s="8">
        <v>2022</v>
      </c>
      <c r="E219" s="14">
        <f>Data!I219</f>
        <v>4625569000000</v>
      </c>
      <c r="F219" s="14">
        <f>Data!K219</f>
        <v>222450000000</v>
      </c>
      <c r="G219" s="12">
        <f t="shared" si="3"/>
        <v>20.793746909417848</v>
      </c>
    </row>
    <row r="220" spans="2:7" ht="15" customHeight="1" x14ac:dyDescent="0.3">
      <c r="C220" s="3"/>
      <c r="D220" s="8">
        <v>2023</v>
      </c>
      <c r="E220" s="14">
        <f>Data!I220</f>
        <v>4179795000000</v>
      </c>
      <c r="F220" s="14">
        <f>Data!K220</f>
        <v>265882000000</v>
      </c>
      <c r="G220" s="12">
        <f t="shared" si="3"/>
        <v>15.720488788259454</v>
      </c>
    </row>
    <row r="221" spans="2:7" ht="15" customHeight="1" x14ac:dyDescent="0.3">
      <c r="C221" s="3"/>
      <c r="D221" s="8">
        <v>2024</v>
      </c>
      <c r="E221" s="14">
        <f>Data!I221</f>
        <v>5020831000000</v>
      </c>
      <c r="F221" s="14">
        <f>Data!K221</f>
        <v>283774000000</v>
      </c>
      <c r="G221" s="12">
        <f t="shared" si="3"/>
        <v>17.693062084616631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Data!I222</f>
        <v>0</v>
      </c>
      <c r="F222" s="14">
        <f>Data!K222</f>
        <v>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Data!I223</f>
        <v>262357000000</v>
      </c>
      <c r="F223" s="14">
        <f>Data!K223</f>
        <v>82469000000</v>
      </c>
      <c r="G223" s="12">
        <f t="shared" si="3"/>
        <v>3.1812802386351233</v>
      </c>
    </row>
    <row r="224" spans="2:7" ht="15" customHeight="1" x14ac:dyDescent="0.3">
      <c r="C224" s="4"/>
      <c r="D224" s="8">
        <v>2016</v>
      </c>
      <c r="E224" s="14">
        <f>Data!I224</f>
        <v>154809000000</v>
      </c>
      <c r="F224" s="14">
        <f>Data!K224</f>
        <v>111180000000</v>
      </c>
      <c r="G224" s="12">
        <f t="shared" si="3"/>
        <v>1.3924177010253642</v>
      </c>
    </row>
    <row r="225" spans="2:7" ht="15" customHeight="1" x14ac:dyDescent="0.3">
      <c r="C225" s="4"/>
      <c r="D225" s="8">
        <v>2017</v>
      </c>
      <c r="E225" s="14">
        <f>Data!I225</f>
        <v>437500000000</v>
      </c>
      <c r="F225" s="14">
        <f>Data!K225</f>
        <v>108312000000</v>
      </c>
      <c r="G225" s="12">
        <f t="shared" si="3"/>
        <v>4.0392569613708549</v>
      </c>
    </row>
    <row r="226" spans="2:7" ht="15" customHeight="1" x14ac:dyDescent="0.3">
      <c r="C226" s="4"/>
      <c r="D226" s="8">
        <v>2018</v>
      </c>
      <c r="E226" s="14">
        <f>Data!I226</f>
        <v>361514000000</v>
      </c>
      <c r="F226" s="14">
        <f>Data!K226</f>
        <v>105331000000</v>
      </c>
      <c r="G226" s="12">
        <f t="shared" si="3"/>
        <v>3.4321709658125337</v>
      </c>
    </row>
    <row r="227" spans="2:7" ht="15" customHeight="1" x14ac:dyDescent="0.3">
      <c r="C227" s="4"/>
      <c r="D227" s="8">
        <v>2019</v>
      </c>
      <c r="E227" s="14">
        <f>Data!I227</f>
        <v>807862000000</v>
      </c>
      <c r="F227" s="14">
        <f>Data!K227</f>
        <v>112548000000</v>
      </c>
      <c r="G227" s="12">
        <f t="shared" si="3"/>
        <v>7.1779329708213382</v>
      </c>
    </row>
    <row r="228" spans="2:7" ht="15" customHeight="1" x14ac:dyDescent="0.3">
      <c r="C228" s="4"/>
      <c r="D228" s="8">
        <v>2020</v>
      </c>
      <c r="E228" s="14">
        <f>Data!I228</f>
        <v>999145000000</v>
      </c>
      <c r="F228" s="14">
        <f>Data!K228</f>
        <v>117254000000</v>
      </c>
      <c r="G228" s="12">
        <f t="shared" si="3"/>
        <v>8.5212018353318442</v>
      </c>
    </row>
    <row r="229" spans="2:7" ht="15" customHeight="1" x14ac:dyDescent="0.3">
      <c r="C229" s="4"/>
      <c r="D229" s="8">
        <v>2021</v>
      </c>
      <c r="E229" s="14">
        <f>Data!I229</f>
        <v>1176597000000</v>
      </c>
      <c r="F229" s="14">
        <f>Data!K229</f>
        <v>140128000000</v>
      </c>
      <c r="G229" s="12">
        <f t="shared" si="3"/>
        <v>8.3965874058004104</v>
      </c>
    </row>
    <row r="230" spans="2:7" ht="15" customHeight="1" x14ac:dyDescent="0.3">
      <c r="C230" s="4"/>
      <c r="D230" s="8">
        <v>2022</v>
      </c>
      <c r="E230" s="14">
        <f>Data!I230</f>
        <v>1413687000000</v>
      </c>
      <c r="F230" s="14">
        <f>Data!K230</f>
        <v>152930000000</v>
      </c>
      <c r="G230" s="12">
        <f t="shared" si="3"/>
        <v>9.2440136009939184</v>
      </c>
    </row>
    <row r="231" spans="2:7" ht="15" customHeight="1" x14ac:dyDescent="0.3">
      <c r="C231" s="4"/>
      <c r="D231" s="8">
        <v>2023</v>
      </c>
      <c r="E231" s="14">
        <f>Data!I231</f>
        <v>1915614000000</v>
      </c>
      <c r="F231" s="14">
        <f>Data!K231</f>
        <v>196917000000</v>
      </c>
      <c r="G231" s="12">
        <f t="shared" si="3"/>
        <v>9.7280275446000086</v>
      </c>
    </row>
    <row r="232" spans="2:7" ht="15" customHeight="1" x14ac:dyDescent="0.3">
      <c r="C232" s="4"/>
      <c r="D232" s="8">
        <v>2024</v>
      </c>
      <c r="E232" s="14">
        <f>Data!I232</f>
        <v>2493572000000</v>
      </c>
      <c r="F232" s="14">
        <f>Data!K232</f>
        <v>248554000000</v>
      </c>
      <c r="G232" s="12">
        <f t="shared" si="3"/>
        <v>10.032314909436179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Data!I233</f>
        <v>0</v>
      </c>
      <c r="F233" s="14">
        <f>Data!K233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Data!I234</f>
        <v>0</v>
      </c>
      <c r="F234" s="14">
        <f>Data!K234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Data!I235</f>
        <v>425000000</v>
      </c>
      <c r="F235" s="14">
        <f>Data!K235</f>
        <v>96029000000</v>
      </c>
      <c r="G235" s="12">
        <f t="shared" si="3"/>
        <v>4.4257463891116226E-3</v>
      </c>
    </row>
    <row r="236" spans="2:7" ht="15" customHeight="1" x14ac:dyDescent="0.3">
      <c r="C236" s="4"/>
      <c r="D236" s="8">
        <v>2017</v>
      </c>
      <c r="E236" s="14">
        <f>Data!I236</f>
        <v>129031000000</v>
      </c>
      <c r="F236" s="14">
        <f>Data!K236</f>
        <v>75556000000</v>
      </c>
      <c r="G236" s="12">
        <f t="shared" si="3"/>
        <v>1.7077531896871194</v>
      </c>
    </row>
    <row r="237" spans="2:7" ht="15" customHeight="1" x14ac:dyDescent="0.3">
      <c r="C237" s="4"/>
      <c r="D237" s="8">
        <v>2018</v>
      </c>
      <c r="E237" s="14">
        <f>Data!I237</f>
        <v>120783000000</v>
      </c>
      <c r="F237" s="14">
        <f>Data!K237</f>
        <v>42862000000</v>
      </c>
      <c r="G237" s="12">
        <f t="shared" si="3"/>
        <v>2.817950632261677</v>
      </c>
    </row>
    <row r="238" spans="2:7" ht="15" customHeight="1" x14ac:dyDescent="0.3">
      <c r="C238" s="4"/>
      <c r="D238" s="8">
        <v>2019</v>
      </c>
      <c r="E238" s="14">
        <f>Data!I238</f>
        <v>128719000000</v>
      </c>
      <c r="F238" s="14">
        <f>Data!K238</f>
        <v>4487000000</v>
      </c>
      <c r="G238" s="12">
        <f t="shared" si="3"/>
        <v>28.687096055270782</v>
      </c>
    </row>
    <row r="239" spans="2:7" ht="15" customHeight="1" x14ac:dyDescent="0.3">
      <c r="C239" s="4"/>
      <c r="D239" s="8">
        <v>2020</v>
      </c>
      <c r="E239" s="14">
        <f>Data!I239</f>
        <v>124000000000</v>
      </c>
      <c r="F239" s="14">
        <f>Data!K239</f>
        <v>-20024000000</v>
      </c>
      <c r="G239" s="12">
        <f t="shared" si="3"/>
        <v>-6.1925689172992406</v>
      </c>
    </row>
    <row r="240" spans="2:7" ht="15" customHeight="1" x14ac:dyDescent="0.3">
      <c r="C240" s="4"/>
      <c r="D240" s="8">
        <v>2021</v>
      </c>
      <c r="E240" s="14">
        <f>Data!I240</f>
        <v>158453000000</v>
      </c>
      <c r="F240" s="14">
        <f>Data!K240</f>
        <v>-35637000000</v>
      </c>
      <c r="G240" s="12">
        <f t="shared" si="3"/>
        <v>-4.4463058057636724</v>
      </c>
    </row>
    <row r="241" spans="2:7" ht="15" customHeight="1" x14ac:dyDescent="0.3">
      <c r="C241" s="4"/>
      <c r="D241" s="8">
        <v>2022</v>
      </c>
      <c r="E241" s="14">
        <f>Data!I241</f>
        <v>192767000000</v>
      </c>
      <c r="F241" s="14">
        <f>Data!K241</f>
        <v>-56375000000</v>
      </c>
      <c r="G241" s="12">
        <f t="shared" si="3"/>
        <v>-3.419370288248337</v>
      </c>
    </row>
    <row r="242" spans="2:7" ht="15" customHeight="1" x14ac:dyDescent="0.3">
      <c r="C242" s="4"/>
      <c r="D242" s="8">
        <v>2023</v>
      </c>
      <c r="E242" s="14">
        <f>Data!I242</f>
        <v>189955000000</v>
      </c>
      <c r="F242" s="14">
        <f>Data!K242</f>
        <v>-92258000000</v>
      </c>
      <c r="G242" s="12">
        <f t="shared" si="3"/>
        <v>-2.0589542370309348</v>
      </c>
    </row>
    <row r="243" spans="2:7" ht="15" customHeight="1" x14ac:dyDescent="0.3">
      <c r="C243" s="4"/>
      <c r="D243" s="8">
        <v>2024</v>
      </c>
      <c r="E243" s="14">
        <f>Data!I243</f>
        <v>77888000000</v>
      </c>
      <c r="F243" s="14">
        <f>Data!K243</f>
        <v>-43857000000</v>
      </c>
      <c r="G243" s="12">
        <f t="shared" si="3"/>
        <v>-1.7759536676015231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Data!I244</f>
        <v>0</v>
      </c>
      <c r="F244" s="14">
        <f>Data!K244</f>
        <v>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Data!I245</f>
        <v>2925000000</v>
      </c>
      <c r="F245" s="14">
        <f>Data!K245</f>
        <v>63145000000</v>
      </c>
      <c r="G245" s="12">
        <f t="shared" si="3"/>
        <v>4.6321957399635759E-2</v>
      </c>
    </row>
    <row r="246" spans="2:7" ht="15" customHeight="1" x14ac:dyDescent="0.3">
      <c r="C246" s="4"/>
      <c r="D246" s="8">
        <v>2016</v>
      </c>
      <c r="E246" s="14">
        <f>Data!I246</f>
        <v>4202000000</v>
      </c>
      <c r="F246" s="14">
        <f>Data!K246</f>
        <v>63227000000</v>
      </c>
      <c r="G246" s="12">
        <f t="shared" si="3"/>
        <v>6.6458949499422715E-2</v>
      </c>
    </row>
    <row r="247" spans="2:7" ht="15" customHeight="1" x14ac:dyDescent="0.3">
      <c r="C247" s="4"/>
      <c r="D247" s="8">
        <v>2017</v>
      </c>
      <c r="E247" s="14">
        <f>Data!I247</f>
        <v>51252000000</v>
      </c>
      <c r="F247" s="14">
        <f>Data!K247</f>
        <v>113731000000</v>
      </c>
      <c r="G247" s="12">
        <f t="shared" si="3"/>
        <v>0.45064230508832243</v>
      </c>
    </row>
    <row r="248" spans="2:7" ht="15" customHeight="1" x14ac:dyDescent="0.3">
      <c r="C248" s="4"/>
      <c r="D248" s="8">
        <v>2018</v>
      </c>
      <c r="E248" s="14">
        <f>Data!I248</f>
        <v>64754000000</v>
      </c>
      <c r="F248" s="14">
        <f>Data!K248</f>
        <v>112822000000</v>
      </c>
      <c r="G248" s="12">
        <f t="shared" si="3"/>
        <v>0.57394834340820056</v>
      </c>
    </row>
    <row r="249" spans="2:7" ht="15" customHeight="1" x14ac:dyDescent="0.3">
      <c r="C249" s="4"/>
      <c r="D249" s="8">
        <v>2019</v>
      </c>
      <c r="E249" s="14">
        <f>Data!I249</f>
        <v>97502000000</v>
      </c>
      <c r="F249" s="14">
        <f>Data!K249</f>
        <v>113698000000</v>
      </c>
      <c r="G249" s="12">
        <f t="shared" si="3"/>
        <v>0.8575524635437739</v>
      </c>
    </row>
    <row r="250" spans="2:7" ht="15" customHeight="1" x14ac:dyDescent="0.3">
      <c r="C250" s="4"/>
      <c r="D250" s="8">
        <v>2020</v>
      </c>
      <c r="E250" s="14">
        <f>Data!I250</f>
        <v>135545000000</v>
      </c>
      <c r="F250" s="14">
        <f>Data!K250</f>
        <v>116313000000</v>
      </c>
      <c r="G250" s="12">
        <f t="shared" si="3"/>
        <v>1.1653469517594766</v>
      </c>
    </row>
    <row r="251" spans="2:7" ht="15" customHeight="1" x14ac:dyDescent="0.3">
      <c r="C251" s="4"/>
      <c r="D251" s="8">
        <v>2021</v>
      </c>
      <c r="E251" s="14">
        <f>Data!I251</f>
        <v>135341000000</v>
      </c>
      <c r="F251" s="14">
        <f>Data!K251</f>
        <v>115670000000</v>
      </c>
      <c r="G251" s="12">
        <f t="shared" si="3"/>
        <v>1.1700613815163827</v>
      </c>
    </row>
    <row r="252" spans="2:7" ht="15" customHeight="1" x14ac:dyDescent="0.3">
      <c r="C252" s="4"/>
      <c r="D252" s="8">
        <v>2022</v>
      </c>
      <c r="E252" s="14">
        <f>Data!I252</f>
        <v>170464000000</v>
      </c>
      <c r="F252" s="14">
        <f>Data!K252</f>
        <v>116434000000</v>
      </c>
      <c r="G252" s="12">
        <f t="shared" si="3"/>
        <v>1.4640397134857517</v>
      </c>
    </row>
    <row r="253" spans="2:7" ht="15" customHeight="1" x14ac:dyDescent="0.3">
      <c r="C253" s="4"/>
      <c r="D253" s="8">
        <v>2023</v>
      </c>
      <c r="E253" s="14">
        <f>Data!I253</f>
        <v>205976000000</v>
      </c>
      <c r="F253" s="14">
        <f>Data!K253</f>
        <v>120206000000</v>
      </c>
      <c r="G253" s="12">
        <f t="shared" si="3"/>
        <v>1.7135251152188742</v>
      </c>
    </row>
    <row r="254" spans="2:7" ht="15" customHeight="1" x14ac:dyDescent="0.3">
      <c r="C254" s="4"/>
      <c r="D254" s="8">
        <v>2024</v>
      </c>
      <c r="E254" s="14">
        <f>Data!I254</f>
        <v>231468000000</v>
      </c>
      <c r="F254" s="14">
        <f>Data!K254</f>
        <v>122496000000</v>
      </c>
      <c r="G254" s="12">
        <f t="shared" si="3"/>
        <v>1.889596394984326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Data!I255</f>
        <v>0</v>
      </c>
      <c r="F255" s="14">
        <f>Data!K255</f>
        <v>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Data!I256</f>
        <v>10060000000</v>
      </c>
      <c r="F256" s="14">
        <f>Data!K256</f>
        <v>59008000000</v>
      </c>
      <c r="G256" s="12">
        <f t="shared" si="3"/>
        <v>0.1704853579175705</v>
      </c>
    </row>
    <row r="257" spans="2:7" ht="15" customHeight="1" x14ac:dyDescent="0.3">
      <c r="C257" s="4"/>
      <c r="D257" s="8">
        <v>2016</v>
      </c>
      <c r="E257" s="14">
        <f>Data!I257</f>
        <v>10520000000</v>
      </c>
      <c r="F257" s="14">
        <f>Data!K257</f>
        <v>54212000000</v>
      </c>
      <c r="G257" s="12">
        <f t="shared" si="3"/>
        <v>0.19405297720061979</v>
      </c>
    </row>
    <row r="258" spans="2:7" ht="15" customHeight="1" x14ac:dyDescent="0.3">
      <c r="C258" s="4"/>
      <c r="D258" s="8">
        <v>2017</v>
      </c>
      <c r="E258" s="14">
        <f>Data!I258</f>
        <v>28060000000</v>
      </c>
      <c r="F258" s="14">
        <f>Data!K258</f>
        <v>50778000000</v>
      </c>
      <c r="G258" s="12">
        <f t="shared" si="3"/>
        <v>0.55260152034345578</v>
      </c>
    </row>
    <row r="259" spans="2:7" ht="15" customHeight="1" x14ac:dyDescent="0.3">
      <c r="C259" s="4"/>
      <c r="D259" s="8">
        <v>2018</v>
      </c>
      <c r="E259" s="14">
        <f>Data!I259</f>
        <v>30807000000</v>
      </c>
      <c r="F259" s="14">
        <f>Data!K259</f>
        <v>53241000000</v>
      </c>
      <c r="G259" s="12">
        <f t="shared" ref="G259:G322" si="4">IFERROR(E259/F259,0)</f>
        <v>0.57863300839578524</v>
      </c>
    </row>
    <row r="260" spans="2:7" ht="15" customHeight="1" x14ac:dyDescent="0.3">
      <c r="C260" s="4"/>
      <c r="D260" s="8">
        <v>2019</v>
      </c>
      <c r="E260" s="14">
        <f>Data!I260</f>
        <v>29286000000</v>
      </c>
      <c r="F260" s="14">
        <f>Data!K260</f>
        <v>61740000000</v>
      </c>
      <c r="G260" s="12">
        <f t="shared" si="4"/>
        <v>0.47434402332361514</v>
      </c>
    </row>
    <row r="261" spans="2:7" ht="15" customHeight="1" x14ac:dyDescent="0.3">
      <c r="C261" s="4"/>
      <c r="D261" s="8">
        <v>2020</v>
      </c>
      <c r="E261" s="14">
        <f>Data!I261</f>
        <v>30367000000</v>
      </c>
      <c r="F261" s="14">
        <f>Data!K261</f>
        <v>51505000000</v>
      </c>
      <c r="G261" s="12">
        <f t="shared" si="4"/>
        <v>0.58959324337442964</v>
      </c>
    </row>
    <row r="262" spans="2:7" ht="15" customHeight="1" x14ac:dyDescent="0.3">
      <c r="C262" s="4"/>
      <c r="D262" s="8">
        <v>2021</v>
      </c>
      <c r="E262" s="14">
        <f>Data!I262</f>
        <v>30303000000</v>
      </c>
      <c r="F262" s="14">
        <f>Data!K262</f>
        <v>51193000000</v>
      </c>
      <c r="G262" s="12">
        <f t="shared" si="4"/>
        <v>0.59193639755435312</v>
      </c>
    </row>
    <row r="263" spans="2:7" ht="15" customHeight="1" x14ac:dyDescent="0.3">
      <c r="C263" s="4"/>
      <c r="D263" s="8">
        <v>2022</v>
      </c>
      <c r="E263" s="14">
        <f>Data!I263</f>
        <v>40196000000</v>
      </c>
      <c r="F263" s="14">
        <f>Data!K263</f>
        <v>51073000000</v>
      </c>
      <c r="G263" s="12">
        <f t="shared" si="4"/>
        <v>0.78703032913672588</v>
      </c>
    </row>
    <row r="264" spans="2:7" ht="15" customHeight="1" x14ac:dyDescent="0.3">
      <c r="C264" s="4"/>
      <c r="D264" s="8">
        <v>2023</v>
      </c>
      <c r="E264" s="14">
        <f>Data!I264</f>
        <v>73522000000</v>
      </c>
      <c r="F264" s="14">
        <f>Data!K264</f>
        <v>61497000000</v>
      </c>
      <c r="G264" s="12">
        <f t="shared" si="4"/>
        <v>1.1955379937232711</v>
      </c>
    </row>
    <row r="265" spans="2:7" ht="15" customHeight="1" x14ac:dyDescent="0.3">
      <c r="C265" s="4"/>
      <c r="D265" s="8">
        <v>2024</v>
      </c>
      <c r="E265" s="14">
        <f>Data!I265</f>
        <v>94238000000</v>
      </c>
      <c r="F265" s="14">
        <f>Data!K265</f>
        <v>64771000000</v>
      </c>
      <c r="G265" s="12">
        <f t="shared" si="4"/>
        <v>1.4549412545738061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Data!I266</f>
        <v>0</v>
      </c>
      <c r="F266" s="14">
        <f>Data!K266</f>
        <v>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Data!I267</f>
        <v>2348962000000</v>
      </c>
      <c r="F267" s="14">
        <f>Data!K267</f>
        <v>355218000000</v>
      </c>
      <c r="G267" s="12">
        <f t="shared" si="4"/>
        <v>6.6127335889510102</v>
      </c>
    </row>
    <row r="268" spans="2:7" ht="15" customHeight="1" x14ac:dyDescent="0.3">
      <c r="C268" s="3"/>
      <c r="D268" s="8">
        <v>2016</v>
      </c>
      <c r="E268" s="14">
        <f>Data!I268</f>
        <v>2581487000000</v>
      </c>
      <c r="F268" s="14">
        <f>Data!K268</f>
        <v>384866000000</v>
      </c>
      <c r="G268" s="12">
        <f t="shared" si="4"/>
        <v>6.7074955958697311</v>
      </c>
    </row>
    <row r="269" spans="2:7" ht="15" customHeight="1" x14ac:dyDescent="0.3">
      <c r="C269" s="3"/>
      <c r="D269" s="8">
        <v>2017</v>
      </c>
      <c r="E269" s="14">
        <f>Data!I269</f>
        <v>2928008100000</v>
      </c>
      <c r="F269" s="14">
        <f>Data!K269</f>
        <v>488158370000</v>
      </c>
      <c r="G269" s="12">
        <f t="shared" si="4"/>
        <v>5.9980700525528219</v>
      </c>
    </row>
    <row r="270" spans="2:7" ht="15" customHeight="1" x14ac:dyDescent="0.3">
      <c r="C270" s="3"/>
      <c r="D270" s="8">
        <v>2018</v>
      </c>
      <c r="E270" s="14">
        <f>Data!I270</f>
        <v>3054048040000</v>
      </c>
      <c r="F270" s="14">
        <f>Data!K270</f>
        <v>405793460000</v>
      </c>
      <c r="G270" s="12">
        <f t="shared" si="4"/>
        <v>7.526114491840258</v>
      </c>
    </row>
    <row r="271" spans="2:7" ht="15" customHeight="1" x14ac:dyDescent="0.3">
      <c r="C271" s="3"/>
      <c r="D271" s="8">
        <v>2019</v>
      </c>
      <c r="E271" s="14">
        <f>Data!I271</f>
        <v>4008880410000</v>
      </c>
      <c r="F271" s="14">
        <f>Data!K271</f>
        <v>481839050000</v>
      </c>
      <c r="G271" s="12">
        <f t="shared" si="4"/>
        <v>8.3199574837282277</v>
      </c>
    </row>
    <row r="272" spans="2:7" ht="15" customHeight="1" x14ac:dyDescent="0.3">
      <c r="C272" s="3"/>
      <c r="D272" s="8">
        <v>2020</v>
      </c>
      <c r="E272" s="14">
        <f>Data!I272</f>
        <v>4747966030000</v>
      </c>
      <c r="F272" s="14">
        <f>Data!K272</f>
        <v>516278510000</v>
      </c>
      <c r="G272" s="12">
        <f t="shared" si="4"/>
        <v>9.1965207500114623</v>
      </c>
    </row>
    <row r="273" spans="2:7" ht="15" customHeight="1" x14ac:dyDescent="0.3">
      <c r="C273" s="3"/>
      <c r="D273" s="8">
        <v>2021</v>
      </c>
      <c r="E273" s="14">
        <f>Data!I273</f>
        <v>5441023440000</v>
      </c>
      <c r="F273" s="14">
        <f>Data!K273</f>
        <v>579489110000</v>
      </c>
      <c r="G273" s="12">
        <f t="shared" si="4"/>
        <v>9.3893454529283567</v>
      </c>
    </row>
    <row r="274" spans="2:7" ht="15" customHeight="1" x14ac:dyDescent="0.3">
      <c r="C274" s="3"/>
      <c r="D274" s="8">
        <v>2022</v>
      </c>
      <c r="E274" s="14">
        <f>Data!I274</f>
        <v>5983958260000</v>
      </c>
      <c r="F274" s="14">
        <f>Data!K274</f>
        <v>616428880000</v>
      </c>
      <c r="G274" s="12">
        <f t="shared" si="4"/>
        <v>9.707459293600909</v>
      </c>
    </row>
    <row r="275" spans="2:7" ht="15" customHeight="1" x14ac:dyDescent="0.3">
      <c r="C275" s="3"/>
      <c r="D275" s="8">
        <v>2023</v>
      </c>
      <c r="E275" s="14">
        <f>Data!I275</f>
        <v>6786718560000</v>
      </c>
      <c r="F275" s="14">
        <f>Data!K275</f>
        <v>712294260000</v>
      </c>
      <c r="G275" s="12">
        <f t="shared" si="4"/>
        <v>9.5279703082262657</v>
      </c>
    </row>
    <row r="276" spans="2:7" ht="15" customHeight="1" x14ac:dyDescent="0.3">
      <c r="C276" s="3"/>
      <c r="D276" s="8">
        <v>2024</v>
      </c>
      <c r="E276" s="14">
        <f>Data!I276</f>
        <v>7746022140000</v>
      </c>
      <c r="F276" s="14">
        <f>Data!K276</f>
        <v>689088720000</v>
      </c>
      <c r="G276" s="12">
        <f t="shared" si="4"/>
        <v>11.240964936996791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Data!I277</f>
        <v>0</v>
      </c>
      <c r="F277" s="14">
        <f>Data!K277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Data!I278</f>
        <v>0</v>
      </c>
      <c r="F278" s="14">
        <f>Data!K278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Data!I279</f>
        <v>0</v>
      </c>
      <c r="F279" s="14">
        <f>Data!K279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Data!I280</f>
        <v>0</v>
      </c>
      <c r="F280" s="14">
        <f>Data!K280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Data!I281</f>
        <v>0</v>
      </c>
      <c r="F281" s="14">
        <f>Data!K281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Data!I282</f>
        <v>0</v>
      </c>
      <c r="F282" s="14">
        <f>Data!K282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Data!I283</f>
        <v>0</v>
      </c>
      <c r="F283" s="14">
        <f>Data!K283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Data!I284</f>
        <v>0</v>
      </c>
      <c r="F284" s="14">
        <f>Data!K284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Data!I285</f>
        <v>4616560000</v>
      </c>
      <c r="F285" s="14">
        <f>Data!K285</f>
        <v>128332610000</v>
      </c>
      <c r="G285" s="12">
        <f t="shared" si="4"/>
        <v>3.5973397564344714E-2</v>
      </c>
    </row>
    <row r="286" spans="2:7" ht="15" customHeight="1" x14ac:dyDescent="0.3">
      <c r="C286" s="3"/>
      <c r="D286" s="8">
        <v>2023</v>
      </c>
      <c r="E286" s="14">
        <f>Data!I286</f>
        <v>4060880000</v>
      </c>
      <c r="F286" s="14">
        <f>Data!K286</f>
        <v>128412500000</v>
      </c>
      <c r="G286" s="12">
        <f t="shared" si="4"/>
        <v>3.162371264479704E-2</v>
      </c>
    </row>
    <row r="287" spans="2:7" ht="15" customHeight="1" x14ac:dyDescent="0.3">
      <c r="C287" s="3"/>
      <c r="D287" s="8">
        <v>2024</v>
      </c>
      <c r="E287" s="14">
        <f>Data!I287</f>
        <v>1557730000</v>
      </c>
      <c r="F287" s="14">
        <f>Data!K287</f>
        <v>158188950000</v>
      </c>
      <c r="G287" s="12">
        <f t="shared" si="4"/>
        <v>9.8472744145529766E-3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Data!I288</f>
        <v>0</v>
      </c>
      <c r="F288" s="14">
        <f>Data!K288</f>
        <v>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Data!I289</f>
        <v>677805000000</v>
      </c>
      <c r="F289" s="14">
        <f>Data!K289</f>
        <v>561754000000</v>
      </c>
      <c r="G289" s="12">
        <f t="shared" si="4"/>
        <v>1.2065868689853565</v>
      </c>
    </row>
    <row r="290" spans="2:7" ht="15" customHeight="1" x14ac:dyDescent="0.3">
      <c r="C290" s="3"/>
      <c r="D290" s="8">
        <v>2016</v>
      </c>
      <c r="E290" s="14">
        <f>Data!I290</f>
        <v>12516868000000</v>
      </c>
      <c r="F290" s="14">
        <f>Data!K290</f>
        <v>605443000000</v>
      </c>
      <c r="G290" s="12">
        <f t="shared" si="4"/>
        <v>20.673899937731544</v>
      </c>
    </row>
    <row r="291" spans="2:7" ht="15" customHeight="1" x14ac:dyDescent="0.3">
      <c r="C291" s="3"/>
      <c r="D291" s="8">
        <v>2017</v>
      </c>
      <c r="E291" s="14">
        <f>Data!I291</f>
        <v>24167565000000</v>
      </c>
      <c r="F291" s="14">
        <f>Data!K291</f>
        <v>670869000000</v>
      </c>
      <c r="G291" s="12">
        <f t="shared" si="4"/>
        <v>36.024268523362984</v>
      </c>
    </row>
    <row r="292" spans="2:7" ht="15" customHeight="1" x14ac:dyDescent="0.3">
      <c r="C292" s="3"/>
      <c r="D292" s="8">
        <v>2018</v>
      </c>
      <c r="E292" s="14">
        <f>Data!I292</f>
        <v>30121442000000</v>
      </c>
      <c r="F292" s="14">
        <f>Data!K292</f>
        <v>792676000000</v>
      </c>
      <c r="G292" s="12">
        <f t="shared" si="4"/>
        <v>37.999689658826554</v>
      </c>
    </row>
    <row r="293" spans="2:7" ht="15" customHeight="1" x14ac:dyDescent="0.3">
      <c r="C293" s="3"/>
      <c r="D293" s="8">
        <v>2019</v>
      </c>
      <c r="E293" s="14">
        <f>Data!I293</f>
        <v>34246083000000</v>
      </c>
      <c r="F293" s="14">
        <f>Data!K293</f>
        <v>936392000000</v>
      </c>
      <c r="G293" s="12">
        <f t="shared" si="4"/>
        <v>36.572378875513671</v>
      </c>
    </row>
    <row r="294" spans="2:7" ht="15" customHeight="1" x14ac:dyDescent="0.3">
      <c r="C294" s="3"/>
      <c r="D294" s="8">
        <v>2020</v>
      </c>
      <c r="E294" s="14">
        <f>Data!I294</f>
        <v>31156364000000</v>
      </c>
      <c r="F294" s="14">
        <f>Data!K294</f>
        <v>1066930000000</v>
      </c>
      <c r="G294" s="12">
        <f t="shared" si="4"/>
        <v>29.201882035372517</v>
      </c>
    </row>
    <row r="295" spans="2:7" ht="15" customHeight="1" x14ac:dyDescent="0.3">
      <c r="C295" s="3"/>
      <c r="D295" s="8">
        <v>2021</v>
      </c>
      <c r="E295" s="14">
        <f>Data!I295</f>
        <v>32541700000000</v>
      </c>
      <c r="F295" s="14">
        <f>Data!K295</f>
        <v>1105881000000</v>
      </c>
      <c r="G295" s="12">
        <f t="shared" si="4"/>
        <v>29.426041319093102</v>
      </c>
    </row>
    <row r="296" spans="2:7" ht="15" customHeight="1" x14ac:dyDescent="0.3">
      <c r="C296" s="3"/>
      <c r="D296" s="8">
        <v>2022</v>
      </c>
      <c r="E296" s="14">
        <f>Data!I296</f>
        <v>27628766000000</v>
      </c>
      <c r="F296" s="14">
        <f>Data!K296</f>
        <v>1250311000000</v>
      </c>
      <c r="G296" s="12">
        <f t="shared" si="4"/>
        <v>22.097514938283354</v>
      </c>
    </row>
    <row r="297" spans="2:7" ht="15" customHeight="1" x14ac:dyDescent="0.3">
      <c r="C297" s="3"/>
      <c r="D297" s="8">
        <v>2023</v>
      </c>
      <c r="E297" s="14">
        <f>Data!I297</f>
        <v>22062179000000</v>
      </c>
      <c r="F297" s="14">
        <f>Data!K297</f>
        <v>1358671000000</v>
      </c>
      <c r="G297" s="12">
        <f t="shared" si="4"/>
        <v>16.238058367331018</v>
      </c>
    </row>
    <row r="298" spans="2:7" ht="15" customHeight="1" x14ac:dyDescent="0.3">
      <c r="C298" s="3"/>
      <c r="D298" s="8">
        <v>2024</v>
      </c>
      <c r="E298" s="14">
        <f>Data!I298</f>
        <v>22495949000000</v>
      </c>
      <c r="F298" s="14">
        <f>Data!K298</f>
        <v>1525165000000</v>
      </c>
      <c r="G298" s="12">
        <f t="shared" si="4"/>
        <v>14.749846082227169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Data!I299</f>
        <v>0</v>
      </c>
      <c r="F299" s="14">
        <f>Data!K299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Data!I300</f>
        <v>114000000</v>
      </c>
      <c r="F300" s="14">
        <f>Data!K300</f>
        <v>60625000000</v>
      </c>
      <c r="G300" s="12">
        <f t="shared" si="4"/>
        <v>1.8804123711340206E-3</v>
      </c>
    </row>
    <row r="301" spans="2:7" ht="15" customHeight="1" x14ac:dyDescent="0.3">
      <c r="C301" s="4"/>
      <c r="D301" s="8">
        <v>2016</v>
      </c>
      <c r="E301" s="14">
        <f>Data!I301</f>
        <v>7811000000</v>
      </c>
      <c r="F301" s="14">
        <f>Data!K301</f>
        <v>61421000000</v>
      </c>
      <c r="G301" s="12">
        <f t="shared" si="4"/>
        <v>0.12717148857882482</v>
      </c>
    </row>
    <row r="302" spans="2:7" ht="15" customHeight="1" x14ac:dyDescent="0.3">
      <c r="C302" s="4"/>
      <c r="D302" s="8">
        <v>2017</v>
      </c>
      <c r="E302" s="14">
        <f>Data!I302</f>
        <v>13530000000</v>
      </c>
      <c r="F302" s="14">
        <f>Data!K302</f>
        <v>60709000000</v>
      </c>
      <c r="G302" s="12">
        <f t="shared" si="4"/>
        <v>0.22286646131545571</v>
      </c>
    </row>
    <row r="303" spans="2:7" ht="15" customHeight="1" x14ac:dyDescent="0.3">
      <c r="C303" s="4"/>
      <c r="D303" s="8">
        <v>2018</v>
      </c>
      <c r="E303" s="14">
        <f>Data!I303</f>
        <v>28509000000</v>
      </c>
      <c r="F303" s="14">
        <f>Data!K303</f>
        <v>59648000000</v>
      </c>
      <c r="G303" s="12">
        <f t="shared" si="4"/>
        <v>0.47795399678111589</v>
      </c>
    </row>
    <row r="304" spans="2:7" ht="15" customHeight="1" x14ac:dyDescent="0.3">
      <c r="C304" s="4"/>
      <c r="D304" s="8">
        <v>2019</v>
      </c>
      <c r="E304" s="14">
        <f>Data!I304</f>
        <v>39414000000</v>
      </c>
      <c r="F304" s="14">
        <f>Data!K304</f>
        <v>64826000000</v>
      </c>
      <c r="G304" s="12">
        <f t="shared" si="4"/>
        <v>0.60799679141085372</v>
      </c>
    </row>
    <row r="305" spans="2:7" ht="15" customHeight="1" x14ac:dyDescent="0.3">
      <c r="C305" s="4"/>
      <c r="D305" s="8">
        <v>2020</v>
      </c>
      <c r="E305" s="14">
        <f>Data!I305</f>
        <v>53875000000</v>
      </c>
      <c r="F305" s="14">
        <f>Data!K305</f>
        <v>65251000000</v>
      </c>
      <c r="G305" s="12">
        <f t="shared" si="4"/>
        <v>0.82565784432422495</v>
      </c>
    </row>
    <row r="306" spans="2:7" ht="15" customHeight="1" x14ac:dyDescent="0.3">
      <c r="C306" s="4"/>
      <c r="D306" s="8">
        <v>2021</v>
      </c>
      <c r="E306" s="14">
        <f>Data!I306</f>
        <v>69966000000</v>
      </c>
      <c r="F306" s="14">
        <f>Data!K306</f>
        <v>65722000000</v>
      </c>
      <c r="G306" s="12">
        <f t="shared" si="4"/>
        <v>1.0645750281488695</v>
      </c>
    </row>
    <row r="307" spans="2:7" ht="15" customHeight="1" x14ac:dyDescent="0.3">
      <c r="C307" s="4"/>
      <c r="D307" s="8">
        <v>2022</v>
      </c>
      <c r="E307" s="14">
        <f>Data!I307</f>
        <v>81616000000</v>
      </c>
      <c r="F307" s="14">
        <f>Data!K307</f>
        <v>66505000000</v>
      </c>
      <c r="G307" s="12">
        <f t="shared" si="4"/>
        <v>1.227215998797083</v>
      </c>
    </row>
    <row r="308" spans="2:7" ht="15" customHeight="1" x14ac:dyDescent="0.3">
      <c r="C308" s="4"/>
      <c r="D308" s="8">
        <v>2023</v>
      </c>
      <c r="E308" s="14">
        <f>Data!I308</f>
        <v>77192000000</v>
      </c>
      <c r="F308" s="14">
        <f>Data!K308</f>
        <v>67995000000</v>
      </c>
      <c r="G308" s="12">
        <f t="shared" si="4"/>
        <v>1.135259945584234</v>
      </c>
    </row>
    <row r="309" spans="2:7" ht="15" customHeight="1" x14ac:dyDescent="0.3">
      <c r="C309" s="4"/>
      <c r="D309" s="8">
        <v>2024</v>
      </c>
      <c r="E309" s="14">
        <f>Data!I309</f>
        <v>61601000000</v>
      </c>
      <c r="F309" s="14">
        <f>Data!K309</f>
        <v>72226000000</v>
      </c>
      <c r="G309" s="12">
        <f t="shared" si="4"/>
        <v>0.85289231024838696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Data!I310</f>
        <v>0</v>
      </c>
      <c r="F310" s="14">
        <f>Data!K310</f>
        <v>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>
        <f>Data!I311</f>
        <v>240551000000</v>
      </c>
      <c r="F311" s="14">
        <f>Data!K311</f>
        <v>162399000000</v>
      </c>
      <c r="G311" s="12">
        <f t="shared" si="4"/>
        <v>1.4812344903601624</v>
      </c>
    </row>
    <row r="312" spans="2:7" ht="15" customHeight="1" x14ac:dyDescent="0.3">
      <c r="C312" s="4"/>
      <c r="D312" s="8">
        <v>2016</v>
      </c>
      <c r="E312" s="14">
        <f>Data!I312</f>
        <v>257116000000</v>
      </c>
      <c r="F312" s="14">
        <f>Data!K312</f>
        <v>185825000000</v>
      </c>
      <c r="G312" s="12">
        <f t="shared" si="4"/>
        <v>1.3836459034037401</v>
      </c>
    </row>
    <row r="313" spans="2:7" ht="15" customHeight="1" x14ac:dyDescent="0.3">
      <c r="C313" s="4"/>
      <c r="D313" s="8">
        <v>2017</v>
      </c>
      <c r="E313" s="14">
        <f>Data!I313</f>
        <v>331887000000</v>
      </c>
      <c r="F313" s="14">
        <f>Data!K313</f>
        <v>170120000000</v>
      </c>
      <c r="G313" s="12">
        <f t="shared" si="4"/>
        <v>1.950899365154009</v>
      </c>
    </row>
    <row r="314" spans="2:7" ht="15" customHeight="1" x14ac:dyDescent="0.3">
      <c r="C314" s="4"/>
      <c r="D314" s="8">
        <v>2018</v>
      </c>
      <c r="E314" s="14">
        <f>Data!I314</f>
        <v>366550000000</v>
      </c>
      <c r="F314" s="14">
        <f>Data!K314</f>
        <v>173206000000</v>
      </c>
      <c r="G314" s="12">
        <f t="shared" si="4"/>
        <v>2.1162661801554217</v>
      </c>
    </row>
    <row r="315" spans="2:7" ht="15" customHeight="1" x14ac:dyDescent="0.3">
      <c r="C315" s="4"/>
      <c r="D315" s="8">
        <v>2019</v>
      </c>
      <c r="E315" s="14">
        <f>Data!I315</f>
        <v>466826000000</v>
      </c>
      <c r="F315" s="14">
        <f>Data!K315</f>
        <v>184454000000</v>
      </c>
      <c r="G315" s="12">
        <f t="shared" si="4"/>
        <v>2.5308532208572325</v>
      </c>
    </row>
    <row r="316" spans="2:7" ht="15" customHeight="1" x14ac:dyDescent="0.3">
      <c r="C316" s="4"/>
      <c r="D316" s="8">
        <v>2020</v>
      </c>
      <c r="E316" s="14">
        <f>Data!I316</f>
        <v>494103000000</v>
      </c>
      <c r="F316" s="14">
        <f>Data!K316</f>
        <v>198267000000</v>
      </c>
      <c r="G316" s="12">
        <f t="shared" si="4"/>
        <v>2.4921091255730907</v>
      </c>
    </row>
    <row r="317" spans="2:7" ht="15" customHeight="1" x14ac:dyDescent="0.3">
      <c r="C317" s="4"/>
      <c r="D317" s="8">
        <v>2021</v>
      </c>
      <c r="E317" s="14">
        <f>Data!I317</f>
        <v>575223000000</v>
      </c>
      <c r="F317" s="14">
        <f>Data!K317</f>
        <v>211871000000</v>
      </c>
      <c r="G317" s="12">
        <f t="shared" si="4"/>
        <v>2.7149680701936556</v>
      </c>
    </row>
    <row r="318" spans="2:7" ht="15" customHeight="1" x14ac:dyDescent="0.3">
      <c r="C318" s="4"/>
      <c r="D318" s="8">
        <v>2022</v>
      </c>
      <c r="E318" s="14">
        <f>Data!I318</f>
        <v>647883000000</v>
      </c>
      <c r="F318" s="14">
        <f>Data!K318</f>
        <v>219331000000</v>
      </c>
      <c r="G318" s="12">
        <f t="shared" si="4"/>
        <v>2.9539052847066762</v>
      </c>
    </row>
    <row r="319" spans="2:7" ht="15" customHeight="1" x14ac:dyDescent="0.3">
      <c r="C319" s="4"/>
      <c r="D319" s="8">
        <v>2023</v>
      </c>
      <c r="E319" s="14">
        <f>Data!I319</f>
        <v>675459000000</v>
      </c>
      <c r="F319" s="14">
        <f>Data!K319</f>
        <v>188742000000</v>
      </c>
      <c r="G319" s="12">
        <f t="shared" si="4"/>
        <v>3.5787424102743426</v>
      </c>
    </row>
    <row r="320" spans="2:7" ht="15" customHeight="1" x14ac:dyDescent="0.3">
      <c r="C320" s="4"/>
      <c r="D320" s="8">
        <v>2024</v>
      </c>
      <c r="E320" s="14">
        <f>Data!I320</f>
        <v>565896000000</v>
      </c>
      <c r="F320" s="14">
        <f>Data!K320</f>
        <v>194655000000</v>
      </c>
      <c r="G320" s="12">
        <f t="shared" si="4"/>
        <v>2.9071742313323572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Data!I321</f>
        <v>0</v>
      </c>
      <c r="F321" s="14">
        <f>Data!K321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Data!I322</f>
        <v>0</v>
      </c>
      <c r="F322" s="14">
        <f>Data!K322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Data!I323</f>
        <v>0</v>
      </c>
      <c r="F323" s="14">
        <f>Data!K323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Data!I324</f>
        <v>8868810000000</v>
      </c>
      <c r="F324" s="14">
        <f>Data!K324</f>
        <v>2057674000000</v>
      </c>
      <c r="G324" s="12">
        <f t="shared" si="5"/>
        <v>4.3101142357827333</v>
      </c>
    </row>
    <row r="325" spans="2:7" ht="15" customHeight="1" x14ac:dyDescent="0.3">
      <c r="C325" s="3"/>
      <c r="D325" s="8">
        <v>2018</v>
      </c>
      <c r="E325" s="14">
        <f>Data!I325</f>
        <v>8438294000000</v>
      </c>
      <c r="F325" s="14">
        <f>Data!K325</f>
        <v>1791213000000</v>
      </c>
      <c r="G325" s="12">
        <f t="shared" si="5"/>
        <v>4.7109383417829145</v>
      </c>
    </row>
    <row r="326" spans="2:7" ht="15" customHeight="1" x14ac:dyDescent="0.3">
      <c r="C326" s="3"/>
      <c r="D326" s="8">
        <v>2019</v>
      </c>
      <c r="E326" s="14">
        <f>Data!I326</f>
        <v>9867528000000</v>
      </c>
      <c r="F326" s="14">
        <f>Data!K326</f>
        <v>2117699000000</v>
      </c>
      <c r="G326" s="12">
        <f t="shared" si="5"/>
        <v>4.6595517115510754</v>
      </c>
    </row>
    <row r="327" spans="2:7" ht="15" customHeight="1" x14ac:dyDescent="0.3">
      <c r="C327" s="3"/>
      <c r="D327" s="8">
        <v>2020</v>
      </c>
      <c r="E327" s="14">
        <f>Data!I327</f>
        <v>9038891000000</v>
      </c>
      <c r="F327" s="14">
        <f>Data!K327</f>
        <v>2199862000000</v>
      </c>
      <c r="G327" s="12">
        <f t="shared" si="5"/>
        <v>4.1088445547948007</v>
      </c>
    </row>
    <row r="328" spans="2:7" ht="15" customHeight="1" x14ac:dyDescent="0.3">
      <c r="C328" s="3"/>
      <c r="D328" s="8">
        <v>2021</v>
      </c>
      <c r="E328" s="14">
        <f>Data!I328</f>
        <v>7491360000000</v>
      </c>
      <c r="F328" s="14">
        <f>Data!K328</f>
        <v>2254579000000</v>
      </c>
      <c r="G328" s="12">
        <f t="shared" si="5"/>
        <v>3.3227312061364893</v>
      </c>
    </row>
    <row r="329" spans="2:7" ht="15" customHeight="1" x14ac:dyDescent="0.3">
      <c r="C329" s="3"/>
      <c r="D329" s="8">
        <v>2022</v>
      </c>
      <c r="E329" s="14">
        <f>Data!I329</f>
        <v>5158807000000</v>
      </c>
      <c r="F329" s="14">
        <f>Data!K329</f>
        <v>1921832000000</v>
      </c>
      <c r="G329" s="12">
        <f t="shared" si="5"/>
        <v>2.6843173596859664</v>
      </c>
    </row>
    <row r="330" spans="2:7" ht="15" customHeight="1" x14ac:dyDescent="0.3">
      <c r="C330" s="3"/>
      <c r="D330" s="8">
        <v>2023</v>
      </c>
      <c r="E330" s="14">
        <f>Data!I330</f>
        <v>4736663000000</v>
      </c>
      <c r="F330" s="14">
        <f>Data!K330</f>
        <v>2282452000000</v>
      </c>
      <c r="G330" s="12">
        <f t="shared" si="5"/>
        <v>2.0752519658682855</v>
      </c>
    </row>
    <row r="331" spans="2:7" ht="15" customHeight="1" x14ac:dyDescent="0.3">
      <c r="C331" s="3"/>
      <c r="D331" s="8">
        <v>2024</v>
      </c>
      <c r="E331" s="14">
        <f>Data!I331</f>
        <v>4152265000000</v>
      </c>
      <c r="F331" s="14">
        <f>Data!K331</f>
        <v>2030327000000</v>
      </c>
      <c r="G331" s="12">
        <f t="shared" si="5"/>
        <v>2.0451213031201378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Data!I332</f>
        <v>0</v>
      </c>
      <c r="F332" s="14">
        <f>Data!K332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Data!I333</f>
        <v>0</v>
      </c>
      <c r="F333" s="14">
        <f>Data!K333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Data!I334</f>
        <v>0</v>
      </c>
      <c r="F334" s="14">
        <f>Data!K334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Data!I335</f>
        <v>0</v>
      </c>
      <c r="F335" s="14">
        <f>Data!K335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Data!I336</f>
        <v>0</v>
      </c>
      <c r="F336" s="14">
        <f>Data!K336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Data!I337</f>
        <v>5205566000000</v>
      </c>
      <c r="F337" s="14">
        <f>Data!K337</f>
        <v>969392000000</v>
      </c>
      <c r="G337" s="12">
        <f t="shared" si="5"/>
        <v>5.3699287801013416</v>
      </c>
    </row>
    <row r="338" spans="2:7" ht="15" customHeight="1" x14ac:dyDescent="0.3">
      <c r="C338" s="3"/>
      <c r="D338" s="8">
        <v>2020</v>
      </c>
      <c r="E338" s="14">
        <f>Data!I338</f>
        <v>5327460000000</v>
      </c>
      <c r="F338" s="14">
        <f>Data!K338</f>
        <v>1032687000000</v>
      </c>
      <c r="G338" s="12">
        <f t="shared" si="5"/>
        <v>5.1588332185841406</v>
      </c>
    </row>
    <row r="339" spans="2:7" ht="15" customHeight="1" x14ac:dyDescent="0.3">
      <c r="C339" s="3"/>
      <c r="D339" s="8">
        <v>2021</v>
      </c>
      <c r="E339" s="14">
        <f>Data!I339</f>
        <v>5304976000000</v>
      </c>
      <c r="F339" s="14">
        <f>Data!K339</f>
        <v>1149806000000</v>
      </c>
      <c r="G339" s="12">
        <f t="shared" si="5"/>
        <v>4.6138009368536954</v>
      </c>
    </row>
    <row r="340" spans="2:7" ht="15" customHeight="1" x14ac:dyDescent="0.3">
      <c r="C340" s="3"/>
      <c r="D340" s="8">
        <v>2022</v>
      </c>
      <c r="E340" s="14">
        <f>Data!I340</f>
        <v>5430786000000</v>
      </c>
      <c r="F340" s="14">
        <f>Data!K340</f>
        <v>1219743000000</v>
      </c>
      <c r="G340" s="12">
        <f t="shared" si="5"/>
        <v>4.4524018584242748</v>
      </c>
    </row>
    <row r="341" spans="2:7" ht="15" customHeight="1" x14ac:dyDescent="0.3">
      <c r="C341" s="3"/>
      <c r="D341" s="8">
        <v>2023</v>
      </c>
      <c r="E341" s="14">
        <f>Data!I341</f>
        <v>5497327000000</v>
      </c>
      <c r="F341" s="14">
        <f>Data!K341</f>
        <v>1730285000000</v>
      </c>
      <c r="G341" s="12">
        <f t="shared" si="5"/>
        <v>3.1771222659850835</v>
      </c>
    </row>
    <row r="342" spans="2:7" ht="15" customHeight="1" x14ac:dyDescent="0.3">
      <c r="C342" s="3"/>
      <c r="D342" s="8">
        <v>2024</v>
      </c>
      <c r="E342" s="14">
        <f>Data!I342</f>
        <v>5019888000000</v>
      </c>
      <c r="F342" s="14">
        <f>Data!K342</f>
        <v>1688487000000</v>
      </c>
      <c r="G342" s="12">
        <f t="shared" si="5"/>
        <v>2.9730095641837928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Data!I343</f>
        <v>0</v>
      </c>
      <c r="F343" s="14">
        <f>Data!K343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Data!I344</f>
        <v>0</v>
      </c>
      <c r="F344" s="14">
        <f>Data!K344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Data!I345</f>
        <v>23639751000000</v>
      </c>
      <c r="F345" s="14">
        <f>Data!K345</f>
        <v>2324120000000</v>
      </c>
      <c r="G345" s="12">
        <f t="shared" si="5"/>
        <v>10.171484690979812</v>
      </c>
    </row>
    <row r="346" spans="2:7" ht="15" customHeight="1" x14ac:dyDescent="0.3">
      <c r="C346" s="3"/>
      <c r="D346" s="8">
        <v>2017</v>
      </c>
      <c r="E346" s="14">
        <f>Data!I346</f>
        <v>28026604000000</v>
      </c>
      <c r="F346" s="14">
        <f>Data!K346</f>
        <v>2170217000000</v>
      </c>
      <c r="G346" s="12">
        <f t="shared" si="5"/>
        <v>12.914194294856228</v>
      </c>
    </row>
    <row r="347" spans="2:7" ht="15" customHeight="1" x14ac:dyDescent="0.3">
      <c r="C347" s="3"/>
      <c r="D347" s="8">
        <v>2018</v>
      </c>
      <c r="E347" s="14">
        <f>Data!I347</f>
        <v>27260085000000</v>
      </c>
      <c r="F347" s="14">
        <f>Data!K347</f>
        <v>2278251000000</v>
      </c>
      <c r="G347" s="12">
        <f t="shared" si="5"/>
        <v>11.965356319387109</v>
      </c>
    </row>
    <row r="348" spans="2:7" ht="15" customHeight="1" x14ac:dyDescent="0.3">
      <c r="C348" s="3"/>
      <c r="D348" s="8">
        <v>2019</v>
      </c>
      <c r="E348" s="14">
        <f>Data!I348</f>
        <v>29809992000000</v>
      </c>
      <c r="F348" s="14">
        <f>Data!K348</f>
        <v>2905341000000</v>
      </c>
      <c r="G348" s="12">
        <f t="shared" si="5"/>
        <v>10.260410740081801</v>
      </c>
    </row>
    <row r="349" spans="2:7" ht="15" customHeight="1" x14ac:dyDescent="0.3">
      <c r="C349" s="3"/>
      <c r="D349" s="8">
        <v>2020</v>
      </c>
      <c r="E349" s="14">
        <f>Data!I349</f>
        <v>34520466000000</v>
      </c>
      <c r="F349" s="14">
        <f>Data!K349</f>
        <v>2991652000000</v>
      </c>
      <c r="G349" s="12">
        <f t="shared" si="5"/>
        <v>11.538930998658936</v>
      </c>
    </row>
    <row r="350" spans="2:7" ht="15" customHeight="1" x14ac:dyDescent="0.3">
      <c r="C350" s="3"/>
      <c r="D350" s="8">
        <v>2021</v>
      </c>
      <c r="E350" s="14">
        <f>Data!I350</f>
        <v>38016882000000</v>
      </c>
      <c r="F350" s="14">
        <f>Data!K350</f>
        <v>3026262000000</v>
      </c>
      <c r="G350" s="12">
        <f t="shared" si="5"/>
        <v>12.56232342077454</v>
      </c>
    </row>
    <row r="351" spans="2:7" ht="15" customHeight="1" x14ac:dyDescent="0.3">
      <c r="C351" s="3"/>
      <c r="D351" s="8">
        <v>2022</v>
      </c>
      <c r="E351" s="14">
        <f>Data!I351</f>
        <v>36880066000000</v>
      </c>
      <c r="F351" s="14">
        <f>Data!K351</f>
        <v>3236456000000</v>
      </c>
      <c r="G351" s="12">
        <f t="shared" si="5"/>
        <v>11.395200799887284</v>
      </c>
    </row>
    <row r="352" spans="2:7" ht="15" customHeight="1" x14ac:dyDescent="0.3">
      <c r="C352" s="3"/>
      <c r="D352" s="8">
        <v>2023</v>
      </c>
      <c r="E352" s="14">
        <f>Data!I352</f>
        <v>37446703000000</v>
      </c>
      <c r="F352" s="14">
        <f>Data!K352</f>
        <v>3619255000000</v>
      </c>
      <c r="G352" s="12">
        <f t="shared" si="5"/>
        <v>10.346522419669242</v>
      </c>
    </row>
    <row r="353" spans="2:7" ht="15" customHeight="1" x14ac:dyDescent="0.3">
      <c r="C353" s="3"/>
      <c r="D353" s="8">
        <v>2024</v>
      </c>
      <c r="E353" s="14">
        <f>Data!I353</f>
        <v>37465317000000</v>
      </c>
      <c r="F353" s="14">
        <f>Data!K353</f>
        <v>3812640000000</v>
      </c>
      <c r="G353" s="12">
        <f t="shared" si="5"/>
        <v>9.8266075475261232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Data!I354</f>
        <v>0</v>
      </c>
      <c r="F354" s="14">
        <f>Data!K354</f>
        <v>0</v>
      </c>
      <c r="G354" s="12">
        <f t="shared" si="5"/>
        <v>0</v>
      </c>
    </row>
    <row r="355" spans="2:7" ht="15" customHeight="1" x14ac:dyDescent="0.3">
      <c r="C355" s="3"/>
      <c r="D355" s="8">
        <v>2015</v>
      </c>
      <c r="E355" s="14">
        <f>Data!I355</f>
        <v>0</v>
      </c>
      <c r="F355" s="14">
        <f>Data!K355</f>
        <v>0</v>
      </c>
      <c r="G355" s="12">
        <f t="shared" si="5"/>
        <v>0</v>
      </c>
    </row>
    <row r="356" spans="2:7" ht="15" customHeight="1" x14ac:dyDescent="0.3">
      <c r="C356" s="3"/>
      <c r="D356" s="8">
        <v>2016</v>
      </c>
      <c r="E356" s="14">
        <f>Data!I356</f>
        <v>101000000</v>
      </c>
      <c r="F356" s="14">
        <f>Data!K356</f>
        <v>100136930000</v>
      </c>
      <c r="G356" s="12">
        <f t="shared" si="5"/>
        <v>1.008618898142773E-3</v>
      </c>
    </row>
    <row r="357" spans="2:7" ht="15" customHeight="1" x14ac:dyDescent="0.3">
      <c r="C357" s="3"/>
      <c r="D357" s="8">
        <v>2017</v>
      </c>
      <c r="E357" s="14">
        <f>Data!I357</f>
        <v>626270310000</v>
      </c>
      <c r="F357" s="14">
        <f>Data!K357</f>
        <v>611553110000</v>
      </c>
      <c r="G357" s="12">
        <f t="shared" si="5"/>
        <v>1.0240652851883951</v>
      </c>
    </row>
    <row r="358" spans="2:7" ht="15" customHeight="1" x14ac:dyDescent="0.3">
      <c r="C358" s="3"/>
      <c r="D358" s="8">
        <v>2018</v>
      </c>
      <c r="E358" s="14">
        <f>Data!I358</f>
        <v>1049654000000</v>
      </c>
      <c r="F358" s="14">
        <f>Data!K358</f>
        <v>629552000000</v>
      </c>
      <c r="G358" s="12">
        <f t="shared" si="5"/>
        <v>1.6673030980760921</v>
      </c>
    </row>
    <row r="359" spans="2:7" ht="15" customHeight="1" x14ac:dyDescent="0.3">
      <c r="C359" s="3"/>
      <c r="D359" s="8">
        <v>2019</v>
      </c>
      <c r="E359" s="14">
        <f>Data!I359</f>
        <v>1273014000000</v>
      </c>
      <c r="F359" s="14">
        <f>Data!K359</f>
        <v>666898000000</v>
      </c>
      <c r="G359" s="12">
        <f t="shared" si="5"/>
        <v>1.9088586260567584</v>
      </c>
    </row>
    <row r="360" spans="2:7" ht="15" customHeight="1" x14ac:dyDescent="0.3">
      <c r="C360" s="3"/>
      <c r="D360" s="8">
        <v>2020</v>
      </c>
      <c r="E360" s="14">
        <f>Data!I360</f>
        <v>988783000000</v>
      </c>
      <c r="F360" s="14">
        <f>Data!K360</f>
        <v>353452000000</v>
      </c>
      <c r="G360" s="12">
        <f t="shared" si="5"/>
        <v>2.7975029141156367</v>
      </c>
    </row>
    <row r="361" spans="2:7" ht="15" customHeight="1" x14ac:dyDescent="0.3">
      <c r="C361" s="3"/>
      <c r="D361" s="8">
        <v>2021</v>
      </c>
      <c r="E361" s="14">
        <f>Data!I361</f>
        <v>1021933000000</v>
      </c>
      <c r="F361" s="14">
        <f>Data!K361</f>
        <v>413008000000</v>
      </c>
      <c r="G361" s="12">
        <f t="shared" si="5"/>
        <v>2.4743661139735793</v>
      </c>
    </row>
    <row r="362" spans="2:7" ht="15" customHeight="1" x14ac:dyDescent="0.3">
      <c r="C362" s="3"/>
      <c r="D362" s="8">
        <v>2022</v>
      </c>
      <c r="E362" s="14">
        <f>Data!I362</f>
        <v>857299000000</v>
      </c>
      <c r="F362" s="14">
        <f>Data!K362</f>
        <v>324210000000</v>
      </c>
      <c r="G362" s="12">
        <f t="shared" si="5"/>
        <v>2.644270688751118</v>
      </c>
    </row>
    <row r="363" spans="2:7" ht="15" customHeight="1" x14ac:dyDescent="0.3">
      <c r="C363" s="3"/>
      <c r="D363" s="8">
        <v>2023</v>
      </c>
      <c r="E363" s="14">
        <f>Data!I363</f>
        <v>926823000000</v>
      </c>
      <c r="F363" s="14">
        <f>Data!K363</f>
        <v>325350000000</v>
      </c>
      <c r="G363" s="12">
        <f t="shared" si="5"/>
        <v>2.8486952512678654</v>
      </c>
    </row>
    <row r="364" spans="2:7" ht="15" customHeight="1" x14ac:dyDescent="0.3">
      <c r="C364" s="3"/>
      <c r="D364" s="8">
        <v>2024</v>
      </c>
      <c r="E364" s="14">
        <f>Data!I364</f>
        <v>1061374000000</v>
      </c>
      <c r="F364" s="14">
        <f>Data!K364</f>
        <v>373311000000</v>
      </c>
      <c r="G364" s="12">
        <f t="shared" si="5"/>
        <v>2.8431361518948011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Data!I365</f>
        <v>0</v>
      </c>
      <c r="F365" s="14">
        <f>Data!K365</f>
        <v>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Data!I366</f>
        <v>5092671000000</v>
      </c>
      <c r="F366" s="14">
        <f>Data!K366</f>
        <v>4823091000000</v>
      </c>
      <c r="G366" s="12">
        <f t="shared" si="5"/>
        <v>1.0558936167698267</v>
      </c>
    </row>
    <row r="367" spans="2:7" ht="15" customHeight="1" x14ac:dyDescent="0.3">
      <c r="C367" s="3"/>
      <c r="D367" s="8">
        <v>2016</v>
      </c>
      <c r="E367" s="14">
        <f>Data!I367</f>
        <v>8162741000000</v>
      </c>
      <c r="F367" s="14">
        <f>Data!K367</f>
        <v>4906474000000</v>
      </c>
      <c r="G367" s="12">
        <f t="shared" si="5"/>
        <v>1.6636674320499814</v>
      </c>
    </row>
    <row r="368" spans="2:7" ht="15" customHeight="1" x14ac:dyDescent="0.3">
      <c r="C368" s="3"/>
      <c r="D368" s="8">
        <v>2017</v>
      </c>
      <c r="E368" s="14">
        <f>Data!I368</f>
        <v>10520189000000</v>
      </c>
      <c r="F368" s="14">
        <f>Data!K368</f>
        <v>5213625000000</v>
      </c>
      <c r="G368" s="12">
        <f t="shared" si="5"/>
        <v>2.01782617660457</v>
      </c>
    </row>
    <row r="369" spans="2:7" ht="15" customHeight="1" x14ac:dyDescent="0.3">
      <c r="C369" s="3"/>
      <c r="D369" s="8">
        <v>2018</v>
      </c>
      <c r="E369" s="14">
        <f>Data!I369</f>
        <v>11409721000000</v>
      </c>
      <c r="F369" s="14">
        <f>Data!K369</f>
        <v>5062943000000</v>
      </c>
      <c r="G369" s="12">
        <f t="shared" si="5"/>
        <v>2.253574847672589</v>
      </c>
    </row>
    <row r="370" spans="2:7" ht="15" customHeight="1" x14ac:dyDescent="0.3">
      <c r="C370" s="3"/>
      <c r="D370" s="8">
        <v>2019</v>
      </c>
      <c r="E370" s="14">
        <f>Data!I370</f>
        <v>11914384000000</v>
      </c>
      <c r="F370" s="14">
        <f>Data!K370</f>
        <v>5442390000000</v>
      </c>
      <c r="G370" s="12">
        <f t="shared" si="5"/>
        <v>2.1891823261471521</v>
      </c>
    </row>
    <row r="371" spans="2:7" ht="15" customHeight="1" x14ac:dyDescent="0.3">
      <c r="C371" s="3"/>
      <c r="D371" s="8">
        <v>2020</v>
      </c>
      <c r="E371" s="14">
        <f>Data!I371</f>
        <v>13868360000000</v>
      </c>
      <c r="F371" s="14">
        <f>Data!K371</f>
        <v>5671565000000</v>
      </c>
      <c r="G371" s="12">
        <f t="shared" si="5"/>
        <v>2.4452439494213678</v>
      </c>
    </row>
    <row r="372" spans="2:7" ht="15" customHeight="1" x14ac:dyDescent="0.3">
      <c r="C372" s="3"/>
      <c r="D372" s="8">
        <v>2021</v>
      </c>
      <c r="E372" s="14">
        <f>Data!I372</f>
        <v>15977115000000</v>
      </c>
      <c r="F372" s="14">
        <f>Data!K372</f>
        <v>5708164000000</v>
      </c>
      <c r="G372" s="12">
        <f t="shared" si="5"/>
        <v>2.7989936869368153</v>
      </c>
    </row>
    <row r="373" spans="2:7" ht="15" customHeight="1" x14ac:dyDescent="0.3">
      <c r="C373" s="3"/>
      <c r="D373" s="8">
        <v>2022</v>
      </c>
      <c r="E373" s="14">
        <f>Data!I373</f>
        <v>16478385000000</v>
      </c>
      <c r="F373" s="14">
        <f>Data!K373</f>
        <v>5734089000000</v>
      </c>
      <c r="G373" s="12">
        <f t="shared" si="5"/>
        <v>2.873758150597244</v>
      </c>
    </row>
    <row r="374" spans="2:7" ht="15" customHeight="1" x14ac:dyDescent="0.3">
      <c r="C374" s="3"/>
      <c r="D374" s="8">
        <v>2023</v>
      </c>
      <c r="E374" s="14">
        <f>Data!I374</f>
        <v>17574494000000</v>
      </c>
      <c r="F374" s="14">
        <f>Data!K374</f>
        <v>6027772000000</v>
      </c>
      <c r="G374" s="12">
        <f t="shared" si="5"/>
        <v>2.9155870527286036</v>
      </c>
    </row>
    <row r="375" spans="2:7" ht="15" customHeight="1" x14ac:dyDescent="0.3">
      <c r="C375" s="3"/>
      <c r="D375" s="8">
        <v>2024</v>
      </c>
      <c r="E375" s="14">
        <f>Data!I375</f>
        <v>19242677000000</v>
      </c>
      <c r="F375" s="14">
        <f>Data!K375</f>
        <v>5998008000000</v>
      </c>
      <c r="G375" s="12">
        <f t="shared" si="5"/>
        <v>3.2081779484122062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Data!I376</f>
        <v>0</v>
      </c>
      <c r="F376" s="14">
        <f>Data!K376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Data!I377</f>
        <v>0</v>
      </c>
      <c r="F377" s="14">
        <f>Data!K377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Data!I378</f>
        <v>0</v>
      </c>
      <c r="F378" s="14">
        <f>Data!K378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Data!I379</f>
        <v>0</v>
      </c>
      <c r="F379" s="14">
        <f>Data!K379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Data!I380</f>
        <v>0</v>
      </c>
      <c r="F380" s="14">
        <f>Data!K380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Data!I381</f>
        <v>0</v>
      </c>
      <c r="F381" s="14">
        <f>Data!K381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Data!I382</f>
        <v>5033827000000</v>
      </c>
      <c r="F382" s="14">
        <f>Data!K382</f>
        <v>1828129290000</v>
      </c>
      <c r="G382" s="12">
        <f t="shared" si="5"/>
        <v>2.7535399315220204</v>
      </c>
    </row>
    <row r="383" spans="2:7" ht="15" customHeight="1" x14ac:dyDescent="0.3">
      <c r="C383" s="3"/>
      <c r="D383" s="8">
        <v>2021</v>
      </c>
      <c r="E383" s="14">
        <f>Data!I383</f>
        <v>5012332090000</v>
      </c>
      <c r="F383" s="14">
        <f>Data!K383</f>
        <v>1963436100000</v>
      </c>
      <c r="G383" s="12">
        <f t="shared" si="5"/>
        <v>2.5528368812206317</v>
      </c>
    </row>
    <row r="384" spans="2:7" ht="15" customHeight="1" x14ac:dyDescent="0.3">
      <c r="C384" s="3"/>
      <c r="D384" s="8">
        <v>2022</v>
      </c>
      <c r="E384" s="14">
        <f>Data!I384</f>
        <v>4075878680000</v>
      </c>
      <c r="F384" s="14">
        <f>Data!K384</f>
        <v>2011823110000</v>
      </c>
      <c r="G384" s="12">
        <f t="shared" si="5"/>
        <v>2.0259627497767436</v>
      </c>
    </row>
    <row r="385" spans="2:7" ht="15" customHeight="1" x14ac:dyDescent="0.3">
      <c r="C385" s="3"/>
      <c r="D385" s="8">
        <v>2023</v>
      </c>
      <c r="E385" s="14">
        <f>Data!I385</f>
        <v>2695567140000</v>
      </c>
      <c r="F385" s="14">
        <f>Data!K385</f>
        <v>1356668420000</v>
      </c>
      <c r="G385" s="12">
        <f t="shared" si="5"/>
        <v>1.9869019579596316</v>
      </c>
    </row>
    <row r="386" spans="2:7" ht="15" customHeight="1" x14ac:dyDescent="0.3">
      <c r="C386" s="3"/>
      <c r="D386" s="8">
        <v>2024</v>
      </c>
      <c r="E386" s="14">
        <f>Data!I386</f>
        <v>2764697080000</v>
      </c>
      <c r="F386" s="14">
        <f>Data!K386</f>
        <v>1196145690000</v>
      </c>
      <c r="G386" s="12">
        <f t="shared" si="5"/>
        <v>2.3113380778891575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Data!I387</f>
        <v>0</v>
      </c>
      <c r="F387" s="14">
        <f>Data!K387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Data!I388</f>
        <v>0</v>
      </c>
      <c r="F388" s="14">
        <f>Data!K388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Data!I389</f>
        <v>895480000</v>
      </c>
      <c r="F389" s="14">
        <f>Data!K389</f>
        <v>52864720000</v>
      </c>
      <c r="G389" s="12">
        <f t="shared" si="6"/>
        <v>1.693908527274901E-2</v>
      </c>
    </row>
    <row r="390" spans="2:7" ht="15" customHeight="1" x14ac:dyDescent="0.3">
      <c r="C390" s="4"/>
      <c r="D390" s="8">
        <v>2017</v>
      </c>
      <c r="E390" s="14">
        <f>Data!I390</f>
        <v>19464980000</v>
      </c>
      <c r="F390" s="14">
        <f>Data!K390</f>
        <v>56713950000</v>
      </c>
      <c r="G390" s="12">
        <f t="shared" si="6"/>
        <v>0.34321326587197681</v>
      </c>
    </row>
    <row r="391" spans="2:7" ht="15" customHeight="1" x14ac:dyDescent="0.3">
      <c r="C391" s="4"/>
      <c r="D391" s="8">
        <v>2018</v>
      </c>
      <c r="E391" s="14">
        <f>Data!I391</f>
        <v>80879010000</v>
      </c>
      <c r="F391" s="14">
        <f>Data!K391</f>
        <v>571066500000</v>
      </c>
      <c r="G391" s="12">
        <f t="shared" si="6"/>
        <v>0.14162800654564747</v>
      </c>
    </row>
    <row r="392" spans="2:7" ht="15" customHeight="1" x14ac:dyDescent="0.3">
      <c r="C392" s="4"/>
      <c r="D392" s="8">
        <v>2019</v>
      </c>
      <c r="E392" s="14">
        <f>Data!I392</f>
        <v>199851940000</v>
      </c>
      <c r="F392" s="14">
        <f>Data!K392</f>
        <v>550283180000</v>
      </c>
      <c r="G392" s="12">
        <f t="shared" si="6"/>
        <v>0.36318017207067821</v>
      </c>
    </row>
    <row r="393" spans="2:7" ht="15" customHeight="1" x14ac:dyDescent="0.3">
      <c r="C393" s="4"/>
      <c r="D393" s="8">
        <v>2020</v>
      </c>
      <c r="E393" s="14">
        <f>Data!I393</f>
        <v>369297450000</v>
      </c>
      <c r="F393" s="14">
        <f>Data!K393</f>
        <v>574699420000</v>
      </c>
      <c r="G393" s="12">
        <f t="shared" si="6"/>
        <v>0.64259234853586589</v>
      </c>
    </row>
    <row r="394" spans="2:7" ht="15" customHeight="1" x14ac:dyDescent="0.3">
      <c r="C394" s="4"/>
      <c r="D394" s="8">
        <v>2021</v>
      </c>
      <c r="E394" s="14">
        <f>Data!I394</f>
        <v>394754750000</v>
      </c>
      <c r="F394" s="14">
        <f>Data!K394</f>
        <v>558683430000</v>
      </c>
      <c r="G394" s="12">
        <f t="shared" si="6"/>
        <v>0.70658037951832575</v>
      </c>
    </row>
    <row r="395" spans="2:7" ht="15" customHeight="1" x14ac:dyDescent="0.3">
      <c r="C395" s="4"/>
      <c r="D395" s="8">
        <v>2022</v>
      </c>
      <c r="E395" s="14">
        <f>Data!I395</f>
        <v>335452410000</v>
      </c>
      <c r="F395" s="14">
        <f>Data!K395</f>
        <v>559343590000</v>
      </c>
      <c r="G395" s="12">
        <f t="shared" si="6"/>
        <v>0.59972513495685187</v>
      </c>
    </row>
    <row r="396" spans="2:7" ht="15" customHeight="1" x14ac:dyDescent="0.3">
      <c r="C396" s="4"/>
      <c r="D396" s="8">
        <v>2023</v>
      </c>
      <c r="E396" s="14">
        <f>Data!I396</f>
        <v>287061980000</v>
      </c>
      <c r="F396" s="14">
        <f>Data!K396</f>
        <v>606439480000</v>
      </c>
      <c r="G396" s="12">
        <f t="shared" si="6"/>
        <v>0.47335635206335841</v>
      </c>
    </row>
    <row r="397" spans="2:7" ht="15" customHeight="1" x14ac:dyDescent="0.3">
      <c r="C397" s="4"/>
      <c r="D397" s="8">
        <v>2024</v>
      </c>
      <c r="E397" s="14">
        <f>Data!I397</f>
        <v>0</v>
      </c>
      <c r="F397" s="14">
        <f>Data!K397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Data!I398</f>
        <v>0</v>
      </c>
      <c r="F398" s="14">
        <f>Data!K398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Data!I399</f>
        <v>0</v>
      </c>
      <c r="F399" s="14">
        <f>Data!K399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Data!I400</f>
        <v>0</v>
      </c>
      <c r="F400" s="14">
        <f>Data!K400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Data!I401</f>
        <v>25608960000</v>
      </c>
      <c r="F401" s="14">
        <f>Data!K401</f>
        <v>114896260000</v>
      </c>
      <c r="G401" s="12">
        <f t="shared" si="6"/>
        <v>0.22288767275801666</v>
      </c>
    </row>
    <row r="402" spans="2:7" ht="15" customHeight="1" x14ac:dyDescent="0.3">
      <c r="C402" s="3"/>
      <c r="D402" s="8">
        <v>2018</v>
      </c>
      <c r="E402" s="14">
        <f>Data!I402</f>
        <v>31570190000</v>
      </c>
      <c r="F402" s="14">
        <f>Data!K402</f>
        <v>112072210000</v>
      </c>
      <c r="G402" s="12">
        <f t="shared" si="6"/>
        <v>0.28169507855694109</v>
      </c>
    </row>
    <row r="403" spans="2:7" ht="15" customHeight="1" x14ac:dyDescent="0.3">
      <c r="C403" s="3"/>
      <c r="D403" s="8">
        <v>2019</v>
      </c>
      <c r="E403" s="14">
        <f>Data!I403</f>
        <v>39292500000</v>
      </c>
      <c r="F403" s="14">
        <f>Data!K403</f>
        <v>118301780000</v>
      </c>
      <c r="G403" s="12">
        <f t="shared" si="6"/>
        <v>0.3321378596332194</v>
      </c>
    </row>
    <row r="404" spans="2:7" ht="15" customHeight="1" x14ac:dyDescent="0.3">
      <c r="C404" s="3"/>
      <c r="D404" s="8">
        <v>2020</v>
      </c>
      <c r="E404" s="14">
        <f>Data!I404</f>
        <v>48075880000</v>
      </c>
      <c r="F404" s="14">
        <f>Data!K404</f>
        <v>121676340000</v>
      </c>
      <c r="G404" s="12">
        <f t="shared" si="6"/>
        <v>0.39511280500383228</v>
      </c>
    </row>
    <row r="405" spans="2:7" ht="15" customHeight="1" x14ac:dyDescent="0.3">
      <c r="C405" s="3"/>
      <c r="D405" s="8">
        <v>2021</v>
      </c>
      <c r="E405" s="14">
        <f>Data!I405</f>
        <v>44041980000</v>
      </c>
      <c r="F405" s="14">
        <f>Data!K405</f>
        <v>127521880000</v>
      </c>
      <c r="G405" s="12">
        <f t="shared" si="6"/>
        <v>0.34536802625557278</v>
      </c>
    </row>
    <row r="406" spans="2:7" ht="15" customHeight="1" x14ac:dyDescent="0.3">
      <c r="C406" s="3"/>
      <c r="D406" s="8">
        <v>2022</v>
      </c>
      <c r="E406" s="14">
        <f>Data!I406</f>
        <v>47227500000</v>
      </c>
      <c r="F406" s="14">
        <f>Data!K406</f>
        <v>129336960000</v>
      </c>
      <c r="G406" s="12">
        <f t="shared" si="6"/>
        <v>0.36515084319285068</v>
      </c>
    </row>
    <row r="407" spans="2:7" ht="15" customHeight="1" x14ac:dyDescent="0.3">
      <c r="C407" s="3"/>
      <c r="D407" s="8">
        <v>2023</v>
      </c>
      <c r="E407" s="14">
        <f>Data!I407</f>
        <v>61888120000</v>
      </c>
      <c r="F407" s="14">
        <f>Data!K407</f>
        <v>119340570000</v>
      </c>
      <c r="G407" s="12">
        <f t="shared" si="6"/>
        <v>0.51858408251276156</v>
      </c>
    </row>
    <row r="408" spans="2:7" ht="15" customHeight="1" x14ac:dyDescent="0.3">
      <c r="C408" s="3"/>
      <c r="D408" s="8">
        <v>2024</v>
      </c>
      <c r="E408" s="14">
        <f>Data!I408</f>
        <v>84425000000</v>
      </c>
      <c r="F408" s="14">
        <f>Data!K408</f>
        <v>122662000000</v>
      </c>
      <c r="G408" s="12">
        <f t="shared" si="6"/>
        <v>0.68827346692537217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Data!I409</f>
        <v>0</v>
      </c>
      <c r="F409" s="14">
        <f>Data!K409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Data!I410</f>
        <v>0</v>
      </c>
      <c r="F410" s="14">
        <f>Data!K410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Data!I411</f>
        <v>0</v>
      </c>
      <c r="F411" s="14">
        <f>Data!K411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Data!I412</f>
        <v>444000000</v>
      </c>
      <c r="F412" s="14">
        <f>Data!K412</f>
        <v>106717000000</v>
      </c>
      <c r="G412" s="12">
        <f t="shared" si="6"/>
        <v>4.1605367467226406E-3</v>
      </c>
    </row>
    <row r="413" spans="2:7" ht="15" customHeight="1" x14ac:dyDescent="0.3">
      <c r="C413" s="3"/>
      <c r="D413" s="8">
        <v>2018</v>
      </c>
      <c r="E413" s="14">
        <f>Data!I413</f>
        <v>11583000000</v>
      </c>
      <c r="F413" s="14">
        <f>Data!K413</f>
        <v>370889000000</v>
      </c>
      <c r="G413" s="12">
        <f t="shared" si="6"/>
        <v>3.1230368115527825E-2</v>
      </c>
    </row>
    <row r="414" spans="2:7" ht="15" customHeight="1" x14ac:dyDescent="0.3">
      <c r="C414" s="3"/>
      <c r="D414" s="8">
        <v>2019</v>
      </c>
      <c r="E414" s="14">
        <f>Data!I414</f>
        <v>48812000000</v>
      </c>
      <c r="F414" s="14">
        <f>Data!K414</f>
        <v>338925000000</v>
      </c>
      <c r="G414" s="12">
        <f t="shared" si="6"/>
        <v>0.1440200634358634</v>
      </c>
    </row>
    <row r="415" spans="2:7" ht="15" customHeight="1" x14ac:dyDescent="0.3">
      <c r="C415" s="3"/>
      <c r="D415" s="8">
        <v>2020</v>
      </c>
      <c r="E415" s="14">
        <f>Data!I415</f>
        <v>138906000000</v>
      </c>
      <c r="F415" s="14">
        <f>Data!K415</f>
        <v>310585000000</v>
      </c>
      <c r="G415" s="12">
        <f t="shared" si="6"/>
        <v>0.44723988602154002</v>
      </c>
    </row>
    <row r="416" spans="2:7" ht="15" customHeight="1" x14ac:dyDescent="0.3">
      <c r="C416" s="3"/>
      <c r="D416" s="8">
        <v>2021</v>
      </c>
      <c r="E416" s="14">
        <f>Data!I416</f>
        <v>164477000000</v>
      </c>
      <c r="F416" s="14">
        <f>Data!K416</f>
        <v>260645000000</v>
      </c>
      <c r="G416" s="12">
        <f t="shared" si="6"/>
        <v>0.6310383855435554</v>
      </c>
    </row>
    <row r="417" spans="2:7" ht="15" customHeight="1" x14ac:dyDescent="0.3">
      <c r="C417" s="3"/>
      <c r="D417" s="8">
        <v>2022</v>
      </c>
      <c r="E417" s="14">
        <f>Data!I417</f>
        <v>168319000000</v>
      </c>
      <c r="F417" s="14">
        <f>Data!K417</f>
        <v>224641000000</v>
      </c>
      <c r="G417" s="12">
        <f t="shared" si="6"/>
        <v>0.74927996225088034</v>
      </c>
    </row>
    <row r="418" spans="2:7" ht="15" customHeight="1" x14ac:dyDescent="0.3">
      <c r="C418" s="3"/>
      <c r="D418" s="8">
        <v>2023</v>
      </c>
      <c r="E418" s="14">
        <f>Data!I418</f>
        <v>200905000000</v>
      </c>
      <c r="F418" s="14">
        <f>Data!K418</f>
        <v>176443000000</v>
      </c>
      <c r="G418" s="12">
        <f t="shared" si="6"/>
        <v>1.138639674002369</v>
      </c>
    </row>
    <row r="419" spans="2:7" ht="15" customHeight="1" x14ac:dyDescent="0.3">
      <c r="C419" s="3"/>
      <c r="D419" s="8">
        <v>2024</v>
      </c>
      <c r="E419" s="14">
        <f>Data!I419</f>
        <v>251721000000</v>
      </c>
      <c r="F419" s="14">
        <f>Data!K419</f>
        <v>126809000000</v>
      </c>
      <c r="G419" s="12">
        <f t="shared" si="6"/>
        <v>1.985040493971248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Data!I420</f>
        <v>0</v>
      </c>
      <c r="F420" s="14">
        <f>Data!K420</f>
        <v>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Data!I421</f>
        <v>1233374000000</v>
      </c>
      <c r="F421" s="14">
        <f>Data!K421</f>
        <v>407183000000</v>
      </c>
      <c r="G421" s="12">
        <f t="shared" si="6"/>
        <v>3.029040996308785</v>
      </c>
    </row>
    <row r="422" spans="2:7" ht="15" customHeight="1" x14ac:dyDescent="0.3">
      <c r="C422" s="3"/>
      <c r="D422" s="8">
        <v>2016</v>
      </c>
      <c r="E422" s="14">
        <f>Data!I422</f>
        <v>1642680000000</v>
      </c>
      <c r="F422" s="14">
        <f>Data!K422</f>
        <v>385552000000</v>
      </c>
      <c r="G422" s="12">
        <f t="shared" si="6"/>
        <v>4.2605926048885756</v>
      </c>
    </row>
    <row r="423" spans="2:7" ht="15" customHeight="1" x14ac:dyDescent="0.3">
      <c r="C423" s="3"/>
      <c r="D423" s="8">
        <v>2017</v>
      </c>
      <c r="E423" s="14">
        <f>Data!I423</f>
        <v>2116641000000</v>
      </c>
      <c r="F423" s="14">
        <f>Data!K423</f>
        <v>509991000000</v>
      </c>
      <c r="G423" s="12">
        <f t="shared" si="6"/>
        <v>4.1503497120537425</v>
      </c>
    </row>
    <row r="424" spans="2:7" ht="15" customHeight="1" x14ac:dyDescent="0.3">
      <c r="C424" s="3"/>
      <c r="D424" s="8">
        <v>2018</v>
      </c>
      <c r="E424" s="14">
        <f>Data!I424</f>
        <v>2135770000000</v>
      </c>
      <c r="F424" s="14">
        <f>Data!K424</f>
        <v>599879000000</v>
      </c>
      <c r="G424" s="12">
        <f t="shared" si="6"/>
        <v>3.5603346674912775</v>
      </c>
    </row>
    <row r="425" spans="2:7" ht="15" customHeight="1" x14ac:dyDescent="0.3">
      <c r="C425" s="3"/>
      <c r="D425" s="8">
        <v>2019</v>
      </c>
      <c r="E425" s="14">
        <f>Data!I425</f>
        <v>2022525000000</v>
      </c>
      <c r="F425" s="14">
        <f>Data!K425</f>
        <v>704207000000</v>
      </c>
      <c r="G425" s="12">
        <f t="shared" si="6"/>
        <v>2.8720603458926139</v>
      </c>
    </row>
    <row r="426" spans="2:7" ht="15" customHeight="1" x14ac:dyDescent="0.3">
      <c r="C426" s="3"/>
      <c r="D426" s="8">
        <v>2020</v>
      </c>
      <c r="E426" s="14">
        <f>Data!I426</f>
        <v>1907139000000</v>
      </c>
      <c r="F426" s="14">
        <f>Data!K426</f>
        <v>834040000000</v>
      </c>
      <c r="G426" s="12">
        <f t="shared" si="6"/>
        <v>2.2866277396767543</v>
      </c>
    </row>
    <row r="427" spans="2:7" ht="15" customHeight="1" x14ac:dyDescent="0.3">
      <c r="C427" s="3"/>
      <c r="D427" s="8">
        <v>2021</v>
      </c>
      <c r="E427" s="14">
        <f>Data!I427</f>
        <v>1826530000000</v>
      </c>
      <c r="F427" s="14">
        <f>Data!K427</f>
        <v>862216000000</v>
      </c>
      <c r="G427" s="12">
        <f t="shared" si="6"/>
        <v>2.1184134833962718</v>
      </c>
    </row>
    <row r="428" spans="2:7" ht="15" customHeight="1" x14ac:dyDescent="0.3">
      <c r="C428" s="3"/>
      <c r="D428" s="8">
        <v>2022</v>
      </c>
      <c r="E428" s="14">
        <f>Data!I428</f>
        <v>1849667000000</v>
      </c>
      <c r="F428" s="14">
        <f>Data!K428</f>
        <v>800308000000</v>
      </c>
      <c r="G428" s="12">
        <f t="shared" si="6"/>
        <v>2.3111939403329718</v>
      </c>
    </row>
    <row r="429" spans="2:7" ht="15" customHeight="1" x14ac:dyDescent="0.3">
      <c r="C429" s="3"/>
      <c r="D429" s="8">
        <v>2023</v>
      </c>
      <c r="E429" s="14">
        <f>Data!I429</f>
        <v>2839439000000</v>
      </c>
      <c r="F429" s="14">
        <f>Data!K429</f>
        <v>1180822000000</v>
      </c>
      <c r="G429" s="12">
        <f t="shared" si="6"/>
        <v>2.4046291481696649</v>
      </c>
    </row>
    <row r="430" spans="2:7" ht="15" customHeight="1" x14ac:dyDescent="0.3">
      <c r="C430" s="3"/>
      <c r="D430" s="8">
        <v>2024</v>
      </c>
      <c r="E430" s="14">
        <f>Data!I430</f>
        <v>2602124000000</v>
      </c>
      <c r="F430" s="14">
        <f>Data!K430</f>
        <v>1016672000000</v>
      </c>
      <c r="G430" s="12">
        <f t="shared" si="6"/>
        <v>2.5594528028705423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Data!I431</f>
        <v>0</v>
      </c>
      <c r="F431" s="14">
        <f>Data!K431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Data!I432</f>
        <v>0</v>
      </c>
      <c r="F432" s="14">
        <f>Data!K432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Data!I433</f>
        <v>0</v>
      </c>
      <c r="F433" s="14">
        <f>Data!K433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Data!I434</f>
        <v>0</v>
      </c>
      <c r="F434" s="14">
        <f>Data!K434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>
        <f>Data!I435</f>
        <v>1940821000000</v>
      </c>
      <c r="F435" s="14">
        <f>Data!K435</f>
        <v>437677000000</v>
      </c>
      <c r="G435" s="12">
        <f t="shared" si="6"/>
        <v>4.43436826700969</v>
      </c>
    </row>
    <row r="436" spans="2:7" ht="15" customHeight="1" x14ac:dyDescent="0.3">
      <c r="C436" s="3"/>
      <c r="D436" s="8">
        <v>2019</v>
      </c>
      <c r="E436" s="14">
        <f>Data!I436</f>
        <v>2024926000000</v>
      </c>
      <c r="F436" s="14">
        <f>Data!K436</f>
        <v>467698000000</v>
      </c>
      <c r="G436" s="12">
        <f t="shared" si="6"/>
        <v>4.3295588178696507</v>
      </c>
    </row>
    <row r="437" spans="2:7" ht="15" customHeight="1" x14ac:dyDescent="0.3">
      <c r="C437" s="3"/>
      <c r="D437" s="8">
        <v>2020</v>
      </c>
      <c r="E437" s="14">
        <f>Data!I437</f>
        <v>1964870000000</v>
      </c>
      <c r="F437" s="14">
        <f>Data!K437</f>
        <v>447766000000</v>
      </c>
      <c r="G437" s="12">
        <f t="shared" si="6"/>
        <v>4.3881625670551134</v>
      </c>
    </row>
    <row r="438" spans="2:7" ht="15" customHeight="1" x14ac:dyDescent="0.3">
      <c r="C438" s="3"/>
      <c r="D438" s="8">
        <v>2021</v>
      </c>
      <c r="E438" s="14">
        <f>Data!I438</f>
        <v>2028693000000</v>
      </c>
      <c r="F438" s="14">
        <f>Data!K438</f>
        <v>427808000000</v>
      </c>
      <c r="G438" s="12">
        <f t="shared" si="6"/>
        <v>4.7420641970229633</v>
      </c>
    </row>
    <row r="439" spans="2:7" ht="15" customHeight="1" x14ac:dyDescent="0.3">
      <c r="C439" s="3"/>
      <c r="D439" s="8">
        <v>2022</v>
      </c>
      <c r="E439" s="14">
        <f>Data!I439</f>
        <v>2074104000000</v>
      </c>
      <c r="F439" s="14">
        <f>Data!K439</f>
        <v>487341000000</v>
      </c>
      <c r="G439" s="12">
        <f t="shared" si="6"/>
        <v>4.2559604055476559</v>
      </c>
    </row>
    <row r="440" spans="2:7" ht="15" customHeight="1" x14ac:dyDescent="0.3">
      <c r="C440" s="3"/>
      <c r="D440" s="8">
        <v>2023</v>
      </c>
      <c r="E440" s="14">
        <f>Data!I440</f>
        <v>2042909000000</v>
      </c>
      <c r="F440" s="14">
        <f>Data!K440</f>
        <v>439014000000</v>
      </c>
      <c r="G440" s="12">
        <f t="shared" si="6"/>
        <v>4.653402852756404</v>
      </c>
    </row>
    <row r="441" spans="2:7" ht="15" customHeight="1" x14ac:dyDescent="0.3">
      <c r="C441" s="3"/>
      <c r="D441" s="8">
        <v>2024</v>
      </c>
      <c r="E441" s="14">
        <f>Data!I441</f>
        <v>1909084000000</v>
      </c>
      <c r="F441" s="14">
        <f>Data!K441</f>
        <v>439223000000</v>
      </c>
      <c r="G441" s="12">
        <f t="shared" si="6"/>
        <v>4.346502801538171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Data!I442</f>
        <v>0</v>
      </c>
      <c r="F442" s="14">
        <f>Data!K442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Data!I443</f>
        <v>0</v>
      </c>
      <c r="F443" s="14">
        <f>Data!K443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Data!I444</f>
        <v>0</v>
      </c>
      <c r="F444" s="14">
        <f>Data!K444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Data!I445</f>
        <v>0</v>
      </c>
      <c r="F445" s="14">
        <f>Data!K445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Data!I446</f>
        <v>1094703000000</v>
      </c>
      <c r="F446" s="14">
        <f>Data!K446</f>
        <v>299783000000</v>
      </c>
      <c r="G446" s="12">
        <f t="shared" si="6"/>
        <v>3.6516513611512327</v>
      </c>
    </row>
    <row r="447" spans="2:7" ht="15" customHeight="1" x14ac:dyDescent="0.3">
      <c r="C447" s="3"/>
      <c r="D447" s="8">
        <v>2019</v>
      </c>
      <c r="E447" s="14">
        <f>Data!I447</f>
        <v>1522450000000</v>
      </c>
      <c r="F447" s="14">
        <f>Data!K447</f>
        <v>5836966000000</v>
      </c>
      <c r="G447" s="12">
        <f t="shared" si="6"/>
        <v>0.26082899917525648</v>
      </c>
    </row>
    <row r="448" spans="2:7" ht="15" customHeight="1" x14ac:dyDescent="0.3">
      <c r="C448" s="3"/>
      <c r="D448" s="8">
        <v>2020</v>
      </c>
      <c r="E448" s="14">
        <f>Data!I448</f>
        <v>7824000000000</v>
      </c>
      <c r="F448" s="14">
        <f>Data!K448</f>
        <v>5620989000000</v>
      </c>
      <c r="G448" s="12">
        <f t="shared" si="6"/>
        <v>1.3919258692731831</v>
      </c>
    </row>
    <row r="449" spans="2:7" ht="15" customHeight="1" x14ac:dyDescent="0.3">
      <c r="C449" s="3"/>
      <c r="D449" s="8">
        <v>2021</v>
      </c>
      <c r="E449" s="14">
        <f>Data!I449</f>
        <v>8031898000000</v>
      </c>
      <c r="F449" s="14">
        <f>Data!K449</f>
        <v>5586520000000</v>
      </c>
      <c r="G449" s="12">
        <f t="shared" si="6"/>
        <v>1.4377283174498614</v>
      </c>
    </row>
    <row r="450" spans="2:7" ht="15" customHeight="1" x14ac:dyDescent="0.3">
      <c r="C450" s="3"/>
      <c r="D450" s="8">
        <v>2022</v>
      </c>
      <c r="E450" s="14">
        <f>Data!I450</f>
        <v>7225617000000</v>
      </c>
      <c r="F450" s="14">
        <f>Data!K450</f>
        <v>5195848000000</v>
      </c>
      <c r="G450" s="12">
        <f t="shared" si="6"/>
        <v>1.3906521129948375</v>
      </c>
    </row>
    <row r="451" spans="2:7" ht="15" customHeight="1" x14ac:dyDescent="0.3">
      <c r="C451" s="3"/>
      <c r="D451" s="8">
        <v>2023</v>
      </c>
      <c r="E451" s="14">
        <f>Data!I451</f>
        <v>6461975000000</v>
      </c>
      <c r="F451" s="14">
        <f>Data!K451</f>
        <v>3315932000000</v>
      </c>
      <c r="G451" s="12">
        <f t="shared" ref="G451:G514" si="7">IFERROR(E451/F451,0)</f>
        <v>1.9487658371763956</v>
      </c>
    </row>
    <row r="452" spans="2:7" ht="15" customHeight="1" x14ac:dyDescent="0.3">
      <c r="C452" s="3"/>
      <c r="D452" s="8">
        <v>2024</v>
      </c>
      <c r="E452" s="14">
        <f>Data!I452</f>
        <v>5359980000000</v>
      </c>
      <c r="F452" s="14">
        <f>Data!K452</f>
        <v>2482886000000</v>
      </c>
      <c r="G452" s="12">
        <f t="shared" si="7"/>
        <v>2.1587700764352453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Data!I453</f>
        <v>0</v>
      </c>
      <c r="F453" s="14">
        <f>Data!K453</f>
        <v>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Data!I454</f>
        <v>2284481460000</v>
      </c>
      <c r="F454" s="14">
        <f>Data!K454</f>
        <v>116650850000</v>
      </c>
      <c r="G454" s="12">
        <f t="shared" si="7"/>
        <v>19.58392467778846</v>
      </c>
    </row>
    <row r="455" spans="2:7" ht="15" customHeight="1" x14ac:dyDescent="0.3">
      <c r="C455" s="3"/>
      <c r="D455" s="8">
        <v>2016</v>
      </c>
      <c r="E455" s="14">
        <f>Data!I455</f>
        <v>2326479790000</v>
      </c>
      <c r="F455" s="14">
        <f>Data!K455</f>
        <v>276744140000</v>
      </c>
      <c r="G455" s="12">
        <f t="shared" si="7"/>
        <v>8.4066090432845293</v>
      </c>
    </row>
    <row r="456" spans="2:7" ht="15" customHeight="1" x14ac:dyDescent="0.3">
      <c r="C456" s="3"/>
      <c r="D456" s="8">
        <v>2017</v>
      </c>
      <c r="E456" s="14">
        <f>Data!I456</f>
        <v>2989222780000</v>
      </c>
      <c r="F456" s="14">
        <f>Data!K456</f>
        <v>670557780000</v>
      </c>
      <c r="G456" s="12">
        <f t="shared" si="7"/>
        <v>4.4578153727483407</v>
      </c>
    </row>
    <row r="457" spans="2:7" ht="15" customHeight="1" x14ac:dyDescent="0.3">
      <c r="C457" s="3"/>
      <c r="D457" s="8">
        <v>2018</v>
      </c>
      <c r="E457" s="14">
        <f>Data!I457</f>
        <v>3976839290000</v>
      </c>
      <c r="F457" s="14">
        <f>Data!K457</f>
        <v>574540940000</v>
      </c>
      <c r="G457" s="12">
        <f t="shared" si="7"/>
        <v>6.9217683425658061</v>
      </c>
    </row>
    <row r="458" spans="2:7" ht="15" customHeight="1" x14ac:dyDescent="0.3">
      <c r="C458" s="3"/>
      <c r="D458" s="8">
        <v>2019</v>
      </c>
      <c r="E458" s="14">
        <f>Data!I458</f>
        <v>5179089530000</v>
      </c>
      <c r="F458" s="14">
        <f>Data!K458</f>
        <v>754231130000</v>
      </c>
      <c r="G458" s="12">
        <f t="shared" si="7"/>
        <v>6.866714093331046</v>
      </c>
    </row>
    <row r="459" spans="2:7" ht="15" customHeight="1" x14ac:dyDescent="0.3">
      <c r="C459" s="3"/>
      <c r="D459" s="8">
        <v>2020</v>
      </c>
      <c r="E459" s="14">
        <f>Data!I459</f>
        <v>6174520620000</v>
      </c>
      <c r="F459" s="14">
        <f>Data!K459</f>
        <v>857222500000</v>
      </c>
      <c r="G459" s="12">
        <f t="shared" si="7"/>
        <v>7.2029381169999622</v>
      </c>
    </row>
    <row r="460" spans="2:7" ht="15" customHeight="1" x14ac:dyDescent="0.3">
      <c r="C460" s="3"/>
      <c r="D460" s="8">
        <v>2021</v>
      </c>
      <c r="E460" s="14">
        <f>Data!I460</f>
        <v>7327543120000</v>
      </c>
      <c r="F460" s="14">
        <f>Data!K460</f>
        <v>825949120000</v>
      </c>
      <c r="G460" s="12">
        <f t="shared" si="7"/>
        <v>8.8716640560135236</v>
      </c>
    </row>
    <row r="461" spans="2:7" ht="15" customHeight="1" x14ac:dyDescent="0.3">
      <c r="C461" s="3"/>
      <c r="D461" s="8">
        <v>2022</v>
      </c>
      <c r="E461" s="14">
        <f>Data!I461</f>
        <v>9503394000000</v>
      </c>
      <c r="F461" s="14">
        <f>Data!K461</f>
        <v>422594620000</v>
      </c>
      <c r="G461" s="12">
        <f t="shared" si="7"/>
        <v>22.488203943533403</v>
      </c>
    </row>
    <row r="462" spans="2:7" ht="15" customHeight="1" x14ac:dyDescent="0.3">
      <c r="C462" s="3"/>
      <c r="D462" s="8">
        <v>2023</v>
      </c>
      <c r="E462" s="14">
        <f>Data!I462</f>
        <v>11099363410000</v>
      </c>
      <c r="F462" s="14">
        <f>Data!K462</f>
        <v>1102149380000</v>
      </c>
      <c r="G462" s="12">
        <f t="shared" si="7"/>
        <v>10.070652500843398</v>
      </c>
    </row>
    <row r="463" spans="2:7" ht="15" customHeight="1" x14ac:dyDescent="0.3">
      <c r="C463" s="3"/>
      <c r="D463" s="8">
        <v>2024</v>
      </c>
      <c r="E463" s="14">
        <f>Data!I463</f>
        <v>12900621940000</v>
      </c>
      <c r="F463" s="14">
        <f>Data!K463</f>
        <v>1002800730000</v>
      </c>
      <c r="G463" s="12">
        <f t="shared" si="7"/>
        <v>12.864591692110157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Data!I464</f>
        <v>0</v>
      </c>
      <c r="F464" s="14">
        <f>Data!K464</f>
        <v>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Data!I465</f>
        <v>104803500000</v>
      </c>
      <c r="F465" s="14">
        <f>Data!K465</f>
        <v>292513050000</v>
      </c>
      <c r="G465" s="12">
        <f t="shared" si="7"/>
        <v>0.3582865790090391</v>
      </c>
    </row>
    <row r="466" spans="2:7" ht="15" customHeight="1" x14ac:dyDescent="0.3">
      <c r="C466" s="3"/>
      <c r="D466" s="8">
        <v>2016</v>
      </c>
      <c r="E466" s="14">
        <f>Data!I466</f>
        <v>298194120000</v>
      </c>
      <c r="F466" s="14">
        <f>Data!K466</f>
        <v>1880952610000</v>
      </c>
      <c r="G466" s="12">
        <f t="shared" si="7"/>
        <v>0.15853356347983696</v>
      </c>
    </row>
    <row r="467" spans="2:7" ht="15" customHeight="1" x14ac:dyDescent="0.3">
      <c r="C467" s="3"/>
      <c r="D467" s="8">
        <v>2017</v>
      </c>
      <c r="E467" s="14">
        <f>Data!I467</f>
        <v>268039320000</v>
      </c>
      <c r="F467" s="14">
        <f>Data!K467</f>
        <v>1824023880000</v>
      </c>
      <c r="G467" s="12">
        <f t="shared" si="7"/>
        <v>0.14694945770117879</v>
      </c>
    </row>
    <row r="468" spans="2:7" ht="15" customHeight="1" x14ac:dyDescent="0.3">
      <c r="C468" s="3"/>
      <c r="D468" s="8">
        <v>2018</v>
      </c>
      <c r="E468" s="14">
        <f>Data!I468</f>
        <v>220033250000</v>
      </c>
      <c r="F468" s="14">
        <f>Data!K468</f>
        <v>1821505820000</v>
      </c>
      <c r="G468" s="12">
        <f t="shared" si="7"/>
        <v>0.1207974454893589</v>
      </c>
    </row>
    <row r="469" spans="2:7" ht="15" customHeight="1" x14ac:dyDescent="0.3">
      <c r="C469" s="3"/>
      <c r="D469" s="8">
        <v>2019</v>
      </c>
      <c r="E469" s="14">
        <f>Data!I469</f>
        <v>192669430000</v>
      </c>
      <c r="F469" s="14">
        <f>Data!K469</f>
        <v>1849812750000</v>
      </c>
      <c r="G469" s="12">
        <f t="shared" si="7"/>
        <v>0.10415618013228636</v>
      </c>
    </row>
    <row r="470" spans="2:7" ht="15" customHeight="1" x14ac:dyDescent="0.3">
      <c r="C470" s="3"/>
      <c r="D470" s="8">
        <v>2020</v>
      </c>
      <c r="E470" s="14">
        <f>Data!I470</f>
        <v>204091090000</v>
      </c>
      <c r="F470" s="14">
        <f>Data!K470</f>
        <v>1861815520000</v>
      </c>
      <c r="G470" s="12">
        <f t="shared" si="7"/>
        <v>0.10961939451444684</v>
      </c>
    </row>
    <row r="471" spans="2:7" ht="15" customHeight="1" x14ac:dyDescent="0.3">
      <c r="C471" s="3"/>
      <c r="D471" s="8">
        <v>2021</v>
      </c>
      <c r="E471" s="14">
        <f>Data!I471</f>
        <v>165986630000</v>
      </c>
      <c r="F471" s="14">
        <f>Data!K471</f>
        <v>1872139020000</v>
      </c>
      <c r="G471" s="12">
        <f t="shared" si="7"/>
        <v>8.8661487329076666E-2</v>
      </c>
    </row>
    <row r="472" spans="2:7" ht="15" customHeight="1" x14ac:dyDescent="0.3">
      <c r="C472" s="3"/>
      <c r="D472" s="8">
        <v>2022</v>
      </c>
      <c r="E472" s="14">
        <f>Data!I472</f>
        <v>256639780000</v>
      </c>
      <c r="F472" s="14">
        <f>Data!K472</f>
        <v>1806600680000</v>
      </c>
      <c r="G472" s="12">
        <f t="shared" si="7"/>
        <v>0.14205672722319579</v>
      </c>
    </row>
    <row r="473" spans="2:7" ht="15" customHeight="1" x14ac:dyDescent="0.3">
      <c r="C473" s="3"/>
      <c r="D473" s="8">
        <v>2023</v>
      </c>
      <c r="E473" s="14">
        <f>Data!I473</f>
        <v>350116800000</v>
      </c>
      <c r="F473" s="14">
        <f>Data!K473</f>
        <v>1769758180000</v>
      </c>
      <c r="G473" s="12">
        <f t="shared" si="7"/>
        <v>0.19783312994773106</v>
      </c>
    </row>
    <row r="474" spans="2:7" ht="15" customHeight="1" x14ac:dyDescent="0.3">
      <c r="C474" s="3"/>
      <c r="D474" s="8">
        <v>2024</v>
      </c>
      <c r="E474" s="14">
        <f>Data!I474</f>
        <v>423259370000</v>
      </c>
      <c r="F474" s="14">
        <f>Data!K474</f>
        <v>1688566600000</v>
      </c>
      <c r="G474" s="12">
        <f t="shared" si="7"/>
        <v>0.25066193421094557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Data!I475</f>
        <v>0</v>
      </c>
      <c r="F475" s="14">
        <f>Data!K475</f>
        <v>0</v>
      </c>
      <c r="G475" s="12">
        <f t="shared" si="7"/>
        <v>0</v>
      </c>
    </row>
    <row r="476" spans="2:7" ht="15" customHeight="1" x14ac:dyDescent="0.3">
      <c r="C476" s="3"/>
      <c r="D476" s="8">
        <v>2015</v>
      </c>
      <c r="E476" s="14">
        <f>Data!I476</f>
        <v>519260000000</v>
      </c>
      <c r="F476" s="14">
        <f>Data!K476</f>
        <v>91073000000</v>
      </c>
      <c r="G476" s="12">
        <f t="shared" si="7"/>
        <v>5.7015800511677446</v>
      </c>
    </row>
    <row r="477" spans="2:7" ht="15" customHeight="1" x14ac:dyDescent="0.3">
      <c r="C477" s="3"/>
      <c r="D477" s="8">
        <v>2016</v>
      </c>
      <c r="E477" s="14">
        <f>Data!I477</f>
        <v>637591000000</v>
      </c>
      <c r="F477" s="14">
        <f>Data!K477</f>
        <v>144115000000</v>
      </c>
      <c r="G477" s="12">
        <f t="shared" si="7"/>
        <v>4.4241820768136559</v>
      </c>
    </row>
    <row r="478" spans="2:7" ht="15" customHeight="1" x14ac:dyDescent="0.3">
      <c r="C478" s="3"/>
      <c r="D478" s="8">
        <v>2017</v>
      </c>
      <c r="E478" s="14">
        <f>Data!I478</f>
        <v>775084000000</v>
      </c>
      <c r="F478" s="14">
        <f>Data!K478</f>
        <v>182333000000</v>
      </c>
      <c r="G478" s="12">
        <f t="shared" si="7"/>
        <v>4.2509255044341945</v>
      </c>
    </row>
    <row r="479" spans="2:7" ht="15" customHeight="1" x14ac:dyDescent="0.3">
      <c r="C479" s="3"/>
      <c r="D479" s="8">
        <v>2018</v>
      </c>
      <c r="E479" s="14">
        <f>Data!I479</f>
        <v>1117137000000</v>
      </c>
      <c r="F479" s="14">
        <f>Data!K479</f>
        <v>272186000000</v>
      </c>
      <c r="G479" s="12">
        <f t="shared" si="7"/>
        <v>4.1043146965677879</v>
      </c>
    </row>
    <row r="480" spans="2:7" ht="15" customHeight="1" x14ac:dyDescent="0.3">
      <c r="C480" s="3"/>
      <c r="D480" s="8">
        <v>2019</v>
      </c>
      <c r="E480" s="14">
        <f>Data!I480</f>
        <v>915192000000</v>
      </c>
      <c r="F480" s="14">
        <f>Data!K480</f>
        <v>191387000000</v>
      </c>
      <c r="G480" s="12">
        <f t="shared" si="7"/>
        <v>4.7818921870346474</v>
      </c>
    </row>
    <row r="481" spans="2:7" ht="15" customHeight="1" x14ac:dyDescent="0.3">
      <c r="C481" s="3"/>
      <c r="D481" s="8">
        <v>2020</v>
      </c>
      <c r="E481" s="14">
        <f>Data!I481</f>
        <v>803885000000</v>
      </c>
      <c r="F481" s="14">
        <f>Data!K481</f>
        <v>198476000000</v>
      </c>
      <c r="G481" s="12">
        <f t="shared" si="7"/>
        <v>4.0502881960539305</v>
      </c>
    </row>
    <row r="482" spans="2:7" ht="15" customHeight="1" x14ac:dyDescent="0.3">
      <c r="C482" s="3"/>
      <c r="D482" s="8">
        <v>2021</v>
      </c>
      <c r="E482" s="14">
        <f>Data!I482</f>
        <v>734623000000</v>
      </c>
      <c r="F482" s="14">
        <f>Data!K482</f>
        <v>201904000000</v>
      </c>
      <c r="G482" s="12">
        <f t="shared" si="7"/>
        <v>3.6384767017988748</v>
      </c>
    </row>
    <row r="483" spans="2:7" ht="15" customHeight="1" x14ac:dyDescent="0.3">
      <c r="C483" s="3"/>
      <c r="D483" s="8">
        <v>2022</v>
      </c>
      <c r="E483" s="14">
        <f>Data!I483</f>
        <v>508530000000</v>
      </c>
      <c r="F483" s="14">
        <f>Data!K483</f>
        <v>227017000000</v>
      </c>
      <c r="G483" s="12">
        <f t="shared" si="7"/>
        <v>2.2400525070809674</v>
      </c>
    </row>
    <row r="484" spans="2:7" ht="15" customHeight="1" x14ac:dyDescent="0.3">
      <c r="C484" s="3"/>
      <c r="D484" s="8">
        <v>2023</v>
      </c>
      <c r="E484" s="14">
        <f>Data!I484</f>
        <v>730399000000</v>
      </c>
      <c r="F484" s="14">
        <f>Data!K484</f>
        <v>232406000000</v>
      </c>
      <c r="G484" s="12">
        <f t="shared" si="7"/>
        <v>3.1427717012469558</v>
      </c>
    </row>
    <row r="485" spans="2:7" ht="15" customHeight="1" x14ac:dyDescent="0.3">
      <c r="C485" s="3"/>
      <c r="D485" s="8">
        <v>2024</v>
      </c>
      <c r="E485" s="14">
        <f>Data!I485</f>
        <v>769355000000</v>
      </c>
      <c r="F485" s="14">
        <f>Data!K485</f>
        <v>239790000000</v>
      </c>
      <c r="G485" s="12">
        <f t="shared" si="7"/>
        <v>3.2084532299095043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Data!I486</f>
        <v>0</v>
      </c>
      <c r="F486" s="14">
        <f>Data!K486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Data!I487</f>
        <v>0</v>
      </c>
      <c r="F487" s="14">
        <f>Data!K487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Data!I488</f>
        <v>0</v>
      </c>
      <c r="F488" s="14">
        <f>Data!K488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Data!I489</f>
        <v>0</v>
      </c>
      <c r="F489" s="14">
        <f>Data!K489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>
        <f>Data!I490</f>
        <v>22442944000000</v>
      </c>
      <c r="F490" s="14">
        <f>Data!K490</f>
        <v>6032822000000</v>
      </c>
      <c r="G490" s="12">
        <f t="shared" si="7"/>
        <v>3.7201402594009902</v>
      </c>
    </row>
    <row r="491" spans="2:7" ht="15" customHeight="1" x14ac:dyDescent="0.3">
      <c r="C491" s="3"/>
      <c r="D491" s="8">
        <v>2019</v>
      </c>
      <c r="E491" s="14">
        <f>Data!I491</f>
        <v>25585556000000</v>
      </c>
      <c r="F491" s="14">
        <f>Data!K491</f>
        <v>7170158000000</v>
      </c>
      <c r="G491" s="12">
        <f t="shared" si="7"/>
        <v>3.5683392193031174</v>
      </c>
    </row>
    <row r="492" spans="2:7" ht="15" customHeight="1" x14ac:dyDescent="0.3">
      <c r="C492" s="3"/>
      <c r="D492" s="8">
        <v>2020</v>
      </c>
      <c r="E492" s="14">
        <f>Data!I492</f>
        <v>23860505000000</v>
      </c>
      <c r="F492" s="14">
        <f>Data!K492</f>
        <v>28980403000000</v>
      </c>
      <c r="G492" s="12">
        <f t="shared" si="7"/>
        <v>0.82333240845546563</v>
      </c>
    </row>
    <row r="493" spans="2:7" ht="15" customHeight="1" x14ac:dyDescent="0.3">
      <c r="C493" s="3"/>
      <c r="D493" s="8">
        <v>2021</v>
      </c>
      <c r="E493" s="14">
        <f>Data!I493</f>
        <v>29590943000000</v>
      </c>
      <c r="F493" s="14">
        <f>Data!K493</f>
        <v>19080381000000</v>
      </c>
      <c r="G493" s="12">
        <f t="shared" si="7"/>
        <v>1.5508570295320623</v>
      </c>
    </row>
    <row r="494" spans="2:7" ht="15" customHeight="1" x14ac:dyDescent="0.3">
      <c r="C494" s="3"/>
      <c r="D494" s="8">
        <v>2022</v>
      </c>
      <c r="E494" s="14">
        <f>Data!I494</f>
        <v>33995704000000</v>
      </c>
      <c r="F494" s="14">
        <f>Data!K494</f>
        <v>18586736000000</v>
      </c>
      <c r="G494" s="12">
        <f t="shared" si="7"/>
        <v>1.8290303364722025</v>
      </c>
    </row>
    <row r="495" spans="2:7" ht="15" customHeight="1" x14ac:dyDescent="0.3">
      <c r="C495" s="3"/>
      <c r="D495" s="8">
        <v>2023</v>
      </c>
      <c r="E495" s="14">
        <f>Data!I495</f>
        <v>37754189000000</v>
      </c>
      <c r="F495" s="14">
        <f>Data!K495</f>
        <v>18074841000000</v>
      </c>
      <c r="G495" s="12">
        <f t="shared" si="7"/>
        <v>2.0887701861388437</v>
      </c>
    </row>
    <row r="496" spans="2:7" ht="15" customHeight="1" x14ac:dyDescent="0.3">
      <c r="C496" s="3"/>
      <c r="D496" s="8">
        <v>2024</v>
      </c>
      <c r="E496" s="14">
        <f>Data!I496</f>
        <v>41497355000000</v>
      </c>
      <c r="F496" s="14">
        <f>Data!K496</f>
        <v>19101021000000</v>
      </c>
      <c r="G496" s="12">
        <f t="shared" si="7"/>
        <v>2.1725202542837891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Data!I497</f>
        <v>0</v>
      </c>
      <c r="F497" s="14">
        <f>Data!K497</f>
        <v>0</v>
      </c>
      <c r="G497" s="12">
        <f t="shared" si="7"/>
        <v>0</v>
      </c>
    </row>
    <row r="498" spans="2:7" ht="15" customHeight="1" x14ac:dyDescent="0.3">
      <c r="C498" s="3"/>
      <c r="D498" s="8">
        <v>2015</v>
      </c>
      <c r="E498" s="14">
        <f>Data!I498</f>
        <v>0</v>
      </c>
      <c r="F498" s="14">
        <f>Data!K498</f>
        <v>0</v>
      </c>
      <c r="G498" s="12">
        <f t="shared" si="7"/>
        <v>0</v>
      </c>
    </row>
    <row r="499" spans="2:7" ht="15" customHeight="1" x14ac:dyDescent="0.3">
      <c r="C499" s="3"/>
      <c r="D499" s="8">
        <v>2016</v>
      </c>
      <c r="E499" s="14">
        <f>Data!I499</f>
        <v>20220000000</v>
      </c>
      <c r="F499" s="14">
        <f>Data!K499</f>
        <v>94182000000</v>
      </c>
      <c r="G499" s="12">
        <f t="shared" si="7"/>
        <v>0.21469070523029879</v>
      </c>
    </row>
    <row r="500" spans="2:7" ht="15" customHeight="1" x14ac:dyDescent="0.3">
      <c r="C500" s="3"/>
      <c r="D500" s="8">
        <v>2017</v>
      </c>
      <c r="E500" s="14">
        <f>Data!I500</f>
        <v>29540000000</v>
      </c>
      <c r="F500" s="14">
        <f>Data!K500</f>
        <v>107580000000</v>
      </c>
      <c r="G500" s="12">
        <f t="shared" si="7"/>
        <v>0.27458635434095557</v>
      </c>
    </row>
    <row r="501" spans="2:7" ht="15" customHeight="1" x14ac:dyDescent="0.3">
      <c r="C501" s="3"/>
      <c r="D501" s="8">
        <v>2018</v>
      </c>
      <c r="E501" s="14">
        <f>Data!I501</f>
        <v>62507000000</v>
      </c>
      <c r="F501" s="14">
        <f>Data!K501</f>
        <v>100027000000</v>
      </c>
      <c r="G501" s="12">
        <f t="shared" si="7"/>
        <v>0.62490127665530304</v>
      </c>
    </row>
    <row r="502" spans="2:7" ht="15" customHeight="1" x14ac:dyDescent="0.3">
      <c r="C502" s="3"/>
      <c r="D502" s="8">
        <v>2019</v>
      </c>
      <c r="E502" s="14">
        <f>Data!I502</f>
        <v>67971000000</v>
      </c>
      <c r="F502" s="14">
        <f>Data!K502</f>
        <v>102491000000</v>
      </c>
      <c r="G502" s="12">
        <f t="shared" si="7"/>
        <v>0.66318993862875764</v>
      </c>
    </row>
    <row r="503" spans="2:7" ht="15" customHeight="1" x14ac:dyDescent="0.3">
      <c r="C503" s="3"/>
      <c r="D503" s="8">
        <v>2020</v>
      </c>
      <c r="E503" s="14">
        <f>Data!I503</f>
        <v>80527000000</v>
      </c>
      <c r="F503" s="14">
        <f>Data!K503</f>
        <v>104423000000</v>
      </c>
      <c r="G503" s="12">
        <f t="shared" si="7"/>
        <v>0.7711615257175144</v>
      </c>
    </row>
    <row r="504" spans="2:7" ht="15" customHeight="1" x14ac:dyDescent="0.3">
      <c r="C504" s="3"/>
      <c r="D504" s="8">
        <v>2021</v>
      </c>
      <c r="E504" s="14">
        <f>Data!I504</f>
        <v>128595000000</v>
      </c>
      <c r="F504" s="14">
        <f>Data!K504</f>
        <v>107008000000</v>
      </c>
      <c r="G504" s="12">
        <f t="shared" si="7"/>
        <v>1.2017325807416268</v>
      </c>
    </row>
    <row r="505" spans="2:7" ht="15" customHeight="1" x14ac:dyDescent="0.3">
      <c r="C505" s="3"/>
      <c r="D505" s="8">
        <v>2022</v>
      </c>
      <c r="E505" s="14">
        <f>Data!I505</f>
        <v>131396000000</v>
      </c>
      <c r="F505" s="14">
        <f>Data!K505</f>
        <v>107315000000</v>
      </c>
      <c r="G505" s="12">
        <f t="shared" si="7"/>
        <v>1.2243954712761496</v>
      </c>
    </row>
    <row r="506" spans="2:7" ht="15" customHeight="1" x14ac:dyDescent="0.3">
      <c r="C506" s="3"/>
      <c r="D506" s="8">
        <v>2023</v>
      </c>
      <c r="E506" s="14">
        <f>Data!I506</f>
        <v>165984000000</v>
      </c>
      <c r="F506" s="14">
        <f>Data!K506</f>
        <v>121437000000</v>
      </c>
      <c r="G506" s="12">
        <f t="shared" si="7"/>
        <v>1.3668321845895401</v>
      </c>
    </row>
    <row r="507" spans="2:7" ht="15" customHeight="1" x14ac:dyDescent="0.3">
      <c r="C507" s="3"/>
      <c r="D507" s="8">
        <v>2024</v>
      </c>
      <c r="E507" s="14">
        <f>Data!I507</f>
        <v>178221000000</v>
      </c>
      <c r="F507" s="14">
        <f>Data!K507</f>
        <v>128224000000</v>
      </c>
      <c r="G507" s="12">
        <f t="shared" si="7"/>
        <v>1.3899192038931869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Data!I508</f>
        <v>0</v>
      </c>
      <c r="F508" s="14">
        <f>Data!K508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Data!I509</f>
        <v>0</v>
      </c>
      <c r="F509" s="14">
        <f>Data!K509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Data!I510</f>
        <v>0</v>
      </c>
      <c r="F510" s="14">
        <f>Data!K510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Data!I511</f>
        <v>0</v>
      </c>
      <c r="F511" s="14">
        <f>Data!K511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Data!I512</f>
        <v>0</v>
      </c>
      <c r="F512" s="14">
        <f>Data!K512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Data!I513</f>
        <v>395992100000</v>
      </c>
      <c r="F513" s="14">
        <f>Data!K513</f>
        <v>108072260000</v>
      </c>
      <c r="G513" s="12">
        <f t="shared" si="7"/>
        <v>3.6641419361453162</v>
      </c>
    </row>
    <row r="514" spans="2:7" ht="15" customHeight="1" x14ac:dyDescent="0.3">
      <c r="C514" s="3"/>
      <c r="D514" s="8">
        <v>2020</v>
      </c>
      <c r="E514" s="14">
        <f>Data!I514</f>
        <v>284215060000</v>
      </c>
      <c r="F514" s="14">
        <f>Data!K514</f>
        <v>100180580000</v>
      </c>
      <c r="G514" s="12">
        <f t="shared" si="7"/>
        <v>2.837027495748178</v>
      </c>
    </row>
    <row r="515" spans="2:7" ht="15" customHeight="1" x14ac:dyDescent="0.3">
      <c r="C515" s="3"/>
      <c r="D515" s="8">
        <v>2021</v>
      </c>
      <c r="E515" s="14">
        <f>Data!I515</f>
        <v>264800469999.99997</v>
      </c>
      <c r="F515" s="14">
        <f>Data!K515</f>
        <v>111800860000</v>
      </c>
      <c r="G515" s="12">
        <f t="shared" ref="G515:G578" si="8">IFERROR(E515/F515,0)</f>
        <v>2.3685011904201807</v>
      </c>
    </row>
    <row r="516" spans="2:7" ht="15" customHeight="1" x14ac:dyDescent="0.3">
      <c r="C516" s="3"/>
      <c r="D516" s="8">
        <v>2022</v>
      </c>
      <c r="E516" s="14">
        <f>Data!I516</f>
        <v>257990000000</v>
      </c>
      <c r="F516" s="14">
        <f>Data!K516</f>
        <v>113978000000</v>
      </c>
      <c r="G516" s="12">
        <f t="shared" si="8"/>
        <v>2.2635069925775149</v>
      </c>
    </row>
    <row r="517" spans="2:7" ht="15" customHeight="1" x14ac:dyDescent="0.3">
      <c r="C517" s="3"/>
      <c r="D517" s="8">
        <v>2023</v>
      </c>
      <c r="E517" s="14">
        <f>Data!I517</f>
        <v>282722000000</v>
      </c>
      <c r="F517" s="14">
        <f>Data!K517</f>
        <v>123153000000</v>
      </c>
      <c r="G517" s="12">
        <f t="shared" si="8"/>
        <v>2.2956972221545557</v>
      </c>
    </row>
    <row r="518" spans="2:7" ht="15" customHeight="1" x14ac:dyDescent="0.3">
      <c r="C518" s="3"/>
      <c r="D518" s="8">
        <v>2024</v>
      </c>
      <c r="E518" s="14">
        <f>Data!I518</f>
        <v>522397000000</v>
      </c>
      <c r="F518" s="14">
        <f>Data!K518</f>
        <v>170996000000</v>
      </c>
      <c r="G518" s="12">
        <f t="shared" si="8"/>
        <v>3.0550246789398581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Data!I519</f>
        <v>0</v>
      </c>
      <c r="F519" s="14">
        <f>Data!K519</f>
        <v>0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Data!I520</f>
        <v>8125147140000</v>
      </c>
      <c r="F520" s="14">
        <f>Data!K520</f>
        <v>7223445250000</v>
      </c>
      <c r="G520" s="12">
        <f t="shared" si="8"/>
        <v>1.1248298919411066</v>
      </c>
    </row>
    <row r="521" spans="2:7" ht="15" customHeight="1" x14ac:dyDescent="0.3">
      <c r="C521" s="3"/>
      <c r="D521" s="8">
        <v>2016</v>
      </c>
      <c r="E521" s="14">
        <f>Data!I521</f>
        <v>8086322480000</v>
      </c>
      <c r="F521" s="14">
        <f>Data!K521</f>
        <v>7773714670000</v>
      </c>
      <c r="G521" s="12">
        <f t="shared" si="8"/>
        <v>1.0402134401982108</v>
      </c>
    </row>
    <row r="522" spans="2:7" ht="15" customHeight="1" x14ac:dyDescent="0.3">
      <c r="C522" s="3"/>
      <c r="D522" s="8">
        <v>2017</v>
      </c>
      <c r="E522" s="14">
        <f>Data!I522</f>
        <v>7024267460000</v>
      </c>
      <c r="F522" s="14">
        <f>Data!K522</f>
        <v>8510513980000</v>
      </c>
      <c r="G522" s="12">
        <f t="shared" si="8"/>
        <v>0.82536348292327233</v>
      </c>
    </row>
    <row r="523" spans="2:7" ht="15" customHeight="1" x14ac:dyDescent="0.3">
      <c r="C523" s="3"/>
      <c r="D523" s="8">
        <v>2018</v>
      </c>
      <c r="E523" s="14">
        <f>Data!I523</f>
        <v>7543035990000</v>
      </c>
      <c r="F523" s="14">
        <f>Data!K523</f>
        <v>7103034820000</v>
      </c>
      <c r="G523" s="12">
        <f t="shared" si="8"/>
        <v>1.0619455178174109</v>
      </c>
    </row>
    <row r="524" spans="2:7" ht="15" customHeight="1" x14ac:dyDescent="0.3">
      <c r="C524" s="3"/>
      <c r="D524" s="8">
        <v>2019</v>
      </c>
      <c r="E524" s="14">
        <f>Data!I524</f>
        <v>7778429180000</v>
      </c>
      <c r="F524" s="14">
        <f>Data!K524</f>
        <v>7742214170000</v>
      </c>
      <c r="G524" s="12">
        <f t="shared" si="8"/>
        <v>1.004677603745493</v>
      </c>
    </row>
    <row r="525" spans="2:7" ht="15" customHeight="1" x14ac:dyDescent="0.3">
      <c r="C525" s="3"/>
      <c r="D525" s="8">
        <v>2020</v>
      </c>
      <c r="E525" s="14">
        <f>Data!I525</f>
        <v>7172374420000</v>
      </c>
      <c r="F525" s="14">
        <f>Data!K525</f>
        <v>8041917720000</v>
      </c>
      <c r="G525" s="12">
        <f t="shared" si="8"/>
        <v>0.8918736388165881</v>
      </c>
    </row>
    <row r="526" spans="2:7" ht="15" customHeight="1" x14ac:dyDescent="0.3">
      <c r="C526" s="3"/>
      <c r="D526" s="8">
        <v>2021</v>
      </c>
      <c r="E526" s="14">
        <f>Data!I526</f>
        <v>8197149650000</v>
      </c>
      <c r="F526" s="14">
        <f>Data!K526</f>
        <v>7595506270000</v>
      </c>
      <c r="G526" s="12">
        <f t="shared" si="8"/>
        <v>1.0792104382003229</v>
      </c>
    </row>
    <row r="527" spans="2:7" ht="15" customHeight="1" x14ac:dyDescent="0.3">
      <c r="C527" s="3"/>
      <c r="D527" s="8">
        <v>2022</v>
      </c>
      <c r="E527" s="14">
        <f>Data!I527</f>
        <v>7291622440000</v>
      </c>
      <c r="F527" s="14">
        <f>Data!K527</f>
        <v>7571633800000</v>
      </c>
      <c r="G527" s="12">
        <f t="shared" si="8"/>
        <v>0.96301836995867396</v>
      </c>
    </row>
    <row r="528" spans="2:7" ht="15" customHeight="1" x14ac:dyDescent="0.3">
      <c r="C528" s="3"/>
      <c r="D528" s="8">
        <v>2023</v>
      </c>
      <c r="E528" s="14">
        <f>Data!I528</f>
        <v>6927405080000</v>
      </c>
      <c r="F528" s="14">
        <f>Data!K528</f>
        <v>7441337270000</v>
      </c>
      <c r="G528" s="12">
        <f t="shared" si="8"/>
        <v>0.93093550643485345</v>
      </c>
    </row>
    <row r="529" spans="2:7" ht="15" customHeight="1" x14ac:dyDescent="0.3">
      <c r="C529" s="3"/>
      <c r="D529" s="8">
        <v>2024</v>
      </c>
      <c r="E529" s="14">
        <f>Data!I529</f>
        <v>6479775300000</v>
      </c>
      <c r="F529" s="14">
        <f>Data!K529</f>
        <v>7592926740000</v>
      </c>
      <c r="G529" s="12">
        <f t="shared" si="8"/>
        <v>0.8533962623218988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Data!I530</f>
        <v>0</v>
      </c>
      <c r="F530" s="14">
        <f>Data!K530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Data!I531</f>
        <v>0</v>
      </c>
      <c r="F531" s="14">
        <f>Data!K531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>
        <f>Data!I532</f>
        <v>22162000000</v>
      </c>
      <c r="F532" s="14">
        <f>Data!K532</f>
        <v>108668000000</v>
      </c>
      <c r="G532" s="12">
        <f t="shared" si="8"/>
        <v>0.20394228291677402</v>
      </c>
    </row>
    <row r="533" spans="2:7" ht="15" customHeight="1" x14ac:dyDescent="0.3">
      <c r="C533" s="3"/>
      <c r="D533" s="8">
        <v>2017</v>
      </c>
      <c r="E533" s="14">
        <f>Data!I533</f>
        <v>3076000000</v>
      </c>
      <c r="F533" s="14">
        <f>Data!K533</f>
        <v>110770000000</v>
      </c>
      <c r="G533" s="12">
        <f t="shared" si="8"/>
        <v>2.7769251602419429E-2</v>
      </c>
    </row>
    <row r="534" spans="2:7" ht="15" customHeight="1" x14ac:dyDescent="0.3">
      <c r="C534" s="3"/>
      <c r="D534" s="8">
        <v>2018</v>
      </c>
      <c r="E534" s="14">
        <f>Data!I534</f>
        <v>149392000000</v>
      </c>
      <c r="F534" s="14">
        <f>Data!K534</f>
        <v>110469000000</v>
      </c>
      <c r="G534" s="12">
        <f t="shared" si="8"/>
        <v>1.3523431913025374</v>
      </c>
    </row>
    <row r="535" spans="2:7" ht="15" customHeight="1" x14ac:dyDescent="0.3">
      <c r="C535" s="3"/>
      <c r="D535" s="8">
        <v>2019</v>
      </c>
      <c r="E535" s="14">
        <f>Data!I535</f>
        <v>861477000000</v>
      </c>
      <c r="F535" s="14">
        <f>Data!K535</f>
        <v>180930000000</v>
      </c>
      <c r="G535" s="12">
        <f t="shared" si="8"/>
        <v>4.7613828552478861</v>
      </c>
    </row>
    <row r="536" spans="2:7" ht="15" customHeight="1" x14ac:dyDescent="0.3">
      <c r="C536" s="3"/>
      <c r="D536" s="8">
        <v>2020</v>
      </c>
      <c r="E536" s="14">
        <f>Data!I536</f>
        <v>1414625000000</v>
      </c>
      <c r="F536" s="14">
        <f>Data!K536</f>
        <v>317651000000</v>
      </c>
      <c r="G536" s="12">
        <f t="shared" si="8"/>
        <v>4.4533938190026161</v>
      </c>
    </row>
    <row r="537" spans="2:7" ht="15" customHeight="1" x14ac:dyDescent="0.3">
      <c r="C537" s="3"/>
      <c r="D537" s="8">
        <v>2021</v>
      </c>
      <c r="E537" s="14">
        <f>Data!I537</f>
        <v>2164223000000</v>
      </c>
      <c r="F537" s="14">
        <f>Data!K537</f>
        <v>374094000000</v>
      </c>
      <c r="G537" s="12">
        <f t="shared" si="8"/>
        <v>5.7852384694755861</v>
      </c>
    </row>
    <row r="538" spans="2:7" ht="15" customHeight="1" x14ac:dyDescent="0.3">
      <c r="C538" s="3"/>
      <c r="D538" s="8">
        <v>2022</v>
      </c>
      <c r="E538" s="14">
        <f>Data!I538</f>
        <v>2389973000000</v>
      </c>
      <c r="F538" s="14">
        <f>Data!K538</f>
        <v>382139000000</v>
      </c>
      <c r="G538" s="12">
        <f t="shared" si="8"/>
        <v>6.2541980797563195</v>
      </c>
    </row>
    <row r="539" spans="2:7" ht="15" customHeight="1" x14ac:dyDescent="0.3">
      <c r="C539" s="3"/>
      <c r="D539" s="8">
        <v>2023</v>
      </c>
      <c r="E539" s="14">
        <f>Data!I539</f>
        <v>2410494000000</v>
      </c>
      <c r="F539" s="14">
        <f>Data!K539</f>
        <v>373304000000</v>
      </c>
      <c r="G539" s="12">
        <f t="shared" si="8"/>
        <v>6.4571877076055975</v>
      </c>
    </row>
    <row r="540" spans="2:7" ht="15" customHeight="1" x14ac:dyDescent="0.3">
      <c r="C540" s="3"/>
      <c r="D540" s="8">
        <v>2024</v>
      </c>
      <c r="E540" s="14">
        <f>Data!I540</f>
        <v>2651807000000</v>
      </c>
      <c r="F540" s="14">
        <f>Data!K540</f>
        <v>367505000000</v>
      </c>
      <c r="G540" s="12">
        <f t="shared" si="8"/>
        <v>7.2157031877117319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Data!I541</f>
        <v>0</v>
      </c>
      <c r="F541" s="14">
        <f>Data!K541</f>
        <v>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Data!I542</f>
        <v>4282242000000</v>
      </c>
      <c r="F542" s="14">
        <f>Data!K542</f>
        <v>4605738000000</v>
      </c>
      <c r="G542" s="12">
        <f t="shared" si="8"/>
        <v>0.92976239638468361</v>
      </c>
    </row>
    <row r="543" spans="2:7" ht="15" customHeight="1" x14ac:dyDescent="0.3">
      <c r="C543" s="3"/>
      <c r="D543" s="8">
        <v>2016</v>
      </c>
      <c r="E543" s="14">
        <f>Data!I543</f>
        <v>4321332000000</v>
      </c>
      <c r="F543" s="14">
        <f>Data!K543</f>
        <v>4758210000000</v>
      </c>
      <c r="G543" s="12">
        <f t="shared" si="8"/>
        <v>0.90818438026064419</v>
      </c>
    </row>
    <row r="544" spans="2:7" ht="15" customHeight="1" x14ac:dyDescent="0.3">
      <c r="C544" s="3"/>
      <c r="D544" s="8">
        <v>2017</v>
      </c>
      <c r="E544" s="14">
        <f>Data!I544</f>
        <v>4186739000000</v>
      </c>
      <c r="F544" s="14">
        <f>Data!K544</f>
        <v>4972132000000</v>
      </c>
      <c r="G544" s="12">
        <f t="shared" si="8"/>
        <v>0.8420409997160172</v>
      </c>
    </row>
    <row r="545" spans="2:7" ht="15" customHeight="1" x14ac:dyDescent="0.3">
      <c r="C545" s="3"/>
      <c r="D545" s="8">
        <v>2018</v>
      </c>
      <c r="E545" s="14">
        <f>Data!I545</f>
        <v>4207935000000</v>
      </c>
      <c r="F545" s="14">
        <f>Data!K545</f>
        <v>4874632000000</v>
      </c>
      <c r="G545" s="12">
        <f t="shared" si="8"/>
        <v>0.86323131674349984</v>
      </c>
    </row>
    <row r="546" spans="2:7" ht="15" customHeight="1" x14ac:dyDescent="0.3">
      <c r="C546" s="3"/>
      <c r="D546" s="8">
        <v>2019</v>
      </c>
      <c r="E546" s="14">
        <f>Data!I546</f>
        <v>4129518000000</v>
      </c>
      <c r="F546" s="14">
        <f>Data!K546</f>
        <v>4983140000000</v>
      </c>
      <c r="G546" s="12">
        <f t="shared" si="8"/>
        <v>0.82869796955333386</v>
      </c>
    </row>
    <row r="547" spans="2:7" ht="15" customHeight="1" x14ac:dyDescent="0.3">
      <c r="C547" s="3"/>
      <c r="D547" s="8">
        <v>2020</v>
      </c>
      <c r="E547" s="14">
        <f>Data!I547</f>
        <v>4274240000000</v>
      </c>
      <c r="F547" s="14">
        <f>Data!K547</f>
        <v>5267465000000</v>
      </c>
      <c r="G547" s="12">
        <f t="shared" si="8"/>
        <v>0.81144155680199104</v>
      </c>
    </row>
    <row r="548" spans="2:7" ht="15" customHeight="1" x14ac:dyDescent="0.3">
      <c r="C548" s="3"/>
      <c r="D548" s="8">
        <v>2021</v>
      </c>
      <c r="E548" s="14">
        <f>Data!I548</f>
        <v>4387355000000</v>
      </c>
      <c r="F548" s="14">
        <f>Data!K548</f>
        <v>5211162000000</v>
      </c>
      <c r="G548" s="12">
        <f t="shared" si="8"/>
        <v>0.84191491264328377</v>
      </c>
    </row>
    <row r="549" spans="2:7" ht="15" customHeight="1" x14ac:dyDescent="0.3">
      <c r="C549" s="3"/>
      <c r="D549" s="8">
        <v>2022</v>
      </c>
      <c r="E549" s="14">
        <f>Data!I549</f>
        <v>4125395000000</v>
      </c>
      <c r="F549" s="14">
        <f>Data!K549</f>
        <v>4525398000000</v>
      </c>
      <c r="G549" s="12">
        <f t="shared" si="8"/>
        <v>0.91160932143426943</v>
      </c>
    </row>
    <row r="550" spans="2:7" ht="15" customHeight="1" x14ac:dyDescent="0.3">
      <c r="C550" s="3"/>
      <c r="D550" s="8">
        <v>2023</v>
      </c>
      <c r="E550" s="14">
        <f>Data!I550</f>
        <v>4236878000000</v>
      </c>
      <c r="F550" s="14">
        <f>Data!K550</f>
        <v>4741594000000</v>
      </c>
      <c r="G550" s="12">
        <f t="shared" si="8"/>
        <v>0.89355562707393332</v>
      </c>
    </row>
    <row r="551" spans="2:7" ht="15" customHeight="1" x14ac:dyDescent="0.3">
      <c r="C551" s="3"/>
      <c r="D551" s="8">
        <v>2024</v>
      </c>
      <c r="E551" s="14">
        <f>Data!I551</f>
        <v>4274543000000</v>
      </c>
      <c r="F551" s="14">
        <f>Data!K551</f>
        <v>4711715000000</v>
      </c>
      <c r="G551" s="12">
        <f t="shared" si="8"/>
        <v>0.90721595003093358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Data!I552</f>
        <v>0</v>
      </c>
      <c r="F552" s="14">
        <f>Data!K552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Data!I553</f>
        <v>0</v>
      </c>
      <c r="F553" s="14">
        <f>Data!K553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Data!I554</f>
        <v>0</v>
      </c>
      <c r="F554" s="14">
        <f>Data!K554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Data!I555</f>
        <v>0</v>
      </c>
      <c r="F555" s="14">
        <f>Data!K555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Data!I556</f>
        <v>0</v>
      </c>
      <c r="F556" s="14">
        <f>Data!K556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Data!I557</f>
        <v>1534233000000</v>
      </c>
      <c r="F557" s="14">
        <f>Data!K557</f>
        <v>163700000000</v>
      </c>
      <c r="G557" s="12">
        <f t="shared" si="8"/>
        <v>9.3722235797189981</v>
      </c>
    </row>
    <row r="558" spans="2:7" ht="15" customHeight="1" x14ac:dyDescent="0.3">
      <c r="C558" s="3"/>
      <c r="D558" s="8">
        <v>2020</v>
      </c>
      <c r="E558" s="14">
        <f>Data!I558</f>
        <v>1628341000000</v>
      </c>
      <c r="F558" s="14">
        <f>Data!K558</f>
        <v>329512000000</v>
      </c>
      <c r="G558" s="12">
        <f t="shared" si="8"/>
        <v>4.9416743548034665</v>
      </c>
    </row>
    <row r="559" spans="2:7" ht="15" customHeight="1" x14ac:dyDescent="0.3">
      <c r="C559" s="3"/>
      <c r="D559" s="8">
        <v>2021</v>
      </c>
      <c r="E559" s="14">
        <f>Data!I559</f>
        <v>1743934000000</v>
      </c>
      <c r="F559" s="14">
        <f>Data!K559</f>
        <v>356219000000</v>
      </c>
      <c r="G559" s="12">
        <f t="shared" si="8"/>
        <v>4.8956793433253143</v>
      </c>
    </row>
    <row r="560" spans="2:7" ht="15" customHeight="1" x14ac:dyDescent="0.3">
      <c r="C560" s="3"/>
      <c r="D560" s="8">
        <v>2022</v>
      </c>
      <c r="E560" s="14">
        <f>Data!I560</f>
        <v>1955230000000</v>
      </c>
      <c r="F560" s="14">
        <f>Data!K560</f>
        <v>422277000000</v>
      </c>
      <c r="G560" s="12">
        <f t="shared" si="8"/>
        <v>4.6302071862782013</v>
      </c>
    </row>
    <row r="561" spans="2:7" ht="15" customHeight="1" x14ac:dyDescent="0.3">
      <c r="C561" s="3"/>
      <c r="D561" s="8">
        <v>2023</v>
      </c>
      <c r="E561" s="14">
        <f>Data!I561</f>
        <v>2326080000000</v>
      </c>
      <c r="F561" s="14">
        <f>Data!K561</f>
        <v>515777000000</v>
      </c>
      <c r="G561" s="12">
        <f t="shared" si="8"/>
        <v>4.5098560036604969</v>
      </c>
    </row>
    <row r="562" spans="2:7" ht="15" customHeight="1" x14ac:dyDescent="0.3">
      <c r="C562" s="3"/>
      <c r="D562" s="8">
        <v>2024</v>
      </c>
      <c r="E562" s="14">
        <f>Data!I562</f>
        <v>2505638000000</v>
      </c>
      <c r="F562" s="14">
        <f>Data!K562</f>
        <v>606065000000</v>
      </c>
      <c r="G562" s="12">
        <f t="shared" si="8"/>
        <v>4.1342727265227328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Data!I563</f>
        <v>0</v>
      </c>
      <c r="F563" s="14">
        <f>Data!K563</f>
        <v>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Data!I564</f>
        <v>91182000000</v>
      </c>
      <c r="F564" s="14">
        <f>Data!K564</f>
        <v>142763000000</v>
      </c>
      <c r="G564" s="12">
        <f t="shared" si="8"/>
        <v>0.63869489993905981</v>
      </c>
    </row>
    <row r="565" spans="2:7" ht="15" customHeight="1" x14ac:dyDescent="0.3">
      <c r="C565" s="3"/>
      <c r="D565" s="8">
        <v>2016</v>
      </c>
      <c r="E565" s="14">
        <f>Data!I565</f>
        <v>206951000000</v>
      </c>
      <c r="F565" s="14">
        <f>Data!K565</f>
        <v>216345000000</v>
      </c>
      <c r="G565" s="12">
        <f t="shared" si="8"/>
        <v>0.95657861286371304</v>
      </c>
    </row>
    <row r="566" spans="2:7" ht="15" customHeight="1" x14ac:dyDescent="0.3">
      <c r="C566" s="3"/>
      <c r="D566" s="8">
        <v>2017</v>
      </c>
      <c r="E566" s="14">
        <f>Data!I566</f>
        <v>438079000000</v>
      </c>
      <c r="F566" s="14">
        <f>Data!K566</f>
        <v>303026000000</v>
      </c>
      <c r="G566" s="12">
        <f t="shared" si="8"/>
        <v>1.4456812286734471</v>
      </c>
    </row>
    <row r="567" spans="2:7" ht="15" customHeight="1" x14ac:dyDescent="0.3">
      <c r="C567" s="3"/>
      <c r="D567" s="8">
        <v>2018</v>
      </c>
      <c r="E567" s="14">
        <f>Data!I567</f>
        <v>736719000000</v>
      </c>
      <c r="F567" s="14">
        <f>Data!K567</f>
        <v>275220000000</v>
      </c>
      <c r="G567" s="12">
        <f t="shared" si="8"/>
        <v>2.6768367124482233</v>
      </c>
    </row>
    <row r="568" spans="2:7" ht="15" customHeight="1" x14ac:dyDescent="0.3">
      <c r="C568" s="3"/>
      <c r="D568" s="8">
        <v>2019</v>
      </c>
      <c r="E568" s="14">
        <f>Data!I568</f>
        <v>1066523000000</v>
      </c>
      <c r="F568" s="14">
        <f>Data!K568</f>
        <v>268893000000</v>
      </c>
      <c r="G568" s="12">
        <f t="shared" si="8"/>
        <v>3.9663472087410234</v>
      </c>
    </row>
    <row r="569" spans="2:7" ht="15" customHeight="1" x14ac:dyDescent="0.3">
      <c r="C569" s="3"/>
      <c r="D569" s="8">
        <v>2020</v>
      </c>
      <c r="E569" s="14">
        <f>Data!I569</f>
        <v>1458930000000</v>
      </c>
      <c r="F569" s="14">
        <f>Data!K569</f>
        <v>320301000000</v>
      </c>
      <c r="G569" s="12">
        <f t="shared" si="8"/>
        <v>4.5548718236908412</v>
      </c>
    </row>
    <row r="570" spans="2:7" ht="15" customHeight="1" x14ac:dyDescent="0.3">
      <c r="C570" s="3"/>
      <c r="D570" s="8">
        <v>2021</v>
      </c>
      <c r="E570" s="14">
        <f>Data!I570</f>
        <v>1712216000000</v>
      </c>
      <c r="F570" s="14">
        <f>Data!K570</f>
        <v>368124000000</v>
      </c>
      <c r="G570" s="12">
        <f t="shared" si="8"/>
        <v>4.6511936195412416</v>
      </c>
    </row>
    <row r="571" spans="2:7" ht="15" customHeight="1" x14ac:dyDescent="0.3">
      <c r="C571" s="3"/>
      <c r="D571" s="8">
        <v>2022</v>
      </c>
      <c r="E571" s="14">
        <f>Data!I571</f>
        <v>1560197000000</v>
      </c>
      <c r="F571" s="14">
        <f>Data!K571</f>
        <v>426613000000</v>
      </c>
      <c r="G571" s="12">
        <f t="shared" si="8"/>
        <v>3.6571717223807059</v>
      </c>
    </row>
    <row r="572" spans="2:7" ht="15" customHeight="1" x14ac:dyDescent="0.3">
      <c r="C572" s="3"/>
      <c r="D572" s="8">
        <v>2023</v>
      </c>
      <c r="E572" s="14">
        <f>Data!I572</f>
        <v>1690987000000</v>
      </c>
      <c r="F572" s="14">
        <f>Data!K572</f>
        <v>472006000000</v>
      </c>
      <c r="G572" s="12">
        <f t="shared" si="8"/>
        <v>3.5825540353300593</v>
      </c>
    </row>
    <row r="573" spans="2:7" ht="15" customHeight="1" x14ac:dyDescent="0.3">
      <c r="C573" s="3"/>
      <c r="D573" s="8">
        <v>2024</v>
      </c>
      <c r="E573" s="14">
        <f>Data!I573</f>
        <v>1528209000000</v>
      </c>
      <c r="F573" s="14">
        <f>Data!K573</f>
        <v>500794000000</v>
      </c>
      <c r="G573" s="12">
        <f t="shared" si="8"/>
        <v>3.0515721034996424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Data!I574</f>
        <v>0</v>
      </c>
      <c r="F574" s="14">
        <f>Data!K574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Data!I575</f>
        <v>0</v>
      </c>
      <c r="F575" s="14">
        <f>Data!K575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Data!I576</f>
        <v>54215523000000</v>
      </c>
      <c r="F576" s="14">
        <f>Data!K576</f>
        <v>6557750000000</v>
      </c>
      <c r="G576" s="12">
        <f t="shared" si="8"/>
        <v>8.2673970492928213</v>
      </c>
    </row>
    <row r="577" spans="2:7" ht="15" customHeight="1" x14ac:dyDescent="0.3">
      <c r="C577" s="3"/>
      <c r="D577" s="8">
        <v>2017</v>
      </c>
      <c r="E577" s="14">
        <f>Data!I577</f>
        <v>65472980000000</v>
      </c>
      <c r="F577" s="14">
        <f>Data!K577</f>
        <v>6284722000000</v>
      </c>
      <c r="G577" s="12">
        <f t="shared" si="8"/>
        <v>10.417800500960901</v>
      </c>
    </row>
    <row r="578" spans="2:7" ht="15" customHeight="1" x14ac:dyDescent="0.3">
      <c r="C578" s="3"/>
      <c r="D578" s="8">
        <v>2018</v>
      </c>
      <c r="E578" s="14">
        <f>Data!I578</f>
        <v>64175512000000</v>
      </c>
      <c r="F578" s="14">
        <f>Data!K578</f>
        <v>5592468000000</v>
      </c>
      <c r="G578" s="12">
        <f t="shared" si="8"/>
        <v>11.475347199125681</v>
      </c>
    </row>
    <row r="579" spans="2:7" ht="15" customHeight="1" x14ac:dyDescent="0.3">
      <c r="C579" s="3"/>
      <c r="D579" s="8">
        <v>2019</v>
      </c>
      <c r="E579" s="14">
        <f>Data!I579</f>
        <v>66178403000000</v>
      </c>
      <c r="F579" s="14">
        <f>Data!K579</f>
        <v>5440730000000</v>
      </c>
      <c r="G579" s="12">
        <f t="shared" ref="G579:G642" si="9">IFERROR(E579/F579,0)</f>
        <v>12.163515373856082</v>
      </c>
    </row>
    <row r="580" spans="2:7" ht="15" customHeight="1" x14ac:dyDescent="0.3">
      <c r="C580" s="3"/>
      <c r="D580" s="8">
        <v>2020</v>
      </c>
      <c r="E580" s="14">
        <f>Data!I580</f>
        <v>62024901000000</v>
      </c>
      <c r="F580" s="14">
        <f>Data!K580</f>
        <v>5371808000000</v>
      </c>
      <c r="G580" s="12">
        <f t="shared" si="9"/>
        <v>11.546373399793888</v>
      </c>
    </row>
    <row r="581" spans="2:7" ht="15" customHeight="1" x14ac:dyDescent="0.3">
      <c r="C581" s="3"/>
      <c r="D581" s="8">
        <v>2021</v>
      </c>
      <c r="E581" s="14">
        <f>Data!I581</f>
        <v>59445139000000</v>
      </c>
      <c r="F581" s="14">
        <f>Data!K581</f>
        <v>4958258000000</v>
      </c>
      <c r="G581" s="12">
        <f t="shared" si="9"/>
        <v>11.989117750629354</v>
      </c>
    </row>
    <row r="582" spans="2:7" ht="15" customHeight="1" x14ac:dyDescent="0.3">
      <c r="C582" s="3"/>
      <c r="D582" s="8">
        <v>2022</v>
      </c>
      <c r="E582" s="14">
        <f>Data!I582</f>
        <v>55627695000000</v>
      </c>
      <c r="F582" s="14">
        <f>Data!K582</f>
        <v>5699419000000</v>
      </c>
      <c r="G582" s="12">
        <f t="shared" si="9"/>
        <v>9.7602395963518394</v>
      </c>
    </row>
    <row r="583" spans="2:7" ht="15" customHeight="1" x14ac:dyDescent="0.3">
      <c r="C583" s="3"/>
      <c r="D583" s="8">
        <v>2023</v>
      </c>
      <c r="E583" s="14">
        <f>Data!I583</f>
        <v>54070771000000</v>
      </c>
      <c r="F583" s="14">
        <f>Data!K583</f>
        <v>6151455000000</v>
      </c>
      <c r="G583" s="12">
        <f t="shared" si="9"/>
        <v>8.7899157191266131</v>
      </c>
    </row>
    <row r="584" spans="2:7" ht="15" customHeight="1" x14ac:dyDescent="0.3">
      <c r="C584" s="3"/>
      <c r="D584" s="8">
        <v>2024</v>
      </c>
      <c r="E584" s="14">
        <f>Data!I584</f>
        <v>50954919000000</v>
      </c>
      <c r="F584" s="14">
        <f>Data!K584</f>
        <v>6605104000000</v>
      </c>
      <c r="G584" s="12">
        <f t="shared" si="9"/>
        <v>7.7144764109694561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Data!I585</f>
        <v>0</v>
      </c>
      <c r="F585" s="14">
        <f>Data!K585</f>
        <v>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Data!I586</f>
        <v>0</v>
      </c>
      <c r="F586" s="14">
        <f>Data!K586</f>
        <v>0</v>
      </c>
      <c r="G586" s="12">
        <f t="shared" si="9"/>
        <v>0</v>
      </c>
    </row>
    <row r="587" spans="2:7" ht="15" customHeight="1" x14ac:dyDescent="0.3">
      <c r="C587" s="4"/>
      <c r="D587" s="8">
        <v>2016</v>
      </c>
      <c r="E587" s="14">
        <f>Data!I587</f>
        <v>0</v>
      </c>
      <c r="F587" s="14">
        <f>Data!K587</f>
        <v>0</v>
      </c>
      <c r="G587" s="12">
        <f t="shared" si="9"/>
        <v>0</v>
      </c>
    </row>
    <row r="588" spans="2:7" ht="15" customHeight="1" x14ac:dyDescent="0.3">
      <c r="C588" s="4"/>
      <c r="D588" s="8">
        <v>2017</v>
      </c>
      <c r="E588" s="14">
        <f>Data!I588</f>
        <v>0</v>
      </c>
      <c r="F588" s="14">
        <f>Data!K588</f>
        <v>0</v>
      </c>
      <c r="G588" s="12">
        <f t="shared" si="9"/>
        <v>0</v>
      </c>
    </row>
    <row r="589" spans="2:7" ht="15" customHeight="1" x14ac:dyDescent="0.3">
      <c r="C589" s="4"/>
      <c r="D589" s="8">
        <v>2018</v>
      </c>
      <c r="E589" s="14">
        <f>Data!I589</f>
        <v>0</v>
      </c>
      <c r="F589" s="14">
        <f>Data!K589</f>
        <v>0</v>
      </c>
      <c r="G589" s="12">
        <f t="shared" si="9"/>
        <v>0</v>
      </c>
    </row>
    <row r="590" spans="2:7" ht="15" customHeight="1" x14ac:dyDescent="0.3">
      <c r="C590" s="4"/>
      <c r="D590" s="8">
        <v>2019</v>
      </c>
      <c r="E590" s="14">
        <f>Data!I590</f>
        <v>0</v>
      </c>
      <c r="F590" s="14">
        <f>Data!K590</f>
        <v>0</v>
      </c>
      <c r="G590" s="12">
        <f t="shared" si="9"/>
        <v>0</v>
      </c>
    </row>
    <row r="591" spans="2:7" ht="15" customHeight="1" x14ac:dyDescent="0.3">
      <c r="C591" s="4"/>
      <c r="D591" s="8">
        <v>2020</v>
      </c>
      <c r="E591" s="14">
        <f>Data!I591</f>
        <v>0</v>
      </c>
      <c r="F591" s="14">
        <f>Data!K591</f>
        <v>0</v>
      </c>
      <c r="G591" s="12">
        <f t="shared" si="9"/>
        <v>0</v>
      </c>
    </row>
    <row r="592" spans="2:7" ht="15" customHeight="1" x14ac:dyDescent="0.3">
      <c r="C592" s="4"/>
      <c r="D592" s="8">
        <v>2021</v>
      </c>
      <c r="E592" s="14">
        <f>Data!I592</f>
        <v>402000000</v>
      </c>
      <c r="F592" s="14">
        <f>Data!K592</f>
        <v>100606000000</v>
      </c>
      <c r="G592" s="12">
        <f t="shared" si="9"/>
        <v>3.9957855396298434E-3</v>
      </c>
    </row>
    <row r="593" spans="2:7" ht="15" customHeight="1" x14ac:dyDescent="0.3">
      <c r="C593" s="4"/>
      <c r="D593" s="8">
        <v>2022</v>
      </c>
      <c r="E593" s="14">
        <f>Data!I593</f>
        <v>1441321000000</v>
      </c>
      <c r="F593" s="14">
        <f>Data!K593</f>
        <v>491084000000</v>
      </c>
      <c r="G593" s="12">
        <f t="shared" si="9"/>
        <v>2.9349785372767183</v>
      </c>
    </row>
    <row r="594" spans="2:7" ht="15" customHeight="1" x14ac:dyDescent="0.3">
      <c r="C594" s="4"/>
      <c r="D594" s="8">
        <v>2023</v>
      </c>
      <c r="E594" s="14">
        <f>Data!I594</f>
        <v>1722952000000</v>
      </c>
      <c r="F594" s="14">
        <f>Data!K594</f>
        <v>722768000000</v>
      </c>
      <c r="G594" s="12">
        <f t="shared" si="9"/>
        <v>2.3838244083855402</v>
      </c>
    </row>
    <row r="595" spans="2:7" ht="15" customHeight="1" x14ac:dyDescent="0.3">
      <c r="C595" s="4"/>
      <c r="D595" s="8">
        <v>2024</v>
      </c>
      <c r="E595" s="14">
        <f>Data!I595</f>
        <v>2107312000000</v>
      </c>
      <c r="F595" s="14">
        <f>Data!K595</f>
        <v>785244000000</v>
      </c>
      <c r="G595" s="12">
        <f t="shared" si="9"/>
        <v>2.6836397349104226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>
        <f>Data!I596</f>
        <v>0</v>
      </c>
      <c r="F596" s="14">
        <f>Data!K596</f>
        <v>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>
        <f>Data!I597</f>
        <v>4994243000000</v>
      </c>
      <c r="F597" s="14">
        <f>Data!K597</f>
        <v>1066111000000</v>
      </c>
      <c r="G597" s="12">
        <f t="shared" si="9"/>
        <v>4.6845431667059056</v>
      </c>
    </row>
    <row r="598" spans="2:7" ht="15" customHeight="1" x14ac:dyDescent="0.3">
      <c r="C598" s="3"/>
      <c r="D598" s="8">
        <v>2016</v>
      </c>
      <c r="E598" s="14">
        <f>Data!I598</f>
        <v>8329631000000</v>
      </c>
      <c r="F598" s="14">
        <f>Data!K598</f>
        <v>1288588000000</v>
      </c>
      <c r="G598" s="12">
        <f t="shared" si="9"/>
        <v>6.4641537869357775</v>
      </c>
    </row>
    <row r="599" spans="2:7" ht="15" customHeight="1" x14ac:dyDescent="0.3">
      <c r="C599" s="3"/>
      <c r="D599" s="8">
        <v>2017</v>
      </c>
      <c r="E599" s="14">
        <f>Data!I599</f>
        <v>10191827000000</v>
      </c>
      <c r="F599" s="14">
        <f>Data!K599</f>
        <v>1550979000000</v>
      </c>
      <c r="G599" s="12">
        <f t="shared" si="9"/>
        <v>6.5712217895922507</v>
      </c>
    </row>
    <row r="600" spans="2:7" ht="15" customHeight="1" x14ac:dyDescent="0.3">
      <c r="C600" s="3"/>
      <c r="D600" s="8">
        <v>2018</v>
      </c>
      <c r="E600" s="14">
        <f>Data!I600</f>
        <v>10500179000000</v>
      </c>
      <c r="F600" s="14">
        <f>Data!K600</f>
        <v>1495844000000</v>
      </c>
      <c r="G600" s="12">
        <f t="shared" si="9"/>
        <v>7.0195682170065865</v>
      </c>
    </row>
    <row r="601" spans="2:7" ht="15" customHeight="1" x14ac:dyDescent="0.3">
      <c r="C601" s="3"/>
      <c r="D601" s="8">
        <v>2019</v>
      </c>
      <c r="E601" s="14">
        <f>Data!I601</f>
        <v>12002435000000</v>
      </c>
      <c r="F601" s="14">
        <f>Data!K601</f>
        <v>1384284000000</v>
      </c>
      <c r="G601" s="12">
        <f t="shared" si="9"/>
        <v>8.6705004175443765</v>
      </c>
    </row>
    <row r="602" spans="2:7" ht="15" customHeight="1" x14ac:dyDescent="0.3">
      <c r="C602" s="3"/>
      <c r="D602" s="8">
        <v>2020</v>
      </c>
      <c r="E602" s="14">
        <f>Data!I602</f>
        <v>13324758000000</v>
      </c>
      <c r="F602" s="14">
        <f>Data!K602</f>
        <v>1121514000000</v>
      </c>
      <c r="G602" s="12">
        <f t="shared" si="9"/>
        <v>11.881044730605236</v>
      </c>
    </row>
    <row r="603" spans="2:7" ht="15" customHeight="1" x14ac:dyDescent="0.3">
      <c r="C603" s="3"/>
      <c r="D603" s="8">
        <v>2021</v>
      </c>
      <c r="E603" s="14">
        <f>Data!I603</f>
        <v>14152151000000</v>
      </c>
      <c r="F603" s="14">
        <f>Data!K603</f>
        <v>1237305000000</v>
      </c>
      <c r="G603" s="12">
        <f t="shared" si="9"/>
        <v>11.437883949390004</v>
      </c>
    </row>
    <row r="604" spans="2:7" ht="15" customHeight="1" x14ac:dyDescent="0.3">
      <c r="C604" s="3"/>
      <c r="D604" s="8">
        <v>2022</v>
      </c>
      <c r="E604" s="14">
        <f>Data!I604</f>
        <v>13701913000000</v>
      </c>
      <c r="F604" s="14">
        <f>Data!K604</f>
        <v>7234540000000</v>
      </c>
      <c r="G604" s="12">
        <f t="shared" si="9"/>
        <v>1.8939577360827364</v>
      </c>
    </row>
    <row r="605" spans="2:7" ht="15" customHeight="1" x14ac:dyDescent="0.3">
      <c r="C605" s="3"/>
      <c r="D605" s="8">
        <v>2023</v>
      </c>
      <c r="E605" s="14">
        <f>Data!I605</f>
        <v>12752277000000</v>
      </c>
      <c r="F605" s="14">
        <f>Data!K605</f>
        <v>7055589000000</v>
      </c>
      <c r="G605" s="12">
        <f t="shared" si="9"/>
        <v>1.8074007712183915</v>
      </c>
    </row>
    <row r="606" spans="2:7" ht="15" customHeight="1" x14ac:dyDescent="0.3">
      <c r="C606" s="3"/>
      <c r="D606" s="8">
        <v>2024</v>
      </c>
      <c r="E606" s="14">
        <f>Data!I606</f>
        <v>11478728000000</v>
      </c>
      <c r="F606" s="14">
        <f>Data!K606</f>
        <v>7077686000000</v>
      </c>
      <c r="G606" s="12">
        <f t="shared" si="9"/>
        <v>1.6218193347373704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Data!I607</f>
        <v>0</v>
      </c>
      <c r="F607" s="14">
        <f>Data!K607</f>
        <v>0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Data!I608</f>
        <v>302295000000</v>
      </c>
      <c r="F608" s="14">
        <f>Data!K608</f>
        <v>489233000000</v>
      </c>
      <c r="G608" s="12">
        <f t="shared" si="9"/>
        <v>0.61789576745640629</v>
      </c>
    </row>
    <row r="609" spans="2:7" ht="15" customHeight="1" x14ac:dyDescent="0.3">
      <c r="C609" s="3"/>
      <c r="D609" s="8">
        <v>2016</v>
      </c>
      <c r="E609" s="14">
        <f>Data!I609</f>
        <v>578596000000</v>
      </c>
      <c r="F609" s="14">
        <f>Data!K609</f>
        <v>614267000000</v>
      </c>
      <c r="G609" s="12">
        <f t="shared" si="9"/>
        <v>0.94192916109769853</v>
      </c>
    </row>
    <row r="610" spans="2:7" ht="15" customHeight="1" x14ac:dyDescent="0.3">
      <c r="C610" s="3"/>
      <c r="D610" s="8">
        <v>2017</v>
      </c>
      <c r="E610" s="14">
        <f>Data!I610</f>
        <v>838485000000</v>
      </c>
      <c r="F610" s="14">
        <f>Data!K610</f>
        <v>1461947000000</v>
      </c>
      <c r="G610" s="12">
        <f t="shared" si="9"/>
        <v>0.57353994365048799</v>
      </c>
    </row>
    <row r="611" spans="2:7" ht="15" customHeight="1" x14ac:dyDescent="0.3">
      <c r="C611" s="3"/>
      <c r="D611" s="8">
        <v>2018</v>
      </c>
      <c r="E611" s="14">
        <f>Data!I611</f>
        <v>1053155000000</v>
      </c>
      <c r="F611" s="14">
        <f>Data!K611</f>
        <v>1311548000000</v>
      </c>
      <c r="G611" s="12">
        <f t="shared" si="9"/>
        <v>0.80298624221149362</v>
      </c>
    </row>
    <row r="612" spans="2:7" ht="15" customHeight="1" x14ac:dyDescent="0.3">
      <c r="C612" s="3"/>
      <c r="D612" s="8">
        <v>2019</v>
      </c>
      <c r="E612" s="14">
        <f>Data!I612</f>
        <v>1296816000000</v>
      </c>
      <c r="F612" s="14">
        <f>Data!K612</f>
        <v>1157517000000</v>
      </c>
      <c r="G612" s="12">
        <f t="shared" si="9"/>
        <v>1.1203429409676056</v>
      </c>
    </row>
    <row r="613" spans="2:7" ht="15" customHeight="1" x14ac:dyDescent="0.3">
      <c r="C613" s="3"/>
      <c r="D613" s="8">
        <v>2020</v>
      </c>
      <c r="E613" s="14">
        <f>Data!I613</f>
        <v>1440826000000</v>
      </c>
      <c r="F613" s="14">
        <f>Data!K613</f>
        <v>1054658000000</v>
      </c>
      <c r="G613" s="12">
        <f t="shared" si="9"/>
        <v>1.366154715557081</v>
      </c>
    </row>
    <row r="614" spans="2:7" ht="15" customHeight="1" x14ac:dyDescent="0.3">
      <c r="C614" s="3"/>
      <c r="D614" s="8">
        <v>2021</v>
      </c>
      <c r="E614" s="14">
        <f>Data!I614</f>
        <v>1506170000000</v>
      </c>
      <c r="F614" s="14">
        <f>Data!K614</f>
        <v>861140000000</v>
      </c>
      <c r="G614" s="12">
        <f t="shared" si="9"/>
        <v>1.7490419676243119</v>
      </c>
    </row>
    <row r="615" spans="2:7" ht="15" customHeight="1" x14ac:dyDescent="0.3">
      <c r="C615" s="3"/>
      <c r="D615" s="8">
        <v>2022</v>
      </c>
      <c r="E615" s="14">
        <f>Data!I615</f>
        <v>1559745000000</v>
      </c>
      <c r="F615" s="14">
        <f>Data!K615</f>
        <v>690847000000</v>
      </c>
      <c r="G615" s="12">
        <f t="shared" si="9"/>
        <v>2.2577285563952656</v>
      </c>
    </row>
    <row r="616" spans="2:7" ht="15" customHeight="1" x14ac:dyDescent="0.3">
      <c r="C616" s="3"/>
      <c r="D616" s="8">
        <v>2023</v>
      </c>
      <c r="E616" s="14">
        <f>Data!I616</f>
        <v>1548212000000</v>
      </c>
      <c r="F616" s="14">
        <f>Data!K616</f>
        <v>493513000000</v>
      </c>
      <c r="G616" s="12">
        <f t="shared" si="9"/>
        <v>3.1371250605353862</v>
      </c>
    </row>
    <row r="617" spans="2:7" ht="15" customHeight="1" x14ac:dyDescent="0.3">
      <c r="C617" s="3"/>
      <c r="D617" s="8">
        <v>2024</v>
      </c>
      <c r="E617" s="14">
        <f>Data!I617</f>
        <v>1544940000000</v>
      </c>
      <c r="F617" s="14">
        <f>Data!K617</f>
        <v>312893000000</v>
      </c>
      <c r="G617" s="12">
        <f t="shared" si="9"/>
        <v>4.9375984761563858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Data!I618</f>
        <v>0</v>
      </c>
      <c r="F618" s="14">
        <f>Data!K618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Data!I619</f>
        <v>0</v>
      </c>
      <c r="F619" s="14">
        <f>Data!K619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Data!I620</f>
        <v>0</v>
      </c>
      <c r="F620" s="14">
        <f>Data!K620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Data!I621</f>
        <v>27813000000</v>
      </c>
      <c r="F621" s="14">
        <f>Data!K621</f>
        <v>170950000000</v>
      </c>
      <c r="G621" s="12">
        <f t="shared" si="9"/>
        <v>0.16269669494004094</v>
      </c>
    </row>
    <row r="622" spans="2:7" ht="15" customHeight="1" x14ac:dyDescent="0.3">
      <c r="C622" s="3"/>
      <c r="D622" s="8">
        <v>2018</v>
      </c>
      <c r="E622" s="14">
        <f>Data!I622</f>
        <v>249155000000</v>
      </c>
      <c r="F622" s="14">
        <f>Data!K622</f>
        <v>162845000000</v>
      </c>
      <c r="G622" s="12">
        <f t="shared" si="9"/>
        <v>1.5300132027388007</v>
      </c>
    </row>
    <row r="623" spans="2:7" ht="15" customHeight="1" x14ac:dyDescent="0.3">
      <c r="C623" s="3"/>
      <c r="D623" s="8">
        <v>2019</v>
      </c>
      <c r="E623" s="14">
        <f>Data!I623</f>
        <v>232698000000</v>
      </c>
      <c r="F623" s="14">
        <f>Data!K623</f>
        <v>188614000000</v>
      </c>
      <c r="G623" s="12">
        <f t="shared" si="9"/>
        <v>1.2337260224585662</v>
      </c>
    </row>
    <row r="624" spans="2:7" ht="15" customHeight="1" x14ac:dyDescent="0.3">
      <c r="C624" s="3"/>
      <c r="D624" s="8">
        <v>2020</v>
      </c>
      <c r="E624" s="14">
        <f>Data!I624</f>
        <v>92098000000</v>
      </c>
      <c r="F624" s="14">
        <f>Data!K624</f>
        <v>175149000000</v>
      </c>
      <c r="G624" s="12">
        <f t="shared" si="9"/>
        <v>0.52582658193880638</v>
      </c>
    </row>
    <row r="625" spans="1:7" ht="15" customHeight="1" x14ac:dyDescent="0.3">
      <c r="C625" s="3"/>
      <c r="D625" s="8">
        <v>2021</v>
      </c>
      <c r="E625" s="14">
        <f>Data!I625</f>
        <v>221034000000</v>
      </c>
      <c r="F625" s="14">
        <f>Data!K625</f>
        <v>262951000000</v>
      </c>
      <c r="G625" s="12">
        <f t="shared" si="9"/>
        <v>0.84059007191453916</v>
      </c>
    </row>
    <row r="626" spans="1:7" ht="15" customHeight="1" x14ac:dyDescent="0.3">
      <c r="C626" s="3"/>
      <c r="D626" s="8">
        <v>2022</v>
      </c>
      <c r="E626" s="14">
        <f>Data!I626</f>
        <v>211147000000</v>
      </c>
      <c r="F626" s="14">
        <f>Data!K626</f>
        <v>155341000000</v>
      </c>
      <c r="G626" s="12">
        <f t="shared" si="9"/>
        <v>1.3592483632782073</v>
      </c>
    </row>
    <row r="627" spans="1:7" ht="15" customHeight="1" x14ac:dyDescent="0.3">
      <c r="C627" s="3"/>
      <c r="D627" s="8">
        <v>2023</v>
      </c>
      <c r="E627" s="14">
        <f>Data!I627</f>
        <v>22046000000</v>
      </c>
      <c r="F627" s="14">
        <f>Data!K627</f>
        <v>126164000000</v>
      </c>
      <c r="G627" s="12">
        <f t="shared" si="9"/>
        <v>0.1747408135442757</v>
      </c>
    </row>
    <row r="628" spans="1:7" ht="15" customHeight="1" x14ac:dyDescent="0.3">
      <c r="C628" s="3"/>
      <c r="D628" s="8">
        <v>2024</v>
      </c>
      <c r="E628" s="14">
        <f>Data!I628</f>
        <v>46736000000</v>
      </c>
      <c r="F628" s="14">
        <f>Data!K628</f>
        <v>132651000000</v>
      </c>
      <c r="G628" s="12">
        <f t="shared" si="9"/>
        <v>0.35232301301912539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Data!I629</f>
        <v>0</v>
      </c>
      <c r="F629" s="14">
        <f>Data!K629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Data!I630</f>
        <v>0</v>
      </c>
      <c r="F630" s="14">
        <f>Data!K630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Data!I631</f>
        <v>0</v>
      </c>
      <c r="F631" s="14">
        <f>Data!K631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Data!I632</f>
        <v>0</v>
      </c>
      <c r="F632" s="14">
        <f>Data!K632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Data!I633</f>
        <v>0</v>
      </c>
      <c r="F633" s="14">
        <f>Data!K633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Data!I634</f>
        <v>0</v>
      </c>
      <c r="F634" s="14">
        <f>Data!K634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Data!I635</f>
        <v>1238970000000</v>
      </c>
      <c r="F635" s="14">
        <f>Data!K635</f>
        <v>418031000000</v>
      </c>
      <c r="G635" s="12">
        <f t="shared" si="9"/>
        <v>2.9638232571268639</v>
      </c>
    </row>
    <row r="636" spans="1:7" ht="15" customHeight="1" x14ac:dyDescent="0.3">
      <c r="C636" s="4"/>
      <c r="D636" s="8">
        <v>2021</v>
      </c>
      <c r="E636" s="14">
        <f>Data!I636</f>
        <v>1456771000000</v>
      </c>
      <c r="F636" s="14">
        <f>Data!K636</f>
        <v>249530000000</v>
      </c>
      <c r="G636" s="12">
        <f t="shared" si="9"/>
        <v>5.8380595519576808</v>
      </c>
    </row>
    <row r="637" spans="1:7" ht="15" customHeight="1" x14ac:dyDescent="0.3">
      <c r="C637" s="4"/>
      <c r="D637" s="8">
        <v>2022</v>
      </c>
      <c r="E637" s="14">
        <f>Data!I637</f>
        <v>1692392000000</v>
      </c>
      <c r="F637" s="14">
        <f>Data!K637</f>
        <v>357636000000</v>
      </c>
      <c r="G637" s="12">
        <f t="shared" si="9"/>
        <v>4.7321634287375991</v>
      </c>
    </row>
    <row r="638" spans="1:7" ht="15" customHeight="1" x14ac:dyDescent="0.3">
      <c r="C638" s="4"/>
      <c r="D638" s="8">
        <v>2023</v>
      </c>
      <c r="E638" s="14">
        <f>Data!I638</f>
        <v>1931437000000</v>
      </c>
      <c r="F638" s="14">
        <f>Data!K638</f>
        <v>247025000000</v>
      </c>
      <c r="G638" s="12">
        <f t="shared" si="9"/>
        <v>7.8187916202813481</v>
      </c>
    </row>
    <row r="639" spans="1:7" ht="15" customHeight="1" x14ac:dyDescent="0.3">
      <c r="C639" s="4"/>
      <c r="D639" s="8">
        <v>2024</v>
      </c>
      <c r="E639" s="14">
        <f>Data!I639</f>
        <v>2058022000000</v>
      </c>
      <c r="F639" s="14">
        <f>Data!K639</f>
        <v>289762000000</v>
      </c>
      <c r="G639" s="12">
        <f t="shared" si="9"/>
        <v>7.1024564987817591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Data!I640</f>
        <v>0</v>
      </c>
      <c r="F640" s="14">
        <f>Data!K640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Data!I641</f>
        <v>0</v>
      </c>
      <c r="F641" s="14">
        <f>Data!K641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Data!I642</f>
        <v>0</v>
      </c>
      <c r="F642" s="14">
        <f>Data!K642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Data!I643</f>
        <v>0</v>
      </c>
      <c r="F643" s="14">
        <f>Data!K643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Data!I644</f>
        <v>0</v>
      </c>
      <c r="F644" s="14">
        <f>Data!K644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Data!I645</f>
        <v>836701000000</v>
      </c>
      <c r="F645" s="14">
        <f>Data!K645</f>
        <v>386100000000</v>
      </c>
      <c r="G645" s="12">
        <f t="shared" si="10"/>
        <v>2.1670577570577572</v>
      </c>
    </row>
    <row r="646" spans="2:7" ht="15" customHeight="1" x14ac:dyDescent="0.3">
      <c r="C646" s="2"/>
      <c r="D646" s="8">
        <v>2020</v>
      </c>
      <c r="E646" s="14">
        <f>Data!I646</f>
        <v>764761000000</v>
      </c>
      <c r="F646" s="14">
        <f>Data!K646</f>
        <v>388974000000</v>
      </c>
      <c r="G646" s="12">
        <f t="shared" si="10"/>
        <v>1.9660979911253709</v>
      </c>
    </row>
    <row r="647" spans="2:7" ht="15" customHeight="1" x14ac:dyDescent="0.3">
      <c r="C647" s="2"/>
      <c r="D647" s="8">
        <v>2021</v>
      </c>
      <c r="E647" s="14">
        <f>Data!I647</f>
        <v>760574000000</v>
      </c>
      <c r="F647" s="14">
        <f>Data!K647</f>
        <v>384789000000</v>
      </c>
      <c r="G647" s="12">
        <f t="shared" si="10"/>
        <v>1.9766001626865632</v>
      </c>
    </row>
    <row r="648" spans="2:7" ht="15" customHeight="1" x14ac:dyDescent="0.3">
      <c r="C648" s="2"/>
      <c r="D648" s="8">
        <v>2022</v>
      </c>
      <c r="E648" s="14">
        <f>Data!I648</f>
        <v>809235000000</v>
      </c>
      <c r="F648" s="14">
        <f>Data!K648</f>
        <v>391666000000</v>
      </c>
      <c r="G648" s="12">
        <f t="shared" si="10"/>
        <v>2.0661354317198839</v>
      </c>
    </row>
    <row r="649" spans="2:7" ht="15" customHeight="1" x14ac:dyDescent="0.3">
      <c r="C649" s="2"/>
      <c r="D649" s="8">
        <v>2023</v>
      </c>
      <c r="E649" s="14">
        <f>Data!I649</f>
        <v>782248000000</v>
      </c>
      <c r="F649" s="14">
        <f>Data!K649</f>
        <v>447003000000</v>
      </c>
      <c r="G649" s="12">
        <f t="shared" si="10"/>
        <v>1.7499837808694796</v>
      </c>
    </row>
    <row r="650" spans="2:7" ht="15" customHeight="1" x14ac:dyDescent="0.3">
      <c r="C650" s="2"/>
      <c r="D650" s="8">
        <v>2024</v>
      </c>
      <c r="E650" s="14">
        <f>Data!I650</f>
        <v>861055000000</v>
      </c>
      <c r="F650" s="14">
        <f>Data!K650</f>
        <v>599463000000</v>
      </c>
      <c r="G650" s="12">
        <f t="shared" si="10"/>
        <v>1.4363772242823993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Data!I651</f>
        <v>0</v>
      </c>
      <c r="F651" s="14">
        <f>Data!K651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Data!I652</f>
        <v>0</v>
      </c>
      <c r="F652" s="14">
        <f>Data!K652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Data!I653</f>
        <v>0</v>
      </c>
      <c r="F653" s="14">
        <f>Data!K653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Data!I654</f>
        <v>0</v>
      </c>
      <c r="F654" s="14">
        <f>Data!K654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Data!I655</f>
        <v>0</v>
      </c>
      <c r="F655" s="14">
        <f>Data!K655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Data!I656</f>
        <v>0</v>
      </c>
      <c r="F656" s="14">
        <f>Data!K656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Data!I657</f>
        <v>200258000000</v>
      </c>
      <c r="F657" s="14">
        <f>Data!K657</f>
        <v>226442000000</v>
      </c>
      <c r="G657" s="12">
        <f t="shared" si="10"/>
        <v>0.88436774096678183</v>
      </c>
    </row>
    <row r="658" spans="2:7" ht="15" customHeight="1" x14ac:dyDescent="0.3">
      <c r="C658" s="2"/>
      <c r="D658" s="8">
        <v>2021</v>
      </c>
      <c r="E658" s="14">
        <f>Data!I658</f>
        <v>400530000000</v>
      </c>
      <c r="F658" s="14">
        <f>Data!K658</f>
        <v>187468000000</v>
      </c>
      <c r="G658" s="12">
        <f t="shared" si="10"/>
        <v>2.1365246335374573</v>
      </c>
    </row>
    <row r="659" spans="2:7" ht="15" customHeight="1" x14ac:dyDescent="0.3">
      <c r="C659" s="2"/>
      <c r="D659" s="8">
        <v>2022</v>
      </c>
      <c r="E659" s="14">
        <f>Data!I659</f>
        <v>400512000000</v>
      </c>
      <c r="F659" s="14">
        <f>Data!K659</f>
        <v>210306000000</v>
      </c>
      <c r="G659" s="12">
        <f t="shared" si="10"/>
        <v>1.9044249807423468</v>
      </c>
    </row>
    <row r="660" spans="2:7" ht="15" customHeight="1" x14ac:dyDescent="0.3">
      <c r="C660" s="2"/>
      <c r="D660" s="8">
        <v>2023</v>
      </c>
      <c r="E660" s="14">
        <f>Data!I660</f>
        <v>376583000000</v>
      </c>
      <c r="F660" s="14">
        <f>Data!K660</f>
        <v>217500000000</v>
      </c>
      <c r="G660" s="12">
        <f t="shared" si="10"/>
        <v>1.7314160919540229</v>
      </c>
    </row>
    <row r="661" spans="2:7" ht="15" customHeight="1" x14ac:dyDescent="0.3">
      <c r="C661" s="2"/>
      <c r="D661" s="8">
        <v>2024</v>
      </c>
      <c r="E661" s="14">
        <f>Data!I661</f>
        <v>420720000000</v>
      </c>
      <c r="F661" s="14">
        <f>Data!K661</f>
        <v>262366000000</v>
      </c>
      <c r="G661" s="12">
        <f t="shared" si="10"/>
        <v>1.6035614370764504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Data!I662</f>
        <v>0</v>
      </c>
      <c r="F662" s="14">
        <f>Data!K662</f>
        <v>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Data!I663</f>
        <v>1685896000000</v>
      </c>
      <c r="F663" s="14">
        <f>Data!K663</f>
        <v>451915000000</v>
      </c>
      <c r="G663" s="12">
        <f t="shared" si="10"/>
        <v>3.7305599504331566</v>
      </c>
    </row>
    <row r="664" spans="2:7" ht="15" customHeight="1" x14ac:dyDescent="0.3">
      <c r="C664" s="2"/>
      <c r="D664" s="8">
        <v>2016</v>
      </c>
      <c r="E664" s="14">
        <f>Data!I664</f>
        <v>1480566000000</v>
      </c>
      <c r="F664" s="14">
        <f>Data!K664</f>
        <v>391590000000</v>
      </c>
      <c r="G664" s="12">
        <f t="shared" si="10"/>
        <v>3.7809086033861949</v>
      </c>
    </row>
    <row r="665" spans="2:7" ht="15" customHeight="1" x14ac:dyDescent="0.3">
      <c r="C665" s="2"/>
      <c r="D665" s="8">
        <v>2017</v>
      </c>
      <c r="E665" s="14">
        <f>Data!I665</f>
        <v>1363489000000</v>
      </c>
      <c r="F665" s="14">
        <f>Data!K665</f>
        <v>942004000000</v>
      </c>
      <c r="G665" s="12">
        <f t="shared" si="10"/>
        <v>1.4474344057987014</v>
      </c>
    </row>
    <row r="666" spans="2:7" ht="15" customHeight="1" x14ac:dyDescent="0.3">
      <c r="C666" s="2"/>
      <c r="D666" s="8">
        <v>2018</v>
      </c>
      <c r="E666" s="14">
        <f>Data!I666</f>
        <v>1629372000000</v>
      </c>
      <c r="F666" s="14">
        <f>Data!K666</f>
        <v>911906000000</v>
      </c>
      <c r="G666" s="12">
        <f t="shared" si="10"/>
        <v>1.7867762686066326</v>
      </c>
    </row>
    <row r="667" spans="2:7" ht="15" customHeight="1" x14ac:dyDescent="0.3">
      <c r="C667" s="2"/>
      <c r="D667" s="8">
        <v>2019</v>
      </c>
      <c r="E667" s="14">
        <f>Data!I667</f>
        <v>1486614000000</v>
      </c>
      <c r="F667" s="14">
        <f>Data!K667</f>
        <v>928182000000</v>
      </c>
      <c r="G667" s="12">
        <f t="shared" si="10"/>
        <v>1.6016406265150585</v>
      </c>
    </row>
    <row r="668" spans="2:7" ht="15" customHeight="1" x14ac:dyDescent="0.3">
      <c r="C668" s="2"/>
      <c r="D668" s="8">
        <v>2020</v>
      </c>
      <c r="E668" s="14">
        <f>Data!I668</f>
        <v>1510673000000</v>
      </c>
      <c r="F668" s="14">
        <f>Data!K668</f>
        <v>899031000000</v>
      </c>
      <c r="G668" s="12">
        <f t="shared" si="10"/>
        <v>1.6803347159330435</v>
      </c>
    </row>
    <row r="669" spans="2:7" ht="15" customHeight="1" x14ac:dyDescent="0.3">
      <c r="C669" s="2"/>
      <c r="D669" s="8">
        <v>2021</v>
      </c>
      <c r="E669" s="14">
        <f>Data!I669</f>
        <v>1318945000000</v>
      </c>
      <c r="F669" s="14">
        <f>Data!K669</f>
        <v>856410000000</v>
      </c>
      <c r="G669" s="12">
        <f t="shared" si="10"/>
        <v>1.5400859401454912</v>
      </c>
    </row>
    <row r="670" spans="2:7" ht="15" customHeight="1" x14ac:dyDescent="0.3">
      <c r="C670" s="2"/>
      <c r="D670" s="8">
        <v>2022</v>
      </c>
      <c r="E670" s="14">
        <f>Data!I670</f>
        <v>1181869000000</v>
      </c>
      <c r="F670" s="14">
        <f>Data!K670</f>
        <v>834909000000</v>
      </c>
      <c r="G670" s="12">
        <f t="shared" si="10"/>
        <v>1.4155662473395305</v>
      </c>
    </row>
    <row r="671" spans="2:7" ht="15" customHeight="1" x14ac:dyDescent="0.3">
      <c r="C671" s="2"/>
      <c r="D671" s="8">
        <v>2023</v>
      </c>
      <c r="E671" s="14">
        <f>Data!I671</f>
        <v>1189715000000</v>
      </c>
      <c r="F671" s="14">
        <f>Data!K671</f>
        <v>854359000000</v>
      </c>
      <c r="G671" s="12">
        <f t="shared" si="10"/>
        <v>1.3925235176313471</v>
      </c>
    </row>
    <row r="672" spans="2:7" ht="15" customHeight="1" x14ac:dyDescent="0.3">
      <c r="C672" s="2"/>
      <c r="D672" s="8">
        <v>2024</v>
      </c>
      <c r="E672" s="14">
        <f>Data!I672</f>
        <v>1112875000000</v>
      </c>
      <c r="F672" s="14">
        <f>Data!K672</f>
        <v>872174000000</v>
      </c>
      <c r="G672" s="12">
        <f t="shared" si="10"/>
        <v>1.2759781878386651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Data!I673</f>
        <v>0</v>
      </c>
      <c r="F673" s="14">
        <f>Data!K673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Data!I674</f>
        <v>0</v>
      </c>
      <c r="F674" s="14">
        <f>Data!K674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Data!I675</f>
        <v>0</v>
      </c>
      <c r="F675" s="14">
        <f>Data!K675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Data!I676</f>
        <v>0</v>
      </c>
      <c r="F676" s="14">
        <f>Data!K676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Data!I677</f>
        <v>187058940000</v>
      </c>
      <c r="F677" s="14">
        <f>Data!K677</f>
        <v>154310470000</v>
      </c>
      <c r="G677" s="12">
        <f t="shared" si="10"/>
        <v>1.2122245496368458</v>
      </c>
    </row>
    <row r="678" spans="2:7" ht="15" customHeight="1" x14ac:dyDescent="0.3">
      <c r="C678" s="2"/>
      <c r="D678" s="8">
        <v>2019</v>
      </c>
      <c r="E678" s="14">
        <f>Data!I678</f>
        <v>201400590000</v>
      </c>
      <c r="F678" s="14">
        <f>Data!K678</f>
        <v>168220730000</v>
      </c>
      <c r="G678" s="12">
        <f t="shared" si="10"/>
        <v>1.1972400191106054</v>
      </c>
    </row>
    <row r="679" spans="2:7" ht="15" customHeight="1" x14ac:dyDescent="0.3">
      <c r="C679" s="2"/>
      <c r="D679" s="8">
        <v>2020</v>
      </c>
      <c r="E679" s="14">
        <f>Data!I679</f>
        <v>201597760000</v>
      </c>
      <c r="F679" s="14">
        <f>Data!K679</f>
        <v>186309000000</v>
      </c>
      <c r="G679" s="12">
        <f t="shared" si="10"/>
        <v>1.0820613067538336</v>
      </c>
    </row>
    <row r="680" spans="2:7" ht="15" customHeight="1" x14ac:dyDescent="0.3">
      <c r="C680" s="2"/>
      <c r="D680" s="8">
        <v>2021</v>
      </c>
      <c r="E680" s="14">
        <f>Data!I680</f>
        <v>289225300000</v>
      </c>
      <c r="F680" s="14">
        <f>Data!K680</f>
        <v>207053920000</v>
      </c>
      <c r="G680" s="12">
        <f t="shared" si="10"/>
        <v>1.3968598131346657</v>
      </c>
    </row>
    <row r="681" spans="2:7" ht="15" customHeight="1" x14ac:dyDescent="0.3">
      <c r="C681" s="2"/>
      <c r="D681" s="8">
        <v>2022</v>
      </c>
      <c r="E681" s="14">
        <f>Data!I681</f>
        <v>296077300000</v>
      </c>
      <c r="F681" s="14">
        <f>Data!K681</f>
        <v>220391870000</v>
      </c>
      <c r="G681" s="12">
        <f t="shared" si="10"/>
        <v>1.3434129852430583</v>
      </c>
    </row>
    <row r="682" spans="2:7" ht="15" customHeight="1" x14ac:dyDescent="0.3">
      <c r="C682" s="2"/>
      <c r="D682" s="8">
        <v>2023</v>
      </c>
      <c r="E682" s="14">
        <f>Data!I682</f>
        <v>352472400000</v>
      </c>
      <c r="F682" s="14">
        <f>Data!K682</f>
        <v>243286130000</v>
      </c>
      <c r="G682" s="12">
        <f t="shared" si="10"/>
        <v>1.4487977592475165</v>
      </c>
    </row>
    <row r="683" spans="2:7" ht="15" customHeight="1" x14ac:dyDescent="0.3">
      <c r="C683" s="2"/>
      <c r="D683" s="8">
        <v>2024</v>
      </c>
      <c r="E683" s="14">
        <f>Data!I683</f>
        <v>440863040000</v>
      </c>
      <c r="F683" s="14">
        <f>Data!K683</f>
        <v>256239820000</v>
      </c>
      <c r="G683" s="12">
        <f t="shared" si="10"/>
        <v>1.7205094820937668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Data!I684</f>
        <v>0</v>
      </c>
      <c r="F684" s="14">
        <f>Data!K684</f>
        <v>0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Data!I685</f>
        <v>1500985683943</v>
      </c>
      <c r="F685" s="14">
        <f>Data!K685</f>
        <v>590552561406</v>
      </c>
      <c r="G685" s="12">
        <f t="shared" si="10"/>
        <v>2.5416631508115408</v>
      </c>
    </row>
    <row r="686" spans="2:7" ht="15" customHeight="1" x14ac:dyDescent="0.3">
      <c r="C686" s="2"/>
      <c r="D686" s="8">
        <v>2016</v>
      </c>
      <c r="E686" s="14">
        <f>Data!I686</f>
        <v>1245228027584</v>
      </c>
      <c r="F686" s="14">
        <f>Data!K686</f>
        <v>602078935898</v>
      </c>
      <c r="G686" s="12">
        <f t="shared" si="10"/>
        <v>2.0682139057509858</v>
      </c>
    </row>
    <row r="687" spans="2:7" ht="15" customHeight="1" x14ac:dyDescent="0.3">
      <c r="C687" s="2"/>
      <c r="D687" s="8">
        <v>2017</v>
      </c>
      <c r="E687" s="14">
        <f>Data!I687</f>
        <v>1124423373764</v>
      </c>
      <c r="F687" s="14">
        <f>Data!K687</f>
        <v>434345925596</v>
      </c>
      <c r="G687" s="12">
        <f t="shared" si="10"/>
        <v>2.5887738493715369</v>
      </c>
    </row>
    <row r="688" spans="2:7" ht="15" customHeight="1" x14ac:dyDescent="0.3">
      <c r="C688" s="2"/>
      <c r="D688" s="8">
        <v>2018</v>
      </c>
      <c r="E688" s="14">
        <f>Data!I688</f>
        <v>1065130101641</v>
      </c>
      <c r="F688" s="14">
        <f>Data!K688</f>
        <v>438884324322</v>
      </c>
      <c r="G688" s="12">
        <f t="shared" si="10"/>
        <v>2.4269039530779342</v>
      </c>
    </row>
    <row r="689" spans="2:7" ht="15" customHeight="1" x14ac:dyDescent="0.3">
      <c r="C689" s="2"/>
      <c r="D689" s="8">
        <v>2019</v>
      </c>
      <c r="E689" s="14">
        <f>Data!I689</f>
        <v>1365048977150</v>
      </c>
      <c r="F689" s="14">
        <f>Data!K689</f>
        <v>449275043471</v>
      </c>
      <c r="G689" s="12">
        <f t="shared" si="10"/>
        <v>3.0383369763963124</v>
      </c>
    </row>
    <row r="690" spans="2:7" ht="15" customHeight="1" x14ac:dyDescent="0.3">
      <c r="C690" s="2"/>
      <c r="D690" s="8">
        <v>2020</v>
      </c>
      <c r="E690" s="14">
        <f>Data!I690</f>
        <v>1239034114593</v>
      </c>
      <c r="F690" s="14">
        <f>Data!K690</f>
        <v>457945125009</v>
      </c>
      <c r="G690" s="12">
        <f t="shared" si="10"/>
        <v>2.7056388351522451</v>
      </c>
    </row>
    <row r="691" spans="2:7" ht="15" customHeight="1" x14ac:dyDescent="0.3">
      <c r="C691" s="2"/>
      <c r="D691" s="8">
        <v>2021</v>
      </c>
      <c r="E691" s="14">
        <f>Data!I691</f>
        <v>1219624155934</v>
      </c>
      <c r="F691" s="14">
        <f>Data!K691</f>
        <v>476385727010</v>
      </c>
      <c r="G691" s="12">
        <f t="shared" si="10"/>
        <v>2.5601609930441902</v>
      </c>
    </row>
    <row r="692" spans="2:7" ht="15" customHeight="1" x14ac:dyDescent="0.3">
      <c r="C692" s="2"/>
      <c r="D692" s="8">
        <v>2022</v>
      </c>
      <c r="E692" s="14">
        <f>Data!I692</f>
        <v>1315020713818</v>
      </c>
      <c r="F692" s="14">
        <f>Data!K692</f>
        <v>491914445068</v>
      </c>
      <c r="G692" s="12">
        <f t="shared" si="10"/>
        <v>2.6732711897415768</v>
      </c>
    </row>
    <row r="693" spans="2:7" ht="15" customHeight="1" x14ac:dyDescent="0.3">
      <c r="C693" s="2"/>
      <c r="D693" s="8">
        <v>2023</v>
      </c>
      <c r="E693" s="14">
        <f>Data!I693</f>
        <v>1768069736144</v>
      </c>
      <c r="F693" s="14">
        <f>Data!K693</f>
        <v>466666894432</v>
      </c>
      <c r="G693" s="12">
        <f t="shared" si="10"/>
        <v>3.7887190140110376</v>
      </c>
    </row>
    <row r="694" spans="2:7" ht="15" customHeight="1" x14ac:dyDescent="0.3">
      <c r="C694" s="2"/>
      <c r="D694" s="8">
        <v>2024</v>
      </c>
      <c r="E694" s="14">
        <f>Data!I694</f>
        <v>1766098000000</v>
      </c>
      <c r="F694" s="14">
        <f>Data!K694</f>
        <v>366442000000</v>
      </c>
      <c r="G694" s="12">
        <f t="shared" si="10"/>
        <v>4.8195839996506953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Data!I695</f>
        <v>0</v>
      </c>
      <c r="F695" s="14">
        <f>Data!K695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Data!I696</f>
        <v>0</v>
      </c>
      <c r="F696" s="14">
        <f>Data!K696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Data!I697</f>
        <v>0</v>
      </c>
      <c r="F697" s="14">
        <f>Data!K697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Data!I698</f>
        <v>11439000000</v>
      </c>
      <c r="F698" s="14">
        <f>Data!K698</f>
        <v>100495000000</v>
      </c>
      <c r="G698" s="12">
        <f t="shared" si="10"/>
        <v>0.1138265585352505</v>
      </c>
    </row>
    <row r="699" spans="2:7" ht="15" customHeight="1" x14ac:dyDescent="0.3">
      <c r="C699" s="1"/>
      <c r="D699" s="8">
        <v>2018</v>
      </c>
      <c r="E699" s="14">
        <f>Data!I699</f>
        <v>246438000000</v>
      </c>
      <c r="F699" s="14">
        <f>Data!K699</f>
        <v>214517000000</v>
      </c>
      <c r="G699" s="12">
        <f t="shared" si="10"/>
        <v>1.1488040574872853</v>
      </c>
    </row>
    <row r="700" spans="2:7" ht="15" customHeight="1" x14ac:dyDescent="0.3">
      <c r="C700" s="1"/>
      <c r="D700" s="8">
        <v>2019</v>
      </c>
      <c r="E700" s="14">
        <f>Data!I700</f>
        <v>288105000000</v>
      </c>
      <c r="F700" s="14">
        <f>Data!K700</f>
        <v>224771000000</v>
      </c>
      <c r="G700" s="12">
        <f t="shared" si="10"/>
        <v>1.281771224935601</v>
      </c>
    </row>
    <row r="701" spans="2:7" ht="15" customHeight="1" x14ac:dyDescent="0.3">
      <c r="C701" s="1"/>
      <c r="D701" s="8">
        <v>2020</v>
      </c>
      <c r="E701" s="14">
        <f>Data!I701</f>
        <v>369381000000</v>
      </c>
      <c r="F701" s="14">
        <f>Data!K701</f>
        <v>240113000000</v>
      </c>
      <c r="G701" s="12">
        <f t="shared" si="10"/>
        <v>1.5383631873326309</v>
      </c>
    </row>
    <row r="702" spans="2:7" ht="15" customHeight="1" x14ac:dyDescent="0.3">
      <c r="C702" s="1"/>
      <c r="D702" s="8">
        <v>2021</v>
      </c>
      <c r="E702" s="14">
        <f>Data!I702</f>
        <v>492812000000</v>
      </c>
      <c r="F702" s="14">
        <f>Data!K702</f>
        <v>259262000000</v>
      </c>
      <c r="G702" s="12">
        <f t="shared" si="10"/>
        <v>1.9008261912659781</v>
      </c>
    </row>
    <row r="703" spans="2:7" ht="15" customHeight="1" x14ac:dyDescent="0.3">
      <c r="C703" s="1"/>
      <c r="D703" s="8">
        <v>2022</v>
      </c>
      <c r="E703" s="14">
        <f>Data!I703</f>
        <v>583035000000</v>
      </c>
      <c r="F703" s="14">
        <f>Data!K703</f>
        <v>297572000000</v>
      </c>
      <c r="G703" s="12">
        <f t="shared" si="10"/>
        <v>1.9593073273022998</v>
      </c>
    </row>
    <row r="704" spans="2:7" ht="15" customHeight="1" x14ac:dyDescent="0.3">
      <c r="C704" s="1"/>
      <c r="D704" s="8">
        <v>2023</v>
      </c>
      <c r="E704" s="14">
        <f>Data!I704</f>
        <v>820409000000</v>
      </c>
      <c r="F704" s="14">
        <f>Data!K704</f>
        <v>337181000000</v>
      </c>
      <c r="G704" s="12">
        <f t="shared" si="10"/>
        <v>2.4331412505449594</v>
      </c>
    </row>
    <row r="705" spans="2:7" ht="15" customHeight="1" x14ac:dyDescent="0.3">
      <c r="C705" s="1"/>
      <c r="D705" s="8">
        <v>2024</v>
      </c>
      <c r="E705" s="14">
        <f>Data!I705</f>
        <v>1542453000000</v>
      </c>
      <c r="F705" s="14">
        <f>Data!K705</f>
        <v>337333000000</v>
      </c>
      <c r="G705" s="12">
        <f t="shared" si="10"/>
        <v>4.5724936487091394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Data!I706</f>
        <v>0</v>
      </c>
      <c r="F706" s="14">
        <f>Data!K706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Data!I707</f>
        <v>0</v>
      </c>
      <c r="F707" s="14">
        <f>Data!K707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Data!I708</f>
        <v>0</v>
      </c>
      <c r="F708" s="14">
        <f>Data!K708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Data!I709</f>
        <v>0</v>
      </c>
      <c r="F709" s="14">
        <f>Data!K709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Data!I710</f>
        <v>0</v>
      </c>
      <c r="F710" s="14">
        <f>Data!K710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Data!I711</f>
        <v>0</v>
      </c>
      <c r="F711" s="14">
        <f>Data!K711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Data!I712</f>
        <v>0</v>
      </c>
      <c r="F712" s="14">
        <f>Data!K712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Data!I713</f>
        <v>0</v>
      </c>
      <c r="F713" s="14">
        <f>Data!K713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Data!I714</f>
        <v>9433322174000</v>
      </c>
      <c r="F714" s="14">
        <f>Data!K714</f>
        <v>7171253628000</v>
      </c>
      <c r="G714" s="12">
        <f t="shared" si="11"/>
        <v>1.3154355797942781</v>
      </c>
    </row>
    <row r="715" spans="2:7" ht="15" customHeight="1" x14ac:dyDescent="0.3">
      <c r="C715" s="2"/>
      <c r="D715" s="8">
        <v>2023</v>
      </c>
      <c r="E715" s="14">
        <f>Data!I715</f>
        <v>10626007747000</v>
      </c>
      <c r="F715" s="14">
        <f>Data!K715</f>
        <v>7751873212000</v>
      </c>
      <c r="G715" s="12">
        <f t="shared" si="11"/>
        <v>1.3707664530104546</v>
      </c>
    </row>
    <row r="716" spans="2:7" ht="15" customHeight="1" x14ac:dyDescent="0.3">
      <c r="C716" s="2"/>
      <c r="D716" s="8">
        <v>2024</v>
      </c>
      <c r="E716" s="14">
        <f>Data!I716</f>
        <v>11819625314000</v>
      </c>
      <c r="F716" s="14">
        <f>Data!K716</f>
        <v>8359088765000</v>
      </c>
      <c r="G716" s="12">
        <f t="shared" si="11"/>
        <v>1.413984902695312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Data!I717</f>
        <v>0</v>
      </c>
      <c r="F717" s="14">
        <f>Data!K717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Data!I718</f>
        <v>1470570630031</v>
      </c>
      <c r="F718" s="14">
        <f>Data!K718</f>
        <v>576540204055</v>
      </c>
      <c r="G718" s="12">
        <f t="shared" si="11"/>
        <v>2.5506818426329771</v>
      </c>
    </row>
    <row r="719" spans="2:7" ht="15" customHeight="1" x14ac:dyDescent="0.3">
      <c r="C719" s="2"/>
      <c r="D719" s="8">
        <v>2016</v>
      </c>
      <c r="E719" s="14">
        <f>Data!I719</f>
        <v>1585275000000</v>
      </c>
      <c r="F719" s="14">
        <f>Data!K719</f>
        <v>689345000000</v>
      </c>
      <c r="G719" s="12">
        <f t="shared" si="11"/>
        <v>2.2996830324438418</v>
      </c>
    </row>
    <row r="720" spans="2:7" ht="15" customHeight="1" x14ac:dyDescent="0.3">
      <c r="C720" s="2"/>
      <c r="D720" s="8">
        <v>2017</v>
      </c>
      <c r="E720" s="14">
        <f>Data!I720</f>
        <v>1830348000000</v>
      </c>
      <c r="F720" s="14">
        <f>Data!K720</f>
        <v>813386000000</v>
      </c>
      <c r="G720" s="12">
        <f t="shared" si="11"/>
        <v>2.2502821538605287</v>
      </c>
    </row>
    <row r="721" spans="2:7" ht="15" customHeight="1" x14ac:dyDescent="0.3">
      <c r="C721" s="2"/>
      <c r="D721" s="8">
        <v>2018</v>
      </c>
      <c r="E721" s="14">
        <f>Data!I721</f>
        <v>1759497000000</v>
      </c>
      <c r="F721" s="14">
        <f>Data!K721</f>
        <v>902048000000</v>
      </c>
      <c r="G721" s="12">
        <f t="shared" si="11"/>
        <v>1.9505580634289972</v>
      </c>
    </row>
    <row r="722" spans="2:7" ht="15" customHeight="1" x14ac:dyDescent="0.3">
      <c r="C722" s="2"/>
      <c r="D722" s="8">
        <v>2019</v>
      </c>
      <c r="E722" s="14">
        <f>Data!I722</f>
        <v>2164631000000</v>
      </c>
      <c r="F722" s="14">
        <f>Data!K722</f>
        <v>876030000000</v>
      </c>
      <c r="G722" s="12">
        <f t="shared" si="11"/>
        <v>2.4709553325799343</v>
      </c>
    </row>
    <row r="723" spans="2:7" ht="15" customHeight="1" x14ac:dyDescent="0.3">
      <c r="C723" s="2"/>
      <c r="D723" s="8">
        <v>2020</v>
      </c>
      <c r="E723" s="14">
        <f>Data!I723</f>
        <v>2089872000000</v>
      </c>
      <c r="F723" s="14">
        <f>Data!K723</f>
        <v>907100000000</v>
      </c>
      <c r="G723" s="12">
        <f t="shared" si="11"/>
        <v>2.3039047514055784</v>
      </c>
    </row>
    <row r="724" spans="2:7" ht="15" customHeight="1" x14ac:dyDescent="0.3">
      <c r="C724" s="2"/>
      <c r="D724" s="8">
        <v>2021</v>
      </c>
      <c r="E724" s="14">
        <f>Data!I724</f>
        <v>2137056000000</v>
      </c>
      <c r="F724" s="14">
        <f>Data!K724</f>
        <v>951581000000</v>
      </c>
      <c r="G724" s="12">
        <f t="shared" si="11"/>
        <v>2.2457951556409808</v>
      </c>
    </row>
    <row r="725" spans="2:7" ht="15" customHeight="1" x14ac:dyDescent="0.3">
      <c r="C725" s="2"/>
      <c r="D725" s="8">
        <v>2022</v>
      </c>
      <c r="E725" s="14">
        <f>Data!I725</f>
        <v>2547358000000</v>
      </c>
      <c r="F725" s="14">
        <f>Data!K725</f>
        <v>1002803000000</v>
      </c>
      <c r="G725" s="12">
        <f t="shared" si="11"/>
        <v>2.5402377136885312</v>
      </c>
    </row>
    <row r="726" spans="2:7" ht="15" customHeight="1" x14ac:dyDescent="0.3">
      <c r="C726" s="2"/>
      <c r="D726" s="8">
        <v>2023</v>
      </c>
      <c r="E726" s="14">
        <f>Data!I726</f>
        <v>2781458000000</v>
      </c>
      <c r="F726" s="14">
        <f>Data!K726</f>
        <v>1080977000000</v>
      </c>
      <c r="G726" s="12">
        <f t="shared" si="11"/>
        <v>2.5730963748534892</v>
      </c>
    </row>
    <row r="727" spans="2:7" ht="15" customHeight="1" x14ac:dyDescent="0.3">
      <c r="C727" s="2"/>
      <c r="D727" s="8">
        <v>2024</v>
      </c>
      <c r="E727" s="14">
        <f>Data!I727</f>
        <v>0</v>
      </c>
      <c r="F727" s="14">
        <f>Data!K727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Data!I728</f>
        <v>0</v>
      </c>
      <c r="F728" s="14">
        <f>Data!K728</f>
        <v>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Data!I729</f>
        <v>74919000000</v>
      </c>
      <c r="F729" s="14">
        <f>Data!K729</f>
        <v>105809000000</v>
      </c>
      <c r="G729" s="12">
        <f t="shared" si="11"/>
        <v>0.70805886077743863</v>
      </c>
    </row>
    <row r="730" spans="2:7" ht="15" customHeight="1" x14ac:dyDescent="0.3">
      <c r="C730" s="2"/>
      <c r="D730" s="8">
        <v>2016</v>
      </c>
      <c r="E730" s="14">
        <f>Data!I730</f>
        <v>60594000000</v>
      </c>
      <c r="F730" s="14">
        <f>Data!K730</f>
        <v>111886000000</v>
      </c>
      <c r="G730" s="12">
        <f t="shared" si="11"/>
        <v>0.54156909711670809</v>
      </c>
    </row>
    <row r="731" spans="2:7" ht="15" customHeight="1" x14ac:dyDescent="0.3">
      <c r="C731" s="2"/>
      <c r="D731" s="8">
        <v>2017</v>
      </c>
      <c r="E731" s="14">
        <f>Data!I731</f>
        <v>60090320000</v>
      </c>
      <c r="F731" s="14">
        <f>Data!K731</f>
        <v>111638670000</v>
      </c>
      <c r="G731" s="12">
        <f t="shared" si="11"/>
        <v>0.53825721857847286</v>
      </c>
    </row>
    <row r="732" spans="2:7" ht="15" customHeight="1" x14ac:dyDescent="0.3">
      <c r="C732" s="2"/>
      <c r="D732" s="8">
        <v>2018</v>
      </c>
      <c r="E732" s="14">
        <f>Data!I732</f>
        <v>58748170000</v>
      </c>
      <c r="F732" s="14">
        <f>Data!K732</f>
        <v>112443380000</v>
      </c>
      <c r="G732" s="12">
        <f t="shared" si="11"/>
        <v>0.52246890835191895</v>
      </c>
    </row>
    <row r="733" spans="2:7" ht="15" customHeight="1" x14ac:dyDescent="0.3">
      <c r="C733" s="2"/>
      <c r="D733" s="8">
        <v>2019</v>
      </c>
      <c r="E733" s="14">
        <f>Data!I733</f>
        <v>72134670000</v>
      </c>
      <c r="F733" s="14">
        <f>Data!K733</f>
        <v>114195750000</v>
      </c>
      <c r="G733" s="12">
        <f t="shared" si="11"/>
        <v>0.63167560964396663</v>
      </c>
    </row>
    <row r="734" spans="2:7" ht="15" customHeight="1" x14ac:dyDescent="0.3">
      <c r="C734" s="2"/>
      <c r="D734" s="8">
        <v>2020</v>
      </c>
      <c r="E734" s="14">
        <f>Data!I734</f>
        <v>92001970000</v>
      </c>
      <c r="F734" s="14">
        <f>Data!K734</f>
        <v>119219370000</v>
      </c>
      <c r="G734" s="12">
        <f t="shared" si="11"/>
        <v>0.77170320561163841</v>
      </c>
    </row>
    <row r="735" spans="2:7" ht="15" customHeight="1" x14ac:dyDescent="0.3">
      <c r="C735" s="2"/>
      <c r="D735" s="8">
        <v>2021</v>
      </c>
      <c r="E735" s="14">
        <f>Data!I735</f>
        <v>81256900000</v>
      </c>
      <c r="F735" s="14">
        <f>Data!K735</f>
        <v>126921280000</v>
      </c>
      <c r="G735" s="12">
        <f t="shared" si="11"/>
        <v>0.64021494267943091</v>
      </c>
    </row>
    <row r="736" spans="2:7" ht="15" customHeight="1" x14ac:dyDescent="0.3">
      <c r="C736" s="2"/>
      <c r="D736" s="8">
        <v>2022</v>
      </c>
      <c r="E736" s="14">
        <f>Data!I736</f>
        <v>95058410000</v>
      </c>
      <c r="F736" s="14">
        <f>Data!K736</f>
        <v>122374230000</v>
      </c>
      <c r="G736" s="12">
        <f t="shared" si="11"/>
        <v>0.77678454033990652</v>
      </c>
    </row>
    <row r="737" spans="2:7" ht="15" customHeight="1" x14ac:dyDescent="0.3">
      <c r="C737" s="2"/>
      <c r="D737" s="8">
        <v>2023</v>
      </c>
      <c r="E737" s="14">
        <f>Data!I737</f>
        <v>280807320000</v>
      </c>
      <c r="F737" s="14">
        <f>Data!K737</f>
        <v>127722410000</v>
      </c>
      <c r="G737" s="12">
        <f t="shared" si="11"/>
        <v>2.1985751756485019</v>
      </c>
    </row>
    <row r="738" spans="2:7" ht="15" customHeight="1" x14ac:dyDescent="0.3">
      <c r="C738" s="2"/>
      <c r="D738" s="8">
        <v>2024</v>
      </c>
      <c r="E738" s="14">
        <f>Data!I738</f>
        <v>178804200000</v>
      </c>
      <c r="F738" s="14">
        <f>Data!K738</f>
        <v>129661180000</v>
      </c>
      <c r="G738" s="12">
        <f t="shared" si="11"/>
        <v>1.379011050184797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Data!I739</f>
        <v>0</v>
      </c>
      <c r="F739" s="14">
        <f>Data!K739</f>
        <v>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Data!I740</f>
        <v>1625205582000</v>
      </c>
      <c r="F740" s="14">
        <f>Data!K740</f>
        <v>1222352590000</v>
      </c>
      <c r="G740" s="12">
        <f t="shared" si="11"/>
        <v>1.3295718398240559</v>
      </c>
    </row>
    <row r="741" spans="2:7" ht="15" customHeight="1" x14ac:dyDescent="0.3">
      <c r="C741" s="2"/>
      <c r="D741" s="8">
        <v>2016</v>
      </c>
      <c r="E741" s="14">
        <f>Data!I741</f>
        <v>1582165362000</v>
      </c>
      <c r="F741" s="14">
        <f>Data!K741</f>
        <v>1232196934000</v>
      </c>
      <c r="G741" s="12">
        <f t="shared" si="11"/>
        <v>1.2840198821660109</v>
      </c>
    </row>
    <row r="742" spans="2:7" ht="15" customHeight="1" x14ac:dyDescent="0.3">
      <c r="C742" s="2"/>
      <c r="D742" s="8">
        <v>2017</v>
      </c>
      <c r="E742" s="14">
        <f>Data!I742</f>
        <v>1591479311000</v>
      </c>
      <c r="F742" s="14">
        <f>Data!K742</f>
        <v>1375352652000</v>
      </c>
      <c r="G742" s="12">
        <f t="shared" si="11"/>
        <v>1.1571427216763022</v>
      </c>
    </row>
    <row r="743" spans="2:7" ht="15" customHeight="1" x14ac:dyDescent="0.3">
      <c r="C743" s="2"/>
      <c r="D743" s="8">
        <v>2018</v>
      </c>
      <c r="E743" s="14">
        <f>Data!I743</f>
        <v>1556041961000</v>
      </c>
      <c r="F743" s="14">
        <f>Data!K743</f>
        <v>1334408933000</v>
      </c>
      <c r="G743" s="12">
        <f t="shared" si="11"/>
        <v>1.1660907856047753</v>
      </c>
    </row>
    <row r="744" spans="2:7" ht="15" customHeight="1" x14ac:dyDescent="0.3">
      <c r="C744" s="2"/>
      <c r="D744" s="8">
        <v>2019</v>
      </c>
      <c r="E744" s="14">
        <f>Data!I744</f>
        <v>1325948582000</v>
      </c>
      <c r="F744" s="14">
        <f>Data!K744</f>
        <v>1253704378000</v>
      </c>
      <c r="G744" s="12">
        <f t="shared" si="11"/>
        <v>1.0576245925815855</v>
      </c>
    </row>
    <row r="745" spans="2:7" ht="15" customHeight="1" x14ac:dyDescent="0.3">
      <c r="C745" s="2"/>
      <c r="D745" s="8">
        <v>2020</v>
      </c>
      <c r="E745" s="14">
        <f>Data!I745</f>
        <v>1090545646000</v>
      </c>
      <c r="F745" s="14">
        <f>Data!K745</f>
        <v>1387236002000</v>
      </c>
      <c r="G745" s="12">
        <f t="shared" si="11"/>
        <v>0.78612841969768887</v>
      </c>
    </row>
    <row r="746" spans="2:7" ht="15" customHeight="1" x14ac:dyDescent="0.3">
      <c r="C746" s="2"/>
      <c r="D746" s="8">
        <v>2021</v>
      </c>
      <c r="E746" s="14">
        <f>Data!I746</f>
        <v>983787506000</v>
      </c>
      <c r="F746" s="14">
        <f>Data!K746</f>
        <v>1512103062000</v>
      </c>
      <c r="G746" s="12">
        <f t="shared" si="11"/>
        <v>0.65060876518481647</v>
      </c>
    </row>
    <row r="747" spans="2:7" ht="15" customHeight="1" x14ac:dyDescent="0.3">
      <c r="C747" s="2"/>
      <c r="D747" s="8">
        <v>2022</v>
      </c>
      <c r="E747" s="14">
        <f>Data!I747</f>
        <v>966617847000</v>
      </c>
      <c r="F747" s="14">
        <f>Data!K747</f>
        <v>1505488077000</v>
      </c>
      <c r="G747" s="12">
        <f t="shared" si="11"/>
        <v>0.6420627713812177</v>
      </c>
    </row>
    <row r="748" spans="2:7" ht="15" customHeight="1" x14ac:dyDescent="0.3">
      <c r="C748" s="2"/>
      <c r="D748" s="8">
        <v>2023</v>
      </c>
      <c r="E748" s="14">
        <f>Data!I748</f>
        <v>1115590529000</v>
      </c>
      <c r="F748" s="14">
        <f>Data!K748</f>
        <v>1548860178000</v>
      </c>
      <c r="G748" s="12">
        <f t="shared" si="11"/>
        <v>0.7202654860947687</v>
      </c>
    </row>
    <row r="749" spans="2:7" ht="15" customHeight="1" x14ac:dyDescent="0.3">
      <c r="C749" s="2"/>
      <c r="D749" s="8">
        <v>2024</v>
      </c>
      <c r="E749" s="14">
        <f>Data!I749</f>
        <v>1192828879000</v>
      </c>
      <c r="F749" s="14">
        <f>Data!K749</f>
        <v>1559077737000</v>
      </c>
      <c r="G749" s="12">
        <f t="shared" si="11"/>
        <v>0.76508621134906241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Data!I750</f>
        <v>0</v>
      </c>
      <c r="F750" s="14">
        <f>Data!K750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Data!I751</f>
        <v>0</v>
      </c>
      <c r="F751" s="14">
        <f>Data!K751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Data!I752</f>
        <v>0</v>
      </c>
      <c r="F752" s="14">
        <f>Data!K752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Data!I753</f>
        <v>238868790000</v>
      </c>
      <c r="F753" s="14">
        <f>Data!K753</f>
        <v>151853840000</v>
      </c>
      <c r="G753" s="12">
        <f t="shared" si="11"/>
        <v>1.5730177781477241</v>
      </c>
    </row>
    <row r="754" spans="2:7" ht="15" customHeight="1" x14ac:dyDescent="0.3">
      <c r="C754" s="2"/>
      <c r="D754" s="8">
        <v>2018</v>
      </c>
      <c r="E754" s="14">
        <f>Data!I754</f>
        <v>281514920000</v>
      </c>
      <c r="F754" s="14">
        <f>Data!K754</f>
        <v>164230810000</v>
      </c>
      <c r="G754" s="12">
        <f t="shared" si="11"/>
        <v>1.7141419444987211</v>
      </c>
    </row>
    <row r="755" spans="2:7" ht="15" customHeight="1" x14ac:dyDescent="0.3">
      <c r="C755" s="2"/>
      <c r="D755" s="8">
        <v>2019</v>
      </c>
      <c r="E755" s="14">
        <f>Data!I755</f>
        <v>363903830000</v>
      </c>
      <c r="F755" s="14">
        <f>Data!K755</f>
        <v>178025870000</v>
      </c>
      <c r="G755" s="12">
        <f t="shared" si="11"/>
        <v>2.0441064548652395</v>
      </c>
    </row>
    <row r="756" spans="2:7" ht="15" customHeight="1" x14ac:dyDescent="0.3">
      <c r="C756" s="2"/>
      <c r="D756" s="8">
        <v>2020</v>
      </c>
      <c r="E756" s="14">
        <f>Data!I756</f>
        <v>461577700000</v>
      </c>
      <c r="F756" s="14">
        <f>Data!K756</f>
        <v>189519000000</v>
      </c>
      <c r="G756" s="12">
        <f t="shared" si="11"/>
        <v>2.435522032091769</v>
      </c>
    </row>
    <row r="757" spans="2:7" ht="15" customHeight="1" x14ac:dyDescent="0.3">
      <c r="C757" s="2"/>
      <c r="D757" s="8">
        <v>2021</v>
      </c>
      <c r="E757" s="14">
        <f>Data!I757</f>
        <v>451562710000</v>
      </c>
      <c r="F757" s="14">
        <f>Data!K757</f>
        <v>187287430000</v>
      </c>
      <c r="G757" s="12">
        <f t="shared" si="11"/>
        <v>2.4110678970820412</v>
      </c>
    </row>
    <row r="758" spans="2:7" ht="15" customHeight="1" x14ac:dyDescent="0.3">
      <c r="C758" s="2"/>
      <c r="D758" s="8">
        <v>2022</v>
      </c>
      <c r="E758" s="14">
        <f>Data!I758</f>
        <v>512266590000</v>
      </c>
      <c r="F758" s="14">
        <f>Data!K758</f>
        <v>205262620000</v>
      </c>
      <c r="G758" s="12">
        <f t="shared" si="11"/>
        <v>2.4956642860741036</v>
      </c>
    </row>
    <row r="759" spans="2:7" ht="15" customHeight="1" x14ac:dyDescent="0.3">
      <c r="C759" s="2"/>
      <c r="D759" s="8">
        <v>2023</v>
      </c>
      <c r="E759" s="14">
        <f>Data!I759</f>
        <v>603190080000</v>
      </c>
      <c r="F759" s="14">
        <f>Data!K759</f>
        <v>259373160000</v>
      </c>
      <c r="G759" s="12">
        <f t="shared" si="11"/>
        <v>2.3255686131903546</v>
      </c>
    </row>
    <row r="760" spans="2:7" ht="15" customHeight="1" x14ac:dyDescent="0.3">
      <c r="C760" s="2"/>
      <c r="D760" s="8">
        <v>2024</v>
      </c>
      <c r="E760" s="14">
        <f>Data!I760</f>
        <v>640518160000</v>
      </c>
      <c r="F760" s="14">
        <f>Data!K760</f>
        <v>274121599999.99997</v>
      </c>
      <c r="G760" s="12">
        <f t="shared" si="11"/>
        <v>2.3366205362875458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Data!I761</f>
        <v>0</v>
      </c>
      <c r="F761" s="14">
        <f>Data!K761</f>
        <v>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Data!I762</f>
        <v>333297913000</v>
      </c>
      <c r="F762" s="14">
        <f>Data!K762</f>
        <v>160705086000</v>
      </c>
      <c r="G762" s="12">
        <f t="shared" si="11"/>
        <v>2.0739724005996925</v>
      </c>
    </row>
    <row r="763" spans="2:7" ht="15" customHeight="1" x14ac:dyDescent="0.3">
      <c r="C763" s="2"/>
      <c r="D763" s="8">
        <v>2016</v>
      </c>
      <c r="E763" s="14">
        <f>Data!I763</f>
        <v>352247208000</v>
      </c>
      <c r="F763" s="14">
        <f>Data!K763</f>
        <v>173651622000</v>
      </c>
      <c r="G763" s="12">
        <f t="shared" si="11"/>
        <v>2.0284705892352677</v>
      </c>
    </row>
    <row r="764" spans="2:7" ht="15" customHeight="1" x14ac:dyDescent="0.3">
      <c r="C764" s="2"/>
      <c r="D764" s="8">
        <v>2017</v>
      </c>
      <c r="E764" s="14">
        <f>Data!I764</f>
        <v>470635644000</v>
      </c>
      <c r="F764" s="14">
        <f>Data!K764</f>
        <v>267548015000</v>
      </c>
      <c r="G764" s="12">
        <f t="shared" si="11"/>
        <v>1.7590698402303602</v>
      </c>
    </row>
    <row r="765" spans="2:7" ht="15" customHeight="1" x14ac:dyDescent="0.3">
      <c r="C765" s="2"/>
      <c r="D765" s="8">
        <v>2018</v>
      </c>
      <c r="E765" s="14">
        <f>Data!I765</f>
        <v>593110979000</v>
      </c>
      <c r="F765" s="14">
        <f>Data!K765</f>
        <v>281361909000</v>
      </c>
      <c r="G765" s="12">
        <f t="shared" si="11"/>
        <v>2.1080002659492902</v>
      </c>
    </row>
    <row r="766" spans="2:7" ht="15" customHeight="1" x14ac:dyDescent="0.3">
      <c r="C766" s="2"/>
      <c r="D766" s="8">
        <v>2019</v>
      </c>
      <c r="E766" s="14">
        <f>Data!I766</f>
        <v>566035087000</v>
      </c>
      <c r="F766" s="14">
        <f>Data!K766</f>
        <v>291485498000</v>
      </c>
      <c r="G766" s="12">
        <f t="shared" si="11"/>
        <v>1.9418979362053888</v>
      </c>
    </row>
    <row r="767" spans="2:7" ht="15" customHeight="1" x14ac:dyDescent="0.3">
      <c r="C767" s="2"/>
      <c r="D767" s="8">
        <v>2020</v>
      </c>
      <c r="E767" s="14">
        <f>Data!I767</f>
        <v>557997452000</v>
      </c>
      <c r="F767" s="14">
        <f>Data!K767</f>
        <v>313771731000</v>
      </c>
      <c r="G767" s="12">
        <f t="shared" si="11"/>
        <v>1.778354761984597</v>
      </c>
    </row>
    <row r="768" spans="2:7" ht="15" customHeight="1" x14ac:dyDescent="0.3">
      <c r="C768" s="2"/>
      <c r="D768" s="8">
        <v>2021</v>
      </c>
      <c r="E768" s="14">
        <f>Data!I768</f>
        <v>498914085000</v>
      </c>
      <c r="F768" s="14">
        <f>Data!K768</f>
        <v>355742467000</v>
      </c>
      <c r="G768" s="12">
        <f t="shared" si="11"/>
        <v>1.4024586077883134</v>
      </c>
    </row>
    <row r="769" spans="2:7" ht="15" customHeight="1" x14ac:dyDescent="0.3">
      <c r="C769" s="2"/>
      <c r="D769" s="8">
        <v>2022</v>
      </c>
      <c r="E769" s="14">
        <f>Data!I769</f>
        <v>620559335000</v>
      </c>
      <c r="F769" s="14">
        <f>Data!K769</f>
        <v>369251595000</v>
      </c>
      <c r="G769" s="12">
        <f t="shared" si="11"/>
        <v>1.6805867419475873</v>
      </c>
    </row>
    <row r="770" spans="2:7" ht="15" customHeight="1" x14ac:dyDescent="0.3">
      <c r="C770" s="2"/>
      <c r="D770" s="8">
        <v>2023</v>
      </c>
      <c r="E770" s="14">
        <f>Data!I770</f>
        <v>582681646000</v>
      </c>
      <c r="F770" s="14">
        <f>Data!K770</f>
        <v>387696811000</v>
      </c>
      <c r="G770" s="12">
        <f t="shared" si="11"/>
        <v>1.5029312325192172</v>
      </c>
    </row>
    <row r="771" spans="2:7" ht="15" customHeight="1" x14ac:dyDescent="0.3">
      <c r="C771" s="2"/>
      <c r="D771" s="8">
        <v>2024</v>
      </c>
      <c r="E771" s="14">
        <f>Data!I771</f>
        <v>481266234000</v>
      </c>
      <c r="F771" s="14">
        <f>Data!K771</f>
        <v>422232510000</v>
      </c>
      <c r="G771" s="12">
        <f t="shared" ref="G771:G834" si="12">IFERROR(E771/F771,0)</f>
        <v>1.139813308075212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Data!I772</f>
        <v>0</v>
      </c>
      <c r="F772" s="14">
        <f>Data!K772</f>
        <v>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Data!I773</f>
        <v>248326000000</v>
      </c>
      <c r="F773" s="14">
        <f>Data!K773</f>
        <v>145167000000</v>
      </c>
      <c r="G773" s="12">
        <f t="shared" si="12"/>
        <v>1.7106229377200053</v>
      </c>
    </row>
    <row r="774" spans="2:7" ht="15" customHeight="1" x14ac:dyDescent="0.3">
      <c r="C774" s="2"/>
      <c r="D774" s="8">
        <v>2016</v>
      </c>
      <c r="E774" s="14">
        <f>Data!I774</f>
        <v>278889000000</v>
      </c>
      <c r="F774" s="14">
        <f>Data!K774</f>
        <v>167079000000</v>
      </c>
      <c r="G774" s="12">
        <f t="shared" si="12"/>
        <v>1.6692043883432388</v>
      </c>
    </row>
    <row r="775" spans="2:7" ht="15" customHeight="1" x14ac:dyDescent="0.3">
      <c r="C775" s="2"/>
      <c r="D775" s="8">
        <v>2017</v>
      </c>
      <c r="E775" s="14">
        <f>Data!I775</f>
        <v>232219000000</v>
      </c>
      <c r="F775" s="14">
        <f>Data!K775</f>
        <v>181683000000</v>
      </c>
      <c r="G775" s="12">
        <f t="shared" si="12"/>
        <v>1.2781548080998222</v>
      </c>
    </row>
    <row r="776" spans="2:7" ht="15" customHeight="1" x14ac:dyDescent="0.3">
      <c r="C776" s="2"/>
      <c r="D776" s="8">
        <v>2018</v>
      </c>
      <c r="E776" s="14">
        <f>Data!I776</f>
        <v>259710000000</v>
      </c>
      <c r="F776" s="14">
        <f>Data!K776</f>
        <v>198713000000</v>
      </c>
      <c r="G776" s="12">
        <f t="shared" si="12"/>
        <v>1.3069602894626924</v>
      </c>
    </row>
    <row r="777" spans="2:7" ht="15" customHeight="1" x14ac:dyDescent="0.3">
      <c r="C777" s="2"/>
      <c r="D777" s="8">
        <v>2019</v>
      </c>
      <c r="E777" s="14">
        <f>Data!I777</f>
        <v>266476000000</v>
      </c>
      <c r="F777" s="14">
        <f>Data!K777</f>
        <v>209123000000</v>
      </c>
      <c r="G777" s="12">
        <f t="shared" si="12"/>
        <v>1.2742548643621219</v>
      </c>
    </row>
    <row r="778" spans="2:7" ht="15" customHeight="1" x14ac:dyDescent="0.3">
      <c r="C778" s="2"/>
      <c r="D778" s="8">
        <v>2020</v>
      </c>
      <c r="E778" s="14">
        <f>Data!I778</f>
        <v>250475000000</v>
      </c>
      <c r="F778" s="14">
        <f>Data!K778</f>
        <v>231115000000</v>
      </c>
      <c r="G778" s="12">
        <f t="shared" si="12"/>
        <v>1.083767821214547</v>
      </c>
    </row>
    <row r="779" spans="2:7" ht="15" customHeight="1" x14ac:dyDescent="0.3">
      <c r="C779" s="2"/>
      <c r="D779" s="8">
        <v>2021</v>
      </c>
      <c r="E779" s="14">
        <f>Data!I779</f>
        <v>322732000000</v>
      </c>
      <c r="F779" s="14">
        <f>Data!K779</f>
        <v>235830000000</v>
      </c>
      <c r="G779" s="12">
        <f t="shared" si="12"/>
        <v>1.3684942543357503</v>
      </c>
    </row>
    <row r="780" spans="2:7" ht="15" customHeight="1" x14ac:dyDescent="0.3">
      <c r="C780" s="2"/>
      <c r="D780" s="8">
        <v>2022</v>
      </c>
      <c r="E780" s="14">
        <f>Data!I780</f>
        <v>375508000000</v>
      </c>
      <c r="F780" s="14">
        <f>Data!K780</f>
        <v>257553000000</v>
      </c>
      <c r="G780" s="12">
        <f t="shared" si="12"/>
        <v>1.4579834053573439</v>
      </c>
    </row>
    <row r="781" spans="2:7" ht="15" customHeight="1" x14ac:dyDescent="0.3">
      <c r="C781" s="2"/>
      <c r="D781" s="8">
        <v>2023</v>
      </c>
      <c r="E781" s="14">
        <f>Data!I781</f>
        <v>474715000000</v>
      </c>
      <c r="F781" s="14">
        <f>Data!K781</f>
        <v>245707000000</v>
      </c>
      <c r="G781" s="12">
        <f t="shared" si="12"/>
        <v>1.9320369383045659</v>
      </c>
    </row>
    <row r="782" spans="2:7" ht="15" customHeight="1" x14ac:dyDescent="0.3">
      <c r="C782" s="2"/>
      <c r="D782" s="8">
        <v>2024</v>
      </c>
      <c r="E782" s="14">
        <f>Data!I782</f>
        <v>394905000000</v>
      </c>
      <c r="F782" s="14">
        <f>Data!K782</f>
        <v>313833000000</v>
      </c>
      <c r="G782" s="12">
        <f t="shared" si="12"/>
        <v>1.2583284740610452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Data!I783</f>
        <v>0</v>
      </c>
      <c r="F783" s="14">
        <f>Data!K783</f>
        <v>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Data!I784</f>
        <v>258179000000</v>
      </c>
      <c r="F784" s="14">
        <f>Data!K784</f>
        <v>118753000000</v>
      </c>
      <c r="G784" s="12">
        <f t="shared" si="12"/>
        <v>2.1740840231404679</v>
      </c>
    </row>
    <row r="785" spans="2:7" ht="15" customHeight="1" x14ac:dyDescent="0.3">
      <c r="C785" s="2"/>
      <c r="D785" s="8">
        <v>2016</v>
      </c>
      <c r="E785" s="14">
        <f>Data!I785</f>
        <v>360390000000</v>
      </c>
      <c r="F785" s="14">
        <f>Data!K785</f>
        <v>145579000000</v>
      </c>
      <c r="G785" s="12">
        <f t="shared" si="12"/>
        <v>2.4755630963257063</v>
      </c>
    </row>
    <row r="786" spans="2:7" ht="15" customHeight="1" x14ac:dyDescent="0.3">
      <c r="C786" s="2"/>
      <c r="D786" s="8">
        <v>2017</v>
      </c>
      <c r="E786" s="14">
        <f>Data!I786</f>
        <v>610792000000</v>
      </c>
      <c r="F786" s="14">
        <f>Data!K786</f>
        <v>175966000000</v>
      </c>
      <c r="G786" s="12">
        <f t="shared" si="12"/>
        <v>3.4710796403850743</v>
      </c>
    </row>
    <row r="787" spans="2:7" ht="15" customHeight="1" x14ac:dyDescent="0.3">
      <c r="C787" s="2"/>
      <c r="D787" s="8">
        <v>2018</v>
      </c>
      <c r="E787" s="14">
        <f>Data!I787</f>
        <v>879111000000</v>
      </c>
      <c r="F787" s="14">
        <f>Data!K787</f>
        <v>226807000000</v>
      </c>
      <c r="G787" s="12">
        <f t="shared" si="12"/>
        <v>3.8760311630593414</v>
      </c>
    </row>
    <row r="788" spans="2:7" ht="15" customHeight="1" x14ac:dyDescent="0.3">
      <c r="C788" s="2"/>
      <c r="D788" s="8">
        <v>2019</v>
      </c>
      <c r="E788" s="14">
        <f>Data!I788</f>
        <v>798690000000</v>
      </c>
      <c r="F788" s="14">
        <f>Data!K788</f>
        <v>294148000000</v>
      </c>
      <c r="G788" s="12">
        <f t="shared" si="12"/>
        <v>2.7152657845710322</v>
      </c>
    </row>
    <row r="789" spans="2:7" ht="15" customHeight="1" x14ac:dyDescent="0.3">
      <c r="C789" s="2"/>
      <c r="D789" s="8">
        <v>2020</v>
      </c>
      <c r="E789" s="14">
        <f>Data!I789</f>
        <v>768086000000</v>
      </c>
      <c r="F789" s="14">
        <f>Data!K789</f>
        <v>303799000000</v>
      </c>
      <c r="G789" s="12">
        <f t="shared" si="12"/>
        <v>2.5282703366370529</v>
      </c>
    </row>
    <row r="790" spans="2:7" ht="15" customHeight="1" x14ac:dyDescent="0.3">
      <c r="C790" s="2"/>
      <c r="D790" s="8">
        <v>2021</v>
      </c>
      <c r="E790" s="14">
        <f>Data!I790</f>
        <v>759838000000</v>
      </c>
      <c r="F790" s="14">
        <f>Data!K790</f>
        <v>344977000000</v>
      </c>
      <c r="G790" s="12">
        <f t="shared" si="12"/>
        <v>2.202575823895506</v>
      </c>
    </row>
    <row r="791" spans="2:7" ht="15" customHeight="1" x14ac:dyDescent="0.3">
      <c r="C791" s="2"/>
      <c r="D791" s="8">
        <v>2022</v>
      </c>
      <c r="E791" s="14">
        <f>Data!I791</f>
        <v>640355000000</v>
      </c>
      <c r="F791" s="14">
        <f>Data!K791</f>
        <v>360854000000</v>
      </c>
      <c r="G791" s="12">
        <f t="shared" si="12"/>
        <v>1.7745542518580921</v>
      </c>
    </row>
    <row r="792" spans="2:7" ht="15" customHeight="1" x14ac:dyDescent="0.3">
      <c r="C792" s="2"/>
      <c r="D792" s="8">
        <v>2023</v>
      </c>
      <c r="E792" s="14">
        <f>Data!I792</f>
        <v>704866000000</v>
      </c>
      <c r="F792" s="14">
        <f>Data!K792</f>
        <v>380920000000</v>
      </c>
      <c r="G792" s="12">
        <f t="shared" si="12"/>
        <v>1.8504305365956106</v>
      </c>
    </row>
    <row r="793" spans="2:7" ht="15" customHeight="1" x14ac:dyDescent="0.3">
      <c r="C793" s="2"/>
      <c r="D793" s="8">
        <v>2024</v>
      </c>
      <c r="E793" s="14">
        <f>Data!I793</f>
        <v>604592000000</v>
      </c>
      <c r="F793" s="14">
        <f>Data!K793</f>
        <v>402958000000</v>
      </c>
      <c r="G793" s="12">
        <f t="shared" si="12"/>
        <v>1.5003846554727789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Data!I794</f>
        <v>0</v>
      </c>
      <c r="F794" s="14">
        <f>Data!K794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Data!I795</f>
        <v>0</v>
      </c>
      <c r="F795" s="14">
        <f>Data!K795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Data!I796</f>
        <v>0</v>
      </c>
      <c r="F796" s="14">
        <f>Data!K796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Data!I797</f>
        <v>0</v>
      </c>
      <c r="F797" s="14">
        <f>Data!K797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Data!I798</f>
        <v>0</v>
      </c>
      <c r="F798" s="14">
        <f>Data!K798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Data!I799</f>
        <v>59000000</v>
      </c>
      <c r="F799" s="14">
        <f>Data!K799</f>
        <v>200205000000</v>
      </c>
      <c r="G799" s="12">
        <f t="shared" si="12"/>
        <v>2.9469793461701758E-4</v>
      </c>
    </row>
    <row r="800" spans="2:7" ht="15" customHeight="1" x14ac:dyDescent="0.3">
      <c r="C800" s="2"/>
      <c r="D800" s="8">
        <v>2020</v>
      </c>
      <c r="E800" s="14">
        <f>Data!I800</f>
        <v>158187000000</v>
      </c>
      <c r="F800" s="14">
        <f>Data!K800</f>
        <v>203291000000</v>
      </c>
      <c r="G800" s="12">
        <f t="shared" si="12"/>
        <v>0.77813085675214344</v>
      </c>
    </row>
    <row r="801" spans="2:7" ht="15" customHeight="1" x14ac:dyDescent="0.3">
      <c r="C801" s="2"/>
      <c r="D801" s="8">
        <v>2021</v>
      </c>
      <c r="E801" s="14">
        <f>Data!I801</f>
        <v>243171000000</v>
      </c>
      <c r="F801" s="14">
        <f>Data!K801</f>
        <v>208429000000</v>
      </c>
      <c r="G801" s="12">
        <f t="shared" si="12"/>
        <v>1.1666850582212649</v>
      </c>
    </row>
    <row r="802" spans="2:7" ht="15" customHeight="1" x14ac:dyDescent="0.3">
      <c r="C802" s="2"/>
      <c r="D802" s="8">
        <v>2022</v>
      </c>
      <c r="E802" s="14">
        <f>Data!I802</f>
        <v>295528000000</v>
      </c>
      <c r="F802" s="14">
        <f>Data!K802</f>
        <v>217554000000</v>
      </c>
      <c r="G802" s="12">
        <f t="shared" si="12"/>
        <v>1.3584121643362108</v>
      </c>
    </row>
    <row r="803" spans="2:7" ht="15" customHeight="1" x14ac:dyDescent="0.3">
      <c r="C803" s="2"/>
      <c r="D803" s="8">
        <v>2023</v>
      </c>
      <c r="E803" s="14">
        <f>Data!I803</f>
        <v>394741000000</v>
      </c>
      <c r="F803" s="14">
        <f>Data!K803</f>
        <v>229594000000</v>
      </c>
      <c r="G803" s="12">
        <f t="shared" si="12"/>
        <v>1.7193001559274197</v>
      </c>
    </row>
    <row r="804" spans="2:7" ht="15" customHeight="1" x14ac:dyDescent="0.3">
      <c r="C804" s="2"/>
      <c r="D804" s="8">
        <v>2024</v>
      </c>
      <c r="E804" s="14">
        <f>Data!I804</f>
        <v>468345000000</v>
      </c>
      <c r="F804" s="14">
        <f>Data!K804</f>
        <v>245987000000</v>
      </c>
      <c r="G804" s="12">
        <f t="shared" si="12"/>
        <v>1.903942078239907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Data!I805</f>
        <v>0</v>
      </c>
      <c r="F805" s="14">
        <f>Data!K805</f>
        <v>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Data!I806</f>
        <v>4963028593627</v>
      </c>
      <c r="F806" s="14">
        <f>Data!K806</f>
        <v>4262582000000</v>
      </c>
      <c r="G806" s="12">
        <f t="shared" si="12"/>
        <v>1.1643244854003982</v>
      </c>
    </row>
    <row r="807" spans="2:7" ht="15" customHeight="1" x14ac:dyDescent="0.3">
      <c r="C807" s="2"/>
      <c r="D807" s="8">
        <v>2016</v>
      </c>
      <c r="E807" s="14">
        <f>Data!I807</f>
        <v>4357497000000</v>
      </c>
      <c r="F807" s="14">
        <f>Data!K807</f>
        <v>4337145000000</v>
      </c>
      <c r="G807" s="12">
        <f t="shared" si="12"/>
        <v>1.0046924878001542</v>
      </c>
    </row>
    <row r="808" spans="2:7" ht="15" customHeight="1" x14ac:dyDescent="0.3">
      <c r="C808" s="2"/>
      <c r="D808" s="8">
        <v>2017</v>
      </c>
      <c r="E808" s="14">
        <f>Data!I808</f>
        <v>4928001000000</v>
      </c>
      <c r="F808" s="14">
        <f>Data!K808</f>
        <v>3990690000000</v>
      </c>
      <c r="G808" s="12">
        <f t="shared" si="12"/>
        <v>1.2348744202130459</v>
      </c>
    </row>
    <row r="809" spans="2:7" ht="15" customHeight="1" x14ac:dyDescent="0.3">
      <c r="C809" s="2"/>
      <c r="D809" s="8">
        <v>2018</v>
      </c>
      <c r="E809" s="14">
        <f>Data!I809</f>
        <v>4904882000000</v>
      </c>
      <c r="F809" s="14">
        <f>Data!K809</f>
        <v>4493149000000</v>
      </c>
      <c r="G809" s="12">
        <f t="shared" si="12"/>
        <v>1.0916357325341315</v>
      </c>
    </row>
    <row r="810" spans="2:7" ht="15" customHeight="1" x14ac:dyDescent="0.3">
      <c r="C810" s="2"/>
      <c r="D810" s="8">
        <v>2019</v>
      </c>
      <c r="E810" s="14">
        <f>Data!I810</f>
        <v>5259275000000</v>
      </c>
      <c r="F810" s="14">
        <f>Data!K810</f>
        <v>5531057000000</v>
      </c>
      <c r="G810" s="12">
        <f t="shared" si="12"/>
        <v>0.95086255665056429</v>
      </c>
    </row>
    <row r="811" spans="2:7" ht="15" customHeight="1" x14ac:dyDescent="0.3">
      <c r="C811" s="2"/>
      <c r="D811" s="8">
        <v>2020</v>
      </c>
      <c r="E811" s="14">
        <f>Data!I811</f>
        <v>4838640000000</v>
      </c>
      <c r="F811" s="14">
        <f>Data!K811</f>
        <v>5750905000000</v>
      </c>
      <c r="G811" s="12">
        <f t="shared" si="12"/>
        <v>0.84137018434489874</v>
      </c>
    </row>
    <row r="812" spans="2:7" ht="15" customHeight="1" x14ac:dyDescent="0.3">
      <c r="C812" s="2"/>
      <c r="D812" s="8">
        <v>2021</v>
      </c>
      <c r="E812" s="14">
        <f>Data!I812</f>
        <v>5339467000000</v>
      </c>
      <c r="F812" s="14">
        <f>Data!K812</f>
        <v>6771089000000</v>
      </c>
      <c r="G812" s="12">
        <f t="shared" si="12"/>
        <v>0.78856842673312966</v>
      </c>
    </row>
    <row r="813" spans="2:7" ht="15" customHeight="1" x14ac:dyDescent="0.3">
      <c r="C813" s="2"/>
      <c r="D813" s="8">
        <v>2022</v>
      </c>
      <c r="E813" s="14">
        <f>Data!I813</f>
        <v>6228902000000</v>
      </c>
      <c r="F813" s="14">
        <f>Data!K813</f>
        <v>6863880000000</v>
      </c>
      <c r="G813" s="12">
        <f t="shared" si="12"/>
        <v>0.90748993280768309</v>
      </c>
    </row>
    <row r="814" spans="2:7" ht="15" customHeight="1" x14ac:dyDescent="0.3">
      <c r="C814" s="2"/>
      <c r="D814" s="8">
        <v>2023</v>
      </c>
      <c r="E814" s="14">
        <f>Data!I814</f>
        <v>7236140000000</v>
      </c>
      <c r="F814" s="14">
        <f>Data!K814</f>
        <v>7173512000000</v>
      </c>
      <c r="G814" s="12">
        <f t="shared" si="12"/>
        <v>1.0087304516950693</v>
      </c>
    </row>
    <row r="815" spans="2:7" ht="15" customHeight="1" x14ac:dyDescent="0.3">
      <c r="C815" s="2"/>
      <c r="D815" s="8">
        <v>2024</v>
      </c>
      <c r="E815" s="14">
        <f>Data!I815</f>
        <v>7597445000000</v>
      </c>
      <c r="F815" s="14">
        <f>Data!K815</f>
        <v>8566984000000</v>
      </c>
      <c r="G815" s="12">
        <f t="shared" si="12"/>
        <v>0.88682843343701823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Data!I816</f>
        <v>0</v>
      </c>
      <c r="F816" s="14">
        <f>Data!K816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Data!I817</f>
        <v>0</v>
      </c>
      <c r="F817" s="14">
        <f>Data!K817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Data!I818</f>
        <v>0</v>
      </c>
      <c r="F818" s="14">
        <f>Data!K818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Data!I819</f>
        <v>0</v>
      </c>
      <c r="F819" s="14">
        <f>Data!K819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Data!I820</f>
        <v>0</v>
      </c>
      <c r="F820" s="14">
        <f>Data!K820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Data!I821</f>
        <v>0</v>
      </c>
      <c r="F821" s="14">
        <f>Data!K821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Data!I822</f>
        <v>0</v>
      </c>
      <c r="F822" s="14">
        <f>Data!K822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Data!I823</f>
        <v>0</v>
      </c>
      <c r="F823" s="14">
        <f>Data!K823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Data!I824</f>
        <v>0</v>
      </c>
      <c r="F824" s="14">
        <f>Data!K824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Data!I825</f>
        <v>0</v>
      </c>
      <c r="F825" s="14">
        <f>Data!K825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Data!I826</f>
        <v>0</v>
      </c>
      <c r="F826" s="14">
        <f>Data!K826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Data!I827</f>
        <v>0</v>
      </c>
      <c r="F827" s="14">
        <f>Data!K827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Data!I828</f>
        <v>0</v>
      </c>
      <c r="F828" s="14">
        <f>Data!K828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Data!I829</f>
        <v>0</v>
      </c>
      <c r="F829" s="14">
        <f>Data!K829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Data!I830</f>
        <v>0</v>
      </c>
      <c r="F830" s="14">
        <f>Data!K830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Data!I831</f>
        <v>0</v>
      </c>
      <c r="F831" s="14">
        <f>Data!K831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Data!I832</f>
        <v>823936164000</v>
      </c>
      <c r="F832" s="14">
        <f>Data!K832</f>
        <v>334102591000</v>
      </c>
      <c r="G832" s="12">
        <f t="shared" si="12"/>
        <v>2.466117253188258</v>
      </c>
    </row>
    <row r="833" spans="2:7" ht="15" customHeight="1" x14ac:dyDescent="0.3">
      <c r="C833" s="2"/>
      <c r="D833" s="8">
        <v>2020</v>
      </c>
      <c r="E833" s="14">
        <f>Data!I833</f>
        <v>508174714000</v>
      </c>
      <c r="F833" s="14">
        <f>Data!K833</f>
        <v>351701797000</v>
      </c>
      <c r="G833" s="12">
        <f t="shared" si="12"/>
        <v>1.4449022391546098</v>
      </c>
    </row>
    <row r="834" spans="2:7" ht="15" customHeight="1" x14ac:dyDescent="0.3">
      <c r="C834" s="2"/>
      <c r="D834" s="8">
        <v>2021</v>
      </c>
      <c r="E834" s="14">
        <f>Data!I834</f>
        <v>462797631000</v>
      </c>
      <c r="F834" s="14">
        <f>Data!K834</f>
        <v>359942738000</v>
      </c>
      <c r="G834" s="12">
        <f t="shared" si="12"/>
        <v>1.2857534883784765</v>
      </c>
    </row>
    <row r="835" spans="2:7" ht="15" customHeight="1" x14ac:dyDescent="0.3">
      <c r="C835" s="2"/>
      <c r="D835" s="8">
        <v>2022</v>
      </c>
      <c r="E835" s="14">
        <f>Data!I835</f>
        <v>823847643000</v>
      </c>
      <c r="F835" s="14">
        <f>Data!K835</f>
        <v>365125870000</v>
      </c>
      <c r="G835" s="12">
        <f t="shared" ref="G835:G898" si="13">IFERROR(E835/F835,0)</f>
        <v>2.2563387332702556</v>
      </c>
    </row>
    <row r="836" spans="2:7" ht="15" customHeight="1" x14ac:dyDescent="0.3">
      <c r="C836" s="2"/>
      <c r="D836" s="8">
        <v>2023</v>
      </c>
      <c r="E836" s="14">
        <f>Data!I836</f>
        <v>611216174000</v>
      </c>
      <c r="F836" s="14">
        <f>Data!K836</f>
        <v>371724043000</v>
      </c>
      <c r="G836" s="12">
        <f t="shared" si="13"/>
        <v>1.6442739863345348</v>
      </c>
    </row>
    <row r="837" spans="2:7" ht="15" customHeight="1" x14ac:dyDescent="0.3">
      <c r="C837" s="2"/>
      <c r="D837" s="8">
        <v>2024</v>
      </c>
      <c r="E837" s="14">
        <f>Data!I837</f>
        <v>684080375000</v>
      </c>
      <c r="F837" s="14">
        <f>Data!K837</f>
        <v>398470362000</v>
      </c>
      <c r="G837" s="12">
        <f t="shared" si="13"/>
        <v>1.7167660138296559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Data!I838</f>
        <v>0</v>
      </c>
      <c r="F838" s="14">
        <f>Data!K838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Data!I839</f>
        <v>0</v>
      </c>
      <c r="F839" s="14">
        <f>Data!K839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Data!I840</f>
        <v>0</v>
      </c>
      <c r="F840" s="14">
        <f>Data!K840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Data!I841</f>
        <v>0</v>
      </c>
      <c r="F841" s="14">
        <f>Data!K841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Data!I842</f>
        <v>246931460000</v>
      </c>
      <c r="F842" s="14">
        <f>Data!K842</f>
        <v>117659090000</v>
      </c>
      <c r="G842" s="12">
        <f t="shared" si="13"/>
        <v>2.0987027861595733</v>
      </c>
    </row>
    <row r="843" spans="2:7" ht="15" customHeight="1" x14ac:dyDescent="0.3">
      <c r="C843" s="2"/>
      <c r="D843" s="8">
        <v>2019</v>
      </c>
      <c r="E843" s="14">
        <f>Data!I843</f>
        <v>137224290000.00002</v>
      </c>
      <c r="F843" s="14">
        <f>Data!K843</f>
        <v>118755840000</v>
      </c>
      <c r="G843" s="12">
        <f t="shared" si="13"/>
        <v>1.1555161413535537</v>
      </c>
    </row>
    <row r="844" spans="2:7" ht="15" customHeight="1" x14ac:dyDescent="0.3">
      <c r="C844" s="2"/>
      <c r="D844" s="8">
        <v>2020</v>
      </c>
      <c r="E844" s="14">
        <f>Data!I844</f>
        <v>207512450000</v>
      </c>
      <c r="F844" s="14">
        <f>Data!K844</f>
        <v>106708340000</v>
      </c>
      <c r="G844" s="12">
        <f t="shared" si="13"/>
        <v>1.9446694607000727</v>
      </c>
    </row>
    <row r="845" spans="2:7" ht="15" customHeight="1" x14ac:dyDescent="0.3">
      <c r="C845" s="2"/>
      <c r="D845" s="8">
        <v>2021</v>
      </c>
      <c r="E845" s="14">
        <f>Data!I845</f>
        <v>153227870000</v>
      </c>
      <c r="F845" s="14">
        <f>Data!K845</f>
        <v>87561810000</v>
      </c>
      <c r="G845" s="12">
        <f t="shared" si="13"/>
        <v>1.7499394998801419</v>
      </c>
    </row>
    <row r="846" spans="2:7" ht="15" customHeight="1" x14ac:dyDescent="0.3">
      <c r="C846" s="2"/>
      <c r="D846" s="8">
        <v>2022</v>
      </c>
      <c r="E846" s="14">
        <f>Data!I846</f>
        <v>115249340000</v>
      </c>
      <c r="F846" s="14">
        <f>Data!K846</f>
        <v>103111140000</v>
      </c>
      <c r="G846" s="12">
        <f t="shared" si="13"/>
        <v>1.117719579087187</v>
      </c>
    </row>
    <row r="847" spans="2:7" ht="15" customHeight="1" x14ac:dyDescent="0.3">
      <c r="C847" s="2"/>
      <c r="D847" s="8">
        <v>2023</v>
      </c>
      <c r="E847" s="14">
        <f>Data!I847</f>
        <v>147057000000</v>
      </c>
      <c r="F847" s="14">
        <f>Data!K847</f>
        <v>105142000000</v>
      </c>
      <c r="G847" s="12">
        <f t="shared" si="13"/>
        <v>1.3986513477012041</v>
      </c>
    </row>
    <row r="848" spans="2:7" ht="15" customHeight="1" x14ac:dyDescent="0.3">
      <c r="C848" s="2"/>
      <c r="D848" s="8">
        <v>2024</v>
      </c>
      <c r="E848" s="14">
        <f>Data!I848</f>
        <v>88564000000</v>
      </c>
      <c r="F848" s="14">
        <f>Data!K848</f>
        <v>167502000000</v>
      </c>
      <c r="G848" s="12">
        <f t="shared" si="13"/>
        <v>0.52873398526584758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Data!I849</f>
        <v>0</v>
      </c>
      <c r="F849" s="14">
        <f>Data!K849</f>
        <v>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Data!I850</f>
        <v>46437132000</v>
      </c>
      <c r="F850" s="14">
        <f>Data!K850</f>
        <v>111678042000</v>
      </c>
      <c r="G850" s="12">
        <f t="shared" si="13"/>
        <v>0.4158125551663952</v>
      </c>
    </row>
    <row r="851" spans="2:7" ht="15" customHeight="1" x14ac:dyDescent="0.3">
      <c r="C851" s="2"/>
      <c r="D851" s="8">
        <v>2016</v>
      </c>
      <c r="E851" s="14">
        <f>Data!I851</f>
        <v>53805659000</v>
      </c>
      <c r="F851" s="14">
        <f>Data!K851</f>
        <v>113569618000</v>
      </c>
      <c r="G851" s="12">
        <f t="shared" si="13"/>
        <v>0.47376807237301793</v>
      </c>
    </row>
    <row r="852" spans="2:7" ht="15" customHeight="1" x14ac:dyDescent="0.3">
      <c r="C852" s="2"/>
      <c r="D852" s="8">
        <v>2017</v>
      </c>
      <c r="E852" s="14">
        <f>Data!I852</f>
        <v>50322916000</v>
      </c>
      <c r="F852" s="14">
        <f>Data!K852</f>
        <v>114981130000</v>
      </c>
      <c r="G852" s="12">
        <f t="shared" si="13"/>
        <v>0.43766238860237328</v>
      </c>
    </row>
    <row r="853" spans="2:7" ht="15" customHeight="1" x14ac:dyDescent="0.3">
      <c r="C853" s="2"/>
      <c r="D853" s="8">
        <v>2018</v>
      </c>
      <c r="E853" s="14">
        <f>Data!I853</f>
        <v>101582000000</v>
      </c>
      <c r="F853" s="14">
        <f>Data!K853</f>
        <v>127939000000</v>
      </c>
      <c r="G853" s="12">
        <f t="shared" si="13"/>
        <v>0.79398775979177572</v>
      </c>
    </row>
    <row r="854" spans="2:7" ht="15" customHeight="1" x14ac:dyDescent="0.3">
      <c r="C854" s="2"/>
      <c r="D854" s="8">
        <v>2019</v>
      </c>
      <c r="E854" s="14">
        <f>Data!I854</f>
        <v>80881175000</v>
      </c>
      <c r="F854" s="14">
        <f>Data!K854</f>
        <v>130678469000</v>
      </c>
      <c r="G854" s="12">
        <f t="shared" si="13"/>
        <v>0.61893267972094168</v>
      </c>
    </row>
    <row r="855" spans="2:7" ht="15" customHeight="1" x14ac:dyDescent="0.3">
      <c r="C855" s="2"/>
      <c r="D855" s="8">
        <v>2020</v>
      </c>
      <c r="E855" s="14">
        <f>Data!I855</f>
        <v>75897105000</v>
      </c>
      <c r="F855" s="14">
        <f>Data!K855</f>
        <v>132006192000</v>
      </c>
      <c r="G855" s="12">
        <f t="shared" si="13"/>
        <v>0.57495109774850561</v>
      </c>
    </row>
    <row r="856" spans="2:7" ht="15" customHeight="1" x14ac:dyDescent="0.3">
      <c r="C856" s="2"/>
      <c r="D856" s="8">
        <v>2021</v>
      </c>
      <c r="E856" s="14">
        <f>Data!I856</f>
        <v>76165000000</v>
      </c>
      <c r="F856" s="14">
        <f>Data!K856</f>
        <v>100981000000</v>
      </c>
      <c r="G856" s="12">
        <f t="shared" si="13"/>
        <v>0.75425079965538067</v>
      </c>
    </row>
    <row r="857" spans="2:7" ht="15" customHeight="1" x14ac:dyDescent="0.3">
      <c r="C857" s="2"/>
      <c r="D857" s="8">
        <v>2022</v>
      </c>
      <c r="E857" s="14">
        <f>Data!I857</f>
        <v>154580000000</v>
      </c>
      <c r="F857" s="14">
        <f>Data!K857</f>
        <v>115067000000</v>
      </c>
      <c r="G857" s="12">
        <f t="shared" si="13"/>
        <v>1.3433912416244449</v>
      </c>
    </row>
    <row r="858" spans="2:7" ht="15" customHeight="1" x14ac:dyDescent="0.3">
      <c r="C858" s="2"/>
      <c r="D858" s="8">
        <v>2023</v>
      </c>
      <c r="E858" s="14">
        <f>Data!I858</f>
        <v>268834000000</v>
      </c>
      <c r="F858" s="14">
        <f>Data!K858</f>
        <v>118774000000</v>
      </c>
      <c r="G858" s="12">
        <f t="shared" si="13"/>
        <v>2.2634078165255023</v>
      </c>
    </row>
    <row r="859" spans="2:7" ht="15" customHeight="1" x14ac:dyDescent="0.3">
      <c r="C859" s="2"/>
      <c r="D859" s="8">
        <v>2024</v>
      </c>
      <c r="E859" s="14">
        <f>Data!I859</f>
        <v>413481000000</v>
      </c>
      <c r="F859" s="14">
        <f>Data!K859</f>
        <v>162780000000</v>
      </c>
      <c r="G859" s="12">
        <f t="shared" si="13"/>
        <v>2.5401216365646886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Data!I860</f>
        <v>0</v>
      </c>
      <c r="F860" s="14">
        <f>Data!K860</f>
        <v>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Data!I861</f>
        <v>604181300000</v>
      </c>
      <c r="F861" s="14">
        <f>Data!K861</f>
        <v>122164320000</v>
      </c>
      <c r="G861" s="12">
        <f t="shared" si="13"/>
        <v>4.9456445220666723</v>
      </c>
    </row>
    <row r="862" spans="2:7" ht="15" customHeight="1" x14ac:dyDescent="0.3">
      <c r="C862" s="2"/>
      <c r="D862" s="8">
        <v>2016</v>
      </c>
      <c r="E862" s="14">
        <f>Data!I862</f>
        <v>718435730000</v>
      </c>
      <c r="F862" s="14">
        <f>Data!K862</f>
        <v>147349430000</v>
      </c>
      <c r="G862" s="12">
        <f t="shared" si="13"/>
        <v>4.8757279210377673</v>
      </c>
    </row>
    <row r="863" spans="2:7" ht="15" customHeight="1" x14ac:dyDescent="0.3">
      <c r="C863" s="2"/>
      <c r="D863" s="8">
        <v>2017</v>
      </c>
      <c r="E863" s="14">
        <f>Data!I863</f>
        <v>729036600000</v>
      </c>
      <c r="F863" s="14">
        <f>Data!K863</f>
        <v>198488620000</v>
      </c>
      <c r="G863" s="12">
        <f t="shared" si="13"/>
        <v>3.6729390329783138</v>
      </c>
    </row>
    <row r="864" spans="2:7" ht="15" customHeight="1" x14ac:dyDescent="0.3">
      <c r="C864" s="2"/>
      <c r="D864" s="8">
        <v>2018</v>
      </c>
      <c r="E864" s="14">
        <f>Data!I864</f>
        <v>823379540000</v>
      </c>
      <c r="F864" s="14">
        <f>Data!K864</f>
        <v>21894360000</v>
      </c>
      <c r="G864" s="12">
        <f t="shared" si="13"/>
        <v>37.606924340332398</v>
      </c>
    </row>
    <row r="865" spans="2:7" ht="15" customHeight="1" x14ac:dyDescent="0.3">
      <c r="C865" s="2"/>
      <c r="D865" s="8">
        <v>2019</v>
      </c>
      <c r="E865" s="14">
        <f>Data!I865</f>
        <v>418595600000</v>
      </c>
      <c r="F865" s="14">
        <f>Data!K865</f>
        <v>111492870000</v>
      </c>
      <c r="G865" s="12">
        <f t="shared" si="13"/>
        <v>3.7544607112544508</v>
      </c>
    </row>
    <row r="866" spans="2:7" ht="15" customHeight="1" x14ac:dyDescent="0.3">
      <c r="C866" s="2"/>
      <c r="D866" s="8">
        <v>2020</v>
      </c>
      <c r="E866" s="14">
        <f>Data!I866</f>
        <v>804279000000</v>
      </c>
      <c r="F866" s="14">
        <f>Data!K866</f>
        <v>123984000000</v>
      </c>
      <c r="G866" s="12">
        <f t="shared" si="13"/>
        <v>6.4869579945799458</v>
      </c>
    </row>
    <row r="867" spans="2:7" ht="15" customHeight="1" x14ac:dyDescent="0.3">
      <c r="C867" s="2"/>
      <c r="D867" s="8">
        <v>2021</v>
      </c>
      <c r="E867" s="14">
        <f>Data!I867</f>
        <v>1256018000000</v>
      </c>
      <c r="F867" s="14">
        <f>Data!K867</f>
        <v>-37353000000</v>
      </c>
      <c r="G867" s="12">
        <f t="shared" si="13"/>
        <v>-33.625625786416087</v>
      </c>
    </row>
    <row r="868" spans="2:7" ht="15" customHeight="1" x14ac:dyDescent="0.3">
      <c r="C868" s="2"/>
      <c r="D868" s="8">
        <v>2022</v>
      </c>
      <c r="E868" s="14">
        <f>Data!I868</f>
        <v>984909000000</v>
      </c>
      <c r="F868" s="14">
        <f>Data!K868</f>
        <v>135021000000</v>
      </c>
      <c r="G868" s="12">
        <f t="shared" si="13"/>
        <v>7.2944875241629079</v>
      </c>
    </row>
    <row r="869" spans="2:7" ht="15" customHeight="1" x14ac:dyDescent="0.3">
      <c r="C869" s="2"/>
      <c r="D869" s="8">
        <v>2023</v>
      </c>
      <c r="E869" s="14">
        <f>Data!I869</f>
        <v>739769000000</v>
      </c>
      <c r="F869" s="14">
        <f>Data!K869</f>
        <v>125690000000</v>
      </c>
      <c r="G869" s="12">
        <f t="shared" si="13"/>
        <v>5.8856631394701253</v>
      </c>
    </row>
    <row r="870" spans="2:7" ht="15" customHeight="1" x14ac:dyDescent="0.3">
      <c r="C870" s="2"/>
      <c r="D870" s="8">
        <v>2024</v>
      </c>
      <c r="E870" s="14">
        <f>Data!I870</f>
        <v>639262000000</v>
      </c>
      <c r="F870" s="14">
        <f>Data!K870</f>
        <v>110404000000</v>
      </c>
      <c r="G870" s="12">
        <f t="shared" si="13"/>
        <v>5.7902068765624435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Data!I871</f>
        <v>0</v>
      </c>
      <c r="F871" s="14">
        <f>Data!K871</f>
        <v>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Data!I872</f>
        <v>1242670000000</v>
      </c>
      <c r="F872" s="14">
        <f>Data!K872</f>
        <v>182744000000</v>
      </c>
      <c r="G872" s="12">
        <f t="shared" si="13"/>
        <v>6.800059099067548</v>
      </c>
    </row>
    <row r="873" spans="2:7" ht="15" customHeight="1" x14ac:dyDescent="0.3">
      <c r="C873" s="2"/>
      <c r="D873" s="8">
        <v>2016</v>
      </c>
      <c r="E873" s="14">
        <f>Data!I873</f>
        <v>1245274000000</v>
      </c>
      <c r="F873" s="14">
        <f>Data!K873</f>
        <v>202257000000</v>
      </c>
      <c r="G873" s="12">
        <f t="shared" si="13"/>
        <v>6.1568895019702659</v>
      </c>
    </row>
    <row r="874" spans="2:7" ht="15" customHeight="1" x14ac:dyDescent="0.3">
      <c r="C874" s="2"/>
      <c r="D874" s="8">
        <v>2017</v>
      </c>
      <c r="E874" s="14">
        <f>Data!I874</f>
        <v>1320815000000</v>
      </c>
      <c r="F874" s="14">
        <f>Data!K874</f>
        <v>212684000000</v>
      </c>
      <c r="G874" s="12">
        <f t="shared" si="13"/>
        <v>6.2102226777754792</v>
      </c>
    </row>
    <row r="875" spans="2:7" ht="15" customHeight="1" x14ac:dyDescent="0.3">
      <c r="C875" s="2"/>
      <c r="D875" s="8">
        <v>2018</v>
      </c>
      <c r="E875" s="14">
        <f>Data!I875</f>
        <v>1505101000000</v>
      </c>
      <c r="F875" s="14">
        <f>Data!K875</f>
        <v>230454000000</v>
      </c>
      <c r="G875" s="12">
        <f t="shared" si="13"/>
        <v>6.5310257144592851</v>
      </c>
    </row>
    <row r="876" spans="2:7" ht="15" customHeight="1" x14ac:dyDescent="0.3">
      <c r="C876" s="2"/>
      <c r="D876" s="8">
        <v>2019</v>
      </c>
      <c r="E876" s="14">
        <f>Data!I876</f>
        <v>1485112000000</v>
      </c>
      <c r="F876" s="14">
        <f>Data!K876</f>
        <v>269322000000</v>
      </c>
      <c r="G876" s="12">
        <f t="shared" si="13"/>
        <v>5.5142617387365309</v>
      </c>
    </row>
    <row r="877" spans="2:7" ht="15" customHeight="1" x14ac:dyDescent="0.3">
      <c r="C877" s="2"/>
      <c r="D877" s="8">
        <v>2020</v>
      </c>
      <c r="E877" s="14">
        <f>Data!I877</f>
        <v>1332323000000</v>
      </c>
      <c r="F877" s="14">
        <f>Data!K877</f>
        <v>282749000000</v>
      </c>
      <c r="G877" s="12">
        <f t="shared" si="13"/>
        <v>4.7120343484857594</v>
      </c>
    </row>
    <row r="878" spans="2:7" ht="15" customHeight="1" x14ac:dyDescent="0.3">
      <c r="C878" s="2"/>
      <c r="D878" s="8">
        <v>2021</v>
      </c>
      <c r="E878" s="14">
        <f>Data!I878</f>
        <v>1362813000000</v>
      </c>
      <c r="F878" s="14">
        <f>Data!K878</f>
        <v>299465000000</v>
      </c>
      <c r="G878" s="12">
        <f t="shared" si="13"/>
        <v>4.5508256390563169</v>
      </c>
    </row>
    <row r="879" spans="2:7" ht="15" customHeight="1" x14ac:dyDescent="0.3">
      <c r="C879" s="2"/>
      <c r="D879" s="8">
        <v>2022</v>
      </c>
      <c r="E879" s="14">
        <f>Data!I879</f>
        <v>1771107000000</v>
      </c>
      <c r="F879" s="14">
        <f>Data!K879</f>
        <v>307721000000</v>
      </c>
      <c r="G879" s="12">
        <f t="shared" si="13"/>
        <v>5.7555610439326532</v>
      </c>
    </row>
    <row r="880" spans="2:7" ht="15" customHeight="1" x14ac:dyDescent="0.3">
      <c r="C880" s="2"/>
      <c r="D880" s="8">
        <v>2023</v>
      </c>
      <c r="E880" s="14">
        <f>Data!I880</f>
        <v>1289836000000</v>
      </c>
      <c r="F880" s="14">
        <f>Data!K880</f>
        <v>326315000000</v>
      </c>
      <c r="G880" s="12">
        <f t="shared" si="13"/>
        <v>3.9527327888696506</v>
      </c>
    </row>
    <row r="881" spans="2:7" ht="15" customHeight="1" x14ac:dyDescent="0.3">
      <c r="C881" s="2"/>
      <c r="D881" s="8">
        <v>2024</v>
      </c>
      <c r="E881" s="14">
        <f>Data!I881</f>
        <v>1323407000000</v>
      </c>
      <c r="F881" s="14">
        <f>Data!K881</f>
        <v>264419000000</v>
      </c>
      <c r="G881" s="12">
        <f t="shared" si="13"/>
        <v>5.0049618219568188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Data!I882</f>
        <v>0</v>
      </c>
      <c r="F882" s="14">
        <f>Data!K882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Data!I883</f>
        <v>0</v>
      </c>
      <c r="F883" s="14">
        <f>Data!K883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Data!I884</f>
        <v>0</v>
      </c>
      <c r="F884" s="14">
        <f>Data!K884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Data!I885</f>
        <v>0</v>
      </c>
      <c r="F885" s="14">
        <f>Data!K885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Data!I886</f>
        <v>364592692000</v>
      </c>
      <c r="F886" s="14">
        <f>Data!K886</f>
        <v>263872170000</v>
      </c>
      <c r="G886" s="12">
        <f t="shared" si="13"/>
        <v>1.3817019506073718</v>
      </c>
    </row>
    <row r="887" spans="2:7" ht="15" customHeight="1" x14ac:dyDescent="0.3">
      <c r="C887" s="2"/>
      <c r="D887" s="8">
        <v>2019</v>
      </c>
      <c r="E887" s="14">
        <f>Data!I887</f>
        <v>433311390000</v>
      </c>
      <c r="F887" s="14">
        <f>Data!K887</f>
        <v>148924854000</v>
      </c>
      <c r="G887" s="12">
        <f t="shared" si="13"/>
        <v>2.9095975477672789</v>
      </c>
    </row>
    <row r="888" spans="2:7" ht="15" customHeight="1" x14ac:dyDescent="0.3">
      <c r="C888" s="2"/>
      <c r="D888" s="8">
        <v>2020</v>
      </c>
      <c r="E888" s="14">
        <f>Data!I888</f>
        <v>472175668000</v>
      </c>
      <c r="F888" s="14">
        <f>Data!K888</f>
        <v>105569150000</v>
      </c>
      <c r="G888" s="12">
        <f t="shared" si="13"/>
        <v>4.4726671380796379</v>
      </c>
    </row>
    <row r="889" spans="2:7" ht="15" customHeight="1" x14ac:dyDescent="0.3">
      <c r="C889" s="2"/>
      <c r="D889" s="8">
        <v>2021</v>
      </c>
      <c r="E889" s="14">
        <f>Data!I889</f>
        <v>544767542000</v>
      </c>
      <c r="F889" s="14">
        <f>Data!K889</f>
        <v>122136221000</v>
      </c>
      <c r="G889" s="12">
        <f t="shared" si="13"/>
        <v>4.4603274732071494</v>
      </c>
    </row>
    <row r="890" spans="2:7" ht="15" customHeight="1" x14ac:dyDescent="0.3">
      <c r="C890" s="2"/>
      <c r="D890" s="8">
        <v>2022</v>
      </c>
      <c r="E890" s="14">
        <f>Data!I890</f>
        <v>723212185000</v>
      </c>
      <c r="F890" s="14">
        <f>Data!K890</f>
        <v>210067263000</v>
      </c>
      <c r="G890" s="12">
        <f t="shared" si="13"/>
        <v>3.4427648300439846</v>
      </c>
    </row>
    <row r="891" spans="2:7" ht="15" customHeight="1" x14ac:dyDescent="0.3">
      <c r="C891" s="2"/>
      <c r="D891" s="8">
        <v>2023</v>
      </c>
      <c r="E891" s="14">
        <f>Data!I891</f>
        <v>781419952000</v>
      </c>
      <c r="F891" s="14">
        <f>Data!K891</f>
        <v>215979111000</v>
      </c>
      <c r="G891" s="12">
        <f t="shared" si="13"/>
        <v>3.6180348570839334</v>
      </c>
    </row>
    <row r="892" spans="2:7" ht="15" customHeight="1" x14ac:dyDescent="0.3">
      <c r="C892" s="2"/>
      <c r="D892" s="8">
        <v>2024</v>
      </c>
      <c r="E892" s="14">
        <f>Data!I892</f>
        <v>847738126000</v>
      </c>
      <c r="F892" s="14">
        <f>Data!K892</f>
        <v>223291047000</v>
      </c>
      <c r="G892" s="12">
        <f t="shared" si="13"/>
        <v>3.7965612029218527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Data!I893</f>
        <v>0</v>
      </c>
      <c r="F893" s="14">
        <f>Data!K893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Data!I894</f>
        <v>0</v>
      </c>
      <c r="F894" s="14">
        <f>Data!K894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Data!I895</f>
        <v>0</v>
      </c>
      <c r="F895" s="14">
        <f>Data!K895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Data!I896</f>
        <v>0</v>
      </c>
      <c r="F896" s="14">
        <f>Data!K896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Data!I897</f>
        <v>0</v>
      </c>
      <c r="F897" s="14">
        <f>Data!K897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Data!I898</f>
        <v>0</v>
      </c>
      <c r="F898" s="14">
        <f>Data!K898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Data!I899</f>
        <v>113494000000</v>
      </c>
      <c r="F899" s="14">
        <f>Data!K899</f>
        <v>127713000000</v>
      </c>
      <c r="G899" s="12">
        <f t="shared" ref="G899:G962" si="14">IFERROR(E899/F899,0)</f>
        <v>0.88866442727052064</v>
      </c>
    </row>
    <row r="900" spans="2:7" ht="15" customHeight="1" x14ac:dyDescent="0.3">
      <c r="C900" s="2"/>
      <c r="D900" s="8">
        <v>2021</v>
      </c>
      <c r="E900" s="14">
        <f>Data!I900</f>
        <v>144392000000</v>
      </c>
      <c r="F900" s="14">
        <f>Data!K900</f>
        <v>129301000000</v>
      </c>
      <c r="G900" s="12">
        <f t="shared" si="14"/>
        <v>1.1167121677326548</v>
      </c>
    </row>
    <row r="901" spans="2:7" ht="15" customHeight="1" x14ac:dyDescent="0.3">
      <c r="C901" s="2"/>
      <c r="D901" s="8">
        <v>2022</v>
      </c>
      <c r="E901" s="14">
        <f>Data!I901</f>
        <v>168087000000</v>
      </c>
      <c r="F901" s="14">
        <f>Data!K901</f>
        <v>140743000000</v>
      </c>
      <c r="G901" s="12">
        <f t="shared" si="14"/>
        <v>1.1942831970328898</v>
      </c>
    </row>
    <row r="902" spans="2:7" ht="15" customHeight="1" x14ac:dyDescent="0.3">
      <c r="C902" s="2"/>
      <c r="D902" s="8">
        <v>2023</v>
      </c>
      <c r="E902" s="14">
        <f>Data!I902</f>
        <v>313912000000</v>
      </c>
      <c r="F902" s="14">
        <f>Data!K902</f>
        <v>171505000000</v>
      </c>
      <c r="G902" s="12">
        <f t="shared" si="14"/>
        <v>1.8303373079502054</v>
      </c>
    </row>
    <row r="903" spans="2:7" ht="15" customHeight="1" x14ac:dyDescent="0.3">
      <c r="C903" s="2"/>
      <c r="D903" s="8">
        <v>2024</v>
      </c>
      <c r="E903" s="14">
        <f>Data!I903</f>
        <v>293683000000</v>
      </c>
      <c r="F903" s="14">
        <f>Data!K903</f>
        <v>260782000000</v>
      </c>
      <c r="G903" s="12">
        <f t="shared" si="14"/>
        <v>1.1261628486628679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Data!I904</f>
        <v>0</v>
      </c>
      <c r="F904" s="14">
        <f>Data!K904</f>
        <v>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Data!I905</f>
        <v>9046986000000</v>
      </c>
      <c r="F905" s="14">
        <f>Data!K905</f>
        <v>2346927000000</v>
      </c>
      <c r="G905" s="12">
        <f t="shared" si="14"/>
        <v>3.8548220715855246</v>
      </c>
    </row>
    <row r="906" spans="2:7" ht="15" customHeight="1" x14ac:dyDescent="0.3">
      <c r="C906" s="2"/>
      <c r="D906" s="8">
        <v>2016</v>
      </c>
      <c r="E906" s="14">
        <f>Data!I906</f>
        <v>9376170000000</v>
      </c>
      <c r="F906" s="14">
        <f>Data!K906</f>
        <v>2700301000000</v>
      </c>
      <c r="G906" s="12">
        <f t="shared" si="14"/>
        <v>3.4722684619233188</v>
      </c>
    </row>
    <row r="907" spans="2:7" ht="15" customHeight="1" x14ac:dyDescent="0.3">
      <c r="C907" s="2"/>
      <c r="D907" s="8">
        <v>2017</v>
      </c>
      <c r="E907" s="14">
        <f>Data!I907</f>
        <v>8691107000000</v>
      </c>
      <c r="F907" s="14">
        <f>Data!K907</f>
        <v>3029485000000</v>
      </c>
      <c r="G907" s="12">
        <f t="shared" si="14"/>
        <v>2.8688397532914012</v>
      </c>
    </row>
    <row r="908" spans="2:7" ht="15" customHeight="1" x14ac:dyDescent="0.3">
      <c r="C908" s="2"/>
      <c r="D908" s="8">
        <v>2018</v>
      </c>
      <c r="E908" s="14">
        <f>Data!I908</f>
        <v>10292519000000</v>
      </c>
      <c r="F908" s="14">
        <f>Data!K908</f>
        <v>3167976000000</v>
      </c>
      <c r="G908" s="12">
        <f t="shared" si="14"/>
        <v>3.2489258125692873</v>
      </c>
    </row>
    <row r="909" spans="2:7" ht="15" customHeight="1" x14ac:dyDescent="0.3">
      <c r="C909" s="2"/>
      <c r="D909" s="8">
        <v>2019</v>
      </c>
      <c r="E909" s="14">
        <f>Data!I909</f>
        <v>9400478000000</v>
      </c>
      <c r="F909" s="14">
        <f>Data!K909</f>
        <v>3267355000000</v>
      </c>
      <c r="G909" s="12">
        <f t="shared" si="14"/>
        <v>2.8770911027421264</v>
      </c>
    </row>
    <row r="910" spans="2:7" ht="15" customHeight="1" x14ac:dyDescent="0.3">
      <c r="C910" s="2"/>
      <c r="D910" s="8">
        <v>2020</v>
      </c>
      <c r="E910" s="14">
        <f>Data!I910</f>
        <v>12975487000000</v>
      </c>
      <c r="F910" s="14">
        <f>Data!K910</f>
        <v>922556000000</v>
      </c>
      <c r="G910" s="12">
        <f t="shared" si="14"/>
        <v>14.064714770702267</v>
      </c>
    </row>
    <row r="911" spans="2:7" ht="15" customHeight="1" x14ac:dyDescent="0.3">
      <c r="C911" s="2"/>
      <c r="D911" s="8">
        <v>2021</v>
      </c>
      <c r="E911" s="14">
        <f>Data!I911</f>
        <v>13118813000000</v>
      </c>
      <c r="F911" s="14">
        <f>Data!K911</f>
        <v>938868000000</v>
      </c>
      <c r="G911" s="12">
        <f t="shared" si="14"/>
        <v>13.973011115513575</v>
      </c>
    </row>
    <row r="912" spans="2:7" ht="15" customHeight="1" x14ac:dyDescent="0.3">
      <c r="C912" s="2"/>
      <c r="D912" s="8">
        <v>2022</v>
      </c>
      <c r="E912" s="14">
        <f>Data!I912</f>
        <v>12493562000000</v>
      </c>
      <c r="F912" s="14">
        <f>Data!K912</f>
        <v>2703441000000</v>
      </c>
      <c r="G912" s="12">
        <f t="shared" si="14"/>
        <v>4.6213555243114239</v>
      </c>
    </row>
    <row r="913" spans="2:7" ht="15" customHeight="1" x14ac:dyDescent="0.3">
      <c r="C913" s="2"/>
      <c r="D913" s="8">
        <v>2023</v>
      </c>
      <c r="E913" s="14">
        <f>Data!I913</f>
        <v>12043350000000</v>
      </c>
      <c r="F913" s="14">
        <f>Data!K913</f>
        <v>2866830000000</v>
      </c>
      <c r="G913" s="12">
        <f t="shared" si="14"/>
        <v>4.2009292493799775</v>
      </c>
    </row>
    <row r="914" spans="2:7" ht="15" customHeight="1" x14ac:dyDescent="0.3">
      <c r="C914" s="2"/>
      <c r="D914" s="8">
        <v>2024</v>
      </c>
      <c r="E914" s="14">
        <f>Data!I914</f>
        <v>11763926000000</v>
      </c>
      <c r="F914" s="14">
        <f>Data!K914</f>
        <v>2991970000000</v>
      </c>
      <c r="G914" s="12">
        <f t="shared" si="14"/>
        <v>3.9318328726558085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Data!I915</f>
        <v>0</v>
      </c>
      <c r="F915" s="14">
        <f>Data!K915</f>
        <v>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Data!G916</f>
        <v>390083000000</v>
      </c>
      <c r="F916" s="14">
        <f>Data!K916</f>
        <v>166216000000</v>
      </c>
      <c r="G916" s="12">
        <f t="shared" si="14"/>
        <v>2.3468438658131587</v>
      </c>
    </row>
    <row r="917" spans="2:7" ht="15" customHeight="1" x14ac:dyDescent="0.3">
      <c r="C917" s="2"/>
      <c r="D917" s="8">
        <v>2016</v>
      </c>
      <c r="E917" s="14">
        <f>Data!I917</f>
        <v>243519000000</v>
      </c>
      <c r="F917" s="14">
        <f>Data!K917</f>
        <v>183530000000</v>
      </c>
      <c r="G917" s="12">
        <f t="shared" si="14"/>
        <v>1.3268620933907262</v>
      </c>
    </row>
    <row r="918" spans="2:7" ht="15" customHeight="1" x14ac:dyDescent="0.3">
      <c r="C918" s="2"/>
      <c r="D918" s="8">
        <v>2017</v>
      </c>
      <c r="E918" s="14">
        <f>Data!I918</f>
        <v>234664000000</v>
      </c>
      <c r="F918" s="14">
        <f>Data!K918</f>
        <v>211444000000</v>
      </c>
      <c r="G918" s="12">
        <f t="shared" si="14"/>
        <v>1.1098163107016514</v>
      </c>
    </row>
    <row r="919" spans="2:7" ht="15" customHeight="1" x14ac:dyDescent="0.3">
      <c r="C919" s="2"/>
      <c r="D919" s="8">
        <v>2018</v>
      </c>
      <c r="E919" s="14">
        <f>Data!I919</f>
        <v>258813000000</v>
      </c>
      <c r="F919" s="14">
        <f>Data!K919</f>
        <v>219626000000</v>
      </c>
      <c r="G919" s="12">
        <f t="shared" si="14"/>
        <v>1.1784260515603799</v>
      </c>
    </row>
    <row r="920" spans="2:7" ht="15" customHeight="1" x14ac:dyDescent="0.3">
      <c r="C920" s="2"/>
      <c r="D920" s="8">
        <v>2019</v>
      </c>
      <c r="E920" s="14">
        <f>Data!I920</f>
        <v>238307000000</v>
      </c>
      <c r="F920" s="14">
        <f>Data!K920</f>
        <v>209363000000</v>
      </c>
      <c r="G920" s="12">
        <f t="shared" si="14"/>
        <v>1.138247923463076</v>
      </c>
    </row>
    <row r="921" spans="2:7" ht="15" customHeight="1" x14ac:dyDescent="0.3">
      <c r="C921" s="2"/>
      <c r="D921" s="8">
        <v>2020</v>
      </c>
      <c r="E921" s="14">
        <f>Data!I921</f>
        <v>156229000000</v>
      </c>
      <c r="F921" s="14">
        <f>Data!K921</f>
        <v>209535000000</v>
      </c>
      <c r="G921" s="12">
        <f t="shared" si="14"/>
        <v>0.74559858734817575</v>
      </c>
    </row>
    <row r="922" spans="2:7" ht="15" customHeight="1" x14ac:dyDescent="0.3">
      <c r="C922" s="2"/>
      <c r="D922" s="8">
        <v>2021</v>
      </c>
      <c r="E922" s="14">
        <f>Data!I922</f>
        <v>219398000000</v>
      </c>
      <c r="F922" s="14">
        <f>Data!K922</f>
        <v>308454000000</v>
      </c>
      <c r="G922" s="12">
        <f t="shared" si="14"/>
        <v>0.71128271962756195</v>
      </c>
    </row>
    <row r="923" spans="2:7" ht="15" customHeight="1" x14ac:dyDescent="0.3">
      <c r="C923" s="2"/>
      <c r="D923" s="8">
        <v>2022</v>
      </c>
      <c r="E923" s="14">
        <f>Data!I923</f>
        <v>181190000000</v>
      </c>
      <c r="F923" s="14">
        <f>Data!K923</f>
        <v>317842000000</v>
      </c>
      <c r="G923" s="12">
        <f t="shared" si="14"/>
        <v>0.57006311311909696</v>
      </c>
    </row>
    <row r="924" spans="2:7" ht="15" customHeight="1" x14ac:dyDescent="0.3">
      <c r="C924" s="2"/>
      <c r="D924" s="8">
        <v>2023</v>
      </c>
      <c r="E924" s="14">
        <f>Data!I924</f>
        <v>174349000000</v>
      </c>
      <c r="F924" s="14">
        <f>Data!K924</f>
        <v>324374000000</v>
      </c>
      <c r="G924" s="12">
        <f t="shared" si="14"/>
        <v>0.53749375720618797</v>
      </c>
    </row>
    <row r="925" spans="2:7" ht="15" customHeight="1" x14ac:dyDescent="0.3">
      <c r="C925" s="2"/>
      <c r="D925" s="8">
        <v>2024</v>
      </c>
      <c r="E925" s="14">
        <f>Data!I925</f>
        <v>246340000000</v>
      </c>
      <c r="F925" s="14">
        <f>Data!K925</f>
        <v>327097000000</v>
      </c>
      <c r="G925" s="12">
        <f t="shared" si="14"/>
        <v>0.75310993375053881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Data!I926</f>
        <v>0</v>
      </c>
      <c r="F926" s="14">
        <f>Data!K926</f>
        <v>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Data!I927</f>
        <v>857350000000</v>
      </c>
      <c r="F927" s="14">
        <f>Data!K927</f>
        <v>704477000000</v>
      </c>
      <c r="G927" s="12">
        <f t="shared" si="14"/>
        <v>1.2170021164637028</v>
      </c>
    </row>
    <row r="928" spans="2:7" ht="15" customHeight="1" x14ac:dyDescent="0.3">
      <c r="C928" s="2"/>
      <c r="D928" s="8">
        <v>2016</v>
      </c>
      <c r="E928" s="14">
        <f>Data!I928</f>
        <v>867760000000</v>
      </c>
      <c r="F928" s="14">
        <f>Data!K928</f>
        <v>748405000000</v>
      </c>
      <c r="G928" s="12">
        <f t="shared" si="14"/>
        <v>1.1594791590114979</v>
      </c>
    </row>
    <row r="929" spans="2:7" ht="15" customHeight="1" x14ac:dyDescent="0.3">
      <c r="C929" s="2"/>
      <c r="D929" s="8">
        <v>2017</v>
      </c>
      <c r="E929" s="14">
        <f>Data!I929</f>
        <v>1122332000000</v>
      </c>
      <c r="F929" s="14">
        <f>Data!K929</f>
        <v>849987000000</v>
      </c>
      <c r="G929" s="12">
        <f t="shared" si="14"/>
        <v>1.3204107827531479</v>
      </c>
    </row>
    <row r="930" spans="2:7" ht="15" customHeight="1" x14ac:dyDescent="0.3">
      <c r="C930" s="2"/>
      <c r="D930" s="8">
        <v>2018</v>
      </c>
      <c r="E930" s="14">
        <f>Data!I930</f>
        <v>1237414000000</v>
      </c>
      <c r="F930" s="14">
        <f>Data!K930</f>
        <v>915495000000</v>
      </c>
      <c r="G930" s="12">
        <f t="shared" si="14"/>
        <v>1.3516338155861036</v>
      </c>
    </row>
    <row r="931" spans="2:7" ht="15" customHeight="1" x14ac:dyDescent="0.3">
      <c r="C931" s="2"/>
      <c r="D931" s="8">
        <v>2019</v>
      </c>
      <c r="E931" s="14">
        <f>Data!I931</f>
        <v>1977319000000</v>
      </c>
      <c r="F931" s="14">
        <f>Data!K931</f>
        <v>1024377000000</v>
      </c>
      <c r="G931" s="12">
        <f t="shared" si="14"/>
        <v>1.9302649317585225</v>
      </c>
    </row>
    <row r="932" spans="2:7" ht="15" customHeight="1" x14ac:dyDescent="0.3">
      <c r="C932" s="2"/>
      <c r="D932" s="8">
        <v>2020</v>
      </c>
      <c r="E932" s="14">
        <f>Data!I932</f>
        <v>2249497000000</v>
      </c>
      <c r="F932" s="14">
        <f>Data!K932</f>
        <v>1088225000000</v>
      </c>
      <c r="G932" s="12">
        <f t="shared" si="14"/>
        <v>2.0671249052355902</v>
      </c>
    </row>
    <row r="933" spans="2:7" ht="15" customHeight="1" x14ac:dyDescent="0.3">
      <c r="C933" s="2"/>
      <c r="D933" s="8">
        <v>2021</v>
      </c>
      <c r="E933" s="14">
        <f>Data!I933</f>
        <v>2187167000000</v>
      </c>
      <c r="F933" s="14">
        <f>Data!K933</f>
        <v>1140637000000</v>
      </c>
      <c r="G933" s="12">
        <f t="shared" si="14"/>
        <v>1.9174961008629388</v>
      </c>
    </row>
    <row r="934" spans="2:7" ht="15" customHeight="1" x14ac:dyDescent="0.3">
      <c r="C934" s="2"/>
      <c r="D934" s="8">
        <v>2022</v>
      </c>
      <c r="E934" s="14">
        <f>Data!I934</f>
        <v>2393678000000</v>
      </c>
      <c r="F934" s="14">
        <f>Data!K934</f>
        <v>1201468000000</v>
      </c>
      <c r="G934" s="12">
        <f t="shared" si="14"/>
        <v>1.9922944264849334</v>
      </c>
    </row>
    <row r="935" spans="2:7" ht="15" customHeight="1" x14ac:dyDescent="0.3">
      <c r="C935" s="2"/>
      <c r="D935" s="8">
        <v>2023</v>
      </c>
      <c r="E935" s="14">
        <f>Data!I935</f>
        <v>2796593000000</v>
      </c>
      <c r="F935" s="14">
        <f>Data!K935</f>
        <v>1318493000000</v>
      </c>
      <c r="G935" s="12">
        <f t="shared" si="14"/>
        <v>2.1210525956527642</v>
      </c>
    </row>
    <row r="936" spans="2:7" ht="15" customHeight="1" x14ac:dyDescent="0.3">
      <c r="C936" s="2"/>
      <c r="D936" s="8">
        <v>2024</v>
      </c>
      <c r="E936" s="14">
        <f>Data!I936</f>
        <v>2891027000000</v>
      </c>
      <c r="F936" s="14">
        <f>Data!K936</f>
        <v>1429557000000</v>
      </c>
      <c r="G936" s="12">
        <f t="shared" si="14"/>
        <v>2.0223236988801427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Data!I937</f>
        <v>0</v>
      </c>
      <c r="F937" s="14">
        <f>Data!K937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Data!I938</f>
        <v>0</v>
      </c>
      <c r="F938" s="14">
        <f>Data!K938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Data!I939</f>
        <v>143626000000</v>
      </c>
      <c r="F939" s="14">
        <f>Data!K939</f>
        <v>87541000000</v>
      </c>
      <c r="G939" s="12">
        <f t="shared" si="14"/>
        <v>1.6406712283387213</v>
      </c>
    </row>
    <row r="940" spans="2:7" ht="15" customHeight="1" x14ac:dyDescent="0.3">
      <c r="C940" s="1"/>
      <c r="D940" s="8">
        <v>2017</v>
      </c>
      <c r="E940" s="14">
        <f>Data!I940</f>
        <v>134857000000</v>
      </c>
      <c r="F940" s="14">
        <f>Data!K940</f>
        <v>95137000000</v>
      </c>
      <c r="G940" s="12">
        <f t="shared" si="14"/>
        <v>1.417503179625172</v>
      </c>
    </row>
    <row r="941" spans="2:7" ht="15" customHeight="1" x14ac:dyDescent="0.3">
      <c r="C941" s="1"/>
      <c r="D941" s="8">
        <v>2018</v>
      </c>
      <c r="E941" s="14">
        <f>Data!I941</f>
        <v>144562000000</v>
      </c>
      <c r="F941" s="14">
        <f>Data!K941</f>
        <v>96280000000</v>
      </c>
      <c r="G941" s="12">
        <f t="shared" si="14"/>
        <v>1.5014748649771499</v>
      </c>
    </row>
    <row r="942" spans="2:7" ht="15" customHeight="1" x14ac:dyDescent="0.3">
      <c r="C942" s="1"/>
      <c r="D942" s="8">
        <v>2019</v>
      </c>
      <c r="E942" s="14">
        <f>Data!I942</f>
        <v>176045000000</v>
      </c>
      <c r="F942" s="14">
        <f>Data!K942</f>
        <v>104117000000</v>
      </c>
      <c r="G942" s="12">
        <f t="shared" si="14"/>
        <v>1.6908381916497786</v>
      </c>
    </row>
    <row r="943" spans="2:7" ht="15" customHeight="1" x14ac:dyDescent="0.3">
      <c r="C943" s="1"/>
      <c r="D943" s="8">
        <v>2020</v>
      </c>
      <c r="E943" s="14">
        <f>Data!I943</f>
        <v>414010000000</v>
      </c>
      <c r="F943" s="14">
        <f>Data!K943</f>
        <v>31897000000</v>
      </c>
      <c r="G943" s="12">
        <f t="shared" si="14"/>
        <v>12.979590557105684</v>
      </c>
    </row>
    <row r="944" spans="2:7" ht="15" customHeight="1" x14ac:dyDescent="0.3">
      <c r="C944" s="1"/>
      <c r="D944" s="8">
        <v>2021</v>
      </c>
      <c r="E944" s="14">
        <f>Data!I944</f>
        <v>433870000000</v>
      </c>
      <c r="F944" s="14">
        <f>Data!K944</f>
        <v>37602000000</v>
      </c>
      <c r="G944" s="12">
        <f t="shared" si="14"/>
        <v>11.538481995638531</v>
      </c>
    </row>
    <row r="945" spans="2:7" ht="15" customHeight="1" x14ac:dyDescent="0.3">
      <c r="C945" s="1"/>
      <c r="D945" s="8">
        <v>2022</v>
      </c>
      <c r="E945" s="14">
        <f>Data!I945</f>
        <v>501977000000</v>
      </c>
      <c r="F945" s="14">
        <f>Data!K945</f>
        <v>52085000000</v>
      </c>
      <c r="G945" s="12">
        <f t="shared" si="14"/>
        <v>9.6376499952001531</v>
      </c>
    </row>
    <row r="946" spans="2:7" ht="15" customHeight="1" x14ac:dyDescent="0.3">
      <c r="C946" s="1"/>
      <c r="D946" s="8">
        <v>2023</v>
      </c>
      <c r="E946" s="14">
        <f>Data!I946</f>
        <v>496049000000</v>
      </c>
      <c r="F946" s="14">
        <f>Data!K946</f>
        <v>61841000000</v>
      </c>
      <c r="G946" s="12">
        <f t="shared" si="14"/>
        <v>8.0213612328390553</v>
      </c>
    </row>
    <row r="947" spans="2:7" ht="15" customHeight="1" x14ac:dyDescent="0.3">
      <c r="C947" s="1"/>
      <c r="D947" s="8">
        <v>2024</v>
      </c>
      <c r="E947" s="14">
        <f>Data!I947</f>
        <v>520310000000</v>
      </c>
      <c r="F947" s="14">
        <f>Data!K947</f>
        <v>71716000000</v>
      </c>
      <c r="G947" s="12">
        <f t="shared" si="14"/>
        <v>7.2551452953315856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Data!I948</f>
        <v>0</v>
      </c>
      <c r="F948" s="14">
        <f>Data!K948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Data!I949</f>
        <v>0</v>
      </c>
      <c r="F949" s="14">
        <f>Data!K949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Data!I950</f>
        <v>0</v>
      </c>
      <c r="F950" s="14">
        <f>Data!K950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Data!I951</f>
        <v>0</v>
      </c>
      <c r="F951" s="14">
        <f>Data!K951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Data!I952</f>
        <v>0</v>
      </c>
      <c r="F952" s="14">
        <f>Data!K952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Data!I953</f>
        <v>0</v>
      </c>
      <c r="F953" s="14">
        <f>Data!K953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Data!I954</f>
        <v>0</v>
      </c>
      <c r="F954" s="14">
        <f>Data!K954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Data!I955</f>
        <v>0</v>
      </c>
      <c r="F955" s="14">
        <f>Data!K955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Data!I956</f>
        <v>0</v>
      </c>
      <c r="F956" s="14">
        <f>Data!K956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Data!I957</f>
        <v>0</v>
      </c>
      <c r="F957" s="14">
        <f>Data!K957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Data!I958</f>
        <v>0</v>
      </c>
      <c r="F958" s="14">
        <f>Data!K958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Data!I959</f>
        <v>0</v>
      </c>
      <c r="F959" s="14">
        <f>Data!K959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Data!I960</f>
        <v>0</v>
      </c>
      <c r="F960" s="14">
        <f>Data!K960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Data!I961</f>
        <v>0</v>
      </c>
      <c r="F961" s="14">
        <f>Data!K961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Data!I962</f>
        <v>0</v>
      </c>
      <c r="F962" s="14">
        <f>Data!K962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Data!I963</f>
        <v>0</v>
      </c>
      <c r="F963" s="14">
        <f>Data!K963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Data!I964</f>
        <v>0</v>
      </c>
      <c r="F964" s="14">
        <f>Data!K964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Data!I965</f>
        <v>0</v>
      </c>
      <c r="F965" s="14">
        <f>Data!K965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Data!I966</f>
        <v>0</v>
      </c>
      <c r="F966" s="14">
        <f>Data!K966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Data!I967</f>
        <v>0</v>
      </c>
      <c r="F967" s="14">
        <f>Data!K967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Data!I968</f>
        <v>0</v>
      </c>
      <c r="F968" s="14">
        <f>Data!K968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Data!I969</f>
        <v>0</v>
      </c>
      <c r="F969" s="14">
        <f>Data!K969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Data!I970</f>
        <v>0</v>
      </c>
      <c r="F970" s="14">
        <f>Data!K970</f>
        <v>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>
        <f>Data!I971</f>
        <v>333838896607</v>
      </c>
      <c r="F971" s="14">
        <f>Data!K971</f>
        <v>225241558243</v>
      </c>
      <c r="G971" s="12">
        <f t="shared" si="15"/>
        <v>1.482137218420593</v>
      </c>
    </row>
    <row r="972" spans="2:7" ht="15" customHeight="1" x14ac:dyDescent="0.3">
      <c r="C972" s="2"/>
      <c r="D972" s="8">
        <v>2016</v>
      </c>
      <c r="E972" s="14">
        <f>Data!I972</f>
        <v>348018575948</v>
      </c>
      <c r="F972" s="14">
        <f>Data!K972</f>
        <v>269632579797</v>
      </c>
      <c r="G972" s="12">
        <f t="shared" si="15"/>
        <v>1.2907141125527746</v>
      </c>
    </row>
    <row r="973" spans="2:7" ht="15" customHeight="1" x14ac:dyDescent="0.3">
      <c r="C973" s="2"/>
      <c r="D973" s="8">
        <v>2017</v>
      </c>
      <c r="E973" s="14">
        <f>Data!I973</f>
        <v>403521972590</v>
      </c>
      <c r="F973" s="14">
        <f>Data!K973</f>
        <v>454968310890</v>
      </c>
      <c r="G973" s="12">
        <f t="shared" si="15"/>
        <v>0.88692324922726662</v>
      </c>
    </row>
    <row r="974" spans="2:7" ht="15" customHeight="1" x14ac:dyDescent="0.3">
      <c r="C974" s="2"/>
      <c r="D974" s="8">
        <v>2018</v>
      </c>
      <c r="E974" s="14">
        <f>Data!I974</f>
        <v>450272263738</v>
      </c>
      <c r="F974" s="14">
        <f>Data!K974</f>
        <v>519594297238</v>
      </c>
      <c r="G974" s="12">
        <f t="shared" si="15"/>
        <v>0.8665843065089549</v>
      </c>
    </row>
    <row r="975" spans="2:7" ht="15" customHeight="1" x14ac:dyDescent="0.3">
      <c r="C975" s="2"/>
      <c r="D975" s="8">
        <v>2019</v>
      </c>
      <c r="E975" s="14">
        <f>Data!I975</f>
        <v>445392630259</v>
      </c>
      <c r="F975" s="14">
        <f>Data!K975</f>
        <v>530294832434</v>
      </c>
      <c r="G975" s="12">
        <f t="shared" si="15"/>
        <v>0.83989622945162901</v>
      </c>
    </row>
    <row r="976" spans="2:7" ht="15" customHeight="1" x14ac:dyDescent="0.3">
      <c r="C976" s="2"/>
      <c r="D976" s="8">
        <v>2020</v>
      </c>
      <c r="E976" s="14">
        <f>Data!I976</f>
        <v>547541424689</v>
      </c>
      <c r="F976" s="14">
        <f>Data!K976</f>
        <v>443450319375</v>
      </c>
      <c r="G976" s="12">
        <f t="shared" si="15"/>
        <v>1.2347300267157464</v>
      </c>
    </row>
    <row r="977" spans="2:7" ht="15" customHeight="1" x14ac:dyDescent="0.3">
      <c r="C977" s="2"/>
      <c r="D977" s="8">
        <v>2021</v>
      </c>
      <c r="E977" s="14">
        <f>Data!I977</f>
        <v>518209589004</v>
      </c>
      <c r="F977" s="14">
        <f>Data!K977</f>
        <v>462879983946</v>
      </c>
      <c r="G977" s="12">
        <f t="shared" si="15"/>
        <v>1.1195333714504596</v>
      </c>
    </row>
    <row r="978" spans="2:7" ht="15" customHeight="1" x14ac:dyDescent="0.3">
      <c r="C978" s="2"/>
      <c r="D978" s="8">
        <v>2022</v>
      </c>
      <c r="E978" s="14">
        <f>Data!I978</f>
        <v>686518502953</v>
      </c>
      <c r="F978" s="14">
        <f>Data!K978</f>
        <v>376952349563</v>
      </c>
      <c r="G978" s="12">
        <f t="shared" si="15"/>
        <v>1.8212341791976607</v>
      </c>
    </row>
    <row r="979" spans="2:7" ht="15" customHeight="1" x14ac:dyDescent="0.3">
      <c r="C979" s="2"/>
      <c r="D979" s="8">
        <v>2023</v>
      </c>
      <c r="E979" s="14">
        <f>Data!I979</f>
        <v>575621048674</v>
      </c>
      <c r="F979" s="14">
        <f>Data!K979</f>
        <v>385442024803</v>
      </c>
      <c r="G979" s="12">
        <f t="shared" si="15"/>
        <v>1.4934050042109466</v>
      </c>
    </row>
    <row r="980" spans="2:7" ht="15" customHeight="1" x14ac:dyDescent="0.3">
      <c r="C980" s="2"/>
      <c r="D980" s="8">
        <v>2024</v>
      </c>
      <c r="E980" s="14">
        <f>Data!I980</f>
        <v>717540883246</v>
      </c>
      <c r="F980" s="14">
        <f>Data!K980</f>
        <v>390973640398</v>
      </c>
      <c r="G980" s="12">
        <f t="shared" si="15"/>
        <v>1.8352666499858248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Data!I981</f>
        <v>0</v>
      </c>
      <c r="F981" s="14">
        <f>Data!K981</f>
        <v>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Data!I982</f>
        <v>267054000000</v>
      </c>
      <c r="F982" s="14">
        <f>Data!K982</f>
        <v>164901000000</v>
      </c>
      <c r="G982" s="12">
        <f t="shared" si="15"/>
        <v>1.619480779376717</v>
      </c>
    </row>
    <row r="983" spans="2:7" ht="15" customHeight="1" x14ac:dyDescent="0.3">
      <c r="C983" s="2"/>
      <c r="D983" s="8">
        <v>2016</v>
      </c>
      <c r="E983" s="14">
        <f>Data!I983</f>
        <v>388016000000</v>
      </c>
      <c r="F983" s="14">
        <f>Data!K983</f>
        <v>206064000000</v>
      </c>
      <c r="G983" s="12">
        <f t="shared" si="15"/>
        <v>1.8829878096125476</v>
      </c>
    </row>
    <row r="984" spans="2:7" ht="15" customHeight="1" x14ac:dyDescent="0.3">
      <c r="C984" s="2"/>
      <c r="D984" s="8">
        <v>2017</v>
      </c>
      <c r="E984" s="14">
        <f>Data!I984</f>
        <v>509983000000</v>
      </c>
      <c r="F984" s="14">
        <f>Data!K984</f>
        <v>272915000000</v>
      </c>
      <c r="G984" s="12">
        <f t="shared" si="15"/>
        <v>1.8686514116116739</v>
      </c>
    </row>
    <row r="985" spans="2:7" ht="15" customHeight="1" x14ac:dyDescent="0.3">
      <c r="C985" s="2"/>
      <c r="D985" s="8">
        <v>2018</v>
      </c>
      <c r="E985" s="14">
        <f>Data!I985</f>
        <v>691064000000</v>
      </c>
      <c r="F985" s="14">
        <f>Data!K985</f>
        <v>335459000000</v>
      </c>
      <c r="G985" s="12">
        <f t="shared" si="15"/>
        <v>2.0600550290795598</v>
      </c>
    </row>
    <row r="986" spans="2:7" ht="15" customHeight="1" x14ac:dyDescent="0.3">
      <c r="C986" s="2"/>
      <c r="D986" s="8">
        <v>2019</v>
      </c>
      <c r="E986" s="14">
        <f>Data!I986</f>
        <v>703404000000</v>
      </c>
      <c r="F986" s="14">
        <f>Data!K986</f>
        <v>415061000000</v>
      </c>
      <c r="G986" s="12">
        <f t="shared" si="15"/>
        <v>1.6947002970647689</v>
      </c>
    </row>
    <row r="987" spans="2:7" ht="15" customHeight="1" x14ac:dyDescent="0.3">
      <c r="C987" s="2"/>
      <c r="D987" s="8">
        <v>2020</v>
      </c>
      <c r="E987" s="14">
        <f>Data!I987</f>
        <v>1178813000000</v>
      </c>
      <c r="F987" s="14">
        <f>Data!K987</f>
        <v>523192000000</v>
      </c>
      <c r="G987" s="12">
        <f t="shared" si="15"/>
        <v>2.2531174024067648</v>
      </c>
    </row>
    <row r="988" spans="2:7" ht="15" customHeight="1" x14ac:dyDescent="0.3">
      <c r="C988" s="2"/>
      <c r="D988" s="8">
        <v>2021</v>
      </c>
      <c r="E988" s="14">
        <f>Data!I988</f>
        <v>1417106000000</v>
      </c>
      <c r="F988" s="14">
        <f>Data!K988</f>
        <v>606923000000</v>
      </c>
      <c r="G988" s="12">
        <f t="shared" si="15"/>
        <v>2.3349024505579785</v>
      </c>
    </row>
    <row r="989" spans="2:7" ht="15" customHeight="1" x14ac:dyDescent="0.3">
      <c r="C989" s="2"/>
      <c r="D989" s="8">
        <v>2022</v>
      </c>
      <c r="E989" s="14">
        <f>Data!I989</f>
        <v>1351600000000</v>
      </c>
      <c r="F989" s="14">
        <f>Data!K989</f>
        <v>670856000000</v>
      </c>
      <c r="G989" s="12">
        <f t="shared" si="15"/>
        <v>2.0147393777502178</v>
      </c>
    </row>
    <row r="990" spans="2:7" ht="15" customHeight="1" x14ac:dyDescent="0.3">
      <c r="C990" s="2"/>
      <c r="D990" s="8">
        <v>2023</v>
      </c>
      <c r="E990" s="14">
        <f>Data!I990</f>
        <v>1431367000000</v>
      </c>
      <c r="F990" s="14">
        <f>Data!K990</f>
        <v>717467000000</v>
      </c>
      <c r="G990" s="12">
        <f t="shared" si="15"/>
        <v>1.9950283427669844</v>
      </c>
    </row>
    <row r="991" spans="2:7" ht="15" customHeight="1" x14ac:dyDescent="0.3">
      <c r="C991" s="2"/>
      <c r="D991" s="8">
        <v>2024</v>
      </c>
      <c r="E991" s="14">
        <f>Data!I991</f>
        <v>1377998000000</v>
      </c>
      <c r="F991" s="14">
        <f>Data!K991</f>
        <v>755759000000</v>
      </c>
      <c r="G991" s="12">
        <f t="shared" si="15"/>
        <v>1.8233299239572403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Data!I992</f>
        <v>0</v>
      </c>
      <c r="F992" s="14">
        <f>Data!K992</f>
        <v>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Data!I993</f>
        <v>2200288000000</v>
      </c>
      <c r="F993" s="14">
        <f>Data!K993</f>
        <v>726372000000</v>
      </c>
      <c r="G993" s="12">
        <f t="shared" si="15"/>
        <v>3.0291475993017354</v>
      </c>
    </row>
    <row r="994" spans="2:7" ht="15" customHeight="1" x14ac:dyDescent="0.3">
      <c r="C994" s="2"/>
      <c r="D994" s="8">
        <v>2016</v>
      </c>
      <c r="E994" s="14">
        <f>Data!I994</f>
        <v>1724253000000</v>
      </c>
      <c r="F994" s="14">
        <f>Data!K994</f>
        <v>788925000000</v>
      </c>
      <c r="G994" s="12">
        <f t="shared" si="15"/>
        <v>2.1855727730772889</v>
      </c>
    </row>
    <row r="995" spans="2:7" ht="15" customHeight="1" x14ac:dyDescent="0.3">
      <c r="C995" s="2"/>
      <c r="D995" s="8">
        <v>2017</v>
      </c>
      <c r="E995" s="14">
        <f>Data!I995</f>
        <v>1704424000000</v>
      </c>
      <c r="F995" s="14">
        <f>Data!K995</f>
        <v>842970000000</v>
      </c>
      <c r="G995" s="12">
        <f t="shared" si="15"/>
        <v>2.0219272334721281</v>
      </c>
    </row>
    <row r="996" spans="2:7" ht="15" customHeight="1" x14ac:dyDescent="0.3">
      <c r="C996" s="2"/>
      <c r="D996" s="8">
        <v>2018</v>
      </c>
      <c r="E996" s="14">
        <f>Data!I996</f>
        <v>2498964000000</v>
      </c>
      <c r="F996" s="14">
        <f>Data!K996</f>
        <v>875126000000</v>
      </c>
      <c r="G996" s="12">
        <f t="shared" si="15"/>
        <v>2.8555476582800647</v>
      </c>
    </row>
    <row r="997" spans="2:7" ht="15" customHeight="1" x14ac:dyDescent="0.3">
      <c r="C997" s="2"/>
      <c r="D997" s="8">
        <v>2019</v>
      </c>
      <c r="E997" s="14">
        <f>Data!I997</f>
        <v>2523111000000</v>
      </c>
      <c r="F997" s="14">
        <f>Data!K997</f>
        <v>952119000000</v>
      </c>
      <c r="G997" s="12">
        <f t="shared" si="15"/>
        <v>2.6499954312433633</v>
      </c>
    </row>
    <row r="998" spans="2:7" ht="15" customHeight="1" x14ac:dyDescent="0.3">
      <c r="C998" s="2"/>
      <c r="D998" s="8">
        <v>2020</v>
      </c>
      <c r="E998" s="14">
        <f>Data!I998</f>
        <v>4165154000000</v>
      </c>
      <c r="F998" s="14">
        <f>Data!K998</f>
        <v>1019667000000</v>
      </c>
      <c r="G998" s="12">
        <f t="shared" si="15"/>
        <v>4.0848178866237701</v>
      </c>
    </row>
    <row r="999" spans="2:7" ht="15" customHeight="1" x14ac:dyDescent="0.3">
      <c r="C999" s="2"/>
      <c r="D999" s="8">
        <v>2021</v>
      </c>
      <c r="E999" s="14">
        <f>Data!I999</f>
        <v>3990215000000</v>
      </c>
      <c r="F999" s="14">
        <f>Data!K999</f>
        <v>1096891000000</v>
      </c>
      <c r="G999" s="12">
        <f t="shared" si="15"/>
        <v>3.6377497855301941</v>
      </c>
    </row>
    <row r="1000" spans="2:7" ht="15" customHeight="1" x14ac:dyDescent="0.3">
      <c r="C1000" s="2"/>
      <c r="D1000" s="8">
        <v>2022</v>
      </c>
      <c r="E1000" s="14">
        <f>Data!I1000</f>
        <v>3593551000000</v>
      </c>
      <c r="F1000" s="14">
        <f>Data!K1000</f>
        <v>1062324000000</v>
      </c>
      <c r="G1000" s="12">
        <f t="shared" si="15"/>
        <v>3.3827259856691554</v>
      </c>
    </row>
    <row r="1001" spans="2:7" ht="15" customHeight="1" x14ac:dyDescent="0.3">
      <c r="C1001" s="2"/>
      <c r="D1001" s="8">
        <v>2023</v>
      </c>
      <c r="E1001" s="14">
        <f>Data!I1001</f>
        <v>3072578000000</v>
      </c>
      <c r="F1001" s="14">
        <f>Data!K1001</f>
        <v>1231642000000</v>
      </c>
      <c r="G1001" s="12">
        <f t="shared" si="15"/>
        <v>2.4947005704579741</v>
      </c>
    </row>
    <row r="1002" spans="2:7" ht="15" customHeight="1" x14ac:dyDescent="0.3">
      <c r="C1002" s="2"/>
      <c r="D1002" s="8">
        <v>2024</v>
      </c>
      <c r="E1002" s="14">
        <f>Data!I1002</f>
        <v>3003809000000</v>
      </c>
      <c r="F1002" s="14">
        <f>Data!K1002</f>
        <v>1128071000000</v>
      </c>
      <c r="G1002" s="12">
        <f t="shared" si="15"/>
        <v>2.6627836368455533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Data!I1003</f>
        <v>0</v>
      </c>
      <c r="F1003" s="14">
        <f>Data!K1003</f>
        <v>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Data!I1004</f>
        <v>1119285041000</v>
      </c>
      <c r="F1004" s="14">
        <f>Data!K1004</f>
        <v>1508526723000</v>
      </c>
      <c r="G1004" s="12">
        <f t="shared" si="15"/>
        <v>0.74197229915429219</v>
      </c>
    </row>
    <row r="1005" spans="2:7" ht="15" customHeight="1" x14ac:dyDescent="0.3">
      <c r="C1005" s="2"/>
      <c r="D1005" s="8">
        <v>2016</v>
      </c>
      <c r="E1005" s="14">
        <f>Data!I1005</f>
        <v>1672629954000</v>
      </c>
      <c r="F1005" s="14">
        <f>Data!K1005</f>
        <v>1763758503000</v>
      </c>
      <c r="G1005" s="12">
        <f t="shared" si="15"/>
        <v>0.94833275142543705</v>
      </c>
    </row>
    <row r="1006" spans="2:7" ht="15" customHeight="1" x14ac:dyDescent="0.3">
      <c r="C1006" s="2"/>
      <c r="D1006" s="8">
        <v>2017</v>
      </c>
      <c r="E1006" s="14">
        <f>Data!I1006</f>
        <v>2032951536000</v>
      </c>
      <c r="F1006" s="14">
        <f>Data!K1006</f>
        <v>1854009404000</v>
      </c>
      <c r="G1006" s="12">
        <f t="shared" si="15"/>
        <v>1.0965163022441713</v>
      </c>
    </row>
    <row r="1007" spans="2:7" ht="15" customHeight="1" x14ac:dyDescent="0.3">
      <c r="C1007" s="2"/>
      <c r="D1007" s="8">
        <v>2018</v>
      </c>
      <c r="E1007" s="14">
        <f>Data!I1007</f>
        <v>2454424995000</v>
      </c>
      <c r="F1007" s="14">
        <f>Data!K1007</f>
        <v>1826304984000</v>
      </c>
      <c r="G1007" s="12">
        <f t="shared" si="15"/>
        <v>1.3439294184174444</v>
      </c>
    </row>
    <row r="1008" spans="2:7" ht="15" customHeight="1" x14ac:dyDescent="0.3">
      <c r="C1008" s="2"/>
      <c r="D1008" s="8">
        <v>2019</v>
      </c>
      <c r="E1008" s="14">
        <f>Data!I1008</f>
        <v>2675535753000</v>
      </c>
      <c r="F1008" s="14">
        <f>Data!K1008</f>
        <v>1951094614000</v>
      </c>
      <c r="G1008" s="12">
        <f t="shared" si="15"/>
        <v>1.3712998507616196</v>
      </c>
    </row>
    <row r="1009" spans="2:7" ht="15" customHeight="1" x14ac:dyDescent="0.3">
      <c r="C1009" s="2"/>
      <c r="D1009" s="8">
        <v>2020</v>
      </c>
      <c r="E1009" s="14">
        <f>Data!I1009</f>
        <v>2730755387000</v>
      </c>
      <c r="F1009" s="14">
        <f>Data!K1009</f>
        <v>2006374654000</v>
      </c>
      <c r="G1009" s="12">
        <f t="shared" si="15"/>
        <v>1.3610396151864466</v>
      </c>
    </row>
    <row r="1010" spans="2:7" ht="15" customHeight="1" x14ac:dyDescent="0.3">
      <c r="C1010" s="2"/>
      <c r="D1010" s="8">
        <v>2021</v>
      </c>
      <c r="E1010" s="14">
        <f>Data!I1010</f>
        <v>2793055857000</v>
      </c>
      <c r="F1010" s="14">
        <f>Data!K1010</f>
        <v>1859762049000</v>
      </c>
      <c r="G1010" s="12">
        <f t="shared" si="15"/>
        <v>1.5018350645997078</v>
      </c>
    </row>
    <row r="1011" spans="2:7" ht="15" customHeight="1" x14ac:dyDescent="0.3">
      <c r="C1011" s="2"/>
      <c r="D1011" s="8">
        <v>2022</v>
      </c>
      <c r="E1011" s="14">
        <f>Data!I1011</f>
        <v>3005509450000</v>
      </c>
      <c r="F1011" s="14">
        <f>Data!K1011</f>
        <v>1700336893000</v>
      </c>
      <c r="G1011" s="12">
        <f t="shared" si="15"/>
        <v>1.7675964465472549</v>
      </c>
    </row>
    <row r="1012" spans="2:7" ht="15" customHeight="1" x14ac:dyDescent="0.3">
      <c r="C1012" s="2"/>
      <c r="D1012" s="8">
        <v>2023</v>
      </c>
      <c r="E1012" s="14">
        <f>Data!I1012</f>
        <v>3410344046000</v>
      </c>
      <c r="F1012" s="14">
        <f>Data!K1012</f>
        <v>1705656748000</v>
      </c>
      <c r="G1012" s="12">
        <f t="shared" si="15"/>
        <v>1.9994316265560836</v>
      </c>
    </row>
    <row r="1013" spans="2:7" ht="15" customHeight="1" x14ac:dyDescent="0.3">
      <c r="C1013" s="2"/>
      <c r="D1013" s="8">
        <v>2024</v>
      </c>
      <c r="E1013" s="14">
        <f>Data!I1013</f>
        <v>3548732475000</v>
      </c>
      <c r="F1013" s="14">
        <f>Data!K1013</f>
        <v>1817705803000</v>
      </c>
      <c r="G1013" s="12">
        <f t="shared" si="15"/>
        <v>1.9523139933552822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Data!I1014</f>
        <v>0</v>
      </c>
      <c r="F1014" s="14">
        <f>Data!K1014</f>
        <v>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Data!I1015</f>
        <v>565655000000</v>
      </c>
      <c r="F1015" s="14">
        <f>Data!K1015</f>
        <v>107881000000</v>
      </c>
      <c r="G1015" s="12">
        <f t="shared" si="15"/>
        <v>5.2433236621833315</v>
      </c>
    </row>
    <row r="1016" spans="2:7" ht="15" customHeight="1" x14ac:dyDescent="0.3">
      <c r="C1016" s="2"/>
      <c r="D1016" s="8">
        <v>2016</v>
      </c>
      <c r="E1016" s="14">
        <f>Data!I1016</f>
        <v>366409000000</v>
      </c>
      <c r="F1016" s="14">
        <f>Data!K1016</f>
        <v>218751000000</v>
      </c>
      <c r="G1016" s="12">
        <f t="shared" si="15"/>
        <v>1.675004914263249</v>
      </c>
    </row>
    <row r="1017" spans="2:7" ht="15" customHeight="1" x14ac:dyDescent="0.3">
      <c r="C1017" s="2"/>
      <c r="D1017" s="8">
        <v>2017</v>
      </c>
      <c r="E1017" s="14">
        <f>Data!I1017</f>
        <v>577099000000</v>
      </c>
      <c r="F1017" s="14">
        <f>Data!K1017</f>
        <v>226379000000</v>
      </c>
      <c r="G1017" s="12">
        <f t="shared" si="15"/>
        <v>2.5492603112479513</v>
      </c>
    </row>
    <row r="1018" spans="2:7" ht="15" customHeight="1" x14ac:dyDescent="0.3">
      <c r="C1018" s="2"/>
      <c r="D1018" s="8">
        <v>2018</v>
      </c>
      <c r="E1018" s="14">
        <f>Data!I1018</f>
        <v>806608000000</v>
      </c>
      <c r="F1018" s="14">
        <f>Data!K1018</f>
        <v>234924000000</v>
      </c>
      <c r="G1018" s="12">
        <f t="shared" si="15"/>
        <v>3.4334848717031892</v>
      </c>
    </row>
    <row r="1019" spans="2:7" ht="15" customHeight="1" x14ac:dyDescent="0.3">
      <c r="C1019" s="2"/>
      <c r="D1019" s="8">
        <v>2019</v>
      </c>
      <c r="E1019" s="14">
        <f>Data!I1019</f>
        <v>1038652000000</v>
      </c>
      <c r="F1019" s="14">
        <f>Data!K1019</f>
        <v>182828000000</v>
      </c>
      <c r="G1019" s="12">
        <f t="shared" si="15"/>
        <v>5.681033539720393</v>
      </c>
    </row>
    <row r="1020" spans="2:7" ht="15" customHeight="1" x14ac:dyDescent="0.3">
      <c r="C1020" s="2"/>
      <c r="D1020" s="8">
        <v>2020</v>
      </c>
      <c r="E1020" s="14">
        <f>Data!I1020</f>
        <v>969383000000</v>
      </c>
      <c r="F1020" s="14">
        <f>Data!K1020</f>
        <v>230431000000</v>
      </c>
      <c r="G1020" s="12">
        <f t="shared" si="15"/>
        <v>4.2068254705313084</v>
      </c>
    </row>
    <row r="1021" spans="2:7" ht="15" customHeight="1" x14ac:dyDescent="0.3">
      <c r="C1021" s="2"/>
      <c r="D1021" s="8">
        <v>2021</v>
      </c>
      <c r="E1021" s="14">
        <f>Data!I1021</f>
        <v>1287801000000</v>
      </c>
      <c r="F1021" s="14">
        <f>Data!K1021</f>
        <v>250885000000</v>
      </c>
      <c r="G1021" s="12">
        <f t="shared" si="15"/>
        <v>5.1330330629571321</v>
      </c>
    </row>
    <row r="1022" spans="2:7" ht="15" customHeight="1" x14ac:dyDescent="0.3">
      <c r="C1022" s="2"/>
      <c r="D1022" s="8">
        <v>2022</v>
      </c>
      <c r="E1022" s="14">
        <f>Data!I1022</f>
        <v>1428957000000</v>
      </c>
      <c r="F1022" s="14">
        <f>Data!K1022</f>
        <v>305975000000</v>
      </c>
      <c r="G1022" s="12">
        <f t="shared" si="15"/>
        <v>4.6701756679467277</v>
      </c>
    </row>
    <row r="1023" spans="2:7" ht="15" customHeight="1" x14ac:dyDescent="0.3">
      <c r="C1023" s="2"/>
      <c r="D1023" s="8">
        <v>2023</v>
      </c>
      <c r="E1023" s="14">
        <f>Data!I1023</f>
        <v>1388194000000</v>
      </c>
      <c r="F1023" s="14">
        <f>Data!K1023</f>
        <v>355143000000</v>
      </c>
      <c r="G1023" s="12">
        <f t="shared" si="15"/>
        <v>3.9088310905747825</v>
      </c>
    </row>
    <row r="1024" spans="2:7" ht="15" customHeight="1" x14ac:dyDescent="0.3">
      <c r="C1024" s="2"/>
      <c r="D1024" s="8">
        <v>2024</v>
      </c>
      <c r="E1024" s="14">
        <f>Data!I1024</f>
        <v>5903549000000</v>
      </c>
      <c r="F1024" s="14">
        <f>Data!K1024</f>
        <v>401299000000</v>
      </c>
      <c r="G1024" s="12">
        <f t="shared" si="15"/>
        <v>14.711098208567677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Data!I1025</f>
        <v>0</v>
      </c>
      <c r="F1025" s="14">
        <f>Data!K1025</f>
        <v>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Data!I1026</f>
        <v>1264379490000</v>
      </c>
      <c r="F1026" s="14">
        <f>Data!K1026</f>
        <v>345020010000</v>
      </c>
      <c r="G1026" s="12">
        <f t="shared" si="15"/>
        <v>3.6646555369353795</v>
      </c>
    </row>
    <row r="1027" spans="2:7" ht="15" customHeight="1" x14ac:dyDescent="0.3">
      <c r="C1027" s="2"/>
      <c r="D1027" s="8">
        <v>2016</v>
      </c>
      <c r="E1027" s="14">
        <f>Data!I1027</f>
        <v>1157358770000</v>
      </c>
      <c r="F1027" s="14">
        <f>Data!K1027</f>
        <v>370247190000</v>
      </c>
      <c r="G1027" s="12">
        <f t="shared" ref="G1027:G1090" si="16">IFERROR(E1027/F1027,0)</f>
        <v>3.1259083154689167</v>
      </c>
    </row>
    <row r="1028" spans="2:7" ht="15" customHeight="1" x14ac:dyDescent="0.3">
      <c r="C1028" s="2"/>
      <c r="D1028" s="8">
        <v>2017</v>
      </c>
      <c r="E1028" s="14">
        <f>Data!I1028</f>
        <v>1198772000000</v>
      </c>
      <c r="F1028" s="14">
        <f>Data!K1028</f>
        <v>396791000000</v>
      </c>
      <c r="G1028" s="12">
        <f t="shared" si="16"/>
        <v>3.0211673147828453</v>
      </c>
    </row>
    <row r="1029" spans="2:7" ht="15" customHeight="1" x14ac:dyDescent="0.3">
      <c r="C1029" s="2"/>
      <c r="D1029" s="8">
        <v>2018</v>
      </c>
      <c r="E1029" s="14">
        <f>Data!I1029</f>
        <v>1317117000000</v>
      </c>
      <c r="F1029" s="14">
        <f>Data!K1029</f>
        <v>424393000000</v>
      </c>
      <c r="G1029" s="12">
        <f t="shared" si="16"/>
        <v>3.1035313966064475</v>
      </c>
    </row>
    <row r="1030" spans="2:7" ht="15" customHeight="1" x14ac:dyDescent="0.3">
      <c r="C1030" s="2"/>
      <c r="D1030" s="8">
        <v>2019</v>
      </c>
      <c r="E1030" s="14">
        <f>Data!I1030</f>
        <v>1306926000000</v>
      </c>
      <c r="F1030" s="14">
        <f>Data!K1030</f>
        <v>456958000000</v>
      </c>
      <c r="G1030" s="12">
        <f t="shared" si="16"/>
        <v>2.8600571606143235</v>
      </c>
    </row>
    <row r="1031" spans="2:7" ht="15" customHeight="1" x14ac:dyDescent="0.3">
      <c r="C1031" s="2"/>
      <c r="D1031" s="8">
        <v>2020</v>
      </c>
      <c r="E1031" s="14">
        <f>Data!I1031</f>
        <v>1057337000000</v>
      </c>
      <c r="F1031" s="14">
        <f>Data!K1031</f>
        <v>497227000000</v>
      </c>
      <c r="G1031" s="12">
        <f t="shared" si="16"/>
        <v>2.1264673881345946</v>
      </c>
    </row>
    <row r="1032" spans="2:7" ht="15" customHeight="1" x14ac:dyDescent="0.3">
      <c r="C1032" s="2"/>
      <c r="D1032" s="8">
        <v>2021</v>
      </c>
      <c r="E1032" s="14">
        <f>Data!I1032</f>
        <v>1096132000000</v>
      </c>
      <c r="F1032" s="14">
        <f>Data!K1032</f>
        <v>543742000000</v>
      </c>
      <c r="G1032" s="12">
        <f t="shared" si="16"/>
        <v>2.0159046018148312</v>
      </c>
    </row>
    <row r="1033" spans="2:7" ht="15" customHeight="1" x14ac:dyDescent="0.3">
      <c r="C1033" s="2"/>
      <c r="D1033" s="8">
        <v>2022</v>
      </c>
      <c r="E1033" s="14">
        <f>Data!I1033</f>
        <v>1288215000000</v>
      </c>
      <c r="F1033" s="14">
        <f>Data!K1033</f>
        <v>651077000000</v>
      </c>
      <c r="G1033" s="12">
        <f t="shared" si="16"/>
        <v>1.9785908579169591</v>
      </c>
    </row>
    <row r="1034" spans="2:7" ht="15" customHeight="1" x14ac:dyDescent="0.3">
      <c r="C1034" s="2"/>
      <c r="D1034" s="8">
        <v>2023</v>
      </c>
      <c r="E1034" s="14">
        <f>Data!I1034</f>
        <v>1480307000000</v>
      </c>
      <c r="F1034" s="14">
        <f>Data!K1034</f>
        <v>706430000000</v>
      </c>
      <c r="G1034" s="12">
        <f t="shared" si="16"/>
        <v>2.0954758433248872</v>
      </c>
    </row>
    <row r="1035" spans="2:7" ht="15" customHeight="1" x14ac:dyDescent="0.3">
      <c r="C1035" s="2"/>
      <c r="D1035" s="8">
        <v>2024</v>
      </c>
      <c r="E1035" s="14">
        <f>Data!I1035</f>
        <v>1512006000000</v>
      </c>
      <c r="F1035" s="14">
        <f>Data!K1035</f>
        <v>776677000000</v>
      </c>
      <c r="G1035" s="12">
        <f t="shared" si="16"/>
        <v>1.9467629400638875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Data!I1036</f>
        <v>0</v>
      </c>
      <c r="F1036" s="14">
        <f>Data!K1036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Data!I1037</f>
        <v>0</v>
      </c>
      <c r="F1037" s="14">
        <f>Data!K1037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Data!I1038</f>
        <v>0</v>
      </c>
      <c r="F1038" s="14">
        <f>Data!K1038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Data!I1039</f>
        <v>0</v>
      </c>
      <c r="F1039" s="14">
        <f>Data!K1039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Data!I1040</f>
        <v>0</v>
      </c>
      <c r="F1040" s="14">
        <f>Data!K1040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Data!I1041</f>
        <v>84964649275</v>
      </c>
      <c r="F1041" s="14">
        <f>Data!K1041</f>
        <v>111210002226</v>
      </c>
      <c r="G1041" s="12">
        <f t="shared" si="16"/>
        <v>0.76400186650779467</v>
      </c>
    </row>
    <row r="1042" spans="2:7" ht="15" customHeight="1" x14ac:dyDescent="0.3">
      <c r="C1042" s="2"/>
      <c r="D1042" s="8">
        <v>2020</v>
      </c>
      <c r="E1042" s="14">
        <f>Data!I1042</f>
        <v>88331000000</v>
      </c>
      <c r="F1042" s="14">
        <f>Data!K1042</f>
        <v>111413000000</v>
      </c>
      <c r="G1042" s="12">
        <f t="shared" si="16"/>
        <v>0.79282489476093454</v>
      </c>
    </row>
    <row r="1043" spans="2:7" ht="15" customHeight="1" x14ac:dyDescent="0.3">
      <c r="C1043" s="2"/>
      <c r="D1043" s="8">
        <v>2021</v>
      </c>
      <c r="E1043" s="14">
        <f>Data!I1043</f>
        <v>57845000000</v>
      </c>
      <c r="F1043" s="14">
        <f>Data!K1043</f>
        <v>115443000000</v>
      </c>
      <c r="G1043" s="12">
        <f t="shared" si="16"/>
        <v>0.50106979201857194</v>
      </c>
    </row>
    <row r="1044" spans="2:7" ht="15" customHeight="1" x14ac:dyDescent="0.3">
      <c r="C1044" s="2"/>
      <c r="D1044" s="8">
        <v>2022</v>
      </c>
      <c r="E1044" s="14">
        <f>Data!I1044</f>
        <v>61026000000</v>
      </c>
      <c r="F1044" s="14">
        <f>Data!K1044</f>
        <v>102516000000</v>
      </c>
      <c r="G1044" s="12">
        <f t="shared" si="16"/>
        <v>0.5952826875804752</v>
      </c>
    </row>
    <row r="1045" spans="2:7" ht="15" customHeight="1" x14ac:dyDescent="0.3">
      <c r="C1045" s="2"/>
      <c r="D1045" s="8">
        <v>2023</v>
      </c>
      <c r="E1045" s="14">
        <f>Data!I1045</f>
        <v>80434000000</v>
      </c>
      <c r="F1045" s="14">
        <f>Data!K1045</f>
        <v>100378000000</v>
      </c>
      <c r="G1045" s="12">
        <f t="shared" si="16"/>
        <v>0.8013110442527247</v>
      </c>
    </row>
    <row r="1046" spans="2:7" ht="15" customHeight="1" x14ac:dyDescent="0.3">
      <c r="C1046" s="2"/>
      <c r="D1046" s="8">
        <v>2024</v>
      </c>
      <c r="E1046" s="14">
        <f>Data!I1046</f>
        <v>97296000000</v>
      </c>
      <c r="F1046" s="14">
        <f>Data!K1046</f>
        <v>140032000000</v>
      </c>
      <c r="G1046" s="12">
        <f t="shared" si="16"/>
        <v>0.69481261425959784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Data!I1047</f>
        <v>0</v>
      </c>
      <c r="F1047" s="14">
        <f>Data!K1047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Data!I1048</f>
        <v>1147680454337</v>
      </c>
      <c r="F1048" s="14">
        <f>Data!K1048</f>
        <v>274413615021</v>
      </c>
      <c r="G1048" s="12">
        <f t="shared" si="16"/>
        <v>4.182301429355725</v>
      </c>
    </row>
    <row r="1049" spans="2:7" ht="15" customHeight="1" x14ac:dyDescent="0.3">
      <c r="C1049" s="2"/>
      <c r="D1049" s="8">
        <v>2016</v>
      </c>
      <c r="E1049" s="14">
        <f>Data!I1049</f>
        <v>1124162800820</v>
      </c>
      <c r="F1049" s="14">
        <f>Data!K1049</f>
        <v>310491043060</v>
      </c>
      <c r="G1049" s="12">
        <f t="shared" si="16"/>
        <v>3.6205965548666863</v>
      </c>
    </row>
    <row r="1050" spans="2:7" ht="15" customHeight="1" x14ac:dyDescent="0.3">
      <c r="C1050" s="2"/>
      <c r="D1050" s="8">
        <v>2017</v>
      </c>
      <c r="E1050" s="14">
        <f>Data!I1050</f>
        <v>1062228874493</v>
      </c>
      <c r="F1050" s="14">
        <f>Data!K1050</f>
        <v>356295920510</v>
      </c>
      <c r="G1050" s="12">
        <f t="shared" si="16"/>
        <v>2.9813107962968859</v>
      </c>
    </row>
    <row r="1051" spans="2:7" ht="15" customHeight="1" x14ac:dyDescent="0.3">
      <c r="C1051" s="2"/>
      <c r="D1051" s="8">
        <v>2018</v>
      </c>
      <c r="E1051" s="14">
        <f>Data!I1051</f>
        <v>1072221723281</v>
      </c>
      <c r="F1051" s="14">
        <f>Data!K1051</f>
        <v>405785338438</v>
      </c>
      <c r="G1051" s="12">
        <f t="shared" si="16"/>
        <v>2.6423372697700978</v>
      </c>
    </row>
    <row r="1052" spans="2:7" ht="15" customHeight="1" x14ac:dyDescent="0.3">
      <c r="C1052" s="2"/>
      <c r="D1052" s="8">
        <v>2019</v>
      </c>
      <c r="E1052" s="14">
        <f>Data!I1052</f>
        <v>1104712550189</v>
      </c>
      <c r="F1052" s="14">
        <f>Data!K1052</f>
        <v>443289279365</v>
      </c>
      <c r="G1052" s="12">
        <f t="shared" si="16"/>
        <v>2.4920804576448838</v>
      </c>
    </row>
    <row r="1053" spans="2:7" ht="15" customHeight="1" x14ac:dyDescent="0.3">
      <c r="C1053" s="2"/>
      <c r="D1053" s="8">
        <v>2020</v>
      </c>
      <c r="E1053" s="14">
        <f>Data!I1053</f>
        <v>1013381758085</v>
      </c>
      <c r="F1053" s="14">
        <f>Data!K1053</f>
        <v>503181214943</v>
      </c>
      <c r="G1053" s="12">
        <f t="shared" si="16"/>
        <v>2.0139499011301427</v>
      </c>
    </row>
    <row r="1054" spans="2:7" ht="15" customHeight="1" x14ac:dyDescent="0.3">
      <c r="C1054" s="2"/>
      <c r="D1054" s="8">
        <v>2021</v>
      </c>
      <c r="E1054" s="14">
        <f>Data!I1054</f>
        <v>862113850198</v>
      </c>
      <c r="F1054" s="14">
        <f>Data!K1054</f>
        <v>549046298074</v>
      </c>
      <c r="G1054" s="12">
        <f t="shared" si="16"/>
        <v>1.5702024642042209</v>
      </c>
    </row>
    <row r="1055" spans="2:7" ht="15" customHeight="1" x14ac:dyDescent="0.3">
      <c r="C1055" s="2"/>
      <c r="D1055" s="8">
        <v>2022</v>
      </c>
      <c r="E1055" s="14">
        <f>Data!I1055</f>
        <v>1013123874462</v>
      </c>
      <c r="F1055" s="14">
        <f>Data!K1055</f>
        <v>614117783224</v>
      </c>
      <c r="G1055" s="12">
        <f t="shared" si="16"/>
        <v>1.649722418301087</v>
      </c>
    </row>
    <row r="1056" spans="2:7" ht="15" customHeight="1" x14ac:dyDescent="0.3">
      <c r="C1056" s="2"/>
      <c r="D1056" s="8">
        <v>2023</v>
      </c>
      <c r="E1056" s="14">
        <f>Data!I1056</f>
        <v>1172290013843</v>
      </c>
      <c r="F1056" s="14">
        <f>Data!K1056</f>
        <v>678478999511</v>
      </c>
      <c r="G1056" s="12">
        <f t="shared" si="16"/>
        <v>1.7278206321609133</v>
      </c>
    </row>
    <row r="1057" spans="2:7" ht="15" customHeight="1" x14ac:dyDescent="0.3">
      <c r="C1057" s="2"/>
      <c r="D1057" s="8">
        <v>2024</v>
      </c>
      <c r="E1057" s="14">
        <f>Data!I1057</f>
        <v>1060235701791</v>
      </c>
      <c r="F1057" s="14">
        <f>Data!K1057</f>
        <v>688490922678</v>
      </c>
      <c r="G1057" s="12">
        <f t="shared" si="16"/>
        <v>1.5399414383954937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Data!I1058</f>
        <v>0</v>
      </c>
      <c r="F1058" s="14">
        <f>Data!K1058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Data!I1059</f>
        <v>0</v>
      </c>
      <c r="F1059" s="14">
        <f>Data!K1059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Data!I1060</f>
        <v>0</v>
      </c>
      <c r="F1060" s="14">
        <f>Data!K1060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Data!I1061</f>
        <v>230178000000</v>
      </c>
      <c r="F1061" s="14">
        <f>Data!K1061</f>
        <v>213009000000</v>
      </c>
      <c r="G1061" s="12">
        <f t="shared" si="16"/>
        <v>1.0806022280748702</v>
      </c>
    </row>
    <row r="1062" spans="2:7" ht="15" customHeight="1" x14ac:dyDescent="0.3">
      <c r="C1062" s="2"/>
      <c r="D1062" s="8">
        <v>2018</v>
      </c>
      <c r="E1062" s="14">
        <f>Data!I1062</f>
        <v>288430000000</v>
      </c>
      <c r="F1062" s="14">
        <f>Data!K1062</f>
        <v>255458000000</v>
      </c>
      <c r="G1062" s="12">
        <f t="shared" si="16"/>
        <v>1.1290701406884889</v>
      </c>
    </row>
    <row r="1063" spans="2:7" ht="15" customHeight="1" x14ac:dyDescent="0.3">
      <c r="C1063" s="2"/>
      <c r="D1063" s="8">
        <v>2019</v>
      </c>
      <c r="E1063" s="14">
        <f>Data!I1063</f>
        <v>318537000000</v>
      </c>
      <c r="F1063" s="14">
        <f>Data!K1063</f>
        <v>287743000000</v>
      </c>
      <c r="G1063" s="12">
        <f t="shared" si="16"/>
        <v>1.1070191108037382</v>
      </c>
    </row>
    <row r="1064" spans="2:7" ht="15" customHeight="1" x14ac:dyDescent="0.3">
      <c r="C1064" s="2"/>
      <c r="D1064" s="8">
        <v>2020</v>
      </c>
      <c r="E1064" s="14">
        <f>Data!I1064</f>
        <v>282787000000</v>
      </c>
      <c r="F1064" s="14">
        <f>Data!K1064</f>
        <v>323542000000</v>
      </c>
      <c r="G1064" s="12">
        <f t="shared" si="16"/>
        <v>0.87403490118748106</v>
      </c>
    </row>
    <row r="1065" spans="2:7" ht="15" customHeight="1" x14ac:dyDescent="0.3">
      <c r="C1065" s="2"/>
      <c r="D1065" s="8">
        <v>2021</v>
      </c>
      <c r="E1065" s="14">
        <f>Data!I1065</f>
        <v>362441000000</v>
      </c>
      <c r="F1065" s="14">
        <f>Data!K1065</f>
        <v>372044000000</v>
      </c>
      <c r="G1065" s="12">
        <f t="shared" si="16"/>
        <v>0.97418853683972861</v>
      </c>
    </row>
    <row r="1066" spans="2:7" ht="15" customHeight="1" x14ac:dyDescent="0.3">
      <c r="C1066" s="2"/>
      <c r="D1066" s="8">
        <v>2022</v>
      </c>
      <c r="E1066" s="14">
        <f>Data!I1066</f>
        <v>316695000000</v>
      </c>
      <c r="F1066" s="14">
        <f>Data!K1066</f>
        <v>376719000000</v>
      </c>
      <c r="G1066" s="12">
        <f t="shared" si="16"/>
        <v>0.8406663852898314</v>
      </c>
    </row>
    <row r="1067" spans="2:7" ht="15" customHeight="1" x14ac:dyDescent="0.3">
      <c r="C1067" s="2"/>
      <c r="D1067" s="8">
        <v>2023</v>
      </c>
      <c r="E1067" s="14">
        <f>Data!I1067</f>
        <v>447854000000</v>
      </c>
      <c r="F1067" s="14">
        <f>Data!K1067</f>
        <v>394945000000</v>
      </c>
      <c r="G1067" s="12">
        <f t="shared" si="16"/>
        <v>1.1339654888655382</v>
      </c>
    </row>
    <row r="1068" spans="2:7" ht="15" customHeight="1" x14ac:dyDescent="0.3">
      <c r="C1068" s="2"/>
      <c r="D1068" s="8">
        <v>2024</v>
      </c>
      <c r="E1068" s="14">
        <f>Data!I1068</f>
        <v>575206000000</v>
      </c>
      <c r="F1068" s="14">
        <f>Data!K1068</f>
        <v>389967000000</v>
      </c>
      <c r="G1068" s="12">
        <f t="shared" si="16"/>
        <v>1.4750119881938728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Data!I1069</f>
        <v>0</v>
      </c>
      <c r="F1069" s="14">
        <f>Data!K1069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Data!I1070</f>
        <v>0</v>
      </c>
      <c r="F1070" s="14">
        <f>Data!K1070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Data!I1071</f>
        <v>0</v>
      </c>
      <c r="F1071" s="14">
        <f>Data!K1071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Data!I1072</f>
        <v>282731490000</v>
      </c>
      <c r="F1072" s="14">
        <f>Data!K1072</f>
        <v>155996990000</v>
      </c>
      <c r="G1072" s="12">
        <f t="shared" si="16"/>
        <v>1.8124163164943119</v>
      </c>
    </row>
    <row r="1073" spans="2:7" ht="15" customHeight="1" x14ac:dyDescent="0.3">
      <c r="C1073" s="2"/>
      <c r="D1073" s="8">
        <v>2018</v>
      </c>
      <c r="E1073" s="14">
        <f>Data!I1073</f>
        <v>307879870000</v>
      </c>
      <c r="F1073" s="14">
        <f>Data!K1073</f>
        <v>157650080000</v>
      </c>
      <c r="G1073" s="12">
        <f t="shared" si="16"/>
        <v>1.952931898290188</v>
      </c>
    </row>
    <row r="1074" spans="2:7" ht="15" customHeight="1" x14ac:dyDescent="0.3">
      <c r="C1074" s="2"/>
      <c r="D1074" s="8">
        <v>2019</v>
      </c>
      <c r="E1074" s="14">
        <f>Data!I1074</f>
        <v>368782690000</v>
      </c>
      <c r="F1074" s="14">
        <f>Data!K1074</f>
        <v>162055820000</v>
      </c>
      <c r="G1074" s="12">
        <f t="shared" si="16"/>
        <v>2.2756522413079643</v>
      </c>
    </row>
    <row r="1075" spans="2:7" ht="15" customHeight="1" x14ac:dyDescent="0.3">
      <c r="C1075" s="2"/>
      <c r="D1075" s="8">
        <v>2020</v>
      </c>
      <c r="E1075" s="14">
        <f>Data!I1075</f>
        <v>405905110000</v>
      </c>
      <c r="F1075" s="14">
        <f>Data!K1075</f>
        <v>196620040000</v>
      </c>
      <c r="G1075" s="12">
        <f t="shared" si="16"/>
        <v>2.0644137291397153</v>
      </c>
    </row>
    <row r="1076" spans="2:7" ht="15" customHeight="1" x14ac:dyDescent="0.3">
      <c r="C1076" s="2"/>
      <c r="D1076" s="8">
        <v>2021</v>
      </c>
      <c r="E1076" s="14">
        <f>Data!I1076</f>
        <v>403668910000</v>
      </c>
      <c r="F1076" s="14">
        <f>Data!K1076</f>
        <v>208742630000</v>
      </c>
      <c r="G1076" s="12">
        <f t="shared" si="16"/>
        <v>1.9338115554067705</v>
      </c>
    </row>
    <row r="1077" spans="2:7" ht="15" customHeight="1" x14ac:dyDescent="0.3">
      <c r="C1077" s="2"/>
      <c r="D1077" s="8">
        <v>2022</v>
      </c>
      <c r="E1077" s="14">
        <f>Data!I1077</f>
        <v>540692390000</v>
      </c>
      <c r="F1077" s="14">
        <f>Data!K1077</f>
        <v>226906850000</v>
      </c>
      <c r="G1077" s="12">
        <f t="shared" si="16"/>
        <v>2.382882623420139</v>
      </c>
    </row>
    <row r="1078" spans="2:7" ht="15" customHeight="1" x14ac:dyDescent="0.3">
      <c r="C1078" s="2"/>
      <c r="D1078" s="8">
        <v>2023</v>
      </c>
      <c r="E1078" s="14">
        <f>Data!I1078</f>
        <v>657579540000</v>
      </c>
      <c r="F1078" s="14">
        <f>Data!K1078</f>
        <v>257198700000</v>
      </c>
      <c r="G1078" s="12">
        <f t="shared" si="16"/>
        <v>2.5566985369677218</v>
      </c>
    </row>
    <row r="1079" spans="2:7" ht="15" customHeight="1" x14ac:dyDescent="0.3">
      <c r="C1079" s="2"/>
      <c r="D1079" s="8">
        <v>2024</v>
      </c>
      <c r="E1079" s="14">
        <f>Data!I1079</f>
        <v>601065430000</v>
      </c>
      <c r="F1079" s="14">
        <f>Data!K1079</f>
        <v>294957250000</v>
      </c>
      <c r="G1079" s="12">
        <f t="shared" si="16"/>
        <v>2.0378052412680141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Data!I1080</f>
        <v>0</v>
      </c>
      <c r="F1080" s="14">
        <f>Data!K1080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Data!I1081</f>
        <v>0</v>
      </c>
      <c r="F1081" s="14">
        <f>Data!K1081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Data!I1082</f>
        <v>0</v>
      </c>
      <c r="F1082" s="14">
        <f>Data!K1082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Data!I1083</f>
        <v>0</v>
      </c>
      <c r="F1083" s="14">
        <f>Data!K1083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Data!I1084</f>
        <v>0</v>
      </c>
      <c r="F1084" s="14">
        <f>Data!K1084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Data!I1085</f>
        <v>0</v>
      </c>
      <c r="F1085" s="14">
        <f>Data!K1085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Data!I1086</f>
        <v>0</v>
      </c>
      <c r="F1086" s="14">
        <f>Data!K1086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Data!I1087</f>
        <v>1046453000000</v>
      </c>
      <c r="F1087" s="14">
        <f>Data!K1087</f>
        <v>339559000000</v>
      </c>
      <c r="G1087" s="12">
        <f t="shared" si="16"/>
        <v>3.0818002173407271</v>
      </c>
    </row>
    <row r="1088" spans="2:7" ht="15" customHeight="1" x14ac:dyDescent="0.3">
      <c r="C1088" s="2"/>
      <c r="D1088" s="8">
        <v>2022</v>
      </c>
      <c r="E1088" s="14">
        <f>Data!I1088</f>
        <v>1004525000000</v>
      </c>
      <c r="F1088" s="14">
        <f>Data!K1088</f>
        <v>385447000000</v>
      </c>
      <c r="G1088" s="12">
        <f t="shared" si="16"/>
        <v>2.6061300256585214</v>
      </c>
    </row>
    <row r="1089" spans="2:7" ht="15" customHeight="1" x14ac:dyDescent="0.3">
      <c r="C1089" s="2"/>
      <c r="D1089" s="8">
        <v>2023</v>
      </c>
      <c r="E1089" s="14">
        <f>Data!I1089</f>
        <v>935069000000</v>
      </c>
      <c r="F1089" s="14">
        <f>Data!K1089</f>
        <v>399865000000</v>
      </c>
      <c r="G1089" s="12">
        <f t="shared" si="16"/>
        <v>2.3384617308341564</v>
      </c>
    </row>
    <row r="1090" spans="2:7" ht="15" customHeight="1" x14ac:dyDescent="0.3">
      <c r="C1090" s="2"/>
      <c r="D1090" s="8">
        <v>2024</v>
      </c>
      <c r="E1090" s="14">
        <f>Data!I1090</f>
        <v>939600000000</v>
      </c>
      <c r="F1090" s="14">
        <f>Data!K1090</f>
        <v>435288000000</v>
      </c>
      <c r="G1090" s="12">
        <f t="shared" si="16"/>
        <v>2.1585708772123282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Data!I1091</f>
        <v>0</v>
      </c>
      <c r="F1091" s="14">
        <f>Data!K1091</f>
        <v>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Data!I1092</f>
        <v>9329000000</v>
      </c>
      <c r="F1092" s="14" t="e">
        <f>Data!#REF!</f>
        <v>#REF!</v>
      </c>
      <c r="G1092" s="12">
        <f t="shared" si="17"/>
        <v>0</v>
      </c>
    </row>
    <row r="1093" spans="2:7" ht="15" customHeight="1" x14ac:dyDescent="0.3">
      <c r="C1093" s="2"/>
      <c r="D1093" s="8">
        <v>2016</v>
      </c>
      <c r="E1093" s="14">
        <f>Data!I1093</f>
        <v>15992000000</v>
      </c>
      <c r="F1093" s="14" t="e">
        <f>Data!#REF!</f>
        <v>#REF!</v>
      </c>
      <c r="G1093" s="12">
        <f t="shared" si="17"/>
        <v>0</v>
      </c>
    </row>
    <row r="1094" spans="2:7" ht="15" customHeight="1" x14ac:dyDescent="0.3">
      <c r="C1094" s="2"/>
      <c r="D1094" s="8">
        <v>2017</v>
      </c>
      <c r="E1094" s="14">
        <f>Data!I1094</f>
        <v>18475000000</v>
      </c>
      <c r="F1094" s="14">
        <f>Data!K1094</f>
        <v>159010000000</v>
      </c>
      <c r="G1094" s="12">
        <f t="shared" si="17"/>
        <v>0.11618766115338658</v>
      </c>
    </row>
    <row r="1095" spans="2:7" ht="15" customHeight="1" x14ac:dyDescent="0.3">
      <c r="C1095" s="2"/>
      <c r="D1095" s="8">
        <v>2018</v>
      </c>
      <c r="E1095" s="14">
        <f>Data!I1095</f>
        <v>42834000000</v>
      </c>
      <c r="F1095" s="14">
        <f>Data!K1095</f>
        <v>269011000000</v>
      </c>
      <c r="G1095" s="12">
        <f t="shared" si="17"/>
        <v>0.1592276895740323</v>
      </c>
    </row>
    <row r="1096" spans="2:7" ht="15" customHeight="1" x14ac:dyDescent="0.3">
      <c r="C1096" s="2"/>
      <c r="D1096" s="8">
        <v>2019</v>
      </c>
      <c r="E1096" s="14">
        <f>Data!I1096</f>
        <v>558559000000</v>
      </c>
      <c r="F1096" s="14">
        <f>Data!K1096</f>
        <v>331077000000</v>
      </c>
      <c r="G1096" s="12">
        <f t="shared" si="17"/>
        <v>1.687096959317621</v>
      </c>
    </row>
    <row r="1097" spans="2:7" ht="15" customHeight="1" x14ac:dyDescent="0.3">
      <c r="C1097" s="2"/>
      <c r="D1097" s="8">
        <v>2020</v>
      </c>
      <c r="E1097" s="14">
        <f>Data!I1097</f>
        <v>456451000000</v>
      </c>
      <c r="F1097" s="14">
        <f>Data!K1097</f>
        <v>310676000000</v>
      </c>
      <c r="G1097" s="12">
        <f t="shared" si="17"/>
        <v>1.4692187359178051</v>
      </c>
    </row>
    <row r="1098" spans="2:7" ht="15" customHeight="1" x14ac:dyDescent="0.3">
      <c r="C1098" s="2"/>
      <c r="D1098" s="8">
        <v>2021</v>
      </c>
      <c r="E1098" s="14">
        <f>Data!I1098</f>
        <v>444935000000</v>
      </c>
      <c r="F1098" s="14">
        <f>Data!K1098</f>
        <v>363354000000</v>
      </c>
      <c r="G1098" s="12">
        <f t="shared" si="17"/>
        <v>1.2245220914039752</v>
      </c>
    </row>
    <row r="1099" spans="2:7" ht="15" customHeight="1" x14ac:dyDescent="0.3">
      <c r="C1099" s="2"/>
      <c r="D1099" s="8">
        <v>2022</v>
      </c>
      <c r="E1099" s="14">
        <f>Data!I1099</f>
        <v>409815000000</v>
      </c>
      <c r="F1099" s="14">
        <f>Data!K1099</f>
        <v>510437000000</v>
      </c>
      <c r="G1099" s="12">
        <f t="shared" si="17"/>
        <v>0.80287087338888052</v>
      </c>
    </row>
    <row r="1100" spans="2:7" ht="15" customHeight="1" x14ac:dyDescent="0.3">
      <c r="C1100" s="2"/>
      <c r="D1100" s="8">
        <v>2023</v>
      </c>
      <c r="E1100" s="14">
        <f>Data!I1100</f>
        <v>545751000000</v>
      </c>
      <c r="F1100" s="14">
        <f>Data!K1100</f>
        <v>631193000000</v>
      </c>
      <c r="G1100" s="12">
        <f t="shared" si="17"/>
        <v>0.86463411349618902</v>
      </c>
    </row>
    <row r="1101" spans="2:7" ht="15" customHeight="1" x14ac:dyDescent="0.3">
      <c r="C1101" s="2"/>
      <c r="D1101" s="8">
        <v>2024</v>
      </c>
      <c r="E1101" s="14">
        <f>Data!I1101</f>
        <v>973123000000</v>
      </c>
      <c r="F1101" s="14">
        <f>Data!K1101</f>
        <v>759942000000</v>
      </c>
      <c r="G1101" s="12">
        <f t="shared" si="17"/>
        <v>1.2805227241026289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Data!I1102</f>
        <v>0</v>
      </c>
      <c r="F1102" s="14">
        <f>Data!K1102</f>
        <v>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Data!I1103</f>
        <v>3528172000000</v>
      </c>
      <c r="F1103" s="14">
        <f>Data!K1103</f>
        <v>2662842000000</v>
      </c>
      <c r="G1103" s="12">
        <f t="shared" si="17"/>
        <v>1.3249648308085873</v>
      </c>
    </row>
    <row r="1104" spans="2:7" ht="15" customHeight="1" x14ac:dyDescent="0.3">
      <c r="C1104" s="2"/>
      <c r="D1104" s="8">
        <v>2016</v>
      </c>
      <c r="E1104" s="14">
        <f>Data!I1104</f>
        <v>3209577000000</v>
      </c>
      <c r="F1104" s="14">
        <f>Data!K1104</f>
        <v>2707109000000</v>
      </c>
      <c r="G1104" s="12">
        <f t="shared" si="17"/>
        <v>1.1856105535462369</v>
      </c>
    </row>
    <row r="1105" spans="2:7" ht="15" customHeight="1" x14ac:dyDescent="0.3">
      <c r="C1105" s="2"/>
      <c r="D1105" s="8">
        <v>2017</v>
      </c>
      <c r="E1105" s="14">
        <f>Data!I1105</f>
        <v>27953908000000</v>
      </c>
      <c r="F1105" s="14">
        <f>Data!K1105</f>
        <v>3317169000000</v>
      </c>
      <c r="G1105" s="12">
        <f t="shared" si="17"/>
        <v>8.4270376335965995</v>
      </c>
    </row>
    <row r="1106" spans="2:7" ht="15" customHeight="1" x14ac:dyDescent="0.3">
      <c r="C1106" s="2"/>
      <c r="D1106" s="8">
        <v>2018</v>
      </c>
      <c r="E1106" s="14">
        <f>Data!I1106</f>
        <v>35290723000000</v>
      </c>
      <c r="F1106" s="14">
        <f>Data!K1106</f>
        <v>3806605000000</v>
      </c>
      <c r="G1106" s="12">
        <f t="shared" si="17"/>
        <v>9.2709180490226863</v>
      </c>
    </row>
    <row r="1107" spans="2:7" ht="15" customHeight="1" x14ac:dyDescent="0.3">
      <c r="C1107" s="2"/>
      <c r="D1107" s="8">
        <v>2019</v>
      </c>
      <c r="E1107" s="14">
        <f>Data!I1107</f>
        <v>40201558000000</v>
      </c>
      <c r="F1107" s="14">
        <f>Data!K1107</f>
        <v>4376065000000</v>
      </c>
      <c r="G1107" s="12">
        <f t="shared" si="17"/>
        <v>9.1866912397325002</v>
      </c>
    </row>
    <row r="1108" spans="2:7" ht="15" customHeight="1" x14ac:dyDescent="0.3">
      <c r="C1108" s="2"/>
      <c r="D1108" s="8">
        <v>2020</v>
      </c>
      <c r="E1108" s="14">
        <f>Data!I1108</f>
        <v>39795144000000</v>
      </c>
      <c r="F1108" s="14">
        <f>Data!K1108</f>
        <v>4995796000000</v>
      </c>
      <c r="G1108" s="12">
        <f t="shared" si="17"/>
        <v>7.9657263827426101</v>
      </c>
    </row>
    <row r="1109" spans="2:7" ht="15" customHeight="1" x14ac:dyDescent="0.3">
      <c r="C1109" s="2"/>
      <c r="D1109" s="8">
        <v>2021</v>
      </c>
      <c r="E1109" s="14">
        <f>Data!I1109</f>
        <v>43197356000000</v>
      </c>
      <c r="F1109" s="14">
        <f>Data!K1109</f>
        <v>4509286000000</v>
      </c>
      <c r="G1109" s="12">
        <f t="shared" si="17"/>
        <v>9.5796443161955125</v>
      </c>
    </row>
    <row r="1110" spans="2:7" ht="15" customHeight="1" x14ac:dyDescent="0.3">
      <c r="C1110" s="2"/>
      <c r="D1110" s="8">
        <v>2022</v>
      </c>
      <c r="E1110" s="14">
        <f>Data!I1110</f>
        <v>40147435000000</v>
      </c>
      <c r="F1110" s="14">
        <f>Data!K1110</f>
        <v>4888329000000</v>
      </c>
      <c r="G1110" s="12">
        <f t="shared" si="17"/>
        <v>8.2129159064375585</v>
      </c>
    </row>
    <row r="1111" spans="2:7" ht="15" customHeight="1" x14ac:dyDescent="0.3">
      <c r="C1111" s="2"/>
      <c r="D1111" s="8">
        <v>2023</v>
      </c>
      <c r="E1111" s="14">
        <f>Data!I1111</f>
        <v>34855780000000</v>
      </c>
      <c r="F1111" s="14">
        <f>Data!K1111</f>
        <v>5530230000000</v>
      </c>
      <c r="G1111" s="12">
        <f t="shared" si="17"/>
        <v>6.3027722174303777</v>
      </c>
    </row>
    <row r="1112" spans="2:7" ht="15" customHeight="1" x14ac:dyDescent="0.3">
      <c r="C1112" s="2"/>
      <c r="D1112" s="8">
        <v>2024</v>
      </c>
      <c r="E1112" s="14">
        <f>Data!I1112</f>
        <v>34166611000000</v>
      </c>
      <c r="F1112" s="14">
        <f>Data!K1112</f>
        <v>6101724000000</v>
      </c>
      <c r="G1112" s="12">
        <f t="shared" si="17"/>
        <v>5.5995012229330596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Data!I1113</f>
        <v>0</v>
      </c>
      <c r="F1113" s="14">
        <f>Data!K1113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Data!I1114</f>
        <v>4196000000</v>
      </c>
      <c r="F1114" s="14">
        <f>Data!K1114</f>
        <v>56992000000</v>
      </c>
      <c r="G1114" s="12">
        <f t="shared" si="17"/>
        <v>7.3624368332397536E-2</v>
      </c>
    </row>
    <row r="1115" spans="2:7" ht="15" customHeight="1" x14ac:dyDescent="0.3">
      <c r="C1115" s="1"/>
      <c r="D1115" s="8">
        <v>2016</v>
      </c>
      <c r="E1115" s="14">
        <f>Data!I1115</f>
        <v>5077000000</v>
      </c>
      <c r="F1115" s="14">
        <f>Data!K1115</f>
        <v>58299000000</v>
      </c>
      <c r="G1115" s="12">
        <f t="shared" si="17"/>
        <v>8.7085541776016739E-2</v>
      </c>
    </row>
    <row r="1116" spans="2:7" ht="15" customHeight="1" x14ac:dyDescent="0.3">
      <c r="C1116" s="1"/>
      <c r="D1116" s="8">
        <v>2017</v>
      </c>
      <c r="E1116" s="14">
        <f>Data!I1116</f>
        <v>6240000000</v>
      </c>
      <c r="F1116" s="14">
        <f>Data!K1116</f>
        <v>57678000000</v>
      </c>
      <c r="G1116" s="12">
        <f t="shared" si="17"/>
        <v>0.10818683033392282</v>
      </c>
    </row>
    <row r="1117" spans="2:7" ht="15" customHeight="1" x14ac:dyDescent="0.3">
      <c r="C1117" s="1"/>
      <c r="D1117" s="8">
        <v>2018</v>
      </c>
      <c r="E1117" s="14">
        <f>Data!I1117</f>
        <v>6603000000</v>
      </c>
      <c r="F1117" s="14">
        <f>Data!K1117</f>
        <v>67777000000</v>
      </c>
      <c r="G1117" s="12">
        <f t="shared" si="17"/>
        <v>9.7422429437714855E-2</v>
      </c>
    </row>
    <row r="1118" spans="2:7" ht="15" customHeight="1" x14ac:dyDescent="0.3">
      <c r="C1118" s="1"/>
      <c r="D1118" s="8">
        <v>2019</v>
      </c>
      <c r="E1118" s="14">
        <f>Data!I1118</f>
        <v>6214000000</v>
      </c>
      <c r="F1118" s="14">
        <f>Data!K1118</f>
        <v>66617000000</v>
      </c>
      <c r="G1118" s="12">
        <f t="shared" si="17"/>
        <v>9.3279493222450729E-2</v>
      </c>
    </row>
    <row r="1119" spans="2:7" ht="15" customHeight="1" x14ac:dyDescent="0.3">
      <c r="C1119" s="1"/>
      <c r="D1119" s="8">
        <v>2020</v>
      </c>
      <c r="E1119" s="14">
        <f>Data!I1119</f>
        <v>7306000000</v>
      </c>
      <c r="F1119" s="14">
        <f>Data!K1119</f>
        <v>69482000000</v>
      </c>
      <c r="G1119" s="12">
        <f t="shared" si="17"/>
        <v>0.10514953513140093</v>
      </c>
    </row>
    <row r="1120" spans="2:7" ht="15" customHeight="1" x14ac:dyDescent="0.3">
      <c r="C1120" s="1"/>
      <c r="D1120" s="8">
        <v>2021</v>
      </c>
      <c r="E1120" s="14">
        <f>Data!I1120</f>
        <v>7599000000</v>
      </c>
      <c r="F1120" s="14">
        <f>Data!K1120</f>
        <v>59162000000</v>
      </c>
      <c r="G1120" s="12">
        <f t="shared" si="17"/>
        <v>0.1284439336060309</v>
      </c>
    </row>
    <row r="1121" spans="2:7" ht="15" customHeight="1" x14ac:dyDescent="0.3">
      <c r="C1121" s="1"/>
      <c r="D1121" s="8">
        <v>2022</v>
      </c>
      <c r="E1121" s="14">
        <f>Data!I1121</f>
        <v>6866000000</v>
      </c>
      <c r="F1121" s="14">
        <f>Data!K1121</f>
        <v>65363000000</v>
      </c>
      <c r="G1121" s="12">
        <f t="shared" si="17"/>
        <v>0.10504413812095528</v>
      </c>
    </row>
    <row r="1122" spans="2:7" ht="15" customHeight="1" x14ac:dyDescent="0.3">
      <c r="C1122" s="1"/>
      <c r="D1122" s="8">
        <v>2023</v>
      </c>
      <c r="E1122" s="14">
        <f>Data!I1122</f>
        <v>8163000000</v>
      </c>
      <c r="F1122" s="14">
        <f>Data!K1122</f>
        <v>54638000000</v>
      </c>
      <c r="G1122" s="12">
        <f t="shared" si="17"/>
        <v>0.14940151542882243</v>
      </c>
    </row>
    <row r="1123" spans="2:7" ht="15" customHeight="1" x14ac:dyDescent="0.3">
      <c r="C1123" s="1"/>
      <c r="D1123" s="8">
        <v>2024</v>
      </c>
      <c r="E1123" s="14">
        <f>Data!I1123</f>
        <v>2673000000</v>
      </c>
      <c r="F1123" s="14">
        <f>Data!K1123</f>
        <v>52401000000</v>
      </c>
      <c r="G1123" s="12">
        <f t="shared" si="17"/>
        <v>5.1010476899295817E-2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Data!I1124</f>
        <v>0</v>
      </c>
      <c r="F1124" s="14">
        <f>Data!K1124</f>
        <v>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Data!I1125</f>
        <v>138772000000</v>
      </c>
      <c r="F1125" s="14">
        <f>Data!K1125</f>
        <v>116417000000</v>
      </c>
      <c r="G1125" s="12">
        <f t="shared" si="17"/>
        <v>1.1920252196844103</v>
      </c>
    </row>
    <row r="1126" spans="2:7" ht="15" customHeight="1" x14ac:dyDescent="0.3">
      <c r="C1126" s="2"/>
      <c r="D1126" s="8">
        <v>2016</v>
      </c>
      <c r="E1126" s="14">
        <f>Data!I1126</f>
        <v>67978000000</v>
      </c>
      <c r="F1126" s="14">
        <f>Data!K1126</f>
        <v>128700000000</v>
      </c>
      <c r="G1126" s="12">
        <f t="shared" si="17"/>
        <v>0.52818958818958817</v>
      </c>
    </row>
    <row r="1127" spans="2:7" ht="15" customHeight="1" x14ac:dyDescent="0.3">
      <c r="C1127" s="2"/>
      <c r="D1127" s="8">
        <v>2017</v>
      </c>
      <c r="E1127" s="14">
        <f>Data!I1127</f>
        <v>70561000000</v>
      </c>
      <c r="F1127" s="14">
        <f>Data!K1127</f>
        <v>133380000000</v>
      </c>
      <c r="G1127" s="12">
        <f t="shared" si="17"/>
        <v>0.52902234218023692</v>
      </c>
    </row>
    <row r="1128" spans="2:7" ht="15" customHeight="1" x14ac:dyDescent="0.3">
      <c r="C1128" s="2"/>
      <c r="D1128" s="8">
        <v>2018</v>
      </c>
      <c r="E1128" s="14">
        <f>Data!I1129</f>
        <v>80937000000</v>
      </c>
      <c r="F1128" s="14">
        <f>Data!K1129</f>
        <v>114421000000</v>
      </c>
      <c r="G1128" s="12">
        <f t="shared" si="17"/>
        <v>0.70736141092981186</v>
      </c>
    </row>
    <row r="1129" spans="2:7" ht="15" customHeight="1" x14ac:dyDescent="0.3">
      <c r="C1129" s="2"/>
      <c r="D1129" s="8">
        <v>2019</v>
      </c>
      <c r="E1129" s="14" t="e">
        <f>Data!#REF!</f>
        <v>#REF!</v>
      </c>
      <c r="F1129" s="14" t="e">
        <f>Data!#REF!</f>
        <v>#REF!</v>
      </c>
      <c r="G1129" s="12">
        <f t="shared" si="17"/>
        <v>0</v>
      </c>
    </row>
    <row r="1130" spans="2:7" ht="15" customHeight="1" x14ac:dyDescent="0.3">
      <c r="C1130" s="2"/>
      <c r="D1130" s="8">
        <v>2020</v>
      </c>
      <c r="E1130" s="14">
        <f>Data!I1130</f>
        <v>119908000000</v>
      </c>
      <c r="F1130" s="14">
        <f>Data!K1130</f>
        <v>179001000000</v>
      </c>
      <c r="G1130" s="12">
        <f t="shared" si="17"/>
        <v>0.66987335266283432</v>
      </c>
    </row>
    <row r="1131" spans="2:7" ht="15" customHeight="1" x14ac:dyDescent="0.3">
      <c r="C1131" s="2"/>
      <c r="D1131" s="8">
        <v>2021</v>
      </c>
      <c r="E1131" s="14">
        <f>Data!I1131</f>
        <v>47109000000</v>
      </c>
      <c r="F1131" s="14">
        <f>Data!K1131</f>
        <v>142995000000</v>
      </c>
      <c r="G1131" s="12">
        <f t="shared" si="17"/>
        <v>0.32944508549249973</v>
      </c>
    </row>
    <row r="1132" spans="2:7" ht="15" customHeight="1" x14ac:dyDescent="0.3">
      <c r="C1132" s="2"/>
      <c r="D1132" s="8">
        <v>2022</v>
      </c>
      <c r="E1132" s="14">
        <f>Data!I1132</f>
        <v>65212000000</v>
      </c>
      <c r="F1132" s="14">
        <f>Data!K1132</f>
        <v>154113000000</v>
      </c>
      <c r="G1132" s="12">
        <f t="shared" si="17"/>
        <v>0.42314405663376875</v>
      </c>
    </row>
    <row r="1133" spans="2:7" ht="15" customHeight="1" x14ac:dyDescent="0.3">
      <c r="C1133" s="2"/>
      <c r="D1133" s="8">
        <v>2023</v>
      </c>
      <c r="E1133" s="14">
        <f>Data!I1133</f>
        <v>219718000000</v>
      </c>
      <c r="F1133" s="14">
        <f>Data!K1133</f>
        <v>149416000000</v>
      </c>
      <c r="G1133" s="12">
        <f t="shared" si="17"/>
        <v>1.4705118595063447</v>
      </c>
    </row>
    <row r="1134" spans="2:7" ht="15" customHeight="1" x14ac:dyDescent="0.3">
      <c r="C1134" s="2"/>
      <c r="D1134" s="8">
        <v>2024</v>
      </c>
      <c r="E1134" s="14">
        <f>Data!I1134</f>
        <v>311972000000</v>
      </c>
      <c r="F1134" s="14">
        <f>Data!K1134</f>
        <v>262297000000</v>
      </c>
      <c r="G1134" s="12">
        <f t="shared" si="17"/>
        <v>1.1893845526254589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Data!I1135</f>
        <v>0</v>
      </c>
      <c r="F1135" s="14">
        <f>Data!K1135</f>
        <v>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Data!I1136</f>
        <v>440503000000</v>
      </c>
      <c r="F1136" s="14">
        <f>Data!K1136</f>
        <v>139620000000</v>
      </c>
      <c r="G1136" s="12">
        <f t="shared" si="17"/>
        <v>3.1550136083655635</v>
      </c>
    </row>
    <row r="1137" spans="2:7" ht="15" customHeight="1" x14ac:dyDescent="0.3">
      <c r="C1137" s="2"/>
      <c r="D1137" s="8">
        <v>2016</v>
      </c>
      <c r="E1137" s="14">
        <f>Data!I1137</f>
        <v>459993000000</v>
      </c>
      <c r="F1137" s="14">
        <f>Data!K1137</f>
        <v>120706000000</v>
      </c>
      <c r="G1137" s="12">
        <f t="shared" si="17"/>
        <v>3.8108544728513909</v>
      </c>
    </row>
    <row r="1138" spans="2:7" ht="15" customHeight="1" x14ac:dyDescent="0.3">
      <c r="C1138" s="2"/>
      <c r="D1138" s="8">
        <v>2017</v>
      </c>
      <c r="E1138" s="14">
        <f>Data!I1138</f>
        <v>442666000000</v>
      </c>
      <c r="F1138" s="14">
        <f>Data!K1138</f>
        <v>140052000000</v>
      </c>
      <c r="G1138" s="12">
        <f t="shared" si="17"/>
        <v>3.1607260160511812</v>
      </c>
    </row>
    <row r="1139" spans="2:7" ht="15" customHeight="1" x14ac:dyDescent="0.3">
      <c r="C1139" s="2"/>
      <c r="D1139" s="8">
        <v>2018</v>
      </c>
      <c r="E1139" s="14">
        <f>Data!I1139</f>
        <v>448846000000</v>
      </c>
      <c r="F1139" s="14">
        <f>Data!K1139</f>
        <v>135467000000</v>
      </c>
      <c r="G1139" s="12">
        <f t="shared" si="17"/>
        <v>3.3133235400503445</v>
      </c>
    </row>
    <row r="1140" spans="2:7" ht="15" customHeight="1" x14ac:dyDescent="0.3">
      <c r="C1140" s="2"/>
      <c r="D1140" s="8">
        <v>2019</v>
      </c>
      <c r="E1140" s="14">
        <f>Data!I1140</f>
        <v>346613000000</v>
      </c>
      <c r="F1140" s="14">
        <f>Data!K1140</f>
        <v>146256000000</v>
      </c>
      <c r="G1140" s="12">
        <f t="shared" si="17"/>
        <v>2.369906191882726</v>
      </c>
    </row>
    <row r="1141" spans="2:7" ht="15" customHeight="1" x14ac:dyDescent="0.3">
      <c r="C1141" s="2"/>
      <c r="D1141" s="8">
        <v>2020</v>
      </c>
      <c r="E1141" s="14">
        <f>Data!I1141</f>
        <v>190572000000</v>
      </c>
      <c r="F1141" s="14">
        <f>Data!K1141</f>
        <v>139429000000</v>
      </c>
      <c r="G1141" s="12">
        <f t="shared" si="17"/>
        <v>1.3668031758099104</v>
      </c>
    </row>
    <row r="1142" spans="2:7" ht="15" customHeight="1" x14ac:dyDescent="0.3">
      <c r="C1142" s="2"/>
      <c r="D1142" s="8">
        <v>2021</v>
      </c>
      <c r="E1142" s="14">
        <f>Data!I1142</f>
        <v>162850000000</v>
      </c>
      <c r="F1142" s="14">
        <f>Data!K1142</f>
        <v>158508000000</v>
      </c>
      <c r="G1142" s="12">
        <f t="shared" si="17"/>
        <v>1.0273929391576451</v>
      </c>
    </row>
    <row r="1143" spans="2:7" ht="15" customHeight="1" x14ac:dyDescent="0.3">
      <c r="C1143" s="2"/>
      <c r="D1143" s="8">
        <v>2022</v>
      </c>
      <c r="E1143" s="14">
        <f>Data!I1143</f>
        <v>227485000000</v>
      </c>
      <c r="F1143" s="14">
        <f>Data!K1143</f>
        <v>163152000000</v>
      </c>
      <c r="G1143" s="12">
        <f t="shared" si="17"/>
        <v>1.3943132784152201</v>
      </c>
    </row>
    <row r="1144" spans="2:7" ht="15" customHeight="1" x14ac:dyDescent="0.3">
      <c r="C1144" s="2"/>
      <c r="D1144" s="8">
        <v>2023</v>
      </c>
      <c r="E1144" s="14">
        <f>Data!I1144</f>
        <v>304860000000</v>
      </c>
      <c r="F1144" s="14">
        <f>Data!K1144</f>
        <v>191029000000</v>
      </c>
      <c r="G1144" s="12">
        <f t="shared" si="17"/>
        <v>1.5958833475545597</v>
      </c>
    </row>
    <row r="1145" spans="2:7" ht="15" customHeight="1" x14ac:dyDescent="0.3">
      <c r="C1145" s="2"/>
      <c r="D1145" s="8">
        <v>2024</v>
      </c>
      <c r="E1145" s="14">
        <f>Data!I1145</f>
        <v>388832000000</v>
      </c>
      <c r="F1145" s="14">
        <f>Data!K1145</f>
        <v>248527000000</v>
      </c>
      <c r="G1145" s="12">
        <f t="shared" si="17"/>
        <v>1.5645463068399006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Data!I1146</f>
        <v>0</v>
      </c>
      <c r="F1146" s="14">
        <f>Data!K1146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Data!I1147</f>
        <v>0</v>
      </c>
      <c r="F1147" s="14">
        <f>Data!K1147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Data!I1148</f>
        <v>70292000000</v>
      </c>
      <c r="F1148" s="14">
        <f>Data!K1148</f>
        <v>29216000000</v>
      </c>
      <c r="G1148" s="12">
        <f t="shared" si="17"/>
        <v>2.4059419496166483</v>
      </c>
    </row>
    <row r="1149" spans="2:7" ht="15" customHeight="1" x14ac:dyDescent="0.3">
      <c r="C1149" s="1"/>
      <c r="D1149" s="8">
        <v>2017</v>
      </c>
      <c r="E1149" s="14">
        <f>Data!I1149</f>
        <v>44709000000</v>
      </c>
      <c r="F1149" s="14">
        <f>Data!K1149</f>
        <v>10975000000</v>
      </c>
      <c r="G1149" s="12">
        <f t="shared" si="17"/>
        <v>4.0737129840546693</v>
      </c>
    </row>
    <row r="1150" spans="2:7" ht="15" customHeight="1" x14ac:dyDescent="0.3">
      <c r="C1150" s="1"/>
      <c r="D1150" s="8">
        <v>2018</v>
      </c>
      <c r="E1150" s="14">
        <f>Data!I1150</f>
        <v>41119000000</v>
      </c>
      <c r="F1150" s="14">
        <f>Data!K1150</f>
        <v>62614000000</v>
      </c>
      <c r="G1150" s="12">
        <f t="shared" si="17"/>
        <v>0.65670616794965986</v>
      </c>
    </row>
    <row r="1151" spans="2:7" ht="15" customHeight="1" x14ac:dyDescent="0.3">
      <c r="C1151" s="1"/>
      <c r="D1151" s="8">
        <v>2019</v>
      </c>
      <c r="E1151" s="14">
        <f>Data!I1151</f>
        <v>57485000000</v>
      </c>
      <c r="F1151" s="14">
        <f>Data!K1151</f>
        <v>65521000000</v>
      </c>
      <c r="G1151" s="12">
        <f t="shared" si="17"/>
        <v>0.87735229926283176</v>
      </c>
    </row>
    <row r="1152" spans="2:7" ht="15" customHeight="1" x14ac:dyDescent="0.3">
      <c r="C1152" s="1"/>
      <c r="D1152" s="8">
        <v>2020</v>
      </c>
      <c r="E1152" s="14">
        <f>Data!I1152</f>
        <v>69115000000</v>
      </c>
      <c r="F1152" s="14">
        <f>Data!K1152</f>
        <v>68747000000</v>
      </c>
      <c r="G1152" s="12">
        <f t="shared" si="17"/>
        <v>1.0053529608564737</v>
      </c>
    </row>
    <row r="1153" spans="2:7" ht="15" customHeight="1" x14ac:dyDescent="0.3">
      <c r="C1153" s="1"/>
      <c r="D1153" s="8">
        <v>2021</v>
      </c>
      <c r="E1153" s="14">
        <f>Data!I1153</f>
        <v>103695000000</v>
      </c>
      <c r="F1153" s="14">
        <f>Data!K1153</f>
        <v>70597000000</v>
      </c>
      <c r="G1153" s="12">
        <f t="shared" si="17"/>
        <v>1.4688301202600678</v>
      </c>
    </row>
    <row r="1154" spans="2:7" ht="15" customHeight="1" x14ac:dyDescent="0.3">
      <c r="C1154" s="1"/>
      <c r="D1154" s="8">
        <v>2022</v>
      </c>
      <c r="E1154" s="14">
        <f>Data!I1154</f>
        <v>184450000000</v>
      </c>
      <c r="F1154" s="14">
        <f>Data!K1154</f>
        <v>78029000000</v>
      </c>
      <c r="G1154" s="12">
        <f t="shared" si="17"/>
        <v>2.3638647169642057</v>
      </c>
    </row>
    <row r="1155" spans="2:7" ht="15" customHeight="1" x14ac:dyDescent="0.3">
      <c r="C1155" s="1"/>
      <c r="D1155" s="8">
        <v>2023</v>
      </c>
      <c r="E1155" s="14">
        <f>Data!I1155</f>
        <v>258818000000</v>
      </c>
      <c r="F1155" s="14">
        <f>Data!K1155</f>
        <v>89908000000</v>
      </c>
      <c r="G1155" s="12">
        <f t="shared" ref="G1155:G1218" si="18">IFERROR(E1155/F1155,0)</f>
        <v>2.8786982248520712</v>
      </c>
    </row>
    <row r="1156" spans="2:7" ht="15" customHeight="1" x14ac:dyDescent="0.3">
      <c r="C1156" s="1"/>
      <c r="D1156" s="8">
        <v>2024</v>
      </c>
      <c r="E1156" s="14">
        <f>Data!I1156</f>
        <v>230991000000</v>
      </c>
      <c r="F1156" s="14">
        <f>Data!K1156</f>
        <v>96582000000</v>
      </c>
      <c r="G1156" s="12">
        <f t="shared" si="18"/>
        <v>2.3916568304653043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Data!I1157</f>
        <v>0</v>
      </c>
      <c r="F1157" s="14">
        <f>Data!K1157</f>
        <v>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Data!I1158</f>
        <v>2133784000000</v>
      </c>
      <c r="F1158" s="14">
        <f>Data!K1158</f>
        <v>761704000000</v>
      </c>
      <c r="G1158" s="12">
        <f t="shared" si="18"/>
        <v>2.8013296503628706</v>
      </c>
    </row>
    <row r="1159" spans="2:7" ht="15" customHeight="1" x14ac:dyDescent="0.3">
      <c r="C1159" s="2"/>
      <c r="D1159" s="8">
        <v>2016</v>
      </c>
      <c r="E1159" s="14">
        <f>Data!I1159</f>
        <v>1848075000000</v>
      </c>
      <c r="F1159" s="14">
        <f>Data!K1159</f>
        <v>790735000000</v>
      </c>
      <c r="G1159" s="12">
        <f t="shared" si="18"/>
        <v>2.3371609957824049</v>
      </c>
    </row>
    <row r="1160" spans="2:7" ht="15" customHeight="1" x14ac:dyDescent="0.3">
      <c r="C1160" s="2"/>
      <c r="D1160" s="8">
        <v>2017</v>
      </c>
      <c r="E1160" s="14">
        <f>Data!I1160</f>
        <v>1554785000000</v>
      </c>
      <c r="F1160" s="14">
        <f>Data!K1160</f>
        <v>783168000000</v>
      </c>
      <c r="G1160" s="12">
        <f t="shared" si="18"/>
        <v>1.9852509295578982</v>
      </c>
    </row>
    <row r="1161" spans="2:7" ht="15" customHeight="1" x14ac:dyDescent="0.3">
      <c r="C1161" s="2"/>
      <c r="D1161" s="8">
        <v>2018</v>
      </c>
      <c r="E1161" s="14">
        <f>Data!I1161</f>
        <v>2095692000000</v>
      </c>
      <c r="F1161" s="14">
        <f>Data!K1161</f>
        <v>857084000000</v>
      </c>
      <c r="G1161" s="12">
        <f t="shared" si="18"/>
        <v>2.4451418997437826</v>
      </c>
    </row>
    <row r="1162" spans="2:7" ht="15" customHeight="1" x14ac:dyDescent="0.3">
      <c r="C1162" s="2"/>
      <c r="D1162" s="8">
        <v>2019</v>
      </c>
      <c r="E1162" s="14">
        <f>Data!I1162</f>
        <v>2429395000000</v>
      </c>
      <c r="F1162" s="14">
        <f>Data!K1162</f>
        <v>992211000000</v>
      </c>
      <c r="G1162" s="12">
        <f t="shared" si="18"/>
        <v>2.4484661024721555</v>
      </c>
    </row>
    <row r="1163" spans="2:7" ht="15" customHeight="1" x14ac:dyDescent="0.3">
      <c r="C1163" s="2"/>
      <c r="D1163" s="8">
        <v>2020</v>
      </c>
      <c r="E1163" s="14">
        <f>Data!I1163</f>
        <v>2769682000000</v>
      </c>
      <c r="F1163" s="14">
        <f>Data!K1163</f>
        <v>1159604000000</v>
      </c>
      <c r="G1163" s="12">
        <f t="shared" si="18"/>
        <v>2.38847227156857</v>
      </c>
    </row>
    <row r="1164" spans="2:7" ht="15" customHeight="1" x14ac:dyDescent="0.3">
      <c r="C1164" s="2"/>
      <c r="D1164" s="8">
        <v>2021</v>
      </c>
      <c r="E1164" s="14">
        <f>Data!I1164</f>
        <v>3040461000000</v>
      </c>
      <c r="F1164" s="14">
        <f>Data!K1164</f>
        <v>1318513000000</v>
      </c>
      <c r="G1164" s="12">
        <f t="shared" si="18"/>
        <v>2.3059772637812443</v>
      </c>
    </row>
    <row r="1165" spans="2:7" ht="15" customHeight="1" x14ac:dyDescent="0.3">
      <c r="C1165" s="2"/>
      <c r="D1165" s="8">
        <v>2022</v>
      </c>
      <c r="E1165" s="14">
        <f>Data!I1165</f>
        <v>3182042000000</v>
      </c>
      <c r="F1165" s="14">
        <f>Data!K1165</f>
        <v>1456690000000</v>
      </c>
      <c r="G1165" s="12">
        <f t="shared" si="18"/>
        <v>2.1844332012988352</v>
      </c>
    </row>
    <row r="1166" spans="2:7" ht="15" customHeight="1" x14ac:dyDescent="0.3">
      <c r="C1166" s="2"/>
      <c r="D1166" s="8">
        <v>2023</v>
      </c>
      <c r="E1166" s="14">
        <f>Data!I1166</f>
        <v>4512000000000</v>
      </c>
      <c r="F1166" s="14">
        <f>Data!K1166</f>
        <v>1474249000000</v>
      </c>
      <c r="G1166" s="12">
        <f t="shared" si="18"/>
        <v>3.0605413332483185</v>
      </c>
    </row>
    <row r="1167" spans="2:7" ht="15" customHeight="1" x14ac:dyDescent="0.3">
      <c r="C1167" s="2"/>
      <c r="D1167" s="8">
        <v>2024</v>
      </c>
      <c r="E1167" s="14">
        <f>Data!I1167</f>
        <v>3795604000000</v>
      </c>
      <c r="F1167" s="14">
        <f>Data!K1167</f>
        <v>1557157000000</v>
      </c>
      <c r="G1167" s="12">
        <f t="shared" si="18"/>
        <v>2.4375217142523202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Data!I1168</f>
        <v>0</v>
      </c>
      <c r="F1168" s="14">
        <f>Data!K1168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Data!I1169</f>
        <v>0</v>
      </c>
      <c r="F1169" s="14">
        <f>Data!K1169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Data!I1170</f>
        <v>0</v>
      </c>
      <c r="F1170" s="14">
        <f>Data!K1170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Data!I1171</f>
        <v>0</v>
      </c>
      <c r="F1171" s="14">
        <f>Data!K1171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Data!I1172</f>
        <v>0</v>
      </c>
      <c r="F1172" s="14">
        <f>Data!K1172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Data!I1173</f>
        <v>228814000000</v>
      </c>
      <c r="F1173" s="14">
        <f>Data!K1173</f>
        <v>193148000000</v>
      </c>
      <c r="G1173" s="12">
        <f t="shared" si="18"/>
        <v>1.1846563257191376</v>
      </c>
    </row>
    <row r="1174" spans="2:7" ht="15" customHeight="1" x14ac:dyDescent="0.3">
      <c r="C1174" s="2"/>
      <c r="D1174" s="8">
        <v>2020</v>
      </c>
      <c r="E1174" s="14">
        <f>Data!I1174</f>
        <v>366142000000</v>
      </c>
      <c r="F1174" s="14">
        <f>Data!K1174</f>
        <v>208124000000</v>
      </c>
      <c r="G1174" s="12">
        <f t="shared" si="18"/>
        <v>1.7592492936902999</v>
      </c>
    </row>
    <row r="1175" spans="2:7" ht="15" customHeight="1" x14ac:dyDescent="0.3">
      <c r="C1175" s="2"/>
      <c r="D1175" s="8">
        <v>2021</v>
      </c>
      <c r="E1175" s="14">
        <f>Data!I1175</f>
        <v>517265000000</v>
      </c>
      <c r="F1175" s="14">
        <f>Data!K1175</f>
        <v>227467000000</v>
      </c>
      <c r="G1175" s="12">
        <f t="shared" si="18"/>
        <v>2.274022165852629</v>
      </c>
    </row>
    <row r="1176" spans="2:7" ht="15" customHeight="1" x14ac:dyDescent="0.3">
      <c r="C1176" s="2"/>
      <c r="D1176" s="8">
        <v>2022</v>
      </c>
      <c r="E1176" s="14">
        <f>Data!I1176</f>
        <v>667416000000</v>
      </c>
      <c r="F1176" s="14">
        <f>Data!K1176</f>
        <v>251145000000</v>
      </c>
      <c r="G1176" s="12">
        <f t="shared" si="18"/>
        <v>2.6574926835095263</v>
      </c>
    </row>
    <row r="1177" spans="2:7" ht="15" customHeight="1" x14ac:dyDescent="0.3">
      <c r="C1177" s="2"/>
      <c r="D1177" s="8">
        <v>2023</v>
      </c>
      <c r="E1177" s="14">
        <f>Data!I1177</f>
        <v>769319000000</v>
      </c>
      <c r="F1177" s="14">
        <f>Data!K1177</f>
        <v>316470000000</v>
      </c>
      <c r="G1177" s="12">
        <f t="shared" si="18"/>
        <v>2.4309381615950958</v>
      </c>
    </row>
    <row r="1178" spans="2:7" ht="15" customHeight="1" x14ac:dyDescent="0.3">
      <c r="C1178" s="2"/>
      <c r="D1178" s="8">
        <v>2024</v>
      </c>
      <c r="E1178" s="14">
        <f>Data!I1178</f>
        <v>888613000000</v>
      </c>
      <c r="F1178" s="14">
        <f>Data!K1178</f>
        <v>391579000000</v>
      </c>
      <c r="G1178" s="12">
        <f t="shared" si="18"/>
        <v>2.2693070874587247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Data!I1179</f>
        <v>0</v>
      </c>
      <c r="F1179" s="14">
        <f>Data!K1179</f>
        <v>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Data!I1180</f>
        <v>928826000000</v>
      </c>
      <c r="F1180" s="14">
        <f>Data!K1180</f>
        <v>388717000000</v>
      </c>
      <c r="G1180" s="12">
        <f t="shared" si="18"/>
        <v>2.3894658581950363</v>
      </c>
    </row>
    <row r="1181" spans="2:7" ht="15" customHeight="1" x14ac:dyDescent="0.3">
      <c r="C1181" s="1"/>
      <c r="D1181" s="8">
        <v>2016</v>
      </c>
      <c r="E1181" s="14">
        <f>Data!I1181</f>
        <v>892922000000</v>
      </c>
      <c r="F1181" s="14">
        <f>Data!K1181</f>
        <v>414363000000</v>
      </c>
      <c r="G1181" s="12">
        <f t="shared" si="18"/>
        <v>2.1549269601774288</v>
      </c>
    </row>
    <row r="1182" spans="2:7" ht="15" customHeight="1" x14ac:dyDescent="0.3">
      <c r="C1182" s="1"/>
      <c r="D1182" s="8">
        <v>2017</v>
      </c>
      <c r="E1182" s="14">
        <f>Data!I1182</f>
        <v>973737000000</v>
      </c>
      <c r="F1182" s="14">
        <f>Data!K1182</f>
        <v>419617000000</v>
      </c>
      <c r="G1182" s="12">
        <f t="shared" si="18"/>
        <v>2.3205375378023292</v>
      </c>
    </row>
    <row r="1183" spans="2:7" ht="15" customHeight="1" x14ac:dyDescent="0.3">
      <c r="C1183" s="1"/>
      <c r="D1183" s="8">
        <v>2018</v>
      </c>
      <c r="E1183" s="14">
        <f>Data!I1183</f>
        <v>1328090000000</v>
      </c>
      <c r="F1183" s="14">
        <f>Data!K1183</f>
        <v>440344000000</v>
      </c>
      <c r="G1183" s="12">
        <f t="shared" si="18"/>
        <v>3.0160283778137091</v>
      </c>
    </row>
    <row r="1184" spans="2:7" ht="15" customHeight="1" x14ac:dyDescent="0.3">
      <c r="C1184" s="1"/>
      <c r="D1184" s="8">
        <v>2019</v>
      </c>
      <c r="E1184" s="14">
        <f>Data!I1184</f>
        <v>1233545000000</v>
      </c>
      <c r="F1184" s="14">
        <f>Data!K1184</f>
        <v>471299000000</v>
      </c>
      <c r="G1184" s="12">
        <f t="shared" si="18"/>
        <v>2.6173299752386487</v>
      </c>
    </row>
    <row r="1185" spans="2:7" ht="15" customHeight="1" x14ac:dyDescent="0.3">
      <c r="C1185" s="1"/>
      <c r="D1185" s="8">
        <v>2020</v>
      </c>
      <c r="E1185" s="14">
        <f>Data!I1185</f>
        <v>1381000000000</v>
      </c>
      <c r="F1185" s="14">
        <f>Data!K1185</f>
        <v>486407000000</v>
      </c>
      <c r="G1185" s="12">
        <f t="shared" si="18"/>
        <v>2.8391861136866861</v>
      </c>
    </row>
    <row r="1186" spans="2:7" ht="15" customHeight="1" x14ac:dyDescent="0.3">
      <c r="C1186" s="1"/>
      <c r="D1186" s="8">
        <v>2021</v>
      </c>
      <c r="E1186" s="14">
        <f>Data!I1186</f>
        <v>1809087000000</v>
      </c>
      <c r="F1186" s="14">
        <f>Data!K1186</f>
        <v>522027000000</v>
      </c>
      <c r="G1186" s="12">
        <f t="shared" si="18"/>
        <v>3.4655046578050559</v>
      </c>
    </row>
    <row r="1187" spans="2:7" ht="15" customHeight="1" x14ac:dyDescent="0.3">
      <c r="C1187" s="1"/>
      <c r="D1187" s="8">
        <v>2022</v>
      </c>
      <c r="E1187" s="14">
        <f>Data!I1187</f>
        <v>2235549000000</v>
      </c>
      <c r="F1187" s="14">
        <f>Data!K1187</f>
        <v>562427000000</v>
      </c>
      <c r="G1187" s="12">
        <f t="shared" si="18"/>
        <v>3.9748251773118999</v>
      </c>
    </row>
    <row r="1188" spans="2:7" ht="15" customHeight="1" x14ac:dyDescent="0.3">
      <c r="C1188" s="1"/>
      <c r="D1188" s="8">
        <v>2023</v>
      </c>
      <c r="E1188" s="14">
        <f>Data!I1188</f>
        <v>2862552000000</v>
      </c>
      <c r="F1188" s="14">
        <f>Data!K1188</f>
        <v>629515000000</v>
      </c>
      <c r="G1188" s="12">
        <f t="shared" si="18"/>
        <v>4.547233981716083</v>
      </c>
    </row>
    <row r="1189" spans="2:7" ht="15" customHeight="1" x14ac:dyDescent="0.3">
      <c r="C1189" s="1"/>
      <c r="D1189" s="8">
        <v>2024</v>
      </c>
      <c r="E1189" s="14">
        <f>Data!I1189</f>
        <v>3205418000000</v>
      </c>
      <c r="F1189" s="14">
        <f>Data!K1189</f>
        <v>695935000000</v>
      </c>
      <c r="G1189" s="12">
        <f t="shared" si="18"/>
        <v>4.6059157823647325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Data!I1190</f>
        <v>0</v>
      </c>
      <c r="F1190" s="14">
        <f>Data!K1190</f>
        <v>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Data!I1202</f>
        <v>577397000000</v>
      </c>
      <c r="F1191" s="14">
        <f>Data!K1202</f>
        <v>321230000000</v>
      </c>
      <c r="G1191" s="12">
        <f t="shared" si="18"/>
        <v>1.7974566509977274</v>
      </c>
    </row>
    <row r="1192" spans="2:7" ht="15" customHeight="1" x14ac:dyDescent="0.3">
      <c r="C1192" s="2"/>
      <c r="D1192" s="8">
        <v>2016</v>
      </c>
      <c r="E1192" s="14">
        <f>Data!I1203</f>
        <v>760443000000</v>
      </c>
      <c r="F1192" s="14">
        <f>Data!K1203</f>
        <v>373351000000</v>
      </c>
      <c r="G1192" s="12">
        <f t="shared" si="18"/>
        <v>2.0368045083580868</v>
      </c>
    </row>
    <row r="1193" spans="2:7" ht="15" customHeight="1" x14ac:dyDescent="0.3">
      <c r="C1193" s="2"/>
      <c r="D1193" s="8">
        <v>2017</v>
      </c>
      <c r="E1193" s="14">
        <f>Data!I1193</f>
        <v>4449194000000</v>
      </c>
      <c r="F1193" s="14">
        <f>Data!K1193</f>
        <v>3709251000000</v>
      </c>
      <c r="G1193" s="12">
        <f t="shared" si="18"/>
        <v>1.1994858261142209</v>
      </c>
    </row>
    <row r="1194" spans="2:7" ht="15" customHeight="1" x14ac:dyDescent="0.3">
      <c r="C1194" s="2"/>
      <c r="D1194" s="8">
        <v>2018</v>
      </c>
      <c r="E1194" s="14">
        <f>Data!I1194</f>
        <v>5785103000000</v>
      </c>
      <c r="F1194" s="14">
        <f>Data!K1194</f>
        <v>4667403000000</v>
      </c>
      <c r="G1194" s="12">
        <f t="shared" si="18"/>
        <v>1.2394693580134393</v>
      </c>
    </row>
    <row r="1195" spans="2:7" ht="15" customHeight="1" x14ac:dyDescent="0.3">
      <c r="C1195" s="2"/>
      <c r="D1195" s="8">
        <v>2019</v>
      </c>
      <c r="E1195" s="14">
        <f>Data!I1195</f>
        <v>7823887000000</v>
      </c>
      <c r="F1195" s="14">
        <f>Data!K1195</f>
        <v>5024879000000</v>
      </c>
      <c r="G1195" s="12">
        <f t="shared" si="18"/>
        <v>1.5570299304719577</v>
      </c>
    </row>
    <row r="1196" spans="2:7" ht="15" customHeight="1" x14ac:dyDescent="0.3">
      <c r="C1196" s="2"/>
      <c r="D1196" s="8">
        <v>2020</v>
      </c>
      <c r="E1196" s="14">
        <f>Data!I1196</f>
        <v>7147757000000</v>
      </c>
      <c r="F1196" s="14">
        <f>Data!K1196</f>
        <v>5218711000000</v>
      </c>
      <c r="G1196" s="12">
        <f t="shared" si="18"/>
        <v>1.3696403192282538</v>
      </c>
    </row>
    <row r="1197" spans="2:7" ht="15" customHeight="1" x14ac:dyDescent="0.3">
      <c r="C1197" s="2"/>
      <c r="D1197" s="8">
        <v>2021</v>
      </c>
      <c r="E1197" s="14">
        <f>Data!I1197</f>
        <v>7497879000000</v>
      </c>
      <c r="F1197" s="14">
        <f>Data!K1197</f>
        <v>5340392000000</v>
      </c>
      <c r="G1197" s="12">
        <f t="shared" si="18"/>
        <v>1.4039941262738764</v>
      </c>
    </row>
    <row r="1198" spans="2:7" ht="15" customHeight="1" x14ac:dyDescent="0.3">
      <c r="C1198" s="2"/>
      <c r="D1198" s="8">
        <v>2022</v>
      </c>
      <c r="E1198" s="14">
        <f>Data!I1198</f>
        <v>7754869000000</v>
      </c>
      <c r="F1198" s="14">
        <f>Data!K1198</f>
        <v>5603741000000</v>
      </c>
      <c r="G1198" s="12">
        <f t="shared" si="18"/>
        <v>1.3838735587529831</v>
      </c>
    </row>
    <row r="1199" spans="2:7" ht="15" customHeight="1" x14ac:dyDescent="0.3">
      <c r="C1199" s="2"/>
      <c r="D1199" s="8">
        <v>2023</v>
      </c>
      <c r="E1199" s="14">
        <f>Data!I1199</f>
        <v>9351637000000</v>
      </c>
      <c r="F1199" s="14">
        <f>Data!K1199</f>
        <v>6652105000000</v>
      </c>
      <c r="G1199" s="12">
        <f t="shared" si="18"/>
        <v>1.4058162040436823</v>
      </c>
    </row>
    <row r="1200" spans="2:7" ht="15" customHeight="1" x14ac:dyDescent="0.3">
      <c r="C1200" s="2"/>
      <c r="D1200" s="8">
        <v>2024</v>
      </c>
      <c r="E1200" s="14">
        <f>Data!I1200</f>
        <v>9993200000000</v>
      </c>
      <c r="F1200" s="14">
        <f>Data!K1200</f>
        <v>5768032000000</v>
      </c>
      <c r="G1200" s="12">
        <f t="shared" si="18"/>
        <v>1.7325146601128427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Data!I1201</f>
        <v>0</v>
      </c>
      <c r="F1201" s="14">
        <f>Data!K1201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 t="e">
        <f>Data!#REF!</f>
        <v>#REF!</v>
      </c>
      <c r="F1202" s="14" t="e">
        <f>Data!#REF!</f>
        <v>#REF!</v>
      </c>
      <c r="G1202" s="12">
        <f t="shared" si="18"/>
        <v>0</v>
      </c>
    </row>
    <row r="1203" spans="2:7" ht="15" customHeight="1" x14ac:dyDescent="0.3">
      <c r="C1203" s="2"/>
      <c r="D1203" s="8">
        <v>2016</v>
      </c>
      <c r="E1203" s="14" t="e">
        <f>Data!#REF!</f>
        <v>#REF!</v>
      </c>
      <c r="F1203" s="14" t="e">
        <f>Data!#REF!</f>
        <v>#REF!</v>
      </c>
      <c r="G1203" s="12">
        <f t="shared" si="18"/>
        <v>0</v>
      </c>
    </row>
    <row r="1204" spans="2:7" ht="15" customHeight="1" x14ac:dyDescent="0.3">
      <c r="C1204" s="2"/>
      <c r="D1204" s="8">
        <v>2017</v>
      </c>
      <c r="E1204" s="14">
        <f>Data!I1204</f>
        <v>985170000000</v>
      </c>
      <c r="F1204" s="14">
        <f>Data!K1204</f>
        <v>445305000000</v>
      </c>
      <c r="G1204" s="12">
        <f t="shared" si="18"/>
        <v>2.2123488395594033</v>
      </c>
    </row>
    <row r="1205" spans="2:7" ht="15" customHeight="1" x14ac:dyDescent="0.3">
      <c r="C1205" s="2"/>
      <c r="D1205" s="8">
        <v>2018</v>
      </c>
      <c r="E1205" s="14">
        <f>Data!I1205</f>
        <v>1240072000000</v>
      </c>
      <c r="F1205" s="14">
        <f>Data!K1205</f>
        <v>525277000000</v>
      </c>
      <c r="G1205" s="12">
        <f t="shared" si="18"/>
        <v>2.3607963036645425</v>
      </c>
    </row>
    <row r="1206" spans="2:7" ht="15" customHeight="1" x14ac:dyDescent="0.3">
      <c r="C1206" s="2"/>
      <c r="D1206" s="8">
        <v>2019</v>
      </c>
      <c r="E1206" s="14">
        <f>Data!I1206</f>
        <v>1396162000000</v>
      </c>
      <c r="F1206" s="14">
        <f>Data!K1206</f>
        <v>664200000000</v>
      </c>
      <c r="G1206" s="12">
        <f t="shared" si="18"/>
        <v>2.1020204757603134</v>
      </c>
    </row>
    <row r="1207" spans="2:7" ht="15" customHeight="1" x14ac:dyDescent="0.3">
      <c r="C1207" s="2"/>
      <c r="D1207" s="8">
        <v>2020</v>
      </c>
      <c r="E1207" s="14">
        <f>Data!I1207</f>
        <v>1325278000000</v>
      </c>
      <c r="F1207" s="14">
        <f>Data!K1207</f>
        <v>802062000000</v>
      </c>
      <c r="G1207" s="12">
        <f t="shared" si="18"/>
        <v>1.652338597265548</v>
      </c>
    </row>
    <row r="1208" spans="2:7" ht="15" customHeight="1" x14ac:dyDescent="0.3">
      <c r="C1208" s="2"/>
      <c r="D1208" s="8">
        <v>2021</v>
      </c>
      <c r="E1208" s="14">
        <f>Data!I1208</f>
        <v>1376746000000</v>
      </c>
      <c r="F1208" s="14">
        <f>Data!K1208</f>
        <v>928725000000</v>
      </c>
      <c r="G1208" s="12">
        <f t="shared" si="18"/>
        <v>1.4824043715846995</v>
      </c>
    </row>
    <row r="1209" spans="2:7" ht="15" customHeight="1" x14ac:dyDescent="0.3">
      <c r="C1209" s="2"/>
      <c r="D1209" s="8">
        <v>2022</v>
      </c>
      <c r="E1209" s="14">
        <f>Data!I1209</f>
        <v>1367878000000</v>
      </c>
      <c r="F1209" s="14">
        <f>Data!K1209</f>
        <v>1064050000000</v>
      </c>
      <c r="G1209" s="12">
        <f t="shared" si="18"/>
        <v>1.2855392133828298</v>
      </c>
    </row>
    <row r="1210" spans="2:7" ht="15" customHeight="1" x14ac:dyDescent="0.3">
      <c r="C1210" s="2"/>
      <c r="D1210" s="8">
        <v>2023</v>
      </c>
      <c r="E1210" s="14">
        <f>Data!I1210</f>
        <v>1761339000000</v>
      </c>
      <c r="F1210" s="14">
        <f>Data!K1210</f>
        <v>1244312000000</v>
      </c>
      <c r="G1210" s="12">
        <f t="shared" si="18"/>
        <v>1.4155123473855431</v>
      </c>
    </row>
    <row r="1211" spans="2:7" ht="15" customHeight="1" x14ac:dyDescent="0.3">
      <c r="C1211" s="2"/>
      <c r="D1211" s="8">
        <v>2024</v>
      </c>
      <c r="E1211" s="14">
        <f>Data!I1211</f>
        <v>2007285000000</v>
      </c>
      <c r="F1211" s="14">
        <f>Data!K1211</f>
        <v>1378271000000</v>
      </c>
      <c r="G1211" s="12">
        <f t="shared" si="18"/>
        <v>1.4563790430183905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Data!I1212</f>
        <v>0</v>
      </c>
      <c r="F1212" s="14">
        <f>Data!K1212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Data!I1213</f>
        <v>430645000000</v>
      </c>
      <c r="F1213" s="14">
        <f>Data!K1213</f>
        <v>193635000000</v>
      </c>
      <c r="G1213" s="12">
        <f t="shared" si="18"/>
        <v>2.2240039249102694</v>
      </c>
    </row>
    <row r="1214" spans="2:7" ht="15" customHeight="1" x14ac:dyDescent="0.3">
      <c r="C1214" s="2"/>
      <c r="D1214" s="8">
        <v>2016</v>
      </c>
      <c r="E1214" s="14">
        <f>Data!I1214</f>
        <v>436347000000</v>
      </c>
      <c r="F1214" s="14">
        <f>Data!K1214</f>
        <v>250544000000</v>
      </c>
      <c r="G1214" s="12">
        <f t="shared" si="18"/>
        <v>1.7415982821380676</v>
      </c>
    </row>
    <row r="1215" spans="2:7" ht="15" customHeight="1" x14ac:dyDescent="0.3">
      <c r="C1215" s="2"/>
      <c r="D1215" s="8">
        <v>2017</v>
      </c>
      <c r="E1215" s="14">
        <f>Data!I1215</f>
        <v>466070000000</v>
      </c>
      <c r="F1215" s="14">
        <f>Data!K1215</f>
        <v>250894000000</v>
      </c>
      <c r="G1215" s="12">
        <f t="shared" si="18"/>
        <v>1.8576370897669932</v>
      </c>
    </row>
    <row r="1216" spans="2:7" ht="15" customHeight="1" x14ac:dyDescent="0.3">
      <c r="C1216" s="2"/>
      <c r="D1216" s="8">
        <v>2018</v>
      </c>
      <c r="E1216" s="14">
        <f>Data!I1216</f>
        <v>568334000000</v>
      </c>
      <c r="F1216" s="14">
        <f>Data!K1216</f>
        <v>256676000000</v>
      </c>
      <c r="G1216" s="12">
        <f t="shared" si="18"/>
        <v>2.2142077950412191</v>
      </c>
    </row>
    <row r="1217" spans="2:7" ht="15" customHeight="1" x14ac:dyDescent="0.3">
      <c r="C1217" s="2"/>
      <c r="D1217" s="8">
        <v>2019</v>
      </c>
      <c r="E1217" s="14">
        <f>Data!I1217</f>
        <v>452723000000</v>
      </c>
      <c r="F1217" s="14">
        <f>Data!K1217</f>
        <v>274252000000</v>
      </c>
      <c r="G1217" s="12">
        <f t="shared" si="18"/>
        <v>1.6507555095313799</v>
      </c>
    </row>
    <row r="1218" spans="2:7" ht="15" customHeight="1" x14ac:dyDescent="0.3">
      <c r="C1218" s="2"/>
      <c r="D1218" s="8">
        <v>2020</v>
      </c>
      <c r="E1218" s="14">
        <f>Data!I1218</f>
        <v>424437000000</v>
      </c>
      <c r="F1218" s="14">
        <f>Data!K1218</f>
        <v>267840000000</v>
      </c>
      <c r="G1218" s="12">
        <f t="shared" si="18"/>
        <v>1.5846662186379927</v>
      </c>
    </row>
    <row r="1219" spans="2:7" ht="15" customHeight="1" x14ac:dyDescent="0.3">
      <c r="C1219" s="2"/>
      <c r="D1219" s="8">
        <v>2021</v>
      </c>
      <c r="E1219" s="14">
        <f>Data!I1219</f>
        <v>436076000000</v>
      </c>
      <c r="F1219" s="14">
        <f>Data!K1219</f>
        <v>287427000000</v>
      </c>
      <c r="G1219" s="12">
        <f t="shared" ref="G1219:G1282" si="19">IFERROR(E1219/F1219,0)</f>
        <v>1.517171316542983</v>
      </c>
    </row>
    <row r="1220" spans="2:7" ht="15" customHeight="1" x14ac:dyDescent="0.3">
      <c r="C1220" s="2"/>
      <c r="D1220" s="8">
        <v>2022</v>
      </c>
      <c r="E1220" s="14">
        <f>Data!I1220</f>
        <v>482251000000</v>
      </c>
      <c r="F1220" s="14">
        <f>Data!K1220</f>
        <v>311967000000</v>
      </c>
      <c r="G1220" s="12">
        <f t="shared" si="19"/>
        <v>1.5458397843361638</v>
      </c>
    </row>
    <row r="1221" spans="2:7" ht="15" customHeight="1" x14ac:dyDescent="0.3">
      <c r="C1221" s="2"/>
      <c r="D1221" s="8">
        <v>2023</v>
      </c>
      <c r="E1221" s="14">
        <f>Data!I1221</f>
        <v>499592000000</v>
      </c>
      <c r="F1221" s="14">
        <f>Data!K1221</f>
        <v>319258000000</v>
      </c>
      <c r="G1221" s="12">
        <f t="shared" si="19"/>
        <v>1.5648535040625451</v>
      </c>
    </row>
    <row r="1222" spans="2:7" ht="15" customHeight="1" x14ac:dyDescent="0.3">
      <c r="C1222" s="2"/>
      <c r="D1222" s="8">
        <v>2024</v>
      </c>
      <c r="E1222" s="14">
        <f>Data!I1222</f>
        <v>496989000000</v>
      </c>
      <c r="F1222" s="14">
        <f>Data!K1222</f>
        <v>320760000000</v>
      </c>
      <c r="G1222" s="12">
        <f t="shared" si="19"/>
        <v>1.5494107744107743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Data!I1223</f>
        <v>0</v>
      </c>
      <c r="F1223" s="14">
        <f>Data!K1223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>
        <f>Data!I1224</f>
        <v>557236000000</v>
      </c>
      <c r="F1224" s="14">
        <f>Data!K1224</f>
        <v>349754000000</v>
      </c>
      <c r="G1224" s="12">
        <f t="shared" si="19"/>
        <v>1.5932226650731658</v>
      </c>
    </row>
    <row r="1225" spans="2:7" ht="15" customHeight="1" x14ac:dyDescent="0.3">
      <c r="C1225" s="2"/>
      <c r="D1225" s="8">
        <v>2016</v>
      </c>
      <c r="E1225" s="14">
        <f>Data!I1225</f>
        <v>581888000000</v>
      </c>
      <c r="F1225" s="14">
        <f>Data!K1225</f>
        <v>304334000000</v>
      </c>
      <c r="G1225" s="12">
        <f t="shared" si="19"/>
        <v>1.9120045739220726</v>
      </c>
    </row>
    <row r="1226" spans="2:7" ht="15" customHeight="1" x14ac:dyDescent="0.3">
      <c r="C1226" s="2"/>
      <c r="D1226" s="8">
        <v>2017</v>
      </c>
      <c r="E1226" s="14">
        <f>Data!I1226</f>
        <v>593374000000</v>
      </c>
      <c r="F1226" s="14">
        <f>Data!K1226</f>
        <v>316865000000</v>
      </c>
      <c r="G1226" s="12">
        <f t="shared" si="19"/>
        <v>1.8726397677244253</v>
      </c>
    </row>
    <row r="1227" spans="2:7" ht="15" customHeight="1" x14ac:dyDescent="0.3">
      <c r="C1227" s="2"/>
      <c r="D1227" s="8">
        <v>2018</v>
      </c>
      <c r="E1227" s="14">
        <f>Data!I1227</f>
        <v>755531000000</v>
      </c>
      <c r="F1227" s="14">
        <f>Data!K1227</f>
        <v>315032000000</v>
      </c>
      <c r="G1227" s="12">
        <f t="shared" si="19"/>
        <v>2.3982674775895783</v>
      </c>
    </row>
    <row r="1228" spans="2:7" ht="15" customHeight="1" x14ac:dyDescent="0.3">
      <c r="C1228" s="2"/>
      <c r="D1228" s="8">
        <v>2019</v>
      </c>
      <c r="E1228" s="14">
        <f>Data!I1228</f>
        <v>731259000000</v>
      </c>
      <c r="F1228" s="14">
        <f>Data!K1228</f>
        <v>367268000000</v>
      </c>
      <c r="G1228" s="12">
        <f t="shared" si="19"/>
        <v>1.9910773604016685</v>
      </c>
    </row>
    <row r="1229" spans="2:7" ht="15" customHeight="1" x14ac:dyDescent="0.3">
      <c r="C1229" s="2"/>
      <c r="D1229" s="8">
        <v>2020</v>
      </c>
      <c r="E1229" s="14">
        <f>Data!I1229</f>
        <v>539965000000</v>
      </c>
      <c r="F1229" s="14">
        <f>Data!K1229</f>
        <v>399820000000</v>
      </c>
      <c r="G1229" s="12">
        <f t="shared" si="19"/>
        <v>1.3505202341053475</v>
      </c>
    </row>
    <row r="1230" spans="2:7" ht="15" customHeight="1" x14ac:dyDescent="0.3">
      <c r="C1230" s="2"/>
      <c r="D1230" s="8">
        <v>2021</v>
      </c>
      <c r="E1230" s="14">
        <f>Data!I1230</f>
        <v>627044000000</v>
      </c>
      <c r="F1230" s="14">
        <f>Data!K1230</f>
        <v>430595000000</v>
      </c>
      <c r="G1230" s="12">
        <f t="shared" si="19"/>
        <v>1.4562268488951335</v>
      </c>
    </row>
    <row r="1231" spans="2:7" ht="15" customHeight="1" x14ac:dyDescent="0.3">
      <c r="C1231" s="2"/>
      <c r="D1231" s="8">
        <v>2022</v>
      </c>
      <c r="E1231" s="14">
        <f>Data!I1231</f>
        <v>836122000000</v>
      </c>
      <c r="F1231" s="14">
        <f>Data!K1231</f>
        <v>502098000000</v>
      </c>
      <c r="G1231" s="12">
        <f t="shared" si="19"/>
        <v>1.6652565833761537</v>
      </c>
    </row>
    <row r="1232" spans="2:7" ht="15" customHeight="1" x14ac:dyDescent="0.3">
      <c r="C1232" s="2"/>
      <c r="D1232" s="8">
        <v>2023</v>
      </c>
      <c r="E1232" s="14">
        <f>Data!I1232</f>
        <v>1132706000000</v>
      </c>
      <c r="F1232" s="14">
        <f>Data!K1232</f>
        <v>626711000000</v>
      </c>
      <c r="G1232" s="12">
        <f t="shared" si="19"/>
        <v>1.8073817118257058</v>
      </c>
    </row>
    <row r="1233" spans="2:7" ht="15" customHeight="1" x14ac:dyDescent="0.3">
      <c r="C1233" s="2"/>
      <c r="D1233" s="8">
        <v>2024</v>
      </c>
      <c r="E1233" s="14">
        <f>Data!I1233</f>
        <v>1075040000000</v>
      </c>
      <c r="F1233" s="14">
        <f>Data!K1233</f>
        <v>718656000000</v>
      </c>
      <c r="G1233" s="12">
        <f t="shared" si="19"/>
        <v>1.4959034642443672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Data!I1234</f>
        <v>0</v>
      </c>
      <c r="F1234" s="14">
        <f>Data!K1234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Data!I1235</f>
        <v>0</v>
      </c>
      <c r="F1235" s="14">
        <f>Data!K1235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Data!I1236</f>
        <v>0</v>
      </c>
      <c r="F1236" s="14">
        <f>Data!K1236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Data!I1237</f>
        <v>0</v>
      </c>
      <c r="F1237" s="14">
        <f>Data!K1237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Data!I1238</f>
        <v>242690000000</v>
      </c>
      <c r="F1238" s="14">
        <f>Data!K1238</f>
        <v>135647000000</v>
      </c>
      <c r="G1238" s="12">
        <f t="shared" si="19"/>
        <v>1.7891291366561737</v>
      </c>
    </row>
    <row r="1239" spans="2:7" ht="15" customHeight="1" x14ac:dyDescent="0.3">
      <c r="C1239" s="2"/>
      <c r="D1239" s="8">
        <v>2019</v>
      </c>
      <c r="E1239" s="14">
        <f>Data!I1239</f>
        <v>322752000000</v>
      </c>
      <c r="F1239" s="14">
        <f>Data!K1239</f>
        <v>137994000000</v>
      </c>
      <c r="G1239" s="12">
        <f t="shared" si="19"/>
        <v>2.3388842993173617</v>
      </c>
    </row>
    <row r="1240" spans="2:7" ht="15" customHeight="1" x14ac:dyDescent="0.3">
      <c r="C1240" s="2"/>
      <c r="D1240" s="8">
        <v>2020</v>
      </c>
      <c r="E1240" s="14">
        <f>Data!I1240</f>
        <v>284434000000</v>
      </c>
      <c r="F1240" s="14">
        <f>Data!K1240</f>
        <v>138058000000</v>
      </c>
      <c r="G1240" s="12">
        <f t="shared" si="19"/>
        <v>2.060250039838329</v>
      </c>
    </row>
    <row r="1241" spans="2:7" ht="15" customHeight="1" x14ac:dyDescent="0.3">
      <c r="C1241" s="2"/>
      <c r="D1241" s="8">
        <v>2021</v>
      </c>
      <c r="E1241" s="14">
        <f>Data!I1241</f>
        <v>222037000000</v>
      </c>
      <c r="F1241" s="14">
        <f>Data!K1241</f>
        <v>114323000000</v>
      </c>
      <c r="G1241" s="12">
        <f t="shared" si="19"/>
        <v>1.942190110476457</v>
      </c>
    </row>
    <row r="1242" spans="2:7" ht="15" customHeight="1" x14ac:dyDescent="0.3">
      <c r="C1242" s="2"/>
      <c r="D1242" s="8">
        <v>2022</v>
      </c>
      <c r="E1242" s="14">
        <f>Data!I1242</f>
        <v>130799000000</v>
      </c>
      <c r="F1242" s="14">
        <f>Data!K1242</f>
        <v>155637000000</v>
      </c>
      <c r="G1242" s="12">
        <f t="shared" si="19"/>
        <v>0.84041069925531842</v>
      </c>
    </row>
    <row r="1243" spans="2:7" ht="15" customHeight="1" x14ac:dyDescent="0.3">
      <c r="C1243" s="2"/>
      <c r="D1243" s="8">
        <v>2023</v>
      </c>
      <c r="E1243" s="14">
        <f>Data!I1243</f>
        <v>205363000000</v>
      </c>
      <c r="F1243" s="14">
        <f>Data!K1243</f>
        <v>131003000000</v>
      </c>
      <c r="G1243" s="12">
        <f t="shared" si="19"/>
        <v>1.5676205888414769</v>
      </c>
    </row>
    <row r="1244" spans="2:7" ht="15" customHeight="1" x14ac:dyDescent="0.3">
      <c r="C1244" s="2"/>
      <c r="D1244" s="8">
        <v>2024</v>
      </c>
      <c r="E1244" s="14">
        <f>Data!I1244</f>
        <v>540492000000</v>
      </c>
      <c r="F1244" s="14">
        <f>Data!K1244</f>
        <v>296693000000</v>
      </c>
      <c r="G1244" s="12">
        <f t="shared" si="19"/>
        <v>1.8217214427034005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Data!I1245</f>
        <v>0</v>
      </c>
      <c r="F1245" s="14">
        <f>Data!K1245</f>
        <v>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Data!I1246</f>
        <v>43591980000</v>
      </c>
      <c r="F1246" s="14">
        <f>Data!K1246</f>
        <v>115660920000</v>
      </c>
      <c r="G1246" s="12">
        <f t="shared" si="19"/>
        <v>0.37689463303594678</v>
      </c>
    </row>
    <row r="1247" spans="2:7" ht="15" customHeight="1" x14ac:dyDescent="0.3">
      <c r="C1247" s="2"/>
      <c r="D1247" s="8">
        <v>2016</v>
      </c>
      <c r="E1247" s="14">
        <f>Data!I1247</f>
        <v>41426760000</v>
      </c>
      <c r="F1247" s="14">
        <f>Data!K1247</f>
        <v>120067110000</v>
      </c>
      <c r="G1247" s="12">
        <f t="shared" si="19"/>
        <v>0.34503004194904002</v>
      </c>
    </row>
    <row r="1248" spans="2:7" ht="15" customHeight="1" x14ac:dyDescent="0.3">
      <c r="C1248" s="2"/>
      <c r="D1248" s="8">
        <v>2017</v>
      </c>
      <c r="E1248" s="14">
        <f>Data!I1248</f>
        <v>37433390000</v>
      </c>
      <c r="F1248" s="14">
        <f>Data!K1248</f>
        <v>124125560000</v>
      </c>
      <c r="G1248" s="12">
        <f t="shared" si="19"/>
        <v>0.30157680658198038</v>
      </c>
    </row>
    <row r="1249" spans="2:7" ht="15" customHeight="1" x14ac:dyDescent="0.3">
      <c r="C1249" s="2"/>
      <c r="D1249" s="8">
        <v>2018</v>
      </c>
      <c r="E1249" s="14">
        <f>Data!I1249</f>
        <v>37287300000</v>
      </c>
      <c r="F1249" s="14">
        <f>Data!K1249</f>
        <v>125960230000</v>
      </c>
      <c r="G1249" s="12">
        <f t="shared" si="19"/>
        <v>0.29602438801516956</v>
      </c>
    </row>
    <row r="1250" spans="2:7" ht="15" customHeight="1" x14ac:dyDescent="0.3">
      <c r="C1250" s="2"/>
      <c r="D1250" s="8">
        <v>2019</v>
      </c>
      <c r="E1250" s="14">
        <f>Data!I1250</f>
        <v>59322410000</v>
      </c>
      <c r="F1250" s="14">
        <f>Data!K1250</f>
        <v>130957620000</v>
      </c>
      <c r="G1250" s="12">
        <f t="shared" si="19"/>
        <v>0.45298937167611936</v>
      </c>
    </row>
    <row r="1251" spans="2:7" ht="15" customHeight="1" x14ac:dyDescent="0.3">
      <c r="C1251" s="2"/>
      <c r="D1251" s="8">
        <v>2020</v>
      </c>
      <c r="E1251" s="14">
        <f>Data!I1251</f>
        <v>65752860000</v>
      </c>
      <c r="F1251" s="14">
        <f>Data!K1251</f>
        <v>133384870000</v>
      </c>
      <c r="G1251" s="12">
        <f t="shared" si="19"/>
        <v>0.49295591021680346</v>
      </c>
    </row>
    <row r="1252" spans="2:7" ht="15" customHeight="1" x14ac:dyDescent="0.3">
      <c r="C1252" s="2"/>
      <c r="D1252" s="8">
        <v>2021</v>
      </c>
      <c r="E1252" s="14">
        <f>Data!I1252</f>
        <v>80772360000</v>
      </c>
      <c r="F1252" s="14">
        <f>Data!K1252</f>
        <v>137516520000</v>
      </c>
      <c r="G1252" s="12">
        <f t="shared" si="19"/>
        <v>0.58736477624651928</v>
      </c>
    </row>
    <row r="1253" spans="2:7" ht="15" customHeight="1" x14ac:dyDescent="0.3">
      <c r="C1253" s="2"/>
      <c r="D1253" s="8">
        <v>2022</v>
      </c>
      <c r="E1253" s="14">
        <f>Data!I1253</f>
        <v>84600180000</v>
      </c>
      <c r="F1253" s="14">
        <f>Data!K1253</f>
        <v>140131230000</v>
      </c>
      <c r="G1253" s="12">
        <f t="shared" si="19"/>
        <v>0.60372109771676163</v>
      </c>
    </row>
    <row r="1254" spans="2:7" ht="15" customHeight="1" x14ac:dyDescent="0.3">
      <c r="C1254" s="2"/>
      <c r="D1254" s="8">
        <v>2023</v>
      </c>
      <c r="E1254" s="14">
        <f>Data!I1254</f>
        <v>96105990000</v>
      </c>
      <c r="F1254" s="14">
        <f>Data!K1254</f>
        <v>145349140000</v>
      </c>
      <c r="G1254" s="12">
        <f t="shared" si="19"/>
        <v>0.66120783377184067</v>
      </c>
    </row>
    <row r="1255" spans="2:7" ht="15" customHeight="1" x14ac:dyDescent="0.3">
      <c r="C1255" s="2"/>
      <c r="D1255" s="8">
        <v>2024</v>
      </c>
      <c r="E1255" s="14">
        <f>Data!I1255</f>
        <v>88874610000</v>
      </c>
      <c r="F1255" s="14">
        <f>Data!K1255</f>
        <v>130051220000</v>
      </c>
      <c r="G1255" s="12">
        <f t="shared" si="19"/>
        <v>0.68338159380588659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Data!I1256</f>
        <v>0</v>
      </c>
      <c r="F1256" s="14">
        <f>Data!K1256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Data!I1257</f>
        <v>0</v>
      </c>
      <c r="F1257" s="14">
        <f>Data!K1257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Data!I1258</f>
        <v>0</v>
      </c>
      <c r="F1258" s="14">
        <f>Data!K1258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Data!I1259</f>
        <v>0</v>
      </c>
      <c r="F1259" s="14">
        <f>Data!K1259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Data!I1260</f>
        <v>0</v>
      </c>
      <c r="F1260" s="14">
        <f>Data!K1260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Data!I1261</f>
        <v>0</v>
      </c>
      <c r="F1261" s="14">
        <f>Data!K1261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Data!I1262</f>
        <v>0</v>
      </c>
      <c r="F1262" s="14">
        <f>Data!K1262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Data!I1263</f>
        <v>0</v>
      </c>
      <c r="F1263" s="14">
        <f>Data!K1263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Data!I1264</f>
        <v>1029260000</v>
      </c>
      <c r="F1264" s="14">
        <f>Data!K1264</f>
        <v>150041170000</v>
      </c>
      <c r="G1264" s="12">
        <f t="shared" si="19"/>
        <v>6.8598505330237031E-3</v>
      </c>
    </row>
    <row r="1265" spans="2:7" ht="15" customHeight="1" x14ac:dyDescent="0.3">
      <c r="C1265" s="1"/>
      <c r="D1265" s="8">
        <v>2023</v>
      </c>
      <c r="E1265" s="14">
        <f>Data!I1265</f>
        <v>11841590000</v>
      </c>
      <c r="F1265" s="14">
        <f>Data!K1265</f>
        <v>129617170000</v>
      </c>
      <c r="G1265" s="12">
        <f t="shared" si="19"/>
        <v>9.1358189659595246E-2</v>
      </c>
    </row>
    <row r="1266" spans="2:7" ht="15" customHeight="1" x14ac:dyDescent="0.3">
      <c r="C1266" s="1"/>
      <c r="D1266" s="8">
        <v>2024</v>
      </c>
      <c r="E1266" s="14">
        <f>Data!I1266</f>
        <v>56360210000</v>
      </c>
      <c r="F1266" s="14">
        <f>Data!K1266</f>
        <v>103957440000</v>
      </c>
      <c r="G1266" s="12">
        <f t="shared" si="19"/>
        <v>0.54214695937106572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Data!I1267</f>
        <v>0</v>
      </c>
      <c r="F1267" s="14">
        <f>Data!K1267</f>
        <v>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Data!I1268</f>
        <v>2161453000000</v>
      </c>
      <c r="F1268" s="14">
        <f>Data!K1268</f>
        <v>858902000000</v>
      </c>
      <c r="G1268" s="12">
        <f t="shared" si="19"/>
        <v>2.5165304074271568</v>
      </c>
    </row>
    <row r="1269" spans="2:7" ht="15" customHeight="1" x14ac:dyDescent="0.3">
      <c r="C1269" s="1"/>
      <c r="D1269" s="8">
        <v>2016</v>
      </c>
      <c r="E1269" s="14">
        <f>Data!I1269</f>
        <v>2205404000000</v>
      </c>
      <c r="F1269" s="14">
        <f>Data!K1269</f>
        <v>937404000000</v>
      </c>
      <c r="G1269" s="12">
        <f t="shared" si="19"/>
        <v>2.3526718469304591</v>
      </c>
    </row>
    <row r="1270" spans="2:7" ht="15" customHeight="1" x14ac:dyDescent="0.3">
      <c r="C1270" s="1"/>
      <c r="D1270" s="8">
        <v>2017</v>
      </c>
      <c r="E1270" s="14">
        <f>Data!I1270</f>
        <v>2280404000000</v>
      </c>
      <c r="F1270" s="14">
        <f>Data!K1270</f>
        <v>1001894000000</v>
      </c>
      <c r="G1270" s="12">
        <f t="shared" si="19"/>
        <v>2.2760930797070347</v>
      </c>
    </row>
    <row r="1271" spans="2:7" ht="15" customHeight="1" x14ac:dyDescent="0.3">
      <c r="C1271" s="1"/>
      <c r="D1271" s="8">
        <v>2018</v>
      </c>
      <c r="E1271" s="14">
        <f>Data!I1271</f>
        <v>2607229000000</v>
      </c>
      <c r="F1271" s="14">
        <f>Data!K1271</f>
        <v>998450000000</v>
      </c>
      <c r="G1271" s="12">
        <f t="shared" si="19"/>
        <v>2.6112764785417397</v>
      </c>
    </row>
    <row r="1272" spans="2:7" ht="15" customHeight="1" x14ac:dyDescent="0.3">
      <c r="C1272" s="1"/>
      <c r="D1272" s="8">
        <v>2019</v>
      </c>
      <c r="E1272" s="14">
        <f>Data!I1272</f>
        <v>2723511000000</v>
      </c>
      <c r="F1272" s="14">
        <f>Data!K1272</f>
        <v>1144707000000</v>
      </c>
      <c r="G1272" s="12">
        <f t="shared" si="19"/>
        <v>2.3792210583144859</v>
      </c>
    </row>
    <row r="1273" spans="2:7" ht="15" customHeight="1" x14ac:dyDescent="0.3">
      <c r="C1273" s="1"/>
      <c r="D1273" s="8">
        <v>2020</v>
      </c>
      <c r="E1273" s="14">
        <f>Data!I1273</f>
        <v>2992586000000</v>
      </c>
      <c r="F1273" s="14">
        <f>Data!K1273</f>
        <v>1240538000000</v>
      </c>
      <c r="G1273" s="12">
        <f t="shared" si="19"/>
        <v>2.4123291668614746</v>
      </c>
    </row>
    <row r="1274" spans="2:7" ht="15" customHeight="1" x14ac:dyDescent="0.3">
      <c r="C1274" s="1"/>
      <c r="D1274" s="8">
        <v>2021</v>
      </c>
      <c r="E1274" s="14">
        <f>Data!I1274</f>
        <v>2951961000000</v>
      </c>
      <c r="F1274" s="14">
        <f>Data!K1274</f>
        <v>1309413000000</v>
      </c>
      <c r="G1274" s="12">
        <f t="shared" si="19"/>
        <v>2.2544155281794209</v>
      </c>
    </row>
    <row r="1275" spans="2:7" ht="15" customHeight="1" x14ac:dyDescent="0.3">
      <c r="C1275" s="1"/>
      <c r="D1275" s="8">
        <v>2022</v>
      </c>
      <c r="E1275" s="14">
        <f>Data!I1275</f>
        <v>3035635000000</v>
      </c>
      <c r="F1275" s="14">
        <f>Data!K1275</f>
        <v>1329579000000</v>
      </c>
      <c r="G1275" s="12">
        <f t="shared" si="19"/>
        <v>2.2831550438146211</v>
      </c>
    </row>
    <row r="1276" spans="2:7" ht="15" customHeight="1" x14ac:dyDescent="0.3">
      <c r="C1276" s="1"/>
      <c r="D1276" s="8">
        <v>2023</v>
      </c>
      <c r="E1276" s="14">
        <f>Data!I1276</f>
        <v>3497125000000</v>
      </c>
      <c r="F1276" s="14">
        <f>Data!K1276</f>
        <v>1513002000000</v>
      </c>
      <c r="G1276" s="12">
        <f t="shared" si="19"/>
        <v>2.3113816108637</v>
      </c>
    </row>
    <row r="1277" spans="2:7" ht="15" customHeight="1" x14ac:dyDescent="0.3">
      <c r="C1277" s="1"/>
      <c r="D1277" s="8">
        <v>2024</v>
      </c>
      <c r="E1277" s="14">
        <f>Data!I1277</f>
        <v>3671607000000</v>
      </c>
      <c r="F1277" s="14">
        <f>Data!K1277</f>
        <v>1555140000000</v>
      </c>
      <c r="G1277" s="12">
        <f t="shared" si="19"/>
        <v>2.3609494965083528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Data!I1278</f>
        <v>0</v>
      </c>
      <c r="F1278" s="14">
        <f>Data!K1278</f>
        <v>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Data!I1279</f>
        <v>82274000000</v>
      </c>
      <c r="F1279" s="14">
        <f>Data!K1279</f>
        <v>114563000000</v>
      </c>
      <c r="G1279" s="12">
        <f t="shared" si="19"/>
        <v>0.71815507624625752</v>
      </c>
    </row>
    <row r="1280" spans="2:7" ht="15" customHeight="1" x14ac:dyDescent="0.3">
      <c r="C1280" s="2"/>
      <c r="D1280" s="8">
        <v>2016</v>
      </c>
      <c r="E1280" s="14">
        <f>Data!I1280</f>
        <v>89043000000</v>
      </c>
      <c r="F1280" s="14">
        <f>Data!K1280</f>
        <v>123204000000</v>
      </c>
      <c r="G1280" s="12">
        <f t="shared" si="19"/>
        <v>0.72272815817668257</v>
      </c>
    </row>
    <row r="1281" spans="2:7" ht="15" customHeight="1" x14ac:dyDescent="0.3">
      <c r="C1281" s="2"/>
      <c r="D1281" s="8">
        <v>2017</v>
      </c>
      <c r="E1281" s="14">
        <f>Data!I1281</f>
        <v>118323000000</v>
      </c>
      <c r="F1281" s="14">
        <f>Data!K1281</f>
        <v>128612000000</v>
      </c>
      <c r="G1281" s="12">
        <f t="shared" si="19"/>
        <v>0.91999968898703077</v>
      </c>
    </row>
    <row r="1282" spans="2:7" ht="15" customHeight="1" x14ac:dyDescent="0.3">
      <c r="C1282" s="2"/>
      <c r="D1282" s="8">
        <v>2018</v>
      </c>
      <c r="E1282" s="14">
        <f>Data!I1282</f>
        <v>137968000000</v>
      </c>
      <c r="F1282" s="14">
        <f>Data!K1282</f>
        <v>137670000000</v>
      </c>
      <c r="G1282" s="12">
        <f t="shared" si="19"/>
        <v>1.0021645964988741</v>
      </c>
    </row>
    <row r="1283" spans="2:7" ht="15" customHeight="1" x14ac:dyDescent="0.3">
      <c r="C1283" s="2"/>
      <c r="D1283" s="8">
        <v>2019</v>
      </c>
      <c r="E1283" s="14">
        <f>Data!I1283</f>
        <v>281159000000</v>
      </c>
      <c r="F1283" s="14">
        <f>Data!K1283</f>
        <v>149172000000</v>
      </c>
      <c r="G1283" s="12">
        <f t="shared" ref="G1283:G1346" si="20">IFERROR(E1283/F1283,0)</f>
        <v>1.8847974150644893</v>
      </c>
    </row>
    <row r="1284" spans="2:7" ht="15" customHeight="1" x14ac:dyDescent="0.3">
      <c r="C1284" s="2"/>
      <c r="D1284" s="8">
        <v>2020</v>
      </c>
      <c r="E1284" s="14">
        <f>Data!I1284</f>
        <v>269833000000</v>
      </c>
      <c r="F1284" s="14">
        <f>Data!K1284</f>
        <v>162859000000</v>
      </c>
      <c r="G1284" s="12">
        <f t="shared" si="20"/>
        <v>1.6568504043374943</v>
      </c>
    </row>
    <row r="1285" spans="2:7" ht="15" customHeight="1" x14ac:dyDescent="0.3">
      <c r="C1285" s="2"/>
      <c r="D1285" s="8">
        <v>2021</v>
      </c>
      <c r="E1285" s="14">
        <f>Data!I1285</f>
        <v>283830000000</v>
      </c>
      <c r="F1285" s="14">
        <f>Data!K1285</f>
        <v>185934000000</v>
      </c>
      <c r="G1285" s="12">
        <f t="shared" si="20"/>
        <v>1.5265094065636193</v>
      </c>
    </row>
    <row r="1286" spans="2:7" ht="15" customHeight="1" x14ac:dyDescent="0.3">
      <c r="C1286" s="2"/>
      <c r="D1286" s="8">
        <v>2022</v>
      </c>
      <c r="E1286" s="14">
        <f>Data!I1286</f>
        <v>288943000000</v>
      </c>
      <c r="F1286" s="14">
        <f>Data!K1286</f>
        <v>197864000000</v>
      </c>
      <c r="G1286" s="12">
        <f t="shared" si="20"/>
        <v>1.4603111227914123</v>
      </c>
    </row>
    <row r="1287" spans="2:7" ht="15" customHeight="1" x14ac:dyDescent="0.3">
      <c r="C1287" s="2"/>
      <c r="D1287" s="8">
        <v>2023</v>
      </c>
      <c r="E1287" s="14">
        <f>Data!I1287</f>
        <v>353766000000</v>
      </c>
      <c r="F1287" s="14">
        <f>Data!K1287</f>
        <v>213068000000</v>
      </c>
      <c r="G1287" s="12">
        <f t="shared" si="20"/>
        <v>1.6603431768261776</v>
      </c>
    </row>
    <row r="1288" spans="2:7" ht="15" customHeight="1" x14ac:dyDescent="0.3">
      <c r="C1288" s="2"/>
      <c r="D1288" s="8">
        <v>2024</v>
      </c>
      <c r="E1288" s="14">
        <f>Data!I1288</f>
        <v>597103000000</v>
      </c>
      <c r="F1288" s="14">
        <f>Data!K1288</f>
        <v>213765000000</v>
      </c>
      <c r="G1288" s="12">
        <f t="shared" si="20"/>
        <v>2.7932683086567023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Data!I1289</f>
        <v>0</v>
      </c>
      <c r="F1289" s="14">
        <f>Data!K1289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Data!I1290</f>
        <v>0</v>
      </c>
      <c r="F1290" s="14">
        <f>Data!K1290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Data!I1291</f>
        <v>0</v>
      </c>
      <c r="F1291" s="14">
        <f>Data!K1291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Data!I1292</f>
        <v>0</v>
      </c>
      <c r="F1292" s="14">
        <f>Data!K1292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Data!I1293</f>
        <v>2198831080000</v>
      </c>
      <c r="F1293" s="14">
        <f>Data!K1293</f>
        <v>560442200000</v>
      </c>
      <c r="G1293" s="12">
        <f t="shared" si="20"/>
        <v>3.9233859976996737</v>
      </c>
    </row>
    <row r="1294" spans="2:7" ht="15" customHeight="1" x14ac:dyDescent="0.3">
      <c r="C1294" s="3"/>
      <c r="D1294" s="8">
        <v>2019</v>
      </c>
      <c r="E1294" s="14">
        <f>Data!I1294</f>
        <v>1900135867000</v>
      </c>
      <c r="F1294" s="14">
        <f>Data!K1294</f>
        <v>504479833000</v>
      </c>
      <c r="G1294" s="12">
        <f t="shared" si="20"/>
        <v>3.7665249286585456</v>
      </c>
    </row>
    <row r="1295" spans="2:7" ht="15" customHeight="1" x14ac:dyDescent="0.3">
      <c r="C1295" s="3"/>
      <c r="D1295" s="8">
        <v>2020</v>
      </c>
      <c r="E1295" s="14">
        <f>Data!I1295</f>
        <v>2276886920000</v>
      </c>
      <c r="F1295" s="14">
        <f>Data!K1295</f>
        <v>423203745000</v>
      </c>
      <c r="G1295" s="12">
        <f t="shared" si="20"/>
        <v>5.3801199703466711</v>
      </c>
    </row>
    <row r="1296" spans="2:7" ht="15" customHeight="1" x14ac:dyDescent="0.3">
      <c r="C1296" s="3"/>
      <c r="D1296" s="8">
        <v>2021</v>
      </c>
      <c r="E1296" s="14">
        <f>Data!I1296</f>
        <v>2101852339000</v>
      </c>
      <c r="F1296" s="14">
        <f>Data!K1296</f>
        <v>406410849000</v>
      </c>
      <c r="G1296" s="12">
        <f t="shared" si="20"/>
        <v>5.171742693807861</v>
      </c>
    </row>
    <row r="1297" spans="2:7" ht="15" customHeight="1" x14ac:dyDescent="0.3">
      <c r="C1297" s="3"/>
      <c r="D1297" s="8">
        <v>2022</v>
      </c>
      <c r="E1297" s="14">
        <f>Data!I1297</f>
        <v>2143620815000</v>
      </c>
      <c r="F1297" s="14">
        <f>Data!K1297</f>
        <v>389742202000</v>
      </c>
      <c r="G1297" s="12">
        <f t="shared" si="20"/>
        <v>5.5000993066693864</v>
      </c>
    </row>
    <row r="1298" spans="2:7" ht="15" customHeight="1" x14ac:dyDescent="0.3">
      <c r="C1298" s="3"/>
      <c r="D1298" s="8">
        <v>2023</v>
      </c>
      <c r="E1298" s="14">
        <f>Data!I1298</f>
        <v>2160778483000</v>
      </c>
      <c r="F1298" s="14">
        <f>Data!K1298</f>
        <v>404834625000</v>
      </c>
      <c r="G1298" s="12">
        <f t="shared" si="20"/>
        <v>5.3374349661914415</v>
      </c>
    </row>
    <row r="1299" spans="2:7" ht="15" customHeight="1" x14ac:dyDescent="0.3">
      <c r="C1299" s="3"/>
      <c r="D1299" s="8">
        <v>2024</v>
      </c>
      <c r="E1299" s="14">
        <f>Data!I1299</f>
        <v>2185762265000</v>
      </c>
      <c r="F1299" s="14">
        <f>Data!K1299</f>
        <v>258860343000</v>
      </c>
      <c r="G1299" s="12">
        <f t="shared" si="20"/>
        <v>8.4437895726654428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Data!I1300</f>
        <v>0</v>
      </c>
      <c r="F1300" s="14">
        <f>Data!K1300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Data!I1301</f>
        <v>171908000000</v>
      </c>
      <c r="F1301" s="14">
        <f>Data!K1301</f>
        <v>105564000000</v>
      </c>
      <c r="G1301" s="12">
        <f t="shared" si="20"/>
        <v>1.6284718275169565</v>
      </c>
    </row>
    <row r="1302" spans="2:7" ht="15" customHeight="1" x14ac:dyDescent="0.3">
      <c r="C1302" s="2"/>
      <c r="D1302" s="8">
        <v>2016</v>
      </c>
      <c r="E1302" s="14">
        <f>Data!I1302</f>
        <v>191354000000</v>
      </c>
      <c r="F1302" s="14">
        <f>Data!K1302</f>
        <v>109048000000</v>
      </c>
      <c r="G1302" s="12">
        <f t="shared" si="20"/>
        <v>1.7547685422933019</v>
      </c>
    </row>
    <row r="1303" spans="2:7" ht="15" customHeight="1" x14ac:dyDescent="0.3">
      <c r="C1303" s="2"/>
      <c r="D1303" s="8">
        <v>2017</v>
      </c>
      <c r="E1303" s="14">
        <f>Data!I1303</f>
        <v>177564000000</v>
      </c>
      <c r="F1303" s="14">
        <f>Data!K1303</f>
        <v>114013000000</v>
      </c>
      <c r="G1303" s="12">
        <f t="shared" si="20"/>
        <v>1.5574013489689773</v>
      </c>
    </row>
    <row r="1304" spans="2:7" ht="15" customHeight="1" x14ac:dyDescent="0.3">
      <c r="C1304" s="2"/>
      <c r="D1304" s="8">
        <v>2018</v>
      </c>
      <c r="E1304" s="14">
        <f>Data!I1304</f>
        <v>237885000000</v>
      </c>
      <c r="F1304" s="14">
        <f>Data!K1304</f>
        <v>115326000000</v>
      </c>
      <c r="G1304" s="12">
        <f t="shared" si="20"/>
        <v>2.0627178606732222</v>
      </c>
    </row>
    <row r="1305" spans="2:7" ht="15" customHeight="1" x14ac:dyDescent="0.3">
      <c r="C1305" s="2"/>
      <c r="D1305" s="8">
        <v>2019</v>
      </c>
      <c r="E1305" s="14">
        <f>Data!I1305</f>
        <v>272064000000</v>
      </c>
      <c r="F1305" s="14">
        <f>Data!K1305</f>
        <v>127277000000</v>
      </c>
      <c r="G1305" s="12">
        <f t="shared" si="20"/>
        <v>2.1375739528744391</v>
      </c>
    </row>
    <row r="1306" spans="2:7" ht="15" customHeight="1" x14ac:dyDescent="0.3">
      <c r="C1306" s="2"/>
      <c r="D1306" s="8">
        <v>2020</v>
      </c>
      <c r="E1306" s="14">
        <f>Data!I1306</f>
        <v>294028000000</v>
      </c>
      <c r="F1306" s="14">
        <f>Data!K1306</f>
        <v>145658000000</v>
      </c>
      <c r="G1306" s="12">
        <f t="shared" si="20"/>
        <v>2.0186189567342678</v>
      </c>
    </row>
    <row r="1307" spans="2:7" ht="15" customHeight="1" x14ac:dyDescent="0.3">
      <c r="C1307" s="2"/>
      <c r="D1307" s="8">
        <v>2021</v>
      </c>
      <c r="E1307" s="14">
        <f>Data!I1307</f>
        <v>318419000000</v>
      </c>
      <c r="F1307" s="14">
        <f>Data!K1307</f>
        <v>152014000000</v>
      </c>
      <c r="G1307" s="12">
        <f t="shared" si="20"/>
        <v>2.0946689120738879</v>
      </c>
    </row>
    <row r="1308" spans="2:7" ht="15" customHeight="1" x14ac:dyDescent="0.3">
      <c r="C1308" s="2"/>
      <c r="D1308" s="8">
        <v>2022</v>
      </c>
      <c r="E1308" s="14">
        <f>Data!I1308</f>
        <v>303058000000</v>
      </c>
      <c r="F1308" s="14">
        <f>Data!K1308</f>
        <v>152124000000</v>
      </c>
      <c r="G1308" s="12">
        <f t="shared" si="20"/>
        <v>1.9921774341984171</v>
      </c>
    </row>
    <row r="1309" spans="2:7" ht="15" customHeight="1" x14ac:dyDescent="0.3">
      <c r="C1309" s="2"/>
      <c r="D1309" s="8">
        <v>2023</v>
      </c>
      <c r="E1309" s="14">
        <f>Data!I1309</f>
        <v>379238000000</v>
      </c>
      <c r="F1309" s="14">
        <f>Data!K1309</f>
        <v>147397000000</v>
      </c>
      <c r="G1309" s="12">
        <f t="shared" si="20"/>
        <v>2.5729017551239171</v>
      </c>
    </row>
    <row r="1310" spans="2:7" ht="15" customHeight="1" x14ac:dyDescent="0.3">
      <c r="C1310" s="2"/>
      <c r="D1310" s="8">
        <v>2024</v>
      </c>
      <c r="E1310" s="14">
        <f>Data!I1310</f>
        <v>0</v>
      </c>
      <c r="F1310" s="14">
        <f>Data!K1310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Data!I1311</f>
        <v>0</v>
      </c>
      <c r="F1311" s="14">
        <f>Data!K1311</f>
        <v>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Data!I1312</f>
        <v>1235721000000</v>
      </c>
      <c r="F1312" s="14">
        <f>Data!K1312</f>
        <v>497589000000</v>
      </c>
      <c r="G1312" s="12">
        <f t="shared" si="20"/>
        <v>2.4834170369521833</v>
      </c>
    </row>
    <row r="1313" spans="2:7" ht="15" customHeight="1" x14ac:dyDescent="0.3">
      <c r="C1313" s="2"/>
      <c r="D1313" s="8">
        <v>2016</v>
      </c>
      <c r="E1313" s="14">
        <f>Data!I1313</f>
        <v>1506670000000</v>
      </c>
      <c r="F1313" s="14">
        <f>Data!K1313</f>
        <v>565558000000</v>
      </c>
      <c r="G1313" s="12">
        <f t="shared" si="20"/>
        <v>2.66404153066529</v>
      </c>
    </row>
    <row r="1314" spans="2:7" ht="15" customHeight="1" x14ac:dyDescent="0.3">
      <c r="C1314" s="2"/>
      <c r="D1314" s="8">
        <v>2017</v>
      </c>
      <c r="E1314" s="14">
        <f>Data!I1314</f>
        <v>1545062000000</v>
      </c>
      <c r="F1314" s="14">
        <f>Data!K1314</f>
        <v>632869000000</v>
      </c>
      <c r="G1314" s="12">
        <f t="shared" si="20"/>
        <v>2.4413614823920908</v>
      </c>
    </row>
    <row r="1315" spans="2:7" ht="15" customHeight="1" x14ac:dyDescent="0.3">
      <c r="C1315" s="2"/>
      <c r="D1315" s="8">
        <v>2018</v>
      </c>
      <c r="E1315" s="14">
        <f>Data!I1315</f>
        <v>1633840000000</v>
      </c>
      <c r="F1315" s="14">
        <f>Data!K1315</f>
        <v>711709000000</v>
      </c>
      <c r="G1315" s="12">
        <f t="shared" si="20"/>
        <v>2.2956573543400465</v>
      </c>
    </row>
    <row r="1316" spans="2:7" ht="15" customHeight="1" x14ac:dyDescent="0.3">
      <c r="C1316" s="2"/>
      <c r="D1316" s="8">
        <v>2019</v>
      </c>
      <c r="E1316" s="14">
        <f>Data!I1316</f>
        <v>1751308000000</v>
      </c>
      <c r="F1316" s="14">
        <f>Data!K1316</f>
        <v>841104000000</v>
      </c>
      <c r="G1316" s="12">
        <f t="shared" si="20"/>
        <v>2.0821539310239876</v>
      </c>
    </row>
    <row r="1317" spans="2:7" ht="15" customHeight="1" x14ac:dyDescent="0.3">
      <c r="C1317" s="2"/>
      <c r="D1317" s="8">
        <v>2020</v>
      </c>
      <c r="E1317" s="14">
        <f>Data!I1317</f>
        <v>1945036000000</v>
      </c>
      <c r="F1317" s="14">
        <f>Data!K1317</f>
        <v>1007497000000</v>
      </c>
      <c r="G1317" s="12">
        <f t="shared" si="20"/>
        <v>1.9305625723947566</v>
      </c>
    </row>
    <row r="1318" spans="2:7" ht="15" customHeight="1" x14ac:dyDescent="0.3">
      <c r="C1318" s="2"/>
      <c r="D1318" s="8">
        <v>2021</v>
      </c>
      <c r="E1318" s="14">
        <f>Data!I1318</f>
        <v>2456715000000</v>
      </c>
      <c r="F1318" s="14">
        <f>Data!K1318</f>
        <v>1254508000000</v>
      </c>
      <c r="G1318" s="12">
        <f t="shared" si="20"/>
        <v>1.958309552430116</v>
      </c>
    </row>
    <row r="1319" spans="2:7" ht="15" customHeight="1" x14ac:dyDescent="0.3">
      <c r="C1319" s="2"/>
      <c r="D1319" s="8">
        <v>2022</v>
      </c>
      <c r="E1319" s="14">
        <f>Data!I1319</f>
        <v>3161705000000</v>
      </c>
      <c r="F1319" s="14">
        <f>Data!K1319</f>
        <v>1553377000000</v>
      </c>
      <c r="G1319" s="12">
        <f t="shared" si="20"/>
        <v>2.0353751858048628</v>
      </c>
    </row>
    <row r="1320" spans="2:7" ht="15" customHeight="1" x14ac:dyDescent="0.3">
      <c r="C1320" s="2"/>
      <c r="D1320" s="8">
        <v>2023</v>
      </c>
      <c r="E1320" s="14">
        <f>Data!I1320</f>
        <v>4286980000000</v>
      </c>
      <c r="F1320" s="14">
        <f>Data!K1320</f>
        <v>1935570000000</v>
      </c>
      <c r="G1320" s="12">
        <f t="shared" si="20"/>
        <v>2.2148411062374391</v>
      </c>
    </row>
    <row r="1321" spans="2:7" ht="15" customHeight="1" x14ac:dyDescent="0.3">
      <c r="C1321" s="2"/>
      <c r="D1321" s="8">
        <v>2024</v>
      </c>
      <c r="E1321" s="14">
        <f>Data!I1321</f>
        <v>4896905000000</v>
      </c>
      <c r="F1321" s="14">
        <f>Data!K1321</f>
        <v>2505422000000</v>
      </c>
      <c r="G1321" s="12">
        <f t="shared" si="20"/>
        <v>1.9545230304515566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Data!I1322</f>
        <v>0</v>
      </c>
      <c r="F1322" s="14">
        <f>Data!K1322</f>
        <v>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Data!I1323</f>
        <v>355805000000</v>
      </c>
      <c r="F1323" s="14">
        <f>Data!K1323</f>
        <v>159339000000</v>
      </c>
      <c r="G1323" s="12">
        <f t="shared" si="20"/>
        <v>2.2330063575144816</v>
      </c>
    </row>
    <row r="1324" spans="2:7" ht="15" customHeight="1" x14ac:dyDescent="0.3">
      <c r="C1324" s="2"/>
      <c r="D1324" s="8">
        <v>2016</v>
      </c>
      <c r="E1324" s="14">
        <f>Data!I1324</f>
        <v>552157000000</v>
      </c>
      <c r="F1324" s="14">
        <f>Data!K1324</f>
        <v>159164000000</v>
      </c>
      <c r="G1324" s="12">
        <f t="shared" si="20"/>
        <v>3.4691073358297104</v>
      </c>
    </row>
    <row r="1325" spans="2:7" ht="15" customHeight="1" x14ac:dyDescent="0.3">
      <c r="C1325" s="2"/>
      <c r="D1325" s="8">
        <v>2017</v>
      </c>
      <c r="E1325" s="14">
        <f>Data!I1325</f>
        <v>679482000000</v>
      </c>
      <c r="F1325" s="14">
        <f>Data!K1325</f>
        <v>167277000000</v>
      </c>
      <c r="G1325" s="12">
        <f t="shared" si="20"/>
        <v>4.0620168941336825</v>
      </c>
    </row>
    <row r="1326" spans="2:7" ht="15" customHeight="1" x14ac:dyDescent="0.3">
      <c r="C1326" s="2"/>
      <c r="D1326" s="8">
        <v>2018</v>
      </c>
      <c r="E1326" s="14">
        <f>Data!I1326</f>
        <v>815854000000</v>
      </c>
      <c r="F1326" s="14">
        <f>Data!K1326</f>
        <v>181844000000</v>
      </c>
      <c r="G1326" s="12">
        <f t="shared" si="20"/>
        <v>4.4865599084929944</v>
      </c>
    </row>
    <row r="1327" spans="2:7" ht="15" customHeight="1" x14ac:dyDescent="0.3">
      <c r="C1327" s="2"/>
      <c r="D1327" s="8">
        <v>2019</v>
      </c>
      <c r="E1327" s="14">
        <f>Data!I1327</f>
        <v>1076290000000</v>
      </c>
      <c r="F1327" s="14">
        <f>Data!K1327</f>
        <v>201500000000</v>
      </c>
      <c r="G1327" s="12">
        <f t="shared" si="20"/>
        <v>5.3413895781637715</v>
      </c>
    </row>
    <row r="1328" spans="2:7" ht="15" customHeight="1" x14ac:dyDescent="0.3">
      <c r="C1328" s="2"/>
      <c r="D1328" s="8">
        <v>2020</v>
      </c>
      <c r="E1328" s="14">
        <f>Data!I1328</f>
        <v>1339897000000</v>
      </c>
      <c r="F1328" s="14">
        <f>Data!K1328</f>
        <v>217420000000</v>
      </c>
      <c r="G1328" s="12">
        <f t="shared" si="20"/>
        <v>6.1627127219207063</v>
      </c>
    </row>
    <row r="1329" spans="2:7" ht="15" customHeight="1" x14ac:dyDescent="0.3">
      <c r="C1329" s="2"/>
      <c r="D1329" s="8">
        <v>2021</v>
      </c>
      <c r="E1329" s="14">
        <f>Data!I1329</f>
        <v>1351260000000</v>
      </c>
      <c r="F1329" s="14">
        <f>Data!K1329</f>
        <v>259173000000</v>
      </c>
      <c r="G1329" s="12">
        <f t="shared" si="20"/>
        <v>5.21373754210508</v>
      </c>
    </row>
    <row r="1330" spans="2:7" ht="15" customHeight="1" x14ac:dyDescent="0.3">
      <c r="C1330" s="2"/>
      <c r="D1330" s="8">
        <v>2022</v>
      </c>
      <c r="E1330" s="14">
        <f>Data!I1330</f>
        <v>1183074000000</v>
      </c>
      <c r="F1330" s="14">
        <f>Data!K1330</f>
        <v>300888000000</v>
      </c>
      <c r="G1330" s="12">
        <f t="shared" si="20"/>
        <v>3.9319414532982373</v>
      </c>
    </row>
    <row r="1331" spans="2:7" ht="15" customHeight="1" x14ac:dyDescent="0.3">
      <c r="C1331" s="2"/>
      <c r="D1331" s="8">
        <v>2023</v>
      </c>
      <c r="E1331" s="14">
        <f>Data!I1331</f>
        <v>1852153000000</v>
      </c>
      <c r="F1331" s="14">
        <f>Data!K1331</f>
        <v>387787000000</v>
      </c>
      <c r="G1331" s="12">
        <f t="shared" si="20"/>
        <v>4.7762121989648954</v>
      </c>
    </row>
    <row r="1332" spans="2:7" ht="15" customHeight="1" x14ac:dyDescent="0.3">
      <c r="C1332" s="2"/>
      <c r="D1332" s="8">
        <v>2024</v>
      </c>
      <c r="E1332" s="14">
        <f>Data!I1332</f>
        <v>1834599000000</v>
      </c>
      <c r="F1332" s="14">
        <f>Data!K1332</f>
        <v>446099000000</v>
      </c>
      <c r="G1332" s="12">
        <f t="shared" si="20"/>
        <v>4.112537799905402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Data!I1333</f>
        <v>0</v>
      </c>
      <c r="F1333" s="14">
        <f>Data!K1333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Data!I1334</f>
        <v>0</v>
      </c>
      <c r="F1334" s="14">
        <f>Data!K1334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Data!I1335</f>
        <v>0</v>
      </c>
      <c r="F1335" s="14">
        <f>Data!K1335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Data!I1336</f>
        <v>0</v>
      </c>
      <c r="F1336" s="14">
        <f>Data!K1336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Data!I1337</f>
        <v>0</v>
      </c>
      <c r="F1337" s="14">
        <f>Data!K1337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Data!I1338</f>
        <v>0</v>
      </c>
      <c r="F1338" s="14">
        <f>Data!K1338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Data!I1339</f>
        <v>0</v>
      </c>
      <c r="F1339" s="14">
        <f>Data!K1339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Data!I1340</f>
        <v>0</v>
      </c>
      <c r="F1340" s="14">
        <f>Data!K1340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Data!I1341</f>
        <v>0</v>
      </c>
      <c r="F1341" s="14">
        <f>Data!K1341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Data!I1342</f>
        <v>0</v>
      </c>
      <c r="F1342" s="14">
        <f>Data!K1342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Data!I1343</f>
        <v>0</v>
      </c>
      <c r="F1343" s="14">
        <f>Data!K1343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Data!I1344</f>
        <v>0</v>
      </c>
      <c r="F1344" s="14">
        <f>Data!K1344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Data!I1345</f>
        <v>0</v>
      </c>
      <c r="F1345" s="14">
        <f>Data!K1345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Data!I1346</f>
        <v>0</v>
      </c>
      <c r="F1346" s="14">
        <f>Data!K1346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Data!I1347</f>
        <v>0</v>
      </c>
      <c r="F1347" s="14">
        <f>Data!K1347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Data!I1348</f>
        <v>0</v>
      </c>
      <c r="F1348" s="14">
        <f>Data!K1348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Data!I1349</f>
        <v>234894775499</v>
      </c>
      <c r="F1349" s="14">
        <f>Data!K1349</f>
        <v>113373585566</v>
      </c>
      <c r="G1349" s="12">
        <f t="shared" si="21"/>
        <v>2.0718651026720587</v>
      </c>
    </row>
    <row r="1350" spans="2:7" ht="15" customHeight="1" x14ac:dyDescent="0.3">
      <c r="C1350" s="2"/>
      <c r="D1350" s="8">
        <v>2020</v>
      </c>
      <c r="E1350" s="14">
        <f>Data!I1350</f>
        <v>278258189798</v>
      </c>
      <c r="F1350" s="14">
        <f>Data!K1350</f>
        <v>116178253450</v>
      </c>
      <c r="G1350" s="12">
        <f t="shared" si="21"/>
        <v>2.3950970300802021</v>
      </c>
    </row>
    <row r="1351" spans="2:7" ht="15" customHeight="1" x14ac:dyDescent="0.3">
      <c r="C1351" s="2"/>
      <c r="D1351" s="8">
        <v>2021</v>
      </c>
      <c r="E1351" s="14">
        <f>Data!I1351</f>
        <v>148551823874</v>
      </c>
      <c r="F1351" s="14">
        <f>Data!K1351</f>
        <v>119987239217</v>
      </c>
      <c r="G1351" s="12">
        <f t="shared" si="21"/>
        <v>1.2380635211161097</v>
      </c>
    </row>
    <row r="1352" spans="2:7" ht="15" customHeight="1" x14ac:dyDescent="0.3">
      <c r="C1352" s="2"/>
      <c r="D1352" s="8">
        <v>2022</v>
      </c>
      <c r="E1352" s="14">
        <f>Data!I1352</f>
        <v>284649382604</v>
      </c>
      <c r="F1352" s="14">
        <f>Data!K1352</f>
        <v>125797297777</v>
      </c>
      <c r="G1352" s="12">
        <f t="shared" si="21"/>
        <v>2.2627622980312023</v>
      </c>
    </row>
    <row r="1353" spans="2:7" ht="15" customHeight="1" x14ac:dyDescent="0.3">
      <c r="C1353" s="2"/>
      <c r="D1353" s="8">
        <v>2023</v>
      </c>
      <c r="E1353" s="14">
        <f>Data!I1353</f>
        <v>571841754906</v>
      </c>
      <c r="F1353" s="14">
        <f>Data!K1353</f>
        <v>290538073238</v>
      </c>
      <c r="G1353" s="12">
        <f t="shared" si="21"/>
        <v>1.9682162428246177</v>
      </c>
    </row>
    <row r="1354" spans="2:7" ht="15" customHeight="1" x14ac:dyDescent="0.3">
      <c r="C1354" s="2"/>
      <c r="D1354" s="8">
        <v>2024</v>
      </c>
      <c r="E1354" s="14">
        <f>Data!I1354</f>
        <v>712520572002</v>
      </c>
      <c r="F1354" s="14">
        <f>Data!K1354</f>
        <v>217928117414</v>
      </c>
      <c r="G1354" s="12">
        <f t="shared" si="21"/>
        <v>3.2695210717046588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Data!I1355</f>
        <v>0</v>
      </c>
      <c r="F1355" s="14">
        <f>Data!K1355</f>
        <v>0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Data!I1356</f>
        <v>705539104876</v>
      </c>
      <c r="F1356" s="14">
        <f>Data!K1356</f>
        <v>216388147244</v>
      </c>
      <c r="G1356" s="12">
        <f t="shared" si="21"/>
        <v>3.2605256519916117</v>
      </c>
    </row>
    <row r="1357" spans="2:7" ht="15" customHeight="1" x14ac:dyDescent="0.3">
      <c r="C1357" s="2"/>
      <c r="D1357" s="8">
        <v>2016</v>
      </c>
      <c r="E1357" s="14">
        <f>Data!I1357</f>
        <v>736615069781</v>
      </c>
      <c r="F1357" s="14">
        <f>Data!K1357</f>
        <v>373195660331</v>
      </c>
      <c r="G1357" s="12">
        <f t="shared" si="21"/>
        <v>1.9738039534748901</v>
      </c>
    </row>
    <row r="1358" spans="2:7" ht="15" customHeight="1" x14ac:dyDescent="0.3">
      <c r="C1358" s="2"/>
      <c r="D1358" s="8">
        <v>2017</v>
      </c>
      <c r="E1358" s="14">
        <f>Data!I1358</f>
        <v>959959636629</v>
      </c>
      <c r="F1358" s="14">
        <f>Data!K1358</f>
        <v>367290802779</v>
      </c>
      <c r="G1358" s="12">
        <f t="shared" si="21"/>
        <v>2.6136228551484058</v>
      </c>
    </row>
    <row r="1359" spans="2:7" ht="15" customHeight="1" x14ac:dyDescent="0.3">
      <c r="C1359" s="2"/>
      <c r="D1359" s="8">
        <v>2018</v>
      </c>
      <c r="E1359" s="14">
        <f>Data!I1359</f>
        <v>760633000000</v>
      </c>
      <c r="F1359" s="14">
        <f>Data!K1359</f>
        <v>481782000000</v>
      </c>
      <c r="G1359" s="12">
        <f t="shared" si="21"/>
        <v>1.5787908224051541</v>
      </c>
    </row>
    <row r="1360" spans="2:7" ht="15" customHeight="1" x14ac:dyDescent="0.3">
      <c r="C1360" s="2"/>
      <c r="D1360" s="8">
        <v>2019</v>
      </c>
      <c r="E1360" s="14">
        <f>Data!I1360</f>
        <v>647787000000</v>
      </c>
      <c r="F1360" s="14">
        <f>Data!K1360</f>
        <v>502025000000</v>
      </c>
      <c r="G1360" s="12">
        <f t="shared" si="21"/>
        <v>1.2903480902345501</v>
      </c>
    </row>
    <row r="1361" spans="2:7" ht="15" customHeight="1" x14ac:dyDescent="0.3">
      <c r="C1361" s="2"/>
      <c r="D1361" s="8">
        <v>2020</v>
      </c>
      <c r="E1361" s="14">
        <f>Data!I1361</f>
        <v>620369000000</v>
      </c>
      <c r="F1361" s="14">
        <f>Data!K1361</f>
        <v>528437000000</v>
      </c>
      <c r="G1361" s="12">
        <f t="shared" si="21"/>
        <v>1.1739696501191248</v>
      </c>
    </row>
    <row r="1362" spans="2:7" ht="15" customHeight="1" x14ac:dyDescent="0.3">
      <c r="C1362" s="2"/>
      <c r="D1362" s="8">
        <v>2021</v>
      </c>
      <c r="E1362" s="14">
        <f>Data!I1362</f>
        <v>634345000000</v>
      </c>
      <c r="F1362" s="14">
        <f>Data!K1362</f>
        <v>562686000000</v>
      </c>
      <c r="G1362" s="12">
        <f t="shared" si="21"/>
        <v>1.1273516668266137</v>
      </c>
    </row>
    <row r="1363" spans="2:7" ht="15" customHeight="1" x14ac:dyDescent="0.3">
      <c r="C1363" s="2"/>
      <c r="D1363" s="8">
        <v>2022</v>
      </c>
      <c r="E1363" s="14">
        <f>Data!I1363</f>
        <v>1037631000000</v>
      </c>
      <c r="F1363" s="14">
        <f>Data!K1363</f>
        <v>475532000000</v>
      </c>
      <c r="G1363" s="12">
        <f t="shared" si="21"/>
        <v>2.1820424282698117</v>
      </c>
    </row>
    <row r="1364" spans="2:7" ht="15" customHeight="1" x14ac:dyDescent="0.3">
      <c r="C1364" s="2"/>
      <c r="D1364" s="8">
        <v>2023</v>
      </c>
      <c r="E1364" s="14">
        <f>Data!I1364</f>
        <v>1067275000000</v>
      </c>
      <c r="F1364" s="14">
        <f>Data!K1364</f>
        <v>512775000000</v>
      </c>
      <c r="G1364" s="12">
        <f t="shared" si="21"/>
        <v>2.0813709716737359</v>
      </c>
    </row>
    <row r="1365" spans="2:7" ht="15" customHeight="1" x14ac:dyDescent="0.3">
      <c r="C1365" s="2"/>
      <c r="D1365" s="8">
        <v>2024</v>
      </c>
      <c r="E1365" s="14">
        <f>Data!I1365</f>
        <v>1061690000000</v>
      </c>
      <c r="F1365" s="14">
        <f>Data!K1365</f>
        <v>556673000000</v>
      </c>
      <c r="G1365" s="12">
        <f t="shared" si="21"/>
        <v>1.9072058461610317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Data!I1366</f>
        <v>0</v>
      </c>
      <c r="F1366" s="14">
        <f>Data!K1366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Data!I1367</f>
        <v>0</v>
      </c>
      <c r="F1367" s="14">
        <f>Data!K1367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Data!I1368</f>
        <v>0</v>
      </c>
      <c r="F1368" s="14">
        <f>Data!K1368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Data!I1369</f>
        <v>0</v>
      </c>
      <c r="F1369" s="14">
        <f>Data!K1369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Data!I1370</f>
        <v>0</v>
      </c>
      <c r="F1370" s="14">
        <f>Data!K1370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Data!I1371</f>
        <v>0</v>
      </c>
      <c r="F1371" s="14">
        <f>Data!K1371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Data!I1372</f>
        <v>0</v>
      </c>
      <c r="F1372" s="14">
        <f>Data!K1372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Data!I1373</f>
        <v>0</v>
      </c>
      <c r="F1373" s="14">
        <f>Data!K1373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Data!I1374</f>
        <v>0</v>
      </c>
      <c r="F1374" s="14">
        <f>Data!K1374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Data!I1375</f>
        <v>0</v>
      </c>
      <c r="F1375" s="14">
        <f>Data!K1375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Data!I1376</f>
        <v>0</v>
      </c>
      <c r="F1376" s="14">
        <f>Data!K1376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Data!I1377</f>
        <v>0</v>
      </c>
      <c r="F1377" s="14">
        <f>Data!K1377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Data!I1378</f>
        <v>0</v>
      </c>
      <c r="F1378" s="14">
        <f>Data!K1378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Data!I1379</f>
        <v>1114898421463</v>
      </c>
      <c r="F1379" s="14">
        <f>Data!K1379</f>
        <v>1186059890855</v>
      </c>
      <c r="G1379" s="12">
        <f t="shared" si="21"/>
        <v>0.94000179085332569</v>
      </c>
    </row>
    <row r="1380" spans="2:7" ht="15" customHeight="1" x14ac:dyDescent="0.3">
      <c r="C1380" s="2"/>
      <c r="D1380" s="8">
        <v>2017</v>
      </c>
      <c r="E1380" s="14">
        <f>Data!I1380</f>
        <v>1291571022946</v>
      </c>
      <c r="F1380" s="14">
        <f>Data!K1380</f>
        <v>1071538322010</v>
      </c>
      <c r="G1380" s="12">
        <f t="shared" si="21"/>
        <v>1.2053428201459571</v>
      </c>
    </row>
    <row r="1381" spans="2:7" ht="15" customHeight="1" x14ac:dyDescent="0.3">
      <c r="C1381" s="2"/>
      <c r="D1381" s="8">
        <v>2018</v>
      </c>
      <c r="E1381" s="14">
        <f>Data!I1381</f>
        <v>1605367155250</v>
      </c>
      <c r="F1381" s="14">
        <f>Data!K1381</f>
        <v>879819493867</v>
      </c>
      <c r="G1381" s="12">
        <f t="shared" si="21"/>
        <v>1.8246551326045966</v>
      </c>
    </row>
    <row r="1382" spans="2:7" ht="15" customHeight="1" x14ac:dyDescent="0.3">
      <c r="C1382" s="2"/>
      <c r="D1382" s="8">
        <v>2019</v>
      </c>
      <c r="E1382" s="14">
        <f>Data!I1382</f>
        <v>1575194310012</v>
      </c>
      <c r="F1382" s="14">
        <f>Data!K1382</f>
        <v>848511733189</v>
      </c>
      <c r="G1382" s="12">
        <f t="shared" si="21"/>
        <v>1.8564201865445937</v>
      </c>
    </row>
    <row r="1383" spans="2:7" ht="15" customHeight="1" x14ac:dyDescent="0.3">
      <c r="C1383" s="2"/>
      <c r="D1383" s="8">
        <v>2020</v>
      </c>
      <c r="E1383" s="14">
        <f>Data!I1383</f>
        <v>1954498917680</v>
      </c>
      <c r="F1383" s="14">
        <f>Data!K1383</f>
        <v>861079475415</v>
      </c>
      <c r="G1383" s="12">
        <f t="shared" si="21"/>
        <v>2.2698240679096702</v>
      </c>
    </row>
    <row r="1384" spans="2:7" ht="15" customHeight="1" x14ac:dyDescent="0.3">
      <c r="C1384" s="2"/>
      <c r="D1384" s="8">
        <v>2021</v>
      </c>
      <c r="E1384" s="14">
        <f>Data!I1384</f>
        <v>2051451547356</v>
      </c>
      <c r="F1384" s="14">
        <f>Data!K1384</f>
        <v>871834713331</v>
      </c>
      <c r="G1384" s="12">
        <f t="shared" si="21"/>
        <v>2.3530280636774181</v>
      </c>
    </row>
    <row r="1385" spans="2:7" ht="15" customHeight="1" x14ac:dyDescent="0.3">
      <c r="C1385" s="2"/>
      <c r="D1385" s="8">
        <v>2022</v>
      </c>
      <c r="E1385" s="14">
        <f>Data!I1385</f>
        <v>2200516017855</v>
      </c>
      <c r="F1385" s="14">
        <f>Data!K1385</f>
        <v>730148693223</v>
      </c>
      <c r="G1385" s="12">
        <f t="shared" si="21"/>
        <v>3.0137916266638096</v>
      </c>
    </row>
    <row r="1386" spans="2:7" ht="15" customHeight="1" x14ac:dyDescent="0.3">
      <c r="C1386" s="2"/>
      <c r="D1386" s="8">
        <v>2023</v>
      </c>
      <c r="E1386" s="14">
        <f>Data!I1386</f>
        <v>1925683411166</v>
      </c>
      <c r="F1386" s="14">
        <f>Data!K1386</f>
        <v>843744702806</v>
      </c>
      <c r="G1386" s="12">
        <f t="shared" si="21"/>
        <v>2.2823057789421966</v>
      </c>
    </row>
    <row r="1387" spans="2:7" ht="15" customHeight="1" x14ac:dyDescent="0.3">
      <c r="C1387" s="2"/>
      <c r="D1387" s="8">
        <v>2024</v>
      </c>
      <c r="E1387" s="14">
        <f>Data!I1387</f>
        <v>2180240658651</v>
      </c>
      <c r="F1387" s="14">
        <f>Data!K1387</f>
        <v>893803986316</v>
      </c>
      <c r="G1387" s="12">
        <f t="shared" si="21"/>
        <v>2.4392827644876789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Data!I1388</f>
        <v>0</v>
      </c>
      <c r="F1388" s="14">
        <f>Data!K1388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Data!I1389</f>
        <v>0</v>
      </c>
      <c r="F1389" s="14">
        <f>Data!K1389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>
        <f>Data!I1390</f>
        <v>164011629160</v>
      </c>
      <c r="F1390" s="14">
        <f>Data!K1390</f>
        <v>112976073028</v>
      </c>
      <c r="G1390" s="12">
        <f t="shared" si="21"/>
        <v>1.4517377420203952</v>
      </c>
    </row>
    <row r="1391" spans="2:7" ht="15" customHeight="1" x14ac:dyDescent="0.3">
      <c r="C1391" s="2"/>
      <c r="D1391" s="8">
        <v>2017</v>
      </c>
      <c r="E1391" s="14">
        <f>Data!I1391</f>
        <v>165785420562</v>
      </c>
      <c r="F1391" s="14">
        <f>Data!K1391</f>
        <v>133833728557</v>
      </c>
      <c r="G1391" s="12">
        <f t="shared" si="21"/>
        <v>1.238741700986024</v>
      </c>
    </row>
    <row r="1392" spans="2:7" ht="15" customHeight="1" x14ac:dyDescent="0.3">
      <c r="C1392" s="2"/>
      <c r="D1392" s="8">
        <v>2018</v>
      </c>
      <c r="E1392" s="14">
        <f>Data!I1392</f>
        <v>191693092815</v>
      </c>
      <c r="F1392" s="14">
        <f>Data!K1392</f>
        <v>129279805953</v>
      </c>
      <c r="G1392" s="12">
        <f t="shared" si="21"/>
        <v>1.4827767678170132</v>
      </c>
    </row>
    <row r="1393" spans="2:7" ht="15" customHeight="1" x14ac:dyDescent="0.3">
      <c r="C1393" s="2"/>
      <c r="D1393" s="8">
        <v>2019</v>
      </c>
      <c r="E1393" s="14">
        <f>Data!I1393</f>
        <v>293347106205</v>
      </c>
      <c r="F1393" s="14">
        <f>Data!K1393</f>
        <v>130312057303</v>
      </c>
      <c r="G1393" s="12">
        <f t="shared" si="21"/>
        <v>2.2511125392097289</v>
      </c>
    </row>
    <row r="1394" spans="2:7" ht="15" customHeight="1" x14ac:dyDescent="0.3">
      <c r="C1394" s="2"/>
      <c r="D1394" s="8">
        <v>2020</v>
      </c>
      <c r="E1394" s="14">
        <f>Data!I1394</f>
        <v>417401945292</v>
      </c>
      <c r="F1394" s="14">
        <f>Data!K1394</f>
        <v>133609520780</v>
      </c>
      <c r="G1394" s="12">
        <f t="shared" si="21"/>
        <v>3.124043427857881</v>
      </c>
    </row>
    <row r="1395" spans="2:7" ht="15" customHeight="1" x14ac:dyDescent="0.3">
      <c r="C1395" s="2"/>
      <c r="D1395" s="8">
        <v>2021</v>
      </c>
      <c r="E1395" s="14">
        <f>Data!I1395</f>
        <v>397498550318</v>
      </c>
      <c r="F1395" s="14">
        <f>Data!K1395</f>
        <v>137464258240</v>
      </c>
      <c r="G1395" s="12">
        <f t="shared" si="21"/>
        <v>2.8916502035314804</v>
      </c>
    </row>
    <row r="1396" spans="2:7" ht="15" customHeight="1" x14ac:dyDescent="0.3">
      <c r="C1396" s="2"/>
      <c r="D1396" s="8">
        <v>2022</v>
      </c>
      <c r="E1396" s="14">
        <f>Data!I1396</f>
        <v>749724065352</v>
      </c>
      <c r="F1396" s="14">
        <f>Data!K1396</f>
        <v>240017769070</v>
      </c>
      <c r="G1396" s="12">
        <f t="shared" si="21"/>
        <v>3.1236190064467548</v>
      </c>
    </row>
    <row r="1397" spans="2:7" ht="15" customHeight="1" x14ac:dyDescent="0.3">
      <c r="C1397" s="2"/>
      <c r="D1397" s="8">
        <v>2023</v>
      </c>
      <c r="E1397" s="14">
        <f>Data!I1397</f>
        <v>1346709540653</v>
      </c>
      <c r="F1397" s="14">
        <f>Data!K1397</f>
        <v>280683357404</v>
      </c>
      <c r="G1397" s="12">
        <f t="shared" si="21"/>
        <v>4.7979671937393187</v>
      </c>
    </row>
    <row r="1398" spans="2:7" ht="15" customHeight="1" x14ac:dyDescent="0.3">
      <c r="C1398" s="2"/>
      <c r="D1398" s="8">
        <v>2024</v>
      </c>
      <c r="E1398" s="14">
        <f>Data!I1398</f>
        <v>2205819612615</v>
      </c>
      <c r="F1398" s="14">
        <f>Data!K1398</f>
        <v>356193557442</v>
      </c>
      <c r="G1398" s="12">
        <f t="shared" si="21"/>
        <v>6.1927555019694029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Data!I1399</f>
        <v>0</v>
      </c>
      <c r="F1399" s="14">
        <f>Data!K1399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Data!I1400</f>
        <v>0</v>
      </c>
      <c r="F1400" s="14">
        <f>Data!K1400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Data!I1401</f>
        <v>0</v>
      </c>
      <c r="F1401" s="14">
        <f>Data!K1401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Data!I1402</f>
        <v>0</v>
      </c>
      <c r="F1402" s="14">
        <f>Data!K1402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Data!I1403</f>
        <v>173146000000</v>
      </c>
      <c r="F1403" s="14">
        <f>Data!K1403</f>
        <v>351591000000</v>
      </c>
      <c r="G1403" s="12">
        <f t="shared" si="21"/>
        <v>0.49246425534214472</v>
      </c>
    </row>
    <row r="1404" spans="2:7" ht="15" customHeight="1" x14ac:dyDescent="0.3">
      <c r="C1404" s="2"/>
      <c r="D1404" s="8">
        <v>2019</v>
      </c>
      <c r="E1404" s="14">
        <f>Data!I1404</f>
        <v>295390000000</v>
      </c>
      <c r="F1404" s="14">
        <f>Data!K1404</f>
        <v>495110000000</v>
      </c>
      <c r="G1404" s="12">
        <f t="shared" si="21"/>
        <v>0.59661489365999476</v>
      </c>
    </row>
    <row r="1405" spans="2:7" ht="15" customHeight="1" x14ac:dyDescent="0.3">
      <c r="C1405" s="2"/>
      <c r="D1405" s="8">
        <v>2020</v>
      </c>
      <c r="E1405" s="14">
        <f>Data!I1405</f>
        <v>291332000000</v>
      </c>
      <c r="F1405" s="14">
        <f>Data!K1405</f>
        <v>217623000000</v>
      </c>
      <c r="G1405" s="12">
        <f t="shared" si="21"/>
        <v>1.3387004130997182</v>
      </c>
    </row>
    <row r="1406" spans="2:7" ht="15" customHeight="1" x14ac:dyDescent="0.3">
      <c r="C1406" s="2"/>
      <c r="D1406" s="8">
        <v>2021</v>
      </c>
      <c r="E1406" s="14">
        <f>Data!I1406</f>
        <v>333196000000</v>
      </c>
      <c r="F1406" s="14">
        <f>Data!K1406</f>
        <v>242356000000</v>
      </c>
      <c r="G1406" s="12">
        <f t="shared" si="21"/>
        <v>1.3748205119741208</v>
      </c>
    </row>
    <row r="1407" spans="2:7" ht="15" customHeight="1" x14ac:dyDescent="0.3">
      <c r="C1407" s="2"/>
      <c r="D1407" s="8">
        <v>2022</v>
      </c>
      <c r="E1407" s="14">
        <f>Data!I1407</f>
        <v>431505000000</v>
      </c>
      <c r="F1407" s="14">
        <f>Data!K1407</f>
        <v>272266000000</v>
      </c>
      <c r="G1407" s="12">
        <f t="shared" si="21"/>
        <v>1.5848655359097352</v>
      </c>
    </row>
    <row r="1408" spans="2:7" ht="15" customHeight="1" x14ac:dyDescent="0.3">
      <c r="C1408" s="2"/>
      <c r="D1408" s="8">
        <v>2023</v>
      </c>
      <c r="E1408" s="14">
        <f>Data!I1408</f>
        <v>478352000000</v>
      </c>
      <c r="F1408" s="14">
        <f>Data!K1408</f>
        <v>294894000000</v>
      </c>
      <c r="G1408" s="12">
        <f t="shared" si="21"/>
        <v>1.62211506507423</v>
      </c>
    </row>
    <row r="1409" spans="2:7" ht="15" customHeight="1" x14ac:dyDescent="0.3">
      <c r="C1409" s="2"/>
      <c r="D1409" s="8">
        <v>2024</v>
      </c>
      <c r="E1409" s="14">
        <f>Data!I1409</f>
        <v>244654000000</v>
      </c>
      <c r="F1409" s="14">
        <f>Data!K1409</f>
        <v>309113000000</v>
      </c>
      <c r="G1409" s="12">
        <f t="shared" si="21"/>
        <v>0.79147108015515366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Data!I1410</f>
        <v>0</v>
      </c>
      <c r="F1410" s="14">
        <f>Data!K1410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>
        <f>Data!I1411</f>
        <v>182894000000</v>
      </c>
      <c r="F1411" s="14">
        <f>Data!K1411</f>
        <v>152480000000</v>
      </c>
      <c r="G1411" s="12">
        <f t="shared" ref="G1411:G1474" si="22">IFERROR(E1411/F1411,0)</f>
        <v>1.1994622245540398</v>
      </c>
    </row>
    <row r="1412" spans="2:7" ht="15" customHeight="1" x14ac:dyDescent="0.3">
      <c r="C1412" s="2"/>
      <c r="D1412" s="8">
        <v>2016</v>
      </c>
      <c r="E1412" s="14">
        <f>Data!I1412</f>
        <v>235231000000</v>
      </c>
      <c r="F1412" s="14">
        <f>Data!K1412</f>
        <v>183884000000</v>
      </c>
      <c r="G1412" s="12">
        <f t="shared" si="22"/>
        <v>1.2792358225838028</v>
      </c>
    </row>
    <row r="1413" spans="2:7" ht="15" customHeight="1" x14ac:dyDescent="0.3">
      <c r="C1413" s="2"/>
      <c r="D1413" s="8">
        <v>2017</v>
      </c>
      <c r="E1413" s="14">
        <f>Data!I1413</f>
        <v>372449000000</v>
      </c>
      <c r="F1413" s="14">
        <f>Data!K1413</f>
        <v>569073000000</v>
      </c>
      <c r="G1413" s="12">
        <f t="shared" si="22"/>
        <v>0.654483695413418</v>
      </c>
    </row>
    <row r="1414" spans="2:7" ht="15" customHeight="1" x14ac:dyDescent="0.3">
      <c r="C1414" s="2"/>
      <c r="D1414" s="8">
        <v>2018</v>
      </c>
      <c r="E1414" s="14">
        <f>Data!I1414</f>
        <v>281950000000</v>
      </c>
      <c r="F1414" s="14">
        <f>Data!K1414</f>
        <v>201470000000</v>
      </c>
      <c r="G1414" s="12">
        <f t="shared" si="22"/>
        <v>1.3994639400407007</v>
      </c>
    </row>
    <row r="1415" spans="2:7" ht="15" customHeight="1" x14ac:dyDescent="0.3">
      <c r="C1415" s="2"/>
      <c r="D1415" s="8">
        <v>2019</v>
      </c>
      <c r="E1415" s="14">
        <f>Data!I1415</f>
        <v>395301000000</v>
      </c>
      <c r="F1415" s="14">
        <f>Data!K1415</f>
        <v>200900000000</v>
      </c>
      <c r="G1415" s="12">
        <f t="shared" si="22"/>
        <v>1.9676505724240916</v>
      </c>
    </row>
    <row r="1416" spans="2:7" ht="15" customHeight="1" x14ac:dyDescent="0.3">
      <c r="C1416" s="2"/>
      <c r="D1416" s="8">
        <v>2020</v>
      </c>
      <c r="E1416" s="14">
        <f>Data!I1416</f>
        <v>365713000000</v>
      </c>
      <c r="F1416" s="14">
        <f>Data!K1416</f>
        <v>201022000000</v>
      </c>
      <c r="G1416" s="12">
        <f t="shared" si="22"/>
        <v>1.8192685377719851</v>
      </c>
    </row>
    <row r="1417" spans="2:7" ht="15" customHeight="1" x14ac:dyDescent="0.3">
      <c r="C1417" s="2"/>
      <c r="D1417" s="8">
        <v>2021</v>
      </c>
      <c r="E1417" s="14">
        <f>Data!I1417</f>
        <v>382472000000</v>
      </c>
      <c r="F1417" s="14">
        <f>Data!K1417</f>
        <v>208685000000</v>
      </c>
      <c r="G1417" s="12">
        <f t="shared" si="22"/>
        <v>1.8327718810647626</v>
      </c>
    </row>
    <row r="1418" spans="2:7" ht="15" customHeight="1" x14ac:dyDescent="0.3">
      <c r="C1418" s="2"/>
      <c r="D1418" s="8">
        <v>2022</v>
      </c>
      <c r="E1418" s="14">
        <f>Data!I1418</f>
        <v>430686000000</v>
      </c>
      <c r="F1418" s="14">
        <f>Data!K1418</f>
        <v>204452000000</v>
      </c>
      <c r="G1418" s="12">
        <f t="shared" si="22"/>
        <v>2.106538454013656</v>
      </c>
    </row>
    <row r="1419" spans="2:7" ht="15" customHeight="1" x14ac:dyDescent="0.3">
      <c r="C1419" s="2"/>
      <c r="D1419" s="8">
        <v>2023</v>
      </c>
      <c r="E1419" s="14">
        <f>Data!I1419</f>
        <v>448499000000</v>
      </c>
      <c r="F1419" s="14">
        <f>Data!K1419</f>
        <v>230220000000</v>
      </c>
      <c r="G1419" s="12">
        <f t="shared" si="22"/>
        <v>1.948132221353488</v>
      </c>
    </row>
    <row r="1420" spans="2:7" ht="15" customHeight="1" x14ac:dyDescent="0.3">
      <c r="C1420" s="2"/>
      <c r="D1420" s="8">
        <v>2024</v>
      </c>
      <c r="E1420" s="14">
        <f>Data!I1420</f>
        <v>419076000000</v>
      </c>
      <c r="F1420" s="14">
        <f>Data!K1420</f>
        <v>216759000000</v>
      </c>
      <c r="G1420" s="12">
        <f t="shared" si="22"/>
        <v>1.9333730087332013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Data!I1421</f>
        <v>0</v>
      </c>
      <c r="F1421" s="14">
        <f>Data!K1421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Data!I1422</f>
        <v>0</v>
      </c>
      <c r="F1422" s="14">
        <f>Data!K1422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Data!I1423</f>
        <v>0</v>
      </c>
      <c r="F1423" s="14">
        <f>Data!K1423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Data!I1424</f>
        <v>0</v>
      </c>
      <c r="F1424" s="14">
        <f>Data!K1424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Data!I1425</f>
        <v>0</v>
      </c>
      <c r="F1425" s="14">
        <f>Data!K1425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Data!I1426</f>
        <v>743653000000</v>
      </c>
      <c r="F1426" s="14">
        <f>Data!K1426</f>
        <v>183568000000</v>
      </c>
      <c r="G1426" s="12">
        <f t="shared" si="22"/>
        <v>4.0511036782009935</v>
      </c>
    </row>
    <row r="1427" spans="2:7" ht="15" customHeight="1" x14ac:dyDescent="0.3">
      <c r="C1427" s="2"/>
      <c r="D1427" s="8">
        <v>2020</v>
      </c>
      <c r="E1427" s="14">
        <f>Data!I1427</f>
        <v>561389000000</v>
      </c>
      <c r="F1427" s="14">
        <f>Data!K1427</f>
        <v>143604000000</v>
      </c>
      <c r="G1427" s="12">
        <f t="shared" si="22"/>
        <v>3.9092852566780869</v>
      </c>
    </row>
    <row r="1428" spans="2:7" ht="15" customHeight="1" x14ac:dyDescent="0.3">
      <c r="C1428" s="2"/>
      <c r="D1428" s="8">
        <v>2021</v>
      </c>
      <c r="E1428" s="14">
        <f>Data!I1428</f>
        <v>580034000000</v>
      </c>
      <c r="F1428" s="14">
        <f>Data!K1428</f>
        <v>107672000000</v>
      </c>
      <c r="G1428" s="12">
        <f t="shared" si="22"/>
        <v>5.3870458429303811</v>
      </c>
    </row>
    <row r="1429" spans="2:7" ht="15" customHeight="1" x14ac:dyDescent="0.3">
      <c r="C1429" s="2"/>
      <c r="D1429" s="8">
        <v>2022</v>
      </c>
      <c r="E1429" s="14">
        <f>Data!I1429</f>
        <v>425266000000</v>
      </c>
      <c r="F1429" s="14">
        <f>Data!K1429</f>
        <v>65560000000</v>
      </c>
      <c r="G1429" s="12">
        <f t="shared" si="22"/>
        <v>6.4866687004270895</v>
      </c>
    </row>
    <row r="1430" spans="2:7" ht="15" customHeight="1" x14ac:dyDescent="0.3">
      <c r="C1430" s="2"/>
      <c r="D1430" s="8">
        <v>2023</v>
      </c>
      <c r="E1430" s="14">
        <f>Data!I1430</f>
        <v>354185000000</v>
      </c>
      <c r="F1430" s="14">
        <f>Data!K1430</f>
        <v>133681000000</v>
      </c>
      <c r="G1430" s="12">
        <f t="shared" si="22"/>
        <v>2.6494789835503925</v>
      </c>
    </row>
    <row r="1431" spans="2:7" ht="15" customHeight="1" x14ac:dyDescent="0.3">
      <c r="C1431" s="2"/>
      <c r="D1431" s="8">
        <v>2024</v>
      </c>
      <c r="E1431" s="14">
        <f>Data!I1431</f>
        <v>307361000000</v>
      </c>
      <c r="F1431" s="14">
        <f>Data!K1431</f>
        <v>134630000000</v>
      </c>
      <c r="G1431" s="12">
        <f t="shared" si="22"/>
        <v>2.2830052737131399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Data!I1432</f>
        <v>0</v>
      </c>
      <c r="F1432" s="14">
        <f>Data!K1432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Data!I1433</f>
        <v>1255776000000</v>
      </c>
      <c r="F1433" s="14">
        <f>Data!K1433</f>
        <v>399103000000</v>
      </c>
      <c r="G1433" s="12">
        <f t="shared" si="22"/>
        <v>3.1464960173188374</v>
      </c>
    </row>
    <row r="1434" spans="2:7" ht="15" customHeight="1" x14ac:dyDescent="0.3">
      <c r="C1434" s="2"/>
      <c r="D1434" s="8">
        <v>2016</v>
      </c>
      <c r="E1434" s="14">
        <f>Data!I1434</f>
        <v>1505935000000</v>
      </c>
      <c r="F1434" s="14">
        <f>Data!K1434</f>
        <v>575593000000</v>
      </c>
      <c r="G1434" s="12">
        <f t="shared" si="22"/>
        <v>2.6163191699690578</v>
      </c>
    </row>
    <row r="1435" spans="2:7" ht="15" customHeight="1" x14ac:dyDescent="0.3">
      <c r="C1435" s="2"/>
      <c r="D1435" s="8">
        <v>2017</v>
      </c>
      <c r="E1435" s="14">
        <f>Data!I1435</f>
        <v>1811281000000</v>
      </c>
      <c r="F1435" s="14">
        <f>Data!K1435</f>
        <v>697649000000</v>
      </c>
      <c r="G1435" s="12">
        <f t="shared" si="22"/>
        <v>2.5962640238859369</v>
      </c>
    </row>
    <row r="1436" spans="2:7" ht="15" customHeight="1" x14ac:dyDescent="0.3">
      <c r="C1436" s="2"/>
      <c r="D1436" s="8">
        <v>2018</v>
      </c>
      <c r="E1436" s="14">
        <f>Data!I1436</f>
        <v>2293431000000</v>
      </c>
      <c r="F1436" s="14">
        <f>Data!K1436</f>
        <v>880577000000</v>
      </c>
      <c r="G1436" s="12">
        <f t="shared" si="22"/>
        <v>2.6044638912894613</v>
      </c>
    </row>
    <row r="1437" spans="2:7" ht="15" customHeight="1" x14ac:dyDescent="0.3">
      <c r="C1437" s="2"/>
      <c r="D1437" s="8">
        <v>2019</v>
      </c>
      <c r="E1437" s="14">
        <f>Data!I1437</f>
        <v>2785559000000</v>
      </c>
      <c r="F1437" s="14">
        <f>Data!K1437</f>
        <v>998779000000</v>
      </c>
      <c r="G1437" s="12">
        <f t="shared" si="22"/>
        <v>2.7889643254413641</v>
      </c>
    </row>
    <row r="1438" spans="2:7" ht="15" customHeight="1" x14ac:dyDescent="0.3">
      <c r="C1438" s="2"/>
      <c r="D1438" s="8">
        <v>2020</v>
      </c>
      <c r="E1438" s="14">
        <f>Data!I1438</f>
        <v>2874147000000</v>
      </c>
      <c r="F1438" s="14">
        <f>Data!K1438</f>
        <v>1105132000000</v>
      </c>
      <c r="G1438" s="12">
        <f t="shared" si="22"/>
        <v>2.6007273339293406</v>
      </c>
    </row>
    <row r="1439" spans="2:7" ht="15" customHeight="1" x14ac:dyDescent="0.3">
      <c r="C1439" s="2"/>
      <c r="D1439" s="8">
        <v>2021</v>
      </c>
      <c r="E1439" s="14">
        <f>Data!I1439</f>
        <v>2686359000000</v>
      </c>
      <c r="F1439" s="14">
        <f>Data!K1439</f>
        <v>1143205000000</v>
      </c>
      <c r="G1439" s="12">
        <f t="shared" si="22"/>
        <v>2.3498488897441843</v>
      </c>
    </row>
    <row r="1440" spans="2:7" ht="15" customHeight="1" x14ac:dyDescent="0.3">
      <c r="C1440" s="2"/>
      <c r="D1440" s="8">
        <v>2022</v>
      </c>
      <c r="E1440" s="14">
        <f>Data!I1440</f>
        <v>3049300000000</v>
      </c>
      <c r="F1440" s="14">
        <f>Data!K1440</f>
        <v>1152024000000</v>
      </c>
      <c r="G1440" s="12">
        <f t="shared" si="22"/>
        <v>2.6469066616667707</v>
      </c>
    </row>
    <row r="1441" spans="2:7" ht="15" customHeight="1" x14ac:dyDescent="0.3">
      <c r="C1441" s="2"/>
      <c r="D1441" s="8">
        <v>2023</v>
      </c>
      <c r="E1441" s="14">
        <f>Data!I1441</f>
        <v>2747046000000</v>
      </c>
      <c r="F1441" s="14">
        <f>Data!K1441</f>
        <v>1201036000000</v>
      </c>
      <c r="G1441" s="12">
        <f t="shared" si="22"/>
        <v>2.2872303577911071</v>
      </c>
    </row>
    <row r="1442" spans="2:7" ht="15" customHeight="1" x14ac:dyDescent="0.3">
      <c r="C1442" s="2"/>
      <c r="D1442" s="8">
        <v>2024</v>
      </c>
      <c r="E1442" s="14">
        <f>Data!I1442</f>
        <v>3102337000000</v>
      </c>
      <c r="F1442" s="14">
        <f>Data!K1442</f>
        <v>1289476000000</v>
      </c>
      <c r="G1442" s="12">
        <f t="shared" si="22"/>
        <v>2.4058896792185354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Data!I1443</f>
        <v>0</v>
      </c>
      <c r="F1443" s="14">
        <f>Data!K1443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Data!I1444</f>
        <v>0</v>
      </c>
      <c r="F1444" s="14">
        <f>Data!K1444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Data!I1445</f>
        <v>246684000000</v>
      </c>
      <c r="F1445" s="14">
        <f>Data!K1445</f>
        <v>154632000000</v>
      </c>
      <c r="G1445" s="12">
        <f t="shared" si="22"/>
        <v>1.595297221791091</v>
      </c>
    </row>
    <row r="1446" spans="2:7" ht="15" customHeight="1" x14ac:dyDescent="0.3">
      <c r="C1446" s="2"/>
      <c r="D1446" s="8">
        <v>2017</v>
      </c>
      <c r="E1446" s="14">
        <f>Data!I1446</f>
        <v>242180000000</v>
      </c>
      <c r="F1446" s="14">
        <f>Data!K1446</f>
        <v>156213000000</v>
      </c>
      <c r="G1446" s="12">
        <f t="shared" si="22"/>
        <v>1.5503191155665661</v>
      </c>
    </row>
    <row r="1447" spans="2:7" ht="15" customHeight="1" x14ac:dyDescent="0.3">
      <c r="C1447" s="2"/>
      <c r="D1447" s="8">
        <v>2018</v>
      </c>
      <c r="E1447" s="14">
        <f>Data!I1447</f>
        <v>297147000000</v>
      </c>
      <c r="F1447" s="14">
        <f>Data!K1447</f>
        <v>127752000000</v>
      </c>
      <c r="G1447" s="12">
        <f t="shared" si="22"/>
        <v>2.3259674995303401</v>
      </c>
    </row>
    <row r="1448" spans="2:7" ht="15" customHeight="1" x14ac:dyDescent="0.3">
      <c r="C1448" s="2"/>
      <c r="D1448" s="8">
        <v>2019</v>
      </c>
      <c r="E1448" s="14">
        <f>Data!I1448</f>
        <v>304449000000</v>
      </c>
      <c r="F1448" s="14">
        <f>Data!K1448</f>
        <v>132450000000</v>
      </c>
      <c r="G1448" s="12">
        <f t="shared" si="22"/>
        <v>2.2985956964892411</v>
      </c>
    </row>
    <row r="1449" spans="2:7" ht="15" customHeight="1" x14ac:dyDescent="0.3">
      <c r="C1449" s="2"/>
      <c r="D1449" s="8">
        <v>2020</v>
      </c>
      <c r="E1449" s="14">
        <f>Data!I1449</f>
        <v>433419000000</v>
      </c>
      <c r="F1449" s="14">
        <f>Data!K1449</f>
        <v>126595000000</v>
      </c>
      <c r="G1449" s="12">
        <f t="shared" si="22"/>
        <v>3.4236660215648329</v>
      </c>
    </row>
    <row r="1450" spans="2:7" ht="15" customHeight="1" x14ac:dyDescent="0.3">
      <c r="C1450" s="2"/>
      <c r="D1450" s="8">
        <v>2021</v>
      </c>
      <c r="E1450" s="14">
        <f>Data!I1450</f>
        <v>589127000000</v>
      </c>
      <c r="F1450" s="14">
        <f>Data!K1450</f>
        <v>133551000000</v>
      </c>
      <c r="G1450" s="12">
        <f t="shared" si="22"/>
        <v>4.411251132526151</v>
      </c>
    </row>
    <row r="1451" spans="2:7" ht="15" customHeight="1" x14ac:dyDescent="0.3">
      <c r="C1451" s="2"/>
      <c r="D1451" s="8">
        <v>2022</v>
      </c>
      <c r="E1451" s="14">
        <f>Data!I1451</f>
        <v>522129000000</v>
      </c>
      <c r="F1451" s="14">
        <f>Data!K1451</f>
        <v>124944000000</v>
      </c>
      <c r="G1451" s="12">
        <f t="shared" si="22"/>
        <v>4.1789041490587779</v>
      </c>
    </row>
    <row r="1452" spans="2:7" ht="15" customHeight="1" x14ac:dyDescent="0.3">
      <c r="C1452" s="2"/>
      <c r="D1452" s="8">
        <v>2023</v>
      </c>
      <c r="E1452" s="14">
        <f>Data!I1452</f>
        <v>636319000000</v>
      </c>
      <c r="F1452" s="14">
        <f>Data!K1452</f>
        <v>132362000000</v>
      </c>
      <c r="G1452" s="12">
        <f t="shared" si="22"/>
        <v>4.8074145147398797</v>
      </c>
    </row>
    <row r="1453" spans="2:7" ht="15" customHeight="1" x14ac:dyDescent="0.3">
      <c r="C1453" s="2"/>
      <c r="D1453" s="8">
        <v>2024</v>
      </c>
      <c r="E1453" s="14">
        <f>Data!I1453</f>
        <v>477631000000</v>
      </c>
      <c r="F1453" s="14">
        <f>Data!K1453</f>
        <v>167859000000</v>
      </c>
      <c r="G1453" s="12">
        <f t="shared" si="22"/>
        <v>2.8454297952448186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Data!I1454</f>
        <v>0</v>
      </c>
      <c r="F1454" s="14">
        <f>Data!K1454</f>
        <v>0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Data!I1455</f>
        <v>46028515784</v>
      </c>
      <c r="F1455" s="14">
        <f>Data!K1455</f>
        <v>164579537109</v>
      </c>
      <c r="G1455" s="12">
        <f t="shared" si="22"/>
        <v>0.27967338219887933</v>
      </c>
    </row>
    <row r="1456" spans="2:7" ht="15" customHeight="1" x14ac:dyDescent="0.3">
      <c r="C1456" s="1"/>
      <c r="D1456" s="8">
        <v>2016</v>
      </c>
      <c r="E1456" s="14">
        <f>Data!I1456</f>
        <v>66608341403</v>
      </c>
      <c r="F1456" s="14">
        <f>Data!K1456</f>
        <v>167266283353</v>
      </c>
      <c r="G1456" s="12">
        <f t="shared" si="22"/>
        <v>0.39821738169687948</v>
      </c>
    </row>
    <row r="1457" spans="2:7" ht="15" customHeight="1" x14ac:dyDescent="0.3">
      <c r="C1457" s="1"/>
      <c r="D1457" s="8">
        <v>2017</v>
      </c>
      <c r="E1457" s="14">
        <f>Data!I1457</f>
        <v>63740887119</v>
      </c>
      <c r="F1457" s="14">
        <f>Data!K1457</f>
        <v>189901877562</v>
      </c>
      <c r="G1457" s="12">
        <f t="shared" si="22"/>
        <v>0.33565169516657145</v>
      </c>
    </row>
    <row r="1458" spans="2:7" ht="15" customHeight="1" x14ac:dyDescent="0.3">
      <c r="C1458" s="1"/>
      <c r="D1458" s="8">
        <v>2018</v>
      </c>
      <c r="E1458" s="14">
        <f>Data!I1458</f>
        <v>82390315351</v>
      </c>
      <c r="F1458" s="14">
        <f>Data!K1458</f>
        <v>179728315478</v>
      </c>
      <c r="G1458" s="12">
        <f t="shared" si="22"/>
        <v>0.45841588806904021</v>
      </c>
    </row>
    <row r="1459" spans="2:7" ht="15" customHeight="1" x14ac:dyDescent="0.3">
      <c r="C1459" s="1"/>
      <c r="D1459" s="8">
        <v>2019</v>
      </c>
      <c r="E1459" s="14">
        <f>Data!I1459</f>
        <v>97838690688</v>
      </c>
      <c r="F1459" s="14">
        <f>Data!K1459</f>
        <v>186332264743</v>
      </c>
      <c r="G1459" s="12">
        <f t="shared" si="22"/>
        <v>0.52507648540066132</v>
      </c>
    </row>
    <row r="1460" spans="2:7" ht="15" customHeight="1" x14ac:dyDescent="0.3">
      <c r="C1460" s="1"/>
      <c r="D1460" s="8">
        <v>2020</v>
      </c>
      <c r="E1460" s="14">
        <f>Data!I1460</f>
        <v>138095296876</v>
      </c>
      <c r="F1460" s="14">
        <f>Data!K1460</f>
        <v>184247090444</v>
      </c>
      <c r="G1460" s="12">
        <f t="shared" si="22"/>
        <v>0.74951141178521152</v>
      </c>
    </row>
    <row r="1461" spans="2:7" ht="15" customHeight="1" x14ac:dyDescent="0.3">
      <c r="C1461" s="1"/>
      <c r="D1461" s="8">
        <v>2021</v>
      </c>
      <c r="E1461" s="14">
        <f>Data!I1461</f>
        <v>115984412838</v>
      </c>
      <c r="F1461" s="14">
        <f>Data!K1461</f>
        <v>240603959637</v>
      </c>
      <c r="G1461" s="12">
        <f t="shared" si="22"/>
        <v>0.48205529540322639</v>
      </c>
    </row>
    <row r="1462" spans="2:7" ht="15" customHeight="1" x14ac:dyDescent="0.3">
      <c r="C1462" s="1"/>
      <c r="D1462" s="8">
        <v>2022</v>
      </c>
      <c r="E1462" s="14">
        <f>Data!I1462</f>
        <v>110511030657</v>
      </c>
      <c r="F1462" s="14">
        <f>Data!K1462</f>
        <v>186535177545</v>
      </c>
      <c r="G1462" s="12">
        <f t="shared" si="22"/>
        <v>0.59244069730675952</v>
      </c>
    </row>
    <row r="1463" spans="2:7" ht="15" customHeight="1" x14ac:dyDescent="0.3">
      <c r="C1463" s="1"/>
      <c r="D1463" s="8">
        <v>2023</v>
      </c>
      <c r="E1463" s="14">
        <f>Data!I1463</f>
        <v>89305716000</v>
      </c>
      <c r="F1463" s="14">
        <f>Data!K1463</f>
        <v>153629532490</v>
      </c>
      <c r="G1463" s="12">
        <f t="shared" si="22"/>
        <v>0.58130565492551411</v>
      </c>
    </row>
    <row r="1464" spans="2:7" ht="15" customHeight="1" x14ac:dyDescent="0.3">
      <c r="C1464" s="1"/>
      <c r="D1464" s="8">
        <v>2024</v>
      </c>
      <c r="E1464" s="14">
        <f>Data!I1464</f>
        <v>90986566446</v>
      </c>
      <c r="F1464" s="14">
        <f>Data!K1464</f>
        <v>152114722955</v>
      </c>
      <c r="G1464" s="12">
        <f t="shared" si="22"/>
        <v>0.59814437865371184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Data!I1465</f>
        <v>0</v>
      </c>
      <c r="F1465" s="14">
        <f>Data!K1465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Data!I1466</f>
        <v>0</v>
      </c>
      <c r="F1466" s="14">
        <f>Data!K1466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Data!I1467</f>
        <v>0</v>
      </c>
      <c r="F1467" s="14">
        <f>Data!K1467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Data!I1468</f>
        <v>0</v>
      </c>
      <c r="F1468" s="14">
        <f>Data!K1468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Data!I1469</f>
        <v>0</v>
      </c>
      <c r="F1469" s="14">
        <f>Data!K1469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Data!I1470</f>
        <v>0</v>
      </c>
      <c r="F1470" s="14">
        <f>Data!K1470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>
        <f>Data!I1471</f>
        <v>4272769000000</v>
      </c>
      <c r="F1471" s="14">
        <f>Data!K1471</f>
        <v>4560376000000</v>
      </c>
      <c r="G1471" s="12">
        <f t="shared" si="22"/>
        <v>0.93693348969470935</v>
      </c>
    </row>
    <row r="1472" spans="2:7" ht="15" customHeight="1" x14ac:dyDescent="0.3">
      <c r="C1472" s="2"/>
      <c r="D1472" s="8">
        <v>2021</v>
      </c>
      <c r="E1472" s="14">
        <f>Data!I1472</f>
        <v>4132285000000</v>
      </c>
      <c r="F1472" s="14">
        <f>Data!K1472</f>
        <v>4328120000000</v>
      </c>
      <c r="G1472" s="12">
        <f t="shared" si="22"/>
        <v>0.95475287191667513</v>
      </c>
    </row>
    <row r="1473" spans="1:7" ht="15" customHeight="1" x14ac:dyDescent="0.3">
      <c r="C1473" s="2"/>
      <c r="D1473" s="8">
        <v>2022</v>
      </c>
      <c r="E1473" s="14">
        <f>Data!I1473</f>
        <v>4323905000000</v>
      </c>
      <c r="F1473" s="14">
        <f>Data!K1473</f>
        <v>4382880000000</v>
      </c>
      <c r="G1473" s="12">
        <f t="shared" si="22"/>
        <v>0.98654423575365968</v>
      </c>
    </row>
    <row r="1474" spans="1:7" ht="15" customHeight="1" x14ac:dyDescent="0.3">
      <c r="C1474" s="2"/>
      <c r="D1474" s="8">
        <v>2023</v>
      </c>
      <c r="E1474" s="14">
        <f>Data!I1474</f>
        <v>4517653000000</v>
      </c>
      <c r="F1474" s="14">
        <f>Data!K1474</f>
        <v>4373842000000</v>
      </c>
      <c r="G1474" s="12">
        <f t="shared" si="22"/>
        <v>1.0328797885245968</v>
      </c>
    </row>
    <row r="1475" spans="1:7" ht="15" customHeight="1" x14ac:dyDescent="0.3">
      <c r="C1475" s="2"/>
      <c r="D1475" s="8">
        <v>2024</v>
      </c>
      <c r="E1475" s="14">
        <f>Data!I1475</f>
        <v>4526722000000</v>
      </c>
      <c r="F1475" s="14">
        <f>Data!K1475</f>
        <v>4430613000000</v>
      </c>
      <c r="G1475" s="12">
        <f t="shared" ref="G1475:G1538" si="23">IFERROR(E1475/F1475,0)</f>
        <v>1.021692032231206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Data!I1476</f>
        <v>0</v>
      </c>
      <c r="F1476" s="14">
        <f>Data!K1476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Data!I1477</f>
        <v>0</v>
      </c>
      <c r="F1477" s="14">
        <f>Data!K1477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Data!I1478</f>
        <v>0</v>
      </c>
      <c r="F1478" s="14">
        <f>Data!K1478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Data!I1479</f>
        <v>0</v>
      </c>
      <c r="F1479" s="14">
        <f>Data!K1479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Data!I1480</f>
        <v>0</v>
      </c>
      <c r="F1480" s="14">
        <f>Data!K1480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Data!I1481</f>
        <v>0</v>
      </c>
      <c r="F1481" s="14">
        <f>Data!K1481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Data!I1482</f>
        <v>637357000000</v>
      </c>
      <c r="F1482" s="14">
        <f>Data!K1482</f>
        <v>729917000000</v>
      </c>
      <c r="G1482" s="12">
        <f t="shared" si="23"/>
        <v>0.87319106144945247</v>
      </c>
    </row>
    <row r="1483" spans="1:7" ht="15" customHeight="1" x14ac:dyDescent="0.3">
      <c r="C1483" s="1"/>
      <c r="D1483" s="8">
        <v>2021</v>
      </c>
      <c r="E1483" s="14">
        <f>Data!I1483</f>
        <v>519143000000</v>
      </c>
      <c r="F1483" s="14">
        <f>Data!K1483</f>
        <v>333561000000</v>
      </c>
      <c r="G1483" s="12">
        <f t="shared" si="23"/>
        <v>1.5563660020206198</v>
      </c>
    </row>
    <row r="1484" spans="1:7" ht="15" customHeight="1" x14ac:dyDescent="0.3">
      <c r="C1484" s="1"/>
      <c r="D1484" s="8">
        <v>2022</v>
      </c>
      <c r="E1484" s="14">
        <f>Data!I1484</f>
        <v>675837000000</v>
      </c>
      <c r="F1484" s="14">
        <f>Data!K1484</f>
        <v>327988000000</v>
      </c>
      <c r="G1484" s="12">
        <f t="shared" si="23"/>
        <v>2.0605540446601704</v>
      </c>
    </row>
    <row r="1485" spans="1:7" ht="15" customHeight="1" x14ac:dyDescent="0.3">
      <c r="C1485" s="1"/>
      <c r="D1485" s="8">
        <v>2023</v>
      </c>
      <c r="E1485" s="14">
        <f>Data!I1485</f>
        <v>876248000000</v>
      </c>
      <c r="F1485" s="14">
        <f>Data!K1485</f>
        <v>344301000000</v>
      </c>
      <c r="G1485" s="12">
        <f t="shared" si="23"/>
        <v>2.545005678171135</v>
      </c>
    </row>
    <row r="1486" spans="1:7" ht="15" customHeight="1" x14ac:dyDescent="0.3">
      <c r="C1486" s="1"/>
      <c r="D1486" s="8">
        <v>2024</v>
      </c>
      <c r="E1486" s="14">
        <f>Data!I1486</f>
        <v>968691000000</v>
      </c>
      <c r="F1486" s="14">
        <f>Data!K1486</f>
        <v>38586000000</v>
      </c>
      <c r="G1486" s="12">
        <f t="shared" si="23"/>
        <v>25.104727103094387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Data!I1487</f>
        <v>0</v>
      </c>
      <c r="F1487" s="14">
        <f>Data!K1487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Data!I1488</f>
        <v>0</v>
      </c>
      <c r="F1488" s="14">
        <f>Data!K1488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Data!I1489</f>
        <v>0</v>
      </c>
      <c r="F1489" s="14">
        <f>Data!K1489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Data!I1490</f>
        <v>0</v>
      </c>
      <c r="F1490" s="14">
        <f>Data!K1490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Data!I1491</f>
        <v>0</v>
      </c>
      <c r="F1491" s="14">
        <f>Data!K1491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Data!I1492</f>
        <v>0</v>
      </c>
      <c r="F1492" s="14">
        <f>Data!K1492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Data!I1493</f>
        <v>0</v>
      </c>
      <c r="F1493" s="14">
        <f>Data!K1493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Data!I1494</f>
        <v>0</v>
      </c>
      <c r="F1494" s="14">
        <f>Data!K1494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Data!I1495</f>
        <v>70984000000</v>
      </c>
      <c r="F1495" s="14">
        <f>Data!K1495</f>
        <v>310790000000</v>
      </c>
      <c r="G1495" s="12">
        <f t="shared" si="23"/>
        <v>0.22839859712345956</v>
      </c>
    </row>
    <row r="1496" spans="2:7" ht="15" customHeight="1" x14ac:dyDescent="0.3">
      <c r="C1496" s="1"/>
      <c r="D1496" s="8">
        <v>2023</v>
      </c>
      <c r="E1496" s="14">
        <f>Data!I1496</f>
        <v>456391000000</v>
      </c>
      <c r="F1496" s="14">
        <f>Data!K1496</f>
        <v>329980000000</v>
      </c>
      <c r="G1496" s="12">
        <f t="shared" si="23"/>
        <v>1.383086853748712</v>
      </c>
    </row>
    <row r="1497" spans="2:7" ht="15" customHeight="1" x14ac:dyDescent="0.3">
      <c r="C1497" s="1"/>
      <c r="D1497" s="8">
        <v>2024</v>
      </c>
      <c r="E1497" s="14">
        <f>Data!I1497</f>
        <v>969116000000</v>
      </c>
      <c r="F1497" s="14">
        <f>Data!K1497</f>
        <v>574724000000</v>
      </c>
      <c r="G1497" s="12">
        <f t="shared" si="23"/>
        <v>1.6862285201244422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Data!I1498</f>
        <v>0</v>
      </c>
      <c r="F1498" s="14">
        <f>Data!K1498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Data!I1499</f>
        <v>0</v>
      </c>
      <c r="F1499" s="14">
        <f>Data!K1499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Data!I1500</f>
        <v>1087212000000</v>
      </c>
      <c r="F1500" s="14">
        <f>Data!K1500</f>
        <v>746339000000</v>
      </c>
      <c r="G1500" s="12">
        <f t="shared" si="23"/>
        <v>1.4567267689347603</v>
      </c>
    </row>
    <row r="1501" spans="2:7" ht="15" customHeight="1" x14ac:dyDescent="0.3">
      <c r="C1501" s="1"/>
      <c r="D1501" s="8">
        <v>2017</v>
      </c>
      <c r="E1501" s="14">
        <f>Data!I1501</f>
        <v>1523055000000</v>
      </c>
      <c r="F1501" s="14">
        <f>Data!K1501</f>
        <v>1356933000000</v>
      </c>
      <c r="G1501" s="12">
        <f t="shared" si="23"/>
        <v>1.1224246149220338</v>
      </c>
    </row>
    <row r="1502" spans="2:7" ht="15" customHeight="1" x14ac:dyDescent="0.3">
      <c r="C1502" s="1"/>
      <c r="D1502" s="8">
        <v>2018</v>
      </c>
      <c r="E1502" s="14">
        <f>Data!I1502</f>
        <v>2016141000000</v>
      </c>
      <c r="F1502" s="14">
        <f>Data!K1502</f>
        <v>1410477000000</v>
      </c>
      <c r="G1502" s="12">
        <f t="shared" si="23"/>
        <v>1.4294036698223367</v>
      </c>
    </row>
    <row r="1503" spans="2:7" ht="15" customHeight="1" x14ac:dyDescent="0.3">
      <c r="C1503" s="1"/>
      <c r="D1503" s="8">
        <v>2019</v>
      </c>
      <c r="E1503" s="14">
        <f>Data!I1503</f>
        <v>2320513000000</v>
      </c>
      <c r="F1503" s="14">
        <f>Data!K1503</f>
        <v>1595086000000</v>
      </c>
      <c r="G1503" s="12">
        <f t="shared" si="23"/>
        <v>1.454788644624804</v>
      </c>
    </row>
    <row r="1504" spans="2:7" ht="15" customHeight="1" x14ac:dyDescent="0.3">
      <c r="C1504" s="1"/>
      <c r="D1504" s="8">
        <v>2020</v>
      </c>
      <c r="E1504" s="14">
        <f>Data!I1504</f>
        <v>2447545000000</v>
      </c>
      <c r="F1504" s="14">
        <f>Data!K1504</f>
        <v>1755800000000</v>
      </c>
      <c r="G1504" s="12">
        <f t="shared" si="23"/>
        <v>1.3939771044538103</v>
      </c>
    </row>
    <row r="1505" spans="2:7" ht="15" customHeight="1" x14ac:dyDescent="0.3">
      <c r="C1505" s="1"/>
      <c r="D1505" s="8">
        <v>2021</v>
      </c>
      <c r="E1505" s="14">
        <f>Data!I1505</f>
        <v>2598192000000</v>
      </c>
      <c r="F1505" s="14">
        <f>Data!K1505</f>
        <v>1383017000000</v>
      </c>
      <c r="G1505" s="12">
        <f t="shared" si="23"/>
        <v>1.8786406819294339</v>
      </c>
    </row>
    <row r="1506" spans="2:7" ht="15" customHeight="1" x14ac:dyDescent="0.3">
      <c r="C1506" s="1"/>
      <c r="D1506" s="8">
        <v>2022</v>
      </c>
      <c r="E1506" s="14">
        <f>Data!I1506</f>
        <v>2889160000000</v>
      </c>
      <c r="F1506" s="14">
        <f>Data!K1506</f>
        <v>1396966000000</v>
      </c>
      <c r="G1506" s="12">
        <f t="shared" si="23"/>
        <v>2.0681677292074396</v>
      </c>
    </row>
    <row r="1507" spans="2:7" ht="15" customHeight="1" x14ac:dyDescent="0.3">
      <c r="C1507" s="1"/>
      <c r="D1507" s="8">
        <v>2023</v>
      </c>
      <c r="E1507" s="14">
        <f>Data!I1507</f>
        <v>3325712000000</v>
      </c>
      <c r="F1507" s="14">
        <f>Data!K1507</f>
        <v>1446969000000</v>
      </c>
      <c r="G1507" s="12">
        <f t="shared" si="23"/>
        <v>2.2983989290717353</v>
      </c>
    </row>
    <row r="1508" spans="2:7" ht="15" customHeight="1" x14ac:dyDescent="0.3">
      <c r="C1508" s="1"/>
      <c r="D1508" s="8">
        <v>2024</v>
      </c>
      <c r="E1508" s="14">
        <f>Data!I1508</f>
        <v>3512630000000</v>
      </c>
      <c r="F1508" s="14">
        <f>Data!K1508</f>
        <v>1453202000000</v>
      </c>
      <c r="G1508" s="12">
        <f t="shared" si="23"/>
        <v>2.4171656796508674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Data!I1509</f>
        <v>0</v>
      </c>
      <c r="F1509" s="14">
        <f>Data!K1509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Data!I1510</f>
        <v>0</v>
      </c>
      <c r="F1510" s="14">
        <f>Data!K1510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Data!I1511</f>
        <v>0</v>
      </c>
      <c r="F1511" s="14">
        <f>Data!K1511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Data!I1512</f>
        <v>0</v>
      </c>
      <c r="F1512" s="14">
        <f>Data!K1512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Data!I1513</f>
        <v>0</v>
      </c>
      <c r="F1513" s="14">
        <f>Data!K1513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Data!I1514</f>
        <v>0</v>
      </c>
      <c r="F1514" s="14">
        <f>Data!K1514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Data!I1515</f>
        <v>0</v>
      </c>
      <c r="F1515" s="14">
        <f>Data!K1515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Data!I1516</f>
        <v>0</v>
      </c>
      <c r="F1516" s="14">
        <f>Data!K1516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Data!I1517</f>
        <v>0</v>
      </c>
      <c r="F1517" s="14">
        <f>Data!K1517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Data!I1518</f>
        <v>0</v>
      </c>
      <c r="F1518" s="14">
        <f>Data!K1518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>
        <f>Data!I1519</f>
        <v>28746000000</v>
      </c>
      <c r="F1519" s="14">
        <f>Data!K1519</f>
        <v>519681000000</v>
      </c>
      <c r="G1519" s="12">
        <f t="shared" si="23"/>
        <v>5.5314702673370776E-2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Data!I1520</f>
        <v>0</v>
      </c>
      <c r="F1520" s="14">
        <f>Data!K1520</f>
        <v>0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Data!I1521</f>
        <v>4644202947542</v>
      </c>
      <c r="F1521" s="14">
        <f>Data!K1521</f>
        <v>1898113138423</v>
      </c>
      <c r="G1521" s="12">
        <f t="shared" si="23"/>
        <v>2.446747168822887</v>
      </c>
    </row>
    <row r="1522" spans="2:7" ht="15" customHeight="1" x14ac:dyDescent="0.3">
      <c r="C1522" s="1"/>
      <c r="D1522" s="8">
        <v>2016</v>
      </c>
      <c r="E1522" s="14">
        <f>Data!I1522</f>
        <v>4751858868039</v>
      </c>
      <c r="F1522" s="14">
        <f>Data!K1522</f>
        <v>2350693719506</v>
      </c>
      <c r="G1522" s="12">
        <f t="shared" si="23"/>
        <v>2.0214708656462514</v>
      </c>
    </row>
    <row r="1523" spans="2:7" ht="15" customHeight="1" x14ac:dyDescent="0.3">
      <c r="C1523" s="1"/>
      <c r="D1523" s="8">
        <v>2017</v>
      </c>
      <c r="E1523" s="14">
        <f>Data!I1523</f>
        <v>5204276776165</v>
      </c>
      <c r="F1523" s="14">
        <f>Data!K1523</f>
        <v>2883426635511</v>
      </c>
      <c r="G1523" s="12">
        <f t="shared" si="23"/>
        <v>1.8048930782810431</v>
      </c>
    </row>
    <row r="1524" spans="2:7" ht="15" customHeight="1" x14ac:dyDescent="0.3">
      <c r="C1524" s="1"/>
      <c r="D1524" s="8">
        <v>2018</v>
      </c>
      <c r="E1524" s="14">
        <f>Data!I1524</f>
        <v>5786781275066</v>
      </c>
      <c r="F1524" s="14">
        <f>Data!K1524</f>
        <v>2904915111549</v>
      </c>
      <c r="G1524" s="12">
        <f t="shared" si="23"/>
        <v>1.9920655347413201</v>
      </c>
    </row>
    <row r="1525" spans="2:7" ht="15" customHeight="1" x14ac:dyDescent="0.3">
      <c r="C1525" s="1"/>
      <c r="D1525" s="8">
        <v>2019</v>
      </c>
      <c r="E1525" s="14">
        <f>Data!I1525</f>
        <v>6557175867879</v>
      </c>
      <c r="F1525" s="14">
        <f>Data!K1525</f>
        <v>3226646237225</v>
      </c>
      <c r="G1525" s="12">
        <f t="shared" si="23"/>
        <v>2.0321954704022165</v>
      </c>
    </row>
    <row r="1526" spans="2:7" ht="15" customHeight="1" x14ac:dyDescent="0.3">
      <c r="C1526" s="1"/>
      <c r="D1526" s="8">
        <v>2020</v>
      </c>
      <c r="E1526" s="14">
        <f>Data!I1526</f>
        <v>7061946887689</v>
      </c>
      <c r="F1526" s="14">
        <f>Data!K1526</f>
        <v>3429623952147</v>
      </c>
      <c r="G1526" s="12">
        <f t="shared" si="23"/>
        <v>2.0591023932137245</v>
      </c>
    </row>
    <row r="1527" spans="2:7" ht="15" customHeight="1" x14ac:dyDescent="0.3">
      <c r="C1527" s="1"/>
      <c r="D1527" s="8">
        <v>2021</v>
      </c>
      <c r="E1527" s="14">
        <f>Data!I1527</f>
        <v>8371640481405</v>
      </c>
      <c r="F1527" s="14">
        <f>Data!K1527</f>
        <v>2753378841543</v>
      </c>
      <c r="G1527" s="12">
        <f t="shared" si="23"/>
        <v>3.0404971357713757</v>
      </c>
    </row>
    <row r="1528" spans="2:7" ht="15" customHeight="1" x14ac:dyDescent="0.3">
      <c r="C1528" s="1"/>
      <c r="D1528" s="8">
        <v>2022</v>
      </c>
      <c r="E1528" s="14">
        <f>Data!I1528</f>
        <v>8817440831891</v>
      </c>
      <c r="F1528" s="14">
        <f>Data!K1528</f>
        <v>2565043005932</v>
      </c>
      <c r="G1528" s="12">
        <f t="shared" si="23"/>
        <v>3.4375411295247313</v>
      </c>
    </row>
    <row r="1529" spans="2:7" ht="15" customHeight="1" x14ac:dyDescent="0.3">
      <c r="C1529" s="1"/>
      <c r="D1529" s="8">
        <v>2023</v>
      </c>
      <c r="E1529" s="14">
        <f>Data!I1529</f>
        <v>11500998846020</v>
      </c>
      <c r="F1529" s="14">
        <f>Data!K1529</f>
        <v>2705717558920</v>
      </c>
      <c r="G1529" s="12">
        <f t="shared" si="23"/>
        <v>4.2506280110813481</v>
      </c>
    </row>
    <row r="1530" spans="2:7" ht="15" customHeight="1" x14ac:dyDescent="0.3">
      <c r="C1530" s="1"/>
      <c r="D1530" s="8">
        <v>2024</v>
      </c>
      <c r="E1530" s="14">
        <f>Data!I1530</f>
        <v>12771675318393</v>
      </c>
      <c r="F1530" s="14">
        <f>Data!K1530</f>
        <v>2525021331405</v>
      </c>
      <c r="G1530" s="12">
        <f t="shared" si="23"/>
        <v>5.0580465042196074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Data!I1531</f>
        <v>0</v>
      </c>
      <c r="F1531" s="14">
        <f>Data!K1531</f>
        <v>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Data!I1532</f>
        <v>174837000000</v>
      </c>
      <c r="F1532" s="14">
        <f>Data!K1532</f>
        <v>313769000000</v>
      </c>
      <c r="G1532" s="12">
        <f t="shared" si="23"/>
        <v>0.55721565865334055</v>
      </c>
    </row>
    <row r="1533" spans="2:7" ht="15" customHeight="1" x14ac:dyDescent="0.3">
      <c r="C1533" s="1"/>
      <c r="D1533" s="8">
        <v>2016</v>
      </c>
      <c r="E1533" s="14">
        <f>Data!I1533</f>
        <v>144733000000</v>
      </c>
      <c r="F1533" s="14">
        <f>Data!K1533</f>
        <v>368773000000</v>
      </c>
      <c r="G1533" s="12">
        <f t="shared" si="23"/>
        <v>0.39247179158994827</v>
      </c>
    </row>
    <row r="1534" spans="2:7" ht="15" customHeight="1" x14ac:dyDescent="0.3">
      <c r="C1534" s="1"/>
      <c r="D1534" s="8">
        <v>2017</v>
      </c>
      <c r="E1534" s="14">
        <f>Data!I1534</f>
        <v>158855000000</v>
      </c>
      <c r="F1534" s="14">
        <f>Data!K1534</f>
        <v>430493000000</v>
      </c>
      <c r="G1534" s="12">
        <f t="shared" si="23"/>
        <v>0.36900716155663388</v>
      </c>
    </row>
    <row r="1535" spans="2:7" ht="15" customHeight="1" x14ac:dyDescent="0.3">
      <c r="C1535" s="1"/>
      <c r="D1535" s="8">
        <v>2018</v>
      </c>
      <c r="E1535" s="14">
        <f>Data!I1535</f>
        <v>537559000000</v>
      </c>
      <c r="F1535" s="14">
        <f>Data!K1535</f>
        <v>442690000000</v>
      </c>
      <c r="G1535" s="12">
        <f t="shared" si="23"/>
        <v>1.2143012040028009</v>
      </c>
    </row>
    <row r="1536" spans="2:7" ht="15" customHeight="1" x14ac:dyDescent="0.3">
      <c r="C1536" s="1"/>
      <c r="D1536" s="8">
        <v>2019</v>
      </c>
      <c r="E1536" s="14">
        <f>Data!I1536</f>
        <v>358159000000</v>
      </c>
      <c r="F1536" s="14">
        <f>Data!K1536</f>
        <v>506656000000</v>
      </c>
      <c r="G1536" s="12">
        <f t="shared" si="23"/>
        <v>0.70690764542411422</v>
      </c>
    </row>
    <row r="1537" spans="2:7" ht="15" customHeight="1" x14ac:dyDescent="0.3">
      <c r="C1537" s="1"/>
      <c r="D1537" s="8">
        <v>2020</v>
      </c>
      <c r="E1537" s="14">
        <f>Data!I1537</f>
        <v>238207000000</v>
      </c>
      <c r="F1537" s="14">
        <f>Data!K1537</f>
        <v>583807000000</v>
      </c>
      <c r="G1537" s="12">
        <f t="shared" si="23"/>
        <v>0.40802354202673141</v>
      </c>
    </row>
    <row r="1538" spans="2:7" ht="15" customHeight="1" x14ac:dyDescent="0.3">
      <c r="C1538" s="1"/>
      <c r="D1538" s="8">
        <v>2021</v>
      </c>
      <c r="E1538" s="14">
        <f>Data!I1538</f>
        <v>249996000000</v>
      </c>
      <c r="F1538" s="14">
        <f>Data!K1538</f>
        <v>621607000000</v>
      </c>
      <c r="G1538" s="12">
        <f t="shared" si="23"/>
        <v>0.40217693816189326</v>
      </c>
    </row>
    <row r="1539" spans="2:7" ht="15" customHeight="1" x14ac:dyDescent="0.3">
      <c r="C1539" s="1"/>
      <c r="D1539" s="8">
        <v>2022</v>
      </c>
      <c r="E1539" s="14">
        <f>Data!I1539</f>
        <v>277634000000</v>
      </c>
      <c r="F1539" s="14">
        <f>Data!K1539</f>
        <v>658140000000</v>
      </c>
      <c r="G1539" s="12">
        <f t="shared" ref="G1539:G1602" si="24">IFERROR(E1539/F1539,0)</f>
        <v>0.42184641565624337</v>
      </c>
    </row>
    <row r="1540" spans="2:7" ht="15" customHeight="1" x14ac:dyDescent="0.3">
      <c r="C1540" s="1"/>
      <c r="D1540" s="8">
        <v>2023</v>
      </c>
      <c r="E1540" s="14">
        <f>Data!I1540</f>
        <v>290054000000</v>
      </c>
      <c r="F1540" s="14">
        <f>Data!K1540</f>
        <v>725138000000</v>
      </c>
      <c r="G1540" s="12">
        <f t="shared" si="24"/>
        <v>0.39999834514257976</v>
      </c>
    </row>
    <row r="1541" spans="2:7" ht="15" customHeight="1" x14ac:dyDescent="0.3">
      <c r="C1541" s="1"/>
      <c r="D1541" s="8">
        <v>2024</v>
      </c>
      <c r="E1541" s="14">
        <f>Data!I1541</f>
        <v>280757000000</v>
      </c>
      <c r="F1541" s="14">
        <f>Data!K1541</f>
        <v>772910000000</v>
      </c>
      <c r="G1541" s="12">
        <f t="shared" si="24"/>
        <v>0.3632466910765807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Data!I1542</f>
        <v>0</v>
      </c>
      <c r="F1542" s="14">
        <f>Data!K1542</f>
        <v>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Data!I1543</f>
        <v>2909459000000</v>
      </c>
      <c r="F1543" s="14">
        <f>Data!K1543</f>
        <v>1182824000000</v>
      </c>
      <c r="G1543" s="12">
        <f t="shared" si="24"/>
        <v>2.4597564810994705</v>
      </c>
    </row>
    <row r="1544" spans="2:7" ht="15" customHeight="1" x14ac:dyDescent="0.3">
      <c r="C1544" s="1"/>
      <c r="D1544" s="8">
        <v>2016</v>
      </c>
      <c r="E1544" s="14">
        <f>Data!I1544</f>
        <v>3344488000000</v>
      </c>
      <c r="F1544" s="14">
        <f>Data!K1544</f>
        <v>1418496000000</v>
      </c>
      <c r="G1544" s="12">
        <f t="shared" si="24"/>
        <v>2.357770483667208</v>
      </c>
    </row>
    <row r="1545" spans="2:7" ht="15" customHeight="1" x14ac:dyDescent="0.3">
      <c r="C1545" s="1"/>
      <c r="D1545" s="8">
        <v>2017</v>
      </c>
      <c r="E1545" s="14">
        <f>Data!I1545</f>
        <v>0</v>
      </c>
      <c r="F1545" s="14">
        <f>Data!K1545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Data!I1546</f>
        <v>3701883000000</v>
      </c>
      <c r="F1546" s="14">
        <f>Data!K1546</f>
        <v>1736159000000</v>
      </c>
      <c r="G1546" s="12">
        <f t="shared" si="24"/>
        <v>2.1322257926837347</v>
      </c>
    </row>
    <row r="1547" spans="2:7" ht="15" customHeight="1" x14ac:dyDescent="0.3">
      <c r="C1547" s="1"/>
      <c r="D1547" s="8">
        <v>2019</v>
      </c>
      <c r="E1547" s="14">
        <f>Data!I1547</f>
        <v>4280281000000</v>
      </c>
      <c r="F1547" s="14">
        <f>Data!K1547</f>
        <v>1980138000000</v>
      </c>
      <c r="G1547" s="12">
        <f t="shared" si="24"/>
        <v>2.161607423321001</v>
      </c>
    </row>
    <row r="1548" spans="2:7" ht="15" customHeight="1" x14ac:dyDescent="0.3">
      <c r="C1548" s="1"/>
      <c r="D1548" s="8">
        <v>2020</v>
      </c>
      <c r="E1548" s="14">
        <f>Data!I1548</f>
        <v>7489242000000</v>
      </c>
      <c r="F1548" s="14">
        <f>Data!K1548</f>
        <v>717821000000</v>
      </c>
      <c r="G1548" s="12">
        <f t="shared" si="24"/>
        <v>10.433300223871967</v>
      </c>
    </row>
    <row r="1549" spans="2:7" ht="15" customHeight="1" x14ac:dyDescent="0.3">
      <c r="C1549" s="1"/>
      <c r="D1549" s="8">
        <v>2021</v>
      </c>
      <c r="E1549" s="14">
        <f>Data!I1549</f>
        <v>11148994000000</v>
      </c>
      <c r="F1549" s="14">
        <f>Data!K1549</f>
        <v>6790000000</v>
      </c>
      <c r="G1549" s="12">
        <f t="shared" si="24"/>
        <v>1641.9726067746685</v>
      </c>
    </row>
    <row r="1550" spans="2:7" ht="15" customHeight="1" x14ac:dyDescent="0.3">
      <c r="C1550" s="1"/>
      <c r="D1550" s="8">
        <v>2022</v>
      </c>
      <c r="E1550" s="14">
        <f>Data!I1550</f>
        <v>12617797000000</v>
      </c>
      <c r="F1550" s="14">
        <f>Data!K1550</f>
        <v>117320000000</v>
      </c>
      <c r="G1550" s="12">
        <f t="shared" si="24"/>
        <v>107.55026423457211</v>
      </c>
    </row>
    <row r="1551" spans="2:7" ht="15" customHeight="1" x14ac:dyDescent="0.3">
      <c r="C1551" s="1"/>
      <c r="D1551" s="8">
        <v>2023</v>
      </c>
      <c r="E1551" s="14">
        <f>Data!I1551</f>
        <v>13055202000000</v>
      </c>
      <c r="F1551" s="14">
        <f>Data!K1551</f>
        <v>-3283000000</v>
      </c>
      <c r="G1551" s="12">
        <f t="shared" si="24"/>
        <v>-3976.6073713067317</v>
      </c>
    </row>
    <row r="1552" spans="2:7" ht="15" customHeight="1" x14ac:dyDescent="0.3">
      <c r="C1552" s="1"/>
      <c r="D1552" s="8">
        <v>2024</v>
      </c>
      <c r="E1552" s="14">
        <f>Data!I1552</f>
        <v>12372002000000</v>
      </c>
      <c r="F1552" s="14">
        <f>Data!K1552</f>
        <v>-2070885000000</v>
      </c>
      <c r="G1552" s="12">
        <f t="shared" si="24"/>
        <v>-5.9742583484838612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Data!I1553</f>
        <v>0</v>
      </c>
      <c r="F1553" s="14">
        <f>Data!K1553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Data!I1556</f>
        <v>82532000000</v>
      </c>
      <c r="F1554" s="14">
        <f>Data!K1556</f>
        <v>310204000000</v>
      </c>
      <c r="G1554" s="12">
        <f t="shared" si="24"/>
        <v>0.26605717527820399</v>
      </c>
    </row>
    <row r="1555" spans="2:7" ht="15" customHeight="1" x14ac:dyDescent="0.3">
      <c r="C1555" s="1"/>
      <c r="D1555" s="8">
        <v>2016</v>
      </c>
      <c r="E1555" s="14">
        <f>Data!I1555</f>
        <v>0</v>
      </c>
      <c r="F1555" s="14">
        <f>Data!K1555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 t="e">
        <f>Data!#REF!</f>
        <v>#REF!</v>
      </c>
      <c r="F1556" s="14" t="e">
        <f>Data!#REF!</f>
        <v>#REF!</v>
      </c>
      <c r="G1556" s="12">
        <f t="shared" si="24"/>
        <v>0</v>
      </c>
    </row>
    <row r="1557" spans="2:7" ht="15" customHeight="1" x14ac:dyDescent="0.3">
      <c r="C1557" s="1"/>
      <c r="D1557" s="8">
        <v>2018</v>
      </c>
      <c r="E1557" s="14">
        <f>Data!I1557</f>
        <v>0</v>
      </c>
      <c r="F1557" s="14">
        <f>Data!K1557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>
        <f>Data!I1558</f>
        <v>715934000000</v>
      </c>
      <c r="F1558" s="14">
        <f>Data!K1558</f>
        <v>452675000000</v>
      </c>
      <c r="G1558" s="12">
        <f t="shared" si="24"/>
        <v>1.5815629314629702</v>
      </c>
    </row>
    <row r="1559" spans="2:7" ht="15" customHeight="1" x14ac:dyDescent="0.3">
      <c r="C1559" s="1"/>
      <c r="D1559" s="8">
        <v>2020</v>
      </c>
      <c r="E1559" s="14">
        <f>Data!I1559</f>
        <v>1459569000000</v>
      </c>
      <c r="F1559" s="14">
        <f>Data!K1559</f>
        <v>629196000000</v>
      </c>
      <c r="G1559" s="12">
        <f t="shared" si="24"/>
        <v>2.319736616253123</v>
      </c>
    </row>
    <row r="1560" spans="2:7" ht="15" customHeight="1" x14ac:dyDescent="0.3">
      <c r="C1560" s="1"/>
      <c r="D1560" s="8">
        <v>2021</v>
      </c>
      <c r="E1560" s="14">
        <f>Data!I1560</f>
        <v>1324861000000</v>
      </c>
      <c r="F1560" s="14">
        <f>Data!K1560</f>
        <v>540088000000</v>
      </c>
      <c r="G1560" s="12">
        <f t="shared" si="24"/>
        <v>2.45304654056376</v>
      </c>
    </row>
    <row r="1561" spans="2:7" ht="15" customHeight="1" x14ac:dyDescent="0.3">
      <c r="C1561" s="1"/>
      <c r="D1561" s="8">
        <v>2022</v>
      </c>
      <c r="E1561" s="14">
        <f>Data!I1561</f>
        <v>2452567000000</v>
      </c>
      <c r="F1561" s="14">
        <f>Data!K1561</f>
        <v>586522000000</v>
      </c>
      <c r="G1561" s="12">
        <f t="shared" si="24"/>
        <v>4.181543062323323</v>
      </c>
    </row>
    <row r="1562" spans="2:7" ht="15" customHeight="1" x14ac:dyDescent="0.3">
      <c r="C1562" s="1"/>
      <c r="D1562" s="8">
        <v>2023</v>
      </c>
      <c r="E1562" s="14">
        <f>Data!I1562</f>
        <v>2412082000000</v>
      </c>
      <c r="F1562" s="14">
        <f>Data!K1562</f>
        <v>678658000000</v>
      </c>
      <c r="G1562" s="12">
        <f t="shared" si="24"/>
        <v>3.5541937176015019</v>
      </c>
    </row>
    <row r="1563" spans="2:7" ht="15" customHeight="1" x14ac:dyDescent="0.3">
      <c r="C1563" s="1"/>
      <c r="D1563" s="8">
        <v>2024</v>
      </c>
      <c r="E1563" s="14">
        <f>Data!I1563</f>
        <v>2332514000000</v>
      </c>
      <c r="F1563" s="14">
        <f>Data!K1563</f>
        <v>903461000000</v>
      </c>
      <c r="G1563" s="12">
        <f t="shared" si="24"/>
        <v>2.5817539439997965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Data!I1564</f>
        <v>0</v>
      </c>
      <c r="F1564" s="14">
        <f>Data!K1564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Data!I1565</f>
        <v>0</v>
      </c>
      <c r="F1565" s="14">
        <f>Data!K1565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Data!I1566</f>
        <v>0</v>
      </c>
      <c r="F1566" s="14">
        <f>Data!K1566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Data!I1567</f>
        <v>0</v>
      </c>
      <c r="F1567" s="14">
        <f>Data!K1567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Data!I1568</f>
        <v>0</v>
      </c>
      <c r="F1568" s="14">
        <f>Data!K1568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Data!I1569</f>
        <v>0</v>
      </c>
      <c r="F1569" s="14">
        <f>Data!K1569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Data!I1570</f>
        <v>0</v>
      </c>
      <c r="F1570" s="14">
        <f>Data!K1570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Data!I1571</f>
        <v>0</v>
      </c>
      <c r="F1571" s="14">
        <f>Data!K1571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Data!I1572</f>
        <v>0</v>
      </c>
      <c r="F1572" s="14">
        <f>Data!K1572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Data!I1573</f>
        <v>0</v>
      </c>
      <c r="F1573" s="14">
        <f>Data!K1573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Data!I1574</f>
        <v>0</v>
      </c>
      <c r="F1574" s="14">
        <f>Data!K1574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Data!I1575</f>
        <v>0</v>
      </c>
      <c r="F1575" s="14">
        <f>Data!K1575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Data!I1576</f>
        <v>0</v>
      </c>
      <c r="F1576" s="14">
        <f>Data!K1576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Data!I1577</f>
        <v>0</v>
      </c>
      <c r="F1577" s="14">
        <f>Data!K1577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Data!I1578</f>
        <v>2408523000000</v>
      </c>
      <c r="F1578" s="14">
        <f>Data!K1578</f>
        <v>1057204000000</v>
      </c>
      <c r="G1578" s="12">
        <f t="shared" si="24"/>
        <v>2.2782008013590564</v>
      </c>
    </row>
    <row r="1579" spans="2:7" ht="15" customHeight="1" x14ac:dyDescent="0.3">
      <c r="C1579" s="1"/>
      <c r="D1579" s="8">
        <v>2018</v>
      </c>
      <c r="E1579" s="14">
        <f>Data!I1579</f>
        <v>2645155000000</v>
      </c>
      <c r="F1579" s="14">
        <f>Data!K1579</f>
        <v>913786000000</v>
      </c>
      <c r="G1579" s="12">
        <f t="shared" si="24"/>
        <v>2.8947204268833184</v>
      </c>
    </row>
    <row r="1580" spans="2:7" ht="15" customHeight="1" x14ac:dyDescent="0.3">
      <c r="C1580" s="1"/>
      <c r="D1580" s="8">
        <v>2019</v>
      </c>
      <c r="E1580" s="14">
        <f>Data!I1580</f>
        <v>3520587000000</v>
      </c>
      <c r="F1580" s="14">
        <f>Data!K1580</f>
        <v>1420444000000</v>
      </c>
      <c r="G1580" s="12">
        <f t="shared" si="24"/>
        <v>2.4785116484704783</v>
      </c>
    </row>
    <row r="1581" spans="2:7" ht="15" customHeight="1" x14ac:dyDescent="0.3">
      <c r="C1581" s="1"/>
      <c r="D1581" s="8">
        <v>2020</v>
      </c>
      <c r="E1581" s="14">
        <f>Data!I1581</f>
        <v>3044547000000</v>
      </c>
      <c r="F1581" s="14">
        <f>Data!K1581</f>
        <v>1406225000000</v>
      </c>
      <c r="G1581" s="12">
        <f t="shared" si="24"/>
        <v>2.1650496897722626</v>
      </c>
    </row>
    <row r="1582" spans="2:7" ht="15" customHeight="1" x14ac:dyDescent="0.3">
      <c r="C1582" s="1"/>
      <c r="D1582" s="8">
        <v>2021</v>
      </c>
      <c r="E1582" s="14">
        <f>Data!I1582</f>
        <v>2930363000000</v>
      </c>
      <c r="F1582" s="14">
        <f>Data!K1582</f>
        <v>1421543000000</v>
      </c>
      <c r="G1582" s="12">
        <f t="shared" si="24"/>
        <v>2.0613959619934112</v>
      </c>
    </row>
    <row r="1583" spans="2:7" ht="15" customHeight="1" x14ac:dyDescent="0.3">
      <c r="C1583" s="1"/>
      <c r="D1583" s="8">
        <v>2022</v>
      </c>
      <c r="E1583" s="14">
        <f>Data!I1583</f>
        <v>3737933000000</v>
      </c>
      <c r="F1583" s="14">
        <f>Data!K1583</f>
        <v>1503354000000</v>
      </c>
      <c r="G1583" s="12">
        <f t="shared" si="24"/>
        <v>2.4863957524308979</v>
      </c>
    </row>
    <row r="1584" spans="2:7" ht="15" customHeight="1" x14ac:dyDescent="0.3">
      <c r="C1584" s="1"/>
      <c r="D1584" s="8">
        <v>2023</v>
      </c>
      <c r="E1584" s="14">
        <f>Data!I1584</f>
        <v>4478289000000</v>
      </c>
      <c r="F1584" s="14">
        <f>Data!K1584</f>
        <v>1437642000000</v>
      </c>
      <c r="G1584" s="12">
        <f t="shared" si="24"/>
        <v>3.1150237680869091</v>
      </c>
    </row>
    <row r="1585" spans="1:7" ht="15" customHeight="1" x14ac:dyDescent="0.3">
      <c r="C1585" s="1"/>
      <c r="D1585" s="8">
        <v>2024</v>
      </c>
      <c r="E1585" s="14">
        <f>Data!I1585</f>
        <v>4418803000000</v>
      </c>
      <c r="F1585" s="14">
        <f>Data!K1585</f>
        <v>1523647000000</v>
      </c>
      <c r="G1585" s="12">
        <f t="shared" si="24"/>
        <v>2.900148787744143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Data!I1586</f>
        <v>0</v>
      </c>
      <c r="F1586" s="14">
        <f>Data!K1586</f>
        <v>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Data!I1587</f>
        <v>30496531000000</v>
      </c>
      <c r="F1587" s="14">
        <f>Data!K1587</f>
        <v>1816023000000</v>
      </c>
      <c r="G1587" s="12">
        <f t="shared" si="24"/>
        <v>16.793031255661411</v>
      </c>
    </row>
    <row r="1588" spans="1:7" ht="15" customHeight="1" x14ac:dyDescent="0.3">
      <c r="C1588" s="4"/>
      <c r="D1588" s="8">
        <v>2016</v>
      </c>
      <c r="E1588" s="14">
        <f>Data!I1588</f>
        <v>34994322000000</v>
      </c>
      <c r="F1588" s="14">
        <f>Data!K1588</f>
        <v>1601114000000</v>
      </c>
      <c r="G1588" s="12">
        <f t="shared" si="24"/>
        <v>21.856233847183898</v>
      </c>
    </row>
    <row r="1589" spans="1:7" ht="15" customHeight="1" x14ac:dyDescent="0.3">
      <c r="C1589" s="4"/>
      <c r="D1589" s="8">
        <v>2017</v>
      </c>
      <c r="E1589" s="14">
        <f>Data!I1589</f>
        <v>43615289000000</v>
      </c>
      <c r="F1589" s="14">
        <f>Data!K1589</f>
        <v>1186576000000</v>
      </c>
      <c r="G1589" s="12">
        <f t="shared" si="24"/>
        <v>36.757265442752932</v>
      </c>
    </row>
    <row r="1590" spans="1:7" ht="15" customHeight="1" x14ac:dyDescent="0.3">
      <c r="C1590" s="4"/>
      <c r="D1590" s="8">
        <v>2018</v>
      </c>
      <c r="E1590" s="14">
        <f>Data!I1590</f>
        <v>0</v>
      </c>
      <c r="F1590" s="14">
        <f>Data!K1590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Data!I1591</f>
        <v>0</v>
      </c>
      <c r="F1591" s="14">
        <f>Data!K1591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Data!I1592</f>
        <v>0</v>
      </c>
      <c r="F1592" s="14">
        <f>Data!K1592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Data!I1593</f>
        <v>0</v>
      </c>
      <c r="F1593" s="14">
        <f>Data!K1593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Data!I1594</f>
        <v>0</v>
      </c>
      <c r="F1594" s="14">
        <f>Data!K1594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Data!I1595</f>
        <v>0</v>
      </c>
      <c r="F1595" s="14">
        <f>Data!K1595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Data!I1596</f>
        <v>0</v>
      </c>
      <c r="F1596" s="14">
        <f>Data!K1596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Data!I1597</f>
        <v>0</v>
      </c>
      <c r="F1597" s="14">
        <f>Data!K1597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Data!I1598</f>
        <v>0</v>
      </c>
      <c r="F1598" s="14">
        <f>Data!K1598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Data!I1599</f>
        <v>0</v>
      </c>
      <c r="F1599" s="14">
        <f>Data!K1599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Data!I1600</f>
        <v>0</v>
      </c>
      <c r="F1600" s="14">
        <f>Data!K1600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Data!I1601</f>
        <v>0</v>
      </c>
      <c r="F1601" s="14">
        <f>Data!K1601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Data!I1602</f>
        <v>0</v>
      </c>
      <c r="F1602" s="14">
        <f>Data!K1602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Data!I1603</f>
        <v>0</v>
      </c>
      <c r="F1603" s="14">
        <f>Data!K1603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Data!I1604</f>
        <v>0</v>
      </c>
      <c r="F1604" s="14">
        <f>Data!K1604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Data!I1605</f>
        <v>0</v>
      </c>
      <c r="F1605" s="14">
        <f>Data!K1605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Data!I1606</f>
        <v>0</v>
      </c>
      <c r="F1606" s="14">
        <f>Data!K1606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Data!I1607</f>
        <v>0</v>
      </c>
      <c r="F1607" s="14">
        <f>Data!K1607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Data!I1608</f>
        <v>0</v>
      </c>
      <c r="F1608" s="14">
        <f>Data!K1608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Data!I1609</f>
        <v>2034032000000</v>
      </c>
      <c r="F1609" s="14">
        <f>Data!K1609</f>
        <v>10116093000000</v>
      </c>
      <c r="G1609" s="12">
        <f t="shared" si="25"/>
        <v>0.20106893046554633</v>
      </c>
    </row>
    <row r="1610" spans="1:7" ht="15" customHeight="1" x14ac:dyDescent="0.3">
      <c r="C1610" s="4"/>
      <c r="D1610" s="8">
        <v>2016</v>
      </c>
      <c r="E1610" s="14">
        <f>Data!I1610</f>
        <v>1822914000000</v>
      </c>
      <c r="F1610" s="14">
        <f>Data!K1610</f>
        <v>10344737000000</v>
      </c>
      <c r="G1610" s="12">
        <f t="shared" si="25"/>
        <v>0.17621656306970396</v>
      </c>
    </row>
    <row r="1611" spans="1:7" ht="15" customHeight="1" x14ac:dyDescent="0.3">
      <c r="C1611" s="4"/>
      <c r="D1611" s="8">
        <v>2017</v>
      </c>
      <c r="E1611" s="14">
        <f>Data!I1611</f>
        <v>2437427000000</v>
      </c>
      <c r="F1611" s="14">
        <f>Data!K1611</f>
        <v>10161365000000</v>
      </c>
      <c r="G1611" s="12">
        <f t="shared" si="25"/>
        <v>0.23987200538510328</v>
      </c>
    </row>
    <row r="1612" spans="1:7" ht="15" customHeight="1" x14ac:dyDescent="0.3">
      <c r="C1612" s="4"/>
      <c r="D1612" s="8">
        <v>2018</v>
      </c>
      <c r="E1612" s="14">
        <f>Data!I1612</f>
        <v>2566710000000</v>
      </c>
      <c r="F1612" s="14">
        <f>Data!K1612</f>
        <v>10124003000000</v>
      </c>
      <c r="G1612" s="12">
        <f t="shared" si="25"/>
        <v>0.25352718682521136</v>
      </c>
    </row>
    <row r="1613" spans="1:7" ht="15" customHeight="1" x14ac:dyDescent="0.3">
      <c r="C1613" s="4"/>
      <c r="D1613" s="8">
        <v>2019</v>
      </c>
      <c r="E1613" s="14">
        <f>Data!I1613</f>
        <v>2959005000000</v>
      </c>
      <c r="F1613" s="14">
        <f>Data!K1613</f>
        <v>10303087000000</v>
      </c>
      <c r="G1613" s="12">
        <f t="shared" si="25"/>
        <v>0.28719596369515271</v>
      </c>
    </row>
    <row r="1614" spans="1:7" ht="15" customHeight="1" x14ac:dyDescent="0.3">
      <c r="C1614" s="4"/>
      <c r="D1614" s="8">
        <v>2020</v>
      </c>
      <c r="E1614" s="14">
        <f>Data!I1614</f>
        <v>3210037000000</v>
      </c>
      <c r="F1614" s="14">
        <f>Data!K1614</f>
        <v>10162441000000</v>
      </c>
      <c r="G1614" s="12">
        <f t="shared" si="25"/>
        <v>0.31587263335649379</v>
      </c>
    </row>
    <row r="1615" spans="1:7" ht="15" customHeight="1" x14ac:dyDescent="0.3">
      <c r="C1615" s="4"/>
      <c r="D1615" s="8">
        <v>2021</v>
      </c>
      <c r="E1615" s="14">
        <f>Data!I1615</f>
        <v>3360743000000</v>
      </c>
      <c r="F1615" s="14">
        <f>Data!K1615</f>
        <v>10630981000000</v>
      </c>
      <c r="G1615" s="12">
        <f t="shared" si="25"/>
        <v>0.31612726991046264</v>
      </c>
    </row>
    <row r="1616" spans="1:7" ht="15" customHeight="1" x14ac:dyDescent="0.3">
      <c r="C1616" s="4"/>
      <c r="D1616" s="8">
        <v>2022</v>
      </c>
      <c r="E1616" s="14">
        <f>Data!I1616</f>
        <v>3393030000000</v>
      </c>
      <c r="F1616" s="14">
        <f>Data!K1616</f>
        <v>10753649000000</v>
      </c>
      <c r="G1616" s="12">
        <f t="shared" si="25"/>
        <v>0.31552359575805383</v>
      </c>
    </row>
    <row r="1617" spans="2:7" ht="15" customHeight="1" x14ac:dyDescent="0.3">
      <c r="C1617" s="4"/>
      <c r="D1617" s="8">
        <v>2023</v>
      </c>
      <c r="E1617" s="14">
        <f>Data!I1617</f>
        <v>2595582000000</v>
      </c>
      <c r="F1617" s="14">
        <f>Data!K1617</f>
        <v>10289025000000</v>
      </c>
      <c r="G1617" s="12">
        <f t="shared" si="25"/>
        <v>0.25226705154278467</v>
      </c>
    </row>
    <row r="1618" spans="2:7" ht="15" customHeight="1" x14ac:dyDescent="0.3">
      <c r="C1618" s="4"/>
      <c r="D1618" s="8">
        <v>2024</v>
      </c>
      <c r="E1618" s="14">
        <f>Data!I1618</f>
        <v>2875705000000</v>
      </c>
      <c r="F1618" s="14">
        <f>Data!K1618</f>
        <v>10582198000000</v>
      </c>
      <c r="G1618" s="12">
        <f t="shared" si="25"/>
        <v>0.2717493095479786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Data!I1619</f>
        <v>0</v>
      </c>
      <c r="F1619" s="14">
        <f>Data!K1619</f>
        <v>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Data!I1620</f>
        <v>2167697000000</v>
      </c>
      <c r="F1620" s="14">
        <f>Data!K1620</f>
        <v>8912939000000</v>
      </c>
      <c r="G1620" s="12">
        <f t="shared" si="25"/>
        <v>0.24320788013919989</v>
      </c>
    </row>
    <row r="1621" spans="2:7" ht="15" customHeight="1" x14ac:dyDescent="0.3">
      <c r="C1621" s="5"/>
      <c r="D1621" s="8">
        <v>2016</v>
      </c>
      <c r="E1621" s="14">
        <f>Data!I1621</f>
        <v>2945231000000</v>
      </c>
      <c r="F1621" s="14">
        <f>Data!K1621</f>
        <v>10424740000000</v>
      </c>
      <c r="G1621" s="12">
        <f t="shared" si="25"/>
        <v>0.28252320921193236</v>
      </c>
    </row>
    <row r="1622" spans="2:7" ht="15" customHeight="1" x14ac:dyDescent="0.3">
      <c r="C1622" s="5"/>
      <c r="D1622" s="8">
        <v>2017</v>
      </c>
      <c r="E1622" s="14">
        <f>Data!I1622</f>
        <v>2534575000000</v>
      </c>
      <c r="F1622" s="14">
        <f>Data!K1622</f>
        <v>11921127000000</v>
      </c>
      <c r="G1622" s="12">
        <f t="shared" si="25"/>
        <v>0.21261202904725368</v>
      </c>
    </row>
    <row r="1623" spans="2:7" ht="15" customHeight="1" x14ac:dyDescent="0.3">
      <c r="C1623" s="5"/>
      <c r="D1623" s="8">
        <v>2018</v>
      </c>
      <c r="E1623" s="14">
        <f>Data!I1623</f>
        <v>2693439000000</v>
      </c>
      <c r="F1623" s="14">
        <f>Data!K1623</f>
        <v>12230975000000</v>
      </c>
      <c r="G1623" s="12">
        <f t="shared" si="25"/>
        <v>0.22021457815096507</v>
      </c>
    </row>
    <row r="1624" spans="2:7" ht="15" customHeight="1" x14ac:dyDescent="0.3">
      <c r="C1624" s="5"/>
      <c r="D1624" s="8">
        <v>2019</v>
      </c>
      <c r="E1624" s="14">
        <f>Data!I1624</f>
        <v>3505756000000</v>
      </c>
      <c r="F1624" s="14">
        <f>Data!K1624</f>
        <v>12331587000000</v>
      </c>
      <c r="G1624" s="12">
        <f t="shared" si="25"/>
        <v>0.28429074051863723</v>
      </c>
    </row>
    <row r="1625" spans="2:7" ht="15" customHeight="1" x14ac:dyDescent="0.3">
      <c r="C1625" s="5"/>
      <c r="D1625" s="8">
        <v>2020</v>
      </c>
      <c r="E1625" s="14">
        <f>Data!I1625</f>
        <v>3611690000000</v>
      </c>
      <c r="F1625" s="14">
        <f>Data!K1625</f>
        <v>12190281000000</v>
      </c>
      <c r="G1625" s="12">
        <f t="shared" si="25"/>
        <v>0.29627618920351384</v>
      </c>
    </row>
    <row r="1626" spans="2:7" ht="15" customHeight="1" x14ac:dyDescent="0.3">
      <c r="C1626" s="5"/>
      <c r="D1626" s="8">
        <v>2021</v>
      </c>
      <c r="E1626" s="14">
        <f>Data!I1626</f>
        <v>3975109000000</v>
      </c>
      <c r="F1626" s="14">
        <f>Data!K1626</f>
        <v>12174373000000</v>
      </c>
      <c r="G1626" s="12">
        <f t="shared" si="25"/>
        <v>0.32651447429777286</v>
      </c>
    </row>
    <row r="1627" spans="2:7" ht="15" customHeight="1" x14ac:dyDescent="0.3">
      <c r="C1627" s="5"/>
      <c r="D1627" s="8">
        <v>2022</v>
      </c>
      <c r="E1627" s="14">
        <f>Data!I1627</f>
        <v>3646801000000</v>
      </c>
      <c r="F1627" s="14">
        <f>Data!K1627</f>
        <v>12821213000000</v>
      </c>
      <c r="G1627" s="12">
        <f t="shared" si="25"/>
        <v>0.28443494386997548</v>
      </c>
    </row>
    <row r="1628" spans="2:7" ht="15" customHeight="1" x14ac:dyDescent="0.3">
      <c r="C1628" s="5"/>
      <c r="D1628" s="8">
        <v>2023</v>
      </c>
      <c r="E1628" s="14">
        <f>Data!I1628</f>
        <v>4346525000000</v>
      </c>
      <c r="F1628" s="14">
        <f>Data!K1628</f>
        <v>12440546000000</v>
      </c>
      <c r="G1628" s="12">
        <f t="shared" si="25"/>
        <v>0.34938378106555773</v>
      </c>
    </row>
    <row r="1629" spans="2:7" ht="15" customHeight="1" x14ac:dyDescent="0.3">
      <c r="C1629" s="5"/>
      <c r="D1629" s="8">
        <v>2024</v>
      </c>
      <c r="E1629" s="14">
        <f>Data!I1629</f>
        <v>4275360000000</v>
      </c>
      <c r="F1629" s="14">
        <f>Data!K1629</f>
        <v>12532550000000</v>
      </c>
      <c r="G1629" s="12">
        <f t="shared" si="25"/>
        <v>0.34114047021555871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6F27-F679-4AE3-A457-F929276C2264}">
  <sheetPr codeName="Sheet7"/>
  <dimension ref="A1:G1629"/>
  <sheetViews>
    <sheetView workbookViewId="0">
      <selection activeCell="G2" sqref="G2:G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20.5546875" style="14" bestFit="1" customWidth="1"/>
    <col min="6" max="6" width="21.6640625" style="14" bestFit="1" customWidth="1"/>
    <col min="7" max="7" width="16.664062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165</v>
      </c>
      <c r="F1" s="13" t="s">
        <v>173</v>
      </c>
      <c r="G1" s="11" t="s">
        <v>174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Data!N2</f>
        <v>0</v>
      </c>
      <c r="F2" s="14">
        <f>Data!L2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Data!N3</f>
        <v>0</v>
      </c>
      <c r="F3" s="14">
        <f>Data!L3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Data!N4</f>
        <v>0</v>
      </c>
      <c r="F4" s="14">
        <f>Data!L4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Data!N5</f>
        <v>0</v>
      </c>
      <c r="F5" s="14">
        <f>Data!L5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Data!N6</f>
        <v>0</v>
      </c>
      <c r="F6" s="14">
        <f>Data!L6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Data!N7</f>
        <v>0</v>
      </c>
      <c r="F7" s="14">
        <f>Data!L7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Data!N8</f>
        <v>0</v>
      </c>
      <c r="F8" s="14">
        <f>Data!L8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Data!N9</f>
        <v>0</v>
      </c>
      <c r="F9" s="14">
        <f>Data!L9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Data!N10</f>
        <v>0</v>
      </c>
      <c r="F10" s="14">
        <f>Data!L10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Data!N11</f>
        <v>0</v>
      </c>
      <c r="F11" s="14">
        <f>Data!L11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Data!N12</f>
        <v>0</v>
      </c>
      <c r="F12" s="14">
        <f>Data!L12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Data!N13</f>
        <v>0</v>
      </c>
      <c r="F13" s="14">
        <f>Data!L13</f>
        <v>11948691000000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Data!N14</f>
        <v>848437000000</v>
      </c>
      <c r="F14" s="14">
        <f>Data!L14</f>
        <v>8985907000000</v>
      </c>
      <c r="G14" s="12">
        <f t="shared" si="0"/>
        <v>9.4418626856476479E-2</v>
      </c>
    </row>
    <row r="15" spans="1:7" ht="15" customHeight="1" x14ac:dyDescent="0.3">
      <c r="C15" s="3"/>
      <c r="D15" s="8">
        <v>2016</v>
      </c>
      <c r="E15" s="14">
        <f>Data!N15</f>
        <v>1197111000000</v>
      </c>
      <c r="F15" s="14">
        <f>Data!L15</f>
        <v>13264521000000</v>
      </c>
      <c r="G15" s="12">
        <f t="shared" si="0"/>
        <v>9.0249093804442695E-2</v>
      </c>
    </row>
    <row r="16" spans="1:7" ht="15" customHeight="1" x14ac:dyDescent="0.3">
      <c r="C16" s="3"/>
      <c r="D16" s="8">
        <v>2017</v>
      </c>
      <c r="E16" s="14">
        <f>Data!N16</f>
        <v>1562417000000</v>
      </c>
      <c r="F16" s="14">
        <f>Data!L16</f>
        <v>15523134000000</v>
      </c>
      <c r="G16" s="12">
        <f t="shared" si="0"/>
        <v>0.10065087372176262</v>
      </c>
    </row>
    <row r="17" spans="2:7" ht="15" customHeight="1" x14ac:dyDescent="0.3">
      <c r="C17" s="3"/>
      <c r="D17" s="8">
        <v>2018</v>
      </c>
      <c r="E17" s="14">
        <f>Data!N17</f>
        <v>1065313000000</v>
      </c>
      <c r="F17" s="14">
        <f>Data!L17</f>
        <v>12786352000000</v>
      </c>
      <c r="G17" s="12">
        <f t="shared" si="0"/>
        <v>8.3316414251695864E-2</v>
      </c>
    </row>
    <row r="18" spans="2:7" ht="15" customHeight="1" x14ac:dyDescent="0.3">
      <c r="C18" s="3"/>
      <c r="D18" s="8">
        <v>2019</v>
      </c>
      <c r="E18" s="14">
        <f>Data!N18</f>
        <v>2104310000000</v>
      </c>
      <c r="F18" s="14">
        <f>Data!L18</f>
        <v>15545577000000</v>
      </c>
      <c r="G18" s="12">
        <f t="shared" si="0"/>
        <v>0.13536390447263552</v>
      </c>
    </row>
    <row r="19" spans="2:7" ht="15" customHeight="1" x14ac:dyDescent="0.3">
      <c r="C19" s="3"/>
      <c r="D19" s="8">
        <v>2020</v>
      </c>
      <c r="E19" s="14">
        <f>Data!N19</f>
        <v>-410562000000</v>
      </c>
      <c r="F19" s="14">
        <f>Data!L19</f>
        <v>15658951000000</v>
      </c>
      <c r="G19" s="12">
        <f t="shared" si="0"/>
        <v>-2.6218997683816751E-2</v>
      </c>
    </row>
    <row r="20" spans="2:7" ht="15" customHeight="1" x14ac:dyDescent="0.3">
      <c r="C20" s="3"/>
      <c r="D20" s="8">
        <v>2021</v>
      </c>
      <c r="E20" s="14">
        <f>Data!N20</f>
        <v>-586757000000</v>
      </c>
      <c r="F20" s="14">
        <f>Data!L20</f>
        <v>15671921000000</v>
      </c>
      <c r="G20" s="12">
        <f t="shared" si="0"/>
        <v>-3.7440017723417568E-2</v>
      </c>
    </row>
    <row r="21" spans="2:7" ht="15" customHeight="1" x14ac:dyDescent="0.3">
      <c r="C21" s="3"/>
      <c r="D21" s="8">
        <v>2022</v>
      </c>
      <c r="E21" s="14">
        <f>Data!N21</f>
        <v>-785208000000</v>
      </c>
      <c r="F21" s="14">
        <f>Data!L21</f>
        <v>11948182000000</v>
      </c>
      <c r="G21" s="12">
        <f t="shared" si="0"/>
        <v>-6.5717780328421516E-2</v>
      </c>
    </row>
    <row r="22" spans="2:7" ht="15" customHeight="1" x14ac:dyDescent="0.3">
      <c r="C22" s="3"/>
      <c r="D22" s="8">
        <v>2023</v>
      </c>
      <c r="E22" s="14">
        <f>Data!N22</f>
        <v>876769000000</v>
      </c>
      <c r="F22" s="14">
        <f>Data!L22</f>
        <v>12931853000000</v>
      </c>
      <c r="G22" s="12">
        <f t="shared" si="0"/>
        <v>6.7799177735781563E-2</v>
      </c>
    </row>
    <row r="23" spans="2:7" ht="15" customHeight="1" x14ac:dyDescent="0.3">
      <c r="C23" s="3"/>
      <c r="D23" s="8">
        <v>2024</v>
      </c>
      <c r="E23" s="14">
        <f>Data!N23</f>
        <v>1419919000000</v>
      </c>
      <c r="F23" s="14">
        <f>Data!L23</f>
        <v>10095098000000</v>
      </c>
      <c r="G23" s="12">
        <f t="shared" si="0"/>
        <v>0.14065430568380813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Data!N24</f>
        <v>0</v>
      </c>
      <c r="F24" s="14">
        <f>Data!L24</f>
        <v>12354658000000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Data!N25</f>
        <v>806099000000</v>
      </c>
      <c r="F25" s="14">
        <f>Data!L25</f>
        <v>8593467000000</v>
      </c>
      <c r="G25" s="12">
        <f t="shared" si="0"/>
        <v>9.3803699950206362E-2</v>
      </c>
    </row>
    <row r="26" spans="2:7" ht="15" customHeight="1" x14ac:dyDescent="0.3">
      <c r="C26" s="3"/>
      <c r="D26" s="8">
        <v>2016</v>
      </c>
      <c r="E26" s="14">
        <f>Data!N26</f>
        <v>899890000000</v>
      </c>
      <c r="F26" s="14">
        <f>Data!L26</f>
        <v>11372680000000</v>
      </c>
      <c r="G26" s="12">
        <f t="shared" si="0"/>
        <v>7.9127347291931188E-2</v>
      </c>
    </row>
    <row r="27" spans="2:7" ht="15" customHeight="1" x14ac:dyDescent="0.3">
      <c r="C27" s="3"/>
      <c r="D27" s="8">
        <v>2017</v>
      </c>
      <c r="E27" s="14">
        <f>Data!N27</f>
        <v>649699000000</v>
      </c>
      <c r="F27" s="14">
        <f>Data!L27</f>
        <v>13302120000000</v>
      </c>
      <c r="G27" s="12">
        <f t="shared" si="0"/>
        <v>4.8841763568513892E-2</v>
      </c>
    </row>
    <row r="28" spans="2:7" ht="15" customHeight="1" x14ac:dyDescent="0.3">
      <c r="C28" s="3"/>
      <c r="D28" s="8">
        <v>2018</v>
      </c>
      <c r="E28" s="14">
        <f>Data!N28</f>
        <v>137111000000</v>
      </c>
      <c r="F28" s="14">
        <f>Data!L28</f>
        <v>10531156000000</v>
      </c>
      <c r="G28" s="12">
        <f t="shared" si="0"/>
        <v>1.301955834668103E-2</v>
      </c>
    </row>
    <row r="29" spans="2:7" ht="15" customHeight="1" x14ac:dyDescent="0.3">
      <c r="C29" s="3"/>
      <c r="D29" s="8">
        <v>2019</v>
      </c>
      <c r="E29" s="14">
        <f>Data!N29</f>
        <v>1493224000000</v>
      </c>
      <c r="F29" s="14">
        <f>Data!L29</f>
        <v>15153459000000</v>
      </c>
      <c r="G29" s="12">
        <f t="shared" si="0"/>
        <v>9.8540141891036229E-2</v>
      </c>
    </row>
    <row r="30" spans="2:7" ht="15" customHeight="1" x14ac:dyDescent="0.3">
      <c r="C30" s="3"/>
      <c r="D30" s="8">
        <v>2020</v>
      </c>
      <c r="E30" s="14">
        <f>Data!N30</f>
        <v>1129656000000</v>
      </c>
      <c r="F30" s="14">
        <f>Data!L30</f>
        <v>18812789000000</v>
      </c>
      <c r="G30" s="12">
        <f t="shared" si="0"/>
        <v>6.0047237015202794E-2</v>
      </c>
    </row>
    <row r="31" spans="2:7" ht="15" customHeight="1" x14ac:dyDescent="0.3">
      <c r="C31" s="3"/>
      <c r="D31" s="8">
        <v>2021</v>
      </c>
      <c r="E31" s="14">
        <f>Data!N31</f>
        <v>404045000000</v>
      </c>
      <c r="F31" s="14">
        <f>Data!L31</f>
        <v>20725660000000</v>
      </c>
      <c r="G31" s="12">
        <f t="shared" si="0"/>
        <v>1.9494915964075449E-2</v>
      </c>
    </row>
    <row r="32" spans="2:7" ht="15" customHeight="1" x14ac:dyDescent="0.3">
      <c r="C32" s="3"/>
      <c r="D32" s="8">
        <v>2022</v>
      </c>
      <c r="E32" s="14">
        <f>Data!N32</f>
        <v>107318000000</v>
      </c>
      <c r="F32" s="14">
        <f>Data!L32</f>
        <v>14203983000000</v>
      </c>
      <c r="G32" s="12">
        <f t="shared" si="0"/>
        <v>7.5554863730828174E-3</v>
      </c>
    </row>
    <row r="33" spans="2:7" ht="15" customHeight="1" x14ac:dyDescent="0.3">
      <c r="C33" s="3"/>
      <c r="D33" s="8">
        <v>2023</v>
      </c>
      <c r="E33" s="14">
        <f>Data!N33</f>
        <v>481260000000</v>
      </c>
      <c r="F33" s="14">
        <f>Data!L33</f>
        <v>17375945000000</v>
      </c>
      <c r="G33" s="12">
        <f t="shared" si="0"/>
        <v>2.769691087304892E-2</v>
      </c>
    </row>
    <row r="34" spans="2:7" ht="15" customHeight="1" x14ac:dyDescent="0.3">
      <c r="C34" s="3"/>
      <c r="D34" s="8">
        <v>2024</v>
      </c>
      <c r="E34" s="14">
        <f>Data!N34</f>
        <v>961867000000</v>
      </c>
      <c r="F34" s="14">
        <f>Data!L34</f>
        <v>18185132000000</v>
      </c>
      <c r="G34" s="12">
        <f t="shared" si="0"/>
        <v>5.2893044713670484E-2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Data!N35</f>
        <v>0</v>
      </c>
      <c r="F35" s="14">
        <f>Data!L35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Data!N36</f>
        <v>0</v>
      </c>
      <c r="F36" s="14">
        <f>Data!L36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Data!N37</f>
        <v>0</v>
      </c>
      <c r="F37" s="14">
        <f>Data!L37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Data!N38</f>
        <v>0</v>
      </c>
      <c r="F38" s="14">
        <f>Data!L38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Data!N39</f>
        <v>0</v>
      </c>
      <c r="F39" s="14">
        <f>Data!L39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Data!N40</f>
        <v>0</v>
      </c>
      <c r="F40" s="14">
        <f>Data!L40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Data!N41</f>
        <v>0</v>
      </c>
      <c r="F41" s="14">
        <f>Data!L41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Data!N42</f>
        <v>0</v>
      </c>
      <c r="F42" s="14">
        <f>Data!L42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Data!N43</f>
        <v>382661000000</v>
      </c>
      <c r="F43" s="14">
        <f>Data!L43</f>
        <v>1070003000000</v>
      </c>
      <c r="G43" s="12">
        <f t="shared" si="0"/>
        <v>0.35762610011373802</v>
      </c>
    </row>
    <row r="44" spans="2:7" ht="15" customHeight="1" x14ac:dyDescent="0.3">
      <c r="C44" s="4"/>
      <c r="D44" s="8">
        <v>2023</v>
      </c>
      <c r="E44" s="14">
        <f>Data!N44</f>
        <v>232895000000</v>
      </c>
      <c r="F44" s="14">
        <f>Data!L44</f>
        <v>1217667000000</v>
      </c>
      <c r="G44" s="12">
        <f t="shared" si="0"/>
        <v>0.19126329283786125</v>
      </c>
    </row>
    <row r="45" spans="2:7" ht="15" customHeight="1" x14ac:dyDescent="0.3">
      <c r="C45" s="4"/>
      <c r="D45" s="8">
        <v>2024</v>
      </c>
      <c r="E45" s="14">
        <f>Data!N45</f>
        <v>58584000000</v>
      </c>
      <c r="F45" s="14">
        <f>Data!L45</f>
        <v>1130418000000</v>
      </c>
      <c r="G45" s="12">
        <f t="shared" si="0"/>
        <v>5.1825077095375337E-2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Data!N46</f>
        <v>0</v>
      </c>
      <c r="F46" s="14">
        <f>Data!L46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Data!N47</f>
        <v>0</v>
      </c>
      <c r="F47" s="14">
        <f>Data!L47</f>
        <v>0</v>
      </c>
      <c r="G47" s="12">
        <f t="shared" si="0"/>
        <v>0</v>
      </c>
    </row>
    <row r="48" spans="2:7" ht="15" customHeight="1" x14ac:dyDescent="0.3">
      <c r="C48" s="3"/>
      <c r="D48" s="8">
        <v>2016</v>
      </c>
      <c r="E48" s="14">
        <f>Data!N48</f>
        <v>331486312000</v>
      </c>
      <c r="F48" s="14">
        <f>Data!L48</f>
        <v>3542155857000</v>
      </c>
      <c r="G48" s="12">
        <f t="shared" si="0"/>
        <v>9.3583209034949016E-2</v>
      </c>
    </row>
    <row r="49" spans="2:7" ht="15" customHeight="1" x14ac:dyDescent="0.3">
      <c r="C49" s="3"/>
      <c r="D49" s="8">
        <v>2017</v>
      </c>
      <c r="E49" s="14">
        <f>Data!N49</f>
        <v>538226085000</v>
      </c>
      <c r="F49" s="14">
        <f>Data!L49</f>
        <v>4403365381000</v>
      </c>
      <c r="G49" s="12">
        <f t="shared" si="0"/>
        <v>0.12223062099783538</v>
      </c>
    </row>
    <row r="50" spans="2:7" ht="15" customHeight="1" x14ac:dyDescent="0.3">
      <c r="C50" s="3"/>
      <c r="D50" s="8">
        <v>2018</v>
      </c>
      <c r="E50" s="14">
        <f>Data!N50</f>
        <v>291908712000</v>
      </c>
      <c r="F50" s="14">
        <f>Data!L50</f>
        <v>4872269263000</v>
      </c>
      <c r="G50" s="12">
        <f t="shared" si="0"/>
        <v>5.9912270082598675E-2</v>
      </c>
    </row>
    <row r="51" spans="2:7" ht="15" customHeight="1" x14ac:dyDescent="0.3">
      <c r="C51" s="3"/>
      <c r="D51" s="8">
        <v>2019</v>
      </c>
      <c r="E51" s="14">
        <f>Data!N51</f>
        <v>452204000000</v>
      </c>
      <c r="F51" s="14">
        <f>Data!L51</f>
        <v>5671048000000</v>
      </c>
      <c r="G51" s="12">
        <f t="shared" si="0"/>
        <v>7.9739053522382461E-2</v>
      </c>
    </row>
    <row r="52" spans="2:7" ht="15" customHeight="1" x14ac:dyDescent="0.3">
      <c r="C52" s="3"/>
      <c r="D52" s="8">
        <v>2020</v>
      </c>
      <c r="E52" s="14">
        <f>Data!N52</f>
        <v>230074000000</v>
      </c>
      <c r="F52" s="14">
        <f>Data!L52</f>
        <v>6379851000000</v>
      </c>
      <c r="G52" s="12">
        <f t="shared" si="0"/>
        <v>3.6062597700165726E-2</v>
      </c>
    </row>
    <row r="53" spans="2:7" ht="15" customHeight="1" x14ac:dyDescent="0.3">
      <c r="C53" s="3"/>
      <c r="D53" s="8">
        <v>2021</v>
      </c>
      <c r="E53" s="14">
        <f>Data!N53</f>
        <v>39099000000</v>
      </c>
      <c r="F53" s="14">
        <f>Data!L53</f>
        <v>7264440000000</v>
      </c>
      <c r="G53" s="12">
        <f t="shared" si="0"/>
        <v>5.3822455688256766E-3</v>
      </c>
    </row>
    <row r="54" spans="2:7" ht="15" customHeight="1" x14ac:dyDescent="0.3">
      <c r="C54" s="3"/>
      <c r="D54" s="8">
        <v>2022</v>
      </c>
      <c r="E54" s="14">
        <f>Data!N54</f>
        <v>283472000000</v>
      </c>
      <c r="F54" s="14">
        <f>Data!L54</f>
        <v>9141344000000</v>
      </c>
      <c r="G54" s="12">
        <f t="shared" si="0"/>
        <v>3.1009882135493425E-2</v>
      </c>
    </row>
    <row r="55" spans="2:7" ht="15" customHeight="1" x14ac:dyDescent="0.3">
      <c r="C55" s="3"/>
      <c r="D55" s="8">
        <v>2023</v>
      </c>
      <c r="E55" s="14">
        <f>Data!N55</f>
        <v>634959000000</v>
      </c>
      <c r="F55" s="14">
        <f>Data!L55</f>
        <v>9194450000000</v>
      </c>
      <c r="G55" s="12">
        <f t="shared" si="0"/>
        <v>6.9058943166801709E-2</v>
      </c>
    </row>
    <row r="56" spans="2:7" ht="15" customHeight="1" x14ac:dyDescent="0.3">
      <c r="C56" s="3"/>
      <c r="D56" s="8">
        <v>2024</v>
      </c>
      <c r="E56" s="14">
        <f>Data!N56</f>
        <v>0</v>
      </c>
      <c r="F56" s="14">
        <f>Data!L56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Data!N57</f>
        <v>0</v>
      </c>
      <c r="F57" s="14">
        <f>Data!L57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Data!N58</f>
        <v>0</v>
      </c>
      <c r="F58" s="14">
        <f>Data!L58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Data!N59</f>
        <v>-4909000000</v>
      </c>
      <c r="F59" s="14">
        <f>Data!L59</f>
        <v>3041000000</v>
      </c>
      <c r="G59" s="12">
        <f t="shared" si="0"/>
        <v>-1.6142716211772443</v>
      </c>
    </row>
    <row r="60" spans="2:7" ht="15" customHeight="1" x14ac:dyDescent="0.3">
      <c r="C60" s="3"/>
      <c r="D60" s="8">
        <v>2017</v>
      </c>
      <c r="E60" s="14">
        <f>Data!N60</f>
        <v>-19772000000</v>
      </c>
      <c r="F60" s="14">
        <f>Data!L60</f>
        <v>13468000000</v>
      </c>
      <c r="G60" s="12">
        <f t="shared" si="0"/>
        <v>-1.4680724680724682</v>
      </c>
    </row>
    <row r="61" spans="2:7" ht="15" customHeight="1" x14ac:dyDescent="0.3">
      <c r="C61" s="3"/>
      <c r="D61" s="8">
        <v>2018</v>
      </c>
      <c r="E61" s="14">
        <f>Data!N61</f>
        <v>-43131000000</v>
      </c>
      <c r="F61" s="14">
        <f>Data!L61</f>
        <v>59888000000</v>
      </c>
      <c r="G61" s="12">
        <f t="shared" si="0"/>
        <v>-0.7201943628105798</v>
      </c>
    </row>
    <row r="62" spans="2:7" ht="15" customHeight="1" x14ac:dyDescent="0.3">
      <c r="C62" s="3"/>
      <c r="D62" s="8">
        <v>2019</v>
      </c>
      <c r="E62" s="14">
        <f>Data!N62</f>
        <v>-45250000000</v>
      </c>
      <c r="F62" s="14">
        <f>Data!L62</f>
        <v>104287000000</v>
      </c>
      <c r="G62" s="12">
        <f t="shared" si="0"/>
        <v>-0.43389876015227208</v>
      </c>
    </row>
    <row r="63" spans="2:7" ht="15" customHeight="1" x14ac:dyDescent="0.3">
      <c r="C63" s="3"/>
      <c r="D63" s="8">
        <v>2020</v>
      </c>
      <c r="E63" s="14">
        <f>Data!N63</f>
        <v>-36955000000</v>
      </c>
      <c r="F63" s="14">
        <f>Data!L63</f>
        <v>110130000000</v>
      </c>
      <c r="G63" s="12">
        <f t="shared" si="0"/>
        <v>-0.33555797693634798</v>
      </c>
    </row>
    <row r="64" spans="2:7" ht="15" customHeight="1" x14ac:dyDescent="0.3">
      <c r="C64" s="3"/>
      <c r="D64" s="8">
        <v>2021</v>
      </c>
      <c r="E64" s="14">
        <f>Data!N64</f>
        <v>-52914000000</v>
      </c>
      <c r="F64" s="14">
        <f>Data!L64</f>
        <v>244885000000</v>
      </c>
      <c r="G64" s="12">
        <f t="shared" si="0"/>
        <v>-0.2160769340710946</v>
      </c>
    </row>
    <row r="65" spans="2:7" ht="15" customHeight="1" x14ac:dyDescent="0.3">
      <c r="C65" s="3"/>
      <c r="D65" s="8">
        <v>2022</v>
      </c>
      <c r="E65" s="14">
        <f>Data!N65</f>
        <v>460000000</v>
      </c>
      <c r="F65" s="14">
        <f>Data!L65</f>
        <v>334681000000</v>
      </c>
      <c r="G65" s="12">
        <f t="shared" si="0"/>
        <v>1.3744431264398039E-3</v>
      </c>
    </row>
    <row r="66" spans="2:7" ht="15" customHeight="1" x14ac:dyDescent="0.3">
      <c r="C66" s="3"/>
      <c r="D66" s="8">
        <v>2023</v>
      </c>
      <c r="E66" s="14">
        <f>Data!N66</f>
        <v>8447000000</v>
      </c>
      <c r="F66" s="14">
        <f>Data!L66</f>
        <v>467731000000</v>
      </c>
      <c r="G66" s="12">
        <f t="shared" si="0"/>
        <v>1.8059525667531124E-2</v>
      </c>
    </row>
    <row r="67" spans="2:7" ht="15" customHeight="1" x14ac:dyDescent="0.3">
      <c r="C67" s="3"/>
      <c r="D67" s="8">
        <v>2024</v>
      </c>
      <c r="E67" s="14">
        <f>Data!N67</f>
        <v>35110000000</v>
      </c>
      <c r="F67" s="14">
        <f>Data!L67</f>
        <v>587025000000</v>
      </c>
      <c r="G67" s="12">
        <f t="shared" ref="G67:G130" si="1">IFERROR(E67/F67,0)</f>
        <v>5.981005919679741E-2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Data!N68</f>
        <v>0</v>
      </c>
      <c r="F68" s="14">
        <f>Data!L68</f>
        <v>613328000000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Data!N69</f>
        <v>-177698000000</v>
      </c>
      <c r="F69" s="14">
        <f>Data!L69</f>
        <v>1310956000000</v>
      </c>
      <c r="G69" s="12">
        <f t="shared" si="1"/>
        <v>-0.13554840894736361</v>
      </c>
    </row>
    <row r="70" spans="2:7" ht="15" customHeight="1" x14ac:dyDescent="0.3">
      <c r="C70" s="3"/>
      <c r="D70" s="8">
        <v>2016</v>
      </c>
      <c r="E70" s="14">
        <f>Data!N70</f>
        <v>-268101000000</v>
      </c>
      <c r="F70" s="14">
        <f>Data!L70</f>
        <v>2981581000000</v>
      </c>
      <c r="G70" s="12">
        <f t="shared" si="1"/>
        <v>-8.9919073136030855E-2</v>
      </c>
    </row>
    <row r="71" spans="2:7" ht="15" customHeight="1" x14ac:dyDescent="0.3">
      <c r="C71" s="3"/>
      <c r="D71" s="8">
        <v>2017</v>
      </c>
      <c r="E71" s="14">
        <f>Data!N71</f>
        <v>-255572000000</v>
      </c>
      <c r="F71" s="14">
        <f>Data!L71</f>
        <v>3796659000000</v>
      </c>
      <c r="G71" s="12">
        <f t="shared" si="1"/>
        <v>-6.7314973506970202E-2</v>
      </c>
    </row>
    <row r="72" spans="2:7" ht="15" customHeight="1" x14ac:dyDescent="0.3">
      <c r="C72" s="3"/>
      <c r="D72" s="8">
        <v>2018</v>
      </c>
      <c r="E72" s="14">
        <f>Data!N72</f>
        <v>-177053000000</v>
      </c>
      <c r="F72" s="14">
        <f>Data!L72</f>
        <v>3611633000000</v>
      </c>
      <c r="G72" s="12">
        <f t="shared" si="1"/>
        <v>-4.9022976587045249E-2</v>
      </c>
    </row>
    <row r="73" spans="2:7" ht="15" customHeight="1" x14ac:dyDescent="0.3">
      <c r="C73" s="3"/>
      <c r="D73" s="8">
        <v>2019</v>
      </c>
      <c r="E73" s="14">
        <f>Data!N73</f>
        <v>-77232000000</v>
      </c>
      <c r="F73" s="14">
        <f>Data!L73</f>
        <v>3346426000000</v>
      </c>
      <c r="G73" s="12">
        <f t="shared" si="1"/>
        <v>-2.3078950498233039E-2</v>
      </c>
    </row>
    <row r="74" spans="2:7" ht="15" customHeight="1" x14ac:dyDescent="0.3">
      <c r="C74" s="3"/>
      <c r="D74" s="8">
        <v>2020</v>
      </c>
      <c r="E74" s="14">
        <f>Data!N74</f>
        <v>-16497000000</v>
      </c>
      <c r="F74" s="14">
        <f>Data!L74</f>
        <v>3645793000000</v>
      </c>
      <c r="G74" s="12">
        <f t="shared" si="1"/>
        <v>-4.5249414873526827E-3</v>
      </c>
    </row>
    <row r="75" spans="2:7" ht="15" customHeight="1" x14ac:dyDescent="0.3">
      <c r="C75" s="3"/>
      <c r="D75" s="8">
        <v>2021</v>
      </c>
      <c r="E75" s="14">
        <f>Data!N75</f>
        <v>-13860000000</v>
      </c>
      <c r="F75" s="14">
        <f>Data!L75</f>
        <v>5769733000000</v>
      </c>
      <c r="G75" s="12">
        <f t="shared" si="1"/>
        <v>-2.4021908812764821E-3</v>
      </c>
    </row>
    <row r="76" spans="2:7" ht="15" customHeight="1" x14ac:dyDescent="0.3">
      <c r="C76" s="3"/>
      <c r="D76" s="8">
        <v>2022</v>
      </c>
      <c r="E76" s="14">
        <f>Data!N76</f>
        <v>-143113000000</v>
      </c>
      <c r="F76" s="14">
        <f>Data!L76</f>
        <v>5918222000000</v>
      </c>
      <c r="G76" s="12">
        <f t="shared" si="1"/>
        <v>-2.4181755939537246E-2</v>
      </c>
    </row>
    <row r="77" spans="2:7" ht="15" customHeight="1" x14ac:dyDescent="0.3">
      <c r="C77" s="3"/>
      <c r="D77" s="8">
        <v>2023</v>
      </c>
      <c r="E77" s="14">
        <f>Data!N77</f>
        <v>15952000000</v>
      </c>
      <c r="F77" s="14">
        <f>Data!L77</f>
        <v>6350888000000</v>
      </c>
      <c r="G77" s="12">
        <f t="shared" si="1"/>
        <v>2.5117747313446559E-3</v>
      </c>
    </row>
    <row r="78" spans="2:7" ht="15" customHeight="1" x14ac:dyDescent="0.3">
      <c r="C78" s="3"/>
      <c r="D78" s="8">
        <v>2024</v>
      </c>
      <c r="E78" s="14">
        <f>Data!N78</f>
        <v>49115000000</v>
      </c>
      <c r="F78" s="14">
        <f>Data!L78</f>
        <v>5855479000000</v>
      </c>
      <c r="G78" s="12">
        <f t="shared" si="1"/>
        <v>8.3878705738676552E-3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Data!N79</f>
        <v>0</v>
      </c>
      <c r="F79" s="14">
        <f>Data!L79</f>
        <v>17340000000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Data!N80</f>
        <v>-27031000000</v>
      </c>
      <c r="F80" s="14">
        <f>Data!L80</f>
        <v>108628000000</v>
      </c>
      <c r="G80" s="12">
        <f t="shared" si="1"/>
        <v>-0.24884007806458741</v>
      </c>
    </row>
    <row r="81" spans="2:7" ht="15" customHeight="1" x14ac:dyDescent="0.3">
      <c r="C81" s="3"/>
      <c r="D81" s="8">
        <v>2016</v>
      </c>
      <c r="E81" s="14">
        <f>Data!N81</f>
        <v>-24158000000</v>
      </c>
      <c r="F81" s="14">
        <f>Data!L81</f>
        <v>289387000000</v>
      </c>
      <c r="G81" s="12">
        <f t="shared" si="1"/>
        <v>-8.3479907528672681E-2</v>
      </c>
    </row>
    <row r="82" spans="2:7" ht="15" customHeight="1" x14ac:dyDescent="0.3">
      <c r="C82" s="3"/>
      <c r="D82" s="8">
        <v>2017</v>
      </c>
      <c r="E82" s="14">
        <f>Data!N82</f>
        <v>-37565000000</v>
      </c>
      <c r="F82" s="14">
        <f>Data!L82</f>
        <v>445563000000</v>
      </c>
      <c r="G82" s="12">
        <f t="shared" si="1"/>
        <v>-8.4309065160257921E-2</v>
      </c>
    </row>
    <row r="83" spans="2:7" ht="15" customHeight="1" x14ac:dyDescent="0.3">
      <c r="C83" s="3"/>
      <c r="D83" s="8">
        <v>2018</v>
      </c>
      <c r="E83" s="14">
        <f>Data!N83</f>
        <v>-78803000000</v>
      </c>
      <c r="F83" s="14">
        <f>Data!L83</f>
        <v>585605000000</v>
      </c>
      <c r="G83" s="12">
        <f t="shared" si="1"/>
        <v>-0.13456681551557792</v>
      </c>
    </row>
    <row r="84" spans="2:7" ht="15" customHeight="1" x14ac:dyDescent="0.3">
      <c r="C84" s="3"/>
      <c r="D84" s="8">
        <v>2019</v>
      </c>
      <c r="E84" s="14">
        <f>Data!N84</f>
        <v>12855000000</v>
      </c>
      <c r="F84" s="14">
        <f>Data!L84</f>
        <v>800269000000</v>
      </c>
      <c r="G84" s="12">
        <f t="shared" si="1"/>
        <v>1.606334869899996E-2</v>
      </c>
    </row>
    <row r="85" spans="2:7" ht="15" customHeight="1" x14ac:dyDescent="0.3">
      <c r="C85" s="3"/>
      <c r="D85" s="8">
        <v>2020</v>
      </c>
      <c r="E85" s="14">
        <f>Data!N85</f>
        <v>91530000000</v>
      </c>
      <c r="F85" s="14">
        <f>Data!L85</f>
        <v>991129000000</v>
      </c>
      <c r="G85" s="12">
        <f t="shared" si="1"/>
        <v>9.2349230019503015E-2</v>
      </c>
    </row>
    <row r="86" spans="2:7" ht="15" customHeight="1" x14ac:dyDescent="0.3">
      <c r="C86" s="3"/>
      <c r="D86" s="8">
        <v>2021</v>
      </c>
      <c r="E86" s="14">
        <f>Data!N86</f>
        <v>40152000000</v>
      </c>
      <c r="F86" s="14">
        <f>Data!L86</f>
        <v>1316137000000</v>
      </c>
      <c r="G86" s="12">
        <f t="shared" si="1"/>
        <v>3.050746236903909E-2</v>
      </c>
    </row>
    <row r="87" spans="2:7" ht="15" customHeight="1" x14ac:dyDescent="0.3">
      <c r="C87" s="3"/>
      <c r="D87" s="8">
        <v>2022</v>
      </c>
      <c r="E87" s="14">
        <f>Data!N87</f>
        <v>51764000000</v>
      </c>
      <c r="F87" s="14">
        <f>Data!L87</f>
        <v>1382687000000</v>
      </c>
      <c r="G87" s="12">
        <f t="shared" si="1"/>
        <v>3.7437250802242299E-2</v>
      </c>
    </row>
    <row r="88" spans="2:7" ht="15" customHeight="1" x14ac:dyDescent="0.3">
      <c r="C88" s="3"/>
      <c r="D88" s="8">
        <v>2023</v>
      </c>
      <c r="E88" s="14">
        <f>Data!N88</f>
        <v>71227000000</v>
      </c>
      <c r="F88" s="14">
        <f>Data!L88</f>
        <v>1576409000000</v>
      </c>
      <c r="G88" s="12">
        <f t="shared" si="1"/>
        <v>4.5183071144607775E-2</v>
      </c>
    </row>
    <row r="89" spans="2:7" ht="15" customHeight="1" x14ac:dyDescent="0.3">
      <c r="C89" s="3"/>
      <c r="D89" s="8">
        <v>2024</v>
      </c>
      <c r="E89" s="14">
        <f>Data!N89</f>
        <v>83571000000</v>
      </c>
      <c r="F89" s="14">
        <f>Data!L89</f>
        <v>1481484000000</v>
      </c>
      <c r="G89" s="12">
        <f t="shared" si="1"/>
        <v>5.6410329102440523E-2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Data!N90</f>
        <v>0</v>
      </c>
      <c r="F90" s="14">
        <f>Data!L90</f>
        <v>1111447000000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Data!N91</f>
        <v>-187450000000</v>
      </c>
      <c r="F91" s="14">
        <f>Data!L91</f>
        <v>1157281000000</v>
      </c>
      <c r="G91" s="12">
        <f t="shared" si="1"/>
        <v>-0.16197449020592233</v>
      </c>
    </row>
    <row r="92" spans="2:7" ht="15" customHeight="1" x14ac:dyDescent="0.3">
      <c r="C92" s="3"/>
      <c r="D92" s="8">
        <v>2016</v>
      </c>
      <c r="E92" s="14">
        <f>Data!N92</f>
        <v>201331000000</v>
      </c>
      <c r="F92" s="14">
        <f>Data!L92</f>
        <v>1932573000000</v>
      </c>
      <c r="G92" s="12">
        <f t="shared" si="1"/>
        <v>0.10417769471062671</v>
      </c>
    </row>
    <row r="93" spans="2:7" ht="15" customHeight="1" x14ac:dyDescent="0.3">
      <c r="C93" s="3"/>
      <c r="D93" s="8">
        <v>2017</v>
      </c>
      <c r="E93" s="14">
        <f>Data!N93</f>
        <v>-590339000000</v>
      </c>
      <c r="F93" s="14">
        <f>Data!L93</f>
        <v>2584123000000</v>
      </c>
      <c r="G93" s="12">
        <f t="shared" si="1"/>
        <v>-0.22844849103544992</v>
      </c>
    </row>
    <row r="94" spans="2:7" ht="15" customHeight="1" x14ac:dyDescent="0.3">
      <c r="C94" s="3"/>
      <c r="D94" s="8">
        <v>2018</v>
      </c>
      <c r="E94" s="14">
        <f>Data!N94</f>
        <v>175397000000</v>
      </c>
      <c r="F94" s="14">
        <f>Data!L94</f>
        <v>2626306000000</v>
      </c>
      <c r="G94" s="12">
        <f t="shared" si="1"/>
        <v>6.6784677794590575E-2</v>
      </c>
    </row>
    <row r="95" spans="2:7" ht="15" customHeight="1" x14ac:dyDescent="0.3">
      <c r="C95" s="3"/>
      <c r="D95" s="8">
        <v>2019</v>
      </c>
      <c r="E95" s="14">
        <f>Data!N95</f>
        <v>396160000000</v>
      </c>
      <c r="F95" s="14">
        <f>Data!L95</f>
        <v>3015912000000</v>
      </c>
      <c r="G95" s="12">
        <f t="shared" si="1"/>
        <v>0.13135661783235056</v>
      </c>
    </row>
    <row r="96" spans="2:7" ht="15" customHeight="1" x14ac:dyDescent="0.3">
      <c r="C96" s="3"/>
      <c r="D96" s="8">
        <v>2020</v>
      </c>
      <c r="E96" s="14">
        <f>Data!N96</f>
        <v>70612000000</v>
      </c>
      <c r="F96" s="14">
        <f>Data!L96</f>
        <v>2727108000000</v>
      </c>
      <c r="G96" s="12">
        <f t="shared" si="1"/>
        <v>2.5892630581553791E-2</v>
      </c>
    </row>
    <row r="97" spans="2:7" ht="15" customHeight="1" x14ac:dyDescent="0.3">
      <c r="C97" s="3"/>
      <c r="D97" s="8">
        <v>2021</v>
      </c>
      <c r="E97" s="14">
        <f>Data!N97</f>
        <v>1154523000000</v>
      </c>
      <c r="F97" s="14">
        <f>Data!L97</f>
        <v>2794098000000</v>
      </c>
      <c r="G97" s="12">
        <f t="shared" si="1"/>
        <v>0.41320061071587322</v>
      </c>
    </row>
    <row r="98" spans="2:7" ht="15" customHeight="1" x14ac:dyDescent="0.3">
      <c r="C98" s="3"/>
      <c r="D98" s="8">
        <v>2022</v>
      </c>
      <c r="E98" s="14">
        <f>Data!N98</f>
        <v>158806000000</v>
      </c>
      <c r="F98" s="14">
        <f>Data!L98</f>
        <v>2587182000000</v>
      </c>
      <c r="G98" s="12">
        <f t="shared" si="1"/>
        <v>6.1381843256485241E-2</v>
      </c>
    </row>
    <row r="99" spans="2:7" ht="15" customHeight="1" x14ac:dyDescent="0.3">
      <c r="C99" s="3"/>
      <c r="D99" s="8">
        <v>2023</v>
      </c>
      <c r="E99" s="14">
        <f>Data!N99</f>
        <v>107690000000</v>
      </c>
      <c r="F99" s="14">
        <f>Data!L99</f>
        <v>2996848000000</v>
      </c>
      <c r="G99" s="12">
        <f t="shared" si="1"/>
        <v>3.5934421765801937E-2</v>
      </c>
    </row>
    <row r="100" spans="2:7" ht="15" customHeight="1" x14ac:dyDescent="0.3">
      <c r="C100" s="3"/>
      <c r="D100" s="8">
        <v>2024</v>
      </c>
      <c r="E100" s="14">
        <f>Data!N100</f>
        <v>277265000000</v>
      </c>
      <c r="F100" s="14">
        <f>Data!L100</f>
        <v>2435099000000</v>
      </c>
      <c r="G100" s="12">
        <f t="shared" si="1"/>
        <v>0.11386190048125354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Data!N101</f>
        <v>0</v>
      </c>
      <c r="F101" s="14">
        <f>Data!L101</f>
        <v>2037233000000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Data!N102</f>
        <v>-36816000000</v>
      </c>
      <c r="F102" s="14">
        <f>Data!L102</f>
        <v>1932086000000</v>
      </c>
      <c r="G102" s="12">
        <f t="shared" si="1"/>
        <v>-1.9055052414851097E-2</v>
      </c>
    </row>
    <row r="103" spans="2:7" ht="15" customHeight="1" x14ac:dyDescent="0.3">
      <c r="C103" s="3"/>
      <c r="D103" s="8">
        <v>2016</v>
      </c>
      <c r="E103" s="14">
        <f>Data!N103</f>
        <v>-42161000000</v>
      </c>
      <c r="F103" s="14">
        <f>Data!L103</f>
        <v>2989563000000</v>
      </c>
      <c r="G103" s="12">
        <f t="shared" si="1"/>
        <v>-1.4102730064561276E-2</v>
      </c>
    </row>
    <row r="104" spans="2:7" ht="15" customHeight="1" x14ac:dyDescent="0.3">
      <c r="C104" s="3"/>
      <c r="D104" s="8">
        <v>2017</v>
      </c>
      <c r="E104" s="14">
        <f>Data!N104</f>
        <v>86503000000</v>
      </c>
      <c r="F104" s="14">
        <f>Data!L104</f>
        <v>3887694000000</v>
      </c>
      <c r="G104" s="12">
        <f t="shared" si="1"/>
        <v>2.2250465185788798E-2</v>
      </c>
    </row>
    <row r="105" spans="2:7" ht="15" customHeight="1" x14ac:dyDescent="0.3">
      <c r="C105" s="3"/>
      <c r="D105" s="8">
        <v>2018</v>
      </c>
      <c r="E105" s="14">
        <f>Data!N105</f>
        <v>152236000000</v>
      </c>
      <c r="F105" s="14">
        <f>Data!L105</f>
        <v>2980509000000</v>
      </c>
      <c r="G105" s="12">
        <f t="shared" si="1"/>
        <v>5.107718178337995E-2</v>
      </c>
    </row>
    <row r="106" spans="2:7" ht="15" customHeight="1" x14ac:dyDescent="0.3">
      <c r="C106" s="3"/>
      <c r="D106" s="8">
        <v>2019</v>
      </c>
      <c r="E106" s="14">
        <f>Data!N106</f>
        <v>178061000000</v>
      </c>
      <c r="F106" s="14">
        <f>Data!L106</f>
        <v>2987343000000</v>
      </c>
      <c r="G106" s="12">
        <f t="shared" si="1"/>
        <v>5.960514075551418E-2</v>
      </c>
    </row>
    <row r="107" spans="2:7" ht="15" customHeight="1" x14ac:dyDescent="0.3">
      <c r="C107" s="3"/>
      <c r="D107" s="8">
        <v>2020</v>
      </c>
      <c r="E107" s="14">
        <f>Data!N107</f>
        <v>276804000000</v>
      </c>
      <c r="F107" s="14">
        <f>Data!L107</f>
        <v>3009798000000</v>
      </c>
      <c r="G107" s="12">
        <f t="shared" si="1"/>
        <v>9.1967633708308669E-2</v>
      </c>
    </row>
    <row r="108" spans="2:7" ht="15" customHeight="1" x14ac:dyDescent="0.3">
      <c r="C108" s="3"/>
      <c r="D108" s="8">
        <v>2021</v>
      </c>
      <c r="E108" s="14">
        <f>Data!N108</f>
        <v>50163000000</v>
      </c>
      <c r="F108" s="14">
        <f>Data!L108</f>
        <v>3190574000000</v>
      </c>
      <c r="G108" s="12">
        <f t="shared" si="1"/>
        <v>1.5722249350743785E-2</v>
      </c>
    </row>
    <row r="109" spans="2:7" ht="15" customHeight="1" x14ac:dyDescent="0.3">
      <c r="C109" s="3"/>
      <c r="D109" s="8">
        <v>2022</v>
      </c>
      <c r="E109" s="14">
        <f>Data!N109</f>
        <v>-36433000000</v>
      </c>
      <c r="F109" s="14">
        <f>Data!L109</f>
        <v>2164399000000</v>
      </c>
      <c r="G109" s="12">
        <f t="shared" si="1"/>
        <v>-1.6832848287215065E-2</v>
      </c>
    </row>
    <row r="110" spans="2:7" ht="15" customHeight="1" x14ac:dyDescent="0.3">
      <c r="C110" s="3"/>
      <c r="D110" s="8">
        <v>2023</v>
      </c>
      <c r="E110" s="14">
        <f>Data!N110</f>
        <v>-175615000000</v>
      </c>
      <c r="F110" s="14">
        <f>Data!L110</f>
        <v>3006032000000</v>
      </c>
      <c r="G110" s="12">
        <f t="shared" si="1"/>
        <v>-5.8420868440522258E-2</v>
      </c>
    </row>
    <row r="111" spans="2:7" ht="15" customHeight="1" x14ac:dyDescent="0.3">
      <c r="C111" s="3"/>
      <c r="D111" s="8">
        <v>2024</v>
      </c>
      <c r="E111" s="14">
        <f>Data!N111</f>
        <v>-181689000000</v>
      </c>
      <c r="F111" s="14">
        <f>Data!L111</f>
        <v>3109090000000</v>
      </c>
      <c r="G111" s="12">
        <f t="shared" si="1"/>
        <v>-5.8437999543274721E-2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Data!N112</f>
        <v>0</v>
      </c>
      <c r="F112" s="14">
        <f>Data!L112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Data!N113</f>
        <v>0</v>
      </c>
      <c r="F113" s="14">
        <f>Data!L113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Data!N114</f>
        <v>0</v>
      </c>
      <c r="F114" s="14">
        <f>Data!L114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Data!N115</f>
        <v>0</v>
      </c>
      <c r="F115" s="14">
        <f>Data!L115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Data!N116</f>
        <v>0</v>
      </c>
      <c r="F116" s="14">
        <f>Data!L116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Data!N117</f>
        <v>0</v>
      </c>
      <c r="F117" s="14">
        <f>Data!L117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Data!N118</f>
        <v>-273000000</v>
      </c>
      <c r="F118" s="14">
        <f>Data!L118</f>
        <v>332820000</v>
      </c>
      <c r="G118" s="12">
        <f t="shared" si="1"/>
        <v>-0.82026320533621777</v>
      </c>
    </row>
    <row r="119" spans="2:7" ht="15" customHeight="1" x14ac:dyDescent="0.3">
      <c r="C119" s="3"/>
      <c r="D119" s="8">
        <v>2021</v>
      </c>
      <c r="E119" s="14">
        <f>Data!N119</f>
        <v>-98677000000</v>
      </c>
      <c r="F119" s="14">
        <f>Data!L119</f>
        <v>73807000000</v>
      </c>
      <c r="G119" s="12">
        <f t="shared" si="1"/>
        <v>-1.3369599089517255</v>
      </c>
    </row>
    <row r="120" spans="2:7" ht="15" customHeight="1" x14ac:dyDescent="0.3">
      <c r="C120" s="3"/>
      <c r="D120" s="8">
        <v>2022</v>
      </c>
      <c r="E120" s="14">
        <f>Data!N120</f>
        <v>-426136000000</v>
      </c>
      <c r="F120" s="14">
        <f>Data!L120</f>
        <v>2387320000000</v>
      </c>
      <c r="G120" s="12">
        <f t="shared" si="1"/>
        <v>-0.17849974029455623</v>
      </c>
    </row>
    <row r="121" spans="2:7" ht="15" customHeight="1" x14ac:dyDescent="0.3">
      <c r="C121" s="3"/>
      <c r="D121" s="8">
        <v>2023</v>
      </c>
      <c r="E121" s="14">
        <f>Data!N121</f>
        <v>-249408000000</v>
      </c>
      <c r="F121" s="14">
        <f>Data!L121</f>
        <v>2695259000000</v>
      </c>
      <c r="G121" s="12">
        <f t="shared" si="1"/>
        <v>-9.2535819377655357E-2</v>
      </c>
    </row>
    <row r="122" spans="2:7" ht="15" customHeight="1" x14ac:dyDescent="0.3">
      <c r="C122" s="3"/>
      <c r="D122" s="8">
        <v>2024</v>
      </c>
      <c r="E122" s="14">
        <f>Data!N122</f>
        <v>-690672000000</v>
      </c>
      <c r="F122" s="14">
        <f>Data!L122</f>
        <v>7295227000000</v>
      </c>
      <c r="G122" s="12">
        <f t="shared" si="1"/>
        <v>-9.4674504302607723E-2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Data!N123</f>
        <v>0</v>
      </c>
      <c r="F123" s="14">
        <f>Data!L123</f>
        <v>1400387532448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Data!N124</f>
        <v>154579903531</v>
      </c>
      <c r="F124" s="14">
        <f>Data!L124</f>
        <v>1431582504221</v>
      </c>
      <c r="G124" s="12">
        <f t="shared" si="1"/>
        <v>0.10797834080482503</v>
      </c>
    </row>
    <row r="125" spans="2:7" ht="15" customHeight="1" x14ac:dyDescent="0.3">
      <c r="C125" s="3"/>
      <c r="D125" s="8">
        <v>2016</v>
      </c>
      <c r="E125" s="14">
        <f>Data!N125</f>
        <v>164216173247</v>
      </c>
      <c r="F125" s="14">
        <f>Data!L125</f>
        <v>1580786997174</v>
      </c>
      <c r="G125" s="12">
        <f t="shared" si="1"/>
        <v>0.10388254302481743</v>
      </c>
    </row>
    <row r="126" spans="2:7" ht="15" customHeight="1" x14ac:dyDescent="0.3">
      <c r="C126" s="3"/>
      <c r="D126" s="8">
        <v>2017</v>
      </c>
      <c r="E126" s="14">
        <f>Data!N126</f>
        <v>193284467033</v>
      </c>
      <c r="F126" s="14">
        <f>Data!L126</f>
        <v>1838029364958</v>
      </c>
      <c r="G126" s="12">
        <f t="shared" si="1"/>
        <v>0.10515853049900356</v>
      </c>
    </row>
    <row r="127" spans="2:7" ht="15" customHeight="1" x14ac:dyDescent="0.3">
      <c r="C127" s="3"/>
      <c r="D127" s="8">
        <v>2018</v>
      </c>
      <c r="E127" s="14">
        <f>Data!N127</f>
        <v>135792457955</v>
      </c>
      <c r="F127" s="14">
        <f>Data!L127</f>
        <v>1847483535751</v>
      </c>
      <c r="G127" s="12">
        <f t="shared" si="1"/>
        <v>7.3501308849174954E-2</v>
      </c>
    </row>
    <row r="128" spans="2:7" ht="15" customHeight="1" x14ac:dyDescent="0.3">
      <c r="C128" s="3"/>
      <c r="D128" s="8">
        <v>2019</v>
      </c>
      <c r="E128" s="14">
        <f>Data!N128</f>
        <v>105930469594</v>
      </c>
      <c r="F128" s="14">
        <f>Data!L128</f>
        <v>2137797806615</v>
      </c>
      <c r="G128" s="12">
        <f t="shared" si="1"/>
        <v>4.9551210720779455E-2</v>
      </c>
    </row>
    <row r="129" spans="2:7" ht="15" customHeight="1" x14ac:dyDescent="0.3">
      <c r="C129" s="3"/>
      <c r="D129" s="8">
        <v>2020</v>
      </c>
      <c r="E129" s="14">
        <f>Data!N129</f>
        <v>67107306581</v>
      </c>
      <c r="F129" s="14">
        <f>Data!L129</f>
        <v>2247728825781</v>
      </c>
      <c r="G129" s="12">
        <f t="shared" si="1"/>
        <v>2.9855606161781002E-2</v>
      </c>
    </row>
    <row r="130" spans="2:7" ht="15" customHeight="1" x14ac:dyDescent="0.3">
      <c r="C130" s="3"/>
      <c r="D130" s="8">
        <v>2021</v>
      </c>
      <c r="E130" s="14">
        <f>Data!N130</f>
        <v>132982977990</v>
      </c>
      <c r="F130" s="14">
        <f>Data!L130</f>
        <v>2254505776391</v>
      </c>
      <c r="G130" s="12">
        <f t="shared" si="1"/>
        <v>5.8985423493959015E-2</v>
      </c>
    </row>
    <row r="131" spans="2:7" ht="15" customHeight="1" x14ac:dyDescent="0.3">
      <c r="C131" s="3"/>
      <c r="D131" s="8">
        <v>2022</v>
      </c>
      <c r="E131" s="14">
        <f>Data!N131</f>
        <v>145727158345</v>
      </c>
      <c r="F131" s="14">
        <f>Data!L131</f>
        <v>2584816871951</v>
      </c>
      <c r="G131" s="12">
        <f t="shared" ref="G131:G194" si="2">IFERROR(E131/F131,0)</f>
        <v>5.6378136465430238E-2</v>
      </c>
    </row>
    <row r="132" spans="2:7" ht="15" customHeight="1" x14ac:dyDescent="0.3">
      <c r="C132" s="3"/>
      <c r="D132" s="8">
        <v>2023</v>
      </c>
      <c r="E132" s="14">
        <f>Data!N132</f>
        <v>174833158950</v>
      </c>
      <c r="F132" s="14">
        <f>Data!L132</f>
        <v>2895933661725</v>
      </c>
      <c r="G132" s="12">
        <f t="shared" si="2"/>
        <v>6.037194886773007E-2</v>
      </c>
    </row>
    <row r="133" spans="2:7" ht="15" customHeight="1" x14ac:dyDescent="0.3">
      <c r="C133" s="3"/>
      <c r="D133" s="8">
        <v>2024</v>
      </c>
      <c r="E133" s="14">
        <f>Data!N133</f>
        <v>-9810672972</v>
      </c>
      <c r="F133" s="14">
        <f>Data!L133</f>
        <v>3777737267748</v>
      </c>
      <c r="G133" s="12">
        <f t="shared" si="2"/>
        <v>-2.5969706934776799E-3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Data!N134</f>
        <v>0</v>
      </c>
      <c r="F134" s="14">
        <f>Data!L134</f>
        <v>11829123000000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Data!N135</f>
        <v>1206782000000</v>
      </c>
      <c r="F135" s="14">
        <f>Data!L135</f>
        <v>8649082000000</v>
      </c>
      <c r="G135" s="12">
        <f t="shared" si="2"/>
        <v>0.13952717756635907</v>
      </c>
    </row>
    <row r="136" spans="2:7" ht="15" customHeight="1" x14ac:dyDescent="0.3">
      <c r="C136" s="3"/>
      <c r="D136" s="8">
        <v>2016</v>
      </c>
      <c r="E136" s="14">
        <f>Data!N136</f>
        <v>661706000000</v>
      </c>
      <c r="F136" s="14">
        <f>Data!L136</f>
        <v>11757985000000</v>
      </c>
      <c r="G136" s="12">
        <f t="shared" si="2"/>
        <v>5.6277159734427283E-2</v>
      </c>
    </row>
    <row r="137" spans="2:7" ht="15" customHeight="1" x14ac:dyDescent="0.3">
      <c r="C137" s="3"/>
      <c r="D137" s="8">
        <v>2017</v>
      </c>
      <c r="E137" s="14">
        <f>Data!N137</f>
        <v>2550825000000</v>
      </c>
      <c r="F137" s="14">
        <f>Data!L137</f>
        <v>11967658000000</v>
      </c>
      <c r="G137" s="12">
        <f t="shared" si="2"/>
        <v>0.2131432064652917</v>
      </c>
    </row>
    <row r="138" spans="2:7" ht="15" customHeight="1" x14ac:dyDescent="0.3">
      <c r="C138" s="3"/>
      <c r="D138" s="8">
        <v>2018</v>
      </c>
      <c r="E138" s="14">
        <f>Data!N138</f>
        <v>655664000000</v>
      </c>
      <c r="F138" s="14">
        <f>Data!L138</f>
        <v>11029850000000</v>
      </c>
      <c r="G138" s="12">
        <f t="shared" si="2"/>
        <v>5.9444507404905776E-2</v>
      </c>
    </row>
    <row r="139" spans="2:7" ht="15" customHeight="1" x14ac:dyDescent="0.3">
      <c r="C139" s="3"/>
      <c r="D139" s="8">
        <v>2019</v>
      </c>
      <c r="E139" s="14">
        <f>Data!N139</f>
        <v>2838494000000</v>
      </c>
      <c r="F139" s="14">
        <f>Data!L139</f>
        <v>11257713000000</v>
      </c>
      <c r="G139" s="12">
        <f t="shared" si="2"/>
        <v>0.25213771216231928</v>
      </c>
    </row>
    <row r="140" spans="2:7" ht="15" customHeight="1" x14ac:dyDescent="0.3">
      <c r="C140" s="3"/>
      <c r="D140" s="8">
        <v>2020</v>
      </c>
      <c r="E140" s="14">
        <f>Data!N140</f>
        <v>1490576000000</v>
      </c>
      <c r="F140" s="14">
        <f>Data!L140</f>
        <v>12505875000000</v>
      </c>
      <c r="G140" s="12">
        <f t="shared" si="2"/>
        <v>0.1191900606714844</v>
      </c>
    </row>
    <row r="141" spans="2:7" ht="15" customHeight="1" x14ac:dyDescent="0.3">
      <c r="C141" s="3"/>
      <c r="D141" s="8">
        <v>2021</v>
      </c>
      <c r="E141" s="14">
        <f>Data!N141</f>
        <v>1136142000000</v>
      </c>
      <c r="F141" s="14">
        <f>Data!L141</f>
        <v>15641844000000</v>
      </c>
      <c r="G141" s="12">
        <f t="shared" si="2"/>
        <v>7.2634786537955492E-2</v>
      </c>
    </row>
    <row r="142" spans="2:7" ht="15" customHeight="1" x14ac:dyDescent="0.3">
      <c r="C142" s="3"/>
      <c r="D142" s="8">
        <v>2022</v>
      </c>
      <c r="E142" s="14">
        <f>Data!N142</f>
        <v>423400000000</v>
      </c>
      <c r="F142" s="14">
        <f>Data!L142</f>
        <v>11832135000000</v>
      </c>
      <c r="G142" s="12">
        <f t="shared" si="2"/>
        <v>3.5783905440565041E-2</v>
      </c>
    </row>
    <row r="143" spans="2:7" ht="15" customHeight="1" x14ac:dyDescent="0.3">
      <c r="C143" s="3"/>
      <c r="D143" s="8">
        <v>2023</v>
      </c>
      <c r="E143" s="14">
        <f>Data!N143</f>
        <v>1284071000000</v>
      </c>
      <c r="F143" s="14">
        <f>Data!L143</f>
        <v>13679103000000</v>
      </c>
      <c r="G143" s="12">
        <f t="shared" si="2"/>
        <v>9.3870994318852638E-2</v>
      </c>
    </row>
    <row r="144" spans="2:7" ht="15" customHeight="1" x14ac:dyDescent="0.3">
      <c r="C144" s="3"/>
      <c r="D144" s="8">
        <v>2024</v>
      </c>
      <c r="E144" s="14">
        <f>Data!N144</f>
        <v>1280096000000</v>
      </c>
      <c r="F144" s="14">
        <f>Data!L144</f>
        <v>12880538000000</v>
      </c>
      <c r="G144" s="12">
        <f t="shared" si="2"/>
        <v>9.9382184191374609E-2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Data!N145</f>
        <v>0</v>
      </c>
      <c r="F145" s="14">
        <f>Data!L145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Data!N146</f>
        <v>0</v>
      </c>
      <c r="F146" s="14">
        <f>Data!L146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Data!N147</f>
        <v>0</v>
      </c>
      <c r="F147" s="14">
        <f>Data!L147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Data!N148</f>
        <v>0</v>
      </c>
      <c r="F148" s="14">
        <f>Data!L148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Data!N149</f>
        <v>0</v>
      </c>
      <c r="F149" s="14">
        <f>Data!L149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Data!N150</f>
        <v>0</v>
      </c>
      <c r="F150" s="14">
        <f>Data!L150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Data!N151</f>
        <v>0</v>
      </c>
      <c r="F151" s="14">
        <f>Data!L151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Data!N152</f>
        <v>0</v>
      </c>
      <c r="F152" s="14">
        <f>Data!L152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Data!N153</f>
        <v>0</v>
      </c>
      <c r="F153" s="14">
        <f>Data!L153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Data!N154</f>
        <v>0</v>
      </c>
      <c r="F154" s="14">
        <f>Data!L154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Data!N155</f>
        <v>3278000000</v>
      </c>
      <c r="F155" s="14">
        <f>Data!L155</f>
        <v>66464000000</v>
      </c>
      <c r="G155" s="12">
        <f t="shared" si="2"/>
        <v>4.9319932595089072E-2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Data!N156</f>
        <v>0</v>
      </c>
      <c r="F156" s="14">
        <f>Data!L156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Data!N157</f>
        <v>0</v>
      </c>
      <c r="F157" s="14">
        <f>Data!L157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Data!N158</f>
        <v>0</v>
      </c>
      <c r="F158" s="14">
        <f>Data!L158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Data!N159</f>
        <v>501540000</v>
      </c>
      <c r="F159" s="14">
        <f>Data!L159</f>
        <v>25110390000</v>
      </c>
      <c r="G159" s="12">
        <f t="shared" si="2"/>
        <v>1.9973405430978971E-2</v>
      </c>
    </row>
    <row r="160" spans="2:7" ht="15" customHeight="1" x14ac:dyDescent="0.3">
      <c r="C160" s="3"/>
      <c r="D160" s="8">
        <v>2018</v>
      </c>
      <c r="E160" s="14">
        <f>Data!N160</f>
        <v>1460400000</v>
      </c>
      <c r="F160" s="14">
        <f>Data!L160</f>
        <v>50628930000</v>
      </c>
      <c r="G160" s="12">
        <f t="shared" si="2"/>
        <v>2.8845168167685946E-2</v>
      </c>
    </row>
    <row r="161" spans="2:7" ht="15" customHeight="1" x14ac:dyDescent="0.3">
      <c r="C161" s="3"/>
      <c r="D161" s="8">
        <v>2019</v>
      </c>
      <c r="E161" s="14">
        <f>Data!N161</f>
        <v>5454720000</v>
      </c>
      <c r="F161" s="14">
        <f>Data!L161</f>
        <v>63371110000</v>
      </c>
      <c r="G161" s="12">
        <f t="shared" si="2"/>
        <v>8.6075815935684252E-2</v>
      </c>
    </row>
    <row r="162" spans="2:7" ht="15" customHeight="1" x14ac:dyDescent="0.3">
      <c r="C162" s="3"/>
      <c r="D162" s="8">
        <v>2020</v>
      </c>
      <c r="E162" s="14">
        <f>Data!N162</f>
        <v>3385500000</v>
      </c>
      <c r="F162" s="14">
        <f>Data!L162</f>
        <v>85058940000</v>
      </c>
      <c r="G162" s="12">
        <f t="shared" si="2"/>
        <v>3.9801812719509555E-2</v>
      </c>
    </row>
    <row r="163" spans="2:7" ht="15" customHeight="1" x14ac:dyDescent="0.3">
      <c r="C163" s="3"/>
      <c r="D163" s="8">
        <v>2021</v>
      </c>
      <c r="E163" s="14">
        <f>Data!N163</f>
        <v>12031620000</v>
      </c>
      <c r="F163" s="14">
        <f>Data!L163</f>
        <v>107419400000</v>
      </c>
      <c r="G163" s="12">
        <f t="shared" si="2"/>
        <v>0.11200602498245196</v>
      </c>
    </row>
    <row r="164" spans="2:7" ht="15" customHeight="1" x14ac:dyDescent="0.3">
      <c r="C164" s="3"/>
      <c r="D164" s="8">
        <v>2022</v>
      </c>
      <c r="E164" s="14">
        <f>Data!N164</f>
        <v>9161300000</v>
      </c>
      <c r="F164" s="14">
        <f>Data!L164</f>
        <v>166943710000</v>
      </c>
      <c r="G164" s="12">
        <f t="shared" si="2"/>
        <v>5.4876580854708451E-2</v>
      </c>
    </row>
    <row r="165" spans="2:7" ht="15" customHeight="1" x14ac:dyDescent="0.3">
      <c r="C165" s="3"/>
      <c r="D165" s="8">
        <v>2023</v>
      </c>
      <c r="E165" s="14">
        <f>Data!N165</f>
        <v>5888430000</v>
      </c>
      <c r="F165" s="14">
        <f>Data!L165</f>
        <v>187754620000</v>
      </c>
      <c r="G165" s="12">
        <f t="shared" si="2"/>
        <v>3.1362370736869219E-2</v>
      </c>
    </row>
    <row r="166" spans="2:7" ht="15" customHeight="1" x14ac:dyDescent="0.3">
      <c r="C166" s="3"/>
      <c r="D166" s="8">
        <v>2024</v>
      </c>
      <c r="E166" s="14">
        <f>Data!N166</f>
        <v>-6353510000</v>
      </c>
      <c r="F166" s="14">
        <f>Data!L166</f>
        <v>318804320000</v>
      </c>
      <c r="G166" s="12">
        <f t="shared" si="2"/>
        <v>-1.9929184146563635E-2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Data!N167</f>
        <v>0</v>
      </c>
      <c r="F167" s="14">
        <f>Data!L167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Data!N168</f>
        <v>14252740000</v>
      </c>
      <c r="F168" s="14">
        <f>Data!L168</f>
        <v>75007470000</v>
      </c>
      <c r="G168" s="12">
        <f t="shared" si="2"/>
        <v>0.19001760757961841</v>
      </c>
    </row>
    <row r="169" spans="2:7" ht="15" customHeight="1" x14ac:dyDescent="0.3">
      <c r="C169" s="3"/>
      <c r="D169" s="8">
        <v>2016</v>
      </c>
      <c r="E169" s="14">
        <f>Data!N169</f>
        <v>21191070000</v>
      </c>
      <c r="F169" s="14">
        <f>Data!L169</f>
        <v>131553030000</v>
      </c>
      <c r="G169" s="12">
        <f t="shared" si="2"/>
        <v>0.16108386101027092</v>
      </c>
    </row>
    <row r="170" spans="2:7" ht="15" customHeight="1" x14ac:dyDescent="0.3">
      <c r="C170" s="3"/>
      <c r="D170" s="8">
        <v>2017</v>
      </c>
      <c r="E170" s="14">
        <f>Data!N170</f>
        <v>26577540000</v>
      </c>
      <c r="F170" s="14">
        <f>Data!L170</f>
        <v>168896700000</v>
      </c>
      <c r="G170" s="12">
        <f t="shared" si="2"/>
        <v>0.1573597352701385</v>
      </c>
    </row>
    <row r="171" spans="2:7" ht="15" customHeight="1" x14ac:dyDescent="0.3">
      <c r="C171" s="3"/>
      <c r="D171" s="8">
        <v>2018</v>
      </c>
      <c r="E171" s="14">
        <f>Data!N171</f>
        <v>-77545910000</v>
      </c>
      <c r="F171" s="14">
        <f>Data!L171</f>
        <v>153681640000</v>
      </c>
      <c r="G171" s="12">
        <f t="shared" si="2"/>
        <v>-0.5045879911224268</v>
      </c>
    </row>
    <row r="172" spans="2:7" ht="15" customHeight="1" x14ac:dyDescent="0.3">
      <c r="C172" s="3"/>
      <c r="D172" s="8">
        <v>2019</v>
      </c>
      <c r="E172" s="14">
        <f>Data!N172</f>
        <v>6309710000</v>
      </c>
      <c r="F172" s="14">
        <f>Data!L172</f>
        <v>112147020000</v>
      </c>
      <c r="G172" s="12">
        <f t="shared" si="2"/>
        <v>5.6262841402294948E-2</v>
      </c>
    </row>
    <row r="173" spans="2:7" ht="15" customHeight="1" x14ac:dyDescent="0.3">
      <c r="C173" s="3"/>
      <c r="D173" s="8">
        <v>2020</v>
      </c>
      <c r="E173" s="14">
        <f>Data!N173</f>
        <v>15710620000</v>
      </c>
      <c r="F173" s="14">
        <f>Data!L173</f>
        <v>144736577000</v>
      </c>
      <c r="G173" s="12">
        <f t="shared" si="2"/>
        <v>0.10854630063553319</v>
      </c>
    </row>
    <row r="174" spans="2:7" ht="15" customHeight="1" x14ac:dyDescent="0.3">
      <c r="C174" s="3"/>
      <c r="D174" s="8">
        <v>2021</v>
      </c>
      <c r="E174" s="14">
        <f>Data!N174</f>
        <v>16429119999.999998</v>
      </c>
      <c r="F174" s="14">
        <f>Data!L174</f>
        <v>277044210000</v>
      </c>
      <c r="G174" s="12">
        <f t="shared" si="2"/>
        <v>5.930143784632784E-2</v>
      </c>
    </row>
    <row r="175" spans="2:7" ht="15" customHeight="1" x14ac:dyDescent="0.3">
      <c r="C175" s="3"/>
      <c r="D175" s="8">
        <v>2022</v>
      </c>
      <c r="E175" s="14">
        <f>Data!N175</f>
        <v>15544080000</v>
      </c>
      <c r="F175" s="14">
        <f>Data!L175</f>
        <v>221722880000</v>
      </c>
      <c r="G175" s="12">
        <f t="shared" si="2"/>
        <v>7.0105890740730051E-2</v>
      </c>
    </row>
    <row r="176" spans="2:7" ht="15" customHeight="1" x14ac:dyDescent="0.3">
      <c r="C176" s="3"/>
      <c r="D176" s="8">
        <v>2023</v>
      </c>
      <c r="E176" s="14">
        <f>Data!N176</f>
        <v>21273470000</v>
      </c>
      <c r="F176" s="14">
        <f>Data!L176</f>
        <v>360053660000</v>
      </c>
      <c r="G176" s="12">
        <f t="shared" si="2"/>
        <v>5.9084165399124117E-2</v>
      </c>
    </row>
    <row r="177" spans="2:7" ht="15" customHeight="1" x14ac:dyDescent="0.3">
      <c r="C177" s="3"/>
      <c r="D177" s="8">
        <v>2024</v>
      </c>
      <c r="E177" s="14">
        <f>Data!N177</f>
        <v>-23808050000</v>
      </c>
      <c r="F177" s="14">
        <f>Data!L177</f>
        <v>345390200000</v>
      </c>
      <c r="G177" s="12">
        <f t="shared" si="2"/>
        <v>-6.8930878756837913E-2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Data!N178</f>
        <v>0</v>
      </c>
      <c r="F178" s="14">
        <f>Data!L178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Data!N179</f>
        <v>0</v>
      </c>
      <c r="F179" s="14">
        <f>Data!L179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Data!N180</f>
        <v>0</v>
      </c>
      <c r="F180" s="14">
        <f>Data!L180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Data!N181</f>
        <v>0</v>
      </c>
      <c r="F181" s="14">
        <f>Data!L181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Data!N182</f>
        <v>0</v>
      </c>
      <c r="F182" s="14">
        <f>Data!L182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Data!E183</f>
        <v>525000000</v>
      </c>
      <c r="F183" s="14">
        <f>Data!L183</f>
        <v>-62952000000</v>
      </c>
      <c r="G183" s="12">
        <f t="shared" si="2"/>
        <v>-8.339687380861608E-3</v>
      </c>
    </row>
    <row r="184" spans="2:7" ht="15" customHeight="1" x14ac:dyDescent="0.3">
      <c r="C184" s="3"/>
      <c r="D184" s="8">
        <v>2020</v>
      </c>
      <c r="E184" s="14">
        <f>Data!E184</f>
        <v>960000000</v>
      </c>
      <c r="F184" s="14">
        <f>Data!L184</f>
        <v>15233000000</v>
      </c>
      <c r="G184" s="12">
        <f t="shared" si="2"/>
        <v>6.3021072671174419E-2</v>
      </c>
    </row>
    <row r="185" spans="2:7" ht="15" customHeight="1" x14ac:dyDescent="0.3">
      <c r="C185" s="3"/>
      <c r="D185" s="8">
        <v>2021</v>
      </c>
      <c r="E185" s="14">
        <f>Data!N185</f>
        <v>-40918000000</v>
      </c>
      <c r="F185" s="14">
        <f>Data!L185</f>
        <v>-28472000000</v>
      </c>
      <c r="G185" s="12">
        <f t="shared" si="2"/>
        <v>1.4371312166338859</v>
      </c>
    </row>
    <row r="186" spans="2:7" ht="15" customHeight="1" x14ac:dyDescent="0.3">
      <c r="C186" s="3"/>
      <c r="D186" s="8">
        <v>2022</v>
      </c>
      <c r="E186" s="14">
        <f>Data!N186</f>
        <v>-10553000000</v>
      </c>
      <c r="F186" s="14">
        <f>Data!L186</f>
        <v>11106000000</v>
      </c>
      <c r="G186" s="12">
        <f t="shared" si="2"/>
        <v>-0.95020709526382141</v>
      </c>
    </row>
    <row r="187" spans="2:7" ht="15" customHeight="1" x14ac:dyDescent="0.3">
      <c r="C187" s="3"/>
      <c r="D187" s="8">
        <v>2023</v>
      </c>
      <c r="E187" s="14">
        <f>Data!N187</f>
        <v>55014000000</v>
      </c>
      <c r="F187" s="14">
        <f>Data!L187</f>
        <v>110788000000</v>
      </c>
      <c r="G187" s="12">
        <f t="shared" si="2"/>
        <v>0.49657002563454528</v>
      </c>
    </row>
    <row r="188" spans="2:7" ht="15" customHeight="1" x14ac:dyDescent="0.3">
      <c r="C188" s="3"/>
      <c r="D188" s="8">
        <v>2024</v>
      </c>
      <c r="E188" s="14">
        <f>Data!N188</f>
        <v>69683000000</v>
      </c>
      <c r="F188" s="14">
        <f>Data!L188</f>
        <v>164460000000</v>
      </c>
      <c r="G188" s="12">
        <f t="shared" si="2"/>
        <v>0.42370789249665575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Data!N189</f>
        <v>0</v>
      </c>
      <c r="F189" s="14">
        <f>Data!L189</f>
        <v>72618000000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Data!N190</f>
        <v>-7758000000</v>
      </c>
      <c r="F190" s="14">
        <f>Data!L190</f>
        <v>77370000000</v>
      </c>
      <c r="G190" s="12">
        <f t="shared" si="2"/>
        <v>-0.10027142303218302</v>
      </c>
    </row>
    <row r="191" spans="2:7" ht="15" customHeight="1" x14ac:dyDescent="0.3">
      <c r="C191" s="3"/>
      <c r="D191" s="8">
        <v>2016</v>
      </c>
      <c r="E191" s="14">
        <f>Data!N191</f>
        <v>3151000000</v>
      </c>
      <c r="F191" s="14">
        <f>Data!L191</f>
        <v>74738000000</v>
      </c>
      <c r="G191" s="12">
        <f t="shared" si="2"/>
        <v>4.2160614413016134E-2</v>
      </c>
    </row>
    <row r="192" spans="2:7" ht="15" customHeight="1" x14ac:dyDescent="0.3">
      <c r="C192" s="3"/>
      <c r="D192" s="8">
        <v>2017</v>
      </c>
      <c r="E192" s="14">
        <f>Data!N192</f>
        <v>24332000000</v>
      </c>
      <c r="F192" s="14">
        <f>Data!L192</f>
        <v>94242000000</v>
      </c>
      <c r="G192" s="12">
        <f t="shared" si="2"/>
        <v>0.25818637125697674</v>
      </c>
    </row>
    <row r="193" spans="2:7" ht="15" customHeight="1" x14ac:dyDescent="0.3">
      <c r="C193" s="3"/>
      <c r="D193" s="8">
        <v>2018</v>
      </c>
      <c r="E193" s="14">
        <f>Data!N193</f>
        <v>-25353000000</v>
      </c>
      <c r="F193" s="14">
        <f>Data!L193</f>
        <v>64629000000</v>
      </c>
      <c r="G193" s="12">
        <f t="shared" si="2"/>
        <v>-0.39228519704776493</v>
      </c>
    </row>
    <row r="194" spans="2:7" ht="15" customHeight="1" x14ac:dyDescent="0.3">
      <c r="C194" s="3"/>
      <c r="D194" s="8">
        <v>2019</v>
      </c>
      <c r="E194" s="14">
        <f>Data!N194</f>
        <v>5545000000</v>
      </c>
      <c r="F194" s="14">
        <f>Data!L194</f>
        <v>93387000000</v>
      </c>
      <c r="G194" s="12">
        <f t="shared" si="2"/>
        <v>5.9376572756379364E-2</v>
      </c>
    </row>
    <row r="195" spans="2:7" ht="15" customHeight="1" x14ac:dyDescent="0.3">
      <c r="C195" s="3"/>
      <c r="D195" s="8">
        <v>2020</v>
      </c>
      <c r="E195" s="14">
        <f>Data!N195</f>
        <v>-17327000000</v>
      </c>
      <c r="F195" s="14">
        <f>Data!L195</f>
        <v>68530000000</v>
      </c>
      <c r="G195" s="12">
        <f t="shared" ref="G195:G258" si="3">IFERROR(E195/F195,0)</f>
        <v>-0.25283817306289219</v>
      </c>
    </row>
    <row r="196" spans="2:7" ht="15" customHeight="1" x14ac:dyDescent="0.3">
      <c r="C196" s="3"/>
      <c r="D196" s="8">
        <v>2021</v>
      </c>
      <c r="E196" s="14">
        <f>Data!N196</f>
        <v>-12214000000</v>
      </c>
      <c r="F196" s="14">
        <f>Data!L196</f>
        <v>78144000000</v>
      </c>
      <c r="G196" s="12">
        <f t="shared" si="3"/>
        <v>-0.15630118755118755</v>
      </c>
    </row>
    <row r="197" spans="2:7" ht="15" customHeight="1" x14ac:dyDescent="0.3">
      <c r="C197" s="3"/>
      <c r="D197" s="8">
        <v>2022</v>
      </c>
      <c r="E197" s="14">
        <f>Data!N197</f>
        <v>-19737000000</v>
      </c>
      <c r="F197" s="14">
        <f>Data!L197</f>
        <v>71021000000</v>
      </c>
      <c r="G197" s="12">
        <f t="shared" si="3"/>
        <v>-0.27790371861843682</v>
      </c>
    </row>
    <row r="198" spans="2:7" ht="15" customHeight="1" x14ac:dyDescent="0.3">
      <c r="C198" s="3"/>
      <c r="D198" s="8">
        <v>2023</v>
      </c>
      <c r="E198" s="14">
        <f>Data!N198</f>
        <v>-23252000000</v>
      </c>
      <c r="F198" s="14">
        <f>Data!L198</f>
        <v>100267000000</v>
      </c>
      <c r="G198" s="12">
        <f t="shared" si="3"/>
        <v>-0.2319008247977899</v>
      </c>
    </row>
    <row r="199" spans="2:7" ht="15" customHeight="1" x14ac:dyDescent="0.3">
      <c r="C199" s="3"/>
      <c r="D199" s="8">
        <v>2024</v>
      </c>
      <c r="E199" s="14">
        <f>Data!N199</f>
        <v>-29197000000</v>
      </c>
      <c r="F199" s="14">
        <f>Data!L199</f>
        <v>183905000000</v>
      </c>
      <c r="G199" s="12">
        <f t="shared" si="3"/>
        <v>-0.15876131698431256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Data!N200</f>
        <v>0</v>
      </c>
      <c r="F200" s="14">
        <f>Data!L200</f>
        <v>4177317000000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Data!N201</f>
        <v>525895000000</v>
      </c>
      <c r="F201" s="14">
        <f>Data!L201</f>
        <v>3749972000000</v>
      </c>
      <c r="G201" s="12">
        <f t="shared" si="3"/>
        <v>0.14023971378986297</v>
      </c>
    </row>
    <row r="202" spans="2:7" ht="15" customHeight="1" x14ac:dyDescent="0.3">
      <c r="C202" s="3"/>
      <c r="D202" s="8">
        <v>2016</v>
      </c>
      <c r="E202" s="14">
        <f>Data!N202</f>
        <v>852179000000</v>
      </c>
      <c r="F202" s="14">
        <f>Data!L202</f>
        <v>4687411000000</v>
      </c>
      <c r="G202" s="12">
        <f t="shared" si="3"/>
        <v>0.18180163847377581</v>
      </c>
    </row>
    <row r="203" spans="2:7" ht="15" customHeight="1" x14ac:dyDescent="0.3">
      <c r="C203" s="3"/>
      <c r="D203" s="8">
        <v>2017</v>
      </c>
      <c r="E203" s="14">
        <f>Data!N203</f>
        <v>1347511000000</v>
      </c>
      <c r="F203" s="14">
        <f>Data!L203</f>
        <v>5407699000000</v>
      </c>
      <c r="G203" s="12">
        <f t="shared" si="3"/>
        <v>0.24918380257481046</v>
      </c>
    </row>
    <row r="204" spans="2:7" ht="15" customHeight="1" x14ac:dyDescent="0.3">
      <c r="C204" s="3"/>
      <c r="D204" s="8">
        <v>2018</v>
      </c>
      <c r="E204" s="14">
        <f>Data!N204</f>
        <v>539719000000</v>
      </c>
      <c r="F204" s="14">
        <f>Data!L204</f>
        <v>3493485000000</v>
      </c>
      <c r="G204" s="12">
        <f t="shared" si="3"/>
        <v>0.15449300626738058</v>
      </c>
    </row>
    <row r="205" spans="2:7" ht="15" customHeight="1" x14ac:dyDescent="0.3">
      <c r="C205" s="3"/>
      <c r="D205" s="8">
        <v>2019</v>
      </c>
      <c r="E205" s="14">
        <f>Data!N205</f>
        <v>970846000000</v>
      </c>
      <c r="F205" s="14">
        <f>Data!L205</f>
        <v>4443975000000</v>
      </c>
      <c r="G205" s="12">
        <f t="shared" si="3"/>
        <v>0.21846342519928669</v>
      </c>
    </row>
    <row r="206" spans="2:7" ht="15" customHeight="1" x14ac:dyDescent="0.3">
      <c r="C206" s="3"/>
      <c r="D206" s="8">
        <v>2020</v>
      </c>
      <c r="E206" s="14">
        <f>Data!N206</f>
        <v>1336075000000</v>
      </c>
      <c r="F206" s="14">
        <f>Data!L206</f>
        <v>3909558000000</v>
      </c>
      <c r="G206" s="12">
        <f t="shared" si="3"/>
        <v>0.34174579325847065</v>
      </c>
    </row>
    <row r="207" spans="2:7" ht="15" customHeight="1" x14ac:dyDescent="0.3">
      <c r="C207" s="3"/>
      <c r="D207" s="8">
        <v>2021</v>
      </c>
      <c r="E207" s="14">
        <f>Data!N207</f>
        <v>201044000000</v>
      </c>
      <c r="F207" s="14">
        <f>Data!L207</f>
        <v>3593844000000</v>
      </c>
      <c r="G207" s="12">
        <f t="shared" si="3"/>
        <v>5.5941215033262437E-2</v>
      </c>
    </row>
    <row r="208" spans="2:7" ht="15" customHeight="1" x14ac:dyDescent="0.3">
      <c r="C208" s="3"/>
      <c r="D208" s="8">
        <v>2022</v>
      </c>
      <c r="E208" s="14">
        <f>Data!N208</f>
        <v>345107000000</v>
      </c>
      <c r="F208" s="14">
        <f>Data!L208</f>
        <v>3564387000000</v>
      </c>
      <c r="G208" s="12">
        <f t="shared" si="3"/>
        <v>9.6820855872272002E-2</v>
      </c>
    </row>
    <row r="209" spans="2:7" ht="15" customHeight="1" x14ac:dyDescent="0.3">
      <c r="C209" s="3"/>
      <c r="D209" s="8">
        <v>2023</v>
      </c>
      <c r="E209" s="14">
        <f>Data!N209</f>
        <v>400877000000</v>
      </c>
      <c r="F209" s="14">
        <f>Data!L209</f>
        <v>3855345000000</v>
      </c>
      <c r="G209" s="12">
        <f t="shared" si="3"/>
        <v>0.10397954009303967</v>
      </c>
    </row>
    <row r="210" spans="2:7" ht="15" customHeight="1" x14ac:dyDescent="0.3">
      <c r="C210" s="3"/>
      <c r="D210" s="8">
        <v>2024</v>
      </c>
      <c r="E210" s="14">
        <f>Data!N210</f>
        <v>810484000000</v>
      </c>
      <c r="F210" s="14">
        <f>Data!L210</f>
        <v>3922126000000</v>
      </c>
      <c r="G210" s="12">
        <f t="shared" si="3"/>
        <v>0.2066440496812188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Data!N211</f>
        <v>0</v>
      </c>
      <c r="F211" s="14">
        <f>Data!L211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Data!N212</f>
        <v>0</v>
      </c>
      <c r="F212" s="14">
        <f>Data!L212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Data!N213</f>
        <v>0</v>
      </c>
      <c r="F213" s="14">
        <f>Data!L213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Data!N214</f>
        <v>-9034000000</v>
      </c>
      <c r="F214" s="14">
        <f>Data!L214</f>
        <v>6212000000</v>
      </c>
      <c r="G214" s="12">
        <f t="shared" si="3"/>
        <v>-1.4542820347714103</v>
      </c>
    </row>
    <row r="215" spans="2:7" ht="15" customHeight="1" x14ac:dyDescent="0.3">
      <c r="C215" s="3"/>
      <c r="D215" s="8">
        <v>2018</v>
      </c>
      <c r="E215" s="14">
        <f>Data!N215</f>
        <v>766000000</v>
      </c>
      <c r="F215" s="14">
        <f>Data!L215</f>
        <v>6023000000</v>
      </c>
      <c r="G215" s="12">
        <f t="shared" si="3"/>
        <v>0.12717914660468205</v>
      </c>
    </row>
    <row r="216" spans="2:7" ht="15" customHeight="1" x14ac:dyDescent="0.3">
      <c r="C216" s="3"/>
      <c r="D216" s="8">
        <v>2019</v>
      </c>
      <c r="E216" s="14">
        <f>Data!N216</f>
        <v>23971000000</v>
      </c>
      <c r="F216" s="14">
        <f>Data!L216</f>
        <v>2842715000000</v>
      </c>
      <c r="G216" s="12">
        <f t="shared" si="3"/>
        <v>8.4324316718348488E-3</v>
      </c>
    </row>
    <row r="217" spans="2:7" ht="15" customHeight="1" x14ac:dyDescent="0.3">
      <c r="C217" s="3"/>
      <c r="D217" s="8">
        <v>2020</v>
      </c>
      <c r="E217" s="14">
        <f>Data!N217</f>
        <v>23520000000</v>
      </c>
      <c r="F217" s="14">
        <f>Data!L217</f>
        <v>2041768000000</v>
      </c>
      <c r="G217" s="12">
        <f t="shared" si="3"/>
        <v>1.1519428260213698E-2</v>
      </c>
    </row>
    <row r="218" spans="2:7" ht="15" customHeight="1" x14ac:dyDescent="0.3">
      <c r="C218" s="3"/>
      <c r="D218" s="8">
        <v>2021</v>
      </c>
      <c r="E218" s="14">
        <f>Data!N218</f>
        <v>43739000000</v>
      </c>
      <c r="F218" s="14">
        <f>Data!L218</f>
        <v>2872190000000</v>
      </c>
      <c r="G218" s="12">
        <f t="shared" si="3"/>
        <v>1.5228449371385597E-2</v>
      </c>
    </row>
    <row r="219" spans="2:7" ht="15" customHeight="1" x14ac:dyDescent="0.3">
      <c r="C219" s="3"/>
      <c r="D219" s="8">
        <v>2022</v>
      </c>
      <c r="E219" s="14">
        <f>Data!N219</f>
        <v>23857000000</v>
      </c>
      <c r="F219" s="14">
        <f>Data!L219</f>
        <v>4304082000000</v>
      </c>
      <c r="G219" s="12">
        <f t="shared" si="3"/>
        <v>5.5428776682228641E-3</v>
      </c>
    </row>
    <row r="220" spans="2:7" ht="15" customHeight="1" x14ac:dyDescent="0.3">
      <c r="C220" s="3"/>
      <c r="D220" s="8">
        <v>2023</v>
      </c>
      <c r="E220" s="14">
        <f>Data!N220</f>
        <v>43431000000</v>
      </c>
      <c r="F220" s="14">
        <f>Data!L220</f>
        <v>2747521000000</v>
      </c>
      <c r="G220" s="12">
        <f t="shared" si="3"/>
        <v>1.5807340508043433E-2</v>
      </c>
    </row>
    <row r="221" spans="2:7" ht="15" customHeight="1" x14ac:dyDescent="0.3">
      <c r="C221" s="3"/>
      <c r="D221" s="8">
        <v>2024</v>
      </c>
      <c r="E221" s="14">
        <f>Data!N221</f>
        <v>17892000000</v>
      </c>
      <c r="F221" s="14">
        <f>Data!L221</f>
        <v>2978648000000</v>
      </c>
      <c r="G221" s="12">
        <f t="shared" si="3"/>
        <v>6.0067520566377767E-3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Data!N222</f>
        <v>0</v>
      </c>
      <c r="F222" s="14">
        <f>Data!L222</f>
        <v>67607000000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Data!N223</f>
        <v>5875000000</v>
      </c>
      <c r="F223" s="14">
        <f>Data!L223</f>
        <v>71339000000</v>
      </c>
      <c r="G223" s="12">
        <f t="shared" si="3"/>
        <v>8.2353271001836301E-2</v>
      </c>
    </row>
    <row r="224" spans="2:7" ht="15" customHeight="1" x14ac:dyDescent="0.3">
      <c r="C224" s="4"/>
      <c r="D224" s="8">
        <v>2016</v>
      </c>
      <c r="E224" s="14">
        <f>Data!N224</f>
        <v>5657000000</v>
      </c>
      <c r="F224" s="14">
        <f>Data!L224</f>
        <v>69749000000</v>
      </c>
      <c r="G224" s="12">
        <f t="shared" si="3"/>
        <v>8.1105105449540499E-2</v>
      </c>
    </row>
    <row r="225" spans="2:7" ht="15" customHeight="1" x14ac:dyDescent="0.3">
      <c r="C225" s="4"/>
      <c r="D225" s="8">
        <v>2017</v>
      </c>
      <c r="E225" s="14">
        <f>Data!N225</f>
        <v>4005000000</v>
      </c>
      <c r="F225" s="14">
        <f>Data!L225</f>
        <v>157139000000</v>
      </c>
      <c r="G225" s="12">
        <f t="shared" si="3"/>
        <v>2.5486989226099186E-2</v>
      </c>
    </row>
    <row r="226" spans="2:7" ht="15" customHeight="1" x14ac:dyDescent="0.3">
      <c r="C226" s="4"/>
      <c r="D226" s="8">
        <v>2018</v>
      </c>
      <c r="E226" s="14">
        <f>Data!N226</f>
        <v>4288000000</v>
      </c>
      <c r="F226" s="14">
        <f>Data!L226</f>
        <v>155016000000</v>
      </c>
      <c r="G226" s="12">
        <f t="shared" si="3"/>
        <v>2.7661660731795427E-2</v>
      </c>
    </row>
    <row r="227" spans="2:7" ht="15" customHeight="1" x14ac:dyDescent="0.3">
      <c r="C227" s="4"/>
      <c r="D227" s="8">
        <v>2019</v>
      </c>
      <c r="E227" s="14">
        <f>Data!N227</f>
        <v>5532000000</v>
      </c>
      <c r="F227" s="14">
        <f>Data!L227</f>
        <v>197170000000</v>
      </c>
      <c r="G227" s="12">
        <f t="shared" si="3"/>
        <v>2.805700664401278E-2</v>
      </c>
    </row>
    <row r="228" spans="2:7" ht="15" customHeight="1" x14ac:dyDescent="0.3">
      <c r="C228" s="4"/>
      <c r="D228" s="8">
        <v>2020</v>
      </c>
      <c r="E228" s="14">
        <f>Data!N228</f>
        <v>4823000000</v>
      </c>
      <c r="F228" s="14">
        <f>Data!L228</f>
        <v>277917000000</v>
      </c>
      <c r="G228" s="12">
        <f t="shared" si="3"/>
        <v>1.7354102124015443E-2</v>
      </c>
    </row>
    <row r="229" spans="2:7" ht="15" customHeight="1" x14ac:dyDescent="0.3">
      <c r="C229" s="4"/>
      <c r="D229" s="8">
        <v>2021</v>
      </c>
      <c r="E229" s="14">
        <f>Data!N229</f>
        <v>7362000000</v>
      </c>
      <c r="F229" s="14">
        <f>Data!L229</f>
        <v>332887000000</v>
      </c>
      <c r="G229" s="12">
        <f t="shared" si="3"/>
        <v>2.2115612805546626E-2</v>
      </c>
    </row>
    <row r="230" spans="2:7" ht="15" customHeight="1" x14ac:dyDescent="0.3">
      <c r="C230" s="4"/>
      <c r="D230" s="8">
        <v>2022</v>
      </c>
      <c r="E230" s="14">
        <f>Data!N230</f>
        <v>12734000000</v>
      </c>
      <c r="F230" s="14">
        <f>Data!L230</f>
        <v>540219000000</v>
      </c>
      <c r="G230" s="12">
        <f t="shared" si="3"/>
        <v>2.3571921757657543E-2</v>
      </c>
    </row>
    <row r="231" spans="2:7" ht="15" customHeight="1" x14ac:dyDescent="0.3">
      <c r="C231" s="4"/>
      <c r="D231" s="8">
        <v>2023</v>
      </c>
      <c r="E231" s="14">
        <f>Data!N231</f>
        <v>33889000000</v>
      </c>
      <c r="F231" s="14">
        <f>Data!L231</f>
        <v>642675000000</v>
      </c>
      <c r="G231" s="12">
        <f t="shared" si="3"/>
        <v>5.2731162718325751E-2</v>
      </c>
    </row>
    <row r="232" spans="2:7" ht="15" customHeight="1" x14ac:dyDescent="0.3">
      <c r="C232" s="4"/>
      <c r="D232" s="8">
        <v>2024</v>
      </c>
      <c r="E232" s="14">
        <f>Data!N232</f>
        <v>43301000000</v>
      </c>
      <c r="F232" s="14">
        <f>Data!L232</f>
        <v>738207000000</v>
      </c>
      <c r="G232" s="12">
        <f t="shared" si="3"/>
        <v>5.8656989164285897E-2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Data!N233</f>
        <v>0</v>
      </c>
      <c r="F233" s="14">
        <f>Data!L233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Data!N234</f>
        <v>0</v>
      </c>
      <c r="F234" s="14">
        <f>Data!L234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Data!N235</f>
        <v>-3971000000</v>
      </c>
      <c r="F235" s="14">
        <f>Data!L235</f>
        <v>1515000000</v>
      </c>
      <c r="G235" s="12">
        <f t="shared" si="3"/>
        <v>-2.6211221122112209</v>
      </c>
    </row>
    <row r="236" spans="2:7" ht="15" customHeight="1" x14ac:dyDescent="0.3">
      <c r="C236" s="4"/>
      <c r="D236" s="8">
        <v>2017</v>
      </c>
      <c r="E236" s="14">
        <f>Data!N236</f>
        <v>-9239000000</v>
      </c>
      <c r="F236" s="14">
        <f>Data!L236</f>
        <v>24220000000</v>
      </c>
      <c r="G236" s="12">
        <f t="shared" si="3"/>
        <v>-0.38146160198183321</v>
      </c>
    </row>
    <row r="237" spans="2:7" ht="15" customHeight="1" x14ac:dyDescent="0.3">
      <c r="C237" s="4"/>
      <c r="D237" s="8">
        <v>2018</v>
      </c>
      <c r="E237" s="14">
        <f>Data!N237</f>
        <v>-7268000000</v>
      </c>
      <c r="F237" s="14">
        <f>Data!L237</f>
        <v>39849000000</v>
      </c>
      <c r="G237" s="12">
        <f t="shared" si="3"/>
        <v>-0.1823885166503551</v>
      </c>
    </row>
    <row r="238" spans="2:7" ht="15" customHeight="1" x14ac:dyDescent="0.3">
      <c r="C238" s="4"/>
      <c r="D238" s="8">
        <v>2019</v>
      </c>
      <c r="E238" s="14">
        <f>Data!N238</f>
        <v>-27733000000</v>
      </c>
      <c r="F238" s="14">
        <f>Data!L238</f>
        <v>20661000000</v>
      </c>
      <c r="G238" s="12">
        <f t="shared" si="3"/>
        <v>-1.3422874013842505</v>
      </c>
    </row>
    <row r="239" spans="2:7" ht="15" customHeight="1" x14ac:dyDescent="0.3">
      <c r="C239" s="4"/>
      <c r="D239" s="8">
        <v>2020</v>
      </c>
      <c r="E239" s="14">
        <f>Data!N239</f>
        <v>-18651000000</v>
      </c>
      <c r="F239" s="14">
        <f>Data!L239</f>
        <v>16597000000</v>
      </c>
      <c r="G239" s="12">
        <f t="shared" si="3"/>
        <v>-1.1237573055371453</v>
      </c>
    </row>
    <row r="240" spans="2:7" ht="15" customHeight="1" x14ac:dyDescent="0.3">
      <c r="C240" s="4"/>
      <c r="D240" s="8">
        <v>2021</v>
      </c>
      <c r="E240" s="14">
        <f>Data!N240</f>
        <v>-10585000000</v>
      </c>
      <c r="F240" s="14">
        <f>Data!L240</f>
        <v>16328000000</v>
      </c>
      <c r="G240" s="12">
        <f t="shared" si="3"/>
        <v>-0.64827290543851057</v>
      </c>
    </row>
    <row r="241" spans="2:7" ht="15" customHeight="1" x14ac:dyDescent="0.3">
      <c r="C241" s="4"/>
      <c r="D241" s="8">
        <v>2022</v>
      </c>
      <c r="E241" s="14">
        <f>Data!N241</f>
        <v>-5592000000</v>
      </c>
      <c r="F241" s="14">
        <f>Data!L241</f>
        <v>12402000000</v>
      </c>
      <c r="G241" s="12">
        <f t="shared" si="3"/>
        <v>-0.4508950169327528</v>
      </c>
    </row>
    <row r="242" spans="2:7" ht="15" customHeight="1" x14ac:dyDescent="0.3">
      <c r="C242" s="4"/>
      <c r="D242" s="8">
        <v>2023</v>
      </c>
      <c r="E242" s="14">
        <f>Data!N242</f>
        <v>-11351000000</v>
      </c>
      <c r="F242" s="14">
        <f>Data!L242</f>
        <v>9694000000</v>
      </c>
      <c r="G242" s="12">
        <f t="shared" si="3"/>
        <v>-1.1709304724571901</v>
      </c>
    </row>
    <row r="243" spans="2:7" ht="15" customHeight="1" x14ac:dyDescent="0.3">
      <c r="C243" s="4"/>
      <c r="D243" s="8">
        <v>2024</v>
      </c>
      <c r="E243" s="14">
        <f>Data!N243</f>
        <v>-5791000000</v>
      </c>
      <c r="F243" s="14">
        <f>Data!L243</f>
        <v>9208000000</v>
      </c>
      <c r="G243" s="12">
        <f t="shared" si="3"/>
        <v>-0.6289096437880104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Data!N244</f>
        <v>0</v>
      </c>
      <c r="F244" s="14">
        <f>Data!L244</f>
        <v>809000000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Data!N245</f>
        <v>2467000000</v>
      </c>
      <c r="F245" s="14">
        <f>Data!L245</f>
        <v>6062000000</v>
      </c>
      <c r="G245" s="12">
        <f t="shared" si="3"/>
        <v>0.406961398878258</v>
      </c>
    </row>
    <row r="246" spans="2:7" ht="15" customHeight="1" x14ac:dyDescent="0.3">
      <c r="C246" s="4"/>
      <c r="D246" s="8">
        <v>2016</v>
      </c>
      <c r="E246" s="14">
        <f>Data!N246</f>
        <v>148000000</v>
      </c>
      <c r="F246" s="14">
        <f>Data!L246</f>
        <v>6499000000</v>
      </c>
      <c r="G246" s="12">
        <f t="shared" si="3"/>
        <v>2.2772734266810278E-2</v>
      </c>
    </row>
    <row r="247" spans="2:7" ht="15" customHeight="1" x14ac:dyDescent="0.3">
      <c r="C247" s="4"/>
      <c r="D247" s="8">
        <v>2017</v>
      </c>
      <c r="E247" s="14">
        <f>Data!N247</f>
        <v>-1901000000</v>
      </c>
      <c r="F247" s="14">
        <f>Data!L247</f>
        <v>8023000000</v>
      </c>
      <c r="G247" s="12">
        <f t="shared" si="3"/>
        <v>-0.23694378661348622</v>
      </c>
    </row>
    <row r="248" spans="2:7" ht="15" customHeight="1" x14ac:dyDescent="0.3">
      <c r="C248" s="4"/>
      <c r="D248" s="8">
        <v>2018</v>
      </c>
      <c r="E248" s="14">
        <f>Data!N248</f>
        <v>553000000</v>
      </c>
      <c r="F248" s="14">
        <f>Data!L248</f>
        <v>14793000000</v>
      </c>
      <c r="G248" s="12">
        <f t="shared" si="3"/>
        <v>3.738254579868857E-2</v>
      </c>
    </row>
    <row r="249" spans="2:7" ht="15" customHeight="1" x14ac:dyDescent="0.3">
      <c r="C249" s="4"/>
      <c r="D249" s="8">
        <v>2019</v>
      </c>
      <c r="E249" s="14">
        <f>Data!N249</f>
        <v>1251000000</v>
      </c>
      <c r="F249" s="14">
        <f>Data!L249</f>
        <v>30942000000</v>
      </c>
      <c r="G249" s="12">
        <f t="shared" si="3"/>
        <v>4.0430482838859805E-2</v>
      </c>
    </row>
    <row r="250" spans="2:7" ht="15" customHeight="1" x14ac:dyDescent="0.3">
      <c r="C250" s="4"/>
      <c r="D250" s="8">
        <v>2020</v>
      </c>
      <c r="E250" s="14">
        <f>Data!N250</f>
        <v>53000000</v>
      </c>
      <c r="F250" s="14">
        <f>Data!L250</f>
        <v>44418000000</v>
      </c>
      <c r="G250" s="12">
        <f t="shared" si="3"/>
        <v>1.1932099599261561E-3</v>
      </c>
    </row>
    <row r="251" spans="2:7" ht="15" customHeight="1" x14ac:dyDescent="0.3">
      <c r="C251" s="4"/>
      <c r="D251" s="8">
        <v>2021</v>
      </c>
      <c r="E251" s="14">
        <f>Data!N251</f>
        <v>1284000000</v>
      </c>
      <c r="F251" s="14">
        <f>Data!L251</f>
        <v>53024000000</v>
      </c>
      <c r="G251" s="12">
        <f t="shared" si="3"/>
        <v>2.4215449607724805E-2</v>
      </c>
    </row>
    <row r="252" spans="2:7" ht="15" customHeight="1" x14ac:dyDescent="0.3">
      <c r="C252" s="4"/>
      <c r="D252" s="8">
        <v>2022</v>
      </c>
      <c r="E252" s="14">
        <f>Data!N252</f>
        <v>1501000000</v>
      </c>
      <c r="F252" s="14">
        <f>Data!L252</f>
        <v>48831000000</v>
      </c>
      <c r="G252" s="12">
        <f t="shared" si="3"/>
        <v>3.0738670107104092E-2</v>
      </c>
    </row>
    <row r="253" spans="2:7" ht="15" customHeight="1" x14ac:dyDescent="0.3">
      <c r="C253" s="4"/>
      <c r="D253" s="8">
        <v>2023</v>
      </c>
      <c r="E253" s="14">
        <f>Data!N253</f>
        <v>2527000000</v>
      </c>
      <c r="F253" s="14">
        <f>Data!L253</f>
        <v>72645000000</v>
      </c>
      <c r="G253" s="12">
        <f t="shared" si="3"/>
        <v>3.4785601211370365E-2</v>
      </c>
    </row>
    <row r="254" spans="2:7" ht="15" customHeight="1" x14ac:dyDescent="0.3">
      <c r="C254" s="4"/>
      <c r="D254" s="8">
        <v>2024</v>
      </c>
      <c r="E254" s="14">
        <f>Data!N254</f>
        <v>2829000000</v>
      </c>
      <c r="F254" s="14">
        <f>Data!L254</f>
        <v>79470000000</v>
      </c>
      <c r="G254" s="12">
        <f t="shared" si="3"/>
        <v>3.5598338995847488E-2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Data!N255</f>
        <v>0</v>
      </c>
      <c r="F255" s="14">
        <f>Data!L255</f>
        <v>14182000000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Data!N256</f>
        <v>-7989000000</v>
      </c>
      <c r="F256" s="14">
        <f>Data!L256</f>
        <v>10169000000</v>
      </c>
      <c r="G256" s="12">
        <f t="shared" si="3"/>
        <v>-0.78562297177696927</v>
      </c>
    </row>
    <row r="257" spans="2:7" ht="15" customHeight="1" x14ac:dyDescent="0.3">
      <c r="C257" s="4"/>
      <c r="D257" s="8">
        <v>2016</v>
      </c>
      <c r="E257" s="14">
        <f>Data!N257</f>
        <v>-6103000000</v>
      </c>
      <c r="F257" s="14">
        <f>Data!L257</f>
        <v>12683000000</v>
      </c>
      <c r="G257" s="12">
        <f t="shared" si="3"/>
        <v>-0.48119530079634154</v>
      </c>
    </row>
    <row r="258" spans="2:7" ht="15" customHeight="1" x14ac:dyDescent="0.3">
      <c r="C258" s="4"/>
      <c r="D258" s="8">
        <v>2017</v>
      </c>
      <c r="E258" s="14">
        <f>Data!N258</f>
        <v>-2496000000</v>
      </c>
      <c r="F258" s="14">
        <f>Data!L258</f>
        <v>14716000000</v>
      </c>
      <c r="G258" s="12">
        <f t="shared" si="3"/>
        <v>-0.16961130742049471</v>
      </c>
    </row>
    <row r="259" spans="2:7" ht="15" customHeight="1" x14ac:dyDescent="0.3">
      <c r="C259" s="4"/>
      <c r="D259" s="8">
        <v>2018</v>
      </c>
      <c r="E259" s="14">
        <f>Data!N259</f>
        <v>-6977000000</v>
      </c>
      <c r="F259" s="14">
        <f>Data!L259</f>
        <v>26538000000</v>
      </c>
      <c r="G259" s="12">
        <f t="shared" ref="G259:G322" si="4">IFERROR(E259/F259,0)</f>
        <v>-0.26290602155399806</v>
      </c>
    </row>
    <row r="260" spans="2:7" ht="15" customHeight="1" x14ac:dyDescent="0.3">
      <c r="C260" s="4"/>
      <c r="D260" s="8">
        <v>2019</v>
      </c>
      <c r="E260" s="14">
        <f>Data!N260</f>
        <v>7730000000</v>
      </c>
      <c r="F260" s="14">
        <f>Data!L260</f>
        <v>52677000000</v>
      </c>
      <c r="G260" s="12">
        <f t="shared" si="4"/>
        <v>0.14674336047990585</v>
      </c>
    </row>
    <row r="261" spans="2:7" ht="15" customHeight="1" x14ac:dyDescent="0.3">
      <c r="C261" s="4"/>
      <c r="D261" s="8">
        <v>2020</v>
      </c>
      <c r="E261" s="14">
        <f>Data!N261</f>
        <v>434000000</v>
      </c>
      <c r="F261" s="14">
        <f>Data!L261</f>
        <v>29519000000</v>
      </c>
      <c r="G261" s="12">
        <f t="shared" si="4"/>
        <v>1.470239506758359E-2</v>
      </c>
    </row>
    <row r="262" spans="2:7" ht="15" customHeight="1" x14ac:dyDescent="0.3">
      <c r="C262" s="4"/>
      <c r="D262" s="8">
        <v>2021</v>
      </c>
      <c r="E262" s="14">
        <f>Data!N262</f>
        <v>508000000</v>
      </c>
      <c r="F262" s="14">
        <f>Data!L262</f>
        <v>27892000000</v>
      </c>
      <c r="G262" s="12">
        <f t="shared" si="4"/>
        <v>1.8213107701132943E-2</v>
      </c>
    </row>
    <row r="263" spans="2:7" ht="15" customHeight="1" x14ac:dyDescent="0.3">
      <c r="C263" s="4"/>
      <c r="D263" s="8">
        <v>2022</v>
      </c>
      <c r="E263" s="14">
        <f>Data!N263</f>
        <v>1115000000</v>
      </c>
      <c r="F263" s="14">
        <f>Data!L263</f>
        <v>39410000000</v>
      </c>
      <c r="G263" s="12">
        <f t="shared" si="4"/>
        <v>2.8292311596041612E-2</v>
      </c>
    </row>
    <row r="264" spans="2:7" ht="15" customHeight="1" x14ac:dyDescent="0.3">
      <c r="C264" s="4"/>
      <c r="D264" s="8">
        <v>2023</v>
      </c>
      <c r="E264" s="14">
        <f>Data!N264</f>
        <v>2551000000</v>
      </c>
      <c r="F264" s="14">
        <f>Data!L264</f>
        <v>62339000000</v>
      </c>
      <c r="G264" s="12">
        <f t="shared" si="4"/>
        <v>4.0921413561333997E-2</v>
      </c>
    </row>
    <row r="265" spans="2:7" ht="15" customHeight="1" x14ac:dyDescent="0.3">
      <c r="C265" s="4"/>
      <c r="D265" s="8">
        <v>2024</v>
      </c>
      <c r="E265" s="14">
        <f>Data!N265</f>
        <v>2838000000</v>
      </c>
      <c r="F265" s="14">
        <f>Data!L265</f>
        <v>72560000000</v>
      </c>
      <c r="G265" s="12">
        <f t="shared" si="4"/>
        <v>3.9112458654906285E-2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Data!N266</f>
        <v>0</v>
      </c>
      <c r="F266" s="14">
        <f>Data!L266</f>
        <v>151219000000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Data!N267</f>
        <v>42798000000</v>
      </c>
      <c r="F267" s="14">
        <f>Data!L267</f>
        <v>290207000000</v>
      </c>
      <c r="G267" s="12">
        <f t="shared" si="4"/>
        <v>0.14747404438900508</v>
      </c>
    </row>
    <row r="268" spans="2:7" ht="15" customHeight="1" x14ac:dyDescent="0.3">
      <c r="C268" s="3"/>
      <c r="D268" s="8">
        <v>2016</v>
      </c>
      <c r="E268" s="14">
        <f>Data!N268</f>
        <v>29647000000</v>
      </c>
      <c r="F268" s="14">
        <f>Data!L268</f>
        <v>571445000000</v>
      </c>
      <c r="G268" s="12">
        <f t="shared" si="4"/>
        <v>5.1880758428195187E-2</v>
      </c>
    </row>
    <row r="269" spans="2:7" ht="15" customHeight="1" x14ac:dyDescent="0.3">
      <c r="C269" s="3"/>
      <c r="D269" s="8">
        <v>2017</v>
      </c>
      <c r="E269" s="14">
        <f>Data!N269</f>
        <v>111363450000</v>
      </c>
      <c r="F269" s="14">
        <f>Data!L269</f>
        <v>680032000000</v>
      </c>
      <c r="G269" s="12">
        <f t="shared" si="4"/>
        <v>0.1637620729612724</v>
      </c>
    </row>
    <row r="270" spans="2:7" ht="15" customHeight="1" x14ac:dyDescent="0.3">
      <c r="C270" s="3"/>
      <c r="D270" s="8">
        <v>2018</v>
      </c>
      <c r="E270" s="14">
        <f>Data!N270</f>
        <v>-67586240000.000008</v>
      </c>
      <c r="F270" s="14">
        <f>Data!L270</f>
        <v>738454490000</v>
      </c>
      <c r="G270" s="12">
        <f t="shared" si="4"/>
        <v>-9.152390690995732E-2</v>
      </c>
    </row>
    <row r="271" spans="2:7" ht="15" customHeight="1" x14ac:dyDescent="0.3">
      <c r="C271" s="3"/>
      <c r="D271" s="8">
        <v>2019</v>
      </c>
      <c r="E271" s="14">
        <f>Data!N271</f>
        <v>91037440000</v>
      </c>
      <c r="F271" s="14">
        <f>Data!L271</f>
        <v>1727762640000</v>
      </c>
      <c r="G271" s="12">
        <f t="shared" si="4"/>
        <v>5.2690941389958522E-2</v>
      </c>
    </row>
    <row r="272" spans="2:7" ht="15" customHeight="1" x14ac:dyDescent="0.3">
      <c r="C272" s="3"/>
      <c r="D272" s="8">
        <v>2020</v>
      </c>
      <c r="E272" s="14">
        <f>Data!N272</f>
        <v>34412160000</v>
      </c>
      <c r="F272" s="14">
        <f>Data!L272</f>
        <v>1414536370000</v>
      </c>
      <c r="G272" s="12">
        <f t="shared" si="4"/>
        <v>2.4327518704944998E-2</v>
      </c>
    </row>
    <row r="273" spans="2:7" ht="15" customHeight="1" x14ac:dyDescent="0.3">
      <c r="C273" s="3"/>
      <c r="D273" s="8">
        <v>2021</v>
      </c>
      <c r="E273" s="14">
        <f>Data!N273</f>
        <v>63141110000</v>
      </c>
      <c r="F273" s="14">
        <f>Data!L273</f>
        <v>1673072530000</v>
      </c>
      <c r="G273" s="12">
        <f t="shared" si="4"/>
        <v>3.7739613117669199E-2</v>
      </c>
    </row>
    <row r="274" spans="2:7" ht="15" customHeight="1" x14ac:dyDescent="0.3">
      <c r="C274" s="3"/>
      <c r="D274" s="8">
        <v>2022</v>
      </c>
      <c r="E274" s="14">
        <f>Data!N274</f>
        <v>36714920000</v>
      </c>
      <c r="F274" s="14">
        <f>Data!L274</f>
        <v>1810753660000</v>
      </c>
      <c r="G274" s="12">
        <f t="shared" si="4"/>
        <v>2.0276043512180448E-2</v>
      </c>
    </row>
    <row r="275" spans="2:7" ht="15" customHeight="1" x14ac:dyDescent="0.3">
      <c r="C275" s="3"/>
      <c r="D275" s="8">
        <v>2023</v>
      </c>
      <c r="E275" s="14">
        <f>Data!N275</f>
        <v>96333630000</v>
      </c>
      <c r="F275" s="14">
        <f>Data!L275</f>
        <v>1762308800000</v>
      </c>
      <c r="G275" s="12">
        <f t="shared" si="4"/>
        <v>5.4663308723193117E-2</v>
      </c>
    </row>
    <row r="276" spans="2:7" ht="15" customHeight="1" x14ac:dyDescent="0.3">
      <c r="C276" s="3"/>
      <c r="D276" s="8">
        <v>2024</v>
      </c>
      <c r="E276" s="14">
        <f>Data!N276</f>
        <v>-23206200000</v>
      </c>
      <c r="F276" s="14">
        <f>Data!L276</f>
        <v>2095187570000</v>
      </c>
      <c r="G276" s="12">
        <f t="shared" si="4"/>
        <v>-1.1075953452702089E-2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Data!N277</f>
        <v>0</v>
      </c>
      <c r="F277" s="14">
        <f>Data!L277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Data!N278</f>
        <v>0</v>
      </c>
      <c r="F278" s="14">
        <f>Data!L278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Data!N279</f>
        <v>0</v>
      </c>
      <c r="F279" s="14">
        <f>Data!L279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Data!N280</f>
        <v>0</v>
      </c>
      <c r="F280" s="14">
        <f>Data!L280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Data!N281</f>
        <v>0</v>
      </c>
      <c r="F281" s="14">
        <f>Data!L281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Data!N282</f>
        <v>0</v>
      </c>
      <c r="F282" s="14">
        <f>Data!L282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Data!N283</f>
        <v>0</v>
      </c>
      <c r="F283" s="14">
        <f>Data!L283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Data!N284</f>
        <v>0</v>
      </c>
      <c r="F284" s="14">
        <f>Data!L284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Data!N285</f>
        <v>-3077660000</v>
      </c>
      <c r="F285" s="14">
        <f>Data!L285</f>
        <v>1705660000</v>
      </c>
      <c r="G285" s="12">
        <f t="shared" si="4"/>
        <v>-1.8043807089337851</v>
      </c>
    </row>
    <row r="286" spans="2:7" ht="15" customHeight="1" x14ac:dyDescent="0.3">
      <c r="C286" s="3"/>
      <c r="D286" s="8">
        <v>2023</v>
      </c>
      <c r="E286" s="14">
        <f>Data!N286</f>
        <v>-1169200000</v>
      </c>
      <c r="F286" s="14">
        <f>Data!L286</f>
        <v>2207060000</v>
      </c>
      <c r="G286" s="12">
        <f t="shared" si="4"/>
        <v>-0.52975451505622861</v>
      </c>
    </row>
    <row r="287" spans="2:7" ht="15" customHeight="1" x14ac:dyDescent="0.3">
      <c r="C287" s="3"/>
      <c r="D287" s="8">
        <v>2024</v>
      </c>
      <c r="E287" s="14">
        <f>Data!N287</f>
        <v>6571400000</v>
      </c>
      <c r="F287" s="14">
        <f>Data!L287</f>
        <v>12873320000</v>
      </c>
      <c r="G287" s="12">
        <f t="shared" si="4"/>
        <v>0.51046660845842406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Data!N288</f>
        <v>0</v>
      </c>
      <c r="F288" s="14">
        <f>Data!L288</f>
        <v>1157923000000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Data!N289</f>
        <v>29274000000</v>
      </c>
      <c r="F289" s="14">
        <f>Data!L289</f>
        <v>585626000000</v>
      </c>
      <c r="G289" s="12">
        <f t="shared" si="4"/>
        <v>4.9987534706450877E-2</v>
      </c>
    </row>
    <row r="290" spans="2:7" ht="15" customHeight="1" x14ac:dyDescent="0.3">
      <c r="C290" s="3"/>
      <c r="D290" s="8">
        <v>2016</v>
      </c>
      <c r="E290" s="14">
        <f>Data!N290</f>
        <v>41789000000</v>
      </c>
      <c r="F290" s="14">
        <f>Data!L290</f>
        <v>13613117000000</v>
      </c>
      <c r="G290" s="12">
        <f t="shared" si="4"/>
        <v>3.069759850003493E-3</v>
      </c>
    </row>
    <row r="291" spans="2:7" ht="15" customHeight="1" x14ac:dyDescent="0.3">
      <c r="C291" s="3"/>
      <c r="D291" s="8">
        <v>2017</v>
      </c>
      <c r="E291" s="14">
        <f>Data!N291</f>
        <v>115427000000</v>
      </c>
      <c r="F291" s="14">
        <f>Data!L291</f>
        <v>18238613000000</v>
      </c>
      <c r="G291" s="12">
        <f t="shared" si="4"/>
        <v>6.3287158952273397E-3</v>
      </c>
    </row>
    <row r="292" spans="2:7" ht="15" customHeight="1" x14ac:dyDescent="0.3">
      <c r="C292" s="3"/>
      <c r="D292" s="8">
        <v>2018</v>
      </c>
      <c r="E292" s="14">
        <f>Data!N292</f>
        <v>121807000000</v>
      </c>
      <c r="F292" s="14">
        <f>Data!L292</f>
        <v>20288330000000</v>
      </c>
      <c r="G292" s="12">
        <f t="shared" si="4"/>
        <v>6.0037962710582883E-3</v>
      </c>
    </row>
    <row r="293" spans="2:7" ht="15" customHeight="1" x14ac:dyDescent="0.3">
      <c r="C293" s="3"/>
      <c r="D293" s="8">
        <v>2019</v>
      </c>
      <c r="E293" s="14">
        <f>Data!N293</f>
        <v>143716000000</v>
      </c>
      <c r="F293" s="14">
        <f>Data!L293</f>
        <v>21168879000000</v>
      </c>
      <c r="G293" s="12">
        <f t="shared" si="4"/>
        <v>6.7890226969505568E-3</v>
      </c>
    </row>
    <row r="294" spans="2:7" ht="15" customHeight="1" x14ac:dyDescent="0.3">
      <c r="C294" s="3"/>
      <c r="D294" s="8">
        <v>2020</v>
      </c>
      <c r="E294" s="14">
        <f>Data!N294</f>
        <v>130538000000</v>
      </c>
      <c r="F294" s="14">
        <f>Data!L294</f>
        <v>19533911000000</v>
      </c>
      <c r="G294" s="12">
        <f t="shared" si="4"/>
        <v>6.6826351364045839E-3</v>
      </c>
    </row>
    <row r="295" spans="2:7" ht="15" customHeight="1" x14ac:dyDescent="0.3">
      <c r="C295" s="3"/>
      <c r="D295" s="8">
        <v>2021</v>
      </c>
      <c r="E295" s="14">
        <f>Data!N295</f>
        <v>103951000000</v>
      </c>
      <c r="F295" s="14">
        <f>Data!L295</f>
        <v>20295327000000</v>
      </c>
      <c r="G295" s="12">
        <f t="shared" si="4"/>
        <v>5.1219179666334028E-3</v>
      </c>
    </row>
    <row r="296" spans="2:7" ht="15" customHeight="1" x14ac:dyDescent="0.3">
      <c r="C296" s="3"/>
      <c r="D296" s="8">
        <v>2022</v>
      </c>
      <c r="E296" s="14">
        <f>Data!N296</f>
        <v>194430000000</v>
      </c>
      <c r="F296" s="14">
        <f>Data!L296</f>
        <v>15634323000000</v>
      </c>
      <c r="G296" s="12">
        <f t="shared" si="4"/>
        <v>1.2436099727503392E-2</v>
      </c>
    </row>
    <row r="297" spans="2:7" ht="15" customHeight="1" x14ac:dyDescent="0.3">
      <c r="C297" s="3"/>
      <c r="D297" s="8">
        <v>2023</v>
      </c>
      <c r="E297" s="14">
        <f>Data!N297</f>
        <v>158360000000</v>
      </c>
      <c r="F297" s="14">
        <f>Data!L297</f>
        <v>7778489000000</v>
      </c>
      <c r="G297" s="12">
        <f t="shared" si="4"/>
        <v>2.035870976998232E-2</v>
      </c>
    </row>
    <row r="298" spans="2:7" ht="15" customHeight="1" x14ac:dyDescent="0.3">
      <c r="C298" s="3"/>
      <c r="D298" s="8">
        <v>2024</v>
      </c>
      <c r="E298" s="14">
        <f>Data!N298</f>
        <v>166494000000</v>
      </c>
      <c r="F298" s="14">
        <f>Data!L298</f>
        <v>8529903000000</v>
      </c>
      <c r="G298" s="12">
        <f t="shared" si="4"/>
        <v>1.9518862055055021E-2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Data!N299</f>
        <v>0</v>
      </c>
      <c r="F299" s="14">
        <f>Data!L299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Data!N300</f>
        <v>625000000</v>
      </c>
      <c r="F300" s="14">
        <f>Data!L300</f>
        <v>2217000000</v>
      </c>
      <c r="G300" s="12">
        <f t="shared" si="4"/>
        <v>0.28191249436175009</v>
      </c>
    </row>
    <row r="301" spans="2:7" ht="15" customHeight="1" x14ac:dyDescent="0.3">
      <c r="C301" s="4"/>
      <c r="D301" s="8">
        <v>2016</v>
      </c>
      <c r="E301" s="14">
        <f>Data!N301</f>
        <v>865000000</v>
      </c>
      <c r="F301" s="14">
        <f>Data!L301</f>
        <v>12167000000</v>
      </c>
      <c r="G301" s="12">
        <f t="shared" si="4"/>
        <v>7.109394263170872E-2</v>
      </c>
    </row>
    <row r="302" spans="2:7" ht="15" customHeight="1" x14ac:dyDescent="0.3">
      <c r="C302" s="4"/>
      <c r="D302" s="8">
        <v>2017</v>
      </c>
      <c r="E302" s="14">
        <f>Data!N302</f>
        <v>500000000</v>
      </c>
      <c r="F302" s="14">
        <f>Data!L302</f>
        <v>14015000000</v>
      </c>
      <c r="G302" s="12">
        <f t="shared" si="4"/>
        <v>3.5676061362825542E-2</v>
      </c>
    </row>
    <row r="303" spans="2:7" ht="15" customHeight="1" x14ac:dyDescent="0.3">
      <c r="C303" s="4"/>
      <c r="D303" s="8">
        <v>2018</v>
      </c>
      <c r="E303" s="14">
        <f>Data!N303</f>
        <v>-2336000000</v>
      </c>
      <c r="F303" s="14">
        <f>Data!L303</f>
        <v>14237000000</v>
      </c>
      <c r="G303" s="12">
        <f t="shared" si="4"/>
        <v>-0.1640795111329634</v>
      </c>
    </row>
    <row r="304" spans="2:7" ht="15" customHeight="1" x14ac:dyDescent="0.3">
      <c r="C304" s="4"/>
      <c r="D304" s="8">
        <v>2019</v>
      </c>
      <c r="E304" s="14">
        <f>Data!N304</f>
        <v>2645000000</v>
      </c>
      <c r="F304" s="14">
        <f>Data!L304</f>
        <v>20015000000</v>
      </c>
      <c r="G304" s="12">
        <f t="shared" si="4"/>
        <v>0.13215088683487383</v>
      </c>
    </row>
    <row r="305" spans="2:7" ht="15" customHeight="1" x14ac:dyDescent="0.3">
      <c r="C305" s="4"/>
      <c r="D305" s="8">
        <v>2020</v>
      </c>
      <c r="E305" s="14">
        <f>Data!N305</f>
        <v>603000000</v>
      </c>
      <c r="F305" s="14">
        <f>Data!L305</f>
        <v>20394000000</v>
      </c>
      <c r="G305" s="12">
        <f t="shared" si="4"/>
        <v>2.9567519858781994E-2</v>
      </c>
    </row>
    <row r="306" spans="2:7" ht="15" customHeight="1" x14ac:dyDescent="0.3">
      <c r="C306" s="4"/>
      <c r="D306" s="8">
        <v>2021</v>
      </c>
      <c r="E306" s="14">
        <f>Data!N306</f>
        <v>288000000</v>
      </c>
      <c r="F306" s="14">
        <f>Data!L306</f>
        <v>19341000000</v>
      </c>
      <c r="G306" s="12">
        <f t="shared" si="4"/>
        <v>1.4890646812470917E-2</v>
      </c>
    </row>
    <row r="307" spans="2:7" ht="15" customHeight="1" x14ac:dyDescent="0.3">
      <c r="C307" s="4"/>
      <c r="D307" s="8">
        <v>2022</v>
      </c>
      <c r="E307" s="14">
        <f>Data!N307</f>
        <v>1012000000</v>
      </c>
      <c r="F307" s="14">
        <f>Data!L307</f>
        <v>20992000000</v>
      </c>
      <c r="G307" s="12">
        <f t="shared" si="4"/>
        <v>4.8208841463414635E-2</v>
      </c>
    </row>
    <row r="308" spans="2:7" ht="15" customHeight="1" x14ac:dyDescent="0.3">
      <c r="C308" s="4"/>
      <c r="D308" s="8">
        <v>2023</v>
      </c>
      <c r="E308" s="14">
        <f>Data!N308</f>
        <v>1939000000</v>
      </c>
      <c r="F308" s="14">
        <f>Data!L308</f>
        <v>28419000000</v>
      </c>
      <c r="G308" s="12">
        <f t="shared" si="4"/>
        <v>6.8229001724198601E-2</v>
      </c>
    </row>
    <row r="309" spans="2:7" ht="15" customHeight="1" x14ac:dyDescent="0.3">
      <c r="C309" s="4"/>
      <c r="D309" s="8">
        <v>2024</v>
      </c>
      <c r="E309" s="14">
        <f>Data!N309</f>
        <v>5386000000</v>
      </c>
      <c r="F309" s="14">
        <f>Data!L309</f>
        <v>24190000000</v>
      </c>
      <c r="G309" s="12">
        <f t="shared" si="4"/>
        <v>0.22265398925175692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Data!N310</f>
        <v>0</v>
      </c>
      <c r="F310" s="14">
        <f>Data!L310</f>
        <v>130929000000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>
        <f>Data!N311</f>
        <v>5877000000</v>
      </c>
      <c r="F311" s="14">
        <f>Data!L311</f>
        <v>120387000000</v>
      </c>
      <c r="G311" s="12">
        <f t="shared" si="4"/>
        <v>4.8817563358169905E-2</v>
      </c>
    </row>
    <row r="312" spans="2:7" ht="15" customHeight="1" x14ac:dyDescent="0.3">
      <c r="C312" s="4"/>
      <c r="D312" s="8">
        <v>2016</v>
      </c>
      <c r="E312" s="14">
        <f>Data!N312</f>
        <v>23406000000</v>
      </c>
      <c r="F312" s="14">
        <f>Data!L312</f>
        <v>132241000000</v>
      </c>
      <c r="G312" s="12">
        <f t="shared" si="4"/>
        <v>0.17699503179800516</v>
      </c>
    </row>
    <row r="313" spans="2:7" ht="15" customHeight="1" x14ac:dyDescent="0.3">
      <c r="C313" s="4"/>
      <c r="D313" s="8">
        <v>2017</v>
      </c>
      <c r="E313" s="14">
        <f>Data!N313</f>
        <v>16065000000</v>
      </c>
      <c r="F313" s="14">
        <f>Data!L313</f>
        <v>105534000000</v>
      </c>
      <c r="G313" s="12">
        <f t="shared" si="4"/>
        <v>0.15222582295753029</v>
      </c>
    </row>
    <row r="314" spans="2:7" ht="15" customHeight="1" x14ac:dyDescent="0.3">
      <c r="C314" s="4"/>
      <c r="D314" s="8">
        <v>2018</v>
      </c>
      <c r="E314" s="14">
        <f>Data!N314</f>
        <v>12908000000</v>
      </c>
      <c r="F314" s="14">
        <f>Data!L314</f>
        <v>110494000000</v>
      </c>
      <c r="G314" s="12">
        <f t="shared" si="4"/>
        <v>0.1168208228501095</v>
      </c>
    </row>
    <row r="315" spans="2:7" ht="15" customHeight="1" x14ac:dyDescent="0.3">
      <c r="C315" s="4"/>
      <c r="D315" s="8">
        <v>2019</v>
      </c>
      <c r="E315" s="14">
        <f>Data!N315</f>
        <v>9493000000</v>
      </c>
      <c r="F315" s="14">
        <f>Data!L315</f>
        <v>126280000000</v>
      </c>
      <c r="G315" s="12">
        <f t="shared" si="4"/>
        <v>7.5174216027874566E-2</v>
      </c>
    </row>
    <row r="316" spans="2:7" ht="15" customHeight="1" x14ac:dyDescent="0.3">
      <c r="C316" s="4"/>
      <c r="D316" s="8">
        <v>2020</v>
      </c>
      <c r="E316" s="14">
        <f>Data!N316</f>
        <v>10640000000</v>
      </c>
      <c r="F316" s="14">
        <f>Data!L316</f>
        <v>112320000000</v>
      </c>
      <c r="G316" s="12">
        <f t="shared" si="4"/>
        <v>9.472934472934473E-2</v>
      </c>
    </row>
    <row r="317" spans="2:7" ht="15" customHeight="1" x14ac:dyDescent="0.3">
      <c r="C317" s="4"/>
      <c r="D317" s="8">
        <v>2021</v>
      </c>
      <c r="E317" s="14">
        <f>Data!N317</f>
        <v>15384000000</v>
      </c>
      <c r="F317" s="14">
        <f>Data!L317</f>
        <v>112684000000</v>
      </c>
      <c r="G317" s="12">
        <f t="shared" si="4"/>
        <v>0.13652337510205531</v>
      </c>
    </row>
    <row r="318" spans="2:7" ht="15" customHeight="1" x14ac:dyDescent="0.3">
      <c r="C318" s="4"/>
      <c r="D318" s="8">
        <v>2022</v>
      </c>
      <c r="E318" s="14">
        <f>Data!N318</f>
        <v>2754000000</v>
      </c>
      <c r="F318" s="14">
        <f>Data!L318</f>
        <v>109205000000</v>
      </c>
      <c r="G318" s="12">
        <f t="shared" si="4"/>
        <v>2.5218625520809487E-2</v>
      </c>
    </row>
    <row r="319" spans="2:7" ht="15" customHeight="1" x14ac:dyDescent="0.3">
      <c r="C319" s="4"/>
      <c r="D319" s="8">
        <v>2023</v>
      </c>
      <c r="E319" s="14">
        <f>Data!N319</f>
        <v>7071000000</v>
      </c>
      <c r="F319" s="14">
        <f>Data!L319</f>
        <v>118909000000</v>
      </c>
      <c r="G319" s="12">
        <f t="shared" si="4"/>
        <v>5.9465641793304123E-2</v>
      </c>
    </row>
    <row r="320" spans="2:7" ht="15" customHeight="1" x14ac:dyDescent="0.3">
      <c r="C320" s="4"/>
      <c r="D320" s="8">
        <v>2024</v>
      </c>
      <c r="E320" s="14">
        <f>Data!N320</f>
        <v>5495000000</v>
      </c>
      <c r="F320" s="14">
        <f>Data!L320</f>
        <v>145340000000</v>
      </c>
      <c r="G320" s="12">
        <f t="shared" si="4"/>
        <v>3.7807898720242192E-2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Data!N321</f>
        <v>0</v>
      </c>
      <c r="F321" s="14">
        <f>Data!L321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Data!N322</f>
        <v>0</v>
      </c>
      <c r="F322" s="14">
        <f>Data!L322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Data!N323</f>
        <v>0</v>
      </c>
      <c r="F323" s="14">
        <f>Data!L323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Data!N324</f>
        <v>452235000000</v>
      </c>
      <c r="F324" s="14">
        <f>Data!L324</f>
        <v>2826530000000</v>
      </c>
      <c r="G324" s="12">
        <f t="shared" si="5"/>
        <v>0.15999653285123455</v>
      </c>
    </row>
    <row r="325" spans="2:7" ht="15" customHeight="1" x14ac:dyDescent="0.3">
      <c r="C325" s="3"/>
      <c r="D325" s="8">
        <v>2018</v>
      </c>
      <c r="E325" s="14">
        <f>Data!N325</f>
        <v>-216462000000</v>
      </c>
      <c r="F325" s="14">
        <f>Data!L325</f>
        <v>2121294000000</v>
      </c>
      <c r="G325" s="12">
        <f t="shared" si="5"/>
        <v>-0.10204243259067343</v>
      </c>
    </row>
    <row r="326" spans="2:7" ht="15" customHeight="1" x14ac:dyDescent="0.3">
      <c r="C326" s="3"/>
      <c r="D326" s="8">
        <v>2019</v>
      </c>
      <c r="E326" s="14">
        <f>Data!N326</f>
        <v>394486000000</v>
      </c>
      <c r="F326" s="14">
        <f>Data!L326</f>
        <v>3900366000000</v>
      </c>
      <c r="G326" s="12">
        <f t="shared" si="5"/>
        <v>0.10114076473848864</v>
      </c>
    </row>
    <row r="327" spans="2:7" ht="15" customHeight="1" x14ac:dyDescent="0.3">
      <c r="C327" s="3"/>
      <c r="D327" s="8">
        <v>2020</v>
      </c>
      <c r="E327" s="14">
        <f>Data!N327</f>
        <v>125019000000</v>
      </c>
      <c r="F327" s="14">
        <f>Data!L327</f>
        <v>1764941000000</v>
      </c>
      <c r="G327" s="12">
        <f t="shared" si="5"/>
        <v>7.0834662461804671E-2</v>
      </c>
    </row>
    <row r="328" spans="2:7" ht="15" customHeight="1" x14ac:dyDescent="0.3">
      <c r="C328" s="3"/>
      <c r="D328" s="8">
        <v>2021</v>
      </c>
      <c r="E328" s="14">
        <f>Data!N328</f>
        <v>78085000000</v>
      </c>
      <c r="F328" s="14">
        <f>Data!L328</f>
        <v>1219468000000</v>
      </c>
      <c r="G328" s="12">
        <f t="shared" si="5"/>
        <v>6.4032020520423658E-2</v>
      </c>
    </row>
    <row r="329" spans="2:7" ht="15" customHeight="1" x14ac:dyDescent="0.3">
      <c r="C329" s="3"/>
      <c r="D329" s="8">
        <v>2022</v>
      </c>
      <c r="E329" s="14">
        <f>Data!N329</f>
        <v>-299047000000</v>
      </c>
      <c r="F329" s="14">
        <f>Data!L329</f>
        <v>1491898000000</v>
      </c>
      <c r="G329" s="12">
        <f t="shared" si="5"/>
        <v>-0.20044734961773525</v>
      </c>
    </row>
    <row r="330" spans="2:7" ht="15" customHeight="1" x14ac:dyDescent="0.3">
      <c r="C330" s="3"/>
      <c r="D330" s="8">
        <v>2023</v>
      </c>
      <c r="E330" s="14">
        <f>Data!N330</f>
        <v>172982000000</v>
      </c>
      <c r="F330" s="14">
        <f>Data!L330</f>
        <v>1203626000000</v>
      </c>
      <c r="G330" s="12">
        <f t="shared" si="5"/>
        <v>0.14371740058789026</v>
      </c>
    </row>
    <row r="331" spans="2:7" ht="15" customHeight="1" x14ac:dyDescent="0.3">
      <c r="C331" s="3"/>
      <c r="D331" s="8">
        <v>2024</v>
      </c>
      <c r="E331" s="14">
        <f>Data!N331</f>
        <v>-9319000000</v>
      </c>
      <c r="F331" s="14">
        <f>Data!L331</f>
        <v>923439000000</v>
      </c>
      <c r="G331" s="12">
        <f t="shared" si="5"/>
        <v>-1.009162489346887E-2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Data!N332</f>
        <v>0</v>
      </c>
      <c r="F332" s="14">
        <f>Data!L332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Data!N333</f>
        <v>0</v>
      </c>
      <c r="F333" s="14">
        <f>Data!L333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Data!N334</f>
        <v>0</v>
      </c>
      <c r="F334" s="14">
        <f>Data!L334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Data!N335</f>
        <v>0</v>
      </c>
      <c r="F335" s="14">
        <f>Data!L335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Data!N336</f>
        <v>0</v>
      </c>
      <c r="F336" s="14">
        <f>Data!L336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Data!N337</f>
        <v>-573000000</v>
      </c>
      <c r="F337" s="14">
        <f>Data!L337</f>
        <v>1602762000000</v>
      </c>
      <c r="G337" s="12">
        <f t="shared" si="5"/>
        <v>-3.5750785207036356E-4</v>
      </c>
    </row>
    <row r="338" spans="2:7" ht="15" customHeight="1" x14ac:dyDescent="0.3">
      <c r="C338" s="3"/>
      <c r="D338" s="8">
        <v>2020</v>
      </c>
      <c r="E338" s="14">
        <f>Data!N338</f>
        <v>74295000000</v>
      </c>
      <c r="F338" s="14">
        <f>Data!L338</f>
        <v>1357217000000</v>
      </c>
      <c r="G338" s="12">
        <f t="shared" si="5"/>
        <v>5.4740693640000088E-2</v>
      </c>
    </row>
    <row r="339" spans="2:7" ht="15" customHeight="1" x14ac:dyDescent="0.3">
      <c r="C339" s="3"/>
      <c r="D339" s="8">
        <v>2021</v>
      </c>
      <c r="E339" s="14">
        <f>Data!N339</f>
        <v>127119000000</v>
      </c>
      <c r="F339" s="14">
        <f>Data!L339</f>
        <v>1440703000000</v>
      </c>
      <c r="G339" s="12">
        <f t="shared" si="5"/>
        <v>8.8234007980826021E-2</v>
      </c>
    </row>
    <row r="340" spans="2:7" ht="15" customHeight="1" x14ac:dyDescent="0.3">
      <c r="C340" s="3"/>
      <c r="D340" s="8">
        <v>2022</v>
      </c>
      <c r="E340" s="14">
        <f>Data!N340</f>
        <v>69937000000</v>
      </c>
      <c r="F340" s="14">
        <f>Data!L340</f>
        <v>1448230000000</v>
      </c>
      <c r="G340" s="12">
        <f t="shared" si="5"/>
        <v>4.8291362559814394E-2</v>
      </c>
    </row>
    <row r="341" spans="2:7" ht="15" customHeight="1" x14ac:dyDescent="0.3">
      <c r="C341" s="3"/>
      <c r="D341" s="8">
        <v>2023</v>
      </c>
      <c r="E341" s="14">
        <f>Data!N341</f>
        <v>-70458000000</v>
      </c>
      <c r="F341" s="14">
        <f>Data!L341</f>
        <v>1712162000000</v>
      </c>
      <c r="G341" s="12">
        <f t="shared" si="5"/>
        <v>-4.1151479824923107E-2</v>
      </c>
    </row>
    <row r="342" spans="2:7" ht="15" customHeight="1" x14ac:dyDescent="0.3">
      <c r="C342" s="3"/>
      <c r="D342" s="8">
        <v>2024</v>
      </c>
      <c r="E342" s="14">
        <f>Data!N342</f>
        <v>-54218000000</v>
      </c>
      <c r="F342" s="14">
        <f>Data!L342</f>
        <v>1839965000000</v>
      </c>
      <c r="G342" s="12">
        <f t="shared" si="5"/>
        <v>-2.9466864858842423E-2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Data!N343</f>
        <v>0</v>
      </c>
      <c r="F343" s="14">
        <f>Data!L343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Data!N344</f>
        <v>0</v>
      </c>
      <c r="F344" s="14">
        <f>Data!L344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Data!N345</f>
        <v>1302115000000</v>
      </c>
      <c r="F345" s="14">
        <f>Data!L345</f>
        <v>10257277000000</v>
      </c>
      <c r="G345" s="12">
        <f t="shared" si="5"/>
        <v>0.12694548465445557</v>
      </c>
    </row>
    <row r="346" spans="2:7" ht="15" customHeight="1" x14ac:dyDescent="0.3">
      <c r="C346" s="3"/>
      <c r="D346" s="8">
        <v>2017</v>
      </c>
      <c r="E346" s="14">
        <f>Data!N346</f>
        <v>1006645000000</v>
      </c>
      <c r="F346" s="14">
        <f>Data!L346</f>
        <v>12761157000000</v>
      </c>
      <c r="G346" s="12">
        <f t="shared" si="5"/>
        <v>7.888352129826473E-2</v>
      </c>
    </row>
    <row r="347" spans="2:7" ht="15" customHeight="1" x14ac:dyDescent="0.3">
      <c r="C347" s="3"/>
      <c r="D347" s="8">
        <v>2018</v>
      </c>
      <c r="E347" s="14">
        <f>Data!N347</f>
        <v>946651000000</v>
      </c>
      <c r="F347" s="14">
        <f>Data!L347</f>
        <v>7434182000000</v>
      </c>
      <c r="G347" s="12">
        <f t="shared" si="5"/>
        <v>0.12733761427955356</v>
      </c>
    </row>
    <row r="348" spans="2:7" ht="15" customHeight="1" x14ac:dyDescent="0.3">
      <c r="C348" s="3"/>
      <c r="D348" s="8">
        <v>2019</v>
      </c>
      <c r="E348" s="14">
        <f>Data!N348</f>
        <v>1003845000000</v>
      </c>
      <c r="F348" s="14">
        <f>Data!L348</f>
        <v>10738420000000</v>
      </c>
      <c r="G348" s="12">
        <f t="shared" si="5"/>
        <v>9.3481629513466599E-2</v>
      </c>
    </row>
    <row r="349" spans="2:7" ht="15" customHeight="1" x14ac:dyDescent="0.3">
      <c r="C349" s="3"/>
      <c r="D349" s="8">
        <v>2020</v>
      </c>
      <c r="E349" s="14">
        <f>Data!N349</f>
        <v>1002166000000</v>
      </c>
      <c r="F349" s="14">
        <f>Data!L349</f>
        <v>12145888000000</v>
      </c>
      <c r="G349" s="12">
        <f t="shared" si="5"/>
        <v>8.2510722970605355E-2</v>
      </c>
    </row>
    <row r="350" spans="2:7" ht="15" customHeight="1" x14ac:dyDescent="0.3">
      <c r="C350" s="3"/>
      <c r="D350" s="8">
        <v>2021</v>
      </c>
      <c r="E350" s="14">
        <f>Data!N350</f>
        <v>1035604000000</v>
      </c>
      <c r="F350" s="14">
        <f>Data!L350</f>
        <v>14996536000000</v>
      </c>
      <c r="G350" s="12">
        <f t="shared" si="5"/>
        <v>6.9056214048364234E-2</v>
      </c>
    </row>
    <row r="351" spans="2:7" ht="15" customHeight="1" x14ac:dyDescent="0.3">
      <c r="C351" s="3"/>
      <c r="D351" s="8">
        <v>2022</v>
      </c>
      <c r="E351" s="14">
        <f>Data!N351</f>
        <v>1171814000000</v>
      </c>
      <c r="F351" s="14">
        <f>Data!L351</f>
        <v>14627604000000</v>
      </c>
      <c r="G351" s="12">
        <f t="shared" si="5"/>
        <v>8.0109770540684591E-2</v>
      </c>
    </row>
    <row r="352" spans="2:7" ht="15" customHeight="1" x14ac:dyDescent="0.3">
      <c r="C352" s="3"/>
      <c r="D352" s="8">
        <v>2023</v>
      </c>
      <c r="E352" s="14">
        <f>Data!N352</f>
        <v>1327060000000</v>
      </c>
      <c r="F352" s="14">
        <f>Data!L352</f>
        <v>14024267000000</v>
      </c>
      <c r="G352" s="12">
        <f t="shared" si="5"/>
        <v>9.4625979382737077E-2</v>
      </c>
    </row>
    <row r="353" spans="2:7" ht="15" customHeight="1" x14ac:dyDescent="0.3">
      <c r="C353" s="3"/>
      <c r="D353" s="8">
        <v>2024</v>
      </c>
      <c r="E353" s="14">
        <f>Data!N353</f>
        <v>1302294000000</v>
      </c>
      <c r="F353" s="14">
        <f>Data!L353</f>
        <v>12458602000000</v>
      </c>
      <c r="G353" s="12">
        <f t="shared" si="5"/>
        <v>0.10452970566039432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Data!N356</f>
        <v>136930000</v>
      </c>
      <c r="F354" s="14">
        <f>Data!L356</f>
        <v>236930000</v>
      </c>
      <c r="G354" s="12">
        <f t="shared" si="5"/>
        <v>0.57793441100747056</v>
      </c>
    </row>
    <row r="355" spans="2:7" ht="15" customHeight="1" x14ac:dyDescent="0.3">
      <c r="C355" s="3"/>
      <c r="D355" s="8">
        <v>2015</v>
      </c>
      <c r="E355" s="14">
        <f>Data!N357</f>
        <v>11416180000</v>
      </c>
      <c r="F355" s="14">
        <f>Data!L357</f>
        <v>755309118000</v>
      </c>
      <c r="G355" s="12">
        <f t="shared" si="5"/>
        <v>1.5114579882511097E-2</v>
      </c>
    </row>
    <row r="356" spans="2:7" ht="15" customHeight="1" x14ac:dyDescent="0.3">
      <c r="C356" s="3"/>
      <c r="D356" s="8">
        <v>2016</v>
      </c>
      <c r="E356" s="14" t="e">
        <f>Data!#REF!</f>
        <v>#REF!</v>
      </c>
      <c r="F356" s="14" t="e">
        <f>Data!#REF!</f>
        <v>#REF!</v>
      </c>
      <c r="G356" s="12">
        <f t="shared" si="5"/>
        <v>0</v>
      </c>
    </row>
    <row r="357" spans="2:7" ht="15" customHeight="1" x14ac:dyDescent="0.3">
      <c r="C357" s="3"/>
      <c r="D357" s="8">
        <v>2017</v>
      </c>
      <c r="E357" s="14" t="e">
        <f>Data!#REF!</f>
        <v>#REF!</v>
      </c>
      <c r="F357" s="14" t="e">
        <f>Data!#REF!</f>
        <v>#REF!</v>
      </c>
      <c r="G357" s="12">
        <f t="shared" si="5"/>
        <v>0</v>
      </c>
    </row>
    <row r="358" spans="2:7" ht="15" customHeight="1" x14ac:dyDescent="0.3">
      <c r="C358" s="3"/>
      <c r="D358" s="8">
        <v>2018</v>
      </c>
      <c r="E358" s="14">
        <f>Data!N358</f>
        <v>17999000000</v>
      </c>
      <c r="F358" s="14">
        <f>Data!L358</f>
        <v>1064133000000</v>
      </c>
      <c r="G358" s="12">
        <f t="shared" si="5"/>
        <v>1.6914239103570702E-2</v>
      </c>
    </row>
    <row r="359" spans="2:7" ht="15" customHeight="1" x14ac:dyDescent="0.3">
      <c r="C359" s="3"/>
      <c r="D359" s="8">
        <v>2019</v>
      </c>
      <c r="E359" s="14">
        <f>Data!N359</f>
        <v>37346000000</v>
      </c>
      <c r="F359" s="14">
        <f>Data!L359</f>
        <v>1072501000000</v>
      </c>
      <c r="G359" s="12">
        <f t="shared" si="5"/>
        <v>3.48214127539275E-2</v>
      </c>
    </row>
    <row r="360" spans="2:7" ht="15" customHeight="1" x14ac:dyDescent="0.3">
      <c r="C360" s="3"/>
      <c r="D360" s="8">
        <v>2020</v>
      </c>
      <c r="E360" s="14">
        <f>Data!N360</f>
        <v>-312516000000</v>
      </c>
      <c r="F360" s="14">
        <f>Data!L360</f>
        <v>682486000000</v>
      </c>
      <c r="G360" s="12">
        <f t="shared" si="5"/>
        <v>-0.45790829408954908</v>
      </c>
    </row>
    <row r="361" spans="2:7" ht="15" customHeight="1" x14ac:dyDescent="0.3">
      <c r="C361" s="3"/>
      <c r="D361" s="8">
        <v>2021</v>
      </c>
      <c r="E361" s="14">
        <f>Data!N361</f>
        <v>59556000000</v>
      </c>
      <c r="F361" s="14">
        <f>Data!L361</f>
        <v>629690000000</v>
      </c>
      <c r="G361" s="12">
        <f t="shared" si="5"/>
        <v>9.4579872635741399E-2</v>
      </c>
    </row>
    <row r="362" spans="2:7" ht="15" customHeight="1" x14ac:dyDescent="0.3">
      <c r="C362" s="3"/>
      <c r="D362" s="8">
        <v>2022</v>
      </c>
      <c r="E362" s="14">
        <f>Data!N362</f>
        <v>-88798000000</v>
      </c>
      <c r="F362" s="14">
        <f>Data!L362</f>
        <v>758176000000</v>
      </c>
      <c r="G362" s="12">
        <f t="shared" si="5"/>
        <v>-0.11712056303549571</v>
      </c>
    </row>
    <row r="363" spans="2:7" ht="15" customHeight="1" x14ac:dyDescent="0.3">
      <c r="C363" s="3"/>
      <c r="D363" s="8">
        <v>2023</v>
      </c>
      <c r="E363" s="14">
        <f>Data!N363</f>
        <v>1140000000</v>
      </c>
      <c r="F363" s="14">
        <f>Data!L363</f>
        <v>828007000000</v>
      </c>
      <c r="G363" s="12">
        <f t="shared" si="5"/>
        <v>1.3767999545897559E-3</v>
      </c>
    </row>
    <row r="364" spans="2:7" ht="15" customHeight="1" x14ac:dyDescent="0.3">
      <c r="C364" s="3"/>
      <c r="D364" s="8">
        <v>2024</v>
      </c>
      <c r="E364" s="14">
        <f>Data!N364</f>
        <v>47962000000</v>
      </c>
      <c r="F364" s="14">
        <f>Data!L364</f>
        <v>989710000000</v>
      </c>
      <c r="G364" s="12">
        <f t="shared" si="5"/>
        <v>4.846066019338998E-2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Data!N365</f>
        <v>0</v>
      </c>
      <c r="F365" s="14">
        <f>Data!L365</f>
        <v>1950148000000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Data!N366</f>
        <v>191182000000</v>
      </c>
      <c r="F366" s="14">
        <f>Data!L366</f>
        <v>3644315000000</v>
      </c>
      <c r="G366" s="12">
        <f t="shared" si="5"/>
        <v>5.2460338911427797E-2</v>
      </c>
    </row>
    <row r="367" spans="2:7" ht="15" customHeight="1" x14ac:dyDescent="0.3">
      <c r="C367" s="3"/>
      <c r="D367" s="8">
        <v>2016</v>
      </c>
      <c r="E367" s="14">
        <f>Data!N367</f>
        <v>131395000000</v>
      </c>
      <c r="F367" s="14">
        <f>Data!L367</f>
        <v>5721415000000</v>
      </c>
      <c r="G367" s="12">
        <f t="shared" si="5"/>
        <v>2.2965472702120019E-2</v>
      </c>
    </row>
    <row r="368" spans="2:7" ht="15" customHeight="1" x14ac:dyDescent="0.3">
      <c r="C368" s="3"/>
      <c r="D368" s="8">
        <v>2017</v>
      </c>
      <c r="E368" s="14">
        <f>Data!N368</f>
        <v>473479000000</v>
      </c>
      <c r="F368" s="14">
        <f>Data!L368</f>
        <v>6966525000000</v>
      </c>
      <c r="G368" s="12">
        <f t="shared" si="5"/>
        <v>6.7964874883819401E-2</v>
      </c>
    </row>
    <row r="369" spans="2:7" ht="15" customHeight="1" x14ac:dyDescent="0.3">
      <c r="C369" s="3"/>
      <c r="D369" s="8">
        <v>2018</v>
      </c>
      <c r="E369" s="14">
        <f>Data!N369</f>
        <v>-38211000000</v>
      </c>
      <c r="F369" s="14">
        <f>Data!L369</f>
        <v>6123301000000</v>
      </c>
      <c r="G369" s="12">
        <f t="shared" si="5"/>
        <v>-6.2402615843970433E-3</v>
      </c>
    </row>
    <row r="370" spans="2:7" ht="15" customHeight="1" x14ac:dyDescent="0.3">
      <c r="C370" s="3"/>
      <c r="D370" s="8">
        <v>2019</v>
      </c>
      <c r="E370" s="14">
        <f>Data!N370</f>
        <v>434958000000</v>
      </c>
      <c r="F370" s="14">
        <f>Data!L370</f>
        <v>6184355000000</v>
      </c>
      <c r="G370" s="12">
        <f t="shared" si="5"/>
        <v>7.0331990967530164E-2</v>
      </c>
    </row>
    <row r="371" spans="2:7" ht="15" customHeight="1" x14ac:dyDescent="0.3">
      <c r="C371" s="3"/>
      <c r="D371" s="8">
        <v>2020</v>
      </c>
      <c r="E371" s="14">
        <f>Data!N371</f>
        <v>319807000000</v>
      </c>
      <c r="F371" s="14">
        <f>Data!L371</f>
        <v>5413062000000</v>
      </c>
      <c r="G371" s="12">
        <f t="shared" si="5"/>
        <v>5.9080609089642792E-2</v>
      </c>
    </row>
    <row r="372" spans="2:7" ht="15" customHeight="1" x14ac:dyDescent="0.3">
      <c r="C372" s="3"/>
      <c r="D372" s="8">
        <v>2021</v>
      </c>
      <c r="E372" s="14">
        <f>Data!N372</f>
        <v>83874000000</v>
      </c>
      <c r="F372" s="14">
        <f>Data!L372</f>
        <v>5870860000000</v>
      </c>
      <c r="G372" s="12">
        <f t="shared" si="5"/>
        <v>1.4286492949925565E-2</v>
      </c>
    </row>
    <row r="373" spans="2:7" ht="15" customHeight="1" x14ac:dyDescent="0.3">
      <c r="C373" s="3"/>
      <c r="D373" s="8">
        <v>2022</v>
      </c>
      <c r="E373" s="14">
        <f>Data!N374</f>
        <v>369689000000</v>
      </c>
      <c r="F373" s="14">
        <f>Data!L374</f>
        <v>6856342000000</v>
      </c>
      <c r="G373" s="12">
        <f t="shared" si="5"/>
        <v>5.3919276488833261E-2</v>
      </c>
    </row>
    <row r="374" spans="2:7" ht="15" customHeight="1" x14ac:dyDescent="0.3">
      <c r="C374" s="3"/>
      <c r="D374" s="8">
        <v>2023</v>
      </c>
      <c r="E374" s="14" t="e">
        <f>Data!#REF!</f>
        <v>#REF!</v>
      </c>
      <c r="F374" s="14" t="e">
        <f>Data!#REF!</f>
        <v>#REF!</v>
      </c>
      <c r="G374" s="12">
        <f t="shared" si="5"/>
        <v>0</v>
      </c>
    </row>
    <row r="375" spans="2:7" ht="15" customHeight="1" x14ac:dyDescent="0.3">
      <c r="C375" s="3"/>
      <c r="D375" s="8">
        <v>2024</v>
      </c>
      <c r="E375" s="14">
        <f>Data!N375</f>
        <v>67857000000</v>
      </c>
      <c r="F375" s="14">
        <f>Data!L375</f>
        <v>6747224000000</v>
      </c>
      <c r="G375" s="12">
        <f t="shared" si="5"/>
        <v>1.0057024933513398E-2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Data!N376</f>
        <v>0</v>
      </c>
      <c r="F376" s="14">
        <f>Data!L376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Data!N377</f>
        <v>0</v>
      </c>
      <c r="F377" s="14">
        <f>Data!L377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Data!N378</f>
        <v>0</v>
      </c>
      <c r="F378" s="14">
        <f>Data!L378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Data!N379</f>
        <v>0</v>
      </c>
      <c r="F379" s="14">
        <f>Data!L379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Data!N380</f>
        <v>0</v>
      </c>
      <c r="F380" s="14">
        <f>Data!L380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Data!N381</f>
        <v>0</v>
      </c>
      <c r="F381" s="14">
        <f>Data!L381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Data!N382</f>
        <v>91793730000</v>
      </c>
      <c r="F382" s="14">
        <f>Data!L382</f>
        <v>10195068670000</v>
      </c>
      <c r="G382" s="12">
        <f t="shared" si="5"/>
        <v>9.003738274967402E-3</v>
      </c>
    </row>
    <row r="383" spans="2:7" ht="15" customHeight="1" x14ac:dyDescent="0.3">
      <c r="C383" s="3"/>
      <c r="D383" s="8">
        <v>2021</v>
      </c>
      <c r="E383" s="14">
        <f>Data!N383</f>
        <v>135306810000</v>
      </c>
      <c r="F383" s="14">
        <f>Data!L383</f>
        <v>13641201430000</v>
      </c>
      <c r="G383" s="12">
        <f t="shared" si="5"/>
        <v>9.9189804281044174E-3</v>
      </c>
    </row>
    <row r="384" spans="2:7" ht="15" customHeight="1" x14ac:dyDescent="0.3">
      <c r="C384" s="3"/>
      <c r="D384" s="8">
        <v>2022</v>
      </c>
      <c r="E384" s="14">
        <f>Data!N384</f>
        <v>48387010000</v>
      </c>
      <c r="F384" s="14">
        <f>Data!L384</f>
        <v>9213402160000</v>
      </c>
      <c r="G384" s="12">
        <f t="shared" si="5"/>
        <v>5.2518070045907989E-3</v>
      </c>
    </row>
    <row r="385" spans="2:7" ht="15" customHeight="1" x14ac:dyDescent="0.3">
      <c r="C385" s="3"/>
      <c r="D385" s="8">
        <v>2023</v>
      </c>
      <c r="E385" s="14">
        <f>Data!N385</f>
        <v>52443750000</v>
      </c>
      <c r="F385" s="14">
        <f>Data!L385</f>
        <v>5501843010000</v>
      </c>
      <c r="G385" s="12">
        <f t="shared" si="5"/>
        <v>9.5320331577399917E-3</v>
      </c>
    </row>
    <row r="386" spans="2:7" ht="15" customHeight="1" x14ac:dyDescent="0.3">
      <c r="C386" s="3"/>
      <c r="D386" s="8">
        <v>2024</v>
      </c>
      <c r="E386" s="14">
        <f>Data!N386</f>
        <v>-160522730000</v>
      </c>
      <c r="F386" s="14">
        <f>Data!L386</f>
        <v>4433818350000</v>
      </c>
      <c r="G386" s="12">
        <f t="shared" si="5"/>
        <v>-3.6204173768192377E-2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Data!N387</f>
        <v>0</v>
      </c>
      <c r="F387" s="14">
        <f>Data!L387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Data!N388</f>
        <v>0</v>
      </c>
      <c r="F388" s="14">
        <f>Data!L388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Data!N389</f>
        <v>364720000</v>
      </c>
      <c r="F389" s="14">
        <f>Data!L389</f>
        <v>834820000</v>
      </c>
      <c r="G389" s="12">
        <f t="shared" si="6"/>
        <v>0.43688459787738676</v>
      </c>
    </row>
    <row r="390" spans="2:7" ht="15" customHeight="1" x14ac:dyDescent="0.3">
      <c r="C390" s="4"/>
      <c r="D390" s="8">
        <v>2017</v>
      </c>
      <c r="E390" s="14">
        <f>Data!N390</f>
        <v>3849220000</v>
      </c>
      <c r="F390" s="14">
        <f>Data!L390</f>
        <v>14367590000</v>
      </c>
      <c r="G390" s="12">
        <f t="shared" si="6"/>
        <v>0.26790992783062434</v>
      </c>
    </row>
    <row r="391" spans="2:7" ht="15" customHeight="1" x14ac:dyDescent="0.3">
      <c r="C391" s="4"/>
      <c r="D391" s="8">
        <v>2018</v>
      </c>
      <c r="E391" s="14">
        <f>Data!N391</f>
        <v>14352550000</v>
      </c>
      <c r="F391" s="14">
        <f>Data!L391</f>
        <v>48070210000</v>
      </c>
      <c r="G391" s="12">
        <f t="shared" si="6"/>
        <v>0.2985747305867813</v>
      </c>
    </row>
    <row r="392" spans="2:7" ht="15" customHeight="1" x14ac:dyDescent="0.3">
      <c r="C392" s="4"/>
      <c r="D392" s="8">
        <v>2019</v>
      </c>
      <c r="E392" s="14">
        <f>Data!N392</f>
        <v>-20783310000</v>
      </c>
      <c r="F392" s="14">
        <f>Data!L392</f>
        <v>112243420000</v>
      </c>
      <c r="G392" s="12">
        <f t="shared" si="6"/>
        <v>-0.18516283627138233</v>
      </c>
    </row>
    <row r="393" spans="2:7" ht="15" customHeight="1" x14ac:dyDescent="0.3">
      <c r="C393" s="4"/>
      <c r="D393" s="8">
        <v>2020</v>
      </c>
      <c r="E393" s="14">
        <f>Data!N393</f>
        <v>24416240000</v>
      </c>
      <c r="F393" s="14">
        <f>Data!L393</f>
        <v>112865650000</v>
      </c>
      <c r="G393" s="12">
        <f t="shared" si="6"/>
        <v>0.21633012346980679</v>
      </c>
    </row>
    <row r="394" spans="2:7" ht="15" customHeight="1" x14ac:dyDescent="0.3">
      <c r="C394" s="4"/>
      <c r="D394" s="8">
        <v>2021</v>
      </c>
      <c r="E394" s="14">
        <f>Data!N394</f>
        <v>-16015990000</v>
      </c>
      <c r="F394" s="14">
        <f>Data!L394</f>
        <v>172277280000</v>
      </c>
      <c r="G394" s="12">
        <f t="shared" si="6"/>
        <v>-9.296635052515341E-2</v>
      </c>
    </row>
    <row r="395" spans="2:7" ht="15" customHeight="1" x14ac:dyDescent="0.3">
      <c r="C395" s="4"/>
      <c r="D395" s="8">
        <v>2022</v>
      </c>
      <c r="E395" s="14">
        <f>Data!N395</f>
        <v>660160000</v>
      </c>
      <c r="F395" s="14">
        <f>Data!L395</f>
        <v>213852780000</v>
      </c>
      <c r="G395" s="12">
        <f t="shared" si="6"/>
        <v>3.0869834846196527E-3</v>
      </c>
    </row>
    <row r="396" spans="2:7" ht="15" customHeight="1" x14ac:dyDescent="0.3">
      <c r="C396" s="4"/>
      <c r="D396" s="8">
        <v>2023</v>
      </c>
      <c r="E396" s="14">
        <f>Data!N396</f>
        <v>47095890000</v>
      </c>
      <c r="F396" s="14">
        <f>Data!L396</f>
        <v>212140030000</v>
      </c>
      <c r="G396" s="12">
        <f t="shared" si="6"/>
        <v>0.22200378683834446</v>
      </c>
    </row>
    <row r="397" spans="2:7" ht="15" customHeight="1" x14ac:dyDescent="0.3">
      <c r="C397" s="4"/>
      <c r="D397" s="8">
        <v>2024</v>
      </c>
      <c r="E397" s="14">
        <f>Data!N397</f>
        <v>0</v>
      </c>
      <c r="F397" s="14">
        <f>Data!L397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Data!N398</f>
        <v>0</v>
      </c>
      <c r="F398" s="14">
        <f>Data!L398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Data!N399</f>
        <v>0</v>
      </c>
      <c r="F399" s="14">
        <f>Data!L399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Data!N400</f>
        <v>0</v>
      </c>
      <c r="F400" s="14">
        <f>Data!L400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Data!N401</f>
        <v>-23649080000</v>
      </c>
      <c r="F401" s="14">
        <f>Data!L401</f>
        <v>39561670000</v>
      </c>
      <c r="G401" s="12">
        <f t="shared" si="6"/>
        <v>-0.59777759634514926</v>
      </c>
    </row>
    <row r="402" spans="2:7" ht="15" customHeight="1" x14ac:dyDescent="0.3">
      <c r="C402" s="3"/>
      <c r="D402" s="8">
        <v>2018</v>
      </c>
      <c r="E402" s="14">
        <f>Data!N402</f>
        <v>-22824050000</v>
      </c>
      <c r="F402" s="14">
        <f>Data!L402</f>
        <v>41616860000</v>
      </c>
      <c r="G402" s="12">
        <f t="shared" si="6"/>
        <v>-0.54843277460144757</v>
      </c>
    </row>
    <row r="403" spans="2:7" ht="15" customHeight="1" x14ac:dyDescent="0.3">
      <c r="C403" s="3"/>
      <c r="D403" s="8">
        <v>2019</v>
      </c>
      <c r="E403" s="14">
        <f>Data!N403</f>
        <v>-33770430000</v>
      </c>
      <c r="F403" s="14">
        <f>Data!L403</f>
        <v>49682230000</v>
      </c>
      <c r="G403" s="12">
        <f t="shared" si="6"/>
        <v>-0.67972854680637318</v>
      </c>
    </row>
    <row r="404" spans="2:7" ht="15" customHeight="1" x14ac:dyDescent="0.3">
      <c r="C404" s="3"/>
      <c r="D404" s="8">
        <v>2020</v>
      </c>
      <c r="E404" s="14">
        <f>Data!N404</f>
        <v>-31624440000</v>
      </c>
      <c r="F404" s="14">
        <f>Data!L404</f>
        <v>50141460000</v>
      </c>
      <c r="G404" s="12">
        <f t="shared" si="6"/>
        <v>-0.63070441108017194</v>
      </c>
    </row>
    <row r="405" spans="2:7" ht="15" customHeight="1" x14ac:dyDescent="0.3">
      <c r="C405" s="3"/>
      <c r="D405" s="8">
        <v>2021</v>
      </c>
      <c r="E405" s="14">
        <f>Data!N405</f>
        <v>-24154450000</v>
      </c>
      <c r="F405" s="14">
        <f>Data!L405</f>
        <v>42027800000</v>
      </c>
      <c r="G405" s="12">
        <f t="shared" si="6"/>
        <v>-0.57472553881002575</v>
      </c>
    </row>
    <row r="406" spans="2:7" ht="15" customHeight="1" x14ac:dyDescent="0.3">
      <c r="C406" s="3"/>
      <c r="D406" s="8">
        <v>2022</v>
      </c>
      <c r="E406" s="14">
        <f>Data!N406</f>
        <v>-23184920000</v>
      </c>
      <c r="F406" s="14">
        <f>Data!L406</f>
        <v>44009640000</v>
      </c>
      <c r="G406" s="12">
        <f t="shared" si="6"/>
        <v>-0.52681457971480794</v>
      </c>
    </row>
    <row r="407" spans="2:7" ht="15" customHeight="1" x14ac:dyDescent="0.3">
      <c r="C407" s="3"/>
      <c r="D407" s="8">
        <v>2023</v>
      </c>
      <c r="E407" s="14">
        <f>Data!N407</f>
        <v>-34996390000</v>
      </c>
      <c r="F407" s="14">
        <f>Data!L407</f>
        <v>41351630000</v>
      </c>
      <c r="G407" s="12">
        <f t="shared" si="6"/>
        <v>-0.84631222517709703</v>
      </c>
    </row>
    <row r="408" spans="2:7" ht="15" customHeight="1" x14ac:dyDescent="0.3">
      <c r="C408" s="3"/>
      <c r="D408" s="8">
        <v>2024</v>
      </c>
      <c r="E408" s="14">
        <f>Data!N408</f>
        <v>-36679000000</v>
      </c>
      <c r="F408" s="14">
        <f>Data!L408</f>
        <v>40644000000</v>
      </c>
      <c r="G408" s="12">
        <f t="shared" si="6"/>
        <v>-0.90244562543056783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Data!N409</f>
        <v>0</v>
      </c>
      <c r="F409" s="14">
        <f>Data!L409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Data!N410</f>
        <v>0</v>
      </c>
      <c r="F410" s="14">
        <f>Data!L410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Data!N411</f>
        <v>0</v>
      </c>
      <c r="F411" s="14">
        <f>Data!L411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Data!N412</f>
        <v>850000000</v>
      </c>
      <c r="F412" s="14">
        <f>Data!L412</f>
        <v>7857000000</v>
      </c>
      <c r="G412" s="12">
        <f t="shared" si="6"/>
        <v>0.10818378515973018</v>
      </c>
    </row>
    <row r="413" spans="2:7" ht="15" customHeight="1" x14ac:dyDescent="0.3">
      <c r="C413" s="3"/>
      <c r="D413" s="8">
        <v>2018</v>
      </c>
      <c r="E413" s="14">
        <f>Data!N413</f>
        <v>-10827000000</v>
      </c>
      <c r="F413" s="14">
        <f>Data!L413</f>
        <v>14708000000</v>
      </c>
      <c r="G413" s="12">
        <f t="shared" si="6"/>
        <v>-0.73612999728039163</v>
      </c>
    </row>
    <row r="414" spans="2:7" ht="15" customHeight="1" x14ac:dyDescent="0.3">
      <c r="C414" s="3"/>
      <c r="D414" s="8">
        <v>2019</v>
      </c>
      <c r="E414" s="14">
        <f>Data!N414</f>
        <v>-31964000000</v>
      </c>
      <c r="F414" s="14">
        <f>Data!L414</f>
        <v>27542000000</v>
      </c>
      <c r="G414" s="12">
        <f t="shared" si="6"/>
        <v>-1.1605547890494516</v>
      </c>
    </row>
    <row r="415" spans="2:7" ht="15" customHeight="1" x14ac:dyDescent="0.3">
      <c r="C415" s="3"/>
      <c r="D415" s="8">
        <v>2020</v>
      </c>
      <c r="E415" s="14">
        <f>Data!N415</f>
        <v>-28340000000</v>
      </c>
      <c r="F415" s="14">
        <f>Data!L415</f>
        <v>35000000000</v>
      </c>
      <c r="G415" s="12">
        <f t="shared" si="6"/>
        <v>-0.80971428571428572</v>
      </c>
    </row>
    <row r="416" spans="2:7" ht="15" customHeight="1" x14ac:dyDescent="0.3">
      <c r="C416" s="3"/>
      <c r="D416" s="8">
        <v>2021</v>
      </c>
      <c r="E416" s="14">
        <f>Data!N416</f>
        <v>-23823000000</v>
      </c>
      <c r="F416" s="14">
        <f>Data!L416</f>
        <v>24578000000</v>
      </c>
      <c r="G416" s="12">
        <f t="shared" si="6"/>
        <v>-0.96928147123443731</v>
      </c>
    </row>
    <row r="417" spans="2:7" ht="15" customHeight="1" x14ac:dyDescent="0.3">
      <c r="C417" s="3"/>
      <c r="D417" s="8">
        <v>2022</v>
      </c>
      <c r="E417" s="14">
        <f>Data!N417</f>
        <v>-36004000000</v>
      </c>
      <c r="F417" s="14">
        <f>Data!L417</f>
        <v>26881000000</v>
      </c>
      <c r="G417" s="12">
        <f t="shared" si="6"/>
        <v>-1.3393846955098396</v>
      </c>
    </row>
    <row r="418" spans="2:7" ht="15" customHeight="1" x14ac:dyDescent="0.3">
      <c r="C418" s="3"/>
      <c r="D418" s="8">
        <v>2023</v>
      </c>
      <c r="E418" s="14">
        <f>Data!N418</f>
        <v>-50202000000</v>
      </c>
      <c r="F418" s="14">
        <f>Data!L418</f>
        <v>57439000000</v>
      </c>
      <c r="G418" s="12">
        <f t="shared" si="6"/>
        <v>-0.87400546666898793</v>
      </c>
    </row>
    <row r="419" spans="2:7" ht="15" customHeight="1" x14ac:dyDescent="0.3">
      <c r="C419" s="3"/>
      <c r="D419" s="8">
        <v>2024</v>
      </c>
      <c r="E419" s="14">
        <f>Data!N419</f>
        <v>-49633000000</v>
      </c>
      <c r="F419" s="14">
        <f>Data!L419</f>
        <v>42924000000</v>
      </c>
      <c r="G419" s="12">
        <f t="shared" si="6"/>
        <v>-1.1562995061038115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Data!N420</f>
        <v>0</v>
      </c>
      <c r="F420" s="14">
        <f>Data!L420</f>
        <v>1062779000000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Data!N421</f>
        <v>-54770000000</v>
      </c>
      <c r="F421" s="14">
        <f>Data!L421</f>
        <v>1148868000000</v>
      </c>
      <c r="G421" s="12">
        <f t="shared" si="6"/>
        <v>-4.7673013784003036E-2</v>
      </c>
    </row>
    <row r="422" spans="2:7" ht="15" customHeight="1" x14ac:dyDescent="0.3">
      <c r="C422" s="3"/>
      <c r="D422" s="8">
        <v>2016</v>
      </c>
      <c r="E422" s="14">
        <f>Data!N422</f>
        <v>-21632000000</v>
      </c>
      <c r="F422" s="14">
        <f>Data!L422</f>
        <v>1297865000000</v>
      </c>
      <c r="G422" s="12">
        <f t="shared" si="6"/>
        <v>-1.6667372954814252E-2</v>
      </c>
    </row>
    <row r="423" spans="2:7" ht="15" customHeight="1" x14ac:dyDescent="0.3">
      <c r="C423" s="3"/>
      <c r="D423" s="8">
        <v>2017</v>
      </c>
      <c r="E423" s="14">
        <f>Data!N423</f>
        <v>124439000000</v>
      </c>
      <c r="F423" s="14">
        <f>Data!L423</f>
        <v>1581693000000</v>
      </c>
      <c r="G423" s="12">
        <f t="shared" si="6"/>
        <v>7.8674559475195249E-2</v>
      </c>
    </row>
    <row r="424" spans="2:7" ht="15" customHeight="1" x14ac:dyDescent="0.3">
      <c r="C424" s="3"/>
      <c r="D424" s="8">
        <v>2018</v>
      </c>
      <c r="E424" s="14">
        <f>Data!N435</f>
        <v>25061000000</v>
      </c>
      <c r="F424" s="14">
        <f>Data!L435</f>
        <v>811679000000</v>
      </c>
      <c r="G424" s="12">
        <f t="shared" si="6"/>
        <v>3.087550620380717E-2</v>
      </c>
    </row>
    <row r="425" spans="2:7" ht="15" customHeight="1" x14ac:dyDescent="0.3">
      <c r="C425" s="3"/>
      <c r="D425" s="8">
        <v>2019</v>
      </c>
      <c r="E425" s="14">
        <f>Data!N436</f>
        <v>43964000000</v>
      </c>
      <c r="F425" s="14">
        <f>Data!L436</f>
        <v>926472000000</v>
      </c>
      <c r="G425" s="12">
        <f t="shared" si="6"/>
        <v>4.7453134039668762E-2</v>
      </c>
    </row>
    <row r="426" spans="2:7" ht="15" customHeight="1" x14ac:dyDescent="0.3">
      <c r="C426" s="3"/>
      <c r="D426" s="8">
        <v>2020</v>
      </c>
      <c r="E426" s="14">
        <f>Data!N437</f>
        <v>35347000000</v>
      </c>
      <c r="F426" s="14">
        <f>Data!L437</f>
        <v>809935000000</v>
      </c>
      <c r="G426" s="12">
        <f t="shared" si="6"/>
        <v>4.3641773722582676E-2</v>
      </c>
    </row>
    <row r="427" spans="2:7" ht="15" customHeight="1" x14ac:dyDescent="0.3">
      <c r="C427" s="3"/>
      <c r="D427" s="8">
        <v>2021</v>
      </c>
      <c r="E427" s="14">
        <f>Data!N438</f>
        <v>3583000000</v>
      </c>
      <c r="F427" s="14">
        <f>Data!L438</f>
        <v>1007902000000</v>
      </c>
      <c r="G427" s="12">
        <f t="shared" si="6"/>
        <v>3.5549091082267919E-3</v>
      </c>
    </row>
    <row r="428" spans="2:7" ht="15" customHeight="1" x14ac:dyDescent="0.3">
      <c r="C428" s="3"/>
      <c r="D428" s="8">
        <v>2022</v>
      </c>
      <c r="E428" s="14">
        <f>Data!N439</f>
        <v>-2476000000</v>
      </c>
      <c r="F428" s="14">
        <f>Data!L439</f>
        <v>940232000000</v>
      </c>
      <c r="G428" s="12">
        <f t="shared" si="6"/>
        <v>-2.6333926094836168E-3</v>
      </c>
    </row>
    <row r="429" spans="2:7" ht="15" customHeight="1" x14ac:dyDescent="0.3">
      <c r="C429" s="3"/>
      <c r="D429" s="8">
        <v>2023</v>
      </c>
      <c r="E429" s="14">
        <f>Data!N440</f>
        <v>-48327000000</v>
      </c>
      <c r="F429" s="14">
        <f>Data!L440</f>
        <v>858772000000</v>
      </c>
      <c r="G429" s="12">
        <f t="shared" si="6"/>
        <v>-5.6274540856013001E-2</v>
      </c>
    </row>
    <row r="430" spans="2:7" ht="15" customHeight="1" x14ac:dyDescent="0.3">
      <c r="C430" s="3"/>
      <c r="D430" s="8">
        <v>2024</v>
      </c>
      <c r="E430" s="14">
        <f>Data!N441</f>
        <v>209000000</v>
      </c>
      <c r="F430" s="14">
        <f>Data!L441</f>
        <v>793409000000</v>
      </c>
      <c r="G430" s="12">
        <f t="shared" si="6"/>
        <v>2.6342025361446617E-4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Data!N431</f>
        <v>0</v>
      </c>
      <c r="F431" s="14">
        <f>Data!L431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Data!N432</f>
        <v>0</v>
      </c>
      <c r="F432" s="14">
        <f>Data!L432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Data!N433</f>
        <v>0</v>
      </c>
      <c r="F433" s="14">
        <f>Data!L433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Data!N434</f>
        <v>0</v>
      </c>
      <c r="F434" s="14">
        <f>Data!L434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 t="e">
        <f>Data!#REF!</f>
        <v>#REF!</v>
      </c>
      <c r="F435" s="14" t="e">
        <f>Data!#REF!</f>
        <v>#REF!</v>
      </c>
      <c r="G435" s="12">
        <f t="shared" si="6"/>
        <v>0</v>
      </c>
    </row>
    <row r="436" spans="2:7" ht="15" customHeight="1" x14ac:dyDescent="0.3">
      <c r="C436" s="3"/>
      <c r="D436" s="8">
        <v>2019</v>
      </c>
      <c r="E436" s="14" t="e">
        <f>Data!#REF!</f>
        <v>#REF!</v>
      </c>
      <c r="F436" s="14" t="e">
        <f>Data!#REF!</f>
        <v>#REF!</v>
      </c>
      <c r="G436" s="12">
        <f t="shared" si="6"/>
        <v>0</v>
      </c>
    </row>
    <row r="437" spans="2:7" ht="15" customHeight="1" x14ac:dyDescent="0.3">
      <c r="C437" s="3"/>
      <c r="D437" s="8">
        <v>2020</v>
      </c>
      <c r="E437" s="14" t="e">
        <f>Data!#REF!</f>
        <v>#REF!</v>
      </c>
      <c r="F437" s="14" t="e">
        <f>Data!#REF!</f>
        <v>#REF!</v>
      </c>
      <c r="G437" s="12">
        <f t="shared" si="6"/>
        <v>0</v>
      </c>
    </row>
    <row r="438" spans="2:7" ht="15" customHeight="1" x14ac:dyDescent="0.3">
      <c r="C438" s="3"/>
      <c r="D438" s="8">
        <v>2021</v>
      </c>
      <c r="E438" s="14" t="e">
        <f>Data!#REF!</f>
        <v>#REF!</v>
      </c>
      <c r="F438" s="14" t="e">
        <f>Data!#REF!</f>
        <v>#REF!</v>
      </c>
      <c r="G438" s="12">
        <f t="shared" si="6"/>
        <v>0</v>
      </c>
    </row>
    <row r="439" spans="2:7" ht="15" customHeight="1" x14ac:dyDescent="0.3">
      <c r="C439" s="3"/>
      <c r="D439" s="8">
        <v>2022</v>
      </c>
      <c r="E439" s="14" t="e">
        <f>Data!#REF!</f>
        <v>#REF!</v>
      </c>
      <c r="F439" s="14" t="e">
        <f>Data!#REF!</f>
        <v>#REF!</v>
      </c>
      <c r="G439" s="12">
        <f t="shared" si="6"/>
        <v>0</v>
      </c>
    </row>
    <row r="440" spans="2:7" ht="15" customHeight="1" x14ac:dyDescent="0.3">
      <c r="C440" s="3"/>
      <c r="D440" s="8">
        <v>2023</v>
      </c>
      <c r="E440" s="14" t="e">
        <f>Data!#REF!</f>
        <v>#REF!</v>
      </c>
      <c r="F440" s="14" t="e">
        <f>Data!#REF!</f>
        <v>#REF!</v>
      </c>
      <c r="G440" s="12">
        <f t="shared" si="6"/>
        <v>0</v>
      </c>
    </row>
    <row r="441" spans="2:7" ht="15" customHeight="1" x14ac:dyDescent="0.3">
      <c r="C441" s="3"/>
      <c r="D441" s="8">
        <v>2024</v>
      </c>
      <c r="E441" s="14" t="e">
        <f>Data!#REF!</f>
        <v>#REF!</v>
      </c>
      <c r="F441" s="14" t="e">
        <f>Data!#REF!</f>
        <v>#REF!</v>
      </c>
      <c r="G441" s="12">
        <f t="shared" si="6"/>
        <v>0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Data!N442</f>
        <v>0</v>
      </c>
      <c r="F442" s="14">
        <f>Data!L442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Data!N443</f>
        <v>0</v>
      </c>
      <c r="F443" s="14">
        <f>Data!L443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Data!N444</f>
        <v>0</v>
      </c>
      <c r="F444" s="14">
        <f>Data!L444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Data!N445</f>
        <v>0</v>
      </c>
      <c r="F445" s="14">
        <f>Data!L445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Data!N446</f>
        <v>-487947000000</v>
      </c>
      <c r="F446" s="14">
        <f>Data!L446</f>
        <v>602871000000</v>
      </c>
      <c r="G446" s="12">
        <f t="shared" si="6"/>
        <v>-0.8093721542419523</v>
      </c>
    </row>
    <row r="447" spans="2:7" ht="15" customHeight="1" x14ac:dyDescent="0.3">
      <c r="C447" s="3"/>
      <c r="D447" s="8">
        <v>2019</v>
      </c>
      <c r="E447" s="14">
        <f>Data!N447</f>
        <v>-345388000000</v>
      </c>
      <c r="F447" s="14">
        <f>Data!L447</f>
        <v>1023903000000</v>
      </c>
      <c r="G447" s="12">
        <f t="shared" si="6"/>
        <v>-0.33732492238034267</v>
      </c>
    </row>
    <row r="448" spans="2:7" ht="15" customHeight="1" x14ac:dyDescent="0.3">
      <c r="C448" s="3"/>
      <c r="D448" s="8">
        <v>2020</v>
      </c>
      <c r="E448" s="14">
        <f>Data!N448</f>
        <v>-362365000000</v>
      </c>
      <c r="F448" s="14">
        <f>Data!L448</f>
        <v>2965679000000</v>
      </c>
      <c r="G448" s="12">
        <f t="shared" si="6"/>
        <v>-0.12218618400710259</v>
      </c>
    </row>
    <row r="449" spans="2:7" ht="15" customHeight="1" x14ac:dyDescent="0.3">
      <c r="C449" s="3"/>
      <c r="D449" s="8">
        <v>2021</v>
      </c>
      <c r="E449" s="14">
        <f>Data!N449</f>
        <v>-179468000000</v>
      </c>
      <c r="F449" s="14">
        <f>Data!L449</f>
        <v>2933681000000</v>
      </c>
      <c r="G449" s="12">
        <f t="shared" si="6"/>
        <v>-6.1175022096812845E-2</v>
      </c>
    </row>
    <row r="450" spans="2:7" ht="15" customHeight="1" x14ac:dyDescent="0.3">
      <c r="C450" s="3"/>
      <c r="D450" s="8">
        <v>2022</v>
      </c>
      <c r="E450" s="14">
        <f>Data!N450</f>
        <v>-390672000000</v>
      </c>
      <c r="F450" s="14">
        <f>Data!L450</f>
        <v>2551416000000</v>
      </c>
      <c r="G450" s="12">
        <f t="shared" si="6"/>
        <v>-0.15311967942507221</v>
      </c>
    </row>
    <row r="451" spans="2:7" ht="15" customHeight="1" x14ac:dyDescent="0.3">
      <c r="C451" s="3"/>
      <c r="D451" s="8">
        <v>2023</v>
      </c>
      <c r="E451" s="14">
        <f>Data!N451</f>
        <v>-1879916000000</v>
      </c>
      <c r="F451" s="14">
        <f>Data!L451</f>
        <v>2862880000000</v>
      </c>
      <c r="G451" s="12">
        <f t="shared" ref="G451:G514" si="7">IFERROR(E451/F451,0)</f>
        <v>-0.65665204269826194</v>
      </c>
    </row>
    <row r="452" spans="2:7" ht="15" customHeight="1" x14ac:dyDescent="0.3">
      <c r="C452" s="3"/>
      <c r="D452" s="8">
        <v>2024</v>
      </c>
      <c r="E452" s="14">
        <f>Data!N452</f>
        <v>-833046000000</v>
      </c>
      <c r="F452" s="14">
        <f>Data!L452</f>
        <v>2347066000000</v>
      </c>
      <c r="G452" s="12">
        <f t="shared" si="7"/>
        <v>-0.35493079444719494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Data!N453</f>
        <v>0</v>
      </c>
      <c r="F453" s="14">
        <f>Data!L453</f>
        <v>1258079250000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Data!N454</f>
        <v>-36636610000</v>
      </c>
      <c r="F454" s="14">
        <f>Data!L454</f>
        <v>890393270000</v>
      </c>
      <c r="G454" s="12">
        <f t="shared" si="7"/>
        <v>-4.1146548648104672E-2</v>
      </c>
    </row>
    <row r="455" spans="2:7" ht="15" customHeight="1" x14ac:dyDescent="0.3">
      <c r="C455" s="3"/>
      <c r="D455" s="8">
        <v>2016</v>
      </c>
      <c r="E455" s="14">
        <f>Data!N455</f>
        <v>-61977770000</v>
      </c>
      <c r="F455" s="14">
        <f>Data!L455</f>
        <v>1172898060000</v>
      </c>
      <c r="G455" s="12">
        <f t="shared" si="7"/>
        <v>-5.2841565787908287E-2</v>
      </c>
    </row>
    <row r="456" spans="2:7" ht="15" customHeight="1" x14ac:dyDescent="0.3">
      <c r="C456" s="3"/>
      <c r="D456" s="8">
        <v>2017</v>
      </c>
      <c r="E456" s="14">
        <f>Data!N456</f>
        <v>3425090000</v>
      </c>
      <c r="F456" s="14">
        <f>Data!L456</f>
        <v>1511974180000</v>
      </c>
      <c r="G456" s="12">
        <f t="shared" si="7"/>
        <v>2.265309848082194E-3</v>
      </c>
    </row>
    <row r="457" spans="2:7" ht="15" customHeight="1" x14ac:dyDescent="0.3">
      <c r="C457" s="3"/>
      <c r="D457" s="8">
        <v>2018</v>
      </c>
      <c r="E457" s="14">
        <f>Data!N457</f>
        <v>-96016840000</v>
      </c>
      <c r="F457" s="14">
        <f>Data!L457</f>
        <v>1904599980000</v>
      </c>
      <c r="G457" s="12">
        <f t="shared" si="7"/>
        <v>-5.0413126645102661E-2</v>
      </c>
    </row>
    <row r="458" spans="2:7" ht="15" customHeight="1" x14ac:dyDescent="0.3">
      <c r="C458" s="3"/>
      <c r="D458" s="8">
        <v>2019</v>
      </c>
      <c r="E458" s="14">
        <f>Data!N458</f>
        <v>179690200000</v>
      </c>
      <c r="F458" s="14">
        <f>Data!L458</f>
        <v>2213221600000</v>
      </c>
      <c r="G458" s="12">
        <f t="shared" si="7"/>
        <v>8.118942992423353E-2</v>
      </c>
    </row>
    <row r="459" spans="2:7" ht="15" customHeight="1" x14ac:dyDescent="0.3">
      <c r="C459" s="3"/>
      <c r="D459" s="8">
        <v>2020</v>
      </c>
      <c r="E459" s="14">
        <f>Data!N459</f>
        <v>102991370000</v>
      </c>
      <c r="F459" s="14">
        <f>Data!L459</f>
        <v>1944866410000</v>
      </c>
      <c r="G459" s="12">
        <f t="shared" si="7"/>
        <v>5.2955498367623102E-2</v>
      </c>
    </row>
    <row r="460" spans="2:7" ht="15" customHeight="1" x14ac:dyDescent="0.3">
      <c r="C460" s="3"/>
      <c r="D460" s="8">
        <v>2021</v>
      </c>
      <c r="E460" s="14">
        <f>Data!N460</f>
        <v>-31273380000</v>
      </c>
      <c r="F460" s="14">
        <f>Data!L460</f>
        <v>2492561790000</v>
      </c>
      <c r="G460" s="12">
        <f t="shared" si="7"/>
        <v>-1.2546681942035226E-2</v>
      </c>
    </row>
    <row r="461" spans="2:7" ht="15" customHeight="1" x14ac:dyDescent="0.3">
      <c r="C461" s="3"/>
      <c r="D461" s="8">
        <v>2022</v>
      </c>
      <c r="E461" s="14">
        <f>Data!N461</f>
        <v>-403354500000</v>
      </c>
      <c r="F461" s="14">
        <f>Data!L461</f>
        <v>3963998540000</v>
      </c>
      <c r="G461" s="12">
        <f t="shared" si="7"/>
        <v>-0.10175445221026747</v>
      </c>
    </row>
    <row r="462" spans="2:7" ht="15" customHeight="1" x14ac:dyDescent="0.3">
      <c r="C462" s="3"/>
      <c r="D462" s="8">
        <v>2023</v>
      </c>
      <c r="E462" s="14">
        <f>Data!N462</f>
        <v>405449950000</v>
      </c>
      <c r="F462" s="14">
        <f>Data!L462</f>
        <v>4106181060000</v>
      </c>
      <c r="G462" s="12">
        <f t="shared" si="7"/>
        <v>9.87413716237832E-2</v>
      </c>
    </row>
    <row r="463" spans="2:7" ht="15" customHeight="1" x14ac:dyDescent="0.3">
      <c r="C463" s="3"/>
      <c r="D463" s="8">
        <v>2024</v>
      </c>
      <c r="E463" s="14">
        <f>Data!N463</f>
        <v>-99348650000</v>
      </c>
      <c r="F463" s="14">
        <f>Data!L463</f>
        <v>4339933250000</v>
      </c>
      <c r="G463" s="12">
        <f t="shared" si="7"/>
        <v>-2.2891746088491108E-2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Data!N464</f>
        <v>0</v>
      </c>
      <c r="F464" s="14">
        <f>Data!L464</f>
        <v>15534570000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Data!N465</f>
        <v>-72698130000</v>
      </c>
      <c r="F465" s="14">
        <f>Data!L465</f>
        <v>64228260000</v>
      </c>
      <c r="G465" s="12">
        <f t="shared" si="7"/>
        <v>-1.131871391191354</v>
      </c>
    </row>
    <row r="466" spans="2:7" ht="15" customHeight="1" x14ac:dyDescent="0.3">
      <c r="C466" s="3"/>
      <c r="D466" s="8">
        <v>2016</v>
      </c>
      <c r="E466" s="14">
        <f>Data!N466</f>
        <v>-131560440000</v>
      </c>
      <c r="F466" s="14">
        <f>Data!L466</f>
        <v>192284840000</v>
      </c>
      <c r="G466" s="12">
        <f t="shared" si="7"/>
        <v>-0.68419559233062788</v>
      </c>
    </row>
    <row r="467" spans="2:7" ht="15" customHeight="1" x14ac:dyDescent="0.3">
      <c r="C467" s="3"/>
      <c r="D467" s="8">
        <v>2017</v>
      </c>
      <c r="E467" s="14">
        <f>Data!N467</f>
        <v>-56928730000</v>
      </c>
      <c r="F467" s="14">
        <f>Data!L467</f>
        <v>247528580000</v>
      </c>
      <c r="G467" s="12">
        <f t="shared" si="7"/>
        <v>-0.22998851284162822</v>
      </c>
    </row>
    <row r="468" spans="2:7" ht="15" customHeight="1" x14ac:dyDescent="0.3">
      <c r="C468" s="3"/>
      <c r="D468" s="8">
        <v>2018</v>
      </c>
      <c r="E468" s="14">
        <f>Data!N468</f>
        <v>-2518050000</v>
      </c>
      <c r="F468" s="14">
        <f>Data!L468</f>
        <v>195732790000</v>
      </c>
      <c r="G468" s="12">
        <f t="shared" si="7"/>
        <v>-1.286473257751039E-2</v>
      </c>
    </row>
    <row r="469" spans="2:7" ht="15" customHeight="1" x14ac:dyDescent="0.3">
      <c r="C469" s="3"/>
      <c r="D469" s="8">
        <v>2019</v>
      </c>
      <c r="E469" s="14">
        <f>Data!N469</f>
        <v>28306930000</v>
      </c>
      <c r="F469" s="14">
        <f>Data!L469</f>
        <v>189454050000</v>
      </c>
      <c r="G469" s="12">
        <f t="shared" si="7"/>
        <v>0.149413169050754</v>
      </c>
    </row>
    <row r="470" spans="2:7" ht="15" customHeight="1" x14ac:dyDescent="0.3">
      <c r="C470" s="3"/>
      <c r="D470" s="8">
        <v>2020</v>
      </c>
      <c r="E470" s="14">
        <f>Data!N470</f>
        <v>33705640000</v>
      </c>
      <c r="F470" s="14">
        <f>Data!L470</f>
        <v>201081100000</v>
      </c>
      <c r="G470" s="12">
        <f t="shared" si="7"/>
        <v>0.1676221186377039</v>
      </c>
    </row>
    <row r="471" spans="2:7" ht="15" customHeight="1" x14ac:dyDescent="0.3">
      <c r="C471" s="3"/>
      <c r="D471" s="8">
        <v>2021</v>
      </c>
      <c r="E471" s="14">
        <f>Data!N471</f>
        <v>10323500000</v>
      </c>
      <c r="F471" s="14">
        <f>Data!L471</f>
        <v>223764130000</v>
      </c>
      <c r="G471" s="12">
        <f t="shared" si="7"/>
        <v>4.6135633982086408E-2</v>
      </c>
    </row>
    <row r="472" spans="2:7" ht="15" customHeight="1" x14ac:dyDescent="0.3">
      <c r="C472" s="3"/>
      <c r="D472" s="8">
        <v>2022</v>
      </c>
      <c r="E472" s="14">
        <f>Data!N472</f>
        <v>-65538340000</v>
      </c>
      <c r="F472" s="14">
        <f>Data!L472</f>
        <v>215858580000</v>
      </c>
      <c r="G472" s="12">
        <f t="shared" si="7"/>
        <v>-0.30361702555441622</v>
      </c>
    </row>
    <row r="473" spans="2:7" ht="15" customHeight="1" x14ac:dyDescent="0.3">
      <c r="C473" s="3"/>
      <c r="D473" s="8">
        <v>2023</v>
      </c>
      <c r="E473" s="14">
        <f>Data!N473</f>
        <v>-36842490000</v>
      </c>
      <c r="F473" s="14">
        <f>Data!L473</f>
        <v>255604580000</v>
      </c>
      <c r="G473" s="12">
        <f t="shared" si="7"/>
        <v>-0.14413861441762899</v>
      </c>
    </row>
    <row r="474" spans="2:7" ht="15" customHeight="1" x14ac:dyDescent="0.3">
      <c r="C474" s="3"/>
      <c r="D474" s="8">
        <v>2024</v>
      </c>
      <c r="E474" s="14">
        <f>Data!N474</f>
        <v>-81191580000</v>
      </c>
      <c r="F474" s="14">
        <f>Data!L474</f>
        <v>281164970000</v>
      </c>
      <c r="G474" s="12">
        <f t="shared" si="7"/>
        <v>-0.28876847638594522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Data!N490</f>
        <v>-1719655000000</v>
      </c>
      <c r="F475" s="14">
        <f>Data!L490</f>
        <v>12832078000000</v>
      </c>
      <c r="G475" s="12">
        <f t="shared" si="7"/>
        <v>-0.13401219973881082</v>
      </c>
    </row>
    <row r="476" spans="2:7" ht="15" customHeight="1" x14ac:dyDescent="0.3">
      <c r="C476" s="3"/>
      <c r="D476" s="8">
        <v>2015</v>
      </c>
      <c r="E476" s="14">
        <f>Data!N491</f>
        <v>1137336000000</v>
      </c>
      <c r="F476" s="14">
        <f>Data!L491</f>
        <v>13290306000000</v>
      </c>
      <c r="G476" s="12">
        <f t="shared" si="7"/>
        <v>8.5576359189923845E-2</v>
      </c>
    </row>
    <row r="477" spans="2:7" ht="15" customHeight="1" x14ac:dyDescent="0.3">
      <c r="C477" s="3"/>
      <c r="D477" s="8">
        <v>2016</v>
      </c>
      <c r="E477" s="14">
        <f>Data!N477</f>
        <v>22042000000</v>
      </c>
      <c r="F477" s="14">
        <f>Data!L477</f>
        <v>297306000000</v>
      </c>
      <c r="G477" s="12">
        <f t="shared" si="7"/>
        <v>7.413910247354577E-2</v>
      </c>
    </row>
    <row r="478" spans="2:7" ht="15" customHeight="1" x14ac:dyDescent="0.3">
      <c r="C478" s="3"/>
      <c r="D478" s="8">
        <v>2017</v>
      </c>
      <c r="E478" s="14">
        <f>Data!N478</f>
        <v>25404000000</v>
      </c>
      <c r="F478" s="14">
        <f>Data!L478</f>
        <v>436135000000</v>
      </c>
      <c r="G478" s="12">
        <f t="shared" si="7"/>
        <v>5.8248019535235653E-2</v>
      </c>
    </row>
    <row r="479" spans="2:7" ht="15" customHeight="1" x14ac:dyDescent="0.3">
      <c r="C479" s="3"/>
      <c r="D479" s="8">
        <v>2018</v>
      </c>
      <c r="E479" s="14" t="e">
        <f>Data!#REF!</f>
        <v>#REF!</v>
      </c>
      <c r="F479" s="14" t="e">
        <f>Data!#REF!</f>
        <v>#REF!</v>
      </c>
      <c r="G479" s="12">
        <f t="shared" si="7"/>
        <v>0</v>
      </c>
    </row>
    <row r="480" spans="2:7" ht="15" customHeight="1" x14ac:dyDescent="0.3">
      <c r="C480" s="3"/>
      <c r="D480" s="8">
        <v>2019</v>
      </c>
      <c r="E480" s="14" t="e">
        <f>Data!#REF!</f>
        <v>#REF!</v>
      </c>
      <c r="F480" s="14" t="e">
        <f>Data!#REF!</f>
        <v>#REF!</v>
      </c>
      <c r="G480" s="12">
        <f t="shared" si="7"/>
        <v>0</v>
      </c>
    </row>
    <row r="481" spans="2:7" ht="15" customHeight="1" x14ac:dyDescent="0.3">
      <c r="C481" s="3"/>
      <c r="D481" s="8">
        <v>2020</v>
      </c>
      <c r="E481" s="14">
        <f>Data!N481</f>
        <v>11351000000</v>
      </c>
      <c r="F481" s="14">
        <f>Data!L481</f>
        <v>822804000000</v>
      </c>
      <c r="G481" s="12">
        <f t="shared" si="7"/>
        <v>1.3795509015512807E-2</v>
      </c>
    </row>
    <row r="482" spans="2:7" ht="15" customHeight="1" x14ac:dyDescent="0.3">
      <c r="C482" s="3"/>
      <c r="D482" s="8">
        <v>2021</v>
      </c>
      <c r="E482" s="14">
        <f>Data!N482</f>
        <v>10292000000</v>
      </c>
      <c r="F482" s="14">
        <f>Data!L482</f>
        <v>1445099000000</v>
      </c>
      <c r="G482" s="12">
        <f t="shared" si="7"/>
        <v>7.1220034059950215E-3</v>
      </c>
    </row>
    <row r="483" spans="2:7" ht="15" customHeight="1" x14ac:dyDescent="0.3">
      <c r="C483" s="3"/>
      <c r="D483" s="8">
        <v>2022</v>
      </c>
      <c r="E483" s="14">
        <f>Data!N483</f>
        <v>12467000000</v>
      </c>
      <c r="F483" s="14">
        <f>Data!L483</f>
        <v>1019434000000</v>
      </c>
      <c r="G483" s="12">
        <f t="shared" si="7"/>
        <v>1.2229335101634828E-2</v>
      </c>
    </row>
    <row r="484" spans="2:7" ht="15" customHeight="1" x14ac:dyDescent="0.3">
      <c r="C484" s="3"/>
      <c r="D484" s="8">
        <v>2023</v>
      </c>
      <c r="E484" s="14">
        <f>Data!N484</f>
        <v>12692000000</v>
      </c>
      <c r="F484" s="14">
        <f>Data!L484</f>
        <v>1243549000000</v>
      </c>
      <c r="G484" s="12">
        <f t="shared" si="7"/>
        <v>1.0206272531279427E-2</v>
      </c>
    </row>
    <row r="485" spans="2:7" ht="15" customHeight="1" x14ac:dyDescent="0.3">
      <c r="C485" s="3"/>
      <c r="D485" s="8">
        <v>2024</v>
      </c>
      <c r="E485" s="14">
        <f>Data!N485</f>
        <v>17059000000</v>
      </c>
      <c r="F485" s="14">
        <f>Data!L485</f>
        <v>1245566000000</v>
      </c>
      <c r="G485" s="12">
        <f t="shared" si="7"/>
        <v>1.3695781676763816E-2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Data!N486</f>
        <v>0</v>
      </c>
      <c r="F486" s="14">
        <f>Data!L486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Data!N487</f>
        <v>0</v>
      </c>
      <c r="F487" s="14">
        <f>Data!L487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Data!N488</f>
        <v>0</v>
      </c>
      <c r="F488" s="14">
        <f>Data!L488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Data!N489</f>
        <v>0</v>
      </c>
      <c r="F489" s="14">
        <f>Data!L489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 t="e">
        <f>Data!#REF!</f>
        <v>#REF!</v>
      </c>
      <c r="F490" s="14" t="e">
        <f>Data!#REF!</f>
        <v>#REF!</v>
      </c>
      <c r="G490" s="12">
        <f t="shared" si="7"/>
        <v>0</v>
      </c>
    </row>
    <row r="491" spans="2:7" ht="15" customHeight="1" x14ac:dyDescent="0.3">
      <c r="C491" s="3"/>
      <c r="D491" s="8">
        <v>2019</v>
      </c>
      <c r="E491" s="14" t="e">
        <f>Data!#REF!</f>
        <v>#REF!</v>
      </c>
      <c r="F491" s="14" t="e">
        <f>Data!#REF!</f>
        <v>#REF!</v>
      </c>
      <c r="G491" s="12">
        <f t="shared" si="7"/>
        <v>0</v>
      </c>
    </row>
    <row r="492" spans="2:7" ht="15" customHeight="1" x14ac:dyDescent="0.3">
      <c r="C492" s="3"/>
      <c r="D492" s="8">
        <v>2020</v>
      </c>
      <c r="E492" s="14">
        <f>Data!N492</f>
        <v>-2050261000000</v>
      </c>
      <c r="F492" s="14">
        <f>Data!L492</f>
        <v>12792471000000</v>
      </c>
      <c r="G492" s="12">
        <f t="shared" si="7"/>
        <v>-0.16027091247656533</v>
      </c>
    </row>
    <row r="493" spans="2:7" ht="15" customHeight="1" x14ac:dyDescent="0.3">
      <c r="C493" s="3"/>
      <c r="D493" s="8">
        <v>2021</v>
      </c>
      <c r="E493" s="14">
        <f>Data!N493</f>
        <v>13960484000000</v>
      </c>
      <c r="F493" s="14">
        <f>Data!L493</f>
        <v>15929160000000</v>
      </c>
      <c r="G493" s="12">
        <f t="shared" si="7"/>
        <v>0.87641055774441334</v>
      </c>
    </row>
    <row r="494" spans="2:7" ht="15" customHeight="1" x14ac:dyDescent="0.3">
      <c r="C494" s="3"/>
      <c r="D494" s="8">
        <v>2022</v>
      </c>
      <c r="E494" s="14">
        <f>Data!N494</f>
        <v>-490645000000</v>
      </c>
      <c r="F494" s="14">
        <f>Data!L494</f>
        <v>15542230000000</v>
      </c>
      <c r="G494" s="12">
        <f t="shared" si="7"/>
        <v>-3.1568507221936618E-2</v>
      </c>
    </row>
    <row r="495" spans="2:7" ht="15" customHeight="1" x14ac:dyDescent="0.3">
      <c r="C495" s="3"/>
      <c r="D495" s="8">
        <v>2023</v>
      </c>
      <c r="E495" s="14">
        <f>Data!N495</f>
        <v>-514894000000</v>
      </c>
      <c r="F495" s="14">
        <f>Data!L495</f>
        <v>15246341000000</v>
      </c>
      <c r="G495" s="12">
        <f t="shared" si="7"/>
        <v>-3.3771643963623796E-2</v>
      </c>
    </row>
    <row r="496" spans="2:7" ht="15" customHeight="1" x14ac:dyDescent="0.3">
      <c r="C496" s="3"/>
      <c r="D496" s="8">
        <v>2024</v>
      </c>
      <c r="E496" s="14">
        <f>Data!N496</f>
        <v>1026180000000</v>
      </c>
      <c r="F496" s="14">
        <f>Data!L496</f>
        <v>16433638000000</v>
      </c>
      <c r="G496" s="12">
        <f t="shared" si="7"/>
        <v>6.2443872744428225E-2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Data!N499</f>
        <v>-9442000000</v>
      </c>
      <c r="F497" s="14">
        <f>Data!L499</f>
        <v>16350000000</v>
      </c>
      <c r="G497" s="12">
        <f t="shared" si="7"/>
        <v>-0.57749235474006111</v>
      </c>
    </row>
    <row r="498" spans="2:7" ht="15" customHeight="1" x14ac:dyDescent="0.3">
      <c r="C498" s="3"/>
      <c r="D498" s="8">
        <v>2015</v>
      </c>
      <c r="E498" s="14">
        <f>Data!N500</f>
        <v>-26602000000</v>
      </c>
      <c r="F498" s="14">
        <f>Data!L500</f>
        <v>17596000000</v>
      </c>
      <c r="G498" s="12">
        <f t="shared" si="7"/>
        <v>-1.5118208683791772</v>
      </c>
    </row>
    <row r="499" spans="2:7" ht="15" customHeight="1" x14ac:dyDescent="0.3">
      <c r="C499" s="3"/>
      <c r="D499" s="8">
        <v>2016</v>
      </c>
      <c r="E499" s="14">
        <f>Data!N501</f>
        <v>-22553000000</v>
      </c>
      <c r="F499" s="14">
        <f>Data!L501</f>
        <v>60120000000</v>
      </c>
      <c r="G499" s="12">
        <f t="shared" si="7"/>
        <v>-0.37513306719893547</v>
      </c>
    </row>
    <row r="500" spans="2:7" ht="15" customHeight="1" x14ac:dyDescent="0.3">
      <c r="C500" s="3"/>
      <c r="D500" s="8">
        <v>2017</v>
      </c>
      <c r="E500" s="14" t="e">
        <f>Data!#REF!</f>
        <v>#REF!</v>
      </c>
      <c r="F500" s="14" t="e">
        <f>Data!#REF!</f>
        <v>#REF!</v>
      </c>
      <c r="G500" s="12">
        <f t="shared" si="7"/>
        <v>0</v>
      </c>
    </row>
    <row r="501" spans="2:7" ht="15" customHeight="1" x14ac:dyDescent="0.3">
      <c r="C501" s="3"/>
      <c r="D501" s="8">
        <v>2018</v>
      </c>
      <c r="E501" s="14" t="e">
        <f>Data!#REF!</f>
        <v>#REF!</v>
      </c>
      <c r="F501" s="14" t="e">
        <f>Data!#REF!</f>
        <v>#REF!</v>
      </c>
      <c r="G501" s="12">
        <f t="shared" si="7"/>
        <v>0</v>
      </c>
    </row>
    <row r="502" spans="2:7" ht="15" customHeight="1" x14ac:dyDescent="0.3">
      <c r="C502" s="3"/>
      <c r="D502" s="8">
        <v>2019</v>
      </c>
      <c r="E502" s="14">
        <f>Data!N502</f>
        <v>-8932000000</v>
      </c>
      <c r="F502" s="14">
        <f>Data!L502</f>
        <v>32771000000</v>
      </c>
      <c r="G502" s="12">
        <f t="shared" si="7"/>
        <v>-0.27255805437734582</v>
      </c>
    </row>
    <row r="503" spans="2:7" ht="15" customHeight="1" x14ac:dyDescent="0.3">
      <c r="C503" s="3"/>
      <c r="D503" s="8">
        <v>2020</v>
      </c>
      <c r="E503" s="14">
        <f>Data!N503</f>
        <v>-18068000000</v>
      </c>
      <c r="F503" s="14">
        <f>Data!L503</f>
        <v>22461000000</v>
      </c>
      <c r="G503" s="12">
        <f t="shared" si="7"/>
        <v>-0.80441654423222475</v>
      </c>
    </row>
    <row r="504" spans="2:7" ht="15" customHeight="1" x14ac:dyDescent="0.3">
      <c r="C504" s="3"/>
      <c r="D504" s="8">
        <v>2021</v>
      </c>
      <c r="E504" s="14">
        <f>Data!N504</f>
        <v>-25102000000</v>
      </c>
      <c r="F504" s="14">
        <f>Data!L504</f>
        <v>61460000000</v>
      </c>
      <c r="G504" s="12">
        <f t="shared" si="7"/>
        <v>-0.40842824601366745</v>
      </c>
    </row>
    <row r="505" spans="2:7" ht="15" customHeight="1" x14ac:dyDescent="0.3">
      <c r="C505" s="3"/>
      <c r="D505" s="8">
        <v>2022</v>
      </c>
      <c r="E505" s="14">
        <f>Data!N505</f>
        <v>-7021000000</v>
      </c>
      <c r="F505" s="14">
        <f>Data!L505</f>
        <v>62965000000</v>
      </c>
      <c r="G505" s="12">
        <f t="shared" si="7"/>
        <v>-0.11150639244024459</v>
      </c>
    </row>
    <row r="506" spans="2:7" ht="15" customHeight="1" x14ac:dyDescent="0.3">
      <c r="C506" s="3"/>
      <c r="D506" s="8">
        <v>2023</v>
      </c>
      <c r="E506" s="14">
        <f>Data!N506</f>
        <v>-17306000000</v>
      </c>
      <c r="F506" s="14">
        <f>Data!L506</f>
        <v>92968000000</v>
      </c>
      <c r="G506" s="12">
        <f t="shared" si="7"/>
        <v>-0.1861500731434472</v>
      </c>
    </row>
    <row r="507" spans="2:7" ht="15" customHeight="1" x14ac:dyDescent="0.3">
      <c r="C507" s="3"/>
      <c r="D507" s="8">
        <v>2024</v>
      </c>
      <c r="E507" s="14">
        <f>Data!N507</f>
        <v>-9212000000</v>
      </c>
      <c r="F507" s="14">
        <f>Data!L507</f>
        <v>124384000000</v>
      </c>
      <c r="G507" s="12">
        <f t="shared" si="7"/>
        <v>-7.4060972472343709E-2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Data!N508</f>
        <v>0</v>
      </c>
      <c r="F508" s="14">
        <f>Data!L508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Data!N509</f>
        <v>0</v>
      </c>
      <c r="F509" s="14">
        <f>Data!L509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Data!N510</f>
        <v>0</v>
      </c>
      <c r="F510" s="14">
        <f>Data!L510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Data!N511</f>
        <v>0</v>
      </c>
      <c r="F511" s="14">
        <f>Data!L511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Data!N512</f>
        <v>0</v>
      </c>
      <c r="F512" s="14">
        <f>Data!L512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Data!N513</f>
        <v>-18252960000</v>
      </c>
      <c r="F513" s="14">
        <f>Data!L513</f>
        <v>368855960000</v>
      </c>
      <c r="G513" s="12">
        <f t="shared" si="7"/>
        <v>-4.948533297387956E-2</v>
      </c>
    </row>
    <row r="514" spans="2:7" ht="15" customHeight="1" x14ac:dyDescent="0.3">
      <c r="C514" s="3"/>
      <c r="D514" s="8">
        <v>2020</v>
      </c>
      <c r="E514" s="14">
        <f>Data!N514</f>
        <v>-17891670000</v>
      </c>
      <c r="F514" s="14">
        <f>Data!L514</f>
        <v>275257530000</v>
      </c>
      <c r="G514" s="12">
        <f t="shared" si="7"/>
        <v>-6.4999747690826115E-2</v>
      </c>
    </row>
    <row r="515" spans="2:7" ht="15" customHeight="1" x14ac:dyDescent="0.3">
      <c r="C515" s="3"/>
      <c r="D515" s="8">
        <v>2021</v>
      </c>
      <c r="E515" s="14">
        <f>Data!N515</f>
        <v>-3379720000</v>
      </c>
      <c r="F515" s="14">
        <f>Data!L515</f>
        <v>224439490000</v>
      </c>
      <c r="G515" s="12">
        <f t="shared" ref="G515:G578" si="8">IFERROR(E515/F515,0)</f>
        <v>-1.5058490820844407E-2</v>
      </c>
    </row>
    <row r="516" spans="2:7" ht="15" customHeight="1" x14ac:dyDescent="0.3">
      <c r="C516" s="3"/>
      <c r="D516" s="8">
        <v>2022</v>
      </c>
      <c r="E516" s="14">
        <f>Data!N516</f>
        <v>2177000000</v>
      </c>
      <c r="F516" s="14">
        <f>Data!L516</f>
        <v>279789000000</v>
      </c>
      <c r="G516" s="12">
        <f t="shared" si="8"/>
        <v>7.7808634363752682E-3</v>
      </c>
    </row>
    <row r="517" spans="2:7" ht="15" customHeight="1" x14ac:dyDescent="0.3">
      <c r="C517" s="3"/>
      <c r="D517" s="8">
        <v>2023</v>
      </c>
      <c r="E517" s="14">
        <f>Data!N517</f>
        <v>3175000000</v>
      </c>
      <c r="F517" s="14">
        <f>Data!L517</f>
        <v>303943000000</v>
      </c>
      <c r="G517" s="12">
        <f t="shared" si="8"/>
        <v>1.0446037579414561E-2</v>
      </c>
    </row>
    <row r="518" spans="2:7" ht="15" customHeight="1" x14ac:dyDescent="0.3">
      <c r="C518" s="3"/>
      <c r="D518" s="8">
        <v>2024</v>
      </c>
      <c r="E518" s="14">
        <f>Data!N518</f>
        <v>47213000000</v>
      </c>
      <c r="F518" s="14">
        <f>Data!L518</f>
        <v>686531000000</v>
      </c>
      <c r="G518" s="12">
        <f t="shared" si="8"/>
        <v>6.8770383274753794E-2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Data!N519</f>
        <v>0</v>
      </c>
      <c r="F519" s="14" t="e">
        <f>Data!#REF!</f>
        <v>#REF!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Data!N520</f>
        <v>-1863354000000</v>
      </c>
      <c r="F520" s="14">
        <f>Data!L519</f>
        <v>8327184000000</v>
      </c>
      <c r="G520" s="12">
        <f t="shared" si="8"/>
        <v>-0.2237676025893027</v>
      </c>
    </row>
    <row r="521" spans="2:7" ht="15" customHeight="1" x14ac:dyDescent="0.3">
      <c r="C521" s="3"/>
      <c r="D521" s="8">
        <v>2016</v>
      </c>
      <c r="E521" s="14">
        <f>Data!N532</f>
        <v>3668000000</v>
      </c>
      <c r="F521" s="14">
        <f>Data!L532</f>
        <v>3721000000</v>
      </c>
      <c r="G521" s="12">
        <f t="shared" si="8"/>
        <v>0.98575651706530498</v>
      </c>
    </row>
    <row r="522" spans="2:7" ht="15" customHeight="1" x14ac:dyDescent="0.3">
      <c r="C522" s="3"/>
      <c r="D522" s="8">
        <v>2017</v>
      </c>
      <c r="E522" s="14">
        <f>Data!N533</f>
        <v>2102000000</v>
      </c>
      <c r="F522" s="14">
        <f>Data!L533</f>
        <v>9768000000</v>
      </c>
      <c r="G522" s="12">
        <f t="shared" si="8"/>
        <v>0.21519246519246518</v>
      </c>
    </row>
    <row r="523" spans="2:7" ht="15" customHeight="1" x14ac:dyDescent="0.3">
      <c r="C523" s="3"/>
      <c r="D523" s="8">
        <v>2018</v>
      </c>
      <c r="E523" s="14">
        <f>Data!N523</f>
        <v>-154565010000</v>
      </c>
      <c r="F523" s="14">
        <f>Data!L523</f>
        <v>5336891010000</v>
      </c>
      <c r="G523" s="12">
        <f t="shared" si="8"/>
        <v>-2.8961620109982347E-2</v>
      </c>
    </row>
    <row r="524" spans="2:7" ht="15" customHeight="1" x14ac:dyDescent="0.3">
      <c r="C524" s="3"/>
      <c r="D524" s="8">
        <v>2019</v>
      </c>
      <c r="E524" s="14">
        <f>Data!N524</f>
        <v>623756880000</v>
      </c>
      <c r="F524" s="14">
        <f>Data!L524</f>
        <v>4657274110000</v>
      </c>
      <c r="G524" s="12">
        <f t="shared" si="8"/>
        <v>0.1339317517645531</v>
      </c>
    </row>
    <row r="525" spans="2:7" ht="15" customHeight="1" x14ac:dyDescent="0.3">
      <c r="C525" s="3"/>
      <c r="D525" s="8">
        <v>2020</v>
      </c>
      <c r="E525" s="14">
        <f>Data!N525</f>
        <v>428300980000</v>
      </c>
      <c r="F525" s="14">
        <f>Data!L525</f>
        <v>4666016570000</v>
      </c>
      <c r="G525" s="12">
        <f t="shared" si="8"/>
        <v>9.179156858416386E-2</v>
      </c>
    </row>
    <row r="526" spans="2:7" ht="15" customHeight="1" x14ac:dyDescent="0.3">
      <c r="C526" s="3"/>
      <c r="D526" s="8">
        <v>2021</v>
      </c>
      <c r="E526" s="14">
        <f>Data!N526</f>
        <v>60534920000</v>
      </c>
      <c r="F526" s="14">
        <f>Data!L526</f>
        <v>4382318610000.0005</v>
      </c>
      <c r="G526" s="12">
        <f t="shared" si="8"/>
        <v>1.381344566364151E-2</v>
      </c>
    </row>
    <row r="527" spans="2:7" ht="15" customHeight="1" x14ac:dyDescent="0.3">
      <c r="C527" s="3"/>
      <c r="D527" s="8">
        <v>2022</v>
      </c>
      <c r="E527" s="14">
        <f>Data!N527</f>
        <v>42396020000</v>
      </c>
      <c r="F527" s="14">
        <f>Data!L527</f>
        <v>3883960760000</v>
      </c>
      <c r="G527" s="12">
        <f t="shared" si="8"/>
        <v>1.0915666408534983E-2</v>
      </c>
    </row>
    <row r="528" spans="2:7" ht="15" customHeight="1" x14ac:dyDescent="0.3">
      <c r="C528" s="3"/>
      <c r="D528" s="8">
        <v>2023</v>
      </c>
      <c r="E528" s="14">
        <f>Data!N528</f>
        <v>125376970000</v>
      </c>
      <c r="F528" s="14">
        <f>Data!L528</f>
        <v>3759759120000</v>
      </c>
      <c r="G528" s="12">
        <f t="shared" si="8"/>
        <v>3.3347075171134902E-2</v>
      </c>
    </row>
    <row r="529" spans="2:7" ht="15" customHeight="1" x14ac:dyDescent="0.3">
      <c r="C529" s="3"/>
      <c r="D529" s="8">
        <v>2024</v>
      </c>
      <c r="E529" s="14">
        <f>Data!N529</f>
        <v>226258030000</v>
      </c>
      <c r="F529" s="14">
        <f>Data!L529</f>
        <v>4049259250000</v>
      </c>
      <c r="G529" s="12">
        <f t="shared" si="8"/>
        <v>5.5876400109476816E-2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Data!N530</f>
        <v>0</v>
      </c>
      <c r="F530" s="14">
        <f>Data!L530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Data!N531</f>
        <v>0</v>
      </c>
      <c r="F531" s="14">
        <f>Data!L531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 t="e">
        <f>Data!#REF!</f>
        <v>#REF!</v>
      </c>
      <c r="F532" s="14" t="e">
        <f>Data!#REF!</f>
        <v>#REF!</v>
      </c>
      <c r="G532" s="12">
        <f t="shared" si="8"/>
        <v>0</v>
      </c>
    </row>
    <row r="533" spans="2:7" ht="15" customHeight="1" x14ac:dyDescent="0.3">
      <c r="C533" s="3"/>
      <c r="D533" s="8">
        <v>2017</v>
      </c>
      <c r="E533" s="14" t="e">
        <f>Data!#REF!</f>
        <v>#REF!</v>
      </c>
      <c r="F533" s="14" t="e">
        <f>Data!#REF!</f>
        <v>#REF!</v>
      </c>
      <c r="G533" s="12">
        <f t="shared" si="8"/>
        <v>0</v>
      </c>
    </row>
    <row r="534" spans="2:7" ht="15" customHeight="1" x14ac:dyDescent="0.3">
      <c r="C534" s="3"/>
      <c r="D534" s="8">
        <v>2018</v>
      </c>
      <c r="E534" s="14">
        <f>Data!N534</f>
        <v>-302000000</v>
      </c>
      <c r="F534" s="14">
        <f>Data!L534</f>
        <v>188782000000</v>
      </c>
      <c r="G534" s="12">
        <f t="shared" si="8"/>
        <v>-1.5997287877022174E-3</v>
      </c>
    </row>
    <row r="535" spans="2:7" ht="15" customHeight="1" x14ac:dyDescent="0.3">
      <c r="C535" s="3"/>
      <c r="D535" s="8">
        <v>2019</v>
      </c>
      <c r="E535" s="14">
        <f>Data!N535</f>
        <v>20461000000</v>
      </c>
      <c r="F535" s="14">
        <f>Data!L535</f>
        <v>968921000000</v>
      </c>
      <c r="G535" s="12">
        <f t="shared" si="8"/>
        <v>2.1117304713180952E-2</v>
      </c>
    </row>
    <row r="536" spans="2:7" ht="15" customHeight="1" x14ac:dyDescent="0.3">
      <c r="C536" s="3"/>
      <c r="D536" s="8">
        <v>2020</v>
      </c>
      <c r="E536" s="14">
        <f>Data!N536</f>
        <v>6721000000</v>
      </c>
      <c r="F536" s="14">
        <f>Data!L536</f>
        <v>1993925000000</v>
      </c>
      <c r="G536" s="12">
        <f t="shared" si="8"/>
        <v>3.3707386185538573E-3</v>
      </c>
    </row>
    <row r="537" spans="2:7" ht="15" customHeight="1" x14ac:dyDescent="0.3">
      <c r="C537" s="3"/>
      <c r="D537" s="8">
        <v>2021</v>
      </c>
      <c r="E537" s="14">
        <f>Data!N537</f>
        <v>56443000000</v>
      </c>
      <c r="F537" s="14">
        <f>Data!L537</f>
        <v>1814955000000</v>
      </c>
      <c r="G537" s="12">
        <f t="shared" si="8"/>
        <v>3.109884267103041E-2</v>
      </c>
    </row>
    <row r="538" spans="2:7" ht="15" customHeight="1" x14ac:dyDescent="0.3">
      <c r="C538" s="3"/>
      <c r="D538" s="8">
        <v>2022</v>
      </c>
      <c r="E538" s="14">
        <f>Data!N538</f>
        <v>8045000000</v>
      </c>
      <c r="F538" s="14">
        <f>Data!L538</f>
        <v>1961068000000</v>
      </c>
      <c r="G538" s="12">
        <f t="shared" si="8"/>
        <v>4.102356471065766E-3</v>
      </c>
    </row>
    <row r="539" spans="2:7" ht="15" customHeight="1" x14ac:dyDescent="0.3">
      <c r="C539" s="3"/>
      <c r="D539" s="8">
        <v>2023</v>
      </c>
      <c r="E539" s="14">
        <f>Data!N539</f>
        <v>-108834000000</v>
      </c>
      <c r="F539" s="14">
        <f>Data!L539</f>
        <v>1809911000000</v>
      </c>
      <c r="G539" s="12">
        <f t="shared" si="8"/>
        <v>-6.0132238546536265E-2</v>
      </c>
    </row>
    <row r="540" spans="2:7" ht="15" customHeight="1" x14ac:dyDescent="0.3">
      <c r="C540" s="3"/>
      <c r="D540" s="8">
        <v>2024</v>
      </c>
      <c r="E540" s="14">
        <f>Data!N540</f>
        <v>-85799000000</v>
      </c>
      <c r="F540" s="14">
        <f>Data!L540</f>
        <v>1905784000000</v>
      </c>
      <c r="G540" s="12">
        <f t="shared" si="8"/>
        <v>-4.5020317097845299E-2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Data!N541</f>
        <v>0</v>
      </c>
      <c r="F541" s="14">
        <f>Data!L541</f>
        <v>4517540000000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Data!N542</f>
        <v>319848000000</v>
      </c>
      <c r="F542" s="14">
        <f>Data!L542</f>
        <v>4294471000000</v>
      </c>
      <c r="G542" s="12">
        <f t="shared" si="8"/>
        <v>7.4479021979657098E-2</v>
      </c>
    </row>
    <row r="543" spans="2:7" ht="15" customHeight="1" x14ac:dyDescent="0.3">
      <c r="C543" s="3"/>
      <c r="D543" s="8">
        <v>2016</v>
      </c>
      <c r="E543" s="14">
        <f>Data!N543</f>
        <v>365939000000</v>
      </c>
      <c r="F543" s="14">
        <f>Data!M543</f>
        <v>341420000000</v>
      </c>
      <c r="G543" s="12">
        <f t="shared" si="8"/>
        <v>1.0718147735926424</v>
      </c>
    </row>
    <row r="544" spans="2:7" ht="15" customHeight="1" x14ac:dyDescent="0.3">
      <c r="C544" s="3"/>
      <c r="D544" s="8">
        <v>2017</v>
      </c>
      <c r="E544" s="14">
        <f>Data!N544</f>
        <v>459410000000</v>
      </c>
      <c r="F544" s="14">
        <f>Data!L544</f>
        <v>4921585000000</v>
      </c>
      <c r="G544" s="12">
        <f t="shared" si="8"/>
        <v>9.3345944446758519E-2</v>
      </c>
    </row>
    <row r="545" spans="2:7" ht="15" customHeight="1" x14ac:dyDescent="0.3">
      <c r="C545" s="3"/>
      <c r="D545" s="8">
        <v>2018</v>
      </c>
      <c r="E545" s="14">
        <f>Data!N545</f>
        <v>276069000000</v>
      </c>
      <c r="F545" s="14">
        <f>Data!L545</f>
        <v>4208934000000</v>
      </c>
      <c r="G545" s="12">
        <f t="shared" si="8"/>
        <v>6.5591192449204472E-2</v>
      </c>
    </row>
    <row r="546" spans="2:7" ht="15" customHeight="1" x14ac:dyDescent="0.3">
      <c r="C546" s="3"/>
      <c r="D546" s="8">
        <v>2019</v>
      </c>
      <c r="E546" s="14">
        <f>Data!N546</f>
        <v>514097000000</v>
      </c>
      <c r="F546" s="14">
        <f>Data!L546</f>
        <v>4345798000000</v>
      </c>
      <c r="G546" s="12">
        <f t="shared" si="8"/>
        <v>0.11829749104767409</v>
      </c>
    </row>
    <row r="547" spans="2:7" ht="15" customHeight="1" x14ac:dyDescent="0.3">
      <c r="C547" s="3"/>
      <c r="D547" s="8">
        <v>2020</v>
      </c>
      <c r="E547" s="14">
        <f>Data!N547</f>
        <v>497792000000</v>
      </c>
      <c r="F547" s="14">
        <f>Data!L547</f>
        <v>2792914000000</v>
      </c>
      <c r="G547" s="12">
        <f t="shared" si="8"/>
        <v>0.17823391626093751</v>
      </c>
    </row>
    <row r="548" spans="2:7" ht="15" customHeight="1" x14ac:dyDescent="0.3">
      <c r="C548" s="3"/>
      <c r="D548" s="8">
        <v>2021</v>
      </c>
      <c r="E548" s="14">
        <f>Data!N548</f>
        <v>386645000000</v>
      </c>
      <c r="F548" s="14">
        <f>Data!L548</f>
        <v>2693933000000</v>
      </c>
      <c r="G548" s="12">
        <f t="shared" si="8"/>
        <v>0.14352435639639144</v>
      </c>
    </row>
    <row r="549" spans="2:7" ht="15" customHeight="1" x14ac:dyDescent="0.3">
      <c r="C549" s="3"/>
      <c r="D549" s="8">
        <v>2022</v>
      </c>
      <c r="E549" s="14">
        <f>Data!N549</f>
        <v>394699000000</v>
      </c>
      <c r="F549" s="14">
        <f>Data!L549</f>
        <v>2571759000000</v>
      </c>
      <c r="G549" s="12">
        <f t="shared" si="8"/>
        <v>0.15347433410362324</v>
      </c>
    </row>
    <row r="550" spans="2:7" ht="15" customHeight="1" x14ac:dyDescent="0.3">
      <c r="C550" s="3"/>
      <c r="D550" s="8">
        <v>2023</v>
      </c>
      <c r="E550" s="14">
        <f>Data!N550</f>
        <v>448983000000</v>
      </c>
      <c r="F550" s="14">
        <f>Data!L550</f>
        <v>2538508000000</v>
      </c>
      <c r="G550" s="12">
        <f t="shared" si="8"/>
        <v>0.17686885367310246</v>
      </c>
    </row>
    <row r="551" spans="2:7" ht="15" customHeight="1" x14ac:dyDescent="0.3">
      <c r="C551" s="3"/>
      <c r="D551" s="8">
        <v>2024</v>
      </c>
      <c r="E551" s="14">
        <f>Data!N551</f>
        <v>285520000000</v>
      </c>
      <c r="F551" s="14">
        <f>Data!L551</f>
        <v>2385587000000</v>
      </c>
      <c r="G551" s="12">
        <f t="shared" si="8"/>
        <v>0.11968542752789985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Data!N552</f>
        <v>0</v>
      </c>
      <c r="F552" s="14">
        <f>Data!L552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Data!N553</f>
        <v>0</v>
      </c>
      <c r="F553" s="14">
        <f>Data!L553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Data!N554</f>
        <v>0</v>
      </c>
      <c r="F554" s="14">
        <f>Data!L554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Data!N555</f>
        <v>0</v>
      </c>
      <c r="F555" s="14">
        <f>Data!L555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Data!N556</f>
        <v>0</v>
      </c>
      <c r="F556" s="14">
        <f>Data!L556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Data!N557</f>
        <v>-39394000000</v>
      </c>
      <c r="F557" s="14">
        <f>Data!L557</f>
        <v>696810000000</v>
      </c>
      <c r="G557" s="12">
        <f t="shared" si="8"/>
        <v>-5.6534779925661229E-2</v>
      </c>
    </row>
    <row r="558" spans="2:7" ht="15" customHeight="1" x14ac:dyDescent="0.3">
      <c r="C558" s="3"/>
      <c r="D558" s="8">
        <v>2020</v>
      </c>
      <c r="E558" s="14">
        <f>Data!N558</f>
        <v>22811000000</v>
      </c>
      <c r="F558" s="14">
        <f>Data!L558</f>
        <v>536949000000</v>
      </c>
      <c r="G558" s="12">
        <f t="shared" si="8"/>
        <v>4.2482619392158284E-2</v>
      </c>
    </row>
    <row r="559" spans="2:7" ht="15" customHeight="1" x14ac:dyDescent="0.3">
      <c r="C559" s="3"/>
      <c r="D559" s="8">
        <v>2021</v>
      </c>
      <c r="E559" s="14">
        <f>Data!N559</f>
        <v>26708000000</v>
      </c>
      <c r="F559" s="14">
        <f>Data!L559</f>
        <v>566930000000</v>
      </c>
      <c r="G559" s="12">
        <f t="shared" si="8"/>
        <v>4.7109872471028172E-2</v>
      </c>
    </row>
    <row r="560" spans="2:7" ht="15" customHeight="1" x14ac:dyDescent="0.3">
      <c r="C560" s="3"/>
      <c r="D560" s="8">
        <v>2022</v>
      </c>
      <c r="E560" s="14">
        <f>Data!N560</f>
        <v>66058000000</v>
      </c>
      <c r="F560" s="14">
        <f>Data!L560</f>
        <v>793256000000</v>
      </c>
      <c r="G560" s="12">
        <f t="shared" si="8"/>
        <v>8.3274504069304228E-2</v>
      </c>
    </row>
    <row r="561" spans="2:7" ht="15" customHeight="1" x14ac:dyDescent="0.3">
      <c r="C561" s="3"/>
      <c r="D561" s="8">
        <v>2023</v>
      </c>
      <c r="E561" s="14">
        <f>Data!N561</f>
        <v>93500000000</v>
      </c>
      <c r="F561" s="14">
        <f>Data!L561</f>
        <v>1070524000000</v>
      </c>
      <c r="G561" s="12">
        <f t="shared" si="8"/>
        <v>8.7340405259480405E-2</v>
      </c>
    </row>
    <row r="562" spans="2:7" ht="15" customHeight="1" x14ac:dyDescent="0.3">
      <c r="C562" s="3"/>
      <c r="D562" s="8">
        <v>2024</v>
      </c>
      <c r="E562" s="14">
        <f>Data!N562</f>
        <v>90541000000</v>
      </c>
      <c r="F562" s="14">
        <f>Data!L562</f>
        <v>1370324000000</v>
      </c>
      <c r="G562" s="12">
        <f t="shared" si="8"/>
        <v>6.6072695216605706E-2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Data!N563</f>
        <v>0</v>
      </c>
      <c r="F563" s="14">
        <f>Data!L563</f>
        <v>47938560000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Data!N564</f>
        <v>37215000000</v>
      </c>
      <c r="F564" s="14">
        <f>Data!L564</f>
        <v>199837000000</v>
      </c>
      <c r="G564" s="12">
        <f t="shared" si="8"/>
        <v>0.18622677482147951</v>
      </c>
    </row>
    <row r="565" spans="2:7" ht="15" customHeight="1" x14ac:dyDescent="0.3">
      <c r="C565" s="3"/>
      <c r="D565" s="8">
        <v>2016</v>
      </c>
      <c r="E565" s="14">
        <f>Data!N565</f>
        <v>73582000000</v>
      </c>
      <c r="F565" s="14">
        <f>Data!L565</f>
        <v>366750000000</v>
      </c>
      <c r="G565" s="12">
        <f t="shared" si="8"/>
        <v>0.20063258350374916</v>
      </c>
    </row>
    <row r="566" spans="2:7" ht="15" customHeight="1" x14ac:dyDescent="0.3">
      <c r="C566" s="3"/>
      <c r="D566" s="8">
        <v>2017</v>
      </c>
      <c r="E566" s="14">
        <f>Data!N566</f>
        <v>86750000000</v>
      </c>
      <c r="F566" s="14">
        <f>Data!L566</f>
        <v>613079000000</v>
      </c>
      <c r="G566" s="12">
        <f t="shared" si="8"/>
        <v>0.14149889329107668</v>
      </c>
    </row>
    <row r="567" spans="2:7" ht="15" customHeight="1" x14ac:dyDescent="0.3">
      <c r="C567" s="3"/>
      <c r="D567" s="8">
        <v>2018</v>
      </c>
      <c r="E567" s="14">
        <f>Data!N567</f>
        <v>59551000000</v>
      </c>
      <c r="F567" s="14">
        <f>Data!L567</f>
        <v>730541000000</v>
      </c>
      <c r="G567" s="12">
        <f t="shared" si="8"/>
        <v>8.1516300933144062E-2</v>
      </c>
    </row>
    <row r="568" spans="2:7" ht="15" customHeight="1" x14ac:dyDescent="0.3">
      <c r="C568" s="3"/>
      <c r="D568" s="8">
        <v>2019</v>
      </c>
      <c r="E568" s="14">
        <f>Data!N568</f>
        <v>53718000000</v>
      </c>
      <c r="F568" s="14">
        <f>Data!L568</f>
        <v>787264000000</v>
      </c>
      <c r="G568" s="12">
        <f t="shared" si="8"/>
        <v>6.823378180635721E-2</v>
      </c>
    </row>
    <row r="569" spans="2:7" ht="15" customHeight="1" x14ac:dyDescent="0.3">
      <c r="C569" s="3"/>
      <c r="D569" s="8">
        <v>2020</v>
      </c>
      <c r="E569" s="14">
        <f>Data!N569</f>
        <v>51407000000</v>
      </c>
      <c r="F569" s="14">
        <f>Data!L569</f>
        <v>876812000000</v>
      </c>
      <c r="G569" s="12">
        <f t="shared" si="8"/>
        <v>5.8629443940092063E-2</v>
      </c>
    </row>
    <row r="570" spans="2:7" ht="15" customHeight="1" x14ac:dyDescent="0.3">
      <c r="C570" s="3"/>
      <c r="D570" s="8">
        <v>2021</v>
      </c>
      <c r="E570" s="14">
        <f>Data!N570</f>
        <v>47823000000</v>
      </c>
      <c r="F570" s="14">
        <f>Data!L570</f>
        <v>981091000000</v>
      </c>
      <c r="G570" s="12">
        <f t="shared" si="8"/>
        <v>4.8744713793113993E-2</v>
      </c>
    </row>
    <row r="571" spans="2:7" ht="15" customHeight="1" x14ac:dyDescent="0.3">
      <c r="C571" s="3"/>
      <c r="D571" s="8">
        <v>2022</v>
      </c>
      <c r="E571" s="14">
        <f>Data!N571</f>
        <v>58489000000</v>
      </c>
      <c r="F571" s="14">
        <f>Data!L571</f>
        <v>541248000000</v>
      </c>
      <c r="G571" s="12">
        <f t="shared" si="8"/>
        <v>0.10806321686177131</v>
      </c>
    </row>
    <row r="572" spans="2:7" ht="15" customHeight="1" x14ac:dyDescent="0.3">
      <c r="C572" s="3"/>
      <c r="D572" s="8">
        <v>2023</v>
      </c>
      <c r="E572" s="14">
        <f>Data!N572</f>
        <v>45393000000</v>
      </c>
      <c r="F572" s="14">
        <f>Data!L572</f>
        <v>814433000000</v>
      </c>
      <c r="G572" s="12">
        <f t="shared" si="8"/>
        <v>5.5735708155244201E-2</v>
      </c>
    </row>
    <row r="573" spans="2:7" ht="15" customHeight="1" x14ac:dyDescent="0.3">
      <c r="C573" s="3"/>
      <c r="D573" s="8">
        <v>2024</v>
      </c>
      <c r="E573" s="14">
        <f>Data!N573</f>
        <v>28788000000</v>
      </c>
      <c r="F573" s="14">
        <f>Data!L573</f>
        <v>498333000000</v>
      </c>
      <c r="G573" s="12">
        <f t="shared" si="8"/>
        <v>5.7768600514114053E-2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Data!N574</f>
        <v>0</v>
      </c>
      <c r="F574" s="14">
        <f>Data!L574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Data!N575</f>
        <v>0</v>
      </c>
      <c r="F575" s="14">
        <f>Data!L575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Data!N576</f>
        <v>4947088000000</v>
      </c>
      <c r="F576" s="14">
        <f>Data!L576</f>
        <v>29178392000000</v>
      </c>
      <c r="G576" s="12">
        <f t="shared" si="8"/>
        <v>0.16954628616957371</v>
      </c>
    </row>
    <row r="577" spans="2:7" ht="15" customHeight="1" x14ac:dyDescent="0.3">
      <c r="C577" s="3"/>
      <c r="D577" s="8">
        <v>2017</v>
      </c>
      <c r="E577" s="14">
        <f>Data!N577</f>
        <v>5450673000000</v>
      </c>
      <c r="F577" s="14">
        <f>Data!L577</f>
        <v>35586650000000</v>
      </c>
      <c r="G577" s="12">
        <f t="shared" si="8"/>
        <v>0.15316622947088304</v>
      </c>
    </row>
    <row r="578" spans="2:7" ht="15" customHeight="1" x14ac:dyDescent="0.3">
      <c r="C578" s="3"/>
      <c r="D578" s="8">
        <v>2018</v>
      </c>
      <c r="E578" s="14">
        <f>Data!N578</f>
        <v>4643399000000</v>
      </c>
      <c r="F578" s="14">
        <f>Data!L578</f>
        <v>22028628000000</v>
      </c>
      <c r="G578" s="12">
        <f t="shared" si="8"/>
        <v>0.21078929654629422</v>
      </c>
    </row>
    <row r="579" spans="2:7" ht="15" customHeight="1" x14ac:dyDescent="0.3">
      <c r="C579" s="3"/>
      <c r="D579" s="8">
        <v>2019</v>
      </c>
      <c r="E579" s="14">
        <f>Data!N579</f>
        <v>4089773000000</v>
      </c>
      <c r="F579" s="14">
        <f>Data!L579</f>
        <v>27574236000000</v>
      </c>
      <c r="G579" s="12">
        <f t="shared" ref="G579:G642" si="9">IFERROR(E579/F579,0)</f>
        <v>0.1483186333793618</v>
      </c>
    </row>
    <row r="580" spans="2:7" ht="15" customHeight="1" x14ac:dyDescent="0.3">
      <c r="C580" s="3"/>
      <c r="D580" s="8">
        <v>2020</v>
      </c>
      <c r="E580" s="14">
        <f>Data!N580</f>
        <v>4326583000000</v>
      </c>
      <c r="F580" s="14">
        <f>Data!L580</f>
        <v>20331240000000</v>
      </c>
      <c r="G580" s="12">
        <f t="shared" si="9"/>
        <v>0.21280467890792693</v>
      </c>
    </row>
    <row r="581" spans="2:7" ht="15" customHeight="1" x14ac:dyDescent="0.3">
      <c r="C581" s="3"/>
      <c r="D581" s="8">
        <v>2021</v>
      </c>
      <c r="E581" s="14">
        <f>Data!N581</f>
        <v>2921159000000</v>
      </c>
      <c r="F581" s="14">
        <f>Data!L581</f>
        <v>22889988000000</v>
      </c>
      <c r="G581" s="12">
        <f t="shared" si="9"/>
        <v>0.12761732334678375</v>
      </c>
    </row>
    <row r="582" spans="2:7" ht="15" customHeight="1" x14ac:dyDescent="0.3">
      <c r="C582" s="3"/>
      <c r="D582" s="8">
        <v>2022</v>
      </c>
      <c r="E582" s="14">
        <f>Data!N582</f>
        <v>2288272000000</v>
      </c>
      <c r="F582" s="14">
        <f>Data!L582</f>
        <v>20934106000000</v>
      </c>
      <c r="G582" s="12">
        <f t="shared" si="9"/>
        <v>0.10930832202722199</v>
      </c>
    </row>
    <row r="583" spans="2:7" ht="15" customHeight="1" x14ac:dyDescent="0.3">
      <c r="C583" s="3"/>
      <c r="D583" s="8">
        <v>2023</v>
      </c>
      <c r="E583" s="14">
        <f>Data!N583</f>
        <v>1988032000000</v>
      </c>
      <c r="F583" s="14">
        <f>Data!L583</f>
        <v>23629695000000</v>
      </c>
      <c r="G583" s="12">
        <f t="shared" si="9"/>
        <v>8.4132782924197708E-2</v>
      </c>
    </row>
    <row r="584" spans="2:7" ht="15" customHeight="1" x14ac:dyDescent="0.3">
      <c r="C584" s="3"/>
      <c r="D584" s="8">
        <v>2024</v>
      </c>
      <c r="E584" s="14">
        <f>Data!N584</f>
        <v>1552649000000</v>
      </c>
      <c r="F584" s="14">
        <f>Data!L584</f>
        <v>21974346000000</v>
      </c>
      <c r="G584" s="12">
        <f t="shared" si="9"/>
        <v>7.0657347435960097E-2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Data!N596</f>
        <v>0</v>
      </c>
      <c r="F585" s="14">
        <f>Data!L596</f>
        <v>1723072000000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Data!N597</f>
        <v>-102535000000</v>
      </c>
      <c r="F586" s="14">
        <f>Data!L597</f>
        <v>1238066000000</v>
      </c>
      <c r="G586" s="12">
        <f t="shared" si="9"/>
        <v>-8.2818686564367333E-2</v>
      </c>
    </row>
    <row r="587" spans="2:7" ht="15" customHeight="1" x14ac:dyDescent="0.3">
      <c r="C587" s="4"/>
      <c r="D587" s="8">
        <v>2016</v>
      </c>
      <c r="E587" s="14">
        <f>Data!N598</f>
        <v>-62379000000</v>
      </c>
      <c r="F587" s="14">
        <f>Data!L598</f>
        <v>2218993000000</v>
      </c>
      <c r="G587" s="12">
        <f t="shared" si="9"/>
        <v>-2.8111400081027745E-2</v>
      </c>
    </row>
    <row r="588" spans="2:7" ht="15" customHeight="1" x14ac:dyDescent="0.3">
      <c r="C588" s="4"/>
      <c r="D588" s="8">
        <v>2017</v>
      </c>
      <c r="E588" s="14">
        <f>Data!N599</f>
        <v>-185323000000</v>
      </c>
      <c r="F588" s="14">
        <f>Data!L599</f>
        <v>3961709000000</v>
      </c>
      <c r="G588" s="12">
        <f t="shared" si="9"/>
        <v>-4.6778549358370343E-2</v>
      </c>
    </row>
    <row r="589" spans="2:7" ht="15" customHeight="1" x14ac:dyDescent="0.3">
      <c r="C589" s="4"/>
      <c r="D589" s="8">
        <v>2018</v>
      </c>
      <c r="E589" s="14">
        <f>Data!N600</f>
        <v>-53891000000</v>
      </c>
      <c r="F589" s="14">
        <f>Data!L600</f>
        <v>3060261000000</v>
      </c>
      <c r="G589" s="12">
        <f t="shared" si="9"/>
        <v>-1.7609935884553639E-2</v>
      </c>
    </row>
    <row r="590" spans="2:7" ht="15" customHeight="1" x14ac:dyDescent="0.3">
      <c r="C590" s="4"/>
      <c r="D590" s="8">
        <v>2019</v>
      </c>
      <c r="E590" s="14">
        <f>Data!N601</f>
        <v>-111560000000</v>
      </c>
      <c r="F590" s="14">
        <f>Data!L601</f>
        <v>4186864000000</v>
      </c>
      <c r="G590" s="12">
        <f t="shared" si="9"/>
        <v>-2.6645240924950034E-2</v>
      </c>
    </row>
    <row r="591" spans="2:7" ht="15" customHeight="1" x14ac:dyDescent="0.3">
      <c r="C591" s="4"/>
      <c r="D591" s="8">
        <v>2020</v>
      </c>
      <c r="E591" s="14">
        <f>Data!N602</f>
        <v>-259241000000</v>
      </c>
      <c r="F591" s="14">
        <f>Data!L602</f>
        <v>3860580000000</v>
      </c>
      <c r="G591" s="12">
        <f t="shared" si="9"/>
        <v>-6.7150790813815545E-2</v>
      </c>
    </row>
    <row r="592" spans="2:7" ht="15" customHeight="1" x14ac:dyDescent="0.3">
      <c r="C592" s="4"/>
      <c r="D592" s="8">
        <v>2021</v>
      </c>
      <c r="E592" s="14">
        <f>Data!N603</f>
        <v>-183548000000</v>
      </c>
      <c r="F592" s="14">
        <f>Data!L603</f>
        <v>4632725000000</v>
      </c>
      <c r="G592" s="12">
        <f t="shared" si="9"/>
        <v>-3.9619878149469268E-2</v>
      </c>
    </row>
    <row r="593" spans="2:7" ht="15" customHeight="1" x14ac:dyDescent="0.3">
      <c r="C593" s="4"/>
      <c r="D593" s="8">
        <v>2022</v>
      </c>
      <c r="E593" s="14">
        <f>Data!N604</f>
        <v>-250764000000</v>
      </c>
      <c r="F593" s="14">
        <f>Data!L604</f>
        <v>5012314000000</v>
      </c>
      <c r="G593" s="12">
        <f t="shared" si="9"/>
        <v>-5.0029587132809319E-2</v>
      </c>
    </row>
    <row r="594" spans="2:7" ht="15" customHeight="1" x14ac:dyDescent="0.3">
      <c r="C594" s="4"/>
      <c r="D594" s="8">
        <v>2023</v>
      </c>
      <c r="E594" s="14">
        <f>Data!N605</f>
        <v>-133955000000</v>
      </c>
      <c r="F594" s="14">
        <f>Data!L605</f>
        <v>4525904000000</v>
      </c>
      <c r="G594" s="12">
        <f t="shared" si="9"/>
        <v>-2.9597401977593869E-2</v>
      </c>
    </row>
    <row r="595" spans="2:7" ht="15" customHeight="1" x14ac:dyDescent="0.3">
      <c r="C595" s="4"/>
      <c r="D595" s="8">
        <v>2024</v>
      </c>
      <c r="E595" s="14">
        <f>Data!N606</f>
        <v>22096000000</v>
      </c>
      <c r="F595" s="14">
        <f>Data!L606</f>
        <v>3644303000000</v>
      </c>
      <c r="G595" s="12">
        <f t="shared" si="9"/>
        <v>6.0631621465064784E-3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 t="e">
        <f>Data!#REF!</f>
        <v>#REF!</v>
      </c>
      <c r="F596" s="14">
        <f>Data!L607</f>
        <v>128999000000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 t="e">
        <f>Data!#REF!</f>
        <v>#REF!</v>
      </c>
      <c r="F597" s="14">
        <f>Data!L608</f>
        <v>195573000000</v>
      </c>
      <c r="G597" s="12">
        <f t="shared" si="9"/>
        <v>0</v>
      </c>
    </row>
    <row r="598" spans="2:7" ht="15" customHeight="1" x14ac:dyDescent="0.3">
      <c r="C598" s="3"/>
      <c r="D598" s="8">
        <v>2016</v>
      </c>
      <c r="E598" s="14" t="e">
        <f>Data!#REF!</f>
        <v>#REF!</v>
      </c>
      <c r="F598" s="14" t="e">
        <f>Data!#REF!</f>
        <v>#REF!</v>
      </c>
      <c r="G598" s="12">
        <f t="shared" si="9"/>
        <v>0</v>
      </c>
    </row>
    <row r="599" spans="2:7" ht="15" customHeight="1" x14ac:dyDescent="0.3">
      <c r="C599" s="3"/>
      <c r="D599" s="8">
        <v>2017</v>
      </c>
      <c r="E599" s="14" t="e">
        <f>Data!#REF!</f>
        <v>#REF!</v>
      </c>
      <c r="F599" s="14" t="e">
        <f>Data!#REF!</f>
        <v>#REF!</v>
      </c>
      <c r="G599" s="12">
        <f t="shared" si="9"/>
        <v>0</v>
      </c>
    </row>
    <row r="600" spans="2:7" ht="15" customHeight="1" x14ac:dyDescent="0.3">
      <c r="C600" s="3"/>
      <c r="D600" s="8">
        <v>2018</v>
      </c>
      <c r="E600" s="14" t="e">
        <f>Data!#REF!</f>
        <v>#REF!</v>
      </c>
      <c r="F600" s="14" t="e">
        <f>Data!#REF!</f>
        <v>#REF!</v>
      </c>
      <c r="G600" s="12">
        <f t="shared" si="9"/>
        <v>0</v>
      </c>
    </row>
    <row r="601" spans="2:7" ht="15" customHeight="1" x14ac:dyDescent="0.3">
      <c r="C601" s="3"/>
      <c r="D601" s="8">
        <v>2019</v>
      </c>
      <c r="E601" s="14" t="e">
        <f>Data!#REF!</f>
        <v>#REF!</v>
      </c>
      <c r="F601" s="14" t="e">
        <f>Data!#REF!</f>
        <v>#REF!</v>
      </c>
      <c r="G601" s="12">
        <f t="shared" si="9"/>
        <v>0</v>
      </c>
    </row>
    <row r="602" spans="2:7" ht="15" customHeight="1" x14ac:dyDescent="0.3">
      <c r="C602" s="3"/>
      <c r="D602" s="8">
        <v>2020</v>
      </c>
      <c r="E602" s="14" t="e">
        <f>Data!#REF!</f>
        <v>#REF!</v>
      </c>
      <c r="F602" s="14" t="e">
        <f>Data!#REF!</f>
        <v>#REF!</v>
      </c>
      <c r="G602" s="12">
        <f t="shared" si="9"/>
        <v>0</v>
      </c>
    </row>
    <row r="603" spans="2:7" ht="15" customHeight="1" x14ac:dyDescent="0.3">
      <c r="C603" s="3"/>
      <c r="D603" s="8">
        <v>2021</v>
      </c>
      <c r="E603" s="14" t="e">
        <f>Data!#REF!</f>
        <v>#REF!</v>
      </c>
      <c r="F603" s="14" t="e">
        <f>Data!#REF!</f>
        <v>#REF!</v>
      </c>
      <c r="G603" s="12">
        <f t="shared" si="9"/>
        <v>0</v>
      </c>
    </row>
    <row r="604" spans="2:7" ht="15" customHeight="1" x14ac:dyDescent="0.3">
      <c r="C604" s="3"/>
      <c r="D604" s="8">
        <v>2022</v>
      </c>
      <c r="E604" s="14" t="e">
        <f>Data!#REF!</f>
        <v>#REF!</v>
      </c>
      <c r="F604" s="14" t="e">
        <f>Data!#REF!</f>
        <v>#REF!</v>
      </c>
      <c r="G604" s="12">
        <f t="shared" si="9"/>
        <v>0</v>
      </c>
    </row>
    <row r="605" spans="2:7" ht="15" customHeight="1" x14ac:dyDescent="0.3">
      <c r="C605" s="3"/>
      <c r="D605" s="8">
        <v>2023</v>
      </c>
      <c r="E605" s="14" t="e">
        <f>Data!#REF!</f>
        <v>#REF!</v>
      </c>
      <c r="F605" s="14" t="e">
        <f>Data!#REF!</f>
        <v>#REF!</v>
      </c>
      <c r="G605" s="12">
        <f t="shared" si="9"/>
        <v>0</v>
      </c>
    </row>
    <row r="606" spans="2:7" ht="15" customHeight="1" x14ac:dyDescent="0.3">
      <c r="C606" s="3"/>
      <c r="D606" s="8">
        <v>2024</v>
      </c>
      <c r="E606" s="14" t="e">
        <f>Data!#REF!</f>
        <v>#REF!</v>
      </c>
      <c r="F606" s="14" t="e">
        <f>Data!#REF!</f>
        <v>#REF!</v>
      </c>
      <c r="G606" s="12">
        <f t="shared" si="9"/>
        <v>0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Data!N607</f>
        <v>0</v>
      </c>
      <c r="F607" s="14" t="e">
        <f>Data!#REF!</f>
        <v>#REF!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Data!N608</f>
        <v>-141190000000</v>
      </c>
      <c r="F608" s="14" t="e">
        <f>Data!#REF!</f>
        <v>#REF!</v>
      </c>
      <c r="G608" s="12">
        <f t="shared" si="9"/>
        <v>0</v>
      </c>
    </row>
    <row r="609" spans="2:7" ht="15" customHeight="1" x14ac:dyDescent="0.3">
      <c r="C609" s="3"/>
      <c r="D609" s="8">
        <v>2016</v>
      </c>
      <c r="E609" s="14">
        <f>Data!N609</f>
        <v>-294967000000</v>
      </c>
      <c r="F609" s="14">
        <f>Data!L609</f>
        <v>448400000000</v>
      </c>
      <c r="G609" s="12">
        <f t="shared" si="9"/>
        <v>-0.65782114183764495</v>
      </c>
    </row>
    <row r="610" spans="2:7" ht="15" customHeight="1" x14ac:dyDescent="0.3">
      <c r="C610" s="3"/>
      <c r="D610" s="8">
        <v>2017</v>
      </c>
      <c r="E610" s="14">
        <f>Data!N610</f>
        <v>-254335000000</v>
      </c>
      <c r="F610" s="14">
        <f>Data!L610</f>
        <v>574741000000</v>
      </c>
      <c r="G610" s="12">
        <f t="shared" si="9"/>
        <v>-0.44252106601060304</v>
      </c>
    </row>
    <row r="611" spans="2:7" ht="15" customHeight="1" x14ac:dyDescent="0.3">
      <c r="C611" s="3"/>
      <c r="D611" s="8">
        <v>2018</v>
      </c>
      <c r="E611" s="14">
        <f>Data!N611</f>
        <v>-238404000000</v>
      </c>
      <c r="F611" s="14">
        <f>Data!L611</f>
        <v>567430000000</v>
      </c>
      <c r="G611" s="12">
        <f t="shared" si="9"/>
        <v>-0.42014697848192728</v>
      </c>
    </row>
    <row r="612" spans="2:7" ht="15" customHeight="1" x14ac:dyDescent="0.3">
      <c r="C612" s="3"/>
      <c r="D612" s="8">
        <v>2019</v>
      </c>
      <c r="E612" s="14">
        <f>Data!N612</f>
        <v>154007000000</v>
      </c>
      <c r="F612" s="14">
        <f>Data!L612</f>
        <v>781453000000</v>
      </c>
      <c r="G612" s="12">
        <f t="shared" si="9"/>
        <v>0.19707775131709776</v>
      </c>
    </row>
    <row r="613" spans="2:7" ht="15" customHeight="1" x14ac:dyDescent="0.3">
      <c r="C613" s="3"/>
      <c r="D613" s="8">
        <v>2020</v>
      </c>
      <c r="E613" s="14">
        <f>Data!N613</f>
        <v>-102691000000</v>
      </c>
      <c r="F613" s="14">
        <f>Data!L613</f>
        <v>603900000000</v>
      </c>
      <c r="G613" s="12">
        <f t="shared" si="9"/>
        <v>-0.17004636529226694</v>
      </c>
    </row>
    <row r="614" spans="2:7" ht="15" customHeight="1" x14ac:dyDescent="0.3">
      <c r="C614" s="3"/>
      <c r="D614" s="8">
        <v>2021</v>
      </c>
      <c r="E614" s="14">
        <f>Data!N614</f>
        <v>-193518000000</v>
      </c>
      <c r="F614" s="14">
        <f>Data!L614</f>
        <v>599499000000</v>
      </c>
      <c r="G614" s="12">
        <f t="shared" si="9"/>
        <v>-0.32279953761390762</v>
      </c>
    </row>
    <row r="615" spans="2:7" ht="15" customHeight="1" x14ac:dyDescent="0.3">
      <c r="C615" s="3"/>
      <c r="D615" s="8">
        <v>2022</v>
      </c>
      <c r="E615" s="14">
        <f>Data!N615</f>
        <v>-170293000000</v>
      </c>
      <c r="F615" s="14">
        <f>Data!L615</f>
        <v>825458000000</v>
      </c>
      <c r="G615" s="12">
        <f t="shared" si="9"/>
        <v>-0.20630122913582521</v>
      </c>
    </row>
    <row r="616" spans="2:7" ht="15" customHeight="1" x14ac:dyDescent="0.3">
      <c r="C616" s="3"/>
      <c r="D616" s="8">
        <v>2023</v>
      </c>
      <c r="E616" s="14">
        <f>Data!N616</f>
        <v>-197334000000</v>
      </c>
      <c r="F616" s="14">
        <f>Data!L616</f>
        <v>717570000000</v>
      </c>
      <c r="G616" s="12">
        <f t="shared" si="9"/>
        <v>-0.27500313558259126</v>
      </c>
    </row>
    <row r="617" spans="2:7" ht="15" customHeight="1" x14ac:dyDescent="0.3">
      <c r="C617" s="3"/>
      <c r="D617" s="8">
        <v>2024</v>
      </c>
      <c r="E617" s="14">
        <f>Data!N617</f>
        <v>-180619000000</v>
      </c>
      <c r="F617" s="14">
        <f>Data!L617</f>
        <v>714813000000</v>
      </c>
      <c r="G617" s="12">
        <f t="shared" si="9"/>
        <v>-0.25268007157116618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Data!N618</f>
        <v>0</v>
      </c>
      <c r="F618" s="14">
        <f>Data!L618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Data!N619</f>
        <v>0</v>
      </c>
      <c r="F619" s="14">
        <f>Data!L619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Data!N620</f>
        <v>0</v>
      </c>
      <c r="F620" s="14">
        <f>Data!L620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Data!N621</f>
        <v>24103000000</v>
      </c>
      <c r="F621" s="14">
        <f>Data!L621</f>
        <v>42922000000</v>
      </c>
      <c r="G621" s="12">
        <f t="shared" si="9"/>
        <v>0.56155351567960488</v>
      </c>
    </row>
    <row r="622" spans="2:7" ht="15" customHeight="1" x14ac:dyDescent="0.3">
      <c r="C622" s="3"/>
      <c r="D622" s="8">
        <v>2018</v>
      </c>
      <c r="E622" s="14">
        <f>Data!N622</f>
        <v>-8105000000</v>
      </c>
      <c r="F622" s="14">
        <f>Data!L622</f>
        <v>261891000000</v>
      </c>
      <c r="G622" s="12">
        <f t="shared" si="9"/>
        <v>-3.0947989812555605E-2</v>
      </c>
    </row>
    <row r="623" spans="2:7" ht="15" customHeight="1" x14ac:dyDescent="0.3">
      <c r="C623" s="3"/>
      <c r="D623" s="8">
        <v>2019</v>
      </c>
      <c r="E623" s="14">
        <f>Data!N623</f>
        <v>25772000000</v>
      </c>
      <c r="F623" s="14">
        <f>Data!L623</f>
        <v>385912000000</v>
      </c>
      <c r="G623" s="12">
        <f t="shared" si="9"/>
        <v>6.6782064304815605E-2</v>
      </c>
    </row>
    <row r="624" spans="2:7" ht="15" customHeight="1" x14ac:dyDescent="0.3">
      <c r="C624" s="3"/>
      <c r="D624" s="8">
        <v>2020</v>
      </c>
      <c r="E624" s="14">
        <f>Data!N624</f>
        <v>1376000000</v>
      </c>
      <c r="F624" s="14">
        <f>Data!L624</f>
        <v>132298000000</v>
      </c>
      <c r="G624" s="12">
        <f t="shared" si="9"/>
        <v>1.0400761916279913E-2</v>
      </c>
    </row>
    <row r="625" spans="1:7" ht="15" customHeight="1" x14ac:dyDescent="0.3">
      <c r="C625" s="3"/>
      <c r="D625" s="8">
        <v>2021</v>
      </c>
      <c r="E625" s="14">
        <f>Data!N625</f>
        <v>87802000000</v>
      </c>
      <c r="F625" s="14">
        <f>Data!L625</f>
        <v>278853000000</v>
      </c>
      <c r="G625" s="12">
        <f t="shared" si="9"/>
        <v>0.31486840736875704</v>
      </c>
    </row>
    <row r="626" spans="1:7" ht="15" customHeight="1" x14ac:dyDescent="0.3">
      <c r="C626" s="3"/>
      <c r="D626" s="8">
        <v>2022</v>
      </c>
      <c r="E626" s="14">
        <f>Data!N626</f>
        <v>-87610000000</v>
      </c>
      <c r="F626" s="14">
        <f>Data!L626</f>
        <v>350408000000</v>
      </c>
      <c r="G626" s="12">
        <f t="shared" si="9"/>
        <v>-0.25002283052898333</v>
      </c>
    </row>
    <row r="627" spans="1:7" ht="15" customHeight="1" x14ac:dyDescent="0.3">
      <c r="C627" s="3"/>
      <c r="D627" s="8">
        <v>2023</v>
      </c>
      <c r="E627" s="14">
        <f>Data!N627</f>
        <v>-29177000000</v>
      </c>
      <c r="F627" s="14">
        <f>Data!L627</f>
        <v>28443000000</v>
      </c>
      <c r="G627" s="12">
        <f t="shared" si="9"/>
        <v>-1.025805997960834</v>
      </c>
    </row>
    <row r="628" spans="1:7" ht="15" customHeight="1" x14ac:dyDescent="0.3">
      <c r="C628" s="3"/>
      <c r="D628" s="8">
        <v>2024</v>
      </c>
      <c r="E628" s="14">
        <f>Data!N628</f>
        <v>6487000000</v>
      </c>
      <c r="F628" s="14">
        <f>Data!L628</f>
        <v>46996000000</v>
      </c>
      <c r="G628" s="12">
        <f t="shared" si="9"/>
        <v>0.13803302408715634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Data!N629</f>
        <v>0</v>
      </c>
      <c r="F629" s="14">
        <f>Data!L629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Data!N630</f>
        <v>0</v>
      </c>
      <c r="F630" s="14">
        <f>Data!L630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Data!N631</f>
        <v>0</v>
      </c>
      <c r="F631" s="14">
        <f>Data!L631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Data!N632</f>
        <v>0</v>
      </c>
      <c r="F632" s="14">
        <f>Data!L632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Data!N633</f>
        <v>0</v>
      </c>
      <c r="F633" s="14">
        <f>Data!L633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Data!N634</f>
        <v>0</v>
      </c>
      <c r="F634" s="14">
        <f>Data!L634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Data!N635</f>
        <v>-244725000000</v>
      </c>
      <c r="F635" s="14">
        <f>Data!L635</f>
        <v>747357000000</v>
      </c>
      <c r="G635" s="12">
        <f t="shared" si="9"/>
        <v>-0.32745394771173614</v>
      </c>
    </row>
    <row r="636" spans="1:7" ht="15" customHeight="1" x14ac:dyDescent="0.3">
      <c r="C636" s="4"/>
      <c r="D636" s="8">
        <v>2021</v>
      </c>
      <c r="E636" s="14">
        <f>Data!N636</f>
        <v>-293500000000</v>
      </c>
      <c r="F636" s="14">
        <f>Data!L636</f>
        <v>814562000000</v>
      </c>
      <c r="G636" s="12">
        <f t="shared" si="9"/>
        <v>-0.36031634178859312</v>
      </c>
    </row>
    <row r="637" spans="1:7" ht="15" customHeight="1" x14ac:dyDescent="0.3">
      <c r="C637" s="4"/>
      <c r="D637" s="8">
        <v>2022</v>
      </c>
      <c r="E637" s="14">
        <f>Data!N637</f>
        <v>-1895000000</v>
      </c>
      <c r="F637" s="14">
        <f>Data!L637</f>
        <v>956647000000</v>
      </c>
      <c r="G637" s="12">
        <f t="shared" si="9"/>
        <v>-1.9808769587946235E-3</v>
      </c>
    </row>
    <row r="638" spans="1:7" ht="15" customHeight="1" x14ac:dyDescent="0.3">
      <c r="C638" s="4"/>
      <c r="D638" s="8">
        <v>2023</v>
      </c>
      <c r="E638" s="14">
        <f>Data!N638</f>
        <v>-110609000000</v>
      </c>
      <c r="F638" s="14">
        <f>Data!L638</f>
        <v>894928000000</v>
      </c>
      <c r="G638" s="12">
        <f t="shared" si="9"/>
        <v>-0.12359541773192927</v>
      </c>
    </row>
    <row r="639" spans="1:7" ht="15" customHeight="1" x14ac:dyDescent="0.3">
      <c r="C639" s="4"/>
      <c r="D639" s="8">
        <v>2024</v>
      </c>
      <c r="E639" s="14">
        <f>Data!N639</f>
        <v>-97265000000</v>
      </c>
      <c r="F639" s="14">
        <f>Data!L639</f>
        <v>851398000000</v>
      </c>
      <c r="G639" s="12">
        <f t="shared" si="9"/>
        <v>-0.11424151806793063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Data!N640</f>
        <v>0</v>
      </c>
      <c r="F640" s="14">
        <f>Data!L640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Data!N641</f>
        <v>0</v>
      </c>
      <c r="F641" s="14">
        <f>Data!L641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Data!N642</f>
        <v>0</v>
      </c>
      <c r="F642" s="14">
        <f>Data!L642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Data!N643</f>
        <v>0</v>
      </c>
      <c r="F643" s="14">
        <f>Data!L643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Data!N644</f>
        <v>0</v>
      </c>
      <c r="F644" s="14">
        <f>Data!L644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Data!N645</f>
        <v>74896000000</v>
      </c>
      <c r="F645" s="14">
        <f>Data!L645</f>
        <v>250196000000</v>
      </c>
      <c r="G645" s="12">
        <f t="shared" si="10"/>
        <v>0.29934931014084959</v>
      </c>
    </row>
    <row r="646" spans="2:7" ht="15" customHeight="1" x14ac:dyDescent="0.3">
      <c r="C646" s="2"/>
      <c r="D646" s="8">
        <v>2020</v>
      </c>
      <c r="E646" s="14">
        <f>Data!N646</f>
        <v>78044000000</v>
      </c>
      <c r="F646" s="14">
        <f>Data!L646</f>
        <v>152690000000</v>
      </c>
      <c r="G646" s="12">
        <f t="shared" si="10"/>
        <v>0.51112712030912311</v>
      </c>
    </row>
    <row r="647" spans="2:7" ht="15" customHeight="1" x14ac:dyDescent="0.3">
      <c r="C647" s="2"/>
      <c r="D647" s="8">
        <v>2021</v>
      </c>
      <c r="E647" s="14">
        <f>Data!N647</f>
        <v>70990000000</v>
      </c>
      <c r="F647" s="14">
        <f>Data!L647</f>
        <v>149716000000</v>
      </c>
      <c r="G647" s="12">
        <f t="shared" si="10"/>
        <v>0.47416441796467979</v>
      </c>
    </row>
    <row r="648" spans="2:7" ht="15" customHeight="1" x14ac:dyDescent="0.3">
      <c r="C648" s="2"/>
      <c r="D648" s="8">
        <v>2022</v>
      </c>
      <c r="E648" s="14">
        <f>Data!N648</f>
        <v>77054000000</v>
      </c>
      <c r="F648" s="14">
        <f>Data!L648</f>
        <v>157409000000</v>
      </c>
      <c r="G648" s="12">
        <f t="shared" si="10"/>
        <v>0.48951457667604775</v>
      </c>
    </row>
    <row r="649" spans="2:7" ht="15" customHeight="1" x14ac:dyDescent="0.3">
      <c r="C649" s="2"/>
      <c r="D649" s="8">
        <v>2023</v>
      </c>
      <c r="E649" s="14">
        <f>Data!N649</f>
        <v>133013000000</v>
      </c>
      <c r="F649" s="14">
        <f>Data!L649</f>
        <v>199244000000</v>
      </c>
      <c r="G649" s="12">
        <f t="shared" si="10"/>
        <v>0.66758848447130148</v>
      </c>
    </row>
    <row r="650" spans="2:7" ht="15" customHeight="1" x14ac:dyDescent="0.3">
      <c r="C650" s="2"/>
      <c r="D650" s="8">
        <v>2024</v>
      </c>
      <c r="E650" s="14">
        <f>Data!N650</f>
        <v>151251000000</v>
      </c>
      <c r="F650" s="14">
        <f>Data!L650</f>
        <v>219787000000</v>
      </c>
      <c r="G650" s="12">
        <f t="shared" si="10"/>
        <v>0.68817081993020512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Data!N651</f>
        <v>0</v>
      </c>
      <c r="F651" s="14">
        <f>Data!L651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Data!N652</f>
        <v>0</v>
      </c>
      <c r="F652" s="14">
        <f>Data!L652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Data!N653</f>
        <v>0</v>
      </c>
      <c r="F653" s="14">
        <f>Data!L653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Data!N654</f>
        <v>0</v>
      </c>
      <c r="F654" s="14">
        <f>Data!L654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Data!N655</f>
        <v>0</v>
      </c>
      <c r="F655" s="14">
        <f>Data!L655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Data!N656</f>
        <v>0</v>
      </c>
      <c r="F656" s="14">
        <f>Data!L656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Data!N657</f>
        <v>10618000000</v>
      </c>
      <c r="F657" s="14">
        <f>Data!L657</f>
        <v>102511000000</v>
      </c>
      <c r="G657" s="12">
        <f t="shared" si="10"/>
        <v>0.10357912809357045</v>
      </c>
    </row>
    <row r="658" spans="2:7" ht="15" customHeight="1" x14ac:dyDescent="0.3">
      <c r="C658" s="2"/>
      <c r="D658" s="8">
        <v>2021</v>
      </c>
      <c r="E658" s="14">
        <f>Data!N658</f>
        <v>11025000000</v>
      </c>
      <c r="F658" s="14">
        <f>Data!L658</f>
        <v>95301000000</v>
      </c>
      <c r="G658" s="12">
        <f t="shared" si="10"/>
        <v>0.11568608933799225</v>
      </c>
    </row>
    <row r="659" spans="2:7" ht="15" customHeight="1" x14ac:dyDescent="0.3">
      <c r="C659" s="2"/>
      <c r="D659" s="8">
        <v>2022</v>
      </c>
      <c r="E659" s="14">
        <f>Data!N659</f>
        <v>22839000000</v>
      </c>
      <c r="F659" s="14">
        <f>Data!L659</f>
        <v>109295000000</v>
      </c>
      <c r="G659" s="12">
        <f t="shared" si="10"/>
        <v>0.20896655839699896</v>
      </c>
    </row>
    <row r="660" spans="2:7" ht="15" customHeight="1" x14ac:dyDescent="0.3">
      <c r="C660" s="2"/>
      <c r="D660" s="8">
        <v>2023</v>
      </c>
      <c r="E660" s="14">
        <f>Data!N660</f>
        <v>7193000000</v>
      </c>
      <c r="F660" s="14">
        <f>Data!L660</f>
        <v>108744000000</v>
      </c>
      <c r="G660" s="12">
        <f t="shared" si="10"/>
        <v>6.6146178179945558E-2</v>
      </c>
    </row>
    <row r="661" spans="2:7" ht="15" customHeight="1" x14ac:dyDescent="0.3">
      <c r="C661" s="2"/>
      <c r="D661" s="8">
        <v>2024</v>
      </c>
      <c r="E661" s="14">
        <f>Data!N661</f>
        <v>25756000000</v>
      </c>
      <c r="F661" s="14">
        <f>Data!L661</f>
        <v>105302000000</v>
      </c>
      <c r="G661" s="12">
        <f t="shared" si="10"/>
        <v>0.24459174564585667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Data!N662</f>
        <v>0</v>
      </c>
      <c r="F662" s="14">
        <f>Data!L662</f>
        <v>438295000000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Data!N663</f>
        <v>44788000000</v>
      </c>
      <c r="F663" s="14">
        <f>Data!L663</f>
        <v>516969000000</v>
      </c>
      <c r="G663" s="12">
        <f t="shared" si="10"/>
        <v>8.663575572229669E-2</v>
      </c>
    </row>
    <row r="664" spans="2:7" ht="15" customHeight="1" x14ac:dyDescent="0.3">
      <c r="C664" s="2"/>
      <c r="D664" s="8">
        <v>2016</v>
      </c>
      <c r="E664" s="14">
        <f>Data!N664</f>
        <v>-60325000000</v>
      </c>
      <c r="F664" s="14">
        <f>Data!L664</f>
        <v>493786000000</v>
      </c>
      <c r="G664" s="12">
        <f t="shared" si="10"/>
        <v>-0.12216830772844917</v>
      </c>
    </row>
    <row r="665" spans="2:7" ht="15" customHeight="1" x14ac:dyDescent="0.3">
      <c r="C665" s="2"/>
      <c r="D665" s="8">
        <v>2017</v>
      </c>
      <c r="E665" s="14">
        <f>Data!N665</f>
        <v>-28586000000</v>
      </c>
      <c r="F665" s="14">
        <f>Data!L665</f>
        <v>489354000000</v>
      </c>
      <c r="G665" s="12">
        <f t="shared" si="10"/>
        <v>-5.8415788978939578E-2</v>
      </c>
    </row>
    <row r="666" spans="2:7" ht="15" customHeight="1" x14ac:dyDescent="0.3">
      <c r="C666" s="2"/>
      <c r="D666" s="8">
        <v>2018</v>
      </c>
      <c r="E666" s="14">
        <f>Data!N666</f>
        <v>-30098000000</v>
      </c>
      <c r="F666" s="14">
        <f>Data!L666</f>
        <v>547852000000</v>
      </c>
      <c r="G666" s="12">
        <f t="shared" si="10"/>
        <v>-5.4938194986967281E-2</v>
      </c>
    </row>
    <row r="667" spans="2:7" ht="15" customHeight="1" x14ac:dyDescent="0.3">
      <c r="C667" s="2"/>
      <c r="D667" s="8">
        <v>2019</v>
      </c>
      <c r="E667" s="14">
        <f>Data!N667</f>
        <v>16276000000</v>
      </c>
      <c r="F667" s="14">
        <f>Data!L667</f>
        <v>650695000000</v>
      </c>
      <c r="G667" s="12">
        <f t="shared" si="10"/>
        <v>2.5013255058053314E-2</v>
      </c>
    </row>
    <row r="668" spans="2:7" ht="15" customHeight="1" x14ac:dyDescent="0.3">
      <c r="C668" s="2"/>
      <c r="D668" s="8">
        <v>2020</v>
      </c>
      <c r="E668" s="14">
        <f>Data!N668</f>
        <v>-29151000000</v>
      </c>
      <c r="F668" s="14">
        <f>Data!L668</f>
        <v>480255000000</v>
      </c>
      <c r="G668" s="12">
        <f t="shared" si="10"/>
        <v>-6.069900365430865E-2</v>
      </c>
    </row>
    <row r="669" spans="2:7" ht="15" customHeight="1" x14ac:dyDescent="0.3">
      <c r="C669" s="2"/>
      <c r="D669" s="8">
        <v>2021</v>
      </c>
      <c r="E669" s="14">
        <f>Data!N669</f>
        <v>-42621000000</v>
      </c>
      <c r="F669" s="14">
        <f>Data!L669</f>
        <v>260859000000</v>
      </c>
      <c r="G669" s="12">
        <f t="shared" si="10"/>
        <v>-0.16338711717824572</v>
      </c>
    </row>
    <row r="670" spans="2:7" ht="15" customHeight="1" x14ac:dyDescent="0.3">
      <c r="C670" s="2"/>
      <c r="D670" s="8">
        <v>2022</v>
      </c>
      <c r="E670" s="14">
        <f>Data!N670</f>
        <v>-21501000000</v>
      </c>
      <c r="F670" s="14">
        <f>Data!L670</f>
        <v>248679000000</v>
      </c>
      <c r="G670" s="12">
        <f t="shared" si="10"/>
        <v>-8.6460859179906632E-2</v>
      </c>
    </row>
    <row r="671" spans="2:7" ht="15" customHeight="1" x14ac:dyDescent="0.3">
      <c r="C671" s="2"/>
      <c r="D671" s="8">
        <v>2023</v>
      </c>
      <c r="E671" s="14">
        <f>Data!N671</f>
        <v>19450000000</v>
      </c>
      <c r="F671" s="14">
        <f>Data!L671</f>
        <v>293316000000</v>
      </c>
      <c r="G671" s="12">
        <f t="shared" si="10"/>
        <v>6.6310736543523027E-2</v>
      </c>
    </row>
    <row r="672" spans="2:7" ht="15" customHeight="1" x14ac:dyDescent="0.3">
      <c r="C672" s="2"/>
      <c r="D672" s="8">
        <v>2024</v>
      </c>
      <c r="E672" s="14">
        <f>Data!N672</f>
        <v>23815000000</v>
      </c>
      <c r="F672" s="14">
        <f>Data!L672</f>
        <v>302030000000</v>
      </c>
      <c r="G672" s="12">
        <f t="shared" si="10"/>
        <v>7.8849783134125745E-2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Data!N673</f>
        <v>0</v>
      </c>
      <c r="F673" s="14">
        <f>Data!L673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Data!N674</f>
        <v>0</v>
      </c>
      <c r="F674" s="14">
        <f>Data!L674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Data!N675</f>
        <v>0</v>
      </c>
      <c r="F675" s="14">
        <f>Data!L675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Data!N676</f>
        <v>0</v>
      </c>
      <c r="F676" s="14">
        <f>Data!L676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Data!N677</f>
        <v>5948440000</v>
      </c>
      <c r="F677" s="14">
        <f>Data!L677</f>
        <v>63456620000</v>
      </c>
      <c r="G677" s="12">
        <f t="shared" si="10"/>
        <v>9.3740259093535075E-2</v>
      </c>
    </row>
    <row r="678" spans="2:7" ht="15" customHeight="1" x14ac:dyDescent="0.3">
      <c r="C678" s="2"/>
      <c r="D678" s="8">
        <v>2019</v>
      </c>
      <c r="E678" s="14">
        <f>Data!N678</f>
        <v>13910270000</v>
      </c>
      <c r="F678" s="14">
        <f>Data!L678</f>
        <v>75559860000</v>
      </c>
      <c r="G678" s="12">
        <f t="shared" si="10"/>
        <v>0.18409602664695249</v>
      </c>
    </row>
    <row r="679" spans="2:7" ht="15" customHeight="1" x14ac:dyDescent="0.3">
      <c r="C679" s="2"/>
      <c r="D679" s="8">
        <v>2020</v>
      </c>
      <c r="E679" s="14">
        <f>Data!N679</f>
        <v>18088270000</v>
      </c>
      <c r="F679" s="14">
        <f>Data!L679</f>
        <v>77902500000</v>
      </c>
      <c r="G679" s="12">
        <f t="shared" si="10"/>
        <v>0.23219113635634286</v>
      </c>
    </row>
    <row r="680" spans="2:7" ht="15" customHeight="1" x14ac:dyDescent="0.3">
      <c r="C680" s="2"/>
      <c r="D680" s="8">
        <v>2021</v>
      </c>
      <c r="E680" s="14">
        <f>Data!N680</f>
        <v>20744920000</v>
      </c>
      <c r="F680" s="14">
        <f>Data!L680</f>
        <v>91812520000</v>
      </c>
      <c r="G680" s="12">
        <f t="shared" si="10"/>
        <v>0.22594870503499959</v>
      </c>
    </row>
    <row r="681" spans="2:7" ht="15" customHeight="1" x14ac:dyDescent="0.3">
      <c r="C681" s="2"/>
      <c r="D681" s="8">
        <v>2022</v>
      </c>
      <c r="E681" s="14">
        <f>Data!N681</f>
        <v>15585220000</v>
      </c>
      <c r="F681" s="14">
        <f>Data!L681</f>
        <v>109315670000</v>
      </c>
      <c r="G681" s="12">
        <f t="shared" si="10"/>
        <v>0.14257077690691555</v>
      </c>
    </row>
    <row r="682" spans="2:7" ht="15" customHeight="1" x14ac:dyDescent="0.3">
      <c r="C682" s="2"/>
      <c r="D682" s="8">
        <v>2023</v>
      </c>
      <c r="E682" s="14">
        <f>Data!N682</f>
        <v>25794260000</v>
      </c>
      <c r="F682" s="14">
        <f>Data!L682</f>
        <v>140013240000</v>
      </c>
      <c r="G682" s="12">
        <f t="shared" si="10"/>
        <v>0.18422729164756133</v>
      </c>
    </row>
    <row r="683" spans="2:7" ht="15" customHeight="1" x14ac:dyDescent="0.3">
      <c r="C683" s="2"/>
      <c r="D683" s="8">
        <v>2024</v>
      </c>
      <c r="E683" s="14">
        <f>Data!N683</f>
        <v>13053680000</v>
      </c>
      <c r="F683" s="14">
        <f>Data!L683</f>
        <v>166119960000</v>
      </c>
      <c r="G683" s="12">
        <f t="shared" si="10"/>
        <v>7.8579840736778414E-2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Data!N684</f>
        <v>0</v>
      </c>
      <c r="F684" s="14">
        <f>Data!L684</f>
        <v>10988151687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Data!N685</f>
        <v>43205419672</v>
      </c>
      <c r="F685" s="14">
        <f>Data!L685</f>
        <v>404504466904</v>
      </c>
      <c r="G685" s="12">
        <f t="shared" si="10"/>
        <v>0.10681073562100819</v>
      </c>
    </row>
    <row r="686" spans="2:7" ht="15" customHeight="1" x14ac:dyDescent="0.3">
      <c r="C686" s="2"/>
      <c r="D686" s="8">
        <v>2016</v>
      </c>
      <c r="E686" s="14">
        <f>Data!N686</f>
        <v>14717553647</v>
      </c>
      <c r="F686" s="14">
        <f>Data!L686</f>
        <v>235728975561</v>
      </c>
      <c r="G686" s="12">
        <f t="shared" si="10"/>
        <v>6.2434215445828861E-2</v>
      </c>
    </row>
    <row r="687" spans="2:7" ht="15" customHeight="1" x14ac:dyDescent="0.3">
      <c r="C687" s="2"/>
      <c r="D687" s="8">
        <v>2017</v>
      </c>
      <c r="E687" s="14">
        <f>Data!N687</f>
        <v>-172575486513</v>
      </c>
      <c r="F687" s="14">
        <f>Data!L687</f>
        <v>238883039983</v>
      </c>
      <c r="G687" s="12">
        <f t="shared" si="10"/>
        <v>-0.72242670105538365</v>
      </c>
    </row>
    <row r="688" spans="2:7" ht="15" customHeight="1" x14ac:dyDescent="0.3">
      <c r="C688" s="2"/>
      <c r="D688" s="8">
        <v>2018</v>
      </c>
      <c r="E688" s="14">
        <f>Data!N688</f>
        <v>3614820369</v>
      </c>
      <c r="F688" s="14">
        <f>Data!L688</f>
        <v>171562632066</v>
      </c>
      <c r="G688" s="12">
        <f t="shared" si="10"/>
        <v>2.1069975002536576E-2</v>
      </c>
    </row>
    <row r="689" spans="2:7" ht="15" customHeight="1" x14ac:dyDescent="0.3">
      <c r="C689" s="2"/>
      <c r="D689" s="8">
        <v>2019</v>
      </c>
      <c r="E689" s="14">
        <f>Data!N689</f>
        <v>6764502320</v>
      </c>
      <c r="F689" s="14">
        <f>Data!L689</f>
        <v>181917321292</v>
      </c>
      <c r="G689" s="12">
        <f t="shared" si="10"/>
        <v>3.7184487282231525E-2</v>
      </c>
    </row>
    <row r="690" spans="2:7" ht="15" customHeight="1" x14ac:dyDescent="0.3">
      <c r="C690" s="2"/>
      <c r="D690" s="8">
        <v>2020</v>
      </c>
      <c r="E690" s="14">
        <f>Data!N690</f>
        <v>2101704759</v>
      </c>
      <c r="F690" s="14">
        <f>Data!L690</f>
        <v>127647349449</v>
      </c>
      <c r="G690" s="12">
        <f t="shared" si="10"/>
        <v>1.6464930670884878E-2</v>
      </c>
    </row>
    <row r="691" spans="2:7" ht="15" customHeight="1" x14ac:dyDescent="0.3">
      <c r="C691" s="2"/>
      <c r="D691" s="8">
        <v>2021</v>
      </c>
      <c r="E691" s="14">
        <f>Data!N691</f>
        <v>16779893824</v>
      </c>
      <c r="F691" s="14">
        <f>Data!L691</f>
        <v>174162389426</v>
      </c>
      <c r="G691" s="12">
        <f t="shared" si="10"/>
        <v>9.6346254086790775E-2</v>
      </c>
    </row>
    <row r="692" spans="2:7" ht="15" customHeight="1" x14ac:dyDescent="0.3">
      <c r="C692" s="2"/>
      <c r="D692" s="8">
        <v>2022</v>
      </c>
      <c r="E692" s="14">
        <f>Data!N692</f>
        <v>13583332925</v>
      </c>
      <c r="F692" s="14">
        <f>Data!L692</f>
        <v>170519596149</v>
      </c>
      <c r="G692" s="12">
        <f t="shared" si="10"/>
        <v>7.96584863661704E-2</v>
      </c>
    </row>
    <row r="693" spans="2:7" ht="15" customHeight="1" x14ac:dyDescent="0.3">
      <c r="C693" s="2"/>
      <c r="D693" s="8">
        <v>2023</v>
      </c>
      <c r="E693" s="14">
        <f>Data!N693</f>
        <v>7640395584</v>
      </c>
      <c r="F693" s="14">
        <f>Data!L693</f>
        <v>125200905143</v>
      </c>
      <c r="G693" s="12">
        <f t="shared" si="10"/>
        <v>6.1025082648351568E-2</v>
      </c>
    </row>
    <row r="694" spans="2:7" ht="15" customHeight="1" x14ac:dyDescent="0.3">
      <c r="C694" s="2"/>
      <c r="D694" s="8">
        <v>2024</v>
      </c>
      <c r="E694" s="14">
        <f>Data!N694</f>
        <v>-90332000000</v>
      </c>
      <c r="F694" s="14">
        <f>Data!L694</f>
        <v>95407000000</v>
      </c>
      <c r="G694" s="12">
        <f t="shared" si="10"/>
        <v>-0.94680683807267807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Data!N695</f>
        <v>0</v>
      </c>
      <c r="F695" s="14">
        <f>Data!L695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Data!N696</f>
        <v>0</v>
      </c>
      <c r="F696" s="14">
        <f>Data!L696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Data!N697</f>
        <v>0</v>
      </c>
      <c r="F697" s="14">
        <f>Data!L697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Data!N698</f>
        <v>57000000</v>
      </c>
      <c r="F698" s="14">
        <f>Data!L698</f>
        <v>410000000</v>
      </c>
      <c r="G698" s="12">
        <f t="shared" si="10"/>
        <v>0.13902439024390245</v>
      </c>
    </row>
    <row r="699" spans="2:7" ht="15" customHeight="1" x14ac:dyDescent="0.3">
      <c r="C699" s="1"/>
      <c r="D699" s="8">
        <v>2018</v>
      </c>
      <c r="E699" s="14">
        <f>Data!N699</f>
        <v>28617000000</v>
      </c>
      <c r="F699" s="14">
        <f>Data!L699</f>
        <v>218342000000</v>
      </c>
      <c r="G699" s="12">
        <f t="shared" si="10"/>
        <v>0.13106502642643192</v>
      </c>
    </row>
    <row r="700" spans="2:7" ht="15" customHeight="1" x14ac:dyDescent="0.3">
      <c r="C700" s="1"/>
      <c r="D700" s="8">
        <v>2019</v>
      </c>
      <c r="E700" s="14">
        <f>Data!N700</f>
        <v>19664000000</v>
      </c>
      <c r="F700" s="14">
        <f>Data!L700</f>
        <v>215412000000</v>
      </c>
      <c r="G700" s="12">
        <f t="shared" si="10"/>
        <v>9.1285536553209659E-2</v>
      </c>
    </row>
    <row r="701" spans="2:7" ht="15" customHeight="1" x14ac:dyDescent="0.3">
      <c r="C701" s="1"/>
      <c r="D701" s="8">
        <v>2020</v>
      </c>
      <c r="E701" s="14">
        <f>Data!N701</f>
        <v>25992000000</v>
      </c>
      <c r="F701" s="14">
        <f>Data!L701</f>
        <v>248528000000</v>
      </c>
      <c r="G701" s="12">
        <f t="shared" si="10"/>
        <v>0.10458378935170283</v>
      </c>
    </row>
    <row r="702" spans="2:7" ht="15" customHeight="1" x14ac:dyDescent="0.3">
      <c r="C702" s="1"/>
      <c r="D702" s="8">
        <v>2021</v>
      </c>
      <c r="E702" s="14">
        <f>Data!N702</f>
        <v>35445000000</v>
      </c>
      <c r="F702" s="14">
        <f>Data!L702</f>
        <v>359483000000</v>
      </c>
      <c r="G702" s="12">
        <f t="shared" si="10"/>
        <v>9.8599933793809449E-2</v>
      </c>
    </row>
    <row r="703" spans="2:7" ht="15" customHeight="1" x14ac:dyDescent="0.3">
      <c r="C703" s="1"/>
      <c r="D703" s="8">
        <v>2022</v>
      </c>
      <c r="E703" s="14" t="e">
        <f>Data!#REF!</f>
        <v>#REF!</v>
      </c>
      <c r="F703" s="14">
        <f>Data!L703</f>
        <v>435833000000</v>
      </c>
      <c r="G703" s="12">
        <f t="shared" si="10"/>
        <v>0</v>
      </c>
    </row>
    <row r="704" spans="2:7" ht="15" customHeight="1" x14ac:dyDescent="0.3">
      <c r="C704" s="1"/>
      <c r="D704" s="8">
        <v>2023</v>
      </c>
      <c r="E704" s="14" t="e">
        <f>Data!#REF!</f>
        <v>#REF!</v>
      </c>
      <c r="F704" s="14">
        <f>Data!L704</f>
        <v>495125000000</v>
      </c>
      <c r="G704" s="12">
        <f t="shared" si="10"/>
        <v>0</v>
      </c>
    </row>
    <row r="705" spans="2:7" ht="15" customHeight="1" x14ac:dyDescent="0.3">
      <c r="C705" s="1"/>
      <c r="D705" s="8">
        <v>2024</v>
      </c>
      <c r="E705" s="14" t="e">
        <f>Data!#REF!</f>
        <v>#REF!</v>
      </c>
      <c r="F705" s="14">
        <f>Data!L705</f>
        <v>489801000000</v>
      </c>
      <c r="G705" s="12">
        <f t="shared" si="10"/>
        <v>0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Data!N706</f>
        <v>0</v>
      </c>
      <c r="F706" s="14">
        <f>Data!L706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Data!N707</f>
        <v>0</v>
      </c>
      <c r="F707" s="14">
        <f>Data!L707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Data!N708</f>
        <v>0</v>
      </c>
      <c r="F708" s="14">
        <f>Data!L708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Data!N709</f>
        <v>0</v>
      </c>
      <c r="F709" s="14">
        <f>Data!L709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Data!N710</f>
        <v>0</v>
      </c>
      <c r="F710" s="14">
        <f>Data!L710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Data!N711</f>
        <v>0</v>
      </c>
      <c r="F711" s="14">
        <f>Data!L711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Data!N712</f>
        <v>0</v>
      </c>
      <c r="F712" s="14">
        <f>Data!L712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Data!N713</f>
        <v>0</v>
      </c>
      <c r="F713" s="14">
        <f>Data!L713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Data!N714</f>
        <v>887676316000</v>
      </c>
      <c r="F714" s="14">
        <f>Data!L714</f>
        <v>4270835457000</v>
      </c>
      <c r="G714" s="12">
        <f t="shared" si="11"/>
        <v>0.20784605844392287</v>
      </c>
    </row>
    <row r="715" spans="2:7" ht="15" customHeight="1" x14ac:dyDescent="0.3">
      <c r="C715" s="2"/>
      <c r="D715" s="8">
        <v>2023</v>
      </c>
      <c r="E715" s="14">
        <f>Data!N715</f>
        <v>1224519584000</v>
      </c>
      <c r="F715" s="14">
        <f>Data!L715</f>
        <v>5053588674000</v>
      </c>
      <c r="G715" s="12">
        <f t="shared" si="11"/>
        <v>0.24230693532696485</v>
      </c>
    </row>
    <row r="716" spans="2:7" ht="15" customHeight="1" x14ac:dyDescent="0.3">
      <c r="C716" s="2"/>
      <c r="D716" s="8">
        <v>2024</v>
      </c>
      <c r="E716" s="14">
        <f>Data!N716</f>
        <v>1329615553000</v>
      </c>
      <c r="F716" s="14">
        <f>Data!L716</f>
        <v>6029133282000</v>
      </c>
      <c r="G716" s="12">
        <f t="shared" si="11"/>
        <v>0.22053178969679973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Data!N717</f>
        <v>0</v>
      </c>
      <c r="F717" s="14">
        <f>Data!L717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Data!N718</f>
        <v>180892000000</v>
      </c>
      <c r="F718" s="14">
        <f>Data!L718</f>
        <v>1222390000000</v>
      </c>
      <c r="G718" s="12">
        <f t="shared" si="11"/>
        <v>0.14798223153003542</v>
      </c>
    </row>
    <row r="719" spans="2:7" ht="15" customHeight="1" x14ac:dyDescent="0.3">
      <c r="C719" s="2"/>
      <c r="D719" s="8">
        <v>2016</v>
      </c>
      <c r="E719" s="14">
        <f>Data!N719</f>
        <v>199223000000</v>
      </c>
      <c r="F719" s="14">
        <f>Data!L719</f>
        <v>1468383000000</v>
      </c>
      <c r="G719" s="12">
        <f t="shared" si="11"/>
        <v>0.13567509294237268</v>
      </c>
    </row>
    <row r="720" spans="2:7" ht="15" customHeight="1" x14ac:dyDescent="0.3">
      <c r="C720" s="2"/>
      <c r="D720" s="8">
        <v>2017</v>
      </c>
      <c r="E720" s="14">
        <f>Data!N720</f>
        <v>172087000000</v>
      </c>
      <c r="F720" s="14">
        <f>Data!L720</f>
        <v>1701124000000</v>
      </c>
      <c r="G720" s="12">
        <f t="shared" si="11"/>
        <v>0.10116076194327986</v>
      </c>
    </row>
    <row r="721" spans="2:7" ht="15" customHeight="1" x14ac:dyDescent="0.3">
      <c r="C721" s="2"/>
      <c r="D721" s="8">
        <v>2018</v>
      </c>
      <c r="E721" s="14">
        <f>Data!N721</f>
        <v>160182000000</v>
      </c>
      <c r="F721" s="14">
        <f>Data!L721</f>
        <v>1968881000000</v>
      </c>
      <c r="G721" s="12">
        <f t="shared" si="11"/>
        <v>8.135687225383352E-2</v>
      </c>
    </row>
    <row r="722" spans="2:7" ht="15" customHeight="1" x14ac:dyDescent="0.3">
      <c r="C722" s="2"/>
      <c r="D722" s="8">
        <v>2019</v>
      </c>
      <c r="E722" s="14">
        <f>Data!N722</f>
        <v>79913000000</v>
      </c>
      <c r="F722" s="14">
        <f>Data!L722</f>
        <v>1921991000000</v>
      </c>
      <c r="G722" s="12">
        <f t="shared" si="11"/>
        <v>4.1578238399659517E-2</v>
      </c>
    </row>
    <row r="723" spans="2:7" ht="15" customHeight="1" x14ac:dyDescent="0.3">
      <c r="C723" s="2"/>
      <c r="D723" s="8">
        <v>2020</v>
      </c>
      <c r="E723" s="14">
        <f>Data!N723</f>
        <v>75949000000</v>
      </c>
      <c r="F723" s="14">
        <f>Data!L723</f>
        <v>1746255000000</v>
      </c>
      <c r="G723" s="12">
        <f t="shared" si="11"/>
        <v>4.3492502526836001E-2</v>
      </c>
    </row>
    <row r="724" spans="2:7" ht="15" customHeight="1" x14ac:dyDescent="0.3">
      <c r="C724" s="2"/>
      <c r="D724" s="8">
        <v>2021</v>
      </c>
      <c r="E724" s="14">
        <f>Data!N724</f>
        <v>74899000000</v>
      </c>
      <c r="F724" s="14">
        <f>Data!L724</f>
        <v>2461515000000</v>
      </c>
      <c r="G724" s="12">
        <f t="shared" si="11"/>
        <v>3.0428008766958559E-2</v>
      </c>
    </row>
    <row r="725" spans="2:7" ht="15" customHeight="1" x14ac:dyDescent="0.3">
      <c r="C725" s="2"/>
      <c r="D725" s="8">
        <v>2022</v>
      </c>
      <c r="E725" s="14">
        <f>Data!N725</f>
        <v>94736000000</v>
      </c>
      <c r="F725" s="14">
        <f>Data!L725</f>
        <v>3322138000000</v>
      </c>
      <c r="G725" s="12">
        <f t="shared" si="11"/>
        <v>2.8516575771385777E-2</v>
      </c>
    </row>
    <row r="726" spans="2:7" ht="15" customHeight="1" x14ac:dyDescent="0.3">
      <c r="C726" s="2"/>
      <c r="D726" s="8">
        <v>2023</v>
      </c>
      <c r="E726" s="14">
        <f>Data!N726</f>
        <v>130076000000</v>
      </c>
      <c r="F726" s="14">
        <f>Data!L726</f>
        <v>3533000000000</v>
      </c>
      <c r="G726" s="12">
        <f t="shared" si="11"/>
        <v>3.6817435607132749E-2</v>
      </c>
    </row>
    <row r="727" spans="2:7" ht="15" customHeight="1" x14ac:dyDescent="0.3">
      <c r="C727" s="2"/>
      <c r="D727" s="8">
        <v>2024</v>
      </c>
      <c r="E727" s="14">
        <f>Data!N727</f>
        <v>0</v>
      </c>
      <c r="F727" s="14">
        <f>Data!L727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Data!N728</f>
        <v>0</v>
      </c>
      <c r="F728" s="14">
        <f>Data!L728</f>
        <v>39242000000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Data!N729</f>
        <v>5147000000</v>
      </c>
      <c r="F729" s="14">
        <f>Data!L729</f>
        <v>51507000000</v>
      </c>
      <c r="G729" s="12">
        <f t="shared" si="11"/>
        <v>9.992816510377231E-2</v>
      </c>
    </row>
    <row r="730" spans="2:7" ht="15" customHeight="1" x14ac:dyDescent="0.3">
      <c r="C730" s="2"/>
      <c r="D730" s="8">
        <v>2016</v>
      </c>
      <c r="E730" s="14">
        <f>Data!N730</f>
        <v>8314000000</v>
      </c>
      <c r="F730" s="14">
        <f>Data!L730</f>
        <v>57130000000</v>
      </c>
      <c r="G730" s="12">
        <f t="shared" si="11"/>
        <v>0.14552774374234204</v>
      </c>
    </row>
    <row r="731" spans="2:7" ht="15" customHeight="1" x14ac:dyDescent="0.3">
      <c r="C731" s="2"/>
      <c r="D731" s="8">
        <v>2017</v>
      </c>
      <c r="E731" s="14">
        <f>Data!N731</f>
        <v>4135470000.0000005</v>
      </c>
      <c r="F731" s="14">
        <f>Data!L731</f>
        <v>58105990000</v>
      </c>
      <c r="G731" s="12">
        <f t="shared" si="11"/>
        <v>7.1171147759465078E-2</v>
      </c>
    </row>
    <row r="732" spans="2:7" ht="15" customHeight="1" x14ac:dyDescent="0.3">
      <c r="C732" s="2"/>
      <c r="D732" s="8">
        <v>2018</v>
      </c>
      <c r="E732" s="14">
        <f>Data!N732</f>
        <v>4379710000</v>
      </c>
      <c r="F732" s="14">
        <f>Data!L732</f>
        <v>59521920000</v>
      </c>
      <c r="G732" s="12">
        <f t="shared" si="11"/>
        <v>7.3581463769985908E-2</v>
      </c>
    </row>
    <row r="733" spans="2:7" ht="15" customHeight="1" x14ac:dyDescent="0.3">
      <c r="C733" s="2"/>
      <c r="D733" s="8">
        <v>2019</v>
      </c>
      <c r="E733" s="14">
        <f>Data!N733</f>
        <v>5451080000</v>
      </c>
      <c r="F733" s="14">
        <f>Data!L733</f>
        <v>73231600000</v>
      </c>
      <c r="G733" s="12">
        <f t="shared" si="11"/>
        <v>7.4436172362750505E-2</v>
      </c>
    </row>
    <row r="734" spans="2:7" ht="15" customHeight="1" x14ac:dyDescent="0.3">
      <c r="C734" s="2"/>
      <c r="D734" s="8">
        <v>2020</v>
      </c>
      <c r="E734" s="14">
        <f>Data!N734</f>
        <v>8472430000</v>
      </c>
      <c r="F734" s="14">
        <f>Data!L734</f>
        <v>73668170000</v>
      </c>
      <c r="G734" s="12">
        <f t="shared" si="11"/>
        <v>0.11500801499480712</v>
      </c>
    </row>
    <row r="735" spans="2:7" ht="15" customHeight="1" x14ac:dyDescent="0.3">
      <c r="C735" s="2"/>
      <c r="D735" s="8">
        <v>2021</v>
      </c>
      <c r="E735" s="14">
        <f>Data!N735</f>
        <v>8169000000</v>
      </c>
      <c r="F735" s="14">
        <f>Data!L735</f>
        <v>64350920000</v>
      </c>
      <c r="G735" s="12">
        <f t="shared" si="11"/>
        <v>0.12694457204341444</v>
      </c>
    </row>
    <row r="736" spans="2:7" ht="15" customHeight="1" x14ac:dyDescent="0.3">
      <c r="C736" s="2"/>
      <c r="D736" s="8">
        <v>2022</v>
      </c>
      <c r="E736" s="14">
        <f>Data!N736</f>
        <v>6873980000</v>
      </c>
      <c r="F736" s="14">
        <f>Data!L736</f>
        <v>87808930000</v>
      </c>
      <c r="G736" s="12">
        <f t="shared" si="11"/>
        <v>7.8283381883824346E-2</v>
      </c>
    </row>
    <row r="737" spans="2:7" ht="15" customHeight="1" x14ac:dyDescent="0.3">
      <c r="C737" s="2"/>
      <c r="D737" s="8">
        <v>2023</v>
      </c>
      <c r="E737" s="14">
        <f>Data!N737</f>
        <v>4831560000</v>
      </c>
      <c r="F737" s="14">
        <f>Data!L737</f>
        <v>87695570000</v>
      </c>
      <c r="G737" s="12">
        <f t="shared" si="11"/>
        <v>5.5094687223083222E-2</v>
      </c>
    </row>
    <row r="738" spans="2:7" ht="15" customHeight="1" x14ac:dyDescent="0.3">
      <c r="C738" s="2"/>
      <c r="D738" s="8">
        <v>2024</v>
      </c>
      <c r="E738" s="14">
        <f>Data!N738</f>
        <v>4237859999.9999995</v>
      </c>
      <c r="F738" s="14">
        <f>Data!L738</f>
        <v>60089740000</v>
      </c>
      <c r="G738" s="12">
        <f t="shared" si="11"/>
        <v>7.0525517334573254E-2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Data!N739</f>
        <v>0</v>
      </c>
      <c r="F739" s="14">
        <f>Data!L739</f>
        <v>1292992000000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Data!N740</f>
        <v>268564704000</v>
      </c>
      <c r="F740" s="14">
        <f>Data!L740</f>
        <v>1378910415000</v>
      </c>
      <c r="G740" s="12">
        <f t="shared" si="11"/>
        <v>0.19476588259723893</v>
      </c>
    </row>
    <row r="741" spans="2:7" ht="15" customHeight="1" x14ac:dyDescent="0.3">
      <c r="C741" s="2"/>
      <c r="D741" s="8">
        <v>2016</v>
      </c>
      <c r="E741" s="14">
        <f>Data!N741</f>
        <v>173481650000</v>
      </c>
      <c r="F741" s="14">
        <f>Data!L741</f>
        <v>1318080691000</v>
      </c>
      <c r="G741" s="12">
        <f t="shared" si="11"/>
        <v>0.13161686623933708</v>
      </c>
    </row>
    <row r="742" spans="2:7" ht="15" customHeight="1" x14ac:dyDescent="0.3">
      <c r="C742" s="2"/>
      <c r="D742" s="8">
        <v>2017</v>
      </c>
      <c r="E742" s="14">
        <f>Data!N742</f>
        <v>160822141000</v>
      </c>
      <c r="F742" s="14">
        <f>Data!L742</f>
        <v>1247260864000</v>
      </c>
      <c r="G742" s="12">
        <f t="shared" si="11"/>
        <v>0.12894026072800757</v>
      </c>
    </row>
    <row r="743" spans="2:7" ht="15" customHeight="1" x14ac:dyDescent="0.3">
      <c r="C743" s="2"/>
      <c r="D743" s="8">
        <v>2018</v>
      </c>
      <c r="E743" s="14">
        <f>Data!N743</f>
        <v>69110393000</v>
      </c>
      <c r="F743" s="14">
        <f>Data!L743</f>
        <v>1217339878000</v>
      </c>
      <c r="G743" s="12">
        <f t="shared" si="11"/>
        <v>5.6771649601706387E-2</v>
      </c>
    </row>
    <row r="744" spans="2:7" ht="15" customHeight="1" x14ac:dyDescent="0.3">
      <c r="C744" s="2"/>
      <c r="D744" s="8">
        <v>2019</v>
      </c>
      <c r="E744" s="14">
        <f>Data!N744</f>
        <v>87524342000</v>
      </c>
      <c r="F744" s="14">
        <f>Data!L744</f>
        <v>1094421461000</v>
      </c>
      <c r="G744" s="12">
        <f t="shared" si="11"/>
        <v>7.9973159444467437E-2</v>
      </c>
    </row>
    <row r="745" spans="2:7" ht="15" customHeight="1" x14ac:dyDescent="0.3">
      <c r="C745" s="2"/>
      <c r="D745" s="8">
        <v>2020</v>
      </c>
      <c r="E745" s="14">
        <f>Data!N745</f>
        <v>138190287000</v>
      </c>
      <c r="F745" s="14">
        <f>Data!L745</f>
        <v>903418454000</v>
      </c>
      <c r="G745" s="12">
        <f t="shared" si="11"/>
        <v>0.15296376378869056</v>
      </c>
    </row>
    <row r="746" spans="2:7" ht="15" customHeight="1" x14ac:dyDescent="0.3">
      <c r="C746" s="2"/>
      <c r="D746" s="8">
        <v>2021</v>
      </c>
      <c r="E746" s="14">
        <f>Data!N746</f>
        <v>157351069000</v>
      </c>
      <c r="F746" s="14">
        <f>Data!L746</f>
        <v>777394503000</v>
      </c>
      <c r="G746" s="12">
        <f t="shared" si="11"/>
        <v>0.20240826040417731</v>
      </c>
    </row>
    <row r="747" spans="2:7" ht="15" customHeight="1" x14ac:dyDescent="0.3">
      <c r="C747" s="2"/>
      <c r="D747" s="8">
        <v>2022</v>
      </c>
      <c r="E747" s="14">
        <f>Data!N747</f>
        <v>91138279000</v>
      </c>
      <c r="F747" s="14">
        <f>Data!L747</f>
        <v>738132307000</v>
      </c>
      <c r="G747" s="12">
        <f t="shared" si="11"/>
        <v>0.12347146729075496</v>
      </c>
    </row>
    <row r="748" spans="2:7" ht="15" customHeight="1" x14ac:dyDescent="0.3">
      <c r="C748" s="2"/>
      <c r="D748" s="8">
        <v>2023</v>
      </c>
      <c r="E748" s="14">
        <f>Data!N748</f>
        <v>84575723000</v>
      </c>
      <c r="F748" s="14">
        <f>Data!L748</f>
        <v>855193929000</v>
      </c>
      <c r="G748" s="12">
        <f t="shared" si="11"/>
        <v>9.8896542798072182E-2</v>
      </c>
    </row>
    <row r="749" spans="2:7" ht="15" customHeight="1" x14ac:dyDescent="0.3">
      <c r="C749" s="2"/>
      <c r="D749" s="8">
        <v>2024</v>
      </c>
      <c r="E749" s="14">
        <f>Data!N749</f>
        <v>80050275000</v>
      </c>
      <c r="F749" s="14">
        <f>Data!L749</f>
        <v>916057920000</v>
      </c>
      <c r="G749" s="12">
        <f t="shared" si="11"/>
        <v>8.7385604394971006E-2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Data!N750</f>
        <v>0</v>
      </c>
      <c r="F750" s="14">
        <f>Data!L750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Data!N751</f>
        <v>0</v>
      </c>
      <c r="F751" s="14">
        <f>Data!L751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Data!N752</f>
        <v>0</v>
      </c>
      <c r="F752" s="14">
        <f>Data!L752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Data!N753</f>
        <v>25574790000</v>
      </c>
      <c r="F753" s="14">
        <f>Data!L753</f>
        <v>80430400000</v>
      </c>
      <c r="G753" s="12">
        <f t="shared" si="11"/>
        <v>0.31797417394418032</v>
      </c>
    </row>
    <row r="754" spans="2:7" ht="15" customHeight="1" x14ac:dyDescent="0.3">
      <c r="C754" s="2"/>
      <c r="D754" s="8">
        <v>2018</v>
      </c>
      <c r="E754" s="14">
        <f>Data!N754</f>
        <v>30203870000</v>
      </c>
      <c r="F754" s="14">
        <f>Data!L754</f>
        <v>93442490000</v>
      </c>
      <c r="G754" s="12">
        <f t="shared" si="11"/>
        <v>0.32323485814643854</v>
      </c>
    </row>
    <row r="755" spans="2:7" ht="15" customHeight="1" x14ac:dyDescent="0.3">
      <c r="C755" s="2"/>
      <c r="D755" s="8">
        <v>2019</v>
      </c>
      <c r="E755" s="14">
        <f>Data!N755</f>
        <v>37361450000</v>
      </c>
      <c r="F755" s="14">
        <f>Data!L755</f>
        <v>104586650000</v>
      </c>
      <c r="G755" s="12">
        <f t="shared" si="11"/>
        <v>0.35722962729946889</v>
      </c>
    </row>
    <row r="756" spans="2:7" ht="15" customHeight="1" x14ac:dyDescent="0.3">
      <c r="C756" s="2"/>
      <c r="D756" s="8">
        <v>2020</v>
      </c>
      <c r="E756" s="14">
        <f>Data!N756</f>
        <v>42154150000</v>
      </c>
      <c r="F756" s="14">
        <f>Data!L756</f>
        <v>105562400000</v>
      </c>
      <c r="G756" s="12">
        <f t="shared" si="11"/>
        <v>0.39932921191636417</v>
      </c>
    </row>
    <row r="757" spans="2:7" ht="15" customHeight="1" x14ac:dyDescent="0.3">
      <c r="C757" s="2"/>
      <c r="D757" s="8">
        <v>2021</v>
      </c>
      <c r="E757" s="14">
        <f>Data!N757</f>
        <v>31535620000</v>
      </c>
      <c r="F757" s="14">
        <f>Data!L757</f>
        <v>89587500000</v>
      </c>
      <c r="G757" s="12">
        <f t="shared" si="11"/>
        <v>0.35200915306264824</v>
      </c>
    </row>
    <row r="758" spans="2:7" ht="15" customHeight="1" x14ac:dyDescent="0.3">
      <c r="C758" s="2"/>
      <c r="D758" s="8">
        <v>2022</v>
      </c>
      <c r="E758" s="14">
        <f>Data!N758</f>
        <v>42879190000</v>
      </c>
      <c r="F758" s="14">
        <f>Data!L758</f>
        <v>140140960000</v>
      </c>
      <c r="G758" s="12">
        <f t="shared" si="11"/>
        <v>0.30597185862006371</v>
      </c>
    </row>
    <row r="759" spans="2:7" ht="15" customHeight="1" x14ac:dyDescent="0.3">
      <c r="C759" s="2"/>
      <c r="D759" s="8">
        <v>2023</v>
      </c>
      <c r="E759" s="14">
        <f>Data!N759</f>
        <v>42350270000</v>
      </c>
      <c r="F759" s="14">
        <f>Data!L759</f>
        <v>143645160000</v>
      </c>
      <c r="G759" s="12">
        <f t="shared" si="11"/>
        <v>0.29482559662991775</v>
      </c>
    </row>
    <row r="760" spans="2:7" ht="15" customHeight="1" x14ac:dyDescent="0.3">
      <c r="C760" s="2"/>
      <c r="D760" s="8">
        <v>2024</v>
      </c>
      <c r="E760" s="14">
        <f>Data!N760</f>
        <v>48834840000</v>
      </c>
      <c r="F760" s="14">
        <f>Data!L760</f>
        <v>182014100000</v>
      </c>
      <c r="G760" s="12">
        <f t="shared" si="11"/>
        <v>0.26830251062967098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Data!N761</f>
        <v>0</v>
      </c>
      <c r="F761" s="14">
        <f>Data!L761</f>
        <v>131940785000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Data!N762</f>
        <v>28199274000</v>
      </c>
      <c r="F762" s="14">
        <f>Data!L762</f>
        <v>176303360000</v>
      </c>
      <c r="G762" s="12">
        <f t="shared" si="11"/>
        <v>0.15994745647502123</v>
      </c>
    </row>
    <row r="763" spans="2:7" ht="15" customHeight="1" x14ac:dyDescent="0.3">
      <c r="C763" s="2"/>
      <c r="D763" s="8">
        <v>2016</v>
      </c>
      <c r="E763" s="14">
        <f>Data!N763</f>
        <v>15304781000</v>
      </c>
      <c r="F763" s="14">
        <f>Data!L763</f>
        <v>202273834000</v>
      </c>
      <c r="G763" s="12">
        <f t="shared" si="11"/>
        <v>7.5663671851891628E-2</v>
      </c>
    </row>
    <row r="764" spans="2:7" ht="15" customHeight="1" x14ac:dyDescent="0.3">
      <c r="C764" s="2"/>
      <c r="D764" s="8">
        <v>2017</v>
      </c>
      <c r="E764" s="14">
        <f>Data!N764</f>
        <v>13511398000</v>
      </c>
      <c r="F764" s="14">
        <f>Data!L764</f>
        <v>226042676000</v>
      </c>
      <c r="G764" s="12">
        <f t="shared" si="11"/>
        <v>5.9773659731403993E-2</v>
      </c>
    </row>
    <row r="765" spans="2:7" ht="15" customHeight="1" x14ac:dyDescent="0.3">
      <c r="C765" s="2"/>
      <c r="D765" s="8">
        <v>2018</v>
      </c>
      <c r="E765" s="14">
        <f>Data!N765</f>
        <v>13936519000</v>
      </c>
      <c r="F765" s="14">
        <f>Data!L765</f>
        <v>264899142000</v>
      </c>
      <c r="G765" s="12">
        <f t="shared" si="11"/>
        <v>5.2610661154953837E-2</v>
      </c>
    </row>
    <row r="766" spans="2:7" ht="15" customHeight="1" x14ac:dyDescent="0.3">
      <c r="C766" s="2"/>
      <c r="D766" s="8">
        <v>2019</v>
      </c>
      <c r="E766" s="14">
        <f>Data!N766</f>
        <v>8009060000</v>
      </c>
      <c r="F766" s="14">
        <f>Data!L766</f>
        <v>250804486000</v>
      </c>
      <c r="G766" s="12">
        <f t="shared" si="11"/>
        <v>3.1933479850117193E-2</v>
      </c>
    </row>
    <row r="767" spans="2:7" ht="15" customHeight="1" x14ac:dyDescent="0.3">
      <c r="C767" s="2"/>
      <c r="D767" s="8">
        <v>2020</v>
      </c>
      <c r="E767" s="14">
        <f>Data!N767</f>
        <v>23668304000</v>
      </c>
      <c r="F767" s="14">
        <f>Data!L767</f>
        <v>231470118000</v>
      </c>
      <c r="G767" s="12">
        <f t="shared" si="11"/>
        <v>0.10225209285977899</v>
      </c>
    </row>
    <row r="768" spans="2:7" ht="15" customHeight="1" x14ac:dyDescent="0.3">
      <c r="C768" s="2"/>
      <c r="D768" s="8">
        <v>2021</v>
      </c>
      <c r="E768" s="14">
        <f>Data!N768</f>
        <v>16469192000</v>
      </c>
      <c r="F768" s="14">
        <f>Data!L768</f>
        <v>205396484000</v>
      </c>
      <c r="G768" s="12">
        <f t="shared" si="11"/>
        <v>8.0182443629366121E-2</v>
      </c>
    </row>
    <row r="769" spans="2:7" ht="15" customHeight="1" x14ac:dyDescent="0.3">
      <c r="C769" s="2"/>
      <c r="D769" s="8">
        <v>2022</v>
      </c>
      <c r="E769" s="14">
        <f>Data!N769</f>
        <v>5147620000</v>
      </c>
      <c r="F769" s="14">
        <f>Data!L769</f>
        <v>223493529000</v>
      </c>
      <c r="G769" s="12">
        <f t="shared" si="11"/>
        <v>2.3032523684388195E-2</v>
      </c>
    </row>
    <row r="770" spans="2:7" ht="15" customHeight="1" x14ac:dyDescent="0.3">
      <c r="C770" s="2"/>
      <c r="D770" s="8">
        <v>2023</v>
      </c>
      <c r="E770" s="14">
        <f>Data!N770</f>
        <v>5826993000</v>
      </c>
      <c r="F770" s="14">
        <f>Data!L770</f>
        <v>186592956000</v>
      </c>
      <c r="G770" s="12">
        <f t="shared" si="11"/>
        <v>3.1228365340865278E-2</v>
      </c>
    </row>
    <row r="771" spans="2:7" ht="15" customHeight="1" x14ac:dyDescent="0.3">
      <c r="C771" s="2"/>
      <c r="D771" s="8">
        <v>2024</v>
      </c>
      <c r="E771" s="14">
        <f>Data!N771</f>
        <v>9899005000</v>
      </c>
      <c r="F771" s="14">
        <f>Data!L771</f>
        <v>165551135000</v>
      </c>
      <c r="G771" s="12">
        <f t="shared" ref="G771:G834" si="12">IFERROR(E771/F771,0)</f>
        <v>5.9794244237588584E-2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Data!N772</f>
        <v>0</v>
      </c>
      <c r="F772" s="14">
        <f>Data!L772</f>
        <v>128874000000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Data!N773</f>
        <v>25175000000</v>
      </c>
      <c r="F773" s="14">
        <f>Data!L773</f>
        <v>131281000000</v>
      </c>
      <c r="G773" s="12">
        <f t="shared" si="12"/>
        <v>0.19176423092450545</v>
      </c>
    </row>
    <row r="774" spans="2:7" ht="15" customHeight="1" x14ac:dyDescent="0.3">
      <c r="C774" s="2"/>
      <c r="D774" s="8">
        <v>2016</v>
      </c>
      <c r="E774" s="14">
        <f>Data!N774</f>
        <v>39913000000</v>
      </c>
      <c r="F774" s="14">
        <f>Data!L774</f>
        <v>141786000000</v>
      </c>
      <c r="G774" s="12">
        <f t="shared" si="12"/>
        <v>0.28150169974468564</v>
      </c>
    </row>
    <row r="775" spans="2:7" ht="15" customHeight="1" x14ac:dyDescent="0.3">
      <c r="C775" s="2"/>
      <c r="D775" s="8">
        <v>2017</v>
      </c>
      <c r="E775" s="14">
        <f>Data!N775</f>
        <v>37937000000</v>
      </c>
      <c r="F775" s="14">
        <f>Data!L775</f>
        <v>146978000000</v>
      </c>
      <c r="G775" s="12">
        <f t="shared" si="12"/>
        <v>0.25811345915715278</v>
      </c>
    </row>
    <row r="776" spans="2:7" ht="15" customHeight="1" x14ac:dyDescent="0.3">
      <c r="C776" s="2"/>
      <c r="D776" s="8">
        <v>2018</v>
      </c>
      <c r="E776" s="14">
        <f>Data!N776</f>
        <v>41364000000</v>
      </c>
      <c r="F776" s="14">
        <f>Data!L776</f>
        <v>156403000000</v>
      </c>
      <c r="G776" s="12">
        <f t="shared" si="12"/>
        <v>0.26447063035875273</v>
      </c>
    </row>
    <row r="777" spans="2:7" ht="15" customHeight="1" x14ac:dyDescent="0.3">
      <c r="C777" s="2"/>
      <c r="D777" s="8">
        <v>2019</v>
      </c>
      <c r="E777" s="14">
        <f>Data!N777</f>
        <v>40854000000</v>
      </c>
      <c r="F777" s="14">
        <f>Data!L777</f>
        <v>168383000000</v>
      </c>
      <c r="G777" s="12">
        <f t="shared" si="12"/>
        <v>0.24262544318606985</v>
      </c>
    </row>
    <row r="778" spans="2:7" ht="15" customHeight="1" x14ac:dyDescent="0.3">
      <c r="C778" s="2"/>
      <c r="D778" s="8">
        <v>2020</v>
      </c>
      <c r="E778" s="14">
        <f>Data!N778</f>
        <v>52437000000</v>
      </c>
      <c r="F778" s="14">
        <f>Data!L778</f>
        <v>164859000000</v>
      </c>
      <c r="G778" s="12">
        <f t="shared" si="12"/>
        <v>0.3180718068167343</v>
      </c>
    </row>
    <row r="779" spans="2:7" ht="15" customHeight="1" x14ac:dyDescent="0.3">
      <c r="C779" s="2"/>
      <c r="D779" s="8">
        <v>2021</v>
      </c>
      <c r="E779" s="14">
        <f>Data!N779</f>
        <v>40159000000</v>
      </c>
      <c r="F779" s="14">
        <f>Data!L779</f>
        <v>163692000000</v>
      </c>
      <c r="G779" s="12">
        <f t="shared" si="12"/>
        <v>0.24533269799379323</v>
      </c>
    </row>
    <row r="780" spans="2:7" ht="15" customHeight="1" x14ac:dyDescent="0.3">
      <c r="C780" s="2"/>
      <c r="D780" s="8">
        <v>2022</v>
      </c>
      <c r="E780" s="14">
        <f>Data!N780</f>
        <v>49054000000</v>
      </c>
      <c r="F780" s="14">
        <f>Data!L780</f>
        <v>169503000000</v>
      </c>
      <c r="G780" s="12">
        <f t="shared" si="12"/>
        <v>0.28939900768717958</v>
      </c>
    </row>
    <row r="781" spans="2:7" ht="15" customHeight="1" x14ac:dyDescent="0.3">
      <c r="C781" s="2"/>
      <c r="D781" s="8">
        <v>2023</v>
      </c>
      <c r="E781" s="14">
        <f>Data!N781</f>
        <v>23154000000</v>
      </c>
      <c r="F781" s="14">
        <f>Data!L781</f>
        <v>180773000000</v>
      </c>
      <c r="G781" s="12">
        <f t="shared" si="12"/>
        <v>0.12808328677402045</v>
      </c>
    </row>
    <row r="782" spans="2:7" ht="15" customHeight="1" x14ac:dyDescent="0.3">
      <c r="C782" s="2"/>
      <c r="D782" s="8">
        <v>2024</v>
      </c>
      <c r="E782" s="14">
        <f>Data!N782</f>
        <v>81125000000</v>
      </c>
      <c r="F782" s="14">
        <f>Data!L782</f>
        <v>182263000000</v>
      </c>
      <c r="G782" s="12">
        <f t="shared" si="12"/>
        <v>0.44509856635740658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Data!N783</f>
        <v>0</v>
      </c>
      <c r="F783" s="14">
        <f>Data!L783</f>
        <v>8492000000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Data!N784</f>
        <v>6347000000</v>
      </c>
      <c r="F784" s="14">
        <f>Data!L784</f>
        <v>79099000000</v>
      </c>
      <c r="G784" s="12">
        <f t="shared" si="12"/>
        <v>8.0241216703118873E-2</v>
      </c>
    </row>
    <row r="785" spans="2:7" ht="15" customHeight="1" x14ac:dyDescent="0.3">
      <c r="C785" s="2"/>
      <c r="D785" s="8">
        <v>2016</v>
      </c>
      <c r="E785" s="14">
        <f>Data!N785</f>
        <v>15826000000</v>
      </c>
      <c r="F785" s="14">
        <f>Data!L785</f>
        <v>225764000000</v>
      </c>
      <c r="G785" s="12">
        <f t="shared" si="12"/>
        <v>7.0099750181605566E-2</v>
      </c>
    </row>
    <row r="786" spans="2:7" ht="15" customHeight="1" x14ac:dyDescent="0.3">
      <c r="C786" s="2"/>
      <c r="D786" s="8">
        <v>2017</v>
      </c>
      <c r="E786" s="14">
        <f>Data!N786</f>
        <v>30388000000</v>
      </c>
      <c r="F786" s="14">
        <f>Data!L786</f>
        <v>335012000000</v>
      </c>
      <c r="G786" s="12">
        <f t="shared" si="12"/>
        <v>9.0707198548111712E-2</v>
      </c>
    </row>
    <row r="787" spans="2:7" ht="15" customHeight="1" x14ac:dyDescent="0.3">
      <c r="C787" s="2"/>
      <c r="D787" s="8">
        <v>2018</v>
      </c>
      <c r="E787" s="14">
        <f>Data!N787</f>
        <v>50842000000</v>
      </c>
      <c r="F787" s="14">
        <f>Data!L787</f>
        <v>476292000000</v>
      </c>
      <c r="G787" s="12">
        <f t="shared" si="12"/>
        <v>0.10674544187179294</v>
      </c>
    </row>
    <row r="788" spans="2:7" ht="15" customHeight="1" x14ac:dyDescent="0.3">
      <c r="C788" s="2"/>
      <c r="D788" s="8">
        <v>2019</v>
      </c>
      <c r="E788" s="14">
        <f>Data!N788</f>
        <v>67340000000</v>
      </c>
      <c r="F788" s="14">
        <f>Data!L788</f>
        <v>502179000000</v>
      </c>
      <c r="G788" s="12">
        <f t="shared" si="12"/>
        <v>0.13409561132584197</v>
      </c>
    </row>
    <row r="789" spans="2:7" ht="15" customHeight="1" x14ac:dyDescent="0.3">
      <c r="C789" s="2"/>
      <c r="D789" s="8">
        <v>2020</v>
      </c>
      <c r="E789" s="14">
        <f>Data!N789</f>
        <v>9651000000</v>
      </c>
      <c r="F789" s="14">
        <f>Data!L789</f>
        <v>373156000000</v>
      </c>
      <c r="G789" s="12">
        <f t="shared" si="12"/>
        <v>2.5863177866629505E-2</v>
      </c>
    </row>
    <row r="790" spans="2:7" ht="15" customHeight="1" x14ac:dyDescent="0.3">
      <c r="C790" s="2"/>
      <c r="D790" s="8">
        <v>2021</v>
      </c>
      <c r="E790" s="14">
        <f>Data!N790</f>
        <v>11178000000</v>
      </c>
      <c r="F790" s="14">
        <f>Data!L790</f>
        <v>391331000000</v>
      </c>
      <c r="G790" s="12">
        <f t="shared" si="12"/>
        <v>2.8564054470512176E-2</v>
      </c>
    </row>
    <row r="791" spans="2:7" ht="15" customHeight="1" x14ac:dyDescent="0.3">
      <c r="C791" s="2"/>
      <c r="D791" s="8">
        <v>2022</v>
      </c>
      <c r="E791" s="14">
        <f>Data!N791</f>
        <v>15877000000</v>
      </c>
      <c r="F791" s="14">
        <f>Data!L791</f>
        <v>445137000000</v>
      </c>
      <c r="G791" s="12">
        <f t="shared" si="12"/>
        <v>3.5667670851895032E-2</v>
      </c>
    </row>
    <row r="792" spans="2:7" ht="15" customHeight="1" x14ac:dyDescent="0.3">
      <c r="C792" s="2"/>
      <c r="D792" s="8">
        <v>2023</v>
      </c>
      <c r="E792" s="14">
        <f>Data!N792</f>
        <v>20066000000</v>
      </c>
      <c r="F792" s="14">
        <f>Data!L792</f>
        <v>493673000000</v>
      </c>
      <c r="G792" s="12">
        <f t="shared" si="12"/>
        <v>4.0646338770805777E-2</v>
      </c>
    </row>
    <row r="793" spans="2:7" ht="15" customHeight="1" x14ac:dyDescent="0.3">
      <c r="C793" s="2"/>
      <c r="D793" s="8">
        <v>2024</v>
      </c>
      <c r="E793" s="14">
        <f>Data!N793</f>
        <v>22038000000</v>
      </c>
      <c r="F793" s="14">
        <f>Data!L793</f>
        <v>505519000000</v>
      </c>
      <c r="G793" s="12">
        <f t="shared" si="12"/>
        <v>4.3594800591075705E-2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Data!N794</f>
        <v>0</v>
      </c>
      <c r="F794" s="14">
        <f>Data!L794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Data!N795</f>
        <v>0</v>
      </c>
      <c r="F795" s="14">
        <f>Data!L795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Data!N796</f>
        <v>0</v>
      </c>
      <c r="F796" s="14">
        <f>Data!L796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Data!N797</f>
        <v>0</v>
      </c>
      <c r="F797" s="14">
        <f>Data!L797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Data!N798</f>
        <v>0</v>
      </c>
      <c r="F798" s="14">
        <f>Data!L798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Data!N799</f>
        <v>0</v>
      </c>
      <c r="F799" s="14">
        <f>Data!L799</f>
        <v>0</v>
      </c>
      <c r="G799" s="12">
        <f t="shared" si="12"/>
        <v>0</v>
      </c>
    </row>
    <row r="800" spans="2:7" ht="15" customHeight="1" x14ac:dyDescent="0.3">
      <c r="C800" s="2"/>
      <c r="D800" s="8">
        <v>2020</v>
      </c>
      <c r="E800" s="14">
        <f>Data!N800</f>
        <v>3086000000</v>
      </c>
      <c r="F800" s="14">
        <f>Data!L800</f>
        <v>7462000000</v>
      </c>
      <c r="G800" s="12">
        <f t="shared" si="12"/>
        <v>0.41356204770838917</v>
      </c>
    </row>
    <row r="801" spans="2:7" ht="15" customHeight="1" x14ac:dyDescent="0.3">
      <c r="C801" s="2"/>
      <c r="D801" s="8">
        <v>2021</v>
      </c>
      <c r="E801" s="14">
        <f>Data!N801</f>
        <v>5139000000</v>
      </c>
      <c r="F801" s="14">
        <f>Data!L801</f>
        <v>45463000000</v>
      </c>
      <c r="G801" s="12">
        <f t="shared" si="12"/>
        <v>0.1130369751226272</v>
      </c>
    </row>
    <row r="802" spans="2:7" ht="15" customHeight="1" x14ac:dyDescent="0.3">
      <c r="C802" s="2"/>
      <c r="D802" s="8">
        <v>2022</v>
      </c>
      <c r="E802" s="14">
        <f>Data!N802</f>
        <v>9125000000</v>
      </c>
      <c r="F802" s="14">
        <f>Data!L802</f>
        <v>80669000000</v>
      </c>
      <c r="G802" s="12">
        <f t="shared" si="12"/>
        <v>0.11311656274405286</v>
      </c>
    </row>
    <row r="803" spans="2:7" ht="15" customHeight="1" x14ac:dyDescent="0.3">
      <c r="C803" s="2"/>
      <c r="D803" s="8">
        <v>2023</v>
      </c>
      <c r="E803" s="14">
        <f>Data!N803</f>
        <v>12040000000</v>
      </c>
      <c r="F803" s="14">
        <f>Data!L803</f>
        <v>102085000000</v>
      </c>
      <c r="G803" s="12">
        <f t="shared" si="12"/>
        <v>0.11794093157662731</v>
      </c>
    </row>
    <row r="804" spans="2:7" ht="15" customHeight="1" x14ac:dyDescent="0.3">
      <c r="C804" s="2"/>
      <c r="D804" s="8">
        <v>2024</v>
      </c>
      <c r="E804" s="14">
        <f>Data!N804</f>
        <v>16393000000</v>
      </c>
      <c r="F804" s="14">
        <f>Data!L804</f>
        <v>124463000000</v>
      </c>
      <c r="G804" s="12">
        <f t="shared" si="12"/>
        <v>0.13170982540996121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Data!N805</f>
        <v>0</v>
      </c>
      <c r="F805" s="14">
        <f>Data!L805</f>
        <v>1240901000000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Data!N806</f>
        <v>155591000000</v>
      </c>
      <c r="F806" s="14">
        <f>Data!L806</f>
        <v>1335665000000</v>
      </c>
      <c r="G806" s="12">
        <f t="shared" si="12"/>
        <v>0.11648953891881572</v>
      </c>
    </row>
    <row r="807" spans="2:7" ht="15" customHeight="1" x14ac:dyDescent="0.3">
      <c r="C807" s="2"/>
      <c r="D807" s="8">
        <v>2016</v>
      </c>
      <c r="E807" s="14">
        <f>Data!N807</f>
        <v>1426619000000</v>
      </c>
      <c r="F807" s="14">
        <f>Data!L807</f>
        <v>1268484000000</v>
      </c>
      <c r="G807" s="12">
        <f t="shared" si="12"/>
        <v>1.1246645602151859</v>
      </c>
    </row>
    <row r="808" spans="2:7" ht="15" customHeight="1" x14ac:dyDescent="0.3">
      <c r="C808" s="2"/>
      <c r="D808" s="8">
        <v>2017</v>
      </c>
      <c r="E808" s="14">
        <f>Data!N808</f>
        <v>-379089000000</v>
      </c>
      <c r="F808" s="14">
        <f>Data!L808</f>
        <v>1132021000000</v>
      </c>
      <c r="G808" s="12">
        <f t="shared" si="12"/>
        <v>-0.33487806321614177</v>
      </c>
    </row>
    <row r="809" spans="2:7" ht="15" customHeight="1" x14ac:dyDescent="0.3">
      <c r="C809" s="2"/>
      <c r="D809" s="8">
        <v>2018</v>
      </c>
      <c r="E809" s="14">
        <f>Data!N809</f>
        <v>690212000000</v>
      </c>
      <c r="F809" s="14">
        <f>Data!L809</f>
        <v>1306016000000</v>
      </c>
      <c r="G809" s="12">
        <f t="shared" si="12"/>
        <v>0.52848663416068409</v>
      </c>
    </row>
    <row r="810" spans="2:7" ht="15" customHeight="1" x14ac:dyDescent="0.3">
      <c r="C810" s="2"/>
      <c r="D810" s="8">
        <v>2019</v>
      </c>
      <c r="E810" s="14">
        <f>Data!N810</f>
        <v>1097058000000</v>
      </c>
      <c r="F810" s="14">
        <f>Data!L810</f>
        <v>1409957000000</v>
      </c>
      <c r="G810" s="12">
        <f t="shared" si="12"/>
        <v>0.77807904780074855</v>
      </c>
    </row>
    <row r="811" spans="2:7" ht="15" customHeight="1" x14ac:dyDescent="0.3">
      <c r="C811" s="2"/>
      <c r="D811" s="8">
        <v>2020</v>
      </c>
      <c r="E811" s="14">
        <f>Data!N811</f>
        <v>296078000000</v>
      </c>
      <c r="F811" s="14">
        <f>Data!L811</f>
        <v>1277144000000</v>
      </c>
      <c r="G811" s="12">
        <f t="shared" si="12"/>
        <v>0.23182820418057792</v>
      </c>
    </row>
    <row r="812" spans="2:7" ht="15" customHeight="1" x14ac:dyDescent="0.3">
      <c r="C812" s="2"/>
      <c r="D812" s="8">
        <v>2021</v>
      </c>
      <c r="E812" s="14">
        <f>Data!N812</f>
        <v>1072763000000</v>
      </c>
      <c r="F812" s="14">
        <f>Data!L812</f>
        <v>1156314000000</v>
      </c>
      <c r="G812" s="12">
        <f t="shared" si="12"/>
        <v>0.92774367516089917</v>
      </c>
    </row>
    <row r="813" spans="2:7" ht="15" customHeight="1" x14ac:dyDescent="0.3">
      <c r="C813" s="2"/>
      <c r="D813" s="8">
        <v>2022</v>
      </c>
      <c r="E813" s="14">
        <f>Data!N813</f>
        <v>156972000000</v>
      </c>
      <c r="F813" s="14">
        <f>Data!L813</f>
        <v>1221082000000</v>
      </c>
      <c r="G813" s="12">
        <f t="shared" si="12"/>
        <v>0.12855156328567616</v>
      </c>
    </row>
    <row r="814" spans="2:7" ht="15" customHeight="1" x14ac:dyDescent="0.3">
      <c r="C814" s="2"/>
      <c r="D814" s="8">
        <v>2023</v>
      </c>
      <c r="E814" s="14">
        <f>Data!N814</f>
        <v>333652000000</v>
      </c>
      <c r="F814" s="14">
        <f>Data!L814</f>
        <v>1439078000000</v>
      </c>
      <c r="G814" s="12">
        <f t="shared" si="12"/>
        <v>0.23185122696615471</v>
      </c>
    </row>
    <row r="815" spans="2:7" ht="15" customHeight="1" x14ac:dyDescent="0.3">
      <c r="C815" s="2"/>
      <c r="D815" s="8">
        <v>2024</v>
      </c>
      <c r="E815" s="14">
        <f>Data!N815</f>
        <v>147451000000</v>
      </c>
      <c r="F815" s="14">
        <f>Data!L815</f>
        <v>1560311000000</v>
      </c>
      <c r="G815" s="12">
        <f t="shared" si="12"/>
        <v>9.4501032166023319E-2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Data!N816</f>
        <v>0</v>
      </c>
      <c r="F816" s="14">
        <f>Data!L816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Data!N817</f>
        <v>0</v>
      </c>
      <c r="F817" s="14">
        <f>Data!L817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Data!N818</f>
        <v>0</v>
      </c>
      <c r="F818" s="14">
        <f>Data!L818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Data!N819</f>
        <v>0</v>
      </c>
      <c r="F819" s="14">
        <f>Data!L819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Data!N820</f>
        <v>0</v>
      </c>
      <c r="F820" s="14">
        <f>Data!L820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Data!N821</f>
        <v>0</v>
      </c>
      <c r="F821" s="14">
        <f>Data!L821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Data!N822</f>
        <v>0</v>
      </c>
      <c r="F822" s="14">
        <f>Data!L822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Data!N823</f>
        <v>0</v>
      </c>
      <c r="F823" s="14">
        <f>Data!L823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Data!N824</f>
        <v>0</v>
      </c>
      <c r="F824" s="14">
        <f>Data!L824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Data!N825</f>
        <v>0</v>
      </c>
      <c r="F825" s="14">
        <f>Data!L825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Data!N826</f>
        <v>0</v>
      </c>
      <c r="F826" s="14">
        <f>Data!L826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Data!N827</f>
        <v>0</v>
      </c>
      <c r="F827" s="14">
        <f>Data!L827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Data!N828</f>
        <v>0</v>
      </c>
      <c r="F828" s="14">
        <f>Data!L828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Data!N829</f>
        <v>0</v>
      </c>
      <c r="F829" s="14">
        <f>Data!L829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Data!N830</f>
        <v>0</v>
      </c>
      <c r="F830" s="14">
        <f>Data!L830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Data!N831</f>
        <v>0</v>
      </c>
      <c r="F831" s="14">
        <f>Data!L831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Data!N832</f>
        <v>25155527000</v>
      </c>
      <c r="F832" s="14">
        <f>Data!L832</f>
        <v>204107653000</v>
      </c>
      <c r="G832" s="12">
        <f t="shared" si="12"/>
        <v>0.12324636842499972</v>
      </c>
    </row>
    <row r="833" spans="2:7" ht="15" customHeight="1" x14ac:dyDescent="0.3">
      <c r="C833" s="2"/>
      <c r="D833" s="8">
        <v>2020</v>
      </c>
      <c r="E833" s="14">
        <f>Data!N833</f>
        <v>32575206000</v>
      </c>
      <c r="F833" s="14">
        <f>Data!L833</f>
        <v>181587155000</v>
      </c>
      <c r="G833" s="12">
        <f t="shared" si="12"/>
        <v>0.1793915764581476</v>
      </c>
    </row>
    <row r="834" spans="2:7" ht="15" customHeight="1" x14ac:dyDescent="0.3">
      <c r="C834" s="2"/>
      <c r="D834" s="8">
        <v>2021</v>
      </c>
      <c r="E834" s="14">
        <f>Data!N834</f>
        <v>26480941000</v>
      </c>
      <c r="F834" s="14">
        <f>Data!L834</f>
        <v>172428003000</v>
      </c>
      <c r="G834" s="12">
        <f t="shared" si="12"/>
        <v>0.15357680039941077</v>
      </c>
    </row>
    <row r="835" spans="2:7" ht="15" customHeight="1" x14ac:dyDescent="0.3">
      <c r="C835" s="2"/>
      <c r="D835" s="8">
        <v>2022</v>
      </c>
      <c r="E835" s="14">
        <f>Data!N835</f>
        <v>17253935000</v>
      </c>
      <c r="F835" s="14">
        <f>Data!L835</f>
        <v>188235414000</v>
      </c>
      <c r="G835" s="12">
        <f t="shared" ref="G835:G898" si="13">IFERROR(E835/F835,0)</f>
        <v>9.1661471310600456E-2</v>
      </c>
    </row>
    <row r="836" spans="2:7" ht="15" customHeight="1" x14ac:dyDescent="0.3">
      <c r="C836" s="2"/>
      <c r="D836" s="8">
        <v>2023</v>
      </c>
      <c r="E836" s="14">
        <f>Data!N836</f>
        <v>19270173000</v>
      </c>
      <c r="F836" s="14">
        <f>Data!L836</f>
        <v>207737044000</v>
      </c>
      <c r="G836" s="12">
        <f t="shared" si="13"/>
        <v>9.2762333712614109E-2</v>
      </c>
    </row>
    <row r="837" spans="2:7" ht="15" customHeight="1" x14ac:dyDescent="0.3">
      <c r="C837" s="2"/>
      <c r="D837" s="8">
        <v>2024</v>
      </c>
      <c r="E837" s="14">
        <f>Data!N837</f>
        <v>42106319000</v>
      </c>
      <c r="F837" s="14">
        <f>Data!L837</f>
        <v>241094309000</v>
      </c>
      <c r="G837" s="12">
        <f t="shared" si="13"/>
        <v>0.17464667322363051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Data!N838</f>
        <v>0</v>
      </c>
      <c r="F838" s="14">
        <f>Data!L838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Data!N839</f>
        <v>0</v>
      </c>
      <c r="F839" s="14">
        <f>Data!L839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Data!N840</f>
        <v>0</v>
      </c>
      <c r="F840" s="14">
        <f>Data!L840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Data!N841</f>
        <v>0</v>
      </c>
      <c r="F841" s="14">
        <f>Data!L841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Data!N842</f>
        <v>5145900000</v>
      </c>
      <c r="F842" s="14">
        <f>Data!L842</f>
        <v>49274840000</v>
      </c>
      <c r="G842" s="12">
        <f t="shared" si="13"/>
        <v>0.10443260698563404</v>
      </c>
    </row>
    <row r="843" spans="2:7" ht="15" customHeight="1" x14ac:dyDescent="0.3">
      <c r="C843" s="2"/>
      <c r="D843" s="8">
        <v>2019</v>
      </c>
      <c r="E843" s="14">
        <f>Data!N843</f>
        <v>1096750000</v>
      </c>
      <c r="F843" s="14">
        <f>Data!L843</f>
        <v>32906230000.000004</v>
      </c>
      <c r="G843" s="12">
        <f t="shared" si="13"/>
        <v>3.3329554920147338E-2</v>
      </c>
    </row>
    <row r="844" spans="2:7" ht="15" customHeight="1" x14ac:dyDescent="0.3">
      <c r="C844" s="2"/>
      <c r="D844" s="8">
        <v>2020</v>
      </c>
      <c r="E844" s="14">
        <f>Data!N844</f>
        <v>-12047500000</v>
      </c>
      <c r="F844" s="14">
        <f>Data!L844</f>
        <v>32319750000</v>
      </c>
      <c r="G844" s="12">
        <f t="shared" si="13"/>
        <v>-0.37275969028225775</v>
      </c>
    </row>
    <row r="845" spans="2:7" ht="15" customHeight="1" x14ac:dyDescent="0.3">
      <c r="C845" s="2"/>
      <c r="D845" s="8">
        <v>2021</v>
      </c>
      <c r="E845" s="14">
        <f>Data!N845</f>
        <v>-19146530000</v>
      </c>
      <c r="F845" s="14">
        <f>Data!L845</f>
        <v>43736690000</v>
      </c>
      <c r="G845" s="12">
        <f t="shared" si="13"/>
        <v>-0.43776815300837807</v>
      </c>
    </row>
    <row r="846" spans="2:7" ht="15" customHeight="1" x14ac:dyDescent="0.3">
      <c r="C846" s="2"/>
      <c r="D846" s="8">
        <v>2022</v>
      </c>
      <c r="E846" s="14">
        <f>Data!N846</f>
        <v>-54450670000</v>
      </c>
      <c r="F846" s="14">
        <f>Data!L846</f>
        <v>24804740000</v>
      </c>
      <c r="G846" s="12">
        <f t="shared" si="13"/>
        <v>-2.195171971163576</v>
      </c>
    </row>
    <row r="847" spans="2:7" ht="15" customHeight="1" x14ac:dyDescent="0.3">
      <c r="C847" s="2"/>
      <c r="D847" s="8">
        <v>2023</v>
      </c>
      <c r="E847" s="14">
        <f>Data!N847</f>
        <v>-22969000000</v>
      </c>
      <c r="F847" s="14">
        <f>Data!L847</f>
        <v>71422000000</v>
      </c>
      <c r="G847" s="12">
        <f t="shared" si="13"/>
        <v>-0.32159558679398503</v>
      </c>
    </row>
    <row r="848" spans="2:7" ht="15" customHeight="1" x14ac:dyDescent="0.3">
      <c r="C848" s="2"/>
      <c r="D848" s="8">
        <v>2024</v>
      </c>
      <c r="E848" s="14">
        <f>Data!N848</f>
        <v>17360000000</v>
      </c>
      <c r="F848" s="14">
        <f>Data!L848</f>
        <v>229954000000</v>
      </c>
      <c r="G848" s="12">
        <f t="shared" si="13"/>
        <v>7.5493359541473515E-2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Data!N849</f>
        <v>0</v>
      </c>
      <c r="F849" s="14">
        <f>Data!L849</f>
        <v>28628692000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Data!N850</f>
        <v>2117225000</v>
      </c>
      <c r="F850" s="14">
        <f>Data!L850</f>
        <v>40635712000</v>
      </c>
      <c r="G850" s="12">
        <f t="shared" si="13"/>
        <v>5.2102569286838138E-2</v>
      </c>
    </row>
    <row r="851" spans="2:7" ht="15" customHeight="1" x14ac:dyDescent="0.3">
      <c r="C851" s="2"/>
      <c r="D851" s="8">
        <v>2016</v>
      </c>
      <c r="E851" s="14">
        <f>Data!N851</f>
        <v>2082770000</v>
      </c>
      <c r="F851" s="14">
        <f>Data!L851</f>
        <v>56877863000</v>
      </c>
      <c r="G851" s="12">
        <f t="shared" si="13"/>
        <v>3.6618288559821598E-2</v>
      </c>
    </row>
    <row r="852" spans="2:7" ht="15" customHeight="1" x14ac:dyDescent="0.3">
      <c r="C852" s="2"/>
      <c r="D852" s="8">
        <v>2017</v>
      </c>
      <c r="E852" s="14">
        <f>Data!N852</f>
        <v>1343981000</v>
      </c>
      <c r="F852" s="14">
        <f>Data!L852</f>
        <v>58863746000</v>
      </c>
      <c r="G852" s="12">
        <f t="shared" si="13"/>
        <v>2.2832067126682697E-2</v>
      </c>
    </row>
    <row r="853" spans="2:7" ht="15" customHeight="1" x14ac:dyDescent="0.3">
      <c r="C853" s="2"/>
      <c r="D853" s="8">
        <v>2018</v>
      </c>
      <c r="E853" s="14">
        <f>Data!N853</f>
        <v>5366000000</v>
      </c>
      <c r="F853" s="14">
        <f>Data!L853</f>
        <v>55045000000</v>
      </c>
      <c r="G853" s="12">
        <f t="shared" si="13"/>
        <v>9.7483876828049779E-2</v>
      </c>
    </row>
    <row r="854" spans="2:7" ht="15" customHeight="1" x14ac:dyDescent="0.3">
      <c r="C854" s="2"/>
      <c r="D854" s="8">
        <v>2019</v>
      </c>
      <c r="E854" s="14">
        <f>Data!N854</f>
        <v>5349521000</v>
      </c>
      <c r="F854" s="14">
        <f>Data!L854</f>
        <v>94159068000</v>
      </c>
      <c r="G854" s="12">
        <f t="shared" si="13"/>
        <v>5.6813657076554752E-2</v>
      </c>
    </row>
    <row r="855" spans="2:7" ht="15" customHeight="1" x14ac:dyDescent="0.3">
      <c r="C855" s="2"/>
      <c r="D855" s="8">
        <v>2020</v>
      </c>
      <c r="E855" s="14">
        <f>Data!N855</f>
        <v>1222362000</v>
      </c>
      <c r="F855" s="14">
        <f>Data!L855</f>
        <v>106005667000</v>
      </c>
      <c r="G855" s="12">
        <f t="shared" si="13"/>
        <v>1.1531100502391065E-2</v>
      </c>
    </row>
    <row r="856" spans="2:7" ht="15" customHeight="1" x14ac:dyDescent="0.3">
      <c r="C856" s="2"/>
      <c r="D856" s="8">
        <v>2021</v>
      </c>
      <c r="E856" s="14">
        <f>Data!N856</f>
        <v>-30971000000</v>
      </c>
      <c r="F856" s="14">
        <f>Data!L856</f>
        <v>60948000000</v>
      </c>
      <c r="G856" s="12">
        <f t="shared" si="13"/>
        <v>-0.5081544923541379</v>
      </c>
    </row>
    <row r="857" spans="2:7" ht="15" customHeight="1" x14ac:dyDescent="0.3">
      <c r="C857" s="2"/>
      <c r="D857" s="8">
        <v>2022</v>
      </c>
      <c r="E857" s="14">
        <f>Data!N857</f>
        <v>11323000000</v>
      </c>
      <c r="F857" s="14">
        <f>Data!L857</f>
        <v>122792000000</v>
      </c>
      <c r="G857" s="12">
        <f t="shared" si="13"/>
        <v>9.2212847742523946E-2</v>
      </c>
    </row>
    <row r="858" spans="2:7" ht="15" customHeight="1" x14ac:dyDescent="0.3">
      <c r="C858" s="2"/>
      <c r="D858" s="8">
        <v>2023</v>
      </c>
      <c r="E858" s="14">
        <f>Data!N858</f>
        <v>2621000000</v>
      </c>
      <c r="F858" s="14">
        <f>Data!L858</f>
        <v>160557000000</v>
      </c>
      <c r="G858" s="12">
        <f t="shared" si="13"/>
        <v>1.6324420610748829E-2</v>
      </c>
    </row>
    <row r="859" spans="2:7" ht="15" customHeight="1" x14ac:dyDescent="0.3">
      <c r="C859" s="2"/>
      <c r="D859" s="8">
        <v>2024</v>
      </c>
      <c r="E859" s="14">
        <f>Data!N859</f>
        <v>38401000000</v>
      </c>
      <c r="F859" s="14">
        <f>Data!L859</f>
        <v>270291000000</v>
      </c>
      <c r="G859" s="12">
        <f t="shared" si="13"/>
        <v>0.14207280301600866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Data!N860</f>
        <v>0</v>
      </c>
      <c r="F860" s="14">
        <f>Data!L860</f>
        <v>100232030000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Data!N861</f>
        <v>15392160000</v>
      </c>
      <c r="F861" s="14">
        <f>Data!L861</f>
        <v>89650210000</v>
      </c>
      <c r="G861" s="12">
        <f t="shared" si="13"/>
        <v>0.17169128772816036</v>
      </c>
    </row>
    <row r="862" spans="2:7" ht="15" customHeight="1" x14ac:dyDescent="0.3">
      <c r="C862" s="2"/>
      <c r="D862" s="8">
        <v>2016</v>
      </c>
      <c r="E862" s="14">
        <f>Data!N862</f>
        <v>25285110000</v>
      </c>
      <c r="F862" s="14">
        <f>Data!L862</f>
        <v>223032830000</v>
      </c>
      <c r="G862" s="12">
        <f t="shared" si="13"/>
        <v>0.11336945327734935</v>
      </c>
    </row>
    <row r="863" spans="2:7" ht="15" customHeight="1" x14ac:dyDescent="0.3">
      <c r="C863" s="2"/>
      <c r="D863" s="8">
        <v>2017</v>
      </c>
      <c r="E863" s="14">
        <f>Data!N863</f>
        <v>1139200000</v>
      </c>
      <c r="F863" s="14">
        <f>Data!L863</f>
        <v>220818080000</v>
      </c>
      <c r="G863" s="12">
        <f t="shared" si="13"/>
        <v>5.1589978501760366E-3</v>
      </c>
    </row>
    <row r="864" spans="2:7" ht="15" customHeight="1" x14ac:dyDescent="0.3">
      <c r="C864" s="2"/>
      <c r="D864" s="8">
        <v>2018</v>
      </c>
      <c r="E864" s="14">
        <f>Data!N864</f>
        <v>-177602760000</v>
      </c>
      <c r="F864" s="14">
        <f>Data!L864</f>
        <v>126252090000</v>
      </c>
      <c r="G864" s="12">
        <f t="shared" si="13"/>
        <v>-1.4067312469837132</v>
      </c>
    </row>
    <row r="865" spans="2:7" ht="15" customHeight="1" x14ac:dyDescent="0.3">
      <c r="C865" s="2"/>
      <c r="D865" s="8">
        <v>2019</v>
      </c>
      <c r="E865" s="14">
        <f>Data!N865</f>
        <v>-26822050000</v>
      </c>
      <c r="F865" s="14">
        <f>Data!L865</f>
        <v>149084650000</v>
      </c>
      <c r="G865" s="12">
        <f t="shared" si="13"/>
        <v>-0.17991154689634378</v>
      </c>
    </row>
    <row r="866" spans="2:7" ht="15" customHeight="1" x14ac:dyDescent="0.3">
      <c r="C866" s="2"/>
      <c r="D866" s="8">
        <v>2020</v>
      </c>
      <c r="E866" s="14">
        <f>Data!N866</f>
        <v>12878000000</v>
      </c>
      <c r="F866" s="14">
        <f>Data!L866</f>
        <v>357222000000</v>
      </c>
      <c r="G866" s="12">
        <f t="shared" si="13"/>
        <v>3.6050411228871683E-2</v>
      </c>
    </row>
    <row r="867" spans="2:7" ht="15" customHeight="1" x14ac:dyDescent="0.3">
      <c r="C867" s="2"/>
      <c r="D867" s="8">
        <v>2021</v>
      </c>
      <c r="E867" s="14">
        <f>Data!N867</f>
        <v>-161336000000</v>
      </c>
      <c r="F867" s="14">
        <f>Data!L867</f>
        <v>384118000000</v>
      </c>
      <c r="G867" s="12">
        <f t="shared" si="13"/>
        <v>-0.42001676568137913</v>
      </c>
    </row>
    <row r="868" spans="2:7" ht="15" customHeight="1" x14ac:dyDescent="0.3">
      <c r="C868" s="2"/>
      <c r="D868" s="8">
        <v>2022</v>
      </c>
      <c r="E868" s="14">
        <f>Data!N868</f>
        <v>-77626000000</v>
      </c>
      <c r="F868" s="14">
        <f>Data!L868</f>
        <v>274862000000</v>
      </c>
      <c r="G868" s="12">
        <f t="shared" si="13"/>
        <v>-0.28241808616687647</v>
      </c>
    </row>
    <row r="869" spans="2:7" ht="15" customHeight="1" x14ac:dyDescent="0.3">
      <c r="C869" s="2"/>
      <c r="D869" s="8">
        <v>2023</v>
      </c>
      <c r="E869" s="14">
        <f>Data!N869</f>
        <v>-29796000000</v>
      </c>
      <c r="F869" s="14">
        <f>Data!L869</f>
        <v>388972000000</v>
      </c>
      <c r="G869" s="12">
        <f t="shared" si="13"/>
        <v>-7.660191479078185E-2</v>
      </c>
    </row>
    <row r="870" spans="2:7" ht="15" customHeight="1" x14ac:dyDescent="0.3">
      <c r="C870" s="2"/>
      <c r="D870" s="8">
        <v>2024</v>
      </c>
      <c r="E870" s="14">
        <f>Data!N870</f>
        <v>-15285000000</v>
      </c>
      <c r="F870" s="14">
        <f>Data!L870</f>
        <v>335852000000</v>
      </c>
      <c r="G870" s="12">
        <f t="shared" si="13"/>
        <v>-4.5511117992449057E-2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Data!N871</f>
        <v>0</v>
      </c>
      <c r="F871" s="14">
        <f>Data!L871</f>
        <v>206520000000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Data!N872</f>
        <v>21534000000</v>
      </c>
      <c r="F872" s="14">
        <f>Data!L872</f>
        <v>222434000000</v>
      </c>
      <c r="G872" s="12">
        <f t="shared" si="13"/>
        <v>9.6810739365384785E-2</v>
      </c>
    </row>
    <row r="873" spans="2:7" ht="15" customHeight="1" x14ac:dyDescent="0.3">
      <c r="C873" s="2"/>
      <c r="D873" s="8">
        <v>2016</v>
      </c>
      <c r="E873" s="14">
        <f>Data!N873</f>
        <v>20589000000</v>
      </c>
      <c r="F873" s="14">
        <f>Data!L873</f>
        <v>221392000000</v>
      </c>
      <c r="G873" s="12">
        <f t="shared" si="13"/>
        <v>9.2997940304979404E-2</v>
      </c>
    </row>
    <row r="874" spans="2:7" ht="15" customHeight="1" x14ac:dyDescent="0.3">
      <c r="C874" s="2"/>
      <c r="D874" s="8">
        <v>2017</v>
      </c>
      <c r="E874" s="14">
        <f>Data!N874</f>
        <v>10427000000</v>
      </c>
      <c r="F874" s="14">
        <f>Data!L874</f>
        <v>215845000000</v>
      </c>
      <c r="G874" s="12">
        <f t="shared" si="13"/>
        <v>4.8307813477263775E-2</v>
      </c>
    </row>
    <row r="875" spans="2:7" ht="15" customHeight="1" x14ac:dyDescent="0.3">
      <c r="C875" s="2"/>
      <c r="D875" s="8">
        <v>2018</v>
      </c>
      <c r="E875" s="14">
        <f>Data!N875</f>
        <v>17770000000</v>
      </c>
      <c r="F875" s="14">
        <f>Data!L875</f>
        <v>268956000000</v>
      </c>
      <c r="G875" s="12">
        <f t="shared" si="13"/>
        <v>6.6070286589628047E-2</v>
      </c>
    </row>
    <row r="876" spans="2:7" ht="15" customHeight="1" x14ac:dyDescent="0.3">
      <c r="C876" s="2"/>
      <c r="D876" s="8">
        <v>2019</v>
      </c>
      <c r="E876" s="14">
        <f>Data!N876</f>
        <v>38867000000</v>
      </c>
      <c r="F876" s="14">
        <f>Data!L876</f>
        <v>325392000000</v>
      </c>
      <c r="G876" s="12">
        <f t="shared" si="13"/>
        <v>0.11944669813640163</v>
      </c>
    </row>
    <row r="877" spans="2:7" ht="15" customHeight="1" x14ac:dyDescent="0.3">
      <c r="C877" s="2"/>
      <c r="D877" s="8">
        <v>2020</v>
      </c>
      <c r="E877" s="14">
        <f>Data!N877</f>
        <v>13427000000</v>
      </c>
      <c r="F877" s="14">
        <f>Data!L877</f>
        <v>278765000000</v>
      </c>
      <c r="G877" s="12">
        <f t="shared" si="13"/>
        <v>4.8166017972127058E-2</v>
      </c>
    </row>
    <row r="878" spans="2:7" ht="15" customHeight="1" x14ac:dyDescent="0.3">
      <c r="C878" s="2"/>
      <c r="D878" s="8">
        <v>2021</v>
      </c>
      <c r="E878" s="14">
        <f>Data!N878</f>
        <v>16716000000</v>
      </c>
      <c r="F878" s="14">
        <f>Data!L878</f>
        <v>281332000000</v>
      </c>
      <c r="G878" s="12">
        <f t="shared" si="13"/>
        <v>5.9417343210157396E-2</v>
      </c>
    </row>
    <row r="879" spans="2:7" ht="15" customHeight="1" x14ac:dyDescent="0.3">
      <c r="C879" s="2"/>
      <c r="D879" s="8">
        <v>2022</v>
      </c>
      <c r="E879" s="14">
        <f>Data!N879</f>
        <v>8256000000</v>
      </c>
      <c r="F879" s="14">
        <f>Data!L879</f>
        <v>297010000000</v>
      </c>
      <c r="G879" s="12">
        <f t="shared" si="13"/>
        <v>2.7797043870576747E-2</v>
      </c>
    </row>
    <row r="880" spans="2:7" ht="15" customHeight="1" x14ac:dyDescent="0.3">
      <c r="C880" s="2"/>
      <c r="D880" s="8">
        <v>2023</v>
      </c>
      <c r="E880" s="14">
        <f>Data!N880</f>
        <v>18594000000</v>
      </c>
      <c r="F880" s="14">
        <f>Data!L880</f>
        <v>311904000000</v>
      </c>
      <c r="G880" s="12">
        <f t="shared" si="13"/>
        <v>5.961449676823638E-2</v>
      </c>
    </row>
    <row r="881" spans="2:7" ht="15" customHeight="1" x14ac:dyDescent="0.3">
      <c r="C881" s="2"/>
      <c r="D881" s="8">
        <v>2024</v>
      </c>
      <c r="E881" s="14">
        <f>Data!N881</f>
        <v>-61897000000</v>
      </c>
      <c r="F881" s="14">
        <f>Data!L881</f>
        <v>209439000000</v>
      </c>
      <c r="G881" s="12">
        <f t="shared" si="13"/>
        <v>-0.29553712536824567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Data!N882</f>
        <v>0</v>
      </c>
      <c r="F882" s="14">
        <f>Data!L882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Data!N883</f>
        <v>0</v>
      </c>
      <c r="F883" s="14">
        <f>Data!L883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Data!N884</f>
        <v>0</v>
      </c>
      <c r="F884" s="14">
        <f>Data!L884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Data!N885</f>
        <v>0</v>
      </c>
      <c r="F885" s="14">
        <f>Data!L885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Data!N886</f>
        <v>-24686106000</v>
      </c>
      <c r="F886" s="14">
        <f>Data!L886</f>
        <v>138709796000</v>
      </c>
      <c r="G886" s="12">
        <f t="shared" si="13"/>
        <v>-0.17796944925216385</v>
      </c>
    </row>
    <row r="887" spans="2:7" ht="15" customHeight="1" x14ac:dyDescent="0.3">
      <c r="C887" s="2"/>
      <c r="D887" s="8">
        <v>2019</v>
      </c>
      <c r="E887" s="14">
        <f>Data!N887</f>
        <v>-114947315000</v>
      </c>
      <c r="F887" s="14">
        <f>Data!L887</f>
        <v>107284306000</v>
      </c>
      <c r="G887" s="12">
        <f t="shared" si="13"/>
        <v>-1.0714271200113836</v>
      </c>
    </row>
    <row r="888" spans="2:7" ht="15" customHeight="1" x14ac:dyDescent="0.3">
      <c r="C888" s="2"/>
      <c r="D888" s="8">
        <v>2020</v>
      </c>
      <c r="E888" s="14">
        <f>Data!N888</f>
        <v>12480110000</v>
      </c>
      <c r="F888" s="14">
        <f>Data!L888</f>
        <v>135250057000</v>
      </c>
      <c r="G888" s="12">
        <f t="shared" si="13"/>
        <v>9.2274341888077732E-2</v>
      </c>
    </row>
    <row r="889" spans="2:7" ht="15" customHeight="1" x14ac:dyDescent="0.3">
      <c r="C889" s="2"/>
      <c r="D889" s="8">
        <v>2021</v>
      </c>
      <c r="E889" s="14">
        <f>Data!N889</f>
        <v>16567071000</v>
      </c>
      <c r="F889" s="14">
        <f>Data!L889</f>
        <v>196501415000</v>
      </c>
      <c r="G889" s="12">
        <f t="shared" si="13"/>
        <v>8.4310186773973103E-2</v>
      </c>
    </row>
    <row r="890" spans="2:7" ht="15" customHeight="1" x14ac:dyDescent="0.3">
      <c r="C890" s="2"/>
      <c r="D890" s="8">
        <v>2022</v>
      </c>
      <c r="E890" s="14">
        <f>Data!N890</f>
        <v>-8682082000</v>
      </c>
      <c r="F890" s="14">
        <f>Data!L890</f>
        <v>236147536000</v>
      </c>
      <c r="G890" s="12">
        <f t="shared" si="13"/>
        <v>-3.6765499005672456E-2</v>
      </c>
    </row>
    <row r="891" spans="2:7" ht="15" customHeight="1" x14ac:dyDescent="0.3">
      <c r="C891" s="2"/>
      <c r="D891" s="8">
        <v>2023</v>
      </c>
      <c r="E891" s="14">
        <f>Data!N891</f>
        <v>5911484000</v>
      </c>
      <c r="F891" s="14">
        <f>Data!L891</f>
        <v>264772211000</v>
      </c>
      <c r="G891" s="12">
        <f t="shared" si="13"/>
        <v>2.2326678383933578E-2</v>
      </c>
    </row>
    <row r="892" spans="2:7" ht="15" customHeight="1" x14ac:dyDescent="0.3">
      <c r="C892" s="2"/>
      <c r="D892" s="8">
        <v>2024</v>
      </c>
      <c r="E892" s="14">
        <f>Data!N892</f>
        <v>7185945000</v>
      </c>
      <c r="F892" s="14">
        <f>Data!L892</f>
        <v>274305097000</v>
      </c>
      <c r="G892" s="12">
        <f t="shared" si="13"/>
        <v>2.6196906578079372E-2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Data!N893</f>
        <v>0</v>
      </c>
      <c r="F893" s="14">
        <f>Data!L893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Data!N894</f>
        <v>0</v>
      </c>
      <c r="F894" s="14">
        <f>Data!L894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Data!N895</f>
        <v>0</v>
      </c>
      <c r="F895" s="14">
        <f>Data!L895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Data!N896</f>
        <v>0</v>
      </c>
      <c r="F896" s="14">
        <f>Data!L896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Data!N897</f>
        <v>0</v>
      </c>
      <c r="F897" s="14">
        <f>Data!L897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Data!N898</f>
        <v>0</v>
      </c>
      <c r="F898" s="14">
        <f>Data!L898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Data!N899</f>
        <v>397000000</v>
      </c>
      <c r="F899" s="14">
        <f>Data!L899</f>
        <v>122493000000</v>
      </c>
      <c r="G899" s="12">
        <f t="shared" ref="G899:G962" si="14">IFERROR(E899/F899,0)</f>
        <v>3.2410015266178477E-3</v>
      </c>
    </row>
    <row r="900" spans="2:7" ht="15" customHeight="1" x14ac:dyDescent="0.3">
      <c r="C900" s="2"/>
      <c r="D900" s="8">
        <v>2021</v>
      </c>
      <c r="E900" s="14">
        <f>Data!N900</f>
        <v>1588000000</v>
      </c>
      <c r="F900" s="14">
        <f>Data!L900</f>
        <v>144362000000</v>
      </c>
      <c r="G900" s="12">
        <f t="shared" si="14"/>
        <v>1.1000124686551862E-2</v>
      </c>
    </row>
    <row r="901" spans="2:7" ht="15" customHeight="1" x14ac:dyDescent="0.3">
      <c r="C901" s="2"/>
      <c r="D901" s="8">
        <v>2022</v>
      </c>
      <c r="E901" s="14">
        <f>Data!N901</f>
        <v>6442000000</v>
      </c>
      <c r="F901" s="14">
        <f>Data!L901</f>
        <v>394181000000</v>
      </c>
      <c r="G901" s="12">
        <f t="shared" si="14"/>
        <v>1.6342746098873359E-2</v>
      </c>
    </row>
    <row r="902" spans="2:7" ht="15" customHeight="1" x14ac:dyDescent="0.3">
      <c r="C902" s="2"/>
      <c r="D902" s="8">
        <v>2023</v>
      </c>
      <c r="E902" s="14">
        <f>Data!N902</f>
        <v>30761000000</v>
      </c>
      <c r="F902" s="14">
        <f>Data!L902</f>
        <v>345939000000</v>
      </c>
      <c r="G902" s="12">
        <f t="shared" si="14"/>
        <v>8.8920300977918074E-2</v>
      </c>
    </row>
    <row r="903" spans="2:7" ht="15" customHeight="1" x14ac:dyDescent="0.3">
      <c r="C903" s="2"/>
      <c r="D903" s="8">
        <v>2024</v>
      </c>
      <c r="E903" s="14">
        <f>Data!N903</f>
        <v>29277000000</v>
      </c>
      <c r="F903" s="14">
        <f>Data!L903</f>
        <v>475380000000</v>
      </c>
      <c r="G903" s="12">
        <f t="shared" si="14"/>
        <v>6.1586520257478225E-2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Data!N904</f>
        <v>0</v>
      </c>
      <c r="F904" s="14">
        <f>Data!L904</f>
        <v>1699889000000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Data!E905</f>
        <v>1139467000000</v>
      </c>
      <c r="F905" s="14">
        <f>Data!L905</f>
        <v>1952536000000</v>
      </c>
      <c r="G905" s="12">
        <f t="shared" si="14"/>
        <v>0.58358309398648733</v>
      </c>
    </row>
    <row r="906" spans="2:7" ht="15" customHeight="1" x14ac:dyDescent="0.3">
      <c r="C906" s="2"/>
      <c r="D906" s="8">
        <v>2016</v>
      </c>
      <c r="E906" s="14">
        <f>Data!N906</f>
        <v>366412000000</v>
      </c>
      <c r="F906" s="14">
        <f>Data!L906</f>
        <v>2289851000000</v>
      </c>
      <c r="G906" s="12">
        <f t="shared" si="14"/>
        <v>0.16001565167340581</v>
      </c>
    </row>
    <row r="907" spans="2:7" ht="15" customHeight="1" x14ac:dyDescent="0.3">
      <c r="C907" s="2"/>
      <c r="D907" s="8">
        <v>2017</v>
      </c>
      <c r="E907" s="14">
        <f>Data!N907</f>
        <v>360724000000</v>
      </c>
      <c r="F907" s="14">
        <f>Data!L907</f>
        <v>2653564000000</v>
      </c>
      <c r="G907" s="12">
        <f t="shared" si="14"/>
        <v>0.13593943843072939</v>
      </c>
    </row>
    <row r="908" spans="2:7" ht="15" customHeight="1" x14ac:dyDescent="0.3">
      <c r="C908" s="2"/>
      <c r="D908" s="8">
        <v>2018</v>
      </c>
      <c r="E908" s="14">
        <f>Data!N908</f>
        <v>201570000000</v>
      </c>
      <c r="F908" s="14">
        <f>Data!L908</f>
        <v>2505009000000</v>
      </c>
      <c r="G908" s="12">
        <f t="shared" si="14"/>
        <v>8.0466776766071502E-2</v>
      </c>
    </row>
    <row r="909" spans="2:7" ht="15" customHeight="1" x14ac:dyDescent="0.3">
      <c r="C909" s="2"/>
      <c r="D909" s="8">
        <v>2019</v>
      </c>
      <c r="E909" s="14">
        <f>Data!N909</f>
        <v>106528000000</v>
      </c>
      <c r="F909" s="14">
        <f>Data!L909</f>
        <v>2659976000000</v>
      </c>
      <c r="G909" s="12">
        <f t="shared" si="14"/>
        <v>4.0048481640435854E-2</v>
      </c>
    </row>
    <row r="910" spans="2:7" ht="15" customHeight="1" x14ac:dyDescent="0.3">
      <c r="C910" s="2"/>
      <c r="D910" s="8">
        <v>2020</v>
      </c>
      <c r="E910" s="14">
        <f>Data!N910</f>
        <v>-252932000000</v>
      </c>
      <c r="F910" s="14">
        <f>Data!L910</f>
        <v>2410982000000</v>
      </c>
      <c r="G910" s="12">
        <f t="shared" si="14"/>
        <v>-0.10490829048080824</v>
      </c>
    </row>
    <row r="911" spans="2:7" ht="15" customHeight="1" x14ac:dyDescent="0.3">
      <c r="C911" s="2"/>
      <c r="D911" s="8">
        <v>2021</v>
      </c>
      <c r="E911" s="14">
        <f>Data!N911</f>
        <v>9402000000</v>
      </c>
      <c r="F911" s="14">
        <f>Data!L911</f>
        <v>2340919000000</v>
      </c>
      <c r="G911" s="12">
        <f t="shared" si="14"/>
        <v>4.0163713481756527E-3</v>
      </c>
    </row>
    <row r="912" spans="2:7" ht="15" customHeight="1" x14ac:dyDescent="0.3">
      <c r="C912" s="2"/>
      <c r="D912" s="8">
        <v>2022</v>
      </c>
      <c r="E912" s="14">
        <f>Data!N912</f>
        <v>231059000000</v>
      </c>
      <c r="F912" s="14">
        <f>Data!L912</f>
        <v>1494489000000</v>
      </c>
      <c r="G912" s="12">
        <f t="shared" si="14"/>
        <v>0.15460736077682741</v>
      </c>
    </row>
    <row r="913" spans="2:7" ht="15" customHeight="1" x14ac:dyDescent="0.3">
      <c r="C913" s="2"/>
      <c r="D913" s="8">
        <v>2023</v>
      </c>
      <c r="E913" s="14">
        <f>Data!N913</f>
        <v>102889000000</v>
      </c>
      <c r="F913" s="14">
        <f>Data!L913</f>
        <v>1272086000000</v>
      </c>
      <c r="G913" s="12">
        <f t="shared" si="14"/>
        <v>8.0882110171796556E-2</v>
      </c>
    </row>
    <row r="914" spans="2:7" ht="15" customHeight="1" x14ac:dyDescent="0.3">
      <c r="C914" s="2"/>
      <c r="D914" s="8">
        <v>2024</v>
      </c>
      <c r="E914" s="14">
        <f>Data!N914</f>
        <v>157332000000</v>
      </c>
      <c r="F914" s="14">
        <f>Data!L914</f>
        <v>1529289000000</v>
      </c>
      <c r="G914" s="12">
        <f t="shared" si="14"/>
        <v>0.10287918110965291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Data!N915</f>
        <v>0</v>
      </c>
      <c r="F915" s="14">
        <f>Data!L915</f>
        <v>154795000000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Data!N916</f>
        <v>19107000000</v>
      </c>
      <c r="F916" s="14">
        <f>Data!L916</f>
        <v>164725000000</v>
      </c>
      <c r="G916" s="12">
        <f t="shared" si="14"/>
        <v>0.11599332220367278</v>
      </c>
    </row>
    <row r="917" spans="2:7" ht="15" customHeight="1" x14ac:dyDescent="0.3">
      <c r="C917" s="2"/>
      <c r="D917" s="8">
        <v>2016</v>
      </c>
      <c r="E917" s="14">
        <f>Data!N917</f>
        <v>23994000000</v>
      </c>
      <c r="F917" s="14">
        <f>Data!L917</f>
        <v>160245000000</v>
      </c>
      <c r="G917" s="12">
        <f t="shared" si="14"/>
        <v>0.14973322100533559</v>
      </c>
    </row>
    <row r="918" spans="2:7" ht="15" customHeight="1" x14ac:dyDescent="0.3">
      <c r="C918" s="2"/>
      <c r="D918" s="8">
        <v>2017</v>
      </c>
      <c r="E918" s="14">
        <f>Data!N918</f>
        <v>35617000000</v>
      </c>
      <c r="F918" s="14">
        <f>Data!L918</f>
        <v>143477000000</v>
      </c>
      <c r="G918" s="12">
        <f t="shared" si="14"/>
        <v>0.24824187848923521</v>
      </c>
    </row>
    <row r="919" spans="2:7" ht="15" customHeight="1" x14ac:dyDescent="0.3">
      <c r="C919" s="2"/>
      <c r="D919" s="8">
        <v>2018</v>
      </c>
      <c r="E919" s="14">
        <f>Data!N919</f>
        <v>20084000000</v>
      </c>
      <c r="F919" s="14">
        <f>Data!L919</f>
        <v>151463000000</v>
      </c>
      <c r="G919" s="12">
        <f t="shared" si="14"/>
        <v>0.1326000409340895</v>
      </c>
    </row>
    <row r="920" spans="2:7" ht="15" customHeight="1" x14ac:dyDescent="0.3">
      <c r="C920" s="2"/>
      <c r="D920" s="8">
        <v>2019</v>
      </c>
      <c r="E920" s="14">
        <f>Data!N920</f>
        <v>2873000000</v>
      </c>
      <c r="F920" s="14">
        <f>Data!L920</f>
        <v>129246000000</v>
      </c>
      <c r="G920" s="12">
        <f t="shared" si="14"/>
        <v>2.2228927781130559E-2</v>
      </c>
    </row>
    <row r="921" spans="2:7" ht="15" customHeight="1" x14ac:dyDescent="0.3">
      <c r="C921" s="2"/>
      <c r="D921" s="8">
        <v>2020</v>
      </c>
      <c r="E921" s="14">
        <f>Data!N921</f>
        <v>172000000</v>
      </c>
      <c r="F921" s="14">
        <f>Data!L921</f>
        <v>89569000000</v>
      </c>
      <c r="G921" s="12">
        <f t="shared" si="14"/>
        <v>1.9203072491598655E-3</v>
      </c>
    </row>
    <row r="922" spans="2:7" ht="15" customHeight="1" x14ac:dyDescent="0.3">
      <c r="C922" s="2"/>
      <c r="D922" s="8">
        <v>2021</v>
      </c>
      <c r="E922" s="14">
        <f>Data!N922</f>
        <v>719000000</v>
      </c>
      <c r="F922" s="14">
        <f>Data!L922</f>
        <v>91981000000</v>
      </c>
      <c r="G922" s="12">
        <f t="shared" si="14"/>
        <v>7.8168317369891605E-3</v>
      </c>
    </row>
    <row r="923" spans="2:7" ht="15" customHeight="1" x14ac:dyDescent="0.3">
      <c r="C923" s="2"/>
      <c r="D923" s="8">
        <v>2022</v>
      </c>
      <c r="E923" s="14">
        <f>Data!N923</f>
        <v>9388000000</v>
      </c>
      <c r="F923" s="14">
        <f>Data!L923</f>
        <v>74976000000</v>
      </c>
      <c r="G923" s="12">
        <f t="shared" si="14"/>
        <v>0.12521340162185232</v>
      </c>
    </row>
    <row r="924" spans="2:7" ht="15" customHeight="1" x14ac:dyDescent="0.3">
      <c r="C924" s="2"/>
      <c r="D924" s="8">
        <v>2023</v>
      </c>
      <c r="E924" s="14">
        <f>Data!N924</f>
        <v>6532000000</v>
      </c>
      <c r="F924" s="14">
        <f>Data!L924</f>
        <v>95725000000</v>
      </c>
      <c r="G924" s="12">
        <f t="shared" si="14"/>
        <v>6.8237137633846964E-2</v>
      </c>
    </row>
    <row r="925" spans="2:7" ht="15" customHeight="1" x14ac:dyDescent="0.3">
      <c r="C925" s="2"/>
      <c r="D925" s="8">
        <v>2024</v>
      </c>
      <c r="E925" s="14">
        <f>Data!N925</f>
        <v>2724000000</v>
      </c>
      <c r="F925" s="14">
        <f>Data!L925</f>
        <v>104448000000</v>
      </c>
      <c r="G925" s="12">
        <f t="shared" si="14"/>
        <v>2.6079963235294119E-2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Data!N926</f>
        <v>0</v>
      </c>
      <c r="F926" s="14">
        <f>Data!L926</f>
        <v>627851000000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Data!N927</f>
        <v>101580000000</v>
      </c>
      <c r="F927" s="14">
        <f>Data!L927</f>
        <v>721935000000</v>
      </c>
      <c r="G927" s="12">
        <f t="shared" si="14"/>
        <v>0.14070518814020652</v>
      </c>
    </row>
    <row r="928" spans="2:7" ht="15" customHeight="1" x14ac:dyDescent="0.3">
      <c r="C928" s="2"/>
      <c r="D928" s="8">
        <v>2016</v>
      </c>
      <c r="E928" s="14">
        <f>Data!N928</f>
        <v>62049000000</v>
      </c>
      <c r="F928" s="14">
        <f>Data!L928</f>
        <v>633995000000</v>
      </c>
      <c r="G928" s="12">
        <f t="shared" si="14"/>
        <v>9.7869857017799822E-2</v>
      </c>
    </row>
    <row r="929" spans="2:7" ht="15" customHeight="1" x14ac:dyDescent="0.3">
      <c r="C929" s="2"/>
      <c r="D929" s="8">
        <v>2017</v>
      </c>
      <c r="E929" s="14">
        <f>Data!N929</f>
        <v>112228000000</v>
      </c>
      <c r="F929" s="14">
        <f>Data!L929</f>
        <v>530488000000</v>
      </c>
      <c r="G929" s="12">
        <f t="shared" si="14"/>
        <v>0.21155615207130038</v>
      </c>
    </row>
    <row r="930" spans="2:7" ht="15" customHeight="1" x14ac:dyDescent="0.3">
      <c r="C930" s="2"/>
      <c r="D930" s="8">
        <v>2018</v>
      </c>
      <c r="E930" s="14">
        <f>Data!N930</f>
        <v>77533000000</v>
      </c>
      <c r="F930" s="14">
        <f>Data!L930</f>
        <v>649694000000</v>
      </c>
      <c r="G930" s="12">
        <f t="shared" si="14"/>
        <v>0.11933771898770806</v>
      </c>
    </row>
    <row r="931" spans="2:7" ht="15" customHeight="1" x14ac:dyDescent="0.3">
      <c r="C931" s="2"/>
      <c r="D931" s="8">
        <v>2019</v>
      </c>
      <c r="E931" s="14">
        <f>Data!N931</f>
        <v>129057000000</v>
      </c>
      <c r="F931" s="14">
        <f>Data!L931</f>
        <v>672644000000</v>
      </c>
      <c r="G931" s="12">
        <f t="shared" si="14"/>
        <v>0.1918652362914112</v>
      </c>
    </row>
    <row r="932" spans="2:7" ht="15" customHeight="1" x14ac:dyDescent="0.3">
      <c r="C932" s="2"/>
      <c r="D932" s="8">
        <v>2020</v>
      </c>
      <c r="E932" s="14">
        <f>Data!N932</f>
        <v>70258000000</v>
      </c>
      <c r="F932" s="14">
        <f>Data!L932</f>
        <v>592879000000</v>
      </c>
      <c r="G932" s="12">
        <f t="shared" si="14"/>
        <v>0.11850310097001243</v>
      </c>
    </row>
    <row r="933" spans="2:7" ht="15" customHeight="1" x14ac:dyDescent="0.3">
      <c r="C933" s="2"/>
      <c r="D933" s="8">
        <v>2021</v>
      </c>
      <c r="E933" s="14">
        <f>Data!N933</f>
        <v>38628000000</v>
      </c>
      <c r="F933" s="14">
        <f>Data!L933</f>
        <v>607975000000</v>
      </c>
      <c r="G933" s="12">
        <f t="shared" si="14"/>
        <v>6.3535507216579634E-2</v>
      </c>
    </row>
    <row r="934" spans="2:7" ht="15" customHeight="1" x14ac:dyDescent="0.3">
      <c r="C934" s="2"/>
      <c r="D934" s="8">
        <v>2022</v>
      </c>
      <c r="E934" s="14">
        <f>Data!N934</f>
        <v>70208000000</v>
      </c>
      <c r="F934" s="14">
        <f>Data!L934</f>
        <v>685776000000</v>
      </c>
      <c r="G934" s="12">
        <f t="shared" si="14"/>
        <v>0.10237745269592403</v>
      </c>
    </row>
    <row r="935" spans="2:7" ht="15" customHeight="1" x14ac:dyDescent="0.3">
      <c r="C935" s="2"/>
      <c r="D935" s="8">
        <v>2023</v>
      </c>
      <c r="E935" s="14">
        <f>Data!N935</f>
        <v>125684000000</v>
      </c>
      <c r="F935" s="14">
        <f>Data!L935</f>
        <v>821741000000</v>
      </c>
      <c r="G935" s="12">
        <f t="shared" si="14"/>
        <v>0.15294843509086195</v>
      </c>
    </row>
    <row r="936" spans="2:7" ht="15" customHeight="1" x14ac:dyDescent="0.3">
      <c r="C936" s="2"/>
      <c r="D936" s="8">
        <v>2024</v>
      </c>
      <c r="E936" s="14">
        <f>Data!N936</f>
        <v>124293000000</v>
      </c>
      <c r="F936" s="14">
        <f>Data!L936</f>
        <v>813904000000</v>
      </c>
      <c r="G936" s="12">
        <f t="shared" si="14"/>
        <v>0.15271211346792743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Data!N937</f>
        <v>0</v>
      </c>
      <c r="F937" s="14">
        <f>Data!L937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Data!N938</f>
        <v>0</v>
      </c>
      <c r="F938" s="14">
        <f>Data!L938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Data!N939</f>
        <v>12722000000</v>
      </c>
      <c r="F939" s="14">
        <f>Data!L939</f>
        <v>70555000000</v>
      </c>
      <c r="G939" s="12">
        <f t="shared" si="14"/>
        <v>0.18031323081284104</v>
      </c>
    </row>
    <row r="940" spans="2:7" ht="15" customHeight="1" x14ac:dyDescent="0.3">
      <c r="C940" s="1"/>
      <c r="D940" s="8">
        <v>2017</v>
      </c>
      <c r="E940" s="14">
        <f>Data!N940</f>
        <v>3753000000</v>
      </c>
      <c r="F940" s="14">
        <f>Data!L940</f>
        <v>60036000000</v>
      </c>
      <c r="G940" s="12">
        <f t="shared" si="14"/>
        <v>6.2512492504497308E-2</v>
      </c>
    </row>
    <row r="941" spans="2:7" ht="15" customHeight="1" x14ac:dyDescent="0.3">
      <c r="C941" s="1"/>
      <c r="D941" s="8">
        <v>2018</v>
      </c>
      <c r="E941" s="14">
        <f>Data!N941</f>
        <v>1591000000</v>
      </c>
      <c r="F941" s="14">
        <f>Data!L941</f>
        <v>66707000000</v>
      </c>
      <c r="G941" s="12">
        <f t="shared" si="14"/>
        <v>2.3850570404905031E-2</v>
      </c>
    </row>
    <row r="942" spans="2:7" ht="15" customHeight="1" x14ac:dyDescent="0.3">
      <c r="C942" s="1"/>
      <c r="D942" s="8">
        <v>2019</v>
      </c>
      <c r="E942" s="14">
        <f>Data!N942</f>
        <v>8279000000</v>
      </c>
      <c r="F942" s="14">
        <f>Data!L942</f>
        <v>78835000000</v>
      </c>
      <c r="G942" s="12">
        <f t="shared" si="14"/>
        <v>0.10501680725566055</v>
      </c>
    </row>
    <row r="943" spans="2:7" ht="15" customHeight="1" x14ac:dyDescent="0.3">
      <c r="C943" s="1"/>
      <c r="D943" s="8">
        <v>2020</v>
      </c>
      <c r="E943" s="14">
        <f>Data!N943</f>
        <v>7000000</v>
      </c>
      <c r="F943" s="14">
        <f>Data!L943</f>
        <v>82528000000</v>
      </c>
      <c r="G943" s="12">
        <f t="shared" si="14"/>
        <v>8.4819697557192715E-5</v>
      </c>
    </row>
    <row r="944" spans="2:7" ht="15" customHeight="1" x14ac:dyDescent="0.3">
      <c r="C944" s="1"/>
      <c r="D944" s="8">
        <v>2021</v>
      </c>
      <c r="E944" s="14">
        <f>Data!N944</f>
        <v>5785000000</v>
      </c>
      <c r="F944" s="14">
        <f>Data!L944</f>
        <v>96647000000</v>
      </c>
      <c r="G944" s="12">
        <f t="shared" si="14"/>
        <v>5.9857005390751915E-2</v>
      </c>
    </row>
    <row r="945" spans="2:7" ht="15" customHeight="1" x14ac:dyDescent="0.3">
      <c r="C945" s="1"/>
      <c r="D945" s="8">
        <v>2022</v>
      </c>
      <c r="E945" s="14">
        <f>Data!N945</f>
        <v>14499000000</v>
      </c>
      <c r="F945" s="14">
        <f>Data!L945</f>
        <v>106698000000</v>
      </c>
      <c r="G945" s="12">
        <f t="shared" si="14"/>
        <v>0.13588820783894731</v>
      </c>
    </row>
    <row r="946" spans="2:7" ht="15" customHeight="1" x14ac:dyDescent="0.3">
      <c r="C946" s="1"/>
      <c r="D946" s="8">
        <v>2023</v>
      </c>
      <c r="E946" s="14">
        <f>Data!N946</f>
        <v>9463000000</v>
      </c>
      <c r="F946" s="14">
        <f>Data!L946</f>
        <v>98777000000</v>
      </c>
      <c r="G946" s="12">
        <f t="shared" si="14"/>
        <v>9.5801654231248159E-2</v>
      </c>
    </row>
    <row r="947" spans="2:7" ht="15" customHeight="1" x14ac:dyDescent="0.3">
      <c r="C947" s="1"/>
      <c r="D947" s="8">
        <v>2024</v>
      </c>
      <c r="E947" s="14">
        <f>Data!N947</f>
        <v>9720000000</v>
      </c>
      <c r="F947" s="14">
        <f>Data!L947</f>
        <v>122931000000</v>
      </c>
      <c r="G947" s="12">
        <f t="shared" si="14"/>
        <v>7.9068745881836155E-2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Data!N948</f>
        <v>0</v>
      </c>
      <c r="F948" s="14">
        <f>Data!L948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Data!N949</f>
        <v>0</v>
      </c>
      <c r="F949" s="14">
        <f>Data!L949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Data!N950</f>
        <v>0</v>
      </c>
      <c r="F950" s="14">
        <f>Data!L950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Data!N951</f>
        <v>0</v>
      </c>
      <c r="F951" s="14">
        <f>Data!L951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Data!N952</f>
        <v>0</v>
      </c>
      <c r="F952" s="14">
        <f>Data!L952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Data!N953</f>
        <v>0</v>
      </c>
      <c r="F953" s="14">
        <f>Data!L953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Data!N954</f>
        <v>0</v>
      </c>
      <c r="F954" s="14">
        <f>Data!L954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Data!N955</f>
        <v>0</v>
      </c>
      <c r="F955" s="14">
        <f>Data!L955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Data!N956</f>
        <v>0</v>
      </c>
      <c r="F956" s="14">
        <f>Data!L956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Data!N957</f>
        <v>0</v>
      </c>
      <c r="F957" s="14">
        <f>Data!L957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Data!N958</f>
        <v>0</v>
      </c>
      <c r="F958" s="14">
        <f>Data!L958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Data!N959</f>
        <v>0</v>
      </c>
      <c r="F959" s="14">
        <f>Data!L959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Data!N960</f>
        <v>0</v>
      </c>
      <c r="F960" s="14">
        <f>Data!L960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Data!N961</f>
        <v>0</v>
      </c>
      <c r="F961" s="14">
        <f>Data!L961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Data!N962</f>
        <v>0</v>
      </c>
      <c r="F962" s="14">
        <f>Data!L962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Data!N963</f>
        <v>0</v>
      </c>
      <c r="F963" s="14">
        <f>Data!L963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Data!N964</f>
        <v>0</v>
      </c>
      <c r="F964" s="14">
        <f>Data!L964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Data!N965</f>
        <v>0</v>
      </c>
      <c r="F965" s="14">
        <f>Data!L965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Data!N966</f>
        <v>0</v>
      </c>
      <c r="F966" s="14">
        <f>Data!L966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Data!N967</f>
        <v>0</v>
      </c>
      <c r="F967" s="14">
        <f>Data!L967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Data!N968</f>
        <v>0</v>
      </c>
      <c r="F968" s="14">
        <f>Data!L968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Data!N969</f>
        <v>0</v>
      </c>
      <c r="F969" s="14">
        <f>Data!L969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Data!N970</f>
        <v>0</v>
      </c>
      <c r="F970" s="14">
        <f>Data!L970</f>
        <v>201979681270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>
        <f>Data!N971</f>
        <v>9171050031</v>
      </c>
      <c r="F971" s="14">
        <f>Data!L971</f>
        <v>181766616047</v>
      </c>
      <c r="G971" s="12">
        <f t="shared" si="15"/>
        <v>5.0455084824974739E-2</v>
      </c>
    </row>
    <row r="972" spans="2:7" ht="15" customHeight="1" x14ac:dyDescent="0.3">
      <c r="C972" s="2"/>
      <c r="D972" s="8">
        <v>2016</v>
      </c>
      <c r="E972" s="14">
        <f>Data!N972</f>
        <v>41755380041</v>
      </c>
      <c r="F972" s="14">
        <f>Data!L972</f>
        <v>147412728798</v>
      </c>
      <c r="G972" s="12">
        <f t="shared" si="15"/>
        <v>0.28325491551151932</v>
      </c>
    </row>
    <row r="973" spans="2:7" ht="15" customHeight="1" x14ac:dyDescent="0.3">
      <c r="C973" s="2"/>
      <c r="D973" s="8">
        <v>2017</v>
      </c>
      <c r="E973" s="14">
        <f>Data!N973</f>
        <v>52743811762</v>
      </c>
      <c r="F973" s="14">
        <f>Data!L973</f>
        <v>124465270859</v>
      </c>
      <c r="G973" s="12">
        <f t="shared" si="15"/>
        <v>0.42376328270518626</v>
      </c>
    </row>
    <row r="974" spans="2:7" ht="15" customHeight="1" x14ac:dyDescent="0.3">
      <c r="C974" s="2"/>
      <c r="D974" s="8">
        <v>2018</v>
      </c>
      <c r="E974" s="14">
        <f>Data!N974</f>
        <v>69900405337</v>
      </c>
      <c r="F974" s="14">
        <f>Data!L974</f>
        <v>135633770098</v>
      </c>
      <c r="G974" s="12">
        <f t="shared" si="15"/>
        <v>0.51536136823812084</v>
      </c>
    </row>
    <row r="975" spans="2:7" ht="15" customHeight="1" x14ac:dyDescent="0.3">
      <c r="C975" s="2"/>
      <c r="D975" s="8">
        <v>2019</v>
      </c>
      <c r="E975" s="14">
        <f>Data!N975</f>
        <v>9408511340</v>
      </c>
      <c r="F975" s="14">
        <f>Data!L975</f>
        <v>175174507884</v>
      </c>
      <c r="G975" s="12">
        <f t="shared" si="15"/>
        <v>5.3709363614883314E-2</v>
      </c>
    </row>
    <row r="976" spans="2:7" ht="15" customHeight="1" x14ac:dyDescent="0.3">
      <c r="C976" s="2"/>
      <c r="D976" s="8">
        <v>2020</v>
      </c>
      <c r="E976" s="14">
        <f>Data!N976</f>
        <v>-88526593736</v>
      </c>
      <c r="F976" s="14">
        <f>Data!L976</f>
        <v>185567699856</v>
      </c>
      <c r="G976" s="12">
        <f t="shared" si="15"/>
        <v>-0.47705820465898097</v>
      </c>
    </row>
    <row r="977" spans="2:7" ht="15" customHeight="1" x14ac:dyDescent="0.3">
      <c r="C977" s="2"/>
      <c r="D977" s="8">
        <v>2021</v>
      </c>
      <c r="E977" s="14">
        <f>Data!N977</f>
        <v>19550788783</v>
      </c>
      <c r="F977" s="14">
        <f>Data!L977</f>
        <v>204553620643</v>
      </c>
      <c r="G977" s="12">
        <f t="shared" si="15"/>
        <v>9.5577818283262173E-2</v>
      </c>
    </row>
    <row r="978" spans="2:7" ht="15" customHeight="1" x14ac:dyDescent="0.3">
      <c r="C978" s="2"/>
      <c r="D978" s="8">
        <v>2022</v>
      </c>
      <c r="E978" s="14">
        <f>Data!N978</f>
        <v>-86331829021</v>
      </c>
      <c r="F978" s="14">
        <f>Data!L978</f>
        <v>338955618944</v>
      </c>
      <c r="G978" s="12">
        <f t="shared" si="15"/>
        <v>-0.25469950694419136</v>
      </c>
    </row>
    <row r="979" spans="2:7" ht="15" customHeight="1" x14ac:dyDescent="0.3">
      <c r="C979" s="2"/>
      <c r="D979" s="8">
        <v>2023</v>
      </c>
      <c r="E979" s="14">
        <f>Data!N979</f>
        <v>7568967642</v>
      </c>
      <c r="F979" s="14">
        <f>Data!L979</f>
        <v>382281211729</v>
      </c>
      <c r="G979" s="12">
        <f t="shared" si="15"/>
        <v>1.979947590876022E-2</v>
      </c>
    </row>
    <row r="980" spans="2:7" ht="15" customHeight="1" x14ac:dyDescent="0.3">
      <c r="C980" s="2"/>
      <c r="D980" s="8">
        <v>2024</v>
      </c>
      <c r="E980" s="14">
        <f>Data!N980</f>
        <v>7077123622</v>
      </c>
      <c r="F980" s="14">
        <f>Data!L980</f>
        <v>373958451506</v>
      </c>
      <c r="G980" s="12">
        <f t="shared" si="15"/>
        <v>1.8924892841702363E-2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Data!N981</f>
        <v>0</v>
      </c>
      <c r="F981" s="14">
        <f>Data!L981</f>
        <v>49657000000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Data!N982</f>
        <v>33021000000</v>
      </c>
      <c r="F982" s="14">
        <f>Data!L982</f>
        <v>89277000000</v>
      </c>
      <c r="G982" s="12">
        <f t="shared" si="15"/>
        <v>0.36987129943882524</v>
      </c>
    </row>
    <row r="983" spans="2:7" ht="15" customHeight="1" x14ac:dyDescent="0.3">
      <c r="C983" s="2"/>
      <c r="D983" s="8">
        <v>2016</v>
      </c>
      <c r="E983" s="14">
        <f>Data!N983</f>
        <v>41163000000</v>
      </c>
      <c r="F983" s="14">
        <f>Data!L983</f>
        <v>132150000000</v>
      </c>
      <c r="G983" s="12">
        <f t="shared" si="15"/>
        <v>0.31148694665153237</v>
      </c>
    </row>
    <row r="984" spans="2:7" ht="15" customHeight="1" x14ac:dyDescent="0.3">
      <c r="C984" s="2"/>
      <c r="D984" s="8">
        <v>2017</v>
      </c>
      <c r="E984" s="14">
        <f>Data!N984</f>
        <v>66851000000</v>
      </c>
      <c r="F984" s="14">
        <f>Data!L984</f>
        <v>211270000000</v>
      </c>
      <c r="G984" s="12">
        <f t="shared" si="15"/>
        <v>0.31642448052255406</v>
      </c>
    </row>
    <row r="985" spans="2:7" ht="15" customHeight="1" x14ac:dyDescent="0.3">
      <c r="C985" s="2"/>
      <c r="D985" s="8">
        <v>2018</v>
      </c>
      <c r="E985" s="14">
        <f>Data!N985</f>
        <v>62098000000</v>
      </c>
      <c r="F985" s="14">
        <f>Data!L985</f>
        <v>252456000000</v>
      </c>
      <c r="G985" s="12">
        <f t="shared" si="15"/>
        <v>0.24597553633108343</v>
      </c>
    </row>
    <row r="986" spans="2:7" ht="15" customHeight="1" x14ac:dyDescent="0.3">
      <c r="C986" s="2"/>
      <c r="D986" s="8">
        <v>2019</v>
      </c>
      <c r="E986" s="14">
        <f>Data!N986</f>
        <v>79602000000</v>
      </c>
      <c r="F986" s="14">
        <f>Data!L986</f>
        <v>291202000000</v>
      </c>
      <c r="G986" s="12">
        <f t="shared" si="15"/>
        <v>0.27335663903407259</v>
      </c>
    </row>
    <row r="987" spans="2:7" ht="15" customHeight="1" x14ac:dyDescent="0.3">
      <c r="C987" s="2"/>
      <c r="D987" s="8">
        <v>2020</v>
      </c>
      <c r="E987" s="14">
        <f>Data!N987</f>
        <v>107521000000</v>
      </c>
      <c r="F987" s="14">
        <f>Data!L987</f>
        <v>324522000000</v>
      </c>
      <c r="G987" s="12">
        <f t="shared" si="15"/>
        <v>0.33132114309661592</v>
      </c>
    </row>
    <row r="988" spans="2:7" ht="15" customHeight="1" x14ac:dyDescent="0.3">
      <c r="C988" s="2"/>
      <c r="D988" s="8">
        <v>2021</v>
      </c>
      <c r="E988" s="14">
        <f>Data!N988</f>
        <v>83387000000</v>
      </c>
      <c r="F988" s="14">
        <f>Data!L988</f>
        <v>295244000000</v>
      </c>
      <c r="G988" s="12">
        <f t="shared" si="15"/>
        <v>0.28243419002587689</v>
      </c>
    </row>
    <row r="989" spans="2:7" ht="15" customHeight="1" x14ac:dyDescent="0.3">
      <c r="C989" s="2"/>
      <c r="D989" s="8">
        <v>2022</v>
      </c>
      <c r="E989" s="14">
        <f>Data!N989</f>
        <v>63985000000</v>
      </c>
      <c r="F989" s="14">
        <f>Data!L989</f>
        <v>285067000000</v>
      </c>
      <c r="G989" s="12">
        <f t="shared" si="15"/>
        <v>0.22445600507950764</v>
      </c>
    </row>
    <row r="990" spans="2:7" ht="15" customHeight="1" x14ac:dyDescent="0.3">
      <c r="C990" s="2"/>
      <c r="D990" s="8">
        <v>2023</v>
      </c>
      <c r="E990" s="14">
        <f>Data!N990</f>
        <v>46743000000</v>
      </c>
      <c r="F990" s="14">
        <f>Data!L990</f>
        <v>285034000000</v>
      </c>
      <c r="G990" s="12">
        <f t="shared" si="15"/>
        <v>0.16399096248166886</v>
      </c>
    </row>
    <row r="991" spans="2:7" ht="15" customHeight="1" x14ac:dyDescent="0.3">
      <c r="C991" s="2"/>
      <c r="D991" s="8">
        <v>2024</v>
      </c>
      <c r="E991" s="14">
        <f>Data!N991</f>
        <v>38215000000</v>
      </c>
      <c r="F991" s="14">
        <f>Data!L991</f>
        <v>304457000000</v>
      </c>
      <c r="G991" s="12">
        <f t="shared" si="15"/>
        <v>0.12551854613295146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Data!N992</f>
        <v>0</v>
      </c>
      <c r="F992" s="14">
        <f>Data!L992</f>
        <v>540949000000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Data!N993</f>
        <v>177826000000</v>
      </c>
      <c r="F993" s="14">
        <f>Data!L993</f>
        <v>545262000000</v>
      </c>
      <c r="G993" s="12">
        <f t="shared" si="15"/>
        <v>0.32612945703166552</v>
      </c>
    </row>
    <row r="994" spans="2:7" ht="15" customHeight="1" x14ac:dyDescent="0.3">
      <c r="C994" s="2"/>
      <c r="D994" s="8">
        <v>2016</v>
      </c>
      <c r="E994" s="14">
        <f>Data!N994</f>
        <v>154934000000</v>
      </c>
      <c r="F994" s="14">
        <f>Data!L994</f>
        <v>484071000000</v>
      </c>
      <c r="G994" s="12">
        <f t="shared" si="15"/>
        <v>0.3200646186199958</v>
      </c>
    </row>
    <row r="995" spans="2:7" ht="15" customHeight="1" x14ac:dyDescent="0.3">
      <c r="C995" s="2"/>
      <c r="D995" s="8">
        <v>2017</v>
      </c>
      <c r="E995" s="14">
        <f>Data!N995</f>
        <v>127030000000</v>
      </c>
      <c r="F995" s="14">
        <f>Data!L995</f>
        <v>475494000000</v>
      </c>
      <c r="G995" s="12">
        <f t="shared" si="15"/>
        <v>0.26715373905874734</v>
      </c>
    </row>
    <row r="996" spans="2:7" ht="15" customHeight="1" x14ac:dyDescent="0.3">
      <c r="C996" s="2"/>
      <c r="D996" s="8">
        <v>2018</v>
      </c>
      <c r="E996" s="14">
        <f>Data!N996</f>
        <v>83039000000</v>
      </c>
      <c r="F996" s="14">
        <f>Data!L996</f>
        <v>524481000000</v>
      </c>
      <c r="G996" s="12">
        <f t="shared" si="15"/>
        <v>0.15832604040947146</v>
      </c>
    </row>
    <row r="997" spans="2:7" ht="15" customHeight="1" x14ac:dyDescent="0.3">
      <c r="C997" s="2"/>
      <c r="D997" s="8">
        <v>2019</v>
      </c>
      <c r="E997" s="14">
        <f>Data!N997</f>
        <v>133709000000</v>
      </c>
      <c r="F997" s="14">
        <f>Data!L997</f>
        <v>548286000000</v>
      </c>
      <c r="G997" s="12">
        <f t="shared" si="15"/>
        <v>0.24386725176276614</v>
      </c>
    </row>
    <row r="998" spans="2:7" ht="15" customHeight="1" x14ac:dyDescent="0.3">
      <c r="C998" s="2"/>
      <c r="D998" s="8">
        <v>2020</v>
      </c>
      <c r="E998" s="14">
        <f>Data!N998</f>
        <v>98223000000</v>
      </c>
      <c r="F998" s="14">
        <f>Data!L998</f>
        <v>530540000000</v>
      </c>
      <c r="G998" s="12">
        <f t="shared" si="15"/>
        <v>0.18513778414445659</v>
      </c>
    </row>
    <row r="999" spans="2:7" ht="15" customHeight="1" x14ac:dyDescent="0.3">
      <c r="C999" s="2"/>
      <c r="D999" s="8">
        <v>2021</v>
      </c>
      <c r="E999" s="14">
        <f>Data!N999</f>
        <v>150262000000</v>
      </c>
      <c r="F999" s="14">
        <f>Data!L999</f>
        <v>611835000000</v>
      </c>
      <c r="G999" s="12">
        <f t="shared" si="15"/>
        <v>0.24559235741662377</v>
      </c>
    </row>
    <row r="1000" spans="2:7" ht="15" customHeight="1" x14ac:dyDescent="0.3">
      <c r="C1000" s="2"/>
      <c r="D1000" s="8">
        <v>2022</v>
      </c>
      <c r="E1000" s="14">
        <f>Data!N1000</f>
        <v>134116000000</v>
      </c>
      <c r="F1000" s="14">
        <f>Data!L1000</f>
        <v>669942000000</v>
      </c>
      <c r="G1000" s="12">
        <f t="shared" si="15"/>
        <v>0.20019046424914397</v>
      </c>
    </row>
    <row r="1001" spans="2:7" ht="15" customHeight="1" x14ac:dyDescent="0.3">
      <c r="C1001" s="2"/>
      <c r="D1001" s="8">
        <v>2023</v>
      </c>
      <c r="E1001" s="14">
        <f>Data!N1001</f>
        <v>212388000000</v>
      </c>
      <c r="F1001" s="14">
        <f>Data!L1001</f>
        <v>740368000000</v>
      </c>
      <c r="G1001" s="12">
        <f t="shared" si="15"/>
        <v>0.28686815205411365</v>
      </c>
    </row>
    <row r="1002" spans="2:7" ht="15" customHeight="1" x14ac:dyDescent="0.3">
      <c r="C1002" s="2"/>
      <c r="D1002" s="8">
        <v>2024</v>
      </c>
      <c r="E1002" s="14">
        <f>Data!N1002</f>
        <v>104313000000</v>
      </c>
      <c r="F1002" s="14">
        <f>Data!L1002</f>
        <v>841839000000</v>
      </c>
      <c r="G1002" s="12">
        <f t="shared" si="15"/>
        <v>0.12391086656712269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Data!N1003</f>
        <v>0</v>
      </c>
      <c r="F1003" s="14">
        <f>Data!L1003</f>
        <v>729069511000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Data!N1004</f>
        <v>193750252000</v>
      </c>
      <c r="F1004" s="14">
        <f>Data!L1004</f>
        <v>757076355000</v>
      </c>
      <c r="G1004" s="12">
        <f t="shared" si="15"/>
        <v>0.25591903738692251</v>
      </c>
    </row>
    <row r="1005" spans="2:7" ht="15" customHeight="1" x14ac:dyDescent="0.3">
      <c r="C1005" s="2"/>
      <c r="D1005" s="8">
        <v>2016</v>
      </c>
      <c r="E1005" s="14">
        <f>Data!N1005</f>
        <v>130306422000</v>
      </c>
      <c r="F1005" s="14">
        <f>Data!L1005</f>
        <v>748068685000</v>
      </c>
      <c r="G1005" s="12">
        <f t="shared" si="15"/>
        <v>0.17419045150914184</v>
      </c>
    </row>
    <row r="1006" spans="2:7" ht="15" customHeight="1" x14ac:dyDescent="0.3">
      <c r="C1006" s="2"/>
      <c r="D1006" s="8">
        <v>2017</v>
      </c>
      <c r="E1006" s="14">
        <f>Data!N1006</f>
        <v>123189910000</v>
      </c>
      <c r="F1006" s="14">
        <f>Data!L1006</f>
        <v>768738026000</v>
      </c>
      <c r="G1006" s="12">
        <f t="shared" si="15"/>
        <v>0.16024953343468404</v>
      </c>
    </row>
    <row r="1007" spans="2:7" ht="15" customHeight="1" x14ac:dyDescent="0.3">
      <c r="C1007" s="2"/>
      <c r="D1007" s="8">
        <v>2018</v>
      </c>
      <c r="E1007" s="14">
        <f>Data!N1007</f>
        <v>28246915000</v>
      </c>
      <c r="F1007" s="14">
        <f>Data!L1007</f>
        <v>728317736000</v>
      </c>
      <c r="G1007" s="12">
        <f t="shared" si="15"/>
        <v>3.8783780215397641E-2</v>
      </c>
    </row>
    <row r="1008" spans="2:7" ht="15" customHeight="1" x14ac:dyDescent="0.3">
      <c r="C1008" s="2"/>
      <c r="D1008" s="8">
        <v>2019</v>
      </c>
      <c r="E1008" s="14">
        <f>Data!N1008</f>
        <v>73060310000</v>
      </c>
      <c r="F1008" s="14">
        <f>Data!L1008</f>
        <v>779573143000</v>
      </c>
      <c r="G1008" s="12">
        <f t="shared" si="15"/>
        <v>9.3718351710841322E-2</v>
      </c>
    </row>
    <row r="1009" spans="2:7" ht="15" customHeight="1" x14ac:dyDescent="0.3">
      <c r="C1009" s="2"/>
      <c r="D1009" s="8">
        <v>2020</v>
      </c>
      <c r="E1009" s="14">
        <f>Data!N1009</f>
        <v>107253266000</v>
      </c>
      <c r="F1009" s="14">
        <f>Data!L1009</f>
        <v>767768686000</v>
      </c>
      <c r="G1009" s="12">
        <f t="shared" si="15"/>
        <v>0.13969476478492376</v>
      </c>
    </row>
    <row r="1010" spans="2:7" ht="15" customHeight="1" x14ac:dyDescent="0.3">
      <c r="C1010" s="2"/>
      <c r="D1010" s="8">
        <v>2021</v>
      </c>
      <c r="E1010" s="14">
        <f>Data!N1010</f>
        <v>149438469000</v>
      </c>
      <c r="F1010" s="14">
        <f>Data!L1010</f>
        <v>787324359000</v>
      </c>
      <c r="G1010" s="12">
        <f t="shared" si="15"/>
        <v>0.18980546872677159</v>
      </c>
    </row>
    <row r="1011" spans="2:7" ht="15" customHeight="1" x14ac:dyDescent="0.3">
      <c r="C1011" s="2"/>
      <c r="D1011" s="8">
        <v>2022</v>
      </c>
      <c r="E1011" s="14">
        <f>Data!N1011</f>
        <v>169774422000</v>
      </c>
      <c r="F1011" s="14">
        <f>Data!L1011</f>
        <v>878518069000</v>
      </c>
      <c r="G1011" s="12">
        <f t="shared" si="15"/>
        <v>0.19325091650448456</v>
      </c>
    </row>
    <row r="1012" spans="2:7" ht="15" customHeight="1" x14ac:dyDescent="0.3">
      <c r="C1012" s="2"/>
      <c r="D1012" s="8">
        <v>2023</v>
      </c>
      <c r="E1012" s="14">
        <f>Data!N1012</f>
        <v>148073877000</v>
      </c>
      <c r="F1012" s="14">
        <f>Data!L1012</f>
        <v>924323713000</v>
      </c>
      <c r="G1012" s="12">
        <f t="shared" si="15"/>
        <v>0.16019699042385166</v>
      </c>
    </row>
    <row r="1013" spans="2:7" ht="15" customHeight="1" x14ac:dyDescent="0.3">
      <c r="C1013" s="2"/>
      <c r="D1013" s="8">
        <v>2024</v>
      </c>
      <c r="E1013" s="14">
        <f>Data!N1013</f>
        <v>228593443000</v>
      </c>
      <c r="F1013" s="14">
        <f>Data!L1013</f>
        <v>1039237526000</v>
      </c>
      <c r="G1013" s="12">
        <f t="shared" si="15"/>
        <v>0.21996265269581883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Data!N1014</f>
        <v>0</v>
      </c>
      <c r="F1014" s="14">
        <f>Data!L1014</f>
        <v>62976000000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Data!N1015</f>
        <v>2387000000</v>
      </c>
      <c r="F1015" s="14">
        <f>Data!L1015</f>
        <v>49271000000</v>
      </c>
      <c r="G1015" s="12">
        <f t="shared" si="15"/>
        <v>4.8446347750197884E-2</v>
      </c>
    </row>
    <row r="1016" spans="2:7" ht="15" customHeight="1" x14ac:dyDescent="0.3">
      <c r="C1016" s="2"/>
      <c r="D1016" s="8">
        <v>2016</v>
      </c>
      <c r="E1016" s="14">
        <f>Data!N1016</f>
        <v>8208000000</v>
      </c>
      <c r="F1016" s="14">
        <f>Data!L1016</f>
        <v>40957000000</v>
      </c>
      <c r="G1016" s="12">
        <f t="shared" si="15"/>
        <v>0.20040530312278731</v>
      </c>
    </row>
    <row r="1017" spans="2:7" ht="15" customHeight="1" x14ac:dyDescent="0.3">
      <c r="C1017" s="2"/>
      <c r="D1017" s="8">
        <v>2017</v>
      </c>
      <c r="E1017" s="14">
        <f>Data!N1017</f>
        <v>9454000000</v>
      </c>
      <c r="F1017" s="14">
        <f>Data!L1017</f>
        <v>57620000000</v>
      </c>
      <c r="G1017" s="12">
        <f t="shared" si="15"/>
        <v>0.16407497396737244</v>
      </c>
    </row>
    <row r="1018" spans="2:7" ht="15" customHeight="1" x14ac:dyDescent="0.3">
      <c r="C1018" s="2"/>
      <c r="D1018" s="8">
        <v>2018</v>
      </c>
      <c r="E1018" s="14">
        <f>Data!N1018</f>
        <v>13783000000</v>
      </c>
      <c r="F1018" s="14">
        <f>Data!L1018</f>
        <v>75764000000</v>
      </c>
      <c r="G1018" s="12">
        <f t="shared" si="15"/>
        <v>0.18192017316931525</v>
      </c>
    </row>
    <row r="1019" spans="2:7" ht="15" customHeight="1" x14ac:dyDescent="0.3">
      <c r="C1019" s="2"/>
      <c r="D1019" s="8">
        <v>2019</v>
      </c>
      <c r="E1019" s="14">
        <f>Data!N1019</f>
        <v>21651000000</v>
      </c>
      <c r="F1019" s="14">
        <f>Data!L1019</f>
        <v>114121000000</v>
      </c>
      <c r="G1019" s="12">
        <f t="shared" si="15"/>
        <v>0.1897196834938355</v>
      </c>
    </row>
    <row r="1020" spans="2:7" ht="15" customHeight="1" x14ac:dyDescent="0.3">
      <c r="C1020" s="2"/>
      <c r="D1020" s="8">
        <v>2020</v>
      </c>
      <c r="E1020" s="14">
        <f>Data!N1020</f>
        <v>29534000000</v>
      </c>
      <c r="F1020" s="14">
        <f>Data!L1020</f>
        <v>114396000000</v>
      </c>
      <c r="G1020" s="12">
        <f t="shared" si="15"/>
        <v>0.2581733627049897</v>
      </c>
    </row>
    <row r="1021" spans="2:7" ht="15" customHeight="1" x14ac:dyDescent="0.3">
      <c r="C1021" s="2"/>
      <c r="D1021" s="8">
        <v>2021</v>
      </c>
      <c r="E1021" s="14">
        <f>Data!N1021</f>
        <v>24036000000</v>
      </c>
      <c r="F1021" s="14">
        <f>Data!L1021</f>
        <v>131723000000</v>
      </c>
      <c r="G1021" s="12">
        <f t="shared" si="15"/>
        <v>0.18247382765348497</v>
      </c>
    </row>
    <row r="1022" spans="2:7" ht="15" customHeight="1" x14ac:dyDescent="0.3">
      <c r="C1022" s="2"/>
      <c r="D1022" s="8">
        <v>2022</v>
      </c>
      <c r="E1022" s="14">
        <f>Data!N1022</f>
        <v>55602000000</v>
      </c>
      <c r="F1022" s="14">
        <f>Data!L1022</f>
        <v>180069000000</v>
      </c>
      <c r="G1022" s="12">
        <f t="shared" si="15"/>
        <v>0.30878163370707895</v>
      </c>
    </row>
    <row r="1023" spans="2:7" ht="15" customHeight="1" x14ac:dyDescent="0.3">
      <c r="C1023" s="2"/>
      <c r="D1023" s="8">
        <v>2023</v>
      </c>
      <c r="E1023" s="14">
        <f>Data!N1023</f>
        <v>67483000000</v>
      </c>
      <c r="F1023" s="14">
        <f>Data!L1023</f>
        <v>346584000000</v>
      </c>
      <c r="G1023" s="12">
        <f t="shared" si="15"/>
        <v>0.19470893059114097</v>
      </c>
    </row>
    <row r="1024" spans="2:7" ht="15" customHeight="1" x14ac:dyDescent="0.3">
      <c r="C1024" s="2"/>
      <c r="D1024" s="8">
        <v>2024</v>
      </c>
      <c r="E1024" s="14">
        <f>Data!N1024</f>
        <v>83670000000</v>
      </c>
      <c r="F1024" s="14">
        <f>Data!L1024</f>
        <v>511066000000</v>
      </c>
      <c r="G1024" s="12">
        <f t="shared" si="15"/>
        <v>0.16371662368461215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Data!N1025</f>
        <v>0</v>
      </c>
      <c r="F1025" s="14">
        <f>Data!L1025</f>
        <v>409999860000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Data!N1026</f>
        <v>74020090000</v>
      </c>
      <c r="F1026" s="14">
        <f>Data!L1026</f>
        <v>502138400000</v>
      </c>
      <c r="G1026" s="12">
        <f t="shared" si="15"/>
        <v>0.14740973803238311</v>
      </c>
    </row>
    <row r="1027" spans="2:7" ht="15" customHeight="1" x14ac:dyDescent="0.3">
      <c r="C1027" s="2"/>
      <c r="D1027" s="8">
        <v>2016</v>
      </c>
      <c r="E1027" s="14">
        <f>Data!N1027</f>
        <v>49876180000</v>
      </c>
      <c r="F1027" s="14">
        <f>Data!L1027</f>
        <v>473935800000</v>
      </c>
      <c r="G1027" s="12">
        <f t="shared" ref="G1027:G1090" si="16">IFERROR(E1027/F1027,0)</f>
        <v>0.10523826222876601</v>
      </c>
    </row>
    <row r="1028" spans="2:7" ht="15" customHeight="1" x14ac:dyDescent="0.3">
      <c r="C1028" s="2"/>
      <c r="D1028" s="8">
        <v>2017</v>
      </c>
      <c r="E1028" s="14">
        <f>Data!N1028</f>
        <v>46544000000</v>
      </c>
      <c r="F1028" s="14">
        <f>Data!L1028</f>
        <v>460014000000</v>
      </c>
      <c r="G1028" s="12">
        <f t="shared" si="16"/>
        <v>0.10117952931867291</v>
      </c>
    </row>
    <row r="1029" spans="2:7" ht="15" customHeight="1" x14ac:dyDescent="0.3">
      <c r="C1029" s="2"/>
      <c r="D1029" s="8">
        <v>2018</v>
      </c>
      <c r="E1029" s="14">
        <f>Data!N1029</f>
        <v>51602000000</v>
      </c>
      <c r="F1029" s="14">
        <f>Data!L1029</f>
        <v>478180000000</v>
      </c>
      <c r="G1029" s="12">
        <f t="shared" si="16"/>
        <v>0.10791333807352879</v>
      </c>
    </row>
    <row r="1030" spans="2:7" ht="15" customHeight="1" x14ac:dyDescent="0.3">
      <c r="C1030" s="2"/>
      <c r="D1030" s="8">
        <v>2019</v>
      </c>
      <c r="E1030" s="14">
        <f>Data!N1030</f>
        <v>61565000000</v>
      </c>
      <c r="F1030" s="14">
        <f>Data!L1030</f>
        <v>510734000000</v>
      </c>
      <c r="G1030" s="12">
        <f t="shared" si="16"/>
        <v>0.12054220004934076</v>
      </c>
    </row>
    <row r="1031" spans="2:7" ht="15" customHeight="1" x14ac:dyDescent="0.3">
      <c r="C1031" s="2"/>
      <c r="D1031" s="8">
        <v>2020</v>
      </c>
      <c r="E1031" s="14">
        <f>Data!N1031</f>
        <v>80594000000</v>
      </c>
      <c r="F1031" s="14">
        <f>Data!L1031</f>
        <v>502265000000</v>
      </c>
      <c r="G1031" s="12">
        <f t="shared" si="16"/>
        <v>0.16046111116641615</v>
      </c>
    </row>
    <row r="1032" spans="2:7" ht="15" customHeight="1" x14ac:dyDescent="0.3">
      <c r="C1032" s="2"/>
      <c r="D1032" s="8">
        <v>2021</v>
      </c>
      <c r="E1032" s="14">
        <f>Data!N1032</f>
        <v>94515000000</v>
      </c>
      <c r="F1032" s="14">
        <f>Data!L1032</f>
        <v>476728000000</v>
      </c>
      <c r="G1032" s="12">
        <f t="shared" si="16"/>
        <v>0.19825770670067627</v>
      </c>
    </row>
    <row r="1033" spans="2:7" ht="15" customHeight="1" x14ac:dyDescent="0.3">
      <c r="C1033" s="2"/>
      <c r="D1033" s="8">
        <v>2022</v>
      </c>
      <c r="E1033" s="14">
        <f>Data!N1033</f>
        <v>107336000000</v>
      </c>
      <c r="F1033" s="14">
        <f>Data!L1033</f>
        <v>504231000000</v>
      </c>
      <c r="G1033" s="12">
        <f t="shared" si="16"/>
        <v>0.21287068823614574</v>
      </c>
    </row>
    <row r="1034" spans="2:7" ht="15" customHeight="1" x14ac:dyDescent="0.3">
      <c r="C1034" s="2"/>
      <c r="D1034" s="8">
        <v>2023</v>
      </c>
      <c r="E1034" s="14">
        <f>Data!N1034</f>
        <v>110353000000</v>
      </c>
      <c r="F1034" s="14">
        <f>Data!L1034</f>
        <v>604788000000</v>
      </c>
      <c r="G1034" s="12">
        <f t="shared" si="16"/>
        <v>0.18246559124850362</v>
      </c>
    </row>
    <row r="1035" spans="2:7" ht="15" customHeight="1" x14ac:dyDescent="0.3">
      <c r="C1035" s="2"/>
      <c r="D1035" s="8">
        <v>2024</v>
      </c>
      <c r="E1035" s="14">
        <f>Data!N1035</f>
        <v>130247000000</v>
      </c>
      <c r="F1035" s="14">
        <f>Data!L1035</f>
        <v>647787000000</v>
      </c>
      <c r="G1035" s="12">
        <f t="shared" si="16"/>
        <v>0.2010645474515543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Data!N1036</f>
        <v>0</v>
      </c>
      <c r="F1036" s="14">
        <f>Data!L1036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Data!N1037</f>
        <v>0</v>
      </c>
      <c r="F1037" s="14">
        <f>Data!L1037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Data!N1038</f>
        <v>0</v>
      </c>
      <c r="F1038" s="14">
        <f>Data!L1038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Data!N1039</f>
        <v>0</v>
      </c>
      <c r="F1039" s="14">
        <f>Data!L1039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Data!N1040</f>
        <v>0</v>
      </c>
      <c r="F1040" s="14">
        <f>Data!L1040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Data!N1041</f>
        <v>5205588810</v>
      </c>
      <c r="F1041" s="14">
        <f>Data!L1041</f>
        <v>39959637824</v>
      </c>
      <c r="G1041" s="12">
        <f t="shared" si="16"/>
        <v>0.13027117094823848</v>
      </c>
    </row>
    <row r="1042" spans="2:7" ht="15" customHeight="1" x14ac:dyDescent="0.3">
      <c r="C1042" s="2"/>
      <c r="D1042" s="8">
        <v>2020</v>
      </c>
      <c r="E1042" s="14">
        <f>Data!N1042</f>
        <v>203000000</v>
      </c>
      <c r="F1042" s="14">
        <f>Data!L1042</f>
        <v>31267000000</v>
      </c>
      <c r="G1042" s="12">
        <f t="shared" si="16"/>
        <v>6.4924680973550385E-3</v>
      </c>
    </row>
    <row r="1043" spans="2:7" ht="15" customHeight="1" x14ac:dyDescent="0.3">
      <c r="C1043" s="2"/>
      <c r="D1043" s="8">
        <v>2021</v>
      </c>
      <c r="E1043" s="14">
        <f>Data!N1043</f>
        <v>4029000000</v>
      </c>
      <c r="F1043" s="14">
        <f>Data!L1043</f>
        <v>27446000000</v>
      </c>
      <c r="G1043" s="12">
        <f t="shared" si="16"/>
        <v>0.14679734751876411</v>
      </c>
    </row>
    <row r="1044" spans="2:7" ht="15" customHeight="1" x14ac:dyDescent="0.3">
      <c r="C1044" s="2"/>
      <c r="D1044" s="8">
        <v>2022</v>
      </c>
      <c r="E1044" s="14">
        <f>Data!N1044</f>
        <v>-12927000000</v>
      </c>
      <c r="F1044" s="14">
        <f>Data!L1044</f>
        <v>14902000000</v>
      </c>
      <c r="G1044" s="12">
        <f t="shared" si="16"/>
        <v>-0.86746745403301573</v>
      </c>
    </row>
    <row r="1045" spans="2:7" ht="15" customHeight="1" x14ac:dyDescent="0.3">
      <c r="C1045" s="2"/>
      <c r="D1045" s="8">
        <v>2023</v>
      </c>
      <c r="E1045" s="14">
        <f>Data!N1045</f>
        <v>-2138000000</v>
      </c>
      <c r="F1045" s="14">
        <f>Data!L1045</f>
        <v>48533000000</v>
      </c>
      <c r="G1045" s="12">
        <f t="shared" si="16"/>
        <v>-4.4052500360579401E-2</v>
      </c>
    </row>
    <row r="1046" spans="2:7" ht="15" customHeight="1" x14ac:dyDescent="0.3">
      <c r="C1046" s="2"/>
      <c r="D1046" s="8">
        <v>2024</v>
      </c>
      <c r="E1046" s="14">
        <f>Data!N1046</f>
        <v>-345000000</v>
      </c>
      <c r="F1046" s="14">
        <f>Data!L1046</f>
        <v>81067000000</v>
      </c>
      <c r="G1046" s="12">
        <f t="shared" si="16"/>
        <v>-4.2557390800202306E-3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Data!N1047</f>
        <v>0</v>
      </c>
      <c r="F1047" s="14">
        <f>Data!L1047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Data!N1048</f>
        <v>63323652330</v>
      </c>
      <c r="F1048" s="14">
        <f>Data!L1048</f>
        <v>311249973074</v>
      </c>
      <c r="G1048" s="12">
        <f t="shared" si="16"/>
        <v>0.20344950299785161</v>
      </c>
    </row>
    <row r="1049" spans="2:7" ht="15" customHeight="1" x14ac:dyDescent="0.3">
      <c r="C1049" s="2"/>
      <c r="D1049" s="8">
        <v>2016</v>
      </c>
      <c r="E1049" s="14">
        <f>Data!N1049</f>
        <v>63334978929</v>
      </c>
      <c r="F1049" s="14">
        <f>Data!L1049</f>
        <v>334335437786</v>
      </c>
      <c r="G1049" s="12">
        <f t="shared" si="16"/>
        <v>0.18943543450975478</v>
      </c>
    </row>
    <row r="1050" spans="2:7" ht="15" customHeight="1" x14ac:dyDescent="0.3">
      <c r="C1050" s="2"/>
      <c r="D1050" s="8">
        <v>2017</v>
      </c>
      <c r="E1050" s="14">
        <f>Data!N1050</f>
        <v>60408579794</v>
      </c>
      <c r="F1050" s="14">
        <f>Data!L1050</f>
        <v>325795692449</v>
      </c>
      <c r="G1050" s="12">
        <f t="shared" si="16"/>
        <v>0.18541859574603292</v>
      </c>
    </row>
    <row r="1051" spans="2:7" ht="15" customHeight="1" x14ac:dyDescent="0.3">
      <c r="C1051" s="2"/>
      <c r="D1051" s="8">
        <v>2018</v>
      </c>
      <c r="E1051" s="14">
        <f>Data!N1051</f>
        <v>70945360128</v>
      </c>
      <c r="F1051" s="14">
        <f>Data!L1051</f>
        <v>352488318320</v>
      </c>
      <c r="G1051" s="12">
        <f t="shared" si="16"/>
        <v>0.2012701029813804</v>
      </c>
    </row>
    <row r="1052" spans="2:7" ht="15" customHeight="1" x14ac:dyDescent="0.3">
      <c r="C1052" s="2"/>
      <c r="D1052" s="8">
        <v>2019</v>
      </c>
      <c r="E1052" s="14">
        <f>Data!N1052</f>
        <v>61534181086</v>
      </c>
      <c r="F1052" s="14">
        <f>Data!L1052</f>
        <v>359657973516</v>
      </c>
      <c r="G1052" s="12">
        <f t="shared" si="16"/>
        <v>0.17109082966921224</v>
      </c>
    </row>
    <row r="1053" spans="2:7" ht="15" customHeight="1" x14ac:dyDescent="0.3">
      <c r="C1053" s="2"/>
      <c r="D1053" s="8">
        <v>2020</v>
      </c>
      <c r="E1053" s="14">
        <f>Data!N1053</f>
        <v>76278294005</v>
      </c>
      <c r="F1053" s="14">
        <f>Data!L1053</f>
        <v>339072465808</v>
      </c>
      <c r="G1053" s="12">
        <f t="shared" si="16"/>
        <v>0.22496162825616348</v>
      </c>
    </row>
    <row r="1054" spans="2:7" ht="15" customHeight="1" x14ac:dyDescent="0.3">
      <c r="C1054" s="2"/>
      <c r="D1054" s="8">
        <v>2021</v>
      </c>
      <c r="E1054" s="14">
        <f>Data!N1054</f>
        <v>59863973819</v>
      </c>
      <c r="F1054" s="14">
        <f>Data!L1054</f>
        <v>335624261996</v>
      </c>
      <c r="G1054" s="12">
        <f t="shared" si="16"/>
        <v>0.1783660497694099</v>
      </c>
    </row>
    <row r="1055" spans="2:7" ht="15" customHeight="1" x14ac:dyDescent="0.3">
      <c r="C1055" s="2"/>
      <c r="D1055" s="8">
        <v>2022</v>
      </c>
      <c r="E1055" s="14">
        <f>Data!N1055</f>
        <v>81808341042</v>
      </c>
      <c r="F1055" s="14">
        <f>Data!L1055</f>
        <v>436486285686</v>
      </c>
      <c r="G1055" s="12">
        <f t="shared" si="16"/>
        <v>0.18742476848597112</v>
      </c>
    </row>
    <row r="1056" spans="2:7" ht="15" customHeight="1" x14ac:dyDescent="0.3">
      <c r="C1056" s="2"/>
      <c r="D1056" s="8">
        <v>2023</v>
      </c>
      <c r="E1056" s="14">
        <f>Data!N1056</f>
        <v>84142519498</v>
      </c>
      <c r="F1056" s="14">
        <f>Data!L1056</f>
        <v>522389382057</v>
      </c>
      <c r="G1056" s="12">
        <f t="shared" si="16"/>
        <v>0.1610724153057515</v>
      </c>
    </row>
    <row r="1057" spans="2:7" ht="15" customHeight="1" x14ac:dyDescent="0.3">
      <c r="C1057" s="2"/>
      <c r="D1057" s="8">
        <v>2024</v>
      </c>
      <c r="E1057" s="14">
        <f>Data!N1057</f>
        <v>29800515520</v>
      </c>
      <c r="F1057" s="14">
        <f>Data!L1057</f>
        <v>420689854684</v>
      </c>
      <c r="G1057" s="12">
        <f t="shared" si="16"/>
        <v>7.0837257395675909E-2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Data!N1058</f>
        <v>0</v>
      </c>
      <c r="F1058" s="14">
        <f>Data!L1058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Data!N1059</f>
        <v>0</v>
      </c>
      <c r="F1059" s="14">
        <f>Data!L1059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Data!N1060</f>
        <v>0</v>
      </c>
      <c r="F1060" s="14">
        <f>Data!L1060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Data!N1061</f>
        <v>16400000000</v>
      </c>
      <c r="F1061" s="14">
        <f>Data!L1061</f>
        <v>257734000000</v>
      </c>
      <c r="G1061" s="12">
        <f t="shared" si="16"/>
        <v>6.363149603855138E-2</v>
      </c>
    </row>
    <row r="1062" spans="2:7" ht="15" customHeight="1" x14ac:dyDescent="0.3">
      <c r="C1062" s="2"/>
      <c r="D1062" s="8">
        <v>2018</v>
      </c>
      <c r="E1062" s="14">
        <f>Data!N1062</f>
        <v>42448000000</v>
      </c>
      <c r="F1062" s="14">
        <f>Data!L1062</f>
        <v>368758000000</v>
      </c>
      <c r="G1062" s="12">
        <f t="shared" si="16"/>
        <v>0.11511072302160225</v>
      </c>
    </row>
    <row r="1063" spans="2:7" ht="15" customHeight="1" x14ac:dyDescent="0.3">
      <c r="C1063" s="2"/>
      <c r="D1063" s="8">
        <v>2019</v>
      </c>
      <c r="E1063" s="14">
        <f>Data!N1063</f>
        <v>32292000000</v>
      </c>
      <c r="F1063" s="14">
        <f>Data!L1063</f>
        <v>566454000000</v>
      </c>
      <c r="G1063" s="12">
        <f t="shared" si="16"/>
        <v>5.7007276848605536E-2</v>
      </c>
    </row>
    <row r="1064" spans="2:7" ht="15" customHeight="1" x14ac:dyDescent="0.3">
      <c r="C1064" s="2"/>
      <c r="D1064" s="8">
        <v>2020</v>
      </c>
      <c r="E1064" s="14">
        <f>Data!N1064</f>
        <v>35799000000</v>
      </c>
      <c r="F1064" s="14">
        <f>Data!L1064</f>
        <v>640387000000</v>
      </c>
      <c r="G1064" s="12">
        <f t="shared" si="16"/>
        <v>5.5902134178239096E-2</v>
      </c>
    </row>
    <row r="1065" spans="2:7" ht="15" customHeight="1" x14ac:dyDescent="0.3">
      <c r="C1065" s="2"/>
      <c r="D1065" s="8">
        <v>2021</v>
      </c>
      <c r="E1065" s="14">
        <f>Data!N1065</f>
        <v>44502000000</v>
      </c>
      <c r="F1065" s="14">
        <f>Data!L1065</f>
        <v>688785000000</v>
      </c>
      <c r="G1065" s="12">
        <f t="shared" si="16"/>
        <v>6.4609420936867099E-2</v>
      </c>
    </row>
    <row r="1066" spans="2:7" ht="15" customHeight="1" x14ac:dyDescent="0.3">
      <c r="C1066" s="2"/>
      <c r="D1066" s="8">
        <v>2022</v>
      </c>
      <c r="E1066" s="14">
        <f>Data!N1066</f>
        <v>4674000000</v>
      </c>
      <c r="F1066" s="14">
        <f>Data!L1066</f>
        <v>897491000000</v>
      </c>
      <c r="G1066" s="12">
        <f t="shared" si="16"/>
        <v>5.2078516664791066E-3</v>
      </c>
    </row>
    <row r="1067" spans="2:7" ht="15" customHeight="1" x14ac:dyDescent="0.3">
      <c r="C1067" s="2"/>
      <c r="D1067" s="8">
        <v>2023</v>
      </c>
      <c r="E1067" s="14">
        <f>Data!N1067</f>
        <v>14225000000</v>
      </c>
      <c r="F1067" s="14">
        <f>Data!L1067</f>
        <v>1063564000000</v>
      </c>
      <c r="G1067" s="12">
        <f t="shared" si="16"/>
        <v>1.3374841570417953E-2</v>
      </c>
    </row>
    <row r="1068" spans="2:7" ht="15" customHeight="1" x14ac:dyDescent="0.3">
      <c r="C1068" s="2"/>
      <c r="D1068" s="8">
        <v>2024</v>
      </c>
      <c r="E1068" s="14">
        <f>Data!N1068</f>
        <v>-4978000000</v>
      </c>
      <c r="F1068" s="14">
        <f>Data!L1068</f>
        <v>1356384000000</v>
      </c>
      <c r="G1068" s="12">
        <f t="shared" si="16"/>
        <v>-3.6700521386274095E-3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Data!N1069</f>
        <v>0</v>
      </c>
      <c r="F1069" s="14">
        <f>Data!L1069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Data!N1070</f>
        <v>0</v>
      </c>
      <c r="F1070" s="14">
        <f>Data!L1070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Data!N1071</f>
        <v>0</v>
      </c>
      <c r="F1071" s="14">
        <f>Data!L1071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Data!N1072</f>
        <v>1379870000</v>
      </c>
      <c r="F1072" s="14">
        <f>Data!L1072</f>
        <v>150971790000</v>
      </c>
      <c r="G1072" s="12">
        <f t="shared" si="16"/>
        <v>9.1399194511769376E-3</v>
      </c>
    </row>
    <row r="1073" spans="2:7" ht="15" customHeight="1" x14ac:dyDescent="0.3">
      <c r="C1073" s="2"/>
      <c r="D1073" s="8">
        <v>2018</v>
      </c>
      <c r="E1073" s="14">
        <f>Data!N1073</f>
        <v>1653090000</v>
      </c>
      <c r="F1073" s="14">
        <f>Data!L1073</f>
        <v>137735990000</v>
      </c>
      <c r="G1073" s="12">
        <f t="shared" si="16"/>
        <v>1.2001874020000147E-2</v>
      </c>
    </row>
    <row r="1074" spans="2:7" ht="15" customHeight="1" x14ac:dyDescent="0.3">
      <c r="C1074" s="2"/>
      <c r="D1074" s="8">
        <v>2019</v>
      </c>
      <c r="E1074" s="14">
        <f>Data!N1074</f>
        <v>4405740000</v>
      </c>
      <c r="F1074" s="14">
        <f>Data!L1074</f>
        <v>173612720000</v>
      </c>
      <c r="G1074" s="12">
        <f t="shared" si="16"/>
        <v>2.5376827227866713E-2</v>
      </c>
    </row>
    <row r="1075" spans="2:7" ht="15" customHeight="1" x14ac:dyDescent="0.3">
      <c r="C1075" s="2"/>
      <c r="D1075" s="8">
        <v>2020</v>
      </c>
      <c r="E1075" s="14">
        <f>Data!N1075</f>
        <v>14776200000</v>
      </c>
      <c r="F1075" s="14">
        <f>Data!L1075</f>
        <v>132027930000</v>
      </c>
      <c r="G1075" s="12">
        <f t="shared" si="16"/>
        <v>0.11191722842280417</v>
      </c>
    </row>
    <row r="1076" spans="2:7" ht="15" customHeight="1" x14ac:dyDescent="0.3">
      <c r="C1076" s="2"/>
      <c r="D1076" s="8">
        <v>2021</v>
      </c>
      <c r="E1076" s="14">
        <f>Data!N1076</f>
        <v>12122560000</v>
      </c>
      <c r="F1076" s="14">
        <f>Data!L1076</f>
        <v>149580660000</v>
      </c>
      <c r="G1076" s="12">
        <f t="shared" si="16"/>
        <v>8.1043632244970701E-2</v>
      </c>
    </row>
    <row r="1077" spans="2:7" ht="15" customHeight="1" x14ac:dyDescent="0.3">
      <c r="C1077" s="2"/>
      <c r="D1077" s="8">
        <v>2022</v>
      </c>
      <c r="E1077" s="14">
        <f>Data!N1077</f>
        <v>18174950000</v>
      </c>
      <c r="F1077" s="14">
        <f>Data!L1077</f>
        <v>245922260000</v>
      </c>
      <c r="G1077" s="12">
        <f t="shared" si="16"/>
        <v>7.3905265834821141E-2</v>
      </c>
    </row>
    <row r="1078" spans="2:7" ht="15" customHeight="1" x14ac:dyDescent="0.3">
      <c r="C1078" s="2"/>
      <c r="D1078" s="8">
        <v>2023</v>
      </c>
      <c r="E1078" s="14">
        <f>Data!N1078</f>
        <v>30291850000</v>
      </c>
      <c r="F1078" s="14">
        <f>Data!L1078</f>
        <v>398089660000</v>
      </c>
      <c r="G1078" s="12">
        <f t="shared" si="16"/>
        <v>7.6093033916027855E-2</v>
      </c>
    </row>
    <row r="1079" spans="2:7" ht="15" customHeight="1" x14ac:dyDescent="0.3">
      <c r="C1079" s="2"/>
      <c r="D1079" s="8">
        <v>2024</v>
      </c>
      <c r="E1079" s="14">
        <f>Data!N1079</f>
        <v>37758550000</v>
      </c>
      <c r="F1079" s="14">
        <f>Data!L1079</f>
        <v>417182930000</v>
      </c>
      <c r="G1079" s="12">
        <f t="shared" si="16"/>
        <v>9.0508377224350955E-2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Data!N1080</f>
        <v>0</v>
      </c>
      <c r="F1080" s="14">
        <f>Data!L1080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Data!N1081</f>
        <v>0</v>
      </c>
      <c r="F1081" s="14">
        <f>Data!L1081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Data!N1082</f>
        <v>0</v>
      </c>
      <c r="F1082" s="14">
        <f>Data!L1082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Data!N1083</f>
        <v>0</v>
      </c>
      <c r="F1083" s="14">
        <f>Data!L1083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Data!N1084</f>
        <v>0</v>
      </c>
      <c r="F1084" s="14">
        <f>Data!L1084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Data!N1085</f>
        <v>0</v>
      </c>
      <c r="F1085" s="14">
        <f>Data!L1085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Data!N1086</f>
        <v>0</v>
      </c>
      <c r="F1086" s="14">
        <f>Data!L1086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Data!N1087</f>
        <v>31712000000</v>
      </c>
      <c r="F1087" s="14">
        <f>Data!L1087</f>
        <v>87925000000</v>
      </c>
      <c r="G1087" s="12">
        <f t="shared" si="16"/>
        <v>0.3606710264429912</v>
      </c>
    </row>
    <row r="1088" spans="2:7" ht="15" customHeight="1" x14ac:dyDescent="0.3">
      <c r="C1088" s="2"/>
      <c r="D1088" s="8">
        <v>2022</v>
      </c>
      <c r="E1088" s="14">
        <f>Data!N1088</f>
        <v>51852000000</v>
      </c>
      <c r="F1088" s="14">
        <f>Data!L1088</f>
        <v>95563000000</v>
      </c>
      <c r="G1088" s="12">
        <f t="shared" si="16"/>
        <v>0.54259493737115827</v>
      </c>
    </row>
    <row r="1089" spans="2:7" ht="15" customHeight="1" x14ac:dyDescent="0.3">
      <c r="C1089" s="2"/>
      <c r="D1089" s="8">
        <v>2023</v>
      </c>
      <c r="E1089" s="14">
        <f>Data!N1089</f>
        <v>25782000000</v>
      </c>
      <c r="F1089" s="14">
        <f>Data!L1089</f>
        <v>94388000000</v>
      </c>
      <c r="G1089" s="12">
        <f t="shared" si="16"/>
        <v>0.2731491291265839</v>
      </c>
    </row>
    <row r="1090" spans="2:7" ht="15" customHeight="1" x14ac:dyDescent="0.3">
      <c r="C1090" s="2"/>
      <c r="D1090" s="8">
        <v>2024</v>
      </c>
      <c r="E1090" s="14">
        <f>Data!N1090</f>
        <v>35423000000</v>
      </c>
      <c r="F1090" s="14">
        <f>Data!L1090</f>
        <v>95474000000</v>
      </c>
      <c r="G1090" s="12">
        <f t="shared" si="16"/>
        <v>0.37102247732366928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Data!N1091</f>
        <v>0</v>
      </c>
      <c r="F1091" s="14">
        <f>Data!L1091</f>
        <v>33000000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Data!N1092</f>
        <v>5718000000</v>
      </c>
      <c r="F1092" s="14">
        <f>Data!L1092</f>
        <v>7546000000</v>
      </c>
      <c r="G1092" s="12">
        <f t="shared" si="17"/>
        <v>0.7577524516300026</v>
      </c>
    </row>
    <row r="1093" spans="2:7" ht="15" customHeight="1" x14ac:dyDescent="0.3">
      <c r="C1093" s="2"/>
      <c r="D1093" s="8">
        <v>2016</v>
      </c>
      <c r="E1093" s="14">
        <f>Data!N1093</f>
        <v>1411000000</v>
      </c>
      <c r="F1093" s="14">
        <f>Data!L1093</f>
        <v>11437000000</v>
      </c>
      <c r="G1093" s="12">
        <f t="shared" si="17"/>
        <v>0.12337151350878726</v>
      </c>
    </row>
    <row r="1094" spans="2:7" ht="15" customHeight="1" x14ac:dyDescent="0.3">
      <c r="C1094" s="2"/>
      <c r="D1094" s="8">
        <v>2017</v>
      </c>
      <c r="E1094" s="14">
        <f>Data!N1094</f>
        <v>9010000000</v>
      </c>
      <c r="F1094" s="14">
        <f>Data!L1094</f>
        <v>13727000000</v>
      </c>
      <c r="G1094" s="12">
        <f t="shared" si="17"/>
        <v>0.65637065637065639</v>
      </c>
    </row>
    <row r="1095" spans="2:7" ht="15" customHeight="1" x14ac:dyDescent="0.3">
      <c r="C1095" s="2"/>
      <c r="D1095" s="8">
        <v>2018</v>
      </c>
      <c r="E1095" s="14">
        <f>Data!N1095</f>
        <v>10001000000</v>
      </c>
      <c r="F1095" s="14">
        <f>Data!L1095</f>
        <v>29119000000</v>
      </c>
      <c r="G1095" s="12">
        <f t="shared" si="17"/>
        <v>0.3434527284590817</v>
      </c>
    </row>
    <row r="1096" spans="2:7" ht="15" customHeight="1" x14ac:dyDescent="0.3">
      <c r="C1096" s="2"/>
      <c r="D1096" s="8">
        <v>2019</v>
      </c>
      <c r="E1096" s="14">
        <f>Data!N1096</f>
        <v>62066000000</v>
      </c>
      <c r="F1096" s="14">
        <f>Data!L1096</f>
        <v>415912000000</v>
      </c>
      <c r="G1096" s="12">
        <f t="shared" si="17"/>
        <v>0.14922868299063263</v>
      </c>
    </row>
    <row r="1097" spans="2:7" ht="15" customHeight="1" x14ac:dyDescent="0.3">
      <c r="C1097" s="2"/>
      <c r="D1097" s="8">
        <v>2020</v>
      </c>
      <c r="E1097" s="14">
        <f>Data!N1097</f>
        <v>9599000000</v>
      </c>
      <c r="F1097" s="14">
        <f>Data!L1097</f>
        <v>468817000000</v>
      </c>
      <c r="G1097" s="12">
        <f t="shared" si="17"/>
        <v>2.0474940115226197E-2</v>
      </c>
    </row>
    <row r="1098" spans="2:7" ht="15" customHeight="1" x14ac:dyDescent="0.3">
      <c r="C1098" s="2"/>
      <c r="D1098" s="8">
        <v>2021</v>
      </c>
      <c r="E1098" s="14">
        <f>Data!N1098</f>
        <v>52678000000</v>
      </c>
      <c r="F1098" s="14">
        <f>Data!L1098</f>
        <v>281520000000</v>
      </c>
      <c r="G1098" s="12">
        <f t="shared" si="17"/>
        <v>0.18711992043194089</v>
      </c>
    </row>
    <row r="1099" spans="2:7" ht="15" customHeight="1" x14ac:dyDescent="0.3">
      <c r="C1099" s="2"/>
      <c r="D1099" s="8">
        <v>2022</v>
      </c>
      <c r="E1099" s="14">
        <f>Data!N1099</f>
        <v>147083000000</v>
      </c>
      <c r="F1099" s="14">
        <f>Data!L1099</f>
        <v>619139000000</v>
      </c>
      <c r="G1099" s="12">
        <f t="shared" si="17"/>
        <v>0.2375605477929835</v>
      </c>
    </row>
    <row r="1100" spans="2:7" ht="15" customHeight="1" x14ac:dyDescent="0.3">
      <c r="C1100" s="2"/>
      <c r="D1100" s="8">
        <v>2023</v>
      </c>
      <c r="E1100" s="14">
        <f>Data!N1100</f>
        <v>220755000000</v>
      </c>
      <c r="F1100" s="14">
        <f>Data!L1100</f>
        <v>1819945000000</v>
      </c>
      <c r="G1100" s="12">
        <f t="shared" si="17"/>
        <v>0.12129762163142292</v>
      </c>
    </row>
    <row r="1101" spans="2:7" ht="15" customHeight="1" x14ac:dyDescent="0.3">
      <c r="C1101" s="2"/>
      <c r="D1101" s="8">
        <v>2024</v>
      </c>
      <c r="E1101" s="14">
        <f>Data!N1101</f>
        <v>133779000000</v>
      </c>
      <c r="F1101" s="14">
        <f>Data!L1101</f>
        <v>3472261000000</v>
      </c>
      <c r="G1101" s="12">
        <f t="shared" si="17"/>
        <v>3.8527921720170229E-2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Data!N1102</f>
        <v>0</v>
      </c>
      <c r="F1102" s="14">
        <f>Data!L1102</f>
        <v>944266000000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Data!N1103</f>
        <v>468372000000</v>
      </c>
      <c r="F1103" s="14">
        <f>Data!L1103</f>
        <v>1160475000000</v>
      </c>
      <c r="G1103" s="12">
        <f t="shared" si="17"/>
        <v>0.40360369676210173</v>
      </c>
    </row>
    <row r="1104" spans="2:7" ht="15" customHeight="1" x14ac:dyDescent="0.3">
      <c r="C1104" s="2"/>
      <c r="D1104" s="8">
        <v>2016</v>
      </c>
      <c r="E1104" s="14">
        <f>Data!N1104</f>
        <v>483012000000</v>
      </c>
      <c r="F1104" s="14">
        <f>Data!L1104</f>
        <v>1197099000000</v>
      </c>
      <c r="G1104" s="12">
        <f t="shared" si="17"/>
        <v>0.40348542601739706</v>
      </c>
    </row>
    <row r="1105" spans="2:7" ht="15" customHeight="1" x14ac:dyDescent="0.3">
      <c r="C1105" s="2"/>
      <c r="D1105" s="8">
        <v>2017</v>
      </c>
      <c r="E1105" s="14">
        <f>Data!N1105</f>
        <v>567868000000</v>
      </c>
      <c r="F1105" s="14">
        <f>Data!L1105</f>
        <v>10563288000000</v>
      </c>
      <c r="G1105" s="12">
        <f t="shared" si="17"/>
        <v>5.3758640302148344E-2</v>
      </c>
    </row>
    <row r="1106" spans="2:7" ht="15" customHeight="1" x14ac:dyDescent="0.3">
      <c r="C1106" s="2"/>
      <c r="D1106" s="8">
        <v>2018</v>
      </c>
      <c r="E1106" s="14">
        <f>Data!N1106</f>
        <v>556878000000</v>
      </c>
      <c r="F1106" s="14">
        <f>Data!L1106</f>
        <v>24680668000000</v>
      </c>
      <c r="G1106" s="12">
        <f t="shared" si="17"/>
        <v>2.2563327702475475E-2</v>
      </c>
    </row>
    <row r="1107" spans="2:7" ht="15" customHeight="1" x14ac:dyDescent="0.3">
      <c r="C1107" s="2"/>
      <c r="D1107" s="8">
        <v>2019</v>
      </c>
      <c r="E1107" s="14">
        <f>Data!N1107</f>
        <v>757790000000</v>
      </c>
      <c r="F1107" s="14">
        <f>Data!L1107</f>
        <v>28697265000000</v>
      </c>
      <c r="G1107" s="12">
        <f t="shared" si="17"/>
        <v>2.6406349176480756E-2</v>
      </c>
    </row>
    <row r="1108" spans="2:7" ht="15" customHeight="1" x14ac:dyDescent="0.3">
      <c r="C1108" s="2"/>
      <c r="D1108" s="8">
        <v>2020</v>
      </c>
      <c r="E1108" s="14">
        <f>Data!N1108</f>
        <v>892894000000</v>
      </c>
      <c r="F1108" s="14">
        <f>Data!L1108</f>
        <v>29306719000000</v>
      </c>
      <c r="G1108" s="12">
        <f t="shared" si="17"/>
        <v>3.0467211290352906E-2</v>
      </c>
    </row>
    <row r="1109" spans="2:7" ht="15" customHeight="1" x14ac:dyDescent="0.3">
      <c r="C1109" s="2"/>
      <c r="D1109" s="8">
        <v>2021</v>
      </c>
      <c r="E1109" s="14">
        <f>Data!N1109</f>
        <v>187812000000</v>
      </c>
      <c r="F1109" s="14">
        <f>Data!L1109</f>
        <v>26644133000000</v>
      </c>
      <c r="G1109" s="12">
        <f t="shared" si="17"/>
        <v>7.0489064140311867E-3</v>
      </c>
    </row>
    <row r="1110" spans="2:7" ht="15" customHeight="1" x14ac:dyDescent="0.3">
      <c r="C1110" s="2"/>
      <c r="D1110" s="8">
        <v>2022</v>
      </c>
      <c r="E1110" s="14">
        <f>Data!N1110</f>
        <v>353313000000</v>
      </c>
      <c r="F1110" s="14">
        <f>Data!L1110</f>
        <v>21038525000000</v>
      </c>
      <c r="G1110" s="12">
        <f t="shared" si="17"/>
        <v>1.679362027518564E-2</v>
      </c>
    </row>
    <row r="1111" spans="2:7" ht="15" customHeight="1" x14ac:dyDescent="0.3">
      <c r="C1111" s="2"/>
      <c r="D1111" s="8">
        <v>2023</v>
      </c>
      <c r="E1111" s="14">
        <f>Data!N1111</f>
        <v>670161000000</v>
      </c>
      <c r="F1111" s="14">
        <f>Data!L1111</f>
        <v>15214654000000</v>
      </c>
      <c r="G1111" s="12">
        <f t="shared" si="17"/>
        <v>4.4047074616353418E-2</v>
      </c>
    </row>
    <row r="1112" spans="2:7" ht="15" customHeight="1" x14ac:dyDescent="0.3">
      <c r="C1112" s="2"/>
      <c r="D1112" s="8">
        <v>2024</v>
      </c>
      <c r="E1112" s="14">
        <f>Data!N1112</f>
        <v>627880000000</v>
      </c>
      <c r="F1112" s="14">
        <f>Data!L1112</f>
        <v>14635562000000</v>
      </c>
      <c r="G1112" s="12">
        <f t="shared" si="17"/>
        <v>4.2900983235218439E-2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Data!N1113</f>
        <v>0</v>
      </c>
      <c r="F1113" s="14">
        <f>Data!L1113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Data!N1114</f>
        <v>181000000</v>
      </c>
      <c r="F1114" s="14">
        <f>Data!L1114</f>
        <v>7128000000</v>
      </c>
      <c r="G1114" s="12">
        <f t="shared" si="17"/>
        <v>2.5392817059483725E-2</v>
      </c>
    </row>
    <row r="1115" spans="2:7" ht="15" customHeight="1" x14ac:dyDescent="0.3">
      <c r="C1115" s="1"/>
      <c r="D1115" s="8">
        <v>2016</v>
      </c>
      <c r="E1115" s="14">
        <f>Data!N1115</f>
        <v>282000000</v>
      </c>
      <c r="F1115" s="14">
        <f>Data!L1115</f>
        <v>9710000000</v>
      </c>
      <c r="G1115" s="12">
        <f t="shared" si="17"/>
        <v>2.9042224510813595E-2</v>
      </c>
    </row>
    <row r="1116" spans="2:7" ht="15" customHeight="1" x14ac:dyDescent="0.3">
      <c r="C1116" s="1"/>
      <c r="D1116" s="8">
        <v>2017</v>
      </c>
      <c r="E1116" s="14">
        <f>Data!N1116</f>
        <v>-3000000</v>
      </c>
      <c r="F1116" s="14">
        <f>Data!L1116</f>
        <v>12484000000</v>
      </c>
      <c r="G1116" s="12">
        <f t="shared" si="17"/>
        <v>-2.4030759371996156E-4</v>
      </c>
    </row>
    <row r="1117" spans="2:7" ht="15" customHeight="1" x14ac:dyDescent="0.3">
      <c r="C1117" s="1"/>
      <c r="D1117" s="8">
        <v>2018</v>
      </c>
      <c r="E1117" s="14">
        <f>Data!N1117</f>
        <v>-439000000</v>
      </c>
      <c r="F1117" s="14">
        <f>Data!L1117</f>
        <v>12352000000</v>
      </c>
      <c r="G1117" s="12">
        <f t="shared" si="17"/>
        <v>-3.5540803108808292E-2</v>
      </c>
    </row>
    <row r="1118" spans="2:7" ht="15" customHeight="1" x14ac:dyDescent="0.3">
      <c r="C1118" s="1"/>
      <c r="D1118" s="8">
        <v>2019</v>
      </c>
      <c r="E1118" s="14">
        <f>Data!N1118</f>
        <v>-1032000000</v>
      </c>
      <c r="F1118" s="14">
        <f>Data!L1118</f>
        <v>11318000000</v>
      </c>
      <c r="G1118" s="12">
        <f t="shared" si="17"/>
        <v>-9.1182187665665312E-2</v>
      </c>
    </row>
    <row r="1119" spans="2:7" ht="15" customHeight="1" x14ac:dyDescent="0.3">
      <c r="C1119" s="1"/>
      <c r="D1119" s="8">
        <v>2020</v>
      </c>
      <c r="E1119" s="14">
        <f>Data!N1119</f>
        <v>-6227000000</v>
      </c>
      <c r="F1119" s="14">
        <f>Data!L1119</f>
        <v>10014000000</v>
      </c>
      <c r="G1119" s="12">
        <f t="shared" si="17"/>
        <v>-0.62182943878570007</v>
      </c>
    </row>
    <row r="1120" spans="2:7" ht="15" customHeight="1" x14ac:dyDescent="0.3">
      <c r="C1120" s="1"/>
      <c r="D1120" s="8">
        <v>2021</v>
      </c>
      <c r="E1120" s="14">
        <f>Data!N1120</f>
        <v>-1009000000</v>
      </c>
      <c r="F1120" s="14">
        <f>Data!L1120</f>
        <v>10110000000</v>
      </c>
      <c r="G1120" s="12">
        <f t="shared" si="17"/>
        <v>-9.980217606330366E-2</v>
      </c>
    </row>
    <row r="1121" spans="2:7" ht="15" customHeight="1" x14ac:dyDescent="0.3">
      <c r="C1121" s="1"/>
      <c r="D1121" s="8">
        <v>2022</v>
      </c>
      <c r="E1121" s="14">
        <f>Data!N1121</f>
        <v>-1166000000</v>
      </c>
      <c r="F1121" s="14">
        <f>Data!L1121</f>
        <v>10567000000</v>
      </c>
      <c r="G1121" s="12">
        <f t="shared" si="17"/>
        <v>-0.11034352228636321</v>
      </c>
    </row>
    <row r="1122" spans="2:7" ht="15" customHeight="1" x14ac:dyDescent="0.3">
      <c r="C1122" s="1"/>
      <c r="D1122" s="8">
        <v>2023</v>
      </c>
      <c r="E1122" s="14">
        <f>Data!N1122</f>
        <v>-1492000000</v>
      </c>
      <c r="F1122" s="14">
        <f>Data!L1122</f>
        <v>9679000000</v>
      </c>
      <c r="G1122" s="12">
        <f t="shared" si="17"/>
        <v>-0.15414815580121913</v>
      </c>
    </row>
    <row r="1123" spans="2:7" ht="15" customHeight="1" x14ac:dyDescent="0.3">
      <c r="C1123" s="1"/>
      <c r="D1123" s="8">
        <v>2024</v>
      </c>
      <c r="E1123" s="14">
        <f>Data!N1123</f>
        <v>-1852000000</v>
      </c>
      <c r="F1123" s="14">
        <f>Data!L1123</f>
        <v>6996000000</v>
      </c>
      <c r="G1123" s="12">
        <f t="shared" si="17"/>
        <v>-0.26472269868496284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Data!N1124</f>
        <v>0</v>
      </c>
      <c r="F1124" s="14">
        <f>Data!L1124</f>
        <v>31648000000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Data!N1125</f>
        <v>3310000000</v>
      </c>
      <c r="F1125" s="14">
        <f>Data!L1125</f>
        <v>29717000000</v>
      </c>
      <c r="G1125" s="12">
        <f t="shared" si="17"/>
        <v>0.11138405626409126</v>
      </c>
    </row>
    <row r="1126" spans="2:7" ht="15" customHeight="1" x14ac:dyDescent="0.3">
      <c r="C1126" s="2"/>
      <c r="D1126" s="8">
        <v>2016</v>
      </c>
      <c r="E1126" s="14">
        <f>Data!N1126</f>
        <v>6274000000</v>
      </c>
      <c r="F1126" s="14">
        <f>Data!L1126</f>
        <v>31015000000</v>
      </c>
      <c r="G1126" s="12">
        <f t="shared" si="17"/>
        <v>0.20228921489601806</v>
      </c>
    </row>
    <row r="1127" spans="2:7" ht="15" customHeight="1" x14ac:dyDescent="0.3">
      <c r="C1127" s="2"/>
      <c r="D1127" s="8">
        <v>2017</v>
      </c>
      <c r="E1127" s="14">
        <f>Data!N1127</f>
        <v>4681000000</v>
      </c>
      <c r="F1127" s="14">
        <f>Data!L1127</f>
        <v>46665000000</v>
      </c>
      <c r="G1127" s="12">
        <f t="shared" si="17"/>
        <v>0.1003107253830494</v>
      </c>
    </row>
    <row r="1128" spans="2:7" ht="15" customHeight="1" x14ac:dyDescent="0.3">
      <c r="C1128" s="2"/>
      <c r="D1128" s="8">
        <v>2018</v>
      </c>
      <c r="E1128" s="14">
        <f>Data!N1128</f>
        <v>5562000000</v>
      </c>
      <c r="F1128" s="14">
        <f>Data!L1128</f>
        <v>45931000000</v>
      </c>
      <c r="G1128" s="12">
        <f t="shared" si="17"/>
        <v>0.12109468550652065</v>
      </c>
    </row>
    <row r="1129" spans="2:7" ht="15" customHeight="1" x14ac:dyDescent="0.3">
      <c r="C1129" s="2"/>
      <c r="D1129" s="8">
        <v>2019</v>
      </c>
      <c r="E1129" s="14">
        <f>Data!N1129</f>
        <v>6482000000</v>
      </c>
      <c r="F1129" s="14">
        <f>Data!L1129</f>
        <v>61354000000</v>
      </c>
      <c r="G1129" s="12">
        <f t="shared" si="17"/>
        <v>0.10564918342732341</v>
      </c>
    </row>
    <row r="1130" spans="2:7" ht="15" customHeight="1" x14ac:dyDescent="0.3">
      <c r="C1130" s="2"/>
      <c r="D1130" s="8">
        <v>2020</v>
      </c>
      <c r="E1130" s="14">
        <f>Data!N1130</f>
        <v>19752000000</v>
      </c>
      <c r="F1130" s="14">
        <f>Data!L1130</f>
        <v>754994000000</v>
      </c>
      <c r="G1130" s="12">
        <f t="shared" si="17"/>
        <v>2.6161797312296522E-2</v>
      </c>
    </row>
    <row r="1131" spans="2:7" ht="15" customHeight="1" x14ac:dyDescent="0.3">
      <c r="C1131" s="2"/>
      <c r="D1131" s="8">
        <v>2021</v>
      </c>
      <c r="E1131" s="14">
        <f>Data!N1131</f>
        <v>-18953000000</v>
      </c>
      <c r="F1131" s="14">
        <f>Data!L1131</f>
        <v>791781000000</v>
      </c>
      <c r="G1131" s="12">
        <f t="shared" si="17"/>
        <v>-2.3937174547002265E-2</v>
      </c>
    </row>
    <row r="1132" spans="2:7" ht="15" customHeight="1" x14ac:dyDescent="0.3">
      <c r="C1132" s="2"/>
      <c r="D1132" s="8">
        <v>2022</v>
      </c>
      <c r="E1132" s="14">
        <f>Data!N1132</f>
        <v>11119000000</v>
      </c>
      <c r="F1132" s="14">
        <f>Data!L1132</f>
        <v>203056000000</v>
      </c>
      <c r="G1132" s="12">
        <f t="shared" si="17"/>
        <v>5.4758293278701443E-2</v>
      </c>
    </row>
    <row r="1133" spans="2:7" ht="15" customHeight="1" x14ac:dyDescent="0.3">
      <c r="C1133" s="2"/>
      <c r="D1133" s="8">
        <v>2023</v>
      </c>
      <c r="E1133" s="14">
        <f>Data!N1133</f>
        <v>-2255000000</v>
      </c>
      <c r="F1133" s="14">
        <f>Data!L1133</f>
        <v>439398000000</v>
      </c>
      <c r="G1133" s="12">
        <f t="shared" si="17"/>
        <v>-5.132021538559575E-3</v>
      </c>
    </row>
    <row r="1134" spans="2:7" ht="15" customHeight="1" x14ac:dyDescent="0.3">
      <c r="C1134" s="2"/>
      <c r="D1134" s="8">
        <v>2024</v>
      </c>
      <c r="E1134" s="14">
        <f>Data!N1134</f>
        <v>10968000000</v>
      </c>
      <c r="F1134" s="14">
        <f>Data!L1134</f>
        <v>226828000000</v>
      </c>
      <c r="G1134" s="12">
        <f t="shared" si="17"/>
        <v>4.8353818752534958E-2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Data!N1135</f>
        <v>0</v>
      </c>
      <c r="F1135" s="14">
        <f>Data!L1135</f>
        <v>195864000000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Data!N1136</f>
        <v>75614000000</v>
      </c>
      <c r="F1136" s="14">
        <f>Data!L1136</f>
        <v>235820000000</v>
      </c>
      <c r="G1136" s="12">
        <f t="shared" si="17"/>
        <v>0.32064286320074631</v>
      </c>
    </row>
    <row r="1137" spans="2:7" ht="15" customHeight="1" x14ac:dyDescent="0.3">
      <c r="C1137" s="2"/>
      <c r="D1137" s="8">
        <v>2016</v>
      </c>
      <c r="E1137" s="14">
        <f>Data!N1137</f>
        <v>69254000000</v>
      </c>
      <c r="F1137" s="14">
        <f>Data!L1137</f>
        <v>243122000000</v>
      </c>
      <c r="G1137" s="12">
        <f t="shared" si="17"/>
        <v>0.28485287222053124</v>
      </c>
    </row>
    <row r="1138" spans="2:7" ht="15" customHeight="1" x14ac:dyDescent="0.3">
      <c r="C1138" s="2"/>
      <c r="D1138" s="8">
        <v>2017</v>
      </c>
      <c r="E1138" s="14">
        <f>Data!N1138</f>
        <v>91177000000</v>
      </c>
      <c r="F1138" s="14">
        <f>Data!L1138</f>
        <v>246408000000</v>
      </c>
      <c r="G1138" s="12">
        <f t="shared" si="17"/>
        <v>0.37002451219116261</v>
      </c>
    </row>
    <row r="1139" spans="2:7" ht="15" customHeight="1" x14ac:dyDescent="0.3">
      <c r="C1139" s="2"/>
      <c r="D1139" s="8">
        <v>2018</v>
      </c>
      <c r="E1139" s="14">
        <f>Data!N1139</f>
        <v>76205000000</v>
      </c>
      <c r="F1139" s="14">
        <f>Data!L1139</f>
        <v>259888000000</v>
      </c>
      <c r="G1139" s="12">
        <f t="shared" si="17"/>
        <v>0.29322246506187283</v>
      </c>
    </row>
    <row r="1140" spans="2:7" ht="15" customHeight="1" x14ac:dyDescent="0.3">
      <c r="C1140" s="2"/>
      <c r="D1140" s="8">
        <v>2019</v>
      </c>
      <c r="E1140" s="14">
        <f>Data!N1140</f>
        <v>79859000000</v>
      </c>
      <c r="F1140" s="14">
        <f>Data!L1140</f>
        <v>250678000000</v>
      </c>
      <c r="G1140" s="12">
        <f t="shared" si="17"/>
        <v>0.31857203264746009</v>
      </c>
    </row>
    <row r="1141" spans="2:7" ht="15" customHeight="1" x14ac:dyDescent="0.3">
      <c r="C1141" s="2"/>
      <c r="D1141" s="8">
        <v>2020</v>
      </c>
      <c r="E1141" s="14">
        <f>Data!N1141</f>
        <v>92901000000</v>
      </c>
      <c r="F1141" s="14">
        <f>Data!L1141</f>
        <v>184417000000</v>
      </c>
      <c r="G1141" s="12">
        <f t="shared" si="17"/>
        <v>0.50375507680962173</v>
      </c>
    </row>
    <row r="1142" spans="2:7" ht="15" customHeight="1" x14ac:dyDescent="0.3">
      <c r="C1142" s="2"/>
      <c r="D1142" s="8">
        <v>2021</v>
      </c>
      <c r="E1142" s="14">
        <f>Data!N1142</f>
        <v>45634000000</v>
      </c>
      <c r="F1142" s="14">
        <f>Data!L1142</f>
        <v>118413000000</v>
      </c>
      <c r="G1142" s="12">
        <f t="shared" si="17"/>
        <v>0.3853799836166637</v>
      </c>
    </row>
    <row r="1143" spans="2:7" ht="15" customHeight="1" x14ac:dyDescent="0.3">
      <c r="C1143" s="2"/>
      <c r="D1143" s="8">
        <v>2022</v>
      </c>
      <c r="E1143" s="14">
        <f>Data!N1143</f>
        <v>33533000000</v>
      </c>
      <c r="F1143" s="14">
        <f>Data!L1143</f>
        <v>105315000000</v>
      </c>
      <c r="G1143" s="12">
        <f t="shared" si="17"/>
        <v>0.31840668470778144</v>
      </c>
    </row>
    <row r="1144" spans="2:7" ht="15" customHeight="1" x14ac:dyDescent="0.3">
      <c r="C1144" s="2"/>
      <c r="D1144" s="8">
        <v>2023</v>
      </c>
      <c r="E1144" s="14">
        <f>Data!N1144</f>
        <v>40962000000</v>
      </c>
      <c r="F1144" s="14">
        <f>Data!L1144</f>
        <v>140448000000</v>
      </c>
      <c r="G1144" s="12">
        <f t="shared" si="17"/>
        <v>0.29165242652084755</v>
      </c>
    </row>
    <row r="1145" spans="2:7" ht="15" customHeight="1" x14ac:dyDescent="0.3">
      <c r="C1145" s="2"/>
      <c r="D1145" s="8">
        <v>2024</v>
      </c>
      <c r="E1145" s="14">
        <f>Data!N1145</f>
        <v>57498000000</v>
      </c>
      <c r="F1145" s="14">
        <f>Data!L1145</f>
        <v>181654000000</v>
      </c>
      <c r="G1145" s="12">
        <f t="shared" si="17"/>
        <v>0.31652482191418851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Data!N1146</f>
        <v>0</v>
      </c>
      <c r="F1146" s="14">
        <f>Data!L1146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Data!N1147</f>
        <v>0</v>
      </c>
      <c r="F1147" s="14">
        <f>Data!L1147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Data!N1148</f>
        <v>-29418000000</v>
      </c>
      <c r="F1148" s="14">
        <f>Data!L1148</f>
        <v>55701000000</v>
      </c>
      <c r="G1148" s="12">
        <f t="shared" si="17"/>
        <v>-0.52814132600850971</v>
      </c>
    </row>
    <row r="1149" spans="2:7" ht="15" customHeight="1" x14ac:dyDescent="0.3">
      <c r="C1149" s="1"/>
      <c r="D1149" s="8">
        <v>2017</v>
      </c>
      <c r="E1149" s="14">
        <f>Data!N1149</f>
        <v>-4168000000</v>
      </c>
      <c r="F1149" s="14">
        <f>Data!L1149</f>
        <v>28499000000</v>
      </c>
      <c r="G1149" s="12">
        <f t="shared" si="17"/>
        <v>-0.14625074564019791</v>
      </c>
    </row>
    <row r="1150" spans="2:7" ht="15" customHeight="1" x14ac:dyDescent="0.3">
      <c r="C1150" s="1"/>
      <c r="D1150" s="8">
        <v>2018</v>
      </c>
      <c r="E1150" s="14">
        <f>Data!N1150</f>
        <v>1444000000</v>
      </c>
      <c r="F1150" s="14">
        <f>Data!L1150</f>
        <v>11549000000</v>
      </c>
      <c r="G1150" s="12">
        <f t="shared" si="17"/>
        <v>0.1250324703437527</v>
      </c>
    </row>
    <row r="1151" spans="2:7" ht="15" customHeight="1" x14ac:dyDescent="0.3">
      <c r="C1151" s="1"/>
      <c r="D1151" s="8">
        <v>2019</v>
      </c>
      <c r="E1151" s="14">
        <f>Data!N1151</f>
        <v>1055000000</v>
      </c>
      <c r="F1151" s="14">
        <f>Data!L1151</f>
        <v>22581000000</v>
      </c>
      <c r="G1151" s="12">
        <f t="shared" si="17"/>
        <v>4.6720694389088172E-2</v>
      </c>
    </row>
    <row r="1152" spans="2:7" ht="15" customHeight="1" x14ac:dyDescent="0.3">
      <c r="C1152" s="1"/>
      <c r="D1152" s="8">
        <v>2020</v>
      </c>
      <c r="E1152" s="14">
        <f>Data!N1152</f>
        <v>3485000000</v>
      </c>
      <c r="F1152" s="14">
        <f>Data!L1152</f>
        <v>31534000000</v>
      </c>
      <c r="G1152" s="12">
        <f t="shared" si="17"/>
        <v>0.11051563391894463</v>
      </c>
    </row>
    <row r="1153" spans="2:7" ht="15" customHeight="1" x14ac:dyDescent="0.3">
      <c r="C1153" s="1"/>
      <c r="D1153" s="8">
        <v>2021</v>
      </c>
      <c r="E1153" s="14">
        <f>Data!N1153</f>
        <v>2610000000</v>
      </c>
      <c r="F1153" s="14">
        <f>Data!L1153</f>
        <v>52735000000</v>
      </c>
      <c r="G1153" s="12">
        <f t="shared" si="17"/>
        <v>4.949274675263108E-2</v>
      </c>
    </row>
    <row r="1154" spans="2:7" ht="15" customHeight="1" x14ac:dyDescent="0.3">
      <c r="C1154" s="1"/>
      <c r="D1154" s="8">
        <v>2022</v>
      </c>
      <c r="E1154" s="14">
        <f>Data!N1154</f>
        <v>8854000000</v>
      </c>
      <c r="F1154" s="14">
        <f>Data!L1154</f>
        <v>86671000000</v>
      </c>
      <c r="G1154" s="12">
        <f t="shared" si="17"/>
        <v>0.10215643064000646</v>
      </c>
    </row>
    <row r="1155" spans="2:7" ht="15" customHeight="1" x14ac:dyDescent="0.3">
      <c r="C1155" s="1"/>
      <c r="D1155" s="8">
        <v>2023</v>
      </c>
      <c r="E1155" s="14">
        <f>Data!N1155</f>
        <v>10394000000</v>
      </c>
      <c r="F1155" s="14">
        <f>Data!L1155</f>
        <v>94953000000</v>
      </c>
      <c r="G1155" s="12">
        <f t="shared" ref="G1155:G1218" si="18">IFERROR(E1155/F1155,0)</f>
        <v>0.109464682527145</v>
      </c>
    </row>
    <row r="1156" spans="2:7" ht="15" customHeight="1" x14ac:dyDescent="0.3">
      <c r="C1156" s="1"/>
      <c r="D1156" s="8">
        <v>2024</v>
      </c>
      <c r="E1156" s="14">
        <f>Data!N1156</f>
        <v>4121000000</v>
      </c>
      <c r="F1156" s="14">
        <f>Data!L1156</f>
        <v>91172000000</v>
      </c>
      <c r="G1156" s="12">
        <f t="shared" si="18"/>
        <v>4.520028078796122E-2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Data!N1157</f>
        <v>0</v>
      </c>
      <c r="F1157" s="14">
        <f>Data!L1157</f>
        <v>471337000000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Data!N1158</f>
        <v>164603000000</v>
      </c>
      <c r="F1158" s="14">
        <f>Data!L1158</f>
        <v>541270000000</v>
      </c>
      <c r="G1158" s="12">
        <f t="shared" si="18"/>
        <v>0.30410516008646332</v>
      </c>
    </row>
    <row r="1159" spans="2:7" ht="15" customHeight="1" x14ac:dyDescent="0.3">
      <c r="C1159" s="2"/>
      <c r="D1159" s="8">
        <v>2016</v>
      </c>
      <c r="E1159" s="14">
        <f>Data!N1159</f>
        <v>93641000000</v>
      </c>
      <c r="F1159" s="14">
        <f>Data!L1159</f>
        <v>553097000000</v>
      </c>
      <c r="G1159" s="12">
        <f t="shared" si="18"/>
        <v>0.169303033645093</v>
      </c>
    </row>
    <row r="1160" spans="2:7" ht="15" customHeight="1" x14ac:dyDescent="0.3">
      <c r="C1160" s="2"/>
      <c r="D1160" s="8">
        <v>2017</v>
      </c>
      <c r="E1160" s="14">
        <f>Data!N1160</f>
        <v>119205000000</v>
      </c>
      <c r="F1160" s="14">
        <f>Data!L1160</f>
        <v>594731000000</v>
      </c>
      <c r="G1160" s="12">
        <f t="shared" si="18"/>
        <v>0.20043515471700651</v>
      </c>
    </row>
    <row r="1161" spans="2:7" ht="15" customHeight="1" x14ac:dyDescent="0.3">
      <c r="C1161" s="2"/>
      <c r="D1161" s="8">
        <v>2018</v>
      </c>
      <c r="E1161" s="14">
        <f>Data!N1161</f>
        <v>129975000000</v>
      </c>
      <c r="F1161" s="14">
        <f>Data!L1161</f>
        <v>683018000000</v>
      </c>
      <c r="G1161" s="12">
        <f t="shared" si="18"/>
        <v>0.19029513131425527</v>
      </c>
    </row>
    <row r="1162" spans="2:7" ht="15" customHeight="1" x14ac:dyDescent="0.3">
      <c r="C1162" s="2"/>
      <c r="D1162" s="8">
        <v>2019</v>
      </c>
      <c r="E1162" s="14">
        <f>Data!N1162</f>
        <v>155313000000</v>
      </c>
      <c r="F1162" s="14">
        <f>Data!L1162</f>
        <v>789392000000</v>
      </c>
      <c r="G1162" s="12">
        <f t="shared" si="18"/>
        <v>0.19675015708291951</v>
      </c>
    </row>
    <row r="1163" spans="2:7" ht="15" customHeight="1" x14ac:dyDescent="0.3">
      <c r="C1163" s="2"/>
      <c r="D1163" s="8">
        <v>2020</v>
      </c>
      <c r="E1163" s="14">
        <f>Data!N1163</f>
        <v>189874000000</v>
      </c>
      <c r="F1163" s="14">
        <f>Data!L1163</f>
        <v>833186000000</v>
      </c>
      <c r="G1163" s="12">
        <f t="shared" si="18"/>
        <v>0.22788909079125189</v>
      </c>
    </row>
    <row r="1164" spans="2:7" ht="15" customHeight="1" x14ac:dyDescent="0.3">
      <c r="C1164" s="2"/>
      <c r="D1164" s="8">
        <v>2021</v>
      </c>
      <c r="E1164" s="14">
        <f>Data!N1164</f>
        <v>224323000000</v>
      </c>
      <c r="F1164" s="14">
        <f>Data!L1164</f>
        <v>954234000000</v>
      </c>
      <c r="G1164" s="12">
        <f t="shared" si="18"/>
        <v>0.23508175143623053</v>
      </c>
    </row>
    <row r="1165" spans="2:7" ht="15" customHeight="1" x14ac:dyDescent="0.3">
      <c r="C1165" s="2"/>
      <c r="D1165" s="8">
        <v>2022</v>
      </c>
      <c r="E1165" s="14">
        <f>Data!N1165</f>
        <v>264949000000</v>
      </c>
      <c r="F1165" s="14">
        <f>Data!L1165</f>
        <v>1053595000000</v>
      </c>
      <c r="G1165" s="12">
        <f t="shared" si="18"/>
        <v>0.25147139080956155</v>
      </c>
    </row>
    <row r="1166" spans="2:7" ht="15" customHeight="1" x14ac:dyDescent="0.3">
      <c r="C1166" s="2"/>
      <c r="D1166" s="8">
        <v>2023</v>
      </c>
      <c r="E1166" s="14">
        <f>Data!N1166</f>
        <v>242841000000</v>
      </c>
      <c r="F1166" s="14">
        <f>Data!L1166</f>
        <v>1034778000000</v>
      </c>
      <c r="G1166" s="12">
        <f t="shared" si="18"/>
        <v>0.2346793225213524</v>
      </c>
    </row>
    <row r="1167" spans="2:7" ht="15" customHeight="1" x14ac:dyDescent="0.3">
      <c r="C1167" s="2"/>
      <c r="D1167" s="8">
        <v>2024</v>
      </c>
      <c r="E1167" s="14">
        <f>Data!N1167</f>
        <v>296676000000</v>
      </c>
      <c r="F1167" s="14">
        <f>Data!L1167</f>
        <v>1086283000000</v>
      </c>
      <c r="G1167" s="12">
        <f t="shared" si="18"/>
        <v>0.27311115059335367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Data!N1168</f>
        <v>0</v>
      </c>
      <c r="F1168" s="14">
        <f>Data!L1168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Data!N1169</f>
        <v>0</v>
      </c>
      <c r="F1169" s="14">
        <f>Data!L1169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Data!N1170</f>
        <v>0</v>
      </c>
      <c r="F1170" s="14">
        <f>Data!L1170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Data!N1171</f>
        <v>0</v>
      </c>
      <c r="F1171" s="14">
        <f>Data!L1171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Data!N1172</f>
        <v>0</v>
      </c>
      <c r="F1172" s="14">
        <f>Data!L1172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Data!N1173</f>
        <v>-7150000000</v>
      </c>
      <c r="F1173" s="14">
        <f>Data!L1173</f>
        <v>28800000000</v>
      </c>
      <c r="G1173" s="12">
        <f t="shared" si="18"/>
        <v>-0.2482638888888889</v>
      </c>
    </row>
    <row r="1174" spans="2:7" ht="15" customHeight="1" x14ac:dyDescent="0.3">
      <c r="C1174" s="2"/>
      <c r="D1174" s="8">
        <v>2020</v>
      </c>
      <c r="E1174" s="14">
        <f>Data!N1174</f>
        <v>14976000000</v>
      </c>
      <c r="F1174" s="14">
        <f>Data!L1174</f>
        <v>133950000000</v>
      </c>
      <c r="G1174" s="12">
        <f t="shared" si="18"/>
        <v>0.11180291153415453</v>
      </c>
    </row>
    <row r="1175" spans="2:7" ht="15" customHeight="1" x14ac:dyDescent="0.3">
      <c r="C1175" s="2"/>
      <c r="D1175" s="8">
        <v>2021</v>
      </c>
      <c r="E1175" s="14">
        <f>Data!N1175</f>
        <v>19343000000</v>
      </c>
      <c r="F1175" s="14">
        <f>Data!L1175</f>
        <v>222333000000</v>
      </c>
      <c r="G1175" s="12">
        <f t="shared" si="18"/>
        <v>8.700013043497816E-2</v>
      </c>
    </row>
    <row r="1176" spans="2:7" ht="15" customHeight="1" x14ac:dyDescent="0.3">
      <c r="C1176" s="2"/>
      <c r="D1176" s="8">
        <v>2022</v>
      </c>
      <c r="E1176" s="14">
        <f>Data!N1176</f>
        <v>23678000000</v>
      </c>
      <c r="F1176" s="14">
        <f>Data!L1176</f>
        <v>319080000000</v>
      </c>
      <c r="G1176" s="12">
        <f t="shared" si="18"/>
        <v>7.4207095399272907E-2</v>
      </c>
    </row>
    <row r="1177" spans="2:7" ht="15" customHeight="1" x14ac:dyDescent="0.3">
      <c r="C1177" s="2"/>
      <c r="D1177" s="8">
        <v>2023</v>
      </c>
      <c r="E1177" s="14">
        <f>Data!N1177</f>
        <v>65325000000</v>
      </c>
      <c r="F1177" s="14">
        <f>Data!L1177</f>
        <v>385445000000</v>
      </c>
      <c r="G1177" s="12">
        <f t="shared" si="18"/>
        <v>0.16947943286331382</v>
      </c>
    </row>
    <row r="1178" spans="2:7" ht="15" customHeight="1" x14ac:dyDescent="0.3">
      <c r="C1178" s="2"/>
      <c r="D1178" s="8">
        <v>2024</v>
      </c>
      <c r="E1178" s="14">
        <f>Data!N1178</f>
        <v>75079000000</v>
      </c>
      <c r="F1178" s="14">
        <f>Data!L1178</f>
        <v>441060000000</v>
      </c>
      <c r="G1178" s="12">
        <f t="shared" si="18"/>
        <v>0.17022400580419897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Data!N1179</f>
        <v>0</v>
      </c>
      <c r="F1179" s="14">
        <f>Data!L1179</f>
        <v>326122000000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Data!N1180</f>
        <v>130435000000</v>
      </c>
      <c r="F1180" s="14">
        <f>Data!L1180</f>
        <v>329295000000</v>
      </c>
      <c r="G1180" s="12">
        <f t="shared" si="18"/>
        <v>0.39610379750679481</v>
      </c>
    </row>
    <row r="1181" spans="2:7" ht="15" customHeight="1" x14ac:dyDescent="0.3">
      <c r="C1181" s="1"/>
      <c r="D1181" s="8">
        <v>2016</v>
      </c>
      <c r="E1181" s="14">
        <f>Data!N1181</f>
        <v>25738000000</v>
      </c>
      <c r="F1181" s="14">
        <f>Data!L1181</f>
        <v>296642000000</v>
      </c>
      <c r="G1181" s="12">
        <f t="shared" si="18"/>
        <v>8.6764517499207799E-2</v>
      </c>
    </row>
    <row r="1182" spans="2:7" ht="15" customHeight="1" x14ac:dyDescent="0.3">
      <c r="C1182" s="1"/>
      <c r="D1182" s="8">
        <v>2017</v>
      </c>
      <c r="E1182" s="14">
        <f>Data!N1182</f>
        <v>34230000000</v>
      </c>
      <c r="F1182" s="14">
        <f>Data!L1182</f>
        <v>282671000000</v>
      </c>
      <c r="G1182" s="12">
        <f t="shared" si="18"/>
        <v>0.1210948417064361</v>
      </c>
    </row>
    <row r="1183" spans="2:7" ht="15" customHeight="1" x14ac:dyDescent="0.3">
      <c r="C1183" s="1"/>
      <c r="D1183" s="8">
        <v>2018</v>
      </c>
      <c r="E1183" s="14">
        <f>Data!N1183</f>
        <v>34927000000</v>
      </c>
      <c r="F1183" s="14">
        <f>Data!L1183</f>
        <v>301445000000</v>
      </c>
      <c r="G1183" s="12">
        <f t="shared" si="18"/>
        <v>0.11586524905040721</v>
      </c>
    </row>
    <row r="1184" spans="2:7" ht="15" customHeight="1" x14ac:dyDescent="0.3">
      <c r="C1184" s="1"/>
      <c r="D1184" s="8">
        <v>2019</v>
      </c>
      <c r="E1184" s="14">
        <f>Data!N1184</f>
        <v>48455000000</v>
      </c>
      <c r="F1184" s="14">
        <f>Data!L1184</f>
        <v>318724000000</v>
      </c>
      <c r="G1184" s="12">
        <f t="shared" si="18"/>
        <v>0.15202808699690015</v>
      </c>
    </row>
    <row r="1185" spans="2:7" ht="15" customHeight="1" x14ac:dyDescent="0.3">
      <c r="C1185" s="1"/>
      <c r="D1185" s="8">
        <v>2020</v>
      </c>
      <c r="E1185" s="14">
        <f>Data!N1185</f>
        <v>35108000000</v>
      </c>
      <c r="F1185" s="14">
        <f>Data!L1185</f>
        <v>295210000000</v>
      </c>
      <c r="G1185" s="12">
        <f t="shared" si="18"/>
        <v>0.11892551065343315</v>
      </c>
    </row>
    <row r="1186" spans="2:7" ht="15" customHeight="1" x14ac:dyDescent="0.3">
      <c r="C1186" s="1"/>
      <c r="D1186" s="8">
        <v>2021</v>
      </c>
      <c r="E1186" s="14">
        <f>Data!N1186</f>
        <v>55620000000</v>
      </c>
      <c r="F1186" s="14">
        <f>Data!L1186</f>
        <v>375861000000</v>
      </c>
      <c r="G1186" s="12">
        <f t="shared" si="18"/>
        <v>0.14798023737498703</v>
      </c>
    </row>
    <row r="1187" spans="2:7" ht="15" customHeight="1" x14ac:dyDescent="0.3">
      <c r="C1187" s="1"/>
      <c r="D1187" s="8">
        <v>2022</v>
      </c>
      <c r="E1187" s="14">
        <f>Data!N1187</f>
        <v>77227000000</v>
      </c>
      <c r="F1187" s="14">
        <f>Data!L1187</f>
        <v>398799000000</v>
      </c>
      <c r="G1187" s="12">
        <f t="shared" si="18"/>
        <v>0.19364893091507251</v>
      </c>
    </row>
    <row r="1188" spans="2:7" ht="15" customHeight="1" x14ac:dyDescent="0.3">
      <c r="C1188" s="1"/>
      <c r="D1188" s="8">
        <v>2023</v>
      </c>
      <c r="E1188" s="14">
        <f>Data!N1188</f>
        <v>113831000000</v>
      </c>
      <c r="F1188" s="14">
        <f>Data!L1188</f>
        <v>527060000000</v>
      </c>
      <c r="G1188" s="12">
        <f t="shared" si="18"/>
        <v>0.2159735134519789</v>
      </c>
    </row>
    <row r="1189" spans="2:7" ht="15" customHeight="1" x14ac:dyDescent="0.3">
      <c r="C1189" s="1"/>
      <c r="D1189" s="8">
        <v>2024</v>
      </c>
      <c r="E1189" s="14">
        <f>Data!N1189</f>
        <v>115420000000</v>
      </c>
      <c r="F1189" s="14">
        <f>Data!L1189</f>
        <v>775061000000</v>
      </c>
      <c r="G1189" s="12">
        <f t="shared" si="18"/>
        <v>0.14891731102455161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Data!N1190</f>
        <v>0</v>
      </c>
      <c r="F1190" s="14">
        <f>Data!L1190</f>
        <v>614807000000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Data!N1202</f>
        <v>44111000000</v>
      </c>
      <c r="F1191" s="14">
        <f>Data!L1202</f>
        <v>292695000000</v>
      </c>
      <c r="G1191" s="12">
        <f t="shared" si="18"/>
        <v>0.15070636669570714</v>
      </c>
    </row>
    <row r="1192" spans="2:7" ht="15" customHeight="1" x14ac:dyDescent="0.3">
      <c r="C1192" s="2"/>
      <c r="D1192" s="8">
        <v>2016</v>
      </c>
      <c r="E1192" s="14">
        <f>Data!N1203</f>
        <v>52121000000</v>
      </c>
      <c r="F1192" s="14">
        <f>Data!L1203</f>
        <v>384662000000</v>
      </c>
      <c r="G1192" s="12">
        <f t="shared" si="18"/>
        <v>0.13549817762087235</v>
      </c>
    </row>
    <row r="1193" spans="2:7" ht="15" customHeight="1" x14ac:dyDescent="0.3">
      <c r="C1193" s="2"/>
      <c r="D1193" s="8">
        <v>2017</v>
      </c>
      <c r="E1193" s="14">
        <f>Data!N1193</f>
        <v>285370000000</v>
      </c>
      <c r="F1193" s="14">
        <f>Data!L1193</f>
        <v>692206000000</v>
      </c>
      <c r="G1193" s="12">
        <f t="shared" si="18"/>
        <v>0.41226166776942125</v>
      </c>
    </row>
    <row r="1194" spans="2:7" ht="15" customHeight="1" x14ac:dyDescent="0.3">
      <c r="C1194" s="2"/>
      <c r="D1194" s="8">
        <v>2018</v>
      </c>
      <c r="E1194" s="14">
        <f>Data!N1194</f>
        <v>226922000000</v>
      </c>
      <c r="F1194" s="14">
        <f>Data!L1194</f>
        <v>794417000000</v>
      </c>
      <c r="G1194" s="12">
        <f t="shared" si="18"/>
        <v>0.28564595168532397</v>
      </c>
    </row>
    <row r="1195" spans="2:7" ht="15" customHeight="1" x14ac:dyDescent="0.3">
      <c r="C1195" s="2"/>
      <c r="D1195" s="8">
        <v>2019</v>
      </c>
      <c r="E1195" s="14">
        <f>Data!N1195</f>
        <v>340899000000</v>
      </c>
      <c r="F1195" s="14">
        <f>Data!L1195</f>
        <v>859742000000</v>
      </c>
      <c r="G1195" s="12">
        <f t="shared" si="18"/>
        <v>0.39651313998850818</v>
      </c>
    </row>
    <row r="1196" spans="2:7" ht="15" customHeight="1" x14ac:dyDescent="0.3">
      <c r="C1196" s="2"/>
      <c r="D1196" s="8">
        <v>2020</v>
      </c>
      <c r="E1196" s="14">
        <f>Data!N1196</f>
        <v>244847000000</v>
      </c>
      <c r="F1196" s="14">
        <f>Data!L1196</f>
        <v>717074000000</v>
      </c>
      <c r="G1196" s="12">
        <f t="shared" si="18"/>
        <v>0.34145290444221937</v>
      </c>
    </row>
    <row r="1197" spans="2:7" ht="15" customHeight="1" x14ac:dyDescent="0.3">
      <c r="C1197" s="2"/>
      <c r="D1197" s="8">
        <v>2021</v>
      </c>
      <c r="E1197" s="14">
        <f>Data!N1197</f>
        <v>245397000000</v>
      </c>
      <c r="F1197" s="14">
        <f>Data!L1197</f>
        <v>892366000000</v>
      </c>
      <c r="G1197" s="12">
        <f t="shared" si="18"/>
        <v>0.27499590975003529</v>
      </c>
    </row>
    <row r="1198" spans="2:7" ht="15" customHeight="1" x14ac:dyDescent="0.3">
      <c r="C1198" s="2"/>
      <c r="D1198" s="8">
        <v>2022</v>
      </c>
      <c r="E1198" s="14">
        <f>Data!N1198</f>
        <v>397450000000</v>
      </c>
      <c r="F1198" s="14">
        <f>Data!L1198</f>
        <v>1054437000000</v>
      </c>
      <c r="G1198" s="12">
        <f t="shared" si="18"/>
        <v>0.37693100678371488</v>
      </c>
    </row>
    <row r="1199" spans="2:7" ht="15" customHeight="1" x14ac:dyDescent="0.3">
      <c r="C1199" s="2"/>
      <c r="D1199" s="8">
        <v>2023</v>
      </c>
      <c r="E1199" s="14">
        <f>Data!N1199</f>
        <v>1236532000000</v>
      </c>
      <c r="F1199" s="14">
        <f>Data!L1199</f>
        <v>1150683000000</v>
      </c>
      <c r="G1199" s="12">
        <f t="shared" si="18"/>
        <v>1.0746069942807881</v>
      </c>
    </row>
    <row r="1200" spans="2:7" ht="15" customHeight="1" x14ac:dyDescent="0.3">
      <c r="C1200" s="2"/>
      <c r="D1200" s="8">
        <v>2024</v>
      </c>
      <c r="E1200" s="14">
        <f>Data!N1200</f>
        <v>646662000000</v>
      </c>
      <c r="F1200" s="14">
        <f>Data!L1200</f>
        <v>1390357000000</v>
      </c>
      <c r="G1200" s="12">
        <f t="shared" si="18"/>
        <v>0.46510500540508659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Data!N1201</f>
        <v>0</v>
      </c>
      <c r="F1201" s="14">
        <f>Data!L1201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 t="e">
        <f>Data!#REF!</f>
        <v>#REF!</v>
      </c>
      <c r="F1202" s="14" t="e">
        <f>Data!#REF!</f>
        <v>#REF!</v>
      </c>
      <c r="G1202" s="12">
        <f t="shared" si="18"/>
        <v>0</v>
      </c>
    </row>
    <row r="1203" spans="2:7" ht="15" customHeight="1" x14ac:dyDescent="0.3">
      <c r="C1203" s="2"/>
      <c r="D1203" s="8">
        <v>2016</v>
      </c>
      <c r="E1203" s="14" t="e">
        <f>Data!#REF!</f>
        <v>#REF!</v>
      </c>
      <c r="F1203" s="14" t="e">
        <f>Data!#REF!</f>
        <v>#REF!</v>
      </c>
      <c r="G1203" s="12">
        <f t="shared" si="18"/>
        <v>0</v>
      </c>
    </row>
    <row r="1204" spans="2:7" ht="15" customHeight="1" x14ac:dyDescent="0.3">
      <c r="C1204" s="2"/>
      <c r="D1204" s="8">
        <v>2017</v>
      </c>
      <c r="E1204" s="14">
        <f>Data!N1204</f>
        <v>71954000000</v>
      </c>
      <c r="F1204" s="14">
        <f>Data!L1204</f>
        <v>518125000000</v>
      </c>
      <c r="G1204" s="12">
        <f t="shared" si="18"/>
        <v>0.13887382388419783</v>
      </c>
    </row>
    <row r="1205" spans="2:7" ht="15" customHeight="1" x14ac:dyDescent="0.3">
      <c r="C1205" s="2"/>
      <c r="D1205" s="8">
        <v>2018</v>
      </c>
      <c r="E1205" s="14">
        <f>Data!N1205</f>
        <v>79972000000</v>
      </c>
      <c r="F1205" s="14">
        <f>Data!L1205</f>
        <v>612956000000</v>
      </c>
      <c r="G1205" s="12">
        <f t="shared" si="18"/>
        <v>0.13046939747714353</v>
      </c>
    </row>
    <row r="1206" spans="2:7" ht="15" customHeight="1" x14ac:dyDescent="0.3">
      <c r="C1206" s="2"/>
      <c r="D1206" s="8">
        <v>2019</v>
      </c>
      <c r="E1206" s="14">
        <f>Data!N1206</f>
        <v>138922000000</v>
      </c>
      <c r="F1206" s="14">
        <f>Data!L1206</f>
        <v>727676000000</v>
      </c>
      <c r="G1206" s="12">
        <f t="shared" si="18"/>
        <v>0.19091188935735134</v>
      </c>
    </row>
    <row r="1207" spans="2:7" ht="15" customHeight="1" x14ac:dyDescent="0.3">
      <c r="C1207" s="2"/>
      <c r="D1207" s="8">
        <v>2020</v>
      </c>
      <c r="E1207" s="14">
        <f>Data!N1207</f>
        <v>137862000000</v>
      </c>
      <c r="F1207" s="14">
        <f>Data!L1207</f>
        <v>672488000000</v>
      </c>
      <c r="G1207" s="12">
        <f t="shared" si="18"/>
        <v>0.2050029145501481</v>
      </c>
    </row>
    <row r="1208" spans="2:7" ht="15" customHeight="1" x14ac:dyDescent="0.3">
      <c r="C1208" s="2"/>
      <c r="D1208" s="8">
        <v>2021</v>
      </c>
      <c r="E1208" s="14">
        <f>Data!N1208</f>
        <v>126664000000</v>
      </c>
      <c r="F1208" s="14">
        <f>Data!L1208</f>
        <v>631796000000</v>
      </c>
      <c r="G1208" s="12">
        <f t="shared" si="18"/>
        <v>0.20048243420344541</v>
      </c>
    </row>
    <row r="1209" spans="2:7" ht="15" customHeight="1" x14ac:dyDescent="0.3">
      <c r="C1209" s="2"/>
      <c r="D1209" s="8">
        <v>2022</v>
      </c>
      <c r="E1209" s="14">
        <f>Data!N1209</f>
        <v>135324000000</v>
      </c>
      <c r="F1209" s="14">
        <f>Data!L1209</f>
        <v>671050000000</v>
      </c>
      <c r="G1209" s="12">
        <f t="shared" si="18"/>
        <v>0.20166008494150958</v>
      </c>
    </row>
    <row r="1210" spans="2:7" ht="15" customHeight="1" x14ac:dyDescent="0.3">
      <c r="C1210" s="2"/>
      <c r="D1210" s="8">
        <v>2023</v>
      </c>
      <c r="E1210" s="14">
        <f>Data!N1210</f>
        <v>180262000000</v>
      </c>
      <c r="F1210" s="14">
        <f>Data!L1210</f>
        <v>788671000000</v>
      </c>
      <c r="G1210" s="12">
        <f t="shared" si="18"/>
        <v>0.22856425556410723</v>
      </c>
    </row>
    <row r="1211" spans="2:7" ht="15" customHeight="1" x14ac:dyDescent="0.3">
      <c r="C1211" s="2"/>
      <c r="D1211" s="8">
        <v>2024</v>
      </c>
      <c r="E1211" s="14">
        <f>Data!N1211</f>
        <v>219794000000</v>
      </c>
      <c r="F1211" s="14">
        <f>Data!L1211</f>
        <v>943106000000</v>
      </c>
      <c r="G1211" s="12">
        <f t="shared" si="18"/>
        <v>0.23305333652844962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Data!N1212</f>
        <v>0</v>
      </c>
      <c r="F1212" s="14">
        <f>Data!L1212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Data!N1213</f>
        <v>12435000000</v>
      </c>
      <c r="F1213" s="14">
        <f>Data!L1213</f>
        <v>273840000000</v>
      </c>
      <c r="G1213" s="12">
        <f t="shared" si="18"/>
        <v>4.5409728308501311E-2</v>
      </c>
    </row>
    <row r="1214" spans="2:7" ht="15" customHeight="1" x14ac:dyDescent="0.3">
      <c r="C1214" s="2"/>
      <c r="D1214" s="8">
        <v>2016</v>
      </c>
      <c r="E1214" s="14">
        <f>Data!N1214</f>
        <v>52025000000</v>
      </c>
      <c r="F1214" s="14">
        <f>Data!L1214</f>
        <v>254385000000</v>
      </c>
      <c r="G1214" s="12">
        <f t="shared" si="18"/>
        <v>0.20451284470389369</v>
      </c>
    </row>
    <row r="1215" spans="2:7" ht="15" customHeight="1" x14ac:dyDescent="0.3">
      <c r="C1215" s="2"/>
      <c r="D1215" s="8">
        <v>2017</v>
      </c>
      <c r="E1215" s="14">
        <f>Data!N1215</f>
        <v>11258000000</v>
      </c>
      <c r="F1215" s="14">
        <f>Data!L1215</f>
        <v>265558000000</v>
      </c>
      <c r="G1215" s="12">
        <f t="shared" si="18"/>
        <v>4.2393752024039943E-2</v>
      </c>
    </row>
    <row r="1216" spans="2:7" ht="15" customHeight="1" x14ac:dyDescent="0.3">
      <c r="C1216" s="2"/>
      <c r="D1216" s="8">
        <v>2018</v>
      </c>
      <c r="E1216" s="14">
        <f>Data!N1216</f>
        <v>11113000000</v>
      </c>
      <c r="F1216" s="14">
        <f>Data!L1216</f>
        <v>254642000000</v>
      </c>
      <c r="G1216" s="12">
        <f t="shared" si="18"/>
        <v>4.3641661626911507E-2</v>
      </c>
    </row>
    <row r="1217" spans="2:7" ht="15" customHeight="1" x14ac:dyDescent="0.3">
      <c r="C1217" s="2"/>
      <c r="D1217" s="8">
        <v>2019</v>
      </c>
      <c r="E1217" s="14">
        <f>Data!N1217</f>
        <v>27047000000</v>
      </c>
      <c r="F1217" s="14">
        <f>Data!L1217</f>
        <v>258730000000</v>
      </c>
      <c r="G1217" s="12">
        <f t="shared" si="18"/>
        <v>0.10453754879604221</v>
      </c>
    </row>
    <row r="1218" spans="2:7" ht="15" customHeight="1" x14ac:dyDescent="0.3">
      <c r="C1218" s="2"/>
      <c r="D1218" s="8">
        <v>2020</v>
      </c>
      <c r="E1218" s="14">
        <f>Data!N1218</f>
        <v>22432000000</v>
      </c>
      <c r="F1218" s="14">
        <f>Data!L1218</f>
        <v>212813000000</v>
      </c>
      <c r="G1218" s="12">
        <f t="shared" si="18"/>
        <v>0.10540709449140795</v>
      </c>
    </row>
    <row r="1219" spans="2:7" ht="15" customHeight="1" x14ac:dyDescent="0.3">
      <c r="C1219" s="2"/>
      <c r="D1219" s="8">
        <v>2021</v>
      </c>
      <c r="E1219" s="14">
        <f>Data!N1219</f>
        <v>25877000000</v>
      </c>
      <c r="F1219" s="14">
        <f>Data!L1219</f>
        <v>242960000000</v>
      </c>
      <c r="G1219" s="12">
        <f t="shared" ref="G1219:G1282" si="19">IFERROR(E1219/F1219,0)</f>
        <v>0.10650724399078038</v>
      </c>
    </row>
    <row r="1220" spans="2:7" ht="15" customHeight="1" x14ac:dyDescent="0.3">
      <c r="C1220" s="2"/>
      <c r="D1220" s="8">
        <v>2022</v>
      </c>
      <c r="E1220" s="14">
        <f>Data!N1220</f>
        <v>44991000000</v>
      </c>
      <c r="F1220" s="14">
        <f>Data!L1220</f>
        <v>266765000000</v>
      </c>
      <c r="G1220" s="12">
        <f t="shared" si="19"/>
        <v>0.16865405881581166</v>
      </c>
    </row>
    <row r="1221" spans="2:7" ht="15" customHeight="1" x14ac:dyDescent="0.3">
      <c r="C1221" s="2"/>
      <c r="D1221" s="8">
        <v>2023</v>
      </c>
      <c r="E1221" s="14">
        <f>Data!N1221</f>
        <v>40787000000</v>
      </c>
      <c r="F1221" s="14">
        <f>Data!L1221</f>
        <v>321411000000</v>
      </c>
      <c r="G1221" s="12">
        <f t="shared" si="19"/>
        <v>0.12689982607938122</v>
      </c>
    </row>
    <row r="1222" spans="2:7" ht="15" customHeight="1" x14ac:dyDescent="0.3">
      <c r="C1222" s="2"/>
      <c r="D1222" s="8">
        <v>2024</v>
      </c>
      <c r="E1222" s="14">
        <f>Data!N1222</f>
        <v>51135000000</v>
      </c>
      <c r="F1222" s="14">
        <f>Data!L1222</f>
        <v>385158000000</v>
      </c>
      <c r="G1222" s="12">
        <f t="shared" si="19"/>
        <v>0.13276369697630583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Data!N1223</f>
        <v>0</v>
      </c>
      <c r="F1223" s="14">
        <f>Data!L1223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>
        <f>Data!N1224</f>
        <v>78288000000</v>
      </c>
      <c r="F1224" s="14">
        <f>Data!L1224</f>
        <v>430847000000</v>
      </c>
      <c r="G1224" s="12">
        <f t="shared" si="19"/>
        <v>0.18170719536169452</v>
      </c>
    </row>
    <row r="1225" spans="2:7" ht="15" customHeight="1" x14ac:dyDescent="0.3">
      <c r="C1225" s="2"/>
      <c r="D1225" s="8">
        <v>2016</v>
      </c>
      <c r="E1225" s="14">
        <f>Data!N1225</f>
        <v>76580000000</v>
      </c>
      <c r="F1225" s="14">
        <f>Data!L1225</f>
        <v>358944000000</v>
      </c>
      <c r="G1225" s="12">
        <f t="shared" si="19"/>
        <v>0.21334804314879202</v>
      </c>
    </row>
    <row r="1226" spans="2:7" ht="15" customHeight="1" x14ac:dyDescent="0.3">
      <c r="C1226" s="2"/>
      <c r="D1226" s="8">
        <v>2017</v>
      </c>
      <c r="E1226" s="14">
        <f>Data!N1226</f>
        <v>62531000000</v>
      </c>
      <c r="F1226" s="14">
        <f>Data!L1226</f>
        <v>348181000000</v>
      </c>
      <c r="G1226" s="12">
        <f t="shared" si="19"/>
        <v>0.17959337241262446</v>
      </c>
    </row>
    <row r="1227" spans="2:7" ht="15" customHeight="1" x14ac:dyDescent="0.3">
      <c r="C1227" s="2"/>
      <c r="D1227" s="8">
        <v>2018</v>
      </c>
      <c r="E1227" s="14">
        <f>Data!N1227</f>
        <v>335166000000</v>
      </c>
      <c r="F1227" s="14">
        <f>Data!L1227</f>
        <v>369189000000</v>
      </c>
      <c r="G1227" s="12">
        <f t="shared" si="19"/>
        <v>0.90784394984682637</v>
      </c>
    </row>
    <row r="1228" spans="2:7" ht="15" customHeight="1" x14ac:dyDescent="0.3">
      <c r="C1228" s="2"/>
      <c r="D1228" s="8">
        <v>2019</v>
      </c>
      <c r="E1228" s="14">
        <f>Data!N1228</f>
        <v>53466000000</v>
      </c>
      <c r="F1228" s="14">
        <f>Data!L1228</f>
        <v>306640000000</v>
      </c>
      <c r="G1228" s="12">
        <f t="shared" si="19"/>
        <v>0.17436081398382469</v>
      </c>
    </row>
    <row r="1229" spans="2:7" ht="15" customHeight="1" x14ac:dyDescent="0.3">
      <c r="C1229" s="2"/>
      <c r="D1229" s="8">
        <v>2020</v>
      </c>
      <c r="E1229" s="14">
        <f>Data!N1229</f>
        <v>32572000000</v>
      </c>
      <c r="F1229" s="14">
        <f>Data!L1229</f>
        <v>213492000000</v>
      </c>
      <c r="G1229" s="12">
        <f t="shared" si="19"/>
        <v>0.15256777771532423</v>
      </c>
    </row>
    <row r="1230" spans="2:7" ht="15" customHeight="1" x14ac:dyDescent="0.3">
      <c r="C1230" s="2"/>
      <c r="D1230" s="8">
        <v>2021</v>
      </c>
      <c r="E1230" s="14">
        <f>Data!N1230</f>
        <v>31959000000</v>
      </c>
      <c r="F1230" s="14">
        <f>Data!L1230</f>
        <v>289383000000</v>
      </c>
      <c r="G1230" s="12">
        <f t="shared" si="19"/>
        <v>0.11043841552544552</v>
      </c>
    </row>
    <row r="1231" spans="2:7" ht="15" customHeight="1" x14ac:dyDescent="0.3">
      <c r="C1231" s="2"/>
      <c r="D1231" s="8">
        <v>2022</v>
      </c>
      <c r="E1231" s="14">
        <f>Data!N1231</f>
        <v>71504000000</v>
      </c>
      <c r="F1231" s="14">
        <f>Data!L1231</f>
        <v>452337000000</v>
      </c>
      <c r="G1231" s="12">
        <f t="shared" si="19"/>
        <v>0.15807683209642368</v>
      </c>
    </row>
    <row r="1232" spans="2:7" ht="15" customHeight="1" x14ac:dyDescent="0.3">
      <c r="C1232" s="2"/>
      <c r="D1232" s="8">
        <v>2023</v>
      </c>
      <c r="E1232" s="14">
        <f>Data!N1232</f>
        <v>85872000000</v>
      </c>
      <c r="F1232" s="14">
        <f>Data!L1232</f>
        <v>1074285000000</v>
      </c>
      <c r="G1232" s="12">
        <f t="shared" si="19"/>
        <v>7.9934095700861504E-2</v>
      </c>
    </row>
    <row r="1233" spans="2:7" ht="15" customHeight="1" x14ac:dyDescent="0.3">
      <c r="C1233" s="2"/>
      <c r="D1233" s="8">
        <v>2024</v>
      </c>
      <c r="E1233" s="14">
        <f>Data!N1233</f>
        <v>102244000000</v>
      </c>
      <c r="F1233" s="14">
        <f>Data!L1233</f>
        <v>826629000000</v>
      </c>
      <c r="G1233" s="12">
        <f t="shared" si="19"/>
        <v>0.12368789384355013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Data!N1234</f>
        <v>0</v>
      </c>
      <c r="F1234" s="14">
        <f>Data!L1234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Data!N1235</f>
        <v>0</v>
      </c>
      <c r="F1235" s="14">
        <f>Data!L1235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Data!N1236</f>
        <v>0</v>
      </c>
      <c r="F1236" s="14">
        <f>Data!L1236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Data!N1237</f>
        <v>0</v>
      </c>
      <c r="F1237" s="14">
        <f>Data!L1237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Data!N1238</f>
        <v>10348000000</v>
      </c>
      <c r="F1238" s="14">
        <f>Data!L1238</f>
        <v>66451000000</v>
      </c>
      <c r="G1238" s="12">
        <f t="shared" si="19"/>
        <v>0.15572376638425306</v>
      </c>
    </row>
    <row r="1239" spans="2:7" ht="15" customHeight="1" x14ac:dyDescent="0.3">
      <c r="C1239" s="2"/>
      <c r="D1239" s="8">
        <v>2019</v>
      </c>
      <c r="E1239" s="14">
        <f>Data!N1239</f>
        <v>2032000000</v>
      </c>
      <c r="F1239" s="14">
        <f>Data!L1239</f>
        <v>69666000000</v>
      </c>
      <c r="G1239" s="12">
        <f t="shared" si="19"/>
        <v>2.916774323199265E-2</v>
      </c>
    </row>
    <row r="1240" spans="2:7" ht="15" customHeight="1" x14ac:dyDescent="0.3">
      <c r="C1240" s="2"/>
      <c r="D1240" s="8">
        <v>2020</v>
      </c>
      <c r="E1240" s="14">
        <f>Data!N1240</f>
        <v>1144000000</v>
      </c>
      <c r="F1240" s="14">
        <f>Data!L1240</f>
        <v>61493000000</v>
      </c>
      <c r="G1240" s="12">
        <f t="shared" si="19"/>
        <v>1.8603743515522093E-2</v>
      </c>
    </row>
    <row r="1241" spans="2:7" ht="15" customHeight="1" x14ac:dyDescent="0.3">
      <c r="C1241" s="2"/>
      <c r="D1241" s="8">
        <v>2021</v>
      </c>
      <c r="E1241" s="14">
        <f>Data!N1241</f>
        <v>-23736000000</v>
      </c>
      <c r="F1241" s="14">
        <f>Data!L1241</f>
        <v>34914000000</v>
      </c>
      <c r="G1241" s="12">
        <f t="shared" si="19"/>
        <v>-0.67984189723320154</v>
      </c>
    </row>
    <row r="1242" spans="2:7" ht="15" customHeight="1" x14ac:dyDescent="0.3">
      <c r="C1242" s="2"/>
      <c r="D1242" s="8">
        <v>2022</v>
      </c>
      <c r="E1242" s="14">
        <f>Data!N1242</f>
        <v>-37966000000</v>
      </c>
      <c r="F1242" s="14">
        <f>Data!L1242</f>
        <v>10392000000</v>
      </c>
      <c r="G1242" s="12">
        <f t="shared" si="19"/>
        <v>-3.6533872209391838</v>
      </c>
    </row>
    <row r="1243" spans="2:7" ht="15" customHeight="1" x14ac:dyDescent="0.3">
      <c r="C1243" s="2"/>
      <c r="D1243" s="8">
        <v>2023</v>
      </c>
      <c r="E1243" s="14">
        <f>Data!N1243</f>
        <v>-24634000000</v>
      </c>
      <c r="F1243" s="14">
        <f>Data!L1243</f>
        <v>56691000000</v>
      </c>
      <c r="G1243" s="12">
        <f t="shared" si="19"/>
        <v>-0.43453105431197192</v>
      </c>
    </row>
    <row r="1244" spans="2:7" ht="15" customHeight="1" x14ac:dyDescent="0.3">
      <c r="C1244" s="2"/>
      <c r="D1244" s="8">
        <v>2024</v>
      </c>
      <c r="E1244" s="14">
        <f>Data!N1244</f>
        <v>165690000000</v>
      </c>
      <c r="F1244" s="14">
        <f>Data!L1244</f>
        <v>449442000000</v>
      </c>
      <c r="G1244" s="12">
        <f t="shared" si="19"/>
        <v>0.36865713484721052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Data!N1245</f>
        <v>0</v>
      </c>
      <c r="F1245" s="14">
        <f>Data!L1245</f>
        <v>35701800000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Data!N1246</f>
        <v>13489120000</v>
      </c>
      <c r="F1246" s="14">
        <f>Data!L1246</f>
        <v>43519590000</v>
      </c>
      <c r="G1246" s="12">
        <f t="shared" si="19"/>
        <v>0.30995512595592006</v>
      </c>
    </row>
    <row r="1247" spans="2:7" ht="15" customHeight="1" x14ac:dyDescent="0.3">
      <c r="C1247" s="2"/>
      <c r="D1247" s="8">
        <v>2016</v>
      </c>
      <c r="E1247" s="14">
        <f>Data!N1247</f>
        <v>8408330000</v>
      </c>
      <c r="F1247" s="14">
        <f>Data!L1247</f>
        <v>47659700000</v>
      </c>
      <c r="G1247" s="12">
        <f t="shared" si="19"/>
        <v>0.17642431656095192</v>
      </c>
    </row>
    <row r="1248" spans="2:7" ht="15" customHeight="1" x14ac:dyDescent="0.3">
      <c r="C1248" s="2"/>
      <c r="D1248" s="8">
        <v>2017</v>
      </c>
      <c r="E1248" s="14">
        <f>Data!N1248</f>
        <v>5659920000</v>
      </c>
      <c r="F1248" s="14">
        <f>Data!L1248</f>
        <v>46312760000</v>
      </c>
      <c r="G1248" s="12">
        <f t="shared" si="19"/>
        <v>0.12221081187992251</v>
      </c>
    </row>
    <row r="1249" spans="2:7" ht="15" customHeight="1" x14ac:dyDescent="0.3">
      <c r="C1249" s="2"/>
      <c r="D1249" s="8">
        <v>2018</v>
      </c>
      <c r="E1249" s="14">
        <f>Data!N1249</f>
        <v>3281880000</v>
      </c>
      <c r="F1249" s="14">
        <f>Data!L1249</f>
        <v>46820780000</v>
      </c>
      <c r="G1249" s="12">
        <f t="shared" si="19"/>
        <v>7.0094517861513633E-2</v>
      </c>
    </row>
    <row r="1250" spans="2:7" ht="15" customHeight="1" x14ac:dyDescent="0.3">
      <c r="C1250" s="2"/>
      <c r="D1250" s="8">
        <v>2019</v>
      </c>
      <c r="E1250" s="14">
        <f>Data!N1250</f>
        <v>4997370000</v>
      </c>
      <c r="F1250" s="14">
        <f>Data!L1250</f>
        <v>57162950000</v>
      </c>
      <c r="G1250" s="12">
        <f t="shared" si="19"/>
        <v>8.7423234805061673E-2</v>
      </c>
    </row>
    <row r="1251" spans="2:7" ht="15" customHeight="1" x14ac:dyDescent="0.3">
      <c r="C1251" s="2"/>
      <c r="D1251" s="8">
        <v>2020</v>
      </c>
      <c r="E1251" s="14">
        <f>Data!N1251</f>
        <v>2427260000</v>
      </c>
      <c r="F1251" s="14">
        <f>Data!L1251</f>
        <v>44544530000</v>
      </c>
      <c r="G1251" s="12">
        <f t="shared" si="19"/>
        <v>5.4490641162899235E-2</v>
      </c>
    </row>
    <row r="1252" spans="2:7" ht="15" customHeight="1" x14ac:dyDescent="0.3">
      <c r="C1252" s="2"/>
      <c r="D1252" s="8">
        <v>2021</v>
      </c>
      <c r="E1252" s="14">
        <f>Data!N1252</f>
        <v>4131649999.9999995</v>
      </c>
      <c r="F1252" s="14">
        <f>Data!L1252</f>
        <v>48817660000</v>
      </c>
      <c r="G1252" s="12">
        <f t="shared" si="19"/>
        <v>8.4634331100671339E-2</v>
      </c>
    </row>
    <row r="1253" spans="2:7" ht="15" customHeight="1" x14ac:dyDescent="0.3">
      <c r="C1253" s="2"/>
      <c r="D1253" s="8">
        <v>2022</v>
      </c>
      <c r="E1253" s="14">
        <f>Data!N1253</f>
        <v>2614710000</v>
      </c>
      <c r="F1253" s="14">
        <f>Data!L1253</f>
        <v>49071110000</v>
      </c>
      <c r="G1253" s="12">
        <f t="shared" si="19"/>
        <v>5.3284101378591193E-2</v>
      </c>
    </row>
    <row r="1254" spans="2:7" ht="15" customHeight="1" x14ac:dyDescent="0.3">
      <c r="C1254" s="2"/>
      <c r="D1254" s="8">
        <v>2023</v>
      </c>
      <c r="E1254" s="14">
        <f>Data!N1254</f>
        <v>5217910000</v>
      </c>
      <c r="F1254" s="14">
        <f>Data!L1254</f>
        <v>70712690000</v>
      </c>
      <c r="G1254" s="12">
        <f t="shared" si="19"/>
        <v>7.3790291388999632E-2</v>
      </c>
    </row>
    <row r="1255" spans="2:7" ht="15" customHeight="1" x14ac:dyDescent="0.3">
      <c r="C1255" s="2"/>
      <c r="D1255" s="8">
        <v>2024</v>
      </c>
      <c r="E1255" s="14">
        <f>Data!N1255</f>
        <v>-14664160000</v>
      </c>
      <c r="F1255" s="14">
        <f>Data!L1255</f>
        <v>58089380000</v>
      </c>
      <c r="G1255" s="12">
        <f t="shared" si="19"/>
        <v>-0.25244132404236369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Data!N1256</f>
        <v>0</v>
      </c>
      <c r="F1256" s="14">
        <f>Data!L1256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Data!N1257</f>
        <v>0</v>
      </c>
      <c r="F1257" s="14">
        <f>Data!L1257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Data!N1258</f>
        <v>0</v>
      </c>
      <c r="F1258" s="14">
        <f>Data!L1258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Data!N1259</f>
        <v>0</v>
      </c>
      <c r="F1259" s="14">
        <f>Data!L1259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Data!N1260</f>
        <v>0</v>
      </c>
      <c r="F1260" s="14">
        <f>Data!L1260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Data!N1261</f>
        <v>0</v>
      </c>
      <c r="F1261" s="14">
        <f>Data!L1261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Data!N1262</f>
        <v>0</v>
      </c>
      <c r="F1262" s="14">
        <f>Data!L1262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Data!N1263</f>
        <v>0</v>
      </c>
      <c r="F1263" s="14">
        <f>Data!L1263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Data!N1264</f>
        <v>-5958830000</v>
      </c>
      <c r="F1264" s="14">
        <f>Data!L1264</f>
        <v>0</v>
      </c>
      <c r="G1264" s="12">
        <f t="shared" si="19"/>
        <v>0</v>
      </c>
    </row>
    <row r="1265" spans="2:7" ht="15" customHeight="1" x14ac:dyDescent="0.3">
      <c r="C1265" s="1"/>
      <c r="D1265" s="8">
        <v>2023</v>
      </c>
      <c r="E1265" s="14">
        <f>Data!N1265</f>
        <v>-20423990000</v>
      </c>
      <c r="F1265" s="14">
        <f>Data!L1265</f>
        <v>2506470000</v>
      </c>
      <c r="G1265" s="12">
        <f t="shared" si="19"/>
        <v>-8.148507662170303</v>
      </c>
    </row>
    <row r="1266" spans="2:7" ht="15" customHeight="1" x14ac:dyDescent="0.3">
      <c r="C1266" s="1"/>
      <c r="D1266" s="8">
        <v>2024</v>
      </c>
      <c r="E1266" s="14">
        <f>Data!N1266</f>
        <v>-25659730000</v>
      </c>
      <c r="F1266" s="14">
        <f>Data!L1266</f>
        <v>18982250000</v>
      </c>
      <c r="G1266" s="12">
        <f t="shared" si="19"/>
        <v>-1.3517749476484611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Data!N1267</f>
        <v>0</v>
      </c>
      <c r="F1267" s="14">
        <f>Data!L1267</f>
        <v>949386000000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Data!N1268</f>
        <v>116317000000</v>
      </c>
      <c r="F1268" s="14">
        <f>Data!L1268</f>
        <v>842754000000</v>
      </c>
      <c r="G1268" s="12">
        <f t="shared" si="19"/>
        <v>0.13802011025756034</v>
      </c>
    </row>
    <row r="1269" spans="2:7" ht="15" customHeight="1" x14ac:dyDescent="0.3">
      <c r="C1269" s="1"/>
      <c r="D1269" s="8">
        <v>2016</v>
      </c>
      <c r="E1269" s="14">
        <f>Data!N1269</f>
        <v>95151000000</v>
      </c>
      <c r="F1269" s="14">
        <f>Data!L1269</f>
        <v>861912000000</v>
      </c>
      <c r="G1269" s="12">
        <f t="shared" si="19"/>
        <v>0.11039526076908084</v>
      </c>
    </row>
    <row r="1270" spans="2:7" ht="15" customHeight="1" x14ac:dyDescent="0.3">
      <c r="C1270" s="1"/>
      <c r="D1270" s="8">
        <v>2017</v>
      </c>
      <c r="E1270" s="14">
        <f>Data!N1270</f>
        <v>79537000000</v>
      </c>
      <c r="F1270" s="14">
        <f>Data!L1270</f>
        <v>878252000000</v>
      </c>
      <c r="G1270" s="12">
        <f t="shared" si="19"/>
        <v>9.0562845288140528E-2</v>
      </c>
    </row>
    <row r="1271" spans="2:7" ht="15" customHeight="1" x14ac:dyDescent="0.3">
      <c r="C1271" s="1"/>
      <c r="D1271" s="8">
        <v>2018</v>
      </c>
      <c r="E1271" s="14">
        <f>Data!N1271</f>
        <v>12240000000</v>
      </c>
      <c r="F1271" s="14">
        <f>Data!L1271</f>
        <v>906041000000</v>
      </c>
      <c r="G1271" s="12">
        <f t="shared" si="19"/>
        <v>1.3509322425806337E-2</v>
      </c>
    </row>
    <row r="1272" spans="2:7" ht="15" customHeight="1" x14ac:dyDescent="0.3">
      <c r="C1272" s="1"/>
      <c r="D1272" s="8">
        <v>2019</v>
      </c>
      <c r="E1272" s="14">
        <f>Data!N1272</f>
        <v>164737000000</v>
      </c>
      <c r="F1272" s="14">
        <f>Data!L1272</f>
        <v>801755000000</v>
      </c>
      <c r="G1272" s="12">
        <f t="shared" si="19"/>
        <v>0.20547049909261558</v>
      </c>
    </row>
    <row r="1273" spans="2:7" ht="15" customHeight="1" x14ac:dyDescent="0.3">
      <c r="C1273" s="1"/>
      <c r="D1273" s="8">
        <v>2020</v>
      </c>
      <c r="E1273" s="14">
        <f>Data!N1273</f>
        <v>127623000000</v>
      </c>
      <c r="F1273" s="14">
        <f>Data!L1273</f>
        <v>781992000000</v>
      </c>
      <c r="G1273" s="12">
        <f t="shared" si="19"/>
        <v>0.16320243685357394</v>
      </c>
    </row>
    <row r="1274" spans="2:7" ht="15" customHeight="1" x14ac:dyDescent="0.3">
      <c r="C1274" s="1"/>
      <c r="D1274" s="8">
        <v>2021</v>
      </c>
      <c r="E1274" s="14">
        <f>Data!N1274</f>
        <v>115633000000</v>
      </c>
      <c r="F1274" s="14">
        <f>Data!L1274</f>
        <v>830722000000</v>
      </c>
      <c r="G1274" s="12">
        <f t="shared" si="19"/>
        <v>0.13919578390845552</v>
      </c>
    </row>
    <row r="1275" spans="2:7" ht="15" customHeight="1" x14ac:dyDescent="0.3">
      <c r="C1275" s="1"/>
      <c r="D1275" s="8">
        <v>2022</v>
      </c>
      <c r="E1275" s="14">
        <f>Data!N1275</f>
        <v>104071000000</v>
      </c>
      <c r="F1275" s="14">
        <f>Data!L1275</f>
        <v>956709000000</v>
      </c>
      <c r="G1275" s="12">
        <f t="shared" si="19"/>
        <v>0.10878020380282824</v>
      </c>
    </row>
    <row r="1276" spans="2:7" ht="15" customHeight="1" x14ac:dyDescent="0.3">
      <c r="C1276" s="1"/>
      <c r="D1276" s="8">
        <v>2023</v>
      </c>
      <c r="E1276" s="14">
        <f>Data!N1276</f>
        <v>244251000000</v>
      </c>
      <c r="F1276" s="14">
        <f>Data!L1276</f>
        <v>1000223000000</v>
      </c>
      <c r="G1276" s="12">
        <f t="shared" si="19"/>
        <v>0.24419654417064995</v>
      </c>
    </row>
    <row r="1277" spans="2:7" ht="15" customHeight="1" x14ac:dyDescent="0.3">
      <c r="C1277" s="1"/>
      <c r="D1277" s="8">
        <v>2024</v>
      </c>
      <c r="E1277" s="14">
        <f>Data!N1277</f>
        <v>171954000000</v>
      </c>
      <c r="F1277" s="14">
        <f>Data!L1277</f>
        <v>991127000000</v>
      </c>
      <c r="G1277" s="12">
        <f t="shared" si="19"/>
        <v>0.17349340700031379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Data!N1278</f>
        <v>0</v>
      </c>
      <c r="F1278" s="14">
        <f>Data!L1278</f>
        <v>39674000000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Data!N1279</f>
        <v>5677000000</v>
      </c>
      <c r="F1279" s="14">
        <f>Data!L1279</f>
        <v>58554000000</v>
      </c>
      <c r="G1279" s="12">
        <f t="shared" si="19"/>
        <v>9.695323974450934E-2</v>
      </c>
    </row>
    <row r="1280" spans="2:7" ht="15" customHeight="1" x14ac:dyDescent="0.3">
      <c r="C1280" s="2"/>
      <c r="D1280" s="8">
        <v>2016</v>
      </c>
      <c r="E1280" s="14">
        <f>Data!N1280</f>
        <v>8434000000</v>
      </c>
      <c r="F1280" s="14">
        <f>Data!L1280</f>
        <v>66290000000</v>
      </c>
      <c r="G1280" s="12">
        <f t="shared" si="19"/>
        <v>0.12722884296273948</v>
      </c>
    </row>
    <row r="1281" spans="2:7" ht="15" customHeight="1" x14ac:dyDescent="0.3">
      <c r="C1281" s="2"/>
      <c r="D1281" s="8">
        <v>2017</v>
      </c>
      <c r="E1281" s="14">
        <f>Data!N1281</f>
        <v>4033000000</v>
      </c>
      <c r="F1281" s="14">
        <f>Data!L1281</f>
        <v>67796000000</v>
      </c>
      <c r="G1281" s="12">
        <f t="shared" si="19"/>
        <v>5.9487285385568467E-2</v>
      </c>
    </row>
    <row r="1282" spans="2:7" ht="15" customHeight="1" x14ac:dyDescent="0.3">
      <c r="C1282" s="2"/>
      <c r="D1282" s="8">
        <v>2018</v>
      </c>
      <c r="E1282" s="14">
        <f>Data!N1282</f>
        <v>11452000000</v>
      </c>
      <c r="F1282" s="14">
        <f>Data!L1282</f>
        <v>86841000000</v>
      </c>
      <c r="G1282" s="12">
        <f t="shared" si="19"/>
        <v>0.13187319353761473</v>
      </c>
    </row>
    <row r="1283" spans="2:7" ht="15" customHeight="1" x14ac:dyDescent="0.3">
      <c r="C1283" s="2"/>
      <c r="D1283" s="8">
        <v>2019</v>
      </c>
      <c r="E1283" s="14">
        <f>Data!N1283</f>
        <v>10442000000</v>
      </c>
      <c r="F1283" s="14">
        <f>Data!L1283</f>
        <v>113128000000</v>
      </c>
      <c r="G1283" s="12">
        <f t="shared" ref="G1283:G1346" si="20">IFERROR(E1283/F1283,0)</f>
        <v>9.2302524573933953E-2</v>
      </c>
    </row>
    <row r="1284" spans="2:7" ht="15" customHeight="1" x14ac:dyDescent="0.3">
      <c r="C1284" s="2"/>
      <c r="D1284" s="8">
        <v>2020</v>
      </c>
      <c r="E1284" s="14">
        <f>Data!N1284</f>
        <v>8105000000</v>
      </c>
      <c r="F1284" s="14">
        <f>Data!L1284</f>
        <v>133700000000</v>
      </c>
      <c r="G1284" s="12">
        <f t="shared" si="20"/>
        <v>6.0620792819745702E-2</v>
      </c>
    </row>
    <row r="1285" spans="2:7" ht="15" customHeight="1" x14ac:dyDescent="0.3">
      <c r="C1285" s="2"/>
      <c r="D1285" s="8">
        <v>2021</v>
      </c>
      <c r="E1285" s="14">
        <f>Data!N1285</f>
        <v>21941000000</v>
      </c>
      <c r="F1285" s="14">
        <f>Data!L1285</f>
        <v>139395000000</v>
      </c>
      <c r="G1285" s="12">
        <f t="shared" si="20"/>
        <v>0.15740162846587036</v>
      </c>
    </row>
    <row r="1286" spans="2:7" ht="15" customHeight="1" x14ac:dyDescent="0.3">
      <c r="C1286" s="2"/>
      <c r="D1286" s="8">
        <v>2022</v>
      </c>
      <c r="E1286" s="14">
        <f>Data!N1286</f>
        <v>18549000000</v>
      </c>
      <c r="F1286" s="14">
        <f>Data!L1286</f>
        <v>144949000000</v>
      </c>
      <c r="G1286" s="12">
        <f t="shared" si="20"/>
        <v>0.12796914776921539</v>
      </c>
    </row>
    <row r="1287" spans="2:7" ht="15" customHeight="1" x14ac:dyDescent="0.3">
      <c r="C1287" s="2"/>
      <c r="D1287" s="8">
        <v>2023</v>
      </c>
      <c r="E1287" s="14">
        <f>Data!N1287</f>
        <v>16262000000</v>
      </c>
      <c r="F1287" s="14">
        <f>Data!L1287</f>
        <v>157791000000</v>
      </c>
      <c r="G1287" s="12">
        <f t="shared" si="20"/>
        <v>0.10306037733457549</v>
      </c>
    </row>
    <row r="1288" spans="2:7" ht="15" customHeight="1" x14ac:dyDescent="0.3">
      <c r="C1288" s="2"/>
      <c r="D1288" s="8">
        <v>2024</v>
      </c>
      <c r="E1288" s="14">
        <f>Data!N1288</f>
        <v>1386000000</v>
      </c>
      <c r="F1288" s="14">
        <f>Data!L1288</f>
        <v>204557000000</v>
      </c>
      <c r="G1288" s="12">
        <f t="shared" si="20"/>
        <v>6.7756175540313948E-3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Data!N1289</f>
        <v>0</v>
      </c>
      <c r="F1289" s="14">
        <f>Data!L1289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Data!N1290</f>
        <v>0</v>
      </c>
      <c r="F1290" s="14">
        <f>Data!L1290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Data!N1291</f>
        <v>0</v>
      </c>
      <c r="F1291" s="14">
        <f>Data!L1291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Data!N1292</f>
        <v>0</v>
      </c>
      <c r="F1292" s="14">
        <f>Data!L1292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Data!N1293</f>
        <v>-31751121000</v>
      </c>
      <c r="F1293" s="14">
        <f>Data!L1293</f>
        <v>698624200000</v>
      </c>
      <c r="G1293" s="12">
        <f t="shared" si="20"/>
        <v>-4.5448069219474502E-2</v>
      </c>
    </row>
    <row r="1294" spans="2:7" ht="15" customHeight="1" x14ac:dyDescent="0.3">
      <c r="C1294" s="3"/>
      <c r="D1294" s="8">
        <v>2019</v>
      </c>
      <c r="E1294" s="14">
        <f>Data!N1294</f>
        <v>-47424280000</v>
      </c>
      <c r="F1294" s="14">
        <f>Data!L1294</f>
        <v>459384630000</v>
      </c>
      <c r="G1294" s="12">
        <f t="shared" si="20"/>
        <v>-0.10323436376180022</v>
      </c>
    </row>
    <row r="1295" spans="2:7" ht="15" customHeight="1" x14ac:dyDescent="0.3">
      <c r="C1295" s="3"/>
      <c r="D1295" s="8">
        <v>2020</v>
      </c>
      <c r="E1295" s="14">
        <f>Data!N1295</f>
        <v>89461062000</v>
      </c>
      <c r="F1295" s="14">
        <f>Data!L1295</f>
        <v>508374330000</v>
      </c>
      <c r="G1295" s="12">
        <f t="shared" si="20"/>
        <v>0.17597478220428636</v>
      </c>
    </row>
    <row r="1296" spans="2:7" ht="15" customHeight="1" x14ac:dyDescent="0.3">
      <c r="C1296" s="3"/>
      <c r="D1296" s="8">
        <v>2021</v>
      </c>
      <c r="E1296" s="14">
        <f>Data!N1296</f>
        <v>-14247767000</v>
      </c>
      <c r="F1296" s="14">
        <f>Data!L1296</f>
        <v>488105334000</v>
      </c>
      <c r="G1296" s="12">
        <f t="shared" si="20"/>
        <v>-2.918994325106064E-2</v>
      </c>
    </row>
    <row r="1297" spans="2:7" ht="15" customHeight="1" x14ac:dyDescent="0.3">
      <c r="C1297" s="3"/>
      <c r="D1297" s="8">
        <v>2022</v>
      </c>
      <c r="E1297" s="14">
        <f>Data!N1297</f>
        <v>6444473000</v>
      </c>
      <c r="F1297" s="14">
        <f>Data!L1297</f>
        <v>578402728000</v>
      </c>
      <c r="G1297" s="12">
        <f t="shared" si="20"/>
        <v>1.1141844061288729E-2</v>
      </c>
    </row>
    <row r="1298" spans="2:7" ht="15" customHeight="1" x14ac:dyDescent="0.3">
      <c r="C1298" s="3"/>
      <c r="D1298" s="8">
        <v>2023</v>
      </c>
      <c r="E1298" s="14">
        <f>Data!N1298</f>
        <v>10599448000</v>
      </c>
      <c r="F1298" s="14">
        <f>Data!L1298</f>
        <v>581285031000</v>
      </c>
      <c r="G1298" s="12">
        <f t="shared" si="20"/>
        <v>1.8234510497828389E-2</v>
      </c>
    </row>
    <row r="1299" spans="2:7" ht="15" customHeight="1" x14ac:dyDescent="0.3">
      <c r="C1299" s="3"/>
      <c r="D1299" s="8">
        <v>2024</v>
      </c>
      <c r="E1299" s="14">
        <f>Data!N1299</f>
        <v>-39174280000</v>
      </c>
      <c r="F1299" s="14">
        <f>Data!L1299</f>
        <v>635031705000</v>
      </c>
      <c r="G1299" s="12">
        <f t="shared" si="20"/>
        <v>-6.1688699464225963E-2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Data!N1300</f>
        <v>0</v>
      </c>
      <c r="F1300" s="14">
        <f>Data!L1300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Data!N1301</f>
        <v>-9171000000</v>
      </c>
      <c r="F1301" s="14">
        <f>Data!L1301</f>
        <v>100029000000</v>
      </c>
      <c r="G1301" s="12">
        <f t="shared" si="20"/>
        <v>-9.1683411810574933E-2</v>
      </c>
    </row>
    <row r="1302" spans="2:7" ht="15" customHeight="1" x14ac:dyDescent="0.3">
      <c r="C1302" s="2"/>
      <c r="D1302" s="8">
        <v>2016</v>
      </c>
      <c r="E1302" s="14">
        <f>Data!N1302</f>
        <v>3484000000</v>
      </c>
      <c r="F1302" s="14">
        <f>Data!L1302</f>
        <v>86385000000</v>
      </c>
      <c r="G1302" s="12">
        <f t="shared" si="20"/>
        <v>4.0331075996990221E-2</v>
      </c>
    </row>
    <row r="1303" spans="2:7" ht="15" customHeight="1" x14ac:dyDescent="0.3">
      <c r="C1303" s="2"/>
      <c r="D1303" s="8">
        <v>2017</v>
      </c>
      <c r="E1303" s="14">
        <f>Data!N1303</f>
        <v>4984000000</v>
      </c>
      <c r="F1303" s="14">
        <f>Data!L1303</f>
        <v>68115000000</v>
      </c>
      <c r="G1303" s="12">
        <f t="shared" si="20"/>
        <v>7.3170373632826843E-2</v>
      </c>
    </row>
    <row r="1304" spans="2:7" ht="15" customHeight="1" x14ac:dyDescent="0.3">
      <c r="C1304" s="2"/>
      <c r="D1304" s="8">
        <v>2018</v>
      </c>
      <c r="E1304" s="14">
        <f>Data!N1304</f>
        <v>5994000000</v>
      </c>
      <c r="F1304" s="14">
        <f>Data!L1304</f>
        <v>89089000000</v>
      </c>
      <c r="G1304" s="12">
        <f t="shared" si="20"/>
        <v>6.7281033573168406E-2</v>
      </c>
    </row>
    <row r="1305" spans="2:7" ht="15" customHeight="1" x14ac:dyDescent="0.3">
      <c r="C1305" s="2"/>
      <c r="D1305" s="8">
        <v>2019</v>
      </c>
      <c r="E1305" s="14">
        <f>Data!N1305</f>
        <v>11953000000</v>
      </c>
      <c r="F1305" s="14">
        <f>Data!L1305</f>
        <v>69517000000</v>
      </c>
      <c r="G1305" s="12">
        <f t="shared" si="20"/>
        <v>0.17194355337543335</v>
      </c>
    </row>
    <row r="1306" spans="2:7" ht="15" customHeight="1" x14ac:dyDescent="0.3">
      <c r="C1306" s="2"/>
      <c r="D1306" s="8">
        <v>2020</v>
      </c>
      <c r="E1306" s="14">
        <f>Data!N1306</f>
        <v>10652000000</v>
      </c>
      <c r="F1306" s="14">
        <f>Data!L1306</f>
        <v>80836000000</v>
      </c>
      <c r="G1306" s="12">
        <f t="shared" si="20"/>
        <v>0.13177297243802266</v>
      </c>
    </row>
    <row r="1307" spans="2:7" ht="15" customHeight="1" x14ac:dyDescent="0.3">
      <c r="C1307" s="2"/>
      <c r="D1307" s="8">
        <v>2021</v>
      </c>
      <c r="E1307" s="14">
        <f>Data!N1307</f>
        <v>6355000000</v>
      </c>
      <c r="F1307" s="14">
        <f>Data!L1307</f>
        <v>56667000000</v>
      </c>
      <c r="G1307" s="12">
        <f t="shared" si="20"/>
        <v>0.1121463991388286</v>
      </c>
    </row>
    <row r="1308" spans="2:7" ht="15" customHeight="1" x14ac:dyDescent="0.3">
      <c r="C1308" s="2"/>
      <c r="D1308" s="8">
        <v>2022</v>
      </c>
      <c r="E1308" s="14">
        <f>Data!N1308</f>
        <v>111000000</v>
      </c>
      <c r="F1308" s="14">
        <f>Data!L1308</f>
        <v>65124000000</v>
      </c>
      <c r="G1308" s="12">
        <f t="shared" si="20"/>
        <v>1.7044407591671274E-3</v>
      </c>
    </row>
    <row r="1309" spans="2:7" ht="15" customHeight="1" x14ac:dyDescent="0.3">
      <c r="C1309" s="2"/>
      <c r="D1309" s="8">
        <v>2023</v>
      </c>
      <c r="E1309" s="14">
        <f>Data!N1309</f>
        <v>2643000000</v>
      </c>
      <c r="F1309" s="14">
        <f>Data!L1309</f>
        <v>68085000000</v>
      </c>
      <c r="G1309" s="12">
        <f t="shared" si="20"/>
        <v>3.8819123154879932E-2</v>
      </c>
    </row>
    <row r="1310" spans="2:7" ht="15" customHeight="1" x14ac:dyDescent="0.3">
      <c r="C1310" s="2"/>
      <c r="D1310" s="8">
        <v>2024</v>
      </c>
      <c r="E1310" s="14">
        <f>Data!N1310</f>
        <v>0</v>
      </c>
      <c r="F1310" s="14">
        <f>Data!L1310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Data!N1311</f>
        <v>0</v>
      </c>
      <c r="F1311" s="14">
        <f>Data!L1311</f>
        <v>204790000000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Data!N1312</f>
        <v>73390000000</v>
      </c>
      <c r="F1312" s="14">
        <f>Data!L1312</f>
        <v>291501000000</v>
      </c>
      <c r="G1312" s="12">
        <f t="shared" si="20"/>
        <v>0.25176586015142316</v>
      </c>
    </row>
    <row r="1313" spans="2:7" ht="15" customHeight="1" x14ac:dyDescent="0.3">
      <c r="C1313" s="2"/>
      <c r="D1313" s="8">
        <v>2016</v>
      </c>
      <c r="E1313" s="14">
        <f>Data!N1313</f>
        <v>105532000000</v>
      </c>
      <c r="F1313" s="14">
        <f>Data!L1313</f>
        <v>373904000000</v>
      </c>
      <c r="G1313" s="12">
        <f t="shared" si="20"/>
        <v>0.28224357054217125</v>
      </c>
    </row>
    <row r="1314" spans="2:7" ht="15" customHeight="1" x14ac:dyDescent="0.3">
      <c r="C1314" s="2"/>
      <c r="D1314" s="8">
        <v>2017</v>
      </c>
      <c r="E1314" s="14">
        <f>Data!N1314</f>
        <v>123185000000</v>
      </c>
      <c r="F1314" s="14">
        <f>Data!L1314</f>
        <v>431904000000</v>
      </c>
      <c r="G1314" s="12">
        <f t="shared" si="20"/>
        <v>0.28521384381714454</v>
      </c>
    </row>
    <row r="1315" spans="2:7" ht="15" customHeight="1" x14ac:dyDescent="0.3">
      <c r="C1315" s="2"/>
      <c r="D1315" s="8">
        <v>2018</v>
      </c>
      <c r="E1315" s="14">
        <f>Data!N1315</f>
        <v>139985000000</v>
      </c>
      <c r="F1315" s="14">
        <f>Data!L1315</f>
        <v>499442000000</v>
      </c>
      <c r="G1315" s="12">
        <f t="shared" si="20"/>
        <v>0.2802827955998895</v>
      </c>
    </row>
    <row r="1316" spans="2:7" ht="15" customHeight="1" x14ac:dyDescent="0.3">
      <c r="C1316" s="2"/>
      <c r="D1316" s="8">
        <v>2019</v>
      </c>
      <c r="E1316" s="14">
        <f>Data!N1316</f>
        <v>178342000000</v>
      </c>
      <c r="F1316" s="14">
        <f>Data!L1316</f>
        <v>586693000000</v>
      </c>
      <c r="G1316" s="12">
        <f t="shared" si="20"/>
        <v>0.30397840096950196</v>
      </c>
    </row>
    <row r="1317" spans="2:7" ht="15" customHeight="1" x14ac:dyDescent="0.3">
      <c r="C1317" s="2"/>
      <c r="D1317" s="8">
        <v>2020</v>
      </c>
      <c r="E1317" s="14">
        <f>Data!N1317</f>
        <v>201733000000</v>
      </c>
      <c r="F1317" s="14">
        <f>Data!L1317</f>
        <v>753040000000</v>
      </c>
      <c r="G1317" s="12">
        <f t="shared" si="20"/>
        <v>0.26789147986826728</v>
      </c>
    </row>
    <row r="1318" spans="2:7" ht="15" customHeight="1" x14ac:dyDescent="0.3">
      <c r="C1318" s="2"/>
      <c r="D1318" s="8">
        <v>2021</v>
      </c>
      <c r="E1318" s="14">
        <f>Data!N1318</f>
        <v>285451000000</v>
      </c>
      <c r="F1318" s="14">
        <f>Data!L1318</f>
        <v>904911000000</v>
      </c>
      <c r="G1318" s="12">
        <f t="shared" si="20"/>
        <v>0.31544649142291342</v>
      </c>
    </row>
    <row r="1319" spans="2:7" ht="15" customHeight="1" x14ac:dyDescent="0.3">
      <c r="C1319" s="2"/>
      <c r="D1319" s="8">
        <v>2022</v>
      </c>
      <c r="E1319" s="14">
        <f>Data!N1319</f>
        <v>366756000000</v>
      </c>
      <c r="F1319" s="14">
        <f>Data!L1319</f>
        <v>1127845000000</v>
      </c>
      <c r="G1319" s="12">
        <f t="shared" si="20"/>
        <v>0.32518298170404619</v>
      </c>
    </row>
    <row r="1320" spans="2:7" ht="15" customHeight="1" x14ac:dyDescent="0.3">
      <c r="C1320" s="2"/>
      <c r="D1320" s="8">
        <v>2023</v>
      </c>
      <c r="E1320" s="14">
        <f>Data!N1320</f>
        <v>474296000000</v>
      </c>
      <c r="F1320" s="14">
        <f>Data!L1320</f>
        <v>1371467000000</v>
      </c>
      <c r="G1320" s="12">
        <f t="shared" si="20"/>
        <v>0.34583114285651789</v>
      </c>
    </row>
    <row r="1321" spans="2:7" ht="15" customHeight="1" x14ac:dyDescent="0.3">
      <c r="C1321" s="2"/>
      <c r="D1321" s="8">
        <v>2024</v>
      </c>
      <c r="E1321" s="14">
        <f>Data!N1321</f>
        <v>690611000000</v>
      </c>
      <c r="F1321" s="14">
        <f>Data!L1321</f>
        <v>1592580000000</v>
      </c>
      <c r="G1321" s="12">
        <f t="shared" si="20"/>
        <v>0.4336428939205566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Data!N1322</f>
        <v>0</v>
      </c>
      <c r="F1322" s="14">
        <f>Data!L1322</f>
        <v>41105000000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Data!N1323</f>
        <v>14059000000</v>
      </c>
      <c r="F1323" s="14">
        <f>Data!L1323</f>
        <v>54040000000</v>
      </c>
      <c r="G1323" s="12">
        <f t="shared" si="20"/>
        <v>0.26015914137675794</v>
      </c>
    </row>
    <row r="1324" spans="2:7" ht="15" customHeight="1" x14ac:dyDescent="0.3">
      <c r="C1324" s="2"/>
      <c r="D1324" s="8">
        <v>2016</v>
      </c>
      <c r="E1324" s="14">
        <f>Data!N1324</f>
        <v>4620000000</v>
      </c>
      <c r="F1324" s="14">
        <f>Data!L1324</f>
        <v>58211000000</v>
      </c>
      <c r="G1324" s="12">
        <f t="shared" si="20"/>
        <v>7.93664427685489E-2</v>
      </c>
    </row>
    <row r="1325" spans="2:7" ht="15" customHeight="1" x14ac:dyDescent="0.3">
      <c r="C1325" s="2"/>
      <c r="D1325" s="8">
        <v>2017</v>
      </c>
      <c r="E1325" s="14">
        <f>Data!N1325</f>
        <v>9322000000</v>
      </c>
      <c r="F1325" s="14">
        <f>Data!L1325</f>
        <v>71467000000</v>
      </c>
      <c r="G1325" s="12">
        <f t="shared" si="20"/>
        <v>0.13043782445044566</v>
      </c>
    </row>
    <row r="1326" spans="2:7" ht="15" customHeight="1" x14ac:dyDescent="0.3">
      <c r="C1326" s="2"/>
      <c r="D1326" s="8">
        <v>2018</v>
      </c>
      <c r="E1326" s="14">
        <f>Data!N1326</f>
        <v>17550000000</v>
      </c>
      <c r="F1326" s="14">
        <f>Data!L1326</f>
        <v>97032000000</v>
      </c>
      <c r="G1326" s="12">
        <f t="shared" si="20"/>
        <v>0.18086816720257234</v>
      </c>
    </row>
    <row r="1327" spans="2:7" ht="15" customHeight="1" x14ac:dyDescent="0.3">
      <c r="C1327" s="2"/>
      <c r="D1327" s="8">
        <v>2019</v>
      </c>
      <c r="E1327" s="14">
        <f>Data!N1327</f>
        <v>19656000000</v>
      </c>
      <c r="F1327" s="14">
        <f>Data!L1327</f>
        <v>134448000000</v>
      </c>
      <c r="G1327" s="12">
        <f t="shared" si="20"/>
        <v>0.14619778650481971</v>
      </c>
    </row>
    <row r="1328" spans="2:7" ht="15" customHeight="1" x14ac:dyDescent="0.3">
      <c r="C1328" s="2"/>
      <c r="D1328" s="8">
        <v>2020</v>
      </c>
      <c r="E1328" s="14">
        <f>Data!N1328</f>
        <v>25920000000</v>
      </c>
      <c r="F1328" s="14">
        <f>Data!L1328</f>
        <v>157549000000</v>
      </c>
      <c r="G1328" s="12">
        <f t="shared" si="20"/>
        <v>0.16452024449536334</v>
      </c>
    </row>
    <row r="1329" spans="2:7" ht="15" customHeight="1" x14ac:dyDescent="0.3">
      <c r="C1329" s="2"/>
      <c r="D1329" s="8">
        <v>2021</v>
      </c>
      <c r="E1329" s="14">
        <f>Data!N1329</f>
        <v>30752000000</v>
      </c>
      <c r="F1329" s="14">
        <f>Data!L1329</f>
        <v>151739000000</v>
      </c>
      <c r="G1329" s="12">
        <f t="shared" si="20"/>
        <v>0.20266378452474315</v>
      </c>
    </row>
    <row r="1330" spans="2:7" ht="15" customHeight="1" x14ac:dyDescent="0.3">
      <c r="C1330" s="2"/>
      <c r="D1330" s="8">
        <v>2022</v>
      </c>
      <c r="E1330" s="14">
        <f>Data!N1330</f>
        <v>56965000000</v>
      </c>
      <c r="F1330" s="14">
        <f>Data!L1330</f>
        <v>201925000000</v>
      </c>
      <c r="G1330" s="12">
        <f t="shared" si="20"/>
        <v>0.28210969419338866</v>
      </c>
    </row>
    <row r="1331" spans="2:7" ht="15" customHeight="1" x14ac:dyDescent="0.3">
      <c r="C1331" s="2"/>
      <c r="D1331" s="8">
        <v>2023</v>
      </c>
      <c r="E1331" s="14">
        <f>Data!N1331</f>
        <v>44483000000</v>
      </c>
      <c r="F1331" s="14">
        <f>Data!L1331</f>
        <v>215537000000</v>
      </c>
      <c r="G1331" s="12">
        <f t="shared" si="20"/>
        <v>0.20638219888000667</v>
      </c>
    </row>
    <row r="1332" spans="2:7" ht="15" customHeight="1" x14ac:dyDescent="0.3">
      <c r="C1332" s="2"/>
      <c r="D1332" s="8">
        <v>2024</v>
      </c>
      <c r="E1332" s="14" t="str">
        <f>Data!N1332</f>
        <v>71158*1e6</v>
      </c>
      <c r="F1332" s="14">
        <f>Data!L1332</f>
        <v>229033000000</v>
      </c>
      <c r="G1332" s="12">
        <f t="shared" si="20"/>
        <v>0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Data!N1333</f>
        <v>0</v>
      </c>
      <c r="F1333" s="14">
        <f>Data!L1333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Data!N1334</f>
        <v>0</v>
      </c>
      <c r="F1334" s="14">
        <f>Data!L1334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Data!N1335</f>
        <v>0</v>
      </c>
      <c r="F1335" s="14">
        <f>Data!L1335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Data!N1336</f>
        <v>0</v>
      </c>
      <c r="F1336" s="14">
        <f>Data!L1336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Data!N1337</f>
        <v>0</v>
      </c>
      <c r="F1337" s="14">
        <f>Data!L1337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Data!N1338</f>
        <v>0</v>
      </c>
      <c r="F1338" s="14">
        <f>Data!L1338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Data!N1339</f>
        <v>0</v>
      </c>
      <c r="F1339" s="14">
        <f>Data!L1339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Data!N1340</f>
        <v>0</v>
      </c>
      <c r="F1340" s="14">
        <f>Data!L1340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Data!N1341</f>
        <v>0</v>
      </c>
      <c r="F1341" s="14">
        <f>Data!L1341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Data!N1342</f>
        <v>0</v>
      </c>
      <c r="F1342" s="14">
        <f>Data!L1342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Data!N1343</f>
        <v>0</v>
      </c>
      <c r="F1343" s="14">
        <f>Data!L1343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Data!N1344</f>
        <v>0</v>
      </c>
      <c r="F1344" s="14">
        <f>Data!L1344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Data!N1345</f>
        <v>0</v>
      </c>
      <c r="F1345" s="14">
        <f>Data!L1345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Data!N1346</f>
        <v>0</v>
      </c>
      <c r="F1346" s="14">
        <f>Data!L1346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Data!N1347</f>
        <v>0</v>
      </c>
      <c r="F1347" s="14">
        <f>Data!L1347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Data!N1348</f>
        <v>0</v>
      </c>
      <c r="F1348" s="14">
        <f>Data!L1348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Data!N1349</f>
        <v>512260665</v>
      </c>
      <c r="F1349" s="14">
        <f>Data!L1349</f>
        <v>51548728015</v>
      </c>
      <c r="G1349" s="12">
        <f t="shared" si="21"/>
        <v>9.9374065030457953E-3</v>
      </c>
    </row>
    <row r="1350" spans="2:7" ht="15" customHeight="1" x14ac:dyDescent="0.3">
      <c r="C1350" s="2"/>
      <c r="D1350" s="8">
        <v>2020</v>
      </c>
      <c r="E1350" s="14">
        <f>Data!N1350</f>
        <v>410214152</v>
      </c>
      <c r="F1350" s="14">
        <f>Data!L1350</f>
        <v>41767867019</v>
      </c>
      <c r="G1350" s="12">
        <f t="shared" si="21"/>
        <v>9.8212856264217555E-3</v>
      </c>
    </row>
    <row r="1351" spans="2:7" ht="15" customHeight="1" x14ac:dyDescent="0.3">
      <c r="C1351" s="2"/>
      <c r="D1351" s="8">
        <v>2021</v>
      </c>
      <c r="E1351" s="14">
        <f>Data!N1351</f>
        <v>2308985768</v>
      </c>
      <c r="F1351" s="14">
        <f>Data!L1351</f>
        <v>82150958142</v>
      </c>
      <c r="G1351" s="12">
        <f t="shared" si="21"/>
        <v>2.8106620059243373E-2</v>
      </c>
    </row>
    <row r="1352" spans="2:7" ht="15" customHeight="1" x14ac:dyDescent="0.3">
      <c r="C1352" s="2"/>
      <c r="D1352" s="8">
        <v>2022</v>
      </c>
      <c r="E1352" s="14">
        <f>Data!N1352</f>
        <v>5810058561</v>
      </c>
      <c r="F1352" s="14">
        <f>Data!L1352</f>
        <v>396161233090</v>
      </c>
      <c r="G1352" s="12">
        <f t="shared" si="21"/>
        <v>1.4665893771791824E-2</v>
      </c>
    </row>
    <row r="1353" spans="2:7" ht="15" customHeight="1" x14ac:dyDescent="0.3">
      <c r="C1353" s="2"/>
      <c r="D1353" s="8">
        <v>2023</v>
      </c>
      <c r="E1353" s="14">
        <f>Data!N1353</f>
        <v>153740775461</v>
      </c>
      <c r="F1353" s="14">
        <f>Data!L1353</f>
        <v>741653631493</v>
      </c>
      <c r="G1353" s="12">
        <f t="shared" si="21"/>
        <v>0.2072945765147933</v>
      </c>
    </row>
    <row r="1354" spans="2:7" ht="15" customHeight="1" x14ac:dyDescent="0.3">
      <c r="C1354" s="2"/>
      <c r="D1354" s="8">
        <v>2024</v>
      </c>
      <c r="E1354" s="14">
        <f>Data!N1354</f>
        <v>89805636099</v>
      </c>
      <c r="F1354" s="14">
        <f>Data!L1354</f>
        <v>1995730212923</v>
      </c>
      <c r="G1354" s="12">
        <f t="shared" si="21"/>
        <v>4.4998885880205348E-2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Data!N1355</f>
        <v>0</v>
      </c>
      <c r="F1355" s="14">
        <f>Data!L1355</f>
        <v>345972193746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Data!N1356</f>
        <v>23304078542</v>
      </c>
      <c r="F1356" s="14">
        <f>Data!L1356</f>
        <v>488027912555</v>
      </c>
      <c r="G1356" s="12">
        <f t="shared" si="21"/>
        <v>4.7751528022228984E-2</v>
      </c>
    </row>
    <row r="1357" spans="2:7" ht="15" customHeight="1" x14ac:dyDescent="0.3">
      <c r="C1357" s="2"/>
      <c r="D1357" s="8">
        <v>2016</v>
      </c>
      <c r="E1357" s="14">
        <f>Data!N1357</f>
        <v>22952083488</v>
      </c>
      <c r="F1357" s="14">
        <f>Data!L1357</f>
        <v>493200051568</v>
      </c>
      <c r="G1357" s="12">
        <f t="shared" si="21"/>
        <v>4.6537066277730264E-2</v>
      </c>
    </row>
    <row r="1358" spans="2:7" ht="15" customHeight="1" x14ac:dyDescent="0.3">
      <c r="C1358" s="2"/>
      <c r="D1358" s="8">
        <v>2017</v>
      </c>
      <c r="E1358" s="14">
        <f>Data!N1358</f>
        <v>-42679419828</v>
      </c>
      <c r="F1358" s="14">
        <f>Data!L1358</f>
        <v>581882610055</v>
      </c>
      <c r="G1358" s="12">
        <f t="shared" si="21"/>
        <v>-7.3347130659164927E-2</v>
      </c>
    </row>
    <row r="1359" spans="2:7" ht="15" customHeight="1" x14ac:dyDescent="0.3">
      <c r="C1359" s="2"/>
      <c r="D1359" s="8">
        <v>2018</v>
      </c>
      <c r="E1359" s="14">
        <f>Data!N1359</f>
        <v>22714000000</v>
      </c>
      <c r="F1359" s="14">
        <f>Data!L1359</f>
        <v>353720000000</v>
      </c>
      <c r="G1359" s="12">
        <f t="shared" si="21"/>
        <v>6.4214633043084932E-2</v>
      </c>
    </row>
    <row r="1360" spans="2:7" ht="15" customHeight="1" x14ac:dyDescent="0.3">
      <c r="C1360" s="2"/>
      <c r="D1360" s="8">
        <v>2019</v>
      </c>
      <c r="E1360" s="14">
        <f>Data!N1360</f>
        <v>16900000000</v>
      </c>
      <c r="F1360" s="14">
        <f>Data!L1360</f>
        <v>75804000000</v>
      </c>
      <c r="G1360" s="12">
        <f t="shared" si="21"/>
        <v>0.22294338029655428</v>
      </c>
    </row>
    <row r="1361" spans="2:7" ht="15" customHeight="1" x14ac:dyDescent="0.3">
      <c r="C1361" s="2"/>
      <c r="D1361" s="8">
        <v>2020</v>
      </c>
      <c r="E1361" s="14">
        <f>Data!N1361</f>
        <v>23078000000</v>
      </c>
      <c r="F1361" s="14">
        <f>Data!L1361</f>
        <v>210372000000</v>
      </c>
      <c r="G1361" s="12">
        <f t="shared" si="21"/>
        <v>0.10970091076759264</v>
      </c>
    </row>
    <row r="1362" spans="2:7" ht="15" customHeight="1" x14ac:dyDescent="0.3">
      <c r="C1362" s="2"/>
      <c r="D1362" s="8">
        <v>2021</v>
      </c>
      <c r="E1362" s="14">
        <f>Data!N1362</f>
        <v>35617000000</v>
      </c>
      <c r="F1362" s="14">
        <f>Data!L1362</f>
        <v>215919000000</v>
      </c>
      <c r="G1362" s="12">
        <f t="shared" si="21"/>
        <v>0.16495537678481281</v>
      </c>
    </row>
    <row r="1363" spans="2:7" ht="15" customHeight="1" x14ac:dyDescent="0.3">
      <c r="C1363" s="2"/>
      <c r="D1363" s="8">
        <v>2022</v>
      </c>
      <c r="E1363" s="14">
        <f>Data!N1363</f>
        <v>-60964000000</v>
      </c>
      <c r="F1363" s="14">
        <f>Data!L1363</f>
        <v>186943000000</v>
      </c>
      <c r="G1363" s="12">
        <f t="shared" si="21"/>
        <v>-0.32611009773032423</v>
      </c>
    </row>
    <row r="1364" spans="2:7" ht="15" customHeight="1" x14ac:dyDescent="0.3">
      <c r="C1364" s="2"/>
      <c r="D1364" s="8">
        <v>2023</v>
      </c>
      <c r="E1364" s="14">
        <f>Data!N1364</f>
        <v>32571000000</v>
      </c>
      <c r="F1364" s="14">
        <f>Data!L1364</f>
        <v>295223000000</v>
      </c>
      <c r="G1364" s="12">
        <f t="shared" si="21"/>
        <v>0.11032676993323691</v>
      </c>
    </row>
    <row r="1365" spans="2:7" ht="15" customHeight="1" x14ac:dyDescent="0.3">
      <c r="C1365" s="2"/>
      <c r="D1365" s="8">
        <v>2024</v>
      </c>
      <c r="E1365" s="14">
        <f>Data!N1365</f>
        <v>48042000000</v>
      </c>
      <c r="F1365" s="14">
        <f>Data!L1365</f>
        <v>322707000000</v>
      </c>
      <c r="G1365" s="12">
        <f t="shared" si="21"/>
        <v>0.14887188688190836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Data!N1366</f>
        <v>0</v>
      </c>
      <c r="F1366" s="14">
        <f>Data!L1366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Data!N1367</f>
        <v>0</v>
      </c>
      <c r="F1367" s="14">
        <f>Data!L1367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Data!N1368</f>
        <v>0</v>
      </c>
      <c r="F1368" s="14">
        <f>Data!L1368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Data!N1369</f>
        <v>0</v>
      </c>
      <c r="F1369" s="14">
        <f>Data!L1369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Data!N1370</f>
        <v>0</v>
      </c>
      <c r="F1370" s="14">
        <f>Data!L1370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Data!N1371</f>
        <v>0</v>
      </c>
      <c r="F1371" s="14">
        <f>Data!L1371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Data!N1372</f>
        <v>0</v>
      </c>
      <c r="F1372" s="14">
        <f>Data!L1372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Data!N1373</f>
        <v>0</v>
      </c>
      <c r="F1373" s="14">
        <f>Data!L1373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Data!N1374</f>
        <v>0</v>
      </c>
      <c r="F1374" s="14">
        <f>Data!L1374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Data!N1375</f>
        <v>0</v>
      </c>
      <c r="F1375" s="14">
        <f>Data!L1375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Data!N1376</f>
        <v>0</v>
      </c>
      <c r="F1376" s="14">
        <f>Data!L1376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Data!N1377</f>
        <v>0</v>
      </c>
      <c r="F1377" s="14">
        <f>Data!L1377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Data!N1378</f>
        <v>0</v>
      </c>
      <c r="F1378" s="14">
        <f>Data!L1378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Data!N1379</f>
        <v>83158110807</v>
      </c>
      <c r="F1379" s="14">
        <f>Data!L1379</f>
        <v>991830802448</v>
      </c>
      <c r="G1379" s="12">
        <f t="shared" si="21"/>
        <v>8.3843041173708499E-2</v>
      </c>
    </row>
    <row r="1380" spans="2:7" ht="15" customHeight="1" x14ac:dyDescent="0.3">
      <c r="C1380" s="2"/>
      <c r="D1380" s="8">
        <v>2017</v>
      </c>
      <c r="E1380" s="14">
        <f>Data!N1380</f>
        <v>91874383925</v>
      </c>
      <c r="F1380" s="14">
        <f>Data!L1380</f>
        <v>1107453771288</v>
      </c>
      <c r="G1380" s="12">
        <f t="shared" si="21"/>
        <v>8.2960017209700324E-2</v>
      </c>
    </row>
    <row r="1381" spans="2:7" ht="15" customHeight="1" x14ac:dyDescent="0.3">
      <c r="C1381" s="2"/>
      <c r="D1381" s="8">
        <v>2018</v>
      </c>
      <c r="E1381" s="14">
        <f>Data!N1381</f>
        <v>68687123783</v>
      </c>
      <c r="F1381" s="14">
        <f>Data!L1381</f>
        <v>1132421357486</v>
      </c>
      <c r="G1381" s="12">
        <f t="shared" si="21"/>
        <v>6.0655093909114277E-2</v>
      </c>
    </row>
    <row r="1382" spans="2:7" ht="15" customHeight="1" x14ac:dyDescent="0.3">
      <c r="C1382" s="2"/>
      <c r="D1382" s="8">
        <v>2019</v>
      </c>
      <c r="E1382" s="14">
        <f>Data!N1382</f>
        <v>80002543527</v>
      </c>
      <c r="F1382" s="14">
        <f>Data!L1382</f>
        <v>1167490752228</v>
      </c>
      <c r="G1382" s="12">
        <f t="shared" si="21"/>
        <v>6.852520533830854E-2</v>
      </c>
    </row>
    <row r="1383" spans="2:7" ht="15" customHeight="1" x14ac:dyDescent="0.3">
      <c r="C1383" s="2"/>
      <c r="D1383" s="8">
        <v>2020</v>
      </c>
      <c r="E1383" s="14">
        <f>Data!N1383</f>
        <v>92908485040</v>
      </c>
      <c r="F1383" s="14">
        <f>Data!L1383</f>
        <v>1220142637207</v>
      </c>
      <c r="G1383" s="12">
        <f t="shared" si="21"/>
        <v>7.6145593315773835E-2</v>
      </c>
    </row>
    <row r="1384" spans="2:7" ht="15" customHeight="1" x14ac:dyDescent="0.3">
      <c r="C1384" s="2"/>
      <c r="D1384" s="8">
        <v>2021</v>
      </c>
      <c r="E1384" s="14">
        <f>Data!N1384</f>
        <v>98384767320</v>
      </c>
      <c r="F1384" s="14">
        <f>Data!L1384</f>
        <v>1753770002196</v>
      </c>
      <c r="G1384" s="12">
        <f t="shared" si="21"/>
        <v>5.6099013665877835E-2</v>
      </c>
    </row>
    <row r="1385" spans="2:7" ht="15" customHeight="1" x14ac:dyDescent="0.3">
      <c r="C1385" s="2"/>
      <c r="D1385" s="8">
        <v>2022</v>
      </c>
      <c r="E1385" s="14">
        <f>Data!N1385</f>
        <v>73838714374</v>
      </c>
      <c r="F1385" s="14">
        <f>Data!L1385</f>
        <v>2076116617010</v>
      </c>
      <c r="G1385" s="12">
        <f t="shared" si="21"/>
        <v>3.5565783621703144E-2</v>
      </c>
    </row>
    <row r="1386" spans="2:7" ht="15" customHeight="1" x14ac:dyDescent="0.3">
      <c r="C1386" s="2"/>
      <c r="D1386" s="8">
        <v>2023</v>
      </c>
      <c r="E1386" s="14">
        <f>Data!N1386</f>
        <v>24885327757</v>
      </c>
      <c r="F1386" s="14">
        <f>Data!L1386</f>
        <v>3019681482377</v>
      </c>
      <c r="G1386" s="12">
        <f t="shared" si="21"/>
        <v>8.2410439320279028E-3</v>
      </c>
    </row>
    <row r="1387" spans="2:7" ht="15" customHeight="1" x14ac:dyDescent="0.3">
      <c r="C1387" s="2"/>
      <c r="D1387" s="8">
        <v>2024</v>
      </c>
      <c r="E1387" s="14">
        <f>Data!N1387</f>
        <v>62274344673</v>
      </c>
      <c r="F1387" s="14">
        <f>Data!L1387</f>
        <v>2832633660661</v>
      </c>
      <c r="G1387" s="12">
        <f t="shared" si="21"/>
        <v>2.1984609424738732E-2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Data!N1388</f>
        <v>0</v>
      </c>
      <c r="F1388" s="14">
        <f>Data!L1388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Data!N1389</f>
        <v>0</v>
      </c>
      <c r="F1389" s="14">
        <f>Data!L1389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>
        <f>Data!N1390</f>
        <v>-5008301835</v>
      </c>
      <c r="F1390" s="14">
        <f>Data!L1390</f>
        <v>32814112511</v>
      </c>
      <c r="G1390" s="12">
        <f t="shared" si="21"/>
        <v>-0.15262646013422149</v>
      </c>
    </row>
    <row r="1391" spans="2:7" ht="15" customHeight="1" x14ac:dyDescent="0.3">
      <c r="C1391" s="2"/>
      <c r="D1391" s="8">
        <v>2017</v>
      </c>
      <c r="E1391" s="14">
        <f>Data!N1391</f>
        <v>-3567096668</v>
      </c>
      <c r="F1391" s="14">
        <f>Data!L1391</f>
        <v>35894869522</v>
      </c>
      <c r="G1391" s="12">
        <f t="shared" si="21"/>
        <v>-9.937622605965242E-2</v>
      </c>
    </row>
    <row r="1392" spans="2:7" ht="15" customHeight="1" x14ac:dyDescent="0.3">
      <c r="C1392" s="2"/>
      <c r="D1392" s="8">
        <v>2018</v>
      </c>
      <c r="E1392" s="14">
        <f>Data!N1392</f>
        <v>907382305</v>
      </c>
      <c r="F1392" s="14">
        <f>Data!L1392</f>
        <v>33779663734</v>
      </c>
      <c r="G1392" s="12">
        <f t="shared" si="21"/>
        <v>2.6861792116855771E-2</v>
      </c>
    </row>
    <row r="1393" spans="2:7" ht="15" customHeight="1" x14ac:dyDescent="0.3">
      <c r="C1393" s="2"/>
      <c r="D1393" s="8">
        <v>2019</v>
      </c>
      <c r="E1393" s="14">
        <f>Data!N1393</f>
        <v>991432600</v>
      </c>
      <c r="F1393" s="14">
        <f>Data!L1393</f>
        <v>37487004816</v>
      </c>
      <c r="G1393" s="12">
        <f t="shared" si="21"/>
        <v>2.6447367690918912E-2</v>
      </c>
    </row>
    <row r="1394" spans="2:7" ht="15" customHeight="1" x14ac:dyDescent="0.3">
      <c r="C1394" s="2"/>
      <c r="D1394" s="8">
        <v>2020</v>
      </c>
      <c r="E1394" s="14">
        <f>Data!N1394</f>
        <v>3061017413</v>
      </c>
      <c r="F1394" s="14">
        <f>Data!L1394</f>
        <v>37142295235</v>
      </c>
      <c r="G1394" s="12">
        <f t="shared" si="21"/>
        <v>8.2413254044557169E-2</v>
      </c>
    </row>
    <row r="1395" spans="2:7" ht="15" customHeight="1" x14ac:dyDescent="0.3">
      <c r="C1395" s="2"/>
      <c r="D1395" s="8">
        <v>2021</v>
      </c>
      <c r="E1395" s="14">
        <f>Data!N1395</f>
        <v>3790417710</v>
      </c>
      <c r="F1395" s="14">
        <f>Data!L1395</f>
        <v>33721535617</v>
      </c>
      <c r="G1395" s="12">
        <f t="shared" si="21"/>
        <v>0.11240347275552721</v>
      </c>
    </row>
    <row r="1396" spans="2:7" ht="15" customHeight="1" x14ac:dyDescent="0.3">
      <c r="C1396" s="2"/>
      <c r="D1396" s="8">
        <v>2022</v>
      </c>
      <c r="E1396" s="14">
        <f>Data!N1396</f>
        <v>-8188437794</v>
      </c>
      <c r="F1396" s="14">
        <f>Data!L1396</f>
        <v>23719139810</v>
      </c>
      <c r="G1396" s="12">
        <f t="shared" si="21"/>
        <v>-0.34522490527028937</v>
      </c>
    </row>
    <row r="1397" spans="2:7" ht="15" customHeight="1" x14ac:dyDescent="0.3">
      <c r="C1397" s="2"/>
      <c r="D1397" s="8">
        <v>2023</v>
      </c>
      <c r="E1397" s="14">
        <f>Data!N1397</f>
        <v>12901352409</v>
      </c>
      <c r="F1397" s="14">
        <f>Data!L1397</f>
        <v>57472501827</v>
      </c>
      <c r="G1397" s="12">
        <f t="shared" si="21"/>
        <v>0.22447869848844956</v>
      </c>
    </row>
    <row r="1398" spans="2:7" ht="15" customHeight="1" x14ac:dyDescent="0.3">
      <c r="C1398" s="2"/>
      <c r="D1398" s="8">
        <v>2024</v>
      </c>
      <c r="E1398" s="14">
        <f>Data!N1398</f>
        <v>75510200038</v>
      </c>
      <c r="F1398" s="14">
        <f>Data!L1398</f>
        <v>153349569456</v>
      </c>
      <c r="G1398" s="12">
        <f t="shared" si="21"/>
        <v>0.49240568660132983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Data!N1399</f>
        <v>0</v>
      </c>
      <c r="F1399" s="14">
        <f>Data!L1399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Data!N1400</f>
        <v>0</v>
      </c>
      <c r="F1400" s="14">
        <f>Data!L1400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Data!N1401</f>
        <v>0</v>
      </c>
      <c r="F1401" s="14">
        <f>Data!L1401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Data!N1402</f>
        <v>0</v>
      </c>
      <c r="F1402" s="14">
        <f>Data!L1402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Data!N1403</f>
        <v>23323000000</v>
      </c>
      <c r="F1403" s="14">
        <f>Data!L1403</f>
        <v>52082000000</v>
      </c>
      <c r="G1403" s="12">
        <f t="shared" si="21"/>
        <v>0.44781306401443877</v>
      </c>
    </row>
    <row r="1404" spans="2:7" ht="15" customHeight="1" x14ac:dyDescent="0.3">
      <c r="C1404" s="2"/>
      <c r="D1404" s="8">
        <v>2019</v>
      </c>
      <c r="E1404" s="14">
        <f>Data!N1404</f>
        <v>21274000000</v>
      </c>
      <c r="F1404" s="14">
        <f>Data!L1404</f>
        <v>51544000000</v>
      </c>
      <c r="G1404" s="12">
        <f t="shared" si="21"/>
        <v>0.41273475089244138</v>
      </c>
    </row>
    <row r="1405" spans="2:7" ht="15" customHeight="1" x14ac:dyDescent="0.3">
      <c r="C1405" s="2"/>
      <c r="D1405" s="8">
        <v>2020</v>
      </c>
      <c r="E1405" s="14">
        <f>Data!N1405</f>
        <v>17904000000</v>
      </c>
      <c r="F1405" s="14">
        <f>Data!L1405</f>
        <v>51357000000</v>
      </c>
      <c r="G1405" s="12">
        <f t="shared" si="21"/>
        <v>0.34861849407091533</v>
      </c>
    </row>
    <row r="1406" spans="2:7" ht="15" customHeight="1" x14ac:dyDescent="0.3">
      <c r="C1406" s="2"/>
      <c r="D1406" s="8">
        <v>2021</v>
      </c>
      <c r="E1406" s="14">
        <f>Data!N1406</f>
        <v>24732000000</v>
      </c>
      <c r="F1406" s="14">
        <f>Data!L1406</f>
        <v>55091000000</v>
      </c>
      <c r="G1406" s="12">
        <f t="shared" si="21"/>
        <v>0.44892995226080484</v>
      </c>
    </row>
    <row r="1407" spans="2:7" ht="15" customHeight="1" x14ac:dyDescent="0.3">
      <c r="C1407" s="2"/>
      <c r="D1407" s="8">
        <v>2022</v>
      </c>
      <c r="E1407" s="14">
        <f>Data!N1407</f>
        <v>29909000000</v>
      </c>
      <c r="F1407" s="14">
        <f>Data!L1407</f>
        <v>59097000000</v>
      </c>
      <c r="G1407" s="12">
        <f t="shared" si="21"/>
        <v>0.50610014044706164</v>
      </c>
    </row>
    <row r="1408" spans="2:7" ht="15" customHeight="1" x14ac:dyDescent="0.3">
      <c r="C1408" s="2"/>
      <c r="D1408" s="8">
        <v>2023</v>
      </c>
      <c r="E1408" s="14">
        <f>Data!N1408</f>
        <v>22628000000</v>
      </c>
      <c r="F1408" s="14">
        <f>Data!L1408</f>
        <v>64916000000</v>
      </c>
      <c r="G1408" s="12">
        <f t="shared" si="21"/>
        <v>0.34857354119169387</v>
      </c>
    </row>
    <row r="1409" spans="2:7" ht="15" customHeight="1" x14ac:dyDescent="0.3">
      <c r="C1409" s="2"/>
      <c r="D1409" s="8">
        <v>2024</v>
      </c>
      <c r="E1409" s="14">
        <f>Data!N1409</f>
        <v>14218000000</v>
      </c>
      <c r="F1409" s="14">
        <f>Data!L1409</f>
        <v>53424000000</v>
      </c>
      <c r="G1409" s="12">
        <f t="shared" si="21"/>
        <v>0.26613507038035339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Data!N1410</f>
        <v>0</v>
      </c>
      <c r="F1410" s="14">
        <f>Data!L1410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>
        <f>Data!N1411</f>
        <v>3914000000</v>
      </c>
      <c r="F1411" s="14">
        <f>Data!L1411</f>
        <v>86058000000</v>
      </c>
      <c r="G1411" s="12">
        <f t="shared" ref="G1411:G1474" si="22">IFERROR(E1411/F1411,0)</f>
        <v>4.5480954704966416E-2</v>
      </c>
    </row>
    <row r="1412" spans="2:7" ht="15" customHeight="1" x14ac:dyDescent="0.3">
      <c r="C1412" s="2"/>
      <c r="D1412" s="8">
        <v>2016</v>
      </c>
      <c r="E1412" s="14">
        <f>Data!N1412</f>
        <v>6404000000</v>
      </c>
      <c r="F1412" s="14">
        <f>Data!L1412</f>
        <v>103602000000</v>
      </c>
      <c r="G1412" s="12">
        <f t="shared" si="22"/>
        <v>6.181347850427598E-2</v>
      </c>
    </row>
    <row r="1413" spans="2:7" ht="15" customHeight="1" x14ac:dyDescent="0.3">
      <c r="C1413" s="2"/>
      <c r="D1413" s="8">
        <v>2017</v>
      </c>
      <c r="E1413" s="14">
        <f>Data!N1413</f>
        <v>-260000000</v>
      </c>
      <c r="F1413" s="14">
        <f>Data!L1413</f>
        <v>150317000000</v>
      </c>
      <c r="G1413" s="12">
        <f t="shared" si="22"/>
        <v>-1.7296779472714329E-3</v>
      </c>
    </row>
    <row r="1414" spans="2:7" ht="15" customHeight="1" x14ac:dyDescent="0.3">
      <c r="C1414" s="2"/>
      <c r="D1414" s="8">
        <v>2018</v>
      </c>
      <c r="E1414" s="14">
        <f>Data!N1414</f>
        <v>10946000000</v>
      </c>
      <c r="F1414" s="14">
        <f>Data!L1414</f>
        <v>188972000000</v>
      </c>
      <c r="G1414" s="12">
        <f t="shared" si="22"/>
        <v>5.7923925237601336E-2</v>
      </c>
    </row>
    <row r="1415" spans="2:7" ht="15" customHeight="1" x14ac:dyDescent="0.3">
      <c r="C1415" s="2"/>
      <c r="D1415" s="8">
        <v>2019</v>
      </c>
      <c r="E1415" s="14">
        <f>Data!N1415</f>
        <v>5680000000</v>
      </c>
      <c r="F1415" s="14">
        <f>Data!L1415</f>
        <v>193336000000</v>
      </c>
      <c r="G1415" s="12">
        <f t="shared" si="22"/>
        <v>2.937890511855009E-2</v>
      </c>
    </row>
    <row r="1416" spans="2:7" ht="15" customHeight="1" x14ac:dyDescent="0.3">
      <c r="C1416" s="2"/>
      <c r="D1416" s="8">
        <v>2020</v>
      </c>
      <c r="E1416" s="14">
        <f>Data!N1416</f>
        <v>2437000000</v>
      </c>
      <c r="F1416" s="14">
        <f>Data!L1416</f>
        <v>191609000000</v>
      </c>
      <c r="G1416" s="12">
        <f t="shared" si="22"/>
        <v>1.271860925113121E-2</v>
      </c>
    </row>
    <row r="1417" spans="2:7" ht="15" customHeight="1" x14ac:dyDescent="0.3">
      <c r="C1417" s="2"/>
      <c r="D1417" s="8">
        <v>2021</v>
      </c>
      <c r="E1417" s="14">
        <f>Data!N1417</f>
        <v>14164000000</v>
      </c>
      <c r="F1417" s="14">
        <f>Data!L1417</f>
        <v>212218000000</v>
      </c>
      <c r="G1417" s="12">
        <f t="shared" si="22"/>
        <v>6.674268912156367E-2</v>
      </c>
    </row>
    <row r="1418" spans="2:7" ht="15" customHeight="1" x14ac:dyDescent="0.3">
      <c r="C1418" s="2"/>
      <c r="D1418" s="8">
        <v>2022</v>
      </c>
      <c r="E1418" s="14">
        <f>Data!N1418</f>
        <v>10766000000</v>
      </c>
      <c r="F1418" s="14">
        <f>Data!L1418</f>
        <v>245380000000</v>
      </c>
      <c r="G1418" s="12">
        <f t="shared" si="22"/>
        <v>4.3874806422691336E-2</v>
      </c>
    </row>
    <row r="1419" spans="2:7" ht="15" customHeight="1" x14ac:dyDescent="0.3">
      <c r="C1419" s="2"/>
      <c r="D1419" s="8">
        <v>2023</v>
      </c>
      <c r="E1419" s="14">
        <f>Data!N1419</f>
        <v>41018000000</v>
      </c>
      <c r="F1419" s="14">
        <f>Data!L1419</f>
        <v>258913000000</v>
      </c>
      <c r="G1419" s="12">
        <f t="shared" si="22"/>
        <v>0.15842387211148146</v>
      </c>
    </row>
    <row r="1420" spans="2:7" ht="15" customHeight="1" x14ac:dyDescent="0.3">
      <c r="C1420" s="2"/>
      <c r="D1420" s="8">
        <v>2024</v>
      </c>
      <c r="E1420" s="14">
        <f>Data!N1420</f>
        <v>-4911000000</v>
      </c>
      <c r="F1420" s="14">
        <f>Data!L1420</f>
        <v>292171000000</v>
      </c>
      <c r="G1420" s="12">
        <f t="shared" si="22"/>
        <v>-1.6808649729097E-2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Data!N1421</f>
        <v>0</v>
      </c>
      <c r="F1421" s="14">
        <f>Data!L1421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Data!N1422</f>
        <v>0</v>
      </c>
      <c r="F1422" s="14">
        <f>Data!L1422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Data!N1423</f>
        <v>0</v>
      </c>
      <c r="F1423" s="14">
        <f>Data!L1423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Data!N1424</f>
        <v>0</v>
      </c>
      <c r="F1424" s="14">
        <f>Data!L1424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Data!N1425</f>
        <v>0</v>
      </c>
      <c r="F1425" s="14">
        <f>Data!L1425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Data!N1426</f>
        <v>814000000</v>
      </c>
      <c r="F1426" s="14">
        <f>Data!L1426</f>
        <v>381655000000</v>
      </c>
      <c r="G1426" s="12">
        <f t="shared" si="22"/>
        <v>2.1328162869607369E-3</v>
      </c>
    </row>
    <row r="1427" spans="2:7" ht="15" customHeight="1" x14ac:dyDescent="0.3">
      <c r="C1427" s="2"/>
      <c r="D1427" s="8">
        <v>2020</v>
      </c>
      <c r="E1427" s="14">
        <f>Data!N1427</f>
        <v>-25009000000</v>
      </c>
      <c r="F1427" s="14">
        <f>Data!L1427</f>
        <v>161479000000</v>
      </c>
      <c r="G1427" s="12">
        <f t="shared" si="22"/>
        <v>-0.15487462766056267</v>
      </c>
    </row>
    <row r="1428" spans="2:7" ht="15" customHeight="1" x14ac:dyDescent="0.3">
      <c r="C1428" s="2"/>
      <c r="D1428" s="8">
        <v>2021</v>
      </c>
      <c r="E1428" s="14">
        <f>Data!N1428</f>
        <v>-123474000000</v>
      </c>
      <c r="F1428" s="14">
        <f>Data!L1428</f>
        <v>44925000000</v>
      </c>
      <c r="G1428" s="12">
        <f t="shared" si="22"/>
        <v>-2.7484474123539231</v>
      </c>
    </row>
    <row r="1429" spans="2:7" ht="15" customHeight="1" x14ac:dyDescent="0.3">
      <c r="C1429" s="2"/>
      <c r="D1429" s="8">
        <v>2022</v>
      </c>
      <c r="E1429" s="14">
        <f>Data!N1429</f>
        <v>-6667000000</v>
      </c>
      <c r="F1429" s="14">
        <f>Data!L1429</f>
        <v>110084000000</v>
      </c>
      <c r="G1429" s="12">
        <f t="shared" si="22"/>
        <v>-6.0562842919952037E-2</v>
      </c>
    </row>
    <row r="1430" spans="2:7" ht="15" customHeight="1" x14ac:dyDescent="0.3">
      <c r="C1430" s="2"/>
      <c r="D1430" s="8">
        <v>2023</v>
      </c>
      <c r="E1430" s="14">
        <f>Data!N1430</f>
        <v>17617000000</v>
      </c>
      <c r="F1430" s="14">
        <f>Data!L1430</f>
        <v>135424000000</v>
      </c>
      <c r="G1430" s="12">
        <f t="shared" si="22"/>
        <v>0.13008772448015124</v>
      </c>
    </row>
    <row r="1431" spans="2:7" ht="15" customHeight="1" x14ac:dyDescent="0.3">
      <c r="C1431" s="2"/>
      <c r="D1431" s="8">
        <v>2024</v>
      </c>
      <c r="E1431" s="14">
        <f>Data!N1431</f>
        <v>1297000000</v>
      </c>
      <c r="F1431" s="14">
        <f>Data!L1431</f>
        <v>136552000000</v>
      </c>
      <c r="G1431" s="12">
        <f t="shared" si="22"/>
        <v>9.4982131349229601E-3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Data!N1432</f>
        <v>0</v>
      </c>
      <c r="F1432" s="14">
        <f>Data!L1432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Data!N1433</f>
        <v>66607000000</v>
      </c>
      <c r="F1433" s="14">
        <f>Data!L1433</f>
        <v>315063000000</v>
      </c>
      <c r="G1433" s="12">
        <f t="shared" si="22"/>
        <v>0.21140851194840396</v>
      </c>
    </row>
    <row r="1434" spans="2:7" ht="15" customHeight="1" x14ac:dyDescent="0.3">
      <c r="C1434" s="2"/>
      <c r="D1434" s="8">
        <v>2016</v>
      </c>
      <c r="E1434" s="14">
        <f>Data!N1434</f>
        <v>56491000000</v>
      </c>
      <c r="F1434" s="14">
        <f>Data!L1434</f>
        <v>413992000000</v>
      </c>
      <c r="G1434" s="12">
        <f t="shared" si="22"/>
        <v>0.1364543276198574</v>
      </c>
    </row>
    <row r="1435" spans="2:7" ht="15" customHeight="1" x14ac:dyDescent="0.3">
      <c r="C1435" s="2"/>
      <c r="D1435" s="8">
        <v>2017</v>
      </c>
      <c r="E1435" s="14">
        <f>Data!N1435</f>
        <v>-27944000000</v>
      </c>
      <c r="F1435" s="14">
        <f>Data!L1435</f>
        <v>563631000000</v>
      </c>
      <c r="G1435" s="12">
        <f t="shared" si="22"/>
        <v>-4.9578536311877808E-2</v>
      </c>
    </row>
    <row r="1436" spans="2:7" ht="15" customHeight="1" x14ac:dyDescent="0.3">
      <c r="C1436" s="2"/>
      <c r="D1436" s="8">
        <v>2018</v>
      </c>
      <c r="E1436" s="14">
        <f>Data!N1436</f>
        <v>32928000000</v>
      </c>
      <c r="F1436" s="14">
        <f>Data!L1436</f>
        <v>772746000000</v>
      </c>
      <c r="G1436" s="12">
        <f t="shared" si="22"/>
        <v>4.2611673175920677E-2</v>
      </c>
    </row>
    <row r="1437" spans="2:7" ht="15" customHeight="1" x14ac:dyDescent="0.3">
      <c r="C1437" s="2"/>
      <c r="D1437" s="8">
        <v>2019</v>
      </c>
      <c r="E1437" s="14">
        <f>Data!N1437</f>
        <v>88202000000</v>
      </c>
      <c r="F1437" s="14">
        <f>Data!L1437</f>
        <v>852489000000</v>
      </c>
      <c r="G1437" s="12">
        <f t="shared" si="22"/>
        <v>0.10346409161877748</v>
      </c>
    </row>
    <row r="1438" spans="2:7" ht="15" customHeight="1" x14ac:dyDescent="0.3">
      <c r="C1438" s="2"/>
      <c r="D1438" s="8">
        <v>2020</v>
      </c>
      <c r="E1438" s="14">
        <f>Data!N1438</f>
        <v>106353000000</v>
      </c>
      <c r="F1438" s="14">
        <f>Data!L1438</f>
        <v>924588000000</v>
      </c>
      <c r="G1438" s="12">
        <f t="shared" si="22"/>
        <v>0.11502745006424483</v>
      </c>
    </row>
    <row r="1439" spans="2:7" ht="15" customHeight="1" x14ac:dyDescent="0.3">
      <c r="C1439" s="2"/>
      <c r="D1439" s="8">
        <v>2021</v>
      </c>
      <c r="E1439" s="14">
        <f>Data!N1439</f>
        <v>91639000000</v>
      </c>
      <c r="F1439" s="14">
        <f>Data!L1439</f>
        <v>933267000000</v>
      </c>
      <c r="G1439" s="12">
        <f t="shared" si="22"/>
        <v>9.8191621475954893E-2</v>
      </c>
    </row>
    <row r="1440" spans="2:7" ht="15" customHeight="1" x14ac:dyDescent="0.3">
      <c r="C1440" s="2"/>
      <c r="D1440" s="8">
        <v>2022</v>
      </c>
      <c r="E1440" s="14">
        <f>Data!N1440</f>
        <v>66141000000</v>
      </c>
      <c r="F1440" s="14">
        <f>Data!L1440</f>
        <v>1021414000000</v>
      </c>
      <c r="G1440" s="12">
        <f t="shared" si="22"/>
        <v>6.4754350341781106E-2</v>
      </c>
    </row>
    <row r="1441" spans="2:7" ht="15" customHeight="1" x14ac:dyDescent="0.3">
      <c r="C1441" s="2"/>
      <c r="D1441" s="8">
        <v>2023</v>
      </c>
      <c r="E1441" s="14">
        <f>Data!N1441</f>
        <v>103002000000</v>
      </c>
      <c r="F1441" s="14">
        <f>Data!L1441</f>
        <v>1197258000000</v>
      </c>
      <c r="G1441" s="12">
        <f t="shared" si="22"/>
        <v>8.6031582165247589E-2</v>
      </c>
    </row>
    <row r="1442" spans="2:7" ht="15" customHeight="1" x14ac:dyDescent="0.3">
      <c r="C1442" s="2"/>
      <c r="D1442" s="8">
        <v>2024</v>
      </c>
      <c r="E1442" s="14">
        <f>Data!N1442</f>
        <v>155838000000</v>
      </c>
      <c r="F1442" s="14">
        <f>Data!L1442</f>
        <v>1152024000000</v>
      </c>
      <c r="G1442" s="12">
        <f t="shared" si="22"/>
        <v>0.13527322347451096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Data!N1443</f>
        <v>0</v>
      </c>
      <c r="F1443" s="14">
        <f>Data!L1443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Data!N1444</f>
        <v>0</v>
      </c>
      <c r="F1444" s="14">
        <f>Data!L1444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Data!N1445</f>
        <v>-4551000000</v>
      </c>
      <c r="F1445" s="14">
        <f>Data!L1445</f>
        <v>74875000000</v>
      </c>
      <c r="G1445" s="12">
        <f t="shared" si="22"/>
        <v>-6.0781302170283803E-2</v>
      </c>
    </row>
    <row r="1446" spans="2:7" ht="15" customHeight="1" x14ac:dyDescent="0.3">
      <c r="C1446" s="2"/>
      <c r="D1446" s="8">
        <v>2017</v>
      </c>
      <c r="E1446" s="14">
        <f>Data!N1446</f>
        <v>1580000000</v>
      </c>
      <c r="F1446" s="14">
        <f>Data!L1446</f>
        <v>87387000000</v>
      </c>
      <c r="G1446" s="12">
        <f t="shared" si="22"/>
        <v>1.8080492521770974E-2</v>
      </c>
    </row>
    <row r="1447" spans="2:7" ht="15" customHeight="1" x14ac:dyDescent="0.3">
      <c r="C1447" s="2"/>
      <c r="D1447" s="8">
        <v>2018</v>
      </c>
      <c r="E1447" s="14">
        <f>Data!N1447</f>
        <v>4358000000</v>
      </c>
      <c r="F1447" s="14">
        <f>Data!L1447</f>
        <v>114500000000</v>
      </c>
      <c r="G1447" s="12">
        <f t="shared" si="22"/>
        <v>3.8061135371179042E-2</v>
      </c>
    </row>
    <row r="1448" spans="2:7" ht="15" customHeight="1" x14ac:dyDescent="0.3">
      <c r="C1448" s="2"/>
      <c r="D1448" s="8">
        <v>2019</v>
      </c>
      <c r="E1448" s="14">
        <f>Data!N1448</f>
        <v>4698000000</v>
      </c>
      <c r="F1448" s="14">
        <f>Data!L1448</f>
        <v>157721000000</v>
      </c>
      <c r="G1448" s="12">
        <f t="shared" si="22"/>
        <v>2.9786775381845158E-2</v>
      </c>
    </row>
    <row r="1449" spans="2:7" ht="15" customHeight="1" x14ac:dyDescent="0.3">
      <c r="C1449" s="2"/>
      <c r="D1449" s="8">
        <v>2020</v>
      </c>
      <c r="E1449" s="14">
        <f>Data!N1449</f>
        <v>8366000000</v>
      </c>
      <c r="F1449" s="14">
        <f>Data!L1449</f>
        <v>181721000000</v>
      </c>
      <c r="G1449" s="12">
        <f t="shared" si="22"/>
        <v>4.6037607100995484E-2</v>
      </c>
    </row>
    <row r="1450" spans="2:7" ht="15" customHeight="1" x14ac:dyDescent="0.3">
      <c r="C1450" s="2"/>
      <c r="D1450" s="8">
        <v>2021</v>
      </c>
      <c r="E1450" s="14">
        <f>Data!N1450</f>
        <v>12131000000</v>
      </c>
      <c r="F1450" s="14">
        <f>Data!L1450</f>
        <v>223424000000</v>
      </c>
      <c r="G1450" s="12">
        <f t="shared" si="22"/>
        <v>5.4295867946147235E-2</v>
      </c>
    </row>
    <row r="1451" spans="2:7" ht="15" customHeight="1" x14ac:dyDescent="0.3">
      <c r="C1451" s="2"/>
      <c r="D1451" s="8">
        <v>2022</v>
      </c>
      <c r="E1451" s="14">
        <f>Data!N1451</f>
        <v>-8607000000</v>
      </c>
      <c r="F1451" s="14">
        <f>Data!L1451</f>
        <v>280367000000</v>
      </c>
      <c r="G1451" s="12">
        <f t="shared" si="22"/>
        <v>-3.0699048033470417E-2</v>
      </c>
    </row>
    <row r="1452" spans="2:7" ht="15" customHeight="1" x14ac:dyDescent="0.3">
      <c r="C1452" s="2"/>
      <c r="D1452" s="8">
        <v>2023</v>
      </c>
      <c r="E1452" s="14">
        <f>Data!N1452</f>
        <v>-25582000000</v>
      </c>
      <c r="F1452" s="14">
        <f>Data!L1452</f>
        <v>353410000000</v>
      </c>
      <c r="G1452" s="12">
        <f t="shared" si="22"/>
        <v>-7.2386180357092322E-2</v>
      </c>
    </row>
    <row r="1453" spans="2:7" ht="15" customHeight="1" x14ac:dyDescent="0.3">
      <c r="C1453" s="2"/>
      <c r="D1453" s="8">
        <v>2024</v>
      </c>
      <c r="E1453" s="14">
        <f>Data!N1453</f>
        <v>3497000000</v>
      </c>
      <c r="F1453" s="14">
        <f>Data!L1453</f>
        <v>567194000000</v>
      </c>
      <c r="G1453" s="12">
        <f t="shared" si="22"/>
        <v>6.16543898560281E-3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Data!N1454</f>
        <v>0</v>
      </c>
      <c r="F1454" s="14">
        <f>Data!L1454</f>
        <v>18573168484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Data!N1455</f>
        <v>16972642756</v>
      </c>
      <c r="F1455" s="14">
        <f>Data!L1455</f>
        <v>34225711012</v>
      </c>
      <c r="G1455" s="12">
        <f t="shared" si="22"/>
        <v>0.49590329182786475</v>
      </c>
    </row>
    <row r="1456" spans="2:7" ht="15" customHeight="1" x14ac:dyDescent="0.3">
      <c r="C1456" s="1"/>
      <c r="D1456" s="8">
        <v>2016</v>
      </c>
      <c r="E1456" s="14">
        <f>Data!N1456</f>
        <v>7992365154</v>
      </c>
      <c r="F1456" s="14">
        <f>Data!L1456</f>
        <v>38132909491</v>
      </c>
      <c r="G1456" s="12">
        <f t="shared" si="22"/>
        <v>0.20959232486276272</v>
      </c>
    </row>
    <row r="1457" spans="2:7" ht="15" customHeight="1" x14ac:dyDescent="0.3">
      <c r="C1457" s="1"/>
      <c r="D1457" s="8">
        <v>2017</v>
      </c>
      <c r="E1457" s="14">
        <f>Data!N1457</f>
        <v>8814778660</v>
      </c>
      <c r="F1457" s="14">
        <f>Data!L1457</f>
        <v>33987000536</v>
      </c>
      <c r="G1457" s="12">
        <f t="shared" si="22"/>
        <v>0.25935735784224723</v>
      </c>
    </row>
    <row r="1458" spans="2:7" ht="15" customHeight="1" x14ac:dyDescent="0.3">
      <c r="C1458" s="1"/>
      <c r="D1458" s="8">
        <v>2018</v>
      </c>
      <c r="E1458" s="14">
        <f>Data!N1458</f>
        <v>3947657923</v>
      </c>
      <c r="F1458" s="14">
        <f>Data!L1458</f>
        <v>25396161153</v>
      </c>
      <c r="G1458" s="12">
        <f t="shared" si="22"/>
        <v>0.15544309627022787</v>
      </c>
    </row>
    <row r="1459" spans="2:7" ht="15" customHeight="1" x14ac:dyDescent="0.3">
      <c r="C1459" s="1"/>
      <c r="D1459" s="8">
        <v>2019</v>
      </c>
      <c r="E1459" s="14">
        <f>Data!N1459</f>
        <v>21806030031</v>
      </c>
      <c r="F1459" s="14">
        <f>Data!L1459</f>
        <v>26117484368</v>
      </c>
      <c r="G1459" s="12">
        <f t="shared" si="22"/>
        <v>0.83492076509931656</v>
      </c>
    </row>
    <row r="1460" spans="2:7" ht="15" customHeight="1" x14ac:dyDescent="0.3">
      <c r="C1460" s="1"/>
      <c r="D1460" s="8">
        <v>2020</v>
      </c>
      <c r="E1460" s="14">
        <f>Data!N1460</f>
        <v>6211645756</v>
      </c>
      <c r="F1460" s="14">
        <f>Data!L1460</f>
        <v>26509968632</v>
      </c>
      <c r="G1460" s="12">
        <f t="shared" si="22"/>
        <v>0.23431358377776296</v>
      </c>
    </row>
    <row r="1461" spans="2:7" ht="15" customHeight="1" x14ac:dyDescent="0.3">
      <c r="C1461" s="1"/>
      <c r="D1461" s="8">
        <v>2021</v>
      </c>
      <c r="E1461" s="14">
        <f>Data!N1461</f>
        <v>12309015432</v>
      </c>
      <c r="F1461" s="14">
        <f>Data!L1461</f>
        <v>30755229522</v>
      </c>
      <c r="G1461" s="12">
        <f t="shared" si="22"/>
        <v>0.40022512019281298</v>
      </c>
    </row>
    <row r="1462" spans="2:7" ht="15" customHeight="1" x14ac:dyDescent="0.3">
      <c r="C1462" s="1"/>
      <c r="D1462" s="8">
        <v>2022</v>
      </c>
      <c r="E1462" s="14">
        <f>Data!N1462</f>
        <v>8663549352</v>
      </c>
      <c r="F1462" s="14">
        <f>Data!L1462</f>
        <v>29717878041</v>
      </c>
      <c r="G1462" s="12">
        <f t="shared" si="22"/>
        <v>0.29152651276270175</v>
      </c>
    </row>
    <row r="1463" spans="2:7" ht="15" customHeight="1" x14ac:dyDescent="0.3">
      <c r="C1463" s="1"/>
      <c r="D1463" s="8">
        <v>2023</v>
      </c>
      <c r="E1463" s="14">
        <f>Data!N1463</f>
        <v>6479063389</v>
      </c>
      <c r="F1463" s="14">
        <f>Data!L1463</f>
        <v>50543777352</v>
      </c>
      <c r="G1463" s="12">
        <f t="shared" si="22"/>
        <v>0.12818716226684285</v>
      </c>
    </row>
    <row r="1464" spans="2:7" ht="15" customHeight="1" x14ac:dyDescent="0.3">
      <c r="C1464" s="1"/>
      <c r="D1464" s="8">
        <v>2024</v>
      </c>
      <c r="E1464" s="14">
        <f>Data!N1464</f>
        <v>7006375716</v>
      </c>
      <c r="F1464" s="14">
        <f>Data!L1464</f>
        <v>54656623923</v>
      </c>
      <c r="G1464" s="12">
        <f t="shared" si="22"/>
        <v>0.12818895886929552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Data!N1465</f>
        <v>0</v>
      </c>
      <c r="F1465" s="14">
        <f>Data!L1465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Data!N1466</f>
        <v>0</v>
      </c>
      <c r="F1466" s="14">
        <f>Data!L1466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Data!N1467</f>
        <v>0</v>
      </c>
      <c r="F1467" s="14">
        <f>Data!L1467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Data!N1468</f>
        <v>0</v>
      </c>
      <c r="F1468" s="14">
        <f>Data!L1468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Data!N1469</f>
        <v>0</v>
      </c>
      <c r="F1469" s="14">
        <f>Data!L1469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Data!N1470</f>
        <v>0</v>
      </c>
      <c r="F1470" s="14">
        <f>Data!L1470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>
        <f>Data!N1471</f>
        <v>306194000000</v>
      </c>
      <c r="F1471" s="14">
        <f>Data!L1471</f>
        <v>2096811000000</v>
      </c>
      <c r="G1471" s="12">
        <f t="shared" si="22"/>
        <v>0.14602842125494381</v>
      </c>
    </row>
    <row r="1472" spans="2:7" ht="15" customHeight="1" x14ac:dyDescent="0.3">
      <c r="C1472" s="2"/>
      <c r="D1472" s="8">
        <v>2021</v>
      </c>
      <c r="E1472" s="14">
        <f>Data!N1472</f>
        <v>206880000000</v>
      </c>
      <c r="F1472" s="14">
        <f>Data!L1472</f>
        <v>1840648000000</v>
      </c>
      <c r="G1472" s="12">
        <f t="shared" si="22"/>
        <v>0.11239519995132149</v>
      </c>
    </row>
    <row r="1473" spans="1:7" ht="15" customHeight="1" x14ac:dyDescent="0.3">
      <c r="C1473" s="2"/>
      <c r="D1473" s="8">
        <v>2022</v>
      </c>
      <c r="E1473" s="14">
        <f>Data!N1473</f>
        <v>151760000000</v>
      </c>
      <c r="F1473" s="14">
        <f>Data!L1473</f>
        <v>1774394000000</v>
      </c>
      <c r="G1473" s="12">
        <f t="shared" si="22"/>
        <v>8.5527791460070307E-2</v>
      </c>
    </row>
    <row r="1474" spans="1:7" ht="15" customHeight="1" x14ac:dyDescent="0.3">
      <c r="C1474" s="2"/>
      <c r="D1474" s="8">
        <v>2023</v>
      </c>
      <c r="E1474" s="14">
        <f>Data!N1474</f>
        <v>97702000000</v>
      </c>
      <c r="F1474" s="14">
        <f>Data!L1474</f>
        <v>2013543000000</v>
      </c>
      <c r="G1474" s="12">
        <f t="shared" si="22"/>
        <v>4.8522430362798311E-2</v>
      </c>
    </row>
    <row r="1475" spans="1:7" ht="15" customHeight="1" x14ac:dyDescent="0.3">
      <c r="C1475" s="2"/>
      <c r="D1475" s="8">
        <v>2024</v>
      </c>
      <c r="E1475" s="14">
        <f>Data!N1475</f>
        <v>116691000000</v>
      </c>
      <c r="F1475" s="14">
        <f>Data!L1475</f>
        <v>2435061000000</v>
      </c>
      <c r="G1475" s="12">
        <f t="shared" ref="G1475:G1538" si="23">IFERROR(E1475/F1475,0)</f>
        <v>4.7921181440629207E-2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Data!N1476</f>
        <v>0</v>
      </c>
      <c r="F1476" s="14">
        <f>Data!L1476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Data!N1477</f>
        <v>0</v>
      </c>
      <c r="F1477" s="14">
        <f>Data!L1477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Data!N1478</f>
        <v>0</v>
      </c>
      <c r="F1478" s="14">
        <f>Data!L1478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Data!N1479</f>
        <v>0</v>
      </c>
      <c r="F1479" s="14">
        <f>Data!L1479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Data!N1480</f>
        <v>0</v>
      </c>
      <c r="F1480" s="14">
        <f>Data!L1480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Data!N1481</f>
        <v>0</v>
      </c>
      <c r="F1481" s="14">
        <f>Data!L1481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Data!N1482</f>
        <v>20721000000</v>
      </c>
      <c r="F1482" s="14">
        <f>Data!L1483</f>
        <v>136304000000</v>
      </c>
      <c r="G1482" s="12">
        <f t="shared" si="23"/>
        <v>0.15202048362483861</v>
      </c>
    </row>
    <row r="1483" spans="1:7" ht="15" customHeight="1" x14ac:dyDescent="0.3">
      <c r="C1483" s="1"/>
      <c r="D1483" s="8">
        <v>2021</v>
      </c>
      <c r="E1483" s="14">
        <f>Data!N1483</f>
        <v>-21011000000</v>
      </c>
      <c r="F1483" s="14" t="e">
        <f>Data!#REF!</f>
        <v>#REF!</v>
      </c>
      <c r="G1483" s="12">
        <f t="shared" si="23"/>
        <v>0</v>
      </c>
    </row>
    <row r="1484" spans="1:7" ht="15" customHeight="1" x14ac:dyDescent="0.3">
      <c r="C1484" s="1"/>
      <c r="D1484" s="8">
        <v>2022</v>
      </c>
      <c r="E1484" s="14">
        <f>Data!N1484</f>
        <v>5312000000</v>
      </c>
      <c r="F1484" s="14">
        <f>Data!L1484</f>
        <v>192071000000</v>
      </c>
      <c r="G1484" s="12">
        <f t="shared" si="23"/>
        <v>2.7656439545792961E-2</v>
      </c>
    </row>
    <row r="1485" spans="1:7" ht="15" customHeight="1" x14ac:dyDescent="0.3">
      <c r="C1485" s="1"/>
      <c r="D1485" s="8">
        <v>2023</v>
      </c>
      <c r="E1485" s="14">
        <f>Data!N1485</f>
        <v>15986000000</v>
      </c>
      <c r="F1485" s="14">
        <f>Data!L1485</f>
        <v>314858000000</v>
      </c>
      <c r="G1485" s="12">
        <f t="shared" si="23"/>
        <v>5.0772094086858205E-2</v>
      </c>
    </row>
    <row r="1486" spans="1:7" ht="15" customHeight="1" x14ac:dyDescent="0.3">
      <c r="C1486" s="1"/>
      <c r="D1486" s="8">
        <v>2024</v>
      </c>
      <c r="E1486" s="14">
        <f>Data!N1486</f>
        <v>43863000000</v>
      </c>
      <c r="F1486" s="14">
        <f>Data!L1486</f>
        <v>393091000000</v>
      </c>
      <c r="G1486" s="12">
        <f t="shared" si="23"/>
        <v>0.11158484930970182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Data!N1487</f>
        <v>0</v>
      </c>
      <c r="F1487" s="14">
        <f>Data!L1487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Data!N1488</f>
        <v>0</v>
      </c>
      <c r="F1488" s="14">
        <f>Data!L1488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Data!N1489</f>
        <v>0</v>
      </c>
      <c r="F1489" s="14">
        <f>Data!L1489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Data!N1490</f>
        <v>0</v>
      </c>
      <c r="F1490" s="14">
        <f>Data!L1490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Data!N1491</f>
        <v>0</v>
      </c>
      <c r="F1491" s="14">
        <f>Data!L1491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Data!N1492</f>
        <v>0</v>
      </c>
      <c r="F1492" s="14">
        <f>Data!L1492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Data!N1493</f>
        <v>0</v>
      </c>
      <c r="F1493" s="14">
        <f>Data!L1493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Data!N1494</f>
        <v>0</v>
      </c>
      <c r="F1494" s="14">
        <f>Data!L1494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Data!N1495</f>
        <v>5634000000</v>
      </c>
      <c r="F1495" s="14">
        <f>Data!L1495</f>
        <v>19034000000</v>
      </c>
      <c r="G1495" s="12">
        <f t="shared" si="23"/>
        <v>0.29599663759588107</v>
      </c>
    </row>
    <row r="1496" spans="2:7" ht="15" customHeight="1" x14ac:dyDescent="0.3">
      <c r="C1496" s="1"/>
      <c r="D1496" s="8">
        <v>2023</v>
      </c>
      <c r="E1496" s="14">
        <f>Data!N1496</f>
        <v>19190000000</v>
      </c>
      <c r="F1496" s="14">
        <f>Data!L1496</f>
        <v>217172000000</v>
      </c>
      <c r="G1496" s="12">
        <f t="shared" si="23"/>
        <v>8.8363140736374857E-2</v>
      </c>
    </row>
    <row r="1497" spans="2:7" ht="15" customHeight="1" x14ac:dyDescent="0.3">
      <c r="C1497" s="1"/>
      <c r="D1497" s="8">
        <v>2024</v>
      </c>
      <c r="E1497" s="14">
        <f>Data!N1497</f>
        <v>44744000000</v>
      </c>
      <c r="F1497" s="14">
        <f>Data!L1497</f>
        <v>473088000000</v>
      </c>
      <c r="G1497" s="12">
        <f t="shared" si="23"/>
        <v>9.4578598484848481E-2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Data!N1498</f>
        <v>0</v>
      </c>
      <c r="F1498" s="14">
        <f>Data!L1498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Data!N1499</f>
        <v>0</v>
      </c>
      <c r="F1499" s="14">
        <f>Data!L1499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Data!N1500</f>
        <v>142045000000</v>
      </c>
      <c r="F1500" s="14">
        <f>Data!L1500</f>
        <v>826099000000</v>
      </c>
      <c r="G1500" s="12">
        <f t="shared" si="23"/>
        <v>0.17194670372437201</v>
      </c>
    </row>
    <row r="1501" spans="2:7" ht="15" customHeight="1" x14ac:dyDescent="0.3">
      <c r="C1501" s="1"/>
      <c r="D1501" s="8">
        <v>2017</v>
      </c>
      <c r="E1501" s="14">
        <f>Data!N1501</f>
        <v>167828000000</v>
      </c>
      <c r="F1501" s="14">
        <f>Data!L1501</f>
        <v>910578000000</v>
      </c>
      <c r="G1501" s="12">
        <f t="shared" si="23"/>
        <v>0.18430930683587787</v>
      </c>
    </row>
    <row r="1502" spans="2:7" ht="15" customHeight="1" x14ac:dyDescent="0.3">
      <c r="C1502" s="1"/>
      <c r="D1502" s="8">
        <v>2018</v>
      </c>
      <c r="E1502" s="14">
        <f>Data!N1502</f>
        <v>82022000000</v>
      </c>
      <c r="F1502" s="14">
        <f>Data!L1502</f>
        <v>988620000000</v>
      </c>
      <c r="G1502" s="12">
        <f t="shared" si="23"/>
        <v>8.2966154842103138E-2</v>
      </c>
    </row>
    <row r="1503" spans="2:7" ht="15" customHeight="1" x14ac:dyDescent="0.3">
      <c r="C1503" s="1"/>
      <c r="D1503" s="8">
        <v>2019</v>
      </c>
      <c r="E1503" s="14">
        <f>Data!N1503</f>
        <v>210499000000</v>
      </c>
      <c r="F1503" s="14">
        <f>Data!L1503</f>
        <v>1224970000000</v>
      </c>
      <c r="G1503" s="12">
        <f t="shared" si="23"/>
        <v>0.17184012669698034</v>
      </c>
    </row>
    <row r="1504" spans="2:7" ht="15" customHeight="1" x14ac:dyDescent="0.3">
      <c r="C1504" s="1"/>
      <c r="D1504" s="8">
        <v>2020</v>
      </c>
      <c r="E1504" s="14">
        <f>Data!N1504</f>
        <v>186603000000</v>
      </c>
      <c r="F1504" s="14">
        <f>Data!L1504</f>
        <v>1257345000000</v>
      </c>
      <c r="G1504" s="12">
        <f t="shared" si="23"/>
        <v>0.14841034083724036</v>
      </c>
    </row>
    <row r="1505" spans="2:7" ht="15" customHeight="1" x14ac:dyDescent="0.3">
      <c r="C1505" s="1"/>
      <c r="D1505" s="8">
        <v>2021</v>
      </c>
      <c r="E1505" s="14">
        <f>Data!N1505</f>
        <v>-346893000000</v>
      </c>
      <c r="F1505" s="14">
        <f>Data!L1505</f>
        <v>1266405000000</v>
      </c>
      <c r="G1505" s="12">
        <f t="shared" si="23"/>
        <v>-0.27391948073483602</v>
      </c>
    </row>
    <row r="1506" spans="2:7" ht="15" customHeight="1" x14ac:dyDescent="0.3">
      <c r="C1506" s="1"/>
      <c r="D1506" s="8">
        <v>2022</v>
      </c>
      <c r="E1506" s="14">
        <f>Data!N1506</f>
        <v>12582000000</v>
      </c>
      <c r="F1506" s="14">
        <f>Data!L1506</f>
        <v>1318657000000</v>
      </c>
      <c r="G1506" s="12">
        <f t="shared" si="23"/>
        <v>9.5415259616412756E-3</v>
      </c>
    </row>
    <row r="1507" spans="2:7" ht="15" customHeight="1" x14ac:dyDescent="0.3">
      <c r="C1507" s="1"/>
      <c r="D1507" s="8">
        <v>2023</v>
      </c>
      <c r="E1507" s="14">
        <f>Data!N1507</f>
        <v>57570000000</v>
      </c>
      <c r="F1507" s="14">
        <f>Data!L1507</f>
        <v>1480660000000</v>
      </c>
      <c r="G1507" s="12">
        <f t="shared" si="23"/>
        <v>3.8881309686221006E-2</v>
      </c>
    </row>
    <row r="1508" spans="2:7" ht="15" customHeight="1" x14ac:dyDescent="0.3">
      <c r="C1508" s="1"/>
      <c r="D1508" s="8">
        <v>2024</v>
      </c>
      <c r="E1508" s="14">
        <f>Data!N1508</f>
        <v>13831000000</v>
      </c>
      <c r="F1508" s="14">
        <f>Data!L1508</f>
        <v>1645605000000</v>
      </c>
      <c r="G1508" s="12">
        <f t="shared" si="23"/>
        <v>8.4048116042428171E-3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Data!N1509</f>
        <v>0</v>
      </c>
      <c r="F1509" s="14">
        <f>Data!L1509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Data!N1510</f>
        <v>0</v>
      </c>
      <c r="F1510" s="14">
        <f>Data!L1510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Data!N1511</f>
        <v>0</v>
      </c>
      <c r="F1511" s="14">
        <f>Data!L1511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Data!N1512</f>
        <v>0</v>
      </c>
      <c r="F1512" s="14">
        <f>Data!L1512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Data!N1513</f>
        <v>0</v>
      </c>
      <c r="F1513" s="14">
        <f>Data!L1513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Data!N1514</f>
        <v>0</v>
      </c>
      <c r="F1514" s="14">
        <f>Data!L1514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Data!N1515</f>
        <v>0</v>
      </c>
      <c r="F1515" s="14">
        <f>Data!L1515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Data!N1516</f>
        <v>0</v>
      </c>
      <c r="F1516" s="14">
        <f>Data!L1516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Data!N1517</f>
        <v>0</v>
      </c>
      <c r="F1517" s="14">
        <f>Data!L1517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Data!N1518</f>
        <v>0</v>
      </c>
      <c r="F1518" s="14">
        <f>Data!L1518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>
        <f>Data!N1519</f>
        <v>14542000000</v>
      </c>
      <c r="F1519" s="14">
        <f>Data!L1519</f>
        <v>8246000000</v>
      </c>
      <c r="G1519" s="12">
        <f t="shared" si="23"/>
        <v>1.7635217074945428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Data!N1520</f>
        <v>0</v>
      </c>
      <c r="F1520" s="14">
        <f>Data!L1520</f>
        <v>1581672215507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Data!N1521</f>
        <v>209694606317</v>
      </c>
      <c r="F1521" s="14">
        <f>Data!L1521</f>
        <v>2741257568665</v>
      </c>
      <c r="G1521" s="12">
        <f t="shared" si="23"/>
        <v>7.6495769209721454E-2</v>
      </c>
    </row>
    <row r="1522" spans="2:7" ht="15" customHeight="1" x14ac:dyDescent="0.3">
      <c r="C1522" s="1"/>
      <c r="D1522" s="8">
        <v>2016</v>
      </c>
      <c r="E1522" s="14">
        <f>Data!N1522</f>
        <v>266102522369</v>
      </c>
      <c r="F1522" s="14">
        <f>Data!L1522</f>
        <v>3534767337954</v>
      </c>
      <c r="G1522" s="12">
        <f t="shared" si="23"/>
        <v>7.5281481615993975E-2</v>
      </c>
    </row>
    <row r="1523" spans="2:7" ht="15" customHeight="1" x14ac:dyDescent="0.3">
      <c r="C1523" s="1"/>
      <c r="D1523" s="8">
        <v>2017</v>
      </c>
      <c r="E1523" s="14">
        <f>Data!N1523</f>
        <v>155878629657</v>
      </c>
      <c r="F1523" s="14">
        <f>Data!L1523</f>
        <v>3905400553831</v>
      </c>
      <c r="G1523" s="12">
        <f t="shared" si="23"/>
        <v>3.9913608734471799E-2</v>
      </c>
    </row>
    <row r="1524" spans="2:7" ht="15" customHeight="1" x14ac:dyDescent="0.3">
      <c r="C1524" s="1"/>
      <c r="D1524" s="8">
        <v>2018</v>
      </c>
      <c r="E1524" s="14">
        <f>Data!N1524</f>
        <v>203386075809</v>
      </c>
      <c r="F1524" s="14">
        <f>Data!L1524</f>
        <v>4136519592430</v>
      </c>
      <c r="G1524" s="12">
        <f t="shared" si="23"/>
        <v>4.9168406256603944E-2</v>
      </c>
    </row>
    <row r="1525" spans="2:7" ht="15" customHeight="1" x14ac:dyDescent="0.3">
      <c r="C1525" s="1"/>
      <c r="D1525" s="8">
        <v>2019</v>
      </c>
      <c r="E1525" s="14">
        <f>Data!N1525</f>
        <v>219840490426</v>
      </c>
      <c r="F1525" s="14">
        <f>Data!L1525</f>
        <v>4385732443445</v>
      </c>
      <c r="G1525" s="12">
        <f t="shared" si="23"/>
        <v>5.012628865551929E-2</v>
      </c>
    </row>
    <row r="1526" spans="2:7" ht="15" customHeight="1" x14ac:dyDescent="0.3">
      <c r="C1526" s="1"/>
      <c r="D1526" s="8">
        <v>2020</v>
      </c>
      <c r="E1526" s="14">
        <f>Data!N1526</f>
        <v>104051805294</v>
      </c>
      <c r="F1526" s="14">
        <f>Data!L1526</f>
        <v>4365553524897</v>
      </c>
      <c r="G1526" s="12">
        <f t="shared" si="23"/>
        <v>2.3834733602643203E-2</v>
      </c>
    </row>
    <row r="1527" spans="2:7" ht="15" customHeight="1" x14ac:dyDescent="0.3">
      <c r="C1527" s="1"/>
      <c r="D1527" s="8">
        <v>2021</v>
      </c>
      <c r="E1527" s="14">
        <f>Data!N1527</f>
        <v>-517856820373</v>
      </c>
      <c r="F1527" s="14">
        <f>Data!L1527</f>
        <v>3961291677707</v>
      </c>
      <c r="G1527" s="12">
        <f t="shared" si="23"/>
        <v>-0.13072928289712871</v>
      </c>
    </row>
    <row r="1528" spans="2:7" ht="15" customHeight="1" x14ac:dyDescent="0.3">
      <c r="C1528" s="1"/>
      <c r="D1528" s="8">
        <v>2022</v>
      </c>
      <c r="E1528" s="14">
        <f>Data!N1528</f>
        <v>-219018930068</v>
      </c>
      <c r="F1528" s="14">
        <f>Data!L1528</f>
        <v>4171958589419</v>
      </c>
      <c r="G1528" s="12">
        <f t="shared" si="23"/>
        <v>-5.249786769779545E-2</v>
      </c>
    </row>
    <row r="1529" spans="2:7" ht="15" customHeight="1" x14ac:dyDescent="0.3">
      <c r="C1529" s="1"/>
      <c r="D1529" s="8">
        <v>2023</v>
      </c>
      <c r="E1529" s="14">
        <f>Data!N1529</f>
        <v>56040281607</v>
      </c>
      <c r="F1529" s="14">
        <f>Data!L1529</f>
        <v>3389674670236</v>
      </c>
      <c r="G1529" s="12">
        <f t="shared" si="23"/>
        <v>1.6532643117369815E-2</v>
      </c>
    </row>
    <row r="1530" spans="2:7" ht="15" customHeight="1" x14ac:dyDescent="0.3">
      <c r="C1530" s="1"/>
      <c r="D1530" s="8">
        <v>2024</v>
      </c>
      <c r="E1530" s="14">
        <f>Data!N1530</f>
        <v>72779413836</v>
      </c>
      <c r="F1530" s="14">
        <f>Data!L1530</f>
        <v>3509098660965</v>
      </c>
      <c r="G1530" s="12">
        <f t="shared" si="23"/>
        <v>2.0740201649384719E-2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Data!N1531</f>
        <v>0</v>
      </c>
      <c r="F1531" s="14">
        <f>Data!L1531</f>
        <v>141963000000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Data!N1532</f>
        <v>66633000000</v>
      </c>
      <c r="F1532" s="14">
        <f>Data!L1532</f>
        <v>194516000000</v>
      </c>
      <c r="G1532" s="12">
        <f t="shared" si="23"/>
        <v>0.34255793867856627</v>
      </c>
    </row>
    <row r="1533" spans="2:7" ht="15" customHeight="1" x14ac:dyDescent="0.3">
      <c r="C1533" s="1"/>
      <c r="D1533" s="8">
        <v>2016</v>
      </c>
      <c r="E1533" s="14">
        <f>Data!N1533</f>
        <v>69927000000</v>
      </c>
      <c r="F1533" s="14">
        <f>Data!L1533</f>
        <v>185095000000</v>
      </c>
      <c r="G1533" s="12">
        <f t="shared" si="23"/>
        <v>0.37778978362462518</v>
      </c>
    </row>
    <row r="1534" spans="2:7" ht="15" customHeight="1" x14ac:dyDescent="0.3">
      <c r="C1534" s="1"/>
      <c r="D1534" s="8">
        <v>2017</v>
      </c>
      <c r="E1534" s="14">
        <f>Data!N1534</f>
        <v>77253000000</v>
      </c>
      <c r="F1534" s="14">
        <f>Data!L1534</f>
        <v>140262000000</v>
      </c>
      <c r="G1534" s="12">
        <f t="shared" si="23"/>
        <v>0.55077640415793305</v>
      </c>
    </row>
    <row r="1535" spans="2:7" ht="15" customHeight="1" x14ac:dyDescent="0.3">
      <c r="C1535" s="1"/>
      <c r="D1535" s="8">
        <v>2018</v>
      </c>
      <c r="E1535" s="14">
        <f>Data!N1535</f>
        <v>27644000000</v>
      </c>
      <c r="F1535" s="14">
        <f>Data!L1535</f>
        <v>151968000000</v>
      </c>
      <c r="G1535" s="12">
        <f t="shared" si="23"/>
        <v>0.18190671720362181</v>
      </c>
    </row>
    <row r="1536" spans="2:7" ht="15" customHeight="1" x14ac:dyDescent="0.3">
      <c r="C1536" s="1"/>
      <c r="D1536" s="8">
        <v>2019</v>
      </c>
      <c r="E1536" s="14">
        <f>Data!N1536</f>
        <v>65926000000</v>
      </c>
      <c r="F1536" s="14">
        <f>Data!L1536</f>
        <v>151861000000</v>
      </c>
      <c r="G1536" s="12">
        <f t="shared" si="23"/>
        <v>0.43412067614463229</v>
      </c>
    </row>
    <row r="1537" spans="2:7" ht="15" customHeight="1" x14ac:dyDescent="0.3">
      <c r="C1537" s="1"/>
      <c r="D1537" s="8">
        <v>2020</v>
      </c>
      <c r="E1537" s="14">
        <f>Data!N1537</f>
        <v>83480000000</v>
      </c>
      <c r="F1537" s="14">
        <f>Data!L1537</f>
        <v>132766000000</v>
      </c>
      <c r="G1537" s="12">
        <f t="shared" si="23"/>
        <v>0.62877543949505144</v>
      </c>
    </row>
    <row r="1538" spans="2:7" ht="15" customHeight="1" x14ac:dyDescent="0.3">
      <c r="C1538" s="1"/>
      <c r="D1538" s="8">
        <v>2021</v>
      </c>
      <c r="E1538" s="14">
        <f>Data!N1538</f>
        <v>45576000000</v>
      </c>
      <c r="F1538" s="14">
        <f>Data!L1538</f>
        <v>105439000000</v>
      </c>
      <c r="G1538" s="12">
        <f t="shared" si="23"/>
        <v>0.43224992649778543</v>
      </c>
    </row>
    <row r="1539" spans="2:7" ht="15" customHeight="1" x14ac:dyDescent="0.3">
      <c r="C1539" s="1"/>
      <c r="D1539" s="8">
        <v>2022</v>
      </c>
      <c r="E1539" s="14">
        <f>Data!N1539</f>
        <v>41034000000</v>
      </c>
      <c r="F1539" s="14">
        <f>Data!L1539</f>
        <v>113030000000</v>
      </c>
      <c r="G1539" s="12">
        <f t="shared" ref="G1539:G1602" si="24">IFERROR(E1539/F1539,0)</f>
        <v>0.36303636202778022</v>
      </c>
    </row>
    <row r="1540" spans="2:7" ht="15" customHeight="1" x14ac:dyDescent="0.3">
      <c r="C1540" s="1"/>
      <c r="D1540" s="8">
        <v>2023</v>
      </c>
      <c r="E1540" s="14">
        <f>Data!N1540</f>
        <v>68886000000</v>
      </c>
      <c r="F1540" s="14">
        <f>Data!L1540</f>
        <v>112639000000</v>
      </c>
      <c r="G1540" s="12">
        <f t="shared" si="24"/>
        <v>0.61156437823489196</v>
      </c>
    </row>
    <row r="1541" spans="2:7" ht="15" customHeight="1" x14ac:dyDescent="0.3">
      <c r="C1541" s="1"/>
      <c r="D1541" s="8">
        <v>2024</v>
      </c>
      <c r="E1541" s="14">
        <f>Data!N1541</f>
        <v>63889000000</v>
      </c>
      <c r="F1541" s="14">
        <f>Data!L1541</f>
        <v>129657000000</v>
      </c>
      <c r="G1541" s="12">
        <f t="shared" si="24"/>
        <v>0.49275395852132936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Data!N1542</f>
        <v>0</v>
      </c>
      <c r="F1542" s="14">
        <f>Data!L1542</f>
        <v>1472876000000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Data!N1543</f>
        <v>251072000000</v>
      </c>
      <c r="F1543" s="14">
        <f>Data!L1543</f>
        <v>2175959000000</v>
      </c>
      <c r="G1543" s="12">
        <f t="shared" si="24"/>
        <v>0.11538452700625333</v>
      </c>
    </row>
    <row r="1544" spans="2:7" ht="15" customHeight="1" x14ac:dyDescent="0.3">
      <c r="C1544" s="1"/>
      <c r="D1544" s="8">
        <v>2016</v>
      </c>
      <c r="E1544" s="14">
        <f>Data!N1544</f>
        <v>335612000000</v>
      </c>
      <c r="F1544" s="14">
        <f>Data!L1544</f>
        <v>2455352000000</v>
      </c>
      <c r="G1544" s="12">
        <f t="shared" si="24"/>
        <v>0.13668590084028684</v>
      </c>
    </row>
    <row r="1545" spans="2:7" ht="15" customHeight="1" x14ac:dyDescent="0.3">
      <c r="C1545" s="1"/>
      <c r="D1545" s="8">
        <v>2017</v>
      </c>
      <c r="E1545" s="14">
        <f>Data!N1545</f>
        <v>0</v>
      </c>
      <c r="F1545" s="14">
        <f>Data!L1545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Data!N1546</f>
        <v>280005000000</v>
      </c>
      <c r="F1546" s="14">
        <f>Data!L1546</f>
        <v>3698170000000</v>
      </c>
      <c r="G1546" s="12">
        <f t="shared" si="24"/>
        <v>7.5714474997093162E-2</v>
      </c>
    </row>
    <row r="1547" spans="2:7" ht="15" customHeight="1" x14ac:dyDescent="0.3">
      <c r="C1547" s="1"/>
      <c r="D1547" s="8">
        <v>2019</v>
      </c>
      <c r="E1547" s="14">
        <f>Data!N1547</f>
        <v>368029000000</v>
      </c>
      <c r="F1547" s="14">
        <f>Data!L1547</f>
        <v>5006591000000</v>
      </c>
      <c r="G1547" s="12">
        <f t="shared" si="24"/>
        <v>7.3508900567272217E-2</v>
      </c>
    </row>
    <row r="1548" spans="2:7" ht="15" customHeight="1" x14ac:dyDescent="0.3">
      <c r="C1548" s="1"/>
      <c r="D1548" s="8">
        <v>2020</v>
      </c>
      <c r="E1548" s="14">
        <f>Data!N1548</f>
        <v>-542931000000</v>
      </c>
      <c r="F1548" s="14">
        <f>Data!L1548</f>
        <v>4829860000000</v>
      </c>
      <c r="G1548" s="12">
        <f t="shared" si="24"/>
        <v>-0.11241133283366392</v>
      </c>
    </row>
    <row r="1549" spans="2:7" ht="15" customHeight="1" x14ac:dyDescent="0.3">
      <c r="C1549" s="1"/>
      <c r="D1549" s="8">
        <v>2021</v>
      </c>
      <c r="E1549" s="14">
        <f>Data!N1549</f>
        <v>-740433000000</v>
      </c>
      <c r="F1549" s="14">
        <f>Data!L1549</f>
        <v>5666198000000</v>
      </c>
      <c r="G1549" s="12">
        <f t="shared" si="24"/>
        <v>-0.13067545468760533</v>
      </c>
    </row>
    <row r="1550" spans="2:7" ht="15" customHeight="1" x14ac:dyDescent="0.3">
      <c r="C1550" s="1"/>
      <c r="D1550" s="8">
        <v>2022</v>
      </c>
      <c r="E1550" s="14">
        <f>Data!N1550</f>
        <v>170937000000</v>
      </c>
      <c r="F1550" s="14">
        <f>Data!L1550</f>
        <v>7991435000000</v>
      </c>
      <c r="G1550" s="12">
        <f t="shared" si="24"/>
        <v>2.1390025696261059E-2</v>
      </c>
    </row>
    <row r="1551" spans="2:7" ht="15" customHeight="1" x14ac:dyDescent="0.3">
      <c r="C1551" s="1"/>
      <c r="D1551" s="8">
        <v>2023</v>
      </c>
      <c r="E1551" s="14">
        <f>Data!N1551</f>
        <v>1228465000000</v>
      </c>
      <c r="F1551" s="14">
        <f>Data!L1551</f>
        <v>5181764000000</v>
      </c>
      <c r="G1551" s="12">
        <f t="shared" si="24"/>
        <v>0.23707467186849884</v>
      </c>
    </row>
    <row r="1552" spans="2:7" ht="15" customHeight="1" x14ac:dyDescent="0.3">
      <c r="C1552" s="1"/>
      <c r="D1552" s="8">
        <v>2024</v>
      </c>
      <c r="E1552" s="14">
        <f>Data!N1552</f>
        <v>-1418120000000</v>
      </c>
      <c r="F1552" s="14">
        <f>Data!L1552</f>
        <v>2975852000000</v>
      </c>
      <c r="G1552" s="12">
        <f t="shared" si="24"/>
        <v>-0.4765425162272855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Data!N1553</f>
        <v>0</v>
      </c>
      <c r="F1553" s="14">
        <f>Data!L1553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Data!N1556</f>
        <v>10204000000</v>
      </c>
      <c r="F1554" s="14">
        <f>Data!L1556</f>
        <v>1084000000</v>
      </c>
      <c r="G1554" s="12">
        <f t="shared" si="24"/>
        <v>9.4132841328413281</v>
      </c>
    </row>
    <row r="1555" spans="2:7" ht="15" customHeight="1" x14ac:dyDescent="0.3">
      <c r="C1555" s="1"/>
      <c r="D1555" s="8">
        <v>2016</v>
      </c>
      <c r="E1555" s="14">
        <f>Data!N1555</f>
        <v>0</v>
      </c>
      <c r="F1555" s="14">
        <f>Data!L1555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 t="e">
        <f>Data!#REF!</f>
        <v>#REF!</v>
      </c>
      <c r="F1556" s="14" t="e">
        <f>Data!#REF!</f>
        <v>#REF!</v>
      </c>
      <c r="G1556" s="12">
        <f t="shared" si="24"/>
        <v>0</v>
      </c>
    </row>
    <row r="1557" spans="2:7" ht="15" customHeight="1" x14ac:dyDescent="0.3">
      <c r="C1557" s="1"/>
      <c r="D1557" s="8">
        <v>2018</v>
      </c>
      <c r="E1557" s="14">
        <f>Data!N1558</f>
        <v>88635000000</v>
      </c>
      <c r="F1557" s="14">
        <f>Data!L1557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 t="e">
        <f>Data!#REF!</f>
        <v>#REF!</v>
      </c>
      <c r="F1558" s="14">
        <f>Data!L1558</f>
        <v>223539000000</v>
      </c>
      <c r="G1558" s="12">
        <f t="shared" si="24"/>
        <v>0</v>
      </c>
    </row>
    <row r="1559" spans="2:7" ht="15" customHeight="1" x14ac:dyDescent="0.3">
      <c r="C1559" s="1"/>
      <c r="D1559" s="8">
        <v>2020</v>
      </c>
      <c r="E1559" s="14">
        <f>Data!N1559</f>
        <v>176521000000</v>
      </c>
      <c r="F1559" s="14">
        <f>Data!L1559</f>
        <v>600103000000</v>
      </c>
      <c r="G1559" s="12">
        <f t="shared" si="24"/>
        <v>0.2941511707156938</v>
      </c>
    </row>
    <row r="1560" spans="2:7" ht="15" customHeight="1" x14ac:dyDescent="0.3">
      <c r="C1560" s="1"/>
      <c r="D1560" s="8">
        <v>2021</v>
      </c>
      <c r="E1560" s="14">
        <f>Data!N1560</f>
        <v>50892000000</v>
      </c>
      <c r="F1560" s="14">
        <f>Data!L1560</f>
        <v>634331000000</v>
      </c>
      <c r="G1560" s="12">
        <f t="shared" si="24"/>
        <v>8.0229407044587128E-2</v>
      </c>
    </row>
    <row r="1561" spans="2:7" ht="15" customHeight="1" x14ac:dyDescent="0.3">
      <c r="C1561" s="1"/>
      <c r="D1561" s="8">
        <v>2022</v>
      </c>
      <c r="E1561" s="14">
        <f>Data!N1561</f>
        <v>46435000000</v>
      </c>
      <c r="F1561" s="14">
        <f>Data!L1561</f>
        <v>453744000000</v>
      </c>
      <c r="G1561" s="12">
        <f t="shared" si="24"/>
        <v>0.10233744137663528</v>
      </c>
    </row>
    <row r="1562" spans="2:7" ht="15" customHeight="1" x14ac:dyDescent="0.3">
      <c r="C1562" s="1"/>
      <c r="D1562" s="8">
        <v>2023</v>
      </c>
      <c r="E1562" s="14">
        <f>Data!N1562</f>
        <v>92135000000</v>
      </c>
      <c r="F1562" s="14">
        <f>Data!L1562</f>
        <v>437274000000</v>
      </c>
      <c r="G1562" s="12">
        <f t="shared" si="24"/>
        <v>0.21070312893060186</v>
      </c>
    </row>
    <row r="1563" spans="2:7" ht="15" customHeight="1" x14ac:dyDescent="0.3">
      <c r="C1563" s="1"/>
      <c r="D1563" s="8">
        <v>2024</v>
      </c>
      <c r="E1563" s="14">
        <f>Data!N1563</f>
        <v>224803000000</v>
      </c>
      <c r="F1563" s="14">
        <f>Data!L1563</f>
        <v>553499000000</v>
      </c>
      <c r="G1563" s="12">
        <f t="shared" si="24"/>
        <v>0.40614888193113269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Data!N1564</f>
        <v>0</v>
      </c>
      <c r="F1564" s="14">
        <f>Data!L1564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Data!N1565</f>
        <v>0</v>
      </c>
      <c r="F1565" s="14">
        <f>Data!L1565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Data!N1566</f>
        <v>0</v>
      </c>
      <c r="F1566" s="14">
        <f>Data!L1566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Data!N1567</f>
        <v>0</v>
      </c>
      <c r="F1567" s="14">
        <f>Data!L1567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Data!N1568</f>
        <v>0</v>
      </c>
      <c r="F1568" s="14">
        <f>Data!L1568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Data!N1569</f>
        <v>0</v>
      </c>
      <c r="F1569" s="14">
        <f>Data!L1569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Data!N1570</f>
        <v>0</v>
      </c>
      <c r="F1570" s="14">
        <f>Data!L1570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Data!N1571</f>
        <v>0</v>
      </c>
      <c r="F1571" s="14">
        <f>Data!L1571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Data!N1572</f>
        <v>0</v>
      </c>
      <c r="F1572" s="14">
        <f>Data!L1572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Data!N1573</f>
        <v>0</v>
      </c>
      <c r="F1573" s="14">
        <f>Data!L1573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Data!N1574</f>
        <v>0</v>
      </c>
      <c r="F1574" s="14">
        <f>Data!L1574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Data!N1575</f>
        <v>0</v>
      </c>
      <c r="F1575" s="14">
        <f>Data!L1575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Data!N1576</f>
        <v>0</v>
      </c>
      <c r="F1576" s="14">
        <f>Data!L1576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Data!N1577</f>
        <v>0</v>
      </c>
      <c r="F1577" s="14">
        <f>Data!L1577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Data!N1578</f>
        <v>238561000000</v>
      </c>
      <c r="F1578" s="14">
        <f>Data!L1578</f>
        <v>1039716000000</v>
      </c>
      <c r="G1578" s="12">
        <f t="shared" si="24"/>
        <v>0.22944823394080691</v>
      </c>
    </row>
    <row r="1579" spans="2:7" ht="15" customHeight="1" x14ac:dyDescent="0.3">
      <c r="C1579" s="1"/>
      <c r="D1579" s="8">
        <v>2018</v>
      </c>
      <c r="E1579" s="14">
        <f>Data!N1579</f>
        <v>-117523000000</v>
      </c>
      <c r="F1579" s="14">
        <f>Data!L1579</f>
        <v>1171019000000</v>
      </c>
      <c r="G1579" s="12">
        <f t="shared" si="24"/>
        <v>-0.10035960133866316</v>
      </c>
    </row>
    <row r="1580" spans="2:7" ht="15" customHeight="1" x14ac:dyDescent="0.3">
      <c r="C1580" s="1"/>
      <c r="D1580" s="8">
        <v>2019</v>
      </c>
      <c r="E1580" s="14">
        <f>Data!N1580</f>
        <v>141595000000</v>
      </c>
      <c r="F1580" s="14">
        <f>Data!L1580</f>
        <v>1245589000000</v>
      </c>
      <c r="G1580" s="12">
        <f t="shared" si="24"/>
        <v>0.11367714390541342</v>
      </c>
    </row>
    <row r="1581" spans="2:7" ht="15" customHeight="1" x14ac:dyDescent="0.3">
      <c r="C1581" s="1"/>
      <c r="D1581" s="8">
        <v>2020</v>
      </c>
      <c r="E1581" s="14">
        <f>Data!N1581</f>
        <v>18545000000</v>
      </c>
      <c r="F1581" s="14">
        <f>Data!L1581</f>
        <v>1092309000000</v>
      </c>
      <c r="G1581" s="12">
        <f t="shared" si="24"/>
        <v>1.6977796575877339E-2</v>
      </c>
    </row>
    <row r="1582" spans="2:7" ht="15" customHeight="1" x14ac:dyDescent="0.3">
      <c r="C1582" s="1"/>
      <c r="D1582" s="8">
        <v>2021</v>
      </c>
      <c r="E1582" s="14">
        <f>Data!N1582</f>
        <v>25318000000</v>
      </c>
      <c r="F1582" s="14">
        <f>Data!L1582</f>
        <v>1157647000000</v>
      </c>
      <c r="G1582" s="12">
        <f t="shared" si="24"/>
        <v>2.1870224688527676E-2</v>
      </c>
    </row>
    <row r="1583" spans="2:7" ht="15" customHeight="1" x14ac:dyDescent="0.3">
      <c r="C1583" s="1"/>
      <c r="D1583" s="8">
        <v>2022</v>
      </c>
      <c r="E1583" s="14">
        <f>Data!N1583</f>
        <v>92556000000</v>
      </c>
      <c r="F1583" s="14">
        <f>Data!L1583</f>
        <v>1232293000000</v>
      </c>
      <c r="G1583" s="12">
        <f t="shared" si="24"/>
        <v>7.5108760660005366E-2</v>
      </c>
    </row>
    <row r="1584" spans="2:7" ht="15" customHeight="1" x14ac:dyDescent="0.3">
      <c r="C1584" s="1"/>
      <c r="D1584" s="8">
        <v>2023</v>
      </c>
      <c r="E1584" s="14">
        <f>Data!N1584</f>
        <v>-35712000000</v>
      </c>
      <c r="F1584" s="14">
        <f>Data!L1584</f>
        <v>1294480000000</v>
      </c>
      <c r="G1584" s="12">
        <f t="shared" si="24"/>
        <v>-2.7587911748346825E-2</v>
      </c>
    </row>
    <row r="1585" spans="1:7" ht="15" customHeight="1" x14ac:dyDescent="0.3">
      <c r="C1585" s="1"/>
      <c r="D1585" s="8">
        <v>2024</v>
      </c>
      <c r="E1585" s="14">
        <f>Data!N1585</f>
        <v>86005000000</v>
      </c>
      <c r="F1585" s="14">
        <f>Data!L1585</f>
        <v>1642288000000</v>
      </c>
      <c r="G1585" s="12">
        <f t="shared" si="24"/>
        <v>5.2369012012509375E-2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Data!N1586</f>
        <v>0</v>
      </c>
      <c r="F1586" s="14">
        <f>Data!L1586</f>
        <v>3483757000000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Data!N1587</f>
        <v>346716000000</v>
      </c>
      <c r="F1587" s="14">
        <f>Data!L1587</f>
        <v>4169989000000</v>
      </c>
      <c r="G1587" s="12">
        <f t="shared" si="24"/>
        <v>8.314554306977788E-2</v>
      </c>
    </row>
    <row r="1588" spans="1:7" ht="15" customHeight="1" x14ac:dyDescent="0.3">
      <c r="C1588" s="4"/>
      <c r="D1588" s="8">
        <v>2016</v>
      </c>
      <c r="E1588" s="14">
        <f>Data!N1588</f>
        <v>537628000000</v>
      </c>
      <c r="F1588" s="14">
        <f>Data!L1588</f>
        <v>5182617000000</v>
      </c>
      <c r="G1588" s="12">
        <f t="shared" si="24"/>
        <v>0.1037367800861997</v>
      </c>
    </row>
    <row r="1589" spans="1:7" ht="15" customHeight="1" x14ac:dyDescent="0.3">
      <c r="C1589" s="4"/>
      <c r="D1589" s="8">
        <v>2017</v>
      </c>
      <c r="E1589" s="14">
        <f>Data!N1589</f>
        <v>943811000000</v>
      </c>
      <c r="F1589" s="14">
        <f>Data!L1589</f>
        <v>4519830000000</v>
      </c>
      <c r="G1589" s="12">
        <f t="shared" si="24"/>
        <v>0.20881559704679159</v>
      </c>
    </row>
    <row r="1590" spans="1:7" ht="15" customHeight="1" x14ac:dyDescent="0.3">
      <c r="C1590" s="4"/>
      <c r="D1590" s="8">
        <v>2018</v>
      </c>
      <c r="E1590" s="14">
        <f>Data!N1590</f>
        <v>0</v>
      </c>
      <c r="F1590" s="14">
        <f>Data!L1590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Data!N1591</f>
        <v>0</v>
      </c>
      <c r="F1591" s="14">
        <f>Data!L1591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Data!N1592</f>
        <v>0</v>
      </c>
      <c r="F1592" s="14">
        <f>Data!L1592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Data!N1593</f>
        <v>0</v>
      </c>
      <c r="F1593" s="14">
        <f>Data!L1593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Data!N1594</f>
        <v>0</v>
      </c>
      <c r="F1594" s="14">
        <f>Data!L1594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Data!N1595</f>
        <v>0</v>
      </c>
      <c r="F1595" s="14">
        <f>Data!L1595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Data!N1596</f>
        <v>0</v>
      </c>
      <c r="F1596" s="14">
        <f>Data!L1596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Data!N1597</f>
        <v>0</v>
      </c>
      <c r="F1597" s="14">
        <f>Data!L1597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Data!N1598</f>
        <v>0</v>
      </c>
      <c r="F1598" s="14">
        <f>Data!L1598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Data!N1599</f>
        <v>0</v>
      </c>
      <c r="F1599" s="14">
        <f>Data!L1599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Data!N1600</f>
        <v>0</v>
      </c>
      <c r="F1600" s="14">
        <f>Data!L1600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Data!N1601</f>
        <v>0</v>
      </c>
      <c r="F1601" s="14">
        <f>Data!L1601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Data!N1602</f>
        <v>0</v>
      </c>
      <c r="F1602" s="14">
        <f>Data!L1602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Data!N1603</f>
        <v>0</v>
      </c>
      <c r="F1603" s="14">
        <f>Data!L1603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Data!N1604</f>
        <v>0</v>
      </c>
      <c r="F1604" s="14">
        <f>Data!L1604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Data!N1605</f>
        <v>0</v>
      </c>
      <c r="F1605" s="14">
        <f>Data!L1605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Data!N1606</f>
        <v>0</v>
      </c>
      <c r="F1606" s="14">
        <f>Data!L1606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Data!N1607</f>
        <v>0</v>
      </c>
      <c r="F1607" s="14">
        <f>Data!L1607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Data!N1608</f>
        <v>0</v>
      </c>
      <c r="F1608" s="14">
        <f>Data!L1608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Data!N1609</f>
        <v>0</v>
      </c>
      <c r="F1609" s="14">
        <f>Data!L1609</f>
        <v>0</v>
      </c>
      <c r="G1609" s="12">
        <f t="shared" si="25"/>
        <v>0</v>
      </c>
    </row>
    <row r="1610" spans="1:7" ht="15" customHeight="1" x14ac:dyDescent="0.3">
      <c r="C1610" s="4"/>
      <c r="D1610" s="8">
        <v>2016</v>
      </c>
      <c r="E1610" s="14">
        <f>Data!N1610</f>
        <v>0</v>
      </c>
      <c r="F1610" s="14">
        <f>Data!L1610</f>
        <v>0</v>
      </c>
      <c r="G1610" s="12">
        <f t="shared" si="25"/>
        <v>0</v>
      </c>
    </row>
    <row r="1611" spans="1:7" ht="15" customHeight="1" x14ac:dyDescent="0.3">
      <c r="C1611" s="4"/>
      <c r="D1611" s="8">
        <v>2017</v>
      </c>
      <c r="E1611" s="14">
        <f>Data!N1611</f>
        <v>0</v>
      </c>
      <c r="F1611" s="14">
        <f>Data!L1611</f>
        <v>0</v>
      </c>
      <c r="G1611" s="12">
        <f t="shared" si="25"/>
        <v>0</v>
      </c>
    </row>
    <row r="1612" spans="1:7" ht="15" customHeight="1" x14ac:dyDescent="0.3">
      <c r="C1612" s="4"/>
      <c r="D1612" s="8">
        <v>2018</v>
      </c>
      <c r="E1612" s="14">
        <f>Data!N1612</f>
        <v>0</v>
      </c>
      <c r="F1612" s="14">
        <f>Data!L1612</f>
        <v>0</v>
      </c>
      <c r="G1612" s="12">
        <f t="shared" si="25"/>
        <v>0</v>
      </c>
    </row>
    <row r="1613" spans="1:7" ht="15" customHeight="1" x14ac:dyDescent="0.3">
      <c r="C1613" s="4"/>
      <c r="D1613" s="8">
        <v>2019</v>
      </c>
      <c r="E1613" s="14">
        <f>Data!N1613</f>
        <v>0</v>
      </c>
      <c r="F1613" s="14">
        <f>Data!L1613</f>
        <v>0</v>
      </c>
      <c r="G1613" s="12">
        <f t="shared" si="25"/>
        <v>0</v>
      </c>
    </row>
    <row r="1614" spans="1:7" ht="15" customHeight="1" x14ac:dyDescent="0.3">
      <c r="C1614" s="4"/>
      <c r="D1614" s="8">
        <v>2020</v>
      </c>
      <c r="E1614" s="14">
        <f>Data!N1614</f>
        <v>0</v>
      </c>
      <c r="F1614" s="14">
        <f>Data!L1614</f>
        <v>0</v>
      </c>
      <c r="G1614" s="12">
        <f t="shared" si="25"/>
        <v>0</v>
      </c>
    </row>
    <row r="1615" spans="1:7" ht="15" customHeight="1" x14ac:dyDescent="0.3">
      <c r="C1615" s="4"/>
      <c r="D1615" s="8">
        <v>2021</v>
      </c>
      <c r="E1615" s="14">
        <f>Data!N1615</f>
        <v>0</v>
      </c>
      <c r="F1615" s="14">
        <f>Data!L1615</f>
        <v>0</v>
      </c>
      <c r="G1615" s="12">
        <f t="shared" si="25"/>
        <v>0</v>
      </c>
    </row>
    <row r="1616" spans="1:7" ht="15" customHeight="1" x14ac:dyDescent="0.3">
      <c r="C1616" s="4"/>
      <c r="D1616" s="8">
        <v>2022</v>
      </c>
      <c r="E1616" s="14">
        <f>Data!N1616</f>
        <v>0</v>
      </c>
      <c r="F1616" s="14">
        <f>Data!L1616</f>
        <v>0</v>
      </c>
      <c r="G1616" s="12">
        <f t="shared" si="25"/>
        <v>0</v>
      </c>
    </row>
    <row r="1617" spans="2:7" ht="15" customHeight="1" x14ac:dyDescent="0.3">
      <c r="C1617" s="4"/>
      <c r="D1617" s="8">
        <v>2023</v>
      </c>
      <c r="E1617" s="14">
        <f>Data!N1617</f>
        <v>0</v>
      </c>
      <c r="F1617" s="14">
        <f>Data!L1617</f>
        <v>0</v>
      </c>
      <c r="G1617" s="12">
        <f t="shared" si="25"/>
        <v>0</v>
      </c>
    </row>
    <row r="1618" spans="2:7" ht="15" customHeight="1" x14ac:dyDescent="0.3">
      <c r="C1618" s="4"/>
      <c r="D1618" s="8">
        <v>2024</v>
      </c>
      <c r="E1618" s="14">
        <f>Data!N1618</f>
        <v>0</v>
      </c>
      <c r="F1618" s="14">
        <f>Data!L1618</f>
        <v>0</v>
      </c>
      <c r="G1618" s="12">
        <f t="shared" si="25"/>
        <v>0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Data!N1619</f>
        <v>0</v>
      </c>
      <c r="F1619" s="14">
        <f>Data!L1619</f>
        <v>2436594000000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Data!N1620</f>
        <v>624615000000</v>
      </c>
      <c r="F1620" s="14">
        <f>Data!L1620</f>
        <v>3140404000000</v>
      </c>
      <c r="G1620" s="12">
        <f t="shared" si="25"/>
        <v>0.19889638403211815</v>
      </c>
    </row>
    <row r="1621" spans="2:7" ht="15" customHeight="1" x14ac:dyDescent="0.3">
      <c r="C1621" s="5"/>
      <c r="D1621" s="8">
        <v>2016</v>
      </c>
      <c r="E1621" s="14">
        <f>Data!N1621</f>
        <v>1072535000000</v>
      </c>
      <c r="F1621" s="14">
        <f>Data!L1621</f>
        <v>4680065000000</v>
      </c>
      <c r="G1621" s="12">
        <f t="shared" si="25"/>
        <v>0.22917096236911239</v>
      </c>
    </row>
    <row r="1622" spans="2:7" ht="15" customHeight="1" x14ac:dyDescent="0.3">
      <c r="C1622" s="5"/>
      <c r="D1622" s="8">
        <v>2017</v>
      </c>
      <c r="E1622" s="14">
        <f>Data!N1622</f>
        <v>1299524000000</v>
      </c>
      <c r="F1622" s="14">
        <f>Data!L1622</f>
        <v>4755082000000</v>
      </c>
      <c r="G1622" s="12">
        <f t="shared" si="25"/>
        <v>0.27329160674831687</v>
      </c>
    </row>
    <row r="1623" spans="2:7" ht="15" customHeight="1" x14ac:dyDescent="0.3">
      <c r="C1623" s="5"/>
      <c r="D1623" s="8">
        <v>2018</v>
      </c>
      <c r="E1623" s="14">
        <f>Data!N1623</f>
        <v>501517000000</v>
      </c>
      <c r="F1623" s="14">
        <f>Data!L1623</f>
        <v>4608413000000</v>
      </c>
      <c r="G1623" s="12">
        <f t="shared" si="25"/>
        <v>0.10882640075878616</v>
      </c>
    </row>
    <row r="1624" spans="2:7" ht="15" customHeight="1" x14ac:dyDescent="0.3">
      <c r="C1624" s="5"/>
      <c r="D1624" s="8">
        <v>2019</v>
      </c>
      <c r="E1624" s="14">
        <f>Data!N1624</f>
        <v>318277000000</v>
      </c>
      <c r="F1624" s="14">
        <f>Data!L1624</f>
        <v>4701083000000</v>
      </c>
      <c r="G1624" s="12">
        <f t="shared" si="25"/>
        <v>6.7702910159212246E-2</v>
      </c>
    </row>
    <row r="1625" spans="2:7" ht="15" customHeight="1" x14ac:dyDescent="0.3">
      <c r="C1625" s="5"/>
      <c r="D1625" s="8">
        <v>2020</v>
      </c>
      <c r="E1625" s="14">
        <f>Data!N1625</f>
        <v>63470000000</v>
      </c>
      <c r="F1625" s="14">
        <f>Data!L1625</f>
        <v>4056170000000</v>
      </c>
      <c r="G1625" s="12">
        <f t="shared" si="25"/>
        <v>1.5647766242539145E-2</v>
      </c>
    </row>
    <row r="1626" spans="2:7" ht="15" customHeight="1" x14ac:dyDescent="0.3">
      <c r="C1626" s="5"/>
      <c r="D1626" s="8">
        <v>2021</v>
      </c>
      <c r="E1626" s="14">
        <f>Data!N1626</f>
        <v>33137000000</v>
      </c>
      <c r="F1626" s="14">
        <f>Data!L1626</f>
        <v>4668022000000</v>
      </c>
      <c r="G1626" s="12">
        <f t="shared" si="25"/>
        <v>7.0987240420032297E-3</v>
      </c>
    </row>
    <row r="1627" spans="2:7" ht="15" customHeight="1" x14ac:dyDescent="0.3">
      <c r="C1627" s="5"/>
      <c r="D1627" s="8">
        <v>2022</v>
      </c>
      <c r="E1627" s="14">
        <f>Data!N1627</f>
        <v>53089000000</v>
      </c>
      <c r="F1627" s="14">
        <f>Data!L1627</f>
        <v>4520000000000</v>
      </c>
      <c r="G1627" s="12">
        <f t="shared" si="25"/>
        <v>1.1745353982300885E-2</v>
      </c>
    </row>
    <row r="1628" spans="2:7" ht="15" customHeight="1" x14ac:dyDescent="0.3">
      <c r="C1628" s="5"/>
      <c r="D1628" s="8">
        <v>2023</v>
      </c>
      <c r="E1628" s="14">
        <f>Data!N1628</f>
        <v>467839000000</v>
      </c>
      <c r="F1628" s="14">
        <f>Data!L1628</f>
        <v>4781944000000</v>
      </c>
      <c r="G1628" s="12">
        <f t="shared" si="25"/>
        <v>9.7834479031958549E-2</v>
      </c>
    </row>
    <row r="1629" spans="2:7" ht="15" customHeight="1" x14ac:dyDescent="0.3">
      <c r="C1629" s="5"/>
      <c r="D1629" s="8">
        <v>2024</v>
      </c>
      <c r="E1629" s="14">
        <f>Data!N1629</f>
        <v>277711000000</v>
      </c>
      <c r="F1629" s="14">
        <f>Data!L1629</f>
        <v>5155886000000</v>
      </c>
      <c r="G1629" s="12">
        <f t="shared" si="25"/>
        <v>5.3862905424984182E-2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06D1-D29C-4FF0-8ED0-F8E91BF933B4}">
  <sheetPr codeName="Sheet8"/>
  <dimension ref="A1:G1629"/>
  <sheetViews>
    <sheetView workbookViewId="0">
      <selection activeCell="G2" sqref="G2:G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18" style="14" bestFit="1" customWidth="1"/>
    <col min="6" max="6" width="19" style="14" bestFit="1" customWidth="1"/>
    <col min="7" max="7" width="15.8867187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165</v>
      </c>
      <c r="F1" s="13" t="s">
        <v>160</v>
      </c>
      <c r="G1" s="11" t="s">
        <v>175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Data!N2</f>
        <v>0</v>
      </c>
      <c r="F2" s="14">
        <f>Data!G2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Data!N3</f>
        <v>0</v>
      </c>
      <c r="F3" s="14">
        <f>Data!G3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Data!N4</f>
        <v>0</v>
      </c>
      <c r="F4" s="14">
        <f>Data!G4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Data!N5</f>
        <v>0</v>
      </c>
      <c r="F5" s="14">
        <f>Data!G5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Data!N6</f>
        <v>0</v>
      </c>
      <c r="F6" s="14">
        <f>Data!G6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Data!N7</f>
        <v>0</v>
      </c>
      <c r="F7" s="14">
        <f>Data!G7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Data!N8</f>
        <v>0</v>
      </c>
      <c r="F8" s="14">
        <f>Data!G8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Data!N9</f>
        <v>0</v>
      </c>
      <c r="F9" s="14">
        <f>Data!G9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Data!N10</f>
        <v>0</v>
      </c>
      <c r="F10" s="14">
        <f>Data!G10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Data!N11</f>
        <v>0</v>
      </c>
      <c r="F11" s="14">
        <f>Data!G11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Data!N12</f>
        <v>0</v>
      </c>
      <c r="F12" s="14">
        <f>Data!G12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Data!N13</f>
        <v>0</v>
      </c>
      <c r="F13" s="14">
        <f>Data!G13</f>
        <v>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Data!N14</f>
        <v>848437000000</v>
      </c>
      <c r="F14" s="14">
        <f>Data!G14</f>
        <v>31860954000000</v>
      </c>
      <c r="G14" s="12">
        <f t="shared" si="0"/>
        <v>2.6629365837570338E-2</v>
      </c>
    </row>
    <row r="15" spans="1:7" ht="15" customHeight="1" x14ac:dyDescent="0.3">
      <c r="C15" s="3"/>
      <c r="D15" s="8">
        <v>2016</v>
      </c>
      <c r="E15" s="14">
        <f>Data!N15</f>
        <v>1197111000000</v>
      </c>
      <c r="F15" s="14">
        <f>Data!G15</f>
        <v>35767906000000</v>
      </c>
      <c r="G15" s="12">
        <f t="shared" si="0"/>
        <v>3.3468858926211674E-2</v>
      </c>
    </row>
    <row r="16" spans="1:7" ht="15" customHeight="1" x14ac:dyDescent="0.3">
      <c r="C16" s="3"/>
      <c r="D16" s="8">
        <v>2017</v>
      </c>
      <c r="E16" s="14">
        <f>Data!N16</f>
        <v>1562417000000</v>
      </c>
      <c r="F16" s="14">
        <f>Data!G16</f>
        <v>44937292000000</v>
      </c>
      <c r="G16" s="12">
        <f t="shared" si="0"/>
        <v>3.4768828526649982E-2</v>
      </c>
    </row>
    <row r="17" spans="2:7" ht="15" customHeight="1" x14ac:dyDescent="0.3">
      <c r="C17" s="3"/>
      <c r="D17" s="8">
        <v>2018</v>
      </c>
      <c r="E17" s="14">
        <f>Data!N17</f>
        <v>1065313000000</v>
      </c>
      <c r="F17" s="14">
        <f>Data!G17</f>
        <v>46562563000000</v>
      </c>
      <c r="G17" s="12">
        <f t="shared" si="0"/>
        <v>2.2879174413143882E-2</v>
      </c>
    </row>
    <row r="18" spans="2:7" ht="15" customHeight="1" x14ac:dyDescent="0.3">
      <c r="C18" s="3"/>
      <c r="D18" s="8">
        <v>2019</v>
      </c>
      <c r="E18" s="14">
        <f>Data!N18</f>
        <v>2104310000000</v>
      </c>
      <c r="F18" s="14">
        <f>Data!G18</f>
        <v>50043024000000</v>
      </c>
      <c r="G18" s="12">
        <f t="shared" si="0"/>
        <v>4.2050016801542606E-2</v>
      </c>
    </row>
    <row r="19" spans="2:7" ht="15" customHeight="1" x14ac:dyDescent="0.3">
      <c r="C19" s="3"/>
      <c r="D19" s="8">
        <v>2020</v>
      </c>
      <c r="E19" s="14">
        <f>Data!N19</f>
        <v>-410562000000</v>
      </c>
      <c r="F19" s="14">
        <f>Data!G19</f>
        <v>53134780000000</v>
      </c>
      <c r="G19" s="12">
        <f t="shared" si="0"/>
        <v>-7.7268034232944975E-3</v>
      </c>
    </row>
    <row r="20" spans="2:7" ht="15" customHeight="1" x14ac:dyDescent="0.3">
      <c r="C20" s="3"/>
      <c r="D20" s="8">
        <v>2021</v>
      </c>
      <c r="E20" s="14">
        <f>Data!N20</f>
        <v>-586757000000</v>
      </c>
      <c r="F20" s="14">
        <f>Data!G20</f>
        <v>52330016000000</v>
      </c>
      <c r="G20" s="12">
        <f t="shared" si="0"/>
        <v>-1.1212627949511805E-2</v>
      </c>
    </row>
    <row r="21" spans="2:7" ht="15" customHeight="1" x14ac:dyDescent="0.3">
      <c r="C21" s="3"/>
      <c r="D21" s="8">
        <v>2022</v>
      </c>
      <c r="E21" s="14">
        <f>Data!N21</f>
        <v>-785208000000</v>
      </c>
      <c r="F21" s="14">
        <f>Data!G21</f>
        <v>44912325000000</v>
      </c>
      <c r="G21" s="12">
        <f t="shared" si="0"/>
        <v>-1.7483129630897532E-2</v>
      </c>
    </row>
    <row r="22" spans="2:7" ht="15" customHeight="1" x14ac:dyDescent="0.3">
      <c r="C22" s="3"/>
      <c r="D22" s="8">
        <v>2023</v>
      </c>
      <c r="E22" s="14">
        <f>Data!N22</f>
        <v>876769000000</v>
      </c>
      <c r="F22" s="14">
        <f>Data!G22</f>
        <v>41785302000000</v>
      </c>
      <c r="G22" s="12">
        <f t="shared" si="0"/>
        <v>2.0982713012341038E-2</v>
      </c>
    </row>
    <row r="23" spans="2:7" ht="15" customHeight="1" x14ac:dyDescent="0.3">
      <c r="C23" s="3"/>
      <c r="D23" s="8">
        <v>2024</v>
      </c>
      <c r="E23" s="14">
        <f>Data!N23</f>
        <v>1419919000000</v>
      </c>
      <c r="F23" s="14">
        <f>Data!G23</f>
        <v>39899482000000</v>
      </c>
      <c r="G23" s="12">
        <f t="shared" si="0"/>
        <v>3.558740436780608E-2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Data!N24</f>
        <v>0</v>
      </c>
      <c r="F24" s="14">
        <f>Data!G24</f>
        <v>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Data!N25</f>
        <v>806099000000</v>
      </c>
      <c r="F25" s="14">
        <f>Data!G25</f>
        <v>27635118000000</v>
      </c>
      <c r="G25" s="12">
        <f t="shared" si="0"/>
        <v>2.9169370653673345E-2</v>
      </c>
    </row>
    <row r="26" spans="2:7" ht="15" customHeight="1" x14ac:dyDescent="0.3">
      <c r="C26" s="3"/>
      <c r="D26" s="8">
        <v>2016</v>
      </c>
      <c r="E26" s="14">
        <f>Data!N26</f>
        <v>899890000000</v>
      </c>
      <c r="F26" s="14">
        <f>Data!G26</f>
        <v>30294789000000</v>
      </c>
      <c r="G26" s="12">
        <f t="shared" si="0"/>
        <v>2.9704448510930379E-2</v>
      </c>
    </row>
    <row r="27" spans="2:7" ht="15" customHeight="1" x14ac:dyDescent="0.3">
      <c r="C27" s="3"/>
      <c r="D27" s="8">
        <v>2017</v>
      </c>
      <c r="E27" s="14">
        <f>Data!N27</f>
        <v>649699000000</v>
      </c>
      <c r="F27" s="14">
        <f>Data!G27</f>
        <v>35751863000000</v>
      </c>
      <c r="G27" s="12">
        <f t="shared" si="0"/>
        <v>1.8172451600634069E-2</v>
      </c>
    </row>
    <row r="28" spans="2:7" ht="15" customHeight="1" x14ac:dyDescent="0.3">
      <c r="C28" s="3"/>
      <c r="D28" s="8">
        <v>2018</v>
      </c>
      <c r="E28" s="14">
        <f>Data!N28</f>
        <v>137111000000</v>
      </c>
      <c r="F28" s="14">
        <f>Data!G28</f>
        <v>35266933000000</v>
      </c>
      <c r="G28" s="12">
        <f t="shared" si="0"/>
        <v>3.8878061780989008E-3</v>
      </c>
    </row>
    <row r="29" spans="2:7" ht="15" customHeight="1" x14ac:dyDescent="0.3">
      <c r="C29" s="3"/>
      <c r="D29" s="8">
        <v>2019</v>
      </c>
      <c r="E29" s="14">
        <f>Data!N29</f>
        <v>1493224000000</v>
      </c>
      <c r="F29" s="14">
        <f>Data!G29</f>
        <v>38345233000000</v>
      </c>
      <c r="G29" s="12">
        <f t="shared" si="0"/>
        <v>3.8941581082582027E-2</v>
      </c>
    </row>
    <row r="30" spans="2:7" ht="15" customHeight="1" x14ac:dyDescent="0.3">
      <c r="C30" s="3"/>
      <c r="D30" s="8">
        <v>2020</v>
      </c>
      <c r="E30" s="14">
        <f>Data!N30</f>
        <v>1129656000000</v>
      </c>
      <c r="F30" s="14">
        <f>Data!G30</f>
        <v>41166712000000</v>
      </c>
      <c r="G30" s="12">
        <f t="shared" si="0"/>
        <v>2.7441006218810966E-2</v>
      </c>
    </row>
    <row r="31" spans="2:7" ht="15" customHeight="1" x14ac:dyDescent="0.3">
      <c r="C31" s="3"/>
      <c r="D31" s="8">
        <v>2021</v>
      </c>
      <c r="E31" s="14">
        <f>Data!N31</f>
        <v>404045000000</v>
      </c>
      <c r="F31" s="14">
        <f>Data!G31</f>
        <v>42808931000000</v>
      </c>
      <c r="G31" s="12">
        <f t="shared" si="0"/>
        <v>9.4383342578678274E-3</v>
      </c>
    </row>
    <row r="32" spans="2:7" ht="15" customHeight="1" x14ac:dyDescent="0.3">
      <c r="C32" s="3"/>
      <c r="D32" s="8">
        <v>2022</v>
      </c>
      <c r="E32" s="14">
        <f>Data!N32</f>
        <v>107318000000</v>
      </c>
      <c r="F32" s="14">
        <f>Data!G32</f>
        <v>41194961000000</v>
      </c>
      <c r="G32" s="12">
        <f t="shared" si="0"/>
        <v>2.6051244471380856E-3</v>
      </c>
    </row>
    <row r="33" spans="2:7" ht="15" customHeight="1" x14ac:dyDescent="0.3">
      <c r="C33" s="3"/>
      <c r="D33" s="8">
        <v>2023</v>
      </c>
      <c r="E33" s="14">
        <f>Data!N33</f>
        <v>481260000000</v>
      </c>
      <c r="F33" s="14">
        <f>Data!G33</f>
        <v>40147448000000</v>
      </c>
      <c r="G33" s="12">
        <f t="shared" si="0"/>
        <v>1.1987312369144859E-2</v>
      </c>
    </row>
    <row r="34" spans="2:7" ht="15" customHeight="1" x14ac:dyDescent="0.3">
      <c r="C34" s="3"/>
      <c r="D34" s="8">
        <v>2024</v>
      </c>
      <c r="E34" s="14">
        <f>Data!N34</f>
        <v>961867000000</v>
      </c>
      <c r="F34" s="14">
        <f>Data!G34</f>
        <v>39131978000000</v>
      </c>
      <c r="G34" s="12">
        <f t="shared" si="0"/>
        <v>2.4580076171973723E-2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Data!N35</f>
        <v>0</v>
      </c>
      <c r="F35" s="14">
        <f>Data!G35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Data!N36</f>
        <v>0</v>
      </c>
      <c r="F36" s="14">
        <f>Data!G36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Data!N37</f>
        <v>0</v>
      </c>
      <c r="F37" s="14">
        <f>Data!G37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Data!N38</f>
        <v>0</v>
      </c>
      <c r="F38" s="14">
        <f>Data!G38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Data!N39</f>
        <v>0</v>
      </c>
      <c r="F39" s="14">
        <f>Data!G39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Data!N40</f>
        <v>0</v>
      </c>
      <c r="F40" s="14">
        <f>Data!G40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Data!N41</f>
        <v>0</v>
      </c>
      <c r="F41" s="14">
        <f>Data!G41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Data!N42</f>
        <v>0</v>
      </c>
      <c r="F42" s="14">
        <f>Data!G42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Data!N43</f>
        <v>382661000000</v>
      </c>
      <c r="F43" s="14">
        <f>Data!G43</f>
        <v>4337827000000</v>
      </c>
      <c r="G43" s="12">
        <f t="shared" si="0"/>
        <v>8.8214905758113457E-2</v>
      </c>
    </row>
    <row r="44" spans="2:7" ht="15" customHeight="1" x14ac:dyDescent="0.3">
      <c r="C44" s="4"/>
      <c r="D44" s="8">
        <v>2023</v>
      </c>
      <c r="E44" s="14">
        <f>Data!N44</f>
        <v>232895000000</v>
      </c>
      <c r="F44" s="14">
        <f>Data!G44</f>
        <v>3620310000000</v>
      </c>
      <c r="G44" s="12">
        <f t="shared" si="0"/>
        <v>6.4330126425637582E-2</v>
      </c>
    </row>
    <row r="45" spans="2:7" ht="15" customHeight="1" x14ac:dyDescent="0.3">
      <c r="C45" s="4"/>
      <c r="D45" s="8">
        <v>2024</v>
      </c>
      <c r="E45" s="14">
        <f>Data!N45</f>
        <v>58584000000</v>
      </c>
      <c r="F45" s="14">
        <f>Data!G45</f>
        <v>3339322000000</v>
      </c>
      <c r="G45" s="12">
        <f t="shared" si="0"/>
        <v>1.7543681022674663E-2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Data!N46</f>
        <v>0</v>
      </c>
      <c r="F46" s="14">
        <f>Data!G46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Data!N47</f>
        <v>0</v>
      </c>
      <c r="F47" s="14">
        <f>Data!G47</f>
        <v>4933308738000</v>
      </c>
      <c r="G47" s="12">
        <f t="shared" si="0"/>
        <v>0</v>
      </c>
    </row>
    <row r="48" spans="2:7" ht="15" customHeight="1" x14ac:dyDescent="0.3">
      <c r="C48" s="3"/>
      <c r="D48" s="8">
        <v>2016</v>
      </c>
      <c r="E48" s="14">
        <f>Data!N48</f>
        <v>331486312000</v>
      </c>
      <c r="F48" s="14">
        <f>Data!G48</f>
        <v>6176329027000</v>
      </c>
      <c r="G48" s="12">
        <f t="shared" si="0"/>
        <v>5.3670442515432397E-2</v>
      </c>
    </row>
    <row r="49" spans="2:7" ht="15" customHeight="1" x14ac:dyDescent="0.3">
      <c r="C49" s="3"/>
      <c r="D49" s="8">
        <v>2017</v>
      </c>
      <c r="E49" s="14">
        <f>Data!N49</f>
        <v>538226085000</v>
      </c>
      <c r="F49" s="14">
        <f>Data!E49</f>
        <v>51803533000</v>
      </c>
      <c r="G49" s="12">
        <f t="shared" si="0"/>
        <v>10.389756331870261</v>
      </c>
    </row>
    <row r="50" spans="2:7" ht="15" customHeight="1" x14ac:dyDescent="0.3">
      <c r="C50" s="3"/>
      <c r="D50" s="8">
        <v>2018</v>
      </c>
      <c r="E50" s="14">
        <f>Data!N50</f>
        <v>291908712000</v>
      </c>
      <c r="F50" s="14">
        <f>Data!G50</f>
        <v>9356504263000</v>
      </c>
      <c r="G50" s="12">
        <f t="shared" si="0"/>
        <v>3.1198480094146247E-2</v>
      </c>
    </row>
    <row r="51" spans="2:7" ht="15" customHeight="1" x14ac:dyDescent="0.3">
      <c r="C51" s="3"/>
      <c r="D51" s="8">
        <v>2019</v>
      </c>
      <c r="E51" s="14">
        <f>Data!N51</f>
        <v>452204000000</v>
      </c>
      <c r="F51" s="14">
        <f>Data!G51</f>
        <v>11084971000000</v>
      </c>
      <c r="G51" s="12">
        <f t="shared" si="0"/>
        <v>4.0794333156126433E-2</v>
      </c>
    </row>
    <row r="52" spans="2:7" ht="15" customHeight="1" x14ac:dyDescent="0.3">
      <c r="C52" s="3"/>
      <c r="D52" s="8">
        <v>2020</v>
      </c>
      <c r="E52" s="14">
        <f>Data!N52</f>
        <v>230074000000</v>
      </c>
      <c r="F52" s="14">
        <f>Data!G52</f>
        <v>13044264000000</v>
      </c>
      <c r="G52" s="12">
        <f t="shared" si="0"/>
        <v>1.7637944156910654E-2</v>
      </c>
    </row>
    <row r="53" spans="2:7" ht="15" customHeight="1" x14ac:dyDescent="0.3">
      <c r="C53" s="3"/>
      <c r="D53" s="8">
        <v>2021</v>
      </c>
      <c r="E53" s="14">
        <f>Data!N53</f>
        <v>39099000000</v>
      </c>
      <c r="F53" s="14">
        <f>Data!G53</f>
        <v>18260736000000</v>
      </c>
      <c r="G53" s="12">
        <f t="shared" si="0"/>
        <v>2.1411513752786306E-3</v>
      </c>
    </row>
    <row r="54" spans="2:7" ht="15" customHeight="1" x14ac:dyDescent="0.3">
      <c r="C54" s="3"/>
      <c r="D54" s="8">
        <v>2022</v>
      </c>
      <c r="E54" s="14">
        <f>Data!N54</f>
        <v>283472000000</v>
      </c>
      <c r="F54" s="14">
        <f>Data!G54</f>
        <v>21494817000000</v>
      </c>
      <c r="G54" s="12">
        <f t="shared" si="0"/>
        <v>1.3187923395672548E-2</v>
      </c>
    </row>
    <row r="55" spans="2:7" ht="15" customHeight="1" x14ac:dyDescent="0.3">
      <c r="C55" s="3"/>
      <c r="D55" s="8">
        <v>2023</v>
      </c>
      <c r="E55" s="14">
        <f>Data!N55</f>
        <v>634959000000</v>
      </c>
      <c r="F55" s="14">
        <f>Data!G55</f>
        <v>23552167000000</v>
      </c>
      <c r="G55" s="12">
        <f t="shared" si="0"/>
        <v>2.6959684856174806E-2</v>
      </c>
    </row>
    <row r="56" spans="2:7" ht="15" customHeight="1" x14ac:dyDescent="0.3">
      <c r="C56" s="3"/>
      <c r="D56" s="8">
        <v>2024</v>
      </c>
      <c r="E56" s="14">
        <f>Data!N56</f>
        <v>0</v>
      </c>
      <c r="F56" s="14">
        <f>Data!G56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Data!N57</f>
        <v>0</v>
      </c>
      <c r="F57" s="14">
        <f>Data!G57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Data!N58</f>
        <v>0</v>
      </c>
      <c r="F58" s="14">
        <f>Data!G58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Data!N59</f>
        <v>-4909000000</v>
      </c>
      <c r="F59" s="14">
        <f>Data!G59</f>
        <v>98507000000</v>
      </c>
      <c r="G59" s="12">
        <f t="shared" si="0"/>
        <v>-4.9834021947678844E-2</v>
      </c>
    </row>
    <row r="60" spans="2:7" ht="15" customHeight="1" x14ac:dyDescent="0.3">
      <c r="C60" s="3"/>
      <c r="D60" s="8">
        <v>2017</v>
      </c>
      <c r="E60" s="14">
        <f>Data!N60</f>
        <v>-19772000000</v>
      </c>
      <c r="F60" s="14">
        <f>Data!G60</f>
        <v>116479000000</v>
      </c>
      <c r="G60" s="12">
        <f t="shared" si="0"/>
        <v>-0.16974733642974271</v>
      </c>
    </row>
    <row r="61" spans="2:7" ht="15" customHeight="1" x14ac:dyDescent="0.3">
      <c r="C61" s="3"/>
      <c r="D61" s="8">
        <v>2018</v>
      </c>
      <c r="E61" s="14">
        <f>Data!N61</f>
        <v>-43131000000</v>
      </c>
      <c r="F61" s="14">
        <f>Data!G61</f>
        <v>152680000000</v>
      </c>
      <c r="G61" s="12">
        <f t="shared" si="0"/>
        <v>-0.28249279538904898</v>
      </c>
    </row>
    <row r="62" spans="2:7" ht="15" customHeight="1" x14ac:dyDescent="0.3">
      <c r="C62" s="3"/>
      <c r="D62" s="8">
        <v>2019</v>
      </c>
      <c r="E62" s="14">
        <f>Data!N62</f>
        <v>-45250000000</v>
      </c>
      <c r="F62" s="14">
        <f>Data!G62</f>
        <v>214472000000</v>
      </c>
      <c r="G62" s="12">
        <f t="shared" si="0"/>
        <v>-0.210983251893021</v>
      </c>
    </row>
    <row r="63" spans="2:7" ht="15" customHeight="1" x14ac:dyDescent="0.3">
      <c r="C63" s="3"/>
      <c r="D63" s="8">
        <v>2020</v>
      </c>
      <c r="E63" s="14">
        <f>Data!N63</f>
        <v>-36955000000</v>
      </c>
      <c r="F63" s="14">
        <f>Data!G63</f>
        <v>278255000000</v>
      </c>
      <c r="G63" s="12">
        <f t="shared" si="0"/>
        <v>-0.13280983270740868</v>
      </c>
    </row>
    <row r="64" spans="2:7" ht="15" customHeight="1" x14ac:dyDescent="0.3">
      <c r="C64" s="3"/>
      <c r="D64" s="8">
        <v>2021</v>
      </c>
      <c r="E64" s="14">
        <f>Data!N64</f>
        <v>-52914000000</v>
      </c>
      <c r="F64" s="14">
        <f>Data!G64</f>
        <v>384372000000</v>
      </c>
      <c r="G64" s="12">
        <f t="shared" si="0"/>
        <v>-0.13766351347132466</v>
      </c>
    </row>
    <row r="65" spans="2:7" ht="15" customHeight="1" x14ac:dyDescent="0.3">
      <c r="C65" s="3"/>
      <c r="D65" s="8">
        <v>2022</v>
      </c>
      <c r="E65" s="14">
        <f>Data!N65</f>
        <v>460000000</v>
      </c>
      <c r="F65" s="14">
        <f>Data!G65</f>
        <v>517439000000</v>
      </c>
      <c r="G65" s="12">
        <f t="shared" si="0"/>
        <v>8.8899367848190806E-4</v>
      </c>
    </row>
    <row r="66" spans="2:7" ht="15" customHeight="1" x14ac:dyDescent="0.3">
      <c r="C66" s="3"/>
      <c r="D66" s="8">
        <v>2023</v>
      </c>
      <c r="E66" s="14">
        <f>Data!N66</f>
        <v>8447000000</v>
      </c>
      <c r="F66" s="14">
        <f>Data!G66</f>
        <v>714057000000</v>
      </c>
      <c r="G66" s="12">
        <f t="shared" si="0"/>
        <v>1.1829587834024454E-2</v>
      </c>
    </row>
    <row r="67" spans="2:7" ht="15" customHeight="1" x14ac:dyDescent="0.3">
      <c r="C67" s="3"/>
      <c r="D67" s="8">
        <v>2024</v>
      </c>
      <c r="E67" s="14">
        <f>Data!N67</f>
        <v>35110000000</v>
      </c>
      <c r="F67" s="14">
        <f>Data!G67</f>
        <v>997332000000</v>
      </c>
      <c r="G67" s="12">
        <f t="shared" ref="G67:G130" si="1">IFERROR(E67/F67,0)</f>
        <v>3.5203924069417206E-2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Data!N68</f>
        <v>0</v>
      </c>
      <c r="F68" s="14">
        <f>Data!G68</f>
        <v>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Data!N69</f>
        <v>-177698000000</v>
      </c>
      <c r="F69" s="14">
        <f>Data!G69</f>
        <v>1899837000000</v>
      </c>
      <c r="G69" s="12">
        <f t="shared" si="1"/>
        <v>-9.3533287329386677E-2</v>
      </c>
    </row>
    <row r="70" spans="2:7" ht="15" customHeight="1" x14ac:dyDescent="0.3">
      <c r="C70" s="3"/>
      <c r="D70" s="8">
        <v>2016</v>
      </c>
      <c r="E70" s="14">
        <f>Data!N70</f>
        <v>-268101000000</v>
      </c>
      <c r="F70" s="14">
        <f>Data!G70</f>
        <v>3802688000000</v>
      </c>
      <c r="G70" s="12">
        <f t="shared" si="1"/>
        <v>-7.0503023124694947E-2</v>
      </c>
    </row>
    <row r="71" spans="2:7" ht="15" customHeight="1" x14ac:dyDescent="0.3">
      <c r="C71" s="3"/>
      <c r="D71" s="8">
        <v>2017</v>
      </c>
      <c r="E71" s="14">
        <f>Data!N71</f>
        <v>-255572000000</v>
      </c>
      <c r="F71" s="14">
        <f>Data!G71</f>
        <v>4315435000000</v>
      </c>
      <c r="G71" s="12">
        <f t="shared" si="1"/>
        <v>-5.9222766650407203E-2</v>
      </c>
    </row>
    <row r="72" spans="2:7" ht="15" customHeight="1" x14ac:dyDescent="0.3">
      <c r="C72" s="3"/>
      <c r="D72" s="8">
        <v>2018</v>
      </c>
      <c r="E72" s="14">
        <f>Data!N72</f>
        <v>-177053000000</v>
      </c>
      <c r="F72" s="14">
        <f>Data!G72</f>
        <v>5004717000000</v>
      </c>
      <c r="G72" s="12">
        <f t="shared" si="1"/>
        <v>-3.5377225125816307E-2</v>
      </c>
    </row>
    <row r="73" spans="2:7" ht="15" customHeight="1" x14ac:dyDescent="0.3">
      <c r="C73" s="3"/>
      <c r="D73" s="8">
        <v>2019</v>
      </c>
      <c r="E73" s="14">
        <f>Data!N73</f>
        <v>-77232000000</v>
      </c>
      <c r="F73" s="14">
        <f>Data!G73</f>
        <v>5901298000000</v>
      </c>
      <c r="G73" s="12">
        <f t="shared" si="1"/>
        <v>-1.3087290287662139E-2</v>
      </c>
    </row>
    <row r="74" spans="2:7" ht="15" customHeight="1" x14ac:dyDescent="0.3">
      <c r="C74" s="3"/>
      <c r="D74" s="8">
        <v>2020</v>
      </c>
      <c r="E74" s="14">
        <f>Data!N74</f>
        <v>-16497000000</v>
      </c>
      <c r="F74" s="14">
        <f>Data!G74</f>
        <v>6587066000000</v>
      </c>
      <c r="G74" s="12">
        <f t="shared" si="1"/>
        <v>-2.504453424331865E-3</v>
      </c>
    </row>
    <row r="75" spans="2:7" ht="15" customHeight="1" x14ac:dyDescent="0.3">
      <c r="C75" s="3"/>
      <c r="D75" s="8">
        <v>2021</v>
      </c>
      <c r="E75" s="14">
        <f>Data!N75</f>
        <v>-13860000000</v>
      </c>
      <c r="F75" s="14">
        <f>Data!G75</f>
        <v>7092935000000</v>
      </c>
      <c r="G75" s="12">
        <f t="shared" si="1"/>
        <v>-1.9540571004809716E-3</v>
      </c>
    </row>
    <row r="76" spans="2:7" ht="15" customHeight="1" x14ac:dyDescent="0.3">
      <c r="C76" s="3"/>
      <c r="D76" s="8">
        <v>2022</v>
      </c>
      <c r="E76" s="14">
        <f>Data!N76</f>
        <v>-143113000000</v>
      </c>
      <c r="F76" s="14">
        <f>Data!G76</f>
        <v>7345755000000</v>
      </c>
      <c r="G76" s="12">
        <f t="shared" si="1"/>
        <v>-1.9482408547521663E-2</v>
      </c>
    </row>
    <row r="77" spans="2:7" ht="15" customHeight="1" x14ac:dyDescent="0.3">
      <c r="C77" s="3"/>
      <c r="D77" s="8">
        <v>2023</v>
      </c>
      <c r="E77" s="14">
        <f>Data!N77</f>
        <v>15952000000</v>
      </c>
      <c r="F77" s="14">
        <f>Data!G77</f>
        <v>7501061000000</v>
      </c>
      <c r="G77" s="12">
        <f t="shared" si="1"/>
        <v>2.1266324857243529E-3</v>
      </c>
    </row>
    <row r="78" spans="2:7" ht="15" customHeight="1" x14ac:dyDescent="0.3">
      <c r="C78" s="3"/>
      <c r="D78" s="8">
        <v>2024</v>
      </c>
      <c r="E78" s="14">
        <f>Data!N78</f>
        <v>49115000000</v>
      </c>
      <c r="F78" s="14">
        <f>Data!G78</f>
        <v>6806055000000</v>
      </c>
      <c r="G78" s="12">
        <f t="shared" si="1"/>
        <v>7.2163683661092956E-3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Data!N79</f>
        <v>0</v>
      </c>
      <c r="F79" s="14">
        <f>Data!G79</f>
        <v>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Data!N80</f>
        <v>-27031000000</v>
      </c>
      <c r="F80" s="14">
        <f>Data!G80</f>
        <v>281282000000</v>
      </c>
      <c r="G80" s="12">
        <f t="shared" si="1"/>
        <v>-9.6099288258758117E-2</v>
      </c>
    </row>
    <row r="81" spans="2:7" ht="15" customHeight="1" x14ac:dyDescent="0.3">
      <c r="C81" s="3"/>
      <c r="D81" s="8">
        <v>2016</v>
      </c>
      <c r="E81" s="14">
        <f>Data!N81</f>
        <v>-24158000000</v>
      </c>
      <c r="F81" s="14">
        <f>Data!G81</f>
        <v>385447000000</v>
      </c>
      <c r="G81" s="12">
        <f t="shared" si="1"/>
        <v>-6.2675283502011944E-2</v>
      </c>
    </row>
    <row r="82" spans="2:7" ht="15" customHeight="1" x14ac:dyDescent="0.3">
      <c r="C82" s="3"/>
      <c r="D82" s="8">
        <v>2017</v>
      </c>
      <c r="E82" s="14">
        <f>Data!N82</f>
        <v>-37565000000</v>
      </c>
      <c r="F82" s="14">
        <f>Data!G82</f>
        <v>842122000000</v>
      </c>
      <c r="G82" s="12">
        <f t="shared" si="1"/>
        <v>-4.4607550924925368E-2</v>
      </c>
    </row>
    <row r="83" spans="2:7" ht="15" customHeight="1" x14ac:dyDescent="0.3">
      <c r="C83" s="3"/>
      <c r="D83" s="8">
        <v>2018</v>
      </c>
      <c r="E83" s="14">
        <f>Data!N83</f>
        <v>-78803000000</v>
      </c>
      <c r="F83" s="14">
        <f>Data!G83</f>
        <v>902876000000</v>
      </c>
      <c r="G83" s="12">
        <f t="shared" si="1"/>
        <v>-8.7279980861159234E-2</v>
      </c>
    </row>
    <row r="84" spans="2:7" ht="15" customHeight="1" x14ac:dyDescent="0.3">
      <c r="C84" s="3"/>
      <c r="D84" s="8">
        <v>2019</v>
      </c>
      <c r="E84" s="14">
        <f>Data!N84</f>
        <v>12855000000</v>
      </c>
      <c r="F84" s="14">
        <f>Data!G84</f>
        <v>1154689000000</v>
      </c>
      <c r="G84" s="12">
        <f t="shared" si="1"/>
        <v>1.1132867811159542E-2</v>
      </c>
    </row>
    <row r="85" spans="2:7" ht="15" customHeight="1" x14ac:dyDescent="0.3">
      <c r="C85" s="3"/>
      <c r="D85" s="8">
        <v>2020</v>
      </c>
      <c r="E85" s="14">
        <f>Data!N85</f>
        <v>91530000000</v>
      </c>
      <c r="F85" s="14">
        <f>Data!G85</f>
        <v>1467896000000</v>
      </c>
      <c r="G85" s="12">
        <f t="shared" si="1"/>
        <v>6.2354553728602026E-2</v>
      </c>
    </row>
    <row r="86" spans="2:7" ht="15" customHeight="1" x14ac:dyDescent="0.3">
      <c r="C86" s="3"/>
      <c r="D86" s="8">
        <v>2021</v>
      </c>
      <c r="E86" s="14">
        <f>Data!N86</f>
        <v>40152000000</v>
      </c>
      <c r="F86" s="14">
        <f>Data!G86</f>
        <v>1930213000000</v>
      </c>
      <c r="G86" s="12">
        <f t="shared" si="1"/>
        <v>2.0801849329581762E-2</v>
      </c>
    </row>
    <row r="87" spans="2:7" ht="15" customHeight="1" x14ac:dyDescent="0.3">
      <c r="C87" s="3"/>
      <c r="D87" s="8">
        <v>2022</v>
      </c>
      <c r="E87" s="14">
        <f>Data!N87</f>
        <v>51764000000</v>
      </c>
      <c r="F87" s="14">
        <f>Data!G87</f>
        <v>2347921000000</v>
      </c>
      <c r="G87" s="12">
        <f t="shared" si="1"/>
        <v>2.2046738369817385E-2</v>
      </c>
    </row>
    <row r="88" spans="2:7" ht="15" customHeight="1" x14ac:dyDescent="0.3">
      <c r="C88" s="3"/>
      <c r="D88" s="8">
        <v>2023</v>
      </c>
      <c r="E88" s="14">
        <f>Data!N88</f>
        <v>71227000000</v>
      </c>
      <c r="F88" s="14">
        <f>Data!G88</f>
        <v>2878724000000</v>
      </c>
      <c r="G88" s="12">
        <f t="shared" si="1"/>
        <v>2.4742559550689821E-2</v>
      </c>
    </row>
    <row r="89" spans="2:7" ht="15" customHeight="1" x14ac:dyDescent="0.3">
      <c r="C89" s="3"/>
      <c r="D89" s="8">
        <v>2024</v>
      </c>
      <c r="E89" s="14">
        <f>Data!N89</f>
        <v>83571000000</v>
      </c>
      <c r="F89" s="14">
        <f>Data!G89</f>
        <v>3339666000000</v>
      </c>
      <c r="G89" s="12">
        <f t="shared" si="1"/>
        <v>2.5023759861016043E-2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Data!N90</f>
        <v>0</v>
      </c>
      <c r="F90" s="14">
        <f>Data!G90</f>
        <v>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Data!N91</f>
        <v>-187450000000</v>
      </c>
      <c r="F91" s="14">
        <f>Data!G91</f>
        <v>4598462000000</v>
      </c>
      <c r="G91" s="12">
        <f t="shared" si="1"/>
        <v>-4.0763629230816736E-2</v>
      </c>
    </row>
    <row r="92" spans="2:7" ht="15" customHeight="1" x14ac:dyDescent="0.3">
      <c r="C92" s="3"/>
      <c r="D92" s="8">
        <v>2016</v>
      </c>
      <c r="E92" s="14">
        <f>Data!N92</f>
        <v>201331000000</v>
      </c>
      <c r="F92" s="14">
        <f>Data!G92</f>
        <v>5298273000000</v>
      </c>
      <c r="G92" s="12">
        <f t="shared" si="1"/>
        <v>3.799936318872206E-2</v>
      </c>
    </row>
    <row r="93" spans="2:7" ht="15" customHeight="1" x14ac:dyDescent="0.3">
      <c r="C93" s="3"/>
      <c r="D93" s="8">
        <v>2017</v>
      </c>
      <c r="E93" s="14">
        <f>Data!N93</f>
        <v>-590339000000</v>
      </c>
      <c r="F93" s="14">
        <f>Data!G93</f>
        <v>5618666000000</v>
      </c>
      <c r="G93" s="12">
        <f t="shared" si="1"/>
        <v>-0.10506746619215308</v>
      </c>
    </row>
    <row r="94" spans="2:7" ht="15" customHeight="1" x14ac:dyDescent="0.3">
      <c r="C94" s="3"/>
      <c r="D94" s="8">
        <v>2018</v>
      </c>
      <c r="E94" s="14">
        <f>Data!N94</f>
        <v>175397000000</v>
      </c>
      <c r="F94" s="14">
        <f>Data!G94</f>
        <v>6696353000000</v>
      </c>
      <c r="G94" s="12">
        <f t="shared" si="1"/>
        <v>2.6192914262435089E-2</v>
      </c>
    </row>
    <row r="95" spans="2:7" ht="15" customHeight="1" x14ac:dyDescent="0.3">
      <c r="C95" s="3"/>
      <c r="D95" s="8">
        <v>2019</v>
      </c>
      <c r="E95" s="14">
        <f>Data!N95</f>
        <v>396160000000</v>
      </c>
      <c r="F95" s="14">
        <f>Data!G95</f>
        <v>8158087000000</v>
      </c>
      <c r="G95" s="12">
        <f t="shared" si="1"/>
        <v>4.8560403928028718E-2</v>
      </c>
    </row>
    <row r="96" spans="2:7" ht="15" customHeight="1" x14ac:dyDescent="0.3">
      <c r="C96" s="3"/>
      <c r="D96" s="8">
        <v>2020</v>
      </c>
      <c r="E96" s="14">
        <f>Data!N96</f>
        <v>70612000000</v>
      </c>
      <c r="F96" s="14">
        <f>Data!G96</f>
        <v>8569933000000</v>
      </c>
      <c r="G96" s="12">
        <f t="shared" si="1"/>
        <v>8.2395043228459305E-3</v>
      </c>
    </row>
    <row r="97" spans="2:7" ht="15" customHeight="1" x14ac:dyDescent="0.3">
      <c r="C97" s="3"/>
      <c r="D97" s="8">
        <v>2021</v>
      </c>
      <c r="E97" s="14">
        <f>Data!N97</f>
        <v>1154523000000</v>
      </c>
      <c r="F97" s="14">
        <f>Data!G97</f>
        <v>10111397000000</v>
      </c>
      <c r="G97" s="12">
        <f t="shared" si="1"/>
        <v>0.1141803649881416</v>
      </c>
    </row>
    <row r="98" spans="2:7" ht="15" customHeight="1" x14ac:dyDescent="0.3">
      <c r="C98" s="3"/>
      <c r="D98" s="8">
        <v>2022</v>
      </c>
      <c r="E98" s="14">
        <f>Data!N98</f>
        <v>158806000000</v>
      </c>
      <c r="F98" s="14">
        <f>Data!G98</f>
        <v>10357588000000</v>
      </c>
      <c r="G98" s="12">
        <f t="shared" si="1"/>
        <v>1.5332334130301379E-2</v>
      </c>
    </row>
    <row r="99" spans="2:7" ht="15" customHeight="1" x14ac:dyDescent="0.3">
      <c r="C99" s="3"/>
      <c r="D99" s="8">
        <v>2023</v>
      </c>
      <c r="E99" s="14">
        <f>Data!N99</f>
        <v>107690000000</v>
      </c>
      <c r="F99" s="14">
        <f>Data!G99</f>
        <v>11033985000000</v>
      </c>
      <c r="G99" s="12">
        <f t="shared" si="1"/>
        <v>9.7598465105761881E-3</v>
      </c>
    </row>
    <row r="100" spans="2:7" ht="15" customHeight="1" x14ac:dyDescent="0.3">
      <c r="C100" s="3"/>
      <c r="D100" s="8">
        <v>2024</v>
      </c>
      <c r="E100" s="14">
        <f>Data!N100</f>
        <v>277265000000</v>
      </c>
      <c r="F100" s="14">
        <f>Data!G100</f>
        <v>11181540000000</v>
      </c>
      <c r="G100" s="12">
        <f t="shared" si="1"/>
        <v>2.4796673803429582E-2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Data!N101</f>
        <v>0</v>
      </c>
      <c r="F101" s="14">
        <f>Data!G101</f>
        <v>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Data!N102</f>
        <v>-36816000000</v>
      </c>
      <c r="F102" s="14">
        <f>Data!G102</f>
        <v>4276820000000</v>
      </c>
      <c r="G102" s="12">
        <f t="shared" si="1"/>
        <v>-8.6082650193367964E-3</v>
      </c>
    </row>
    <row r="103" spans="2:7" ht="15" customHeight="1" x14ac:dyDescent="0.3">
      <c r="C103" s="3"/>
      <c r="D103" s="8">
        <v>2016</v>
      </c>
      <c r="E103" s="14">
        <f>Data!N103</f>
        <v>-42161000000</v>
      </c>
      <c r="F103" s="14">
        <f>Data!G103</f>
        <v>5419377000000</v>
      </c>
      <c r="G103" s="12">
        <f t="shared" si="1"/>
        <v>-7.7796765200132782E-3</v>
      </c>
    </row>
    <row r="104" spans="2:7" ht="15" customHeight="1" x14ac:dyDescent="0.3">
      <c r="C104" s="3"/>
      <c r="D104" s="8">
        <v>2017</v>
      </c>
      <c r="E104" s="14">
        <f>Data!N104</f>
        <v>86503000000</v>
      </c>
      <c r="F104" s="14">
        <f>Data!G104</f>
        <v>6841389000000</v>
      </c>
      <c r="G104" s="12">
        <f t="shared" si="1"/>
        <v>1.2644069793429375E-2</v>
      </c>
    </row>
    <row r="105" spans="2:7" ht="15" customHeight="1" x14ac:dyDescent="0.3">
      <c r="C105" s="3"/>
      <c r="D105" s="8">
        <v>2018</v>
      </c>
      <c r="E105" s="14">
        <f>Data!N105</f>
        <v>152236000000</v>
      </c>
      <c r="F105" s="14">
        <f>Data!G105</f>
        <v>6994875000000</v>
      </c>
      <c r="G105" s="12">
        <f t="shared" si="1"/>
        <v>2.1763934309047696E-2</v>
      </c>
    </row>
    <row r="106" spans="2:7" ht="15" customHeight="1" x14ac:dyDescent="0.3">
      <c r="C106" s="3"/>
      <c r="D106" s="8">
        <v>2019</v>
      </c>
      <c r="E106" s="14">
        <f>Data!N106</f>
        <v>178061000000</v>
      </c>
      <c r="F106" s="14">
        <f>Data!G106</f>
        <v>7060254000000</v>
      </c>
      <c r="G106" s="12">
        <f t="shared" si="1"/>
        <v>2.5220197460317999E-2</v>
      </c>
    </row>
    <row r="107" spans="2:7" ht="15" customHeight="1" x14ac:dyDescent="0.3">
      <c r="C107" s="3"/>
      <c r="D107" s="8">
        <v>2020</v>
      </c>
      <c r="E107" s="14">
        <f>Data!N107</f>
        <v>276804000000</v>
      </c>
      <c r="F107" s="14">
        <f>Data!G107</f>
        <v>7356577000000</v>
      </c>
      <c r="G107" s="12">
        <f t="shared" si="1"/>
        <v>3.7626738631295509E-2</v>
      </c>
    </row>
    <row r="108" spans="2:7" ht="15" customHeight="1" x14ac:dyDescent="0.3">
      <c r="C108" s="3"/>
      <c r="D108" s="8">
        <v>2021</v>
      </c>
      <c r="E108" s="14">
        <f>Data!N108</f>
        <v>50163000000</v>
      </c>
      <c r="F108" s="14">
        <f>Data!G108</f>
        <v>7322006000000</v>
      </c>
      <c r="G108" s="12">
        <f t="shared" si="1"/>
        <v>6.8509913813236427E-3</v>
      </c>
    </row>
    <row r="109" spans="2:7" ht="15" customHeight="1" x14ac:dyDescent="0.3">
      <c r="C109" s="3"/>
      <c r="D109" s="8">
        <v>2022</v>
      </c>
      <c r="E109" s="14">
        <f>Data!N109</f>
        <v>-36433000000</v>
      </c>
      <c r="F109" s="14">
        <f>Data!G109</f>
        <v>6140160000000</v>
      </c>
      <c r="G109" s="12">
        <f t="shared" si="1"/>
        <v>-5.9335587346258075E-3</v>
      </c>
    </row>
    <row r="110" spans="2:7" ht="15" customHeight="1" x14ac:dyDescent="0.3">
      <c r="C110" s="3"/>
      <c r="D110" s="8">
        <v>2023</v>
      </c>
      <c r="E110" s="14">
        <f>Data!N110</f>
        <v>-175615000000</v>
      </c>
      <c r="F110" s="14">
        <f>Data!G110</f>
        <v>6183771000000</v>
      </c>
      <c r="G110" s="12">
        <f t="shared" si="1"/>
        <v>-2.8399337556322832E-2</v>
      </c>
    </row>
    <row r="111" spans="2:7" ht="15" customHeight="1" x14ac:dyDescent="0.3">
      <c r="C111" s="3"/>
      <c r="D111" s="8">
        <v>2024</v>
      </c>
      <c r="E111" s="14">
        <f>Data!N111</f>
        <v>-181689000000</v>
      </c>
      <c r="F111" s="14">
        <f>Data!G111</f>
        <v>5946070000000</v>
      </c>
      <c r="G111" s="12">
        <f t="shared" si="1"/>
        <v>-3.0556148851258059E-2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Data!N112</f>
        <v>0</v>
      </c>
      <c r="F112" s="14">
        <f>Data!G112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Data!N113</f>
        <v>0</v>
      </c>
      <c r="F113" s="14">
        <f>Data!G113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Data!N114</f>
        <v>0</v>
      </c>
      <c r="F114" s="14">
        <f>Data!G114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Data!N115</f>
        <v>0</v>
      </c>
      <c r="F115" s="14">
        <f>Data!G115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Data!N116</f>
        <v>0</v>
      </c>
      <c r="F116" s="14">
        <f>Data!G116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Data!N117</f>
        <v>0</v>
      </c>
      <c r="F117" s="14">
        <f>Data!G117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Data!N118</f>
        <v>-273000000</v>
      </c>
      <c r="F118" s="14">
        <f>Data!G118</f>
        <v>153511000000</v>
      </c>
      <c r="G118" s="12">
        <f t="shared" si="1"/>
        <v>-1.7783741881689261E-3</v>
      </c>
    </row>
    <row r="119" spans="2:7" ht="15" customHeight="1" x14ac:dyDescent="0.3">
      <c r="C119" s="3"/>
      <c r="D119" s="8">
        <v>2021</v>
      </c>
      <c r="E119" s="14">
        <f>Data!N119</f>
        <v>-98677000000</v>
      </c>
      <c r="F119" s="14">
        <f>Data!G119</f>
        <v>21046070000000</v>
      </c>
      <c r="G119" s="12">
        <f t="shared" si="1"/>
        <v>-4.6886188252723664E-3</v>
      </c>
    </row>
    <row r="120" spans="2:7" ht="15" customHeight="1" x14ac:dyDescent="0.3">
      <c r="C120" s="3"/>
      <c r="D120" s="8">
        <v>2022</v>
      </c>
      <c r="E120" s="14">
        <f>Data!N120</f>
        <v>-426136000000</v>
      </c>
      <c r="F120" s="14">
        <f>Data!G120</f>
        <v>30095971000000</v>
      </c>
      <c r="G120" s="12">
        <f t="shared" si="1"/>
        <v>-1.4159237460721901E-2</v>
      </c>
    </row>
    <row r="121" spans="2:7" ht="15" customHeight="1" x14ac:dyDescent="0.3">
      <c r="C121" s="3"/>
      <c r="D121" s="8">
        <v>2023</v>
      </c>
      <c r="E121" s="14">
        <f>Data!N121</f>
        <v>-249408000000</v>
      </c>
      <c r="F121" s="14">
        <f>Data!G121</f>
        <v>33088034000000</v>
      </c>
      <c r="G121" s="12">
        <f t="shared" si="1"/>
        <v>-7.5377098560766714E-3</v>
      </c>
    </row>
    <row r="122" spans="2:7" ht="15" customHeight="1" x14ac:dyDescent="0.3">
      <c r="C122" s="3"/>
      <c r="D122" s="8">
        <v>2024</v>
      </c>
      <c r="E122" s="14">
        <f>Data!N122</f>
        <v>-690672000000</v>
      </c>
      <c r="F122" s="14">
        <f>Data!G122</f>
        <v>34967966000000</v>
      </c>
      <c r="G122" s="12">
        <f t="shared" si="1"/>
        <v>-1.975156347383774E-2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Data!N123</f>
        <v>0</v>
      </c>
      <c r="F123" s="14">
        <f>Data!G123</f>
        <v>0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Data!N124</f>
        <v>154579903531</v>
      </c>
      <c r="F124" s="14">
        <f>Data!G124</f>
        <v>1841695394740</v>
      </c>
      <c r="G124" s="12">
        <f t="shared" si="1"/>
        <v>8.3933479973121561E-2</v>
      </c>
    </row>
    <row r="125" spans="2:7" ht="15" customHeight="1" x14ac:dyDescent="0.3">
      <c r="C125" s="3"/>
      <c r="D125" s="8">
        <v>2016</v>
      </c>
      <c r="E125" s="14">
        <f>Data!N125</f>
        <v>164216173247</v>
      </c>
      <c r="F125" s="14">
        <f>Data!G125</f>
        <v>2128604012037</v>
      </c>
      <c r="G125" s="12">
        <f t="shared" si="1"/>
        <v>7.714735682089166E-2</v>
      </c>
    </row>
    <row r="126" spans="2:7" ht="15" customHeight="1" x14ac:dyDescent="0.3">
      <c r="C126" s="3"/>
      <c r="D126" s="8">
        <v>2017</v>
      </c>
      <c r="E126" s="14">
        <f>Data!N126</f>
        <v>193284467033</v>
      </c>
      <c r="F126" s="14">
        <f>Data!G126</f>
        <v>2224965279992</v>
      </c>
      <c r="G126" s="12">
        <f t="shared" si="1"/>
        <v>8.6870778960512568E-2</v>
      </c>
    </row>
    <row r="127" spans="2:7" ht="15" customHeight="1" x14ac:dyDescent="0.3">
      <c r="C127" s="3"/>
      <c r="D127" s="8">
        <v>2018</v>
      </c>
      <c r="E127" s="14">
        <f>Data!N127</f>
        <v>135792457955</v>
      </c>
      <c r="F127" s="14">
        <f>Data!G127</f>
        <v>2146354535548</v>
      </c>
      <c r="G127" s="12">
        <f t="shared" si="1"/>
        <v>6.3266555317865944E-2</v>
      </c>
    </row>
    <row r="128" spans="2:7" ht="15" customHeight="1" x14ac:dyDescent="0.3">
      <c r="C128" s="3"/>
      <c r="D128" s="8">
        <v>2019</v>
      </c>
      <c r="E128" s="14">
        <f>Data!N128</f>
        <v>105930469594</v>
      </c>
      <c r="F128" s="14">
        <f>Data!G128</f>
        <v>2200245923342</v>
      </c>
      <c r="G128" s="12">
        <f t="shared" si="1"/>
        <v>4.8144831661862585E-2</v>
      </c>
    </row>
    <row r="129" spans="2:7" ht="15" customHeight="1" x14ac:dyDescent="0.3">
      <c r="C129" s="3"/>
      <c r="D129" s="8">
        <v>2020</v>
      </c>
      <c r="E129" s="14">
        <f>Data!N129</f>
        <v>67107306581</v>
      </c>
      <c r="F129" s="14">
        <f>Data!G129</f>
        <v>2254736989884</v>
      </c>
      <c r="G129" s="12">
        <f t="shared" si="1"/>
        <v>2.9762809091295604E-2</v>
      </c>
    </row>
    <row r="130" spans="2:7" ht="15" customHeight="1" x14ac:dyDescent="0.3">
      <c r="C130" s="3"/>
      <c r="D130" s="8">
        <v>2021</v>
      </c>
      <c r="E130" s="14">
        <f>Data!N130</f>
        <v>132982977990</v>
      </c>
      <c r="F130" s="14">
        <f>Data!G130</f>
        <v>2524302538621</v>
      </c>
      <c r="G130" s="12">
        <f t="shared" si="1"/>
        <v>5.2681077626553913E-2</v>
      </c>
    </row>
    <row r="131" spans="2:7" ht="15" customHeight="1" x14ac:dyDescent="0.3">
      <c r="C131" s="3"/>
      <c r="D131" s="8">
        <v>2022</v>
      </c>
      <c r="E131" s="14">
        <f>Data!N131</f>
        <v>145727158345</v>
      </c>
      <c r="F131" s="14">
        <f>Data!G131</f>
        <v>2668916537113</v>
      </c>
      <c r="G131" s="12">
        <f t="shared" ref="G131:G194" si="2">IFERROR(E131/F131,0)</f>
        <v>5.4601616917790495E-2</v>
      </c>
    </row>
    <row r="132" spans="2:7" ht="15" customHeight="1" x14ac:dyDescent="0.3">
      <c r="C132" s="3"/>
      <c r="D132" s="8">
        <v>2023</v>
      </c>
      <c r="E132" s="14">
        <f>Data!N132</f>
        <v>174833158950</v>
      </c>
      <c r="F132" s="14">
        <f>Data!G132</f>
        <v>2823141641461</v>
      </c>
      <c r="G132" s="12">
        <f t="shared" si="2"/>
        <v>6.1928582109511993E-2</v>
      </c>
    </row>
    <row r="133" spans="2:7" ht="15" customHeight="1" x14ac:dyDescent="0.3">
      <c r="C133" s="3"/>
      <c r="D133" s="8">
        <v>2024</v>
      </c>
      <c r="E133" s="14">
        <f>Data!N133</f>
        <v>-9810672972</v>
      </c>
      <c r="F133" s="14">
        <f>Data!G133</f>
        <v>3609299613555</v>
      </c>
      <c r="G133" s="12">
        <f t="shared" si="2"/>
        <v>-2.7181653014217134E-3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Data!N134</f>
        <v>0</v>
      </c>
      <c r="F134" s="14">
        <f>Data!G134</f>
        <v>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Data!N135</f>
        <v>1206782000000</v>
      </c>
      <c r="F135" s="14">
        <f>Data!G135</f>
        <v>36751228000000</v>
      </c>
      <c r="G135" s="12">
        <f t="shared" si="2"/>
        <v>3.2836508211371879E-2</v>
      </c>
    </row>
    <row r="136" spans="2:7" ht="15" customHeight="1" x14ac:dyDescent="0.3">
      <c r="C136" s="3"/>
      <c r="D136" s="8">
        <v>2016</v>
      </c>
      <c r="E136" s="14">
        <f>Data!N136</f>
        <v>661706000000</v>
      </c>
      <c r="F136" s="14">
        <f>Data!G136</f>
        <v>39719030000000</v>
      </c>
      <c r="G136" s="12">
        <f t="shared" si="2"/>
        <v>1.6659671698931216E-2</v>
      </c>
    </row>
    <row r="137" spans="2:7" ht="15" customHeight="1" x14ac:dyDescent="0.3">
      <c r="C137" s="3"/>
      <c r="D137" s="8">
        <v>2017</v>
      </c>
      <c r="E137" s="14">
        <f>Data!N137</f>
        <v>2550825000000</v>
      </c>
      <c r="F137" s="14">
        <f>Data!G137</f>
        <v>45637074000000</v>
      </c>
      <c r="G137" s="12">
        <f t="shared" si="2"/>
        <v>5.589370168648411E-2</v>
      </c>
    </row>
    <row r="138" spans="2:7" ht="15" customHeight="1" x14ac:dyDescent="0.3">
      <c r="C138" s="3"/>
      <c r="D138" s="8">
        <v>2018</v>
      </c>
      <c r="E138" s="14">
        <f>Data!N138</f>
        <v>655664000000</v>
      </c>
      <c r="F138" s="14">
        <f>Data!G138</f>
        <v>45704853000000</v>
      </c>
      <c r="G138" s="12">
        <f t="shared" si="2"/>
        <v>1.4345610082150358E-2</v>
      </c>
    </row>
    <row r="139" spans="2:7" ht="15" customHeight="1" x14ac:dyDescent="0.3">
      <c r="C139" s="3"/>
      <c r="D139" s="8">
        <v>2019</v>
      </c>
      <c r="E139" s="14">
        <f>Data!N139</f>
        <v>2838494000000</v>
      </c>
      <c r="F139" s="14">
        <f>Data!G139</f>
        <v>51009132000000</v>
      </c>
      <c r="G139" s="12">
        <f t="shared" si="2"/>
        <v>5.5646781050891048E-2</v>
      </c>
    </row>
    <row r="140" spans="2:7" ht="15" customHeight="1" x14ac:dyDescent="0.3">
      <c r="C140" s="3"/>
      <c r="D140" s="8">
        <v>2020</v>
      </c>
      <c r="E140" s="14">
        <f>Data!N140</f>
        <v>1490576000000</v>
      </c>
      <c r="F140" s="14">
        <f>Data!G140</f>
        <v>57279397000000</v>
      </c>
      <c r="G140" s="12">
        <f t="shared" si="2"/>
        <v>2.6022899647494543E-2</v>
      </c>
    </row>
    <row r="141" spans="2:7" ht="15" customHeight="1" x14ac:dyDescent="0.3">
      <c r="C141" s="3"/>
      <c r="D141" s="8">
        <v>2021</v>
      </c>
      <c r="E141" s="14">
        <f>Data!N141</f>
        <v>1136142000000</v>
      </c>
      <c r="F141" s="14">
        <f>Data!G141</f>
        <v>59794320000000</v>
      </c>
      <c r="G141" s="12">
        <f t="shared" si="2"/>
        <v>1.9000834861906617E-2</v>
      </c>
    </row>
    <row r="142" spans="2:7" ht="15" customHeight="1" x14ac:dyDescent="0.3">
      <c r="C142" s="3"/>
      <c r="D142" s="8">
        <v>2022</v>
      </c>
      <c r="E142" s="14">
        <f>Data!N142</f>
        <v>423400000000</v>
      </c>
      <c r="F142" s="14">
        <f>Data!G142</f>
        <v>59078951000000</v>
      </c>
      <c r="G142" s="12">
        <f t="shared" si="2"/>
        <v>7.1666810739412076E-3</v>
      </c>
    </row>
    <row r="143" spans="2:7" ht="15" customHeight="1" x14ac:dyDescent="0.3">
      <c r="C143" s="3"/>
      <c r="D143" s="8">
        <v>2023</v>
      </c>
      <c r="E143" s="14">
        <f>Data!N143</f>
        <v>1284071000000</v>
      </c>
      <c r="F143" s="14">
        <f>Data!G143</f>
        <v>62274577000000</v>
      </c>
      <c r="G143" s="12">
        <f t="shared" si="2"/>
        <v>2.0619505773600035E-2</v>
      </c>
    </row>
    <row r="144" spans="2:7" ht="15" customHeight="1" x14ac:dyDescent="0.3">
      <c r="C144" s="3"/>
      <c r="D144" s="8">
        <v>2024</v>
      </c>
      <c r="E144" s="14">
        <f>Data!N144</f>
        <v>1280096000000</v>
      </c>
      <c r="F144" s="14">
        <f>Data!G144</f>
        <v>61973362000000</v>
      </c>
      <c r="G144" s="12">
        <f t="shared" si="2"/>
        <v>2.0655584249245667E-2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Data!N145</f>
        <v>0</v>
      </c>
      <c r="F145" s="14">
        <f>Data!G145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Data!N146</f>
        <v>0</v>
      </c>
      <c r="F146" s="14">
        <f>Data!G146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Data!N147</f>
        <v>0</v>
      </c>
      <c r="F147" s="14">
        <f>Data!G147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Data!N148</f>
        <v>0</v>
      </c>
      <c r="F148" s="14">
        <f>Data!G148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Data!N149</f>
        <v>0</v>
      </c>
      <c r="F149" s="14">
        <f>Data!G149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Data!N150</f>
        <v>0</v>
      </c>
      <c r="F150" s="14">
        <f>Data!G150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Data!N151</f>
        <v>0</v>
      </c>
      <c r="F151" s="14">
        <f>Data!G151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Data!N152</f>
        <v>0</v>
      </c>
      <c r="F152" s="14">
        <f>Data!G152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Data!N153</f>
        <v>0</v>
      </c>
      <c r="F153" s="14">
        <f>Data!G153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Data!N154</f>
        <v>0</v>
      </c>
      <c r="F154" s="14">
        <f>Data!G154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Data!N155</f>
        <v>3278000000</v>
      </c>
      <c r="F155" s="14">
        <f>Data!G155</f>
        <v>1272836000000</v>
      </c>
      <c r="G155" s="12">
        <f t="shared" si="2"/>
        <v>2.5753514199786933E-3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Data!N156</f>
        <v>0</v>
      </c>
      <c r="F156" s="14">
        <f>Data!G156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Data!N157</f>
        <v>0</v>
      </c>
      <c r="F157" s="14">
        <f>Data!G157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Data!N158</f>
        <v>0</v>
      </c>
      <c r="F158" s="14">
        <f>Data!G158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Data!N159</f>
        <v>501540000</v>
      </c>
      <c r="F159" s="14">
        <f>Data!G159</f>
        <v>202382380000</v>
      </c>
      <c r="G159" s="12">
        <f t="shared" si="2"/>
        <v>2.4781801656843841E-3</v>
      </c>
    </row>
    <row r="160" spans="2:7" ht="15" customHeight="1" x14ac:dyDescent="0.3">
      <c r="C160" s="3"/>
      <c r="D160" s="8">
        <v>2018</v>
      </c>
      <c r="E160" s="14">
        <f>Data!N160</f>
        <v>1460400000</v>
      </c>
      <c r="F160" s="14">
        <f>Data!G160</f>
        <v>237879500000</v>
      </c>
      <c r="G160" s="12">
        <f t="shared" si="2"/>
        <v>6.1392427678719688E-3</v>
      </c>
    </row>
    <row r="161" spans="2:7" ht="15" customHeight="1" x14ac:dyDescent="0.3">
      <c r="C161" s="3"/>
      <c r="D161" s="8">
        <v>2019</v>
      </c>
      <c r="E161" s="14">
        <f>Data!N161</f>
        <v>5454720000</v>
      </c>
      <c r="F161" s="14">
        <f>Data!G161</f>
        <v>254091990000</v>
      </c>
      <c r="G161" s="12">
        <f t="shared" si="2"/>
        <v>2.1467500805515356E-2</v>
      </c>
    </row>
    <row r="162" spans="2:7" ht="15" customHeight="1" x14ac:dyDescent="0.3">
      <c r="C162" s="3"/>
      <c r="D162" s="8">
        <v>2020</v>
      </c>
      <c r="E162" s="14">
        <f>Data!N162</f>
        <v>3385500000</v>
      </c>
      <c r="F162" s="14">
        <f>Data!G162</f>
        <v>297990000000</v>
      </c>
      <c r="G162" s="12">
        <f t="shared" si="2"/>
        <v>1.1361119500654384E-2</v>
      </c>
    </row>
    <row r="163" spans="2:7" ht="15" customHeight="1" x14ac:dyDescent="0.3">
      <c r="C163" s="3"/>
      <c r="D163" s="8">
        <v>2021</v>
      </c>
      <c r="E163" s="14">
        <f>Data!N163</f>
        <v>12031620000</v>
      </c>
      <c r="F163" s="14">
        <f>Data!G163</f>
        <v>374138510000</v>
      </c>
      <c r="G163" s="12">
        <f t="shared" si="2"/>
        <v>3.2158197240909521E-2</v>
      </c>
    </row>
    <row r="164" spans="2:7" ht="15" customHeight="1" x14ac:dyDescent="0.3">
      <c r="C164" s="3"/>
      <c r="D164" s="8">
        <v>2022</v>
      </c>
      <c r="E164" s="14">
        <f>Data!N164</f>
        <v>9161300000</v>
      </c>
      <c r="F164" s="14">
        <f>Data!G164</f>
        <v>431376860000</v>
      </c>
      <c r="G164" s="12">
        <f t="shared" si="2"/>
        <v>2.1237346852587317E-2</v>
      </c>
    </row>
    <row r="165" spans="2:7" ht="15" customHeight="1" x14ac:dyDescent="0.3">
      <c r="C165" s="3"/>
      <c r="D165" s="8">
        <v>2023</v>
      </c>
      <c r="E165" s="14">
        <f>Data!N165</f>
        <v>5888430000</v>
      </c>
      <c r="F165" s="14">
        <f>Data!G165</f>
        <v>507970770000</v>
      </c>
      <c r="G165" s="12">
        <f t="shared" si="2"/>
        <v>1.1592064637892452E-2</v>
      </c>
    </row>
    <row r="166" spans="2:7" ht="15" customHeight="1" x14ac:dyDescent="0.3">
      <c r="C166" s="3"/>
      <c r="D166" s="8">
        <v>2024</v>
      </c>
      <c r="E166" s="14">
        <f>Data!N166</f>
        <v>-6353510000</v>
      </c>
      <c r="F166" s="14">
        <f>Data!G166</f>
        <v>516246820000</v>
      </c>
      <c r="G166" s="12">
        <f t="shared" si="2"/>
        <v>-1.2307116971684203E-2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Data!N167</f>
        <v>0</v>
      </c>
      <c r="F167" s="14">
        <f>Data!G167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Data!N168</f>
        <v>14252740000</v>
      </c>
      <c r="F168" s="14">
        <f>Data!G168</f>
        <v>362414130000</v>
      </c>
      <c r="G168" s="12">
        <f t="shared" si="2"/>
        <v>3.9327219388493491E-2</v>
      </c>
    </row>
    <row r="169" spans="2:7" ht="15" customHeight="1" x14ac:dyDescent="0.3">
      <c r="C169" s="3"/>
      <c r="D169" s="8">
        <v>2016</v>
      </c>
      <c r="E169" s="14">
        <f>Data!N169</f>
        <v>21191070000</v>
      </c>
      <c r="F169" s="14">
        <f>Data!G169</f>
        <v>436068360000</v>
      </c>
      <c r="G169" s="12">
        <f t="shared" si="2"/>
        <v>4.8595752280674524E-2</v>
      </c>
    </row>
    <row r="170" spans="2:7" ht="15" customHeight="1" x14ac:dyDescent="0.3">
      <c r="C170" s="3"/>
      <c r="D170" s="8">
        <v>2017</v>
      </c>
      <c r="E170" s="14">
        <f>Data!N170</f>
        <v>26577540000</v>
      </c>
      <c r="F170" s="14">
        <f>Data!G170</f>
        <v>754337470000</v>
      </c>
      <c r="G170" s="12">
        <f t="shared" si="2"/>
        <v>3.5232957471938921E-2</v>
      </c>
    </row>
    <row r="171" spans="2:7" ht="15" customHeight="1" x14ac:dyDescent="0.3">
      <c r="C171" s="3"/>
      <c r="D171" s="8">
        <v>2018</v>
      </c>
      <c r="E171" s="14">
        <f>Data!N171</f>
        <v>-77545910000</v>
      </c>
      <c r="F171" s="14">
        <f>Data!G171</f>
        <v>831082530000</v>
      </c>
      <c r="G171" s="12">
        <f t="shared" si="2"/>
        <v>-9.3307111148155167E-2</v>
      </c>
    </row>
    <row r="172" spans="2:7" ht="15" customHeight="1" x14ac:dyDescent="0.3">
      <c r="C172" s="3"/>
      <c r="D172" s="8">
        <v>2019</v>
      </c>
      <c r="E172" s="14">
        <f>Data!N172</f>
        <v>6309710000</v>
      </c>
      <c r="F172" s="14">
        <f>Data!G172</f>
        <v>805109390000</v>
      </c>
      <c r="G172" s="12">
        <f t="shared" si="2"/>
        <v>7.8370841010809728E-3</v>
      </c>
    </row>
    <row r="173" spans="2:7" ht="15" customHeight="1" x14ac:dyDescent="0.3">
      <c r="C173" s="3"/>
      <c r="D173" s="8">
        <v>2020</v>
      </c>
      <c r="E173" s="14">
        <f>Data!N173</f>
        <v>15710620000</v>
      </c>
      <c r="F173" s="14">
        <f>Data!G173</f>
        <v>972655010000</v>
      </c>
      <c r="G173" s="12">
        <f t="shared" si="2"/>
        <v>1.6152304607982226E-2</v>
      </c>
    </row>
    <row r="174" spans="2:7" ht="15" customHeight="1" x14ac:dyDescent="0.3">
      <c r="C174" s="3"/>
      <c r="D174" s="8">
        <v>2021</v>
      </c>
      <c r="E174" s="14">
        <f>Data!N174</f>
        <v>16429119999.999998</v>
      </c>
      <c r="F174" s="14">
        <f>Data!G174</f>
        <v>1191013470000</v>
      </c>
      <c r="G174" s="12">
        <f t="shared" si="2"/>
        <v>1.3794235257473619E-2</v>
      </c>
    </row>
    <row r="175" spans="2:7" ht="15" customHeight="1" x14ac:dyDescent="0.3">
      <c r="C175" s="3"/>
      <c r="D175" s="8">
        <v>2022</v>
      </c>
      <c r="E175" s="14">
        <f>Data!N175</f>
        <v>15544080000</v>
      </c>
      <c r="F175" s="14">
        <f>Data!G175</f>
        <v>979771550000</v>
      </c>
      <c r="G175" s="12">
        <f t="shared" si="2"/>
        <v>1.5865004449251461E-2</v>
      </c>
    </row>
    <row r="176" spans="2:7" ht="15" customHeight="1" x14ac:dyDescent="0.3">
      <c r="C176" s="3"/>
      <c r="D176" s="8">
        <v>2023</v>
      </c>
      <c r="E176" s="14">
        <f>Data!N176</f>
        <v>21273470000</v>
      </c>
      <c r="F176" s="14">
        <f>Data!G176</f>
        <v>1073555960000</v>
      </c>
      <c r="G176" s="12">
        <f t="shared" si="2"/>
        <v>1.9815892969380005E-2</v>
      </c>
    </row>
    <row r="177" spans="2:7" ht="15" customHeight="1" x14ac:dyDescent="0.3">
      <c r="C177" s="3"/>
      <c r="D177" s="8">
        <v>2024</v>
      </c>
      <c r="E177" s="14">
        <f>Data!N177</f>
        <v>-23808050000</v>
      </c>
      <c r="F177" s="14">
        <f>Data!G177</f>
        <v>1026468020000</v>
      </c>
      <c r="G177" s="12">
        <f t="shared" si="2"/>
        <v>-2.3194146857103255E-2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Data!N178</f>
        <v>0</v>
      </c>
      <c r="F178" s="14">
        <f>Data!G178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Data!N179</f>
        <v>0</v>
      </c>
      <c r="F179" s="14">
        <f>Data!G179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Data!N180</f>
        <v>0</v>
      </c>
      <c r="F180" s="14">
        <f>Data!G180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Data!N181</f>
        <v>0</v>
      </c>
      <c r="F181" s="14">
        <f>Data!G181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Data!N182</f>
        <v>0</v>
      </c>
      <c r="F182" s="14">
        <f>Data!G182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Data!E183</f>
        <v>525000000</v>
      </c>
      <c r="F183" s="14">
        <f>Data!G183</f>
        <v>90345000000</v>
      </c>
      <c r="G183" s="12">
        <f t="shared" si="2"/>
        <v>5.8110576124854726E-3</v>
      </c>
    </row>
    <row r="184" spans="2:7" ht="15" customHeight="1" x14ac:dyDescent="0.3">
      <c r="C184" s="3"/>
      <c r="D184" s="8">
        <v>2020</v>
      </c>
      <c r="E184" s="14">
        <f>Data!E184</f>
        <v>960000000</v>
      </c>
      <c r="F184" s="14">
        <f>Data!G184</f>
        <v>68529000000</v>
      </c>
      <c r="G184" s="12">
        <f t="shared" si="2"/>
        <v>1.4008667863240379E-2</v>
      </c>
    </row>
    <row r="185" spans="2:7" ht="15" customHeight="1" x14ac:dyDescent="0.3">
      <c r="C185" s="3"/>
      <c r="D185" s="8">
        <v>2021</v>
      </c>
      <c r="E185" s="14">
        <f>Data!N185</f>
        <v>-40918000000</v>
      </c>
      <c r="F185" s="14">
        <f>Data!G185</f>
        <v>119565000000</v>
      </c>
      <c r="G185" s="12">
        <f t="shared" si="2"/>
        <v>-0.3422238949525363</v>
      </c>
    </row>
    <row r="186" spans="2:7" ht="15" customHeight="1" x14ac:dyDescent="0.3">
      <c r="C186" s="3"/>
      <c r="D186" s="8">
        <v>2022</v>
      </c>
      <c r="E186" s="14">
        <f>Data!N186</f>
        <v>-10553000000</v>
      </c>
      <c r="F186" s="14">
        <f>Data!G186</f>
        <v>144258000000</v>
      </c>
      <c r="G186" s="12">
        <f t="shared" si="2"/>
        <v>-7.3153655256554234E-2</v>
      </c>
    </row>
    <row r="187" spans="2:7" ht="15" customHeight="1" x14ac:dyDescent="0.3">
      <c r="C187" s="3"/>
      <c r="D187" s="8">
        <v>2023</v>
      </c>
      <c r="E187" s="14">
        <f>Data!N187</f>
        <v>55014000000</v>
      </c>
      <c r="F187" s="14">
        <f>Data!G187</f>
        <v>266213000000</v>
      </c>
      <c r="G187" s="12">
        <f t="shared" si="2"/>
        <v>0.20665407023699067</v>
      </c>
    </row>
    <row r="188" spans="2:7" ht="15" customHeight="1" x14ac:dyDescent="0.3">
      <c r="C188" s="3"/>
      <c r="D188" s="8">
        <v>2024</v>
      </c>
      <c r="E188" s="14">
        <f>Data!N188</f>
        <v>69683000000</v>
      </c>
      <c r="F188" s="14">
        <f>Data!G188</f>
        <v>394077000000</v>
      </c>
      <c r="G188" s="12">
        <f t="shared" si="2"/>
        <v>0.17682584875544627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Data!N189</f>
        <v>0</v>
      </c>
      <c r="F189" s="14">
        <f>Data!G189</f>
        <v>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Data!N190</f>
        <v>-7758000000</v>
      </c>
      <c r="F190" s="14">
        <f>Data!G190</f>
        <v>461158000000</v>
      </c>
      <c r="G190" s="12">
        <f t="shared" si="2"/>
        <v>-1.6822867650566616E-2</v>
      </c>
    </row>
    <row r="191" spans="2:7" ht="15" customHeight="1" x14ac:dyDescent="0.3">
      <c r="C191" s="3"/>
      <c r="D191" s="8">
        <v>2016</v>
      </c>
      <c r="E191" s="14">
        <f>Data!N191</f>
        <v>3151000000</v>
      </c>
      <c r="F191" s="14">
        <f>Data!G191</f>
        <v>484771000000</v>
      </c>
      <c r="G191" s="12">
        <f t="shared" si="2"/>
        <v>6.4999762774588417E-3</v>
      </c>
    </row>
    <row r="192" spans="2:7" ht="15" customHeight="1" x14ac:dyDescent="0.3">
      <c r="C192" s="3"/>
      <c r="D192" s="8">
        <v>2017</v>
      </c>
      <c r="E192" s="14">
        <f>Data!N192</f>
        <v>24332000000</v>
      </c>
      <c r="F192" s="14">
        <f>Data!G192</f>
        <v>519654000000</v>
      </c>
      <c r="G192" s="12">
        <f t="shared" si="2"/>
        <v>4.6823463304429484E-2</v>
      </c>
    </row>
    <row r="193" spans="2:7" ht="15" customHeight="1" x14ac:dyDescent="0.3">
      <c r="C193" s="3"/>
      <c r="D193" s="8">
        <v>2018</v>
      </c>
      <c r="E193" s="14">
        <f>Data!N193</f>
        <v>-25353000000</v>
      </c>
      <c r="F193" s="14">
        <f>Data!G193</f>
        <v>490309000000</v>
      </c>
      <c r="G193" s="12">
        <f t="shared" si="2"/>
        <v>-5.170820849709061E-2</v>
      </c>
    </row>
    <row r="194" spans="2:7" ht="15" customHeight="1" x14ac:dyDescent="0.3">
      <c r="C194" s="3"/>
      <c r="D194" s="8">
        <v>2019</v>
      </c>
      <c r="E194" s="14">
        <f>Data!N194</f>
        <v>5545000000</v>
      </c>
      <c r="F194" s="14">
        <f>Data!G194</f>
        <v>504039000000</v>
      </c>
      <c r="G194" s="12">
        <f t="shared" si="2"/>
        <v>1.1001132848847014E-2</v>
      </c>
    </row>
    <row r="195" spans="2:7" ht="15" customHeight="1" x14ac:dyDescent="0.3">
      <c r="C195" s="3"/>
      <c r="D195" s="8">
        <v>2020</v>
      </c>
      <c r="E195" s="14">
        <f>Data!N195</f>
        <v>-17327000000</v>
      </c>
      <c r="F195" s="14">
        <f>Data!G195</f>
        <v>499976000000</v>
      </c>
      <c r="G195" s="12">
        <f t="shared" ref="G195:G258" si="3">IFERROR(E195/F195,0)</f>
        <v>-3.4655663471846648E-2</v>
      </c>
    </row>
    <row r="196" spans="2:7" ht="15" customHeight="1" x14ac:dyDescent="0.3">
      <c r="C196" s="3"/>
      <c r="D196" s="8">
        <v>2021</v>
      </c>
      <c r="E196" s="14">
        <f>Data!N196</f>
        <v>-12214000000</v>
      </c>
      <c r="F196" s="14">
        <f>Data!G196</f>
        <v>508600000000</v>
      </c>
      <c r="G196" s="12">
        <f t="shared" si="3"/>
        <v>-2.4014942980731421E-2</v>
      </c>
    </row>
    <row r="197" spans="2:7" ht="15" customHeight="1" x14ac:dyDescent="0.3">
      <c r="C197" s="3"/>
      <c r="D197" s="8">
        <v>2022</v>
      </c>
      <c r="E197" s="14">
        <f>Data!N197</f>
        <v>-19737000000</v>
      </c>
      <c r="F197" s="14">
        <f>Data!G197</f>
        <v>491148000000</v>
      </c>
      <c r="G197" s="12">
        <f t="shared" si="3"/>
        <v>-4.0185443084365606E-2</v>
      </c>
    </row>
    <row r="198" spans="2:7" ht="15" customHeight="1" x14ac:dyDescent="0.3">
      <c r="C198" s="3"/>
      <c r="D198" s="8">
        <v>2023</v>
      </c>
      <c r="E198" s="14">
        <f>Data!N198</f>
        <v>-23252000000</v>
      </c>
      <c r="F198" s="14">
        <f>Data!G198</f>
        <v>510045000000</v>
      </c>
      <c r="G198" s="12">
        <f t="shared" si="3"/>
        <v>-4.558813438029978E-2</v>
      </c>
    </row>
    <row r="199" spans="2:7" ht="15" customHeight="1" x14ac:dyDescent="0.3">
      <c r="C199" s="3"/>
      <c r="D199" s="8">
        <v>2024</v>
      </c>
      <c r="E199" s="14">
        <f>Data!N199</f>
        <v>-29197000000</v>
      </c>
      <c r="F199" s="14">
        <f>Data!G199</f>
        <v>488793000000</v>
      </c>
      <c r="G199" s="12">
        <f t="shared" si="3"/>
        <v>-5.9732852148046307E-2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Data!N200</f>
        <v>0</v>
      </c>
      <c r="F200" s="14">
        <f>Data!G200</f>
        <v>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Data!N201</f>
        <v>525895000000</v>
      </c>
      <c r="F201" s="14">
        <f>Data!G201</f>
        <v>15369953000000</v>
      </c>
      <c r="G201" s="12">
        <f t="shared" si="3"/>
        <v>3.4215784524520017E-2</v>
      </c>
    </row>
    <row r="202" spans="2:7" ht="15" customHeight="1" x14ac:dyDescent="0.3">
      <c r="C202" s="3"/>
      <c r="D202" s="8">
        <v>2016</v>
      </c>
      <c r="E202" s="14">
        <f>Data!N202</f>
        <v>852179000000</v>
      </c>
      <c r="F202" s="14">
        <f>Data!G202</f>
        <v>16520666000000</v>
      </c>
      <c r="G202" s="12">
        <f t="shared" si="3"/>
        <v>5.1582605689141102E-2</v>
      </c>
    </row>
    <row r="203" spans="2:7" ht="15" customHeight="1" x14ac:dyDescent="0.3">
      <c r="C203" s="3"/>
      <c r="D203" s="8">
        <v>2017</v>
      </c>
      <c r="E203" s="14">
        <f>Data!N203</f>
        <v>1347511000000</v>
      </c>
      <c r="F203" s="14">
        <f>Data!G203</f>
        <v>18732840000000</v>
      </c>
      <c r="G203" s="12">
        <f t="shared" si="3"/>
        <v>7.1933086494092732E-2</v>
      </c>
    </row>
    <row r="204" spans="2:7" ht="15" customHeight="1" x14ac:dyDescent="0.3">
      <c r="C204" s="3"/>
      <c r="D204" s="8">
        <v>2018</v>
      </c>
      <c r="E204" s="14">
        <f>Data!N204</f>
        <v>539719000000</v>
      </c>
      <c r="F204" s="14">
        <f>Data!G204</f>
        <v>18420333000000</v>
      </c>
      <c r="G204" s="12">
        <f t="shared" si="3"/>
        <v>2.9300176060877942E-2</v>
      </c>
    </row>
    <row r="205" spans="2:7" ht="15" customHeight="1" x14ac:dyDescent="0.3">
      <c r="C205" s="3"/>
      <c r="D205" s="8">
        <v>2019</v>
      </c>
      <c r="E205" s="14">
        <f>Data!N205</f>
        <v>970846000000</v>
      </c>
      <c r="F205" s="14">
        <f>Data!G205</f>
        <v>18871652000000</v>
      </c>
      <c r="G205" s="12">
        <f t="shared" si="3"/>
        <v>5.1444674795826033E-2</v>
      </c>
    </row>
    <row r="206" spans="2:7" ht="15" customHeight="1" x14ac:dyDescent="0.3">
      <c r="C206" s="3"/>
      <c r="D206" s="8">
        <v>2020</v>
      </c>
      <c r="E206" s="14">
        <f>Data!N206</f>
        <v>1336075000000</v>
      </c>
      <c r="F206" s="14">
        <f>Data!G206</f>
        <v>19996724000000</v>
      </c>
      <c r="G206" s="12">
        <f t="shared" si="3"/>
        <v>6.6814694246917647E-2</v>
      </c>
    </row>
    <row r="207" spans="2:7" ht="15" customHeight="1" x14ac:dyDescent="0.3">
      <c r="C207" s="3"/>
      <c r="D207" s="8">
        <v>2021</v>
      </c>
      <c r="E207" s="14">
        <f>Data!N207</f>
        <v>201044000000</v>
      </c>
      <c r="F207" s="14">
        <f>Data!G207</f>
        <v>19215974000000</v>
      </c>
      <c r="G207" s="12">
        <f t="shared" si="3"/>
        <v>1.0462337220064932E-2</v>
      </c>
    </row>
    <row r="208" spans="2:7" ht="15" customHeight="1" x14ac:dyDescent="0.3">
      <c r="C208" s="3"/>
      <c r="D208" s="8">
        <v>2022</v>
      </c>
      <c r="E208" s="14">
        <f>Data!N208</f>
        <v>345107000000</v>
      </c>
      <c r="F208" s="14">
        <f>Data!G208</f>
        <v>19085714000000</v>
      </c>
      <c r="G208" s="12">
        <f t="shared" si="3"/>
        <v>1.8081953863502302E-2</v>
      </c>
    </row>
    <row r="209" spans="2:7" ht="15" customHeight="1" x14ac:dyDescent="0.3">
      <c r="C209" s="3"/>
      <c r="D209" s="8">
        <v>2023</v>
      </c>
      <c r="E209" s="14">
        <f>Data!N209</f>
        <v>400877000000</v>
      </c>
      <c r="F209" s="14">
        <f>Data!G209</f>
        <v>19037633000000</v>
      </c>
      <c r="G209" s="12">
        <f t="shared" si="3"/>
        <v>2.1057082043760379E-2</v>
      </c>
    </row>
    <row r="210" spans="2:7" ht="15" customHeight="1" x14ac:dyDescent="0.3">
      <c r="C210" s="3"/>
      <c r="D210" s="8">
        <v>2024</v>
      </c>
      <c r="E210" s="14">
        <f>Data!N210</f>
        <v>810484000000</v>
      </c>
      <c r="F210" s="14">
        <f>Data!G210</f>
        <v>19145925000000</v>
      </c>
      <c r="G210" s="12">
        <f t="shared" si="3"/>
        <v>4.2331932251902168E-2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Data!N211</f>
        <v>0</v>
      </c>
      <c r="F211" s="14">
        <f>Data!G211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Data!N212</f>
        <v>0</v>
      </c>
      <c r="F212" s="14">
        <f>Data!G212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Data!N213</f>
        <v>0</v>
      </c>
      <c r="F213" s="14">
        <f>Data!G213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Data!N214</f>
        <v>-9034000000</v>
      </c>
      <c r="F214" s="14">
        <f>Data!G214</f>
        <v>112089000000</v>
      </c>
      <c r="G214" s="12">
        <f t="shared" si="3"/>
        <v>-8.0596668718607531E-2</v>
      </c>
    </row>
    <row r="215" spans="2:7" ht="15" customHeight="1" x14ac:dyDescent="0.3">
      <c r="C215" s="3"/>
      <c r="D215" s="8">
        <v>2018</v>
      </c>
      <c r="E215" s="14">
        <f>Data!N215</f>
        <v>766000000</v>
      </c>
      <c r="F215" s="14">
        <f>Data!G215</f>
        <v>211218000000</v>
      </c>
      <c r="G215" s="12">
        <f t="shared" si="3"/>
        <v>3.6265848554573946E-3</v>
      </c>
    </row>
    <row r="216" spans="2:7" ht="15" customHeight="1" x14ac:dyDescent="0.3">
      <c r="C216" s="3"/>
      <c r="D216" s="8">
        <v>2019</v>
      </c>
      <c r="E216" s="14">
        <f>Data!N216</f>
        <v>23971000000</v>
      </c>
      <c r="F216" s="14">
        <f>Data!G216</f>
        <v>2554055000000</v>
      </c>
      <c r="G216" s="12">
        <f t="shared" si="3"/>
        <v>9.385467423371853E-3</v>
      </c>
    </row>
    <row r="217" spans="2:7" ht="15" customHeight="1" x14ac:dyDescent="0.3">
      <c r="C217" s="3"/>
      <c r="D217" s="8">
        <v>2020</v>
      </c>
      <c r="E217" s="14">
        <f>Data!N217</f>
        <v>23520000000</v>
      </c>
      <c r="F217" s="14">
        <f>Data!G217</f>
        <v>2377806000000</v>
      </c>
      <c r="G217" s="12">
        <f t="shared" si="3"/>
        <v>9.8914713816013588E-3</v>
      </c>
    </row>
    <row r="218" spans="2:7" ht="15" customHeight="1" x14ac:dyDescent="0.3">
      <c r="C218" s="3"/>
      <c r="D218" s="8">
        <v>2021</v>
      </c>
      <c r="E218" s="14">
        <f>Data!N218</f>
        <v>43739000000</v>
      </c>
      <c r="F218" s="14">
        <f>Data!G218</f>
        <v>3481452000000</v>
      </c>
      <c r="G218" s="12">
        <f t="shared" si="3"/>
        <v>1.2563436175480806E-2</v>
      </c>
    </row>
    <row r="219" spans="2:7" ht="15" customHeight="1" x14ac:dyDescent="0.3">
      <c r="C219" s="3"/>
      <c r="D219" s="8">
        <v>2022</v>
      </c>
      <c r="E219" s="14">
        <f>Data!N219</f>
        <v>23857000000</v>
      </c>
      <c r="F219" s="14">
        <f>Data!G219</f>
        <v>4940936000000</v>
      </c>
      <c r="G219" s="12">
        <f t="shared" si="3"/>
        <v>4.8284373649041396E-3</v>
      </c>
    </row>
    <row r="220" spans="2:7" ht="15" customHeight="1" x14ac:dyDescent="0.3">
      <c r="C220" s="3"/>
      <c r="D220" s="8">
        <v>2023</v>
      </c>
      <c r="E220" s="14">
        <f>Data!N220</f>
        <v>43431000000</v>
      </c>
      <c r="F220" s="14">
        <f>Data!G220</f>
        <v>4445677000000</v>
      </c>
      <c r="G220" s="12">
        <f t="shared" si="3"/>
        <v>9.7692657383791036E-3</v>
      </c>
    </row>
    <row r="221" spans="2:7" ht="15" customHeight="1" x14ac:dyDescent="0.3">
      <c r="C221" s="3"/>
      <c r="D221" s="8">
        <v>2024</v>
      </c>
      <c r="E221" s="14">
        <f>Data!N221</f>
        <v>17892000000</v>
      </c>
      <c r="F221" s="14">
        <f>Data!G221</f>
        <v>5304605000000</v>
      </c>
      <c r="G221" s="12">
        <f t="shared" si="3"/>
        <v>3.3729184359627155E-3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Data!N222</f>
        <v>0</v>
      </c>
      <c r="F222" s="14">
        <f>Data!G222</f>
        <v>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Data!N223</f>
        <v>5875000000</v>
      </c>
      <c r="F223" s="14">
        <f>Data!G223</f>
        <v>488002000000</v>
      </c>
      <c r="G223" s="12">
        <f t="shared" si="3"/>
        <v>1.2038885086536531E-2</v>
      </c>
    </row>
    <row r="224" spans="2:7" ht="15" customHeight="1" x14ac:dyDescent="0.3">
      <c r="C224" s="4"/>
      <c r="D224" s="8">
        <v>2016</v>
      </c>
      <c r="E224" s="14">
        <f>Data!N224</f>
        <v>5657000000</v>
      </c>
      <c r="F224" s="14">
        <f>Data!G224</f>
        <v>432956000000</v>
      </c>
      <c r="G224" s="12">
        <f t="shared" si="3"/>
        <v>1.3065992849157881E-2</v>
      </c>
    </row>
    <row r="225" spans="2:7" ht="15" customHeight="1" x14ac:dyDescent="0.3">
      <c r="C225" s="4"/>
      <c r="D225" s="8">
        <v>2017</v>
      </c>
      <c r="E225" s="14">
        <f>Data!N225</f>
        <v>4005000000</v>
      </c>
      <c r="F225" s="14">
        <f>Data!G225</f>
        <v>736721000000</v>
      </c>
      <c r="G225" s="12">
        <f t="shared" si="3"/>
        <v>5.4362506294784591E-3</v>
      </c>
    </row>
    <row r="226" spans="2:7" ht="15" customHeight="1" x14ac:dyDescent="0.3">
      <c r="C226" s="4"/>
      <c r="D226" s="8">
        <v>2018</v>
      </c>
      <c r="E226" s="14">
        <f>Data!N226</f>
        <v>4288000000</v>
      </c>
      <c r="F226" s="14">
        <f>Data!G226</f>
        <v>623688000000</v>
      </c>
      <c r="G226" s="12">
        <f t="shared" si="3"/>
        <v>6.8752324880388916E-3</v>
      </c>
    </row>
    <row r="227" spans="2:7" ht="15" customHeight="1" x14ac:dyDescent="0.3">
      <c r="C227" s="4"/>
      <c r="D227" s="8">
        <v>2019</v>
      </c>
      <c r="E227" s="14">
        <f>Data!N227</f>
        <v>5532000000</v>
      </c>
      <c r="F227" s="14">
        <f>Data!G227</f>
        <v>1041986000000</v>
      </c>
      <c r="G227" s="12">
        <f t="shared" si="3"/>
        <v>5.3090924446201771E-3</v>
      </c>
    </row>
    <row r="228" spans="2:7" ht="15" customHeight="1" x14ac:dyDescent="0.3">
      <c r="C228" s="4"/>
      <c r="D228" s="8">
        <v>2020</v>
      </c>
      <c r="E228" s="14">
        <f>Data!N228</f>
        <v>4823000000</v>
      </c>
      <c r="F228" s="14">
        <f>Data!G228</f>
        <v>1243173000000</v>
      </c>
      <c r="G228" s="12">
        <f t="shared" si="3"/>
        <v>3.8795887619824435E-3</v>
      </c>
    </row>
    <row r="229" spans="2:7" ht="15" customHeight="1" x14ac:dyDescent="0.3">
      <c r="C229" s="4"/>
      <c r="D229" s="8">
        <v>2021</v>
      </c>
      <c r="E229" s="14">
        <f>Data!N229</f>
        <v>7362000000</v>
      </c>
      <c r="F229" s="14">
        <f>Data!G229</f>
        <v>1459438000000</v>
      </c>
      <c r="G229" s="12">
        <f t="shared" si="3"/>
        <v>5.0444075048066452E-3</v>
      </c>
    </row>
    <row r="230" spans="2:7" ht="15" customHeight="1" x14ac:dyDescent="0.3">
      <c r="C230" s="4"/>
      <c r="D230" s="8">
        <v>2022</v>
      </c>
      <c r="E230" s="14">
        <f>Data!N230</f>
        <v>12734000000</v>
      </c>
      <c r="F230" s="14">
        <f>Data!G230</f>
        <v>1767079000000</v>
      </c>
      <c r="G230" s="12">
        <f t="shared" si="3"/>
        <v>7.2062426184681047E-3</v>
      </c>
    </row>
    <row r="231" spans="2:7" ht="15" customHeight="1" x14ac:dyDescent="0.3">
      <c r="C231" s="4"/>
      <c r="D231" s="8">
        <v>2023</v>
      </c>
      <c r="E231" s="14">
        <f>Data!N231</f>
        <v>33889000000</v>
      </c>
      <c r="F231" s="14">
        <f>Data!G231</f>
        <v>2331849000000</v>
      </c>
      <c r="G231" s="12">
        <f t="shared" si="3"/>
        <v>1.453310227205964E-2</v>
      </c>
    </row>
    <row r="232" spans="2:7" ht="15" customHeight="1" x14ac:dyDescent="0.3">
      <c r="C232" s="4"/>
      <c r="D232" s="8">
        <v>2024</v>
      </c>
      <c r="E232" s="14">
        <f>Data!N232</f>
        <v>43301000000</v>
      </c>
      <c r="F232" s="14">
        <f>Data!G232</f>
        <v>2985382000000</v>
      </c>
      <c r="G232" s="12">
        <f t="shared" si="3"/>
        <v>1.4504341487956984E-2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Data!N233</f>
        <v>0</v>
      </c>
      <c r="F233" s="14">
        <f>Data!G233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Data!N234</f>
        <v>0</v>
      </c>
      <c r="F234" s="14">
        <f>Data!G234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Data!N235</f>
        <v>-3971000000</v>
      </c>
      <c r="F235" s="14">
        <f>Data!G235</f>
        <v>96470000000</v>
      </c>
      <c r="G235" s="12">
        <f t="shared" si="3"/>
        <v>-4.1163055872291902E-2</v>
      </c>
    </row>
    <row r="236" spans="2:7" ht="15" customHeight="1" x14ac:dyDescent="0.3">
      <c r="C236" s="4"/>
      <c r="D236" s="8">
        <v>2017</v>
      </c>
      <c r="E236" s="14">
        <f>Data!N236</f>
        <v>-9239000000</v>
      </c>
      <c r="F236" s="14">
        <f>Data!G236</f>
        <v>956998000000</v>
      </c>
      <c r="G236" s="12">
        <f t="shared" si="3"/>
        <v>-9.6541476575708624E-3</v>
      </c>
    </row>
    <row r="237" spans="2:7" ht="15" customHeight="1" x14ac:dyDescent="0.3">
      <c r="C237" s="4"/>
      <c r="D237" s="8">
        <v>2018</v>
      </c>
      <c r="E237" s="14">
        <f>Data!N237</f>
        <v>-7268000000</v>
      </c>
      <c r="F237" s="14">
        <f>Data!G237</f>
        <v>891253000000</v>
      </c>
      <c r="G237" s="12">
        <f t="shared" si="3"/>
        <v>-8.1548112601023508E-3</v>
      </c>
    </row>
    <row r="238" spans="2:7" ht="15" customHeight="1" x14ac:dyDescent="0.3">
      <c r="C238" s="4"/>
      <c r="D238" s="8">
        <v>2019</v>
      </c>
      <c r="E238" s="14">
        <f>Data!N238</f>
        <v>-27733000000</v>
      </c>
      <c r="F238" s="14">
        <f>Data!G238</f>
        <v>782742000000</v>
      </c>
      <c r="G238" s="12">
        <f t="shared" si="3"/>
        <v>-3.5430576102981573E-2</v>
      </c>
    </row>
    <row r="239" spans="2:7" ht="15" customHeight="1" x14ac:dyDescent="0.3">
      <c r="C239" s="4"/>
      <c r="D239" s="8">
        <v>2020</v>
      </c>
      <c r="E239" s="14">
        <f>Data!N239</f>
        <v>-18651000000</v>
      </c>
      <c r="F239" s="14">
        <f>Data!G239</f>
        <v>661899000000</v>
      </c>
      <c r="G239" s="12">
        <f t="shared" si="3"/>
        <v>-2.8178015074807487E-2</v>
      </c>
    </row>
    <row r="240" spans="2:7" ht="15" customHeight="1" x14ac:dyDescent="0.3">
      <c r="C240" s="4"/>
      <c r="D240" s="8">
        <v>2021</v>
      </c>
      <c r="E240" s="14">
        <f>Data!N240</f>
        <v>-10585000000</v>
      </c>
      <c r="F240" s="14">
        <f>Data!G240</f>
        <v>561340000000</v>
      </c>
      <c r="G240" s="12">
        <f t="shared" si="3"/>
        <v>-1.88566644101614E-2</v>
      </c>
    </row>
    <row r="241" spans="2:7" ht="15" customHeight="1" x14ac:dyDescent="0.3">
      <c r="C241" s="4"/>
      <c r="D241" s="8">
        <v>2022</v>
      </c>
      <c r="E241" s="14">
        <f>Data!N241</f>
        <v>-5592000000</v>
      </c>
      <c r="F241" s="14">
        <f>Data!G241</f>
        <v>471233000000</v>
      </c>
      <c r="G241" s="12">
        <f t="shared" si="3"/>
        <v>-1.186674108137588E-2</v>
      </c>
    </row>
    <row r="242" spans="2:7" ht="15" customHeight="1" x14ac:dyDescent="0.3">
      <c r="C242" s="4"/>
      <c r="D242" s="8">
        <v>2023</v>
      </c>
      <c r="E242" s="14">
        <f>Data!N242</f>
        <v>-11351000000</v>
      </c>
      <c r="F242" s="14">
        <f>Data!G242</f>
        <v>387763000000</v>
      </c>
      <c r="G242" s="12">
        <f t="shared" si="3"/>
        <v>-2.9273035333438207E-2</v>
      </c>
    </row>
    <row r="243" spans="2:7" ht="15" customHeight="1" x14ac:dyDescent="0.3">
      <c r="C243" s="4"/>
      <c r="D243" s="8">
        <v>2024</v>
      </c>
      <c r="E243" s="14">
        <f>Data!N243</f>
        <v>-5791000000</v>
      </c>
      <c r="F243" s="14">
        <f>Data!G243</f>
        <v>350722000000</v>
      </c>
      <c r="G243" s="12">
        <f t="shared" si="3"/>
        <v>-1.6511653104167974E-2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Data!N244</f>
        <v>0</v>
      </c>
      <c r="F244" s="14">
        <f>Data!G244</f>
        <v>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Data!N245</f>
        <v>2467000000</v>
      </c>
      <c r="F245" s="14">
        <f>Data!G245</f>
        <v>66654000000</v>
      </c>
      <c r="G245" s="12">
        <f t="shared" si="3"/>
        <v>3.7012032286134366E-2</v>
      </c>
    </row>
    <row r="246" spans="2:7" ht="15" customHeight="1" x14ac:dyDescent="0.3">
      <c r="C246" s="4"/>
      <c r="D246" s="8">
        <v>2016</v>
      </c>
      <c r="E246" s="14">
        <f>Data!N246</f>
        <v>148000000</v>
      </c>
      <c r="F246" s="14">
        <f>Data!G246</f>
        <v>68251000000</v>
      </c>
      <c r="G246" s="12">
        <f t="shared" si="3"/>
        <v>2.1684663960967604E-3</v>
      </c>
    </row>
    <row r="247" spans="2:7" ht="15" customHeight="1" x14ac:dyDescent="0.3">
      <c r="C247" s="4"/>
      <c r="D247" s="8">
        <v>2017</v>
      </c>
      <c r="E247" s="14">
        <f>Data!N247</f>
        <v>-1901000000</v>
      </c>
      <c r="F247" s="14">
        <f>Data!G247</f>
        <v>166267000000</v>
      </c>
      <c r="G247" s="12">
        <f t="shared" si="3"/>
        <v>-1.1433417334768775E-2</v>
      </c>
    </row>
    <row r="248" spans="2:7" ht="15" customHeight="1" x14ac:dyDescent="0.3">
      <c r="C248" s="4"/>
      <c r="D248" s="8">
        <v>2018</v>
      </c>
      <c r="E248" s="14">
        <f>Data!N248</f>
        <v>553000000</v>
      </c>
      <c r="F248" s="14">
        <f>Data!G248</f>
        <v>179015000000</v>
      </c>
      <c r="G248" s="12">
        <f t="shared" si="3"/>
        <v>3.0891266095019972E-3</v>
      </c>
    </row>
    <row r="249" spans="2:7" ht="15" customHeight="1" x14ac:dyDescent="0.3">
      <c r="C249" s="4"/>
      <c r="D249" s="8">
        <v>2019</v>
      </c>
      <c r="E249" s="14">
        <f>Data!N249</f>
        <v>1251000000</v>
      </c>
      <c r="F249" s="14">
        <f>Data!G249</f>
        <v>198032000000</v>
      </c>
      <c r="G249" s="12">
        <f t="shared" si="3"/>
        <v>6.3171608628908461E-3</v>
      </c>
    </row>
    <row r="250" spans="2:7" ht="15" customHeight="1" x14ac:dyDescent="0.3">
      <c r="C250" s="4"/>
      <c r="D250" s="8">
        <v>2020</v>
      </c>
      <c r="E250" s="14">
        <f>Data!N250</f>
        <v>53000000</v>
      </c>
      <c r="F250" s="14">
        <f>Data!G250</f>
        <v>239408000000</v>
      </c>
      <c r="G250" s="12">
        <f t="shared" si="3"/>
        <v>2.2137940252623138E-4</v>
      </c>
    </row>
    <row r="251" spans="2:7" ht="15" customHeight="1" x14ac:dyDescent="0.3">
      <c r="C251" s="4"/>
      <c r="D251" s="8">
        <v>2021</v>
      </c>
      <c r="E251" s="14">
        <f>Data!N251</f>
        <v>1284000000</v>
      </c>
      <c r="F251" s="14">
        <f>Data!G251</f>
        <v>249051000000</v>
      </c>
      <c r="G251" s="12">
        <f t="shared" si="3"/>
        <v>5.1555705457918257E-3</v>
      </c>
    </row>
    <row r="252" spans="2:7" ht="15" customHeight="1" x14ac:dyDescent="0.3">
      <c r="C252" s="4"/>
      <c r="D252" s="8">
        <v>2022</v>
      </c>
      <c r="E252" s="14">
        <f>Data!N252</f>
        <v>1501000000</v>
      </c>
      <c r="F252" s="14">
        <f>Data!G252</f>
        <v>293113000000</v>
      </c>
      <c r="G252" s="12">
        <f t="shared" si="3"/>
        <v>5.1208919426978675E-3</v>
      </c>
    </row>
    <row r="253" spans="2:7" ht="15" customHeight="1" x14ac:dyDescent="0.3">
      <c r="C253" s="4"/>
      <c r="D253" s="8">
        <v>2023</v>
      </c>
      <c r="E253" s="14">
        <f>Data!N253</f>
        <v>2527000000</v>
      </c>
      <c r="F253" s="14">
        <f>Data!G253</f>
        <v>303072000000</v>
      </c>
      <c r="G253" s="12">
        <f t="shared" si="3"/>
        <v>8.3379526977087944E-3</v>
      </c>
    </row>
    <row r="254" spans="2:7" ht="15" customHeight="1" x14ac:dyDescent="0.3">
      <c r="C254" s="4"/>
      <c r="D254" s="8">
        <v>2024</v>
      </c>
      <c r="E254" s="14">
        <f>Data!N254</f>
        <v>2829000000</v>
      </c>
      <c r="F254" s="14">
        <f>Data!G254</f>
        <v>306176000000</v>
      </c>
      <c r="G254" s="12">
        <f t="shared" si="3"/>
        <v>9.239783653846154E-3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Data!N255</f>
        <v>0</v>
      </c>
      <c r="F255" s="14">
        <f>Data!G255</f>
        <v>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Data!N256</f>
        <v>-7989000000</v>
      </c>
      <c r="F256" s="14">
        <f>Data!G256</f>
        <v>71504000000</v>
      </c>
      <c r="G256" s="12">
        <f t="shared" si="3"/>
        <v>-0.11172801521593198</v>
      </c>
    </row>
    <row r="257" spans="2:7" ht="15" customHeight="1" x14ac:dyDescent="0.3">
      <c r="C257" s="4"/>
      <c r="D257" s="8">
        <v>2016</v>
      </c>
      <c r="E257" s="14">
        <f>Data!N257</f>
        <v>-6103000000</v>
      </c>
      <c r="F257" s="14">
        <f>Data!G257</f>
        <v>68929000000</v>
      </c>
      <c r="G257" s="12">
        <f t="shared" si="3"/>
        <v>-8.8540382132339071E-2</v>
      </c>
    </row>
    <row r="258" spans="2:7" ht="15" customHeight="1" x14ac:dyDescent="0.3">
      <c r="C258" s="4"/>
      <c r="D258" s="8">
        <v>2017</v>
      </c>
      <c r="E258" s="14">
        <f>Data!N258</f>
        <v>-2496000000</v>
      </c>
      <c r="F258" s="14">
        <f>Data!G258</f>
        <v>87746000000</v>
      </c>
      <c r="G258" s="12">
        <f t="shared" si="3"/>
        <v>-2.8445741116404168E-2</v>
      </c>
    </row>
    <row r="259" spans="2:7" ht="15" customHeight="1" x14ac:dyDescent="0.3">
      <c r="C259" s="4"/>
      <c r="D259" s="8">
        <v>2018</v>
      </c>
      <c r="E259" s="14">
        <f>Data!N259</f>
        <v>-6977000000</v>
      </c>
      <c r="F259" s="14">
        <f>Data!G259</f>
        <v>96855000000</v>
      </c>
      <c r="G259" s="12">
        <f t="shared" ref="G259:G322" si="4">IFERROR(E259/F259,0)</f>
        <v>-7.2035517009963343E-2</v>
      </c>
    </row>
    <row r="260" spans="2:7" ht="15" customHeight="1" x14ac:dyDescent="0.3">
      <c r="C260" s="4"/>
      <c r="D260" s="8">
        <v>2019</v>
      </c>
      <c r="E260" s="14">
        <f>Data!N260</f>
        <v>7730000000</v>
      </c>
      <c r="F260" s="14">
        <f>Data!G260</f>
        <v>104668000000</v>
      </c>
      <c r="G260" s="12">
        <f t="shared" si="4"/>
        <v>7.3852562387740281E-2</v>
      </c>
    </row>
    <row r="261" spans="2:7" ht="15" customHeight="1" x14ac:dyDescent="0.3">
      <c r="C261" s="4"/>
      <c r="D261" s="8">
        <v>2020</v>
      </c>
      <c r="E261" s="14">
        <f>Data!N261</f>
        <v>434000000</v>
      </c>
      <c r="F261" s="14">
        <f>Data!G261</f>
        <v>96960000000</v>
      </c>
      <c r="G261" s="12">
        <f t="shared" si="4"/>
        <v>4.4760726072607263E-3</v>
      </c>
    </row>
    <row r="262" spans="2:7" ht="15" customHeight="1" x14ac:dyDescent="0.3">
      <c r="C262" s="4"/>
      <c r="D262" s="8">
        <v>2021</v>
      </c>
      <c r="E262" s="14">
        <f>Data!N262</f>
        <v>508000000</v>
      </c>
      <c r="F262" s="14">
        <f>Data!G262</f>
        <v>95396000000</v>
      </c>
      <c r="G262" s="12">
        <f t="shared" si="4"/>
        <v>5.3251708667030068E-3</v>
      </c>
    </row>
    <row r="263" spans="2:7" ht="15" customHeight="1" x14ac:dyDescent="0.3">
      <c r="C263" s="4"/>
      <c r="D263" s="8">
        <v>2022</v>
      </c>
      <c r="E263" s="14">
        <f>Data!N263</f>
        <v>1115000000</v>
      </c>
      <c r="F263" s="14">
        <f>Data!G263</f>
        <v>112679000000</v>
      </c>
      <c r="G263" s="12">
        <f t="shared" si="4"/>
        <v>9.8953664835506171E-3</v>
      </c>
    </row>
    <row r="264" spans="2:7" ht="15" customHeight="1" x14ac:dyDescent="0.3">
      <c r="C264" s="4"/>
      <c r="D264" s="8">
        <v>2023</v>
      </c>
      <c r="E264" s="14">
        <f>Data!N264</f>
        <v>2551000000</v>
      </c>
      <c r="F264" s="14">
        <f>Data!G264</f>
        <v>151981000000</v>
      </c>
      <c r="G264" s="12">
        <f t="shared" si="4"/>
        <v>1.6784992860949723E-2</v>
      </c>
    </row>
    <row r="265" spans="2:7" ht="15" customHeight="1" x14ac:dyDescent="0.3">
      <c r="C265" s="4"/>
      <c r="D265" s="8">
        <v>2024</v>
      </c>
      <c r="E265" s="14">
        <f>Data!N265</f>
        <v>2838000000</v>
      </c>
      <c r="F265" s="14">
        <f>Data!G265</f>
        <v>179851000000</v>
      </c>
      <c r="G265" s="12">
        <f t="shared" si="4"/>
        <v>1.5779728775486376E-2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Data!N266</f>
        <v>0</v>
      </c>
      <c r="F266" s="14">
        <f>Data!G266</f>
        <v>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Data!N267</f>
        <v>42798000000</v>
      </c>
      <c r="F267" s="14">
        <f>Data!G267</f>
        <v>2704180000000</v>
      </c>
      <c r="G267" s="12">
        <f t="shared" si="4"/>
        <v>1.5826609175424711E-2</v>
      </c>
    </row>
    <row r="268" spans="2:7" ht="15" customHeight="1" x14ac:dyDescent="0.3">
      <c r="C268" s="3"/>
      <c r="D268" s="8">
        <v>2016</v>
      </c>
      <c r="E268" s="14">
        <f>Data!N268</f>
        <v>29647000000</v>
      </c>
      <c r="F268" s="14">
        <f>Data!G268</f>
        <v>2966353000000</v>
      </c>
      <c r="G268" s="12">
        <f t="shared" si="4"/>
        <v>9.9944275007054113E-3</v>
      </c>
    </row>
    <row r="269" spans="2:7" ht="15" customHeight="1" x14ac:dyDescent="0.3">
      <c r="C269" s="3"/>
      <c r="D269" s="8">
        <v>2017</v>
      </c>
      <c r="E269" s="14">
        <f>Data!N269</f>
        <v>111363450000</v>
      </c>
      <c r="F269" s="14">
        <f>Data!G269</f>
        <v>3416166470000</v>
      </c>
      <c r="G269" s="12">
        <f t="shared" si="4"/>
        <v>3.2598952942711833E-2</v>
      </c>
    </row>
    <row r="270" spans="2:7" ht="15" customHeight="1" x14ac:dyDescent="0.3">
      <c r="C270" s="3"/>
      <c r="D270" s="8">
        <v>2018</v>
      </c>
      <c r="E270" s="14">
        <f>Data!N270</f>
        <v>-67586240000.000008</v>
      </c>
      <c r="F270" s="14">
        <f>Data!G270</f>
        <v>3459841500000</v>
      </c>
      <c r="G270" s="12">
        <f t="shared" si="4"/>
        <v>-1.953449023604116E-2</v>
      </c>
    </row>
    <row r="271" spans="2:7" ht="15" customHeight="1" x14ac:dyDescent="0.3">
      <c r="C271" s="3"/>
      <c r="D271" s="8">
        <v>2019</v>
      </c>
      <c r="E271" s="14">
        <f>Data!N271</f>
        <v>91037440000</v>
      </c>
      <c r="F271" s="14">
        <f>Data!G271</f>
        <v>4490719460000</v>
      </c>
      <c r="G271" s="12">
        <f t="shared" si="4"/>
        <v>2.027235074711169E-2</v>
      </c>
    </row>
    <row r="272" spans="2:7" ht="15" customHeight="1" x14ac:dyDescent="0.3">
      <c r="C272" s="3"/>
      <c r="D272" s="8">
        <v>2020</v>
      </c>
      <c r="E272" s="14">
        <f>Data!N272</f>
        <v>34412160000</v>
      </c>
      <c r="F272" s="14">
        <f>Data!G272</f>
        <v>5264244540000</v>
      </c>
      <c r="G272" s="12">
        <f t="shared" si="4"/>
        <v>6.5369607620849616E-3</v>
      </c>
    </row>
    <row r="273" spans="2:7" ht="15" customHeight="1" x14ac:dyDescent="0.3">
      <c r="C273" s="3"/>
      <c r="D273" s="8">
        <v>2021</v>
      </c>
      <c r="E273" s="14">
        <f>Data!N273</f>
        <v>63141110000</v>
      </c>
      <c r="F273" s="14">
        <f>Data!G273</f>
        <v>6020512330000</v>
      </c>
      <c r="G273" s="12">
        <f t="shared" si="4"/>
        <v>1.0487663929425088E-2</v>
      </c>
    </row>
    <row r="274" spans="2:7" ht="15" customHeight="1" x14ac:dyDescent="0.3">
      <c r="C274" s="3"/>
      <c r="D274" s="8">
        <v>2022</v>
      </c>
      <c r="E274" s="14">
        <f>Data!N274</f>
        <v>36714920000</v>
      </c>
      <c r="F274" s="14">
        <f>Data!G274</f>
        <v>6600387150000</v>
      </c>
      <c r="G274" s="12">
        <f t="shared" si="4"/>
        <v>5.5625403731052354E-3</v>
      </c>
    </row>
    <row r="275" spans="2:7" ht="15" customHeight="1" x14ac:dyDescent="0.3">
      <c r="C275" s="3"/>
      <c r="D275" s="8">
        <v>2023</v>
      </c>
      <c r="E275" s="14">
        <f>Data!N275</f>
        <v>96333630000</v>
      </c>
      <c r="F275" s="14">
        <f>Data!G275</f>
        <v>7499012820000</v>
      </c>
      <c r="G275" s="12">
        <f t="shared" si="4"/>
        <v>1.284617486492042E-2</v>
      </c>
    </row>
    <row r="276" spans="2:7" ht="15" customHeight="1" x14ac:dyDescent="0.3">
      <c r="C276" s="3"/>
      <c r="D276" s="8">
        <v>2024</v>
      </c>
      <c r="E276" s="14">
        <f>Data!N276</f>
        <v>-23206200000</v>
      </c>
      <c r="F276" s="14">
        <f>Data!G276</f>
        <v>8435110859999.999</v>
      </c>
      <c r="G276" s="12">
        <f t="shared" si="4"/>
        <v>-2.7511434508876156E-3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Data!N277</f>
        <v>0</v>
      </c>
      <c r="F277" s="14">
        <f>Data!G277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Data!N278</f>
        <v>0</v>
      </c>
      <c r="F278" s="14">
        <f>Data!G278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Data!N279</f>
        <v>0</v>
      </c>
      <c r="F279" s="14">
        <f>Data!G279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Data!N280</f>
        <v>0</v>
      </c>
      <c r="F280" s="14">
        <f>Data!G280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Data!N281</f>
        <v>0</v>
      </c>
      <c r="F281" s="14">
        <f>Data!G281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Data!N282</f>
        <v>0</v>
      </c>
      <c r="F282" s="14">
        <f>Data!G282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Data!N283</f>
        <v>0</v>
      </c>
      <c r="F283" s="14">
        <f>Data!G283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Data!N284</f>
        <v>0</v>
      </c>
      <c r="F284" s="14">
        <f>Data!G284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Data!N285</f>
        <v>-3077660000</v>
      </c>
      <c r="F285" s="14">
        <f>Data!G285</f>
        <v>132949170000.00002</v>
      </c>
      <c r="G285" s="12">
        <f t="shared" si="4"/>
        <v>-2.3149147903668746E-2</v>
      </c>
    </row>
    <row r="286" spans="2:7" ht="15" customHeight="1" x14ac:dyDescent="0.3">
      <c r="C286" s="3"/>
      <c r="D286" s="8">
        <v>2023</v>
      </c>
      <c r="E286" s="14">
        <f>Data!N286</f>
        <v>-1169200000</v>
      </c>
      <c r="F286" s="14">
        <f>Data!G286</f>
        <v>132473380000</v>
      </c>
      <c r="G286" s="12">
        <f t="shared" si="4"/>
        <v>-8.825924121510299E-3</v>
      </c>
    </row>
    <row r="287" spans="2:7" ht="15" customHeight="1" x14ac:dyDescent="0.3">
      <c r="C287" s="3"/>
      <c r="D287" s="8">
        <v>2024</v>
      </c>
      <c r="E287" s="14">
        <f>Data!N287</f>
        <v>6571400000</v>
      </c>
      <c r="F287" s="14">
        <f>Data!G287</f>
        <v>159746690000</v>
      </c>
      <c r="G287" s="12">
        <f t="shared" si="4"/>
        <v>4.1136376597224016E-2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Data!N288</f>
        <v>0</v>
      </c>
      <c r="F288" s="14">
        <f>Data!G288</f>
        <v>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Data!N289</f>
        <v>29274000000</v>
      </c>
      <c r="F289" s="14">
        <f>Data!G289</f>
        <v>1239559000000</v>
      </c>
      <c r="G289" s="12">
        <f t="shared" si="4"/>
        <v>2.3616463597134141E-2</v>
      </c>
    </row>
    <row r="290" spans="2:7" ht="15" customHeight="1" x14ac:dyDescent="0.3">
      <c r="C290" s="3"/>
      <c r="D290" s="8">
        <v>2016</v>
      </c>
      <c r="E290" s="14">
        <f>Data!N290</f>
        <v>41789000000</v>
      </c>
      <c r="F290" s="14">
        <f>Data!G290</f>
        <v>13122331000000</v>
      </c>
      <c r="G290" s="12">
        <f t="shared" si="4"/>
        <v>3.1845713997002514E-3</v>
      </c>
    </row>
    <row r="291" spans="2:7" ht="15" customHeight="1" x14ac:dyDescent="0.3">
      <c r="C291" s="3"/>
      <c r="D291" s="8">
        <v>2017</v>
      </c>
      <c r="E291" s="14">
        <f>Data!N291</f>
        <v>115427000000</v>
      </c>
      <c r="F291" s="14">
        <f>Data!G291</f>
        <v>24838435000000</v>
      </c>
      <c r="G291" s="12">
        <f t="shared" si="4"/>
        <v>4.6471124287822485E-3</v>
      </c>
    </row>
    <row r="292" spans="2:7" ht="15" customHeight="1" x14ac:dyDescent="0.3">
      <c r="C292" s="3"/>
      <c r="D292" s="8">
        <v>2018</v>
      </c>
      <c r="E292" s="14">
        <f>Data!N292</f>
        <v>121807000000</v>
      </c>
      <c r="F292" s="14">
        <f>Data!G292</f>
        <v>30914118000000</v>
      </c>
      <c r="G292" s="12">
        <f t="shared" si="4"/>
        <v>3.9401738713684149E-3</v>
      </c>
    </row>
    <row r="293" spans="2:7" ht="15" customHeight="1" x14ac:dyDescent="0.3">
      <c r="C293" s="3"/>
      <c r="D293" s="8">
        <v>2019</v>
      </c>
      <c r="E293" s="14">
        <f>Data!N293</f>
        <v>143716000000</v>
      </c>
      <c r="F293" s="14">
        <f>Data!G293</f>
        <v>35182475000000</v>
      </c>
      <c r="G293" s="12">
        <f t="shared" si="4"/>
        <v>4.0848746428442002E-3</v>
      </c>
    </row>
    <row r="294" spans="2:7" ht="15" customHeight="1" x14ac:dyDescent="0.3">
      <c r="C294" s="3"/>
      <c r="D294" s="8">
        <v>2020</v>
      </c>
      <c r="E294" s="14">
        <f>Data!N294</f>
        <v>130538000000</v>
      </c>
      <c r="F294" s="14">
        <f>Data!G294</f>
        <v>32223291000000</v>
      </c>
      <c r="G294" s="12">
        <f t="shared" si="4"/>
        <v>4.0510449413748584E-3</v>
      </c>
    </row>
    <row r="295" spans="2:7" ht="15" customHeight="1" x14ac:dyDescent="0.3">
      <c r="C295" s="3"/>
      <c r="D295" s="8">
        <v>2021</v>
      </c>
      <c r="E295" s="14">
        <f>Data!N295</f>
        <v>103951000000</v>
      </c>
      <c r="F295" s="14">
        <f>Data!G295</f>
        <v>33647581000000</v>
      </c>
      <c r="G295" s="12">
        <f t="shared" si="4"/>
        <v>3.0894048520159591E-3</v>
      </c>
    </row>
    <row r="296" spans="2:7" ht="15" customHeight="1" x14ac:dyDescent="0.3">
      <c r="C296" s="3"/>
      <c r="D296" s="8">
        <v>2022</v>
      </c>
      <c r="E296" s="14">
        <f>Data!N296</f>
        <v>194430000000</v>
      </c>
      <c r="F296" s="14">
        <f>Data!G296</f>
        <v>28879077000000</v>
      </c>
      <c r="G296" s="12">
        <f t="shared" si="4"/>
        <v>6.7325558915889176E-3</v>
      </c>
    </row>
    <row r="297" spans="2:7" ht="15" customHeight="1" x14ac:dyDescent="0.3">
      <c r="C297" s="3"/>
      <c r="D297" s="8">
        <v>2023</v>
      </c>
      <c r="E297" s="14">
        <f>Data!N297</f>
        <v>158360000000</v>
      </c>
      <c r="F297" s="14">
        <f>Data!G297</f>
        <v>23420850000000</v>
      </c>
      <c r="G297" s="12">
        <f t="shared" si="4"/>
        <v>6.7614967005894325E-3</v>
      </c>
    </row>
    <row r="298" spans="2:7" ht="15" customHeight="1" x14ac:dyDescent="0.3">
      <c r="C298" s="3"/>
      <c r="D298" s="8">
        <v>2024</v>
      </c>
      <c r="E298" s="14">
        <f>Data!N298</f>
        <v>166494000000</v>
      </c>
      <c r="F298" s="14">
        <f>Data!G298</f>
        <v>24021114000000</v>
      </c>
      <c r="G298" s="12">
        <f t="shared" si="4"/>
        <v>6.9311523187475816E-3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Data!N299</f>
        <v>0</v>
      </c>
      <c r="F299" s="14">
        <f>Data!G299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Data!N300</f>
        <v>625000000</v>
      </c>
      <c r="F300" s="14">
        <f>Data!G300</f>
        <v>60739000000</v>
      </c>
      <c r="G300" s="12">
        <f t="shared" si="4"/>
        <v>1.0289929040649336E-2</v>
      </c>
    </row>
    <row r="301" spans="2:7" ht="15" customHeight="1" x14ac:dyDescent="0.3">
      <c r="C301" s="4"/>
      <c r="D301" s="8">
        <v>2016</v>
      </c>
      <c r="E301" s="14">
        <f>Data!N301</f>
        <v>865000000</v>
      </c>
      <c r="F301" s="14">
        <f>Data!G301</f>
        <v>69732000000</v>
      </c>
      <c r="G301" s="12">
        <f t="shared" si="4"/>
        <v>1.2404634887856364E-2</v>
      </c>
    </row>
    <row r="302" spans="2:7" ht="15" customHeight="1" x14ac:dyDescent="0.3">
      <c r="C302" s="4"/>
      <c r="D302" s="8">
        <v>2017</v>
      </c>
      <c r="E302" s="14">
        <f>Data!N302</f>
        <v>500000000</v>
      </c>
      <c r="F302" s="14">
        <f>Data!G302</f>
        <v>74776000000</v>
      </c>
      <c r="G302" s="12">
        <f t="shared" si="4"/>
        <v>6.6866374237723337E-3</v>
      </c>
    </row>
    <row r="303" spans="2:7" ht="15" customHeight="1" x14ac:dyDescent="0.3">
      <c r="C303" s="4"/>
      <c r="D303" s="8">
        <v>2018</v>
      </c>
      <c r="E303" s="14">
        <f>Data!N303</f>
        <v>-2336000000</v>
      </c>
      <c r="F303" s="14">
        <f>Data!G303</f>
        <v>89317000000</v>
      </c>
      <c r="G303" s="12">
        <f t="shared" si="4"/>
        <v>-2.6154035625916679E-2</v>
      </c>
    </row>
    <row r="304" spans="2:7" ht="15" customHeight="1" x14ac:dyDescent="0.3">
      <c r="C304" s="4"/>
      <c r="D304" s="8">
        <v>2019</v>
      </c>
      <c r="E304" s="14">
        <f>Data!N304</f>
        <v>2645000000</v>
      </c>
      <c r="F304" s="14">
        <f>Data!G304</f>
        <v>105000000000</v>
      </c>
      <c r="G304" s="12">
        <f t="shared" si="4"/>
        <v>2.519047619047619E-2</v>
      </c>
    </row>
    <row r="305" spans="2:7" ht="15" customHeight="1" x14ac:dyDescent="0.3">
      <c r="C305" s="4"/>
      <c r="D305" s="8">
        <v>2020</v>
      </c>
      <c r="E305" s="14">
        <f>Data!N305</f>
        <v>603000000</v>
      </c>
      <c r="F305" s="14">
        <f>Data!G305</f>
        <v>121421000000</v>
      </c>
      <c r="G305" s="12">
        <f t="shared" si="4"/>
        <v>4.9661920096194237E-3</v>
      </c>
    </row>
    <row r="306" spans="2:7" ht="15" customHeight="1" x14ac:dyDescent="0.3">
      <c r="C306" s="4"/>
      <c r="D306" s="8">
        <v>2021</v>
      </c>
      <c r="E306" s="14">
        <f>Data!N306</f>
        <v>288000000</v>
      </c>
      <c r="F306" s="14">
        <f>Data!G306</f>
        <v>140074000000</v>
      </c>
      <c r="G306" s="12">
        <f t="shared" si="4"/>
        <v>2.0560560846409753E-3</v>
      </c>
    </row>
    <row r="307" spans="2:7" ht="15" customHeight="1" x14ac:dyDescent="0.3">
      <c r="C307" s="4"/>
      <c r="D307" s="8">
        <v>2022</v>
      </c>
      <c r="E307" s="14">
        <f>Data!N307</f>
        <v>1012000000</v>
      </c>
      <c r="F307" s="14">
        <f>Data!G307</f>
        <v>154307000000</v>
      </c>
      <c r="G307" s="12">
        <f t="shared" si="4"/>
        <v>6.5583544492472797E-3</v>
      </c>
    </row>
    <row r="308" spans="2:7" ht="15" customHeight="1" x14ac:dyDescent="0.3">
      <c r="C308" s="4"/>
      <c r="D308" s="8">
        <v>2023</v>
      </c>
      <c r="E308" s="14">
        <f>Data!N308</f>
        <v>1939000000</v>
      </c>
      <c r="F308" s="14">
        <f>Data!G308</f>
        <v>154726000000</v>
      </c>
      <c r="G308" s="12">
        <f t="shared" si="4"/>
        <v>1.2531830461590166E-2</v>
      </c>
    </row>
    <row r="309" spans="2:7" ht="15" customHeight="1" x14ac:dyDescent="0.3">
      <c r="C309" s="4"/>
      <c r="D309" s="8">
        <v>2024</v>
      </c>
      <c r="E309" s="14">
        <f>Data!N309</f>
        <v>5386000000</v>
      </c>
      <c r="F309" s="14">
        <f>Data!G309</f>
        <v>155845000000</v>
      </c>
      <c r="G309" s="12">
        <f t="shared" si="4"/>
        <v>3.4559979466777892E-2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Data!N310</f>
        <v>0</v>
      </c>
      <c r="F310" s="14">
        <f>Data!G310</f>
        <v>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>
        <f>Data!N311</f>
        <v>5877000000</v>
      </c>
      <c r="F311" s="14">
        <f>Data!G311</f>
        <v>1064512000000</v>
      </c>
      <c r="G311" s="12">
        <f t="shared" si="4"/>
        <v>5.5208395959838877E-3</v>
      </c>
    </row>
    <row r="312" spans="2:7" ht="15" customHeight="1" x14ac:dyDescent="0.3">
      <c r="C312" s="4"/>
      <c r="D312" s="8">
        <v>2016</v>
      </c>
      <c r="E312" s="14">
        <f>Data!N312</f>
        <v>23406000000</v>
      </c>
      <c r="F312" s="14">
        <f>Data!G312</f>
        <v>1162835000000</v>
      </c>
      <c r="G312" s="12">
        <f t="shared" si="4"/>
        <v>2.0128393108222578E-2</v>
      </c>
    </row>
    <row r="313" spans="2:7" ht="15" customHeight="1" x14ac:dyDescent="0.3">
      <c r="C313" s="4"/>
      <c r="D313" s="8">
        <v>2017</v>
      </c>
      <c r="E313" s="14">
        <f>Data!N313</f>
        <v>16065000000</v>
      </c>
      <c r="F313" s="14">
        <f>Data!G313</f>
        <v>1660572000000</v>
      </c>
      <c r="G313" s="12">
        <f t="shared" si="4"/>
        <v>9.6743772627745136E-3</v>
      </c>
    </row>
    <row r="314" spans="2:7" ht="15" customHeight="1" x14ac:dyDescent="0.3">
      <c r="C314" s="4"/>
      <c r="D314" s="8">
        <v>2018</v>
      </c>
      <c r="E314" s="14">
        <f>Data!N314</f>
        <v>12908000000</v>
      </c>
      <c r="F314" s="14">
        <f>Data!G314</f>
        <v>1712378000000</v>
      </c>
      <c r="G314" s="12">
        <f t="shared" si="4"/>
        <v>7.5380552658349965E-3</v>
      </c>
    </row>
    <row r="315" spans="2:7" ht="15" customHeight="1" x14ac:dyDescent="0.3">
      <c r="C315" s="4"/>
      <c r="D315" s="8">
        <v>2019</v>
      </c>
      <c r="E315" s="14">
        <f>Data!N315</f>
        <v>9493000000</v>
      </c>
      <c r="F315" s="14">
        <f>Data!G315</f>
        <v>1805094000000</v>
      </c>
      <c r="G315" s="12">
        <f t="shared" si="4"/>
        <v>5.2590059021857035E-3</v>
      </c>
    </row>
    <row r="316" spans="2:7" ht="15" customHeight="1" x14ac:dyDescent="0.3">
      <c r="C316" s="4"/>
      <c r="D316" s="8">
        <v>2020</v>
      </c>
      <c r="E316" s="14">
        <f>Data!N316</f>
        <v>10640000000</v>
      </c>
      <c r="F316" s="14">
        <f>Data!G316</f>
        <v>1821015000000</v>
      </c>
      <c r="G316" s="12">
        <f t="shared" si="4"/>
        <v>5.8428953083857083E-3</v>
      </c>
    </row>
    <row r="317" spans="2:7" ht="15" customHeight="1" x14ac:dyDescent="0.3">
      <c r="C317" s="4"/>
      <c r="D317" s="8">
        <v>2021</v>
      </c>
      <c r="E317" s="14">
        <f>Data!N317</f>
        <v>15384000000</v>
      </c>
      <c r="F317" s="14">
        <f>Data!G317</f>
        <v>1820850000000</v>
      </c>
      <c r="G317" s="12">
        <f t="shared" si="4"/>
        <v>8.4488013839690256E-3</v>
      </c>
    </row>
    <row r="318" spans="2:7" ht="15" customHeight="1" x14ac:dyDescent="0.3">
      <c r="C318" s="4"/>
      <c r="D318" s="8">
        <v>2022</v>
      </c>
      <c r="E318" s="14">
        <f>Data!N318</f>
        <v>2754000000</v>
      </c>
      <c r="F318" s="14">
        <f>Data!G318</f>
        <v>1844693000000</v>
      </c>
      <c r="G318" s="12">
        <f t="shared" si="4"/>
        <v>1.4929313441315168E-3</v>
      </c>
    </row>
    <row r="319" spans="2:7" ht="15" customHeight="1" x14ac:dyDescent="0.3">
      <c r="C319" s="4"/>
      <c r="D319" s="8">
        <v>2023</v>
      </c>
      <c r="E319" s="14">
        <f>Data!N319</f>
        <v>7071000000</v>
      </c>
      <c r="F319" s="14">
        <f>Data!G319</f>
        <v>1791328000000</v>
      </c>
      <c r="G319" s="12">
        <f t="shared" si="4"/>
        <v>3.9473507922613837E-3</v>
      </c>
    </row>
    <row r="320" spans="2:7" ht="15" customHeight="1" x14ac:dyDescent="0.3">
      <c r="C320" s="4"/>
      <c r="D320" s="8">
        <v>2024</v>
      </c>
      <c r="E320" s="14">
        <f>Data!N320</f>
        <v>5495000000</v>
      </c>
      <c r="F320" s="14">
        <f>Data!G320</f>
        <v>1662152000000</v>
      </c>
      <c r="G320" s="12">
        <f t="shared" si="4"/>
        <v>3.3059551713682024E-3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Data!N321</f>
        <v>0</v>
      </c>
      <c r="F321" s="14">
        <f>Data!G321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Data!N322</f>
        <v>0</v>
      </c>
      <c r="F322" s="14">
        <f>Data!G322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Data!N323</f>
        <v>0</v>
      </c>
      <c r="F323" s="14">
        <f>Data!G323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Data!N324</f>
        <v>452235000000</v>
      </c>
      <c r="F324" s="14">
        <f>Data!G324</f>
        <v>10926484000000</v>
      </c>
      <c r="G324" s="12">
        <f t="shared" si="5"/>
        <v>4.1388885939886974E-2</v>
      </c>
    </row>
    <row r="325" spans="2:7" ht="15" customHeight="1" x14ac:dyDescent="0.3">
      <c r="C325" s="3"/>
      <c r="D325" s="8">
        <v>2018</v>
      </c>
      <c r="E325" s="14">
        <f>Data!N325</f>
        <v>-216462000000</v>
      </c>
      <c r="F325" s="14">
        <f>Data!G325</f>
        <v>10229507000000</v>
      </c>
      <c r="G325" s="12">
        <f t="shared" si="5"/>
        <v>-2.1160550552436201E-2</v>
      </c>
    </row>
    <row r="326" spans="2:7" ht="15" customHeight="1" x14ac:dyDescent="0.3">
      <c r="C326" s="3"/>
      <c r="D326" s="8">
        <v>2019</v>
      </c>
      <c r="E326" s="14">
        <f>Data!N326</f>
        <v>394486000000</v>
      </c>
      <c r="F326" s="14">
        <f>Data!G326</f>
        <v>11985227000000</v>
      </c>
      <c r="G326" s="12">
        <f t="shared" si="5"/>
        <v>3.2914353645533787E-2</v>
      </c>
    </row>
    <row r="327" spans="2:7" ht="15" customHeight="1" x14ac:dyDescent="0.3">
      <c r="C327" s="3"/>
      <c r="D327" s="8">
        <v>2020</v>
      </c>
      <c r="E327" s="14">
        <f>Data!N327</f>
        <v>125019000000</v>
      </c>
      <c r="F327" s="14">
        <f>Data!G327</f>
        <v>11238753000000</v>
      </c>
      <c r="G327" s="12">
        <f t="shared" si="5"/>
        <v>1.1123920954575654E-2</v>
      </c>
    </row>
    <row r="328" spans="2:7" ht="15" customHeight="1" x14ac:dyDescent="0.3">
      <c r="C328" s="3"/>
      <c r="D328" s="8">
        <v>2021</v>
      </c>
      <c r="E328" s="14">
        <f>Data!N328</f>
        <v>78085000000</v>
      </c>
      <c r="F328" s="14">
        <f>Data!G328</f>
        <v>9745939000000</v>
      </c>
      <c r="G328" s="12">
        <f t="shared" si="5"/>
        <v>8.0120550723742478E-3</v>
      </c>
    </row>
    <row r="329" spans="2:7" ht="15" customHeight="1" x14ac:dyDescent="0.3">
      <c r="C329" s="3"/>
      <c r="D329" s="8">
        <v>2022</v>
      </c>
      <c r="E329" s="14">
        <f>Data!N329</f>
        <v>-299047000000</v>
      </c>
      <c r="F329" s="14">
        <f>Data!G329</f>
        <v>7080639000000</v>
      </c>
      <c r="G329" s="12">
        <f t="shared" si="5"/>
        <v>-4.223446499673264E-2</v>
      </c>
    </row>
    <row r="330" spans="2:7" ht="15" customHeight="1" x14ac:dyDescent="0.3">
      <c r="C330" s="3"/>
      <c r="D330" s="8">
        <v>2023</v>
      </c>
      <c r="E330" s="14">
        <f>Data!N330</f>
        <v>172982000000</v>
      </c>
      <c r="F330" s="14">
        <f>Data!G330</f>
        <v>7019115000000</v>
      </c>
      <c r="G330" s="12">
        <f t="shared" si="5"/>
        <v>2.4644417422994211E-2</v>
      </c>
    </row>
    <row r="331" spans="2:7" ht="15" customHeight="1" x14ac:dyDescent="0.3">
      <c r="C331" s="3"/>
      <c r="D331" s="8">
        <v>2024</v>
      </c>
      <c r="E331" s="14">
        <f>Data!N331</f>
        <v>-9319000000</v>
      </c>
      <c r="F331" s="14">
        <f>Data!G331</f>
        <v>6182592000000</v>
      </c>
      <c r="G331" s="12">
        <f t="shared" si="5"/>
        <v>-1.5072966160471206E-3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Data!N332</f>
        <v>0</v>
      </c>
      <c r="F332" s="14">
        <f>Data!G332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Data!N333</f>
        <v>0</v>
      </c>
      <c r="F333" s="14">
        <f>Data!G333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Data!N334</f>
        <v>0</v>
      </c>
      <c r="F334" s="14">
        <f>Data!G334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Data!N335</f>
        <v>0</v>
      </c>
      <c r="F335" s="14">
        <f>Data!G335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Data!N336</f>
        <v>0</v>
      </c>
      <c r="F336" s="14">
        <f>Data!G336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Data!N337</f>
        <v>-573000000</v>
      </c>
      <c r="F337" s="14">
        <f>Data!G337</f>
        <v>6174958000000</v>
      </c>
      <c r="G337" s="12">
        <f t="shared" si="5"/>
        <v>-9.2794153417723654E-5</v>
      </c>
    </row>
    <row r="338" spans="2:7" ht="15" customHeight="1" x14ac:dyDescent="0.3">
      <c r="C338" s="3"/>
      <c r="D338" s="8">
        <v>2020</v>
      </c>
      <c r="E338" s="14">
        <f>Data!N338</f>
        <v>74295000000</v>
      </c>
      <c r="F338" s="14">
        <f>Data!G338</f>
        <v>6360147000000</v>
      </c>
      <c r="G338" s="12">
        <f t="shared" si="5"/>
        <v>1.168133378049281E-2</v>
      </c>
    </row>
    <row r="339" spans="2:7" ht="15" customHeight="1" x14ac:dyDescent="0.3">
      <c r="C339" s="3"/>
      <c r="D339" s="8">
        <v>2021</v>
      </c>
      <c r="E339" s="14">
        <f>Data!N339</f>
        <v>127119000000</v>
      </c>
      <c r="F339" s="14">
        <f>Data!G339</f>
        <v>6454782000000</v>
      </c>
      <c r="G339" s="12">
        <f t="shared" si="5"/>
        <v>1.9693771222637727E-2</v>
      </c>
    </row>
    <row r="340" spans="2:7" ht="15" customHeight="1" x14ac:dyDescent="0.3">
      <c r="C340" s="3"/>
      <c r="D340" s="8">
        <v>2022</v>
      </c>
      <c r="E340" s="14">
        <f>Data!N340</f>
        <v>69937000000</v>
      </c>
      <c r="F340" s="14">
        <f>Data!G340</f>
        <v>6650529000000</v>
      </c>
      <c r="G340" s="12">
        <f t="shared" si="5"/>
        <v>1.0516005568880309E-2</v>
      </c>
    </row>
    <row r="341" spans="2:7" ht="15" customHeight="1" x14ac:dyDescent="0.3">
      <c r="C341" s="3"/>
      <c r="D341" s="8">
        <v>2023</v>
      </c>
      <c r="E341" s="14">
        <f>Data!N341</f>
        <v>-70458000000</v>
      </c>
      <c r="F341" s="14">
        <f>Data!G341</f>
        <v>7227612000000</v>
      </c>
      <c r="G341" s="12">
        <f t="shared" si="5"/>
        <v>-9.7484480351186526E-3</v>
      </c>
    </row>
    <row r="342" spans="2:7" ht="15" customHeight="1" x14ac:dyDescent="0.3">
      <c r="C342" s="3"/>
      <c r="D342" s="8">
        <v>2024</v>
      </c>
      <c r="E342" s="14">
        <f>Data!N342</f>
        <v>-54218000000</v>
      </c>
      <c r="F342" s="14">
        <f>Data!G342</f>
        <v>6708375000000</v>
      </c>
      <c r="G342" s="12">
        <f t="shared" si="5"/>
        <v>-8.0821361358003989E-3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Data!N343</f>
        <v>0</v>
      </c>
      <c r="F343" s="14">
        <f>Data!G343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Data!N344</f>
        <v>0</v>
      </c>
      <c r="F344" s="14">
        <f>Data!G344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Data!N345</f>
        <v>1302115000000</v>
      </c>
      <c r="F345" s="14">
        <f>Data!G345</f>
        <v>25983699000000</v>
      </c>
      <c r="G345" s="12">
        <f t="shared" si="5"/>
        <v>5.0112764930043255E-2</v>
      </c>
    </row>
    <row r="346" spans="2:7" ht="15" customHeight="1" x14ac:dyDescent="0.3">
      <c r="C346" s="3"/>
      <c r="D346" s="8">
        <v>2017</v>
      </c>
      <c r="E346" s="14">
        <f>Data!N346</f>
        <v>1006645000000</v>
      </c>
      <c r="F346" s="14">
        <f>Data!G346</f>
        <v>30228537000000</v>
      </c>
      <c r="G346" s="12">
        <f t="shared" si="5"/>
        <v>3.3301148514068013E-2</v>
      </c>
    </row>
    <row r="347" spans="2:7" ht="15" customHeight="1" x14ac:dyDescent="0.3">
      <c r="C347" s="3"/>
      <c r="D347" s="8">
        <v>2018</v>
      </c>
      <c r="E347" s="14">
        <f>Data!N347</f>
        <v>946651000000</v>
      </c>
      <c r="F347" s="14">
        <f>Data!G347</f>
        <v>29576153000000</v>
      </c>
      <c r="G347" s="12">
        <f t="shared" si="5"/>
        <v>3.2007239075345598E-2</v>
      </c>
    </row>
    <row r="348" spans="2:7" ht="15" customHeight="1" x14ac:dyDescent="0.3">
      <c r="C348" s="3"/>
      <c r="D348" s="8">
        <v>2019</v>
      </c>
      <c r="E348" s="14">
        <f>Data!N348</f>
        <v>1003845000000</v>
      </c>
      <c r="F348" s="14">
        <f>Data!G348</f>
        <v>32753111000000</v>
      </c>
      <c r="G348" s="12">
        <f t="shared" si="5"/>
        <v>3.0648844318941184E-2</v>
      </c>
    </row>
    <row r="349" spans="2:7" ht="15" customHeight="1" x14ac:dyDescent="0.3">
      <c r="C349" s="3"/>
      <c r="D349" s="8">
        <v>2020</v>
      </c>
      <c r="E349" s="14">
        <f>Data!N349</f>
        <v>1002166000000</v>
      </c>
      <c r="F349" s="14">
        <f>Data!G349</f>
        <v>37555991000000</v>
      </c>
      <c r="G349" s="12">
        <f t="shared" si="5"/>
        <v>2.6684584092056044E-2</v>
      </c>
    </row>
    <row r="350" spans="2:7" ht="15" customHeight="1" x14ac:dyDescent="0.3">
      <c r="C350" s="3"/>
      <c r="D350" s="8">
        <v>2021</v>
      </c>
      <c r="E350" s="14">
        <f>Data!N350</f>
        <v>1035604000000</v>
      </c>
      <c r="F350" s="14">
        <f>Data!G350</f>
        <v>41079324000000</v>
      </c>
      <c r="G350" s="12">
        <f t="shared" si="5"/>
        <v>2.5209859831189042E-2</v>
      </c>
    </row>
    <row r="351" spans="2:7" ht="15" customHeight="1" x14ac:dyDescent="0.3">
      <c r="C351" s="3"/>
      <c r="D351" s="8">
        <v>2022</v>
      </c>
      <c r="E351" s="14">
        <f>Data!N351</f>
        <v>1171814000000</v>
      </c>
      <c r="F351" s="14">
        <f>Data!G351</f>
        <v>40154026000000</v>
      </c>
      <c r="G351" s="12">
        <f t="shared" si="5"/>
        <v>2.9182976571265853E-2</v>
      </c>
    </row>
    <row r="352" spans="2:7" ht="15" customHeight="1" x14ac:dyDescent="0.3">
      <c r="C352" s="3"/>
      <c r="D352" s="8">
        <v>2023</v>
      </c>
      <c r="E352" s="14">
        <f>Data!N352</f>
        <v>1327060000000</v>
      </c>
      <c r="F352" s="14">
        <f>Data!G352</f>
        <v>41114473000000</v>
      </c>
      <c r="G352" s="12">
        <f t="shared" si="5"/>
        <v>3.2277198348134001E-2</v>
      </c>
    </row>
    <row r="353" spans="2:7" ht="15" customHeight="1" x14ac:dyDescent="0.3">
      <c r="C353" s="3"/>
      <c r="D353" s="8">
        <v>2024</v>
      </c>
      <c r="E353" s="14">
        <f>Data!N353</f>
        <v>1302294000000</v>
      </c>
      <c r="F353" s="14">
        <f>Data!G353</f>
        <v>41914379000000</v>
      </c>
      <c r="G353" s="12">
        <f t="shared" si="5"/>
        <v>3.1070339846857805E-2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Data!N356</f>
        <v>136930000</v>
      </c>
      <c r="F354" s="14">
        <f>Data!G356</f>
        <v>100237930000</v>
      </c>
      <c r="G354" s="12">
        <f t="shared" si="5"/>
        <v>1.3660497578112398E-3</v>
      </c>
    </row>
    <row r="355" spans="2:7" ht="15" customHeight="1" x14ac:dyDescent="0.3">
      <c r="C355" s="3"/>
      <c r="D355" s="8">
        <v>2015</v>
      </c>
      <c r="E355" s="14">
        <f>Data!N357</f>
        <v>11416180000</v>
      </c>
      <c r="F355" s="14">
        <f>Data!F357</f>
        <v>26155719999.999996</v>
      </c>
      <c r="G355" s="12">
        <f t="shared" si="5"/>
        <v>0.43646972822770702</v>
      </c>
    </row>
    <row r="356" spans="2:7" ht="15" customHeight="1" x14ac:dyDescent="0.3">
      <c r="C356" s="3"/>
      <c r="D356" s="8">
        <v>2016</v>
      </c>
      <c r="E356" s="14" t="e">
        <f>Data!#REF!</f>
        <v>#REF!</v>
      </c>
      <c r="F356" s="14" t="e">
        <f>Data!#REF!</f>
        <v>#REF!</v>
      </c>
      <c r="G356" s="12">
        <f t="shared" si="5"/>
        <v>0</v>
      </c>
    </row>
    <row r="357" spans="2:7" ht="15" customHeight="1" x14ac:dyDescent="0.3">
      <c r="C357" s="3"/>
      <c r="D357" s="8">
        <v>2017</v>
      </c>
      <c r="E357" s="14" t="e">
        <f>Data!#REF!</f>
        <v>#REF!</v>
      </c>
      <c r="F357" s="14" t="e">
        <f>Data!#REF!</f>
        <v>#REF!</v>
      </c>
      <c r="G357" s="12">
        <f t="shared" si="5"/>
        <v>0</v>
      </c>
    </row>
    <row r="358" spans="2:7" ht="15" customHeight="1" x14ac:dyDescent="0.3">
      <c r="C358" s="3"/>
      <c r="D358" s="8">
        <v>2018</v>
      </c>
      <c r="E358" s="14">
        <f>Data!N358</f>
        <v>17999000000</v>
      </c>
      <c r="F358" s="14">
        <f>Data!G358</f>
        <v>1679206000000</v>
      </c>
      <c r="G358" s="12">
        <f t="shared" si="5"/>
        <v>1.0718756364615181E-2</v>
      </c>
    </row>
    <row r="359" spans="2:7" ht="15" customHeight="1" x14ac:dyDescent="0.3">
      <c r="C359" s="3"/>
      <c r="D359" s="8">
        <v>2019</v>
      </c>
      <c r="E359" s="14">
        <f>Data!N359</f>
        <v>37346000000</v>
      </c>
      <c r="F359" s="14">
        <f>Data!G359</f>
        <v>1939912000000</v>
      </c>
      <c r="G359" s="12">
        <f t="shared" si="5"/>
        <v>1.9251388722787425E-2</v>
      </c>
    </row>
    <row r="360" spans="2:7" ht="15" customHeight="1" x14ac:dyDescent="0.3">
      <c r="C360" s="3"/>
      <c r="D360" s="8">
        <v>2020</v>
      </c>
      <c r="E360" s="14">
        <f>Data!N360</f>
        <v>-312516000000</v>
      </c>
      <c r="F360" s="14">
        <f>Data!G360</f>
        <v>1342235000000</v>
      </c>
      <c r="G360" s="12">
        <f t="shared" si="5"/>
        <v>-0.23283255167686731</v>
      </c>
    </row>
    <row r="361" spans="2:7" ht="15" customHeight="1" x14ac:dyDescent="0.3">
      <c r="C361" s="3"/>
      <c r="D361" s="8">
        <v>2021</v>
      </c>
      <c r="E361" s="14">
        <f>Data!N361</f>
        <v>59556000000</v>
      </c>
      <c r="F361" s="14">
        <f>Data!G361</f>
        <v>1434941000000</v>
      </c>
      <c r="G361" s="12">
        <f t="shared" si="5"/>
        <v>4.1504145466608036E-2</v>
      </c>
    </row>
    <row r="362" spans="2:7" ht="15" customHeight="1" x14ac:dyDescent="0.3">
      <c r="C362" s="3"/>
      <c r="D362" s="8">
        <v>2022</v>
      </c>
      <c r="E362" s="14">
        <f>Data!N362</f>
        <v>-88798000000</v>
      </c>
      <c r="F362" s="14">
        <f>Data!G362</f>
        <v>1681509000000</v>
      </c>
      <c r="G362" s="12">
        <f t="shared" si="5"/>
        <v>-5.2808519014765902E-2</v>
      </c>
    </row>
    <row r="363" spans="2:7" ht="15" customHeight="1" x14ac:dyDescent="0.3">
      <c r="C363" s="3"/>
      <c r="D363" s="8">
        <v>2023</v>
      </c>
      <c r="E363" s="14">
        <f>Data!N363</f>
        <v>1140000000</v>
      </c>
      <c r="F363" s="14">
        <f>Data!G363</f>
        <v>1752173000000</v>
      </c>
      <c r="G363" s="12">
        <f t="shared" si="5"/>
        <v>6.5062068642765297E-4</v>
      </c>
    </row>
    <row r="364" spans="2:7" ht="15" customHeight="1" x14ac:dyDescent="0.3">
      <c r="C364" s="3"/>
      <c r="D364" s="8">
        <v>2024</v>
      </c>
      <c r="E364" s="14">
        <f>Data!N364</f>
        <v>47962000000</v>
      </c>
      <c r="F364" s="14">
        <f>Data!G364</f>
        <v>1434685000000</v>
      </c>
      <c r="G364" s="12">
        <f t="shared" si="5"/>
        <v>3.3430334881873025E-2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Data!N365</f>
        <v>0</v>
      </c>
      <c r="F365" s="14">
        <f>Data!G365</f>
        <v>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Data!N366</f>
        <v>191182000000</v>
      </c>
      <c r="F366" s="14">
        <f>Data!G366</f>
        <v>9915762000000</v>
      </c>
      <c r="G366" s="12">
        <f t="shared" si="5"/>
        <v>1.9280616053511571E-2</v>
      </c>
    </row>
    <row r="367" spans="2:7" ht="15" customHeight="1" x14ac:dyDescent="0.3">
      <c r="C367" s="3"/>
      <c r="D367" s="8">
        <v>2016</v>
      </c>
      <c r="E367" s="14">
        <f>Data!N367</f>
        <v>131395000000</v>
      </c>
      <c r="F367" s="14">
        <f>Data!G367</f>
        <v>13069215000000</v>
      </c>
      <c r="G367" s="12">
        <f t="shared" si="5"/>
        <v>1.0053779052529169E-2</v>
      </c>
    </row>
    <row r="368" spans="2:7" ht="15" customHeight="1" x14ac:dyDescent="0.3">
      <c r="C368" s="3"/>
      <c r="D368" s="8">
        <v>2017</v>
      </c>
      <c r="E368" s="14">
        <f>Data!N368</f>
        <v>473479000000</v>
      </c>
      <c r="F368" s="14">
        <f>Data!G368</f>
        <v>15733814000000</v>
      </c>
      <c r="G368" s="12">
        <f t="shared" si="5"/>
        <v>3.0093084868042803E-2</v>
      </c>
    </row>
    <row r="369" spans="2:7" ht="15" customHeight="1" x14ac:dyDescent="0.3">
      <c r="C369" s="3"/>
      <c r="D369" s="8">
        <v>2018</v>
      </c>
      <c r="E369" s="14">
        <f>Data!N369</f>
        <v>-38211000000</v>
      </c>
      <c r="F369" s="14">
        <f>Data!G369</f>
        <v>16472664000000</v>
      </c>
      <c r="G369" s="12">
        <f t="shared" si="5"/>
        <v>-2.3196612278378287E-3</v>
      </c>
    </row>
    <row r="370" spans="2:7" ht="15" customHeight="1" x14ac:dyDescent="0.3">
      <c r="C370" s="3"/>
      <c r="D370" s="8">
        <v>2019</v>
      </c>
      <c r="E370" s="14">
        <f>Data!N370</f>
        <v>434958000000</v>
      </c>
      <c r="F370" s="14">
        <f>Data!G370</f>
        <v>17356774000000</v>
      </c>
      <c r="G370" s="12">
        <f t="shared" si="5"/>
        <v>2.5059841189382311E-2</v>
      </c>
    </row>
    <row r="371" spans="2:7" ht="15" customHeight="1" x14ac:dyDescent="0.3">
      <c r="C371" s="3"/>
      <c r="D371" s="8">
        <v>2020</v>
      </c>
      <c r="E371" s="14">
        <f>Data!N371</f>
        <v>319807000000</v>
      </c>
      <c r="F371" s="14">
        <f>Data!G371</f>
        <v>19539925000000</v>
      </c>
      <c r="G371" s="12">
        <f t="shared" si="5"/>
        <v>1.6366848900392403E-2</v>
      </c>
    </row>
    <row r="372" spans="2:7" ht="15" customHeight="1" x14ac:dyDescent="0.3">
      <c r="C372" s="3"/>
      <c r="D372" s="8">
        <v>2021</v>
      </c>
      <c r="E372" s="14">
        <f>Data!N372</f>
        <v>83874000000</v>
      </c>
      <c r="F372" s="14">
        <f>Data!G372</f>
        <v>21685279000000</v>
      </c>
      <c r="G372" s="12">
        <f t="shared" si="5"/>
        <v>3.8677851458586258E-3</v>
      </c>
    </row>
    <row r="373" spans="2:7" ht="15" customHeight="1" x14ac:dyDescent="0.3">
      <c r="C373" s="3"/>
      <c r="D373" s="8">
        <v>2022</v>
      </c>
      <c r="E373" s="14">
        <f>Data!N374</f>
        <v>369689000000</v>
      </c>
      <c r="F373" s="14">
        <f>Data!G374</f>
        <v>23602266000000</v>
      </c>
      <c r="G373" s="12">
        <f t="shared" si="5"/>
        <v>1.5663284194831123E-2</v>
      </c>
    </row>
    <row r="374" spans="2:7" ht="15" customHeight="1" x14ac:dyDescent="0.3">
      <c r="C374" s="3"/>
      <c r="D374" s="8">
        <v>2023</v>
      </c>
      <c r="E374" s="14" t="e">
        <f>Data!#REF!</f>
        <v>#REF!</v>
      </c>
      <c r="F374" s="14" t="e">
        <f>Data!#REF!</f>
        <v>#REF!</v>
      </c>
      <c r="G374" s="12">
        <f t="shared" si="5"/>
        <v>0</v>
      </c>
    </row>
    <row r="375" spans="2:7" ht="15" customHeight="1" x14ac:dyDescent="0.3">
      <c r="C375" s="3"/>
      <c r="D375" s="8">
        <v>2024</v>
      </c>
      <c r="E375" s="14">
        <f>Data!N375</f>
        <v>67857000000</v>
      </c>
      <c r="F375" s="14">
        <f>Data!G375</f>
        <v>25240685000000</v>
      </c>
      <c r="G375" s="12">
        <f t="shared" si="5"/>
        <v>2.6883977197924699E-3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Data!N376</f>
        <v>0</v>
      </c>
      <c r="F376" s="14">
        <f>Data!G376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Data!N377</f>
        <v>0</v>
      </c>
      <c r="F377" s="14">
        <f>Data!G377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Data!N378</f>
        <v>0</v>
      </c>
      <c r="F378" s="14">
        <f>Data!G378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Data!N379</f>
        <v>0</v>
      </c>
      <c r="F379" s="14">
        <f>Data!G379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Data!N380</f>
        <v>0</v>
      </c>
      <c r="F380" s="14">
        <f>Data!G380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Data!N381</f>
        <v>0</v>
      </c>
      <c r="F381" s="14">
        <f>Data!G381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Data!N382</f>
        <v>91793730000</v>
      </c>
      <c r="F382" s="14">
        <f>Data!G382</f>
        <v>6861957190000</v>
      </c>
      <c r="G382" s="12">
        <f t="shared" si="5"/>
        <v>1.3377193628338564E-2</v>
      </c>
    </row>
    <row r="383" spans="2:7" ht="15" customHeight="1" x14ac:dyDescent="0.3">
      <c r="C383" s="3"/>
      <c r="D383" s="8">
        <v>2021</v>
      </c>
      <c r="E383" s="14">
        <f>Data!N383</f>
        <v>135306810000</v>
      </c>
      <c r="F383" s="14">
        <f>Data!G383</f>
        <v>6975768190000</v>
      </c>
      <c r="G383" s="12">
        <f t="shared" si="5"/>
        <v>1.9396689556566243E-2</v>
      </c>
    </row>
    <row r="384" spans="2:7" ht="15" customHeight="1" x14ac:dyDescent="0.3">
      <c r="C384" s="3"/>
      <c r="D384" s="8">
        <v>2022</v>
      </c>
      <c r="E384" s="14">
        <f>Data!N384</f>
        <v>48387010000</v>
      </c>
      <c r="F384" s="14">
        <f>Data!G384</f>
        <v>6087701790000</v>
      </c>
      <c r="G384" s="12">
        <f t="shared" si="5"/>
        <v>7.9483213319488169E-3</v>
      </c>
    </row>
    <row r="385" spans="2:7" ht="15" customHeight="1" x14ac:dyDescent="0.3">
      <c r="C385" s="3"/>
      <c r="D385" s="8">
        <v>2023</v>
      </c>
      <c r="E385" s="14">
        <f>Data!N385</f>
        <v>52443750000</v>
      </c>
      <c r="F385" s="14">
        <f>Data!G385</f>
        <v>4352235559999.9995</v>
      </c>
      <c r="G385" s="12">
        <f t="shared" si="5"/>
        <v>1.2049841805897106E-2</v>
      </c>
    </row>
    <row r="386" spans="2:7" ht="15" customHeight="1" x14ac:dyDescent="0.3">
      <c r="C386" s="3"/>
      <c r="D386" s="8">
        <v>2024</v>
      </c>
      <c r="E386" s="14">
        <f>Data!N386</f>
        <v>-160522730000</v>
      </c>
      <c r="F386" s="14">
        <f>Data!G386</f>
        <v>4260842769999.9995</v>
      </c>
      <c r="G386" s="12">
        <f t="shared" si="5"/>
        <v>-3.7673938857875296E-2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Data!N387</f>
        <v>0</v>
      </c>
      <c r="F387" s="14">
        <f>Data!G387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Data!N388</f>
        <v>0</v>
      </c>
      <c r="F388" s="14">
        <f>Data!G388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Data!N389</f>
        <v>364720000</v>
      </c>
      <c r="F389" s="14">
        <f>Data!G389</f>
        <v>53760200000</v>
      </c>
      <c r="G389" s="12">
        <f t="shared" si="6"/>
        <v>6.7842009516333648E-3</v>
      </c>
    </row>
    <row r="390" spans="2:7" ht="15" customHeight="1" x14ac:dyDescent="0.3">
      <c r="C390" s="4"/>
      <c r="D390" s="8">
        <v>2017</v>
      </c>
      <c r="E390" s="14">
        <f>Data!N390</f>
        <v>3849220000</v>
      </c>
      <c r="F390" s="14">
        <f>Data!G390</f>
        <v>778476670000</v>
      </c>
      <c r="G390" s="12">
        <f t="shared" si="6"/>
        <v>4.9445540866369184E-3</v>
      </c>
    </row>
    <row r="391" spans="2:7" ht="15" customHeight="1" x14ac:dyDescent="0.3">
      <c r="C391" s="4"/>
      <c r="D391" s="8">
        <v>2018</v>
      </c>
      <c r="E391" s="14">
        <f>Data!N391</f>
        <v>14352550000</v>
      </c>
      <c r="F391" s="14">
        <f>Data!G391</f>
        <v>1964847040000</v>
      </c>
      <c r="G391" s="12">
        <f t="shared" si="6"/>
        <v>7.3046653036156952E-3</v>
      </c>
    </row>
    <row r="392" spans="2:7" ht="15" customHeight="1" x14ac:dyDescent="0.3">
      <c r="C392" s="4"/>
      <c r="D392" s="8">
        <v>2019</v>
      </c>
      <c r="E392" s="14">
        <f>Data!N392</f>
        <v>-20783310000</v>
      </c>
      <c r="F392" s="14">
        <f>Data!G392</f>
        <v>3207673580000</v>
      </c>
      <c r="G392" s="12">
        <f t="shared" si="6"/>
        <v>-6.4792471807558422E-3</v>
      </c>
    </row>
    <row r="393" spans="2:7" ht="15" customHeight="1" x14ac:dyDescent="0.3">
      <c r="C393" s="4"/>
      <c r="D393" s="8">
        <v>2020</v>
      </c>
      <c r="E393" s="14">
        <f>Data!N393</f>
        <v>24416240000</v>
      </c>
      <c r="F393" s="14">
        <f>Data!G393</f>
        <v>3055349430000</v>
      </c>
      <c r="G393" s="12">
        <f t="shared" si="6"/>
        <v>7.9913085424078642E-3</v>
      </c>
    </row>
    <row r="394" spans="2:7" ht="15" customHeight="1" x14ac:dyDescent="0.3">
      <c r="C394" s="4"/>
      <c r="D394" s="8">
        <v>2021</v>
      </c>
      <c r="E394" s="14">
        <f>Data!N394</f>
        <v>-16015990000</v>
      </c>
      <c r="F394" s="14">
        <f>Data!G394</f>
        <v>3988679990000</v>
      </c>
      <c r="G394" s="12">
        <f t="shared" si="6"/>
        <v>-4.0153609816163767E-3</v>
      </c>
    </row>
    <row r="395" spans="2:7" ht="15" customHeight="1" x14ac:dyDescent="0.3">
      <c r="C395" s="4"/>
      <c r="D395" s="8">
        <v>2022</v>
      </c>
      <c r="E395" s="14">
        <f>Data!N395</f>
        <v>660160000</v>
      </c>
      <c r="F395" s="14">
        <f>Data!G395</f>
        <v>4245491780000.0005</v>
      </c>
      <c r="G395" s="12">
        <f t="shared" si="6"/>
        <v>1.554967090290774E-4</v>
      </c>
    </row>
    <row r="396" spans="2:7" ht="15" customHeight="1" x14ac:dyDescent="0.3">
      <c r="C396" s="4"/>
      <c r="D396" s="8">
        <v>2023</v>
      </c>
      <c r="E396" s="14">
        <f>Data!N396</f>
        <v>47095890000</v>
      </c>
      <c r="F396" s="14">
        <f>Data!G396</f>
        <v>3240789950000</v>
      </c>
      <c r="G396" s="12">
        <f t="shared" si="6"/>
        <v>1.4532225391528384E-2</v>
      </c>
    </row>
    <row r="397" spans="2:7" ht="15" customHeight="1" x14ac:dyDescent="0.3">
      <c r="C397" s="4"/>
      <c r="D397" s="8">
        <v>2024</v>
      </c>
      <c r="E397" s="14">
        <f>Data!N397</f>
        <v>0</v>
      </c>
      <c r="F397" s="14">
        <f>Data!G397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Data!N398</f>
        <v>0</v>
      </c>
      <c r="F398" s="14">
        <f>Data!G398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Data!N399</f>
        <v>0</v>
      </c>
      <c r="F399" s="14">
        <f>Data!G399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Data!N400</f>
        <v>0</v>
      </c>
      <c r="F400" s="14">
        <f>Data!G400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Data!N401</f>
        <v>-23649080000</v>
      </c>
      <c r="F401" s="14">
        <f>Data!G401</f>
        <v>140505220000</v>
      </c>
      <c r="G401" s="12">
        <f t="shared" si="6"/>
        <v>-0.16831460069597415</v>
      </c>
    </row>
    <row r="402" spans="2:7" ht="15" customHeight="1" x14ac:dyDescent="0.3">
      <c r="C402" s="3"/>
      <c r="D402" s="8">
        <v>2018</v>
      </c>
      <c r="E402" s="14">
        <f>Data!N402</f>
        <v>-22824050000</v>
      </c>
      <c r="F402" s="14">
        <f>Data!G402</f>
        <v>143642400000</v>
      </c>
      <c r="G402" s="12">
        <f t="shared" si="6"/>
        <v>-0.15889493631406881</v>
      </c>
    </row>
    <row r="403" spans="2:7" ht="15" customHeight="1" x14ac:dyDescent="0.3">
      <c r="C403" s="3"/>
      <c r="D403" s="8">
        <v>2019</v>
      </c>
      <c r="E403" s="14">
        <f>Data!N403</f>
        <v>-33770430000</v>
      </c>
      <c r="F403" s="14">
        <f>Data!G403</f>
        <v>157594280000</v>
      </c>
      <c r="G403" s="12">
        <f t="shared" si="6"/>
        <v>-0.21428715559980985</v>
      </c>
    </row>
    <row r="404" spans="2:7" ht="15" customHeight="1" x14ac:dyDescent="0.3">
      <c r="C404" s="3"/>
      <c r="D404" s="8">
        <v>2020</v>
      </c>
      <c r="E404" s="14">
        <f>Data!N404</f>
        <v>-31624440000</v>
      </c>
      <c r="F404" s="14">
        <f>Data!G404</f>
        <v>169752220000</v>
      </c>
      <c r="G404" s="12">
        <f t="shared" si="6"/>
        <v>-0.18629765195412468</v>
      </c>
    </row>
    <row r="405" spans="2:7" ht="15" customHeight="1" x14ac:dyDescent="0.3">
      <c r="C405" s="3"/>
      <c r="D405" s="8">
        <v>2021</v>
      </c>
      <c r="E405" s="14">
        <f>Data!N405</f>
        <v>-24154450000</v>
      </c>
      <c r="F405" s="14">
        <f>Data!G405</f>
        <v>171563860000</v>
      </c>
      <c r="G405" s="12">
        <f t="shared" si="6"/>
        <v>-0.14078984933073901</v>
      </c>
    </row>
    <row r="406" spans="2:7" ht="15" customHeight="1" x14ac:dyDescent="0.3">
      <c r="C406" s="3"/>
      <c r="D406" s="8">
        <v>2022</v>
      </c>
      <c r="E406" s="14">
        <f>Data!N406</f>
        <v>-23184920000</v>
      </c>
      <c r="F406" s="14">
        <f>Data!G406</f>
        <v>176564460000</v>
      </c>
      <c r="G406" s="12">
        <f t="shared" si="6"/>
        <v>-0.13131136356659773</v>
      </c>
    </row>
    <row r="407" spans="2:7" ht="15" customHeight="1" x14ac:dyDescent="0.3">
      <c r="C407" s="3"/>
      <c r="D407" s="8">
        <v>2023</v>
      </c>
      <c r="E407" s="14">
        <f>Data!N407</f>
        <v>-34996390000</v>
      </c>
      <c r="F407" s="14">
        <f>Data!G407</f>
        <v>181228690000</v>
      </c>
      <c r="G407" s="12">
        <f t="shared" si="6"/>
        <v>-0.19310623500065027</v>
      </c>
    </row>
    <row r="408" spans="2:7" ht="15" customHeight="1" x14ac:dyDescent="0.3">
      <c r="C408" s="3"/>
      <c r="D408" s="8">
        <v>2024</v>
      </c>
      <c r="E408" s="14">
        <f>Data!N408</f>
        <v>-36679000000</v>
      </c>
      <c r="F408" s="14">
        <f>Data!G408</f>
        <v>207086000000</v>
      </c>
      <c r="G408" s="12">
        <f t="shared" si="6"/>
        <v>-0.17711965077310876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Data!N409</f>
        <v>0</v>
      </c>
      <c r="F409" s="14">
        <f>Data!G409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Data!N410</f>
        <v>0</v>
      </c>
      <c r="F410" s="14">
        <f>Data!G410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Data!N411</f>
        <v>0</v>
      </c>
      <c r="F411" s="14">
        <f>Data!G411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Data!N412</f>
        <v>850000000</v>
      </c>
      <c r="F412" s="14">
        <f>Data!G412</f>
        <v>107161000000</v>
      </c>
      <c r="G412" s="12">
        <f t="shared" si="6"/>
        <v>7.9319901829956792E-3</v>
      </c>
    </row>
    <row r="413" spans="2:7" ht="15" customHeight="1" x14ac:dyDescent="0.3">
      <c r="C413" s="3"/>
      <c r="D413" s="8">
        <v>2018</v>
      </c>
      <c r="E413" s="14">
        <f>Data!N413</f>
        <v>-10827000000</v>
      </c>
      <c r="F413" s="14">
        <f>Data!G413</f>
        <v>382472000000</v>
      </c>
      <c r="G413" s="12">
        <f t="shared" si="6"/>
        <v>-2.830795456922337E-2</v>
      </c>
    </row>
    <row r="414" spans="2:7" ht="15" customHeight="1" x14ac:dyDescent="0.3">
      <c r="C414" s="3"/>
      <c r="D414" s="8">
        <v>2019</v>
      </c>
      <c r="E414" s="14">
        <f>Data!N414</f>
        <v>-31964000000</v>
      </c>
      <c r="F414" s="14">
        <f>Data!G414</f>
        <v>387737000000</v>
      </c>
      <c r="G414" s="12">
        <f t="shared" si="6"/>
        <v>-8.2437322205515598E-2</v>
      </c>
    </row>
    <row r="415" spans="2:7" ht="15" customHeight="1" x14ac:dyDescent="0.3">
      <c r="C415" s="3"/>
      <c r="D415" s="8">
        <v>2020</v>
      </c>
      <c r="E415" s="14">
        <f>Data!N415</f>
        <v>-28340000000</v>
      </c>
      <c r="F415" s="14">
        <f>Data!G415</f>
        <v>449491000000</v>
      </c>
      <c r="G415" s="12">
        <f t="shared" si="6"/>
        <v>-6.3049093307763676E-2</v>
      </c>
    </row>
    <row r="416" spans="2:7" ht="15" customHeight="1" x14ac:dyDescent="0.3">
      <c r="C416" s="3"/>
      <c r="D416" s="8">
        <v>2021</v>
      </c>
      <c r="E416" s="14">
        <f>Data!N416</f>
        <v>-23823000000</v>
      </c>
      <c r="F416" s="14">
        <f>Data!G416</f>
        <v>425122000000</v>
      </c>
      <c r="G416" s="12">
        <f t="shared" si="6"/>
        <v>-5.6038031435681993E-2</v>
      </c>
    </row>
    <row r="417" spans="2:7" ht="15" customHeight="1" x14ac:dyDescent="0.3">
      <c r="C417" s="3"/>
      <c r="D417" s="8">
        <v>2022</v>
      </c>
      <c r="E417" s="14">
        <f>Data!N417</f>
        <v>-36004000000</v>
      </c>
      <c r="F417" s="14">
        <f>Data!G417</f>
        <v>392960000000</v>
      </c>
      <c r="G417" s="12">
        <f t="shared" si="6"/>
        <v>-9.1622557003257332E-2</v>
      </c>
    </row>
    <row r="418" spans="2:7" ht="15" customHeight="1" x14ac:dyDescent="0.3">
      <c r="C418" s="3"/>
      <c r="D418" s="8">
        <v>2023</v>
      </c>
      <c r="E418" s="14">
        <f>Data!N418</f>
        <v>-50202000000</v>
      </c>
      <c r="F418" s="14">
        <f>Data!G418</f>
        <v>377348000000</v>
      </c>
      <c r="G418" s="12">
        <f t="shared" si="6"/>
        <v>-0.13303899848415787</v>
      </c>
    </row>
    <row r="419" spans="2:7" ht="15" customHeight="1" x14ac:dyDescent="0.3">
      <c r="C419" s="3"/>
      <c r="D419" s="8">
        <v>2024</v>
      </c>
      <c r="E419" s="14">
        <f>Data!N419</f>
        <v>-49633000000</v>
      </c>
      <c r="F419" s="14">
        <f>Data!G419</f>
        <v>378530000000</v>
      </c>
      <c r="G419" s="12">
        <f t="shared" si="6"/>
        <v>-0.13112038675930573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Data!N420</f>
        <v>0</v>
      </c>
      <c r="F420" s="14">
        <f>Data!G420</f>
        <v>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Data!N421</f>
        <v>-54770000000</v>
      </c>
      <c r="F421" s="14">
        <f>Data!G421</f>
        <v>1642577000000</v>
      </c>
      <c r="G421" s="12">
        <f t="shared" si="6"/>
        <v>-3.3343946737352345E-2</v>
      </c>
    </row>
    <row r="422" spans="2:7" ht="15" customHeight="1" x14ac:dyDescent="0.3">
      <c r="C422" s="3"/>
      <c r="D422" s="8">
        <v>2016</v>
      </c>
      <c r="E422" s="14">
        <f>Data!N422</f>
        <v>-21632000000</v>
      </c>
      <c r="F422" s="14">
        <f>Data!G422</f>
        <v>2028209000000</v>
      </c>
      <c r="G422" s="12">
        <f t="shared" si="6"/>
        <v>-1.0665567503151795E-2</v>
      </c>
    </row>
    <row r="423" spans="2:7" ht="15" customHeight="1" x14ac:dyDescent="0.3">
      <c r="C423" s="3"/>
      <c r="D423" s="8">
        <v>2017</v>
      </c>
      <c r="E423" s="14">
        <f>Data!N423</f>
        <v>124439000000</v>
      </c>
      <c r="F423" s="14">
        <f>Data!G423</f>
        <v>2626619000000</v>
      </c>
      <c r="G423" s="12">
        <f t="shared" si="6"/>
        <v>4.7376113551299219E-2</v>
      </c>
    </row>
    <row r="424" spans="2:7" ht="15" customHeight="1" x14ac:dyDescent="0.3">
      <c r="C424" s="3"/>
      <c r="D424" s="8">
        <v>2018</v>
      </c>
      <c r="E424" s="14">
        <f>Data!N435</f>
        <v>25061000000</v>
      </c>
      <c r="F424" s="14">
        <f>Data!G435</f>
        <v>2378498000000</v>
      </c>
      <c r="G424" s="12">
        <f t="shared" si="6"/>
        <v>1.0536481426513707E-2</v>
      </c>
    </row>
    <row r="425" spans="2:7" ht="15" customHeight="1" x14ac:dyDescent="0.3">
      <c r="C425" s="3"/>
      <c r="D425" s="8">
        <v>2019</v>
      </c>
      <c r="E425" s="14">
        <f>Data!N436</f>
        <v>43964000000</v>
      </c>
      <c r="F425" s="14">
        <f>Data!G436</f>
        <v>2492624000000</v>
      </c>
      <c r="G425" s="12">
        <f t="shared" si="6"/>
        <v>1.7637638087413105E-2</v>
      </c>
    </row>
    <row r="426" spans="2:7" ht="15" customHeight="1" x14ac:dyDescent="0.3">
      <c r="C426" s="3"/>
      <c r="D426" s="8">
        <v>2020</v>
      </c>
      <c r="E426" s="14">
        <f>Data!N437</f>
        <v>35347000000</v>
      </c>
      <c r="F426" s="14">
        <f>Data!G437</f>
        <v>2412636000000</v>
      </c>
      <c r="G426" s="12">
        <f t="shared" si="6"/>
        <v>1.465078030834324E-2</v>
      </c>
    </row>
    <row r="427" spans="2:7" ht="15" customHeight="1" x14ac:dyDescent="0.3">
      <c r="C427" s="3"/>
      <c r="D427" s="8">
        <v>2021</v>
      </c>
      <c r="E427" s="14">
        <f>Data!N438</f>
        <v>3583000000</v>
      </c>
      <c r="F427" s="14">
        <f>Data!G438</f>
        <v>2456501000000</v>
      </c>
      <c r="G427" s="12">
        <f t="shared" si="6"/>
        <v>1.4585786856997005E-3</v>
      </c>
    </row>
    <row r="428" spans="2:7" ht="15" customHeight="1" x14ac:dyDescent="0.3">
      <c r="C428" s="3"/>
      <c r="D428" s="8">
        <v>2022</v>
      </c>
      <c r="E428" s="14">
        <f>Data!N439</f>
        <v>-2476000000</v>
      </c>
      <c r="F428" s="14">
        <f>Data!G439</f>
        <v>2561445000000</v>
      </c>
      <c r="G428" s="12">
        <f t="shared" si="6"/>
        <v>-9.6664187597235158E-4</v>
      </c>
    </row>
    <row r="429" spans="2:7" ht="15" customHeight="1" x14ac:dyDescent="0.3">
      <c r="C429" s="3"/>
      <c r="D429" s="8">
        <v>2023</v>
      </c>
      <c r="E429" s="14">
        <f>Data!N440</f>
        <v>-48327000000</v>
      </c>
      <c r="F429" s="14">
        <f>Data!G440</f>
        <v>2481923000000</v>
      </c>
      <c r="G429" s="12">
        <f t="shared" si="6"/>
        <v>-1.9471595210649163E-2</v>
      </c>
    </row>
    <row r="430" spans="2:7" ht="15" customHeight="1" x14ac:dyDescent="0.3">
      <c r="C430" s="3"/>
      <c r="D430" s="8">
        <v>2024</v>
      </c>
      <c r="E430" s="14">
        <f>Data!N441</f>
        <v>209000000</v>
      </c>
      <c r="F430" s="14">
        <f>Data!G441</f>
        <v>2348307000000</v>
      </c>
      <c r="G430" s="12">
        <f t="shared" si="6"/>
        <v>8.9000288292799879E-5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Data!N431</f>
        <v>0</v>
      </c>
      <c r="F431" s="14">
        <f>Data!G431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Data!N432</f>
        <v>0</v>
      </c>
      <c r="F432" s="14">
        <f>Data!G432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Data!N433</f>
        <v>0</v>
      </c>
      <c r="F433" s="14">
        <f>Data!G433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Data!N434</f>
        <v>0</v>
      </c>
      <c r="F434" s="14">
        <f>Data!G434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 t="e">
        <f>Data!#REF!</f>
        <v>#REF!</v>
      </c>
      <c r="F435" s="14" t="e">
        <f>Data!#REF!</f>
        <v>#REF!</v>
      </c>
      <c r="G435" s="12">
        <f t="shared" si="6"/>
        <v>0</v>
      </c>
    </row>
    <row r="436" spans="2:7" ht="15" customHeight="1" x14ac:dyDescent="0.3">
      <c r="C436" s="3"/>
      <c r="D436" s="8">
        <v>2019</v>
      </c>
      <c r="E436" s="14" t="e">
        <f>Data!#REF!</f>
        <v>#REF!</v>
      </c>
      <c r="F436" s="14" t="e">
        <f>Data!#REF!</f>
        <v>#REF!</v>
      </c>
      <c r="G436" s="12">
        <f t="shared" si="6"/>
        <v>0</v>
      </c>
    </row>
    <row r="437" spans="2:7" ht="15" customHeight="1" x14ac:dyDescent="0.3">
      <c r="C437" s="3"/>
      <c r="D437" s="8">
        <v>2020</v>
      </c>
      <c r="E437" s="14" t="e">
        <f>Data!#REF!</f>
        <v>#REF!</v>
      </c>
      <c r="F437" s="14" t="e">
        <f>Data!#REF!</f>
        <v>#REF!</v>
      </c>
      <c r="G437" s="12">
        <f t="shared" si="6"/>
        <v>0</v>
      </c>
    </row>
    <row r="438" spans="2:7" ht="15" customHeight="1" x14ac:dyDescent="0.3">
      <c r="C438" s="3"/>
      <c r="D438" s="8">
        <v>2021</v>
      </c>
      <c r="E438" s="14" t="e">
        <f>Data!#REF!</f>
        <v>#REF!</v>
      </c>
      <c r="F438" s="14" t="e">
        <f>Data!#REF!</f>
        <v>#REF!</v>
      </c>
      <c r="G438" s="12">
        <f t="shared" si="6"/>
        <v>0</v>
      </c>
    </row>
    <row r="439" spans="2:7" ht="15" customHeight="1" x14ac:dyDescent="0.3">
      <c r="C439" s="3"/>
      <c r="D439" s="8">
        <v>2022</v>
      </c>
      <c r="E439" s="14" t="e">
        <f>Data!#REF!</f>
        <v>#REF!</v>
      </c>
      <c r="F439" s="14" t="e">
        <f>Data!#REF!</f>
        <v>#REF!</v>
      </c>
      <c r="G439" s="12">
        <f t="shared" si="6"/>
        <v>0</v>
      </c>
    </row>
    <row r="440" spans="2:7" ht="15" customHeight="1" x14ac:dyDescent="0.3">
      <c r="C440" s="3"/>
      <c r="D440" s="8">
        <v>2023</v>
      </c>
      <c r="E440" s="14" t="e">
        <f>Data!#REF!</f>
        <v>#REF!</v>
      </c>
      <c r="F440" s="14" t="e">
        <f>Data!#REF!</f>
        <v>#REF!</v>
      </c>
      <c r="G440" s="12">
        <f t="shared" si="6"/>
        <v>0</v>
      </c>
    </row>
    <row r="441" spans="2:7" ht="15" customHeight="1" x14ac:dyDescent="0.3">
      <c r="C441" s="3"/>
      <c r="D441" s="8">
        <v>2024</v>
      </c>
      <c r="E441" s="14" t="e">
        <f>Data!#REF!</f>
        <v>#REF!</v>
      </c>
      <c r="F441" s="14" t="e">
        <f>Data!#REF!</f>
        <v>#REF!</v>
      </c>
      <c r="G441" s="12">
        <f t="shared" si="6"/>
        <v>0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Data!N442</f>
        <v>0</v>
      </c>
      <c r="F442" s="14">
        <f>Data!G442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Data!N443</f>
        <v>0</v>
      </c>
      <c r="F443" s="14">
        <f>Data!G443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Data!N444</f>
        <v>0</v>
      </c>
      <c r="F444" s="14">
        <f>Data!G444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Data!N445</f>
        <v>0</v>
      </c>
      <c r="F445" s="14">
        <f>Data!G445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Data!N446</f>
        <v>-487947000000</v>
      </c>
      <c r="F446" s="14">
        <f>Data!G446</f>
        <v>1484207000000</v>
      </c>
      <c r="G446" s="12">
        <f t="shared" si="6"/>
        <v>-0.32875939811630051</v>
      </c>
    </row>
    <row r="447" spans="2:7" ht="15" customHeight="1" x14ac:dyDescent="0.3">
      <c r="C447" s="3"/>
      <c r="D447" s="8">
        <v>2019</v>
      </c>
      <c r="E447" s="14">
        <f>Data!N447</f>
        <v>-345388000000</v>
      </c>
      <c r="F447" s="14">
        <f>Data!G447</f>
        <v>7538924000000</v>
      </c>
      <c r="G447" s="12">
        <f t="shared" si="6"/>
        <v>-4.5813964963700389E-2</v>
      </c>
    </row>
    <row r="448" spans="2:7" ht="15" customHeight="1" x14ac:dyDescent="0.3">
      <c r="C448" s="3"/>
      <c r="D448" s="8">
        <v>2020</v>
      </c>
      <c r="E448" s="14">
        <f>Data!N448</f>
        <v>-362365000000</v>
      </c>
      <c r="F448" s="14">
        <f>Data!G448</f>
        <v>13444989000000</v>
      </c>
      <c r="G448" s="12">
        <f t="shared" si="6"/>
        <v>-2.6951676940754656E-2</v>
      </c>
    </row>
    <row r="449" spans="2:7" ht="15" customHeight="1" x14ac:dyDescent="0.3">
      <c r="C449" s="3"/>
      <c r="D449" s="8">
        <v>2021</v>
      </c>
      <c r="E449" s="14">
        <f>Data!N449</f>
        <v>-179468000000</v>
      </c>
      <c r="F449" s="14">
        <f>Data!G449</f>
        <v>13618419000000</v>
      </c>
      <c r="G449" s="12">
        <f t="shared" si="6"/>
        <v>-1.3178328556347107E-2</v>
      </c>
    </row>
    <row r="450" spans="2:7" ht="15" customHeight="1" x14ac:dyDescent="0.3">
      <c r="C450" s="3"/>
      <c r="D450" s="8">
        <v>2022</v>
      </c>
      <c r="E450" s="14">
        <f>Data!N450</f>
        <v>-390672000000</v>
      </c>
      <c r="F450" s="14">
        <f>Data!G450</f>
        <v>12421466000000</v>
      </c>
      <c r="G450" s="12">
        <f t="shared" si="6"/>
        <v>-3.145136008905873E-2</v>
      </c>
    </row>
    <row r="451" spans="2:7" ht="15" customHeight="1" x14ac:dyDescent="0.3">
      <c r="C451" s="3"/>
      <c r="D451" s="8">
        <v>2023</v>
      </c>
      <c r="E451" s="14">
        <f>Data!N451</f>
        <v>-1879916000000</v>
      </c>
      <c r="F451" s="14">
        <f>Data!G451</f>
        <v>9777097000000</v>
      </c>
      <c r="G451" s="12">
        <f t="shared" ref="G451:G514" si="7">IFERROR(E451/F451,0)</f>
        <v>-0.19227752368622303</v>
      </c>
    </row>
    <row r="452" spans="2:7" ht="15" customHeight="1" x14ac:dyDescent="0.3">
      <c r="C452" s="3"/>
      <c r="D452" s="8">
        <v>2024</v>
      </c>
      <c r="E452" s="14">
        <f>Data!N452</f>
        <v>-833046000000</v>
      </c>
      <c r="F452" s="14">
        <f>Data!G452</f>
        <v>7842866000000</v>
      </c>
      <c r="G452" s="12">
        <f t="shared" si="7"/>
        <v>-0.10621703851627709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Data!N453</f>
        <v>0</v>
      </c>
      <c r="F453" s="14">
        <f>Data!G453</f>
        <v>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Data!N454</f>
        <v>-36636610000</v>
      </c>
      <c r="F454" s="14">
        <f>Data!G454</f>
        <v>2405430040000</v>
      </c>
      <c r="G454" s="12">
        <f t="shared" si="7"/>
        <v>-1.5230794240850172E-2</v>
      </c>
    </row>
    <row r="455" spans="2:7" ht="15" customHeight="1" x14ac:dyDescent="0.3">
      <c r="C455" s="3"/>
      <c r="D455" s="8">
        <v>2016</v>
      </c>
      <c r="E455" s="14">
        <f>Data!N455</f>
        <v>-61977770000</v>
      </c>
      <c r="F455" s="14">
        <f>Data!G455</f>
        <v>2607832010000</v>
      </c>
      <c r="G455" s="12">
        <f t="shared" si="7"/>
        <v>-2.3766013210337118E-2</v>
      </c>
    </row>
    <row r="456" spans="2:7" ht="15" customHeight="1" x14ac:dyDescent="0.3">
      <c r="C456" s="3"/>
      <c r="D456" s="8">
        <v>2017</v>
      </c>
      <c r="E456" s="14">
        <f>Data!N456</f>
        <v>3425090000</v>
      </c>
      <c r="F456" s="14">
        <f>Data!G456</f>
        <v>3661165660000</v>
      </c>
      <c r="G456" s="12">
        <f t="shared" si="7"/>
        <v>9.3551898987274994E-4</v>
      </c>
    </row>
    <row r="457" spans="2:7" ht="15" customHeight="1" x14ac:dyDescent="0.3">
      <c r="C457" s="3"/>
      <c r="D457" s="8">
        <v>2018</v>
      </c>
      <c r="E457" s="14">
        <f>Data!N457</f>
        <v>-96016840000</v>
      </c>
      <c r="F457" s="14">
        <f>Data!G457</f>
        <v>4552765330000</v>
      </c>
      <c r="G457" s="12">
        <f t="shared" si="7"/>
        <v>-2.1089784568360345E-2</v>
      </c>
    </row>
    <row r="458" spans="2:7" ht="15" customHeight="1" x14ac:dyDescent="0.3">
      <c r="C458" s="3"/>
      <c r="D458" s="8">
        <v>2019</v>
      </c>
      <c r="E458" s="14">
        <f>Data!N458</f>
        <v>179690200000</v>
      </c>
      <c r="F458" s="14">
        <f>Data!G458</f>
        <v>5934705760000</v>
      </c>
      <c r="G458" s="12">
        <f t="shared" si="7"/>
        <v>3.0277861660996653E-2</v>
      </c>
    </row>
    <row r="459" spans="2:7" ht="15" customHeight="1" x14ac:dyDescent="0.3">
      <c r="C459" s="3"/>
      <c r="D459" s="8">
        <v>2020</v>
      </c>
      <c r="E459" s="14">
        <f>Data!N459</f>
        <v>102991370000</v>
      </c>
      <c r="F459" s="14">
        <f>Data!G459</f>
        <v>7033128220000</v>
      </c>
      <c r="G459" s="12">
        <f t="shared" si="7"/>
        <v>1.464374980497654E-2</v>
      </c>
    </row>
    <row r="460" spans="2:7" ht="15" customHeight="1" x14ac:dyDescent="0.3">
      <c r="C460" s="3"/>
      <c r="D460" s="8">
        <v>2021</v>
      </c>
      <c r="E460" s="14">
        <f>Data!N460</f>
        <v>-31273380000</v>
      </c>
      <c r="F460" s="14">
        <f>Data!G460</f>
        <v>8154877340000</v>
      </c>
      <c r="G460" s="12">
        <f t="shared" si="7"/>
        <v>-3.8349295392344921E-3</v>
      </c>
    </row>
    <row r="461" spans="2:7" ht="15" customHeight="1" x14ac:dyDescent="0.3">
      <c r="C461" s="3"/>
      <c r="D461" s="8">
        <v>2022</v>
      </c>
      <c r="E461" s="14">
        <f>Data!N461</f>
        <v>-403354500000</v>
      </c>
      <c r="F461" s="14">
        <f>Data!G461</f>
        <v>9927373960000</v>
      </c>
      <c r="G461" s="12">
        <f t="shared" si="7"/>
        <v>-4.0630533474937211E-2</v>
      </c>
    </row>
    <row r="462" spans="2:7" ht="15" customHeight="1" x14ac:dyDescent="0.3">
      <c r="C462" s="3"/>
      <c r="D462" s="8">
        <v>2023</v>
      </c>
      <c r="E462" s="14">
        <f>Data!N462</f>
        <v>405449950000</v>
      </c>
      <c r="F462" s="14">
        <f>Data!G462</f>
        <v>12202897890000</v>
      </c>
      <c r="G462" s="12">
        <f t="shared" si="7"/>
        <v>3.3225710290688992E-2</v>
      </c>
    </row>
    <row r="463" spans="2:7" ht="15" customHeight="1" x14ac:dyDescent="0.3">
      <c r="C463" s="3"/>
      <c r="D463" s="8">
        <v>2024</v>
      </c>
      <c r="E463" s="14">
        <f>Data!N463</f>
        <v>-99348650000</v>
      </c>
      <c r="F463" s="14">
        <f>Data!G463</f>
        <v>13904807770000</v>
      </c>
      <c r="G463" s="12">
        <f t="shared" si="7"/>
        <v>-7.144913589841019E-3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Data!N464</f>
        <v>0</v>
      </c>
      <c r="F464" s="14">
        <f>Data!G464</f>
        <v>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Data!N465</f>
        <v>-72698130000</v>
      </c>
      <c r="F465" s="14">
        <f>Data!G465</f>
        <v>397316560000</v>
      </c>
      <c r="G465" s="12">
        <f t="shared" si="7"/>
        <v>-0.18297281643634486</v>
      </c>
    </row>
    <row r="466" spans="2:7" ht="15" customHeight="1" x14ac:dyDescent="0.3">
      <c r="C466" s="3"/>
      <c r="D466" s="8">
        <v>2016</v>
      </c>
      <c r="E466" s="14">
        <f>Data!N466</f>
        <v>-131560440000</v>
      </c>
      <c r="F466" s="14">
        <f>Data!G466</f>
        <v>2179146730000</v>
      </c>
      <c r="G466" s="12">
        <f t="shared" si="7"/>
        <v>-6.0372455965826591E-2</v>
      </c>
    </row>
    <row r="467" spans="2:7" ht="15" customHeight="1" x14ac:dyDescent="0.3">
      <c r="C467" s="3"/>
      <c r="D467" s="8">
        <v>2017</v>
      </c>
      <c r="E467" s="14">
        <f>Data!N467</f>
        <v>-56928730000</v>
      </c>
      <c r="F467" s="14">
        <f>Data!G467</f>
        <v>2092063190000</v>
      </c>
      <c r="G467" s="12">
        <f t="shared" si="7"/>
        <v>-2.7211764095901904E-2</v>
      </c>
    </row>
    <row r="468" spans="2:7" ht="15" customHeight="1" x14ac:dyDescent="0.3">
      <c r="C468" s="3"/>
      <c r="D468" s="8">
        <v>2018</v>
      </c>
      <c r="E468" s="14">
        <f>Data!N468</f>
        <v>-2518050000</v>
      </c>
      <c r="F468" s="14">
        <f>Data!G468</f>
        <v>2041539070000</v>
      </c>
      <c r="G468" s="12">
        <f t="shared" si="7"/>
        <v>-1.2334076956949935E-3</v>
      </c>
    </row>
    <row r="469" spans="2:7" ht="15" customHeight="1" x14ac:dyDescent="0.3">
      <c r="C469" s="3"/>
      <c r="D469" s="8">
        <v>2019</v>
      </c>
      <c r="E469" s="14">
        <f>Data!N469</f>
        <v>28306930000</v>
      </c>
      <c r="F469" s="14">
        <f>Data!G469</f>
        <v>2042482180000</v>
      </c>
      <c r="G469" s="12">
        <f t="shared" si="7"/>
        <v>1.3859082971289375E-2</v>
      </c>
    </row>
    <row r="470" spans="2:7" ht="15" customHeight="1" x14ac:dyDescent="0.3">
      <c r="C470" s="3"/>
      <c r="D470" s="8">
        <v>2020</v>
      </c>
      <c r="E470" s="14">
        <f>Data!N470</f>
        <v>33705640000</v>
      </c>
      <c r="F470" s="14">
        <f>Data!G470</f>
        <v>2065906600000</v>
      </c>
      <c r="G470" s="12">
        <f t="shared" si="7"/>
        <v>1.6315180947676918E-2</v>
      </c>
    </row>
    <row r="471" spans="2:7" ht="15" customHeight="1" x14ac:dyDescent="0.3">
      <c r="C471" s="3"/>
      <c r="D471" s="8">
        <v>2021</v>
      </c>
      <c r="E471" s="14">
        <f>Data!N471</f>
        <v>10323500000</v>
      </c>
      <c r="F471" s="14">
        <f>Data!G471</f>
        <v>2038125650000</v>
      </c>
      <c r="G471" s="12">
        <f t="shared" si="7"/>
        <v>5.0651931101500045E-3</v>
      </c>
    </row>
    <row r="472" spans="2:7" ht="15" customHeight="1" x14ac:dyDescent="0.3">
      <c r="C472" s="3"/>
      <c r="D472" s="8">
        <v>2022</v>
      </c>
      <c r="E472" s="14">
        <f>Data!N472</f>
        <v>-65538340000</v>
      </c>
      <c r="F472" s="14">
        <f>Data!G472</f>
        <v>2063240460000</v>
      </c>
      <c r="G472" s="12">
        <f t="shared" si="7"/>
        <v>-3.1764760952778137E-2</v>
      </c>
    </row>
    <row r="473" spans="2:7" ht="15" customHeight="1" x14ac:dyDescent="0.3">
      <c r="C473" s="3"/>
      <c r="D473" s="8">
        <v>2023</v>
      </c>
      <c r="E473" s="14">
        <f>Data!N473</f>
        <v>-36842490000</v>
      </c>
      <c r="F473" s="14">
        <f>Data!G473</f>
        <v>2119874980000</v>
      </c>
      <c r="G473" s="12">
        <f t="shared" si="7"/>
        <v>-1.7379557920910976E-2</v>
      </c>
    </row>
    <row r="474" spans="2:7" ht="15" customHeight="1" x14ac:dyDescent="0.3">
      <c r="C474" s="3"/>
      <c r="D474" s="8">
        <v>2024</v>
      </c>
      <c r="E474" s="14">
        <f>Data!N474</f>
        <v>-81191580000</v>
      </c>
      <c r="F474" s="14">
        <f>Data!G474</f>
        <v>2111825970000.0002</v>
      </c>
      <c r="G474" s="12">
        <f t="shared" si="7"/>
        <v>-3.8446150939227243E-2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Data!N490</f>
        <v>-1719655000000</v>
      </c>
      <c r="F475" s="14">
        <f>Data!G490</f>
        <v>28475766000000</v>
      </c>
      <c r="G475" s="12">
        <f t="shared" si="7"/>
        <v>-6.0390122604603511E-2</v>
      </c>
    </row>
    <row r="476" spans="2:7" ht="15" customHeight="1" x14ac:dyDescent="0.3">
      <c r="C476" s="3"/>
      <c r="D476" s="8">
        <v>2015</v>
      </c>
      <c r="E476" s="14">
        <f>Data!N491</f>
        <v>1137336000000</v>
      </c>
      <c r="F476" s="14">
        <f>Data!G491</f>
        <v>32755714000000</v>
      </c>
      <c r="G476" s="12">
        <f t="shared" si="7"/>
        <v>3.472175877466753E-2</v>
      </c>
    </row>
    <row r="477" spans="2:7" ht="15" customHeight="1" x14ac:dyDescent="0.3">
      <c r="C477" s="3"/>
      <c r="D477" s="8">
        <v>2016</v>
      </c>
      <c r="E477" s="14">
        <f>Data!N477</f>
        <v>22042000000</v>
      </c>
      <c r="F477" s="14">
        <f>Data!G477</f>
        <v>802706000000</v>
      </c>
      <c r="G477" s="12">
        <f t="shared" si="7"/>
        <v>2.7459617842647246E-2</v>
      </c>
    </row>
    <row r="478" spans="2:7" ht="15" customHeight="1" x14ac:dyDescent="0.3">
      <c r="C478" s="3"/>
      <c r="D478" s="8">
        <v>2017</v>
      </c>
      <c r="E478" s="14">
        <f>Data!N478</f>
        <v>25404000000</v>
      </c>
      <c r="F478" s="14">
        <f>Data!G478</f>
        <v>978417000000</v>
      </c>
      <c r="G478" s="12">
        <f t="shared" si="7"/>
        <v>2.5964389416782415E-2</v>
      </c>
    </row>
    <row r="479" spans="2:7" ht="15" customHeight="1" x14ac:dyDescent="0.3">
      <c r="C479" s="3"/>
      <c r="D479" s="8">
        <v>2018</v>
      </c>
      <c r="E479" s="14" t="e">
        <f>Data!#REF!</f>
        <v>#REF!</v>
      </c>
      <c r="F479" s="14" t="e">
        <f>Data!#REF!</f>
        <v>#REF!</v>
      </c>
      <c r="G479" s="12">
        <f t="shared" si="7"/>
        <v>0</v>
      </c>
    </row>
    <row r="480" spans="2:7" ht="15" customHeight="1" x14ac:dyDescent="0.3">
      <c r="C480" s="3"/>
      <c r="D480" s="8">
        <v>2019</v>
      </c>
      <c r="E480" s="14" t="e">
        <f>Data!#REF!</f>
        <v>#REF!</v>
      </c>
      <c r="F480" s="14" t="e">
        <f>Data!#REF!</f>
        <v>#REF!</v>
      </c>
      <c r="G480" s="12">
        <f t="shared" si="7"/>
        <v>0</v>
      </c>
    </row>
    <row r="481" spans="2:7" ht="15" customHeight="1" x14ac:dyDescent="0.3">
      <c r="C481" s="3"/>
      <c r="D481" s="8">
        <v>2020</v>
      </c>
      <c r="E481" s="14">
        <f>Data!N481</f>
        <v>11351000000</v>
      </c>
      <c r="F481" s="14">
        <f>Data!G481</f>
        <v>1002361000000</v>
      </c>
      <c r="G481" s="12">
        <f t="shared" si="7"/>
        <v>1.1324263414079359E-2</v>
      </c>
    </row>
    <row r="482" spans="2:7" ht="15" customHeight="1" x14ac:dyDescent="0.3">
      <c r="C482" s="3"/>
      <c r="D482" s="8">
        <v>2021</v>
      </c>
      <c r="E482" s="14">
        <f>Data!N482</f>
        <v>10292000000</v>
      </c>
      <c r="F482" s="14">
        <f>Data!G482</f>
        <v>936527000000</v>
      </c>
      <c r="G482" s="12">
        <f t="shared" si="7"/>
        <v>1.0989539009553382E-2</v>
      </c>
    </row>
    <row r="483" spans="2:7" ht="15" customHeight="1" x14ac:dyDescent="0.3">
      <c r="C483" s="3"/>
      <c r="D483" s="8">
        <v>2022</v>
      </c>
      <c r="E483" s="14">
        <f>Data!N483</f>
        <v>12467000000</v>
      </c>
      <c r="F483" s="14">
        <f>Data!G483</f>
        <v>735547000000</v>
      </c>
      <c r="G483" s="12">
        <f t="shared" si="7"/>
        <v>1.6949290799908097E-2</v>
      </c>
    </row>
    <row r="484" spans="2:7" ht="15" customHeight="1" x14ac:dyDescent="0.3">
      <c r="C484" s="3"/>
      <c r="D484" s="8">
        <v>2023</v>
      </c>
      <c r="E484" s="14">
        <f>Data!N484</f>
        <v>12692000000</v>
      </c>
      <c r="F484" s="14">
        <f>Data!G484</f>
        <v>962805000000</v>
      </c>
      <c r="G484" s="12">
        <f t="shared" si="7"/>
        <v>1.3182316253031507E-2</v>
      </c>
    </row>
    <row r="485" spans="2:7" ht="15" customHeight="1" x14ac:dyDescent="0.3">
      <c r="C485" s="3"/>
      <c r="D485" s="8">
        <v>2024</v>
      </c>
      <c r="E485" s="14">
        <f>Data!N485</f>
        <v>17059000000</v>
      </c>
      <c r="F485" s="14">
        <f>Data!G485</f>
        <v>1009145000000</v>
      </c>
      <c r="G485" s="12">
        <f t="shared" si="7"/>
        <v>1.6904409178066581E-2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Data!N486</f>
        <v>0</v>
      </c>
      <c r="F486" s="14">
        <f>Data!G486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Data!N487</f>
        <v>0</v>
      </c>
      <c r="F487" s="14">
        <f>Data!G487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Data!N488</f>
        <v>0</v>
      </c>
      <c r="F488" s="14">
        <f>Data!G488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Data!N489</f>
        <v>0</v>
      </c>
      <c r="F489" s="14">
        <f>Data!G489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 t="e">
        <f>Data!#REF!</f>
        <v>#REF!</v>
      </c>
      <c r="F490" s="14" t="e">
        <f>Data!#REF!</f>
        <v>#REF!</v>
      </c>
      <c r="G490" s="12">
        <f t="shared" si="7"/>
        <v>0</v>
      </c>
    </row>
    <row r="491" spans="2:7" ht="15" customHeight="1" x14ac:dyDescent="0.3">
      <c r="C491" s="3"/>
      <c r="D491" s="8">
        <v>2019</v>
      </c>
      <c r="E491" s="14" t="e">
        <f>Data!#REF!</f>
        <v>#REF!</v>
      </c>
      <c r="F491" s="14" t="e">
        <f>Data!#REF!</f>
        <v>#REF!</v>
      </c>
      <c r="G491" s="12">
        <f t="shared" si="7"/>
        <v>0</v>
      </c>
    </row>
    <row r="492" spans="2:7" ht="15" customHeight="1" x14ac:dyDescent="0.3">
      <c r="C492" s="3"/>
      <c r="D492" s="8">
        <v>2020</v>
      </c>
      <c r="E492" s="14">
        <f>Data!N492</f>
        <v>-2050261000000</v>
      </c>
      <c r="F492" s="14">
        <f>Data!G492</f>
        <v>28980403000000</v>
      </c>
      <c r="G492" s="12">
        <f t="shared" si="7"/>
        <v>-7.0746462704469631E-2</v>
      </c>
    </row>
    <row r="493" spans="2:7" ht="15" customHeight="1" x14ac:dyDescent="0.3">
      <c r="C493" s="3"/>
      <c r="D493" s="8">
        <v>2021</v>
      </c>
      <c r="E493" s="14">
        <f>Data!N493</f>
        <v>13960484000000</v>
      </c>
      <c r="F493" s="14">
        <f>Data!G493</f>
        <v>48671323000000</v>
      </c>
      <c r="G493" s="12">
        <f t="shared" si="7"/>
        <v>0.2868318167558338</v>
      </c>
    </row>
    <row r="494" spans="2:7" ht="15" customHeight="1" x14ac:dyDescent="0.3">
      <c r="C494" s="3"/>
      <c r="D494" s="8">
        <v>2022</v>
      </c>
      <c r="E494" s="14">
        <f>Data!N494</f>
        <v>-490645000000</v>
      </c>
      <c r="F494" s="14">
        <f>Data!G494</f>
        <v>52585440000000</v>
      </c>
      <c r="G494" s="12">
        <f t="shared" si="7"/>
        <v>-9.3304344320405044E-3</v>
      </c>
    </row>
    <row r="495" spans="2:7" ht="15" customHeight="1" x14ac:dyDescent="0.3">
      <c r="C495" s="3"/>
      <c r="D495" s="8">
        <v>2023</v>
      </c>
      <c r="E495" s="14">
        <f>Data!N495</f>
        <v>-514894000000</v>
      </c>
      <c r="F495" s="14">
        <f>Data!G495</f>
        <v>55829030000000</v>
      </c>
      <c r="G495" s="12">
        <f t="shared" si="7"/>
        <v>-9.2226929251681428E-3</v>
      </c>
    </row>
    <row r="496" spans="2:7" ht="15" customHeight="1" x14ac:dyDescent="0.3">
      <c r="C496" s="3"/>
      <c r="D496" s="8">
        <v>2024</v>
      </c>
      <c r="E496" s="14">
        <f>Data!N496</f>
        <v>1026180000000</v>
      </c>
      <c r="F496" s="14">
        <f>Data!G496</f>
        <v>60598376000000</v>
      </c>
      <c r="G496" s="12">
        <f t="shared" si="7"/>
        <v>1.6934117178321741E-2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Data!N499</f>
        <v>-9442000000</v>
      </c>
      <c r="F497" s="14">
        <f>Data!G499</f>
        <v>114403000000</v>
      </c>
      <c r="G497" s="12">
        <f t="shared" si="7"/>
        <v>-8.2532800713268004E-2</v>
      </c>
    </row>
    <row r="498" spans="2:7" ht="15" customHeight="1" x14ac:dyDescent="0.3">
      <c r="C498" s="3"/>
      <c r="D498" s="8">
        <v>2015</v>
      </c>
      <c r="E498" s="14">
        <f>Data!N500</f>
        <v>-26602000000</v>
      </c>
      <c r="F498" s="14">
        <f>Data!G500</f>
        <v>137120000000</v>
      </c>
      <c r="G498" s="12">
        <f t="shared" si="7"/>
        <v>-0.19400525087514586</v>
      </c>
    </row>
    <row r="499" spans="2:7" ht="15" customHeight="1" x14ac:dyDescent="0.3">
      <c r="C499" s="3"/>
      <c r="D499" s="8">
        <v>2016</v>
      </c>
      <c r="E499" s="14">
        <f>Data!N501</f>
        <v>-22553000000</v>
      </c>
      <c r="F499" s="14">
        <f>Data!G501</f>
        <v>162534000000</v>
      </c>
      <c r="G499" s="12">
        <f t="shared" si="7"/>
        <v>-0.13875865972658027</v>
      </c>
    </row>
    <row r="500" spans="2:7" ht="15" customHeight="1" x14ac:dyDescent="0.3">
      <c r="C500" s="3"/>
      <c r="D500" s="8">
        <v>2017</v>
      </c>
      <c r="E500" s="14" t="e">
        <f>Data!#REF!</f>
        <v>#REF!</v>
      </c>
      <c r="F500" s="14" t="e">
        <f>Data!#REF!</f>
        <v>#REF!</v>
      </c>
      <c r="G500" s="12">
        <f t="shared" si="7"/>
        <v>0</v>
      </c>
    </row>
    <row r="501" spans="2:7" ht="15" customHeight="1" x14ac:dyDescent="0.3">
      <c r="C501" s="3"/>
      <c r="D501" s="8">
        <v>2018</v>
      </c>
      <c r="E501" s="14" t="e">
        <f>Data!#REF!</f>
        <v>#REF!</v>
      </c>
      <c r="F501" s="14" t="e">
        <f>Data!#REF!</f>
        <v>#REF!</v>
      </c>
      <c r="G501" s="12">
        <f t="shared" si="7"/>
        <v>0</v>
      </c>
    </row>
    <row r="502" spans="2:7" ht="15" customHeight="1" x14ac:dyDescent="0.3">
      <c r="C502" s="3"/>
      <c r="D502" s="8">
        <v>2019</v>
      </c>
      <c r="E502" s="14">
        <f>Data!N502</f>
        <v>-8932000000</v>
      </c>
      <c r="F502" s="14">
        <f>Data!G502</f>
        <v>170462000000</v>
      </c>
      <c r="G502" s="12">
        <f t="shared" si="7"/>
        <v>-5.2398775093569244E-2</v>
      </c>
    </row>
    <row r="503" spans="2:7" ht="15" customHeight="1" x14ac:dyDescent="0.3">
      <c r="C503" s="3"/>
      <c r="D503" s="8">
        <v>2020</v>
      </c>
      <c r="E503" s="14">
        <f>Data!N503</f>
        <v>-18068000000</v>
      </c>
      <c r="F503" s="14">
        <f>Data!G503</f>
        <v>184950000000</v>
      </c>
      <c r="G503" s="12">
        <f t="shared" si="7"/>
        <v>-9.7691267910246016E-2</v>
      </c>
    </row>
    <row r="504" spans="2:7" ht="15" customHeight="1" x14ac:dyDescent="0.3">
      <c r="C504" s="3"/>
      <c r="D504" s="8">
        <v>2021</v>
      </c>
      <c r="E504" s="14">
        <f>Data!N504</f>
        <v>-25102000000</v>
      </c>
      <c r="F504" s="14">
        <f>Data!G504</f>
        <v>235603000000</v>
      </c>
      <c r="G504" s="12">
        <f t="shared" si="7"/>
        <v>-0.10654363484335938</v>
      </c>
    </row>
    <row r="505" spans="2:7" ht="15" customHeight="1" x14ac:dyDescent="0.3">
      <c r="C505" s="3"/>
      <c r="D505" s="8">
        <v>2022</v>
      </c>
      <c r="E505" s="14">
        <f>Data!N505</f>
        <v>-7021000000</v>
      </c>
      <c r="F505" s="14">
        <f>Data!G505</f>
        <v>238711000000</v>
      </c>
      <c r="G505" s="12">
        <f t="shared" si="7"/>
        <v>-2.9412134338174613E-2</v>
      </c>
    </row>
    <row r="506" spans="2:7" ht="15" customHeight="1" x14ac:dyDescent="0.3">
      <c r="C506" s="3"/>
      <c r="D506" s="8">
        <v>2023</v>
      </c>
      <c r="E506" s="14">
        <f>Data!N506</f>
        <v>-17306000000</v>
      </c>
      <c r="F506" s="14">
        <f>Data!G506</f>
        <v>287420000000</v>
      </c>
      <c r="G506" s="12">
        <f t="shared" si="7"/>
        <v>-6.021153712337346E-2</v>
      </c>
    </row>
    <row r="507" spans="2:7" ht="15" customHeight="1" x14ac:dyDescent="0.3">
      <c r="C507" s="3"/>
      <c r="D507" s="8">
        <v>2024</v>
      </c>
      <c r="E507" s="14">
        <f>Data!N507</f>
        <v>-9212000000</v>
      </c>
      <c r="F507" s="14">
        <f>Data!G507</f>
        <v>306445000000</v>
      </c>
      <c r="G507" s="12">
        <f t="shared" si="7"/>
        <v>-3.006085920801449E-2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Data!N508</f>
        <v>0</v>
      </c>
      <c r="F508" s="14">
        <f>Data!G508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Data!N509</f>
        <v>0</v>
      </c>
      <c r="F509" s="14">
        <f>Data!G509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Data!N510</f>
        <v>0</v>
      </c>
      <c r="F510" s="14">
        <f>Data!G510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Data!N511</f>
        <v>0</v>
      </c>
      <c r="F511" s="14">
        <f>Data!G511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Data!N512</f>
        <v>0</v>
      </c>
      <c r="F512" s="14">
        <f>Data!G512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Data!N513</f>
        <v>-18252960000</v>
      </c>
      <c r="F513" s="14">
        <f>Data!G513</f>
        <v>504064360000</v>
      </c>
      <c r="G513" s="12">
        <f t="shared" si="7"/>
        <v>-3.6211566316650519E-2</v>
      </c>
    </row>
    <row r="514" spans="2:7" ht="15" customHeight="1" x14ac:dyDescent="0.3">
      <c r="C514" s="3"/>
      <c r="D514" s="8">
        <v>2020</v>
      </c>
      <c r="E514" s="14">
        <f>Data!N514</f>
        <v>-17891670000</v>
      </c>
      <c r="F514" s="14">
        <f>Data!G514</f>
        <v>384395640000</v>
      </c>
      <c r="G514" s="12">
        <f t="shared" si="7"/>
        <v>-4.6544934796867103E-2</v>
      </c>
    </row>
    <row r="515" spans="2:7" ht="15" customHeight="1" x14ac:dyDescent="0.3">
      <c r="C515" s="3"/>
      <c r="D515" s="8">
        <v>2021</v>
      </c>
      <c r="E515" s="14">
        <f>Data!N515</f>
        <v>-3379720000</v>
      </c>
      <c r="F515" s="14">
        <f>Data!G515</f>
        <v>376601330000</v>
      </c>
      <c r="G515" s="12">
        <f t="shared" ref="G515:G578" si="8">IFERROR(E515/F515,0)</f>
        <v>-8.9742646421349607E-3</v>
      </c>
    </row>
    <row r="516" spans="2:7" ht="15" customHeight="1" x14ac:dyDescent="0.3">
      <c r="C516" s="3"/>
      <c r="D516" s="8">
        <v>2022</v>
      </c>
      <c r="E516" s="14">
        <f>Data!N516</f>
        <v>2177000000</v>
      </c>
      <c r="F516" s="14">
        <f>Data!G516</f>
        <v>371969000000</v>
      </c>
      <c r="G516" s="12">
        <f t="shared" si="8"/>
        <v>5.8526382574891995E-3</v>
      </c>
    </row>
    <row r="517" spans="2:7" ht="15" customHeight="1" x14ac:dyDescent="0.3">
      <c r="C517" s="3"/>
      <c r="D517" s="8">
        <v>2023</v>
      </c>
      <c r="E517" s="14">
        <f>Data!N517</f>
        <v>3175000000</v>
      </c>
      <c r="F517" s="14">
        <f>Data!G517</f>
        <v>405875000000</v>
      </c>
      <c r="G517" s="12">
        <f t="shared" si="8"/>
        <v>7.8226054819833697E-3</v>
      </c>
    </row>
    <row r="518" spans="2:7" ht="15" customHeight="1" x14ac:dyDescent="0.3">
      <c r="C518" s="3"/>
      <c r="D518" s="8">
        <v>2024</v>
      </c>
      <c r="E518" s="14">
        <f>Data!N518</f>
        <v>47213000000</v>
      </c>
      <c r="F518" s="14">
        <f>Data!G518</f>
        <v>693393000000</v>
      </c>
      <c r="G518" s="12">
        <f t="shared" si="8"/>
        <v>6.8089813424710086E-2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Data!N519</f>
        <v>0</v>
      </c>
      <c r="F519" s="14">
        <f>Data!G519</f>
        <v>0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Data!N520</f>
        <v>-1863354000000</v>
      </c>
      <c r="F520" s="14">
        <f>Data!G520</f>
        <v>15348592390000</v>
      </c>
      <c r="G520" s="12">
        <f t="shared" si="8"/>
        <v>-0.12140227277219394</v>
      </c>
    </row>
    <row r="521" spans="2:7" ht="15" customHeight="1" x14ac:dyDescent="0.3">
      <c r="C521" s="3"/>
      <c r="D521" s="8">
        <v>2016</v>
      </c>
      <c r="E521" s="14">
        <f>Data!N532</f>
        <v>3668000000</v>
      </c>
      <c r="F521" s="14">
        <f>Data!G532</f>
        <v>130830000000</v>
      </c>
      <c r="G521" s="12">
        <f t="shared" si="8"/>
        <v>2.8036383092562869E-2</v>
      </c>
    </row>
    <row r="522" spans="2:7" ht="15" customHeight="1" x14ac:dyDescent="0.3">
      <c r="C522" s="3"/>
      <c r="D522" s="8">
        <v>2017</v>
      </c>
      <c r="E522" s="14">
        <f>Data!N533</f>
        <v>2102000000</v>
      </c>
      <c r="F522" s="14">
        <f>Data!G533</f>
        <v>113846000000</v>
      </c>
      <c r="G522" s="12">
        <f t="shared" si="8"/>
        <v>1.8463538464241168E-2</v>
      </c>
    </row>
    <row r="523" spans="2:7" ht="15" customHeight="1" x14ac:dyDescent="0.3">
      <c r="C523" s="3"/>
      <c r="D523" s="8">
        <v>2018</v>
      </c>
      <c r="E523" s="14">
        <f>Data!N523</f>
        <v>-154565010000</v>
      </c>
      <c r="F523" s="14">
        <f>Data!G523</f>
        <v>14646070810000</v>
      </c>
      <c r="G523" s="12">
        <f t="shared" si="8"/>
        <v>-1.0553343077821702E-2</v>
      </c>
    </row>
    <row r="524" spans="2:7" ht="15" customHeight="1" x14ac:dyDescent="0.3">
      <c r="C524" s="3"/>
      <c r="D524" s="8">
        <v>2019</v>
      </c>
      <c r="E524" s="14">
        <f>Data!N524</f>
        <v>623756880000</v>
      </c>
      <c r="F524" s="14">
        <f>Data!G524</f>
        <v>15520643350000</v>
      </c>
      <c r="G524" s="12">
        <f t="shared" si="8"/>
        <v>4.0188854671414122E-2</v>
      </c>
    </row>
    <row r="525" spans="2:7" ht="15" customHeight="1" x14ac:dyDescent="0.3">
      <c r="C525" s="3"/>
      <c r="D525" s="8">
        <v>2020</v>
      </c>
      <c r="E525" s="14">
        <f>Data!N525</f>
        <v>428300980000</v>
      </c>
      <c r="F525" s="14">
        <f>Data!G525</f>
        <v>15214292140000</v>
      </c>
      <c r="G525" s="12">
        <f t="shared" si="8"/>
        <v>2.8151226232468018E-2</v>
      </c>
    </row>
    <row r="526" spans="2:7" ht="15" customHeight="1" x14ac:dyDescent="0.3">
      <c r="C526" s="3"/>
      <c r="D526" s="8">
        <v>2021</v>
      </c>
      <c r="E526" s="14">
        <f>Data!N526</f>
        <v>60534920000</v>
      </c>
      <c r="F526" s="14">
        <f>Data!G526</f>
        <v>15792655920000</v>
      </c>
      <c r="G526" s="12">
        <f t="shared" si="8"/>
        <v>3.8331057364035829E-3</v>
      </c>
    </row>
    <row r="527" spans="2:7" ht="15" customHeight="1" x14ac:dyDescent="0.3">
      <c r="C527" s="3"/>
      <c r="D527" s="8">
        <v>2022</v>
      </c>
      <c r="E527" s="14">
        <f>Data!N527</f>
        <v>42396020000</v>
      </c>
      <c r="F527" s="14">
        <f>Data!G527</f>
        <v>14863256240000</v>
      </c>
      <c r="G527" s="12">
        <f t="shared" si="8"/>
        <v>2.8524045683814437E-3</v>
      </c>
    </row>
    <row r="528" spans="2:7" ht="15" customHeight="1" x14ac:dyDescent="0.3">
      <c r="C528" s="3"/>
      <c r="D528" s="8">
        <v>2023</v>
      </c>
      <c r="E528" s="14">
        <f>Data!N528</f>
        <v>125376970000</v>
      </c>
      <c r="F528" s="14">
        <f>Data!G528</f>
        <v>14368742350000</v>
      </c>
      <c r="G528" s="12">
        <f t="shared" si="8"/>
        <v>8.7256745890498897E-3</v>
      </c>
    </row>
    <row r="529" spans="2:7" ht="15" customHeight="1" x14ac:dyDescent="0.3">
      <c r="C529" s="3"/>
      <c r="D529" s="8">
        <v>2024</v>
      </c>
      <c r="E529" s="14">
        <f>Data!N529</f>
        <v>226258030000</v>
      </c>
      <c r="F529" s="14">
        <f>Data!G529</f>
        <v>14072702040000</v>
      </c>
      <c r="G529" s="12">
        <f t="shared" si="8"/>
        <v>1.6077795817525886E-2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Data!N530</f>
        <v>0</v>
      </c>
      <c r="F530" s="14">
        <f>Data!G530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Data!N531</f>
        <v>0</v>
      </c>
      <c r="F531" s="14">
        <f>Data!G531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 t="e">
        <f>Data!#REF!</f>
        <v>#REF!</v>
      </c>
      <c r="F532" s="14" t="e">
        <f>Data!#REF!</f>
        <v>#REF!</v>
      </c>
      <c r="G532" s="12">
        <f t="shared" si="8"/>
        <v>0</v>
      </c>
    </row>
    <row r="533" spans="2:7" ht="15" customHeight="1" x14ac:dyDescent="0.3">
      <c r="C533" s="3"/>
      <c r="D533" s="8">
        <v>2017</v>
      </c>
      <c r="E533" s="14" t="e">
        <f>Data!#REF!</f>
        <v>#REF!</v>
      </c>
      <c r="F533" s="14" t="e">
        <f>Data!#REF!</f>
        <v>#REF!</v>
      </c>
      <c r="G533" s="12">
        <f t="shared" si="8"/>
        <v>0</v>
      </c>
    </row>
    <row r="534" spans="2:7" ht="15" customHeight="1" x14ac:dyDescent="0.3">
      <c r="C534" s="3"/>
      <c r="D534" s="8">
        <v>2018</v>
      </c>
      <c r="E534" s="14">
        <f>Data!N534</f>
        <v>-302000000</v>
      </c>
      <c r="F534" s="14">
        <f>Data!G534</f>
        <v>259861000000</v>
      </c>
      <c r="G534" s="12">
        <f t="shared" si="8"/>
        <v>-1.1621597700309011E-3</v>
      </c>
    </row>
    <row r="535" spans="2:7" ht="15" customHeight="1" x14ac:dyDescent="0.3">
      <c r="C535" s="3"/>
      <c r="D535" s="8">
        <v>2019</v>
      </c>
      <c r="E535" s="14">
        <f>Data!N535</f>
        <v>20461000000</v>
      </c>
      <c r="F535" s="14">
        <f>Data!G535</f>
        <v>1042407000000</v>
      </c>
      <c r="G535" s="12">
        <f t="shared" si="8"/>
        <v>1.9628609554617343E-2</v>
      </c>
    </row>
    <row r="536" spans="2:7" ht="15" customHeight="1" x14ac:dyDescent="0.3">
      <c r="C536" s="3"/>
      <c r="D536" s="8">
        <v>2020</v>
      </c>
      <c r="E536" s="14">
        <f>Data!N536</f>
        <v>6721000000</v>
      </c>
      <c r="F536" s="14">
        <f>Data!G536</f>
        <v>1732276000000</v>
      </c>
      <c r="G536" s="12">
        <f t="shared" si="8"/>
        <v>3.879866718698406E-3</v>
      </c>
    </row>
    <row r="537" spans="2:7" ht="15" customHeight="1" x14ac:dyDescent="0.3">
      <c r="C537" s="3"/>
      <c r="D537" s="8">
        <v>2021</v>
      </c>
      <c r="E537" s="14">
        <f>Data!N537</f>
        <v>56443000000</v>
      </c>
      <c r="F537" s="14">
        <f>Data!G537</f>
        <v>2538317000000</v>
      </c>
      <c r="G537" s="12">
        <f t="shared" si="8"/>
        <v>2.2236387338539672E-2</v>
      </c>
    </row>
    <row r="538" spans="2:7" ht="15" customHeight="1" x14ac:dyDescent="0.3">
      <c r="C538" s="3"/>
      <c r="D538" s="8">
        <v>2022</v>
      </c>
      <c r="E538" s="14">
        <f>Data!N538</f>
        <v>8045000000</v>
      </c>
      <c r="F538" s="14">
        <f>Data!G538</f>
        <v>2772112000000</v>
      </c>
      <c r="G538" s="12">
        <f t="shared" si="8"/>
        <v>2.902119394887364E-3</v>
      </c>
    </row>
    <row r="539" spans="2:7" ht="15" customHeight="1" x14ac:dyDescent="0.3">
      <c r="C539" s="3"/>
      <c r="D539" s="8">
        <v>2023</v>
      </c>
      <c r="E539" s="14">
        <f>Data!N539</f>
        <v>-108834000000</v>
      </c>
      <c r="F539" s="14">
        <f>Data!G539</f>
        <v>2933798000000</v>
      </c>
      <c r="G539" s="12">
        <f t="shared" si="8"/>
        <v>-3.7096623557586444E-2</v>
      </c>
    </row>
    <row r="540" spans="2:7" ht="15" customHeight="1" x14ac:dyDescent="0.3">
      <c r="C540" s="3"/>
      <c r="D540" s="8">
        <v>2024</v>
      </c>
      <c r="E540" s="14">
        <f>Data!N540</f>
        <v>-85799000000</v>
      </c>
      <c r="F540" s="14">
        <f>Data!G540</f>
        <v>3369312000000</v>
      </c>
      <c r="G540" s="12">
        <f t="shared" si="8"/>
        <v>-2.5464842674112698E-2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Data!N541</f>
        <v>0</v>
      </c>
      <c r="F541" s="14">
        <f>Data!G541</f>
        <v>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Data!N542</f>
        <v>319848000000</v>
      </c>
      <c r="F542" s="14">
        <f>Data!G542</f>
        <v>8887980000000</v>
      </c>
      <c r="G542" s="12">
        <f t="shared" si="8"/>
        <v>3.598657962776694E-2</v>
      </c>
    </row>
    <row r="543" spans="2:7" ht="15" customHeight="1" x14ac:dyDescent="0.3">
      <c r="C543" s="3"/>
      <c r="D543" s="8">
        <v>2016</v>
      </c>
      <c r="E543" s="14">
        <f>Data!N543</f>
        <v>365939000000</v>
      </c>
      <c r="F543" s="14">
        <f>Data!G543</f>
        <v>9079542000000</v>
      </c>
      <c r="G543" s="12">
        <f t="shared" si="8"/>
        <v>4.0303684921552209E-2</v>
      </c>
    </row>
    <row r="544" spans="2:7" ht="15" customHeight="1" x14ac:dyDescent="0.3">
      <c r="C544" s="3"/>
      <c r="D544" s="8">
        <v>2017</v>
      </c>
      <c r="E544" s="14">
        <f>Data!N544</f>
        <v>459410000000</v>
      </c>
      <c r="F544" s="14">
        <f>Data!G544</f>
        <v>9158871000000</v>
      </c>
      <c r="G544" s="12">
        <f t="shared" si="8"/>
        <v>5.0160112529153429E-2</v>
      </c>
    </row>
    <row r="545" spans="2:7" ht="15" customHeight="1" x14ac:dyDescent="0.3">
      <c r="C545" s="3"/>
      <c r="D545" s="8">
        <v>2018</v>
      </c>
      <c r="E545" s="14">
        <f>Data!N545</f>
        <v>276069000000</v>
      </c>
      <c r="F545" s="14">
        <f>Data!G545</f>
        <v>9082567000000</v>
      </c>
      <c r="G545" s="12">
        <f t="shared" si="8"/>
        <v>3.0395481805969612E-2</v>
      </c>
    </row>
    <row r="546" spans="2:7" ht="15" customHeight="1" x14ac:dyDescent="0.3">
      <c r="C546" s="3"/>
      <c r="D546" s="8">
        <v>2019</v>
      </c>
      <c r="E546" s="14">
        <f>Data!N546</f>
        <v>514097000000</v>
      </c>
      <c r="F546" s="14">
        <f>Data!G546</f>
        <v>9112658000000</v>
      </c>
      <c r="G546" s="12">
        <f t="shared" si="8"/>
        <v>5.6415702202365109E-2</v>
      </c>
    </row>
    <row r="547" spans="2:7" ht="15" customHeight="1" x14ac:dyDescent="0.3">
      <c r="C547" s="3"/>
      <c r="D547" s="8">
        <v>2020</v>
      </c>
      <c r="E547" s="14">
        <f>Data!N547</f>
        <v>497792000000</v>
      </c>
      <c r="F547" s="14">
        <f>Data!G547</f>
        <v>9641705000000</v>
      </c>
      <c r="G547" s="12">
        <f t="shared" si="8"/>
        <v>5.1629042788593926E-2</v>
      </c>
    </row>
    <row r="548" spans="2:7" ht="15" customHeight="1" x14ac:dyDescent="0.3">
      <c r="C548" s="3"/>
      <c r="D548" s="8">
        <v>2021</v>
      </c>
      <c r="E548" s="14">
        <f>Data!N548</f>
        <v>386645000000</v>
      </c>
      <c r="F548" s="14">
        <f>Data!G548</f>
        <v>9598517000000</v>
      </c>
      <c r="G548" s="12">
        <f t="shared" si="8"/>
        <v>4.0281743523504727E-2</v>
      </c>
    </row>
    <row r="549" spans="2:7" ht="15" customHeight="1" x14ac:dyDescent="0.3">
      <c r="C549" s="3"/>
      <c r="D549" s="8">
        <v>2022</v>
      </c>
      <c r="E549" s="14">
        <f>Data!N549</f>
        <v>394699000000</v>
      </c>
      <c r="F549" s="14">
        <f>Data!G549</f>
        <v>8650793000000</v>
      </c>
      <c r="G549" s="12">
        <f t="shared" si="8"/>
        <v>4.5625759395699329E-2</v>
      </c>
    </row>
    <row r="550" spans="2:7" ht="15" customHeight="1" x14ac:dyDescent="0.3">
      <c r="C550" s="3"/>
      <c r="D550" s="8">
        <v>2023</v>
      </c>
      <c r="E550" s="14">
        <f>Data!N550</f>
        <v>448983000000</v>
      </c>
      <c r="F550" s="14">
        <f>Data!G550</f>
        <v>8978472000000</v>
      </c>
      <c r="G550" s="12">
        <f t="shared" si="8"/>
        <v>5.000661582505353E-2</v>
      </c>
    </row>
    <row r="551" spans="2:7" ht="15" customHeight="1" x14ac:dyDescent="0.3">
      <c r="C551" s="3"/>
      <c r="D551" s="8">
        <v>2024</v>
      </c>
      <c r="E551" s="14">
        <f>Data!N551</f>
        <v>285520000000</v>
      </c>
      <c r="F551" s="14">
        <f>Data!G551</f>
        <v>8986258000000</v>
      </c>
      <c r="G551" s="12">
        <f t="shared" si="8"/>
        <v>3.177295822131971E-2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Data!N552</f>
        <v>0</v>
      </c>
      <c r="F552" s="14">
        <f>Data!G552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Data!N553</f>
        <v>0</v>
      </c>
      <c r="F553" s="14">
        <f>Data!G553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Data!N554</f>
        <v>0</v>
      </c>
      <c r="F554" s="14">
        <f>Data!G554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Data!N555</f>
        <v>0</v>
      </c>
      <c r="F555" s="14">
        <f>Data!G555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Data!N556</f>
        <v>0</v>
      </c>
      <c r="F556" s="14">
        <f>Data!G556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Data!N557</f>
        <v>-39394000000</v>
      </c>
      <c r="F557" s="14">
        <f>Data!G557</f>
        <v>1697933000000</v>
      </c>
      <c r="G557" s="12">
        <f t="shared" si="8"/>
        <v>-2.3201151046596067E-2</v>
      </c>
    </row>
    <row r="558" spans="2:7" ht="15" customHeight="1" x14ac:dyDescent="0.3">
      <c r="C558" s="3"/>
      <c r="D558" s="8">
        <v>2020</v>
      </c>
      <c r="E558" s="14">
        <f>Data!N558</f>
        <v>22811000000</v>
      </c>
      <c r="F558" s="14">
        <f>Data!G558</f>
        <v>1957853000000</v>
      </c>
      <c r="G558" s="12">
        <f t="shared" si="8"/>
        <v>1.1651027937235329E-2</v>
      </c>
    </row>
    <row r="559" spans="2:7" ht="15" customHeight="1" x14ac:dyDescent="0.3">
      <c r="C559" s="3"/>
      <c r="D559" s="8">
        <v>2021</v>
      </c>
      <c r="E559" s="14">
        <f>Data!N559</f>
        <v>26708000000</v>
      </c>
      <c r="F559" s="14">
        <f>Data!G559</f>
        <v>2100153000000</v>
      </c>
      <c r="G559" s="12">
        <f t="shared" si="8"/>
        <v>1.2717168701518414E-2</v>
      </c>
    </row>
    <row r="560" spans="2:7" ht="15" customHeight="1" x14ac:dyDescent="0.3">
      <c r="C560" s="3"/>
      <c r="D560" s="8">
        <v>2022</v>
      </c>
      <c r="E560" s="14">
        <f>Data!N560</f>
        <v>66058000000</v>
      </c>
      <c r="F560" s="14">
        <f>Data!G560</f>
        <v>2377506000000</v>
      </c>
      <c r="G560" s="12">
        <f t="shared" si="8"/>
        <v>2.7784577620413996E-2</v>
      </c>
    </row>
    <row r="561" spans="2:7" ht="15" customHeight="1" x14ac:dyDescent="0.3">
      <c r="C561" s="3"/>
      <c r="D561" s="8">
        <v>2023</v>
      </c>
      <c r="E561" s="14">
        <f>Data!N561</f>
        <v>93500000000</v>
      </c>
      <c r="F561" s="14">
        <f>Data!G561</f>
        <v>2877857000000</v>
      </c>
      <c r="G561" s="12">
        <f t="shared" si="8"/>
        <v>3.2489453089573246E-2</v>
      </c>
    </row>
    <row r="562" spans="2:7" ht="15" customHeight="1" x14ac:dyDescent="0.3">
      <c r="C562" s="3"/>
      <c r="D562" s="8">
        <v>2024</v>
      </c>
      <c r="E562" s="14">
        <f>Data!N562</f>
        <v>90541000000</v>
      </c>
      <c r="F562" s="14">
        <f>Data!G562</f>
        <v>3111702000000</v>
      </c>
      <c r="G562" s="12">
        <f t="shared" si="8"/>
        <v>2.9096937945857285E-2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Data!N563</f>
        <v>0</v>
      </c>
      <c r="F563" s="14">
        <f>Data!G563</f>
        <v>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Data!N564</f>
        <v>37215000000</v>
      </c>
      <c r="F564" s="14">
        <f>Data!G564</f>
        <v>233945000000</v>
      </c>
      <c r="G564" s="12">
        <f t="shared" si="8"/>
        <v>0.15907585116159781</v>
      </c>
    </row>
    <row r="565" spans="2:7" ht="15" customHeight="1" x14ac:dyDescent="0.3">
      <c r="C565" s="3"/>
      <c r="D565" s="8">
        <v>2016</v>
      </c>
      <c r="E565" s="14">
        <f>Data!N565</f>
        <v>73582000000</v>
      </c>
      <c r="F565" s="14">
        <f>Data!G565</f>
        <v>423296000000</v>
      </c>
      <c r="G565" s="12">
        <f t="shared" si="8"/>
        <v>0.17383107801632899</v>
      </c>
    </row>
    <row r="566" spans="2:7" ht="15" customHeight="1" x14ac:dyDescent="0.3">
      <c r="C566" s="3"/>
      <c r="D566" s="8">
        <v>2017</v>
      </c>
      <c r="E566" s="14">
        <f>Data!N566</f>
        <v>86750000000</v>
      </c>
      <c r="F566" s="14">
        <f>Data!G566</f>
        <v>741105000000</v>
      </c>
      <c r="G566" s="12">
        <f t="shared" si="8"/>
        <v>0.11705493823412337</v>
      </c>
    </row>
    <row r="567" spans="2:7" ht="15" customHeight="1" x14ac:dyDescent="0.3">
      <c r="C567" s="3"/>
      <c r="D567" s="8">
        <v>2018</v>
      </c>
      <c r="E567" s="14">
        <f>Data!N567</f>
        <v>59551000000</v>
      </c>
      <c r="F567" s="14">
        <f>Data!G567</f>
        <v>1011939000000</v>
      </c>
      <c r="G567" s="12">
        <f t="shared" si="8"/>
        <v>5.8848408846778312E-2</v>
      </c>
    </row>
    <row r="568" spans="2:7" ht="15" customHeight="1" x14ac:dyDescent="0.3">
      <c r="C568" s="3"/>
      <c r="D568" s="8">
        <v>2019</v>
      </c>
      <c r="E568" s="14">
        <f>Data!N568</f>
        <v>53718000000</v>
      </c>
      <c r="F568" s="14">
        <f>Data!G568</f>
        <v>1335416000000</v>
      </c>
      <c r="G568" s="12">
        <f t="shared" si="8"/>
        <v>4.0225667507353513E-2</v>
      </c>
    </row>
    <row r="569" spans="2:7" ht="15" customHeight="1" x14ac:dyDescent="0.3">
      <c r="C569" s="3"/>
      <c r="D569" s="8">
        <v>2020</v>
      </c>
      <c r="E569" s="14">
        <f>Data!N569</f>
        <v>51407000000</v>
      </c>
      <c r="F569" s="14">
        <f>Data!G569</f>
        <v>1779231000000</v>
      </c>
      <c r="G569" s="12">
        <f t="shared" si="8"/>
        <v>2.8892819425920525E-2</v>
      </c>
    </row>
    <row r="570" spans="2:7" ht="15" customHeight="1" x14ac:dyDescent="0.3">
      <c r="C570" s="3"/>
      <c r="D570" s="8">
        <v>2021</v>
      </c>
      <c r="E570" s="14">
        <f>Data!N570</f>
        <v>47823000000</v>
      </c>
      <c r="F570" s="14">
        <f>Data!G570</f>
        <v>2080340000000</v>
      </c>
      <c r="G570" s="12">
        <f t="shared" si="8"/>
        <v>2.2988069257909766E-2</v>
      </c>
    </row>
    <row r="571" spans="2:7" ht="15" customHeight="1" x14ac:dyDescent="0.3">
      <c r="C571" s="3"/>
      <c r="D571" s="8">
        <v>2022</v>
      </c>
      <c r="E571" s="14">
        <f>Data!N571</f>
        <v>58489000000</v>
      </c>
      <c r="F571" s="14">
        <f>Data!G571</f>
        <v>1986810000000</v>
      </c>
      <c r="G571" s="12">
        <f t="shared" si="8"/>
        <v>2.9438647882786981E-2</v>
      </c>
    </row>
    <row r="572" spans="2:7" ht="15" customHeight="1" x14ac:dyDescent="0.3">
      <c r="C572" s="3"/>
      <c r="D572" s="8">
        <v>2023</v>
      </c>
      <c r="E572" s="14">
        <f>Data!N572</f>
        <v>45393000000</v>
      </c>
      <c r="F572" s="14">
        <f>Data!G572</f>
        <v>2162993000000</v>
      </c>
      <c r="G572" s="12">
        <f t="shared" si="8"/>
        <v>2.0986198290979214E-2</v>
      </c>
    </row>
    <row r="573" spans="2:7" ht="15" customHeight="1" x14ac:dyDescent="0.3">
      <c r="C573" s="3"/>
      <c r="D573" s="8">
        <v>2024</v>
      </c>
      <c r="E573" s="14">
        <f>Data!N573</f>
        <v>28788000000</v>
      </c>
      <c r="F573" s="14">
        <f>Data!G573</f>
        <v>2029003000000</v>
      </c>
      <c r="G573" s="12">
        <f t="shared" si="8"/>
        <v>1.4188249105595211E-2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Data!N574</f>
        <v>0</v>
      </c>
      <c r="F574" s="14">
        <f>Data!G574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Data!N575</f>
        <v>0</v>
      </c>
      <c r="F575" s="14">
        <f>Data!G575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Data!N576</f>
        <v>4947088000000</v>
      </c>
      <c r="F576" s="14">
        <f>Data!G576</f>
        <v>60793273000000</v>
      </c>
      <c r="G576" s="12">
        <f t="shared" si="8"/>
        <v>8.1375582459592199E-2</v>
      </c>
    </row>
    <row r="577" spans="2:7" ht="15" customHeight="1" x14ac:dyDescent="0.3">
      <c r="C577" s="3"/>
      <c r="D577" s="8">
        <v>2017</v>
      </c>
      <c r="E577" s="14">
        <f>Data!N577</f>
        <v>5450673000000</v>
      </c>
      <c r="F577" s="14">
        <f>Data!G577</f>
        <v>71757702000000</v>
      </c>
      <c r="G577" s="12">
        <f t="shared" si="8"/>
        <v>7.5959414084915924E-2</v>
      </c>
    </row>
    <row r="578" spans="2:7" ht="15" customHeight="1" x14ac:dyDescent="0.3">
      <c r="C578" s="3"/>
      <c r="D578" s="8">
        <v>2018</v>
      </c>
      <c r="E578" s="14">
        <f>Data!N578</f>
        <v>4643399000000</v>
      </c>
      <c r="F578" s="14">
        <f>Data!G578</f>
        <v>67767980000000</v>
      </c>
      <c r="G578" s="12">
        <f t="shared" si="8"/>
        <v>6.8519070510881394E-2</v>
      </c>
    </row>
    <row r="579" spans="2:7" ht="15" customHeight="1" x14ac:dyDescent="0.3">
      <c r="C579" s="3"/>
      <c r="D579" s="8">
        <v>2019</v>
      </c>
      <c r="E579" s="14">
        <f>Data!N579</f>
        <v>4089773000000</v>
      </c>
      <c r="F579" s="14">
        <f>Data!G579</f>
        <v>71619133000000</v>
      </c>
      <c r="G579" s="12">
        <f t="shared" ref="G579:G642" si="9">IFERROR(E579/F579,0)</f>
        <v>5.7104475140742073E-2</v>
      </c>
    </row>
    <row r="580" spans="2:7" ht="15" customHeight="1" x14ac:dyDescent="0.3">
      <c r="C580" s="3"/>
      <c r="D580" s="8">
        <v>2020</v>
      </c>
      <c r="E580" s="14">
        <f>Data!N580</f>
        <v>4326583000000</v>
      </c>
      <c r="F580" s="14">
        <f>Data!G580</f>
        <v>67396709000000</v>
      </c>
      <c r="G580" s="12">
        <f t="shared" si="9"/>
        <v>6.4195760656503273E-2</v>
      </c>
    </row>
    <row r="581" spans="2:7" ht="15" customHeight="1" x14ac:dyDescent="0.3">
      <c r="C581" s="3"/>
      <c r="D581" s="8">
        <v>2021</v>
      </c>
      <c r="E581" s="14">
        <f>Data!N581</f>
        <v>2921159000000</v>
      </c>
      <c r="F581" s="14">
        <f>Data!G581</f>
        <v>64403397000000</v>
      </c>
      <c r="G581" s="12">
        <f t="shared" si="9"/>
        <v>4.5357219278355766E-2</v>
      </c>
    </row>
    <row r="582" spans="2:7" ht="15" customHeight="1" x14ac:dyDescent="0.3">
      <c r="C582" s="3"/>
      <c r="D582" s="8">
        <v>2022</v>
      </c>
      <c r="E582" s="14">
        <f>Data!N582</f>
        <v>2288272000000</v>
      </c>
      <c r="F582" s="14">
        <f>Data!G582</f>
        <v>61327114000000</v>
      </c>
      <c r="G582" s="12">
        <f t="shared" si="9"/>
        <v>3.7312566184020984E-2</v>
      </c>
    </row>
    <row r="583" spans="2:7" ht="15" customHeight="1" x14ac:dyDescent="0.3">
      <c r="C583" s="3"/>
      <c r="D583" s="8">
        <v>2023</v>
      </c>
      <c r="E583" s="14">
        <f>Data!N583</f>
        <v>1988032000000</v>
      </c>
      <c r="F583" s="14">
        <f>Data!G583</f>
        <v>60222226000000</v>
      </c>
      <c r="G583" s="12">
        <f t="shared" si="9"/>
        <v>3.3011599405176423E-2</v>
      </c>
    </row>
    <row r="584" spans="2:7" ht="15" customHeight="1" x14ac:dyDescent="0.3">
      <c r="C584" s="3"/>
      <c r="D584" s="8">
        <v>2024</v>
      </c>
      <c r="E584" s="14">
        <f>Data!N584</f>
        <v>1552649000000</v>
      </c>
      <c r="F584" s="14">
        <f>Data!G584</f>
        <v>57560023000000</v>
      </c>
      <c r="G584" s="12">
        <f t="shared" si="9"/>
        <v>2.6974433279847717E-2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Data!N596</f>
        <v>0</v>
      </c>
      <c r="F585" s="14">
        <f>Data!G596</f>
        <v>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Data!N597</f>
        <v>-102535000000</v>
      </c>
      <c r="F586" s="14">
        <f>Data!G597</f>
        <v>6060345000000</v>
      </c>
      <c r="G586" s="12">
        <f t="shared" si="9"/>
        <v>-1.6919003786088085E-2</v>
      </c>
    </row>
    <row r="587" spans="2:7" ht="15" customHeight="1" x14ac:dyDescent="0.3">
      <c r="C587" s="4"/>
      <c r="D587" s="8">
        <v>2016</v>
      </c>
      <c r="E587" s="14">
        <f>Data!N598</f>
        <v>-62379000000</v>
      </c>
      <c r="F587" s="14">
        <f>Data!G598</f>
        <v>9618219000000</v>
      </c>
      <c r="G587" s="12">
        <f t="shared" si="9"/>
        <v>-6.4855042290053906E-3</v>
      </c>
    </row>
    <row r="588" spans="2:7" ht="15" customHeight="1" x14ac:dyDescent="0.3">
      <c r="C588" s="4"/>
      <c r="D588" s="8">
        <v>2017</v>
      </c>
      <c r="E588" s="14">
        <f>Data!N599</f>
        <v>-185323000000</v>
      </c>
      <c r="F588" s="14">
        <f>Data!G599</f>
        <v>11742806000000</v>
      </c>
      <c r="G588" s="12">
        <f t="shared" si="9"/>
        <v>-1.5781832723797021E-2</v>
      </c>
    </row>
    <row r="589" spans="2:7" ht="15" customHeight="1" x14ac:dyDescent="0.3">
      <c r="C589" s="4"/>
      <c r="D589" s="8">
        <v>2018</v>
      </c>
      <c r="E589" s="14">
        <f>Data!N600</f>
        <v>-53891000000</v>
      </c>
      <c r="F589" s="14">
        <f>Data!G600</f>
        <v>11996023000000</v>
      </c>
      <c r="G589" s="12">
        <f t="shared" si="9"/>
        <v>-4.4924055247309884E-3</v>
      </c>
    </row>
    <row r="590" spans="2:7" ht="15" customHeight="1" x14ac:dyDescent="0.3">
      <c r="C590" s="4"/>
      <c r="D590" s="8">
        <v>2019</v>
      </c>
      <c r="E590" s="14">
        <f>Data!N601</f>
        <v>-111560000000</v>
      </c>
      <c r="F590" s="14">
        <f>Data!G601</f>
        <v>13386719000000</v>
      </c>
      <c r="G590" s="12">
        <f t="shared" si="9"/>
        <v>-8.3336327594536047E-3</v>
      </c>
    </row>
    <row r="591" spans="2:7" ht="15" customHeight="1" x14ac:dyDescent="0.3">
      <c r="C591" s="4"/>
      <c r="D591" s="8">
        <v>2020</v>
      </c>
      <c r="E591" s="14">
        <f>Data!N602</f>
        <v>-259241000000</v>
      </c>
      <c r="F591" s="14">
        <f>Data!G602</f>
        <v>14446272000000</v>
      </c>
      <c r="G591" s="12">
        <f t="shared" si="9"/>
        <v>-1.7945183366338387E-2</v>
      </c>
    </row>
    <row r="592" spans="2:7" ht="15" customHeight="1" x14ac:dyDescent="0.3">
      <c r="C592" s="4"/>
      <c r="D592" s="8">
        <v>2021</v>
      </c>
      <c r="E592" s="14">
        <f>Data!N603</f>
        <v>-183548000000</v>
      </c>
      <c r="F592" s="14">
        <f>Data!G603</f>
        <v>15389456000000</v>
      </c>
      <c r="G592" s="12">
        <f t="shared" si="9"/>
        <v>-1.1926867330463144E-2</v>
      </c>
    </row>
    <row r="593" spans="2:7" ht="15" customHeight="1" x14ac:dyDescent="0.3">
      <c r="C593" s="4"/>
      <c r="D593" s="8">
        <v>2022</v>
      </c>
      <c r="E593" s="14">
        <f>Data!N604</f>
        <v>-250764000000</v>
      </c>
      <c r="F593" s="14">
        <f>Data!G604</f>
        <v>20936453000000</v>
      </c>
      <c r="G593" s="12">
        <f t="shared" si="9"/>
        <v>-1.1977387000558308E-2</v>
      </c>
    </row>
    <row r="594" spans="2:7" ht="15" customHeight="1" x14ac:dyDescent="0.3">
      <c r="C594" s="4"/>
      <c r="D594" s="8">
        <v>2023</v>
      </c>
      <c r="E594" s="14">
        <f>Data!N605</f>
        <v>-133955000000</v>
      </c>
      <c r="F594" s="14">
        <f>Data!G605</f>
        <v>20527159000000</v>
      </c>
      <c r="G594" s="12">
        <f t="shared" si="9"/>
        <v>-6.5257447462651798E-3</v>
      </c>
    </row>
    <row r="595" spans="2:7" ht="15" customHeight="1" x14ac:dyDescent="0.3">
      <c r="C595" s="4"/>
      <c r="D595" s="8">
        <v>2024</v>
      </c>
      <c r="E595" s="14">
        <f>Data!N606</f>
        <v>22096000000</v>
      </c>
      <c r="F595" s="14">
        <f>Data!G606</f>
        <v>19441396000000</v>
      </c>
      <c r="G595" s="12">
        <f t="shared" si="9"/>
        <v>1.1365438983908357E-3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 t="e">
        <f>Data!#REF!</f>
        <v>#REF!</v>
      </c>
      <c r="F596" s="14">
        <f>Data!G607</f>
        <v>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 t="e">
        <f>Data!#REF!</f>
        <v>#REF!</v>
      </c>
      <c r="F597" s="14">
        <f>Data!G608</f>
        <v>791528000000</v>
      </c>
      <c r="G597" s="12">
        <f t="shared" si="9"/>
        <v>0</v>
      </c>
    </row>
    <row r="598" spans="2:7" ht="15" customHeight="1" x14ac:dyDescent="0.3">
      <c r="C598" s="3"/>
      <c r="D598" s="8">
        <v>2016</v>
      </c>
      <c r="E598" s="14" t="e">
        <f>Data!#REF!</f>
        <v>#REF!</v>
      </c>
      <c r="F598" s="14" t="e">
        <f>Data!#REF!</f>
        <v>#REF!</v>
      </c>
      <c r="G598" s="12">
        <f t="shared" si="9"/>
        <v>0</v>
      </c>
    </row>
    <row r="599" spans="2:7" ht="15" customHeight="1" x14ac:dyDescent="0.3">
      <c r="C599" s="3"/>
      <c r="D599" s="8">
        <v>2017</v>
      </c>
      <c r="E599" s="14" t="e">
        <f>Data!#REF!</f>
        <v>#REF!</v>
      </c>
      <c r="F599" s="14" t="e">
        <f>Data!#REF!</f>
        <v>#REF!</v>
      </c>
      <c r="G599" s="12">
        <f t="shared" si="9"/>
        <v>0</v>
      </c>
    </row>
    <row r="600" spans="2:7" ht="15" customHeight="1" x14ac:dyDescent="0.3">
      <c r="C600" s="3"/>
      <c r="D600" s="8">
        <v>2018</v>
      </c>
      <c r="E600" s="14" t="e">
        <f>Data!#REF!</f>
        <v>#REF!</v>
      </c>
      <c r="F600" s="14" t="e">
        <f>Data!#REF!</f>
        <v>#REF!</v>
      </c>
      <c r="G600" s="12">
        <f t="shared" si="9"/>
        <v>0</v>
      </c>
    </row>
    <row r="601" spans="2:7" ht="15" customHeight="1" x14ac:dyDescent="0.3">
      <c r="C601" s="3"/>
      <c r="D601" s="8">
        <v>2019</v>
      </c>
      <c r="E601" s="14" t="e">
        <f>Data!#REF!</f>
        <v>#REF!</v>
      </c>
      <c r="F601" s="14" t="e">
        <f>Data!#REF!</f>
        <v>#REF!</v>
      </c>
      <c r="G601" s="12">
        <f t="shared" si="9"/>
        <v>0</v>
      </c>
    </row>
    <row r="602" spans="2:7" ht="15" customHeight="1" x14ac:dyDescent="0.3">
      <c r="C602" s="3"/>
      <c r="D602" s="8">
        <v>2020</v>
      </c>
      <c r="E602" s="14" t="e">
        <f>Data!#REF!</f>
        <v>#REF!</v>
      </c>
      <c r="F602" s="14" t="e">
        <f>Data!#REF!</f>
        <v>#REF!</v>
      </c>
      <c r="G602" s="12">
        <f t="shared" si="9"/>
        <v>0</v>
      </c>
    </row>
    <row r="603" spans="2:7" ht="15" customHeight="1" x14ac:dyDescent="0.3">
      <c r="C603" s="3"/>
      <c r="D603" s="8">
        <v>2021</v>
      </c>
      <c r="E603" s="14" t="e">
        <f>Data!#REF!</f>
        <v>#REF!</v>
      </c>
      <c r="F603" s="14" t="e">
        <f>Data!#REF!</f>
        <v>#REF!</v>
      </c>
      <c r="G603" s="12">
        <f t="shared" si="9"/>
        <v>0</v>
      </c>
    </row>
    <row r="604" spans="2:7" ht="15" customHeight="1" x14ac:dyDescent="0.3">
      <c r="C604" s="3"/>
      <c r="D604" s="8">
        <v>2022</v>
      </c>
      <c r="E604" s="14" t="e">
        <f>Data!#REF!</f>
        <v>#REF!</v>
      </c>
      <c r="F604" s="14" t="e">
        <f>Data!#REF!</f>
        <v>#REF!</v>
      </c>
      <c r="G604" s="12">
        <f t="shared" si="9"/>
        <v>0</v>
      </c>
    </row>
    <row r="605" spans="2:7" ht="15" customHeight="1" x14ac:dyDescent="0.3">
      <c r="C605" s="3"/>
      <c r="D605" s="8">
        <v>2023</v>
      </c>
      <c r="E605" s="14" t="e">
        <f>Data!#REF!</f>
        <v>#REF!</v>
      </c>
      <c r="F605" s="14" t="e">
        <f>Data!#REF!</f>
        <v>#REF!</v>
      </c>
      <c r="G605" s="12">
        <f t="shared" si="9"/>
        <v>0</v>
      </c>
    </row>
    <row r="606" spans="2:7" ht="15" customHeight="1" x14ac:dyDescent="0.3">
      <c r="C606" s="3"/>
      <c r="D606" s="8">
        <v>2024</v>
      </c>
      <c r="E606" s="14" t="e">
        <f>Data!#REF!</f>
        <v>#REF!</v>
      </c>
      <c r="F606" s="14" t="e">
        <f>Data!#REF!</f>
        <v>#REF!</v>
      </c>
      <c r="G606" s="12">
        <f t="shared" si="9"/>
        <v>0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Data!N607</f>
        <v>0</v>
      </c>
      <c r="F607" s="14" t="e">
        <f>Data!#REF!</f>
        <v>#REF!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Data!N608</f>
        <v>-141190000000</v>
      </c>
      <c r="F608" s="14" t="e">
        <f>Data!#REF!</f>
        <v>#REF!</v>
      </c>
      <c r="G608" s="12">
        <f t="shared" si="9"/>
        <v>0</v>
      </c>
    </row>
    <row r="609" spans="2:7" ht="15" customHeight="1" x14ac:dyDescent="0.3">
      <c r="C609" s="3"/>
      <c r="D609" s="8">
        <v>2016</v>
      </c>
      <c r="E609" s="14">
        <f>Data!N609</f>
        <v>-294967000000</v>
      </c>
      <c r="F609" s="14">
        <f>Data!G609</f>
        <v>1192863000000</v>
      </c>
      <c r="G609" s="12">
        <f t="shared" si="9"/>
        <v>-0.24727651037881132</v>
      </c>
    </row>
    <row r="610" spans="2:7" ht="15" customHeight="1" x14ac:dyDescent="0.3">
      <c r="C610" s="3"/>
      <c r="D610" s="8">
        <v>2017</v>
      </c>
      <c r="E610" s="14">
        <f>Data!N610</f>
        <v>-254335000000</v>
      </c>
      <c r="F610" s="14">
        <f>Data!G610</f>
        <v>2300432000000</v>
      </c>
      <c r="G610" s="12">
        <f t="shared" si="9"/>
        <v>-0.11055966879264416</v>
      </c>
    </row>
    <row r="611" spans="2:7" ht="15" customHeight="1" x14ac:dyDescent="0.3">
      <c r="C611" s="3"/>
      <c r="D611" s="8">
        <v>2018</v>
      </c>
      <c r="E611" s="14">
        <f>Data!N611</f>
        <v>-238404000000</v>
      </c>
      <c r="F611" s="14">
        <f>Data!G611</f>
        <v>2364703000000</v>
      </c>
      <c r="G611" s="12">
        <f t="shared" si="9"/>
        <v>-0.10081773482758723</v>
      </c>
    </row>
    <row r="612" spans="2:7" ht="15" customHeight="1" x14ac:dyDescent="0.3">
      <c r="C612" s="3"/>
      <c r="D612" s="8">
        <v>2019</v>
      </c>
      <c r="E612" s="14">
        <f>Data!N612</f>
        <v>154007000000</v>
      </c>
      <c r="F612" s="14">
        <f>Data!G612</f>
        <v>2454333000000</v>
      </c>
      <c r="G612" s="12">
        <f t="shared" si="9"/>
        <v>6.274902386921416E-2</v>
      </c>
    </row>
    <row r="613" spans="2:7" ht="15" customHeight="1" x14ac:dyDescent="0.3">
      <c r="C613" s="3"/>
      <c r="D613" s="8">
        <v>2020</v>
      </c>
      <c r="E613" s="14">
        <f>Data!N613</f>
        <v>-102691000000</v>
      </c>
      <c r="F613" s="14">
        <f>Data!G613</f>
        <v>2494484000000</v>
      </c>
      <c r="G613" s="12">
        <f t="shared" si="9"/>
        <v>-4.1167231379315321E-2</v>
      </c>
    </row>
    <row r="614" spans="2:7" ht="15" customHeight="1" x14ac:dyDescent="0.3">
      <c r="C614" s="3"/>
      <c r="D614" s="8">
        <v>2021</v>
      </c>
      <c r="E614" s="14">
        <f>Data!N614</f>
        <v>-193518000000</v>
      </c>
      <c r="F614" s="14">
        <f>Data!G614</f>
        <v>2367310000000</v>
      </c>
      <c r="G614" s="12">
        <f t="shared" si="9"/>
        <v>-8.1745947932463425E-2</v>
      </c>
    </row>
    <row r="615" spans="2:7" ht="15" customHeight="1" x14ac:dyDescent="0.3">
      <c r="C615" s="3"/>
      <c r="D615" s="8">
        <v>2022</v>
      </c>
      <c r="E615" s="14">
        <f>Data!N615</f>
        <v>-170293000000</v>
      </c>
      <c r="F615" s="14">
        <f>Data!G615</f>
        <v>2250592000000</v>
      </c>
      <c r="G615" s="12">
        <f t="shared" si="9"/>
        <v>-7.5665869246847053E-2</v>
      </c>
    </row>
    <row r="616" spans="2:7" ht="15" customHeight="1" x14ac:dyDescent="0.3">
      <c r="C616" s="3"/>
      <c r="D616" s="8">
        <v>2023</v>
      </c>
      <c r="E616" s="14">
        <f>Data!N616</f>
        <v>-197334000000</v>
      </c>
      <c r="F616" s="14">
        <f>Data!G616</f>
        <v>2041725000000</v>
      </c>
      <c r="G616" s="12">
        <f t="shared" si="9"/>
        <v>-9.6650626308636078E-2</v>
      </c>
    </row>
    <row r="617" spans="2:7" ht="15" customHeight="1" x14ac:dyDescent="0.3">
      <c r="C617" s="3"/>
      <c r="D617" s="8">
        <v>2024</v>
      </c>
      <c r="E617" s="14">
        <f>Data!N617</f>
        <v>-180619000000</v>
      </c>
      <c r="F617" s="14">
        <f>Data!G617</f>
        <v>1857834000000</v>
      </c>
      <c r="G617" s="12">
        <f t="shared" si="9"/>
        <v>-9.7220203742637928E-2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Data!N618</f>
        <v>0</v>
      </c>
      <c r="F618" s="14">
        <f>Data!G618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Data!N619</f>
        <v>0</v>
      </c>
      <c r="F619" s="14">
        <f>Data!G619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Data!N620</f>
        <v>0</v>
      </c>
      <c r="F620" s="14">
        <f>Data!G620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Data!N621</f>
        <v>24103000000</v>
      </c>
      <c r="F621" s="14">
        <f>Data!G621</f>
        <v>198763000000</v>
      </c>
      <c r="G621" s="12">
        <f t="shared" si="9"/>
        <v>0.1212650241745194</v>
      </c>
    </row>
    <row r="622" spans="2:7" ht="15" customHeight="1" x14ac:dyDescent="0.3">
      <c r="C622" s="3"/>
      <c r="D622" s="8">
        <v>2018</v>
      </c>
      <c r="E622" s="14">
        <f>Data!N622</f>
        <v>-8105000000</v>
      </c>
      <c r="F622" s="14">
        <f>Data!G622</f>
        <v>412000000000</v>
      </c>
      <c r="G622" s="12">
        <f t="shared" si="9"/>
        <v>-1.9672330097087378E-2</v>
      </c>
    </row>
    <row r="623" spans="2:7" ht="15" customHeight="1" x14ac:dyDescent="0.3">
      <c r="C623" s="3"/>
      <c r="D623" s="8">
        <v>2019</v>
      </c>
      <c r="E623" s="14">
        <f>Data!N623</f>
        <v>25772000000</v>
      </c>
      <c r="F623" s="14">
        <f>Data!G623</f>
        <v>421315000000</v>
      </c>
      <c r="G623" s="12">
        <f t="shared" si="9"/>
        <v>6.1170383204965408E-2</v>
      </c>
    </row>
    <row r="624" spans="2:7" ht="15" customHeight="1" x14ac:dyDescent="0.3">
      <c r="C624" s="3"/>
      <c r="D624" s="8">
        <v>2020</v>
      </c>
      <c r="E624" s="14">
        <f>Data!N624</f>
        <v>1376000000</v>
      </c>
      <c r="F624" s="14">
        <f>Data!G624</f>
        <v>257248000000</v>
      </c>
      <c r="G624" s="12">
        <f t="shared" si="9"/>
        <v>5.348923995521831E-3</v>
      </c>
    </row>
    <row r="625" spans="1:7" ht="15" customHeight="1" x14ac:dyDescent="0.3">
      <c r="C625" s="3"/>
      <c r="D625" s="8">
        <v>2021</v>
      </c>
      <c r="E625" s="14">
        <f>Data!N625</f>
        <v>87802000000</v>
      </c>
      <c r="F625" s="14">
        <f>Data!G625</f>
        <v>483985000000</v>
      </c>
      <c r="G625" s="12">
        <f t="shared" si="9"/>
        <v>0.181414713265907</v>
      </c>
    </row>
    <row r="626" spans="1:7" ht="15" customHeight="1" x14ac:dyDescent="0.3">
      <c r="C626" s="3"/>
      <c r="D626" s="8">
        <v>2022</v>
      </c>
      <c r="E626" s="14">
        <f>Data!N626</f>
        <v>-87610000000</v>
      </c>
      <c r="F626" s="14">
        <f>Data!G626</f>
        <v>366488000000</v>
      </c>
      <c r="G626" s="12">
        <f t="shared" si="9"/>
        <v>-0.23905284756936107</v>
      </c>
    </row>
    <row r="627" spans="1:7" ht="15" customHeight="1" x14ac:dyDescent="0.3">
      <c r="C627" s="3"/>
      <c r="D627" s="8">
        <v>2023</v>
      </c>
      <c r="E627" s="14">
        <f>Data!N627</f>
        <v>-29177000000</v>
      </c>
      <c r="F627" s="14">
        <f>Data!G627</f>
        <v>148210000000</v>
      </c>
      <c r="G627" s="12">
        <f t="shared" si="9"/>
        <v>-0.19686255988124957</v>
      </c>
    </row>
    <row r="628" spans="1:7" ht="15" customHeight="1" x14ac:dyDescent="0.3">
      <c r="C628" s="3"/>
      <c r="D628" s="8">
        <v>2024</v>
      </c>
      <c r="E628" s="14">
        <f>Data!N628</f>
        <v>6487000000</v>
      </c>
      <c r="F628" s="14">
        <f>Data!G628</f>
        <v>179384000000</v>
      </c>
      <c r="G628" s="12">
        <f t="shared" si="9"/>
        <v>3.6162645497926235E-2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Data!N629</f>
        <v>0</v>
      </c>
      <c r="F629" s="14">
        <f>Data!G629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Data!N630</f>
        <v>0</v>
      </c>
      <c r="F630" s="14">
        <f>Data!G630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Data!N631</f>
        <v>0</v>
      </c>
      <c r="F631" s="14">
        <f>Data!G631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Data!N632</f>
        <v>0</v>
      </c>
      <c r="F632" s="14">
        <f>Data!G632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Data!N633</f>
        <v>0</v>
      </c>
      <c r="F633" s="14">
        <f>Data!G633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Data!N634</f>
        <v>0</v>
      </c>
      <c r="F634" s="14">
        <f>Data!G634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Data!N635</f>
        <v>-244725000000</v>
      </c>
      <c r="F635" s="14">
        <f>Data!G635</f>
        <v>1657001000000</v>
      </c>
      <c r="G635" s="12">
        <f t="shared" si="9"/>
        <v>-0.14769152221392745</v>
      </c>
    </row>
    <row r="636" spans="1:7" ht="15" customHeight="1" x14ac:dyDescent="0.3">
      <c r="C636" s="4"/>
      <c r="D636" s="8">
        <v>2021</v>
      </c>
      <c r="E636" s="14">
        <f>Data!N636</f>
        <v>-293500000000</v>
      </c>
      <c r="F636" s="14">
        <f>Data!G636</f>
        <v>1706301000000</v>
      </c>
      <c r="G636" s="12">
        <f t="shared" si="9"/>
        <v>-0.1720095106314771</v>
      </c>
    </row>
    <row r="637" spans="1:7" ht="15" customHeight="1" x14ac:dyDescent="0.3">
      <c r="C637" s="4"/>
      <c r="D637" s="8">
        <v>2022</v>
      </c>
      <c r="E637" s="14">
        <f>Data!N637</f>
        <v>-1895000000</v>
      </c>
      <c r="F637" s="14">
        <f>Data!G637</f>
        <v>2050028000000</v>
      </c>
      <c r="G637" s="12">
        <f t="shared" si="9"/>
        <v>-9.2437761825692134E-4</v>
      </c>
    </row>
    <row r="638" spans="1:7" ht="15" customHeight="1" x14ac:dyDescent="0.3">
      <c r="C638" s="4"/>
      <c r="D638" s="8">
        <v>2023</v>
      </c>
      <c r="E638" s="14">
        <f>Data!N638</f>
        <v>-110609000000</v>
      </c>
      <c r="F638" s="14">
        <f>Data!G638</f>
        <v>2178462000000</v>
      </c>
      <c r="G638" s="12">
        <f t="shared" si="9"/>
        <v>-5.0773894610050579E-2</v>
      </c>
    </row>
    <row r="639" spans="1:7" ht="15" customHeight="1" x14ac:dyDescent="0.3">
      <c r="C639" s="4"/>
      <c r="D639" s="8">
        <v>2024</v>
      </c>
      <c r="E639" s="14">
        <f>Data!N639</f>
        <v>-97265000000</v>
      </c>
      <c r="F639" s="14">
        <f>Data!G639</f>
        <v>2347784000000</v>
      </c>
      <c r="G639" s="12">
        <f t="shared" si="9"/>
        <v>-4.1428427828113658E-2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Data!N640</f>
        <v>0</v>
      </c>
      <c r="F640" s="14">
        <f>Data!G640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Data!N641</f>
        <v>0</v>
      </c>
      <c r="F641" s="14">
        <f>Data!G641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Data!N642</f>
        <v>0</v>
      </c>
      <c r="F642" s="14">
        <f>Data!G642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Data!N643</f>
        <v>0</v>
      </c>
      <c r="F643" s="14">
        <f>Data!G643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Data!N644</f>
        <v>0</v>
      </c>
      <c r="F644" s="14">
        <f>Data!G644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Data!N645</f>
        <v>74896000000</v>
      </c>
      <c r="F645" s="14">
        <f>Data!G645</f>
        <v>1222801000000</v>
      </c>
      <c r="G645" s="12">
        <f t="shared" si="10"/>
        <v>6.1249541012805844E-2</v>
      </c>
    </row>
    <row r="646" spans="2:7" ht="15" customHeight="1" x14ac:dyDescent="0.3">
      <c r="C646" s="2"/>
      <c r="D646" s="8">
        <v>2020</v>
      </c>
      <c r="E646" s="14">
        <f>Data!N646</f>
        <v>78044000000</v>
      </c>
      <c r="F646" s="14">
        <f>Data!G646</f>
        <v>1153735000000</v>
      </c>
      <c r="G646" s="12">
        <f t="shared" si="10"/>
        <v>6.7644649767927639E-2</v>
      </c>
    </row>
    <row r="647" spans="2:7" ht="15" customHeight="1" x14ac:dyDescent="0.3">
      <c r="C647" s="2"/>
      <c r="D647" s="8">
        <v>2021</v>
      </c>
      <c r="E647" s="14">
        <f>Data!N647</f>
        <v>70990000000</v>
      </c>
      <c r="F647" s="14">
        <f>Data!G647</f>
        <v>1145364000000</v>
      </c>
      <c r="G647" s="12">
        <f t="shared" si="10"/>
        <v>6.1980296220240899E-2</v>
      </c>
    </row>
    <row r="648" spans="2:7" ht="15" customHeight="1" x14ac:dyDescent="0.3">
      <c r="C648" s="2"/>
      <c r="D648" s="8">
        <v>2022</v>
      </c>
      <c r="E648" s="14">
        <f>Data!N648</f>
        <v>77054000000</v>
      </c>
      <c r="F648" s="14">
        <f>Data!G648</f>
        <v>1200901000000</v>
      </c>
      <c r="G648" s="12">
        <f t="shared" si="10"/>
        <v>6.4163490579156823E-2</v>
      </c>
    </row>
    <row r="649" spans="2:7" ht="15" customHeight="1" x14ac:dyDescent="0.3">
      <c r="C649" s="2"/>
      <c r="D649" s="8">
        <v>2023</v>
      </c>
      <c r="E649" s="14">
        <f>Data!N649</f>
        <v>133013000000</v>
      </c>
      <c r="F649" s="14">
        <f>Data!G649</f>
        <v>1229251000000</v>
      </c>
      <c r="G649" s="12">
        <f t="shared" si="10"/>
        <v>0.10820654203250597</v>
      </c>
    </row>
    <row r="650" spans="2:7" ht="15" customHeight="1" x14ac:dyDescent="0.3">
      <c r="C650" s="2"/>
      <c r="D650" s="8">
        <v>2024</v>
      </c>
      <c r="E650" s="14">
        <f>Data!N650</f>
        <v>151251000000</v>
      </c>
      <c r="F650" s="14">
        <f>Data!G650</f>
        <v>1460518000000</v>
      </c>
      <c r="G650" s="12">
        <f t="shared" si="10"/>
        <v>0.10355983288121064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Data!N651</f>
        <v>0</v>
      </c>
      <c r="F651" s="14">
        <f>Data!G651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Data!N652</f>
        <v>0</v>
      </c>
      <c r="F652" s="14">
        <f>Data!G652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Data!N653</f>
        <v>0</v>
      </c>
      <c r="F653" s="14">
        <f>Data!G653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Data!N654</f>
        <v>0</v>
      </c>
      <c r="F654" s="14">
        <f>Data!G654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Data!N655</f>
        <v>0</v>
      </c>
      <c r="F655" s="14">
        <f>Data!G655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Data!N656</f>
        <v>0</v>
      </c>
      <c r="F656" s="14">
        <f>Data!G656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Data!N657</f>
        <v>10618000000</v>
      </c>
      <c r="F657" s="14">
        <f>Data!G657</f>
        <v>426700000000</v>
      </c>
      <c r="G657" s="12">
        <f t="shared" si="10"/>
        <v>2.4883993438012654E-2</v>
      </c>
    </row>
    <row r="658" spans="2:7" ht="15" customHeight="1" x14ac:dyDescent="0.3">
      <c r="C658" s="2"/>
      <c r="D658" s="8">
        <v>2021</v>
      </c>
      <c r="E658" s="14">
        <f>Data!N658</f>
        <v>11025000000</v>
      </c>
      <c r="F658" s="14">
        <f>Data!G658</f>
        <v>587684000000</v>
      </c>
      <c r="G658" s="12">
        <f t="shared" si="10"/>
        <v>1.8760081948802416E-2</v>
      </c>
    </row>
    <row r="659" spans="2:7" ht="15" customHeight="1" x14ac:dyDescent="0.3">
      <c r="C659" s="2"/>
      <c r="D659" s="8">
        <v>2022</v>
      </c>
      <c r="E659" s="14">
        <f>Data!N659</f>
        <v>22839000000</v>
      </c>
      <c r="F659" s="14">
        <f>Data!G659</f>
        <v>610818000000</v>
      </c>
      <c r="G659" s="12">
        <f t="shared" si="10"/>
        <v>3.739084309892636E-2</v>
      </c>
    </row>
    <row r="660" spans="2:7" ht="15" customHeight="1" x14ac:dyDescent="0.3">
      <c r="C660" s="2"/>
      <c r="D660" s="8">
        <v>2023</v>
      </c>
      <c r="E660" s="14">
        <f>Data!N660</f>
        <v>7193000000</v>
      </c>
      <c r="F660" s="14">
        <f>Data!G660</f>
        <v>594083000000</v>
      </c>
      <c r="G660" s="12">
        <f t="shared" si="10"/>
        <v>1.2107735787760296E-2</v>
      </c>
    </row>
    <row r="661" spans="2:7" ht="15" customHeight="1" x14ac:dyDescent="0.3">
      <c r="C661" s="2"/>
      <c r="D661" s="8">
        <v>2024</v>
      </c>
      <c r="E661" s="14">
        <f>Data!N661</f>
        <v>25756000000</v>
      </c>
      <c r="F661" s="14">
        <f>Data!G661</f>
        <v>683086000000</v>
      </c>
      <c r="G661" s="12">
        <f t="shared" si="10"/>
        <v>3.7705354816231045E-2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Data!N662</f>
        <v>0</v>
      </c>
      <c r="F662" s="14">
        <f>Data!G662</f>
        <v>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Data!N663</f>
        <v>44788000000</v>
      </c>
      <c r="F663" s="14">
        <f>Data!G663</f>
        <v>2137811000000</v>
      </c>
      <c r="G663" s="12">
        <f t="shared" si="10"/>
        <v>2.0950402070154937E-2</v>
      </c>
    </row>
    <row r="664" spans="2:7" ht="15" customHeight="1" x14ac:dyDescent="0.3">
      <c r="C664" s="2"/>
      <c r="D664" s="8">
        <v>2016</v>
      </c>
      <c r="E664" s="14">
        <f>Data!N664</f>
        <v>-60325000000</v>
      </c>
      <c r="F664" s="14">
        <f>Data!G664</f>
        <v>1872156000000</v>
      </c>
      <c r="G664" s="12">
        <f t="shared" si="10"/>
        <v>-3.2222207978394965E-2</v>
      </c>
    </row>
    <row r="665" spans="2:7" ht="15" customHeight="1" x14ac:dyDescent="0.3">
      <c r="C665" s="2"/>
      <c r="D665" s="8">
        <v>2017</v>
      </c>
      <c r="E665" s="14">
        <f>Data!N665</f>
        <v>-28586000000</v>
      </c>
      <c r="F665" s="14">
        <f>Data!G665</f>
        <v>2305493000000</v>
      </c>
      <c r="G665" s="12">
        <f t="shared" si="10"/>
        <v>-1.23990834064558E-2</v>
      </c>
    </row>
    <row r="666" spans="2:7" ht="15" customHeight="1" x14ac:dyDescent="0.3">
      <c r="C666" s="2"/>
      <c r="D666" s="8">
        <v>2018</v>
      </c>
      <c r="E666" s="14">
        <f>Data!N666</f>
        <v>-30098000000</v>
      </c>
      <c r="F666" s="14">
        <f>Data!G666</f>
        <v>2550221000000</v>
      </c>
      <c r="G666" s="12">
        <f t="shared" si="10"/>
        <v>-1.1802114404986862E-2</v>
      </c>
    </row>
    <row r="667" spans="2:7" ht="15" customHeight="1" x14ac:dyDescent="0.3">
      <c r="C667" s="2"/>
      <c r="D667" s="8">
        <v>2019</v>
      </c>
      <c r="E667" s="14">
        <f>Data!N667</f>
        <v>16276000000</v>
      </c>
      <c r="F667" s="14">
        <f>Data!G667</f>
        <v>2424572000000</v>
      </c>
      <c r="G667" s="12">
        <f t="shared" si="10"/>
        <v>6.7129373761637108E-3</v>
      </c>
    </row>
    <row r="668" spans="2:7" ht="15" customHeight="1" x14ac:dyDescent="0.3">
      <c r="C668" s="2"/>
      <c r="D668" s="8">
        <v>2020</v>
      </c>
      <c r="E668" s="14">
        <f>Data!N668</f>
        <v>-29151000000</v>
      </c>
      <c r="F668" s="14">
        <f>Data!G668</f>
        <v>2420320000000</v>
      </c>
      <c r="G668" s="12">
        <f t="shared" si="10"/>
        <v>-1.2044275137171944E-2</v>
      </c>
    </row>
    <row r="669" spans="2:7" ht="15" customHeight="1" x14ac:dyDescent="0.3">
      <c r="C669" s="2"/>
      <c r="D669" s="8">
        <v>2021</v>
      </c>
      <c r="E669" s="14">
        <f>Data!N669</f>
        <v>-42621000000</v>
      </c>
      <c r="F669" s="14">
        <f>Data!G669</f>
        <v>2187497000000</v>
      </c>
      <c r="G669" s="12">
        <f t="shared" si="10"/>
        <v>-1.9483912435079912E-2</v>
      </c>
    </row>
    <row r="670" spans="2:7" ht="15" customHeight="1" x14ac:dyDescent="0.3">
      <c r="C670" s="2"/>
      <c r="D670" s="8">
        <v>2022</v>
      </c>
      <c r="E670" s="14">
        <f>Data!N670</f>
        <v>-21501000000</v>
      </c>
      <c r="F670" s="14">
        <f>Data!G670</f>
        <v>2029348000000</v>
      </c>
      <c r="G670" s="12">
        <f t="shared" si="10"/>
        <v>-1.059502855104201E-2</v>
      </c>
    </row>
    <row r="671" spans="2:7" ht="15" customHeight="1" x14ac:dyDescent="0.3">
      <c r="C671" s="2"/>
      <c r="D671" s="8">
        <v>2023</v>
      </c>
      <c r="E671" s="14">
        <f>Data!N671</f>
        <v>19450000000</v>
      </c>
      <c r="F671" s="14">
        <f>Data!G671</f>
        <v>2056708000000</v>
      </c>
      <c r="G671" s="12">
        <f t="shared" si="10"/>
        <v>9.4568601862782663E-3</v>
      </c>
    </row>
    <row r="672" spans="2:7" ht="15" customHeight="1" x14ac:dyDescent="0.3">
      <c r="C672" s="2"/>
      <c r="D672" s="8">
        <v>2024</v>
      </c>
      <c r="E672" s="14">
        <f>Data!N672</f>
        <v>23815000000</v>
      </c>
      <c r="F672" s="14">
        <f>Data!G672</f>
        <v>1997940000000</v>
      </c>
      <c r="G672" s="12">
        <f t="shared" si="10"/>
        <v>1.1919777370691812E-2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Data!N673</f>
        <v>0</v>
      </c>
      <c r="F673" s="14">
        <f>Data!G673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Data!N674</f>
        <v>0</v>
      </c>
      <c r="F674" s="14">
        <f>Data!G674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Data!N675</f>
        <v>0</v>
      </c>
      <c r="F675" s="14">
        <f>Data!G675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Data!N676</f>
        <v>0</v>
      </c>
      <c r="F676" s="14">
        <f>Data!G676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Data!N677</f>
        <v>5948440000</v>
      </c>
      <c r="F677" s="14">
        <f>Data!G677</f>
        <v>341369410000</v>
      </c>
      <c r="G677" s="12">
        <f t="shared" si="10"/>
        <v>1.7425228581553338E-2</v>
      </c>
    </row>
    <row r="678" spans="2:7" ht="15" customHeight="1" x14ac:dyDescent="0.3">
      <c r="C678" s="2"/>
      <c r="D678" s="8">
        <v>2019</v>
      </c>
      <c r="E678" s="14">
        <f>Data!N678</f>
        <v>13910270000</v>
      </c>
      <c r="F678" s="14">
        <f>Data!G678</f>
        <v>369621330000</v>
      </c>
      <c r="G678" s="12">
        <f t="shared" si="10"/>
        <v>3.7633840016754447E-2</v>
      </c>
    </row>
    <row r="679" spans="2:7" ht="15" customHeight="1" x14ac:dyDescent="0.3">
      <c r="C679" s="2"/>
      <c r="D679" s="8">
        <v>2020</v>
      </c>
      <c r="E679" s="14">
        <f>Data!N679</f>
        <v>18088270000</v>
      </c>
      <c r="F679" s="14">
        <f>Data!G679</f>
        <v>387906760000</v>
      </c>
      <c r="G679" s="12">
        <f t="shared" si="10"/>
        <v>4.6630458309105005E-2</v>
      </c>
    </row>
    <row r="680" spans="2:7" ht="15" customHeight="1" x14ac:dyDescent="0.3">
      <c r="C680" s="2"/>
      <c r="D680" s="8">
        <v>2021</v>
      </c>
      <c r="E680" s="14">
        <f>Data!N680</f>
        <v>20744920000</v>
      </c>
      <c r="F680" s="14">
        <f>Data!G680</f>
        <v>496279220000</v>
      </c>
      <c r="G680" s="12">
        <f t="shared" si="10"/>
        <v>4.1800903934684192E-2</v>
      </c>
    </row>
    <row r="681" spans="2:7" ht="15" customHeight="1" x14ac:dyDescent="0.3">
      <c r="C681" s="2"/>
      <c r="D681" s="8">
        <v>2022</v>
      </c>
      <c r="E681" s="14">
        <f>Data!N681</f>
        <v>15585220000</v>
      </c>
      <c r="F681" s="14">
        <f>Data!G681</f>
        <v>516469170000</v>
      </c>
      <c r="G681" s="12">
        <f t="shared" si="10"/>
        <v>3.0176476942466866E-2</v>
      </c>
    </row>
    <row r="682" spans="2:7" ht="15" customHeight="1" x14ac:dyDescent="0.3">
      <c r="C682" s="2"/>
      <c r="D682" s="8">
        <v>2023</v>
      </c>
      <c r="E682" s="14">
        <f>Data!N682</f>
        <v>25794260000</v>
      </c>
      <c r="F682" s="14">
        <f>Data!G682</f>
        <v>595658540000</v>
      </c>
      <c r="G682" s="12">
        <f t="shared" si="10"/>
        <v>4.3303769303802815E-2</v>
      </c>
    </row>
    <row r="683" spans="2:7" ht="15" customHeight="1" x14ac:dyDescent="0.3">
      <c r="C683" s="2"/>
      <c r="D683" s="8">
        <v>2024</v>
      </c>
      <c r="E683" s="14">
        <f>Data!N683</f>
        <v>13053680000</v>
      </c>
      <c r="F683" s="14">
        <f>Data!G683</f>
        <v>697102860000</v>
      </c>
      <c r="G683" s="12">
        <f t="shared" si="10"/>
        <v>1.8725615327413805E-2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Data!N684</f>
        <v>0</v>
      </c>
      <c r="F684" s="14">
        <f>Data!G684</f>
        <v>0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Data!N685</f>
        <v>43205419672</v>
      </c>
      <c r="F685" s="14">
        <f>Data!G685</f>
        <v>2091538245349</v>
      </c>
      <c r="G685" s="12">
        <f t="shared" si="10"/>
        <v>2.0657245818036966E-2</v>
      </c>
    </row>
    <row r="686" spans="2:7" ht="15" customHeight="1" x14ac:dyDescent="0.3">
      <c r="C686" s="2"/>
      <c r="D686" s="8">
        <v>2016</v>
      </c>
      <c r="E686" s="14">
        <f>Data!N686</f>
        <v>14717553647</v>
      </c>
      <c r="F686" s="14">
        <f>Data!G686</f>
        <v>1847306963482</v>
      </c>
      <c r="G686" s="12">
        <f t="shared" si="10"/>
        <v>7.967031975703049E-3</v>
      </c>
    </row>
    <row r="687" spans="2:7" ht="15" customHeight="1" x14ac:dyDescent="0.3">
      <c r="C687" s="2"/>
      <c r="D687" s="8">
        <v>2017</v>
      </c>
      <c r="E687" s="14">
        <f>Data!N687</f>
        <v>-172575486513</v>
      </c>
      <c r="F687" s="14">
        <f>Data!G687</f>
        <v>1558769299360</v>
      </c>
      <c r="G687" s="12">
        <f t="shared" si="10"/>
        <v>-0.11071265426118933</v>
      </c>
    </row>
    <row r="688" spans="2:7" ht="15" customHeight="1" x14ac:dyDescent="0.3">
      <c r="C688" s="2"/>
      <c r="D688" s="8">
        <v>2018</v>
      </c>
      <c r="E688" s="14">
        <f>Data!N688</f>
        <v>3614820369</v>
      </c>
      <c r="F688" s="14">
        <f>Data!G688</f>
        <v>1504014425963</v>
      </c>
      <c r="G688" s="12">
        <f t="shared" si="10"/>
        <v>2.4034479368011908E-3</v>
      </c>
    </row>
    <row r="689" spans="2:7" ht="15" customHeight="1" x14ac:dyDescent="0.3">
      <c r="C689" s="2"/>
      <c r="D689" s="8">
        <v>2019</v>
      </c>
      <c r="E689" s="14">
        <f>Data!N689</f>
        <v>6764502320</v>
      </c>
      <c r="F689" s="14">
        <f>Data!G689</f>
        <v>1814324020621</v>
      </c>
      <c r="G689" s="12">
        <f t="shared" si="10"/>
        <v>3.7283871255172334E-3</v>
      </c>
    </row>
    <row r="690" spans="2:7" ht="15" customHeight="1" x14ac:dyDescent="0.3">
      <c r="C690" s="2"/>
      <c r="D690" s="8">
        <v>2020</v>
      </c>
      <c r="E690" s="14">
        <f>Data!N690</f>
        <v>2101704759</v>
      </c>
      <c r="F690" s="14">
        <f>Data!G690</f>
        <v>1696979239602</v>
      </c>
      <c r="G690" s="12">
        <f t="shared" si="10"/>
        <v>1.23849762563561E-3</v>
      </c>
    </row>
    <row r="691" spans="2:7" ht="15" customHeight="1" x14ac:dyDescent="0.3">
      <c r="C691" s="2"/>
      <c r="D691" s="8">
        <v>2021</v>
      </c>
      <c r="E691" s="14">
        <f>Data!N691</f>
        <v>16779893824</v>
      </c>
      <c r="F691" s="14">
        <f>Data!G691</f>
        <v>1696009882944</v>
      </c>
      <c r="G691" s="12">
        <f t="shared" si="10"/>
        <v>9.893747667833637E-3</v>
      </c>
    </row>
    <row r="692" spans="2:7" ht="15" customHeight="1" x14ac:dyDescent="0.3">
      <c r="C692" s="2"/>
      <c r="D692" s="8">
        <v>2022</v>
      </c>
      <c r="E692" s="14">
        <f>Data!N692</f>
        <v>13583332925</v>
      </c>
      <c r="F692" s="14">
        <f>Data!G692</f>
        <v>1806935158886</v>
      </c>
      <c r="G692" s="12">
        <f t="shared" si="10"/>
        <v>7.5173327931558481E-3</v>
      </c>
    </row>
    <row r="693" spans="2:7" ht="15" customHeight="1" x14ac:dyDescent="0.3">
      <c r="C693" s="2"/>
      <c r="D693" s="8">
        <v>2023</v>
      </c>
      <c r="E693" s="14">
        <f>Data!N693</f>
        <v>7640395584</v>
      </c>
      <c r="F693" s="14">
        <f>Data!G693</f>
        <v>2234736630576</v>
      </c>
      <c r="G693" s="12">
        <f t="shared" si="10"/>
        <v>3.4189243955922892E-3</v>
      </c>
    </row>
    <row r="694" spans="2:7" ht="15" customHeight="1" x14ac:dyDescent="0.3">
      <c r="C694" s="2"/>
      <c r="D694" s="8">
        <v>2024</v>
      </c>
      <c r="E694" s="14">
        <f>Data!N694</f>
        <v>-90332000000</v>
      </c>
      <c r="F694" s="14">
        <f>Data!G694</f>
        <v>2539539000000</v>
      </c>
      <c r="G694" s="12">
        <f t="shared" si="10"/>
        <v>-3.5570235385241178E-2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Data!N695</f>
        <v>0</v>
      </c>
      <c r="F695" s="14">
        <f>Data!G695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Data!N696</f>
        <v>0</v>
      </c>
      <c r="F696" s="14">
        <f>Data!G696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Data!N697</f>
        <v>0</v>
      </c>
      <c r="F697" s="14">
        <f>Data!G697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Data!N698</f>
        <v>57000000</v>
      </c>
      <c r="F698" s="14">
        <f>Data!G698</f>
        <v>111934000000</v>
      </c>
      <c r="G698" s="12">
        <f t="shared" si="10"/>
        <v>5.0922865259885291E-4</v>
      </c>
    </row>
    <row r="699" spans="2:7" ht="15" customHeight="1" x14ac:dyDescent="0.3">
      <c r="C699" s="1"/>
      <c r="D699" s="8">
        <v>2018</v>
      </c>
      <c r="E699" s="14">
        <f>Data!N699</f>
        <v>28617000000</v>
      </c>
      <c r="F699" s="14">
        <f>Data!G699</f>
        <v>532259000000</v>
      </c>
      <c r="G699" s="12">
        <f t="shared" si="10"/>
        <v>5.3765178230898866E-2</v>
      </c>
    </row>
    <row r="700" spans="2:7" ht="15" customHeight="1" x14ac:dyDescent="0.3">
      <c r="C700" s="1"/>
      <c r="D700" s="8">
        <v>2019</v>
      </c>
      <c r="E700" s="14">
        <f>Data!N700</f>
        <v>19664000000</v>
      </c>
      <c r="F700" s="14">
        <f>Data!G700</f>
        <v>597964000000</v>
      </c>
      <c r="G700" s="12">
        <f t="shared" si="10"/>
        <v>3.2884922838164167E-2</v>
      </c>
    </row>
    <row r="701" spans="2:7" ht="15" customHeight="1" x14ac:dyDescent="0.3">
      <c r="C701" s="1"/>
      <c r="D701" s="8">
        <v>2020</v>
      </c>
      <c r="E701" s="14">
        <f>Data!N701</f>
        <v>25992000000</v>
      </c>
      <c r="F701" s="14">
        <f>Data!G701</f>
        <v>730449000000</v>
      </c>
      <c r="G701" s="12">
        <f t="shared" si="10"/>
        <v>3.5583593105062775E-2</v>
      </c>
    </row>
    <row r="702" spans="2:7" ht="15" customHeight="1" x14ac:dyDescent="0.3">
      <c r="C702" s="1"/>
      <c r="D702" s="8">
        <v>2021</v>
      </c>
      <c r="E702" s="14">
        <f>Data!N702</f>
        <v>35445000000</v>
      </c>
      <c r="F702" s="14">
        <f>Data!G702</f>
        <v>882584000000</v>
      </c>
      <c r="G702" s="12">
        <f t="shared" si="10"/>
        <v>4.0160483308104386E-2</v>
      </c>
    </row>
    <row r="703" spans="2:7" ht="15" customHeight="1" x14ac:dyDescent="0.3">
      <c r="C703" s="1"/>
      <c r="D703" s="8">
        <v>2022</v>
      </c>
      <c r="E703" s="14" t="e">
        <f>Data!#REF!</f>
        <v>#REF!</v>
      </c>
      <c r="F703" s="14">
        <f>Data!G703</f>
        <v>1025085000000</v>
      </c>
      <c r="G703" s="12">
        <f t="shared" si="10"/>
        <v>0</v>
      </c>
    </row>
    <row r="704" spans="2:7" ht="15" customHeight="1" x14ac:dyDescent="0.3">
      <c r="C704" s="1"/>
      <c r="D704" s="8">
        <v>2023</v>
      </c>
      <c r="E704" s="14" t="e">
        <f>Data!#REF!</f>
        <v>#REF!</v>
      </c>
      <c r="F704" s="14">
        <f>Data!G704</f>
        <v>1368246000000</v>
      </c>
      <c r="G704" s="12">
        <f t="shared" si="10"/>
        <v>0</v>
      </c>
    </row>
    <row r="705" spans="2:7" ht="15" customHeight="1" x14ac:dyDescent="0.3">
      <c r="C705" s="1"/>
      <c r="D705" s="8">
        <v>2024</v>
      </c>
      <c r="E705" s="14" t="e">
        <f>Data!#REF!</f>
        <v>#REF!</v>
      </c>
      <c r="F705" s="14">
        <f>Data!G705</f>
        <v>1631846000000</v>
      </c>
      <c r="G705" s="12">
        <f t="shared" si="10"/>
        <v>0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Data!N706</f>
        <v>0</v>
      </c>
      <c r="F706" s="14">
        <f>Data!G706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Data!N707</f>
        <v>0</v>
      </c>
      <c r="F707" s="14">
        <f>Data!G707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Data!N708</f>
        <v>0</v>
      </c>
      <c r="F708" s="14">
        <f>Data!G708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Data!N709</f>
        <v>0</v>
      </c>
      <c r="F709" s="14">
        <f>Data!G709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Data!N710</f>
        <v>0</v>
      </c>
      <c r="F710" s="14">
        <f>Data!G710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Data!N711</f>
        <v>0</v>
      </c>
      <c r="F711" s="14">
        <f>Data!G711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Data!N712</f>
        <v>0</v>
      </c>
      <c r="F712" s="14">
        <f>Data!G712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Data!N713</f>
        <v>0</v>
      </c>
      <c r="F713" s="14">
        <f>Data!G713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Data!N714</f>
        <v>887676316000</v>
      </c>
      <c r="F714" s="14">
        <f>Data!G714</f>
        <v>16603575802000</v>
      </c>
      <c r="G714" s="12">
        <f t="shared" si="11"/>
        <v>5.3462960424047579E-2</v>
      </c>
    </row>
    <row r="715" spans="2:7" ht="15" customHeight="1" x14ac:dyDescent="0.3">
      <c r="C715" s="2"/>
      <c r="D715" s="8">
        <v>2023</v>
      </c>
      <c r="E715" s="14">
        <f>Data!N715</f>
        <v>1224519584000</v>
      </c>
      <c r="F715" s="14">
        <f>Data!G715</f>
        <v>18377880959000</v>
      </c>
      <c r="G715" s="12">
        <f t="shared" si="11"/>
        <v>6.6630074856390303E-2</v>
      </c>
    </row>
    <row r="716" spans="2:7" ht="15" customHeight="1" x14ac:dyDescent="0.3">
      <c r="C716" s="2"/>
      <c r="D716" s="8">
        <v>2024</v>
      </c>
      <c r="E716" s="14">
        <f>Data!N716</f>
        <v>1329615553000</v>
      </c>
      <c r="F716" s="14">
        <f>Data!G716</f>
        <v>20178714079000</v>
      </c>
      <c r="G716" s="12">
        <f t="shared" si="11"/>
        <v>6.5891986367145744E-2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Data!N717</f>
        <v>0</v>
      </c>
      <c r="F717" s="14">
        <f>Data!G717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Data!N718</f>
        <v>180892000000</v>
      </c>
      <c r="F718" s="14">
        <f>Data!G718</f>
        <v>2075168653798</v>
      </c>
      <c r="G718" s="12">
        <f t="shared" si="11"/>
        <v>8.7169782402470836E-2</v>
      </c>
    </row>
    <row r="719" spans="2:7" ht="15" customHeight="1" x14ac:dyDescent="0.3">
      <c r="C719" s="2"/>
      <c r="D719" s="8">
        <v>2016</v>
      </c>
      <c r="E719" s="14">
        <f>Data!N719</f>
        <v>199223000000</v>
      </c>
      <c r="F719" s="14">
        <f>Data!G719</f>
        <v>2313046000000</v>
      </c>
      <c r="G719" s="12">
        <f t="shared" si="11"/>
        <v>8.6130150459610408E-2</v>
      </c>
    </row>
    <row r="720" spans="2:7" ht="15" customHeight="1" x14ac:dyDescent="0.3">
      <c r="C720" s="2"/>
      <c r="D720" s="8">
        <v>2017</v>
      </c>
      <c r="E720" s="14">
        <f>Data!N720</f>
        <v>172087000000</v>
      </c>
      <c r="F720" s="14">
        <f>Data!G720</f>
        <v>2690394000000</v>
      </c>
      <c r="G720" s="12">
        <f t="shared" si="11"/>
        <v>6.396349382283785E-2</v>
      </c>
    </row>
    <row r="721" spans="2:7" ht="15" customHeight="1" x14ac:dyDescent="0.3">
      <c r="C721" s="2"/>
      <c r="D721" s="8">
        <v>2018</v>
      </c>
      <c r="E721" s="14">
        <f>Data!N721</f>
        <v>160182000000</v>
      </c>
      <c r="F721" s="14">
        <f>Data!G721</f>
        <v>2661545000000</v>
      </c>
      <c r="G721" s="12">
        <f t="shared" si="11"/>
        <v>6.0183840588830924E-2</v>
      </c>
    </row>
    <row r="722" spans="2:7" ht="15" customHeight="1" x14ac:dyDescent="0.3">
      <c r="C722" s="2"/>
      <c r="D722" s="8">
        <v>2019</v>
      </c>
      <c r="E722" s="14">
        <f>Data!N722</f>
        <v>79913000000</v>
      </c>
      <c r="F722" s="14">
        <f>Data!G722</f>
        <v>3040661000000</v>
      </c>
      <c r="G722" s="12">
        <f t="shared" si="11"/>
        <v>2.6281456564871915E-2</v>
      </c>
    </row>
    <row r="723" spans="2:7" ht="15" customHeight="1" x14ac:dyDescent="0.3">
      <c r="C723" s="2"/>
      <c r="D723" s="8">
        <v>2020</v>
      </c>
      <c r="E723" s="14">
        <f>Data!N723</f>
        <v>75949000000</v>
      </c>
      <c r="F723" s="14">
        <f>Data!G723</f>
        <v>2996972000000</v>
      </c>
      <c r="G723" s="12">
        <f t="shared" si="11"/>
        <v>2.5341911769612795E-2</v>
      </c>
    </row>
    <row r="724" spans="2:7" ht="15" customHeight="1" x14ac:dyDescent="0.3">
      <c r="C724" s="2"/>
      <c r="D724" s="8">
        <v>2021</v>
      </c>
      <c r="E724" s="14">
        <f>Data!N724</f>
        <v>74899000000</v>
      </c>
      <c r="F724" s="14">
        <f>Data!G724</f>
        <v>3088637000000</v>
      </c>
      <c r="G724" s="12">
        <f t="shared" si="11"/>
        <v>2.4249855195026156E-2</v>
      </c>
    </row>
    <row r="725" spans="2:7" ht="15" customHeight="1" x14ac:dyDescent="0.3">
      <c r="C725" s="2"/>
      <c r="D725" s="8">
        <v>2022</v>
      </c>
      <c r="E725" s="14">
        <f>Data!N725</f>
        <v>94736000000</v>
      </c>
      <c r="F725" s="14">
        <f>Data!G725</f>
        <v>3550161000000</v>
      </c>
      <c r="G725" s="12">
        <f t="shared" si="11"/>
        <v>2.6684986962563106E-2</v>
      </c>
    </row>
    <row r="726" spans="2:7" ht="15" customHeight="1" x14ac:dyDescent="0.3">
      <c r="C726" s="2"/>
      <c r="D726" s="8">
        <v>2023</v>
      </c>
      <c r="E726" s="14">
        <f>Data!N726</f>
        <v>130076000000</v>
      </c>
      <c r="F726" s="14">
        <f>Data!G726</f>
        <v>3862435000000</v>
      </c>
      <c r="G726" s="12">
        <f t="shared" si="11"/>
        <v>3.3677201040276404E-2</v>
      </c>
    </row>
    <row r="727" spans="2:7" ht="15" customHeight="1" x14ac:dyDescent="0.3">
      <c r="C727" s="2"/>
      <c r="D727" s="8">
        <v>2024</v>
      </c>
      <c r="E727" s="14">
        <f>Data!N727</f>
        <v>0</v>
      </c>
      <c r="F727" s="14">
        <f>Data!G727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Data!N728</f>
        <v>0</v>
      </c>
      <c r="F728" s="14">
        <f>Data!G728</f>
        <v>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Data!N729</f>
        <v>5147000000</v>
      </c>
      <c r="F729" s="14">
        <f>Data!G730</f>
        <v>172481000000</v>
      </c>
      <c r="G729" s="12">
        <f t="shared" si="11"/>
        <v>2.9840967990677234E-2</v>
      </c>
    </row>
    <row r="730" spans="2:7" ht="15" customHeight="1" x14ac:dyDescent="0.3">
      <c r="C730" s="2"/>
      <c r="D730" s="8">
        <v>2016</v>
      </c>
      <c r="E730" s="14">
        <f>Data!N730</f>
        <v>8314000000</v>
      </c>
      <c r="F730" s="14" t="e">
        <f>Data!#REF!</f>
        <v>#REF!</v>
      </c>
      <c r="G730" s="12">
        <f t="shared" si="11"/>
        <v>0</v>
      </c>
    </row>
    <row r="731" spans="2:7" ht="15" customHeight="1" x14ac:dyDescent="0.3">
      <c r="C731" s="2"/>
      <c r="D731" s="8">
        <v>2017</v>
      </c>
      <c r="E731" s="14">
        <f>Data!N731</f>
        <v>4135470000.0000005</v>
      </c>
      <c r="F731" s="14">
        <f>Data!G731</f>
        <v>171728990000</v>
      </c>
      <c r="G731" s="12">
        <f t="shared" si="11"/>
        <v>2.4081373797167273E-2</v>
      </c>
    </row>
    <row r="732" spans="2:7" ht="15" customHeight="1" x14ac:dyDescent="0.3">
      <c r="C732" s="2"/>
      <c r="D732" s="8">
        <v>2018</v>
      </c>
      <c r="E732" s="14">
        <f>Data!N732</f>
        <v>4379710000</v>
      </c>
      <c r="F732" s="14">
        <f>Data!G732</f>
        <v>171191550000</v>
      </c>
      <c r="G732" s="12">
        <f t="shared" si="11"/>
        <v>2.5583680970234803E-2</v>
      </c>
    </row>
    <row r="733" spans="2:7" ht="15" customHeight="1" x14ac:dyDescent="0.3">
      <c r="C733" s="2"/>
      <c r="D733" s="8">
        <v>2019</v>
      </c>
      <c r="E733" s="14">
        <f>Data!N733</f>
        <v>5451080000</v>
      </c>
      <c r="F733" s="14">
        <f>Data!G733</f>
        <v>186330430000</v>
      </c>
      <c r="G733" s="12">
        <f t="shared" si="11"/>
        <v>2.9254910215148432E-2</v>
      </c>
    </row>
    <row r="734" spans="2:7" ht="15" customHeight="1" x14ac:dyDescent="0.3">
      <c r="C734" s="2"/>
      <c r="D734" s="8">
        <v>2020</v>
      </c>
      <c r="E734" s="14">
        <f>Data!N734</f>
        <v>8472430000</v>
      </c>
      <c r="F734" s="14">
        <f>Data!G734</f>
        <v>211221340000</v>
      </c>
      <c r="G734" s="12">
        <f t="shared" si="11"/>
        <v>4.0111619403607607E-2</v>
      </c>
    </row>
    <row r="735" spans="2:7" ht="15" customHeight="1" x14ac:dyDescent="0.3">
      <c r="C735" s="2"/>
      <c r="D735" s="8">
        <v>2021</v>
      </c>
      <c r="E735" s="14">
        <f>Data!N735</f>
        <v>8169000000</v>
      </c>
      <c r="F735" s="14">
        <f>Data!G735</f>
        <v>208178180000</v>
      </c>
      <c r="G735" s="12">
        <f t="shared" si="11"/>
        <v>3.9240423756226515E-2</v>
      </c>
    </row>
    <row r="736" spans="2:7" ht="15" customHeight="1" x14ac:dyDescent="0.3">
      <c r="C736" s="2"/>
      <c r="D736" s="8">
        <v>2022</v>
      </c>
      <c r="E736" s="14">
        <f>Data!N736</f>
        <v>6873980000</v>
      </c>
      <c r="F736" s="14">
        <f>Data!G736</f>
        <v>217432640000</v>
      </c>
      <c r="G736" s="12">
        <f t="shared" si="11"/>
        <v>3.1614296731162353E-2</v>
      </c>
    </row>
    <row r="737" spans="2:7" ht="15" customHeight="1" x14ac:dyDescent="0.3">
      <c r="C737" s="2"/>
      <c r="D737" s="8">
        <v>2023</v>
      </c>
      <c r="E737" s="14">
        <f>Data!N737</f>
        <v>4831560000</v>
      </c>
      <c r="F737" s="14">
        <f>Data!G737</f>
        <v>408529730000</v>
      </c>
      <c r="G737" s="12">
        <f t="shared" si="11"/>
        <v>1.1826703530242462E-2</v>
      </c>
    </row>
    <row r="738" spans="2:7" ht="15" customHeight="1" x14ac:dyDescent="0.3">
      <c r="C738" s="2"/>
      <c r="D738" s="8">
        <v>2024</v>
      </c>
      <c r="E738" s="14">
        <f>Data!N738</f>
        <v>4237859999.9999995</v>
      </c>
      <c r="F738" s="14">
        <f>Data!G738</f>
        <v>308465380000</v>
      </c>
      <c r="G738" s="12">
        <f t="shared" si="11"/>
        <v>1.3738527156596956E-2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Data!N739</f>
        <v>0</v>
      </c>
      <c r="F739" s="14">
        <f>Data!G739</f>
        <v>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Data!N740</f>
        <v>268564704000</v>
      </c>
      <c r="F740" s="14">
        <f>Data!G740</f>
        <v>2846759759000</v>
      </c>
      <c r="G740" s="12">
        <f t="shared" si="11"/>
        <v>9.4340487689885177E-2</v>
      </c>
    </row>
    <row r="741" spans="2:7" ht="15" customHeight="1" x14ac:dyDescent="0.3">
      <c r="C741" s="2"/>
      <c r="D741" s="8">
        <v>2016</v>
      </c>
      <c r="E741" s="14">
        <f>Data!N741</f>
        <v>173481650000</v>
      </c>
      <c r="F741" s="14">
        <f>Data!G741</f>
        <v>2813838947000</v>
      </c>
      <c r="G741" s="12">
        <f t="shared" si="11"/>
        <v>6.1653013291666545E-2</v>
      </c>
    </row>
    <row r="742" spans="2:7" ht="15" customHeight="1" x14ac:dyDescent="0.3">
      <c r="C742" s="2"/>
      <c r="D742" s="8">
        <v>2017</v>
      </c>
      <c r="E742" s="14">
        <f>Data!N742</f>
        <v>160822141000</v>
      </c>
      <c r="F742" s="14">
        <f>Data!G742</f>
        <v>2966605878000</v>
      </c>
      <c r="G742" s="12">
        <f t="shared" si="11"/>
        <v>5.4210821259621331E-2</v>
      </c>
    </row>
    <row r="743" spans="2:7" ht="15" customHeight="1" x14ac:dyDescent="0.3">
      <c r="C743" s="2"/>
      <c r="D743" s="8">
        <v>2018</v>
      </c>
      <c r="E743" s="14">
        <f>Data!N743</f>
        <v>69110393000</v>
      </c>
      <c r="F743" s="14">
        <f>Data!G743</f>
        <v>2890427512000</v>
      </c>
      <c r="G743" s="12">
        <f t="shared" si="11"/>
        <v>2.3910093822826856E-2</v>
      </c>
    </row>
    <row r="744" spans="2:7" ht="15" customHeight="1" x14ac:dyDescent="0.3">
      <c r="C744" s="2"/>
      <c r="D744" s="8">
        <v>2019</v>
      </c>
      <c r="E744" s="14">
        <f>Data!N744</f>
        <v>87524342000</v>
      </c>
      <c r="F744" s="14">
        <f>Data!G744</f>
        <v>2579654391000</v>
      </c>
      <c r="G744" s="12">
        <f t="shared" si="11"/>
        <v>3.3928708553114084E-2</v>
      </c>
    </row>
    <row r="745" spans="2:7" ht="15" customHeight="1" x14ac:dyDescent="0.3">
      <c r="C745" s="2"/>
      <c r="D745" s="8">
        <v>2020</v>
      </c>
      <c r="E745" s="14">
        <f>Data!N745</f>
        <v>138190287000</v>
      </c>
      <c r="F745" s="14">
        <f>Data!G745</f>
        <v>2477781648000</v>
      </c>
      <c r="G745" s="12">
        <f t="shared" si="11"/>
        <v>5.5771777594504163E-2</v>
      </c>
    </row>
    <row r="746" spans="2:7" ht="15" customHeight="1" x14ac:dyDescent="0.3">
      <c r="C746" s="2"/>
      <c r="D746" s="8">
        <v>2021</v>
      </c>
      <c r="E746" s="14">
        <f>Data!N746</f>
        <v>157351069000</v>
      </c>
      <c r="F746" s="14">
        <f>Data!G746</f>
        <v>2495890568000</v>
      </c>
      <c r="G746" s="12">
        <f t="shared" si="11"/>
        <v>6.304405770726082E-2</v>
      </c>
    </row>
    <row r="747" spans="2:7" ht="15" customHeight="1" x14ac:dyDescent="0.3">
      <c r="C747" s="2"/>
      <c r="D747" s="8">
        <v>2022</v>
      </c>
      <c r="E747" s="14">
        <f>Data!N747</f>
        <v>91138279000</v>
      </c>
      <c r="F747" s="14">
        <f>Data!G747</f>
        <v>2472105924000</v>
      </c>
      <c r="G747" s="12">
        <f t="shared" si="11"/>
        <v>3.686665612310551E-2</v>
      </c>
    </row>
    <row r="748" spans="2:7" ht="15" customHeight="1" x14ac:dyDescent="0.3">
      <c r="C748" s="2"/>
      <c r="D748" s="8">
        <v>2023</v>
      </c>
      <c r="E748" s="14">
        <f>Data!N748</f>
        <v>84575723000</v>
      </c>
      <c r="F748" s="14">
        <f>Data!G748</f>
        <v>2664450707000</v>
      </c>
      <c r="G748" s="12">
        <f t="shared" si="11"/>
        <v>3.1742273474155133E-2</v>
      </c>
    </row>
    <row r="749" spans="2:7" ht="15" customHeight="1" x14ac:dyDescent="0.3">
      <c r="C749" s="2"/>
      <c r="D749" s="8">
        <v>2024</v>
      </c>
      <c r="E749" s="14">
        <f>Data!N749</f>
        <v>80050275000</v>
      </c>
      <c r="F749" s="14">
        <f>Data!G749</f>
        <v>2751906616000</v>
      </c>
      <c r="G749" s="12">
        <f t="shared" si="11"/>
        <v>2.9089023055715493E-2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Data!N750</f>
        <v>0</v>
      </c>
      <c r="F750" s="14">
        <f>Data!G750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Data!N751</f>
        <v>0</v>
      </c>
      <c r="F751" s="14">
        <f>Data!G751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Data!N752</f>
        <v>0</v>
      </c>
      <c r="F752" s="14">
        <f>Data!G752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Data!N753</f>
        <v>25574790000</v>
      </c>
      <c r="F753" s="14">
        <f>Data!G753</f>
        <v>390722630000</v>
      </c>
      <c r="G753" s="12">
        <f t="shared" si="11"/>
        <v>6.5455103022827213E-2</v>
      </c>
    </row>
    <row r="754" spans="2:7" ht="15" customHeight="1" x14ac:dyDescent="0.3">
      <c r="C754" s="2"/>
      <c r="D754" s="8">
        <v>2018</v>
      </c>
      <c r="E754" s="14">
        <f>Data!N754</f>
        <v>30203870000</v>
      </c>
      <c r="F754" s="14">
        <f>Data!G754</f>
        <v>445745740000</v>
      </c>
      <c r="G754" s="12">
        <f t="shared" si="11"/>
        <v>6.7760311068816942E-2</v>
      </c>
    </row>
    <row r="755" spans="2:7" ht="15" customHeight="1" x14ac:dyDescent="0.3">
      <c r="C755" s="2"/>
      <c r="D755" s="8">
        <v>2019</v>
      </c>
      <c r="E755" s="14">
        <f>Data!N755</f>
        <v>37361450000</v>
      </c>
      <c r="F755" s="14">
        <f>Data!G755</f>
        <v>541929699999.99994</v>
      </c>
      <c r="G755" s="12">
        <f t="shared" si="11"/>
        <v>6.8941506619770068E-2</v>
      </c>
    </row>
    <row r="756" spans="2:7" ht="15" customHeight="1" x14ac:dyDescent="0.3">
      <c r="C756" s="2"/>
      <c r="D756" s="8">
        <v>2020</v>
      </c>
      <c r="E756" s="14">
        <f>Data!N756</f>
        <v>42154150000</v>
      </c>
      <c r="F756" s="14">
        <f>Data!G756</f>
        <v>651096710000</v>
      </c>
      <c r="G756" s="12">
        <f t="shared" si="11"/>
        <v>6.4743300576653201E-2</v>
      </c>
    </row>
    <row r="757" spans="2:7" ht="15" customHeight="1" x14ac:dyDescent="0.3">
      <c r="C757" s="2"/>
      <c r="D757" s="8">
        <v>2021</v>
      </c>
      <c r="E757" s="14">
        <f>Data!N757</f>
        <v>31535620000</v>
      </c>
      <c r="F757" s="14">
        <f>Data!G757</f>
        <v>638850140000</v>
      </c>
      <c r="G757" s="12">
        <f t="shared" si="11"/>
        <v>4.9363094762724789E-2</v>
      </c>
    </row>
    <row r="758" spans="2:7" ht="15" customHeight="1" x14ac:dyDescent="0.3">
      <c r="C758" s="2"/>
      <c r="D758" s="8">
        <v>2022</v>
      </c>
      <c r="E758" s="14">
        <f>Data!N758</f>
        <v>42879190000</v>
      </c>
      <c r="F758" s="14">
        <f>Data!G758</f>
        <v>717529210000</v>
      </c>
      <c r="G758" s="12">
        <f t="shared" si="11"/>
        <v>5.9759504424913935E-2</v>
      </c>
    </row>
    <row r="759" spans="2:7" ht="15" customHeight="1" x14ac:dyDescent="0.3">
      <c r="C759" s="2"/>
      <c r="D759" s="8">
        <v>2023</v>
      </c>
      <c r="E759" s="14">
        <f>Data!N759</f>
        <v>42350270000</v>
      </c>
      <c r="F759" s="14">
        <f>Data!G759</f>
        <v>862563240000</v>
      </c>
      <c r="G759" s="12">
        <f t="shared" si="11"/>
        <v>4.9098162356188517E-2</v>
      </c>
    </row>
    <row r="760" spans="2:7" ht="15" customHeight="1" x14ac:dyDescent="0.3">
      <c r="C760" s="2"/>
      <c r="D760" s="8">
        <v>2024</v>
      </c>
      <c r="E760" s="14">
        <f>Data!N760</f>
        <v>48834840000</v>
      </c>
      <c r="F760" s="14">
        <f>Data!G760</f>
        <v>914639760000</v>
      </c>
      <c r="G760" s="12">
        <f t="shared" si="11"/>
        <v>5.3392430698617342E-2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Data!N761</f>
        <v>0</v>
      </c>
      <c r="F761" s="14">
        <f>Data!G761</f>
        <v>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Data!N762</f>
        <v>28199274000</v>
      </c>
      <c r="F762" s="14">
        <f>Data!G762</f>
        <v>494002999000</v>
      </c>
      <c r="G762" s="12">
        <f t="shared" si="11"/>
        <v>5.7083204063706504E-2</v>
      </c>
    </row>
    <row r="763" spans="2:7" ht="15" customHeight="1" x14ac:dyDescent="0.3">
      <c r="C763" s="2"/>
      <c r="D763" s="8">
        <v>2016</v>
      </c>
      <c r="E763" s="14">
        <f>Data!N763</f>
        <v>15304781000</v>
      </c>
      <c r="F763" s="14">
        <f>Data!G763</f>
        <v>525898830000</v>
      </c>
      <c r="G763" s="12">
        <f t="shared" si="11"/>
        <v>2.910213928409006E-2</v>
      </c>
    </row>
    <row r="764" spans="2:7" ht="15" customHeight="1" x14ac:dyDescent="0.3">
      <c r="C764" s="2"/>
      <c r="D764" s="8">
        <v>2017</v>
      </c>
      <c r="E764" s="14">
        <f>Data!N764</f>
        <v>13511398000</v>
      </c>
      <c r="F764" s="14">
        <f>Data!G764</f>
        <v>738183659000</v>
      </c>
      <c r="G764" s="12">
        <f t="shared" si="11"/>
        <v>1.8303572336325586E-2</v>
      </c>
    </row>
    <row r="765" spans="2:7" ht="15" customHeight="1" x14ac:dyDescent="0.3">
      <c r="C765" s="2"/>
      <c r="D765" s="8">
        <v>2018</v>
      </c>
      <c r="E765" s="14">
        <f>Data!N765</f>
        <v>13936519000</v>
      </c>
      <c r="F765" s="14">
        <f>Data!G765</f>
        <v>874472888000</v>
      </c>
      <c r="G765" s="12">
        <f t="shared" si="11"/>
        <v>1.5937050983792191E-2</v>
      </c>
    </row>
    <row r="766" spans="2:7" ht="15" customHeight="1" x14ac:dyDescent="0.3">
      <c r="C766" s="2"/>
      <c r="D766" s="8">
        <v>2019</v>
      </c>
      <c r="E766" s="14">
        <f>Data!N766</f>
        <v>8009060000</v>
      </c>
      <c r="F766" s="14">
        <f>Data!G766</f>
        <v>857520585000</v>
      </c>
      <c r="G766" s="12">
        <f t="shared" si="11"/>
        <v>9.3397874524493198E-3</v>
      </c>
    </row>
    <row r="767" spans="2:7" ht="15" customHeight="1" x14ac:dyDescent="0.3">
      <c r="C767" s="2"/>
      <c r="D767" s="8">
        <v>2020</v>
      </c>
      <c r="E767" s="14">
        <f>Data!N767</f>
        <v>23668304000</v>
      </c>
      <c r="F767" s="14">
        <f>Data!G767</f>
        <v>871769183000</v>
      </c>
      <c r="G767" s="12">
        <f t="shared" si="11"/>
        <v>2.7149736950497366E-2</v>
      </c>
    </row>
    <row r="768" spans="2:7" ht="15" customHeight="1" x14ac:dyDescent="0.3">
      <c r="C768" s="2"/>
      <c r="D768" s="8">
        <v>2021</v>
      </c>
      <c r="E768" s="14">
        <f>Data!N768</f>
        <v>16469192000</v>
      </c>
      <c r="F768" s="14">
        <f>Data!G768</f>
        <v>954657152000</v>
      </c>
      <c r="G768" s="12">
        <f t="shared" si="11"/>
        <v>1.7251420539297443E-2</v>
      </c>
    </row>
    <row r="769" spans="2:7" ht="15" customHeight="1" x14ac:dyDescent="0.3">
      <c r="C769" s="2"/>
      <c r="D769" s="8">
        <v>2022</v>
      </c>
      <c r="E769" s="14">
        <f>Data!N769</f>
        <v>5147620000</v>
      </c>
      <c r="F769" s="14">
        <f>Data!G769</f>
        <v>989810930000</v>
      </c>
      <c r="G769" s="12">
        <f t="shared" si="11"/>
        <v>5.2006093729435781E-3</v>
      </c>
    </row>
    <row r="770" spans="2:7" ht="15" customHeight="1" x14ac:dyDescent="0.3">
      <c r="C770" s="2"/>
      <c r="D770" s="8">
        <v>2023</v>
      </c>
      <c r="E770" s="14">
        <f>Data!N770</f>
        <v>5826993000</v>
      </c>
      <c r="F770" s="14">
        <f>Data!G770</f>
        <v>970378457000</v>
      </c>
      <c r="G770" s="12">
        <f t="shared" si="11"/>
        <v>6.0048664085295125E-3</v>
      </c>
    </row>
    <row r="771" spans="2:7" ht="15" customHeight="1" x14ac:dyDescent="0.3">
      <c r="C771" s="2"/>
      <c r="D771" s="8">
        <v>2024</v>
      </c>
      <c r="E771" s="14">
        <f>Data!N771</f>
        <v>9899005000</v>
      </c>
      <c r="F771" s="14">
        <f>Data!G771</f>
        <v>903498744000</v>
      </c>
      <c r="G771" s="12">
        <f t="shared" ref="G771:G834" si="12">IFERROR(E771/F771,0)</f>
        <v>1.0956301893874022E-2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Data!N772</f>
        <v>0</v>
      </c>
      <c r="F772" s="14">
        <f>Data!G772</f>
        <v>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Data!N773</f>
        <v>25175000000</v>
      </c>
      <c r="F773" s="14">
        <f>Data!G773</f>
        <v>393493000000</v>
      </c>
      <c r="G773" s="12">
        <f t="shared" si="12"/>
        <v>6.3978266449466706E-2</v>
      </c>
    </row>
    <row r="774" spans="2:7" ht="15" customHeight="1" x14ac:dyDescent="0.3">
      <c r="C774" s="2"/>
      <c r="D774" s="8">
        <v>2016</v>
      </c>
      <c r="E774" s="14">
        <f>Data!N774</f>
        <v>39913000000</v>
      </c>
      <c r="F774" s="14">
        <f>Data!G774</f>
        <v>445968000000</v>
      </c>
      <c r="G774" s="12">
        <f t="shared" si="12"/>
        <v>8.9497452732034591E-2</v>
      </c>
    </row>
    <row r="775" spans="2:7" ht="15" customHeight="1" x14ac:dyDescent="0.3">
      <c r="C775" s="2"/>
      <c r="D775" s="8">
        <v>2017</v>
      </c>
      <c r="E775" s="14">
        <f>Data!N775</f>
        <v>37937000000</v>
      </c>
      <c r="F775" s="14">
        <f>Data!G775</f>
        <v>413902000000</v>
      </c>
      <c r="G775" s="12">
        <f t="shared" si="12"/>
        <v>9.1656962276094336E-2</v>
      </c>
    </row>
    <row r="776" spans="2:7" ht="15" customHeight="1" x14ac:dyDescent="0.3">
      <c r="C776" s="2"/>
      <c r="D776" s="8">
        <v>2018</v>
      </c>
      <c r="E776" s="14">
        <f>Data!N776</f>
        <v>41364000000</v>
      </c>
      <c r="F776" s="14">
        <f>Data!G776</f>
        <v>458423000000</v>
      </c>
      <c r="G776" s="12">
        <f t="shared" si="12"/>
        <v>9.0231074793367699E-2</v>
      </c>
    </row>
    <row r="777" spans="2:7" ht="15" customHeight="1" x14ac:dyDescent="0.3">
      <c r="C777" s="2"/>
      <c r="D777" s="8">
        <v>2019</v>
      </c>
      <c r="E777" s="14">
        <f>Data!N777</f>
        <v>40854000000</v>
      </c>
      <c r="F777" s="14">
        <f>Data!G777</f>
        <v>475599000000</v>
      </c>
      <c r="G777" s="12">
        <f t="shared" si="12"/>
        <v>8.5900096509874915E-2</v>
      </c>
    </row>
    <row r="778" spans="2:7" ht="15" customHeight="1" x14ac:dyDescent="0.3">
      <c r="C778" s="2"/>
      <c r="D778" s="8">
        <v>2020</v>
      </c>
      <c r="E778" s="14">
        <f>Data!N778</f>
        <v>52437000000</v>
      </c>
      <c r="F778" s="14">
        <f>Data!G778</f>
        <v>491590000000</v>
      </c>
      <c r="G778" s="12">
        <f t="shared" si="12"/>
        <v>0.10666815842470351</v>
      </c>
    </row>
    <row r="779" spans="2:7" ht="15" customHeight="1" x14ac:dyDescent="0.3">
      <c r="C779" s="2"/>
      <c r="D779" s="8">
        <v>2021</v>
      </c>
      <c r="E779" s="14">
        <f>Data!N779</f>
        <v>40159000000</v>
      </c>
      <c r="F779" s="14">
        <f>Data!G779</f>
        <v>558562000000</v>
      </c>
      <c r="G779" s="12">
        <f t="shared" si="12"/>
        <v>7.1897121537089881E-2</v>
      </c>
    </row>
    <row r="780" spans="2:7" ht="15" customHeight="1" x14ac:dyDescent="0.3">
      <c r="C780" s="2"/>
      <c r="D780" s="8">
        <v>2022</v>
      </c>
      <c r="E780" s="14">
        <f>Data!N780</f>
        <v>49054000000</v>
      </c>
      <c r="F780" s="14">
        <f>Data!G780</f>
        <v>633061000000</v>
      </c>
      <c r="G780" s="12">
        <f t="shared" si="12"/>
        <v>7.7487003622083814E-2</v>
      </c>
    </row>
    <row r="781" spans="2:7" ht="15" customHeight="1" x14ac:dyDescent="0.3">
      <c r="C781" s="2"/>
      <c r="D781" s="8">
        <v>2023</v>
      </c>
      <c r="E781" s="14">
        <f>Data!N781</f>
        <v>23154000000</v>
      </c>
      <c r="F781" s="14">
        <f>Data!G781</f>
        <v>720422000000</v>
      </c>
      <c r="G781" s="12">
        <f t="shared" si="12"/>
        <v>3.2139496017611902E-2</v>
      </c>
    </row>
    <row r="782" spans="2:7" ht="15" customHeight="1" x14ac:dyDescent="0.3">
      <c r="C782" s="2"/>
      <c r="D782" s="8">
        <v>2024</v>
      </c>
      <c r="E782" s="14">
        <f>Data!N782</f>
        <v>81125000000</v>
      </c>
      <c r="F782" s="14">
        <f>Data!G782</f>
        <v>708738000000</v>
      </c>
      <c r="G782" s="12">
        <f t="shared" si="12"/>
        <v>0.11446401914388674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Data!N783</f>
        <v>0</v>
      </c>
      <c r="F783" s="14">
        <f>Data!G783</f>
        <v>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Data!N784</f>
        <v>6347000000</v>
      </c>
      <c r="F784" s="14">
        <f>Data!G784</f>
        <v>376932000000</v>
      </c>
      <c r="G784" s="12">
        <f t="shared" si="12"/>
        <v>1.6838580964205745E-2</v>
      </c>
    </row>
    <row r="785" spans="2:7" ht="15" customHeight="1" x14ac:dyDescent="0.3">
      <c r="C785" s="2"/>
      <c r="D785" s="8">
        <v>2016</v>
      </c>
      <c r="E785" s="14">
        <f>Data!N785</f>
        <v>15826000000</v>
      </c>
      <c r="F785" s="14">
        <f>Data!G785</f>
        <v>505969000000</v>
      </c>
      <c r="G785" s="12">
        <f t="shared" si="12"/>
        <v>3.1278596119525111E-2</v>
      </c>
    </row>
    <row r="786" spans="2:7" ht="15" customHeight="1" x14ac:dyDescent="0.3">
      <c r="C786" s="2"/>
      <c r="D786" s="8">
        <v>2017</v>
      </c>
      <c r="E786" s="14">
        <f>Data!N786</f>
        <v>30388000000</v>
      </c>
      <c r="F786" s="14">
        <f>Data!G786</f>
        <v>786758000000</v>
      </c>
      <c r="G786" s="12">
        <f t="shared" si="12"/>
        <v>3.8624329209235878E-2</v>
      </c>
    </row>
    <row r="787" spans="2:7" ht="15" customHeight="1" x14ac:dyDescent="0.3">
      <c r="C787" s="2"/>
      <c r="D787" s="8">
        <v>2018</v>
      </c>
      <c r="E787" s="14">
        <f>Data!N787</f>
        <v>50842000000</v>
      </c>
      <c r="F787" s="14">
        <f>Data!G787</f>
        <v>1105918000000</v>
      </c>
      <c r="G787" s="12">
        <f t="shared" si="12"/>
        <v>4.5972667051264196E-2</v>
      </c>
    </row>
    <row r="788" spans="2:7" ht="15" customHeight="1" x14ac:dyDescent="0.3">
      <c r="C788" s="2"/>
      <c r="D788" s="8">
        <v>2019</v>
      </c>
      <c r="E788" s="14">
        <f>Data!N788</f>
        <v>67340000000</v>
      </c>
      <c r="F788" s="14">
        <f>Data!G788</f>
        <v>1092838000000</v>
      </c>
      <c r="G788" s="12">
        <f t="shared" si="12"/>
        <v>6.1619379999597379E-2</v>
      </c>
    </row>
    <row r="789" spans="2:7" ht="15" customHeight="1" x14ac:dyDescent="0.3">
      <c r="C789" s="2"/>
      <c r="D789" s="8">
        <v>2020</v>
      </c>
      <c r="E789" s="14">
        <f>Data!N789</f>
        <v>9651000000</v>
      </c>
      <c r="F789" s="14">
        <f>Data!G789</f>
        <v>1071885000000</v>
      </c>
      <c r="G789" s="12">
        <f t="shared" si="12"/>
        <v>9.0037643963671483E-3</v>
      </c>
    </row>
    <row r="790" spans="2:7" ht="15" customHeight="1" x14ac:dyDescent="0.3">
      <c r="C790" s="2"/>
      <c r="D790" s="8">
        <v>2021</v>
      </c>
      <c r="E790" s="14">
        <f>Data!N790</f>
        <v>11178000000</v>
      </c>
      <c r="F790" s="14">
        <f>Data!G790</f>
        <v>1104816000000</v>
      </c>
      <c r="G790" s="12">
        <f t="shared" si="12"/>
        <v>1.0117521831689621E-2</v>
      </c>
    </row>
    <row r="791" spans="2:7" ht="15" customHeight="1" x14ac:dyDescent="0.3">
      <c r="C791" s="2"/>
      <c r="D791" s="8">
        <v>2022</v>
      </c>
      <c r="E791" s="14">
        <f>Data!N791</f>
        <v>15877000000</v>
      </c>
      <c r="F791" s="14">
        <f>Data!G791</f>
        <v>1001209000000</v>
      </c>
      <c r="G791" s="12">
        <f t="shared" si="12"/>
        <v>1.5857827886085724E-2</v>
      </c>
    </row>
    <row r="792" spans="2:7" ht="15" customHeight="1" x14ac:dyDescent="0.3">
      <c r="C792" s="2"/>
      <c r="D792" s="8">
        <v>2023</v>
      </c>
      <c r="E792" s="14">
        <f>Data!N792</f>
        <v>20066000000</v>
      </c>
      <c r="F792" s="14">
        <f>Data!G792</f>
        <v>1085786000000</v>
      </c>
      <c r="G792" s="12">
        <f t="shared" si="12"/>
        <v>1.8480621411585709E-2</v>
      </c>
    </row>
    <row r="793" spans="2:7" ht="15" customHeight="1" x14ac:dyDescent="0.3">
      <c r="C793" s="2"/>
      <c r="D793" s="8">
        <v>2024</v>
      </c>
      <c r="E793" s="14">
        <f>Data!N793</f>
        <v>22038000000</v>
      </c>
      <c r="F793" s="14">
        <f>Data!G793</f>
        <v>1007550000000</v>
      </c>
      <c r="G793" s="12">
        <f t="shared" si="12"/>
        <v>2.1872859907696888E-2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Data!N794</f>
        <v>0</v>
      </c>
      <c r="F794" s="14">
        <f>Data!G794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Data!N795</f>
        <v>0</v>
      </c>
      <c r="F795" s="14">
        <f>Data!G795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Data!N796</f>
        <v>0</v>
      </c>
      <c r="F796" s="14">
        <f>Data!G796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Data!N797</f>
        <v>0</v>
      </c>
      <c r="F797" s="14">
        <f>Data!G797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Data!N798</f>
        <v>0</v>
      </c>
      <c r="F798" s="14">
        <f>Data!G798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Data!N799</f>
        <v>0</v>
      </c>
      <c r="F799" s="14">
        <f>Data!G799</f>
        <v>200264000000</v>
      </c>
      <c r="G799" s="12">
        <f t="shared" si="12"/>
        <v>0</v>
      </c>
    </row>
    <row r="800" spans="2:7" ht="15" customHeight="1" x14ac:dyDescent="0.3">
      <c r="C800" s="2"/>
      <c r="D800" s="8">
        <v>2020</v>
      </c>
      <c r="E800" s="14">
        <f>Data!N800</f>
        <v>3086000000</v>
      </c>
      <c r="F800" s="14">
        <f>Data!G800</f>
        <v>361478000000</v>
      </c>
      <c r="G800" s="12">
        <f t="shared" si="12"/>
        <v>8.5371723867012656E-3</v>
      </c>
    </row>
    <row r="801" spans="2:7" ht="15" customHeight="1" x14ac:dyDescent="0.3">
      <c r="C801" s="2"/>
      <c r="D801" s="8">
        <v>2021</v>
      </c>
      <c r="E801" s="14">
        <f>Data!N801</f>
        <v>5139000000</v>
      </c>
      <c r="F801" s="14">
        <f>Data!G801</f>
        <v>451600000000</v>
      </c>
      <c r="G801" s="12">
        <f t="shared" si="12"/>
        <v>1.1379539415411869E-2</v>
      </c>
    </row>
    <row r="802" spans="2:7" ht="15" customHeight="1" x14ac:dyDescent="0.3">
      <c r="C802" s="2"/>
      <c r="D802" s="8">
        <v>2022</v>
      </c>
      <c r="E802" s="14">
        <f>Data!N802</f>
        <v>9125000000</v>
      </c>
      <c r="F802" s="14">
        <f>Data!G802</f>
        <v>513082000000</v>
      </c>
      <c r="G802" s="12">
        <f t="shared" si="12"/>
        <v>1.7784681590856822E-2</v>
      </c>
    </row>
    <row r="803" spans="2:7" ht="15" customHeight="1" x14ac:dyDescent="0.3">
      <c r="C803" s="2"/>
      <c r="D803" s="8">
        <v>2023</v>
      </c>
      <c r="E803" s="14">
        <f>Data!N803</f>
        <v>12040000000</v>
      </c>
      <c r="F803" s="14">
        <f>Data!G803</f>
        <v>624335000000</v>
      </c>
      <c r="G803" s="12">
        <f t="shared" si="12"/>
        <v>1.9284518727926515E-2</v>
      </c>
    </row>
    <row r="804" spans="2:7" ht="15" customHeight="1" x14ac:dyDescent="0.3">
      <c r="C804" s="2"/>
      <c r="D804" s="8">
        <v>2024</v>
      </c>
      <c r="E804" s="14">
        <f>Data!N804</f>
        <v>16393000000</v>
      </c>
      <c r="F804" s="14">
        <f>Data!G804</f>
        <v>714332000000</v>
      </c>
      <c r="G804" s="12">
        <f t="shared" si="12"/>
        <v>2.2948712923402562E-2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Data!N805</f>
        <v>0</v>
      </c>
      <c r="F805" s="14">
        <f>Data!G805</f>
        <v>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Data!N806</f>
        <v>155591000000</v>
      </c>
      <c r="F806" s="14">
        <f>Data!G806</f>
        <v>9225611000000</v>
      </c>
      <c r="G806" s="12">
        <f t="shared" si="12"/>
        <v>1.6865116034049128E-2</v>
      </c>
    </row>
    <row r="807" spans="2:7" ht="15" customHeight="1" x14ac:dyDescent="0.3">
      <c r="C807" s="2"/>
      <c r="D807" s="8">
        <v>2016</v>
      </c>
      <c r="E807" s="14">
        <f>Data!N807</f>
        <v>1426619000000</v>
      </c>
      <c r="F807" s="14">
        <f>Data!G807</f>
        <v>8734642000000</v>
      </c>
      <c r="G807" s="12">
        <f t="shared" si="12"/>
        <v>0.16332884621945581</v>
      </c>
    </row>
    <row r="808" spans="2:7" ht="15" customHeight="1" x14ac:dyDescent="0.3">
      <c r="C808" s="2"/>
      <c r="D808" s="8">
        <v>2017</v>
      </c>
      <c r="E808" s="14">
        <f>Data!N808</f>
        <v>-379089000000</v>
      </c>
      <c r="F808" s="14">
        <f>Data!G808</f>
        <v>8918691000000</v>
      </c>
      <c r="G808" s="12">
        <f t="shared" si="12"/>
        <v>-4.2505004377884605E-2</v>
      </c>
    </row>
    <row r="809" spans="2:7" ht="15" customHeight="1" x14ac:dyDescent="0.3">
      <c r="C809" s="2"/>
      <c r="D809" s="8">
        <v>2018</v>
      </c>
      <c r="E809" s="14">
        <f>Data!N809</f>
        <v>690212000000</v>
      </c>
      <c r="F809" s="14">
        <f>Data!G809</f>
        <v>9398031000000</v>
      </c>
      <c r="G809" s="12">
        <f t="shared" si="12"/>
        <v>7.3442192306026652E-2</v>
      </c>
    </row>
    <row r="810" spans="2:7" ht="15" customHeight="1" x14ac:dyDescent="0.3">
      <c r="C810" s="2"/>
      <c r="D810" s="8">
        <v>2019</v>
      </c>
      <c r="E810" s="14">
        <f>Data!N810</f>
        <v>1097058000000</v>
      </c>
      <c r="F810" s="14">
        <f>Data!G810</f>
        <v>10790332000000</v>
      </c>
      <c r="G810" s="12">
        <f t="shared" si="12"/>
        <v>0.1016704583325147</v>
      </c>
    </row>
    <row r="811" spans="2:7" ht="15" customHeight="1" x14ac:dyDescent="0.3">
      <c r="C811" s="2"/>
      <c r="D811" s="8">
        <v>2020</v>
      </c>
      <c r="E811" s="14">
        <f>Data!N811</f>
        <v>296078000000</v>
      </c>
      <c r="F811" s="14">
        <f>Data!G811</f>
        <v>10589546000000</v>
      </c>
      <c r="G811" s="12">
        <f t="shared" si="12"/>
        <v>2.7959461151592334E-2</v>
      </c>
    </row>
    <row r="812" spans="2:7" ht="15" customHeight="1" x14ac:dyDescent="0.3">
      <c r="C812" s="2"/>
      <c r="D812" s="8">
        <v>2021</v>
      </c>
      <c r="E812" s="14">
        <f>Data!N812</f>
        <v>1072763000000</v>
      </c>
      <c r="F812" s="14">
        <f>Data!G812</f>
        <v>12170557000000</v>
      </c>
      <c r="G812" s="12">
        <f t="shared" si="12"/>
        <v>8.8144116986593135E-2</v>
      </c>
    </row>
    <row r="813" spans="2:7" ht="15" customHeight="1" x14ac:dyDescent="0.3">
      <c r="C813" s="2"/>
      <c r="D813" s="8">
        <v>2022</v>
      </c>
      <c r="E813" s="14">
        <f>Data!N813</f>
        <v>156972000000</v>
      </c>
      <c r="F813" s="14">
        <f>Data!G813</f>
        <v>13092783000000</v>
      </c>
      <c r="G813" s="12">
        <f t="shared" si="12"/>
        <v>1.198920046257545E-2</v>
      </c>
    </row>
    <row r="814" spans="2:7" ht="15" customHeight="1" x14ac:dyDescent="0.3">
      <c r="C814" s="2"/>
      <c r="D814" s="8">
        <v>2023</v>
      </c>
      <c r="E814" s="14">
        <f>Data!N814</f>
        <v>333652000000</v>
      </c>
      <c r="F814" s="14">
        <f>Data!G814</f>
        <v>14409652000000</v>
      </c>
      <c r="G814" s="12">
        <f t="shared" si="12"/>
        <v>2.315475765826961E-2</v>
      </c>
    </row>
    <row r="815" spans="2:7" ht="15" customHeight="1" x14ac:dyDescent="0.3">
      <c r="C815" s="2"/>
      <c r="D815" s="8">
        <v>2024</v>
      </c>
      <c r="E815" s="14">
        <f>Data!N815</f>
        <v>147451000000</v>
      </c>
      <c r="F815" s="14">
        <f>Data!G815</f>
        <v>16164429000000</v>
      </c>
      <c r="G815" s="12">
        <f t="shared" si="12"/>
        <v>9.1219430021314083E-3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Data!N816</f>
        <v>0</v>
      </c>
      <c r="F816" s="14">
        <f>Data!G816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Data!N817</f>
        <v>0</v>
      </c>
      <c r="F817" s="14">
        <f>Data!G817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Data!N818</f>
        <v>0</v>
      </c>
      <c r="F818" s="14">
        <f>Data!G818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Data!N819</f>
        <v>0</v>
      </c>
      <c r="F819" s="14">
        <f>Data!G819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Data!N820</f>
        <v>0</v>
      </c>
      <c r="F820" s="14">
        <f>Data!G820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Data!N821</f>
        <v>0</v>
      </c>
      <c r="F821" s="14">
        <f>Data!G821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Data!N822</f>
        <v>0</v>
      </c>
      <c r="F822" s="14">
        <f>Data!G822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Data!N823</f>
        <v>0</v>
      </c>
      <c r="F823" s="14">
        <f>Data!G823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Data!N824</f>
        <v>0</v>
      </c>
      <c r="F824" s="14">
        <f>Data!G824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Data!N825</f>
        <v>0</v>
      </c>
      <c r="F825" s="14">
        <f>Data!G825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Data!N826</f>
        <v>0</v>
      </c>
      <c r="F826" s="14">
        <f>Data!G826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Data!N827</f>
        <v>0</v>
      </c>
      <c r="F827" s="14">
        <f>Data!G827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Data!N828</f>
        <v>0</v>
      </c>
      <c r="F828" s="14">
        <f>Data!G828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Data!N829</f>
        <v>0</v>
      </c>
      <c r="F829" s="14">
        <f>Data!G829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Data!N830</f>
        <v>0</v>
      </c>
      <c r="F830" s="14">
        <f>Data!G830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Data!N831</f>
        <v>0</v>
      </c>
      <c r="F831" s="14">
        <f>Data!G831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Data!N832</f>
        <v>25155527000</v>
      </c>
      <c r="F832" s="14">
        <f>Data!G832</f>
        <v>1158038755000</v>
      </c>
      <c r="G832" s="12">
        <f t="shared" si="12"/>
        <v>2.1722526030659484E-2</v>
      </c>
    </row>
    <row r="833" spans="2:7" ht="15" customHeight="1" x14ac:dyDescent="0.3">
      <c r="C833" s="2"/>
      <c r="D833" s="8">
        <v>2020</v>
      </c>
      <c r="E833" s="14">
        <f>Data!N833</f>
        <v>32575206000</v>
      </c>
      <c r="F833" s="14">
        <f>Data!G833</f>
        <v>859876511000</v>
      </c>
      <c r="G833" s="12">
        <f t="shared" si="12"/>
        <v>3.7883586286263843E-2</v>
      </c>
    </row>
    <row r="834" spans="2:7" ht="15" customHeight="1" x14ac:dyDescent="0.3">
      <c r="C834" s="2"/>
      <c r="D834" s="8">
        <v>2021</v>
      </c>
      <c r="E834" s="14">
        <f>Data!N834</f>
        <v>26480941000</v>
      </c>
      <c r="F834" s="14">
        <f>Data!G834</f>
        <v>822740369000</v>
      </c>
      <c r="G834" s="12">
        <f t="shared" si="12"/>
        <v>3.2186266771115496E-2</v>
      </c>
    </row>
    <row r="835" spans="2:7" ht="15" customHeight="1" x14ac:dyDescent="0.3">
      <c r="C835" s="2"/>
      <c r="D835" s="8">
        <v>2022</v>
      </c>
      <c r="E835" s="14">
        <f>Data!N835</f>
        <v>17253935000</v>
      </c>
      <c r="F835" s="14">
        <f>Data!G835</f>
        <v>888973513000</v>
      </c>
      <c r="G835" s="12">
        <f t="shared" ref="G835:G898" si="13">IFERROR(E835/F835,0)</f>
        <v>1.9408829113224658E-2</v>
      </c>
    </row>
    <row r="836" spans="2:7" ht="15" customHeight="1" x14ac:dyDescent="0.3">
      <c r="C836" s="2"/>
      <c r="D836" s="8">
        <v>2023</v>
      </c>
      <c r="E836" s="14">
        <f>Data!N836</f>
        <v>19270173000</v>
      </c>
      <c r="F836" s="14">
        <f>Data!G836</f>
        <v>982940217000</v>
      </c>
      <c r="G836" s="12">
        <f t="shared" si="13"/>
        <v>1.9604623624836382E-2</v>
      </c>
    </row>
    <row r="837" spans="2:7" ht="15" customHeight="1" x14ac:dyDescent="0.3">
      <c r="C837" s="2"/>
      <c r="D837" s="8">
        <v>2024</v>
      </c>
      <c r="E837" s="14">
        <f>Data!N837</f>
        <v>42106319000</v>
      </c>
      <c r="F837" s="14">
        <f>Data!G837</f>
        <v>1082550737000</v>
      </c>
      <c r="G837" s="12">
        <f t="shared" si="13"/>
        <v>3.889546934002041E-2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Data!N838</f>
        <v>0</v>
      </c>
      <c r="F838" s="14">
        <f>Data!G838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Data!N839</f>
        <v>0</v>
      </c>
      <c r="F839" s="14">
        <f>Data!G839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Data!N840</f>
        <v>0</v>
      </c>
      <c r="F840" s="14">
        <f>Data!G840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Data!N841</f>
        <v>0</v>
      </c>
      <c r="F841" s="14">
        <f>Data!G841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Data!N842</f>
        <v>5145900000</v>
      </c>
      <c r="F842" s="14">
        <f>Data!G842</f>
        <v>364590550000</v>
      </c>
      <c r="G842" s="12">
        <f t="shared" si="13"/>
        <v>1.4114189191135097E-2</v>
      </c>
    </row>
    <row r="843" spans="2:7" ht="15" customHeight="1" x14ac:dyDescent="0.3">
      <c r="C843" s="2"/>
      <c r="D843" s="8">
        <v>2019</v>
      </c>
      <c r="E843" s="14">
        <f>Data!N843</f>
        <v>1096750000</v>
      </c>
      <c r="F843" s="14">
        <f>Data!G843</f>
        <v>255980130000</v>
      </c>
      <c r="G843" s="12">
        <f t="shared" si="13"/>
        <v>4.2845122392898231E-3</v>
      </c>
    </row>
    <row r="844" spans="2:7" ht="15" customHeight="1" x14ac:dyDescent="0.3">
      <c r="C844" s="2"/>
      <c r="D844" s="8">
        <v>2020</v>
      </c>
      <c r="E844" s="14">
        <f>Data!N844</f>
        <v>-12047500000</v>
      </c>
      <c r="F844" s="14">
        <f>Data!G844</f>
        <v>314220790000</v>
      </c>
      <c r="G844" s="12">
        <f t="shared" si="13"/>
        <v>-3.8340874898825122E-2</v>
      </c>
    </row>
    <row r="845" spans="2:7" ht="15" customHeight="1" x14ac:dyDescent="0.3">
      <c r="C845" s="2"/>
      <c r="D845" s="8">
        <v>2021</v>
      </c>
      <c r="E845" s="14">
        <f>Data!N845</f>
        <v>-19146530000</v>
      </c>
      <c r="F845" s="14">
        <f>Data!G845</f>
        <v>240789680000</v>
      </c>
      <c r="G845" s="12">
        <f t="shared" si="13"/>
        <v>-7.9515575584468576E-2</v>
      </c>
    </row>
    <row r="846" spans="2:7" ht="15" customHeight="1" x14ac:dyDescent="0.3">
      <c r="C846" s="2"/>
      <c r="D846" s="8">
        <v>2022</v>
      </c>
      <c r="E846" s="14">
        <f>Data!N846</f>
        <v>-54450670000</v>
      </c>
      <c r="F846" s="14">
        <f>Data!G846</f>
        <v>218360480000</v>
      </c>
      <c r="G846" s="12">
        <f t="shared" si="13"/>
        <v>-0.24936137711366085</v>
      </c>
    </row>
    <row r="847" spans="2:7" ht="15" customHeight="1" x14ac:dyDescent="0.3">
      <c r="C847" s="2"/>
      <c r="D847" s="8">
        <v>2023</v>
      </c>
      <c r="E847" s="14">
        <f>Data!N847</f>
        <v>-22969000000</v>
      </c>
      <c r="F847" s="14">
        <f>Data!G847</f>
        <v>252198000000</v>
      </c>
      <c r="G847" s="12">
        <f t="shared" si="13"/>
        <v>-9.1075266259050422E-2</v>
      </c>
    </row>
    <row r="848" spans="2:7" ht="15" customHeight="1" x14ac:dyDescent="0.3">
      <c r="C848" s="2"/>
      <c r="D848" s="8">
        <v>2024</v>
      </c>
      <c r="E848" s="14">
        <f>Data!N848</f>
        <v>17360000000</v>
      </c>
      <c r="F848" s="14">
        <f>Data!G848</f>
        <v>256066000000</v>
      </c>
      <c r="G848" s="12">
        <f t="shared" si="13"/>
        <v>6.7795021595994778E-2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Data!N849</f>
        <v>0</v>
      </c>
      <c r="F849" s="14">
        <f>Data!G849</f>
        <v>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Data!N850</f>
        <v>2117225000</v>
      </c>
      <c r="F850" s="14">
        <f>Data!G850</f>
        <v>158115174000</v>
      </c>
      <c r="G850" s="12">
        <f t="shared" si="13"/>
        <v>1.3390397306206676E-2</v>
      </c>
    </row>
    <row r="851" spans="2:7" ht="15" customHeight="1" x14ac:dyDescent="0.3">
      <c r="C851" s="2"/>
      <c r="D851" s="8">
        <v>2016</v>
      </c>
      <c r="E851" s="14">
        <f>Data!N851</f>
        <v>2082770000</v>
      </c>
      <c r="F851" s="14">
        <f>Data!G851</f>
        <v>157375377000</v>
      </c>
      <c r="G851" s="12">
        <f t="shared" si="13"/>
        <v>1.3234408328057572E-2</v>
      </c>
    </row>
    <row r="852" spans="2:7" ht="15" customHeight="1" x14ac:dyDescent="0.3">
      <c r="C852" s="2"/>
      <c r="D852" s="8">
        <v>2017</v>
      </c>
      <c r="E852" s="14">
        <f>Data!N852</f>
        <v>1343981000</v>
      </c>
      <c r="F852" s="14">
        <f>Data!G852</f>
        <v>165304046000</v>
      </c>
      <c r="G852" s="12">
        <f t="shared" si="13"/>
        <v>8.1303575594271899E-3</v>
      </c>
    </row>
    <row r="853" spans="2:7" ht="15" customHeight="1" x14ac:dyDescent="0.3">
      <c r="C853" s="2"/>
      <c r="D853" s="8">
        <v>2018</v>
      </c>
      <c r="E853" s="14">
        <f>Data!N853</f>
        <v>5366000000</v>
      </c>
      <c r="F853" s="14">
        <f>Data!G853</f>
        <v>229521000000</v>
      </c>
      <c r="G853" s="12">
        <f t="shared" si="13"/>
        <v>2.3379124350277315E-2</v>
      </c>
    </row>
    <row r="854" spans="2:7" ht="15" customHeight="1" x14ac:dyDescent="0.3">
      <c r="C854" s="2"/>
      <c r="D854" s="8">
        <v>2019</v>
      </c>
      <c r="E854" s="14">
        <f>Data!N854</f>
        <v>5349521000</v>
      </c>
      <c r="F854" s="14">
        <f>Data!G854</f>
        <v>211559644000</v>
      </c>
      <c r="G854" s="12">
        <f t="shared" si="13"/>
        <v>2.5286112695481752E-2</v>
      </c>
    </row>
    <row r="855" spans="2:7" ht="15" customHeight="1" x14ac:dyDescent="0.3">
      <c r="C855" s="2"/>
      <c r="D855" s="8">
        <v>2020</v>
      </c>
      <c r="E855" s="14">
        <f>Data!N855</f>
        <v>1222362000</v>
      </c>
      <c r="F855" s="14">
        <f>Data!G855</f>
        <v>207903297000</v>
      </c>
      <c r="G855" s="12">
        <f t="shared" si="13"/>
        <v>5.8794738594260968E-3</v>
      </c>
    </row>
    <row r="856" spans="2:7" ht="15" customHeight="1" x14ac:dyDescent="0.3">
      <c r="C856" s="2"/>
      <c r="D856" s="8">
        <v>2021</v>
      </c>
      <c r="E856" s="14">
        <f>Data!N856</f>
        <v>-30971000000</v>
      </c>
      <c r="F856" s="14">
        <f>Data!G856</f>
        <v>179676000000</v>
      </c>
      <c r="G856" s="12">
        <f t="shared" si="13"/>
        <v>-0.17237137959438101</v>
      </c>
    </row>
    <row r="857" spans="2:7" ht="15" customHeight="1" x14ac:dyDescent="0.3">
      <c r="C857" s="2"/>
      <c r="D857" s="8">
        <v>2022</v>
      </c>
      <c r="E857" s="14">
        <f>Data!N857</f>
        <v>11323000000</v>
      </c>
      <c r="F857" s="14">
        <f>Data!G857</f>
        <v>269647000000</v>
      </c>
      <c r="G857" s="12">
        <f t="shared" si="13"/>
        <v>4.1991937607316232E-2</v>
      </c>
    </row>
    <row r="858" spans="2:7" ht="15" customHeight="1" x14ac:dyDescent="0.3">
      <c r="C858" s="2"/>
      <c r="D858" s="8">
        <v>2023</v>
      </c>
      <c r="E858" s="14">
        <f>Data!N858</f>
        <v>2621000000</v>
      </c>
      <c r="F858" s="14">
        <f>Data!G858</f>
        <v>387608000000</v>
      </c>
      <c r="G858" s="12">
        <f t="shared" si="13"/>
        <v>6.7619863367113162E-3</v>
      </c>
    </row>
    <row r="859" spans="2:7" ht="15" customHeight="1" x14ac:dyDescent="0.3">
      <c r="C859" s="2"/>
      <c r="D859" s="8">
        <v>2024</v>
      </c>
      <c r="E859" s="14">
        <f>Data!N859</f>
        <v>38401000000</v>
      </c>
      <c r="F859" s="14">
        <f>Data!G859</f>
        <v>576261000000</v>
      </c>
      <c r="G859" s="12">
        <f t="shared" si="13"/>
        <v>6.6638207340076805E-2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Data!N860</f>
        <v>0</v>
      </c>
      <c r="F860" s="14">
        <f>Data!G860</f>
        <v>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Data!N861</f>
        <v>15392160000</v>
      </c>
      <c r="F861" s="14">
        <f>Data!G861</f>
        <v>726345620000</v>
      </c>
      <c r="G861" s="12">
        <f t="shared" si="13"/>
        <v>2.1191234002347258E-2</v>
      </c>
    </row>
    <row r="862" spans="2:7" ht="15" customHeight="1" x14ac:dyDescent="0.3">
      <c r="C862" s="2"/>
      <c r="D862" s="8">
        <v>2016</v>
      </c>
      <c r="E862" s="14">
        <f>Data!N862</f>
        <v>25285110000</v>
      </c>
      <c r="F862" s="14">
        <f>Data!G862</f>
        <v>865785160000</v>
      </c>
      <c r="G862" s="12">
        <f t="shared" si="13"/>
        <v>2.9204831831490391E-2</v>
      </c>
    </row>
    <row r="863" spans="2:7" ht="15" customHeight="1" x14ac:dyDescent="0.3">
      <c r="C863" s="2"/>
      <c r="D863" s="8">
        <v>2017</v>
      </c>
      <c r="E863" s="14">
        <f>Data!N863</f>
        <v>1139200000</v>
      </c>
      <c r="F863" s="14">
        <f>Data!G863</f>
        <v>927525210000</v>
      </c>
      <c r="G863" s="12">
        <f t="shared" si="13"/>
        <v>1.2282145948356487E-3</v>
      </c>
    </row>
    <row r="864" spans="2:7" ht="15" customHeight="1" x14ac:dyDescent="0.3">
      <c r="C864" s="2"/>
      <c r="D864" s="8">
        <v>2018</v>
      </c>
      <c r="E864" s="14">
        <f>Data!N864</f>
        <v>-177602760000</v>
      </c>
      <c r="F864" s="14">
        <f>Data!G864</f>
        <v>1045273900000</v>
      </c>
      <c r="G864" s="12">
        <f t="shared" si="13"/>
        <v>-0.16991025988499284</v>
      </c>
    </row>
    <row r="865" spans="2:7" ht="15" customHeight="1" x14ac:dyDescent="0.3">
      <c r="C865" s="2"/>
      <c r="D865" s="8">
        <v>2019</v>
      </c>
      <c r="E865" s="14">
        <f>Data!N865</f>
        <v>-26822050000</v>
      </c>
      <c r="F865" s="14">
        <f>Data!G865</f>
        <v>617588470000</v>
      </c>
      <c r="G865" s="12">
        <f t="shared" si="13"/>
        <v>-4.3430295905621426E-2</v>
      </c>
    </row>
    <row r="866" spans="2:7" ht="15" customHeight="1" x14ac:dyDescent="0.3">
      <c r="C866" s="2"/>
      <c r="D866" s="8">
        <v>2020</v>
      </c>
      <c r="E866" s="14">
        <f>Data!N866</f>
        <v>12878000000</v>
      </c>
      <c r="F866" s="14">
        <f>Data!G866</f>
        <v>1015763000000</v>
      </c>
      <c r="G866" s="12">
        <f t="shared" si="13"/>
        <v>1.267815425448653E-2</v>
      </c>
    </row>
    <row r="867" spans="2:7" ht="15" customHeight="1" x14ac:dyDescent="0.3">
      <c r="C867" s="2"/>
      <c r="D867" s="8">
        <v>2021</v>
      </c>
      <c r="E867" s="14">
        <f>Data!N867</f>
        <v>-161336000000</v>
      </c>
      <c r="F867" s="14">
        <f>Data!G867</f>
        <v>1306165000000</v>
      </c>
      <c r="G867" s="12">
        <f t="shared" si="13"/>
        <v>-0.12351885098743268</v>
      </c>
    </row>
    <row r="868" spans="2:7" ht="15" customHeight="1" x14ac:dyDescent="0.3">
      <c r="C868" s="2"/>
      <c r="D868" s="8">
        <v>2022</v>
      </c>
      <c r="E868" s="14">
        <f>Data!N868</f>
        <v>-77626000000</v>
      </c>
      <c r="F868" s="14">
        <f>Data!G868</f>
        <v>1207430000000</v>
      </c>
      <c r="G868" s="12">
        <f t="shared" si="13"/>
        <v>-6.4290269415204188E-2</v>
      </c>
    </row>
    <row r="869" spans="2:7" ht="15" customHeight="1" x14ac:dyDescent="0.3">
      <c r="C869" s="2"/>
      <c r="D869" s="8">
        <v>2023</v>
      </c>
      <c r="E869" s="14">
        <f>Data!N869</f>
        <v>-29796000000</v>
      </c>
      <c r="F869" s="14">
        <f>Data!G869</f>
        <v>952959000000</v>
      </c>
      <c r="G869" s="12">
        <f t="shared" si="13"/>
        <v>-3.1266822602021703E-2</v>
      </c>
    </row>
    <row r="870" spans="2:7" ht="15" customHeight="1" x14ac:dyDescent="0.3">
      <c r="C870" s="2"/>
      <c r="D870" s="8">
        <v>2024</v>
      </c>
      <c r="E870" s="14">
        <f>Data!N870</f>
        <v>-15285000000</v>
      </c>
      <c r="F870" s="14">
        <f>Data!G870</f>
        <v>880166000000</v>
      </c>
      <c r="G870" s="12">
        <f t="shared" si="13"/>
        <v>-1.7366042314745173E-2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Data!N871</f>
        <v>0</v>
      </c>
      <c r="F871" s="14">
        <f>Data!G871</f>
        <v>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Data!N872</f>
        <v>21534000000</v>
      </c>
      <c r="F872" s="14">
        <f>Data!G872</f>
        <v>1425414000000</v>
      </c>
      <c r="G872" s="12">
        <f t="shared" si="13"/>
        <v>1.5107189911141605E-2</v>
      </c>
    </row>
    <row r="873" spans="2:7" ht="15" customHeight="1" x14ac:dyDescent="0.3">
      <c r="C873" s="2"/>
      <c r="D873" s="8">
        <v>2016</v>
      </c>
      <c r="E873" s="14">
        <f>Data!N873</f>
        <v>20589000000</v>
      </c>
      <c r="F873" s="14">
        <f>Data!G873</f>
        <v>1447531000000</v>
      </c>
      <c r="G873" s="12">
        <f t="shared" si="13"/>
        <v>1.4223529582440721E-2</v>
      </c>
    </row>
    <row r="874" spans="2:7" ht="15" customHeight="1" x14ac:dyDescent="0.3">
      <c r="C874" s="2"/>
      <c r="D874" s="8">
        <v>2017</v>
      </c>
      <c r="E874" s="14">
        <f>Data!N874</f>
        <v>10427000000</v>
      </c>
      <c r="F874" s="14">
        <f>Data!G874</f>
        <v>1546804000000</v>
      </c>
      <c r="G874" s="12">
        <f t="shared" si="13"/>
        <v>6.7409962736067397E-3</v>
      </c>
    </row>
    <row r="875" spans="2:7" ht="15" customHeight="1" x14ac:dyDescent="0.3">
      <c r="C875" s="2"/>
      <c r="D875" s="8">
        <v>2018</v>
      </c>
      <c r="E875" s="14">
        <f>Data!N875</f>
        <v>17770000000</v>
      </c>
      <c r="F875" s="14">
        <f>Data!G875</f>
        <v>1778439000000</v>
      </c>
      <c r="G875" s="12">
        <f t="shared" si="13"/>
        <v>9.9919086344822626E-3</v>
      </c>
    </row>
    <row r="876" spans="2:7" ht="15" customHeight="1" x14ac:dyDescent="0.3">
      <c r="C876" s="2"/>
      <c r="D876" s="8">
        <v>2019</v>
      </c>
      <c r="E876" s="14">
        <f>Data!N876</f>
        <v>38867000000</v>
      </c>
      <c r="F876" s="14">
        <f>Data!G876</f>
        <v>1785466000000</v>
      </c>
      <c r="G876" s="12">
        <f t="shared" si="13"/>
        <v>2.1768546698732991E-2</v>
      </c>
    </row>
    <row r="877" spans="2:7" ht="15" customHeight="1" x14ac:dyDescent="0.3">
      <c r="C877" s="2"/>
      <c r="D877" s="8">
        <v>2020</v>
      </c>
      <c r="E877" s="14">
        <f>Data!N877</f>
        <v>13427000000</v>
      </c>
      <c r="F877" s="14">
        <f>Data!G877</f>
        <v>1618403000000</v>
      </c>
      <c r="G877" s="12">
        <f t="shared" si="13"/>
        <v>8.2964502660956511E-3</v>
      </c>
    </row>
    <row r="878" spans="2:7" ht="15" customHeight="1" x14ac:dyDescent="0.3">
      <c r="C878" s="2"/>
      <c r="D878" s="8">
        <v>2021</v>
      </c>
      <c r="E878" s="14">
        <f>Data!N878</f>
        <v>16716000000</v>
      </c>
      <c r="F878" s="14">
        <f>Data!G878</f>
        <v>1662278000000</v>
      </c>
      <c r="G878" s="12">
        <f t="shared" si="13"/>
        <v>1.005607966898437E-2</v>
      </c>
    </row>
    <row r="879" spans="2:7" ht="15" customHeight="1" x14ac:dyDescent="0.3">
      <c r="C879" s="2"/>
      <c r="D879" s="8">
        <v>2022</v>
      </c>
      <c r="E879" s="14">
        <f>Data!N879</f>
        <v>8256000000</v>
      </c>
      <c r="F879" s="14">
        <f>Data!G879</f>
        <v>2086886000000</v>
      </c>
      <c r="G879" s="12">
        <f t="shared" si="13"/>
        <v>3.9561336843507502E-3</v>
      </c>
    </row>
    <row r="880" spans="2:7" ht="15" customHeight="1" x14ac:dyDescent="0.3">
      <c r="C880" s="2"/>
      <c r="D880" s="8">
        <v>2023</v>
      </c>
      <c r="E880" s="14">
        <f>Data!N880</f>
        <v>18594000000</v>
      </c>
      <c r="F880" s="14">
        <f>Data!G880</f>
        <v>1616151000000</v>
      </c>
      <c r="G880" s="12">
        <f t="shared" si="13"/>
        <v>1.1505113074211506E-2</v>
      </c>
    </row>
    <row r="881" spans="2:7" ht="15" customHeight="1" x14ac:dyDescent="0.3">
      <c r="C881" s="2"/>
      <c r="D881" s="8">
        <v>2024</v>
      </c>
      <c r="E881" s="14">
        <f>Data!N881</f>
        <v>-61897000000</v>
      </c>
      <c r="F881" s="14">
        <f>Data!G881</f>
        <v>1596064000000</v>
      </c>
      <c r="G881" s="12">
        <f t="shared" si="13"/>
        <v>-3.8781026324758903E-2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Data!N882</f>
        <v>0</v>
      </c>
      <c r="F882" s="14">
        <f>Data!G882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Data!N883</f>
        <v>0</v>
      </c>
      <c r="F883" s="14">
        <f>Data!G883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Data!N884</f>
        <v>0</v>
      </c>
      <c r="F884" s="14">
        <f>Data!G884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Data!N885</f>
        <v>0</v>
      </c>
      <c r="F885" s="14">
        <f>Data!G885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Data!N886</f>
        <v>-24686106000</v>
      </c>
      <c r="F886" s="14">
        <f>Data!G886</f>
        <v>628464862000</v>
      </c>
      <c r="G886" s="12">
        <f t="shared" si="13"/>
        <v>-3.9280009898150836E-2</v>
      </c>
    </row>
    <row r="887" spans="2:7" ht="15" customHeight="1" x14ac:dyDescent="0.3">
      <c r="C887" s="2"/>
      <c r="D887" s="8">
        <v>2019</v>
      </c>
      <c r="E887" s="14">
        <f>Data!N887</f>
        <v>-114947315000</v>
      </c>
      <c r="F887" s="14">
        <f>Data!G887</f>
        <v>582236244000</v>
      </c>
      <c r="G887" s="12">
        <f t="shared" si="13"/>
        <v>-0.19742383986662293</v>
      </c>
    </row>
    <row r="888" spans="2:7" ht="15" customHeight="1" x14ac:dyDescent="0.3">
      <c r="C888" s="2"/>
      <c r="D888" s="8">
        <v>2020</v>
      </c>
      <c r="E888" s="14">
        <f>Data!N888</f>
        <v>12480110000</v>
      </c>
      <c r="F888" s="14">
        <f>Data!G888</f>
        <v>577744818000</v>
      </c>
      <c r="G888" s="12">
        <f t="shared" si="13"/>
        <v>2.1601422654387182E-2</v>
      </c>
    </row>
    <row r="889" spans="2:7" ht="15" customHeight="1" x14ac:dyDescent="0.3">
      <c r="C889" s="2"/>
      <c r="D889" s="8">
        <v>2021</v>
      </c>
      <c r="E889" s="14">
        <f>Data!N889</f>
        <v>16567071000</v>
      </c>
      <c r="F889" s="14">
        <f>Data!G889</f>
        <v>666903763000</v>
      </c>
      <c r="G889" s="12">
        <f t="shared" si="13"/>
        <v>2.4841771660538674E-2</v>
      </c>
    </row>
    <row r="890" spans="2:7" ht="15" customHeight="1" x14ac:dyDescent="0.3">
      <c r="C890" s="2"/>
      <c r="D890" s="8">
        <v>2022</v>
      </c>
      <c r="E890" s="14">
        <f>Data!N890</f>
        <v>-8682082000</v>
      </c>
      <c r="F890" s="14">
        <f>Data!G890</f>
        <v>933279448000</v>
      </c>
      <c r="G890" s="12">
        <f t="shared" si="13"/>
        <v>-9.3027678029399836E-3</v>
      </c>
    </row>
    <row r="891" spans="2:7" ht="15" customHeight="1" x14ac:dyDescent="0.3">
      <c r="C891" s="2"/>
      <c r="D891" s="8">
        <v>2023</v>
      </c>
      <c r="E891" s="14">
        <f>Data!N891</f>
        <v>5911484000</v>
      </c>
      <c r="F891" s="14">
        <f>Data!G891</f>
        <v>997499063000</v>
      </c>
      <c r="G891" s="12">
        <f t="shared" si="13"/>
        <v>5.9263053162386782E-3</v>
      </c>
    </row>
    <row r="892" spans="2:7" ht="15" customHeight="1" x14ac:dyDescent="0.3">
      <c r="C892" s="2"/>
      <c r="D892" s="8">
        <v>2024</v>
      </c>
      <c r="E892" s="14">
        <f>Data!N892</f>
        <v>7185945000</v>
      </c>
      <c r="F892" s="14">
        <f>Data!G892</f>
        <v>1071029173000</v>
      </c>
      <c r="G892" s="12">
        <f t="shared" si="13"/>
        <v>6.7093830692509064E-3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Data!N893</f>
        <v>0</v>
      </c>
      <c r="F893" s="14">
        <f>Data!G893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Data!N894</f>
        <v>0</v>
      </c>
      <c r="F894" s="14">
        <f>Data!G894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Data!N895</f>
        <v>0</v>
      </c>
      <c r="F895" s="14">
        <f>Data!G895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Data!N896</f>
        <v>0</v>
      </c>
      <c r="F896" s="14">
        <f>Data!G896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Data!N897</f>
        <v>0</v>
      </c>
      <c r="F897" s="14">
        <f>Data!G897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Data!N898</f>
        <v>0</v>
      </c>
      <c r="F898" s="14">
        <f>Data!G898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Data!N899</f>
        <v>397000000</v>
      </c>
      <c r="F899" s="14">
        <f>Data!G899</f>
        <v>268957000000</v>
      </c>
      <c r="G899" s="12">
        <f t="shared" ref="G899:G962" si="14">IFERROR(E899/F899,0)</f>
        <v>1.4760723833177794E-3</v>
      </c>
    </row>
    <row r="900" spans="2:7" ht="15" customHeight="1" x14ac:dyDescent="0.3">
      <c r="C900" s="2"/>
      <c r="D900" s="8">
        <v>2021</v>
      </c>
      <c r="E900" s="14">
        <f>Data!N900</f>
        <v>1588000000</v>
      </c>
      <c r="F900" s="14">
        <f>Data!G900</f>
        <v>300393000000</v>
      </c>
      <c r="G900" s="12">
        <f t="shared" si="14"/>
        <v>5.2864081386716734E-3</v>
      </c>
    </row>
    <row r="901" spans="2:7" ht="15" customHeight="1" x14ac:dyDescent="0.3">
      <c r="C901" s="2"/>
      <c r="D901" s="8">
        <v>2022</v>
      </c>
      <c r="E901" s="14">
        <f>Data!N901</f>
        <v>6442000000</v>
      </c>
      <c r="F901" s="14">
        <f>Data!G901</f>
        <v>335530000000</v>
      </c>
      <c r="G901" s="12">
        <f t="shared" si="14"/>
        <v>1.9199475456740084E-2</v>
      </c>
    </row>
    <row r="902" spans="2:7" ht="15" customHeight="1" x14ac:dyDescent="0.3">
      <c r="C902" s="2"/>
      <c r="D902" s="8">
        <v>2023</v>
      </c>
      <c r="E902" s="14">
        <f>Data!N902</f>
        <v>30761000000</v>
      </c>
      <c r="F902" s="14">
        <f>Data!G902</f>
        <v>512116000000</v>
      </c>
      <c r="G902" s="12">
        <f t="shared" si="14"/>
        <v>6.0066469315545698E-2</v>
      </c>
    </row>
    <row r="903" spans="2:7" ht="15" customHeight="1" x14ac:dyDescent="0.3">
      <c r="C903" s="2"/>
      <c r="D903" s="8">
        <v>2024</v>
      </c>
      <c r="E903" s="14">
        <f>Data!N903</f>
        <v>29277000000</v>
      </c>
      <c r="F903" s="14">
        <f>Data!G903</f>
        <v>554465000000</v>
      </c>
      <c r="G903" s="12">
        <f t="shared" si="14"/>
        <v>5.2802250818356433E-2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Data!N904</f>
        <v>0</v>
      </c>
      <c r="F904" s="14">
        <f>Data!G904</f>
        <v>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Data!E905</f>
        <v>1139467000000</v>
      </c>
      <c r="F905" s="14">
        <f>Data!G905</f>
        <v>11393914000000</v>
      </c>
      <c r="G905" s="12">
        <f t="shared" si="14"/>
        <v>0.10000663512117083</v>
      </c>
    </row>
    <row r="906" spans="2:7" ht="15" customHeight="1" x14ac:dyDescent="0.3">
      <c r="C906" s="2"/>
      <c r="D906" s="8">
        <v>2016</v>
      </c>
      <c r="E906" s="14">
        <f>Data!N906</f>
        <v>366412000000</v>
      </c>
      <c r="F906" s="14">
        <f>Data!G906</f>
        <v>12076472000000</v>
      </c>
      <c r="G906" s="12">
        <f t="shared" si="14"/>
        <v>3.034098037903785E-2</v>
      </c>
    </row>
    <row r="907" spans="2:7" ht="15" customHeight="1" x14ac:dyDescent="0.3">
      <c r="C907" s="2"/>
      <c r="D907" s="8">
        <v>2017</v>
      </c>
      <c r="E907" s="14">
        <f>Data!N907</f>
        <v>360724000000</v>
      </c>
      <c r="F907" s="14">
        <f>Data!G908</f>
        <v>13475850000000</v>
      </c>
      <c r="G907" s="12">
        <f t="shared" si="14"/>
        <v>2.676818159893439E-2</v>
      </c>
    </row>
    <row r="908" spans="2:7" ht="15" customHeight="1" x14ac:dyDescent="0.3">
      <c r="C908" s="2"/>
      <c r="D908" s="8">
        <v>2018</v>
      </c>
      <c r="E908" s="14">
        <f>Data!N908</f>
        <v>201570000000</v>
      </c>
      <c r="F908" s="14" t="e">
        <f>Data!#REF!</f>
        <v>#REF!</v>
      </c>
      <c r="G908" s="12">
        <f t="shared" si="14"/>
        <v>0</v>
      </c>
    </row>
    <row r="909" spans="2:7" ht="15" customHeight="1" x14ac:dyDescent="0.3">
      <c r="C909" s="2"/>
      <c r="D909" s="8">
        <v>2019</v>
      </c>
      <c r="E909" s="14">
        <f>Data!N909</f>
        <v>106528000000</v>
      </c>
      <c r="F909" s="14">
        <f>Data!G909</f>
        <v>12688036000000</v>
      </c>
      <c r="G909" s="12">
        <f t="shared" si="14"/>
        <v>8.3959408690202336E-3</v>
      </c>
    </row>
    <row r="910" spans="2:7" ht="15" customHeight="1" x14ac:dyDescent="0.3">
      <c r="C910" s="2"/>
      <c r="D910" s="8">
        <v>2020</v>
      </c>
      <c r="E910" s="14">
        <f>Data!N910</f>
        <v>-252932000000</v>
      </c>
      <c r="F910" s="14">
        <f>Data!G910</f>
        <v>13914348000000</v>
      </c>
      <c r="G910" s="12">
        <f t="shared" si="14"/>
        <v>-1.8177783105611561E-2</v>
      </c>
    </row>
    <row r="911" spans="2:7" ht="15" customHeight="1" x14ac:dyDescent="0.3">
      <c r="C911" s="2"/>
      <c r="D911" s="8">
        <v>2021</v>
      </c>
      <c r="E911" s="14">
        <f>Data!N911</f>
        <v>9402000000</v>
      </c>
      <c r="F911" s="14">
        <f>Data!G911</f>
        <v>14077069000000</v>
      </c>
      <c r="G911" s="12">
        <f t="shared" si="14"/>
        <v>6.6789471586734428E-4</v>
      </c>
    </row>
    <row r="912" spans="2:7" ht="15" customHeight="1" x14ac:dyDescent="0.3">
      <c r="C912" s="2"/>
      <c r="D912" s="8">
        <v>2022</v>
      </c>
      <c r="E912" s="14">
        <f>Data!N912</f>
        <v>231059000000</v>
      </c>
      <c r="F912" s="14">
        <f>Data!G912</f>
        <v>12576512000000</v>
      </c>
      <c r="G912" s="12">
        <f t="shared" si="14"/>
        <v>1.8372264106295926E-2</v>
      </c>
    </row>
    <row r="913" spans="2:7" ht="15" customHeight="1" x14ac:dyDescent="0.3">
      <c r="C913" s="2"/>
      <c r="D913" s="8">
        <v>2023</v>
      </c>
      <c r="E913" s="14">
        <f>Data!N913</f>
        <v>102889000000</v>
      </c>
      <c r="F913" s="14">
        <f>Data!G913</f>
        <v>12154715000000</v>
      </c>
      <c r="G913" s="12">
        <f t="shared" si="14"/>
        <v>8.4649454964596041E-3</v>
      </c>
    </row>
    <row r="914" spans="2:7" ht="15" customHeight="1" x14ac:dyDescent="0.3">
      <c r="C914" s="2"/>
      <c r="D914" s="8">
        <v>2024</v>
      </c>
      <c r="E914" s="14">
        <f>Data!N914</f>
        <v>157332000000</v>
      </c>
      <c r="F914" s="14">
        <f>Data!G914</f>
        <v>15005896000000</v>
      </c>
      <c r="G914" s="12">
        <f t="shared" si="14"/>
        <v>1.048467882224427E-2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Data!N915</f>
        <v>0</v>
      </c>
      <c r="F915" s="14">
        <f>Data!G915</f>
        <v>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Data!N916</f>
        <v>19107000000</v>
      </c>
      <c r="F916" s="14">
        <f>Data!E916</f>
        <v>16669000000</v>
      </c>
      <c r="G916" s="12">
        <f t="shared" si="14"/>
        <v>1.1462595236666866</v>
      </c>
    </row>
    <row r="917" spans="2:7" ht="15" customHeight="1" x14ac:dyDescent="0.3">
      <c r="C917" s="2"/>
      <c r="D917" s="8">
        <v>2016</v>
      </c>
      <c r="E917" s="14">
        <f>Data!N917</f>
        <v>23994000000</v>
      </c>
      <c r="F917" s="14">
        <f>Data!G917</f>
        <v>427049000000</v>
      </c>
      <c r="G917" s="12">
        <f t="shared" si="14"/>
        <v>5.6185589944011106E-2</v>
      </c>
    </row>
    <row r="918" spans="2:7" ht="15" customHeight="1" x14ac:dyDescent="0.3">
      <c r="C918" s="2"/>
      <c r="D918" s="8">
        <v>2017</v>
      </c>
      <c r="E918" s="14">
        <f>Data!N918</f>
        <v>35617000000</v>
      </c>
      <c r="F918" s="14">
        <f>Data!G918</f>
        <v>446108000000</v>
      </c>
      <c r="G918" s="12">
        <f t="shared" si="14"/>
        <v>7.9839411084311418E-2</v>
      </c>
    </row>
    <row r="919" spans="2:7" ht="15" customHeight="1" x14ac:dyDescent="0.3">
      <c r="C919" s="2"/>
      <c r="D919" s="8">
        <v>2018</v>
      </c>
      <c r="E919" s="14">
        <f>Data!N919</f>
        <v>20084000000</v>
      </c>
      <c r="F919" s="14">
        <f>Data!G919</f>
        <v>478439000000</v>
      </c>
      <c r="G919" s="12">
        <f t="shared" si="14"/>
        <v>4.1978183216669213E-2</v>
      </c>
    </row>
    <row r="920" spans="2:7" ht="15" customHeight="1" x14ac:dyDescent="0.3">
      <c r="C920" s="2"/>
      <c r="D920" s="8">
        <v>2019</v>
      </c>
      <c r="E920" s="14">
        <f>Data!N920</f>
        <v>2873000000</v>
      </c>
      <c r="F920" s="14">
        <f>Data!G920</f>
        <v>447670000000</v>
      </c>
      <c r="G920" s="12">
        <f t="shared" si="14"/>
        <v>6.4176737328835972E-3</v>
      </c>
    </row>
    <row r="921" spans="2:7" ht="15" customHeight="1" x14ac:dyDescent="0.3">
      <c r="C921" s="2"/>
      <c r="D921" s="8">
        <v>2020</v>
      </c>
      <c r="E921" s="14">
        <f>Data!N921</f>
        <v>172000000</v>
      </c>
      <c r="F921" s="14">
        <f>Data!G921</f>
        <v>365764000000</v>
      </c>
      <c r="G921" s="12">
        <f t="shared" si="14"/>
        <v>4.7024857558425651E-4</v>
      </c>
    </row>
    <row r="922" spans="2:7" ht="15" customHeight="1" x14ac:dyDescent="0.3">
      <c r="C922" s="2"/>
      <c r="D922" s="8">
        <v>2021</v>
      </c>
      <c r="E922" s="14">
        <f>Data!N922</f>
        <v>719000000</v>
      </c>
      <c r="F922" s="14">
        <f>Data!G922</f>
        <v>527852000000</v>
      </c>
      <c r="G922" s="12">
        <f t="shared" si="14"/>
        <v>1.3621242317922448E-3</v>
      </c>
    </row>
    <row r="923" spans="2:7" ht="15" customHeight="1" x14ac:dyDescent="0.3">
      <c r="C923" s="2"/>
      <c r="D923" s="8">
        <v>2022</v>
      </c>
      <c r="E923" s="14">
        <f>Data!N923</f>
        <v>9388000000</v>
      </c>
      <c r="F923" s="14">
        <f>Data!G923</f>
        <v>499032000000</v>
      </c>
      <c r="G923" s="12">
        <f t="shared" si="14"/>
        <v>1.8812420846759326E-2</v>
      </c>
    </row>
    <row r="924" spans="2:7" ht="15" customHeight="1" x14ac:dyDescent="0.3">
      <c r="C924" s="2"/>
      <c r="D924" s="8">
        <v>2023</v>
      </c>
      <c r="E924" s="14">
        <f>Data!N924</f>
        <v>6532000000</v>
      </c>
      <c r="F924" s="14">
        <f>Data!G924</f>
        <v>498723000000</v>
      </c>
      <c r="G924" s="12">
        <f t="shared" si="14"/>
        <v>1.3097450889571967E-2</v>
      </c>
    </row>
    <row r="925" spans="2:7" ht="15" customHeight="1" x14ac:dyDescent="0.3">
      <c r="C925" s="2"/>
      <c r="D925" s="8">
        <v>2024</v>
      </c>
      <c r="E925" s="14">
        <f>Data!N925</f>
        <v>2724000000</v>
      </c>
      <c r="F925" s="14">
        <f>Data!G925</f>
        <v>573438000000</v>
      </c>
      <c r="G925" s="12">
        <f t="shared" si="14"/>
        <v>4.750295585573331E-3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Data!N926</f>
        <v>0</v>
      </c>
      <c r="F926" s="14">
        <f>Data!G926</f>
        <v>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Data!N927</f>
        <v>101580000000</v>
      </c>
      <c r="F927" s="14">
        <f>Data!G927</f>
        <v>1561827000000</v>
      </c>
      <c r="G927" s="12">
        <f t="shared" si="14"/>
        <v>6.5039213690120612E-2</v>
      </c>
    </row>
    <row r="928" spans="2:7" ht="15" customHeight="1" x14ac:dyDescent="0.3">
      <c r="C928" s="2"/>
      <c r="D928" s="8">
        <v>2016</v>
      </c>
      <c r="E928" s="14">
        <f>Data!N928</f>
        <v>62049000000</v>
      </c>
      <c r="F928" s="14">
        <f>Data!G928</f>
        <v>1616165000000</v>
      </c>
      <c r="G928" s="12">
        <f t="shared" si="14"/>
        <v>3.839273836520405E-2</v>
      </c>
    </row>
    <row r="929" spans="2:7" ht="15" customHeight="1" x14ac:dyDescent="0.3">
      <c r="C929" s="2"/>
      <c r="D929" s="8">
        <v>2017</v>
      </c>
      <c r="E929" s="14">
        <f>Data!N929</f>
        <v>112228000000</v>
      </c>
      <c r="F929" s="14">
        <f>Data!G929</f>
        <v>1972319000000</v>
      </c>
      <c r="G929" s="12">
        <f t="shared" si="14"/>
        <v>5.6901545845271483E-2</v>
      </c>
    </row>
    <row r="930" spans="2:7" ht="15" customHeight="1" x14ac:dyDescent="0.3">
      <c r="C930" s="2"/>
      <c r="D930" s="8">
        <v>2018</v>
      </c>
      <c r="E930" s="14">
        <f>Data!N930</f>
        <v>77533000000</v>
      </c>
      <c r="F930" s="14">
        <f>Data!G930</f>
        <v>2152910000000</v>
      </c>
      <c r="G930" s="12">
        <f t="shared" si="14"/>
        <v>3.6013117129838221E-2</v>
      </c>
    </row>
    <row r="931" spans="2:7" ht="15" customHeight="1" x14ac:dyDescent="0.3">
      <c r="C931" s="2"/>
      <c r="D931" s="8">
        <v>2019</v>
      </c>
      <c r="E931" s="14">
        <f>Data!N931</f>
        <v>129057000000</v>
      </c>
      <c r="F931" s="14">
        <f>Data!G931</f>
        <v>3001696000000</v>
      </c>
      <c r="G931" s="12">
        <f t="shared" si="14"/>
        <v>4.2994693666513865E-2</v>
      </c>
    </row>
    <row r="932" spans="2:7" ht="15" customHeight="1" x14ac:dyDescent="0.3">
      <c r="C932" s="2"/>
      <c r="D932" s="8">
        <v>2020</v>
      </c>
      <c r="E932" s="14">
        <f>Data!N932</f>
        <v>70258000000</v>
      </c>
      <c r="F932" s="14">
        <f>Data!G932</f>
        <v>3337722000000</v>
      </c>
      <c r="G932" s="12">
        <f t="shared" si="14"/>
        <v>2.1049685983434211E-2</v>
      </c>
    </row>
    <row r="933" spans="2:7" ht="15" customHeight="1" x14ac:dyDescent="0.3">
      <c r="C933" s="2"/>
      <c r="D933" s="8">
        <v>2021</v>
      </c>
      <c r="E933" s="14">
        <f>Data!N933</f>
        <v>38628000000</v>
      </c>
      <c r="F933" s="14">
        <f>Data!G933</f>
        <v>3327804000000</v>
      </c>
      <c r="G933" s="12">
        <f t="shared" si="14"/>
        <v>1.1607654777745323E-2</v>
      </c>
    </row>
    <row r="934" spans="2:7" ht="15" customHeight="1" x14ac:dyDescent="0.3">
      <c r="C934" s="2"/>
      <c r="D934" s="8">
        <v>2022</v>
      </c>
      <c r="E934" s="14">
        <f>Data!N934</f>
        <v>70208000000</v>
      </c>
      <c r="F934" s="14">
        <f>Data!G934</f>
        <v>3595146000000</v>
      </c>
      <c r="G934" s="12">
        <f t="shared" si="14"/>
        <v>1.952855322148252E-2</v>
      </c>
    </row>
    <row r="935" spans="2:7" ht="15" customHeight="1" x14ac:dyDescent="0.3">
      <c r="C935" s="2"/>
      <c r="D935" s="8">
        <v>2023</v>
      </c>
      <c r="E935" s="14">
        <f>Data!N935</f>
        <v>125684000000</v>
      </c>
      <c r="F935" s="14">
        <f>Data!G935</f>
        <v>4115086000000</v>
      </c>
      <c r="G935" s="12">
        <f t="shared" si="14"/>
        <v>3.0542253551930628E-2</v>
      </c>
    </row>
    <row r="936" spans="2:7" ht="15" customHeight="1" x14ac:dyDescent="0.3">
      <c r="C936" s="2"/>
      <c r="D936" s="8">
        <v>2024</v>
      </c>
      <c r="E936" s="14">
        <f>Data!N936</f>
        <v>124293000000</v>
      </c>
      <c r="F936" s="14">
        <f>Data!G936</f>
        <v>4320584000000</v>
      </c>
      <c r="G936" s="12">
        <f t="shared" si="14"/>
        <v>2.8767638819196664E-2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Data!N937</f>
        <v>0</v>
      </c>
      <c r="F937" s="14">
        <f>Data!G937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Data!N938</f>
        <v>0</v>
      </c>
      <c r="F938" s="14">
        <f>Data!G938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Data!N939</f>
        <v>12722000000</v>
      </c>
      <c r="F939" s="14">
        <f>Data!G939</f>
        <v>259049000000</v>
      </c>
      <c r="G939" s="12">
        <f t="shared" si="14"/>
        <v>4.9110399962941371E-2</v>
      </c>
    </row>
    <row r="940" spans="2:7" ht="15" customHeight="1" x14ac:dyDescent="0.3">
      <c r="C940" s="1"/>
      <c r="D940" s="8">
        <v>2017</v>
      </c>
      <c r="E940" s="14">
        <f>Data!N940</f>
        <v>3753000000</v>
      </c>
      <c r="F940" s="14">
        <f>Data!G940</f>
        <v>262108000000</v>
      </c>
      <c r="G940" s="12">
        <f t="shared" si="14"/>
        <v>1.4318525188090405E-2</v>
      </c>
    </row>
    <row r="941" spans="2:7" ht="15" customHeight="1" x14ac:dyDescent="0.3">
      <c r="C941" s="1"/>
      <c r="D941" s="8">
        <v>2018</v>
      </c>
      <c r="E941" s="14">
        <f>Data!N941</f>
        <v>1591000000</v>
      </c>
      <c r="F941" s="14">
        <f>Data!G941</f>
        <v>256197000000</v>
      </c>
      <c r="G941" s="12">
        <f t="shared" si="14"/>
        <v>6.2100649109864672E-3</v>
      </c>
    </row>
    <row r="942" spans="2:7" ht="15" customHeight="1" x14ac:dyDescent="0.3">
      <c r="C942" s="1"/>
      <c r="D942" s="8">
        <v>2019</v>
      </c>
      <c r="E942" s="14">
        <f>Data!N942</f>
        <v>8279000000</v>
      </c>
      <c r="F942" s="14">
        <f>Data!G942</f>
        <v>300364000000</v>
      </c>
      <c r="G942" s="12">
        <f t="shared" si="14"/>
        <v>2.7563223289075921E-2</v>
      </c>
    </row>
    <row r="943" spans="2:7" ht="15" customHeight="1" x14ac:dyDescent="0.3">
      <c r="C943" s="1"/>
      <c r="D943" s="8">
        <v>2020</v>
      </c>
      <c r="E943" s="14">
        <f>Data!N943</f>
        <v>7000000</v>
      </c>
      <c r="F943" s="14">
        <f>Data!G943</f>
        <v>462210000000</v>
      </c>
      <c r="G943" s="12">
        <f t="shared" si="14"/>
        <v>1.5144631228229593E-5</v>
      </c>
    </row>
    <row r="944" spans="2:7" ht="15" customHeight="1" x14ac:dyDescent="0.3">
      <c r="C944" s="1"/>
      <c r="D944" s="8">
        <v>2021</v>
      </c>
      <c r="E944" s="14">
        <f>Data!N944</f>
        <v>5785000000</v>
      </c>
      <c r="F944" s="14">
        <f>Data!G944</f>
        <v>430360000000</v>
      </c>
      <c r="G944" s="12">
        <f t="shared" si="14"/>
        <v>1.3442234408402268E-2</v>
      </c>
    </row>
    <row r="945" spans="2:7" ht="15" customHeight="1" x14ac:dyDescent="0.3">
      <c r="C945" s="1"/>
      <c r="D945" s="8">
        <v>2022</v>
      </c>
      <c r="E945" s="14">
        <f>Data!N945</f>
        <v>14499000000</v>
      </c>
      <c r="F945" s="14">
        <f>Data!G945</f>
        <v>567878000000</v>
      </c>
      <c r="G945" s="12">
        <f t="shared" si="14"/>
        <v>2.5531892413511354E-2</v>
      </c>
    </row>
    <row r="946" spans="2:7" ht="15" customHeight="1" x14ac:dyDescent="0.3">
      <c r="C946" s="1"/>
      <c r="D946" s="8">
        <v>2023</v>
      </c>
      <c r="E946" s="14">
        <f>Data!N946</f>
        <v>9463000000</v>
      </c>
      <c r="F946" s="14">
        <f>Data!G946</f>
        <v>580720000000</v>
      </c>
      <c r="G946" s="12">
        <f t="shared" si="14"/>
        <v>1.6295288607246178E-2</v>
      </c>
    </row>
    <row r="947" spans="2:7" ht="15" customHeight="1" x14ac:dyDescent="0.3">
      <c r="C947" s="1"/>
      <c r="D947" s="8">
        <v>2024</v>
      </c>
      <c r="E947" s="14">
        <f>Data!N947</f>
        <v>9720000000</v>
      </c>
      <c r="F947" s="14">
        <f>Data!G947</f>
        <v>603899000000</v>
      </c>
      <c r="G947" s="12">
        <f t="shared" si="14"/>
        <v>1.6095406682243223E-2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Data!N948</f>
        <v>0</v>
      </c>
      <c r="F948" s="14">
        <f>Data!G948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Data!N949</f>
        <v>0</v>
      </c>
      <c r="F949" s="14">
        <f>Data!G949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Data!N950</f>
        <v>0</v>
      </c>
      <c r="F950" s="14">
        <f>Data!G950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Data!N951</f>
        <v>0</v>
      </c>
      <c r="F951" s="14">
        <f>Data!G951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Data!N952</f>
        <v>0</v>
      </c>
      <c r="F952" s="14">
        <f>Data!G952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Data!N953</f>
        <v>0</v>
      </c>
      <c r="F953" s="14">
        <f>Data!G953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Data!N954</f>
        <v>0</v>
      </c>
      <c r="F954" s="14">
        <f>Data!G954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Data!N955</f>
        <v>0</v>
      </c>
      <c r="F955" s="14">
        <f>Data!G955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Data!N956</f>
        <v>0</v>
      </c>
      <c r="F956" s="14">
        <f>Data!G956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Data!N957</f>
        <v>0</v>
      </c>
      <c r="F957" s="14">
        <f>Data!G957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Data!N958</f>
        <v>0</v>
      </c>
      <c r="F958" s="14">
        <f>Data!G958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Data!N959</f>
        <v>0</v>
      </c>
      <c r="F959" s="14">
        <f>Data!G959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Data!N960</f>
        <v>0</v>
      </c>
      <c r="F960" s="14">
        <f>Data!G960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Data!N961</f>
        <v>0</v>
      </c>
      <c r="F961" s="14">
        <f>Data!G961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Data!N962</f>
        <v>0</v>
      </c>
      <c r="F962" s="14">
        <f>Data!G962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Data!N963</f>
        <v>0</v>
      </c>
      <c r="F963" s="14">
        <f>Data!G963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Data!N964</f>
        <v>0</v>
      </c>
      <c r="F964" s="14">
        <f>Data!G964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Data!N965</f>
        <v>0</v>
      </c>
      <c r="F965" s="14">
        <f>Data!G965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Data!N966</f>
        <v>0</v>
      </c>
      <c r="F966" s="14">
        <f>Data!G966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Data!N967</f>
        <v>0</v>
      </c>
      <c r="F967" s="14">
        <f>Data!G967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Data!N968</f>
        <v>0</v>
      </c>
      <c r="F968" s="14">
        <f>Data!G968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Data!N969</f>
        <v>0</v>
      </c>
      <c r="F969" s="14">
        <f>Data!G969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Data!N970</f>
        <v>0</v>
      </c>
      <c r="F970" s="14">
        <f>Data!G970</f>
        <v>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>
        <f>Data!N971</f>
        <v>9171050031</v>
      </c>
      <c r="F971" s="14">
        <f>Data!G971</f>
        <v>559080454850</v>
      </c>
      <c r="G971" s="12">
        <f t="shared" si="15"/>
        <v>1.640381084947885E-2</v>
      </c>
    </row>
    <row r="972" spans="2:7" ht="15" customHeight="1" x14ac:dyDescent="0.3">
      <c r="C972" s="2"/>
      <c r="D972" s="8">
        <v>2016</v>
      </c>
      <c r="E972" s="14">
        <f>Data!N972</f>
        <v>41755380041</v>
      </c>
      <c r="F972" s="14">
        <f>Data!G972</f>
        <v>617651155745</v>
      </c>
      <c r="G972" s="12">
        <f t="shared" si="15"/>
        <v>6.7603500216291815E-2</v>
      </c>
    </row>
    <row r="973" spans="2:7" ht="15" customHeight="1" x14ac:dyDescent="0.3">
      <c r="C973" s="2"/>
      <c r="D973" s="8">
        <v>2017</v>
      </c>
      <c r="E973" s="14">
        <f>Data!N973</f>
        <v>52743811762</v>
      </c>
      <c r="F973" s="14">
        <f>Data!G973</f>
        <v>858490283480</v>
      </c>
      <c r="G973" s="12">
        <f t="shared" si="15"/>
        <v>6.1437866889065093E-2</v>
      </c>
    </row>
    <row r="974" spans="2:7" ht="15" customHeight="1" x14ac:dyDescent="0.3">
      <c r="C974" s="2"/>
      <c r="D974" s="8">
        <v>2018</v>
      </c>
      <c r="E974" s="14">
        <f>Data!N974</f>
        <v>69900405337</v>
      </c>
      <c r="F974" s="14">
        <f>Data!G974</f>
        <v>969866560976</v>
      </c>
      <c r="G974" s="12">
        <f t="shared" si="15"/>
        <v>7.2072188226241701E-2</v>
      </c>
    </row>
    <row r="975" spans="2:7" ht="15" customHeight="1" x14ac:dyDescent="0.3">
      <c r="C975" s="2"/>
      <c r="D975" s="8">
        <v>2019</v>
      </c>
      <c r="E975" s="14">
        <f>Data!N975</f>
        <v>9408511340</v>
      </c>
      <c r="F975" s="14">
        <f>Data!G975</f>
        <v>975687462693</v>
      </c>
      <c r="G975" s="12">
        <f t="shared" si="15"/>
        <v>9.6429560691817431E-3</v>
      </c>
    </row>
    <row r="976" spans="2:7" ht="15" customHeight="1" x14ac:dyDescent="0.3">
      <c r="C976" s="2"/>
      <c r="D976" s="8">
        <v>2020</v>
      </c>
      <c r="E976" s="14">
        <f>Data!N976</f>
        <v>-88526593736</v>
      </c>
      <c r="F976" s="14">
        <f>Data!G976</f>
        <v>990991744064</v>
      </c>
      <c r="G976" s="12">
        <f t="shared" si="15"/>
        <v>-8.9331313067208359E-2</v>
      </c>
    </row>
    <row r="977" spans="2:7" ht="15" customHeight="1" x14ac:dyDescent="0.3">
      <c r="C977" s="2"/>
      <c r="D977" s="8">
        <v>2021</v>
      </c>
      <c r="E977" s="14">
        <f>Data!N977</f>
        <v>19550788783</v>
      </c>
      <c r="F977" s="14">
        <f>Data!G977</f>
        <v>981089572950</v>
      </c>
      <c r="G977" s="12">
        <f t="shared" si="15"/>
        <v>1.9927628752809488E-2</v>
      </c>
    </row>
    <row r="978" spans="2:7" ht="15" customHeight="1" x14ac:dyDescent="0.3">
      <c r="C978" s="2"/>
      <c r="D978" s="8">
        <v>2022</v>
      </c>
      <c r="E978" s="14">
        <f>Data!N978</f>
        <v>-86331829021</v>
      </c>
      <c r="F978" s="14">
        <f>Data!G978</f>
        <v>1063470852516</v>
      </c>
      <c r="G978" s="12">
        <f t="shared" si="15"/>
        <v>-8.1179309067806474E-2</v>
      </c>
    </row>
    <row r="979" spans="2:7" ht="15" customHeight="1" x14ac:dyDescent="0.3">
      <c r="C979" s="2"/>
      <c r="D979" s="8">
        <v>2023</v>
      </c>
      <c r="E979" s="14">
        <f>Data!N979</f>
        <v>7568967642</v>
      </c>
      <c r="F979" s="14">
        <f>Data!G979</f>
        <v>961063073477</v>
      </c>
      <c r="G979" s="12">
        <f t="shared" si="15"/>
        <v>7.8756200824743675E-3</v>
      </c>
    </row>
    <row r="980" spans="2:7" ht="15" customHeight="1" x14ac:dyDescent="0.3">
      <c r="C980" s="2"/>
      <c r="D980" s="8">
        <v>2024</v>
      </c>
      <c r="E980" s="14">
        <f>Data!N980</f>
        <v>7077123622</v>
      </c>
      <c r="F980" s="14">
        <f>Data!G980</f>
        <v>1108514523644</v>
      </c>
      <c r="G980" s="12">
        <f t="shared" si="15"/>
        <v>6.3843309862422889E-3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Data!N981</f>
        <v>0</v>
      </c>
      <c r="F981" s="14">
        <f>Data!G981</f>
        <v>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Data!N982</f>
        <v>33021000000</v>
      </c>
      <c r="F982" s="14">
        <f>Data!G982</f>
        <v>431955000000</v>
      </c>
      <c r="G982" s="12">
        <f t="shared" si="15"/>
        <v>7.64454630690697E-2</v>
      </c>
    </row>
    <row r="983" spans="2:7" ht="15" customHeight="1" x14ac:dyDescent="0.3">
      <c r="C983" s="2"/>
      <c r="D983" s="8">
        <v>2016</v>
      </c>
      <c r="E983" s="14">
        <f>Data!N983</f>
        <v>41163000000</v>
      </c>
      <c r="F983" s="14">
        <f>Data!G983</f>
        <v>594080000000</v>
      </c>
      <c r="G983" s="12">
        <f t="shared" si="15"/>
        <v>6.928864799353622E-2</v>
      </c>
    </row>
    <row r="984" spans="2:7" ht="15" customHeight="1" x14ac:dyDescent="0.3">
      <c r="C984" s="2"/>
      <c r="D984" s="8">
        <v>2017</v>
      </c>
      <c r="E984" s="14">
        <f>Data!N984</f>
        <v>66851000000</v>
      </c>
      <c r="F984" s="14">
        <f>Data!G984</f>
        <v>782898000000</v>
      </c>
      <c r="G984" s="12">
        <f t="shared" si="15"/>
        <v>8.5389156697296451E-2</v>
      </c>
    </row>
    <row r="985" spans="2:7" ht="15" customHeight="1" x14ac:dyDescent="0.3">
      <c r="C985" s="2"/>
      <c r="D985" s="8">
        <v>2018</v>
      </c>
      <c r="E985" s="14">
        <f>Data!N985</f>
        <v>62098000000</v>
      </c>
      <c r="F985" s="14">
        <f>Data!G985</f>
        <v>1026523000000</v>
      </c>
      <c r="G985" s="12">
        <f t="shared" si="15"/>
        <v>6.049353010112779E-2</v>
      </c>
    </row>
    <row r="986" spans="2:7" ht="15" customHeight="1" x14ac:dyDescent="0.3">
      <c r="C986" s="2"/>
      <c r="D986" s="8">
        <v>2019</v>
      </c>
      <c r="E986" s="14">
        <f>Data!N986</f>
        <v>79602000000</v>
      </c>
      <c r="F986" s="14">
        <f>Data!G986</f>
        <v>1118465000000</v>
      </c>
      <c r="G986" s="12">
        <f t="shared" si="15"/>
        <v>7.1170756349103456E-2</v>
      </c>
    </row>
    <row r="987" spans="2:7" ht="15" customHeight="1" x14ac:dyDescent="0.3">
      <c r="C987" s="2"/>
      <c r="D987" s="8">
        <v>2020</v>
      </c>
      <c r="E987" s="14">
        <f>Data!N987</f>
        <v>107521000000</v>
      </c>
      <c r="F987" s="14">
        <f>Data!G987</f>
        <v>1702005000000</v>
      </c>
      <c r="G987" s="12">
        <f t="shared" si="15"/>
        <v>6.3173139914395077E-2</v>
      </c>
    </row>
    <row r="988" spans="2:7" ht="15" customHeight="1" x14ac:dyDescent="0.3">
      <c r="C988" s="2"/>
      <c r="D988" s="8">
        <v>2021</v>
      </c>
      <c r="E988" s="14">
        <f>Data!N988</f>
        <v>83387000000</v>
      </c>
      <c r="F988" s="14">
        <f>Data!G988</f>
        <v>2024029000000</v>
      </c>
      <c r="G988" s="12">
        <f t="shared" si="15"/>
        <v>4.1198520376931357E-2</v>
      </c>
    </row>
    <row r="989" spans="2:7" ht="15" customHeight="1" x14ac:dyDescent="0.3">
      <c r="C989" s="2"/>
      <c r="D989" s="8">
        <v>2022</v>
      </c>
      <c r="E989" s="14">
        <f>Data!N989</f>
        <v>63985000000</v>
      </c>
      <c r="F989" s="14">
        <f>Data!G989</f>
        <v>2022456000000</v>
      </c>
      <c r="G989" s="12">
        <f t="shared" si="15"/>
        <v>3.1637276657687487E-2</v>
      </c>
    </row>
    <row r="990" spans="2:7" ht="15" customHeight="1" x14ac:dyDescent="0.3">
      <c r="C990" s="2"/>
      <c r="D990" s="8">
        <v>2023</v>
      </c>
      <c r="E990" s="14">
        <f>Data!N990</f>
        <v>46743000000</v>
      </c>
      <c r="F990" s="14">
        <f>Data!G990</f>
        <v>2148834000000</v>
      </c>
      <c r="G990" s="12">
        <f t="shared" si="15"/>
        <v>2.175272729303427E-2</v>
      </c>
    </row>
    <row r="991" spans="2:7" ht="15" customHeight="1" x14ac:dyDescent="0.3">
      <c r="C991" s="2"/>
      <c r="D991" s="8">
        <v>2024</v>
      </c>
      <c r="E991" s="14">
        <f>Data!N991</f>
        <v>38215000000</v>
      </c>
      <c r="F991" s="14">
        <f>Data!G991</f>
        <v>2133757000000</v>
      </c>
      <c r="G991" s="12">
        <f t="shared" si="15"/>
        <v>1.7909724490651934E-2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Data!N992</f>
        <v>0</v>
      </c>
      <c r="F992" s="14">
        <f>Data!G992</f>
        <v>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Data!N993</f>
        <v>177826000000</v>
      </c>
      <c r="F993" s="14">
        <f>Data!G993</f>
        <v>2926660000000</v>
      </c>
      <c r="G993" s="12">
        <f t="shared" si="15"/>
        <v>6.076073066225663E-2</v>
      </c>
    </row>
    <row r="994" spans="2:7" ht="15" customHeight="1" x14ac:dyDescent="0.3">
      <c r="C994" s="2"/>
      <c r="D994" s="8">
        <v>2016</v>
      </c>
      <c r="E994" s="14">
        <f>Data!N994</f>
        <v>154934000000</v>
      </c>
      <c r="F994" s="14">
        <f>Data!G994</f>
        <v>2513178000000</v>
      </c>
      <c r="G994" s="12">
        <f t="shared" si="15"/>
        <v>6.1648637700950748E-2</v>
      </c>
    </row>
    <row r="995" spans="2:7" ht="15" customHeight="1" x14ac:dyDescent="0.3">
      <c r="C995" s="2"/>
      <c r="D995" s="8">
        <v>2017</v>
      </c>
      <c r="E995" s="14">
        <f>Data!N995</f>
        <v>127030000000</v>
      </c>
      <c r="F995" s="14">
        <f>Data!G995</f>
        <v>2547394000000</v>
      </c>
      <c r="G995" s="12">
        <f t="shared" si="15"/>
        <v>4.9866648033244955E-2</v>
      </c>
    </row>
    <row r="996" spans="2:7" ht="15" customHeight="1" x14ac:dyDescent="0.3">
      <c r="C996" s="2"/>
      <c r="D996" s="8">
        <v>2018</v>
      </c>
      <c r="E996" s="14">
        <f>Data!N996</f>
        <v>83039000000</v>
      </c>
      <c r="F996" s="14">
        <f>Data!G996</f>
        <v>3374090000000</v>
      </c>
      <c r="G996" s="12">
        <f t="shared" si="15"/>
        <v>2.4610783944708055E-2</v>
      </c>
    </row>
    <row r="997" spans="2:7" ht="15" customHeight="1" x14ac:dyDescent="0.3">
      <c r="C997" s="2"/>
      <c r="D997" s="8">
        <v>2019</v>
      </c>
      <c r="E997" s="14">
        <f>Data!N997</f>
        <v>133709000000</v>
      </c>
      <c r="F997" s="14">
        <f>Data!G997</f>
        <v>3475230000000</v>
      </c>
      <c r="G997" s="12">
        <f t="shared" si="15"/>
        <v>3.8474863534212124E-2</v>
      </c>
    </row>
    <row r="998" spans="2:7" ht="15" customHeight="1" x14ac:dyDescent="0.3">
      <c r="C998" s="2"/>
      <c r="D998" s="8">
        <v>2020</v>
      </c>
      <c r="E998" s="14">
        <f>Data!N998</f>
        <v>98223000000</v>
      </c>
      <c r="F998" s="14">
        <f>Data!G998</f>
        <v>5184821000000</v>
      </c>
      <c r="G998" s="12">
        <f t="shared" si="15"/>
        <v>1.8944337711948013E-2</v>
      </c>
    </row>
    <row r="999" spans="2:7" ht="15" customHeight="1" x14ac:dyDescent="0.3">
      <c r="C999" s="2"/>
      <c r="D999" s="8">
        <v>2021</v>
      </c>
      <c r="E999" s="14">
        <f>Data!N999</f>
        <v>150262000000</v>
      </c>
      <c r="F999" s="14">
        <f>Data!G999</f>
        <v>5087106000000</v>
      </c>
      <c r="G999" s="12">
        <f t="shared" si="15"/>
        <v>2.9537815803327077E-2</v>
      </c>
    </row>
    <row r="1000" spans="2:7" ht="15" customHeight="1" x14ac:dyDescent="0.3">
      <c r="C1000" s="2"/>
      <c r="D1000" s="8">
        <v>2022</v>
      </c>
      <c r="E1000" s="14">
        <f>Data!N1000</f>
        <v>134116000000</v>
      </c>
      <c r="F1000" s="14">
        <f>Data!G1000</f>
        <v>4655875000000</v>
      </c>
      <c r="G1000" s="12">
        <f t="shared" si="15"/>
        <v>2.8805756168282008E-2</v>
      </c>
    </row>
    <row r="1001" spans="2:7" ht="15" customHeight="1" x14ac:dyDescent="0.3">
      <c r="C1001" s="2"/>
      <c r="D1001" s="8">
        <v>2023</v>
      </c>
      <c r="E1001" s="14">
        <f>Data!N1001</f>
        <v>212388000000</v>
      </c>
      <c r="F1001" s="14">
        <f>Data!G1001</f>
        <v>4304220000000</v>
      </c>
      <c r="G1001" s="12">
        <f t="shared" si="15"/>
        <v>4.9344132037860519E-2</v>
      </c>
    </row>
    <row r="1002" spans="2:7" ht="15" customHeight="1" x14ac:dyDescent="0.3">
      <c r="C1002" s="2"/>
      <c r="D1002" s="8">
        <v>2024</v>
      </c>
      <c r="E1002" s="14">
        <f>Data!N1002</f>
        <v>104313000000</v>
      </c>
      <c r="F1002" s="14">
        <f>Data!G1002</f>
        <v>4131880000000</v>
      </c>
      <c r="G1002" s="12">
        <f t="shared" si="15"/>
        <v>2.524589291073313E-2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Data!N1003</f>
        <v>0</v>
      </c>
      <c r="F1003" s="14">
        <f>Data!G1003</f>
        <v>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Data!N1004</f>
        <v>193750252000</v>
      </c>
      <c r="F1004" s="14">
        <f>Data!G1004</f>
        <v>2627811764000</v>
      </c>
      <c r="G1004" s="12">
        <f t="shared" si="15"/>
        <v>7.373064336430149E-2</v>
      </c>
    </row>
    <row r="1005" spans="2:7" ht="15" customHeight="1" x14ac:dyDescent="0.3">
      <c r="C1005" s="2"/>
      <c r="D1005" s="8">
        <v>2016</v>
      </c>
      <c r="E1005" s="14">
        <f>Data!N1005</f>
        <v>130306422000</v>
      </c>
      <c r="F1005" s="14">
        <f>Data!G1005</f>
        <v>3436388457000</v>
      </c>
      <c r="G1005" s="12">
        <f t="shared" si="15"/>
        <v>3.791958436321799E-2</v>
      </c>
    </row>
    <row r="1006" spans="2:7" ht="15" customHeight="1" x14ac:dyDescent="0.3">
      <c r="C1006" s="2"/>
      <c r="D1006" s="8">
        <v>2017</v>
      </c>
      <c r="E1006" s="14">
        <f>Data!N1006</f>
        <v>123189910000</v>
      </c>
      <c r="F1006" s="14">
        <f>Data!G1006</f>
        <v>3886960940000</v>
      </c>
      <c r="G1006" s="12">
        <f t="shared" si="15"/>
        <v>3.1693117554199041E-2</v>
      </c>
    </row>
    <row r="1007" spans="2:7" ht="15" customHeight="1" x14ac:dyDescent="0.3">
      <c r="C1007" s="2"/>
      <c r="D1007" s="8">
        <v>2018</v>
      </c>
      <c r="E1007" s="14">
        <f>Data!N1007</f>
        <v>28246915000</v>
      </c>
      <c r="F1007" s="14">
        <f>Data!G1007</f>
        <v>4280729979000</v>
      </c>
      <c r="G1007" s="12">
        <f t="shared" si="15"/>
        <v>6.5986210619616379E-3</v>
      </c>
    </row>
    <row r="1008" spans="2:7" ht="15" customHeight="1" x14ac:dyDescent="0.3">
      <c r="C1008" s="2"/>
      <c r="D1008" s="8">
        <v>2019</v>
      </c>
      <c r="E1008" s="14">
        <f>Data!N1008</f>
        <v>73060310000</v>
      </c>
      <c r="F1008" s="14">
        <f>Data!G1008</f>
        <v>4626630367000</v>
      </c>
      <c r="G1008" s="12">
        <f t="shared" si="15"/>
        <v>1.5791257179547234E-2</v>
      </c>
    </row>
    <row r="1009" spans="2:7" ht="15" customHeight="1" x14ac:dyDescent="0.3">
      <c r="C1009" s="2"/>
      <c r="D1009" s="8">
        <v>2020</v>
      </c>
      <c r="E1009" s="14">
        <f>Data!N1009</f>
        <v>107253266000</v>
      </c>
      <c r="F1009" s="14">
        <f>Data!G1009</f>
        <v>4737130041000</v>
      </c>
      <c r="G1009" s="12">
        <f t="shared" si="15"/>
        <v>2.2640979891140802E-2</v>
      </c>
    </row>
    <row r="1010" spans="2:7" ht="15" customHeight="1" x14ac:dyDescent="0.3">
      <c r="C1010" s="2"/>
      <c r="D1010" s="8">
        <v>2021</v>
      </c>
      <c r="E1010" s="14">
        <f>Data!N1010</f>
        <v>149438469000</v>
      </c>
      <c r="F1010" s="14">
        <f>Data!G1010</f>
        <v>4652817906000</v>
      </c>
      <c r="G1010" s="12">
        <f t="shared" si="15"/>
        <v>3.2117841707773036E-2</v>
      </c>
    </row>
    <row r="1011" spans="2:7" ht="15" customHeight="1" x14ac:dyDescent="0.3">
      <c r="C1011" s="2"/>
      <c r="D1011" s="8">
        <v>2022</v>
      </c>
      <c r="E1011" s="14">
        <f>Data!N1011</f>
        <v>169774422000</v>
      </c>
      <c r="F1011" s="14">
        <f>Data!G1011</f>
        <v>4705846343000</v>
      </c>
      <c r="G1011" s="12">
        <f t="shared" si="15"/>
        <v>3.6077340742870063E-2</v>
      </c>
    </row>
    <row r="1012" spans="2:7" ht="15" customHeight="1" x14ac:dyDescent="0.3">
      <c r="C1012" s="2"/>
      <c r="D1012" s="8">
        <v>2023</v>
      </c>
      <c r="E1012" s="14">
        <f>Data!N1012</f>
        <v>148073877000</v>
      </c>
      <c r="F1012" s="14">
        <f>Data!G1012</f>
        <v>5116000794000</v>
      </c>
      <c r="G1012" s="12">
        <f t="shared" si="15"/>
        <v>2.894328655571354E-2</v>
      </c>
    </row>
    <row r="1013" spans="2:7" ht="15" customHeight="1" x14ac:dyDescent="0.3">
      <c r="C1013" s="2"/>
      <c r="D1013" s="8">
        <v>2024</v>
      </c>
      <c r="E1013" s="14">
        <f>Data!N1013</f>
        <v>228593443000</v>
      </c>
      <c r="F1013" s="14">
        <f>Data!G1013</f>
        <v>5366438278000</v>
      </c>
      <c r="G1013" s="12">
        <f t="shared" si="15"/>
        <v>4.2596864280938632E-2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Data!N1014</f>
        <v>0</v>
      </c>
      <c r="F1014" s="14">
        <f>Data!G1014</f>
        <v>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Data!N1015</f>
        <v>2387000000</v>
      </c>
      <c r="F1015" s="14">
        <f>Data!G1015</f>
        <v>688536000000</v>
      </c>
      <c r="G1015" s="12">
        <f t="shared" si="15"/>
        <v>3.4667758839044003E-3</v>
      </c>
    </row>
    <row r="1016" spans="2:7" ht="15" customHeight="1" x14ac:dyDescent="0.3">
      <c r="C1016" s="2"/>
      <c r="D1016" s="8">
        <v>2016</v>
      </c>
      <c r="E1016" s="14">
        <f>Data!N1016</f>
        <v>8208000000</v>
      </c>
      <c r="F1016" s="14">
        <f>Data!G1016</f>
        <v>585160000000</v>
      </c>
      <c r="G1016" s="12">
        <f t="shared" si="15"/>
        <v>1.4026932804702987E-2</v>
      </c>
    </row>
    <row r="1017" spans="2:7" ht="15" customHeight="1" x14ac:dyDescent="0.3">
      <c r="C1017" s="2"/>
      <c r="D1017" s="8">
        <v>2017</v>
      </c>
      <c r="E1017" s="14">
        <f>Data!N1017</f>
        <v>9454000000</v>
      </c>
      <c r="F1017" s="14">
        <f>Data!G1017</f>
        <v>803478000000</v>
      </c>
      <c r="G1017" s="12">
        <f t="shared" si="15"/>
        <v>1.1766345811584138E-2</v>
      </c>
    </row>
    <row r="1018" spans="2:7" ht="15" customHeight="1" x14ac:dyDescent="0.3">
      <c r="C1018" s="2"/>
      <c r="D1018" s="8">
        <v>2018</v>
      </c>
      <c r="E1018" s="14">
        <f>Data!N1018</f>
        <v>13783000000</v>
      </c>
      <c r="F1018" s="14">
        <f>Data!G1018</f>
        <v>1041532000000</v>
      </c>
      <c r="G1018" s="12">
        <f t="shared" si="15"/>
        <v>1.3233390812764274E-2</v>
      </c>
    </row>
    <row r="1019" spans="2:7" ht="15" customHeight="1" x14ac:dyDescent="0.3">
      <c r="C1019" s="2"/>
      <c r="D1019" s="8">
        <v>2019</v>
      </c>
      <c r="E1019" s="14">
        <f>Data!N1019</f>
        <v>21651000000</v>
      </c>
      <c r="F1019" s="14">
        <f>Data!G1019</f>
        <v>1221480000000</v>
      </c>
      <c r="G1019" s="12">
        <f t="shared" si="15"/>
        <v>1.7725218587287553E-2</v>
      </c>
    </row>
    <row r="1020" spans="2:7" ht="15" customHeight="1" x14ac:dyDescent="0.3">
      <c r="C1020" s="2"/>
      <c r="D1020" s="8">
        <v>2020</v>
      </c>
      <c r="E1020" s="14">
        <f>Data!N1020</f>
        <v>29534000000</v>
      </c>
      <c r="F1020" s="14">
        <f>Data!G1020</f>
        <v>1204013000000</v>
      </c>
      <c r="G1020" s="12">
        <f t="shared" si="15"/>
        <v>2.4529635477357804E-2</v>
      </c>
    </row>
    <row r="1021" spans="2:7" ht="15" customHeight="1" x14ac:dyDescent="0.3">
      <c r="C1021" s="2"/>
      <c r="D1021" s="8">
        <v>2021</v>
      </c>
      <c r="E1021" s="14">
        <f>Data!N1021</f>
        <v>24036000000</v>
      </c>
      <c r="F1021" s="14">
        <f>Data!G1021</f>
        <v>1538686000000</v>
      </c>
      <c r="G1021" s="12">
        <f t="shared" si="15"/>
        <v>1.5621120878463832E-2</v>
      </c>
    </row>
    <row r="1022" spans="2:7" ht="15" customHeight="1" x14ac:dyDescent="0.3">
      <c r="C1022" s="2"/>
      <c r="D1022" s="8">
        <v>2022</v>
      </c>
      <c r="E1022" s="14">
        <f>Data!N1022</f>
        <v>55602000000</v>
      </c>
      <c r="F1022" s="14">
        <f>Data!G1022</f>
        <v>1734932000000</v>
      </c>
      <c r="G1022" s="12">
        <f t="shared" si="15"/>
        <v>3.2048518328095854E-2</v>
      </c>
    </row>
    <row r="1023" spans="2:7" ht="15" customHeight="1" x14ac:dyDescent="0.3">
      <c r="C1023" s="2"/>
      <c r="D1023" s="8">
        <v>2023</v>
      </c>
      <c r="E1023" s="14">
        <f>Data!N1023</f>
        <v>67483000000</v>
      </c>
      <c r="F1023" s="14">
        <f>Data!G1023</f>
        <v>1763338000000</v>
      </c>
      <c r="G1023" s="12">
        <f t="shared" si="15"/>
        <v>3.8270031043396102E-2</v>
      </c>
    </row>
    <row r="1024" spans="2:7" ht="15" customHeight="1" x14ac:dyDescent="0.3">
      <c r="C1024" s="2"/>
      <c r="D1024" s="8">
        <v>2024</v>
      </c>
      <c r="E1024" s="14">
        <f>Data!N1024</f>
        <v>83670000000</v>
      </c>
      <c r="F1024" s="14">
        <f>Data!G1024</f>
        <v>6304848000000</v>
      </c>
      <c r="G1024" s="12">
        <f t="shared" si="15"/>
        <v>1.3270740230375102E-2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Data!N1025</f>
        <v>0</v>
      </c>
      <c r="F1025" s="14">
        <f>Data!G1025</f>
        <v>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Data!N1026</f>
        <v>74020090000</v>
      </c>
      <c r="F1026" s="14">
        <f>Data!G1026</f>
        <v>1609399500000</v>
      </c>
      <c r="G1026" s="12">
        <f t="shared" si="15"/>
        <v>4.5992365475445968E-2</v>
      </c>
    </row>
    <row r="1027" spans="2:7" ht="15" customHeight="1" x14ac:dyDescent="0.3">
      <c r="C1027" s="2"/>
      <c r="D1027" s="8">
        <v>2016</v>
      </c>
      <c r="E1027" s="14">
        <f>Data!N1027</f>
        <v>49876180000</v>
      </c>
      <c r="F1027" s="14">
        <f>Data!G1027</f>
        <v>1527605960000</v>
      </c>
      <c r="G1027" s="12">
        <f t="shared" ref="G1027:G1090" si="16">IFERROR(E1027/F1027,0)</f>
        <v>3.264989879981877E-2</v>
      </c>
    </row>
    <row r="1028" spans="2:7" ht="15" customHeight="1" x14ac:dyDescent="0.3">
      <c r="C1028" s="2"/>
      <c r="D1028" s="8">
        <v>2017</v>
      </c>
      <c r="E1028" s="14">
        <f>Data!N1028</f>
        <v>46544000000</v>
      </c>
      <c r="F1028" s="14">
        <f>Data!G1028</f>
        <v>1595563000000</v>
      </c>
      <c r="G1028" s="12">
        <f t="shared" si="16"/>
        <v>2.9170894536912677E-2</v>
      </c>
    </row>
    <row r="1029" spans="2:7" ht="15" customHeight="1" x14ac:dyDescent="0.3">
      <c r="C1029" s="2"/>
      <c r="D1029" s="8">
        <v>2018</v>
      </c>
      <c r="E1029" s="14">
        <f>Data!N1029</f>
        <v>51602000000</v>
      </c>
      <c r="F1029" s="14">
        <f>Data!G1029</f>
        <v>1741510000000</v>
      </c>
      <c r="G1029" s="12">
        <f t="shared" si="16"/>
        <v>2.9630607920712485E-2</v>
      </c>
    </row>
    <row r="1030" spans="2:7" ht="15" customHeight="1" x14ac:dyDescent="0.3">
      <c r="C1030" s="2"/>
      <c r="D1030" s="8">
        <v>2019</v>
      </c>
      <c r="E1030" s="14">
        <f>Data!N1030</f>
        <v>61565000000</v>
      </c>
      <c r="F1030" s="14">
        <f>Data!G1030</f>
        <v>1763884000000</v>
      </c>
      <c r="G1030" s="12">
        <f t="shared" si="16"/>
        <v>3.490308886525418E-2</v>
      </c>
    </row>
    <row r="1031" spans="2:7" ht="15" customHeight="1" x14ac:dyDescent="0.3">
      <c r="C1031" s="2"/>
      <c r="D1031" s="8">
        <v>2020</v>
      </c>
      <c r="E1031" s="14">
        <f>Data!N1031</f>
        <v>80594000000</v>
      </c>
      <c r="F1031" s="14">
        <f>Data!G1031</f>
        <v>1554564000000</v>
      </c>
      <c r="G1031" s="12">
        <f t="shared" si="16"/>
        <v>5.1843475083689063E-2</v>
      </c>
    </row>
    <row r="1032" spans="2:7" ht="15" customHeight="1" x14ac:dyDescent="0.3">
      <c r="C1032" s="2"/>
      <c r="D1032" s="8">
        <v>2021</v>
      </c>
      <c r="E1032" s="14">
        <f>Data!N1032</f>
        <v>94515000000</v>
      </c>
      <c r="F1032" s="14">
        <f>Data!G1032</f>
        <v>1639874000000</v>
      </c>
      <c r="G1032" s="12">
        <f t="shared" si="16"/>
        <v>5.7635525656239445E-2</v>
      </c>
    </row>
    <row r="1033" spans="2:7" ht="15" customHeight="1" x14ac:dyDescent="0.3">
      <c r="C1033" s="2"/>
      <c r="D1033" s="8">
        <v>2022</v>
      </c>
      <c r="E1033" s="14">
        <f>Data!N1033</f>
        <v>107336000000</v>
      </c>
      <c r="F1033" s="14">
        <f>Data!G1033</f>
        <v>1939292000000</v>
      </c>
      <c r="G1033" s="12">
        <f t="shared" si="16"/>
        <v>5.5348034231049267E-2</v>
      </c>
    </row>
    <row r="1034" spans="2:7" ht="15" customHeight="1" x14ac:dyDescent="0.3">
      <c r="C1034" s="2"/>
      <c r="D1034" s="8">
        <v>2023</v>
      </c>
      <c r="E1034" s="14">
        <f>Data!N1034</f>
        <v>110353000000</v>
      </c>
      <c r="F1034" s="14">
        <f>Data!G1034</f>
        <v>2186737000000</v>
      </c>
      <c r="G1034" s="12">
        <f t="shared" si="16"/>
        <v>5.046468779738944E-2</v>
      </c>
    </row>
    <row r="1035" spans="2:7" ht="15" customHeight="1" x14ac:dyDescent="0.3">
      <c r="C1035" s="2"/>
      <c r="D1035" s="8">
        <v>2024</v>
      </c>
      <c r="E1035" s="14">
        <f>Data!N1035</f>
        <v>130247000000</v>
      </c>
      <c r="F1035" s="14">
        <f>Data!G1035</f>
        <v>2288683000000</v>
      </c>
      <c r="G1035" s="12">
        <f t="shared" si="16"/>
        <v>5.6909148186970411E-2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Data!N1036</f>
        <v>0</v>
      </c>
      <c r="F1036" s="14">
        <f>Data!G1036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Data!N1037</f>
        <v>0</v>
      </c>
      <c r="F1037" s="14">
        <f>Data!G1037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Data!N1038</f>
        <v>0</v>
      </c>
      <c r="F1038" s="14">
        <f>Data!G1038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Data!N1039</f>
        <v>0</v>
      </c>
      <c r="F1039" s="14">
        <f>Data!G1039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Data!N1040</f>
        <v>0</v>
      </c>
      <c r="F1040" s="14">
        <f>Data!G1040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Data!N1041</f>
        <v>5205588810</v>
      </c>
      <c r="F1041" s="14">
        <f>Data!G1041</f>
        <v>196174651501</v>
      </c>
      <c r="G1041" s="12">
        <f t="shared" si="16"/>
        <v>2.6535481369128186E-2</v>
      </c>
    </row>
    <row r="1042" spans="2:7" ht="15" customHeight="1" x14ac:dyDescent="0.3">
      <c r="C1042" s="2"/>
      <c r="D1042" s="8">
        <v>2020</v>
      </c>
      <c r="E1042" s="14">
        <f>Data!N1042</f>
        <v>203000000</v>
      </c>
      <c r="F1042" s="14">
        <f>Data!G1042</f>
        <v>199744000000</v>
      </c>
      <c r="G1042" s="12">
        <f t="shared" si="16"/>
        <v>1.0163008651073375E-3</v>
      </c>
    </row>
    <row r="1043" spans="2:7" ht="15" customHeight="1" x14ac:dyDescent="0.3">
      <c r="C1043" s="2"/>
      <c r="D1043" s="8">
        <v>2021</v>
      </c>
      <c r="E1043" s="14">
        <f>Data!N1043</f>
        <v>4029000000</v>
      </c>
      <c r="F1043" s="14">
        <f>Data!G1043</f>
        <v>173288000000</v>
      </c>
      <c r="G1043" s="12">
        <f t="shared" si="16"/>
        <v>2.3250311619962143E-2</v>
      </c>
    </row>
    <row r="1044" spans="2:7" ht="15" customHeight="1" x14ac:dyDescent="0.3">
      <c r="C1044" s="2"/>
      <c r="D1044" s="8">
        <v>2022</v>
      </c>
      <c r="E1044" s="14">
        <f>Data!N1044</f>
        <v>-12927000000</v>
      </c>
      <c r="F1044" s="14">
        <f>Data!G1044</f>
        <v>163542000000</v>
      </c>
      <c r="G1044" s="12">
        <f t="shared" si="16"/>
        <v>-7.9043915324503791E-2</v>
      </c>
    </row>
    <row r="1045" spans="2:7" ht="15" customHeight="1" x14ac:dyDescent="0.3">
      <c r="C1045" s="2"/>
      <c r="D1045" s="8">
        <v>2023</v>
      </c>
      <c r="E1045" s="14">
        <f>Data!N1045</f>
        <v>-2138000000</v>
      </c>
      <c r="F1045" s="14">
        <f>Data!G1045</f>
        <v>180812000000</v>
      </c>
      <c r="G1045" s="12">
        <f t="shared" si="16"/>
        <v>-1.1824436431210318E-2</v>
      </c>
    </row>
    <row r="1046" spans="2:7" ht="15" customHeight="1" x14ac:dyDescent="0.3">
      <c r="C1046" s="2"/>
      <c r="D1046" s="8">
        <v>2024</v>
      </c>
      <c r="E1046" s="14">
        <f>Data!N1046</f>
        <v>-345000000</v>
      </c>
      <c r="F1046" s="14">
        <f>Data!G1046</f>
        <v>237329000000</v>
      </c>
      <c r="G1046" s="12">
        <f t="shared" si="16"/>
        <v>-1.4536782272710036E-3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Data!N1047</f>
        <v>0</v>
      </c>
      <c r="F1047" s="14">
        <f>Data!G1047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Data!N1048</f>
        <v>63323652330</v>
      </c>
      <c r="F1048" s="14">
        <f>Data!G1048</f>
        <v>1422094069358</v>
      </c>
      <c r="G1048" s="12">
        <f t="shared" si="16"/>
        <v>4.4528455391553153E-2</v>
      </c>
    </row>
    <row r="1049" spans="2:7" ht="15" customHeight="1" x14ac:dyDescent="0.3">
      <c r="C1049" s="2"/>
      <c r="D1049" s="8">
        <v>2016</v>
      </c>
      <c r="E1049" s="14">
        <f>Data!N1049</f>
        <v>63334978929</v>
      </c>
      <c r="F1049" s="14">
        <f>Data!G1049</f>
        <v>1434654843880</v>
      </c>
      <c r="G1049" s="12">
        <f t="shared" si="16"/>
        <v>4.4146492237611391E-2</v>
      </c>
    </row>
    <row r="1050" spans="2:7" ht="15" customHeight="1" x14ac:dyDescent="0.3">
      <c r="C1050" s="2"/>
      <c r="D1050" s="8">
        <v>2017</v>
      </c>
      <c r="E1050" s="14">
        <f>Data!N1050</f>
        <v>60408579794</v>
      </c>
      <c r="F1050" s="14">
        <f>Data!G1050</f>
        <v>1418524795003</v>
      </c>
      <c r="G1050" s="12">
        <f t="shared" si="16"/>
        <v>4.2585494456494323E-2</v>
      </c>
    </row>
    <row r="1051" spans="2:7" ht="15" customHeight="1" x14ac:dyDescent="0.3">
      <c r="C1051" s="2"/>
      <c r="D1051" s="8">
        <v>2018</v>
      </c>
      <c r="E1051" s="14">
        <f>Data!N1051</f>
        <v>70945360128</v>
      </c>
      <c r="F1051" s="14">
        <f>Data!G1051</f>
        <v>1478007061719</v>
      </c>
      <c r="G1051" s="12">
        <f t="shared" si="16"/>
        <v>4.8000690907042634E-2</v>
      </c>
    </row>
    <row r="1052" spans="2:7" ht="15" customHeight="1" x14ac:dyDescent="0.3">
      <c r="C1052" s="2"/>
      <c r="D1052" s="8">
        <v>2019</v>
      </c>
      <c r="E1052" s="14">
        <f>Data!N1052</f>
        <v>61534181086</v>
      </c>
      <c r="F1052" s="14">
        <f>Data!G1052</f>
        <v>1548001829554</v>
      </c>
      <c r="G1052" s="12">
        <f t="shared" si="16"/>
        <v>3.9750715994779424E-2</v>
      </c>
    </row>
    <row r="1053" spans="2:7" ht="15" customHeight="1" x14ac:dyDescent="0.3">
      <c r="C1053" s="2"/>
      <c r="D1053" s="8">
        <v>2020</v>
      </c>
      <c r="E1053" s="14">
        <f>Data!N1053</f>
        <v>76278294005</v>
      </c>
      <c r="F1053" s="14">
        <f>Data!G1053</f>
        <v>1516562973028</v>
      </c>
      <c r="G1053" s="12">
        <f t="shared" si="16"/>
        <v>5.0296819427617455E-2</v>
      </c>
    </row>
    <row r="1054" spans="2:7" ht="15" customHeight="1" x14ac:dyDescent="0.3">
      <c r="C1054" s="2"/>
      <c r="D1054" s="8">
        <v>2021</v>
      </c>
      <c r="E1054" s="14">
        <f>Data!N1054</f>
        <v>59863973819</v>
      </c>
      <c r="F1054" s="14">
        <f>Data!G1054</f>
        <v>1411160148272</v>
      </c>
      <c r="G1054" s="12">
        <f t="shared" si="16"/>
        <v>4.2421814343542009E-2</v>
      </c>
    </row>
    <row r="1055" spans="2:7" ht="15" customHeight="1" x14ac:dyDescent="0.3">
      <c r="C1055" s="2"/>
      <c r="D1055" s="8">
        <v>2022</v>
      </c>
      <c r="E1055" s="14">
        <f>Data!N1055</f>
        <v>81808341042</v>
      </c>
      <c r="F1055" s="14">
        <f>Data!G1055</f>
        <v>1627241657686</v>
      </c>
      <c r="G1055" s="12">
        <f t="shared" si="16"/>
        <v>5.0274242092802977E-2</v>
      </c>
    </row>
    <row r="1056" spans="2:7" ht="15" customHeight="1" x14ac:dyDescent="0.3">
      <c r="C1056" s="2"/>
      <c r="D1056" s="8">
        <v>2023</v>
      </c>
      <c r="E1056" s="14">
        <f>Data!N1056</f>
        <v>84142519498</v>
      </c>
      <c r="F1056" s="14">
        <f>Data!G1056</f>
        <v>1850769013354</v>
      </c>
      <c r="G1056" s="12">
        <f t="shared" si="16"/>
        <v>4.5463544554117684E-2</v>
      </c>
    </row>
    <row r="1057" spans="2:7" ht="15" customHeight="1" x14ac:dyDescent="0.3">
      <c r="C1057" s="2"/>
      <c r="D1057" s="8">
        <v>2024</v>
      </c>
      <c r="E1057" s="14">
        <f>Data!N1057</f>
        <v>29800515520</v>
      </c>
      <c r="F1057" s="14">
        <f>Data!G1057</f>
        <v>1748726624469</v>
      </c>
      <c r="G1057" s="12">
        <f t="shared" si="16"/>
        <v>1.7041265972060619E-2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Data!N1058</f>
        <v>0</v>
      </c>
      <c r="F1058" s="14">
        <f>Data!G1058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Data!N1059</f>
        <v>0</v>
      </c>
      <c r="F1059" s="14">
        <f>Data!G1059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Data!N1060</f>
        <v>0</v>
      </c>
      <c r="F1060" s="14">
        <f>Data!G1060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Data!N1061</f>
        <v>16400000000</v>
      </c>
      <c r="F1061" s="14">
        <f>Data!G1061</f>
        <v>443187000000</v>
      </c>
      <c r="G1061" s="12">
        <f t="shared" si="16"/>
        <v>3.7004695534841953E-2</v>
      </c>
    </row>
    <row r="1062" spans="2:7" ht="15" customHeight="1" x14ac:dyDescent="0.3">
      <c r="C1062" s="2"/>
      <c r="D1062" s="8">
        <v>2018</v>
      </c>
      <c r="E1062" s="14">
        <f>Data!N1062</f>
        <v>42448000000</v>
      </c>
      <c r="F1062" s="14">
        <f>Data!G1062</f>
        <v>543888000000</v>
      </c>
      <c r="G1062" s="12">
        <f t="shared" si="16"/>
        <v>7.8045479951754773E-2</v>
      </c>
    </row>
    <row r="1063" spans="2:7" ht="15" customHeight="1" x14ac:dyDescent="0.3">
      <c r="C1063" s="2"/>
      <c r="D1063" s="8">
        <v>2019</v>
      </c>
      <c r="E1063" s="14">
        <f>Data!N1063</f>
        <v>32292000000</v>
      </c>
      <c r="F1063" s="14">
        <f>Data!G1063</f>
        <v>606281000000</v>
      </c>
      <c r="G1063" s="12">
        <f t="shared" si="16"/>
        <v>5.326243111692433E-2</v>
      </c>
    </row>
    <row r="1064" spans="2:7" ht="15" customHeight="1" x14ac:dyDescent="0.3">
      <c r="C1064" s="2"/>
      <c r="D1064" s="8">
        <v>2020</v>
      </c>
      <c r="E1064" s="14">
        <f>Data!N1064</f>
        <v>35799000000</v>
      </c>
      <c r="F1064" s="14">
        <f>Data!G1064</f>
        <v>606330000000</v>
      </c>
      <c r="G1064" s="12">
        <f t="shared" si="16"/>
        <v>5.9042105783979018E-2</v>
      </c>
    </row>
    <row r="1065" spans="2:7" ht="15" customHeight="1" x14ac:dyDescent="0.3">
      <c r="C1065" s="2"/>
      <c r="D1065" s="8">
        <v>2021</v>
      </c>
      <c r="E1065" s="14">
        <f>Data!N1065</f>
        <v>44502000000</v>
      </c>
      <c r="F1065" s="14">
        <f>Data!G1065</f>
        <v>734486000000</v>
      </c>
      <c r="G1065" s="12">
        <f t="shared" si="16"/>
        <v>6.058931007534521E-2</v>
      </c>
    </row>
    <row r="1066" spans="2:7" ht="15" customHeight="1" x14ac:dyDescent="0.3">
      <c r="C1066" s="2"/>
      <c r="D1066" s="8">
        <v>2022</v>
      </c>
      <c r="E1066" s="14">
        <f>Data!N1066</f>
        <v>4674000000</v>
      </c>
      <c r="F1066" s="14">
        <f>Data!G1066</f>
        <v>693414000000</v>
      </c>
      <c r="G1066" s="12">
        <f t="shared" si="16"/>
        <v>6.740561915392536E-3</v>
      </c>
    </row>
    <row r="1067" spans="2:7" ht="15" customHeight="1" x14ac:dyDescent="0.3">
      <c r="C1067" s="2"/>
      <c r="D1067" s="8">
        <v>2023</v>
      </c>
      <c r="E1067" s="14">
        <f>Data!N1067</f>
        <v>14225000000</v>
      </c>
      <c r="F1067" s="14">
        <f>Data!G1067</f>
        <v>842799000000</v>
      </c>
      <c r="G1067" s="12">
        <f t="shared" si="16"/>
        <v>1.687828295951941E-2</v>
      </c>
    </row>
    <row r="1068" spans="2:7" ht="15" customHeight="1" x14ac:dyDescent="0.3">
      <c r="C1068" s="2"/>
      <c r="D1068" s="8">
        <v>2024</v>
      </c>
      <c r="E1068" s="14">
        <f>Data!N1068</f>
        <v>-4978000000</v>
      </c>
      <c r="F1068" s="14">
        <f>Data!G1068</f>
        <v>965173000000</v>
      </c>
      <c r="G1068" s="12">
        <f t="shared" si="16"/>
        <v>-5.1576245916535174E-3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Data!N1069</f>
        <v>0</v>
      </c>
      <c r="F1069" s="14">
        <f>Data!G1069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Data!N1070</f>
        <v>0</v>
      </c>
      <c r="F1070" s="14">
        <f>Data!G1070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Data!N1071</f>
        <v>0</v>
      </c>
      <c r="F1071" s="14">
        <f>Data!G1071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Data!N1072</f>
        <v>1379870000</v>
      </c>
      <c r="F1072" s="14">
        <f>Data!G1072</f>
        <v>438728480000</v>
      </c>
      <c r="G1072" s="12">
        <f t="shared" si="16"/>
        <v>3.1451571140309834E-3</v>
      </c>
    </row>
    <row r="1073" spans="2:7" ht="15" customHeight="1" x14ac:dyDescent="0.3">
      <c r="C1073" s="2"/>
      <c r="D1073" s="8">
        <v>2018</v>
      </c>
      <c r="E1073" s="14">
        <f>Data!N1073</f>
        <v>1653090000</v>
      </c>
      <c r="F1073" s="14">
        <f>Data!G1073</f>
        <v>465529950000</v>
      </c>
      <c r="G1073" s="12">
        <f t="shared" si="16"/>
        <v>3.5509852803240695E-3</v>
      </c>
    </row>
    <row r="1074" spans="2:7" ht="15" customHeight="1" x14ac:dyDescent="0.3">
      <c r="C1074" s="2"/>
      <c r="D1074" s="8">
        <v>2019</v>
      </c>
      <c r="E1074" s="14">
        <f>Data!N1074</f>
        <v>4405740000</v>
      </c>
      <c r="F1074" s="14">
        <f>Data!G1074</f>
        <v>530838510000</v>
      </c>
      <c r="G1074" s="12">
        <f t="shared" si="16"/>
        <v>8.2995862527004676E-3</v>
      </c>
    </row>
    <row r="1075" spans="2:7" ht="15" customHeight="1" x14ac:dyDescent="0.3">
      <c r="C1075" s="2"/>
      <c r="D1075" s="8">
        <v>2020</v>
      </c>
      <c r="E1075" s="14">
        <f>Data!N1075</f>
        <v>14776200000</v>
      </c>
      <c r="F1075" s="14">
        <f>Data!G1075</f>
        <v>602525150000</v>
      </c>
      <c r="G1075" s="12">
        <f t="shared" si="16"/>
        <v>2.4523789587870316E-2</v>
      </c>
    </row>
    <row r="1076" spans="2:7" ht="15" customHeight="1" x14ac:dyDescent="0.3">
      <c r="C1076" s="2"/>
      <c r="D1076" s="8">
        <v>2021</v>
      </c>
      <c r="E1076" s="14">
        <f>Data!N1076</f>
        <v>12122560000</v>
      </c>
      <c r="F1076" s="14">
        <f>Data!G1076</f>
        <v>612411540000</v>
      </c>
      <c r="G1076" s="12">
        <f t="shared" si="16"/>
        <v>1.9794793546836168E-2</v>
      </c>
    </row>
    <row r="1077" spans="2:7" ht="15" customHeight="1" x14ac:dyDescent="0.3">
      <c r="C1077" s="2"/>
      <c r="D1077" s="8">
        <v>2022</v>
      </c>
      <c r="E1077" s="14">
        <f>Data!N1077</f>
        <v>18174950000</v>
      </c>
      <c r="F1077" s="14">
        <f>Data!G1077</f>
        <v>767599240000</v>
      </c>
      <c r="G1077" s="12">
        <f t="shared" si="16"/>
        <v>2.3677655022170164E-2</v>
      </c>
    </row>
    <row r="1078" spans="2:7" ht="15" customHeight="1" x14ac:dyDescent="0.3">
      <c r="C1078" s="2"/>
      <c r="D1078" s="8">
        <v>2023</v>
      </c>
      <c r="E1078" s="14">
        <f>Data!N1078</f>
        <v>30291850000</v>
      </c>
      <c r="F1078" s="14">
        <f>Data!G1078</f>
        <v>914778240000</v>
      </c>
      <c r="G1078" s="12">
        <f t="shared" si="16"/>
        <v>3.3113872494387277E-2</v>
      </c>
    </row>
    <row r="1079" spans="2:7" ht="15" customHeight="1" x14ac:dyDescent="0.3">
      <c r="C1079" s="2"/>
      <c r="D1079" s="8">
        <v>2024</v>
      </c>
      <c r="E1079" s="14">
        <f>Data!N1079</f>
        <v>37758550000</v>
      </c>
      <c r="F1079" s="14">
        <f>Data!G1079</f>
        <v>896022680000</v>
      </c>
      <c r="G1079" s="12">
        <f t="shared" si="16"/>
        <v>4.2140172166177756E-2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Data!N1080</f>
        <v>0</v>
      </c>
      <c r="F1080" s="14">
        <f>Data!G1080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Data!N1081</f>
        <v>0</v>
      </c>
      <c r="F1081" s="14">
        <f>Data!G1081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Data!N1082</f>
        <v>0</v>
      </c>
      <c r="F1082" s="14">
        <f>Data!G1082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Data!N1083</f>
        <v>0</v>
      </c>
      <c r="F1083" s="14">
        <f>Data!G1083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Data!N1084</f>
        <v>0</v>
      </c>
      <c r="F1084" s="14">
        <f>Data!G1084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Data!N1085</f>
        <v>0</v>
      </c>
      <c r="F1085" s="14">
        <f>Data!G1085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Data!N1086</f>
        <v>0</v>
      </c>
      <c r="F1086" s="14">
        <f>Data!G1086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Data!N1087</f>
        <v>31712000000</v>
      </c>
      <c r="F1087" s="14">
        <f>Data!G1087</f>
        <v>1386012000000</v>
      </c>
      <c r="G1087" s="12">
        <f t="shared" si="16"/>
        <v>2.2880032784708935E-2</v>
      </c>
    </row>
    <row r="1088" spans="2:7" ht="15" customHeight="1" x14ac:dyDescent="0.3">
      <c r="C1088" s="2"/>
      <c r="D1088" s="8">
        <v>2022</v>
      </c>
      <c r="E1088" s="14">
        <f>Data!N1088</f>
        <v>51852000000</v>
      </c>
      <c r="F1088" s="14">
        <f>Data!G1088</f>
        <v>1289972000000</v>
      </c>
      <c r="G1088" s="12">
        <f t="shared" si="16"/>
        <v>4.0196221313330831E-2</v>
      </c>
    </row>
    <row r="1089" spans="2:7" ht="15" customHeight="1" x14ac:dyDescent="0.3">
      <c r="C1089" s="2"/>
      <c r="D1089" s="8">
        <v>2023</v>
      </c>
      <c r="E1089" s="14">
        <f>Data!N1089</f>
        <v>25782000000</v>
      </c>
      <c r="F1089" s="14">
        <f>Data!G1089</f>
        <v>1334934000000</v>
      </c>
      <c r="G1089" s="12">
        <f t="shared" si="16"/>
        <v>1.9313314366103493E-2</v>
      </c>
    </row>
    <row r="1090" spans="2:7" ht="15" customHeight="1" x14ac:dyDescent="0.3">
      <c r="C1090" s="2"/>
      <c r="D1090" s="8">
        <v>2024</v>
      </c>
      <c r="E1090" s="14">
        <f>Data!N1090</f>
        <v>35423000000</v>
      </c>
      <c r="F1090" s="14">
        <f>Data!G1090</f>
        <v>1374888000000</v>
      </c>
      <c r="G1090" s="12">
        <f t="shared" si="16"/>
        <v>2.5764280435933689E-2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Data!N1091</f>
        <v>0</v>
      </c>
      <c r="F1091" s="14">
        <f>Data!G1091</f>
        <v>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Data!N1092</f>
        <v>5718000000</v>
      </c>
      <c r="F1092" s="14">
        <f>Data!G1092</f>
        <v>122165000000</v>
      </c>
      <c r="G1092" s="12">
        <f t="shared" si="17"/>
        <v>4.6805549871076005E-2</v>
      </c>
    </row>
    <row r="1093" spans="2:7" ht="15" customHeight="1" x14ac:dyDescent="0.3">
      <c r="C1093" s="2"/>
      <c r="D1093" s="8">
        <v>2016</v>
      </c>
      <c r="E1093" s="14">
        <f>Data!N1093</f>
        <v>1411000000</v>
      </c>
      <c r="F1093" s="14">
        <f>Data!G1093</f>
        <v>130238000000</v>
      </c>
      <c r="G1093" s="12">
        <f t="shared" si="17"/>
        <v>1.0834011578801886E-2</v>
      </c>
    </row>
    <row r="1094" spans="2:7" ht="15" customHeight="1" x14ac:dyDescent="0.3">
      <c r="C1094" s="2"/>
      <c r="D1094" s="8">
        <v>2017</v>
      </c>
      <c r="E1094" s="14">
        <f>Data!N1094</f>
        <v>9010000000</v>
      </c>
      <c r="F1094" s="14">
        <f>Data!G1094</f>
        <v>177485000000</v>
      </c>
      <c r="G1094" s="12">
        <f t="shared" si="17"/>
        <v>5.0764853367890245E-2</v>
      </c>
    </row>
    <row r="1095" spans="2:7" ht="15" customHeight="1" x14ac:dyDescent="0.3">
      <c r="C1095" s="2"/>
      <c r="D1095" s="8">
        <v>2018</v>
      </c>
      <c r="E1095" s="14">
        <f>Data!N1095</f>
        <v>10001000000</v>
      </c>
      <c r="F1095" s="14">
        <f>Data!G1095</f>
        <v>311845000000</v>
      </c>
      <c r="G1095" s="12">
        <f t="shared" si="17"/>
        <v>3.207041959948051E-2</v>
      </c>
    </row>
    <row r="1096" spans="2:7" ht="15" customHeight="1" x14ac:dyDescent="0.3">
      <c r="C1096" s="2"/>
      <c r="D1096" s="8">
        <v>2019</v>
      </c>
      <c r="E1096" s="14">
        <f>Data!N1096</f>
        <v>62066000000</v>
      </c>
      <c r="F1096" s="14">
        <f>Data!G1096</f>
        <v>889636000000</v>
      </c>
      <c r="G1096" s="12">
        <f t="shared" si="17"/>
        <v>6.9765612003111391E-2</v>
      </c>
    </row>
    <row r="1097" spans="2:7" ht="15" customHeight="1" x14ac:dyDescent="0.3">
      <c r="C1097" s="2"/>
      <c r="D1097" s="8">
        <v>2020</v>
      </c>
      <c r="E1097" s="14">
        <f>Data!N1097</f>
        <v>9599000000</v>
      </c>
      <c r="F1097" s="14">
        <f>Data!G1097</f>
        <v>767127000000</v>
      </c>
      <c r="G1097" s="12">
        <f t="shared" si="17"/>
        <v>1.2512921589254452E-2</v>
      </c>
    </row>
    <row r="1098" spans="2:7" ht="15" customHeight="1" x14ac:dyDescent="0.3">
      <c r="C1098" s="2"/>
      <c r="D1098" s="8">
        <v>2021</v>
      </c>
      <c r="E1098" s="14">
        <f>Data!N1098</f>
        <v>52678000000</v>
      </c>
      <c r="F1098" s="14">
        <f>Data!G1098</f>
        <v>808290000000</v>
      </c>
      <c r="G1098" s="12">
        <f t="shared" si="17"/>
        <v>6.5172153558747475E-2</v>
      </c>
    </row>
    <row r="1099" spans="2:7" ht="15" customHeight="1" x14ac:dyDescent="0.3">
      <c r="C1099" s="2"/>
      <c r="D1099" s="8">
        <v>2022</v>
      </c>
      <c r="E1099" s="14">
        <f>Data!N1099</f>
        <v>147083000000</v>
      </c>
      <c r="F1099" s="14">
        <f>Data!G1099</f>
        <v>920252000000</v>
      </c>
      <c r="G1099" s="12">
        <f t="shared" si="17"/>
        <v>0.15982904682630411</v>
      </c>
    </row>
    <row r="1100" spans="2:7" ht="15" customHeight="1" x14ac:dyDescent="0.3">
      <c r="C1100" s="2"/>
      <c r="D1100" s="8">
        <v>2023</v>
      </c>
      <c r="E1100" s="14">
        <f>Data!N1100</f>
        <v>220755000000</v>
      </c>
      <c r="F1100" s="14">
        <f>Data!G1100</f>
        <v>1176944000000</v>
      </c>
      <c r="G1100" s="12">
        <f t="shared" si="17"/>
        <v>0.18756627333161136</v>
      </c>
    </row>
    <row r="1101" spans="2:7" ht="15" customHeight="1" x14ac:dyDescent="0.3">
      <c r="C1101" s="2"/>
      <c r="D1101" s="8">
        <v>2024</v>
      </c>
      <c r="E1101" s="14">
        <f>Data!N1101</f>
        <v>133779000000</v>
      </c>
      <c r="F1101" s="14">
        <f>Data!G1101</f>
        <v>1733065000000</v>
      </c>
      <c r="G1101" s="12">
        <f t="shared" si="17"/>
        <v>7.7192142245097559E-2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Data!N1102</f>
        <v>0</v>
      </c>
      <c r="F1102" s="14">
        <f>Data!G1102</f>
        <v>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Data!N1103</f>
        <v>468372000000</v>
      </c>
      <c r="F1103" s="14">
        <f>Data!G1103</f>
        <v>6191014000000</v>
      </c>
      <c r="G1103" s="12">
        <f t="shared" si="17"/>
        <v>7.5653519762675384E-2</v>
      </c>
    </row>
    <row r="1104" spans="2:7" ht="15" customHeight="1" x14ac:dyDescent="0.3">
      <c r="C1104" s="2"/>
      <c r="D1104" s="8">
        <v>2016</v>
      </c>
      <c r="E1104" s="14">
        <f>Data!N1104</f>
        <v>483012000000</v>
      </c>
      <c r="F1104" s="14">
        <f>Data!G1104</f>
        <v>5916686000000</v>
      </c>
      <c r="G1104" s="12">
        <f t="shared" si="17"/>
        <v>8.1635564233085892E-2</v>
      </c>
    </row>
    <row r="1105" spans="2:7" ht="15" customHeight="1" x14ac:dyDescent="0.3">
      <c r="C1105" s="2"/>
      <c r="D1105" s="8">
        <v>2017</v>
      </c>
      <c r="E1105" s="14">
        <f>Data!N1105</f>
        <v>567868000000</v>
      </c>
      <c r="F1105" s="14">
        <f>Data!G1105</f>
        <v>31271077000000</v>
      </c>
      <c r="G1105" s="12">
        <f t="shared" si="17"/>
        <v>1.8159528052071886E-2</v>
      </c>
    </row>
    <row r="1106" spans="2:7" ht="15" customHeight="1" x14ac:dyDescent="0.3">
      <c r="C1106" s="2"/>
      <c r="D1106" s="8">
        <v>2018</v>
      </c>
      <c r="E1106" s="14">
        <f>Data!N1106</f>
        <v>556878000000</v>
      </c>
      <c r="F1106" s="14">
        <f>Data!G1106</f>
        <v>39097329000000</v>
      </c>
      <c r="G1106" s="12">
        <f t="shared" si="17"/>
        <v>1.424337708593853E-2</v>
      </c>
    </row>
    <row r="1107" spans="2:7" ht="15" customHeight="1" x14ac:dyDescent="0.3">
      <c r="C1107" s="2"/>
      <c r="D1107" s="8">
        <v>2019</v>
      </c>
      <c r="E1107" s="14">
        <f>Data!N1107</f>
        <v>757790000000</v>
      </c>
      <c r="F1107" s="14">
        <f>Data!G1107</f>
        <v>44577624000000</v>
      </c>
      <c r="G1107" s="12">
        <f t="shared" si="17"/>
        <v>1.6999335810271091E-2</v>
      </c>
    </row>
    <row r="1108" spans="2:7" ht="15" customHeight="1" x14ac:dyDescent="0.3">
      <c r="C1108" s="2"/>
      <c r="D1108" s="8">
        <v>2020</v>
      </c>
      <c r="E1108" s="14">
        <f>Data!N1108</f>
        <v>892894000000</v>
      </c>
      <c r="F1108" s="14">
        <f>Data!G1108</f>
        <v>44790941000000</v>
      </c>
      <c r="G1108" s="12">
        <f t="shared" si="17"/>
        <v>1.9934700635112802E-2</v>
      </c>
    </row>
    <row r="1109" spans="2:7" ht="15" customHeight="1" x14ac:dyDescent="0.3">
      <c r="C1109" s="2"/>
      <c r="D1109" s="8">
        <v>2021</v>
      </c>
      <c r="E1109" s="14">
        <f>Data!N1109</f>
        <v>187812000000</v>
      </c>
      <c r="F1109" s="14">
        <f>Data!G1109</f>
        <v>47706642000000</v>
      </c>
      <c r="G1109" s="12">
        <f t="shared" si="17"/>
        <v>3.9368103083004665E-3</v>
      </c>
    </row>
    <row r="1110" spans="2:7" ht="15" customHeight="1" x14ac:dyDescent="0.3">
      <c r="C1110" s="2"/>
      <c r="D1110" s="8">
        <v>2022</v>
      </c>
      <c r="E1110" s="14">
        <f>Data!N1110</f>
        <v>353313000000</v>
      </c>
      <c r="F1110" s="14">
        <f>Data!G1110</f>
        <v>45035755000000</v>
      </c>
      <c r="G1110" s="12">
        <f t="shared" si="17"/>
        <v>7.8451665793101508E-3</v>
      </c>
    </row>
    <row r="1111" spans="2:7" ht="15" customHeight="1" x14ac:dyDescent="0.3">
      <c r="C1111" s="2"/>
      <c r="D1111" s="8">
        <v>2023</v>
      </c>
      <c r="E1111" s="14">
        <f>Data!N1111</f>
        <v>670161000000</v>
      </c>
      <c r="F1111" s="14">
        <f>Data!G1111</f>
        <v>40386010000000</v>
      </c>
      <c r="G1111" s="12">
        <f t="shared" si="17"/>
        <v>1.6593889814814584E-2</v>
      </c>
    </row>
    <row r="1112" spans="2:7" ht="15" customHeight="1" x14ac:dyDescent="0.3">
      <c r="C1112" s="2"/>
      <c r="D1112" s="8">
        <v>2024</v>
      </c>
      <c r="E1112" s="14">
        <f>Data!N1112</f>
        <v>627880000000</v>
      </c>
      <c r="F1112" s="14">
        <f>Data!G1112</f>
        <v>40268335000000</v>
      </c>
      <c r="G1112" s="12">
        <f t="shared" si="17"/>
        <v>1.5592400331426665E-2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Data!N1113</f>
        <v>0</v>
      </c>
      <c r="F1113" s="14">
        <f>Data!G1113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Data!N1114</f>
        <v>181000000</v>
      </c>
      <c r="F1114" s="14">
        <f>Data!G1114</f>
        <v>61417000000</v>
      </c>
      <c r="G1114" s="12">
        <f t="shared" si="17"/>
        <v>2.9470667730432942E-3</v>
      </c>
    </row>
    <row r="1115" spans="2:7" ht="15" customHeight="1" x14ac:dyDescent="0.3">
      <c r="C1115" s="1"/>
      <c r="D1115" s="8">
        <v>2016</v>
      </c>
      <c r="E1115" s="14">
        <f>Data!N1115</f>
        <v>282000000</v>
      </c>
      <c r="F1115" s="14">
        <f>Data!G1115</f>
        <v>65069000000</v>
      </c>
      <c r="G1115" s="12">
        <f t="shared" si="17"/>
        <v>4.3338609783460632E-3</v>
      </c>
    </row>
    <row r="1116" spans="2:7" ht="15" customHeight="1" x14ac:dyDescent="0.3">
      <c r="C1116" s="1"/>
      <c r="D1116" s="8">
        <v>2017</v>
      </c>
      <c r="E1116" s="14">
        <f>Data!N1116</f>
        <v>-3000000</v>
      </c>
      <c r="F1116" s="14">
        <f>Data!G1116</f>
        <v>66934000000</v>
      </c>
      <c r="G1116" s="12">
        <f t="shared" si="17"/>
        <v>-4.4820270714435116E-5</v>
      </c>
    </row>
    <row r="1117" spans="2:7" ht="15" customHeight="1" x14ac:dyDescent="0.3">
      <c r="C1117" s="1"/>
      <c r="D1117" s="8">
        <v>2018</v>
      </c>
      <c r="E1117" s="14">
        <f>Data!N1117</f>
        <v>-439000000</v>
      </c>
      <c r="F1117" s="14">
        <f>Data!G1117</f>
        <v>79330000000</v>
      </c>
      <c r="G1117" s="12">
        <f t="shared" si="17"/>
        <v>-5.5338459599142825E-3</v>
      </c>
    </row>
    <row r="1118" spans="2:7" ht="15" customHeight="1" x14ac:dyDescent="0.3">
      <c r="C1118" s="1"/>
      <c r="D1118" s="8">
        <v>2019</v>
      </c>
      <c r="E1118" s="14">
        <f>Data!N1118</f>
        <v>-1032000000</v>
      </c>
      <c r="F1118" s="14">
        <f>Data!G1118</f>
        <v>78593000000</v>
      </c>
      <c r="G1118" s="12">
        <f t="shared" si="17"/>
        <v>-1.3130940414540736E-2</v>
      </c>
    </row>
    <row r="1119" spans="2:7" ht="15" customHeight="1" x14ac:dyDescent="0.3">
      <c r="C1119" s="1"/>
      <c r="D1119" s="8">
        <v>2020</v>
      </c>
      <c r="E1119" s="14">
        <f>Data!N1119</f>
        <v>-6227000000</v>
      </c>
      <c r="F1119" s="14">
        <f>Data!G1119</f>
        <v>74531000000</v>
      </c>
      <c r="G1119" s="12">
        <f t="shared" si="17"/>
        <v>-8.354912720881244E-2</v>
      </c>
    </row>
    <row r="1120" spans="2:7" ht="15" customHeight="1" x14ac:dyDescent="0.3">
      <c r="C1120" s="1"/>
      <c r="D1120" s="8">
        <v>2021</v>
      </c>
      <c r="E1120" s="14">
        <f>Data!N1120</f>
        <v>-1009000000</v>
      </c>
      <c r="F1120" s="14">
        <f>Data!G1120</f>
        <v>74654000000</v>
      </c>
      <c r="G1120" s="12">
        <f t="shared" si="17"/>
        <v>-1.3515685696680687E-2</v>
      </c>
    </row>
    <row r="1121" spans="2:7" ht="15" customHeight="1" x14ac:dyDescent="0.3">
      <c r="C1121" s="1"/>
      <c r="D1121" s="8">
        <v>2022</v>
      </c>
      <c r="E1121" s="14">
        <f>Data!N1121</f>
        <v>-1166000000</v>
      </c>
      <c r="F1121" s="14">
        <f>Data!G1121</f>
        <v>73360000000</v>
      </c>
      <c r="G1121" s="12">
        <f t="shared" si="17"/>
        <v>-1.589422028353326E-2</v>
      </c>
    </row>
    <row r="1122" spans="2:7" ht="15" customHeight="1" x14ac:dyDescent="0.3">
      <c r="C1122" s="1"/>
      <c r="D1122" s="8">
        <v>2023</v>
      </c>
      <c r="E1122" s="14">
        <f>Data!N1122</f>
        <v>-1492000000</v>
      </c>
      <c r="F1122" s="14">
        <f>Data!G1122</f>
        <v>74204000000</v>
      </c>
      <c r="G1122" s="12">
        <f t="shared" si="17"/>
        <v>-2.0106732790685138E-2</v>
      </c>
    </row>
    <row r="1123" spans="2:7" ht="15" customHeight="1" x14ac:dyDescent="0.3">
      <c r="C1123" s="1"/>
      <c r="D1123" s="8">
        <v>2024</v>
      </c>
      <c r="E1123" s="14">
        <f>Data!N1123</f>
        <v>-1852000000</v>
      </c>
      <c r="F1123" s="14">
        <f>Data!G1123</f>
        <v>67569000000</v>
      </c>
      <c r="G1123" s="12">
        <f t="shared" si="17"/>
        <v>-2.7409018928798708E-2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Data!N1124</f>
        <v>0</v>
      </c>
      <c r="F1124" s="14">
        <f>Data!G1124</f>
        <v>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Data!N1125</f>
        <v>3310000000</v>
      </c>
      <c r="F1125" s="14">
        <f>Data!G1125</f>
        <v>261120000000</v>
      </c>
      <c r="G1125" s="12">
        <f t="shared" si="17"/>
        <v>1.2676164215686275E-2</v>
      </c>
    </row>
    <row r="1126" spans="2:7" ht="15" customHeight="1" x14ac:dyDescent="0.3">
      <c r="C1126" s="2"/>
      <c r="D1126" s="8">
        <v>2016</v>
      </c>
      <c r="E1126" s="14">
        <f>Data!N1126</f>
        <v>6274000000</v>
      </c>
      <c r="F1126" s="14">
        <f>Data!G1126</f>
        <v>204210000000</v>
      </c>
      <c r="G1126" s="12">
        <f t="shared" si="17"/>
        <v>3.0723275059987266E-2</v>
      </c>
    </row>
    <row r="1127" spans="2:7" ht="15" customHeight="1" x14ac:dyDescent="0.3">
      <c r="C1127" s="2"/>
      <c r="D1127" s="8">
        <v>2017</v>
      </c>
      <c r="E1127" s="14">
        <f>Data!N1127</f>
        <v>4681000000</v>
      </c>
      <c r="F1127" s="14">
        <f>Data!G1127</f>
        <v>213492000000</v>
      </c>
      <c r="G1127" s="12">
        <f t="shared" si="17"/>
        <v>2.1925880126655799E-2</v>
      </c>
    </row>
    <row r="1128" spans="2:7" ht="15" customHeight="1" x14ac:dyDescent="0.3">
      <c r="C1128" s="2"/>
      <c r="D1128" s="8">
        <v>2018</v>
      </c>
      <c r="E1128" s="14">
        <f>Data!N1128</f>
        <v>5562000000</v>
      </c>
      <c r="F1128" s="14">
        <f>Data!G1128</f>
        <v>227819000000</v>
      </c>
      <c r="G1128" s="12">
        <f t="shared" si="17"/>
        <v>2.4414118225433348E-2</v>
      </c>
    </row>
    <row r="1129" spans="2:7" ht="15" customHeight="1" x14ac:dyDescent="0.3">
      <c r="C1129" s="2"/>
      <c r="D1129" s="8">
        <v>2019</v>
      </c>
      <c r="E1129" s="14">
        <f>Data!N1129</f>
        <v>6482000000</v>
      </c>
      <c r="F1129" s="14">
        <f>Data!G1129</f>
        <v>238823000000</v>
      </c>
      <c r="G1129" s="12">
        <f t="shared" si="17"/>
        <v>2.7141439476097359E-2</v>
      </c>
    </row>
    <row r="1130" spans="2:7" ht="15" customHeight="1" x14ac:dyDescent="0.3">
      <c r="C1130" s="2"/>
      <c r="D1130" s="8">
        <v>2020</v>
      </c>
      <c r="E1130" s="14">
        <f>Data!N1130</f>
        <v>19752000000</v>
      </c>
      <c r="F1130" s="14">
        <f>Data!G1130</f>
        <v>298910000000</v>
      </c>
      <c r="G1130" s="12">
        <f t="shared" si="17"/>
        <v>6.6080090997290147E-2</v>
      </c>
    </row>
    <row r="1131" spans="2:7" ht="15" customHeight="1" x14ac:dyDescent="0.3">
      <c r="C1131" s="2"/>
      <c r="D1131" s="8">
        <v>2021</v>
      </c>
      <c r="E1131" s="14">
        <f>Data!N1131</f>
        <v>-18953000000</v>
      </c>
      <c r="F1131" s="14">
        <f>Data!G1131</f>
        <v>348144000000</v>
      </c>
      <c r="G1131" s="12">
        <f t="shared" si="17"/>
        <v>-5.444011673330576E-2</v>
      </c>
    </row>
    <row r="1132" spans="2:7" ht="15" customHeight="1" x14ac:dyDescent="0.3">
      <c r="C1132" s="2"/>
      <c r="D1132" s="8">
        <v>2022</v>
      </c>
      <c r="E1132" s="14">
        <f>Data!N1132</f>
        <v>11119000000</v>
      </c>
      <c r="F1132" s="14">
        <f>Data!G1132</f>
        <v>362411000000</v>
      </c>
      <c r="G1132" s="12">
        <f t="shared" si="17"/>
        <v>3.0680636073408367E-2</v>
      </c>
    </row>
    <row r="1133" spans="2:7" ht="15" customHeight="1" x14ac:dyDescent="0.3">
      <c r="C1133" s="2"/>
      <c r="D1133" s="8">
        <v>2023</v>
      </c>
      <c r="E1133" s="14">
        <f>Data!N1133</f>
        <v>-2255000000</v>
      </c>
      <c r="F1133" s="14">
        <f>Data!G1133</f>
        <v>369134000000</v>
      </c>
      <c r="G1133" s="12">
        <f t="shared" si="17"/>
        <v>-6.1088927056299341E-3</v>
      </c>
    </row>
    <row r="1134" spans="2:7" ht="15" customHeight="1" x14ac:dyDescent="0.3">
      <c r="C1134" s="2"/>
      <c r="D1134" s="8">
        <v>2024</v>
      </c>
      <c r="E1134" s="14">
        <f>Data!N1134</f>
        <v>10968000000</v>
      </c>
      <c r="F1134" s="14">
        <f>Data!G1134</f>
        <v>574269000000</v>
      </c>
      <c r="G1134" s="12">
        <f t="shared" si="17"/>
        <v>1.9099063330947692E-2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Data!N1135</f>
        <v>0</v>
      </c>
      <c r="F1135" s="14">
        <f>Data!G1135</f>
        <v>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Data!N1136</f>
        <v>75614000000</v>
      </c>
      <c r="F1136" s="14">
        <f>Data!G1136</f>
        <v>580123000000</v>
      </c>
      <c r="G1136" s="12">
        <f t="shared" si="17"/>
        <v>0.13034132416746103</v>
      </c>
    </row>
    <row r="1137" spans="2:7" ht="15" customHeight="1" x14ac:dyDescent="0.3">
      <c r="C1137" s="2"/>
      <c r="D1137" s="8">
        <v>2016</v>
      </c>
      <c r="E1137" s="14">
        <f>Data!N1137</f>
        <v>69254000000</v>
      </c>
      <c r="F1137" s="14">
        <f>Data!G1137</f>
        <v>580699000000</v>
      </c>
      <c r="G1137" s="12">
        <f t="shared" si="17"/>
        <v>0.11925971975154082</v>
      </c>
    </row>
    <row r="1138" spans="2:7" ht="15" customHeight="1" x14ac:dyDescent="0.3">
      <c r="C1138" s="2"/>
      <c r="D1138" s="8">
        <v>2017</v>
      </c>
      <c r="E1138" s="14">
        <f>Data!N1138</f>
        <v>91177000000</v>
      </c>
      <c r="F1138" s="14">
        <f>Data!G1138</f>
        <v>582719000000</v>
      </c>
      <c r="G1138" s="12">
        <f t="shared" si="17"/>
        <v>0.15646821195121491</v>
      </c>
    </row>
    <row r="1139" spans="2:7" ht="15" customHeight="1" x14ac:dyDescent="0.3">
      <c r="C1139" s="2"/>
      <c r="D1139" s="8">
        <v>2018</v>
      </c>
      <c r="E1139" s="14">
        <f>Data!N1139</f>
        <v>76205000000</v>
      </c>
      <c r="F1139" s="14">
        <f>Data!G1139</f>
        <v>584313000000</v>
      </c>
      <c r="G1139" s="12">
        <f t="shared" si="17"/>
        <v>0.1304181149486662</v>
      </c>
    </row>
    <row r="1140" spans="2:7" ht="15" customHeight="1" x14ac:dyDescent="0.3">
      <c r="C1140" s="2"/>
      <c r="D1140" s="8">
        <v>2019</v>
      </c>
      <c r="E1140" s="14">
        <f>Data!N1140</f>
        <v>79859000000</v>
      </c>
      <c r="F1140" s="14">
        <f>Data!G1140</f>
        <v>492869000000</v>
      </c>
      <c r="G1140" s="12">
        <f t="shared" si="17"/>
        <v>0.16202885553767837</v>
      </c>
    </row>
    <row r="1141" spans="2:7" ht="15" customHeight="1" x14ac:dyDescent="0.3">
      <c r="C1141" s="2"/>
      <c r="D1141" s="8">
        <v>2020</v>
      </c>
      <c r="E1141" s="14">
        <f>Data!N1141</f>
        <v>92901000000</v>
      </c>
      <c r="F1141" s="14">
        <f>Data!G1141</f>
        <v>330001000000</v>
      </c>
      <c r="G1141" s="12">
        <f t="shared" si="17"/>
        <v>0.28151732873536744</v>
      </c>
    </row>
    <row r="1142" spans="2:7" ht="15" customHeight="1" x14ac:dyDescent="0.3">
      <c r="C1142" s="2"/>
      <c r="D1142" s="8">
        <v>2021</v>
      </c>
      <c r="E1142" s="14">
        <f>Data!N1142</f>
        <v>45634000000</v>
      </c>
      <c r="F1142" s="14">
        <f>Data!G1142</f>
        <v>321358000000</v>
      </c>
      <c r="G1142" s="12">
        <f t="shared" si="17"/>
        <v>0.1420036221285918</v>
      </c>
    </row>
    <row r="1143" spans="2:7" ht="15" customHeight="1" x14ac:dyDescent="0.3">
      <c r="C1143" s="2"/>
      <c r="D1143" s="8">
        <v>2022</v>
      </c>
      <c r="E1143" s="14">
        <f>Data!N1143</f>
        <v>33533000000</v>
      </c>
      <c r="F1143" s="14">
        <f>Data!G1143</f>
        <v>390637000000</v>
      </c>
      <c r="G1143" s="12">
        <f t="shared" si="17"/>
        <v>8.5841842938584934E-2</v>
      </c>
    </row>
    <row r="1144" spans="2:7" ht="15" customHeight="1" x14ac:dyDescent="0.3">
      <c r="C1144" s="2"/>
      <c r="D1144" s="8">
        <v>2023</v>
      </c>
      <c r="E1144" s="14">
        <f>Data!N1144</f>
        <v>40962000000</v>
      </c>
      <c r="F1144" s="14">
        <f>Data!G1144</f>
        <v>495889000000</v>
      </c>
      <c r="G1144" s="12">
        <f t="shared" si="17"/>
        <v>8.2603163207895319E-2</v>
      </c>
    </row>
    <row r="1145" spans="2:7" ht="15" customHeight="1" x14ac:dyDescent="0.3">
      <c r="C1145" s="2"/>
      <c r="D1145" s="8">
        <v>2024</v>
      </c>
      <c r="E1145" s="14">
        <f>Data!N1145</f>
        <v>57498000000</v>
      </c>
      <c r="F1145" s="14">
        <f>Data!G1145</f>
        <v>637359000000</v>
      </c>
      <c r="G1145" s="12">
        <f t="shared" si="17"/>
        <v>9.0212894145999353E-2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Data!N1146</f>
        <v>0</v>
      </c>
      <c r="F1146" s="14">
        <f>Data!G1146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Data!N1147</f>
        <v>0</v>
      </c>
      <c r="F1147" s="14">
        <f>Data!G1147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Data!N1148</f>
        <v>-29418000000</v>
      </c>
      <c r="F1148" s="14">
        <f>Data!G1148</f>
        <v>133494000000</v>
      </c>
      <c r="G1148" s="12">
        <f t="shared" si="17"/>
        <v>-0.2203694548069576</v>
      </c>
    </row>
    <row r="1149" spans="2:7" ht="15" customHeight="1" x14ac:dyDescent="0.3">
      <c r="C1149" s="1"/>
      <c r="D1149" s="8">
        <v>2017</v>
      </c>
      <c r="E1149" s="14">
        <f>Data!N1149</f>
        <v>-4168000000</v>
      </c>
      <c r="F1149" s="14">
        <f>Data!G1149</f>
        <v>81636000000</v>
      </c>
      <c r="G1149" s="12">
        <f t="shared" si="17"/>
        <v>-5.1055906707824977E-2</v>
      </c>
    </row>
    <row r="1150" spans="2:7" ht="15" customHeight="1" x14ac:dyDescent="0.3">
      <c r="C1150" s="1"/>
      <c r="D1150" s="8">
        <v>2018</v>
      </c>
      <c r="E1150" s="14">
        <f>Data!N1150</f>
        <v>1444000000</v>
      </c>
      <c r="F1150" s="14">
        <f>Data!G1150</f>
        <v>130776000000</v>
      </c>
      <c r="G1150" s="12">
        <f t="shared" si="17"/>
        <v>1.1041781366611611E-2</v>
      </c>
    </row>
    <row r="1151" spans="2:7" ht="15" customHeight="1" x14ac:dyDescent="0.3">
      <c r="C1151" s="1"/>
      <c r="D1151" s="8">
        <v>2019</v>
      </c>
      <c r="E1151" s="14">
        <f>Data!N1151</f>
        <v>1055000000</v>
      </c>
      <c r="F1151" s="14">
        <f>Data!G1151</f>
        <v>158605000000</v>
      </c>
      <c r="G1151" s="12">
        <f t="shared" si="17"/>
        <v>6.6517449008543237E-3</v>
      </c>
    </row>
    <row r="1152" spans="2:7" ht="15" customHeight="1" x14ac:dyDescent="0.3">
      <c r="C1152" s="1"/>
      <c r="D1152" s="8">
        <v>2020</v>
      </c>
      <c r="E1152" s="14">
        <f>Data!N1152</f>
        <v>3485000000</v>
      </c>
      <c r="F1152" s="14">
        <f>Data!G1152</f>
        <v>189052000000</v>
      </c>
      <c r="G1152" s="12">
        <f t="shared" si="17"/>
        <v>1.8434081628335063E-2</v>
      </c>
    </row>
    <row r="1153" spans="2:7" ht="15" customHeight="1" x14ac:dyDescent="0.3">
      <c r="C1153" s="1"/>
      <c r="D1153" s="8">
        <v>2021</v>
      </c>
      <c r="E1153" s="14">
        <f>Data!N1153</f>
        <v>2610000000</v>
      </c>
      <c r="F1153" s="14">
        <f>Data!G1153</f>
        <v>214266000000</v>
      </c>
      <c r="G1153" s="12">
        <f t="shared" si="17"/>
        <v>1.2181120663101005E-2</v>
      </c>
    </row>
    <row r="1154" spans="2:7" ht="15" customHeight="1" x14ac:dyDescent="0.3">
      <c r="C1154" s="1"/>
      <c r="D1154" s="8">
        <v>2022</v>
      </c>
      <c r="E1154" s="14">
        <f>Data!N1154</f>
        <v>8854000000</v>
      </c>
      <c r="F1154" s="14">
        <f>Data!G1154</f>
        <v>294328000000</v>
      </c>
      <c r="G1154" s="12">
        <f t="shared" si="17"/>
        <v>3.0082085292598735E-2</v>
      </c>
    </row>
    <row r="1155" spans="2:7" ht="15" customHeight="1" x14ac:dyDescent="0.3">
      <c r="C1155" s="1"/>
      <c r="D1155" s="8">
        <v>2023</v>
      </c>
      <c r="E1155" s="14">
        <f>Data!N1155</f>
        <v>10394000000</v>
      </c>
      <c r="F1155" s="14">
        <f>Data!G1155</f>
        <v>360413000000</v>
      </c>
      <c r="G1155" s="12">
        <f t="shared" ref="G1155:G1218" si="18">IFERROR(E1155/F1155,0)</f>
        <v>2.8839137323015542E-2</v>
      </c>
    </row>
    <row r="1156" spans="2:7" ht="15" customHeight="1" x14ac:dyDescent="0.3">
      <c r="C1156" s="1"/>
      <c r="D1156" s="8">
        <v>2024</v>
      </c>
      <c r="E1156" s="14">
        <f>Data!N1156</f>
        <v>4121000000</v>
      </c>
      <c r="F1156" s="14">
        <f>Data!G1156</f>
        <v>365145000000</v>
      </c>
      <c r="G1156" s="12">
        <f t="shared" si="18"/>
        <v>1.1285927508250148E-2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Data!N1157</f>
        <v>0</v>
      </c>
      <c r="F1157" s="14">
        <f>Data!G1157</f>
        <v>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Data!N1158</f>
        <v>164603000000</v>
      </c>
      <c r="F1158" s="14">
        <f>Data!G1158</f>
        <v>2895488000000</v>
      </c>
      <c r="G1158" s="12">
        <f t="shared" si="18"/>
        <v>5.6848102979532293E-2</v>
      </c>
    </row>
    <row r="1159" spans="2:7" ht="15" customHeight="1" x14ac:dyDescent="0.3">
      <c r="C1159" s="2"/>
      <c r="D1159" s="8">
        <v>2016</v>
      </c>
      <c r="E1159" s="14">
        <f>Data!N1159</f>
        <v>93641000000</v>
      </c>
      <c r="F1159" s="14">
        <f>Data!G1159</f>
        <v>2337953000000</v>
      </c>
      <c r="G1159" s="12">
        <f t="shared" si="18"/>
        <v>4.0052558798230761E-2</v>
      </c>
    </row>
    <row r="1160" spans="2:7" ht="15" customHeight="1" x14ac:dyDescent="0.3">
      <c r="C1160" s="2"/>
      <c r="D1160" s="8">
        <v>2017</v>
      </c>
      <c r="E1160" s="14">
        <f>Data!N1160</f>
        <v>119205000000</v>
      </c>
      <c r="F1160" s="14">
        <f>Data!G1160</f>
        <v>2337953000000</v>
      </c>
      <c r="G1160" s="12">
        <f t="shared" si="18"/>
        <v>5.098691034421992E-2</v>
      </c>
    </row>
    <row r="1161" spans="2:7" ht="15" customHeight="1" x14ac:dyDescent="0.3">
      <c r="C1161" s="2"/>
      <c r="D1161" s="8">
        <v>2018</v>
      </c>
      <c r="E1161" s="14">
        <f>Data!N1161</f>
        <v>129975000000</v>
      </c>
      <c r="F1161" s="14">
        <f>Data!G1161</f>
        <v>2952776000000</v>
      </c>
      <c r="G1161" s="12">
        <f t="shared" si="18"/>
        <v>4.4017900443514849E-2</v>
      </c>
    </row>
    <row r="1162" spans="2:7" ht="15" customHeight="1" x14ac:dyDescent="0.3">
      <c r="C1162" s="2"/>
      <c r="D1162" s="8">
        <v>2019</v>
      </c>
      <c r="E1162" s="14">
        <f>Data!N1162</f>
        <v>155313000000</v>
      </c>
      <c r="F1162" s="14">
        <f>Data!G1162</f>
        <v>3421606000000</v>
      </c>
      <c r="G1162" s="12">
        <f t="shared" si="18"/>
        <v>4.5391842310306914E-2</v>
      </c>
    </row>
    <row r="1163" spans="2:7" ht="15" customHeight="1" x14ac:dyDescent="0.3">
      <c r="C1163" s="2"/>
      <c r="D1163" s="8">
        <v>2020</v>
      </c>
      <c r="E1163" s="14">
        <f>Data!N1163</f>
        <v>189874000000</v>
      </c>
      <c r="F1163" s="14">
        <f>Data!G1163</f>
        <v>3929286000000</v>
      </c>
      <c r="G1163" s="12">
        <f t="shared" si="18"/>
        <v>4.8322774163041329E-2</v>
      </c>
    </row>
    <row r="1164" spans="2:7" ht="15" customHeight="1" x14ac:dyDescent="0.3">
      <c r="C1164" s="2"/>
      <c r="D1164" s="8">
        <v>2021</v>
      </c>
      <c r="E1164" s="14">
        <f>Data!N1164</f>
        <v>224323000000</v>
      </c>
      <c r="F1164" s="14">
        <f>Data!G1164</f>
        <v>4358974000000</v>
      </c>
      <c r="G1164" s="12">
        <f t="shared" si="18"/>
        <v>5.1462339532192668E-2</v>
      </c>
    </row>
    <row r="1165" spans="2:7" ht="15" customHeight="1" x14ac:dyDescent="0.3">
      <c r="C1165" s="2"/>
      <c r="D1165" s="8">
        <v>2022</v>
      </c>
      <c r="E1165" s="14">
        <f>Data!N1165</f>
        <v>264949000000</v>
      </c>
      <c r="F1165" s="14">
        <f>Data!G1165</f>
        <v>4638732000000</v>
      </c>
      <c r="G1165" s="12">
        <f t="shared" si="18"/>
        <v>5.711668619786614E-2</v>
      </c>
    </row>
    <row r="1166" spans="2:7" ht="15" customHeight="1" x14ac:dyDescent="0.3">
      <c r="C1166" s="2"/>
      <c r="D1166" s="8">
        <v>2023</v>
      </c>
      <c r="E1166" s="14">
        <f>Data!N1166</f>
        <v>242841000000</v>
      </c>
      <c r="F1166" s="14">
        <f>Data!G1166</f>
        <v>5986249000000</v>
      </c>
      <c r="G1166" s="12">
        <f t="shared" si="18"/>
        <v>4.056647159180983E-2</v>
      </c>
    </row>
    <row r="1167" spans="2:7" ht="15" customHeight="1" x14ac:dyDescent="0.3">
      <c r="C1167" s="2"/>
      <c r="D1167" s="8">
        <v>2024</v>
      </c>
      <c r="E1167" s="14">
        <f>Data!N1167</f>
        <v>296676000000</v>
      </c>
      <c r="F1167" s="14">
        <f>Data!G1167</f>
        <v>5352761000000</v>
      </c>
      <c r="G1167" s="12">
        <f t="shared" si="18"/>
        <v>5.5424854575050149E-2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Data!N1168</f>
        <v>0</v>
      </c>
      <c r="F1168" s="14">
        <f>Data!G1168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Data!N1169</f>
        <v>0</v>
      </c>
      <c r="F1169" s="14">
        <f>Data!G1169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Data!N1170</f>
        <v>0</v>
      </c>
      <c r="F1170" s="14">
        <f>Data!G1170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Data!N1171</f>
        <v>0</v>
      </c>
      <c r="F1171" s="14">
        <f>Data!G1171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Data!N1172</f>
        <v>0</v>
      </c>
      <c r="F1172" s="14">
        <f>Data!G1172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Data!N1173</f>
        <v>-7150000000</v>
      </c>
      <c r="F1173" s="14">
        <f>Data!G1173</f>
        <v>421963000000</v>
      </c>
      <c r="G1173" s="12">
        <f t="shared" si="18"/>
        <v>-1.6944613627261157E-2</v>
      </c>
    </row>
    <row r="1174" spans="2:7" ht="15" customHeight="1" x14ac:dyDescent="0.3">
      <c r="C1174" s="2"/>
      <c r="D1174" s="8">
        <v>2020</v>
      </c>
      <c r="E1174" s="14">
        <f>Data!N1174</f>
        <v>14976000000</v>
      </c>
      <c r="F1174" s="14">
        <f>Data!G1174</f>
        <v>574266000000</v>
      </c>
      <c r="G1174" s="12">
        <f t="shared" si="18"/>
        <v>2.6078507172634286E-2</v>
      </c>
    </row>
    <row r="1175" spans="2:7" ht="15" customHeight="1" x14ac:dyDescent="0.3">
      <c r="C1175" s="2"/>
      <c r="D1175" s="8">
        <v>2021</v>
      </c>
      <c r="E1175" s="14">
        <f>Data!N1175</f>
        <v>19343000000</v>
      </c>
      <c r="F1175" s="14">
        <f>Data!G1175</f>
        <v>744732000000</v>
      </c>
      <c r="G1175" s="12">
        <f t="shared" si="18"/>
        <v>2.5973101733240953E-2</v>
      </c>
    </row>
    <row r="1176" spans="2:7" ht="15" customHeight="1" x14ac:dyDescent="0.3">
      <c r="C1176" s="2"/>
      <c r="D1176" s="8">
        <v>2022</v>
      </c>
      <c r="E1176" s="14">
        <f>Data!N1176</f>
        <v>23678000000</v>
      </c>
      <c r="F1176" s="14">
        <f>Data!G1176</f>
        <v>918561000000</v>
      </c>
      <c r="G1176" s="12">
        <f t="shared" si="18"/>
        <v>2.5777275542941624E-2</v>
      </c>
    </row>
    <row r="1177" spans="2:7" ht="15" customHeight="1" x14ac:dyDescent="0.3">
      <c r="C1177" s="2"/>
      <c r="D1177" s="8">
        <v>2023</v>
      </c>
      <c r="E1177" s="14">
        <f>Data!N1177</f>
        <v>65325000000</v>
      </c>
      <c r="F1177" s="14">
        <f>Data!G1177</f>
        <v>1085789000000</v>
      </c>
      <c r="G1177" s="12">
        <f t="shared" si="18"/>
        <v>6.0163622950683789E-2</v>
      </c>
    </row>
    <row r="1178" spans="2:7" ht="15" customHeight="1" x14ac:dyDescent="0.3">
      <c r="C1178" s="2"/>
      <c r="D1178" s="8">
        <v>2024</v>
      </c>
      <c r="E1178" s="14">
        <f>Data!N1178</f>
        <v>75079000000</v>
      </c>
      <c r="F1178" s="14">
        <f>Data!G1178</f>
        <v>1280162000000</v>
      </c>
      <c r="G1178" s="12">
        <f t="shared" si="18"/>
        <v>5.8648046106664624E-2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Data!N1179</f>
        <v>0</v>
      </c>
      <c r="F1179" s="14">
        <f>Data!G1179</f>
        <v>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Data!N1180</f>
        <v>130435000000</v>
      </c>
      <c r="F1180" s="14">
        <f>Data!G1180</f>
        <v>1342781000000</v>
      </c>
      <c r="G1180" s="12">
        <f t="shared" si="18"/>
        <v>9.7137954737220741E-2</v>
      </c>
    </row>
    <row r="1181" spans="2:7" ht="15" customHeight="1" x14ac:dyDescent="0.3">
      <c r="C1181" s="1"/>
      <c r="D1181" s="8">
        <v>2016</v>
      </c>
      <c r="E1181" s="14">
        <f>Data!N1181</f>
        <v>25738000000</v>
      </c>
      <c r="F1181" s="14">
        <f>Data!G1181</f>
        <v>1316613000000</v>
      </c>
      <c r="G1181" s="12">
        <f t="shared" si="18"/>
        <v>1.954864489413366E-2</v>
      </c>
    </row>
    <row r="1182" spans="2:7" ht="15" customHeight="1" x14ac:dyDescent="0.3">
      <c r="C1182" s="1"/>
      <c r="D1182" s="8">
        <v>2017</v>
      </c>
      <c r="E1182" s="14">
        <f>Data!N1182</f>
        <v>34230000000</v>
      </c>
      <c r="F1182" s="14">
        <f>Data!G1182</f>
        <v>1393354000000</v>
      </c>
      <c r="G1182" s="12">
        <f t="shared" si="18"/>
        <v>2.4566621260641588E-2</v>
      </c>
    </row>
    <row r="1183" spans="2:7" ht="15" customHeight="1" x14ac:dyDescent="0.3">
      <c r="C1183" s="1"/>
      <c r="D1183" s="8">
        <v>2018</v>
      </c>
      <c r="E1183" s="14">
        <f>Data!N1183</f>
        <v>34927000000</v>
      </c>
      <c r="F1183" s="14">
        <f>Data!G1183</f>
        <v>1768434000000</v>
      </c>
      <c r="G1183" s="12">
        <f t="shared" si="18"/>
        <v>1.9750242304773603E-2</v>
      </c>
    </row>
    <row r="1184" spans="2:7" ht="15" customHeight="1" x14ac:dyDescent="0.3">
      <c r="C1184" s="1"/>
      <c r="D1184" s="8">
        <v>2019</v>
      </c>
      <c r="E1184" s="14">
        <f>Data!N1184</f>
        <v>48455000000</v>
      </c>
      <c r="F1184" s="14">
        <f>Data!G1184</f>
        <v>1704845000000</v>
      </c>
      <c r="G1184" s="12">
        <f t="shared" si="18"/>
        <v>2.8421938651314343E-2</v>
      </c>
    </row>
    <row r="1185" spans="2:7" ht="15" customHeight="1" x14ac:dyDescent="0.3">
      <c r="C1185" s="1"/>
      <c r="D1185" s="8">
        <v>2020</v>
      </c>
      <c r="E1185" s="14">
        <f>Data!N1185</f>
        <v>35108000000</v>
      </c>
      <c r="F1185" s="14">
        <f>Data!G1185</f>
        <v>1867407000000</v>
      </c>
      <c r="G1185" s="12">
        <f t="shared" si="18"/>
        <v>1.8800400769623332E-2</v>
      </c>
    </row>
    <row r="1186" spans="2:7" ht="15" customHeight="1" x14ac:dyDescent="0.3">
      <c r="C1186" s="1"/>
      <c r="D1186" s="8">
        <v>2021</v>
      </c>
      <c r="E1186" s="14">
        <f>Data!N1186</f>
        <v>55620000000</v>
      </c>
      <c r="F1186" s="14">
        <f>Data!G1186</f>
        <v>2331114000000</v>
      </c>
      <c r="G1186" s="12">
        <f t="shared" si="18"/>
        <v>2.3859836970650083E-2</v>
      </c>
    </row>
    <row r="1187" spans="2:7" ht="15" customHeight="1" x14ac:dyDescent="0.3">
      <c r="C1187" s="1"/>
      <c r="D1187" s="8">
        <v>2022</v>
      </c>
      <c r="E1187" s="14">
        <f>Data!N1187</f>
        <v>77227000000</v>
      </c>
      <c r="F1187" s="14">
        <f>Data!G1187</f>
        <v>2797976000000</v>
      </c>
      <c r="G1187" s="12">
        <f t="shared" si="18"/>
        <v>2.760102302521537E-2</v>
      </c>
    </row>
    <row r="1188" spans="2:7" ht="15" customHeight="1" x14ac:dyDescent="0.3">
      <c r="C1188" s="1"/>
      <c r="D1188" s="8">
        <v>2023</v>
      </c>
      <c r="E1188" s="14">
        <f>Data!N1188</f>
        <v>113831000000</v>
      </c>
      <c r="F1188" s="14">
        <f>Data!G1188</f>
        <v>3492067000000</v>
      </c>
      <c r="G1188" s="12">
        <f t="shared" si="18"/>
        <v>3.2597026345714444E-2</v>
      </c>
    </row>
    <row r="1189" spans="2:7" ht="15" customHeight="1" x14ac:dyDescent="0.3">
      <c r="C1189" s="1"/>
      <c r="D1189" s="8">
        <v>2024</v>
      </c>
      <c r="E1189" s="14">
        <f>Data!N1189</f>
        <v>115420000000</v>
      </c>
      <c r="F1189" s="14">
        <f>Data!G1189</f>
        <v>3901353000000</v>
      </c>
      <c r="G1189" s="12">
        <f t="shared" si="18"/>
        <v>2.9584608211561475E-2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Data!N1190</f>
        <v>0</v>
      </c>
      <c r="F1190" s="14">
        <f>Data!G1190</f>
        <v>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Data!N1202</f>
        <v>44111000000</v>
      </c>
      <c r="F1191" s="14">
        <f>Data!G1202</f>
        <v>898627000000</v>
      </c>
      <c r="G1191" s="12">
        <f t="shared" si="18"/>
        <v>4.9087107331517971E-2</v>
      </c>
    </row>
    <row r="1192" spans="2:7" ht="15" customHeight="1" x14ac:dyDescent="0.3">
      <c r="C1192" s="2"/>
      <c r="D1192" s="8">
        <v>2016</v>
      </c>
      <c r="E1192" s="14">
        <f>Data!N1203</f>
        <v>52121000000</v>
      </c>
      <c r="F1192" s="14">
        <f>Data!G1203</f>
        <v>1133794000000</v>
      </c>
      <c r="G1192" s="12">
        <f t="shared" si="18"/>
        <v>4.5970432018514827E-2</v>
      </c>
    </row>
    <row r="1193" spans="2:7" ht="15" customHeight="1" x14ac:dyDescent="0.3">
      <c r="C1193" s="2"/>
      <c r="D1193" s="8">
        <v>2017</v>
      </c>
      <c r="E1193" s="14">
        <f>Data!N1193</f>
        <v>285370000000</v>
      </c>
      <c r="F1193" s="14">
        <f>Data!G1193</f>
        <v>8165389000000</v>
      </c>
      <c r="G1193" s="12">
        <f t="shared" si="18"/>
        <v>3.4948732999738288E-2</v>
      </c>
    </row>
    <row r="1194" spans="2:7" ht="15" customHeight="1" x14ac:dyDescent="0.3">
      <c r="C1194" s="2"/>
      <c r="D1194" s="8">
        <v>2018</v>
      </c>
      <c r="E1194" s="14">
        <f>Data!N1194</f>
        <v>226922000000</v>
      </c>
      <c r="F1194" s="14">
        <f>Data!G1194</f>
        <v>10452506000000</v>
      </c>
      <c r="G1194" s="12">
        <f t="shared" si="18"/>
        <v>2.170981772218069E-2</v>
      </c>
    </row>
    <row r="1195" spans="2:7" ht="15" customHeight="1" x14ac:dyDescent="0.3">
      <c r="C1195" s="2"/>
      <c r="D1195" s="8">
        <v>2019</v>
      </c>
      <c r="E1195" s="14">
        <f>Data!N1195</f>
        <v>340899000000</v>
      </c>
      <c r="F1195" s="14">
        <f>Data!G1195</f>
        <v>12848766000000</v>
      </c>
      <c r="G1195" s="12">
        <f t="shared" si="18"/>
        <v>2.6531652922934388E-2</v>
      </c>
    </row>
    <row r="1196" spans="2:7" ht="15" customHeight="1" x14ac:dyDescent="0.3">
      <c r="C1196" s="2"/>
      <c r="D1196" s="8">
        <v>2020</v>
      </c>
      <c r="E1196" s="14">
        <f>Data!N1196</f>
        <v>244847000000</v>
      </c>
      <c r="F1196" s="14">
        <f>Data!G1196</f>
        <v>12366469000000</v>
      </c>
      <c r="G1196" s="12">
        <f t="shared" si="18"/>
        <v>1.9799265255102325E-2</v>
      </c>
    </row>
    <row r="1197" spans="2:7" ht="15" customHeight="1" x14ac:dyDescent="0.3">
      <c r="C1197" s="2"/>
      <c r="D1197" s="8">
        <v>2021</v>
      </c>
      <c r="E1197" s="14">
        <f>Data!N1197</f>
        <v>245397000000</v>
      </c>
      <c r="F1197" s="14">
        <f>Data!G1197</f>
        <v>12838271000000</v>
      </c>
      <c r="G1197" s="12">
        <f t="shared" si="18"/>
        <v>1.9114489793835947E-2</v>
      </c>
    </row>
    <row r="1198" spans="2:7" ht="15" customHeight="1" x14ac:dyDescent="0.3">
      <c r="C1198" s="2"/>
      <c r="D1198" s="8">
        <v>2022</v>
      </c>
      <c r="E1198" s="14">
        <f>Data!N1198</f>
        <v>397450000000</v>
      </c>
      <c r="F1198" s="14">
        <f>Data!G1198</f>
        <v>13358610000000</v>
      </c>
      <c r="G1198" s="12">
        <f t="shared" si="18"/>
        <v>2.9752346988197124E-2</v>
      </c>
    </row>
    <row r="1199" spans="2:7" ht="15" customHeight="1" x14ac:dyDescent="0.3">
      <c r="C1199" s="2"/>
      <c r="D1199" s="8">
        <v>2023</v>
      </c>
      <c r="E1199" s="14">
        <f>Data!N1199</f>
        <v>1236532000000</v>
      </c>
      <c r="F1199" s="14">
        <f>Data!G1199</f>
        <v>16003743000000</v>
      </c>
      <c r="G1199" s="12">
        <f t="shared" si="18"/>
        <v>7.7265174778175336E-2</v>
      </c>
    </row>
    <row r="1200" spans="2:7" ht="15" customHeight="1" x14ac:dyDescent="0.3">
      <c r="C1200" s="2"/>
      <c r="D1200" s="8">
        <v>2024</v>
      </c>
      <c r="E1200" s="14">
        <f>Data!N1200</f>
        <v>646662000000</v>
      </c>
      <c r="F1200" s="14">
        <f>Data!G1200</f>
        <v>15761233000000</v>
      </c>
      <c r="G1200" s="12">
        <f t="shared" si="18"/>
        <v>4.1028642873308201E-2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Data!N1201</f>
        <v>0</v>
      </c>
      <c r="F1201" s="14">
        <f>Data!G1201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 t="e">
        <f>Data!#REF!</f>
        <v>#REF!</v>
      </c>
      <c r="F1202" s="14" t="e">
        <f>Data!#REF!</f>
        <v>#REF!</v>
      </c>
      <c r="G1202" s="12">
        <f t="shared" si="18"/>
        <v>0</v>
      </c>
    </row>
    <row r="1203" spans="2:7" ht="15" customHeight="1" x14ac:dyDescent="0.3">
      <c r="C1203" s="2"/>
      <c r="D1203" s="8">
        <v>2016</v>
      </c>
      <c r="E1203" s="14" t="e">
        <f>Data!#REF!</f>
        <v>#REF!</v>
      </c>
      <c r="F1203" s="14" t="e">
        <f>Data!#REF!</f>
        <v>#REF!</v>
      </c>
      <c r="G1203" s="12">
        <f t="shared" si="18"/>
        <v>0</v>
      </c>
    </row>
    <row r="1204" spans="2:7" ht="15" customHeight="1" x14ac:dyDescent="0.3">
      <c r="C1204" s="2"/>
      <c r="D1204" s="8">
        <v>2017</v>
      </c>
      <c r="E1204" s="14">
        <f>Data!N1204</f>
        <v>71954000000</v>
      </c>
      <c r="F1204" s="14">
        <f>Data!G1204</f>
        <v>1430475000000</v>
      </c>
      <c r="G1204" s="12">
        <f t="shared" si="18"/>
        <v>5.0300774218354043E-2</v>
      </c>
    </row>
    <row r="1205" spans="2:7" ht="15" customHeight="1" x14ac:dyDescent="0.3">
      <c r="C1205" s="2"/>
      <c r="D1205" s="8">
        <v>2018</v>
      </c>
      <c r="E1205" s="14">
        <f>Data!N1205</f>
        <v>79972000000</v>
      </c>
      <c r="F1205" s="14">
        <f>Data!G1205</f>
        <v>1765350000000</v>
      </c>
      <c r="G1205" s="12">
        <f t="shared" si="18"/>
        <v>4.5300931826549977E-2</v>
      </c>
    </row>
    <row r="1206" spans="2:7" ht="15" customHeight="1" x14ac:dyDescent="0.3">
      <c r="C1206" s="2"/>
      <c r="D1206" s="8">
        <v>2019</v>
      </c>
      <c r="E1206" s="14">
        <f>Data!N1206</f>
        <v>138922000000</v>
      </c>
      <c r="F1206" s="14">
        <f>Data!G1206</f>
        <v>2060362000000</v>
      </c>
      <c r="G1206" s="12">
        <f t="shared" si="18"/>
        <v>6.7426015428356759E-2</v>
      </c>
    </row>
    <row r="1207" spans="2:7" ht="15" customHeight="1" x14ac:dyDescent="0.3">
      <c r="C1207" s="2"/>
      <c r="D1207" s="8">
        <v>2020</v>
      </c>
      <c r="E1207" s="14">
        <f>Data!N1207</f>
        <v>137862000000</v>
      </c>
      <c r="F1207" s="14">
        <f>Data!G1207</f>
        <v>2127340000000</v>
      </c>
      <c r="G1207" s="12">
        <f t="shared" si="18"/>
        <v>6.4804873692028545E-2</v>
      </c>
    </row>
    <row r="1208" spans="2:7" ht="15" customHeight="1" x14ac:dyDescent="0.3">
      <c r="C1208" s="2"/>
      <c r="D1208" s="8">
        <v>2021</v>
      </c>
      <c r="E1208" s="14">
        <f>Data!N1208</f>
        <v>126664000000</v>
      </c>
      <c r="F1208" s="14">
        <f>Data!G1208</f>
        <v>2305472000000</v>
      </c>
      <c r="G1208" s="12">
        <f t="shared" si="18"/>
        <v>5.4940593509702138E-2</v>
      </c>
    </row>
    <row r="1209" spans="2:7" ht="15" customHeight="1" x14ac:dyDescent="0.3">
      <c r="C1209" s="2"/>
      <c r="D1209" s="8">
        <v>2022</v>
      </c>
      <c r="E1209" s="14">
        <f>Data!N1209</f>
        <v>135324000000</v>
      </c>
      <c r="F1209" s="14">
        <f>Data!G1209</f>
        <v>2431927000000</v>
      </c>
      <c r="G1209" s="12">
        <f t="shared" si="18"/>
        <v>5.5644762363343966E-2</v>
      </c>
    </row>
    <row r="1210" spans="2:7" ht="15" customHeight="1" x14ac:dyDescent="0.3">
      <c r="C1210" s="2"/>
      <c r="D1210" s="8">
        <v>2023</v>
      </c>
      <c r="E1210" s="14">
        <f>Data!N1210</f>
        <v>180262000000</v>
      </c>
      <c r="F1210" s="14">
        <f>Data!G1210</f>
        <v>3005651000000</v>
      </c>
      <c r="G1210" s="12">
        <f t="shared" si="18"/>
        <v>5.9974361627481036E-2</v>
      </c>
    </row>
    <row r="1211" spans="2:7" ht="15" customHeight="1" x14ac:dyDescent="0.3">
      <c r="C1211" s="2"/>
      <c r="D1211" s="8">
        <v>2024</v>
      </c>
      <c r="E1211" s="14">
        <f>Data!N1211</f>
        <v>219794000000</v>
      </c>
      <c r="F1211" s="14">
        <f>Data!G1211</f>
        <v>3382556000000</v>
      </c>
      <c r="G1211" s="12">
        <f t="shared" si="18"/>
        <v>6.4978672932539769E-2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Data!N1212</f>
        <v>0</v>
      </c>
      <c r="F1212" s="14">
        <f>Data!G1212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Data!N1213</f>
        <v>12435000000</v>
      </c>
      <c r="F1213" s="14">
        <f>Data!G1213</f>
        <v>655205000000</v>
      </c>
      <c r="G1213" s="12">
        <f t="shared" si="18"/>
        <v>1.8978792896879603E-2</v>
      </c>
    </row>
    <row r="1214" spans="2:7" ht="15" customHeight="1" x14ac:dyDescent="0.3">
      <c r="C1214" s="2"/>
      <c r="D1214" s="8">
        <v>2016</v>
      </c>
      <c r="E1214" s="14">
        <f>Data!N1214</f>
        <v>52025000000</v>
      </c>
      <c r="F1214" s="14">
        <f>Data!G1214</f>
        <v>719020000000</v>
      </c>
      <c r="G1214" s="12">
        <f t="shared" si="18"/>
        <v>7.235542822174626E-2</v>
      </c>
    </row>
    <row r="1215" spans="2:7" ht="15" customHeight="1" x14ac:dyDescent="0.3">
      <c r="C1215" s="2"/>
      <c r="D1215" s="8">
        <v>2017</v>
      </c>
      <c r="E1215" s="14">
        <f>Data!N1215</f>
        <v>11258000000</v>
      </c>
      <c r="F1215" s="14">
        <f>Data!G1215</f>
        <v>736964000000</v>
      </c>
      <c r="G1215" s="12">
        <f t="shared" si="18"/>
        <v>1.5276187167894225E-2</v>
      </c>
    </row>
    <row r="1216" spans="2:7" ht="15" customHeight="1" x14ac:dyDescent="0.3">
      <c r="C1216" s="2"/>
      <c r="D1216" s="8">
        <v>2018</v>
      </c>
      <c r="E1216" s="14">
        <f>Data!N1216</f>
        <v>11113000000</v>
      </c>
      <c r="F1216" s="14">
        <f>Data!G1216</f>
        <v>845010000000</v>
      </c>
      <c r="G1216" s="12">
        <f t="shared" si="18"/>
        <v>1.3151323652974521E-2</v>
      </c>
    </row>
    <row r="1217" spans="2:7" ht="15" customHeight="1" x14ac:dyDescent="0.3">
      <c r="C1217" s="2"/>
      <c r="D1217" s="8">
        <v>2019</v>
      </c>
      <c r="E1217" s="14">
        <f>Data!N1217</f>
        <v>27047000000</v>
      </c>
      <c r="F1217" s="14">
        <f>Data!G1217</f>
        <v>744475000000</v>
      </c>
      <c r="G1217" s="12">
        <f t="shared" si="18"/>
        <v>3.6330299875751371E-2</v>
      </c>
    </row>
    <row r="1218" spans="2:7" ht="15" customHeight="1" x14ac:dyDescent="0.3">
      <c r="C1218" s="2"/>
      <c r="D1218" s="8">
        <v>2020</v>
      </c>
      <c r="E1218" s="14">
        <f>Data!N1218</f>
        <v>22432000000</v>
      </c>
      <c r="F1218" s="14">
        <f>Data!G1218</f>
        <v>709777000000</v>
      </c>
      <c r="G1218" s="12">
        <f t="shared" si="18"/>
        <v>3.1604292615849766E-2</v>
      </c>
    </row>
    <row r="1219" spans="2:7" ht="15" customHeight="1" x14ac:dyDescent="0.3">
      <c r="C1219" s="2"/>
      <c r="D1219" s="8">
        <v>2021</v>
      </c>
      <c r="E1219" s="14">
        <f>Data!N1219</f>
        <v>25877000000</v>
      </c>
      <c r="F1219" s="14">
        <f>Data!G1219</f>
        <v>733503000000</v>
      </c>
      <c r="G1219" s="12">
        <f t="shared" ref="G1219:G1282" si="19">IFERROR(E1219/F1219,0)</f>
        <v>3.5278655983683772E-2</v>
      </c>
    </row>
    <row r="1220" spans="2:7" ht="15" customHeight="1" x14ac:dyDescent="0.3">
      <c r="C1220" s="2"/>
      <c r="D1220" s="8">
        <v>2022</v>
      </c>
      <c r="E1220" s="14">
        <f>Data!N1220</f>
        <v>44991000000</v>
      </c>
      <c r="F1220" s="14">
        <f>Data!G1220</f>
        <v>804217000000</v>
      </c>
      <c r="G1220" s="12">
        <f t="shared" si="19"/>
        <v>5.5943855949327111E-2</v>
      </c>
    </row>
    <row r="1221" spans="2:7" ht="15" customHeight="1" x14ac:dyDescent="0.3">
      <c r="C1221" s="2"/>
      <c r="D1221" s="8">
        <v>2023</v>
      </c>
      <c r="E1221" s="14">
        <f>Data!N1221</f>
        <v>40787000000</v>
      </c>
      <c r="F1221" s="14">
        <f>Data!G1221</f>
        <v>824850000000</v>
      </c>
      <c r="G1221" s="12">
        <f t="shared" si="19"/>
        <v>4.94477783839486E-2</v>
      </c>
    </row>
    <row r="1222" spans="2:7" ht="15" customHeight="1" x14ac:dyDescent="0.3">
      <c r="C1222" s="2"/>
      <c r="D1222" s="8">
        <v>2024</v>
      </c>
      <c r="E1222" s="14">
        <f>Data!N1222</f>
        <v>51135000000</v>
      </c>
      <c r="F1222" s="14">
        <f>Data!G1222</f>
        <v>817749000000</v>
      </c>
      <c r="G1222" s="12">
        <f t="shared" si="19"/>
        <v>6.2531412450519658E-2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Data!N1223</f>
        <v>0</v>
      </c>
      <c r="F1223" s="14">
        <f>Data!G1223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>
        <f>Data!N1224</f>
        <v>78288000000</v>
      </c>
      <c r="F1224" s="14">
        <f>Data!G1224</f>
        <v>906989000000</v>
      </c>
      <c r="G1224" s="12">
        <f t="shared" si="19"/>
        <v>8.6316372083895171E-2</v>
      </c>
    </row>
    <row r="1225" spans="2:7" ht="15" customHeight="1" x14ac:dyDescent="0.3">
      <c r="C1225" s="2"/>
      <c r="D1225" s="8">
        <v>2016</v>
      </c>
      <c r="E1225" s="14">
        <f>Data!N1225</f>
        <v>76580000000</v>
      </c>
      <c r="F1225" s="14">
        <f>Data!G1225</f>
        <v>886222000000</v>
      </c>
      <c r="G1225" s="12">
        <f t="shared" si="19"/>
        <v>8.6411756873559897E-2</v>
      </c>
    </row>
    <row r="1226" spans="2:7" ht="15" customHeight="1" x14ac:dyDescent="0.3">
      <c r="C1226" s="2"/>
      <c r="D1226" s="8">
        <v>2017</v>
      </c>
      <c r="E1226" s="14">
        <f>Data!N1226</f>
        <v>62531000000</v>
      </c>
      <c r="F1226" s="14">
        <f>Data!G1226</f>
        <v>910239000000</v>
      </c>
      <c r="G1226" s="12">
        <f t="shared" si="19"/>
        <v>6.8697342126628286E-2</v>
      </c>
    </row>
    <row r="1227" spans="2:7" ht="15" customHeight="1" x14ac:dyDescent="0.3">
      <c r="C1227" s="2"/>
      <c r="D1227" s="8">
        <v>2018</v>
      </c>
      <c r="E1227" s="14">
        <f>Data!N1227</f>
        <v>335166000000</v>
      </c>
      <c r="F1227" s="14">
        <f>Data!G1227</f>
        <v>1068562000000</v>
      </c>
      <c r="G1227" s="12">
        <f t="shared" si="19"/>
        <v>0.31366078898557126</v>
      </c>
    </row>
    <row r="1228" spans="2:7" ht="15" customHeight="1" x14ac:dyDescent="0.3">
      <c r="C1228" s="2"/>
      <c r="D1228" s="8">
        <v>2019</v>
      </c>
      <c r="E1228" s="14">
        <f>Data!N1228</f>
        <v>53466000000</v>
      </c>
      <c r="F1228" s="14">
        <f>Data!G1228</f>
        <v>1098507000000</v>
      </c>
      <c r="G1228" s="12">
        <f t="shared" si="19"/>
        <v>4.8671515065447923E-2</v>
      </c>
    </row>
    <row r="1229" spans="2:7" ht="15" customHeight="1" x14ac:dyDescent="0.3">
      <c r="C1229" s="2"/>
      <c r="D1229" s="8">
        <v>2020</v>
      </c>
      <c r="E1229" s="14">
        <f>Data!N1229</f>
        <v>32572000000</v>
      </c>
      <c r="F1229" s="14">
        <f>Data!G1229</f>
        <v>939785000000</v>
      </c>
      <c r="G1229" s="12">
        <f t="shared" si="19"/>
        <v>3.465899115223163E-2</v>
      </c>
    </row>
    <row r="1230" spans="2:7" ht="15" customHeight="1" x14ac:dyDescent="0.3">
      <c r="C1230" s="2"/>
      <c r="D1230" s="8">
        <v>2021</v>
      </c>
      <c r="E1230" s="14">
        <f>Data!N1230</f>
        <v>31959000000</v>
      </c>
      <c r="F1230" s="14">
        <f>Data!G1230</f>
        <v>1057639000000</v>
      </c>
      <c r="G1230" s="12">
        <f t="shared" si="19"/>
        <v>3.0217304770342242E-2</v>
      </c>
    </row>
    <row r="1231" spans="2:7" ht="15" customHeight="1" x14ac:dyDescent="0.3">
      <c r="C1231" s="2"/>
      <c r="D1231" s="8">
        <v>2022</v>
      </c>
      <c r="E1231" s="14">
        <f>Data!N1231</f>
        <v>71504000000</v>
      </c>
      <c r="F1231" s="14">
        <f>Data!G1231</f>
        <v>1338220000000</v>
      </c>
      <c r="G1231" s="12">
        <f t="shared" si="19"/>
        <v>5.3432171092944361E-2</v>
      </c>
    </row>
    <row r="1232" spans="2:7" ht="15" customHeight="1" x14ac:dyDescent="0.3">
      <c r="C1232" s="2"/>
      <c r="D1232" s="8">
        <v>2023</v>
      </c>
      <c r="E1232" s="14">
        <f>Data!N1232</f>
        <v>85872000000</v>
      </c>
      <c r="F1232" s="14">
        <f>Data!G1232</f>
        <v>1759417000000</v>
      </c>
      <c r="G1232" s="12">
        <f t="shared" si="19"/>
        <v>4.8807076434978176E-2</v>
      </c>
    </row>
    <row r="1233" spans="2:7" ht="15" customHeight="1" x14ac:dyDescent="0.3">
      <c r="C1233" s="2"/>
      <c r="D1233" s="8">
        <v>2024</v>
      </c>
      <c r="E1233" s="14">
        <f>Data!N1233</f>
        <v>102244000000</v>
      </c>
      <c r="F1233" s="14">
        <f>Data!G1233</f>
        <v>1793696000000</v>
      </c>
      <c r="G1233" s="12">
        <f t="shared" si="19"/>
        <v>5.7001855386866002E-2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Data!N1234</f>
        <v>0</v>
      </c>
      <c r="F1234" s="14">
        <f>Data!G1234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Data!N1235</f>
        <v>0</v>
      </c>
      <c r="F1235" s="14">
        <f>Data!G1235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Data!N1236</f>
        <v>0</v>
      </c>
      <c r="F1236" s="14">
        <f>Data!G1236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Data!N1237</f>
        <v>0</v>
      </c>
      <c r="F1237" s="14">
        <f>Data!G1237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Data!N1238</f>
        <v>10348000000</v>
      </c>
      <c r="F1238" s="14">
        <f>Data!G1238</f>
        <v>378337000000</v>
      </c>
      <c r="G1238" s="12">
        <f t="shared" si="19"/>
        <v>2.7351276771766971E-2</v>
      </c>
    </row>
    <row r="1239" spans="2:7" ht="15" customHeight="1" x14ac:dyDescent="0.3">
      <c r="C1239" s="2"/>
      <c r="D1239" s="8">
        <v>2019</v>
      </c>
      <c r="E1239" s="14">
        <f>Data!N1239</f>
        <v>2032000000</v>
      </c>
      <c r="F1239" s="14">
        <f>Data!G1239</f>
        <v>460747000000</v>
      </c>
      <c r="G1239" s="12">
        <f t="shared" si="19"/>
        <v>4.4102294751783514E-3</v>
      </c>
    </row>
    <row r="1240" spans="2:7" ht="15" customHeight="1" x14ac:dyDescent="0.3">
      <c r="C1240" s="2"/>
      <c r="D1240" s="8">
        <v>2020</v>
      </c>
      <c r="E1240" s="14">
        <f>Data!N1240</f>
        <v>1144000000</v>
      </c>
      <c r="F1240" s="14">
        <f>Data!G1240</f>
        <v>422492000000</v>
      </c>
      <c r="G1240" s="12">
        <f t="shared" si="19"/>
        <v>2.7077435785766357E-3</v>
      </c>
    </row>
    <row r="1241" spans="2:7" ht="15" customHeight="1" x14ac:dyDescent="0.3">
      <c r="C1241" s="2"/>
      <c r="D1241" s="8">
        <v>2021</v>
      </c>
      <c r="E1241" s="14">
        <f>Data!N1241</f>
        <v>-23736000000</v>
      </c>
      <c r="F1241" s="14">
        <f>Data!G1241</f>
        <v>336360000000</v>
      </c>
      <c r="G1241" s="12">
        <f t="shared" si="19"/>
        <v>-7.0567249375668925E-2</v>
      </c>
    </row>
    <row r="1242" spans="2:7" ht="15" customHeight="1" x14ac:dyDescent="0.3">
      <c r="C1242" s="2"/>
      <c r="D1242" s="8">
        <v>2022</v>
      </c>
      <c r="E1242" s="14">
        <f>Data!N1242</f>
        <v>-37966000000</v>
      </c>
      <c r="F1242" s="14">
        <f>Data!G1242</f>
        <v>386436000000</v>
      </c>
      <c r="G1242" s="12">
        <f t="shared" si="19"/>
        <v>-9.8246540177416186E-2</v>
      </c>
    </row>
    <row r="1243" spans="2:7" ht="15" customHeight="1" x14ac:dyDescent="0.3">
      <c r="C1243" s="2"/>
      <c r="D1243" s="8">
        <v>2023</v>
      </c>
      <c r="E1243" s="14">
        <f>Data!N1243</f>
        <v>-24634000000</v>
      </c>
      <c r="F1243" s="14">
        <f>Data!G1243</f>
        <v>336366000000</v>
      </c>
      <c r="G1243" s="12">
        <f t="shared" si="19"/>
        <v>-7.3235701586961827E-2</v>
      </c>
    </row>
    <row r="1244" spans="2:7" ht="15" customHeight="1" x14ac:dyDescent="0.3">
      <c r="C1244" s="2"/>
      <c r="D1244" s="8">
        <v>2024</v>
      </c>
      <c r="E1244" s="14">
        <f>Data!N1244</f>
        <v>165690000000</v>
      </c>
      <c r="F1244" s="14">
        <f>Data!G1244</f>
        <v>361307000000</v>
      </c>
      <c r="G1244" s="12">
        <f t="shared" si="19"/>
        <v>0.45858508138508247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Data!N1245</f>
        <v>0</v>
      </c>
      <c r="F1245" s="14">
        <f>Data!G1245</f>
        <v>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Data!N1246</f>
        <v>13489120000</v>
      </c>
      <c r="F1246" s="14">
        <f>Data!G1246</f>
        <v>159252900000</v>
      </c>
      <c r="G1246" s="12">
        <f t="shared" si="19"/>
        <v>8.4702507772228958E-2</v>
      </c>
    </row>
    <row r="1247" spans="2:7" ht="15" customHeight="1" x14ac:dyDescent="0.3">
      <c r="C1247" s="2"/>
      <c r="D1247" s="8">
        <v>2016</v>
      </c>
      <c r="E1247" s="14">
        <f>Data!N1247</f>
        <v>8408330000</v>
      </c>
      <c r="F1247" s="14">
        <f>Data!G1247</f>
        <v>161493870000</v>
      </c>
      <c r="G1247" s="12">
        <f t="shared" si="19"/>
        <v>5.2065939097254897E-2</v>
      </c>
    </row>
    <row r="1248" spans="2:7" ht="15" customHeight="1" x14ac:dyDescent="0.3">
      <c r="C1248" s="2"/>
      <c r="D1248" s="8">
        <v>2017</v>
      </c>
      <c r="E1248" s="14">
        <f>Data!N1248</f>
        <v>5659920000</v>
      </c>
      <c r="F1248" s="14">
        <f>Data!G1248</f>
        <v>161558950000</v>
      </c>
      <c r="G1248" s="12">
        <f t="shared" si="19"/>
        <v>3.5033156627967688E-2</v>
      </c>
    </row>
    <row r="1249" spans="2:7" ht="15" customHeight="1" x14ac:dyDescent="0.3">
      <c r="C1249" s="2"/>
      <c r="D1249" s="8">
        <v>2018</v>
      </c>
      <c r="E1249" s="14">
        <f>Data!N1249</f>
        <v>3281880000</v>
      </c>
      <c r="F1249" s="14">
        <f>Data!G1249</f>
        <v>163247530000</v>
      </c>
      <c r="G1249" s="12">
        <f t="shared" si="19"/>
        <v>2.0103703866147318E-2</v>
      </c>
    </row>
    <row r="1250" spans="2:7" ht="15" customHeight="1" x14ac:dyDescent="0.3">
      <c r="C1250" s="2"/>
      <c r="D1250" s="8">
        <v>2019</v>
      </c>
      <c r="E1250" s="14">
        <f>Data!N1250</f>
        <v>4997370000</v>
      </c>
      <c r="F1250" s="14">
        <f>Data!G1250</f>
        <v>190280030000</v>
      </c>
      <c r="G1250" s="12">
        <f t="shared" si="19"/>
        <v>2.6263239500225011E-2</v>
      </c>
    </row>
    <row r="1251" spans="2:7" ht="15" customHeight="1" x14ac:dyDescent="0.3">
      <c r="C1251" s="2"/>
      <c r="D1251" s="8">
        <v>2020</v>
      </c>
      <c r="E1251" s="14">
        <f>Data!N1251</f>
        <v>2427260000</v>
      </c>
      <c r="F1251" s="14">
        <f>Data!G1251</f>
        <v>199137730000</v>
      </c>
      <c r="G1251" s="12">
        <f t="shared" si="19"/>
        <v>1.2188850400172785E-2</v>
      </c>
    </row>
    <row r="1252" spans="2:7" ht="15" customHeight="1" x14ac:dyDescent="0.3">
      <c r="C1252" s="2"/>
      <c r="D1252" s="8">
        <v>2021</v>
      </c>
      <c r="E1252" s="14">
        <f>Data!N1252</f>
        <v>4131649999.9999995</v>
      </c>
      <c r="F1252" s="14">
        <f>Data!G1252</f>
        <v>218288880000</v>
      </c>
      <c r="G1252" s="12">
        <f t="shared" si="19"/>
        <v>1.8927441471136779E-2</v>
      </c>
    </row>
    <row r="1253" spans="2:7" ht="15" customHeight="1" x14ac:dyDescent="0.3">
      <c r="C1253" s="2"/>
      <c r="D1253" s="8">
        <v>2022</v>
      </c>
      <c r="E1253" s="14">
        <f>Data!N1253</f>
        <v>2614710000</v>
      </c>
      <c r="F1253" s="14">
        <f>Data!G1253</f>
        <v>224731410000</v>
      </c>
      <c r="G1253" s="12">
        <f t="shared" si="19"/>
        <v>1.1634822208430944E-2</v>
      </c>
    </row>
    <row r="1254" spans="2:7" ht="15" customHeight="1" x14ac:dyDescent="0.3">
      <c r="C1254" s="2"/>
      <c r="D1254" s="8">
        <v>2023</v>
      </c>
      <c r="E1254" s="14">
        <f>Data!N1254</f>
        <v>5217910000</v>
      </c>
      <c r="F1254" s="14">
        <f>Data!G1254</f>
        <v>241455130000</v>
      </c>
      <c r="G1254" s="12">
        <f t="shared" si="19"/>
        <v>2.1610267713094353E-2</v>
      </c>
    </row>
    <row r="1255" spans="2:7" ht="15" customHeight="1" x14ac:dyDescent="0.3">
      <c r="C1255" s="2"/>
      <c r="D1255" s="8">
        <v>2024</v>
      </c>
      <c r="E1255" s="14">
        <f>Data!N1255</f>
        <v>-14664160000</v>
      </c>
      <c r="F1255" s="14">
        <f>Data!G1255</f>
        <v>218925830000</v>
      </c>
      <c r="G1255" s="12">
        <f t="shared" si="19"/>
        <v>-6.698231999394498E-2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Data!N1256</f>
        <v>0</v>
      </c>
      <c r="F1256" s="14">
        <f>Data!G1256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Data!N1257</f>
        <v>0</v>
      </c>
      <c r="F1257" s="14">
        <f>Data!G1257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Data!N1258</f>
        <v>0</v>
      </c>
      <c r="F1258" s="14">
        <f>Data!G1258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Data!N1259</f>
        <v>0</v>
      </c>
      <c r="F1259" s="14">
        <f>Data!G1259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Data!N1260</f>
        <v>0</v>
      </c>
      <c r="F1260" s="14">
        <f>Data!G1260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Data!N1261</f>
        <v>0</v>
      </c>
      <c r="F1261" s="14">
        <f>Data!G1261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Data!N1262</f>
        <v>0</v>
      </c>
      <c r="F1262" s="14">
        <f>Data!G1262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Data!N1263</f>
        <v>0</v>
      </c>
      <c r="F1263" s="14">
        <f>Data!G1263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Data!N1264</f>
        <v>-5958830000</v>
      </c>
      <c r="F1264" s="14">
        <f>Data!G1264</f>
        <v>151070430000</v>
      </c>
      <c r="G1264" s="12">
        <f t="shared" si="19"/>
        <v>-3.9444052684565738E-2</v>
      </c>
    </row>
    <row r="1265" spans="2:7" ht="15" customHeight="1" x14ac:dyDescent="0.3">
      <c r="C1265" s="1"/>
      <c r="D1265" s="8">
        <v>2023</v>
      </c>
      <c r="E1265" s="14">
        <f>Data!N1265</f>
        <v>-20423990000</v>
      </c>
      <c r="F1265" s="14">
        <f>Data!G1265</f>
        <v>141458760000</v>
      </c>
      <c r="G1265" s="12">
        <f t="shared" si="19"/>
        <v>-0.14438123167487119</v>
      </c>
    </row>
    <row r="1266" spans="2:7" ht="15" customHeight="1" x14ac:dyDescent="0.3">
      <c r="C1266" s="1"/>
      <c r="D1266" s="8">
        <v>2024</v>
      </c>
      <c r="E1266" s="14">
        <f>Data!N1266</f>
        <v>-25659730000</v>
      </c>
      <c r="F1266" s="14">
        <f>Data!G1266</f>
        <v>160317650000</v>
      </c>
      <c r="G1266" s="12">
        <f t="shared" si="19"/>
        <v>-0.16005555221150011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Data!N1267</f>
        <v>0</v>
      </c>
      <c r="F1267" s="14">
        <f>Data!G1267</f>
        <v>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Data!N1268</f>
        <v>116317000000</v>
      </c>
      <c r="F1268" s="14">
        <f>Data!G1268</f>
        <v>3020355000000</v>
      </c>
      <c r="G1268" s="12">
        <f t="shared" si="19"/>
        <v>3.8511035954382843E-2</v>
      </c>
    </row>
    <row r="1269" spans="2:7" ht="15" customHeight="1" x14ac:dyDescent="0.3">
      <c r="C1269" s="1"/>
      <c r="D1269" s="8">
        <v>2016</v>
      </c>
      <c r="E1269" s="14">
        <f>Data!N1269</f>
        <v>95151000000</v>
      </c>
      <c r="F1269" s="14">
        <f>Data!G1269</f>
        <v>3142807000000</v>
      </c>
      <c r="G1269" s="12">
        <f t="shared" si="19"/>
        <v>3.0275801218464893E-2</v>
      </c>
    </row>
    <row r="1270" spans="2:7" ht="15" customHeight="1" x14ac:dyDescent="0.3">
      <c r="C1270" s="1"/>
      <c r="D1270" s="8">
        <v>2017</v>
      </c>
      <c r="E1270" s="14">
        <f>Data!N1270</f>
        <v>79537000000</v>
      </c>
      <c r="F1270" s="14">
        <f>Data!G1270</f>
        <v>3282298000000</v>
      </c>
      <c r="G1270" s="12">
        <f t="shared" si="19"/>
        <v>2.423210811449783E-2</v>
      </c>
    </row>
    <row r="1271" spans="2:7" ht="15" customHeight="1" x14ac:dyDescent="0.3">
      <c r="C1271" s="1"/>
      <c r="D1271" s="8">
        <v>2018</v>
      </c>
      <c r="E1271" s="14">
        <f>Data!N1271</f>
        <v>12240000000</v>
      </c>
      <c r="F1271" s="14">
        <f>Data!G1271</f>
        <v>3605680000000</v>
      </c>
      <c r="G1271" s="12">
        <f t="shared" si="19"/>
        <v>3.3946440061236715E-3</v>
      </c>
    </row>
    <row r="1272" spans="2:7" ht="15" customHeight="1" x14ac:dyDescent="0.3">
      <c r="C1272" s="1"/>
      <c r="D1272" s="8">
        <v>2019</v>
      </c>
      <c r="E1272" s="14">
        <f>Data!N1272</f>
        <v>164737000000</v>
      </c>
      <c r="F1272" s="14">
        <f>Data!G1272</f>
        <v>3868218000000</v>
      </c>
      <c r="G1272" s="12">
        <f t="shared" si="19"/>
        <v>4.2587310229154615E-2</v>
      </c>
    </row>
    <row r="1273" spans="2:7" ht="15" customHeight="1" x14ac:dyDescent="0.3">
      <c r="C1273" s="1"/>
      <c r="D1273" s="8">
        <v>2020</v>
      </c>
      <c r="E1273" s="14">
        <f>Data!N1273</f>
        <v>127623000000</v>
      </c>
      <c r="F1273" s="14">
        <f>Data!G1273</f>
        <v>4233124000000</v>
      </c>
      <c r="G1273" s="12">
        <f t="shared" si="19"/>
        <v>3.0148656169769656E-2</v>
      </c>
    </row>
    <row r="1274" spans="2:7" ht="15" customHeight="1" x14ac:dyDescent="0.3">
      <c r="C1274" s="1"/>
      <c r="D1274" s="8">
        <v>2021</v>
      </c>
      <c r="E1274" s="14">
        <f>Data!N1274</f>
        <v>115633000000</v>
      </c>
      <c r="F1274" s="14">
        <f>Data!G1274</f>
        <v>4261374000000</v>
      </c>
      <c r="G1274" s="12">
        <f t="shared" si="19"/>
        <v>2.7135144673994818E-2</v>
      </c>
    </row>
    <row r="1275" spans="2:7" ht="15" customHeight="1" x14ac:dyDescent="0.3">
      <c r="C1275" s="1"/>
      <c r="D1275" s="8">
        <v>2022</v>
      </c>
      <c r="E1275" s="14">
        <f>Data!N1275</f>
        <v>104071000000</v>
      </c>
      <c r="F1275" s="14">
        <f>Data!G1275</f>
        <v>4365214000000</v>
      </c>
      <c r="G1275" s="12">
        <f t="shared" si="19"/>
        <v>2.3840984657338679E-2</v>
      </c>
    </row>
    <row r="1276" spans="2:7" ht="15" customHeight="1" x14ac:dyDescent="0.3">
      <c r="C1276" s="1"/>
      <c r="D1276" s="8">
        <v>2023</v>
      </c>
      <c r="E1276" s="14">
        <f>Data!N1276</f>
        <v>244251000000</v>
      </c>
      <c r="F1276" s="14">
        <f>Data!G1276</f>
        <v>5010127000000</v>
      </c>
      <c r="G1276" s="12">
        <f t="shared" si="19"/>
        <v>4.8751458795355883E-2</v>
      </c>
    </row>
    <row r="1277" spans="2:7" ht="15" customHeight="1" x14ac:dyDescent="0.3">
      <c r="C1277" s="1"/>
      <c r="D1277" s="8">
        <v>2024</v>
      </c>
      <c r="E1277" s="14">
        <f>Data!N1277</f>
        <v>171954000000</v>
      </c>
      <c r="F1277" s="14">
        <f>Data!G1277</f>
        <v>5226747000000</v>
      </c>
      <c r="G1277" s="12">
        <f t="shared" si="19"/>
        <v>3.2898856592829151E-2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Data!N1278</f>
        <v>0</v>
      </c>
      <c r="F1278" s="14">
        <f>Data!G1278</f>
        <v>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Data!N1279</f>
        <v>5677000000</v>
      </c>
      <c r="F1279" s="14">
        <f>Data!G1279</f>
        <v>196838000000</v>
      </c>
      <c r="G1279" s="12">
        <f t="shared" si="19"/>
        <v>2.8840975827838122E-2</v>
      </c>
    </row>
    <row r="1280" spans="2:7" ht="15" customHeight="1" x14ac:dyDescent="0.3">
      <c r="C1280" s="2"/>
      <c r="D1280" s="8">
        <v>2016</v>
      </c>
      <c r="E1280" s="14">
        <f>Data!N1280</f>
        <v>8434000000</v>
      </c>
      <c r="F1280" s="14">
        <f>Data!G1280</f>
        <v>212248000000</v>
      </c>
      <c r="G1280" s="12">
        <f t="shared" si="19"/>
        <v>3.9736534619878632E-2</v>
      </c>
    </row>
    <row r="1281" spans="2:7" ht="15" customHeight="1" x14ac:dyDescent="0.3">
      <c r="C1281" s="2"/>
      <c r="D1281" s="8">
        <v>2017</v>
      </c>
      <c r="E1281" s="14">
        <f>Data!N1281</f>
        <v>4033000000</v>
      </c>
      <c r="F1281" s="14">
        <f>Data!G1281</f>
        <v>246935000000</v>
      </c>
      <c r="G1281" s="12">
        <f t="shared" si="19"/>
        <v>1.6332233178771742E-2</v>
      </c>
    </row>
    <row r="1282" spans="2:7" ht="15" customHeight="1" x14ac:dyDescent="0.3">
      <c r="C1282" s="2"/>
      <c r="D1282" s="8">
        <v>2018</v>
      </c>
      <c r="E1282" s="14">
        <f>Data!N1282</f>
        <v>11452000000</v>
      </c>
      <c r="F1282" s="14">
        <f>Data!G1282</f>
        <v>275638000000</v>
      </c>
      <c r="G1282" s="12">
        <f t="shared" si="19"/>
        <v>4.154724675117364E-2</v>
      </c>
    </row>
    <row r="1283" spans="2:7" ht="15" customHeight="1" x14ac:dyDescent="0.3">
      <c r="C1283" s="2"/>
      <c r="D1283" s="8">
        <v>2019</v>
      </c>
      <c r="E1283" s="14">
        <f>Data!N1283</f>
        <v>10442000000</v>
      </c>
      <c r="F1283" s="14">
        <f>Data!G1283</f>
        <v>430332000000</v>
      </c>
      <c r="G1283" s="12">
        <f t="shared" ref="G1283:G1346" si="20">IFERROR(E1283/F1283,0)</f>
        <v>2.426498610375245E-2</v>
      </c>
    </row>
    <row r="1284" spans="2:7" ht="15" customHeight="1" x14ac:dyDescent="0.3">
      <c r="C1284" s="2"/>
      <c r="D1284" s="8">
        <v>2020</v>
      </c>
      <c r="E1284" s="14">
        <f>Data!N1284</f>
        <v>8105000000</v>
      </c>
      <c r="F1284" s="14">
        <f>Data!G1284</f>
        <v>432693000000</v>
      </c>
      <c r="G1284" s="12">
        <f t="shared" si="20"/>
        <v>1.8731525585114619E-2</v>
      </c>
    </row>
    <row r="1285" spans="2:7" ht="15" customHeight="1" x14ac:dyDescent="0.3">
      <c r="C1285" s="2"/>
      <c r="D1285" s="8">
        <v>2021</v>
      </c>
      <c r="E1285" s="14">
        <f>Data!N1285</f>
        <v>21941000000</v>
      </c>
      <c r="F1285" s="14">
        <f>Data!G1285</f>
        <v>469764000000</v>
      </c>
      <c r="G1285" s="12">
        <f t="shared" si="20"/>
        <v>4.6706431314447253E-2</v>
      </c>
    </row>
    <row r="1286" spans="2:7" ht="15" customHeight="1" x14ac:dyDescent="0.3">
      <c r="C1286" s="2"/>
      <c r="D1286" s="8">
        <v>2022</v>
      </c>
      <c r="E1286" s="14">
        <f>Data!N1286</f>
        <v>18549000000</v>
      </c>
      <c r="F1286" s="14">
        <f>Data!G1286</f>
        <v>486808000000</v>
      </c>
      <c r="G1286" s="12">
        <f t="shared" si="20"/>
        <v>3.8103317940543294E-2</v>
      </c>
    </row>
    <row r="1287" spans="2:7" ht="15" customHeight="1" x14ac:dyDescent="0.3">
      <c r="C1287" s="2"/>
      <c r="D1287" s="8">
        <v>2023</v>
      </c>
      <c r="E1287" s="14">
        <f>Data!N1287</f>
        <v>16262000000</v>
      </c>
      <c r="F1287" s="14">
        <f>Data!G1287</f>
        <v>566834000000</v>
      </c>
      <c r="G1287" s="12">
        <f t="shared" si="20"/>
        <v>2.8689175314113125E-2</v>
      </c>
    </row>
    <row r="1288" spans="2:7" ht="15" customHeight="1" x14ac:dyDescent="0.3">
      <c r="C1288" s="2"/>
      <c r="D1288" s="8">
        <v>2024</v>
      </c>
      <c r="E1288" s="14">
        <f>Data!N1288</f>
        <v>1386000000</v>
      </c>
      <c r="F1288" s="14">
        <f>Data!G1288</f>
        <v>810868000000</v>
      </c>
      <c r="G1288" s="12">
        <f t="shared" si="20"/>
        <v>1.7092794388235816E-3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Data!N1289</f>
        <v>0</v>
      </c>
      <c r="F1289" s="14">
        <f>Data!G1289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Data!N1290</f>
        <v>0</v>
      </c>
      <c r="F1290" s="14">
        <f>Data!G1290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Data!N1291</f>
        <v>0</v>
      </c>
      <c r="F1291" s="14">
        <f>Data!G1291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Data!N1292</f>
        <v>0</v>
      </c>
      <c r="F1292" s="14">
        <f>Data!G1292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Data!N1293</f>
        <v>-31751121000</v>
      </c>
      <c r="F1293" s="14">
        <f>Data!G1293</f>
        <v>2759490493000</v>
      </c>
      <c r="G1293" s="12">
        <f t="shared" si="20"/>
        <v>-1.1506153429607049E-2</v>
      </c>
    </row>
    <row r="1294" spans="2:7" ht="15" customHeight="1" x14ac:dyDescent="0.3">
      <c r="C1294" s="3"/>
      <c r="D1294" s="8">
        <v>2019</v>
      </c>
      <c r="E1294" s="14">
        <f>Data!N1294</f>
        <v>-47424280000</v>
      </c>
      <c r="F1294" s="14">
        <f>Data!G1294</f>
        <v>2404841887000</v>
      </c>
      <c r="G1294" s="12">
        <f t="shared" si="20"/>
        <v>-1.972033182570726E-2</v>
      </c>
    </row>
    <row r="1295" spans="2:7" ht="15" customHeight="1" x14ac:dyDescent="0.3">
      <c r="C1295" s="3"/>
      <c r="D1295" s="8">
        <v>2020</v>
      </c>
      <c r="E1295" s="14">
        <f>Data!N1295</f>
        <v>89461062000</v>
      </c>
      <c r="F1295" s="14">
        <f>Data!G1295</f>
        <v>2701070570000</v>
      </c>
      <c r="G1295" s="12">
        <f t="shared" si="20"/>
        <v>3.3120594105765996E-2</v>
      </c>
    </row>
    <row r="1296" spans="2:7" ht="15" customHeight="1" x14ac:dyDescent="0.3">
      <c r="C1296" s="3"/>
      <c r="D1296" s="8">
        <v>2021</v>
      </c>
      <c r="E1296" s="14">
        <f>Data!N1296</f>
        <v>-14247767000</v>
      </c>
      <c r="F1296" s="14">
        <f>Data!G1296</f>
        <v>2509362304000</v>
      </c>
      <c r="G1296" s="12">
        <f t="shared" si="20"/>
        <v>-5.6778437204100122E-3</v>
      </c>
    </row>
    <row r="1297" spans="2:7" ht="15" customHeight="1" x14ac:dyDescent="0.3">
      <c r="C1297" s="3"/>
      <c r="D1297" s="8">
        <v>2022</v>
      </c>
      <c r="E1297" s="14">
        <f>Data!N1297</f>
        <v>6444473000</v>
      </c>
      <c r="F1297" s="14">
        <f>Data!G1297</f>
        <v>2534662345000</v>
      </c>
      <c r="G1297" s="12">
        <f t="shared" si="20"/>
        <v>2.5425370810091079E-3</v>
      </c>
    </row>
    <row r="1298" spans="2:7" ht="15" customHeight="1" x14ac:dyDescent="0.3">
      <c r="C1298" s="3"/>
      <c r="D1298" s="8">
        <v>2023</v>
      </c>
      <c r="E1298" s="14">
        <f>Data!N1298</f>
        <v>10599448000</v>
      </c>
      <c r="F1298" s="14">
        <f>Data!G1298</f>
        <v>2567838757000</v>
      </c>
      <c r="G1298" s="12">
        <f t="shared" si="20"/>
        <v>4.1277700833456188E-3</v>
      </c>
    </row>
    <row r="1299" spans="2:7" ht="15" customHeight="1" x14ac:dyDescent="0.3">
      <c r="C1299" s="3"/>
      <c r="D1299" s="8">
        <v>2024</v>
      </c>
      <c r="E1299" s="14">
        <f>Data!N1299</f>
        <v>-39174280000</v>
      </c>
      <c r="F1299" s="14">
        <f>Data!G1299</f>
        <v>2544622608000</v>
      </c>
      <c r="G1299" s="12">
        <f t="shared" si="20"/>
        <v>-1.5394927277954924E-2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Data!N1300</f>
        <v>0</v>
      </c>
      <c r="F1300" s="14">
        <f>Data!G1300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Data!N1301</f>
        <v>-9171000000</v>
      </c>
      <c r="F1301" s="14">
        <f>Data!G1301</f>
        <v>277472000000</v>
      </c>
      <c r="G1301" s="12">
        <f t="shared" si="20"/>
        <v>-3.3051983623572832E-2</v>
      </c>
    </row>
    <row r="1302" spans="2:7" ht="15" customHeight="1" x14ac:dyDescent="0.3">
      <c r="C1302" s="2"/>
      <c r="D1302" s="8">
        <v>2016</v>
      </c>
      <c r="E1302" s="14">
        <f>Data!N1302</f>
        <v>3484000000</v>
      </c>
      <c r="F1302" s="14">
        <f>Data!G1302</f>
        <v>300402000000</v>
      </c>
      <c r="G1302" s="12">
        <f t="shared" si="20"/>
        <v>1.1597792291662506E-2</v>
      </c>
    </row>
    <row r="1303" spans="2:7" ht="15" customHeight="1" x14ac:dyDescent="0.3">
      <c r="C1303" s="2"/>
      <c r="D1303" s="8">
        <v>2017</v>
      </c>
      <c r="E1303" s="14">
        <f>Data!N1303</f>
        <v>4984000000</v>
      </c>
      <c r="F1303" s="14">
        <f>Data!G1303</f>
        <v>291577000000</v>
      </c>
      <c r="G1303" s="12">
        <f t="shared" si="20"/>
        <v>1.7093254954951866E-2</v>
      </c>
    </row>
    <row r="1304" spans="2:7" ht="15" customHeight="1" x14ac:dyDescent="0.3">
      <c r="C1304" s="2"/>
      <c r="D1304" s="8">
        <v>2018</v>
      </c>
      <c r="E1304" s="14">
        <f>Data!N1304</f>
        <v>5994000000</v>
      </c>
      <c r="F1304" s="14">
        <f>Data!G1304</f>
        <v>353211000000</v>
      </c>
      <c r="G1304" s="12">
        <f t="shared" si="20"/>
        <v>1.697002641480588E-2</v>
      </c>
    </row>
    <row r="1305" spans="2:7" ht="15" customHeight="1" x14ac:dyDescent="0.3">
      <c r="C1305" s="2"/>
      <c r="D1305" s="8">
        <v>2019</v>
      </c>
      <c r="E1305" s="14">
        <f>Data!N1305</f>
        <v>11953000000</v>
      </c>
      <c r="F1305" s="14">
        <f>Data!G1305</f>
        <v>399341000000</v>
      </c>
      <c r="G1305" s="12">
        <f t="shared" si="20"/>
        <v>2.9931812661359591E-2</v>
      </c>
    </row>
    <row r="1306" spans="2:7" ht="15" customHeight="1" x14ac:dyDescent="0.3">
      <c r="C1306" s="2"/>
      <c r="D1306" s="8">
        <v>2020</v>
      </c>
      <c r="E1306" s="14">
        <f>Data!N1306</f>
        <v>10652000000</v>
      </c>
      <c r="F1306" s="14">
        <f>Data!G1306</f>
        <v>439686000000</v>
      </c>
      <c r="G1306" s="12">
        <f t="shared" si="20"/>
        <v>2.4226379734628805E-2</v>
      </c>
    </row>
    <row r="1307" spans="2:7" ht="15" customHeight="1" x14ac:dyDescent="0.3">
      <c r="C1307" s="2"/>
      <c r="D1307" s="8">
        <v>2021</v>
      </c>
      <c r="E1307" s="14">
        <f>Data!N1307</f>
        <v>6355000000</v>
      </c>
      <c r="F1307" s="14">
        <f>Data!G1307</f>
        <v>470433000000</v>
      </c>
      <c r="G1307" s="12">
        <f t="shared" si="20"/>
        <v>1.3508831225700579E-2</v>
      </c>
    </row>
    <row r="1308" spans="2:7" ht="15" customHeight="1" x14ac:dyDescent="0.3">
      <c r="C1308" s="2"/>
      <c r="D1308" s="8">
        <v>2022</v>
      </c>
      <c r="E1308" s="14">
        <f>Data!N1308</f>
        <v>111000000</v>
      </c>
      <c r="F1308" s="14">
        <f>Data!G1308</f>
        <v>455182000000</v>
      </c>
      <c r="G1308" s="12">
        <f t="shared" si="20"/>
        <v>2.4385850055582163E-4</v>
      </c>
    </row>
    <row r="1309" spans="2:7" ht="15" customHeight="1" x14ac:dyDescent="0.3">
      <c r="C1309" s="2"/>
      <c r="D1309" s="8">
        <v>2023</v>
      </c>
      <c r="E1309" s="14">
        <f>Data!N1309</f>
        <v>2643000000</v>
      </c>
      <c r="F1309" s="14">
        <f>Data!G1309</f>
        <v>526635000000</v>
      </c>
      <c r="G1309" s="12">
        <f t="shared" si="20"/>
        <v>5.0186561850237834E-3</v>
      </c>
    </row>
    <row r="1310" spans="2:7" ht="15" customHeight="1" x14ac:dyDescent="0.3">
      <c r="C1310" s="2"/>
      <c r="D1310" s="8">
        <v>2024</v>
      </c>
      <c r="E1310" s="14">
        <f>Data!N1310</f>
        <v>0</v>
      </c>
      <c r="F1310" s="14">
        <f>Data!G1310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Data!N1311</f>
        <v>0</v>
      </c>
      <c r="F1311" s="14">
        <f>Data!G1311</f>
        <v>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Data!N1312</f>
        <v>73390000000</v>
      </c>
      <c r="F1312" s="14">
        <f>Data!G1312</f>
        <v>1733310000000</v>
      </c>
      <c r="G1312" s="12">
        <f t="shared" si="20"/>
        <v>4.2340954589773321E-2</v>
      </c>
    </row>
    <row r="1313" spans="2:7" ht="15" customHeight="1" x14ac:dyDescent="0.3">
      <c r="C1313" s="2"/>
      <c r="D1313" s="8">
        <v>2016</v>
      </c>
      <c r="E1313" s="14">
        <f>Data!N1313</f>
        <v>105532000000</v>
      </c>
      <c r="F1313" s="14">
        <f>Data!G1313</f>
        <v>2072228000000</v>
      </c>
      <c r="G1313" s="12">
        <f t="shared" si="20"/>
        <v>5.0926828515008966E-2</v>
      </c>
    </row>
    <row r="1314" spans="2:7" ht="15" customHeight="1" x14ac:dyDescent="0.3">
      <c r="C1314" s="2"/>
      <c r="D1314" s="8">
        <v>2017</v>
      </c>
      <c r="E1314" s="14">
        <f>Data!N1314</f>
        <v>123185000000</v>
      </c>
      <c r="F1314" s="14">
        <f>Data!G1314</f>
        <v>2177932000000</v>
      </c>
      <c r="G1314" s="12">
        <f t="shared" si="20"/>
        <v>5.6560535406982401E-2</v>
      </c>
    </row>
    <row r="1315" spans="2:7" ht="15" customHeight="1" x14ac:dyDescent="0.3">
      <c r="C1315" s="2"/>
      <c r="D1315" s="8">
        <v>2018</v>
      </c>
      <c r="E1315" s="14">
        <f>Data!N1315</f>
        <v>139985000000</v>
      </c>
      <c r="F1315" s="14">
        <f>Data!G1315</f>
        <v>2345549000000</v>
      </c>
      <c r="G1315" s="12">
        <f t="shared" si="20"/>
        <v>5.9681123694282232E-2</v>
      </c>
    </row>
    <row r="1316" spans="2:7" ht="15" customHeight="1" x14ac:dyDescent="0.3">
      <c r="C1316" s="2"/>
      <c r="D1316" s="8">
        <v>2019</v>
      </c>
      <c r="E1316" s="14">
        <f>Data!N1316</f>
        <v>178342000000</v>
      </c>
      <c r="F1316" s="14">
        <f>Data!G1316</f>
        <v>2592413000000</v>
      </c>
      <c r="G1316" s="12">
        <f t="shared" si="20"/>
        <v>6.8793822589224785E-2</v>
      </c>
    </row>
    <row r="1317" spans="2:7" ht="15" customHeight="1" x14ac:dyDescent="0.3">
      <c r="C1317" s="2"/>
      <c r="D1317" s="8">
        <v>2020</v>
      </c>
      <c r="E1317" s="14">
        <f>Data!N1317</f>
        <v>201733000000</v>
      </c>
      <c r="F1317" s="14">
        <f>Data!G1317</f>
        <v>2952533000000</v>
      </c>
      <c r="G1317" s="12">
        <f t="shared" si="20"/>
        <v>6.8325400596707983E-2</v>
      </c>
    </row>
    <row r="1318" spans="2:7" ht="15" customHeight="1" x14ac:dyDescent="0.3">
      <c r="C1318" s="2"/>
      <c r="D1318" s="8">
        <v>2021</v>
      </c>
      <c r="E1318" s="14">
        <f>Data!N1318</f>
        <v>285451000000</v>
      </c>
      <c r="F1318" s="14">
        <f>Data!G1318</f>
        <v>3711223000000</v>
      </c>
      <c r="G1318" s="12">
        <f t="shared" si="20"/>
        <v>7.6915615148968414E-2</v>
      </c>
    </row>
    <row r="1319" spans="2:7" ht="15" customHeight="1" x14ac:dyDescent="0.3">
      <c r="C1319" s="2"/>
      <c r="D1319" s="8">
        <v>2022</v>
      </c>
      <c r="E1319" s="14">
        <f>Data!N1319</f>
        <v>366756000000</v>
      </c>
      <c r="F1319" s="14">
        <f>Data!G1319</f>
        <v>4715082000000</v>
      </c>
      <c r="G1319" s="12">
        <f t="shared" si="20"/>
        <v>7.7783588917435587E-2</v>
      </c>
    </row>
    <row r="1320" spans="2:7" ht="15" customHeight="1" x14ac:dyDescent="0.3">
      <c r="C1320" s="2"/>
      <c r="D1320" s="8">
        <v>2023</v>
      </c>
      <c r="E1320" s="14">
        <f>Data!N1320</f>
        <v>474296000000</v>
      </c>
      <c r="F1320" s="14">
        <f>Data!G1320</f>
        <v>6222550000000</v>
      </c>
      <c r="G1320" s="12">
        <f t="shared" si="20"/>
        <v>7.6222127584350471E-2</v>
      </c>
    </row>
    <row r="1321" spans="2:7" ht="15" customHeight="1" x14ac:dyDescent="0.3">
      <c r="C1321" s="2"/>
      <c r="D1321" s="8">
        <v>2024</v>
      </c>
      <c r="E1321" s="14">
        <f>Data!N1321</f>
        <v>690611000000</v>
      </c>
      <c r="F1321" s="14">
        <f>Data!G1321</f>
        <v>7402327000000</v>
      </c>
      <c r="G1321" s="12">
        <f t="shared" si="20"/>
        <v>9.3296472852388179E-2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Data!N1322</f>
        <v>0</v>
      </c>
      <c r="F1322" s="14">
        <f>Data!G1322</f>
        <v>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Data!N1323</f>
        <v>14059000000</v>
      </c>
      <c r="F1323" s="14">
        <f>Data!G1323</f>
        <v>515144000000</v>
      </c>
      <c r="G1323" s="12">
        <f t="shared" si="20"/>
        <v>2.7291398133337474E-2</v>
      </c>
    </row>
    <row r="1324" spans="2:7" ht="15" customHeight="1" x14ac:dyDescent="0.3">
      <c r="C1324" s="2"/>
      <c r="D1324" s="8">
        <v>2016</v>
      </c>
      <c r="E1324" s="14">
        <f>Data!N1324</f>
        <v>4620000000</v>
      </c>
      <c r="F1324" s="14">
        <f>Data!G1324</f>
        <v>711321000000</v>
      </c>
      <c r="G1324" s="12">
        <f t="shared" si="20"/>
        <v>6.4949579725609111E-3</v>
      </c>
    </row>
    <row r="1325" spans="2:7" ht="15" customHeight="1" x14ac:dyDescent="0.3">
      <c r="C1325" s="2"/>
      <c r="D1325" s="8">
        <v>2017</v>
      </c>
      <c r="E1325" s="14">
        <f>Data!N1325</f>
        <v>9322000000</v>
      </c>
      <c r="F1325" s="14">
        <f>Data!G1325</f>
        <v>846759000000</v>
      </c>
      <c r="G1325" s="12">
        <f t="shared" si="20"/>
        <v>1.1009035628791663E-2</v>
      </c>
    </row>
    <row r="1326" spans="2:7" ht="15" customHeight="1" x14ac:dyDescent="0.3">
      <c r="C1326" s="2"/>
      <c r="D1326" s="8">
        <v>2018</v>
      </c>
      <c r="E1326" s="14">
        <f>Data!N1326</f>
        <v>17550000000</v>
      </c>
      <c r="F1326" s="14">
        <f>Data!G1326</f>
        <v>997698000000</v>
      </c>
      <c r="G1326" s="12">
        <f t="shared" si="20"/>
        <v>1.7590493315612542E-2</v>
      </c>
    </row>
    <row r="1327" spans="2:7" ht="15" customHeight="1" x14ac:dyDescent="0.3">
      <c r="C1327" s="2"/>
      <c r="D1327" s="8">
        <v>2019</v>
      </c>
      <c r="E1327" s="14">
        <f>Data!N1327</f>
        <v>19656000000</v>
      </c>
      <c r="F1327" s="14">
        <f>Data!G1327</f>
        <v>1277790000000</v>
      </c>
      <c r="G1327" s="12">
        <f t="shared" si="20"/>
        <v>1.5382809381823305E-2</v>
      </c>
    </row>
    <row r="1328" spans="2:7" ht="15" customHeight="1" x14ac:dyDescent="0.3">
      <c r="C1328" s="2"/>
      <c r="D1328" s="8">
        <v>2020</v>
      </c>
      <c r="E1328" s="14">
        <f>Data!N1328</f>
        <v>25920000000</v>
      </c>
      <c r="F1328" s="14">
        <f>Data!G1328</f>
        <v>1557316000000</v>
      </c>
      <c r="G1328" s="12">
        <f t="shared" si="20"/>
        <v>1.6644020866670606E-2</v>
      </c>
    </row>
    <row r="1329" spans="2:7" ht="15" customHeight="1" x14ac:dyDescent="0.3">
      <c r="C1329" s="2"/>
      <c r="D1329" s="8">
        <v>2021</v>
      </c>
      <c r="E1329" s="14">
        <f>Data!N1329</f>
        <v>30752000000</v>
      </c>
      <c r="F1329" s="14">
        <f>Data!G1329</f>
        <v>1610433000000</v>
      </c>
      <c r="G1329" s="12">
        <f t="shared" si="20"/>
        <v>1.9095485499862459E-2</v>
      </c>
    </row>
    <row r="1330" spans="2:7" ht="15" customHeight="1" x14ac:dyDescent="0.3">
      <c r="C1330" s="2"/>
      <c r="D1330" s="8">
        <v>2022</v>
      </c>
      <c r="E1330" s="14">
        <f>Data!N1330</f>
        <v>56965000000</v>
      </c>
      <c r="F1330" s="14">
        <f>Data!G1330</f>
        <v>1483962000000</v>
      </c>
      <c r="G1330" s="12">
        <f t="shared" si="20"/>
        <v>3.838710155650886E-2</v>
      </c>
    </row>
    <row r="1331" spans="2:7" ht="15" customHeight="1" x14ac:dyDescent="0.3">
      <c r="C1331" s="2"/>
      <c r="D1331" s="8">
        <v>2023</v>
      </c>
      <c r="E1331" s="14">
        <f>Data!N1331</f>
        <v>44483000000</v>
      </c>
      <c r="F1331" s="14">
        <f>Data!G1331</f>
        <v>2239940000000</v>
      </c>
      <c r="G1331" s="12">
        <f t="shared" si="20"/>
        <v>1.9859014080734306E-2</v>
      </c>
    </row>
    <row r="1332" spans="2:7" ht="15" customHeight="1" x14ac:dyDescent="0.3">
      <c r="C1332" s="2"/>
      <c r="D1332" s="8">
        <v>2024</v>
      </c>
      <c r="E1332" s="14" t="str">
        <f>Data!N1332</f>
        <v>71158*1e6</v>
      </c>
      <c r="F1332" s="14">
        <f>Data!G1332</f>
        <v>2280698000000</v>
      </c>
      <c r="G1332" s="12">
        <f t="shared" si="20"/>
        <v>0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Data!N1333</f>
        <v>0</v>
      </c>
      <c r="F1333" s="14">
        <f>Data!G1333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Data!N1334</f>
        <v>0</v>
      </c>
      <c r="F1334" s="14">
        <f>Data!G1334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Data!N1335</f>
        <v>0</v>
      </c>
      <c r="F1335" s="14">
        <f>Data!G1335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Data!N1336</f>
        <v>0</v>
      </c>
      <c r="F1336" s="14">
        <f>Data!G1336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Data!N1337</f>
        <v>0</v>
      </c>
      <c r="F1337" s="14">
        <f>Data!G1337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Data!N1338</f>
        <v>0</v>
      </c>
      <c r="F1338" s="14">
        <f>Data!G1338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Data!N1339</f>
        <v>0</v>
      </c>
      <c r="F1339" s="14">
        <f>Data!G1339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Data!N1340</f>
        <v>0</v>
      </c>
      <c r="F1340" s="14">
        <f>Data!G1340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Data!N1341</f>
        <v>0</v>
      </c>
      <c r="F1341" s="14">
        <f>Data!G1341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Data!N1342</f>
        <v>0</v>
      </c>
      <c r="F1342" s="14">
        <f>Data!G1342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Data!N1343</f>
        <v>0</v>
      </c>
      <c r="F1343" s="14">
        <f>Data!G1343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Data!N1344</f>
        <v>0</v>
      </c>
      <c r="F1344" s="14">
        <f>Data!G1344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Data!N1345</f>
        <v>0</v>
      </c>
      <c r="F1345" s="14">
        <f>Data!G1345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Data!N1346</f>
        <v>0</v>
      </c>
      <c r="F1346" s="14">
        <f>Data!G1346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Data!N1347</f>
        <v>0</v>
      </c>
      <c r="F1347" s="14">
        <f>Data!G1347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Data!N1348</f>
        <v>0</v>
      </c>
      <c r="F1348" s="14">
        <f>Data!G1348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Data!N1349</f>
        <v>512260665</v>
      </c>
      <c r="F1349" s="14">
        <f>Data!G1349</f>
        <v>348268361065</v>
      </c>
      <c r="G1349" s="12">
        <f t="shared" si="21"/>
        <v>1.4708791330728802E-3</v>
      </c>
    </row>
    <row r="1350" spans="2:7" ht="15" customHeight="1" x14ac:dyDescent="0.3">
      <c r="C1350" s="2"/>
      <c r="D1350" s="8">
        <v>2020</v>
      </c>
      <c r="E1350" s="14">
        <f>Data!N1350</f>
        <v>410214152</v>
      </c>
      <c r="F1350" s="14">
        <f>Data!G1350</f>
        <v>394436443248</v>
      </c>
      <c r="G1350" s="12">
        <f t="shared" si="21"/>
        <v>1.0400006364069149E-3</v>
      </c>
    </row>
    <row r="1351" spans="2:7" ht="15" customHeight="1" x14ac:dyDescent="0.3">
      <c r="C1351" s="2"/>
      <c r="D1351" s="8">
        <v>2021</v>
      </c>
      <c r="E1351" s="14">
        <f>Data!N1351</f>
        <v>2308985768</v>
      </c>
      <c r="F1351" s="14">
        <f>Data!G1351</f>
        <v>268539063091</v>
      </c>
      <c r="G1351" s="12">
        <f t="shared" si="21"/>
        <v>8.5983236160228679E-3</v>
      </c>
    </row>
    <row r="1352" spans="2:7" ht="15" customHeight="1" x14ac:dyDescent="0.3">
      <c r="C1352" s="2"/>
      <c r="D1352" s="8">
        <v>2022</v>
      </c>
      <c r="E1352" s="14">
        <f>Data!N1352</f>
        <v>5810058561</v>
      </c>
      <c r="F1352" s="14">
        <f>Data!G1352</f>
        <v>410446680382</v>
      </c>
      <c r="G1352" s="12">
        <f t="shared" si="21"/>
        <v>1.4155452678025357E-2</v>
      </c>
    </row>
    <row r="1353" spans="2:7" ht="15" customHeight="1" x14ac:dyDescent="0.3">
      <c r="C1353" s="2"/>
      <c r="D1353" s="8">
        <v>2023</v>
      </c>
      <c r="E1353" s="14">
        <f>Data!N1353</f>
        <v>153740775461</v>
      </c>
      <c r="F1353" s="14">
        <f>Data!G1353</f>
        <v>862379828144</v>
      </c>
      <c r="G1353" s="12">
        <f t="shared" si="21"/>
        <v>0.17827501344955901</v>
      </c>
    </row>
    <row r="1354" spans="2:7" ht="15" customHeight="1" x14ac:dyDescent="0.3">
      <c r="C1354" s="2"/>
      <c r="D1354" s="8">
        <v>2024</v>
      </c>
      <c r="E1354" s="14">
        <f>Data!N1354</f>
        <v>89805636099</v>
      </c>
      <c r="F1354" s="14">
        <f>Data!G1354</f>
        <v>930448689416</v>
      </c>
      <c r="G1354" s="12">
        <f t="shared" si="21"/>
        <v>9.6518633558790742E-2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Data!N1355</f>
        <v>0</v>
      </c>
      <c r="F1355" s="14">
        <f>Data!G1355</f>
        <v>0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Data!N1356</f>
        <v>23304078542</v>
      </c>
      <c r="F1356" s="14">
        <f>Data!G1356</f>
        <v>921927252120</v>
      </c>
      <c r="G1356" s="12">
        <f t="shared" si="21"/>
        <v>2.527756771308317E-2</v>
      </c>
    </row>
    <row r="1357" spans="2:7" ht="15" customHeight="1" x14ac:dyDescent="0.3">
      <c r="C1357" s="2"/>
      <c r="D1357" s="8">
        <v>2016</v>
      </c>
      <c r="E1357" s="14">
        <f>Data!N1357</f>
        <v>22952083488</v>
      </c>
      <c r="F1357" s="14">
        <f>Data!G1357</f>
        <v>1136810730112</v>
      </c>
      <c r="G1357" s="12">
        <f t="shared" si="21"/>
        <v>2.0189889908708666E-2</v>
      </c>
    </row>
    <row r="1358" spans="2:7" ht="15" customHeight="1" x14ac:dyDescent="0.3">
      <c r="C1358" s="2"/>
      <c r="D1358" s="8">
        <v>2017</v>
      </c>
      <c r="E1358" s="14">
        <f>Data!N1358</f>
        <v>-42679419828</v>
      </c>
      <c r="F1358" s="14">
        <f>Data!G1358</f>
        <v>1327250439408</v>
      </c>
      <c r="G1358" s="12">
        <f t="shared" si="21"/>
        <v>-3.2156267243005403E-2</v>
      </c>
    </row>
    <row r="1359" spans="2:7" ht="15" customHeight="1" x14ac:dyDescent="0.3">
      <c r="C1359" s="2"/>
      <c r="D1359" s="8">
        <v>2018</v>
      </c>
      <c r="E1359" s="14">
        <f>Data!N1359</f>
        <v>22714000000</v>
      </c>
      <c r="F1359" s="14">
        <f>Data!G1359</f>
        <v>1242415000000</v>
      </c>
      <c r="G1359" s="12">
        <f t="shared" si="21"/>
        <v>1.8282136001255618E-2</v>
      </c>
    </row>
    <row r="1360" spans="2:7" ht="15" customHeight="1" x14ac:dyDescent="0.3">
      <c r="C1360" s="2"/>
      <c r="D1360" s="8">
        <v>2019</v>
      </c>
      <c r="E1360" s="14">
        <f>Data!N1360</f>
        <v>16900000000</v>
      </c>
      <c r="F1360" s="14">
        <f>Data!G1360</f>
        <v>1149812000000</v>
      </c>
      <c r="G1360" s="12">
        <f t="shared" si="21"/>
        <v>1.4698054986380382E-2</v>
      </c>
    </row>
    <row r="1361" spans="2:7" ht="15" customHeight="1" x14ac:dyDescent="0.3">
      <c r="C1361" s="2"/>
      <c r="D1361" s="8">
        <v>2020</v>
      </c>
      <c r="E1361" s="14">
        <f>Data!N1361</f>
        <v>23078000000</v>
      </c>
      <c r="F1361" s="14">
        <f>Data!G1361</f>
        <v>1148806000000</v>
      </c>
      <c r="G1361" s="12">
        <f t="shared" si="21"/>
        <v>2.0088683380831925E-2</v>
      </c>
    </row>
    <row r="1362" spans="2:7" ht="15" customHeight="1" x14ac:dyDescent="0.3">
      <c r="C1362" s="2"/>
      <c r="D1362" s="8">
        <v>2021</v>
      </c>
      <c r="E1362" s="14">
        <f>Data!N1362</f>
        <v>35617000000</v>
      </c>
      <c r="F1362" s="14">
        <f>Data!G1362</f>
        <v>1197031000000</v>
      </c>
      <c r="G1362" s="12">
        <f t="shared" si="21"/>
        <v>2.9754450803696812E-2</v>
      </c>
    </row>
    <row r="1363" spans="2:7" ht="15" customHeight="1" x14ac:dyDescent="0.3">
      <c r="C1363" s="2"/>
      <c r="D1363" s="8">
        <v>2022</v>
      </c>
      <c r="E1363" s="14">
        <f>Data!N1363</f>
        <v>-60964000000</v>
      </c>
      <c r="F1363" s="14">
        <f>Data!G1363</f>
        <v>1513163000000</v>
      </c>
      <c r="G1363" s="12">
        <f t="shared" si="21"/>
        <v>-4.0289116241938247E-2</v>
      </c>
    </row>
    <row r="1364" spans="2:7" ht="15" customHeight="1" x14ac:dyDescent="0.3">
      <c r="C1364" s="2"/>
      <c r="D1364" s="8">
        <v>2023</v>
      </c>
      <c r="E1364" s="14">
        <f>Data!N1364</f>
        <v>32571000000</v>
      </c>
      <c r="F1364" s="14">
        <f>Data!G1364</f>
        <v>1580050000000</v>
      </c>
      <c r="G1364" s="12">
        <f t="shared" si="21"/>
        <v>2.0613904623271416E-2</v>
      </c>
    </row>
    <row r="1365" spans="2:7" ht="15" customHeight="1" x14ac:dyDescent="0.3">
      <c r="C1365" s="2"/>
      <c r="D1365" s="8">
        <v>2024</v>
      </c>
      <c r="E1365" s="14">
        <f>Data!N1365</f>
        <v>48042000000</v>
      </c>
      <c r="F1365" s="14">
        <f>Data!G1365</f>
        <v>1618363000000</v>
      </c>
      <c r="G1365" s="12">
        <f t="shared" si="21"/>
        <v>2.9685552623237185E-2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Data!N1366</f>
        <v>0</v>
      </c>
      <c r="F1366" s="14">
        <f>Data!G1366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Data!N1367</f>
        <v>0</v>
      </c>
      <c r="F1367" s="14">
        <f>Data!G1367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Data!N1368</f>
        <v>0</v>
      </c>
      <c r="F1368" s="14">
        <f>Data!G1368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Data!N1369</f>
        <v>0</v>
      </c>
      <c r="F1369" s="14">
        <f>Data!G1369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Data!N1370</f>
        <v>0</v>
      </c>
      <c r="F1370" s="14">
        <f>Data!G1370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Data!N1371</f>
        <v>0</v>
      </c>
      <c r="F1371" s="14">
        <f>Data!G1371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Data!N1372</f>
        <v>0</v>
      </c>
      <c r="F1372" s="14">
        <f>Data!G1372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Data!N1373</f>
        <v>0</v>
      </c>
      <c r="F1373" s="14">
        <f>Data!G1373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Data!N1374</f>
        <v>0</v>
      </c>
      <c r="F1374" s="14">
        <f>Data!G1374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Data!N1375</f>
        <v>0</v>
      </c>
      <c r="F1375" s="14">
        <f>Data!G1375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Data!N1376</f>
        <v>0</v>
      </c>
      <c r="F1376" s="14">
        <f>Data!G1376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Data!N1377</f>
        <v>0</v>
      </c>
      <c r="F1377" s="14">
        <f>Data!G1377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Data!N1378</f>
        <v>0</v>
      </c>
      <c r="F1378" s="14">
        <f>Data!G1378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Data!N1379</f>
        <v>83158110807</v>
      </c>
      <c r="F1379" s="14">
        <f>Data!G1379</f>
        <v>2300958312318</v>
      </c>
      <c r="G1379" s="12">
        <f t="shared" si="21"/>
        <v>3.6140642080223516E-2</v>
      </c>
    </row>
    <row r="1380" spans="2:7" ht="15" customHeight="1" x14ac:dyDescent="0.3">
      <c r="C1380" s="2"/>
      <c r="D1380" s="8">
        <v>2017</v>
      </c>
      <c r="E1380" s="14">
        <f>Data!N1380</f>
        <v>91874383925</v>
      </c>
      <c r="F1380" s="14">
        <f>Data!G1380</f>
        <v>2363109344956</v>
      </c>
      <c r="G1380" s="12">
        <f t="shared" si="21"/>
        <v>3.8878600400401982E-2</v>
      </c>
    </row>
    <row r="1381" spans="2:7" ht="15" customHeight="1" x14ac:dyDescent="0.3">
      <c r="C1381" s="2"/>
      <c r="D1381" s="8">
        <v>2018</v>
      </c>
      <c r="E1381" s="14">
        <f>Data!N1381</f>
        <v>68687123783</v>
      </c>
      <c r="F1381" s="14">
        <f>Data!G1381</f>
        <v>2485186649117</v>
      </c>
      <c r="G1381" s="12">
        <f t="shared" si="21"/>
        <v>2.7638617730143086E-2</v>
      </c>
    </row>
    <row r="1382" spans="2:7" ht="15" customHeight="1" x14ac:dyDescent="0.3">
      <c r="C1382" s="2"/>
      <c r="D1382" s="8">
        <v>2019</v>
      </c>
      <c r="E1382" s="14">
        <f>Data!N1382</f>
        <v>80002543527</v>
      </c>
      <c r="F1382" s="14">
        <f>Data!G1382</f>
        <v>2423706043201</v>
      </c>
      <c r="G1382" s="12">
        <f t="shared" si="21"/>
        <v>3.3008352539873304E-2</v>
      </c>
    </row>
    <row r="1383" spans="2:7" ht="15" customHeight="1" x14ac:dyDescent="0.3">
      <c r="C1383" s="2"/>
      <c r="D1383" s="8">
        <v>2020</v>
      </c>
      <c r="E1383" s="14">
        <f>Data!N1383</f>
        <v>92908485040</v>
      </c>
      <c r="F1383" s="14">
        <f>Data!G1383</f>
        <v>2815578393095</v>
      </c>
      <c r="G1383" s="12">
        <f t="shared" si="21"/>
        <v>3.2998010379626179E-2</v>
      </c>
    </row>
    <row r="1384" spans="2:7" ht="15" customHeight="1" x14ac:dyDescent="0.3">
      <c r="C1384" s="2"/>
      <c r="D1384" s="8">
        <v>2021</v>
      </c>
      <c r="E1384" s="14">
        <f>Data!N1384</f>
        <v>98384767320</v>
      </c>
      <c r="F1384" s="14">
        <f>Data!G1384</f>
        <v>2923286260687</v>
      </c>
      <c r="G1384" s="12">
        <f t="shared" si="21"/>
        <v>3.3655536456726837E-2</v>
      </c>
    </row>
    <row r="1385" spans="2:7" ht="15" customHeight="1" x14ac:dyDescent="0.3">
      <c r="C1385" s="2"/>
      <c r="D1385" s="8">
        <v>2022</v>
      </c>
      <c r="E1385" s="14">
        <f>Data!N1385</f>
        <v>73838714374</v>
      </c>
      <c r="F1385" s="14">
        <f>Data!G1385</f>
        <v>2930664711078</v>
      </c>
      <c r="G1385" s="12">
        <f t="shared" si="21"/>
        <v>2.5195210525068752E-2</v>
      </c>
    </row>
    <row r="1386" spans="2:7" ht="15" customHeight="1" x14ac:dyDescent="0.3">
      <c r="C1386" s="2"/>
      <c r="D1386" s="8">
        <v>2023</v>
      </c>
      <c r="E1386" s="14">
        <f>Data!N1386</f>
        <v>24885327757</v>
      </c>
      <c r="F1386" s="14">
        <f>Data!G1386</f>
        <v>2769428113972</v>
      </c>
      <c r="G1386" s="12">
        <f t="shared" si="21"/>
        <v>8.9857280033561471E-3</v>
      </c>
    </row>
    <row r="1387" spans="2:7" ht="15" customHeight="1" x14ac:dyDescent="0.3">
      <c r="C1387" s="2"/>
      <c r="D1387" s="8">
        <v>2024</v>
      </c>
      <c r="E1387" s="14">
        <f>Data!N1387</f>
        <v>62274344673</v>
      </c>
      <c r="F1387" s="14">
        <f>Data!G1387</f>
        <v>3074044644967</v>
      </c>
      <c r="G1387" s="12">
        <f t="shared" si="21"/>
        <v>2.0258113288939731E-2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Data!N1388</f>
        <v>0</v>
      </c>
      <c r="F1388" s="14">
        <f>Data!G1388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Data!N1389</f>
        <v>0</v>
      </c>
      <c r="F1389" s="14">
        <f>Data!G1389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>
        <f>Data!N1390</f>
        <v>-5008301835</v>
      </c>
      <c r="F1390" s="14">
        <f>Data!G1390</f>
        <v>276987702218</v>
      </c>
      <c r="G1390" s="12">
        <f t="shared" si="21"/>
        <v>-1.8081314783637122E-2</v>
      </c>
    </row>
    <row r="1391" spans="2:7" ht="15" customHeight="1" x14ac:dyDescent="0.3">
      <c r="C1391" s="2"/>
      <c r="D1391" s="8">
        <v>2017</v>
      </c>
      <c r="E1391" s="14">
        <f>Data!N1391</f>
        <v>-3567096668</v>
      </c>
      <c r="F1391" s="14">
        <f>Data!G1391</f>
        <v>299619149119</v>
      </c>
      <c r="G1391" s="12">
        <f t="shared" si="21"/>
        <v>-1.1905436212901242E-2</v>
      </c>
    </row>
    <row r="1392" spans="2:7" ht="15" customHeight="1" x14ac:dyDescent="0.3">
      <c r="C1392" s="2"/>
      <c r="D1392" s="8">
        <v>2018</v>
      </c>
      <c r="E1392" s="14">
        <f>Data!N1392</f>
        <v>907382305</v>
      </c>
      <c r="F1392" s="14">
        <f>Data!G1392</f>
        <v>320972898768</v>
      </c>
      <c r="G1392" s="12">
        <f t="shared" si="21"/>
        <v>2.8269748271048212E-3</v>
      </c>
    </row>
    <row r="1393" spans="2:7" ht="15" customHeight="1" x14ac:dyDescent="0.3">
      <c r="C1393" s="2"/>
      <c r="D1393" s="8">
        <v>2019</v>
      </c>
      <c r="E1393" s="14">
        <f>Data!N1393</f>
        <v>991432600</v>
      </c>
      <c r="F1393" s="14">
        <f>Data!G1393</f>
        <v>423659163508</v>
      </c>
      <c r="G1393" s="12">
        <f t="shared" si="21"/>
        <v>2.3401655986635557E-3</v>
      </c>
    </row>
    <row r="1394" spans="2:7" ht="15" customHeight="1" x14ac:dyDescent="0.3">
      <c r="C1394" s="2"/>
      <c r="D1394" s="8">
        <v>2020</v>
      </c>
      <c r="E1394" s="14">
        <f>Data!N1394</f>
        <v>3061017413</v>
      </c>
      <c r="F1394" s="14">
        <f>Data!G1394</f>
        <v>551011466072</v>
      </c>
      <c r="G1394" s="12">
        <f t="shared" si="21"/>
        <v>5.5552699017701029E-3</v>
      </c>
    </row>
    <row r="1395" spans="2:7" ht="15" customHeight="1" x14ac:dyDescent="0.3">
      <c r="C1395" s="2"/>
      <c r="D1395" s="8">
        <v>2021</v>
      </c>
      <c r="E1395" s="14">
        <f>Data!N1395</f>
        <v>3790417710</v>
      </c>
      <c r="F1395" s="14">
        <f>Data!G1395</f>
        <v>534962808558</v>
      </c>
      <c r="G1395" s="12">
        <f t="shared" si="21"/>
        <v>7.0853854686031836E-3</v>
      </c>
    </row>
    <row r="1396" spans="2:7" ht="15" customHeight="1" x14ac:dyDescent="0.3">
      <c r="C1396" s="2"/>
      <c r="D1396" s="8">
        <v>2022</v>
      </c>
      <c r="E1396" s="14">
        <f>Data!N1396</f>
        <v>-8188437794</v>
      </c>
      <c r="F1396" s="14">
        <f>Data!G1396</f>
        <v>989741834422</v>
      </c>
      <c r="G1396" s="12">
        <f t="shared" si="21"/>
        <v>-8.2733067444622777E-3</v>
      </c>
    </row>
    <row r="1397" spans="2:7" ht="15" customHeight="1" x14ac:dyDescent="0.3">
      <c r="C1397" s="2"/>
      <c r="D1397" s="8">
        <v>2023</v>
      </c>
      <c r="E1397" s="14">
        <f>Data!N1397</f>
        <v>12901352409</v>
      </c>
      <c r="F1397" s="14">
        <f>Data!G1397</f>
        <v>1627392898057</v>
      </c>
      <c r="G1397" s="12">
        <f t="shared" si="21"/>
        <v>7.9276199523811153E-3</v>
      </c>
    </row>
    <row r="1398" spans="2:7" ht="15" customHeight="1" x14ac:dyDescent="0.3">
      <c r="C1398" s="2"/>
      <c r="D1398" s="8">
        <v>2024</v>
      </c>
      <c r="E1398" s="14">
        <f>Data!N1398</f>
        <v>75510200038</v>
      </c>
      <c r="F1398" s="14">
        <f>Data!G1398</f>
        <v>2562013170057</v>
      </c>
      <c r="G1398" s="12">
        <f t="shared" si="21"/>
        <v>2.9472994487502981E-2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Data!N1399</f>
        <v>0</v>
      </c>
      <c r="F1399" s="14">
        <f>Data!G1399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Data!N1400</f>
        <v>0</v>
      </c>
      <c r="F1400" s="14">
        <f>Data!G1400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Data!N1401</f>
        <v>0</v>
      </c>
      <c r="F1401" s="14">
        <f>Data!G1401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Data!N1402</f>
        <v>0</v>
      </c>
      <c r="F1402" s="14">
        <f>Data!G1402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Data!N1403</f>
        <v>23323000000</v>
      </c>
      <c r="F1403" s="14">
        <f>Data!G1403</f>
        <v>351591000000</v>
      </c>
      <c r="G1403" s="12">
        <f t="shared" si="21"/>
        <v>6.6335600171790521E-2</v>
      </c>
    </row>
    <row r="1404" spans="2:7" ht="15" customHeight="1" x14ac:dyDescent="0.3">
      <c r="C1404" s="2"/>
      <c r="D1404" s="8">
        <v>2019</v>
      </c>
      <c r="E1404" s="14">
        <f>Data!N1404</f>
        <v>21274000000</v>
      </c>
      <c r="F1404" s="14">
        <f>Data!G1404</f>
        <v>495110000000</v>
      </c>
      <c r="G1404" s="12">
        <f t="shared" si="21"/>
        <v>4.2968229282381691E-2</v>
      </c>
    </row>
    <row r="1405" spans="2:7" ht="15" customHeight="1" x14ac:dyDescent="0.3">
      <c r="C1405" s="2"/>
      <c r="D1405" s="8">
        <v>2020</v>
      </c>
      <c r="E1405" s="14">
        <f>Data!N1405</f>
        <v>17904000000</v>
      </c>
      <c r="F1405" s="14">
        <f>Data!G1405</f>
        <v>508956000000</v>
      </c>
      <c r="G1405" s="12">
        <f t="shared" si="21"/>
        <v>3.5177893570367574E-2</v>
      </c>
    </row>
    <row r="1406" spans="2:7" ht="15" customHeight="1" x14ac:dyDescent="0.3">
      <c r="C1406" s="2"/>
      <c r="D1406" s="8">
        <v>2021</v>
      </c>
      <c r="E1406" s="14">
        <f>Data!N1406</f>
        <v>24732000000</v>
      </c>
      <c r="F1406" s="14">
        <f>Data!G1406</f>
        <v>575553000000</v>
      </c>
      <c r="G1406" s="12">
        <f t="shared" si="21"/>
        <v>4.2970847167854223E-2</v>
      </c>
    </row>
    <row r="1407" spans="2:7" ht="15" customHeight="1" x14ac:dyDescent="0.3">
      <c r="C1407" s="2"/>
      <c r="D1407" s="8">
        <v>2022</v>
      </c>
      <c r="E1407" s="14">
        <f>Data!N1407</f>
        <v>29909000000</v>
      </c>
      <c r="F1407" s="14">
        <f>Data!G1407</f>
        <v>703772000000</v>
      </c>
      <c r="G1407" s="12">
        <f t="shared" si="21"/>
        <v>4.2498138601706231E-2</v>
      </c>
    </row>
    <row r="1408" spans="2:7" ht="15" customHeight="1" x14ac:dyDescent="0.3">
      <c r="C1408" s="2"/>
      <c r="D1408" s="8">
        <v>2023</v>
      </c>
      <c r="E1408" s="14">
        <f>Data!N1408</f>
        <v>22628000000</v>
      </c>
      <c r="F1408" s="14">
        <f>Data!G1408</f>
        <v>773247000000</v>
      </c>
      <c r="G1408" s="12">
        <f t="shared" si="21"/>
        <v>2.9263611756657315E-2</v>
      </c>
    </row>
    <row r="1409" spans="2:7" ht="15" customHeight="1" x14ac:dyDescent="0.3">
      <c r="C1409" s="2"/>
      <c r="D1409" s="8">
        <v>2024</v>
      </c>
      <c r="E1409" s="14">
        <f>Data!N1409</f>
        <v>14218000000</v>
      </c>
      <c r="F1409" s="14">
        <f>Data!G1409</f>
        <v>553767000000</v>
      </c>
      <c r="G1409" s="12">
        <f t="shared" si="21"/>
        <v>2.5675058282635114E-2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Data!N1410</f>
        <v>0</v>
      </c>
      <c r="F1410" s="14">
        <f>Data!G1410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>
        <f>Data!N1411</f>
        <v>3914000000</v>
      </c>
      <c r="F1411" s="14">
        <f>Data!G1411</f>
        <v>335374000000</v>
      </c>
      <c r="G1411" s="12">
        <f t="shared" ref="G1411:G1474" si="22">IFERROR(E1411/F1411,0)</f>
        <v>1.1670552875297429E-2</v>
      </c>
    </row>
    <row r="1412" spans="2:7" ht="15" customHeight="1" x14ac:dyDescent="0.3">
      <c r="C1412" s="2"/>
      <c r="D1412" s="8">
        <v>2016</v>
      </c>
      <c r="E1412" s="14">
        <f>Data!N1412</f>
        <v>6404000000</v>
      </c>
      <c r="F1412" s="14">
        <f>Data!G1412</f>
        <v>419115000000</v>
      </c>
      <c r="G1412" s="12">
        <f t="shared" si="22"/>
        <v>1.5279815802345418E-2</v>
      </c>
    </row>
    <row r="1413" spans="2:7" ht="15" customHeight="1" x14ac:dyDescent="0.3">
      <c r="C1413" s="2"/>
      <c r="D1413" s="8">
        <v>2017</v>
      </c>
      <c r="E1413" s="14">
        <f>Data!N1413</f>
        <v>-260000000</v>
      </c>
      <c r="F1413" s="14">
        <f>Data!G1413</f>
        <v>569073000000</v>
      </c>
      <c r="G1413" s="12">
        <f t="shared" si="22"/>
        <v>-4.5688338754430453E-4</v>
      </c>
    </row>
    <row r="1414" spans="2:7" ht="15" customHeight="1" x14ac:dyDescent="0.3">
      <c r="C1414" s="2"/>
      <c r="D1414" s="8">
        <v>2018</v>
      </c>
      <c r="E1414" s="14">
        <f>Data!N1414</f>
        <v>10946000000</v>
      </c>
      <c r="F1414" s="14">
        <f>Data!G1414</f>
        <v>483420000000</v>
      </c>
      <c r="G1414" s="12">
        <f t="shared" si="22"/>
        <v>2.2642836456911175E-2</v>
      </c>
    </row>
    <row r="1415" spans="2:7" ht="15" customHeight="1" x14ac:dyDescent="0.3">
      <c r="C1415" s="2"/>
      <c r="D1415" s="8">
        <v>2019</v>
      </c>
      <c r="E1415" s="14">
        <f>Data!N1415</f>
        <v>5680000000</v>
      </c>
      <c r="F1415" s="14">
        <f>Data!G1415</f>
        <v>596201000000</v>
      </c>
      <c r="G1415" s="12">
        <f t="shared" si="22"/>
        <v>9.5269883814351197E-3</v>
      </c>
    </row>
    <row r="1416" spans="2:7" ht="15" customHeight="1" x14ac:dyDescent="0.3">
      <c r="C1416" s="2"/>
      <c r="D1416" s="8">
        <v>2020</v>
      </c>
      <c r="E1416" s="14">
        <f>Data!N1416</f>
        <v>2437000000</v>
      </c>
      <c r="F1416" s="14">
        <f>Data!G1416</f>
        <v>566735000000</v>
      </c>
      <c r="G1416" s="12">
        <f t="shared" si="22"/>
        <v>4.3000696974776573E-3</v>
      </c>
    </row>
    <row r="1417" spans="2:7" ht="15" customHeight="1" x14ac:dyDescent="0.3">
      <c r="C1417" s="2"/>
      <c r="D1417" s="8">
        <v>2021</v>
      </c>
      <c r="E1417" s="14">
        <f>Data!N1417</f>
        <v>14164000000</v>
      </c>
      <c r="F1417" s="14">
        <f>Data!G1417</f>
        <v>591157000000</v>
      </c>
      <c r="G1417" s="12">
        <f t="shared" si="22"/>
        <v>2.3959794098691211E-2</v>
      </c>
    </row>
    <row r="1418" spans="2:7" ht="15" customHeight="1" x14ac:dyDescent="0.3">
      <c r="C1418" s="2"/>
      <c r="D1418" s="8">
        <v>2022</v>
      </c>
      <c r="E1418" s="14">
        <f>Data!N1418</f>
        <v>10766000000</v>
      </c>
      <c r="F1418" s="14">
        <f>Data!G1418</f>
        <v>635138000000</v>
      </c>
      <c r="G1418" s="12">
        <f t="shared" si="22"/>
        <v>1.6950646946018031E-2</v>
      </c>
    </row>
    <row r="1419" spans="2:7" ht="15" customHeight="1" x14ac:dyDescent="0.3">
      <c r="C1419" s="2"/>
      <c r="D1419" s="8">
        <v>2023</v>
      </c>
      <c r="E1419" s="14">
        <f>Data!N1419</f>
        <v>41018000000</v>
      </c>
      <c r="F1419" s="14">
        <f>Data!G1419</f>
        <v>678719000000</v>
      </c>
      <c r="G1419" s="12">
        <f t="shared" si="22"/>
        <v>6.0434436047907894E-2</v>
      </c>
    </row>
    <row r="1420" spans="2:7" ht="15" customHeight="1" x14ac:dyDescent="0.3">
      <c r="C1420" s="2"/>
      <c r="D1420" s="8">
        <v>2024</v>
      </c>
      <c r="E1420" s="14">
        <f>Data!N1420</f>
        <v>-4911000000</v>
      </c>
      <c r="F1420" s="14">
        <f>Data!G1420</f>
        <v>635835000000</v>
      </c>
      <c r="G1420" s="12">
        <f t="shared" si="22"/>
        <v>-7.7237019037957964E-3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Data!N1421</f>
        <v>0</v>
      </c>
      <c r="F1421" s="14">
        <f>Data!G1421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Data!N1422</f>
        <v>0</v>
      </c>
      <c r="F1422" s="14">
        <f>Data!G1422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Data!N1423</f>
        <v>0</v>
      </c>
      <c r="F1423" s="14">
        <f>Data!G1423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Data!N1424</f>
        <v>0</v>
      </c>
      <c r="F1424" s="14">
        <f>Data!G1424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Data!N1425</f>
        <v>0</v>
      </c>
      <c r="F1425" s="14">
        <f>Data!G1425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Data!N1426</f>
        <v>814000000</v>
      </c>
      <c r="F1426" s="14">
        <f>Data!G1426</f>
        <v>927221000000</v>
      </c>
      <c r="G1426" s="12">
        <f t="shared" si="22"/>
        <v>8.7789210986377575E-4</v>
      </c>
    </row>
    <row r="1427" spans="2:7" ht="15" customHeight="1" x14ac:dyDescent="0.3">
      <c r="C1427" s="2"/>
      <c r="D1427" s="8">
        <v>2020</v>
      </c>
      <c r="E1427" s="14">
        <f>Data!N1427</f>
        <v>-25009000000</v>
      </c>
      <c r="F1427" s="14">
        <f>Data!G1427</f>
        <v>704994000000</v>
      </c>
      <c r="G1427" s="12">
        <f t="shared" si="22"/>
        <v>-3.5474060772148416E-2</v>
      </c>
    </row>
    <row r="1428" spans="2:7" ht="15" customHeight="1" x14ac:dyDescent="0.3">
      <c r="C1428" s="2"/>
      <c r="D1428" s="8">
        <v>2021</v>
      </c>
      <c r="E1428" s="14">
        <f>Data!N1428</f>
        <v>-123474000000</v>
      </c>
      <c r="F1428" s="14">
        <f>Data!G1428</f>
        <v>687707000000</v>
      </c>
      <c r="G1428" s="12">
        <f t="shared" si="22"/>
        <v>-0.17954448624196059</v>
      </c>
    </row>
    <row r="1429" spans="2:7" ht="15" customHeight="1" x14ac:dyDescent="0.3">
      <c r="C1429" s="2"/>
      <c r="D1429" s="8">
        <v>2022</v>
      </c>
      <c r="E1429" s="14">
        <f>Data!N1429</f>
        <v>-6667000000</v>
      </c>
      <c r="F1429" s="14">
        <f>Data!G1429</f>
        <v>490826000000</v>
      </c>
      <c r="G1429" s="12">
        <f t="shared" si="22"/>
        <v>-1.3583225012529898E-2</v>
      </c>
    </row>
    <row r="1430" spans="2:7" ht="15" customHeight="1" x14ac:dyDescent="0.3">
      <c r="C1430" s="2"/>
      <c r="D1430" s="8">
        <v>2023</v>
      </c>
      <c r="E1430" s="14">
        <f>Data!N1430</f>
        <v>17617000000</v>
      </c>
      <c r="F1430" s="14">
        <f>Data!G1430</f>
        <v>587866000000</v>
      </c>
      <c r="G1430" s="12">
        <f t="shared" si="22"/>
        <v>2.9967713730680121E-2</v>
      </c>
    </row>
    <row r="1431" spans="2:7" ht="15" customHeight="1" x14ac:dyDescent="0.3">
      <c r="C1431" s="2"/>
      <c r="D1431" s="8">
        <v>2024</v>
      </c>
      <c r="E1431" s="14">
        <f>Data!N1431</f>
        <v>1297000000</v>
      </c>
      <c r="F1431" s="14">
        <f>Data!G1431</f>
        <v>541991000000</v>
      </c>
      <c r="G1431" s="12">
        <f t="shared" si="22"/>
        <v>2.3930286665276731E-3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Data!N1432</f>
        <v>0</v>
      </c>
      <c r="F1432" s="14">
        <f>Data!G1432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Data!N1433</f>
        <v>66607000000</v>
      </c>
      <c r="F1433" s="14">
        <f>Data!G1433</f>
        <v>1654879000000</v>
      </c>
      <c r="G1433" s="12">
        <f t="shared" si="22"/>
        <v>4.0248864116349294E-2</v>
      </c>
    </row>
    <row r="1434" spans="2:7" ht="15" customHeight="1" x14ac:dyDescent="0.3">
      <c r="C1434" s="2"/>
      <c r="D1434" s="8">
        <v>2016</v>
      </c>
      <c r="E1434" s="14">
        <f>Data!N1434</f>
        <v>56491000000</v>
      </c>
      <c r="F1434" s="14">
        <f>Data!G1434</f>
        <v>2081528000000</v>
      </c>
      <c r="G1434" s="12">
        <f t="shared" si="22"/>
        <v>2.7139197743196345E-2</v>
      </c>
    </row>
    <row r="1435" spans="2:7" ht="15" customHeight="1" x14ac:dyDescent="0.3">
      <c r="C1435" s="2"/>
      <c r="D1435" s="8">
        <v>2017</v>
      </c>
      <c r="E1435" s="14">
        <f>Data!N1435</f>
        <v>-27944000000</v>
      </c>
      <c r="F1435" s="14">
        <f>Data!G1435</f>
        <v>2509102000000</v>
      </c>
      <c r="G1435" s="12">
        <f t="shared" si="22"/>
        <v>-1.1137052220276418E-2</v>
      </c>
    </row>
    <row r="1436" spans="2:7" ht="15" customHeight="1" x14ac:dyDescent="0.3">
      <c r="C1436" s="2"/>
      <c r="D1436" s="8">
        <v>2018</v>
      </c>
      <c r="E1436" s="14">
        <f>Data!N1436</f>
        <v>32928000000</v>
      </c>
      <c r="F1436" s="14">
        <f>Data!G1436</f>
        <v>3176819000000</v>
      </c>
      <c r="G1436" s="12">
        <f t="shared" si="22"/>
        <v>1.0365085325918788E-2</v>
      </c>
    </row>
    <row r="1437" spans="2:7" ht="15" customHeight="1" x14ac:dyDescent="0.3">
      <c r="C1437" s="2"/>
      <c r="D1437" s="8">
        <v>2019</v>
      </c>
      <c r="E1437" s="14">
        <f>Data!N1437</f>
        <v>88202000000</v>
      </c>
      <c r="F1437" s="14">
        <f>Data!G1437</f>
        <v>3778141000000</v>
      </c>
      <c r="G1437" s="12">
        <f t="shared" si="22"/>
        <v>2.3345343649165025E-2</v>
      </c>
    </row>
    <row r="1438" spans="2:7" ht="15" customHeight="1" x14ac:dyDescent="0.3">
      <c r="C1438" s="2"/>
      <c r="D1438" s="8">
        <v>2020</v>
      </c>
      <c r="E1438" s="14">
        <f>Data!N1438</f>
        <v>106353000000</v>
      </c>
      <c r="F1438" s="14">
        <f>Data!G1438</f>
        <v>3977183000000</v>
      </c>
      <c r="G1438" s="12">
        <f t="shared" si="22"/>
        <v>2.6740786129277935E-2</v>
      </c>
    </row>
    <row r="1439" spans="2:7" ht="15" customHeight="1" x14ac:dyDescent="0.3">
      <c r="C1439" s="2"/>
      <c r="D1439" s="8">
        <v>2021</v>
      </c>
      <c r="E1439" s="14">
        <f>Data!N1439</f>
        <v>91639000000</v>
      </c>
      <c r="F1439" s="14">
        <f>Data!G1439</f>
        <v>3813210000000</v>
      </c>
      <c r="G1439" s="12">
        <f t="shared" si="22"/>
        <v>2.4031983551915579E-2</v>
      </c>
    </row>
    <row r="1440" spans="2:7" ht="15" customHeight="1" x14ac:dyDescent="0.3">
      <c r="C1440" s="2"/>
      <c r="D1440" s="8">
        <v>2022</v>
      </c>
      <c r="E1440" s="14">
        <f>Data!N1440</f>
        <v>66141000000</v>
      </c>
      <c r="F1440" s="14">
        <f>Data!G1440</f>
        <v>4182576000000</v>
      </c>
      <c r="G1440" s="12">
        <f t="shared" si="22"/>
        <v>1.5813460412913E-2</v>
      </c>
    </row>
    <row r="1441" spans="2:7" ht="15" customHeight="1" x14ac:dyDescent="0.3">
      <c r="C1441" s="2"/>
      <c r="D1441" s="8">
        <v>2023</v>
      </c>
      <c r="E1441" s="14">
        <f>Data!N1441</f>
        <v>103002000000</v>
      </c>
      <c r="F1441" s="14">
        <f>Data!G1441</f>
        <v>3974838000000</v>
      </c>
      <c r="G1441" s="12">
        <f t="shared" si="22"/>
        <v>2.5913508927911024E-2</v>
      </c>
    </row>
    <row r="1442" spans="2:7" ht="15" customHeight="1" x14ac:dyDescent="0.3">
      <c r="C1442" s="2"/>
      <c r="D1442" s="8">
        <v>2024</v>
      </c>
      <c r="E1442" s="14">
        <f>Data!N1442</f>
        <v>155838000000</v>
      </c>
      <c r="F1442" s="14">
        <f>Data!G1442</f>
        <v>4478676000000</v>
      </c>
      <c r="G1442" s="12">
        <f t="shared" si="22"/>
        <v>3.4795551185216343E-2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Data!N1443</f>
        <v>0</v>
      </c>
      <c r="F1443" s="14">
        <f>Data!G1443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Data!N1444</f>
        <v>0</v>
      </c>
      <c r="F1444" s="14">
        <f>Data!G1444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Data!N1445</f>
        <v>-4551000000</v>
      </c>
      <c r="F1445" s="14">
        <f>Data!G1445</f>
        <v>401317000000</v>
      </c>
      <c r="G1445" s="12">
        <f t="shared" si="22"/>
        <v>-1.1340162514919627E-2</v>
      </c>
    </row>
    <row r="1446" spans="2:7" ht="15" customHeight="1" x14ac:dyDescent="0.3">
      <c r="C1446" s="2"/>
      <c r="D1446" s="8">
        <v>2017</v>
      </c>
      <c r="E1446" s="14">
        <f>Data!N1446</f>
        <v>1580000000</v>
      </c>
      <c r="F1446" s="14">
        <f>Data!G1446</f>
        <v>398393000000</v>
      </c>
      <c r="G1446" s="12">
        <f t="shared" si="22"/>
        <v>3.965933136375388E-3</v>
      </c>
    </row>
    <row r="1447" spans="2:7" ht="15" customHeight="1" x14ac:dyDescent="0.3">
      <c r="C1447" s="2"/>
      <c r="D1447" s="8">
        <v>2018</v>
      </c>
      <c r="E1447" s="14">
        <f>Data!N1447</f>
        <v>4358000000</v>
      </c>
      <c r="F1447" s="14">
        <f>Data!G1447</f>
        <v>424899000000</v>
      </c>
      <c r="G1447" s="12">
        <f t="shared" si="22"/>
        <v>1.0256555087208961E-2</v>
      </c>
    </row>
    <row r="1448" spans="2:7" ht="15" customHeight="1" x14ac:dyDescent="0.3">
      <c r="C1448" s="2"/>
      <c r="D1448" s="8">
        <v>2019</v>
      </c>
      <c r="E1448" s="14">
        <f>Data!N1448</f>
        <v>4698000000</v>
      </c>
      <c r="F1448" s="14">
        <f>Data!G1448</f>
        <v>436899000000</v>
      </c>
      <c r="G1448" s="12">
        <f t="shared" si="22"/>
        <v>1.0753057342772586E-2</v>
      </c>
    </row>
    <row r="1449" spans="2:7" ht="15" customHeight="1" x14ac:dyDescent="0.3">
      <c r="C1449" s="2"/>
      <c r="D1449" s="8">
        <v>2020</v>
      </c>
      <c r="E1449" s="14">
        <f>Data!N1449</f>
        <v>8366000000</v>
      </c>
      <c r="F1449" s="14">
        <f>Data!G1449</f>
        <v>560015000000</v>
      </c>
      <c r="G1449" s="12">
        <f t="shared" si="22"/>
        <v>1.4938885565565208E-2</v>
      </c>
    </row>
    <row r="1450" spans="2:7" ht="15" customHeight="1" x14ac:dyDescent="0.3">
      <c r="C1450" s="2"/>
      <c r="D1450" s="8">
        <v>2021</v>
      </c>
      <c r="E1450" s="14">
        <f>Data!N1450</f>
        <v>12131000000</v>
      </c>
      <c r="F1450" s="14">
        <f>Data!G1450</f>
        <v>722678000000</v>
      </c>
      <c r="G1450" s="12">
        <f t="shared" si="22"/>
        <v>1.6786175862555663E-2</v>
      </c>
    </row>
    <row r="1451" spans="2:7" ht="15" customHeight="1" x14ac:dyDescent="0.3">
      <c r="C1451" s="2"/>
      <c r="D1451" s="8">
        <v>2022</v>
      </c>
      <c r="E1451" s="14">
        <f>Data!N1451</f>
        <v>-8607000000</v>
      </c>
      <c r="F1451" s="14">
        <f>Data!G1451</f>
        <v>647073000000</v>
      </c>
      <c r="G1451" s="12">
        <f t="shared" si="22"/>
        <v>-1.3301435850360005E-2</v>
      </c>
    </row>
    <row r="1452" spans="2:7" ht="15" customHeight="1" x14ac:dyDescent="0.3">
      <c r="C1452" s="2"/>
      <c r="D1452" s="8">
        <v>2023</v>
      </c>
      <c r="E1452" s="14">
        <f>Data!N1452</f>
        <v>-25582000000</v>
      </c>
      <c r="F1452" s="14">
        <f>Data!G1452</f>
        <v>768681000000</v>
      </c>
      <c r="G1452" s="12">
        <f t="shared" si="22"/>
        <v>-3.3280385491510786E-2</v>
      </c>
    </row>
    <row r="1453" spans="2:7" ht="15" customHeight="1" x14ac:dyDescent="0.3">
      <c r="C1453" s="2"/>
      <c r="D1453" s="8">
        <v>2024</v>
      </c>
      <c r="E1453" s="14">
        <f>Data!N1453</f>
        <v>3497000000</v>
      </c>
      <c r="F1453" s="14">
        <f>Data!G1453</f>
        <v>660490000000</v>
      </c>
      <c r="G1453" s="12">
        <f t="shared" si="22"/>
        <v>5.2945540432103441E-3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Data!N1454</f>
        <v>0</v>
      </c>
      <c r="F1454" s="14">
        <f>Data!G1454</f>
        <v>0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Data!N1455</f>
        <v>16972642756</v>
      </c>
      <c r="F1455" s="14">
        <f>Data!G1455</f>
        <v>210608052893</v>
      </c>
      <c r="G1455" s="12">
        <f t="shared" si="22"/>
        <v>8.0588764403149382E-2</v>
      </c>
    </row>
    <row r="1456" spans="2:7" ht="15" customHeight="1" x14ac:dyDescent="0.3">
      <c r="C1456" s="1"/>
      <c r="D1456" s="8">
        <v>2016</v>
      </c>
      <c r="E1456" s="14">
        <f>Data!N1456</f>
        <v>7992365154</v>
      </c>
      <c r="F1456" s="14">
        <f>Data!G1456</f>
        <v>233874624756</v>
      </c>
      <c r="G1456" s="12">
        <f t="shared" si="22"/>
        <v>3.4173716632740242E-2</v>
      </c>
    </row>
    <row r="1457" spans="2:7" ht="15" customHeight="1" x14ac:dyDescent="0.3">
      <c r="C1457" s="1"/>
      <c r="D1457" s="8">
        <v>2017</v>
      </c>
      <c r="E1457" s="14">
        <f>Data!N1457</f>
        <v>8814778660</v>
      </c>
      <c r="F1457" s="14">
        <f>Data!G1457</f>
        <v>253642764681</v>
      </c>
      <c r="G1457" s="12">
        <f t="shared" si="22"/>
        <v>3.4752730562159426E-2</v>
      </c>
    </row>
    <row r="1458" spans="2:7" ht="15" customHeight="1" x14ac:dyDescent="0.3">
      <c r="C1458" s="1"/>
      <c r="D1458" s="8">
        <v>2018</v>
      </c>
      <c r="E1458" s="14">
        <f>Data!N1458</f>
        <v>3947657923</v>
      </c>
      <c r="F1458" s="14">
        <f>Data!G1458</f>
        <v>262118630829</v>
      </c>
      <c r="G1458" s="12">
        <f t="shared" si="22"/>
        <v>1.5060577382518677E-2</v>
      </c>
    </row>
    <row r="1459" spans="2:7" ht="15" customHeight="1" x14ac:dyDescent="0.3">
      <c r="C1459" s="1"/>
      <c r="D1459" s="8">
        <v>2019</v>
      </c>
      <c r="E1459" s="14">
        <f>Data!N1459</f>
        <v>21806030031</v>
      </c>
      <c r="F1459" s="14">
        <f>Data!G1459</f>
        <v>284170955431</v>
      </c>
      <c r="G1459" s="12">
        <f t="shared" si="22"/>
        <v>7.6735604446017208E-2</v>
      </c>
    </row>
    <row r="1460" spans="2:7" ht="15" customHeight="1" x14ac:dyDescent="0.3">
      <c r="C1460" s="1"/>
      <c r="D1460" s="8">
        <v>2020</v>
      </c>
      <c r="E1460" s="14">
        <f>Data!N1460</f>
        <v>6211645756</v>
      </c>
      <c r="F1460" s="14">
        <f>Data!G1460</f>
        <v>322342387320</v>
      </c>
      <c r="G1460" s="12">
        <f t="shared" si="22"/>
        <v>1.927033489962179E-2</v>
      </c>
    </row>
    <row r="1461" spans="2:7" ht="15" customHeight="1" x14ac:dyDescent="0.3">
      <c r="C1461" s="1"/>
      <c r="D1461" s="8">
        <v>2021</v>
      </c>
      <c r="E1461" s="14">
        <f>Data!N1461</f>
        <v>12309015432</v>
      </c>
      <c r="F1461" s="14">
        <f>Data!G1461</f>
        <v>356588372475</v>
      </c>
      <c r="G1461" s="12">
        <f t="shared" si="22"/>
        <v>3.4518835671970685E-2</v>
      </c>
    </row>
    <row r="1462" spans="2:7" ht="15" customHeight="1" x14ac:dyDescent="0.3">
      <c r="C1462" s="1"/>
      <c r="D1462" s="8">
        <v>2022</v>
      </c>
      <c r="E1462" s="14">
        <f>Data!N1462</f>
        <v>8663549352</v>
      </c>
      <c r="F1462" s="14">
        <f>Data!G1462</f>
        <v>297046208202</v>
      </c>
      <c r="G1462" s="12">
        <f t="shared" si="22"/>
        <v>2.9165662152160973E-2</v>
      </c>
    </row>
    <row r="1463" spans="2:7" ht="15" customHeight="1" x14ac:dyDescent="0.3">
      <c r="C1463" s="1"/>
      <c r="D1463" s="8">
        <v>2023</v>
      </c>
      <c r="E1463" s="14">
        <f>Data!N1463</f>
        <v>6479063389</v>
      </c>
      <c r="F1463" s="14">
        <f>Data!G1463</f>
        <v>242935248490</v>
      </c>
      <c r="G1463" s="12">
        <f t="shared" si="22"/>
        <v>2.6669918956889038E-2</v>
      </c>
    </row>
    <row r="1464" spans="2:7" ht="15" customHeight="1" x14ac:dyDescent="0.3">
      <c r="C1464" s="1"/>
      <c r="D1464" s="8">
        <v>2024</v>
      </c>
      <c r="E1464" s="14">
        <f>Data!N1464</f>
        <v>7006375716</v>
      </c>
      <c r="F1464" s="14">
        <f>Data!G1464</f>
        <v>243101289401</v>
      </c>
      <c r="G1464" s="12">
        <f t="shared" si="22"/>
        <v>2.8820808533198915E-2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Data!N1465</f>
        <v>0</v>
      </c>
      <c r="F1465" s="14">
        <f>Data!G1465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Data!N1466</f>
        <v>0</v>
      </c>
      <c r="F1466" s="14">
        <f>Data!G1466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Data!N1467</f>
        <v>0</v>
      </c>
      <c r="F1467" s="14">
        <f>Data!G1467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Data!N1468</f>
        <v>0</v>
      </c>
      <c r="F1468" s="14">
        <f>Data!G1468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Data!N1469</f>
        <v>0</v>
      </c>
      <c r="F1469" s="14">
        <f>Data!G1469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Data!N1470</f>
        <v>0</v>
      </c>
      <c r="F1470" s="14">
        <f>Data!G1470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>
        <f>Data!N1471</f>
        <v>306194000000</v>
      </c>
      <c r="F1471" s="14">
        <f>Data!G1471</f>
        <v>9083071000000</v>
      </c>
      <c r="G1471" s="12">
        <f t="shared" si="22"/>
        <v>3.3710404773892005E-2</v>
      </c>
    </row>
    <row r="1472" spans="2:7" ht="15" customHeight="1" x14ac:dyDescent="0.3">
      <c r="C1472" s="2"/>
      <c r="D1472" s="8">
        <v>2021</v>
      </c>
      <c r="E1472" s="14">
        <f>Data!N1472</f>
        <v>206880000000</v>
      </c>
      <c r="F1472" s="14">
        <f>Data!G1472</f>
        <v>8736337000000</v>
      </c>
      <c r="G1472" s="12">
        <f t="shared" si="22"/>
        <v>2.3680405185834748E-2</v>
      </c>
    </row>
    <row r="1473" spans="1:7" ht="15" customHeight="1" x14ac:dyDescent="0.3">
      <c r="C1473" s="2"/>
      <c r="D1473" s="8">
        <v>2022</v>
      </c>
      <c r="E1473" s="14">
        <f>Data!N1473</f>
        <v>151760000000</v>
      </c>
      <c r="F1473" s="14">
        <f>Data!G1473</f>
        <v>9007172000000</v>
      </c>
      <c r="G1473" s="12">
        <f t="shared" si="22"/>
        <v>1.6848795604214064E-2</v>
      </c>
    </row>
    <row r="1474" spans="1:7" ht="15" customHeight="1" x14ac:dyDescent="0.3">
      <c r="C1474" s="2"/>
      <c r="D1474" s="8">
        <v>2023</v>
      </c>
      <c r="E1474" s="14">
        <f>Data!N1474</f>
        <v>97702000000</v>
      </c>
      <c r="F1474" s="14">
        <f>Data!G1474</f>
        <v>9230856000000</v>
      </c>
      <c r="G1474" s="12">
        <f t="shared" si="22"/>
        <v>1.0584283841065228E-2</v>
      </c>
    </row>
    <row r="1475" spans="1:7" ht="15" customHeight="1" x14ac:dyDescent="0.3">
      <c r="C1475" s="2"/>
      <c r="D1475" s="8">
        <v>2024</v>
      </c>
      <c r="E1475" s="14">
        <f>Data!N1475</f>
        <v>116691000000</v>
      </c>
      <c r="F1475" s="14">
        <f>Data!G1475</f>
        <v>9328004000000</v>
      </c>
      <c r="G1475" s="12">
        <f t="shared" ref="G1475:G1538" si="23">IFERROR(E1475/F1475,0)</f>
        <v>1.2509750210227183E-2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Data!N1476</f>
        <v>0</v>
      </c>
      <c r="F1476" s="14">
        <f>Data!G1476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Data!N1477</f>
        <v>0</v>
      </c>
      <c r="F1477" s="14">
        <f>Data!G1477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Data!N1478</f>
        <v>0</v>
      </c>
      <c r="F1478" s="14">
        <f>Data!G1478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Data!N1479</f>
        <v>0</v>
      </c>
      <c r="F1479" s="14">
        <f>Data!G1479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Data!N1480</f>
        <v>0</v>
      </c>
      <c r="F1480" s="14">
        <f>Data!G1480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Data!N1481</f>
        <v>0</v>
      </c>
      <c r="F1481" s="14">
        <f>Data!G1481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Data!N1482</f>
        <v>20721000000</v>
      </c>
      <c r="F1482" s="14">
        <f>Data!G1482</f>
        <v>1619009000000</v>
      </c>
      <c r="G1482" s="12">
        <f t="shared" si="23"/>
        <v>1.2798569989419454E-2</v>
      </c>
    </row>
    <row r="1483" spans="1:7" ht="15" customHeight="1" x14ac:dyDescent="0.3">
      <c r="C1483" s="1"/>
      <c r="D1483" s="8">
        <v>2021</v>
      </c>
      <c r="E1483" s="14">
        <f>Data!N1483</f>
        <v>-21011000000</v>
      </c>
      <c r="F1483" s="14">
        <f>Data!G1483</f>
        <v>1126499000000</v>
      </c>
      <c r="G1483" s="12">
        <f t="shared" si="23"/>
        <v>-1.865159223399222E-2</v>
      </c>
    </row>
    <row r="1484" spans="1:7" ht="15" customHeight="1" x14ac:dyDescent="0.3">
      <c r="C1484" s="1"/>
      <c r="D1484" s="8">
        <v>2022</v>
      </c>
      <c r="E1484" s="14">
        <f>Data!N1484</f>
        <v>5312000000</v>
      </c>
      <c r="F1484" s="14">
        <f>Data!G1484</f>
        <v>1304211000000</v>
      </c>
      <c r="G1484" s="12">
        <f t="shared" si="23"/>
        <v>4.0729605868988989E-3</v>
      </c>
    </row>
    <row r="1485" spans="1:7" ht="15" customHeight="1" x14ac:dyDescent="0.3">
      <c r="C1485" s="1"/>
      <c r="D1485" s="8">
        <v>2023</v>
      </c>
      <c r="E1485" s="14">
        <f>Data!N1485</f>
        <v>15986000000</v>
      </c>
      <c r="F1485" s="14">
        <f>Data!G1485</f>
        <v>1559910000000</v>
      </c>
      <c r="G1485" s="12">
        <f t="shared" si="23"/>
        <v>1.0248027129770307E-2</v>
      </c>
    </row>
    <row r="1486" spans="1:7" ht="15" customHeight="1" x14ac:dyDescent="0.3">
      <c r="C1486" s="1"/>
      <c r="D1486" s="8">
        <v>2024</v>
      </c>
      <c r="E1486" s="14">
        <f>Data!N1486</f>
        <v>43863000000</v>
      </c>
      <c r="F1486" s="14">
        <f>Data!G1486</f>
        <v>1725230000000</v>
      </c>
      <c r="G1486" s="12">
        <f t="shared" si="23"/>
        <v>2.5424436162134904E-2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Data!N1487</f>
        <v>0</v>
      </c>
      <c r="F1487" s="14">
        <f>Data!G1487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Data!N1488</f>
        <v>0</v>
      </c>
      <c r="F1488" s="14">
        <f>Data!G1488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Data!N1489</f>
        <v>0</v>
      </c>
      <c r="F1489" s="14">
        <f>Data!G1489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Data!N1490</f>
        <v>0</v>
      </c>
      <c r="F1490" s="14">
        <f>Data!G1490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Data!N1491</f>
        <v>0</v>
      </c>
      <c r="F1491" s="14">
        <f>Data!G1491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Data!N1492</f>
        <v>0</v>
      </c>
      <c r="F1492" s="14">
        <f>Data!G1492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Data!N1493</f>
        <v>0</v>
      </c>
      <c r="F1493" s="14">
        <f>Data!G1493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Data!N1494</f>
        <v>0</v>
      </c>
      <c r="F1494" s="14">
        <f>Data!G1494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Data!N1495</f>
        <v>5634000000</v>
      </c>
      <c r="F1495" s="14">
        <f>Data!G1495</f>
        <v>381774000000</v>
      </c>
      <c r="G1495" s="12">
        <f t="shared" si="23"/>
        <v>1.4757421930251929E-2</v>
      </c>
    </row>
    <row r="1496" spans="2:7" ht="15" customHeight="1" x14ac:dyDescent="0.3">
      <c r="C1496" s="1"/>
      <c r="D1496" s="8">
        <v>2023</v>
      </c>
      <c r="E1496" s="14">
        <f>Data!N1496</f>
        <v>19190000000</v>
      </c>
      <c r="F1496" s="14">
        <f>Data!G1496</f>
        <v>786371000000</v>
      </c>
      <c r="G1496" s="12">
        <f t="shared" si="23"/>
        <v>2.4403239692206351E-2</v>
      </c>
    </row>
    <row r="1497" spans="2:7" ht="15" customHeight="1" x14ac:dyDescent="0.3">
      <c r="C1497" s="1"/>
      <c r="D1497" s="8">
        <v>2024</v>
      </c>
      <c r="E1497" s="14">
        <f>Data!N1497</f>
        <v>44744000000</v>
      </c>
      <c r="F1497" s="14">
        <f>Data!G1497</f>
        <v>1543840000000</v>
      </c>
      <c r="G1497" s="12">
        <f t="shared" si="23"/>
        <v>2.8982277956264898E-2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Data!N1498</f>
        <v>0</v>
      </c>
      <c r="F1498" s="14">
        <f>Data!G1498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Data!N1499</f>
        <v>0</v>
      </c>
      <c r="F1499" s="14">
        <f>Data!G1499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Data!N1500</f>
        <v>142045000000</v>
      </c>
      <c r="F1500" s="14">
        <f>Data!G1500</f>
        <v>1833551000000</v>
      </c>
      <c r="G1500" s="12">
        <f t="shared" si="23"/>
        <v>7.7469893119962302E-2</v>
      </c>
    </row>
    <row r="1501" spans="2:7" ht="15" customHeight="1" x14ac:dyDescent="0.3">
      <c r="C1501" s="1"/>
      <c r="D1501" s="8">
        <v>2017</v>
      </c>
      <c r="E1501" s="14">
        <f>Data!N1501</f>
        <v>167828000000</v>
      </c>
      <c r="F1501" s="14">
        <f>Data!G1501</f>
        <v>2879988000000</v>
      </c>
      <c r="G1501" s="12">
        <f t="shared" si="23"/>
        <v>5.8273853918835772E-2</v>
      </c>
    </row>
    <row r="1502" spans="2:7" ht="15" customHeight="1" x14ac:dyDescent="0.3">
      <c r="C1502" s="1"/>
      <c r="D1502" s="8">
        <v>2018</v>
      </c>
      <c r="E1502" s="14">
        <f>Data!N1502</f>
        <v>82022000000</v>
      </c>
      <c r="F1502" s="14">
        <f>Data!G1502</f>
        <v>3426618000000</v>
      </c>
      <c r="G1502" s="12">
        <f t="shared" si="23"/>
        <v>2.3936721280282774E-2</v>
      </c>
    </row>
    <row r="1503" spans="2:7" ht="15" customHeight="1" x14ac:dyDescent="0.3">
      <c r="C1503" s="1"/>
      <c r="D1503" s="8">
        <v>2019</v>
      </c>
      <c r="E1503" s="14">
        <f>Data!N1503</f>
        <v>210499000000</v>
      </c>
      <c r="F1503" s="14">
        <f>Data!G1503</f>
        <v>3915599000000</v>
      </c>
      <c r="G1503" s="12">
        <f t="shared" si="23"/>
        <v>5.3759080028368586E-2</v>
      </c>
    </row>
    <row r="1504" spans="2:7" ht="15" customHeight="1" x14ac:dyDescent="0.3">
      <c r="C1504" s="1"/>
      <c r="D1504" s="8">
        <v>2020</v>
      </c>
      <c r="E1504" s="14">
        <f>Data!N1504</f>
        <v>186603000000</v>
      </c>
      <c r="F1504" s="14">
        <f>Data!G1504</f>
        <v>4203345000000</v>
      </c>
      <c r="G1504" s="12">
        <f t="shared" si="23"/>
        <v>4.4393929120735982E-2</v>
      </c>
    </row>
    <row r="1505" spans="2:7" ht="15" customHeight="1" x14ac:dyDescent="0.3">
      <c r="C1505" s="1"/>
      <c r="D1505" s="8">
        <v>2021</v>
      </c>
      <c r="E1505" s="14">
        <f>Data!N1505</f>
        <v>-346893000000</v>
      </c>
      <c r="F1505" s="14">
        <f>Data!G1505</f>
        <v>3981209000000</v>
      </c>
      <c r="G1505" s="12">
        <f t="shared" si="23"/>
        <v>-8.7132577063901942E-2</v>
      </c>
    </row>
    <row r="1506" spans="2:7" ht="15" customHeight="1" x14ac:dyDescent="0.3">
      <c r="C1506" s="1"/>
      <c r="D1506" s="8">
        <v>2022</v>
      </c>
      <c r="E1506" s="14">
        <f>Data!N1506</f>
        <v>12582000000</v>
      </c>
      <c r="F1506" s="14">
        <f>Data!G1506</f>
        <v>4286126000000</v>
      </c>
      <c r="G1506" s="12">
        <f t="shared" si="23"/>
        <v>2.9355179945713215E-3</v>
      </c>
    </row>
    <row r="1507" spans="2:7" ht="15" customHeight="1" x14ac:dyDescent="0.3">
      <c r="C1507" s="1"/>
      <c r="D1507" s="8">
        <v>2023</v>
      </c>
      <c r="E1507" s="14">
        <f>Data!N1507</f>
        <v>57570000000</v>
      </c>
      <c r="F1507" s="14">
        <f>Data!G1507</f>
        <v>4772681000000</v>
      </c>
      <c r="G1507" s="12">
        <f t="shared" si="23"/>
        <v>1.2062402662151524E-2</v>
      </c>
    </row>
    <row r="1508" spans="2:7" ht="15" customHeight="1" x14ac:dyDescent="0.3">
      <c r="C1508" s="1"/>
      <c r="D1508" s="8">
        <v>2024</v>
      </c>
      <c r="E1508" s="14">
        <f>Data!N1508</f>
        <v>13831000000</v>
      </c>
      <c r="F1508" s="14">
        <f>Data!G1508</f>
        <v>4965832000000</v>
      </c>
      <c r="G1508" s="12">
        <f t="shared" si="23"/>
        <v>2.7852331693863181E-3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Data!N1509</f>
        <v>0</v>
      </c>
      <c r="F1509" s="14">
        <f>Data!G1509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Data!N1510</f>
        <v>0</v>
      </c>
      <c r="F1510" s="14">
        <f>Data!G1510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Data!N1511</f>
        <v>0</v>
      </c>
      <c r="F1511" s="14">
        <f>Data!G1511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Data!N1512</f>
        <v>0</v>
      </c>
      <c r="F1512" s="14">
        <f>Data!G1512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Data!N1513</f>
        <v>0</v>
      </c>
      <c r="F1513" s="14">
        <f>Data!G1513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Data!N1514</f>
        <v>0</v>
      </c>
      <c r="F1514" s="14">
        <f>Data!G1514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Data!N1515</f>
        <v>0</v>
      </c>
      <c r="F1515" s="14">
        <f>Data!G1515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Data!N1516</f>
        <v>0</v>
      </c>
      <c r="F1516" s="14">
        <f>Data!G1516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Data!N1517</f>
        <v>0</v>
      </c>
      <c r="F1517" s="14">
        <f>Data!G1517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Data!N1518</f>
        <v>0</v>
      </c>
      <c r="F1518" s="14">
        <f>Data!G1518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>
        <f>Data!N1519</f>
        <v>14542000000</v>
      </c>
      <c r="F1519" s="14">
        <f>Data!G1519</f>
        <v>548427000000</v>
      </c>
      <c r="G1519" s="12">
        <f t="shared" si="23"/>
        <v>2.6515835288926329E-2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Data!N1520</f>
        <v>0</v>
      </c>
      <c r="F1520" s="14">
        <f>Data!G1520</f>
        <v>0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Data!N1521</f>
        <v>209694606317</v>
      </c>
      <c r="F1521" s="14">
        <f>Data!G1521</f>
        <v>6542316085964</v>
      </c>
      <c r="G1521" s="12">
        <f t="shared" si="23"/>
        <v>3.2052044499482762E-2</v>
      </c>
    </row>
    <row r="1522" spans="2:7" ht="15" customHeight="1" x14ac:dyDescent="0.3">
      <c r="C1522" s="1"/>
      <c r="D1522" s="8">
        <v>2016</v>
      </c>
      <c r="E1522" s="14">
        <f>Data!N1522</f>
        <v>266102522369</v>
      </c>
      <c r="F1522" s="14">
        <f>Data!G1522</f>
        <v>7102552587845</v>
      </c>
      <c r="G1522" s="12">
        <f t="shared" si="23"/>
        <v>3.746575883498509E-2</v>
      </c>
    </row>
    <row r="1523" spans="2:7" ht="15" customHeight="1" x14ac:dyDescent="0.3">
      <c r="C1523" s="1"/>
      <c r="D1523" s="8">
        <v>2017</v>
      </c>
      <c r="E1523" s="14">
        <f>Data!N1523</f>
        <v>155878629657</v>
      </c>
      <c r="F1523" s="14">
        <f>Data!G1523</f>
        <v>8087703411676</v>
      </c>
      <c r="G1523" s="12">
        <f t="shared" si="23"/>
        <v>1.9273534367242277E-2</v>
      </c>
    </row>
    <row r="1524" spans="2:7" ht="15" customHeight="1" x14ac:dyDescent="0.3">
      <c r="C1524" s="1"/>
      <c r="D1524" s="8">
        <v>2018</v>
      </c>
      <c r="E1524" s="14">
        <f>Data!N1524</f>
        <v>203386075809</v>
      </c>
      <c r="F1524" s="14">
        <f>Data!G1524</f>
        <v>8691696386615</v>
      </c>
      <c r="G1524" s="12">
        <f t="shared" si="23"/>
        <v>2.3400043761561851E-2</v>
      </c>
    </row>
    <row r="1525" spans="2:7" ht="15" customHeight="1" x14ac:dyDescent="0.3">
      <c r="C1525" s="1"/>
      <c r="D1525" s="8">
        <v>2019</v>
      </c>
      <c r="E1525" s="14">
        <f>Data!N1525</f>
        <v>219840490426</v>
      </c>
      <c r="F1525" s="14">
        <f>Data!G1525</f>
        <v>9783822105104</v>
      </c>
      <c r="G1525" s="12">
        <f t="shared" si="23"/>
        <v>2.2469796370409696E-2</v>
      </c>
    </row>
    <row r="1526" spans="2:7" ht="15" customHeight="1" x14ac:dyDescent="0.3">
      <c r="C1526" s="1"/>
      <c r="D1526" s="8">
        <v>2020</v>
      </c>
      <c r="E1526" s="14">
        <f>Data!N1526</f>
        <v>104051805294</v>
      </c>
      <c r="F1526" s="14">
        <f>Data!G1526</f>
        <v>10491570839836</v>
      </c>
      <c r="G1526" s="12">
        <f t="shared" si="23"/>
        <v>9.9176574111209548E-3</v>
      </c>
    </row>
    <row r="1527" spans="2:7" ht="15" customHeight="1" x14ac:dyDescent="0.3">
      <c r="C1527" s="1"/>
      <c r="D1527" s="8">
        <v>2021</v>
      </c>
      <c r="E1527" s="14">
        <f>Data!N1527</f>
        <v>-517856820373</v>
      </c>
      <c r="F1527" s="14">
        <f>Data!G1527</f>
        <v>11125019322948</v>
      </c>
      <c r="G1527" s="12">
        <f t="shared" si="23"/>
        <v>-4.6548846823555361E-2</v>
      </c>
    </row>
    <row r="1528" spans="2:7" ht="15" customHeight="1" x14ac:dyDescent="0.3">
      <c r="C1528" s="1"/>
      <c r="D1528" s="8">
        <v>2022</v>
      </c>
      <c r="E1528" s="14">
        <f>Data!N1528</f>
        <v>-219018930068</v>
      </c>
      <c r="F1528" s="14">
        <f>Data!G1528</f>
        <v>11382483837823</v>
      </c>
      <c r="G1528" s="12">
        <f t="shared" si="23"/>
        <v>-1.9241751904818808E-2</v>
      </c>
    </row>
    <row r="1529" spans="2:7" ht="15" customHeight="1" x14ac:dyDescent="0.3">
      <c r="C1529" s="1"/>
      <c r="D1529" s="8">
        <v>2023</v>
      </c>
      <c r="E1529" s="14">
        <f>Data!N1529</f>
        <v>56040281607</v>
      </c>
      <c r="F1529" s="14">
        <f>Data!G1529</f>
        <v>14206716404940</v>
      </c>
      <c r="G1529" s="12">
        <f t="shared" si="23"/>
        <v>3.9446329475200555E-3</v>
      </c>
    </row>
    <row r="1530" spans="2:7" ht="15" customHeight="1" x14ac:dyDescent="0.3">
      <c r="C1530" s="1"/>
      <c r="D1530" s="8">
        <v>2024</v>
      </c>
      <c r="E1530" s="14">
        <f>Data!N1530</f>
        <v>72779413836</v>
      </c>
      <c r="F1530" s="14">
        <f>Data!G1530</f>
        <v>15296696649798</v>
      </c>
      <c r="G1530" s="12">
        <f t="shared" si="23"/>
        <v>4.7578516788434246E-3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Data!N1531</f>
        <v>0</v>
      </c>
      <c r="F1531" s="14">
        <f>Data!G1531</f>
        <v>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Data!N1532</f>
        <v>66633000000</v>
      </c>
      <c r="F1532" s="14">
        <f>Data!G1532</f>
        <v>488607000000</v>
      </c>
      <c r="G1532" s="12">
        <f t="shared" si="23"/>
        <v>0.13637340439248721</v>
      </c>
    </row>
    <row r="1533" spans="2:7" ht="15" customHeight="1" x14ac:dyDescent="0.3">
      <c r="C1533" s="1"/>
      <c r="D1533" s="8">
        <v>2016</v>
      </c>
      <c r="E1533" s="14">
        <f>Data!N1533</f>
        <v>69927000000</v>
      </c>
      <c r="F1533" s="14">
        <f>Data!G1533</f>
        <v>513507000000</v>
      </c>
      <c r="G1533" s="12">
        <f t="shared" si="23"/>
        <v>0.1361753588558676</v>
      </c>
    </row>
    <row r="1534" spans="2:7" ht="15" customHeight="1" x14ac:dyDescent="0.3">
      <c r="C1534" s="1"/>
      <c r="D1534" s="8">
        <v>2017</v>
      </c>
      <c r="E1534" s="14">
        <f>Data!N1534</f>
        <v>77253000000</v>
      </c>
      <c r="F1534" s="14">
        <f>Data!G1534</f>
        <v>589348000000</v>
      </c>
      <c r="G1534" s="12">
        <f t="shared" si="23"/>
        <v>0.13108214501449059</v>
      </c>
    </row>
    <row r="1535" spans="2:7" ht="15" customHeight="1" x14ac:dyDescent="0.3">
      <c r="C1535" s="1"/>
      <c r="D1535" s="8">
        <v>2018</v>
      </c>
      <c r="E1535" s="14">
        <f>Data!N1535</f>
        <v>27644000000</v>
      </c>
      <c r="F1535" s="14">
        <f>Data!G1535</f>
        <v>980249000000</v>
      </c>
      <c r="G1535" s="12">
        <f t="shared" si="23"/>
        <v>2.8200997909714778E-2</v>
      </c>
    </row>
    <row r="1536" spans="2:7" ht="15" customHeight="1" x14ac:dyDescent="0.3">
      <c r="C1536" s="1"/>
      <c r="D1536" s="8">
        <v>2019</v>
      </c>
      <c r="E1536" s="14">
        <f>Data!N1536</f>
        <v>65926000000</v>
      </c>
      <c r="F1536" s="14">
        <f>Data!G1536</f>
        <v>864815000000</v>
      </c>
      <c r="G1536" s="12">
        <f t="shared" si="23"/>
        <v>7.6231332712776725E-2</v>
      </c>
    </row>
    <row r="1537" spans="2:7" ht="15" customHeight="1" x14ac:dyDescent="0.3">
      <c r="C1537" s="1"/>
      <c r="D1537" s="8">
        <v>2020</v>
      </c>
      <c r="E1537" s="14">
        <f>Data!N1537</f>
        <v>83480000000</v>
      </c>
      <c r="F1537" s="14">
        <f>Data!G1537</f>
        <v>822014000000</v>
      </c>
      <c r="G1537" s="12">
        <f t="shared" si="23"/>
        <v>0.10155544796074033</v>
      </c>
    </row>
    <row r="1538" spans="2:7" ht="15" customHeight="1" x14ac:dyDescent="0.3">
      <c r="C1538" s="1"/>
      <c r="D1538" s="8">
        <v>2021</v>
      </c>
      <c r="E1538" s="14">
        <f>Data!N1538</f>
        <v>45576000000</v>
      </c>
      <c r="F1538" s="14">
        <f>Data!G1538</f>
        <v>871603000000</v>
      </c>
      <c r="G1538" s="12">
        <f t="shared" si="23"/>
        <v>5.2289861324479152E-2</v>
      </c>
    </row>
    <row r="1539" spans="2:7" ht="15" customHeight="1" x14ac:dyDescent="0.3">
      <c r="C1539" s="1"/>
      <c r="D1539" s="8">
        <v>2022</v>
      </c>
      <c r="E1539" s="14">
        <f>Data!N1539</f>
        <v>41034000000</v>
      </c>
      <c r="F1539" s="14">
        <f>Data!G1539</f>
        <v>935775000000</v>
      </c>
      <c r="G1539" s="12">
        <f t="shared" ref="G1539:G1602" si="24">IFERROR(E1539/F1539,0)</f>
        <v>4.3850284523523284E-2</v>
      </c>
    </row>
    <row r="1540" spans="2:7" ht="15" customHeight="1" x14ac:dyDescent="0.3">
      <c r="C1540" s="1"/>
      <c r="D1540" s="8">
        <v>2023</v>
      </c>
      <c r="E1540" s="14">
        <f>Data!N1540</f>
        <v>68886000000</v>
      </c>
      <c r="F1540" s="14">
        <f>Data!G1540</f>
        <v>1015192000000</v>
      </c>
      <c r="G1540" s="12">
        <f t="shared" si="24"/>
        <v>6.7855144642589779E-2</v>
      </c>
    </row>
    <row r="1541" spans="2:7" ht="15" customHeight="1" x14ac:dyDescent="0.3">
      <c r="C1541" s="1"/>
      <c r="D1541" s="8">
        <v>2024</v>
      </c>
      <c r="E1541" s="14">
        <f>Data!N1541</f>
        <v>63889000000</v>
      </c>
      <c r="F1541" s="14">
        <f>Data!G1541</f>
        <v>1053668000000</v>
      </c>
      <c r="G1541" s="12">
        <f t="shared" si="24"/>
        <v>6.0634848927745739E-2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Data!N1542</f>
        <v>0</v>
      </c>
      <c r="F1542" s="14">
        <f>Data!G1542</f>
        <v>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Data!N1543</f>
        <v>251072000000</v>
      </c>
      <c r="F1543" s="14">
        <f>Data!G1543</f>
        <v>4116425000000</v>
      </c>
      <c r="G1543" s="12">
        <f t="shared" si="24"/>
        <v>6.0992730342469499E-2</v>
      </c>
    </row>
    <row r="1544" spans="2:7" ht="15" customHeight="1" x14ac:dyDescent="0.3">
      <c r="C1544" s="1"/>
      <c r="D1544" s="8">
        <v>2016</v>
      </c>
      <c r="E1544" s="14">
        <f>Data!N1544</f>
        <v>335612000000</v>
      </c>
      <c r="F1544" s="14">
        <f>Data!G1544</f>
        <v>4799748000000</v>
      </c>
      <c r="G1544" s="12">
        <f t="shared" si="24"/>
        <v>6.9922837615641484E-2</v>
      </c>
    </row>
    <row r="1545" spans="2:7" ht="15" customHeight="1" x14ac:dyDescent="0.3">
      <c r="C1545" s="1"/>
      <c r="D1545" s="8">
        <v>2017</v>
      </c>
      <c r="E1545" s="14">
        <f>Data!N1545</f>
        <v>0</v>
      </c>
      <c r="F1545" s="14">
        <f>Data!G1545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Data!N1546</f>
        <v>280005000000</v>
      </c>
      <c r="F1546" s="14">
        <f>Data!G1546</f>
        <v>5493920000000</v>
      </c>
      <c r="G1546" s="12">
        <f t="shared" si="24"/>
        <v>5.0966340973294111E-2</v>
      </c>
    </row>
    <row r="1547" spans="2:7" ht="15" customHeight="1" x14ac:dyDescent="0.3">
      <c r="C1547" s="1"/>
      <c r="D1547" s="8">
        <v>2019</v>
      </c>
      <c r="E1547" s="14">
        <f>Data!N1547</f>
        <v>368029000000</v>
      </c>
      <c r="F1547" s="14">
        <f>Data!G1547</f>
        <v>6324607000000</v>
      </c>
      <c r="G1547" s="12">
        <f t="shared" si="24"/>
        <v>5.8190018763221177E-2</v>
      </c>
    </row>
    <row r="1548" spans="2:7" ht="15" customHeight="1" x14ac:dyDescent="0.3">
      <c r="C1548" s="1"/>
      <c r="D1548" s="8">
        <v>2020</v>
      </c>
      <c r="E1548" s="14">
        <f>Data!N1548</f>
        <v>-542931000000</v>
      </c>
      <c r="F1548" s="14">
        <f>Data!G1548</f>
        <v>7987733000000</v>
      </c>
      <c r="G1548" s="12">
        <f t="shared" si="24"/>
        <v>-6.7970599417882402E-2</v>
      </c>
    </row>
    <row r="1549" spans="2:7" ht="15" customHeight="1" x14ac:dyDescent="0.3">
      <c r="C1549" s="1"/>
      <c r="D1549" s="8">
        <v>2021</v>
      </c>
      <c r="E1549" s="14">
        <f>Data!N1549</f>
        <v>-740433000000</v>
      </c>
      <c r="F1549" s="14">
        <f>Data!G1549</f>
        <v>10521525000000</v>
      </c>
      <c r="G1549" s="12">
        <f t="shared" si="24"/>
        <v>-7.037316358607712E-2</v>
      </c>
    </row>
    <row r="1550" spans="2:7" ht="15" customHeight="1" x14ac:dyDescent="0.3">
      <c r="C1550" s="1"/>
      <c r="D1550" s="8">
        <v>2022</v>
      </c>
      <c r="E1550" s="14">
        <f>Data!N1550</f>
        <v>170937000000</v>
      </c>
      <c r="F1550" s="14">
        <f>Data!G1550</f>
        <v>11650082000000</v>
      </c>
      <c r="G1550" s="12">
        <f t="shared" si="24"/>
        <v>1.4672600587704018E-2</v>
      </c>
    </row>
    <row r="1551" spans="2:7" ht="15" customHeight="1" x14ac:dyDescent="0.3">
      <c r="C1551" s="1"/>
      <c r="D1551" s="8">
        <v>2023</v>
      </c>
      <c r="E1551" s="14">
        <f>Data!N1551</f>
        <v>1228465000000</v>
      </c>
      <c r="F1551" s="14">
        <f>Data!G1551</f>
        <v>11119311000000</v>
      </c>
      <c r="G1551" s="12">
        <f t="shared" si="24"/>
        <v>0.11048031663112939</v>
      </c>
    </row>
    <row r="1552" spans="2:7" ht="15" customHeight="1" x14ac:dyDescent="0.3">
      <c r="C1552" s="1"/>
      <c r="D1552" s="8">
        <v>2024</v>
      </c>
      <c r="E1552" s="14">
        <f>Data!N1552</f>
        <v>-1418120000000</v>
      </c>
      <c r="F1552" s="14">
        <f>Data!G1552</f>
        <v>9361527000000</v>
      </c>
      <c r="G1552" s="12">
        <f t="shared" si="24"/>
        <v>-0.15148383378053601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Data!N1553</f>
        <v>0</v>
      </c>
      <c r="F1553" s="14">
        <f>Data!G1553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Data!N1556</f>
        <v>10204000000</v>
      </c>
      <c r="F1554" s="14">
        <f>Data!G1556</f>
        <v>392736000000</v>
      </c>
      <c r="G1554" s="12">
        <f t="shared" si="24"/>
        <v>2.5981830033406664E-2</v>
      </c>
    </row>
    <row r="1555" spans="2:7" ht="15" customHeight="1" x14ac:dyDescent="0.3">
      <c r="C1555" s="1"/>
      <c r="D1555" s="8">
        <v>2016</v>
      </c>
      <c r="E1555" s="14">
        <f>Data!N1555</f>
        <v>0</v>
      </c>
      <c r="F1555" s="14">
        <f>Data!G1555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 t="e">
        <f>Data!#REF!</f>
        <v>#REF!</v>
      </c>
      <c r="F1556" s="14" t="e">
        <f>Data!#REF!</f>
        <v>#REF!</v>
      </c>
      <c r="G1556" s="12">
        <f t="shared" si="24"/>
        <v>0</v>
      </c>
    </row>
    <row r="1557" spans="2:7" ht="15" customHeight="1" x14ac:dyDescent="0.3">
      <c r="C1557" s="1"/>
      <c r="D1557" s="8">
        <v>2018</v>
      </c>
      <c r="E1557" s="14">
        <f>Data!N1558</f>
        <v>88635000000</v>
      </c>
      <c r="F1557" s="14">
        <f>Data!G1557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 t="e">
        <f>Data!#REF!</f>
        <v>#REF!</v>
      </c>
      <c r="F1558" s="14">
        <f>Data!G1558</f>
        <v>1168609000000</v>
      </c>
      <c r="G1558" s="12">
        <f t="shared" si="24"/>
        <v>0</v>
      </c>
    </row>
    <row r="1559" spans="2:7" ht="15" customHeight="1" x14ac:dyDescent="0.3">
      <c r="C1559" s="1"/>
      <c r="D1559" s="8">
        <v>2020</v>
      </c>
      <c r="E1559" s="14">
        <f>Data!N1559</f>
        <v>176521000000</v>
      </c>
      <c r="F1559" s="14">
        <f>Data!G1559</f>
        <v>2088765000000</v>
      </c>
      <c r="G1559" s="12">
        <f t="shared" si="24"/>
        <v>8.4509746189734128E-2</v>
      </c>
    </row>
    <row r="1560" spans="2:7" ht="15" customHeight="1" x14ac:dyDescent="0.3">
      <c r="C1560" s="1"/>
      <c r="D1560" s="8">
        <v>2021</v>
      </c>
      <c r="E1560" s="14">
        <f>Data!N1560</f>
        <v>50892000000</v>
      </c>
      <c r="F1560" s="14">
        <f>Data!G1560</f>
        <v>1864949000000</v>
      </c>
      <c r="G1560" s="12">
        <f t="shared" si="24"/>
        <v>2.7288681888888115E-2</v>
      </c>
    </row>
    <row r="1561" spans="2:7" ht="15" customHeight="1" x14ac:dyDescent="0.3">
      <c r="C1561" s="1"/>
      <c r="D1561" s="8">
        <v>2022</v>
      </c>
      <c r="E1561" s="14">
        <f>Data!N1561</f>
        <v>46435000000</v>
      </c>
      <c r="F1561" s="14">
        <f>Data!G1561</f>
        <v>3039089000000</v>
      </c>
      <c r="G1561" s="12">
        <f t="shared" si="24"/>
        <v>1.5279249801503017E-2</v>
      </c>
    </row>
    <row r="1562" spans="2:7" ht="15" customHeight="1" x14ac:dyDescent="0.3">
      <c r="C1562" s="1"/>
      <c r="D1562" s="8">
        <v>2023</v>
      </c>
      <c r="E1562" s="14">
        <f>Data!N1562</f>
        <v>92135000000</v>
      </c>
      <c r="F1562" s="14">
        <f>Data!G1562</f>
        <v>3090740000000</v>
      </c>
      <c r="G1562" s="12">
        <f t="shared" si="24"/>
        <v>2.9810013136012736E-2</v>
      </c>
    </row>
    <row r="1563" spans="2:7" ht="15" customHeight="1" x14ac:dyDescent="0.3">
      <c r="C1563" s="1"/>
      <c r="D1563" s="8">
        <v>2024</v>
      </c>
      <c r="E1563" s="14">
        <f>Data!N1563</f>
        <v>224803000000</v>
      </c>
      <c r="F1563" s="14">
        <f>Data!G1563</f>
        <v>3235975000000</v>
      </c>
      <c r="G1563" s="12">
        <f t="shared" si="24"/>
        <v>6.9469943371008744E-2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Data!N1564</f>
        <v>0</v>
      </c>
      <c r="F1564" s="14">
        <f>Data!G1564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Data!N1565</f>
        <v>0</v>
      </c>
      <c r="F1565" s="14">
        <f>Data!G1565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Data!N1566</f>
        <v>0</v>
      </c>
      <c r="F1566" s="14">
        <f>Data!G1566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Data!N1567</f>
        <v>0</v>
      </c>
      <c r="F1567" s="14">
        <f>Data!G1567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Data!N1568</f>
        <v>0</v>
      </c>
      <c r="F1568" s="14">
        <f>Data!G1568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Data!N1569</f>
        <v>0</v>
      </c>
      <c r="F1569" s="14">
        <f>Data!G1569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Data!N1570</f>
        <v>0</v>
      </c>
      <c r="F1570" s="14">
        <f>Data!G1570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Data!N1571</f>
        <v>0</v>
      </c>
      <c r="F1571" s="14">
        <f>Data!G1571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Data!N1572</f>
        <v>0</v>
      </c>
      <c r="F1572" s="14">
        <f>Data!G1572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Data!N1573</f>
        <v>0</v>
      </c>
      <c r="F1573" s="14">
        <f>Data!G1573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Data!N1574</f>
        <v>0</v>
      </c>
      <c r="F1574" s="14">
        <f>Data!G1574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Data!N1575</f>
        <v>0</v>
      </c>
      <c r="F1575" s="14">
        <f>Data!G1575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Data!N1576</f>
        <v>0</v>
      </c>
      <c r="F1576" s="14">
        <f>Data!G1576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Data!N1577</f>
        <v>0</v>
      </c>
      <c r="F1577" s="14">
        <f>Data!G1577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Data!N1578</f>
        <v>238561000000</v>
      </c>
      <c r="F1578" s="14">
        <f>Data!G1578</f>
        <v>3465727000000</v>
      </c>
      <c r="G1578" s="12">
        <f t="shared" si="24"/>
        <v>6.8834331151876649E-2</v>
      </c>
    </row>
    <row r="1579" spans="2:7" ht="15" customHeight="1" x14ac:dyDescent="0.3">
      <c r="C1579" s="1"/>
      <c r="D1579" s="8">
        <v>2018</v>
      </c>
      <c r="E1579" s="14">
        <f>Data!N1579</f>
        <v>-117523000000</v>
      </c>
      <c r="F1579" s="14">
        <f>Data!G1579</f>
        <v>3558941000000</v>
      </c>
      <c r="G1579" s="12">
        <f t="shared" si="24"/>
        <v>-3.3021901739871497E-2</v>
      </c>
    </row>
    <row r="1580" spans="2:7" ht="15" customHeight="1" x14ac:dyDescent="0.3">
      <c r="C1580" s="1"/>
      <c r="D1580" s="8">
        <v>2019</v>
      </c>
      <c r="E1580" s="14">
        <f>Data!N1580</f>
        <v>141595000000</v>
      </c>
      <c r="F1580" s="14">
        <f>Data!G1580</f>
        <v>4941031000000</v>
      </c>
      <c r="G1580" s="12">
        <f t="shared" si="24"/>
        <v>2.8656974627360159E-2</v>
      </c>
    </row>
    <row r="1581" spans="2:7" ht="15" customHeight="1" x14ac:dyDescent="0.3">
      <c r="C1581" s="1"/>
      <c r="D1581" s="8">
        <v>2020</v>
      </c>
      <c r="E1581" s="14">
        <f>Data!N1581</f>
        <v>18545000000</v>
      </c>
      <c r="F1581" s="14">
        <f>Data!G1581</f>
        <v>4450772000000</v>
      </c>
      <c r="G1581" s="12">
        <f t="shared" si="24"/>
        <v>4.1666928793476724E-3</v>
      </c>
    </row>
    <row r="1582" spans="2:7" ht="15" customHeight="1" x14ac:dyDescent="0.3">
      <c r="C1582" s="1"/>
      <c r="D1582" s="8">
        <v>2021</v>
      </c>
      <c r="E1582" s="14">
        <f>Data!N1582</f>
        <v>25318000000</v>
      </c>
      <c r="F1582" s="14">
        <f>Data!G1582</f>
        <v>4351906000000</v>
      </c>
      <c r="G1582" s="12">
        <f t="shared" si="24"/>
        <v>5.8176808046864984E-3</v>
      </c>
    </row>
    <row r="1583" spans="2:7" ht="15" customHeight="1" x14ac:dyDescent="0.3">
      <c r="C1583" s="1"/>
      <c r="D1583" s="8">
        <v>2022</v>
      </c>
      <c r="E1583" s="14">
        <f>Data!N1583</f>
        <v>92556000000</v>
      </c>
      <c r="F1583" s="14">
        <f>Data!G1583</f>
        <v>5241287000000</v>
      </c>
      <c r="G1583" s="12">
        <f t="shared" si="24"/>
        <v>1.7659021534214784E-2</v>
      </c>
    </row>
    <row r="1584" spans="2:7" ht="15" customHeight="1" x14ac:dyDescent="0.3">
      <c r="C1584" s="1"/>
      <c r="D1584" s="8">
        <v>2023</v>
      </c>
      <c r="E1584" s="14">
        <f>Data!N1584</f>
        <v>-35712000000</v>
      </c>
      <c r="F1584" s="14">
        <f>Data!G1584</f>
        <v>5915931000000</v>
      </c>
      <c r="G1584" s="12">
        <f t="shared" si="24"/>
        <v>-6.0365815625638636E-3</v>
      </c>
    </row>
    <row r="1585" spans="1:7" ht="15" customHeight="1" x14ac:dyDescent="0.3">
      <c r="C1585" s="1"/>
      <c r="D1585" s="8">
        <v>2024</v>
      </c>
      <c r="E1585" s="14">
        <f>Data!N1585</f>
        <v>86005000000</v>
      </c>
      <c r="F1585" s="14">
        <f>Data!G1585</f>
        <v>5942450000000</v>
      </c>
      <c r="G1585" s="12">
        <f t="shared" si="24"/>
        <v>1.4472986731062103E-2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Data!N1586</f>
        <v>0</v>
      </c>
      <c r="F1586" s="14">
        <f>Data!G1586</f>
        <v>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Data!N1587</f>
        <v>346716000000</v>
      </c>
      <c r="F1587" s="14">
        <f>Data!G1587</f>
        <v>32312555000000</v>
      </c>
      <c r="G1587" s="12">
        <f t="shared" si="24"/>
        <v>1.0730070710904786E-2</v>
      </c>
    </row>
    <row r="1588" spans="1:7" ht="15" customHeight="1" x14ac:dyDescent="0.3">
      <c r="C1588" s="4"/>
      <c r="D1588" s="8">
        <v>2016</v>
      </c>
      <c r="E1588" s="14">
        <f>Data!N1588</f>
        <v>537628000000</v>
      </c>
      <c r="F1588" s="14">
        <f>Data!G1588</f>
        <v>36595437000000</v>
      </c>
      <c r="G1588" s="12">
        <f t="shared" si="24"/>
        <v>1.4691121190874151E-2</v>
      </c>
    </row>
    <row r="1589" spans="1:7" ht="15" customHeight="1" x14ac:dyDescent="0.3">
      <c r="C1589" s="4"/>
      <c r="D1589" s="8">
        <v>2017</v>
      </c>
      <c r="E1589" s="14">
        <f>Data!N1589</f>
        <v>943811000000</v>
      </c>
      <c r="F1589" s="14">
        <f>Data!G1589</f>
        <v>44801865000000</v>
      </c>
      <c r="G1589" s="12">
        <f t="shared" si="24"/>
        <v>2.1066332841277926E-2</v>
      </c>
    </row>
    <row r="1590" spans="1:7" ht="15" customHeight="1" x14ac:dyDescent="0.3">
      <c r="C1590" s="4"/>
      <c r="D1590" s="8">
        <v>2018</v>
      </c>
      <c r="E1590" s="14">
        <f>Data!N1590</f>
        <v>0</v>
      </c>
      <c r="F1590" s="14">
        <f>Data!G1590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Data!N1591</f>
        <v>0</v>
      </c>
      <c r="F1591" s="14">
        <f>Data!G1591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Data!N1592</f>
        <v>0</v>
      </c>
      <c r="F1592" s="14">
        <f>Data!G1592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Data!N1593</f>
        <v>0</v>
      </c>
      <c r="F1593" s="14">
        <f>Data!G1593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Data!N1594</f>
        <v>0</v>
      </c>
      <c r="F1594" s="14">
        <f>Data!G1594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Data!N1595</f>
        <v>0</v>
      </c>
      <c r="F1595" s="14">
        <f>Data!G1595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Data!N1596</f>
        <v>0</v>
      </c>
      <c r="F1596" s="14">
        <f>Data!G1596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Data!N1597</f>
        <v>0</v>
      </c>
      <c r="F1597" s="14">
        <f>Data!G1597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Data!N1598</f>
        <v>0</v>
      </c>
      <c r="F1598" s="14">
        <f>Data!G1598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Data!N1599</f>
        <v>0</v>
      </c>
      <c r="F1599" s="14">
        <f>Data!G1599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Data!N1600</f>
        <v>0</v>
      </c>
      <c r="F1600" s="14">
        <f>Data!G1600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Data!N1601</f>
        <v>0</v>
      </c>
      <c r="F1601" s="14">
        <f>Data!G1601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Data!N1602</f>
        <v>0</v>
      </c>
      <c r="F1602" s="14">
        <f>Data!G1602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Data!N1603</f>
        <v>0</v>
      </c>
      <c r="F1603" s="14">
        <f>Data!G1603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Data!N1604</f>
        <v>0</v>
      </c>
      <c r="F1604" s="14">
        <f>Data!G1604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Data!N1605</f>
        <v>0</v>
      </c>
      <c r="F1605" s="14">
        <f>Data!G1605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Data!N1606</f>
        <v>0</v>
      </c>
      <c r="F1606" s="14">
        <f>Data!G1606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Data!N1607</f>
        <v>0</v>
      </c>
      <c r="F1607" s="14">
        <f>Data!G1607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Data!N1608</f>
        <v>0</v>
      </c>
      <c r="F1608" s="14">
        <f>Data!G1608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Data!N1609</f>
        <v>0</v>
      </c>
      <c r="F1609" s="14">
        <f>Data!G1609</f>
        <v>12150125000000</v>
      </c>
      <c r="G1609" s="12">
        <f t="shared" si="25"/>
        <v>0</v>
      </c>
    </row>
    <row r="1610" spans="1:7" ht="15" customHeight="1" x14ac:dyDescent="0.3">
      <c r="C1610" s="4"/>
      <c r="D1610" s="8">
        <v>2016</v>
      </c>
      <c r="E1610" s="14">
        <f>Data!N1610</f>
        <v>0</v>
      </c>
      <c r="F1610" s="14">
        <f>Data!G1610</f>
        <v>12167652000000</v>
      </c>
      <c r="G1610" s="12">
        <f t="shared" si="25"/>
        <v>0</v>
      </c>
    </row>
    <row r="1611" spans="1:7" ht="15" customHeight="1" x14ac:dyDescent="0.3">
      <c r="C1611" s="4"/>
      <c r="D1611" s="8">
        <v>2017</v>
      </c>
      <c r="E1611" s="14">
        <f>Data!N1611</f>
        <v>0</v>
      </c>
      <c r="F1611" s="14">
        <f>Data!G1611</f>
        <v>12600792000000</v>
      </c>
      <c r="G1611" s="12">
        <f t="shared" si="25"/>
        <v>0</v>
      </c>
    </row>
    <row r="1612" spans="1:7" ht="15" customHeight="1" x14ac:dyDescent="0.3">
      <c r="C1612" s="4"/>
      <c r="D1612" s="8">
        <v>2018</v>
      </c>
      <c r="E1612" s="14">
        <f>Data!N1612</f>
        <v>0</v>
      </c>
      <c r="F1612" s="14">
        <f>Data!G1612</f>
        <v>12690713000000</v>
      </c>
      <c r="G1612" s="12">
        <f t="shared" si="25"/>
        <v>0</v>
      </c>
    </row>
    <row r="1613" spans="1:7" ht="15" customHeight="1" x14ac:dyDescent="0.3">
      <c r="C1613" s="4"/>
      <c r="D1613" s="8">
        <v>2019</v>
      </c>
      <c r="E1613" s="14">
        <f>Data!N1613</f>
        <v>0</v>
      </c>
      <c r="F1613" s="14">
        <f>Data!G1613</f>
        <v>13262092000000</v>
      </c>
      <c r="G1613" s="12">
        <f t="shared" si="25"/>
        <v>0</v>
      </c>
    </row>
    <row r="1614" spans="1:7" ht="15" customHeight="1" x14ac:dyDescent="0.3">
      <c r="C1614" s="4"/>
      <c r="D1614" s="8">
        <v>2020</v>
      </c>
      <c r="E1614" s="14">
        <f>Data!N1614</f>
        <v>0</v>
      </c>
      <c r="F1614" s="14">
        <f>Data!G1614</f>
        <v>13372478000000</v>
      </c>
      <c r="G1614" s="12">
        <f t="shared" si="25"/>
        <v>0</v>
      </c>
    </row>
    <row r="1615" spans="1:7" ht="15" customHeight="1" x14ac:dyDescent="0.3">
      <c r="C1615" s="4"/>
      <c r="D1615" s="8">
        <v>2021</v>
      </c>
      <c r="E1615" s="14">
        <f>Data!N1615</f>
        <v>0</v>
      </c>
      <c r="F1615" s="14">
        <f>Data!G1615</f>
        <v>13991723000000</v>
      </c>
      <c r="G1615" s="12">
        <f t="shared" si="25"/>
        <v>0</v>
      </c>
    </row>
    <row r="1616" spans="1:7" ht="15" customHeight="1" x14ac:dyDescent="0.3">
      <c r="C1616" s="4"/>
      <c r="D1616" s="8">
        <v>2022</v>
      </c>
      <c r="E1616" s="14">
        <f>Data!N1616</f>
        <v>0</v>
      </c>
      <c r="F1616" s="14">
        <f>Data!G1616</f>
        <v>14146679000000</v>
      </c>
      <c r="G1616" s="12">
        <f t="shared" si="25"/>
        <v>0</v>
      </c>
    </row>
    <row r="1617" spans="2:7" ht="15" customHeight="1" x14ac:dyDescent="0.3">
      <c r="C1617" s="4"/>
      <c r="D1617" s="8">
        <v>2023</v>
      </c>
      <c r="E1617" s="14">
        <f>Data!N1617</f>
        <v>0</v>
      </c>
      <c r="F1617" s="14">
        <f>Data!G1617</f>
        <v>12884607000000</v>
      </c>
      <c r="G1617" s="12">
        <f t="shared" si="25"/>
        <v>0</v>
      </c>
    </row>
    <row r="1618" spans="2:7" ht="15" customHeight="1" x14ac:dyDescent="0.3">
      <c r="C1618" s="4"/>
      <c r="D1618" s="8">
        <v>2024</v>
      </c>
      <c r="E1618" s="14">
        <f>Data!N1618</f>
        <v>0</v>
      </c>
      <c r="F1618" s="14">
        <f>Data!G1618</f>
        <v>13457903000000</v>
      </c>
      <c r="G1618" s="12">
        <f t="shared" si="25"/>
        <v>0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Data!N1619</f>
        <v>0</v>
      </c>
      <c r="F1619" s="14">
        <f>Data!G1619</f>
        <v>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Data!N1620</f>
        <v>624615000000</v>
      </c>
      <c r="F1620" s="14">
        <f>Data!G1620</f>
        <v>11080636000000</v>
      </c>
      <c r="G1620" s="12">
        <f t="shared" si="25"/>
        <v>5.6369959269485972E-2</v>
      </c>
    </row>
    <row r="1621" spans="2:7" ht="15" customHeight="1" x14ac:dyDescent="0.3">
      <c r="C1621" s="5"/>
      <c r="D1621" s="8">
        <v>2016</v>
      </c>
      <c r="E1621" s="14">
        <f>Data!N1621</f>
        <v>1072535000000</v>
      </c>
      <c r="F1621" s="14">
        <f>Data!G1621</f>
        <v>13369971000000</v>
      </c>
      <c r="G1621" s="12">
        <f t="shared" si="25"/>
        <v>8.0219695315719083E-2</v>
      </c>
    </row>
    <row r="1622" spans="2:7" ht="15" customHeight="1" x14ac:dyDescent="0.3">
      <c r="C1622" s="5"/>
      <c r="D1622" s="8">
        <v>2017</v>
      </c>
      <c r="E1622" s="14">
        <f>Data!N1622</f>
        <v>1299524000000</v>
      </c>
      <c r="F1622" s="14">
        <f>Data!G1622</f>
        <v>14455702000000</v>
      </c>
      <c r="G1622" s="12">
        <f t="shared" si="25"/>
        <v>8.9896983211192369E-2</v>
      </c>
    </row>
    <row r="1623" spans="2:7" ht="15" customHeight="1" x14ac:dyDescent="0.3">
      <c r="C1623" s="5"/>
      <c r="D1623" s="8">
        <v>2018</v>
      </c>
      <c r="E1623" s="14">
        <f>Data!N1623</f>
        <v>501517000000</v>
      </c>
      <c r="F1623" s="14">
        <f>Data!G1623</f>
        <v>14924414000000</v>
      </c>
      <c r="G1623" s="12">
        <f t="shared" si="25"/>
        <v>3.3603798447295823E-2</v>
      </c>
    </row>
    <row r="1624" spans="2:7" ht="15" customHeight="1" x14ac:dyDescent="0.3">
      <c r="C1624" s="5"/>
      <c r="D1624" s="8">
        <v>2019</v>
      </c>
      <c r="E1624" s="14">
        <f>Data!N1624</f>
        <v>318277000000</v>
      </c>
      <c r="F1624" s="14">
        <f>Data!G1624</f>
        <v>15837343000000</v>
      </c>
      <c r="G1624" s="12">
        <f t="shared" si="25"/>
        <v>2.0096615953825083E-2</v>
      </c>
    </row>
    <row r="1625" spans="2:7" ht="15" customHeight="1" x14ac:dyDescent="0.3">
      <c r="C1625" s="5"/>
      <c r="D1625" s="8">
        <v>2020</v>
      </c>
      <c r="E1625" s="14">
        <f>Data!N1625</f>
        <v>63470000000</v>
      </c>
      <c r="F1625" s="14">
        <f>Data!G1625</f>
        <v>15801971000000</v>
      </c>
      <c r="G1625" s="12">
        <f t="shared" si="25"/>
        <v>4.0165875510086687E-3</v>
      </c>
    </row>
    <row r="1626" spans="2:7" ht="15" customHeight="1" x14ac:dyDescent="0.3">
      <c r="C1626" s="5"/>
      <c r="D1626" s="8">
        <v>2021</v>
      </c>
      <c r="E1626" s="14">
        <f>Data!N1626</f>
        <v>33137000000</v>
      </c>
      <c r="F1626" s="14">
        <f>Data!G1626</f>
        <v>16149482000000</v>
      </c>
      <c r="G1626" s="12">
        <f t="shared" si="25"/>
        <v>2.0518924384076219E-3</v>
      </c>
    </row>
    <row r="1627" spans="2:7" ht="15" customHeight="1" x14ac:dyDescent="0.3">
      <c r="C1627" s="5"/>
      <c r="D1627" s="8">
        <v>2022</v>
      </c>
      <c r="E1627" s="14">
        <f>Data!N1627</f>
        <v>53089000000</v>
      </c>
      <c r="F1627" s="14">
        <f>Data!G1627</f>
        <v>16468014000000</v>
      </c>
      <c r="G1627" s="12">
        <f t="shared" si="25"/>
        <v>3.2237645656604374E-3</v>
      </c>
    </row>
    <row r="1628" spans="2:7" ht="15" customHeight="1" x14ac:dyDescent="0.3">
      <c r="C1628" s="5"/>
      <c r="D1628" s="8">
        <v>2023</v>
      </c>
      <c r="E1628" s="14">
        <f>Data!N1628</f>
        <v>467839000000</v>
      </c>
      <c r="F1628" s="14">
        <f>Data!G1628</f>
        <v>16787071000000</v>
      </c>
      <c r="G1628" s="12">
        <f t="shared" si="25"/>
        <v>2.786900704714956E-2</v>
      </c>
    </row>
    <row r="1629" spans="2:7" ht="15" customHeight="1" x14ac:dyDescent="0.3">
      <c r="C1629" s="5"/>
      <c r="D1629" s="8">
        <v>2024</v>
      </c>
      <c r="E1629" s="14">
        <f>Data!N1629</f>
        <v>277711000000</v>
      </c>
      <c r="F1629" s="14">
        <f>Data!G1629</f>
        <v>16807910000000</v>
      </c>
      <c r="G1629" s="12">
        <f t="shared" si="25"/>
        <v>1.6522637258290888E-2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4B3B-D8D5-4306-9C4E-843F3A819B19}">
  <sheetPr codeName="Sheet9"/>
  <dimension ref="A1:G1629"/>
  <sheetViews>
    <sheetView workbookViewId="0">
      <selection activeCell="G2" sqref="G2:G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18" style="14" bestFit="1" customWidth="1"/>
    <col min="6" max="6" width="19" style="14" bestFit="1" customWidth="1"/>
    <col min="7" max="7" width="16.5546875" style="12" bestFit="1" customWidth="1"/>
    <col min="8" max="8" width="13.44140625" bestFit="1" customWidth="1"/>
    <col min="9" max="10" width="12.109375" bestFit="1" customWidth="1"/>
    <col min="11" max="11" width="11.5546875" bestFit="1" customWidth="1"/>
    <col min="12" max="12" width="11" bestFit="1" customWidth="1"/>
    <col min="13" max="13" width="28.109375" bestFit="1" customWidth="1"/>
    <col min="14" max="14" width="23.33203125" bestFit="1" customWidth="1"/>
    <col min="15" max="15" width="40.6640625" bestFit="1" customWidth="1"/>
  </cols>
  <sheetData>
    <row r="1" spans="1:7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165</v>
      </c>
      <c r="F1" s="13" t="s">
        <v>162</v>
      </c>
      <c r="G1" s="11" t="s">
        <v>176</v>
      </c>
    </row>
    <row r="2" spans="1:7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Data!N2</f>
        <v>0</v>
      </c>
      <c r="F2" s="14">
        <f>Data!K2</f>
        <v>0</v>
      </c>
      <c r="G2" s="12">
        <f>IFERROR(E2/F2,0)</f>
        <v>0</v>
      </c>
    </row>
    <row r="3" spans="1:7" ht="15" customHeight="1" x14ac:dyDescent="0.3">
      <c r="C3" s="3"/>
      <c r="D3" s="8">
        <v>2015</v>
      </c>
      <c r="E3" s="14">
        <f>Data!N3</f>
        <v>0</v>
      </c>
      <c r="F3" s="14">
        <f>Data!K3</f>
        <v>0</v>
      </c>
      <c r="G3" s="12">
        <f t="shared" ref="G3:G66" si="0">IFERROR(E3/F3,0)</f>
        <v>0</v>
      </c>
    </row>
    <row r="4" spans="1:7" ht="15" customHeight="1" x14ac:dyDescent="0.3">
      <c r="C4" s="3"/>
      <c r="D4" s="8">
        <v>2016</v>
      </c>
      <c r="E4" s="14">
        <f>Data!N4</f>
        <v>0</v>
      </c>
      <c r="F4" s="14">
        <f>Data!K4</f>
        <v>0</v>
      </c>
      <c r="G4" s="12">
        <f t="shared" si="0"/>
        <v>0</v>
      </c>
    </row>
    <row r="5" spans="1:7" ht="15" customHeight="1" x14ac:dyDescent="0.3">
      <c r="C5" s="3"/>
      <c r="D5" s="8">
        <v>2017</v>
      </c>
      <c r="E5" s="14">
        <f>Data!N5</f>
        <v>0</v>
      </c>
      <c r="F5" s="14">
        <f>Data!K5</f>
        <v>0</v>
      </c>
      <c r="G5" s="12">
        <f t="shared" si="0"/>
        <v>0</v>
      </c>
    </row>
    <row r="6" spans="1:7" ht="15" customHeight="1" x14ac:dyDescent="0.3">
      <c r="C6" s="3"/>
      <c r="D6" s="8">
        <v>2018</v>
      </c>
      <c r="E6" s="14">
        <f>Data!N6</f>
        <v>0</v>
      </c>
      <c r="F6" s="14">
        <f>Data!K6</f>
        <v>0</v>
      </c>
      <c r="G6" s="12">
        <f t="shared" si="0"/>
        <v>0</v>
      </c>
    </row>
    <row r="7" spans="1:7" ht="15" customHeight="1" x14ac:dyDescent="0.3">
      <c r="C7" s="3"/>
      <c r="D7" s="8">
        <v>2019</v>
      </c>
      <c r="E7" s="14">
        <f>Data!N7</f>
        <v>0</v>
      </c>
      <c r="F7" s="14">
        <f>Data!K7</f>
        <v>0</v>
      </c>
      <c r="G7" s="12">
        <f t="shared" si="0"/>
        <v>0</v>
      </c>
    </row>
    <row r="8" spans="1:7" ht="15" customHeight="1" x14ac:dyDescent="0.3">
      <c r="C8" s="3"/>
      <c r="D8" s="8">
        <v>2020</v>
      </c>
      <c r="E8" s="14">
        <f>Data!N8</f>
        <v>0</v>
      </c>
      <c r="F8" s="14">
        <f>Data!K8</f>
        <v>0</v>
      </c>
      <c r="G8" s="12">
        <f t="shared" si="0"/>
        <v>0</v>
      </c>
    </row>
    <row r="9" spans="1:7" ht="15" customHeight="1" x14ac:dyDescent="0.3">
      <c r="C9" s="3"/>
      <c r="D9" s="8">
        <v>2021</v>
      </c>
      <c r="E9" s="14">
        <f>Data!N9</f>
        <v>0</v>
      </c>
      <c r="F9" s="14">
        <f>Data!K9</f>
        <v>0</v>
      </c>
      <c r="G9" s="12">
        <f t="shared" si="0"/>
        <v>0</v>
      </c>
    </row>
    <row r="10" spans="1:7" ht="15" customHeight="1" x14ac:dyDescent="0.3">
      <c r="C10" s="3"/>
      <c r="D10" s="8">
        <v>2022</v>
      </c>
      <c r="E10" s="14">
        <f>Data!N10</f>
        <v>0</v>
      </c>
      <c r="F10" s="14">
        <f>Data!K10</f>
        <v>0</v>
      </c>
      <c r="G10" s="12">
        <f t="shared" si="0"/>
        <v>0</v>
      </c>
    </row>
    <row r="11" spans="1:7" ht="15" customHeight="1" x14ac:dyDescent="0.3">
      <c r="C11" s="3"/>
      <c r="D11" s="8">
        <v>2023</v>
      </c>
      <c r="E11" s="14">
        <f>Data!N11</f>
        <v>0</v>
      </c>
      <c r="F11" s="14">
        <f>Data!K11</f>
        <v>0</v>
      </c>
      <c r="G11" s="12">
        <f t="shared" si="0"/>
        <v>0</v>
      </c>
    </row>
    <row r="12" spans="1:7" ht="15" customHeight="1" x14ac:dyDescent="0.3">
      <c r="C12" s="3"/>
      <c r="D12" s="8">
        <v>2024</v>
      </c>
      <c r="E12" s="14">
        <f>Data!N12</f>
        <v>0</v>
      </c>
      <c r="F12" s="14">
        <f>Data!K12</f>
        <v>0</v>
      </c>
      <c r="G12" s="12">
        <f t="shared" si="0"/>
        <v>0</v>
      </c>
    </row>
    <row r="13" spans="1:7" ht="15" customHeight="1" x14ac:dyDescent="0.3">
      <c r="B13" s="8">
        <v>2</v>
      </c>
      <c r="C13" s="3" t="s">
        <v>2</v>
      </c>
      <c r="D13" s="8">
        <v>2014</v>
      </c>
      <c r="E13" s="14">
        <f>Data!N13</f>
        <v>0</v>
      </c>
      <c r="F13" s="14">
        <f>Data!K13</f>
        <v>0</v>
      </c>
      <c r="G13" s="12">
        <f t="shared" si="0"/>
        <v>0</v>
      </c>
    </row>
    <row r="14" spans="1:7" ht="15" customHeight="1" x14ac:dyDescent="0.3">
      <c r="C14" s="3"/>
      <c r="D14" s="8">
        <v>2015</v>
      </c>
      <c r="E14" s="14">
        <f>Data!N14</f>
        <v>848437000000</v>
      </c>
      <c r="F14" s="14">
        <f>Data!K14</f>
        <v>6569253000000</v>
      </c>
      <c r="G14" s="12">
        <f t="shared" si="0"/>
        <v>0.12915273623956941</v>
      </c>
    </row>
    <row r="15" spans="1:7" ht="15" customHeight="1" x14ac:dyDescent="0.3">
      <c r="C15" s="3"/>
      <c r="D15" s="8">
        <v>2016</v>
      </c>
      <c r="E15" s="14">
        <f>Data!N15</f>
        <v>1197111000000</v>
      </c>
      <c r="F15" s="14">
        <f>Data!K15</f>
        <v>7766364000000</v>
      </c>
      <c r="G15" s="12">
        <f t="shared" si="0"/>
        <v>0.15414047036682804</v>
      </c>
    </row>
    <row r="16" spans="1:7" ht="15" customHeight="1" x14ac:dyDescent="0.3">
      <c r="C16" s="3"/>
      <c r="D16" s="8">
        <v>2017</v>
      </c>
      <c r="E16" s="14">
        <f>Data!N16</f>
        <v>1562417000000</v>
      </c>
      <c r="F16" s="14">
        <f>Data!K16</f>
        <v>10561914000000</v>
      </c>
      <c r="G16" s="12">
        <f t="shared" si="0"/>
        <v>0.14792934310959169</v>
      </c>
    </row>
    <row r="17" spans="2:7" ht="15" customHeight="1" x14ac:dyDescent="0.3">
      <c r="C17" s="3"/>
      <c r="D17" s="8">
        <v>2018</v>
      </c>
      <c r="E17" s="14">
        <f>Data!N17</f>
        <v>1065313000000</v>
      </c>
      <c r="F17" s="14">
        <f>Data!K17</f>
        <v>11027227000000</v>
      </c>
      <c r="G17" s="12">
        <f t="shared" si="0"/>
        <v>9.6607515198517263E-2</v>
      </c>
    </row>
    <row r="18" spans="2:7" ht="15" customHeight="1" x14ac:dyDescent="0.3">
      <c r="C18" s="3"/>
      <c r="D18" s="8">
        <v>2019</v>
      </c>
      <c r="E18" s="14">
        <f>Data!N18</f>
        <v>2104310000000</v>
      </c>
      <c r="F18" s="14">
        <f>Data!K18</f>
        <v>11870589000000</v>
      </c>
      <c r="G18" s="12">
        <f t="shared" si="0"/>
        <v>0.17727090037402524</v>
      </c>
    </row>
    <row r="19" spans="2:7" ht="15" customHeight="1" x14ac:dyDescent="0.3">
      <c r="C19" s="3"/>
      <c r="D19" s="8">
        <v>2020</v>
      </c>
      <c r="E19" s="14">
        <f>Data!N19</f>
        <v>-410562000000</v>
      </c>
      <c r="F19" s="14">
        <f>Data!K19</f>
        <v>11761575000000</v>
      </c>
      <c r="G19" s="12">
        <f t="shared" si="0"/>
        <v>-3.4907059641247025E-2</v>
      </c>
    </row>
    <row r="20" spans="2:7" ht="15" customHeight="1" x14ac:dyDescent="0.3">
      <c r="C20" s="3"/>
      <c r="D20" s="8">
        <v>2021</v>
      </c>
      <c r="E20" s="14">
        <f>Data!N20</f>
        <v>-586757000000</v>
      </c>
      <c r="F20" s="14">
        <f>Data!K20</f>
        <v>11856333000000</v>
      </c>
      <c r="G20" s="12">
        <f t="shared" si="0"/>
        <v>-4.9488910272678745E-2</v>
      </c>
    </row>
    <row r="21" spans="2:7" ht="15" customHeight="1" x14ac:dyDescent="0.3">
      <c r="C21" s="3"/>
      <c r="D21" s="8">
        <v>2022</v>
      </c>
      <c r="E21" s="14">
        <f>Data!N21</f>
        <v>-785208000000</v>
      </c>
      <c r="F21" s="14">
        <f>Data!K21</f>
        <v>8229889000000</v>
      </c>
      <c r="G21" s="12">
        <f t="shared" si="0"/>
        <v>-9.5409306249452458E-2</v>
      </c>
    </row>
    <row r="22" spans="2:7" ht="15" customHeight="1" x14ac:dyDescent="0.3">
      <c r="C22" s="3"/>
      <c r="D22" s="8">
        <v>2023</v>
      </c>
      <c r="E22" s="14">
        <f>Data!N22</f>
        <v>876769000000</v>
      </c>
      <c r="F22" s="14">
        <f>Data!K22</f>
        <v>8048626000000</v>
      </c>
      <c r="G22" s="12">
        <f t="shared" si="0"/>
        <v>0.10893399693314114</v>
      </c>
    </row>
    <row r="23" spans="2:7" ht="15" customHeight="1" x14ac:dyDescent="0.3">
      <c r="C23" s="3"/>
      <c r="D23" s="8">
        <v>2024</v>
      </c>
      <c r="E23" s="14">
        <f>Data!N23</f>
        <v>1419919000000</v>
      </c>
      <c r="F23" s="14">
        <f>Data!K23</f>
        <v>8912301000000</v>
      </c>
      <c r="G23" s="12">
        <f t="shared" si="0"/>
        <v>0.15932125721516813</v>
      </c>
    </row>
    <row r="24" spans="2:7" ht="15" customHeight="1" x14ac:dyDescent="0.3">
      <c r="B24" s="8">
        <v>3</v>
      </c>
      <c r="C24" s="3" t="s">
        <v>3</v>
      </c>
      <c r="D24" s="8">
        <v>2014</v>
      </c>
      <c r="E24" s="14">
        <f>Data!N24</f>
        <v>0</v>
      </c>
      <c r="F24" s="14">
        <f>Data!K24</f>
        <v>0</v>
      </c>
      <c r="G24" s="12">
        <f t="shared" si="0"/>
        <v>0</v>
      </c>
    </row>
    <row r="25" spans="2:7" ht="15" customHeight="1" x14ac:dyDescent="0.3">
      <c r="C25" s="3"/>
      <c r="D25" s="8">
        <v>2015</v>
      </c>
      <c r="E25" s="14">
        <f>Data!N25</f>
        <v>806099000000</v>
      </c>
      <c r="F25" s="14">
        <f>Data!K25</f>
        <v>4355995000000</v>
      </c>
      <c r="G25" s="12">
        <f t="shared" si="0"/>
        <v>0.18505507926432421</v>
      </c>
    </row>
    <row r="26" spans="2:7" ht="15" customHeight="1" x14ac:dyDescent="0.3">
      <c r="C26" s="3"/>
      <c r="D26" s="8">
        <v>2016</v>
      </c>
      <c r="E26" s="14">
        <f>Data!N26</f>
        <v>899890000000</v>
      </c>
      <c r="F26" s="14">
        <f>Data!K26</f>
        <v>5381290000000</v>
      </c>
      <c r="G26" s="12">
        <f t="shared" si="0"/>
        <v>0.1672257023873458</v>
      </c>
    </row>
    <row r="27" spans="2:7" ht="15" customHeight="1" x14ac:dyDescent="0.3">
      <c r="C27" s="3"/>
      <c r="D27" s="8">
        <v>2017</v>
      </c>
      <c r="E27" s="14">
        <f>Data!N27</f>
        <v>649699000000</v>
      </c>
      <c r="F27" s="14">
        <f>Data!K27</f>
        <v>6030989000000</v>
      </c>
      <c r="G27" s="12">
        <f t="shared" si="0"/>
        <v>0.10772677582399835</v>
      </c>
    </row>
    <row r="28" spans="2:7" ht="15" customHeight="1" x14ac:dyDescent="0.3">
      <c r="C28" s="3"/>
      <c r="D28" s="8">
        <v>2018</v>
      </c>
      <c r="E28" s="14">
        <f>Data!N28</f>
        <v>137111000000</v>
      </c>
      <c r="F28" s="14">
        <f>Data!K28</f>
        <v>5768100000000</v>
      </c>
      <c r="G28" s="12">
        <f t="shared" si="0"/>
        <v>2.3770565697543385E-2</v>
      </c>
    </row>
    <row r="29" spans="2:7" ht="15" customHeight="1" x14ac:dyDescent="0.3">
      <c r="C29" s="3"/>
      <c r="D29" s="8">
        <v>2019</v>
      </c>
      <c r="E29" s="14">
        <f>Data!N29</f>
        <v>1493224000000</v>
      </c>
      <c r="F29" s="14">
        <f>Data!K29</f>
        <v>6511324000000</v>
      </c>
      <c r="G29" s="12">
        <f t="shared" si="0"/>
        <v>0.22932724588731876</v>
      </c>
    </row>
    <row r="30" spans="2:7" ht="15" customHeight="1" x14ac:dyDescent="0.3">
      <c r="C30" s="3"/>
      <c r="D30" s="8">
        <v>2020</v>
      </c>
      <c r="E30" s="14">
        <f>Data!N30</f>
        <v>1129656000000</v>
      </c>
      <c r="F30" s="14">
        <f>Data!K30</f>
        <v>7090980000000</v>
      </c>
      <c r="G30" s="12">
        <f t="shared" si="0"/>
        <v>0.15930886844977704</v>
      </c>
    </row>
    <row r="31" spans="2:7" ht="15" customHeight="1" x14ac:dyDescent="0.3">
      <c r="C31" s="3"/>
      <c r="D31" s="8">
        <v>2021</v>
      </c>
      <c r="E31" s="14">
        <f>Data!N31</f>
        <v>404045000000</v>
      </c>
      <c r="F31" s="14">
        <f>Data!K31</f>
        <v>6945025000000</v>
      </c>
      <c r="G31" s="12">
        <f t="shared" si="0"/>
        <v>5.8177616351273033E-2</v>
      </c>
    </row>
    <row r="32" spans="2:7" ht="15" customHeight="1" x14ac:dyDescent="0.3">
      <c r="C32" s="3"/>
      <c r="D32" s="8">
        <v>2022</v>
      </c>
      <c r="E32" s="14">
        <f>Data!N32</f>
        <v>107318000000</v>
      </c>
      <c r="F32" s="14">
        <f>Data!K32</f>
        <v>7208812000000</v>
      </c>
      <c r="G32" s="12">
        <f t="shared" si="0"/>
        <v>1.4887057673303174E-2</v>
      </c>
    </row>
    <row r="33" spans="2:7" ht="15" customHeight="1" x14ac:dyDescent="0.3">
      <c r="C33" s="3"/>
      <c r="D33" s="8">
        <v>2023</v>
      </c>
      <c r="E33" s="14">
        <f>Data!N33</f>
        <v>481260000000</v>
      </c>
      <c r="F33" s="14">
        <f>Data!K33</f>
        <v>6640072000000</v>
      </c>
      <c r="G33" s="12">
        <f t="shared" si="0"/>
        <v>7.2478129755219528E-2</v>
      </c>
    </row>
    <row r="34" spans="2:7" ht="15" customHeight="1" x14ac:dyDescent="0.3">
      <c r="C34" s="3"/>
      <c r="D34" s="8">
        <v>2024</v>
      </c>
      <c r="E34" s="14">
        <f>Data!N34</f>
        <v>961867000000</v>
      </c>
      <c r="F34" s="14">
        <f>Data!K34</f>
        <v>7301939000000</v>
      </c>
      <c r="G34" s="12">
        <f t="shared" si="0"/>
        <v>0.13172761372013653</v>
      </c>
    </row>
    <row r="35" spans="2:7" ht="15" customHeight="1" x14ac:dyDescent="0.3">
      <c r="B35" s="8">
        <v>4</v>
      </c>
      <c r="C35" s="4" t="s">
        <v>56</v>
      </c>
      <c r="D35" s="8">
        <v>2014</v>
      </c>
      <c r="E35" s="14">
        <f>Data!N35</f>
        <v>0</v>
      </c>
      <c r="F35" s="14">
        <f>Data!K35</f>
        <v>0</v>
      </c>
      <c r="G35" s="12">
        <f t="shared" si="0"/>
        <v>0</v>
      </c>
    </row>
    <row r="36" spans="2:7" ht="15" customHeight="1" x14ac:dyDescent="0.3">
      <c r="C36" s="4"/>
      <c r="D36" s="8">
        <v>2015</v>
      </c>
      <c r="E36" s="14">
        <f>Data!N36</f>
        <v>0</v>
      </c>
      <c r="F36" s="14">
        <f>Data!K36</f>
        <v>0</v>
      </c>
      <c r="G36" s="12">
        <f t="shared" si="0"/>
        <v>0</v>
      </c>
    </row>
    <row r="37" spans="2:7" ht="15" customHeight="1" x14ac:dyDescent="0.3">
      <c r="C37" s="4"/>
      <c r="D37" s="8">
        <v>2016</v>
      </c>
      <c r="E37" s="14">
        <f>Data!N37</f>
        <v>0</v>
      </c>
      <c r="F37" s="14">
        <f>Data!K37</f>
        <v>0</v>
      </c>
      <c r="G37" s="12">
        <f t="shared" si="0"/>
        <v>0</v>
      </c>
    </row>
    <row r="38" spans="2:7" ht="15" customHeight="1" x14ac:dyDescent="0.3">
      <c r="C38" s="4"/>
      <c r="D38" s="8">
        <v>2017</v>
      </c>
      <c r="E38" s="14">
        <f>Data!N38</f>
        <v>0</v>
      </c>
      <c r="F38" s="14">
        <f>Data!K38</f>
        <v>0</v>
      </c>
      <c r="G38" s="12">
        <f t="shared" si="0"/>
        <v>0</v>
      </c>
    </row>
    <row r="39" spans="2:7" ht="15" customHeight="1" x14ac:dyDescent="0.3">
      <c r="C39" s="4"/>
      <c r="D39" s="8">
        <v>2018</v>
      </c>
      <c r="E39" s="14">
        <f>Data!N39</f>
        <v>0</v>
      </c>
      <c r="F39" s="14">
        <f>Data!K39</f>
        <v>0</v>
      </c>
      <c r="G39" s="12">
        <f t="shared" si="0"/>
        <v>0</v>
      </c>
    </row>
    <row r="40" spans="2:7" ht="15" customHeight="1" x14ac:dyDescent="0.3">
      <c r="C40" s="4"/>
      <c r="D40" s="8">
        <v>2019</v>
      </c>
      <c r="E40" s="14">
        <f>Data!N40</f>
        <v>0</v>
      </c>
      <c r="F40" s="14">
        <f>Data!K40</f>
        <v>0</v>
      </c>
      <c r="G40" s="12">
        <f t="shared" si="0"/>
        <v>0</v>
      </c>
    </row>
    <row r="41" spans="2:7" ht="15" customHeight="1" x14ac:dyDescent="0.3">
      <c r="C41" s="4"/>
      <c r="D41" s="8">
        <v>2020</v>
      </c>
      <c r="E41" s="14">
        <f>Data!N41</f>
        <v>0</v>
      </c>
      <c r="F41" s="14">
        <f>Data!K41</f>
        <v>0</v>
      </c>
      <c r="G41" s="12">
        <f t="shared" si="0"/>
        <v>0</v>
      </c>
    </row>
    <row r="42" spans="2:7" ht="15" customHeight="1" x14ac:dyDescent="0.3">
      <c r="C42" s="4"/>
      <c r="D42" s="8">
        <v>2021</v>
      </c>
      <c r="E42" s="14">
        <f>Data!N42</f>
        <v>0</v>
      </c>
      <c r="F42" s="14">
        <f>Data!K42</f>
        <v>0</v>
      </c>
      <c r="G42" s="12">
        <f t="shared" si="0"/>
        <v>0</v>
      </c>
    </row>
    <row r="43" spans="2:7" ht="15" customHeight="1" x14ac:dyDescent="0.3">
      <c r="C43" s="4"/>
      <c r="D43" s="8">
        <v>2022</v>
      </c>
      <c r="E43" s="14">
        <f>Data!N43</f>
        <v>382661000000</v>
      </c>
      <c r="F43" s="14">
        <f>Data!K43</f>
        <v>1497483000000</v>
      </c>
      <c r="G43" s="12">
        <f t="shared" si="0"/>
        <v>0.2555361229476395</v>
      </c>
    </row>
    <row r="44" spans="2:7" ht="15" customHeight="1" x14ac:dyDescent="0.3">
      <c r="C44" s="4"/>
      <c r="D44" s="8">
        <v>2023</v>
      </c>
      <c r="E44" s="14">
        <f>Data!N44</f>
        <v>232895000000</v>
      </c>
      <c r="F44" s="14">
        <f>Data!K44</f>
        <v>958124000000</v>
      </c>
      <c r="G44" s="12">
        <f t="shared" si="0"/>
        <v>0.24307396537400169</v>
      </c>
    </row>
    <row r="45" spans="2:7" ht="15" customHeight="1" x14ac:dyDescent="0.3">
      <c r="C45" s="4"/>
      <c r="D45" s="8">
        <v>2024</v>
      </c>
      <c r="E45" s="14">
        <f>Data!N45</f>
        <v>58584000000</v>
      </c>
      <c r="F45" s="14">
        <f>Data!K45</f>
        <v>968188000000</v>
      </c>
      <c r="G45" s="12">
        <f t="shared" si="0"/>
        <v>6.0508909426681592E-2</v>
      </c>
    </row>
    <row r="46" spans="2:7" ht="15" customHeight="1" x14ac:dyDescent="0.3">
      <c r="B46" s="8">
        <v>5</v>
      </c>
      <c r="C46" s="3" t="s">
        <v>20</v>
      </c>
      <c r="D46" s="8">
        <v>2014</v>
      </c>
      <c r="E46" s="14">
        <f>Data!N46</f>
        <v>0</v>
      </c>
      <c r="F46" s="14">
        <f>Data!K46</f>
        <v>0</v>
      </c>
      <c r="G46" s="12">
        <f t="shared" si="0"/>
        <v>0</v>
      </c>
    </row>
    <row r="47" spans="2:7" ht="15" customHeight="1" x14ac:dyDescent="0.3">
      <c r="C47" s="3"/>
      <c r="D47" s="8">
        <v>2015</v>
      </c>
      <c r="E47" s="14">
        <f>Data!N47</f>
        <v>0</v>
      </c>
      <c r="F47" s="14">
        <f>Data!K47</f>
        <v>4933308738000</v>
      </c>
      <c r="G47" s="12">
        <f t="shared" si="0"/>
        <v>0</v>
      </c>
    </row>
    <row r="48" spans="2:7" ht="15" customHeight="1" x14ac:dyDescent="0.3">
      <c r="C48" s="3"/>
      <c r="D48" s="8">
        <v>2016</v>
      </c>
      <c r="E48" s="14">
        <f>Data!N48</f>
        <v>331486312000</v>
      </c>
      <c r="F48" s="14">
        <f>Data!K48</f>
        <v>6176329027000</v>
      </c>
      <c r="G48" s="12">
        <f t="shared" si="0"/>
        <v>5.3670442515432397E-2</v>
      </c>
    </row>
    <row r="49" spans="2:7" ht="15" customHeight="1" x14ac:dyDescent="0.3">
      <c r="C49" s="3"/>
      <c r="D49" s="8">
        <v>2017</v>
      </c>
      <c r="E49" s="14">
        <f>Data!N49</f>
        <v>538226085000</v>
      </c>
      <c r="F49" s="14">
        <f>Data!K49</f>
        <v>2104006591000</v>
      </c>
      <c r="G49" s="12">
        <f t="shared" si="0"/>
        <v>0.25581007554933083</v>
      </c>
    </row>
    <row r="50" spans="2:7" ht="15" customHeight="1" x14ac:dyDescent="0.3">
      <c r="C50" s="3"/>
      <c r="D50" s="8">
        <v>2018</v>
      </c>
      <c r="E50" s="14">
        <f>Data!N50</f>
        <v>291908712000</v>
      </c>
      <c r="F50" s="14">
        <f>Data!K50</f>
        <v>2231804990000</v>
      </c>
      <c r="G50" s="12">
        <f t="shared" si="0"/>
        <v>0.1307949006781278</v>
      </c>
    </row>
    <row r="51" spans="2:7" ht="15" customHeight="1" x14ac:dyDescent="0.3">
      <c r="C51" s="3"/>
      <c r="D51" s="8">
        <v>2019</v>
      </c>
      <c r="E51" s="14">
        <f>Data!N51</f>
        <v>452204000000</v>
      </c>
      <c r="F51" s="14">
        <f>Data!K51</f>
        <v>2563929000000</v>
      </c>
      <c r="G51" s="12">
        <f t="shared" si="0"/>
        <v>0.17637149858673934</v>
      </c>
    </row>
    <row r="52" spans="2:7" ht="15" customHeight="1" x14ac:dyDescent="0.3">
      <c r="C52" s="3"/>
      <c r="D52" s="8">
        <v>2020</v>
      </c>
      <c r="E52" s="14">
        <f>Data!N52</f>
        <v>230074000000</v>
      </c>
      <c r="F52" s="14">
        <f>Data!K52</f>
        <v>2794003000000</v>
      </c>
      <c r="G52" s="12">
        <f t="shared" si="0"/>
        <v>8.2345652456350268E-2</v>
      </c>
    </row>
    <row r="53" spans="2:7" ht="15" customHeight="1" x14ac:dyDescent="0.3">
      <c r="C53" s="3"/>
      <c r="D53" s="8">
        <v>2021</v>
      </c>
      <c r="E53" s="14">
        <f>Data!N53</f>
        <v>39099000000</v>
      </c>
      <c r="F53" s="14">
        <f>Data!K53</f>
        <v>6683102000000</v>
      </c>
      <c r="G53" s="12">
        <f t="shared" si="0"/>
        <v>5.8504269424587566E-3</v>
      </c>
    </row>
    <row r="54" spans="2:7" ht="15" customHeight="1" x14ac:dyDescent="0.3">
      <c r="C54" s="3"/>
      <c r="D54" s="8">
        <v>2022</v>
      </c>
      <c r="E54" s="14">
        <f>Data!N54</f>
        <v>283472000000</v>
      </c>
      <c r="F54" s="14">
        <f>Data!K54</f>
        <v>7706566000000</v>
      </c>
      <c r="G54" s="12">
        <f t="shared" si="0"/>
        <v>3.6783179434264235E-2</v>
      </c>
    </row>
    <row r="55" spans="2:7" ht="15" customHeight="1" x14ac:dyDescent="0.3">
      <c r="C55" s="3"/>
      <c r="D55" s="8">
        <v>2023</v>
      </c>
      <c r="E55" s="14">
        <f>Data!N55</f>
        <v>634959000000</v>
      </c>
      <c r="F55" s="14">
        <f>Data!K55</f>
        <v>9111525000000</v>
      </c>
      <c r="G55" s="12">
        <f t="shared" si="0"/>
        <v>6.9687456271041351E-2</v>
      </c>
    </row>
    <row r="56" spans="2:7" ht="15" customHeight="1" x14ac:dyDescent="0.3">
      <c r="C56" s="3"/>
      <c r="D56" s="8">
        <v>2024</v>
      </c>
      <c r="E56" s="14">
        <f>Data!N56</f>
        <v>0</v>
      </c>
      <c r="F56" s="14">
        <f>Data!K56</f>
        <v>0</v>
      </c>
      <c r="G56" s="12">
        <f t="shared" si="0"/>
        <v>0</v>
      </c>
    </row>
    <row r="57" spans="2:7" ht="15" customHeight="1" x14ac:dyDescent="0.3">
      <c r="B57" s="8">
        <v>6</v>
      </c>
      <c r="C57" s="3" t="s">
        <v>21</v>
      </c>
      <c r="D57" s="8">
        <v>2014</v>
      </c>
      <c r="E57" s="14">
        <f>Data!N57</f>
        <v>0</v>
      </c>
      <c r="F57" s="14">
        <f>Data!K57</f>
        <v>0</v>
      </c>
      <c r="G57" s="12">
        <f t="shared" si="0"/>
        <v>0</v>
      </c>
    </row>
    <row r="58" spans="2:7" ht="15" customHeight="1" x14ac:dyDescent="0.3">
      <c r="C58" s="3"/>
      <c r="D58" s="8">
        <v>2015</v>
      </c>
      <c r="E58" s="14">
        <f>Data!N58</f>
        <v>0</v>
      </c>
      <c r="F58" s="14">
        <f>Data!K58</f>
        <v>0</v>
      </c>
      <c r="G58" s="12">
        <f t="shared" si="0"/>
        <v>0</v>
      </c>
    </row>
    <row r="59" spans="2:7" ht="15" customHeight="1" x14ac:dyDescent="0.3">
      <c r="C59" s="3"/>
      <c r="D59" s="8">
        <v>2016</v>
      </c>
      <c r="E59" s="14">
        <f>Data!N59</f>
        <v>-4909000000</v>
      </c>
      <c r="F59" s="14">
        <f>Data!K59</f>
        <v>95091000000</v>
      </c>
      <c r="G59" s="12">
        <f t="shared" si="0"/>
        <v>-5.1624233628839743E-2</v>
      </c>
    </row>
    <row r="60" spans="2:7" ht="15" customHeight="1" x14ac:dyDescent="0.3">
      <c r="C60" s="3"/>
      <c r="D60" s="8">
        <v>2017</v>
      </c>
      <c r="E60" s="14">
        <f>Data!N60</f>
        <v>-19772000000</v>
      </c>
      <c r="F60" s="14">
        <f>Data!K60</f>
        <v>105319000000</v>
      </c>
      <c r="G60" s="12">
        <f t="shared" si="0"/>
        <v>-0.18773440689714108</v>
      </c>
    </row>
    <row r="61" spans="2:7" ht="15" customHeight="1" x14ac:dyDescent="0.3">
      <c r="C61" s="3"/>
      <c r="D61" s="8">
        <v>2018</v>
      </c>
      <c r="E61" s="14">
        <f>Data!N61</f>
        <v>-43131000000</v>
      </c>
      <c r="F61" s="14">
        <f>Data!K61</f>
        <v>102188000000</v>
      </c>
      <c r="G61" s="12">
        <f t="shared" si="0"/>
        <v>-0.42207499902141149</v>
      </c>
    </row>
    <row r="62" spans="2:7" ht="15" customHeight="1" x14ac:dyDescent="0.3">
      <c r="C62" s="3"/>
      <c r="D62" s="8">
        <v>2019</v>
      </c>
      <c r="E62" s="14">
        <f>Data!N62</f>
        <v>-45250000000</v>
      </c>
      <c r="F62" s="14">
        <f>Data!K62</f>
        <v>126937000000</v>
      </c>
      <c r="G62" s="12">
        <f t="shared" si="0"/>
        <v>-0.35647604717300707</v>
      </c>
    </row>
    <row r="63" spans="2:7" ht="15" customHeight="1" x14ac:dyDescent="0.3">
      <c r="C63" s="3"/>
      <c r="D63" s="8">
        <v>2020</v>
      </c>
      <c r="E63" s="14">
        <f>Data!N63</f>
        <v>-36955000000</v>
      </c>
      <c r="F63" s="14">
        <f>Data!K63</f>
        <v>139982000000</v>
      </c>
      <c r="G63" s="12">
        <f t="shared" si="0"/>
        <v>-0.26399822834364417</v>
      </c>
    </row>
    <row r="64" spans="2:7" ht="15" customHeight="1" x14ac:dyDescent="0.3">
      <c r="C64" s="3"/>
      <c r="D64" s="8">
        <v>2021</v>
      </c>
      <c r="E64" s="14">
        <f>Data!N64</f>
        <v>-52914000000</v>
      </c>
      <c r="F64" s="14">
        <f>Data!K64</f>
        <v>132068000000</v>
      </c>
      <c r="G64" s="12">
        <f t="shared" si="0"/>
        <v>-0.40065723718084623</v>
      </c>
    </row>
    <row r="65" spans="2:7" ht="15" customHeight="1" x14ac:dyDescent="0.3">
      <c r="C65" s="3"/>
      <c r="D65" s="8">
        <v>2022</v>
      </c>
      <c r="E65" s="14">
        <f>Data!N65</f>
        <v>460000000</v>
      </c>
      <c r="F65" s="14">
        <f>Data!K65</f>
        <v>157529000000</v>
      </c>
      <c r="G65" s="12">
        <f t="shared" si="0"/>
        <v>2.9200972519345643E-3</v>
      </c>
    </row>
    <row r="66" spans="2:7" ht="15" customHeight="1" x14ac:dyDescent="0.3">
      <c r="C66" s="3"/>
      <c r="D66" s="8">
        <v>2023</v>
      </c>
      <c r="E66" s="14">
        <f>Data!N66</f>
        <v>8447000000</v>
      </c>
      <c r="F66" s="14">
        <f>Data!K66</f>
        <v>165975000000</v>
      </c>
      <c r="G66" s="12">
        <f t="shared" si="0"/>
        <v>5.0893206808254259E-2</v>
      </c>
    </row>
    <row r="67" spans="2:7" ht="15" customHeight="1" x14ac:dyDescent="0.3">
      <c r="C67" s="3"/>
      <c r="D67" s="8">
        <v>2024</v>
      </c>
      <c r="E67" s="14">
        <f>Data!N67</f>
        <v>35110000000</v>
      </c>
      <c r="F67" s="14">
        <f>Data!K67</f>
        <v>201086000000</v>
      </c>
      <c r="G67" s="12">
        <f t="shared" ref="G67:G130" si="1">IFERROR(E67/F67,0)</f>
        <v>0.17460191161990393</v>
      </c>
    </row>
    <row r="68" spans="2:7" ht="15" customHeight="1" x14ac:dyDescent="0.3">
      <c r="B68" s="8">
        <v>7</v>
      </c>
      <c r="C68" s="3" t="s">
        <v>19</v>
      </c>
      <c r="D68" s="8">
        <v>2014</v>
      </c>
      <c r="E68" s="14">
        <f>Data!N68</f>
        <v>0</v>
      </c>
      <c r="F68" s="14">
        <f>Data!K68</f>
        <v>0</v>
      </c>
      <c r="G68" s="12">
        <f t="shared" si="1"/>
        <v>0</v>
      </c>
    </row>
    <row r="69" spans="2:7" ht="15" customHeight="1" x14ac:dyDescent="0.3">
      <c r="C69" s="3"/>
      <c r="D69" s="8">
        <v>2015</v>
      </c>
      <c r="E69" s="14">
        <f>Data!N69</f>
        <v>-177698000000</v>
      </c>
      <c r="F69" s="14">
        <f>Data!K69</f>
        <v>535556000000</v>
      </c>
      <c r="G69" s="12">
        <f t="shared" si="1"/>
        <v>-0.33180096945977638</v>
      </c>
    </row>
    <row r="70" spans="2:7" ht="15" customHeight="1" x14ac:dyDescent="0.3">
      <c r="C70" s="3"/>
      <c r="D70" s="8">
        <v>2016</v>
      </c>
      <c r="E70" s="14">
        <f>Data!N70</f>
        <v>-268101000000</v>
      </c>
      <c r="F70" s="14">
        <f>Data!K70</f>
        <v>837455000000</v>
      </c>
      <c r="G70" s="12">
        <f t="shared" si="1"/>
        <v>-0.32013779844887186</v>
      </c>
    </row>
    <row r="71" spans="2:7" ht="15" customHeight="1" x14ac:dyDescent="0.3">
      <c r="C71" s="3"/>
      <c r="D71" s="8">
        <v>2017</v>
      </c>
      <c r="E71" s="14">
        <f>Data!N71</f>
        <v>-255572000000</v>
      </c>
      <c r="F71" s="14">
        <f>Data!K71</f>
        <v>611883000000</v>
      </c>
      <c r="G71" s="12">
        <f t="shared" si="1"/>
        <v>-0.41768115799915995</v>
      </c>
    </row>
    <row r="72" spans="2:7" ht="15" customHeight="1" x14ac:dyDescent="0.3">
      <c r="C72" s="3"/>
      <c r="D72" s="8">
        <v>2018</v>
      </c>
      <c r="E72" s="14">
        <f>Data!N72</f>
        <v>-177053000000</v>
      </c>
      <c r="F72" s="14">
        <f>Data!K72</f>
        <v>434830000000</v>
      </c>
      <c r="G72" s="12">
        <f t="shared" si="1"/>
        <v>-0.40717751765057608</v>
      </c>
    </row>
    <row r="73" spans="2:7" ht="15" customHeight="1" x14ac:dyDescent="0.3">
      <c r="C73" s="3"/>
      <c r="D73" s="8">
        <v>2019</v>
      </c>
      <c r="E73" s="14">
        <f>Data!N73</f>
        <v>-77232000000</v>
      </c>
      <c r="F73" s="14">
        <f>Data!K73</f>
        <v>857598000000</v>
      </c>
      <c r="G73" s="12">
        <f t="shared" si="1"/>
        <v>-9.0056180168330613E-2</v>
      </c>
    </row>
    <row r="74" spans="2:7" ht="15" customHeight="1" x14ac:dyDescent="0.3">
      <c r="C74" s="3"/>
      <c r="D74" s="8">
        <v>2020</v>
      </c>
      <c r="E74" s="14">
        <f>Data!N74</f>
        <v>-16497000000</v>
      </c>
      <c r="F74" s="14">
        <f>Data!K74</f>
        <v>840112000000</v>
      </c>
      <c r="G74" s="12">
        <f t="shared" si="1"/>
        <v>-1.9636667491953454E-2</v>
      </c>
    </row>
    <row r="75" spans="2:7" ht="15" customHeight="1" x14ac:dyDescent="0.3">
      <c r="C75" s="3"/>
      <c r="D75" s="8">
        <v>2021</v>
      </c>
      <c r="E75" s="14">
        <f>Data!N75</f>
        <v>-13860000000</v>
      </c>
      <c r="F75" s="14">
        <f>Data!K75</f>
        <v>826251000000</v>
      </c>
      <c r="G75" s="12">
        <f t="shared" si="1"/>
        <v>-1.6774563661647611E-2</v>
      </c>
    </row>
    <row r="76" spans="2:7" ht="15" customHeight="1" x14ac:dyDescent="0.3">
      <c r="C76" s="3"/>
      <c r="D76" s="8">
        <v>2022</v>
      </c>
      <c r="E76" s="14">
        <f>Data!N76</f>
        <v>-143113000000</v>
      </c>
      <c r="F76" s="14">
        <f>Data!K76</f>
        <v>683137000000</v>
      </c>
      <c r="G76" s="12">
        <f t="shared" si="1"/>
        <v>-0.20949384969632739</v>
      </c>
    </row>
    <row r="77" spans="2:7" ht="15" customHeight="1" x14ac:dyDescent="0.3">
      <c r="C77" s="3"/>
      <c r="D77" s="8">
        <v>2023</v>
      </c>
      <c r="E77" s="14">
        <f>Data!N77</f>
        <v>15952000000</v>
      </c>
      <c r="F77" s="14">
        <f>Data!K77</f>
        <v>699090000000</v>
      </c>
      <c r="G77" s="12">
        <f t="shared" si="1"/>
        <v>2.2818235134245947E-2</v>
      </c>
    </row>
    <row r="78" spans="2:7" ht="15" customHeight="1" x14ac:dyDescent="0.3">
      <c r="C78" s="3"/>
      <c r="D78" s="8">
        <v>2024</v>
      </c>
      <c r="E78" s="14">
        <f>Data!N78</f>
        <v>49115000000</v>
      </c>
      <c r="F78" s="14">
        <f>Data!K78</f>
        <v>748206000000</v>
      </c>
      <c r="G78" s="12">
        <f t="shared" si="1"/>
        <v>6.5643686364450435E-2</v>
      </c>
    </row>
    <row r="79" spans="2:7" ht="15" customHeight="1" x14ac:dyDescent="0.3">
      <c r="B79" s="8">
        <v>8</v>
      </c>
      <c r="C79" s="3" t="s">
        <v>8</v>
      </c>
      <c r="D79" s="8">
        <v>2014</v>
      </c>
      <c r="E79" s="14">
        <f>Data!N79</f>
        <v>0</v>
      </c>
      <c r="F79" s="14">
        <f>Data!K79</f>
        <v>0</v>
      </c>
      <c r="G79" s="12">
        <f t="shared" si="1"/>
        <v>0</v>
      </c>
    </row>
    <row r="80" spans="2:7" ht="15" customHeight="1" x14ac:dyDescent="0.3">
      <c r="C80" s="3"/>
      <c r="D80" s="8">
        <v>2015</v>
      </c>
      <c r="E80" s="14">
        <f>Data!N80</f>
        <v>-27031000000</v>
      </c>
      <c r="F80" s="14">
        <f>Data!K80</f>
        <v>228584000000</v>
      </c>
      <c r="G80" s="12">
        <f t="shared" si="1"/>
        <v>-0.11825412102334372</v>
      </c>
    </row>
    <row r="81" spans="2:7" ht="15" customHeight="1" x14ac:dyDescent="0.3">
      <c r="C81" s="3"/>
      <c r="D81" s="8">
        <v>2016</v>
      </c>
      <c r="E81" s="14">
        <f>Data!N81</f>
        <v>-24158000000</v>
      </c>
      <c r="F81" s="14">
        <f>Data!K81</f>
        <v>204426000000</v>
      </c>
      <c r="G81" s="12">
        <f t="shared" si="1"/>
        <v>-0.11817479185622182</v>
      </c>
    </row>
    <row r="82" spans="2:7" ht="15" customHeight="1" x14ac:dyDescent="0.3">
      <c r="C82" s="3"/>
      <c r="D82" s="8">
        <v>2017</v>
      </c>
      <c r="E82" s="14">
        <f>Data!N82</f>
        <v>-37565000000</v>
      </c>
      <c r="F82" s="14">
        <f>Data!K82</f>
        <v>466862000000</v>
      </c>
      <c r="G82" s="12">
        <f t="shared" si="1"/>
        <v>-8.0462749163564398E-2</v>
      </c>
    </row>
    <row r="83" spans="2:7" ht="15" customHeight="1" x14ac:dyDescent="0.3">
      <c r="C83" s="3"/>
      <c r="D83" s="8">
        <v>2018</v>
      </c>
      <c r="E83" s="14">
        <f>Data!N83</f>
        <v>-78803000000</v>
      </c>
      <c r="F83" s="14">
        <f>Data!K83</f>
        <v>388058000000</v>
      </c>
      <c r="G83" s="12">
        <f t="shared" si="1"/>
        <v>-0.20307015961531524</v>
      </c>
    </row>
    <row r="84" spans="2:7" ht="15" customHeight="1" x14ac:dyDescent="0.3">
      <c r="C84" s="3"/>
      <c r="D84" s="8">
        <v>2019</v>
      </c>
      <c r="E84" s="14">
        <f>Data!N84</f>
        <v>12855000000</v>
      </c>
      <c r="F84" s="14">
        <f>Data!K84</f>
        <v>400913000000</v>
      </c>
      <c r="G84" s="12">
        <f t="shared" si="1"/>
        <v>3.2064313205109336E-2</v>
      </c>
    </row>
    <row r="85" spans="2:7" ht="15" customHeight="1" x14ac:dyDescent="0.3">
      <c r="C85" s="3"/>
      <c r="D85" s="8">
        <v>2020</v>
      </c>
      <c r="E85" s="14">
        <f>Data!N85</f>
        <v>91530000000</v>
      </c>
      <c r="F85" s="14">
        <f>Data!K85</f>
        <v>492443000000</v>
      </c>
      <c r="G85" s="12">
        <f t="shared" si="1"/>
        <v>0.18586922750450305</v>
      </c>
    </row>
    <row r="86" spans="2:7" ht="15" customHeight="1" x14ac:dyDescent="0.3">
      <c r="C86" s="3"/>
      <c r="D86" s="8">
        <v>2021</v>
      </c>
      <c r="E86" s="14">
        <f>Data!N86</f>
        <v>40152000000</v>
      </c>
      <c r="F86" s="14">
        <f>Data!K86</f>
        <v>532596000000</v>
      </c>
      <c r="G86" s="12">
        <f t="shared" si="1"/>
        <v>7.5389225604398077E-2</v>
      </c>
    </row>
    <row r="87" spans="2:7" ht="15" customHeight="1" x14ac:dyDescent="0.3">
      <c r="C87" s="3"/>
      <c r="D87" s="8">
        <v>2022</v>
      </c>
      <c r="E87" s="14">
        <f>Data!N87</f>
        <v>51764000000</v>
      </c>
      <c r="F87" s="14">
        <f>Data!K87</f>
        <v>659360000000</v>
      </c>
      <c r="G87" s="12">
        <f t="shared" si="1"/>
        <v>7.8506430478039305E-2</v>
      </c>
    </row>
    <row r="88" spans="2:7" ht="15" customHeight="1" x14ac:dyDescent="0.3">
      <c r="C88" s="3"/>
      <c r="D88" s="8">
        <v>2023</v>
      </c>
      <c r="E88" s="14">
        <f>Data!N88</f>
        <v>71227000000</v>
      </c>
      <c r="F88" s="14">
        <f>Data!K88</f>
        <v>730586000000</v>
      </c>
      <c r="G88" s="12">
        <f t="shared" si="1"/>
        <v>9.7492971395564662E-2</v>
      </c>
    </row>
    <row r="89" spans="2:7" ht="15" customHeight="1" x14ac:dyDescent="0.3">
      <c r="C89" s="3"/>
      <c r="D89" s="8">
        <v>2024</v>
      </c>
      <c r="E89" s="14">
        <f>Data!N89</f>
        <v>83571000000</v>
      </c>
      <c r="F89" s="14">
        <f>Data!K89</f>
        <v>814158000000</v>
      </c>
      <c r="G89" s="12">
        <f t="shared" si="1"/>
        <v>0.10264715202700213</v>
      </c>
    </row>
    <row r="90" spans="2:7" ht="15" customHeight="1" x14ac:dyDescent="0.3">
      <c r="B90" s="8">
        <v>9</v>
      </c>
      <c r="C90" s="3" t="s">
        <v>11</v>
      </c>
      <c r="D90" s="8">
        <v>2014</v>
      </c>
      <c r="E90" s="14">
        <f>Data!N90</f>
        <v>0</v>
      </c>
      <c r="F90" s="14">
        <f>Data!K90</f>
        <v>0</v>
      </c>
      <c r="G90" s="12">
        <f t="shared" si="1"/>
        <v>0</v>
      </c>
    </row>
    <row r="91" spans="2:7" ht="15" customHeight="1" x14ac:dyDescent="0.3">
      <c r="C91" s="3"/>
      <c r="D91" s="8">
        <v>2015</v>
      </c>
      <c r="E91" s="14">
        <f>Data!N91</f>
        <v>-187450000000</v>
      </c>
      <c r="F91" s="14">
        <f>Data!K91</f>
        <v>1729967000000</v>
      </c>
      <c r="G91" s="12">
        <f t="shared" si="1"/>
        <v>-0.10835466803702036</v>
      </c>
    </row>
    <row r="92" spans="2:7" ht="15" customHeight="1" x14ac:dyDescent="0.3">
      <c r="C92" s="3"/>
      <c r="D92" s="8">
        <v>2016</v>
      </c>
      <c r="E92" s="14">
        <f>Data!N92</f>
        <v>201331000000</v>
      </c>
      <c r="F92" s="14">
        <f>Data!K92</f>
        <v>1901149000000</v>
      </c>
      <c r="G92" s="12">
        <f t="shared" si="1"/>
        <v>0.10589964279496242</v>
      </c>
    </row>
    <row r="93" spans="2:7" ht="15" customHeight="1" x14ac:dyDescent="0.3">
      <c r="C93" s="3"/>
      <c r="D93" s="8">
        <v>2017</v>
      </c>
      <c r="E93" s="14">
        <f>Data!N93</f>
        <v>-590339000000</v>
      </c>
      <c r="F93" s="14">
        <f>Data!K93</f>
        <v>1270110000000</v>
      </c>
      <c r="G93" s="12">
        <f t="shared" si="1"/>
        <v>-0.4647936005542827</v>
      </c>
    </row>
    <row r="94" spans="2:7" ht="15" customHeight="1" x14ac:dyDescent="0.3">
      <c r="C94" s="3"/>
      <c r="D94" s="8">
        <v>2018</v>
      </c>
      <c r="E94" s="14">
        <f>Data!N94</f>
        <v>175397000000</v>
      </c>
      <c r="F94" s="14">
        <f>Data!K94</f>
        <v>6696353000000</v>
      </c>
      <c r="G94" s="12">
        <f t="shared" si="1"/>
        <v>2.6192914262435089E-2</v>
      </c>
    </row>
    <row r="95" spans="2:7" ht="15" customHeight="1" x14ac:dyDescent="0.3">
      <c r="C95" s="3"/>
      <c r="D95" s="8">
        <v>2019</v>
      </c>
      <c r="E95" s="14">
        <f>Data!N95</f>
        <v>396160000000</v>
      </c>
      <c r="F95" s="14">
        <f>Data!K95</f>
        <v>8158087000000</v>
      </c>
      <c r="G95" s="12">
        <f t="shared" si="1"/>
        <v>4.8560403928028718E-2</v>
      </c>
    </row>
    <row r="96" spans="2:7" ht="15" customHeight="1" x14ac:dyDescent="0.3">
      <c r="C96" s="3"/>
      <c r="D96" s="8">
        <v>2020</v>
      </c>
      <c r="E96" s="14">
        <f>Data!N96</f>
        <v>70612000000</v>
      </c>
      <c r="F96" s="14">
        <f>Data!K96</f>
        <v>1820409000000</v>
      </c>
      <c r="G96" s="12">
        <f t="shared" si="1"/>
        <v>3.8789085309949574E-2</v>
      </c>
    </row>
    <row r="97" spans="2:7" ht="15" customHeight="1" x14ac:dyDescent="0.3">
      <c r="C97" s="3"/>
      <c r="D97" s="8">
        <v>2021</v>
      </c>
      <c r="E97" s="14">
        <f>Data!N97</f>
        <v>1154523000000</v>
      </c>
      <c r="F97" s="14">
        <f>Data!K97</f>
        <v>2942125000000</v>
      </c>
      <c r="G97" s="12">
        <f t="shared" si="1"/>
        <v>0.39241126736627435</v>
      </c>
    </row>
    <row r="98" spans="2:7" ht="15" customHeight="1" x14ac:dyDescent="0.3">
      <c r="C98" s="3"/>
      <c r="D98" s="8">
        <v>2022</v>
      </c>
      <c r="E98" s="14">
        <f>Data!N98</f>
        <v>158806000000</v>
      </c>
      <c r="F98" s="14">
        <f>Data!K98</f>
        <v>3077726000000</v>
      </c>
      <c r="G98" s="12">
        <f t="shared" si="1"/>
        <v>5.1598485375241331E-2</v>
      </c>
    </row>
    <row r="99" spans="2:7" ht="15" customHeight="1" x14ac:dyDescent="0.3">
      <c r="C99" s="3"/>
      <c r="D99" s="8">
        <v>2023</v>
      </c>
      <c r="E99" s="14">
        <f>Data!N99</f>
        <v>107690000000</v>
      </c>
      <c r="F99" s="14">
        <f>Data!K99</f>
        <v>3159009000000</v>
      </c>
      <c r="G99" s="12">
        <f t="shared" si="1"/>
        <v>3.4089804745728799E-2</v>
      </c>
    </row>
    <row r="100" spans="2:7" ht="15" customHeight="1" x14ac:dyDescent="0.3">
      <c r="C100" s="3"/>
      <c r="D100" s="8">
        <v>2024</v>
      </c>
      <c r="E100" s="14">
        <f>Data!N100</f>
        <v>277265000000</v>
      </c>
      <c r="F100" s="14">
        <f>Data!K100</f>
        <v>3409810000000</v>
      </c>
      <c r="G100" s="12">
        <f t="shared" si="1"/>
        <v>8.1313914851560642E-2</v>
      </c>
    </row>
    <row r="101" spans="2:7" ht="15" customHeight="1" x14ac:dyDescent="0.3">
      <c r="B101" s="8">
        <v>10</v>
      </c>
      <c r="C101" s="3" t="s">
        <v>13</v>
      </c>
      <c r="D101" s="8">
        <v>2014</v>
      </c>
      <c r="E101" s="14">
        <f>Data!N101</f>
        <v>0</v>
      </c>
      <c r="F101" s="14">
        <f>Data!K101</f>
        <v>0</v>
      </c>
      <c r="G101" s="12">
        <f t="shared" si="1"/>
        <v>0</v>
      </c>
    </row>
    <row r="102" spans="2:7" ht="15" customHeight="1" x14ac:dyDescent="0.3">
      <c r="C102" s="3"/>
      <c r="D102" s="8">
        <v>2015</v>
      </c>
      <c r="E102" s="14">
        <f>Data!N102</f>
        <v>-36816000000</v>
      </c>
      <c r="F102" s="14">
        <f>Data!K102</f>
        <v>468056000000</v>
      </c>
      <c r="G102" s="12">
        <f t="shared" si="1"/>
        <v>-7.8657254687473296E-2</v>
      </c>
    </row>
    <row r="103" spans="2:7" ht="15" customHeight="1" x14ac:dyDescent="0.3">
      <c r="C103" s="3"/>
      <c r="D103" s="8">
        <v>2016</v>
      </c>
      <c r="E103" s="14">
        <f>Data!N103</f>
        <v>-42161000000</v>
      </c>
      <c r="F103" s="14">
        <f>Data!K103</f>
        <v>756550000000</v>
      </c>
      <c r="G103" s="12">
        <f t="shared" si="1"/>
        <v>-5.5727975679069459E-2</v>
      </c>
    </row>
    <row r="104" spans="2:7" ht="15" customHeight="1" x14ac:dyDescent="0.3">
      <c r="C104" s="3"/>
      <c r="D104" s="8">
        <v>2017</v>
      </c>
      <c r="E104" s="14">
        <f>Data!N104</f>
        <v>86503000000</v>
      </c>
      <c r="F104" s="14">
        <f>Data!K104</f>
        <v>854686000000</v>
      </c>
      <c r="G104" s="12">
        <f t="shared" si="1"/>
        <v>0.10121026903447582</v>
      </c>
    </row>
    <row r="105" spans="2:7" ht="15" customHeight="1" x14ac:dyDescent="0.3">
      <c r="C105" s="3"/>
      <c r="D105" s="8">
        <v>2018</v>
      </c>
      <c r="E105" s="14">
        <f>Data!N105</f>
        <v>152236000000</v>
      </c>
      <c r="F105" s="14">
        <f>Data!K105</f>
        <v>1016575000000</v>
      </c>
      <c r="G105" s="12">
        <f t="shared" si="1"/>
        <v>0.1497538302633844</v>
      </c>
    </row>
    <row r="106" spans="2:7" ht="15" customHeight="1" x14ac:dyDescent="0.3">
      <c r="C106" s="3"/>
      <c r="D106" s="8">
        <v>2019</v>
      </c>
      <c r="E106" s="14">
        <f>Data!N106</f>
        <v>178061000000</v>
      </c>
      <c r="F106" s="14">
        <f>Data!K106</f>
        <v>1202982000000</v>
      </c>
      <c r="G106" s="12">
        <f t="shared" si="1"/>
        <v>0.14801634604674052</v>
      </c>
    </row>
    <row r="107" spans="2:7" ht="15" customHeight="1" x14ac:dyDescent="0.3">
      <c r="C107" s="3"/>
      <c r="D107" s="8">
        <v>2020</v>
      </c>
      <c r="E107" s="14">
        <f>Data!N107</f>
        <v>276804000000</v>
      </c>
      <c r="F107" s="14">
        <f>Data!K107</f>
        <v>1479784000000</v>
      </c>
      <c r="G107" s="12">
        <f t="shared" si="1"/>
        <v>0.18705702994491089</v>
      </c>
    </row>
    <row r="108" spans="2:7" ht="15" customHeight="1" x14ac:dyDescent="0.3">
      <c r="C108" s="3"/>
      <c r="D108" s="8">
        <v>2021</v>
      </c>
      <c r="E108" s="14">
        <f>Data!N108</f>
        <v>50163000000</v>
      </c>
      <c r="F108" s="14">
        <f>Data!K108</f>
        <v>1536586000000</v>
      </c>
      <c r="G108" s="12">
        <f t="shared" si="1"/>
        <v>3.2645748431913348E-2</v>
      </c>
    </row>
    <row r="109" spans="2:7" ht="15" customHeight="1" x14ac:dyDescent="0.3">
      <c r="C109" s="3"/>
      <c r="D109" s="8">
        <v>2022</v>
      </c>
      <c r="E109" s="14">
        <f>Data!N109</f>
        <v>-36433000000</v>
      </c>
      <c r="F109" s="14">
        <f>Data!K109</f>
        <v>1509157000000</v>
      </c>
      <c r="G109" s="12">
        <f t="shared" si="1"/>
        <v>-2.4141292125338849E-2</v>
      </c>
    </row>
    <row r="110" spans="2:7" ht="15" customHeight="1" x14ac:dyDescent="0.3">
      <c r="C110" s="3"/>
      <c r="D110" s="8">
        <v>2023</v>
      </c>
      <c r="E110" s="14">
        <f>Data!N110</f>
        <v>-175615000000</v>
      </c>
      <c r="F110" s="14">
        <f>Data!K110</f>
        <v>1346152000000</v>
      </c>
      <c r="G110" s="12">
        <f t="shared" si="1"/>
        <v>-0.13045703605536374</v>
      </c>
    </row>
    <row r="111" spans="2:7" ht="15" customHeight="1" x14ac:dyDescent="0.3">
      <c r="C111" s="3"/>
      <c r="D111" s="8">
        <v>2024</v>
      </c>
      <c r="E111" s="14">
        <f>Data!N111</f>
        <v>-181689000000</v>
      </c>
      <c r="F111" s="14">
        <f>Data!K111</f>
        <v>1172763000000</v>
      </c>
      <c r="G111" s="12">
        <f t="shared" si="1"/>
        <v>-0.1549238848769956</v>
      </c>
    </row>
    <row r="112" spans="2:7" ht="15" customHeight="1" x14ac:dyDescent="0.3">
      <c r="B112" s="8">
        <v>11</v>
      </c>
      <c r="C112" s="3" t="s">
        <v>23</v>
      </c>
      <c r="D112" s="8">
        <v>2014</v>
      </c>
      <c r="E112" s="14">
        <f>Data!N112</f>
        <v>0</v>
      </c>
      <c r="F112" s="14">
        <f>Data!K112</f>
        <v>0</v>
      </c>
      <c r="G112" s="12">
        <f t="shared" si="1"/>
        <v>0</v>
      </c>
    </row>
    <row r="113" spans="2:7" ht="15" customHeight="1" x14ac:dyDescent="0.3">
      <c r="C113" s="3"/>
      <c r="D113" s="8">
        <v>2015</v>
      </c>
      <c r="E113" s="14">
        <f>Data!N113</f>
        <v>0</v>
      </c>
      <c r="F113" s="14">
        <f>Data!K113</f>
        <v>0</v>
      </c>
      <c r="G113" s="12">
        <f t="shared" si="1"/>
        <v>0</v>
      </c>
    </row>
    <row r="114" spans="2:7" ht="15" customHeight="1" x14ac:dyDescent="0.3">
      <c r="C114" s="3"/>
      <c r="D114" s="8">
        <v>2016</v>
      </c>
      <c r="E114" s="14">
        <f>Data!N114</f>
        <v>0</v>
      </c>
      <c r="F114" s="14">
        <f>Data!K114</f>
        <v>0</v>
      </c>
      <c r="G114" s="12">
        <f t="shared" si="1"/>
        <v>0</v>
      </c>
    </row>
    <row r="115" spans="2:7" ht="15" customHeight="1" x14ac:dyDescent="0.3">
      <c r="C115" s="3"/>
      <c r="D115" s="8">
        <v>2017</v>
      </c>
      <c r="E115" s="14">
        <f>Data!N115</f>
        <v>0</v>
      </c>
      <c r="F115" s="14">
        <f>Data!K115</f>
        <v>0</v>
      </c>
      <c r="G115" s="12">
        <f t="shared" si="1"/>
        <v>0</v>
      </c>
    </row>
    <row r="116" spans="2:7" ht="15" customHeight="1" x14ac:dyDescent="0.3">
      <c r="C116" s="3"/>
      <c r="D116" s="8">
        <v>2018</v>
      </c>
      <c r="E116" s="14">
        <f>Data!N116</f>
        <v>0</v>
      </c>
      <c r="F116" s="14">
        <f>Data!K116</f>
        <v>0</v>
      </c>
      <c r="G116" s="12">
        <f t="shared" si="1"/>
        <v>0</v>
      </c>
    </row>
    <row r="117" spans="2:7" ht="15" customHeight="1" x14ac:dyDescent="0.3">
      <c r="C117" s="3"/>
      <c r="D117" s="8">
        <v>2019</v>
      </c>
      <c r="E117" s="14">
        <f>Data!N117</f>
        <v>0</v>
      </c>
      <c r="F117" s="14">
        <f>Data!K117</f>
        <v>0</v>
      </c>
      <c r="G117" s="12">
        <f t="shared" si="1"/>
        <v>0</v>
      </c>
    </row>
    <row r="118" spans="2:7" ht="15" customHeight="1" x14ac:dyDescent="0.3">
      <c r="C118" s="3"/>
      <c r="D118" s="8">
        <v>2020</v>
      </c>
      <c r="E118" s="14">
        <f>Data!N118</f>
        <v>-273000000</v>
      </c>
      <c r="F118" s="14">
        <f>Data!K118</f>
        <v>149727000000</v>
      </c>
      <c r="G118" s="12">
        <f t="shared" si="1"/>
        <v>-1.8233184395599993E-3</v>
      </c>
    </row>
    <row r="119" spans="2:7" ht="15" customHeight="1" x14ac:dyDescent="0.3">
      <c r="C119" s="3"/>
      <c r="D119" s="8">
        <v>2021</v>
      </c>
      <c r="E119" s="14">
        <f>Data!N119</f>
        <v>-98677000000</v>
      </c>
      <c r="F119" s="14">
        <f>Data!K119</f>
        <v>985643000000</v>
      </c>
      <c r="G119" s="12">
        <f t="shared" si="1"/>
        <v>-0.10011434160238544</v>
      </c>
    </row>
    <row r="120" spans="2:7" ht="15" customHeight="1" x14ac:dyDescent="0.3">
      <c r="C120" s="3"/>
      <c r="D120" s="8">
        <v>2022</v>
      </c>
      <c r="E120" s="14">
        <f>Data!N120</f>
        <v>-426136000000</v>
      </c>
      <c r="F120" s="14">
        <f>Data!K120</f>
        <v>2304125000000</v>
      </c>
      <c r="G120" s="12">
        <f t="shared" si="1"/>
        <v>-0.18494482721206532</v>
      </c>
    </row>
    <row r="121" spans="2:7" ht="15" customHeight="1" x14ac:dyDescent="0.3">
      <c r="C121" s="3"/>
      <c r="D121" s="8">
        <v>2023</v>
      </c>
      <c r="E121" s="14">
        <f>Data!N121</f>
        <v>-249408000000</v>
      </c>
      <c r="F121" s="14">
        <f>Data!K121</f>
        <v>3032730000000</v>
      </c>
      <c r="G121" s="12">
        <f t="shared" si="1"/>
        <v>-8.2238774965130421E-2</v>
      </c>
    </row>
    <row r="122" spans="2:7" ht="15" customHeight="1" x14ac:dyDescent="0.3">
      <c r="C122" s="3"/>
      <c r="D122" s="8">
        <v>2024</v>
      </c>
      <c r="E122" s="14">
        <f>Data!N122</f>
        <v>-690672000000</v>
      </c>
      <c r="F122" s="14">
        <f>Data!K122</f>
        <v>4225124000000</v>
      </c>
      <c r="G122" s="12">
        <f t="shared" si="1"/>
        <v>-0.16346786508514308</v>
      </c>
    </row>
    <row r="123" spans="2:7" ht="15" customHeight="1" x14ac:dyDescent="0.3">
      <c r="B123" s="8">
        <v>12</v>
      </c>
      <c r="C123" s="3" t="s">
        <v>24</v>
      </c>
      <c r="D123" s="8">
        <v>2014</v>
      </c>
      <c r="E123" s="14">
        <f>Data!N123</f>
        <v>0</v>
      </c>
      <c r="F123" s="14">
        <f>Data!K123</f>
        <v>0</v>
      </c>
      <c r="G123" s="12">
        <f t="shared" si="1"/>
        <v>0</v>
      </c>
    </row>
    <row r="124" spans="2:7" ht="15" customHeight="1" x14ac:dyDescent="0.3">
      <c r="C124" s="3"/>
      <c r="D124" s="8">
        <v>2015</v>
      </c>
      <c r="E124" s="14">
        <f>Data!N124</f>
        <v>154579903531</v>
      </c>
      <c r="F124" s="14">
        <f>Data!K124</f>
        <v>1302931094425</v>
      </c>
      <c r="G124" s="12">
        <f t="shared" si="1"/>
        <v>0.11864012163990766</v>
      </c>
    </row>
    <row r="125" spans="2:7" ht="15" customHeight="1" x14ac:dyDescent="0.3">
      <c r="C125" s="3"/>
      <c r="D125" s="8">
        <v>2016</v>
      </c>
      <c r="E125" s="14">
        <f>Data!N125</f>
        <v>164216173247</v>
      </c>
      <c r="F125" s="14">
        <f>Data!K125</f>
        <v>1386071504924</v>
      </c>
      <c r="G125" s="12">
        <f t="shared" si="1"/>
        <v>0.11847597520302834</v>
      </c>
    </row>
    <row r="126" spans="2:7" ht="15" customHeight="1" x14ac:dyDescent="0.3">
      <c r="C126" s="3"/>
      <c r="D126" s="8">
        <v>2017</v>
      </c>
      <c r="E126" s="14">
        <f>Data!N126</f>
        <v>193284467033</v>
      </c>
      <c r="F126" s="14">
        <f>Data!K126</f>
        <v>1444378094629</v>
      </c>
      <c r="G126" s="12">
        <f t="shared" si="1"/>
        <v>0.13381847021340118</v>
      </c>
    </row>
    <row r="127" spans="2:7" ht="15" customHeight="1" x14ac:dyDescent="0.3">
      <c r="C127" s="3"/>
      <c r="D127" s="8">
        <v>2018</v>
      </c>
      <c r="E127" s="14">
        <f>Data!N127</f>
        <v>135792457955</v>
      </c>
      <c r="F127" s="14">
        <f>Data!K127</f>
        <v>1345814587664</v>
      </c>
      <c r="G127" s="12">
        <f t="shared" si="1"/>
        <v>0.10089982617197069</v>
      </c>
    </row>
    <row r="128" spans="2:7" ht="15" customHeight="1" x14ac:dyDescent="0.3">
      <c r="C128" s="3"/>
      <c r="D128" s="8">
        <v>2019</v>
      </c>
      <c r="E128" s="14">
        <f>Data!N128</f>
        <v>105930469594</v>
      </c>
      <c r="F128" s="14">
        <f>Data!K128</f>
        <v>1316871069007</v>
      </c>
      <c r="G128" s="12">
        <f t="shared" si="1"/>
        <v>8.0441033360902942E-2</v>
      </c>
    </row>
    <row r="129" spans="2:7" ht="15" customHeight="1" x14ac:dyDescent="0.3">
      <c r="C129" s="3"/>
      <c r="D129" s="8">
        <v>2020</v>
      </c>
      <c r="E129" s="14">
        <f>Data!N129</f>
        <v>67107306581</v>
      </c>
      <c r="F129" s="14">
        <f>Data!K129</f>
        <v>1304029859724</v>
      </c>
      <c r="G129" s="12">
        <f t="shared" si="1"/>
        <v>5.146148002715472E-2</v>
      </c>
    </row>
    <row r="130" spans="2:7" ht="15" customHeight="1" x14ac:dyDescent="0.3">
      <c r="C130" s="3"/>
      <c r="D130" s="8">
        <v>2021</v>
      </c>
      <c r="E130" s="14">
        <f>Data!N130</f>
        <v>132982977990</v>
      </c>
      <c r="F130" s="14">
        <f>Data!K130</f>
        <v>2524302538621</v>
      </c>
      <c r="G130" s="12">
        <f t="shared" si="1"/>
        <v>5.2681077626553913E-2</v>
      </c>
    </row>
    <row r="131" spans="2:7" ht="15" customHeight="1" x14ac:dyDescent="0.3">
      <c r="C131" s="3"/>
      <c r="D131" s="8">
        <v>2022</v>
      </c>
      <c r="E131" s="14">
        <f>Data!N131</f>
        <v>145727158345</v>
      </c>
      <c r="F131" s="14">
        <f>Data!K131</f>
        <v>1439255350491</v>
      </c>
      <c r="G131" s="12">
        <f t="shared" ref="G131:G194" si="2">IFERROR(E131/F131,0)</f>
        <v>0.10125177460364165</v>
      </c>
    </row>
    <row r="132" spans="2:7" ht="15" customHeight="1" x14ac:dyDescent="0.3">
      <c r="C132" s="3"/>
      <c r="D132" s="8">
        <v>2023</v>
      </c>
      <c r="E132" s="14">
        <f>Data!N132</f>
        <v>174833158950</v>
      </c>
      <c r="F132" s="14">
        <f>Data!K132</f>
        <v>1585027205340</v>
      </c>
      <c r="G132" s="12">
        <f t="shared" si="2"/>
        <v>0.1103029388776308</v>
      </c>
    </row>
    <row r="133" spans="2:7" ht="15" customHeight="1" x14ac:dyDescent="0.3">
      <c r="C133" s="3"/>
      <c r="D133" s="8">
        <v>2024</v>
      </c>
      <c r="E133" s="14">
        <f>Data!N133</f>
        <v>-9810672972</v>
      </c>
      <c r="F133" s="14">
        <f>Data!K133</f>
        <v>1576020209937</v>
      </c>
      <c r="G133" s="12">
        <f t="shared" si="2"/>
        <v>-6.2249664757739196E-3</v>
      </c>
    </row>
    <row r="134" spans="2:7" ht="15" customHeight="1" x14ac:dyDescent="0.3">
      <c r="B134" s="8">
        <v>13</v>
      </c>
      <c r="C134" s="3" t="s">
        <v>18</v>
      </c>
      <c r="D134" s="8">
        <v>2014</v>
      </c>
      <c r="E134" s="14">
        <f>Data!N134</f>
        <v>0</v>
      </c>
      <c r="F134" s="14">
        <f>Data!K134</f>
        <v>0</v>
      </c>
      <c r="G134" s="12">
        <f t="shared" si="2"/>
        <v>0</v>
      </c>
    </row>
    <row r="135" spans="2:7" ht="15" customHeight="1" x14ac:dyDescent="0.3">
      <c r="C135" s="3"/>
      <c r="D135" s="8">
        <v>2015</v>
      </c>
      <c r="E135" s="14">
        <f>Data!N135</f>
        <v>1206782000000</v>
      </c>
      <c r="F135" s="14">
        <f>Data!K135</f>
        <v>7497748000000</v>
      </c>
      <c r="G135" s="12">
        <f t="shared" si="2"/>
        <v>0.16095259536596856</v>
      </c>
    </row>
    <row r="136" spans="2:7" ht="15" customHeight="1" x14ac:dyDescent="0.3">
      <c r="C136" s="3"/>
      <c r="D136" s="8">
        <v>2016</v>
      </c>
      <c r="E136" s="14">
        <f>Data!N136</f>
        <v>661706000000</v>
      </c>
      <c r="F136" s="14">
        <f>Data!K136</f>
        <v>8026121000000</v>
      </c>
      <c r="G136" s="12">
        <f t="shared" si="2"/>
        <v>8.2444059839117803E-2</v>
      </c>
    </row>
    <row r="137" spans="2:7" ht="15" customHeight="1" x14ac:dyDescent="0.3">
      <c r="C137" s="3"/>
      <c r="D137" s="8">
        <v>2017</v>
      </c>
      <c r="E137" s="14">
        <f>Data!N137</f>
        <v>2550825000000</v>
      </c>
      <c r="F137" s="14">
        <f>Data!K137</f>
        <v>10863284000000</v>
      </c>
      <c r="G137" s="12">
        <f t="shared" si="2"/>
        <v>0.23481159104373964</v>
      </c>
    </row>
    <row r="138" spans="2:7" ht="15" customHeight="1" x14ac:dyDescent="0.3">
      <c r="C138" s="3"/>
      <c r="D138" s="8">
        <v>2018</v>
      </c>
      <c r="E138" s="14">
        <f>Data!N138</f>
        <v>655664000000</v>
      </c>
      <c r="F138" s="14">
        <f>Data!K138</f>
        <v>11253789000000</v>
      </c>
      <c r="G138" s="12">
        <f t="shared" si="2"/>
        <v>5.8261621930178357E-2</v>
      </c>
    </row>
    <row r="139" spans="2:7" ht="15" customHeight="1" x14ac:dyDescent="0.3">
      <c r="C139" s="3"/>
      <c r="D139" s="8">
        <v>2019</v>
      </c>
      <c r="E139" s="14">
        <f>Data!N139</f>
        <v>2838494000000</v>
      </c>
      <c r="F139" s="14">
        <f>Data!K139</f>
        <v>14092283000000</v>
      </c>
      <c r="G139" s="12">
        <f t="shared" si="2"/>
        <v>0.20142187039530784</v>
      </c>
    </row>
    <row r="140" spans="2:7" ht="15" customHeight="1" x14ac:dyDescent="0.3">
      <c r="C140" s="3"/>
      <c r="D140" s="8">
        <v>2020</v>
      </c>
      <c r="E140" s="14">
        <f>Data!N140</f>
        <v>1490576000000</v>
      </c>
      <c r="F140" s="14">
        <f>Data!K140</f>
        <v>15574135000000</v>
      </c>
      <c r="G140" s="12">
        <f t="shared" si="2"/>
        <v>9.570842939270785E-2</v>
      </c>
    </row>
    <row r="141" spans="2:7" ht="15" customHeight="1" x14ac:dyDescent="0.3">
      <c r="C141" s="3"/>
      <c r="D141" s="8">
        <v>2021</v>
      </c>
      <c r="E141" s="14">
        <f>Data!N141</f>
        <v>1136142000000</v>
      </c>
      <c r="F141" s="14">
        <f>Data!K141</f>
        <v>15283277000000</v>
      </c>
      <c r="G141" s="12">
        <f t="shared" si="2"/>
        <v>7.4338899962357555E-2</v>
      </c>
    </row>
    <row r="142" spans="2:7" ht="15" customHeight="1" x14ac:dyDescent="0.3">
      <c r="C142" s="3"/>
      <c r="D142" s="8">
        <v>2022</v>
      </c>
      <c r="E142" s="14">
        <f>Data!N142</f>
        <v>423400000000</v>
      </c>
      <c r="F142" s="14">
        <f>Data!K142</f>
        <v>14784454000000</v>
      </c>
      <c r="G142" s="12">
        <f t="shared" si="2"/>
        <v>2.8638189817493429E-2</v>
      </c>
    </row>
    <row r="143" spans="2:7" ht="15" customHeight="1" x14ac:dyDescent="0.3">
      <c r="C143" s="3"/>
      <c r="D143" s="8">
        <v>2023</v>
      </c>
      <c r="E143" s="14">
        <f>Data!N143</f>
        <v>1284071000000</v>
      </c>
      <c r="F143" s="14">
        <f>Data!K143</f>
        <v>15098377000000</v>
      </c>
      <c r="G143" s="12">
        <f t="shared" si="2"/>
        <v>8.5046955709212987E-2</v>
      </c>
    </row>
    <row r="144" spans="2:7" ht="15" customHeight="1" x14ac:dyDescent="0.3">
      <c r="C144" s="3"/>
      <c r="D144" s="8">
        <v>2024</v>
      </c>
      <c r="E144" s="14">
        <f>Data!N144</f>
        <v>1280096000000</v>
      </c>
      <c r="F144" s="14">
        <f>Data!K144</f>
        <v>15637751000000</v>
      </c>
      <c r="G144" s="12">
        <f t="shared" si="2"/>
        <v>8.1859341538306887E-2</v>
      </c>
    </row>
    <row r="145" spans="2:7" ht="15" customHeight="1" x14ac:dyDescent="0.3">
      <c r="B145" s="8">
        <v>14</v>
      </c>
      <c r="C145" s="4" t="s">
        <v>57</v>
      </c>
      <c r="D145" s="8">
        <v>2014</v>
      </c>
      <c r="E145" s="14">
        <f>Data!N145</f>
        <v>0</v>
      </c>
      <c r="F145" s="14">
        <f>Data!K145</f>
        <v>0</v>
      </c>
      <c r="G145" s="12">
        <f t="shared" si="2"/>
        <v>0</v>
      </c>
    </row>
    <row r="146" spans="2:7" ht="15" customHeight="1" x14ac:dyDescent="0.3">
      <c r="C146" s="4"/>
      <c r="D146" s="8">
        <v>2015</v>
      </c>
      <c r="E146" s="14">
        <f>Data!N146</f>
        <v>0</v>
      </c>
      <c r="F146" s="14">
        <f>Data!K146</f>
        <v>0</v>
      </c>
      <c r="G146" s="12">
        <f t="shared" si="2"/>
        <v>0</v>
      </c>
    </row>
    <row r="147" spans="2:7" ht="15" customHeight="1" x14ac:dyDescent="0.3">
      <c r="C147" s="4"/>
      <c r="D147" s="8">
        <v>2016</v>
      </c>
      <c r="E147" s="14">
        <f>Data!N147</f>
        <v>0</v>
      </c>
      <c r="F147" s="14">
        <f>Data!K147</f>
        <v>0</v>
      </c>
      <c r="G147" s="12">
        <f t="shared" si="2"/>
        <v>0</v>
      </c>
    </row>
    <row r="148" spans="2:7" ht="15" customHeight="1" x14ac:dyDescent="0.3">
      <c r="C148" s="4"/>
      <c r="D148" s="8">
        <v>2017</v>
      </c>
      <c r="E148" s="14">
        <f>Data!N148</f>
        <v>0</v>
      </c>
      <c r="F148" s="14">
        <f>Data!K148</f>
        <v>0</v>
      </c>
      <c r="G148" s="12">
        <f t="shared" si="2"/>
        <v>0</v>
      </c>
    </row>
    <row r="149" spans="2:7" ht="15" customHeight="1" x14ac:dyDescent="0.3">
      <c r="C149" s="4"/>
      <c r="D149" s="8">
        <v>2018</v>
      </c>
      <c r="E149" s="14">
        <f>Data!N149</f>
        <v>0</v>
      </c>
      <c r="F149" s="14">
        <f>Data!K149</f>
        <v>0</v>
      </c>
      <c r="G149" s="12">
        <f t="shared" si="2"/>
        <v>0</v>
      </c>
    </row>
    <row r="150" spans="2:7" ht="15" customHeight="1" x14ac:dyDescent="0.3">
      <c r="C150" s="4"/>
      <c r="D150" s="8">
        <v>2019</v>
      </c>
      <c r="E150" s="14">
        <f>Data!N150</f>
        <v>0</v>
      </c>
      <c r="F150" s="14">
        <f>Data!K150</f>
        <v>0</v>
      </c>
      <c r="G150" s="12">
        <f t="shared" si="2"/>
        <v>0</v>
      </c>
    </row>
    <row r="151" spans="2:7" ht="15" customHeight="1" x14ac:dyDescent="0.3">
      <c r="C151" s="4"/>
      <c r="D151" s="8">
        <v>2020</v>
      </c>
      <c r="E151" s="14">
        <f>Data!N151</f>
        <v>0</v>
      </c>
      <c r="F151" s="14">
        <f>Data!K151</f>
        <v>0</v>
      </c>
      <c r="G151" s="12">
        <f t="shared" si="2"/>
        <v>0</v>
      </c>
    </row>
    <row r="152" spans="2:7" ht="15" customHeight="1" x14ac:dyDescent="0.3">
      <c r="C152" s="4"/>
      <c r="D152" s="8">
        <v>2021</v>
      </c>
      <c r="E152" s="14">
        <f>Data!N152</f>
        <v>0</v>
      </c>
      <c r="F152" s="14">
        <f>Data!K152</f>
        <v>0</v>
      </c>
      <c r="G152" s="12">
        <f t="shared" si="2"/>
        <v>0</v>
      </c>
    </row>
    <row r="153" spans="2:7" ht="15" customHeight="1" x14ac:dyDescent="0.3">
      <c r="C153" s="4"/>
      <c r="D153" s="8">
        <v>2022</v>
      </c>
      <c r="E153" s="14">
        <f>Data!N153</f>
        <v>0</v>
      </c>
      <c r="F153" s="14">
        <f>Data!K153</f>
        <v>0</v>
      </c>
      <c r="G153" s="12">
        <f t="shared" si="2"/>
        <v>0</v>
      </c>
    </row>
    <row r="154" spans="2:7" ht="15" customHeight="1" x14ac:dyDescent="0.3">
      <c r="C154" s="4"/>
      <c r="D154" s="8">
        <v>2023</v>
      </c>
      <c r="E154" s="14">
        <f>Data!N154</f>
        <v>0</v>
      </c>
      <c r="F154" s="14">
        <f>Data!K154</f>
        <v>0</v>
      </c>
      <c r="G154" s="12">
        <f t="shared" si="2"/>
        <v>0</v>
      </c>
    </row>
    <row r="155" spans="2:7" ht="15" customHeight="1" x14ac:dyDescent="0.3">
      <c r="C155" s="4"/>
      <c r="D155" s="8">
        <v>2024</v>
      </c>
      <c r="E155" s="14">
        <f>Data!N155</f>
        <v>3278000000</v>
      </c>
      <c r="F155" s="14">
        <f>Data!K155</f>
        <v>342334000000</v>
      </c>
      <c r="G155" s="12">
        <f t="shared" si="2"/>
        <v>9.5754438647636525E-3</v>
      </c>
    </row>
    <row r="156" spans="2:7" ht="15" customHeight="1" x14ac:dyDescent="0.3">
      <c r="B156" s="8">
        <v>15</v>
      </c>
      <c r="C156" s="3" t="s">
        <v>25</v>
      </c>
      <c r="D156" s="8">
        <v>2014</v>
      </c>
      <c r="E156" s="14">
        <f>Data!N156</f>
        <v>0</v>
      </c>
      <c r="F156" s="14">
        <f>Data!K156</f>
        <v>0</v>
      </c>
      <c r="G156" s="12">
        <f t="shared" si="2"/>
        <v>0</v>
      </c>
    </row>
    <row r="157" spans="2:7" ht="15" customHeight="1" x14ac:dyDescent="0.3">
      <c r="C157" s="3"/>
      <c r="D157" s="8">
        <v>2015</v>
      </c>
      <c r="E157" s="14">
        <f>Data!N157</f>
        <v>0</v>
      </c>
      <c r="F157" s="14">
        <f>Data!K157</f>
        <v>0</v>
      </c>
      <c r="G157" s="12">
        <f t="shared" si="2"/>
        <v>0</v>
      </c>
    </row>
    <row r="158" spans="2:7" ht="15" customHeight="1" x14ac:dyDescent="0.3">
      <c r="C158" s="3"/>
      <c r="D158" s="8">
        <v>2016</v>
      </c>
      <c r="E158" s="14">
        <f>Data!N158</f>
        <v>0</v>
      </c>
      <c r="F158" s="14">
        <f>Data!K158</f>
        <v>0</v>
      </c>
      <c r="G158" s="12">
        <f t="shared" si="2"/>
        <v>0</v>
      </c>
    </row>
    <row r="159" spans="2:7" ht="15" customHeight="1" x14ac:dyDescent="0.3">
      <c r="C159" s="3"/>
      <c r="D159" s="8">
        <v>2017</v>
      </c>
      <c r="E159" s="14">
        <f>Data!N159</f>
        <v>501540000</v>
      </c>
      <c r="F159" s="14">
        <f>Data!K159</f>
        <v>155501540000</v>
      </c>
      <c r="G159" s="12">
        <f t="shared" si="2"/>
        <v>3.2253056786447258E-3</v>
      </c>
    </row>
    <row r="160" spans="2:7" ht="15" customHeight="1" x14ac:dyDescent="0.3">
      <c r="C160" s="3"/>
      <c r="D160" s="8">
        <v>2018</v>
      </c>
      <c r="E160" s="14">
        <f>Data!N160</f>
        <v>1460400000</v>
      </c>
      <c r="F160" s="14">
        <f>Data!K160</f>
        <v>156961940000</v>
      </c>
      <c r="G160" s="12">
        <f t="shared" si="2"/>
        <v>9.3041663475871925E-3</v>
      </c>
    </row>
    <row r="161" spans="2:7" ht="15" customHeight="1" x14ac:dyDescent="0.3">
      <c r="C161" s="3"/>
      <c r="D161" s="8">
        <v>2019</v>
      </c>
      <c r="E161" s="14">
        <f>Data!N161</f>
        <v>5454720000</v>
      </c>
      <c r="F161" s="14">
        <f>Data!K161</f>
        <v>162416660000</v>
      </c>
      <c r="G161" s="12">
        <f t="shared" si="2"/>
        <v>3.3584732009634972E-2</v>
      </c>
    </row>
    <row r="162" spans="2:7" ht="15" customHeight="1" x14ac:dyDescent="0.3">
      <c r="C162" s="3"/>
      <c r="D162" s="8">
        <v>2020</v>
      </c>
      <c r="E162" s="14">
        <f>Data!N162</f>
        <v>3385500000</v>
      </c>
      <c r="F162" s="14">
        <f>Data!K162</f>
        <v>165802160000</v>
      </c>
      <c r="G162" s="12">
        <f t="shared" si="2"/>
        <v>2.0418913722233777E-2</v>
      </c>
    </row>
    <row r="163" spans="2:7" ht="15" customHeight="1" x14ac:dyDescent="0.3">
      <c r="C163" s="3"/>
      <c r="D163" s="8">
        <v>2021</v>
      </c>
      <c r="E163" s="14">
        <f>Data!N163</f>
        <v>12031620000</v>
      </c>
      <c r="F163" s="14">
        <f>Data!K163</f>
        <v>177833770000</v>
      </c>
      <c r="G163" s="12">
        <f t="shared" si="2"/>
        <v>6.7656553645575865E-2</v>
      </c>
    </row>
    <row r="164" spans="2:7" ht="15" customHeight="1" x14ac:dyDescent="0.3">
      <c r="C164" s="3"/>
      <c r="D164" s="8">
        <v>2022</v>
      </c>
      <c r="E164" s="14">
        <f>Data!N164</f>
        <v>9161300000</v>
      </c>
      <c r="F164" s="14">
        <f>Data!K164</f>
        <v>186995080000</v>
      </c>
      <c r="G164" s="12">
        <f t="shared" si="2"/>
        <v>4.8992198083500381E-2</v>
      </c>
    </row>
    <row r="165" spans="2:7" ht="15" customHeight="1" x14ac:dyDescent="0.3">
      <c r="C165" s="3"/>
      <c r="D165" s="8">
        <v>2023</v>
      </c>
      <c r="E165" s="14">
        <f>Data!N165</f>
        <v>5888430000</v>
      </c>
      <c r="F165" s="14">
        <f>Data!K165</f>
        <v>192883510000</v>
      </c>
      <c r="G165" s="12">
        <f t="shared" si="2"/>
        <v>3.05284261987974E-2</v>
      </c>
    </row>
    <row r="166" spans="2:7" ht="15" customHeight="1" x14ac:dyDescent="0.3">
      <c r="C166" s="3"/>
      <c r="D166" s="8">
        <v>2024</v>
      </c>
      <c r="E166" s="14">
        <f>Data!N166</f>
        <v>-6353510000</v>
      </c>
      <c r="F166" s="14">
        <f>Data!K166</f>
        <v>186530010000</v>
      </c>
      <c r="G166" s="12">
        <f t="shared" si="2"/>
        <v>-3.4061596844389815E-2</v>
      </c>
    </row>
    <row r="167" spans="2:7" ht="15" customHeight="1" x14ac:dyDescent="0.3">
      <c r="B167" s="8">
        <v>16</v>
      </c>
      <c r="C167" s="3" t="s">
        <v>44</v>
      </c>
      <c r="D167" s="8">
        <v>2014</v>
      </c>
      <c r="E167" s="14">
        <f>Data!N167</f>
        <v>0</v>
      </c>
      <c r="F167" s="14">
        <f>Data!K167</f>
        <v>0</v>
      </c>
      <c r="G167" s="12">
        <f t="shared" si="2"/>
        <v>0</v>
      </c>
    </row>
    <row r="168" spans="2:7" ht="15" customHeight="1" x14ac:dyDescent="0.3">
      <c r="C168" s="3"/>
      <c r="D168" s="8">
        <v>2015</v>
      </c>
      <c r="E168" s="14">
        <f>Data!N168</f>
        <v>14252740000</v>
      </c>
      <c r="F168" s="14">
        <f>Data!K168</f>
        <v>135327720000</v>
      </c>
      <c r="G168" s="12">
        <f t="shared" si="2"/>
        <v>0.10532018126072028</v>
      </c>
    </row>
    <row r="169" spans="2:7" ht="15" customHeight="1" x14ac:dyDescent="0.3">
      <c r="C169" s="3"/>
      <c r="D169" s="8">
        <v>2016</v>
      </c>
      <c r="E169" s="14">
        <f>Data!N169</f>
        <v>21191070000</v>
      </c>
      <c r="F169" s="14">
        <f>Data!K169</f>
        <v>156518790000</v>
      </c>
      <c r="G169" s="12">
        <f t="shared" si="2"/>
        <v>0.13538994263883589</v>
      </c>
    </row>
    <row r="170" spans="2:7" ht="15" customHeight="1" x14ac:dyDescent="0.3">
      <c r="C170" s="3"/>
      <c r="D170" s="8">
        <v>2017</v>
      </c>
      <c r="E170" s="14">
        <f>Data!N170</f>
        <v>26577540000</v>
      </c>
      <c r="F170" s="14">
        <f>Data!K170</f>
        <v>183096330000</v>
      </c>
      <c r="G170" s="12">
        <f t="shared" si="2"/>
        <v>0.14515604982360925</v>
      </c>
    </row>
    <row r="171" spans="2:7" ht="15" customHeight="1" x14ac:dyDescent="0.3">
      <c r="C171" s="3"/>
      <c r="D171" s="8">
        <v>2018</v>
      </c>
      <c r="E171" s="14">
        <f>Data!N171</f>
        <v>-77545910000</v>
      </c>
      <c r="F171" s="14">
        <f>Data!K171</f>
        <v>105550420000</v>
      </c>
      <c r="G171" s="12">
        <f t="shared" si="2"/>
        <v>-0.73468120733200304</v>
      </c>
    </row>
    <row r="172" spans="2:7" ht="15" customHeight="1" x14ac:dyDescent="0.3">
      <c r="C172" s="3"/>
      <c r="D172" s="8">
        <v>2019</v>
      </c>
      <c r="E172" s="14">
        <f>Data!N172</f>
        <v>6309710000</v>
      </c>
      <c r="F172" s="14">
        <f>Data!K172</f>
        <v>158646300000</v>
      </c>
      <c r="G172" s="12">
        <f t="shared" si="2"/>
        <v>3.977218504308011E-2</v>
      </c>
    </row>
    <row r="173" spans="2:7" ht="15" customHeight="1" x14ac:dyDescent="0.3">
      <c r="C173" s="3"/>
      <c r="D173" s="8">
        <v>2020</v>
      </c>
      <c r="E173" s="14">
        <f>Data!N173</f>
        <v>15710620000</v>
      </c>
      <c r="F173" s="14">
        <f>Data!K173</f>
        <v>176928510000</v>
      </c>
      <c r="G173" s="12">
        <f t="shared" si="2"/>
        <v>8.8796429699204496E-2</v>
      </c>
    </row>
    <row r="174" spans="2:7" ht="15" customHeight="1" x14ac:dyDescent="0.3">
      <c r="C174" s="3"/>
      <c r="D174" s="8">
        <v>2021</v>
      </c>
      <c r="E174" s="14">
        <f>Data!N174</f>
        <v>16429119999.999998</v>
      </c>
      <c r="F174" s="14">
        <f>Data!K174</f>
        <v>188195150000</v>
      </c>
      <c r="G174" s="12">
        <f t="shared" si="2"/>
        <v>8.7298317730292188E-2</v>
      </c>
    </row>
    <row r="175" spans="2:7" ht="15" customHeight="1" x14ac:dyDescent="0.3">
      <c r="C175" s="3"/>
      <c r="D175" s="8">
        <v>2022</v>
      </c>
      <c r="E175" s="14">
        <f>Data!N175</f>
        <v>15544080000</v>
      </c>
      <c r="F175" s="14">
        <f>Data!K175</f>
        <v>219984670000</v>
      </c>
      <c r="G175" s="12">
        <f t="shared" si="2"/>
        <v>7.0659832796530778E-2</v>
      </c>
    </row>
    <row r="176" spans="2:7" ht="15" customHeight="1" x14ac:dyDescent="0.3">
      <c r="C176" s="3"/>
      <c r="D176" s="8">
        <v>2023</v>
      </c>
      <c r="E176" s="14">
        <f>Data!N176</f>
        <v>21273470000</v>
      </c>
      <c r="F176" s="14">
        <f>Data!K176</f>
        <v>245636300000</v>
      </c>
      <c r="G176" s="12">
        <f t="shared" si="2"/>
        <v>8.6605562777162817E-2</v>
      </c>
    </row>
    <row r="177" spans="2:7" ht="15" customHeight="1" x14ac:dyDescent="0.3">
      <c r="C177" s="3"/>
      <c r="D177" s="8">
        <v>2024</v>
      </c>
      <c r="E177" s="14">
        <f>Data!N177</f>
        <v>-23808050000</v>
      </c>
      <c r="F177" s="14">
        <f>Data!K177</f>
        <v>223273490000</v>
      </c>
      <c r="G177" s="12">
        <f t="shared" si="2"/>
        <v>-0.10663178149810799</v>
      </c>
    </row>
    <row r="178" spans="2:7" ht="15" customHeight="1" x14ac:dyDescent="0.3">
      <c r="B178" s="8">
        <v>17</v>
      </c>
      <c r="C178" s="3" t="s">
        <v>22</v>
      </c>
      <c r="D178" s="8">
        <v>2014</v>
      </c>
      <c r="E178" s="14">
        <f>Data!N178</f>
        <v>0</v>
      </c>
      <c r="F178" s="14">
        <f>Data!K178</f>
        <v>0</v>
      </c>
      <c r="G178" s="12">
        <f t="shared" si="2"/>
        <v>0</v>
      </c>
    </row>
    <row r="179" spans="2:7" ht="15" customHeight="1" x14ac:dyDescent="0.3">
      <c r="C179" s="3"/>
      <c r="D179" s="8">
        <v>2015</v>
      </c>
      <c r="E179" s="14">
        <f>Data!N179</f>
        <v>0</v>
      </c>
      <c r="F179" s="14">
        <f>Data!K179</f>
        <v>0</v>
      </c>
      <c r="G179" s="12">
        <f t="shared" si="2"/>
        <v>0</v>
      </c>
    </row>
    <row r="180" spans="2:7" ht="15" customHeight="1" x14ac:dyDescent="0.3">
      <c r="C180" s="3"/>
      <c r="D180" s="8">
        <v>2016</v>
      </c>
      <c r="E180" s="14">
        <f>Data!N180</f>
        <v>0</v>
      </c>
      <c r="F180" s="14">
        <f>Data!K180</f>
        <v>0</v>
      </c>
      <c r="G180" s="12">
        <f t="shared" si="2"/>
        <v>0</v>
      </c>
    </row>
    <row r="181" spans="2:7" ht="15" customHeight="1" x14ac:dyDescent="0.3">
      <c r="C181" s="3"/>
      <c r="D181" s="8">
        <v>2017</v>
      </c>
      <c r="E181" s="14">
        <f>Data!N181</f>
        <v>0</v>
      </c>
      <c r="F181" s="14">
        <f>Data!K181</f>
        <v>0</v>
      </c>
      <c r="G181" s="12">
        <f t="shared" si="2"/>
        <v>0</v>
      </c>
    </row>
    <row r="182" spans="2:7" ht="15" customHeight="1" x14ac:dyDescent="0.3">
      <c r="C182" s="3"/>
      <c r="D182" s="8">
        <v>2018</v>
      </c>
      <c r="E182" s="14">
        <f>Data!N182</f>
        <v>0</v>
      </c>
      <c r="F182" s="14">
        <f>Data!K182</f>
        <v>0</v>
      </c>
      <c r="G182" s="12">
        <f t="shared" si="2"/>
        <v>0</v>
      </c>
    </row>
    <row r="183" spans="2:7" ht="15" customHeight="1" x14ac:dyDescent="0.3">
      <c r="C183" s="3"/>
      <c r="D183" s="8">
        <v>2019</v>
      </c>
      <c r="E183" s="14">
        <f>Data!E183</f>
        <v>525000000</v>
      </c>
      <c r="F183" s="14">
        <f>Data!K183</f>
        <v>63266000000</v>
      </c>
      <c r="G183" s="12">
        <f t="shared" si="2"/>
        <v>8.2982960832042492E-3</v>
      </c>
    </row>
    <row r="184" spans="2:7" ht="15" customHeight="1" x14ac:dyDescent="0.3">
      <c r="C184" s="3"/>
      <c r="D184" s="8">
        <v>2020</v>
      </c>
      <c r="E184" s="14">
        <f>Data!E184</f>
        <v>960000000</v>
      </c>
      <c r="F184" s="14">
        <f>Data!K184</f>
        <v>68405000000</v>
      </c>
      <c r="G184" s="12">
        <f t="shared" si="2"/>
        <v>1.4034061837584972E-2</v>
      </c>
    </row>
    <row r="185" spans="2:7" ht="15" customHeight="1" x14ac:dyDescent="0.3">
      <c r="C185" s="3"/>
      <c r="D185" s="8">
        <v>2021</v>
      </c>
      <c r="E185" s="14">
        <f>Data!N185</f>
        <v>-40918000000</v>
      </c>
      <c r="F185" s="14">
        <f>Data!K185</f>
        <v>116287000000</v>
      </c>
      <c r="G185" s="12">
        <f t="shared" si="2"/>
        <v>-0.35187080241127555</v>
      </c>
    </row>
    <row r="186" spans="2:7" ht="15" customHeight="1" x14ac:dyDescent="0.3">
      <c r="C186" s="3"/>
      <c r="D186" s="8">
        <v>2022</v>
      </c>
      <c r="E186" s="14">
        <f>Data!N186</f>
        <v>-10553000000</v>
      </c>
      <c r="F186" s="14">
        <f>Data!K186</f>
        <v>112735000000</v>
      </c>
      <c r="G186" s="12">
        <f t="shared" si="2"/>
        <v>-9.3608905841131865E-2</v>
      </c>
    </row>
    <row r="187" spans="2:7" ht="15" customHeight="1" x14ac:dyDescent="0.3">
      <c r="C187" s="3"/>
      <c r="D187" s="8">
        <v>2023</v>
      </c>
      <c r="E187" s="14">
        <f>Data!N187</f>
        <v>55014000000</v>
      </c>
      <c r="F187" s="14">
        <f>Data!K187</f>
        <v>167749000000</v>
      </c>
      <c r="G187" s="12">
        <f t="shared" si="2"/>
        <v>0.32795426500307007</v>
      </c>
    </row>
    <row r="188" spans="2:7" ht="15" customHeight="1" x14ac:dyDescent="0.3">
      <c r="C188" s="3"/>
      <c r="D188" s="8">
        <v>2024</v>
      </c>
      <c r="E188" s="14">
        <f>Data!N188</f>
        <v>69683000000</v>
      </c>
      <c r="F188" s="14">
        <f>Data!K188</f>
        <v>237432000000</v>
      </c>
      <c r="G188" s="12">
        <f t="shared" si="2"/>
        <v>0.29348613497759357</v>
      </c>
    </row>
    <row r="189" spans="2:7" ht="15" customHeight="1" x14ac:dyDescent="0.3">
      <c r="B189" s="8">
        <v>18</v>
      </c>
      <c r="C189" s="3" t="s">
        <v>45</v>
      </c>
      <c r="D189" s="8">
        <v>2014</v>
      </c>
      <c r="E189" s="14">
        <f>Data!N189</f>
        <v>0</v>
      </c>
      <c r="F189" s="14">
        <f>Data!K189</f>
        <v>0</v>
      </c>
      <c r="G189" s="12">
        <f t="shared" si="2"/>
        <v>0</v>
      </c>
    </row>
    <row r="190" spans="2:7" ht="15" customHeight="1" x14ac:dyDescent="0.3">
      <c r="C190" s="3"/>
      <c r="D190" s="8">
        <v>2015</v>
      </c>
      <c r="E190" s="14">
        <f>Data!N190</f>
        <v>-7758000000</v>
      </c>
      <c r="F190" s="14">
        <f>Data!K190</f>
        <v>237171000000</v>
      </c>
      <c r="G190" s="12">
        <f t="shared" si="2"/>
        <v>-3.2710575913581341E-2</v>
      </c>
    </row>
    <row r="191" spans="2:7" ht="15" customHeight="1" x14ac:dyDescent="0.3">
      <c r="C191" s="3"/>
      <c r="D191" s="8">
        <v>2016</v>
      </c>
      <c r="E191" s="14">
        <f>Data!N191</f>
        <v>3151000000</v>
      </c>
      <c r="F191" s="14">
        <f>Data!K191</f>
        <v>240322000000</v>
      </c>
      <c r="G191" s="12">
        <f t="shared" si="2"/>
        <v>1.311157530313496E-2</v>
      </c>
    </row>
    <row r="192" spans="2:7" ht="15" customHeight="1" x14ac:dyDescent="0.3">
      <c r="C192" s="3"/>
      <c r="D192" s="8">
        <v>2017</v>
      </c>
      <c r="E192" s="14">
        <f>Data!N192</f>
        <v>24332000000</v>
      </c>
      <c r="F192" s="14">
        <f>Data!K192</f>
        <v>264654000000</v>
      </c>
      <c r="G192" s="12">
        <f t="shared" si="2"/>
        <v>9.1938908915036241E-2</v>
      </c>
    </row>
    <row r="193" spans="2:7" ht="15" customHeight="1" x14ac:dyDescent="0.3">
      <c r="C193" s="3"/>
      <c r="D193" s="8">
        <v>2018</v>
      </c>
      <c r="E193" s="14">
        <f>Data!N193</f>
        <v>-25353000000</v>
      </c>
      <c r="F193" s="14">
        <f>Data!K193</f>
        <v>239302000000</v>
      </c>
      <c r="G193" s="12">
        <f t="shared" si="2"/>
        <v>-0.10594562519327043</v>
      </c>
    </row>
    <row r="194" spans="2:7" ht="15" customHeight="1" x14ac:dyDescent="0.3">
      <c r="C194" s="3"/>
      <c r="D194" s="8">
        <v>2019</v>
      </c>
      <c r="E194" s="14">
        <f>Data!N194</f>
        <v>5545000000</v>
      </c>
      <c r="F194" s="14">
        <f>Data!K194</f>
        <v>244846000000</v>
      </c>
      <c r="G194" s="12">
        <f t="shared" si="2"/>
        <v>2.2646888248123311E-2</v>
      </c>
    </row>
    <row r="195" spans="2:7" ht="15" customHeight="1" x14ac:dyDescent="0.3">
      <c r="C195" s="3"/>
      <c r="D195" s="8">
        <v>2020</v>
      </c>
      <c r="E195" s="14">
        <f>Data!N195</f>
        <v>-17327000000</v>
      </c>
      <c r="F195" s="14">
        <f>Data!K195</f>
        <v>227519000000</v>
      </c>
      <c r="G195" s="12">
        <f t="shared" ref="G195:G258" si="3">IFERROR(E195/F195,0)</f>
        <v>-7.6156277058179761E-2</v>
      </c>
    </row>
    <row r="196" spans="2:7" ht="15" customHeight="1" x14ac:dyDescent="0.3">
      <c r="C196" s="3"/>
      <c r="D196" s="8">
        <v>2021</v>
      </c>
      <c r="E196" s="14">
        <f>Data!N196</f>
        <v>-12214000000</v>
      </c>
      <c r="F196" s="14">
        <f>Data!K196</f>
        <v>215305000000</v>
      </c>
      <c r="G196" s="12">
        <f t="shared" si="3"/>
        <v>-5.6728826548384848E-2</v>
      </c>
    </row>
    <row r="197" spans="2:7" ht="15" customHeight="1" x14ac:dyDescent="0.3">
      <c r="C197" s="3"/>
      <c r="D197" s="8">
        <v>2022</v>
      </c>
      <c r="E197" s="14">
        <f>Data!N197</f>
        <v>-19737000000</v>
      </c>
      <c r="F197" s="14">
        <f>Data!K197</f>
        <v>195568000000</v>
      </c>
      <c r="G197" s="12">
        <f t="shared" si="3"/>
        <v>-0.10092141863699583</v>
      </c>
    </row>
    <row r="198" spans="2:7" ht="15" customHeight="1" x14ac:dyDescent="0.3">
      <c r="C198" s="3"/>
      <c r="D198" s="8">
        <v>2023</v>
      </c>
      <c r="E198" s="14">
        <f>Data!N198</f>
        <v>-23252000000</v>
      </c>
      <c r="F198" s="14">
        <f>Data!K198</f>
        <v>172316000000</v>
      </c>
      <c r="G198" s="12">
        <f t="shared" si="3"/>
        <v>-0.13493813691125606</v>
      </c>
    </row>
    <row r="199" spans="2:7" ht="15" customHeight="1" x14ac:dyDescent="0.3">
      <c r="C199" s="3"/>
      <c r="D199" s="8">
        <v>2024</v>
      </c>
      <c r="E199" s="14">
        <f>Data!N199</f>
        <v>-29197000000</v>
      </c>
      <c r="F199" s="14">
        <f>Data!K199</f>
        <v>143119000000</v>
      </c>
      <c r="G199" s="12">
        <f t="shared" si="3"/>
        <v>-0.20400505872735275</v>
      </c>
    </row>
    <row r="200" spans="2:7" ht="15" customHeight="1" x14ac:dyDescent="0.3">
      <c r="B200" s="8">
        <v>19</v>
      </c>
      <c r="C200" s="3" t="s">
        <v>46</v>
      </c>
      <c r="D200" s="8">
        <v>2014</v>
      </c>
      <c r="E200" s="14">
        <f>Data!N200</f>
        <v>0</v>
      </c>
      <c r="F200" s="14">
        <f>Data!K200</f>
        <v>0</v>
      </c>
      <c r="G200" s="12">
        <f t="shared" si="3"/>
        <v>0</v>
      </c>
    </row>
    <row r="201" spans="2:7" ht="15" customHeight="1" x14ac:dyDescent="0.3">
      <c r="C201" s="3"/>
      <c r="D201" s="8">
        <v>2015</v>
      </c>
      <c r="E201" s="14">
        <f>Data!N201</f>
        <v>525895000000</v>
      </c>
      <c r="F201" s="14">
        <f>Data!K201</f>
        <v>5597812000000</v>
      </c>
      <c r="G201" s="12">
        <f t="shared" si="3"/>
        <v>9.3946527679028877E-2</v>
      </c>
    </row>
    <row r="202" spans="2:7" ht="15" customHeight="1" x14ac:dyDescent="0.3">
      <c r="C202" s="3"/>
      <c r="D202" s="8">
        <v>2016</v>
      </c>
      <c r="E202" s="14">
        <f>Data!N202</f>
        <v>852179000000</v>
      </c>
      <c r="F202" s="14">
        <f>Data!K202</f>
        <v>5774991000000</v>
      </c>
      <c r="G202" s="12">
        <f t="shared" si="3"/>
        <v>0.14756369317285517</v>
      </c>
    </row>
    <row r="203" spans="2:7" ht="15" customHeight="1" x14ac:dyDescent="0.3">
      <c r="C203" s="3"/>
      <c r="D203" s="8">
        <v>2017</v>
      </c>
      <c r="E203" s="14">
        <f>Data!N203</f>
        <v>1347511000000</v>
      </c>
      <c r="F203" s="14">
        <f>Data!K203</f>
        <v>6394502000000</v>
      </c>
      <c r="G203" s="12">
        <f t="shared" si="3"/>
        <v>0.21072962366733172</v>
      </c>
    </row>
    <row r="204" spans="2:7" ht="15" customHeight="1" x14ac:dyDescent="0.3">
      <c r="C204" s="3"/>
      <c r="D204" s="8">
        <v>2018</v>
      </c>
      <c r="E204" s="14">
        <f>Data!N204</f>
        <v>539719000000</v>
      </c>
      <c r="F204" s="14">
        <f>Data!K204</f>
        <v>6372422000000</v>
      </c>
      <c r="G204" s="12">
        <f t="shared" si="3"/>
        <v>8.4696054341661622E-2</v>
      </c>
    </row>
    <row r="205" spans="2:7" ht="15" customHeight="1" x14ac:dyDescent="0.3">
      <c r="C205" s="3"/>
      <c r="D205" s="8">
        <v>2019</v>
      </c>
      <c r="E205" s="14">
        <f>Data!N205</f>
        <v>970846000000</v>
      </c>
      <c r="F205" s="14">
        <f>Data!K205</f>
        <v>6553268000000</v>
      </c>
      <c r="G205" s="12">
        <f t="shared" si="3"/>
        <v>0.14814684825952487</v>
      </c>
    </row>
    <row r="206" spans="2:7" ht="15" customHeight="1" x14ac:dyDescent="0.3">
      <c r="C206" s="3"/>
      <c r="D206" s="8">
        <v>2020</v>
      </c>
      <c r="E206" s="14">
        <f>Data!N206</f>
        <v>1336075000000</v>
      </c>
      <c r="F206" s="14">
        <f>Data!K206</f>
        <v>7467843000000</v>
      </c>
      <c r="G206" s="12">
        <f t="shared" si="3"/>
        <v>0.17891042969167939</v>
      </c>
    </row>
    <row r="207" spans="2:7" ht="15" customHeight="1" x14ac:dyDescent="0.3">
      <c r="C207" s="3"/>
      <c r="D207" s="8">
        <v>2021</v>
      </c>
      <c r="E207" s="14">
        <f>Data!N207</f>
        <v>201044000000</v>
      </c>
      <c r="F207" s="14">
        <f>Data!K207</f>
        <v>6564887000000</v>
      </c>
      <c r="G207" s="12">
        <f t="shared" si="3"/>
        <v>3.0624137170982533E-2</v>
      </c>
    </row>
    <row r="208" spans="2:7" ht="15" customHeight="1" x14ac:dyDescent="0.3">
      <c r="C208" s="3"/>
      <c r="D208" s="8">
        <v>2022</v>
      </c>
      <c r="E208" s="14">
        <f>Data!N208</f>
        <v>345107000000</v>
      </c>
      <c r="F208" s="14">
        <f>Data!K208</f>
        <v>7084995000000</v>
      </c>
      <c r="G208" s="12">
        <f t="shared" si="3"/>
        <v>4.8709561545209279E-2</v>
      </c>
    </row>
    <row r="209" spans="2:7" ht="15" customHeight="1" x14ac:dyDescent="0.3">
      <c r="C209" s="3"/>
      <c r="D209" s="8">
        <v>2023</v>
      </c>
      <c r="E209" s="14">
        <f>Data!N209</f>
        <v>400877000000</v>
      </c>
      <c r="F209" s="14">
        <f>Data!K209</f>
        <v>6930872000000</v>
      </c>
      <c r="G209" s="12">
        <f t="shared" si="3"/>
        <v>5.7839331039442082E-2</v>
      </c>
    </row>
    <row r="210" spans="2:7" ht="15" customHeight="1" x14ac:dyDescent="0.3">
      <c r="C210" s="3"/>
      <c r="D210" s="8">
        <v>2024</v>
      </c>
      <c r="E210" s="14">
        <f>Data!N210</f>
        <v>810484000000</v>
      </c>
      <c r="F210" s="14">
        <f>Data!K210</f>
        <v>7351838000000</v>
      </c>
      <c r="G210" s="12">
        <f t="shared" si="3"/>
        <v>0.11024236388233799</v>
      </c>
    </row>
    <row r="211" spans="2:7" ht="15" customHeight="1" x14ac:dyDescent="0.3">
      <c r="B211" s="8">
        <v>20</v>
      </c>
      <c r="C211" s="3" t="s">
        <v>27</v>
      </c>
      <c r="D211" s="8">
        <v>2014</v>
      </c>
      <c r="E211" s="14">
        <f>Data!N211</f>
        <v>0</v>
      </c>
      <c r="F211" s="14">
        <f>Data!K211</f>
        <v>0</v>
      </c>
      <c r="G211" s="12">
        <f t="shared" si="3"/>
        <v>0</v>
      </c>
    </row>
    <row r="212" spans="2:7" ht="15" customHeight="1" x14ac:dyDescent="0.3">
      <c r="C212" s="3"/>
      <c r="D212" s="8">
        <v>2015</v>
      </c>
      <c r="E212" s="14">
        <f>Data!N212</f>
        <v>0</v>
      </c>
      <c r="F212" s="14">
        <f>Data!K212</f>
        <v>0</v>
      </c>
      <c r="G212" s="12">
        <f t="shared" si="3"/>
        <v>0</v>
      </c>
    </row>
    <row r="213" spans="2:7" ht="15" customHeight="1" x14ac:dyDescent="0.3">
      <c r="C213" s="3"/>
      <c r="D213" s="8">
        <v>2016</v>
      </c>
      <c r="E213" s="14">
        <f>Data!N213</f>
        <v>0</v>
      </c>
      <c r="F213" s="14">
        <f>Data!K213</f>
        <v>0</v>
      </c>
      <c r="G213" s="12">
        <f t="shared" si="3"/>
        <v>0</v>
      </c>
    </row>
    <row r="214" spans="2:7" ht="15" customHeight="1" x14ac:dyDescent="0.3">
      <c r="C214" s="3"/>
      <c r="D214" s="8">
        <v>2017</v>
      </c>
      <c r="E214" s="14">
        <f>Data!N214</f>
        <v>-9034000000</v>
      </c>
      <c r="F214" s="14">
        <f>Data!K214</f>
        <v>-12402000000</v>
      </c>
      <c r="G214" s="12">
        <f t="shared" si="3"/>
        <v>0.72843089824221896</v>
      </c>
    </row>
    <row r="215" spans="2:7" ht="15" customHeight="1" x14ac:dyDescent="0.3">
      <c r="C215" s="3"/>
      <c r="D215" s="8">
        <v>2018</v>
      </c>
      <c r="E215" s="14">
        <f>Data!N215</f>
        <v>766000000</v>
      </c>
      <c r="F215" s="14">
        <f>Data!K215</f>
        <v>107363000000</v>
      </c>
      <c r="G215" s="12">
        <f t="shared" si="3"/>
        <v>7.1346739565772196E-3</v>
      </c>
    </row>
    <row r="216" spans="2:7" ht="15" customHeight="1" x14ac:dyDescent="0.3">
      <c r="C216" s="3"/>
      <c r="D216" s="8">
        <v>2019</v>
      </c>
      <c r="E216" s="14">
        <f>Data!N216</f>
        <v>23971000000</v>
      </c>
      <c r="F216" s="14">
        <f>Data!K216</f>
        <v>131334000000</v>
      </c>
      <c r="G216" s="12">
        <f t="shared" si="3"/>
        <v>0.18251937807422297</v>
      </c>
    </row>
    <row r="217" spans="2:7" ht="15" customHeight="1" x14ac:dyDescent="0.3">
      <c r="C217" s="3"/>
      <c r="D217" s="8">
        <v>2020</v>
      </c>
      <c r="E217" s="14">
        <f>Data!N217</f>
        <v>23520000000</v>
      </c>
      <c r="F217" s="14">
        <f>Data!K217</f>
        <v>154854000000</v>
      </c>
      <c r="G217" s="12">
        <f t="shared" si="3"/>
        <v>0.15188500135611607</v>
      </c>
    </row>
    <row r="218" spans="2:7" ht="15" customHeight="1" x14ac:dyDescent="0.3">
      <c r="C218" s="3"/>
      <c r="D218" s="8">
        <v>2021</v>
      </c>
      <c r="E218" s="14">
        <f>Data!N218</f>
        <v>43739000000</v>
      </c>
      <c r="F218" s="14">
        <f>Data!K218</f>
        <v>198594000000</v>
      </c>
      <c r="G218" s="12">
        <f t="shared" si="3"/>
        <v>0.22024331047262255</v>
      </c>
    </row>
    <row r="219" spans="2:7" ht="15" customHeight="1" x14ac:dyDescent="0.3">
      <c r="C219" s="3"/>
      <c r="D219" s="8">
        <v>2022</v>
      </c>
      <c r="E219" s="14">
        <f>Data!N219</f>
        <v>23857000000</v>
      </c>
      <c r="F219" s="14">
        <f>Data!K219</f>
        <v>222450000000</v>
      </c>
      <c r="G219" s="12">
        <f t="shared" si="3"/>
        <v>0.10724657226342998</v>
      </c>
    </row>
    <row r="220" spans="2:7" ht="15" customHeight="1" x14ac:dyDescent="0.3">
      <c r="C220" s="3"/>
      <c r="D220" s="8">
        <v>2023</v>
      </c>
      <c r="E220" s="14">
        <f>Data!N220</f>
        <v>43431000000</v>
      </c>
      <c r="F220" s="14">
        <f>Data!K220</f>
        <v>265882000000</v>
      </c>
      <c r="G220" s="12">
        <f t="shared" si="3"/>
        <v>0.16334689824809501</v>
      </c>
    </row>
    <row r="221" spans="2:7" ht="15" customHeight="1" x14ac:dyDescent="0.3">
      <c r="C221" s="3"/>
      <c r="D221" s="8">
        <v>2024</v>
      </c>
      <c r="E221" s="14">
        <f>Data!N221</f>
        <v>17892000000</v>
      </c>
      <c r="F221" s="14">
        <f>Data!K221</f>
        <v>283774000000</v>
      </c>
      <c r="G221" s="12">
        <f t="shared" si="3"/>
        <v>6.3050173729799069E-2</v>
      </c>
    </row>
    <row r="222" spans="2:7" ht="15" customHeight="1" x14ac:dyDescent="0.3">
      <c r="B222" s="8">
        <v>21</v>
      </c>
      <c r="C222" s="4" t="s">
        <v>52</v>
      </c>
      <c r="D222" s="8">
        <v>2014</v>
      </c>
      <c r="E222" s="14">
        <f>Data!N222</f>
        <v>0</v>
      </c>
      <c r="F222" s="14">
        <f>Data!K222</f>
        <v>0</v>
      </c>
      <c r="G222" s="12">
        <f t="shared" si="3"/>
        <v>0</v>
      </c>
    </row>
    <row r="223" spans="2:7" ht="15" customHeight="1" x14ac:dyDescent="0.3">
      <c r="C223" s="4"/>
      <c r="D223" s="8">
        <v>2015</v>
      </c>
      <c r="E223" s="14">
        <f>Data!N223</f>
        <v>5875000000</v>
      </c>
      <c r="F223" s="14">
        <f>Data!K223</f>
        <v>82469000000</v>
      </c>
      <c r="G223" s="12">
        <f t="shared" si="3"/>
        <v>7.1238889764638838E-2</v>
      </c>
    </row>
    <row r="224" spans="2:7" ht="15" customHeight="1" x14ac:dyDescent="0.3">
      <c r="C224" s="4"/>
      <c r="D224" s="8">
        <v>2016</v>
      </c>
      <c r="E224" s="14">
        <f>Data!N224</f>
        <v>5657000000</v>
      </c>
      <c r="F224" s="14">
        <f>Data!K224</f>
        <v>111180000000</v>
      </c>
      <c r="G224" s="12">
        <f t="shared" si="3"/>
        <v>5.0881453498830727E-2</v>
      </c>
    </row>
    <row r="225" spans="2:7" ht="15" customHeight="1" x14ac:dyDescent="0.3">
      <c r="C225" s="4"/>
      <c r="D225" s="8">
        <v>2017</v>
      </c>
      <c r="E225" s="14">
        <f>Data!N225</f>
        <v>4005000000</v>
      </c>
      <c r="F225" s="14">
        <f>Data!K225</f>
        <v>108312000000</v>
      </c>
      <c r="G225" s="12">
        <f t="shared" si="3"/>
        <v>3.6976512297806338E-2</v>
      </c>
    </row>
    <row r="226" spans="2:7" ht="15" customHeight="1" x14ac:dyDescent="0.3">
      <c r="C226" s="4"/>
      <c r="D226" s="8">
        <v>2018</v>
      </c>
      <c r="E226" s="14">
        <f>Data!N226</f>
        <v>4288000000</v>
      </c>
      <c r="F226" s="14">
        <f>Data!K226</f>
        <v>105331000000</v>
      </c>
      <c r="G226" s="12">
        <f t="shared" si="3"/>
        <v>4.0709762558031347E-2</v>
      </c>
    </row>
    <row r="227" spans="2:7" ht="15" customHeight="1" x14ac:dyDescent="0.3">
      <c r="C227" s="4"/>
      <c r="D227" s="8">
        <v>2019</v>
      </c>
      <c r="E227" s="14">
        <f>Data!N227</f>
        <v>5532000000</v>
      </c>
      <c r="F227" s="14">
        <f>Data!K227</f>
        <v>112548000000</v>
      </c>
      <c r="G227" s="12">
        <f t="shared" si="3"/>
        <v>4.9152361659025486E-2</v>
      </c>
    </row>
    <row r="228" spans="2:7" ht="15" customHeight="1" x14ac:dyDescent="0.3">
      <c r="C228" s="4"/>
      <c r="D228" s="8">
        <v>2020</v>
      </c>
      <c r="E228" s="14">
        <f>Data!N228</f>
        <v>4823000000</v>
      </c>
      <c r="F228" s="14">
        <f>Data!K228</f>
        <v>117254000000</v>
      </c>
      <c r="G228" s="12">
        <f t="shared" si="3"/>
        <v>4.113292510276835E-2</v>
      </c>
    </row>
    <row r="229" spans="2:7" ht="15" customHeight="1" x14ac:dyDescent="0.3">
      <c r="C229" s="4"/>
      <c r="D229" s="8">
        <v>2021</v>
      </c>
      <c r="E229" s="14">
        <f>Data!N229</f>
        <v>7362000000</v>
      </c>
      <c r="F229" s="14">
        <f>Data!K229</f>
        <v>140128000000</v>
      </c>
      <c r="G229" s="12">
        <f t="shared" si="3"/>
        <v>5.2537679835578902E-2</v>
      </c>
    </row>
    <row r="230" spans="2:7" ht="15" customHeight="1" x14ac:dyDescent="0.3">
      <c r="C230" s="4"/>
      <c r="D230" s="8">
        <v>2022</v>
      </c>
      <c r="E230" s="14">
        <f>Data!N230</f>
        <v>12734000000</v>
      </c>
      <c r="F230" s="14">
        <f>Data!K230</f>
        <v>152930000000</v>
      </c>
      <c r="G230" s="12">
        <f t="shared" si="3"/>
        <v>8.3266854116262348E-2</v>
      </c>
    </row>
    <row r="231" spans="2:7" ht="15" customHeight="1" x14ac:dyDescent="0.3">
      <c r="C231" s="4"/>
      <c r="D231" s="8">
        <v>2023</v>
      </c>
      <c r="E231" s="14">
        <f>Data!N231</f>
        <v>33889000000</v>
      </c>
      <c r="F231" s="14">
        <f>Data!K231</f>
        <v>196917000000</v>
      </c>
      <c r="G231" s="12">
        <f t="shared" si="3"/>
        <v>0.17209788895829206</v>
      </c>
    </row>
    <row r="232" spans="2:7" ht="15" customHeight="1" x14ac:dyDescent="0.3">
      <c r="C232" s="4"/>
      <c r="D232" s="8">
        <v>2024</v>
      </c>
      <c r="E232" s="14">
        <f>Data!N232</f>
        <v>43301000000</v>
      </c>
      <c r="F232" s="14">
        <f>Data!K232</f>
        <v>248554000000</v>
      </c>
      <c r="G232" s="12">
        <f t="shared" si="3"/>
        <v>0.17421164012649162</v>
      </c>
    </row>
    <row r="233" spans="2:7" ht="15" customHeight="1" x14ac:dyDescent="0.3">
      <c r="B233" s="8">
        <v>22</v>
      </c>
      <c r="C233" s="4" t="s">
        <v>53</v>
      </c>
      <c r="D233" s="8">
        <v>2014</v>
      </c>
      <c r="E233" s="14">
        <f>Data!N233</f>
        <v>0</v>
      </c>
      <c r="F233" s="14">
        <f>Data!K233</f>
        <v>0</v>
      </c>
      <c r="G233" s="12">
        <f t="shared" si="3"/>
        <v>0</v>
      </c>
    </row>
    <row r="234" spans="2:7" ht="15" customHeight="1" x14ac:dyDescent="0.3">
      <c r="C234" s="4"/>
      <c r="D234" s="8">
        <v>2015</v>
      </c>
      <c r="E234" s="14">
        <f>Data!N234</f>
        <v>0</v>
      </c>
      <c r="F234" s="14">
        <f>Data!K234</f>
        <v>0</v>
      </c>
      <c r="G234" s="12">
        <f t="shared" si="3"/>
        <v>0</v>
      </c>
    </row>
    <row r="235" spans="2:7" ht="15" customHeight="1" x14ac:dyDescent="0.3">
      <c r="C235" s="4"/>
      <c r="D235" s="8">
        <v>2016</v>
      </c>
      <c r="E235" s="14">
        <f>Data!N235</f>
        <v>-3971000000</v>
      </c>
      <c r="F235" s="14">
        <f>Data!K235</f>
        <v>96029000000</v>
      </c>
      <c r="G235" s="12">
        <f t="shared" si="3"/>
        <v>-4.1352091555675888E-2</v>
      </c>
    </row>
    <row r="236" spans="2:7" ht="15" customHeight="1" x14ac:dyDescent="0.3">
      <c r="C236" s="4"/>
      <c r="D236" s="8">
        <v>2017</v>
      </c>
      <c r="E236" s="14">
        <f>Data!N236</f>
        <v>-9239000000</v>
      </c>
      <c r="F236" s="14">
        <f>Data!K236</f>
        <v>75556000000</v>
      </c>
      <c r="G236" s="12">
        <f t="shared" si="3"/>
        <v>-0.12228016305786436</v>
      </c>
    </row>
    <row r="237" spans="2:7" ht="15" customHeight="1" x14ac:dyDescent="0.3">
      <c r="C237" s="4"/>
      <c r="D237" s="8">
        <v>2018</v>
      </c>
      <c r="E237" s="14">
        <f>Data!N237</f>
        <v>-7268000000</v>
      </c>
      <c r="F237" s="14">
        <f>Data!K237</f>
        <v>42862000000</v>
      </c>
      <c r="G237" s="12">
        <f t="shared" si="3"/>
        <v>-0.16956744902244411</v>
      </c>
    </row>
    <row r="238" spans="2:7" ht="15" customHeight="1" x14ac:dyDescent="0.3">
      <c r="C238" s="4"/>
      <c r="D238" s="8">
        <v>2019</v>
      </c>
      <c r="E238" s="14">
        <f>Data!N238</f>
        <v>-27733000000</v>
      </c>
      <c r="F238" s="14">
        <f>Data!K238</f>
        <v>4487000000</v>
      </c>
      <c r="G238" s="12">
        <f t="shared" si="3"/>
        <v>-6.1807443726320486</v>
      </c>
    </row>
    <row r="239" spans="2:7" ht="15" customHeight="1" x14ac:dyDescent="0.3">
      <c r="C239" s="4"/>
      <c r="D239" s="8">
        <v>2020</v>
      </c>
      <c r="E239" s="14">
        <f>Data!N239</f>
        <v>-18651000000</v>
      </c>
      <c r="F239" s="14">
        <f>Data!K239</f>
        <v>-20024000000</v>
      </c>
      <c r="G239" s="12">
        <f t="shared" si="3"/>
        <v>0.93143228126248501</v>
      </c>
    </row>
    <row r="240" spans="2:7" ht="15" customHeight="1" x14ac:dyDescent="0.3">
      <c r="C240" s="4"/>
      <c r="D240" s="8">
        <v>2021</v>
      </c>
      <c r="E240" s="14">
        <f>Data!N240</f>
        <v>-10585000000</v>
      </c>
      <c r="F240" s="14">
        <f>Data!K240</f>
        <v>-35637000000</v>
      </c>
      <c r="G240" s="12">
        <f t="shared" si="3"/>
        <v>0.29702275724668181</v>
      </c>
    </row>
    <row r="241" spans="2:7" ht="15" customHeight="1" x14ac:dyDescent="0.3">
      <c r="C241" s="4"/>
      <c r="D241" s="8">
        <v>2022</v>
      </c>
      <c r="E241" s="14">
        <f>Data!N241</f>
        <v>-5592000000</v>
      </c>
      <c r="F241" s="14">
        <f>Data!K241</f>
        <v>-56375000000</v>
      </c>
      <c r="G241" s="12">
        <f t="shared" si="3"/>
        <v>9.9192904656319289E-2</v>
      </c>
    </row>
    <row r="242" spans="2:7" ht="15" customHeight="1" x14ac:dyDescent="0.3">
      <c r="C242" s="4"/>
      <c r="D242" s="8">
        <v>2023</v>
      </c>
      <c r="E242" s="14">
        <f>Data!N242</f>
        <v>-11351000000</v>
      </c>
      <c r="F242" s="14">
        <f>Data!K242</f>
        <v>-92258000000</v>
      </c>
      <c r="G242" s="12">
        <f t="shared" si="3"/>
        <v>0.12303540072405646</v>
      </c>
    </row>
    <row r="243" spans="2:7" ht="15" customHeight="1" x14ac:dyDescent="0.3">
      <c r="C243" s="4"/>
      <c r="D243" s="8">
        <v>2024</v>
      </c>
      <c r="E243" s="14">
        <f>Data!N243</f>
        <v>-5791000000</v>
      </c>
      <c r="F243" s="14">
        <f>Data!K243</f>
        <v>-43857000000</v>
      </c>
      <c r="G243" s="12">
        <f t="shared" si="3"/>
        <v>0.13204277538363318</v>
      </c>
    </row>
    <row r="244" spans="2:7" ht="15" customHeight="1" x14ac:dyDescent="0.3">
      <c r="B244" s="8">
        <v>23</v>
      </c>
      <c r="C244" s="4" t="s">
        <v>51</v>
      </c>
      <c r="D244" s="8">
        <v>2014</v>
      </c>
      <c r="E244" s="14">
        <f>Data!N244</f>
        <v>0</v>
      </c>
      <c r="F244" s="14">
        <f>Data!K244</f>
        <v>0</v>
      </c>
      <c r="G244" s="12">
        <f t="shared" si="3"/>
        <v>0</v>
      </c>
    </row>
    <row r="245" spans="2:7" ht="15" customHeight="1" x14ac:dyDescent="0.3">
      <c r="C245" s="4"/>
      <c r="D245" s="8">
        <v>2015</v>
      </c>
      <c r="E245" s="14">
        <f>Data!N245</f>
        <v>2467000000</v>
      </c>
      <c r="F245" s="14">
        <f>Data!K245</f>
        <v>63145000000</v>
      </c>
      <c r="G245" s="12">
        <f t="shared" si="3"/>
        <v>3.906880988201758E-2</v>
      </c>
    </row>
    <row r="246" spans="2:7" ht="15" customHeight="1" x14ac:dyDescent="0.3">
      <c r="C246" s="4"/>
      <c r="D246" s="8">
        <v>2016</v>
      </c>
      <c r="E246" s="14">
        <f>Data!N246</f>
        <v>148000000</v>
      </c>
      <c r="F246" s="14">
        <f>Data!K246</f>
        <v>63227000000</v>
      </c>
      <c r="G246" s="12">
        <f t="shared" si="3"/>
        <v>2.340772138485141E-3</v>
      </c>
    </row>
    <row r="247" spans="2:7" ht="15" customHeight="1" x14ac:dyDescent="0.3">
      <c r="C247" s="4"/>
      <c r="D247" s="8">
        <v>2017</v>
      </c>
      <c r="E247" s="14">
        <f>Data!N247</f>
        <v>-1901000000</v>
      </c>
      <c r="F247" s="14">
        <f>Data!K247</f>
        <v>113731000000</v>
      </c>
      <c r="G247" s="12">
        <f t="shared" si="3"/>
        <v>-1.6714879848062532E-2</v>
      </c>
    </row>
    <row r="248" spans="2:7" ht="15" customHeight="1" x14ac:dyDescent="0.3">
      <c r="C248" s="4"/>
      <c r="D248" s="8">
        <v>2018</v>
      </c>
      <c r="E248" s="14">
        <f>Data!N248</f>
        <v>553000000</v>
      </c>
      <c r="F248" s="14">
        <f>Data!K248</f>
        <v>112822000000</v>
      </c>
      <c r="G248" s="12">
        <f t="shared" si="3"/>
        <v>4.9015262980624348E-3</v>
      </c>
    </row>
    <row r="249" spans="2:7" ht="15" customHeight="1" x14ac:dyDescent="0.3">
      <c r="C249" s="4"/>
      <c r="D249" s="8">
        <v>2019</v>
      </c>
      <c r="E249" s="14">
        <f>Data!N249</f>
        <v>1251000000</v>
      </c>
      <c r="F249" s="14">
        <f>Data!K249</f>
        <v>113698000000</v>
      </c>
      <c r="G249" s="12">
        <f t="shared" si="3"/>
        <v>1.1002832063888546E-2</v>
      </c>
    </row>
    <row r="250" spans="2:7" ht="15" customHeight="1" x14ac:dyDescent="0.3">
      <c r="C250" s="4"/>
      <c r="D250" s="8">
        <v>2020</v>
      </c>
      <c r="E250" s="14">
        <f>Data!N250</f>
        <v>53000000</v>
      </c>
      <c r="F250" s="14">
        <f>Data!K250</f>
        <v>116313000000</v>
      </c>
      <c r="G250" s="12">
        <f t="shared" si="3"/>
        <v>4.5566703635879053E-4</v>
      </c>
    </row>
    <row r="251" spans="2:7" ht="15" customHeight="1" x14ac:dyDescent="0.3">
      <c r="C251" s="4"/>
      <c r="D251" s="8">
        <v>2021</v>
      </c>
      <c r="E251" s="14">
        <f>Data!N251</f>
        <v>1284000000</v>
      </c>
      <c r="F251" s="14">
        <f>Data!K251</f>
        <v>115670000000</v>
      </c>
      <c r="G251" s="12">
        <f t="shared" si="3"/>
        <v>1.1100544652891847E-2</v>
      </c>
    </row>
    <row r="252" spans="2:7" ht="15" customHeight="1" x14ac:dyDescent="0.3">
      <c r="C252" s="4"/>
      <c r="D252" s="8">
        <v>2022</v>
      </c>
      <c r="E252" s="14">
        <f>Data!N252</f>
        <v>1501000000</v>
      </c>
      <c r="F252" s="14">
        <f>Data!K252</f>
        <v>116434000000</v>
      </c>
      <c r="G252" s="12">
        <f t="shared" si="3"/>
        <v>1.2891423467372074E-2</v>
      </c>
    </row>
    <row r="253" spans="2:7" ht="15" customHeight="1" x14ac:dyDescent="0.3">
      <c r="C253" s="4"/>
      <c r="D253" s="8">
        <v>2023</v>
      </c>
      <c r="E253" s="14">
        <f>Data!N253</f>
        <v>2527000000</v>
      </c>
      <c r="F253" s="14">
        <f>Data!K253</f>
        <v>120206000000</v>
      </c>
      <c r="G253" s="12">
        <f t="shared" si="3"/>
        <v>2.1022245145832986E-2</v>
      </c>
    </row>
    <row r="254" spans="2:7" ht="15" customHeight="1" x14ac:dyDescent="0.3">
      <c r="C254" s="4"/>
      <c r="D254" s="8">
        <v>2024</v>
      </c>
      <c r="E254" s="14">
        <f>Data!N254</f>
        <v>2829000000</v>
      </c>
      <c r="F254" s="14">
        <f>Data!K254</f>
        <v>122496000000</v>
      </c>
      <c r="G254" s="12">
        <f t="shared" si="3"/>
        <v>2.3094631661442006E-2</v>
      </c>
    </row>
    <row r="255" spans="2:7" ht="15" customHeight="1" x14ac:dyDescent="0.3">
      <c r="B255" s="8">
        <v>24</v>
      </c>
      <c r="C255" s="4" t="s">
        <v>50</v>
      </c>
      <c r="D255" s="8">
        <v>2014</v>
      </c>
      <c r="E255" s="14">
        <f>Data!N255</f>
        <v>0</v>
      </c>
      <c r="F255" s="14">
        <f>Data!K255</f>
        <v>0</v>
      </c>
      <c r="G255" s="12">
        <f t="shared" si="3"/>
        <v>0</v>
      </c>
    </row>
    <row r="256" spans="2:7" ht="15" customHeight="1" x14ac:dyDescent="0.3">
      <c r="C256" s="4"/>
      <c r="D256" s="8">
        <v>2015</v>
      </c>
      <c r="E256" s="14">
        <f>Data!N256</f>
        <v>-7989000000</v>
      </c>
      <c r="F256" s="14">
        <f>Data!K256</f>
        <v>59008000000</v>
      </c>
      <c r="G256" s="12">
        <f t="shared" si="3"/>
        <v>-0.13538842190889372</v>
      </c>
    </row>
    <row r="257" spans="2:7" ht="15" customHeight="1" x14ac:dyDescent="0.3">
      <c r="C257" s="4"/>
      <c r="D257" s="8">
        <v>2016</v>
      </c>
      <c r="E257" s="14">
        <f>Data!N257</f>
        <v>-6103000000</v>
      </c>
      <c r="F257" s="14">
        <f>Data!K257</f>
        <v>54212000000</v>
      </c>
      <c r="G257" s="12">
        <f t="shared" si="3"/>
        <v>-0.11257655131705158</v>
      </c>
    </row>
    <row r="258" spans="2:7" ht="15" customHeight="1" x14ac:dyDescent="0.3">
      <c r="C258" s="4"/>
      <c r="D258" s="8">
        <v>2017</v>
      </c>
      <c r="E258" s="14">
        <f>Data!N258</f>
        <v>-2496000000</v>
      </c>
      <c r="F258" s="14">
        <f>Data!K258</f>
        <v>50778000000</v>
      </c>
      <c r="G258" s="12">
        <f t="shared" si="3"/>
        <v>-4.9155145929339478E-2</v>
      </c>
    </row>
    <row r="259" spans="2:7" ht="15" customHeight="1" x14ac:dyDescent="0.3">
      <c r="C259" s="4"/>
      <c r="D259" s="8">
        <v>2018</v>
      </c>
      <c r="E259" s="14">
        <f>Data!N259</f>
        <v>-6977000000</v>
      </c>
      <c r="F259" s="14">
        <f>Data!K259</f>
        <v>53241000000</v>
      </c>
      <c r="G259" s="12">
        <f t="shared" ref="G259:G322" si="4">IFERROR(E259/F259,0)</f>
        <v>-0.13104562273435885</v>
      </c>
    </row>
    <row r="260" spans="2:7" ht="15" customHeight="1" x14ac:dyDescent="0.3">
      <c r="C260" s="4"/>
      <c r="D260" s="8">
        <v>2019</v>
      </c>
      <c r="E260" s="14">
        <f>Data!N260</f>
        <v>7730000000</v>
      </c>
      <c r="F260" s="14">
        <f>Data!K260</f>
        <v>61740000000</v>
      </c>
      <c r="G260" s="12">
        <f t="shared" si="4"/>
        <v>0.12520246193715581</v>
      </c>
    </row>
    <row r="261" spans="2:7" ht="15" customHeight="1" x14ac:dyDescent="0.3">
      <c r="C261" s="4"/>
      <c r="D261" s="8">
        <v>2020</v>
      </c>
      <c r="E261" s="14">
        <f>Data!N261</f>
        <v>434000000</v>
      </c>
      <c r="F261" s="14">
        <f>Data!K261</f>
        <v>51505000000</v>
      </c>
      <c r="G261" s="12">
        <f t="shared" si="4"/>
        <v>8.4263663721968734E-3</v>
      </c>
    </row>
    <row r="262" spans="2:7" ht="15" customHeight="1" x14ac:dyDescent="0.3">
      <c r="C262" s="4"/>
      <c r="D262" s="8">
        <v>2021</v>
      </c>
      <c r="E262" s="14">
        <f>Data!N262</f>
        <v>508000000</v>
      </c>
      <c r="F262" s="14">
        <f>Data!K262</f>
        <v>51193000000</v>
      </c>
      <c r="G262" s="12">
        <f t="shared" si="4"/>
        <v>9.9232316918328681E-3</v>
      </c>
    </row>
    <row r="263" spans="2:7" ht="15" customHeight="1" x14ac:dyDescent="0.3">
      <c r="C263" s="4"/>
      <c r="D263" s="8">
        <v>2022</v>
      </c>
      <c r="E263" s="14">
        <f>Data!N263</f>
        <v>1115000000</v>
      </c>
      <c r="F263" s="14">
        <f>Data!K263</f>
        <v>51073000000</v>
      </c>
      <c r="G263" s="12">
        <f t="shared" si="4"/>
        <v>2.1831496093826484E-2</v>
      </c>
    </row>
    <row r="264" spans="2:7" ht="15" customHeight="1" x14ac:dyDescent="0.3">
      <c r="C264" s="4"/>
      <c r="D264" s="8">
        <v>2023</v>
      </c>
      <c r="E264" s="14">
        <f>Data!N264</f>
        <v>2551000000</v>
      </c>
      <c r="F264" s="14">
        <f>Data!K264</f>
        <v>61497000000</v>
      </c>
      <c r="G264" s="12">
        <f t="shared" si="4"/>
        <v>4.1481698294225731E-2</v>
      </c>
    </row>
    <row r="265" spans="2:7" ht="15" customHeight="1" x14ac:dyDescent="0.3">
      <c r="C265" s="4"/>
      <c r="D265" s="8">
        <v>2024</v>
      </c>
      <c r="E265" s="14">
        <f>Data!N265</f>
        <v>2838000000</v>
      </c>
      <c r="F265" s="14">
        <f>Data!K265</f>
        <v>64771000000</v>
      </c>
      <c r="G265" s="12">
        <f t="shared" si="4"/>
        <v>4.3815905266245694E-2</v>
      </c>
    </row>
    <row r="266" spans="2:7" ht="15" customHeight="1" x14ac:dyDescent="0.3">
      <c r="B266" s="8">
        <v>25</v>
      </c>
      <c r="C266" s="3" t="s">
        <v>28</v>
      </c>
      <c r="D266" s="8">
        <v>2014</v>
      </c>
      <c r="E266" s="14">
        <f>Data!N266</f>
        <v>0</v>
      </c>
      <c r="F266" s="14">
        <f>Data!K266</f>
        <v>0</v>
      </c>
      <c r="G266" s="12">
        <f t="shared" si="4"/>
        <v>0</v>
      </c>
    </row>
    <row r="267" spans="2:7" ht="15" customHeight="1" x14ac:dyDescent="0.3">
      <c r="C267" s="3"/>
      <c r="D267" s="8">
        <v>2015</v>
      </c>
      <c r="E267" s="14">
        <f>Data!N267</f>
        <v>42798000000</v>
      </c>
      <c r="F267" s="14">
        <f>Data!K267</f>
        <v>355218000000</v>
      </c>
      <c r="G267" s="12">
        <f t="shared" si="4"/>
        <v>0.12048375926895596</v>
      </c>
    </row>
    <row r="268" spans="2:7" ht="15" customHeight="1" x14ac:dyDescent="0.3">
      <c r="C268" s="3"/>
      <c r="D268" s="8">
        <v>2016</v>
      </c>
      <c r="E268" s="14">
        <f>Data!N268</f>
        <v>29647000000</v>
      </c>
      <c r="F268" s="14">
        <f>Data!K268</f>
        <v>384866000000</v>
      </c>
      <c r="G268" s="12">
        <f t="shared" si="4"/>
        <v>7.7032005944926291E-2</v>
      </c>
    </row>
    <row r="269" spans="2:7" ht="15" customHeight="1" x14ac:dyDescent="0.3">
      <c r="C269" s="3"/>
      <c r="D269" s="8">
        <v>2017</v>
      </c>
      <c r="E269" s="14">
        <f>Data!N269</f>
        <v>111363450000</v>
      </c>
      <c r="F269" s="14">
        <f>Data!K269</f>
        <v>488158370000</v>
      </c>
      <c r="G269" s="12">
        <f t="shared" si="4"/>
        <v>0.22812975633297039</v>
      </c>
    </row>
    <row r="270" spans="2:7" ht="15" customHeight="1" x14ac:dyDescent="0.3">
      <c r="C270" s="3"/>
      <c r="D270" s="8">
        <v>2018</v>
      </c>
      <c r="E270" s="14">
        <f>Data!N270</f>
        <v>-67586240000.000008</v>
      </c>
      <c r="F270" s="14">
        <f>Data!K270</f>
        <v>405793460000</v>
      </c>
      <c r="G270" s="12">
        <f t="shared" si="4"/>
        <v>-0.16655330029222257</v>
      </c>
    </row>
    <row r="271" spans="2:7" ht="15" customHeight="1" x14ac:dyDescent="0.3">
      <c r="C271" s="3"/>
      <c r="D271" s="8">
        <v>2019</v>
      </c>
      <c r="E271" s="14">
        <f>Data!N271</f>
        <v>91037440000</v>
      </c>
      <c r="F271" s="14">
        <f>Data!K271</f>
        <v>481839050000</v>
      </c>
      <c r="G271" s="12">
        <f t="shared" si="4"/>
        <v>0.18893744705830712</v>
      </c>
    </row>
    <row r="272" spans="2:7" ht="15" customHeight="1" x14ac:dyDescent="0.3">
      <c r="C272" s="3"/>
      <c r="D272" s="8">
        <v>2020</v>
      </c>
      <c r="E272" s="14">
        <f>Data!N272</f>
        <v>34412160000</v>
      </c>
      <c r="F272" s="14">
        <f>Data!K272</f>
        <v>516278510000</v>
      </c>
      <c r="G272" s="12">
        <f t="shared" si="4"/>
        <v>6.665425605261005E-2</v>
      </c>
    </row>
    <row r="273" spans="2:7" ht="15" customHeight="1" x14ac:dyDescent="0.3">
      <c r="C273" s="3"/>
      <c r="D273" s="8">
        <v>2021</v>
      </c>
      <c r="E273" s="14">
        <f>Data!N273</f>
        <v>63141110000</v>
      </c>
      <c r="F273" s="14">
        <f>Data!K273</f>
        <v>579489110000</v>
      </c>
      <c r="G273" s="12">
        <f t="shared" si="4"/>
        <v>0.1089599595754267</v>
      </c>
    </row>
    <row r="274" spans="2:7" ht="15" customHeight="1" x14ac:dyDescent="0.3">
      <c r="C274" s="3"/>
      <c r="D274" s="8">
        <v>2022</v>
      </c>
      <c r="E274" s="14">
        <f>Data!N274</f>
        <v>36714920000</v>
      </c>
      <c r="F274" s="14">
        <f>Data!K274</f>
        <v>616428880000</v>
      </c>
      <c r="G274" s="12">
        <f t="shared" si="4"/>
        <v>5.9560674704274078E-2</v>
      </c>
    </row>
    <row r="275" spans="2:7" ht="15" customHeight="1" x14ac:dyDescent="0.3">
      <c r="C275" s="3"/>
      <c r="D275" s="8">
        <v>2023</v>
      </c>
      <c r="E275" s="14">
        <f>Data!N275</f>
        <v>96333630000</v>
      </c>
      <c r="F275" s="14">
        <f>Data!K275</f>
        <v>712294260000</v>
      </c>
      <c r="G275" s="12">
        <f t="shared" si="4"/>
        <v>0.13524414755216474</v>
      </c>
    </row>
    <row r="276" spans="2:7" ht="15" customHeight="1" x14ac:dyDescent="0.3">
      <c r="C276" s="3"/>
      <c r="D276" s="8">
        <v>2024</v>
      </c>
      <c r="E276" s="14">
        <f>Data!N276</f>
        <v>-23206200000</v>
      </c>
      <c r="F276" s="14">
        <f>Data!K276</f>
        <v>689088720000</v>
      </c>
      <c r="G276" s="12">
        <f t="shared" si="4"/>
        <v>-3.3676650518963652E-2</v>
      </c>
    </row>
    <row r="277" spans="2:7" ht="15" customHeight="1" x14ac:dyDescent="0.3">
      <c r="B277" s="8">
        <v>26</v>
      </c>
      <c r="C277" s="3" t="s">
        <v>42</v>
      </c>
      <c r="D277" s="8">
        <v>2014</v>
      </c>
      <c r="E277" s="14">
        <f>Data!N277</f>
        <v>0</v>
      </c>
      <c r="F277" s="14">
        <f>Data!K277</f>
        <v>0</v>
      </c>
      <c r="G277" s="12">
        <f t="shared" si="4"/>
        <v>0</v>
      </c>
    </row>
    <row r="278" spans="2:7" ht="15" customHeight="1" x14ac:dyDescent="0.3">
      <c r="C278" s="3"/>
      <c r="D278" s="8">
        <v>2015</v>
      </c>
      <c r="E278" s="14">
        <f>Data!N278</f>
        <v>0</v>
      </c>
      <c r="F278" s="14">
        <f>Data!K278</f>
        <v>0</v>
      </c>
      <c r="G278" s="12">
        <f t="shared" si="4"/>
        <v>0</v>
      </c>
    </row>
    <row r="279" spans="2:7" ht="15" customHeight="1" x14ac:dyDescent="0.3">
      <c r="C279" s="3"/>
      <c r="D279" s="8">
        <v>2016</v>
      </c>
      <c r="E279" s="14">
        <f>Data!N279</f>
        <v>0</v>
      </c>
      <c r="F279" s="14">
        <f>Data!K279</f>
        <v>0</v>
      </c>
      <c r="G279" s="12">
        <f t="shared" si="4"/>
        <v>0</v>
      </c>
    </row>
    <row r="280" spans="2:7" ht="15" customHeight="1" x14ac:dyDescent="0.3">
      <c r="C280" s="3"/>
      <c r="D280" s="8">
        <v>2017</v>
      </c>
      <c r="E280" s="14">
        <f>Data!N280</f>
        <v>0</v>
      </c>
      <c r="F280" s="14">
        <f>Data!K280</f>
        <v>0</v>
      </c>
      <c r="G280" s="12">
        <f t="shared" si="4"/>
        <v>0</v>
      </c>
    </row>
    <row r="281" spans="2:7" ht="15" customHeight="1" x14ac:dyDescent="0.3">
      <c r="C281" s="3"/>
      <c r="D281" s="8">
        <v>2018</v>
      </c>
      <c r="E281" s="14">
        <f>Data!N281</f>
        <v>0</v>
      </c>
      <c r="F281" s="14">
        <f>Data!K281</f>
        <v>0</v>
      </c>
      <c r="G281" s="12">
        <f t="shared" si="4"/>
        <v>0</v>
      </c>
    </row>
    <row r="282" spans="2:7" ht="15" customHeight="1" x14ac:dyDescent="0.3">
      <c r="C282" s="3"/>
      <c r="D282" s="8">
        <v>2019</v>
      </c>
      <c r="E282" s="14">
        <f>Data!N282</f>
        <v>0</v>
      </c>
      <c r="F282" s="14">
        <f>Data!K282</f>
        <v>0</v>
      </c>
      <c r="G282" s="12">
        <f t="shared" si="4"/>
        <v>0</v>
      </c>
    </row>
    <row r="283" spans="2:7" ht="15" customHeight="1" x14ac:dyDescent="0.3">
      <c r="C283" s="3"/>
      <c r="D283" s="8">
        <v>2020</v>
      </c>
      <c r="E283" s="14">
        <f>Data!N283</f>
        <v>0</v>
      </c>
      <c r="F283" s="14">
        <f>Data!K283</f>
        <v>0</v>
      </c>
      <c r="G283" s="12">
        <f t="shared" si="4"/>
        <v>0</v>
      </c>
    </row>
    <row r="284" spans="2:7" ht="15" customHeight="1" x14ac:dyDescent="0.3">
      <c r="C284" s="3"/>
      <c r="D284" s="8">
        <v>2021</v>
      </c>
      <c r="E284" s="14">
        <f>Data!N284</f>
        <v>0</v>
      </c>
      <c r="F284" s="14">
        <f>Data!K284</f>
        <v>0</v>
      </c>
      <c r="G284" s="12">
        <f t="shared" si="4"/>
        <v>0</v>
      </c>
    </row>
    <row r="285" spans="2:7" ht="15" customHeight="1" x14ac:dyDescent="0.3">
      <c r="C285" s="3"/>
      <c r="D285" s="8">
        <v>2022</v>
      </c>
      <c r="E285" s="14">
        <f>Data!N285</f>
        <v>-3077660000</v>
      </c>
      <c r="F285" s="14">
        <f>Data!K285</f>
        <v>128332610000</v>
      </c>
      <c r="G285" s="12">
        <f t="shared" si="4"/>
        <v>-2.3981901404483242E-2</v>
      </c>
    </row>
    <row r="286" spans="2:7" ht="15" customHeight="1" x14ac:dyDescent="0.3">
      <c r="C286" s="3"/>
      <c r="D286" s="8">
        <v>2023</v>
      </c>
      <c r="E286" s="14">
        <f>Data!N286</f>
        <v>-1169200000</v>
      </c>
      <c r="F286" s="14">
        <f>Data!K286</f>
        <v>128412500000</v>
      </c>
      <c r="G286" s="12">
        <f t="shared" si="4"/>
        <v>-9.105032609753724E-3</v>
      </c>
    </row>
    <row r="287" spans="2:7" ht="15" customHeight="1" x14ac:dyDescent="0.3">
      <c r="C287" s="3"/>
      <c r="D287" s="8">
        <v>2024</v>
      </c>
      <c r="E287" s="14">
        <f>Data!N287</f>
        <v>6571400000</v>
      </c>
      <c r="F287" s="14">
        <f>Data!K287</f>
        <v>158188950000</v>
      </c>
      <c r="G287" s="12">
        <f t="shared" si="4"/>
        <v>4.1541460386455564E-2</v>
      </c>
    </row>
    <row r="288" spans="2:7" ht="15" customHeight="1" x14ac:dyDescent="0.3">
      <c r="B288" s="8">
        <v>27</v>
      </c>
      <c r="C288" s="3" t="s">
        <v>29</v>
      </c>
      <c r="D288" s="8">
        <v>2014</v>
      </c>
      <c r="E288" s="14">
        <f>Data!N288</f>
        <v>0</v>
      </c>
      <c r="F288" s="14">
        <f>Data!K288</f>
        <v>0</v>
      </c>
      <c r="G288" s="12">
        <f t="shared" si="4"/>
        <v>0</v>
      </c>
    </row>
    <row r="289" spans="2:7" ht="15" customHeight="1" x14ac:dyDescent="0.3">
      <c r="C289" s="3"/>
      <c r="D289" s="8">
        <v>2015</v>
      </c>
      <c r="E289" s="14">
        <f>Data!N289</f>
        <v>29274000000</v>
      </c>
      <c r="F289" s="14">
        <f>Data!K289</f>
        <v>561754000000</v>
      </c>
      <c r="G289" s="12">
        <f t="shared" si="4"/>
        <v>5.2111778465306881E-2</v>
      </c>
    </row>
    <row r="290" spans="2:7" ht="15" customHeight="1" x14ac:dyDescent="0.3">
      <c r="C290" s="3"/>
      <c r="D290" s="8">
        <v>2016</v>
      </c>
      <c r="E290" s="14">
        <f>Data!N290</f>
        <v>41789000000</v>
      </c>
      <c r="F290" s="14">
        <f>Data!K290</f>
        <v>605443000000</v>
      </c>
      <c r="G290" s="12">
        <f t="shared" si="4"/>
        <v>6.9022187059723211E-2</v>
      </c>
    </row>
    <row r="291" spans="2:7" ht="15" customHeight="1" x14ac:dyDescent="0.3">
      <c r="C291" s="3"/>
      <c r="D291" s="8">
        <v>2017</v>
      </c>
      <c r="E291" s="14">
        <f>Data!N291</f>
        <v>115427000000</v>
      </c>
      <c r="F291" s="14">
        <f>Data!K291</f>
        <v>670869000000</v>
      </c>
      <c r="G291" s="12">
        <f t="shared" si="4"/>
        <v>0.17205594534849575</v>
      </c>
    </row>
    <row r="292" spans="2:7" ht="15" customHeight="1" x14ac:dyDescent="0.3">
      <c r="C292" s="3"/>
      <c r="D292" s="8">
        <v>2018</v>
      </c>
      <c r="E292" s="14">
        <f>Data!N292</f>
        <v>121807000000</v>
      </c>
      <c r="F292" s="14">
        <f>Data!K292</f>
        <v>792676000000</v>
      </c>
      <c r="G292" s="12">
        <f t="shared" si="4"/>
        <v>0.15366555818518537</v>
      </c>
    </row>
    <row r="293" spans="2:7" ht="15" customHeight="1" x14ac:dyDescent="0.3">
      <c r="C293" s="3"/>
      <c r="D293" s="8">
        <v>2019</v>
      </c>
      <c r="E293" s="14">
        <f>Data!N293</f>
        <v>143716000000</v>
      </c>
      <c r="F293" s="14">
        <f>Data!K293</f>
        <v>936392000000</v>
      </c>
      <c r="G293" s="12">
        <f t="shared" si="4"/>
        <v>0.15347845773992089</v>
      </c>
    </row>
    <row r="294" spans="2:7" ht="15" customHeight="1" x14ac:dyDescent="0.3">
      <c r="C294" s="3"/>
      <c r="D294" s="8">
        <v>2020</v>
      </c>
      <c r="E294" s="14">
        <f>Data!N294</f>
        <v>130538000000</v>
      </c>
      <c r="F294" s="14">
        <f>Data!K294</f>
        <v>1066930000000</v>
      </c>
      <c r="G294" s="12">
        <f t="shared" si="4"/>
        <v>0.12234917004864423</v>
      </c>
    </row>
    <row r="295" spans="2:7" ht="15" customHeight="1" x14ac:dyDescent="0.3">
      <c r="C295" s="3"/>
      <c r="D295" s="8">
        <v>2021</v>
      </c>
      <c r="E295" s="14">
        <f>Data!N295</f>
        <v>103951000000</v>
      </c>
      <c r="F295" s="14">
        <f>Data!K295</f>
        <v>1105881000000</v>
      </c>
      <c r="G295" s="12">
        <f t="shared" si="4"/>
        <v>9.399835967884429E-2</v>
      </c>
    </row>
    <row r="296" spans="2:7" ht="15" customHeight="1" x14ac:dyDescent="0.3">
      <c r="C296" s="3"/>
      <c r="D296" s="8">
        <v>2022</v>
      </c>
      <c r="E296" s="14">
        <f>Data!N296</f>
        <v>194430000000</v>
      </c>
      <c r="F296" s="14">
        <f>Data!K296</f>
        <v>1250311000000</v>
      </c>
      <c r="G296" s="12">
        <f t="shared" si="4"/>
        <v>0.15550531027880263</v>
      </c>
    </row>
    <row r="297" spans="2:7" ht="15" customHeight="1" x14ac:dyDescent="0.3">
      <c r="C297" s="3"/>
      <c r="D297" s="8">
        <v>2023</v>
      </c>
      <c r="E297" s="14">
        <f>Data!N297</f>
        <v>158360000000</v>
      </c>
      <c r="F297" s="14">
        <f>Data!K297</f>
        <v>1358671000000</v>
      </c>
      <c r="G297" s="12">
        <f t="shared" si="4"/>
        <v>0.11655507477527673</v>
      </c>
    </row>
    <row r="298" spans="2:7" ht="15" customHeight="1" x14ac:dyDescent="0.3">
      <c r="C298" s="3"/>
      <c r="D298" s="8">
        <v>2024</v>
      </c>
      <c r="E298" s="14">
        <f>Data!N298</f>
        <v>166494000000</v>
      </c>
      <c r="F298" s="14">
        <f>Data!K298</f>
        <v>1525165000000</v>
      </c>
      <c r="G298" s="12">
        <f t="shared" si="4"/>
        <v>0.10916458219274636</v>
      </c>
    </row>
    <row r="299" spans="2:7" ht="15" customHeight="1" x14ac:dyDescent="0.3">
      <c r="B299" s="8">
        <v>28</v>
      </c>
      <c r="C299" s="4" t="s">
        <v>149</v>
      </c>
      <c r="D299" s="8">
        <v>2014</v>
      </c>
      <c r="E299" s="14">
        <f>Data!N299</f>
        <v>0</v>
      </c>
      <c r="F299" s="14">
        <f>Data!K299</f>
        <v>0</v>
      </c>
      <c r="G299" s="12">
        <f t="shared" si="4"/>
        <v>0</v>
      </c>
    </row>
    <row r="300" spans="2:7" ht="15" customHeight="1" x14ac:dyDescent="0.3">
      <c r="C300" s="4"/>
      <c r="D300" s="8">
        <v>2015</v>
      </c>
      <c r="E300" s="14">
        <f>Data!N300</f>
        <v>625000000</v>
      </c>
      <c r="F300" s="14">
        <f>Data!K300</f>
        <v>60625000000</v>
      </c>
      <c r="G300" s="12">
        <f t="shared" si="4"/>
        <v>1.0309278350515464E-2</v>
      </c>
    </row>
    <row r="301" spans="2:7" ht="15" customHeight="1" x14ac:dyDescent="0.3">
      <c r="C301" s="4"/>
      <c r="D301" s="8">
        <v>2016</v>
      </c>
      <c r="E301" s="14">
        <f>Data!N301</f>
        <v>865000000</v>
      </c>
      <c r="F301" s="14">
        <f>Data!K301</f>
        <v>61421000000</v>
      </c>
      <c r="G301" s="12">
        <f t="shared" si="4"/>
        <v>1.4083131176633399E-2</v>
      </c>
    </row>
    <row r="302" spans="2:7" ht="15" customHeight="1" x14ac:dyDescent="0.3">
      <c r="C302" s="4"/>
      <c r="D302" s="8">
        <v>2017</v>
      </c>
      <c r="E302" s="14">
        <f>Data!N302</f>
        <v>500000000</v>
      </c>
      <c r="F302" s="14">
        <f>Data!K302</f>
        <v>60709000000</v>
      </c>
      <c r="G302" s="12">
        <f t="shared" si="4"/>
        <v>8.2360111350870541E-3</v>
      </c>
    </row>
    <row r="303" spans="2:7" ht="15" customHeight="1" x14ac:dyDescent="0.3">
      <c r="C303" s="4"/>
      <c r="D303" s="8">
        <v>2018</v>
      </c>
      <c r="E303" s="14">
        <f>Data!N303</f>
        <v>-2336000000</v>
      </c>
      <c r="F303" s="14">
        <f>Data!K303</f>
        <v>59648000000</v>
      </c>
      <c r="G303" s="12">
        <f t="shared" si="4"/>
        <v>-3.9163090128755365E-2</v>
      </c>
    </row>
    <row r="304" spans="2:7" ht="15" customHeight="1" x14ac:dyDescent="0.3">
      <c r="C304" s="4"/>
      <c r="D304" s="8">
        <v>2019</v>
      </c>
      <c r="E304" s="14">
        <f>Data!N304</f>
        <v>2645000000</v>
      </c>
      <c r="F304" s="14">
        <f>Data!K304</f>
        <v>64826000000</v>
      </c>
      <c r="G304" s="12">
        <f t="shared" si="4"/>
        <v>4.0801530250208252E-2</v>
      </c>
    </row>
    <row r="305" spans="2:7" ht="15" customHeight="1" x14ac:dyDescent="0.3">
      <c r="C305" s="4"/>
      <c r="D305" s="8">
        <v>2020</v>
      </c>
      <c r="E305" s="14">
        <f>Data!N305</f>
        <v>603000000</v>
      </c>
      <c r="F305" s="14">
        <f>Data!K305</f>
        <v>65251000000</v>
      </c>
      <c r="G305" s="12">
        <f t="shared" si="4"/>
        <v>9.2412376821811165E-3</v>
      </c>
    </row>
    <row r="306" spans="2:7" ht="15" customHeight="1" x14ac:dyDescent="0.3">
      <c r="C306" s="4"/>
      <c r="D306" s="8">
        <v>2021</v>
      </c>
      <c r="E306" s="14">
        <f>Data!N306</f>
        <v>288000000</v>
      </c>
      <c r="F306" s="14">
        <f>Data!K306</f>
        <v>65722000000</v>
      </c>
      <c r="G306" s="12">
        <f t="shared" si="4"/>
        <v>4.3820942758893517E-3</v>
      </c>
    </row>
    <row r="307" spans="2:7" ht="15" customHeight="1" x14ac:dyDescent="0.3">
      <c r="C307" s="4"/>
      <c r="D307" s="8">
        <v>2022</v>
      </c>
      <c r="E307" s="14">
        <f>Data!N307</f>
        <v>1012000000</v>
      </c>
      <c r="F307" s="14">
        <f>Data!K307</f>
        <v>66505000000</v>
      </c>
      <c r="G307" s="12">
        <f t="shared" si="4"/>
        <v>1.5216900984888355E-2</v>
      </c>
    </row>
    <row r="308" spans="2:7" ht="15" customHeight="1" x14ac:dyDescent="0.3">
      <c r="C308" s="4"/>
      <c r="D308" s="8">
        <v>2023</v>
      </c>
      <c r="E308" s="14">
        <f>Data!N308</f>
        <v>1939000000</v>
      </c>
      <c r="F308" s="14">
        <f>Data!K308</f>
        <v>67995000000</v>
      </c>
      <c r="G308" s="12">
        <f t="shared" si="4"/>
        <v>2.851680270608133E-2</v>
      </c>
    </row>
    <row r="309" spans="2:7" ht="15" customHeight="1" x14ac:dyDescent="0.3">
      <c r="C309" s="4"/>
      <c r="D309" s="8">
        <v>2024</v>
      </c>
      <c r="E309" s="14">
        <f>Data!N309</f>
        <v>5386000000</v>
      </c>
      <c r="F309" s="14">
        <f>Data!K309</f>
        <v>72226000000</v>
      </c>
      <c r="G309" s="12">
        <f t="shared" si="4"/>
        <v>7.4571483953147069E-2</v>
      </c>
    </row>
    <row r="310" spans="2:7" ht="15" customHeight="1" x14ac:dyDescent="0.3">
      <c r="B310" s="8">
        <v>29</v>
      </c>
      <c r="C310" s="4" t="s">
        <v>55</v>
      </c>
      <c r="D310" s="8">
        <v>2014</v>
      </c>
      <c r="E310" s="14">
        <f>Data!N310</f>
        <v>0</v>
      </c>
      <c r="F310" s="14">
        <f>Data!K310</f>
        <v>0</v>
      </c>
      <c r="G310" s="12">
        <f t="shared" si="4"/>
        <v>0</v>
      </c>
    </row>
    <row r="311" spans="2:7" ht="15" customHeight="1" x14ac:dyDescent="0.3">
      <c r="C311" s="4"/>
      <c r="D311" s="8">
        <v>2015</v>
      </c>
      <c r="E311" s="14">
        <f>Data!N311</f>
        <v>5877000000</v>
      </c>
      <c r="F311" s="14">
        <f>Data!K311</f>
        <v>162399000000</v>
      </c>
      <c r="G311" s="12">
        <f t="shared" si="4"/>
        <v>3.6188646481813309E-2</v>
      </c>
    </row>
    <row r="312" spans="2:7" ht="15" customHeight="1" x14ac:dyDescent="0.3">
      <c r="C312" s="4"/>
      <c r="D312" s="8">
        <v>2016</v>
      </c>
      <c r="E312" s="14">
        <f>Data!N312</f>
        <v>23406000000</v>
      </c>
      <c r="F312" s="14">
        <f>Data!K312</f>
        <v>185825000000</v>
      </c>
      <c r="G312" s="12">
        <f t="shared" si="4"/>
        <v>0.12595721781245794</v>
      </c>
    </row>
    <row r="313" spans="2:7" ht="15" customHeight="1" x14ac:dyDescent="0.3">
      <c r="C313" s="4"/>
      <c r="D313" s="8">
        <v>2017</v>
      </c>
      <c r="E313" s="14">
        <f>Data!N313</f>
        <v>16065000000</v>
      </c>
      <c r="F313" s="14">
        <f>Data!K313</f>
        <v>170120000000</v>
      </c>
      <c r="G313" s="12">
        <f t="shared" si="4"/>
        <v>9.4433341170938156E-2</v>
      </c>
    </row>
    <row r="314" spans="2:7" ht="15" customHeight="1" x14ac:dyDescent="0.3">
      <c r="C314" s="4"/>
      <c r="D314" s="8">
        <v>2018</v>
      </c>
      <c r="E314" s="14">
        <f>Data!N314</f>
        <v>12908000000</v>
      </c>
      <c r="F314" s="14">
        <f>Data!K314</f>
        <v>173206000000</v>
      </c>
      <c r="G314" s="12">
        <f t="shared" si="4"/>
        <v>7.4523977229426233E-2</v>
      </c>
    </row>
    <row r="315" spans="2:7" ht="15" customHeight="1" x14ac:dyDescent="0.3">
      <c r="C315" s="4"/>
      <c r="D315" s="8">
        <v>2019</v>
      </c>
      <c r="E315" s="14">
        <f>Data!N315</f>
        <v>9493000000</v>
      </c>
      <c r="F315" s="14">
        <f>Data!K315</f>
        <v>184454000000</v>
      </c>
      <c r="G315" s="12">
        <f t="shared" si="4"/>
        <v>5.1465406009086279E-2</v>
      </c>
    </row>
    <row r="316" spans="2:7" ht="15" customHeight="1" x14ac:dyDescent="0.3">
      <c r="C316" s="4"/>
      <c r="D316" s="8">
        <v>2020</v>
      </c>
      <c r="E316" s="14">
        <f>Data!N316</f>
        <v>10640000000</v>
      </c>
      <c r="F316" s="14">
        <f>Data!K316</f>
        <v>198267000000</v>
      </c>
      <c r="G316" s="12">
        <f t="shared" si="4"/>
        <v>5.3665007288151836E-2</v>
      </c>
    </row>
    <row r="317" spans="2:7" ht="15" customHeight="1" x14ac:dyDescent="0.3">
      <c r="C317" s="4"/>
      <c r="D317" s="8">
        <v>2021</v>
      </c>
      <c r="E317" s="14">
        <f>Data!N317</f>
        <v>15384000000</v>
      </c>
      <c r="F317" s="14">
        <f>Data!K317</f>
        <v>211871000000</v>
      </c>
      <c r="G317" s="12">
        <f t="shared" si="4"/>
        <v>7.2610220369942094E-2</v>
      </c>
    </row>
    <row r="318" spans="2:7" ht="15" customHeight="1" x14ac:dyDescent="0.3">
      <c r="C318" s="4"/>
      <c r="D318" s="8">
        <v>2022</v>
      </c>
      <c r="E318" s="14">
        <f>Data!N318</f>
        <v>2754000000</v>
      </c>
      <c r="F318" s="14">
        <f>Data!K318</f>
        <v>219331000000</v>
      </c>
      <c r="G318" s="12">
        <f t="shared" si="4"/>
        <v>1.2556364581386124E-2</v>
      </c>
    </row>
    <row r="319" spans="2:7" ht="15" customHeight="1" x14ac:dyDescent="0.3">
      <c r="C319" s="4"/>
      <c r="D319" s="8">
        <v>2023</v>
      </c>
      <c r="E319" s="14">
        <f>Data!N319</f>
        <v>7071000000</v>
      </c>
      <c r="F319" s="14">
        <f>Data!K319</f>
        <v>188742000000</v>
      </c>
      <c r="G319" s="12">
        <f t="shared" si="4"/>
        <v>3.7463839526973332E-2</v>
      </c>
    </row>
    <row r="320" spans="2:7" ht="15" customHeight="1" x14ac:dyDescent="0.3">
      <c r="C320" s="4"/>
      <c r="D320" s="8">
        <v>2024</v>
      </c>
      <c r="E320" s="14">
        <f>Data!N320</f>
        <v>5495000000</v>
      </c>
      <c r="F320" s="14">
        <f>Data!K320</f>
        <v>194655000000</v>
      </c>
      <c r="G320" s="12">
        <f t="shared" si="4"/>
        <v>2.8229431558398192E-2</v>
      </c>
    </row>
    <row r="321" spans="2:7" ht="15" customHeight="1" x14ac:dyDescent="0.3">
      <c r="B321" s="8">
        <v>30</v>
      </c>
      <c r="C321" s="3" t="s">
        <v>5</v>
      </c>
      <c r="D321" s="8">
        <v>2014</v>
      </c>
      <c r="E321" s="14">
        <f>Data!N321</f>
        <v>0</v>
      </c>
      <c r="F321" s="14">
        <f>Data!K321</f>
        <v>0</v>
      </c>
      <c r="G321" s="12">
        <f t="shared" si="4"/>
        <v>0</v>
      </c>
    </row>
    <row r="322" spans="2:7" ht="15" customHeight="1" x14ac:dyDescent="0.3">
      <c r="C322" s="3"/>
      <c r="D322" s="8">
        <v>2015</v>
      </c>
      <c r="E322" s="14">
        <f>Data!N322</f>
        <v>0</v>
      </c>
      <c r="F322" s="14">
        <f>Data!K322</f>
        <v>0</v>
      </c>
      <c r="G322" s="12">
        <f t="shared" si="4"/>
        <v>0</v>
      </c>
    </row>
    <row r="323" spans="2:7" ht="15" customHeight="1" x14ac:dyDescent="0.3">
      <c r="C323" s="3"/>
      <c r="D323" s="8">
        <v>2016</v>
      </c>
      <c r="E323" s="14">
        <f>Data!N323</f>
        <v>0</v>
      </c>
      <c r="F323" s="14">
        <f>Data!K323</f>
        <v>0</v>
      </c>
      <c r="G323" s="12">
        <f t="shared" ref="G323:G386" si="5">IFERROR(E323/F323,0)</f>
        <v>0</v>
      </c>
    </row>
    <row r="324" spans="2:7" ht="15" customHeight="1" x14ac:dyDescent="0.3">
      <c r="C324" s="3"/>
      <c r="D324" s="8">
        <v>2017</v>
      </c>
      <c r="E324" s="14">
        <f>Data!N324</f>
        <v>452235000000</v>
      </c>
      <c r="F324" s="14">
        <f>Data!K324</f>
        <v>2057674000000</v>
      </c>
      <c r="G324" s="12">
        <f t="shared" si="5"/>
        <v>0.21977971243258165</v>
      </c>
    </row>
    <row r="325" spans="2:7" ht="15" customHeight="1" x14ac:dyDescent="0.3">
      <c r="C325" s="3"/>
      <c r="D325" s="8">
        <v>2018</v>
      </c>
      <c r="E325" s="14">
        <f>Data!N325</f>
        <v>-216462000000</v>
      </c>
      <c r="F325" s="14">
        <f>Data!K325</f>
        <v>1791213000000</v>
      </c>
      <c r="G325" s="12">
        <f t="shared" si="5"/>
        <v>-0.12084659948314355</v>
      </c>
    </row>
    <row r="326" spans="2:7" ht="15" customHeight="1" x14ac:dyDescent="0.3">
      <c r="C326" s="3"/>
      <c r="D326" s="8">
        <v>2019</v>
      </c>
      <c r="E326" s="14">
        <f>Data!N326</f>
        <v>394486000000</v>
      </c>
      <c r="F326" s="14">
        <f>Data!K326</f>
        <v>2117699000000</v>
      </c>
      <c r="G326" s="12">
        <f t="shared" si="5"/>
        <v>0.18628048650917811</v>
      </c>
    </row>
    <row r="327" spans="2:7" ht="15" customHeight="1" x14ac:dyDescent="0.3">
      <c r="C327" s="3"/>
      <c r="D327" s="8">
        <v>2020</v>
      </c>
      <c r="E327" s="14">
        <f>Data!N327</f>
        <v>125019000000</v>
      </c>
      <c r="F327" s="14">
        <f>Data!K327</f>
        <v>2199862000000</v>
      </c>
      <c r="G327" s="12">
        <f t="shared" si="5"/>
        <v>5.6830382996751617E-2</v>
      </c>
    </row>
    <row r="328" spans="2:7" ht="15" customHeight="1" x14ac:dyDescent="0.3">
      <c r="C328" s="3"/>
      <c r="D328" s="8">
        <v>2021</v>
      </c>
      <c r="E328" s="14">
        <f>Data!N328</f>
        <v>78085000000</v>
      </c>
      <c r="F328" s="14">
        <f>Data!K328</f>
        <v>2254579000000</v>
      </c>
      <c r="G328" s="12">
        <f t="shared" si="5"/>
        <v>3.4633960486636306E-2</v>
      </c>
    </row>
    <row r="329" spans="2:7" ht="15" customHeight="1" x14ac:dyDescent="0.3">
      <c r="C329" s="3"/>
      <c r="D329" s="8">
        <v>2022</v>
      </c>
      <c r="E329" s="14">
        <f>Data!N329</f>
        <v>-299047000000</v>
      </c>
      <c r="F329" s="14">
        <f>Data!K329</f>
        <v>1921832000000</v>
      </c>
      <c r="G329" s="12">
        <f t="shared" si="5"/>
        <v>-0.15560517256451137</v>
      </c>
    </row>
    <row r="330" spans="2:7" ht="15" customHeight="1" x14ac:dyDescent="0.3">
      <c r="C330" s="3"/>
      <c r="D330" s="8">
        <v>2023</v>
      </c>
      <c r="E330" s="14">
        <f>Data!N330</f>
        <v>172982000000</v>
      </c>
      <c r="F330" s="14">
        <f>Data!K330</f>
        <v>2282452000000</v>
      </c>
      <c r="G330" s="12">
        <f t="shared" si="5"/>
        <v>7.5787793127741573E-2</v>
      </c>
    </row>
    <row r="331" spans="2:7" ht="15" customHeight="1" x14ac:dyDescent="0.3">
      <c r="C331" s="3"/>
      <c r="D331" s="8">
        <v>2024</v>
      </c>
      <c r="E331" s="14">
        <f>Data!N331</f>
        <v>-9319000000</v>
      </c>
      <c r="F331" s="14">
        <f>Data!K331</f>
        <v>2030327000000</v>
      </c>
      <c r="G331" s="12">
        <f t="shared" si="5"/>
        <v>-4.5899010356459822E-3</v>
      </c>
    </row>
    <row r="332" spans="2:7" ht="15" customHeight="1" x14ac:dyDescent="0.3">
      <c r="B332" s="8">
        <v>31</v>
      </c>
      <c r="C332" s="3" t="s">
        <v>6</v>
      </c>
      <c r="D332" s="8">
        <v>2014</v>
      </c>
      <c r="E332" s="14">
        <f>Data!N332</f>
        <v>0</v>
      </c>
      <c r="F332" s="14">
        <f>Data!K332</f>
        <v>0</v>
      </c>
      <c r="G332" s="12">
        <f t="shared" si="5"/>
        <v>0</v>
      </c>
    </row>
    <row r="333" spans="2:7" ht="15" customHeight="1" x14ac:dyDescent="0.3">
      <c r="C333" s="3"/>
      <c r="D333" s="8">
        <v>2015</v>
      </c>
      <c r="E333" s="14">
        <f>Data!N333</f>
        <v>0</v>
      </c>
      <c r="F333" s="14">
        <f>Data!K333</f>
        <v>0</v>
      </c>
      <c r="G333" s="12">
        <f t="shared" si="5"/>
        <v>0</v>
      </c>
    </row>
    <row r="334" spans="2:7" ht="15" customHeight="1" x14ac:dyDescent="0.3">
      <c r="C334" s="3"/>
      <c r="D334" s="8">
        <v>2016</v>
      </c>
      <c r="E334" s="14">
        <f>Data!N334</f>
        <v>0</v>
      </c>
      <c r="F334" s="14">
        <f>Data!K334</f>
        <v>0</v>
      </c>
      <c r="G334" s="12">
        <f t="shared" si="5"/>
        <v>0</v>
      </c>
    </row>
    <row r="335" spans="2:7" ht="15" customHeight="1" x14ac:dyDescent="0.3">
      <c r="C335" s="3"/>
      <c r="D335" s="8">
        <v>2017</v>
      </c>
      <c r="E335" s="14">
        <f>Data!N335</f>
        <v>0</v>
      </c>
      <c r="F335" s="14">
        <f>Data!K335</f>
        <v>0</v>
      </c>
      <c r="G335" s="12">
        <f t="shared" si="5"/>
        <v>0</v>
      </c>
    </row>
    <row r="336" spans="2:7" ht="15" customHeight="1" x14ac:dyDescent="0.3">
      <c r="C336" s="3"/>
      <c r="D336" s="8">
        <v>2018</v>
      </c>
      <c r="E336" s="14">
        <f>Data!N336</f>
        <v>0</v>
      </c>
      <c r="F336" s="14">
        <f>Data!K336</f>
        <v>0</v>
      </c>
      <c r="G336" s="12">
        <f t="shared" si="5"/>
        <v>0</v>
      </c>
    </row>
    <row r="337" spans="2:7" ht="15" customHeight="1" x14ac:dyDescent="0.3">
      <c r="C337" s="3"/>
      <c r="D337" s="8">
        <v>2019</v>
      </c>
      <c r="E337" s="14">
        <f>Data!N337</f>
        <v>-573000000</v>
      </c>
      <c r="F337" s="14">
        <f>Data!K337</f>
        <v>969392000000</v>
      </c>
      <c r="G337" s="12">
        <f t="shared" si="5"/>
        <v>-5.9109214848069723E-4</v>
      </c>
    </row>
    <row r="338" spans="2:7" ht="15" customHeight="1" x14ac:dyDescent="0.3">
      <c r="C338" s="3"/>
      <c r="D338" s="8">
        <v>2020</v>
      </c>
      <c r="E338" s="14">
        <f>Data!N338</f>
        <v>74295000000</v>
      </c>
      <c r="F338" s="14">
        <f>Data!K338</f>
        <v>1032687000000</v>
      </c>
      <c r="G338" s="12">
        <f t="shared" si="5"/>
        <v>7.1943386524668168E-2</v>
      </c>
    </row>
    <row r="339" spans="2:7" ht="15" customHeight="1" x14ac:dyDescent="0.3">
      <c r="C339" s="3"/>
      <c r="D339" s="8">
        <v>2021</v>
      </c>
      <c r="E339" s="14">
        <f>Data!N339</f>
        <v>127119000000</v>
      </c>
      <c r="F339" s="14">
        <f>Data!K339</f>
        <v>1149806000000</v>
      </c>
      <c r="G339" s="12">
        <f t="shared" si="5"/>
        <v>0.11055691133982602</v>
      </c>
    </row>
    <row r="340" spans="2:7" ht="15" customHeight="1" x14ac:dyDescent="0.3">
      <c r="C340" s="3"/>
      <c r="D340" s="8">
        <v>2022</v>
      </c>
      <c r="E340" s="14">
        <f>Data!N340</f>
        <v>69937000000</v>
      </c>
      <c r="F340" s="14">
        <f>Data!K340</f>
        <v>1219743000000</v>
      </c>
      <c r="G340" s="12">
        <f t="shared" si="5"/>
        <v>5.7337488306963023E-2</v>
      </c>
    </row>
    <row r="341" spans="2:7" ht="15" customHeight="1" x14ac:dyDescent="0.3">
      <c r="C341" s="3"/>
      <c r="D341" s="8">
        <v>2023</v>
      </c>
      <c r="E341" s="14">
        <f>Data!N341</f>
        <v>-70458000000</v>
      </c>
      <c r="F341" s="14">
        <f>Data!K341</f>
        <v>1730285000000</v>
      </c>
      <c r="G341" s="12">
        <f t="shared" si="5"/>
        <v>-4.0720459346292662E-2</v>
      </c>
    </row>
    <row r="342" spans="2:7" ht="15" customHeight="1" x14ac:dyDescent="0.3">
      <c r="C342" s="3"/>
      <c r="D342" s="8">
        <v>2024</v>
      </c>
      <c r="E342" s="14">
        <f>Data!N342</f>
        <v>-54218000000</v>
      </c>
      <c r="F342" s="14">
        <f>Data!K342</f>
        <v>1688487000000</v>
      </c>
      <c r="G342" s="12">
        <f t="shared" si="5"/>
        <v>-3.2110404166570426E-2</v>
      </c>
    </row>
    <row r="343" spans="2:7" ht="15" customHeight="1" x14ac:dyDescent="0.3">
      <c r="B343" s="8">
        <v>32</v>
      </c>
      <c r="C343" s="3" t="s">
        <v>7</v>
      </c>
      <c r="D343" s="8">
        <v>2014</v>
      </c>
      <c r="E343" s="14">
        <f>Data!N343</f>
        <v>0</v>
      </c>
      <c r="F343" s="14">
        <f>Data!K343</f>
        <v>0</v>
      </c>
      <c r="G343" s="12">
        <f t="shared" si="5"/>
        <v>0</v>
      </c>
    </row>
    <row r="344" spans="2:7" ht="15" customHeight="1" x14ac:dyDescent="0.3">
      <c r="C344" s="3"/>
      <c r="D344" s="8">
        <v>2015</v>
      </c>
      <c r="E344" s="14">
        <f>Data!N344</f>
        <v>0</v>
      </c>
      <c r="F344" s="14">
        <f>Data!K344</f>
        <v>0</v>
      </c>
      <c r="G344" s="12">
        <f t="shared" si="5"/>
        <v>0</v>
      </c>
    </row>
    <row r="345" spans="2:7" ht="15" customHeight="1" x14ac:dyDescent="0.3">
      <c r="C345" s="3"/>
      <c r="D345" s="8">
        <v>2016</v>
      </c>
      <c r="E345" s="14">
        <f>Data!N345</f>
        <v>1302115000000</v>
      </c>
      <c r="F345" s="14">
        <f>Data!K345</f>
        <v>2324120000000</v>
      </c>
      <c r="G345" s="12">
        <f t="shared" si="5"/>
        <v>0.56026151833812365</v>
      </c>
    </row>
    <row r="346" spans="2:7" ht="15" customHeight="1" x14ac:dyDescent="0.3">
      <c r="C346" s="3"/>
      <c r="D346" s="8">
        <v>2017</v>
      </c>
      <c r="E346" s="14">
        <f>Data!N346</f>
        <v>1006645000000</v>
      </c>
      <c r="F346" s="14">
        <f>Data!K346</f>
        <v>2170217000000</v>
      </c>
      <c r="G346" s="12">
        <f t="shared" si="5"/>
        <v>0.46384532053707073</v>
      </c>
    </row>
    <row r="347" spans="2:7" ht="15" customHeight="1" x14ac:dyDescent="0.3">
      <c r="C347" s="3"/>
      <c r="D347" s="8">
        <v>2018</v>
      </c>
      <c r="E347" s="14">
        <f>Data!N347</f>
        <v>946651000000</v>
      </c>
      <c r="F347" s="14">
        <f>Data!K347</f>
        <v>2278251000000</v>
      </c>
      <c r="G347" s="12">
        <f t="shared" si="5"/>
        <v>0.41551655195147508</v>
      </c>
    </row>
    <row r="348" spans="2:7" ht="15" customHeight="1" x14ac:dyDescent="0.3">
      <c r="C348" s="3"/>
      <c r="D348" s="8">
        <v>2019</v>
      </c>
      <c r="E348" s="14">
        <f>Data!N348</f>
        <v>1003845000000</v>
      </c>
      <c r="F348" s="14">
        <f>Data!K348</f>
        <v>2905341000000</v>
      </c>
      <c r="G348" s="12">
        <f t="shared" si="5"/>
        <v>0.34551710109071532</v>
      </c>
    </row>
    <row r="349" spans="2:7" ht="15" customHeight="1" x14ac:dyDescent="0.3">
      <c r="C349" s="3"/>
      <c r="D349" s="8">
        <v>2020</v>
      </c>
      <c r="E349" s="14">
        <f>Data!N349</f>
        <v>1002166000000</v>
      </c>
      <c r="F349" s="14">
        <f>Data!K349</f>
        <v>2991652000000</v>
      </c>
      <c r="G349" s="12">
        <f t="shared" si="5"/>
        <v>0.33498749186068433</v>
      </c>
    </row>
    <row r="350" spans="2:7" ht="15" customHeight="1" x14ac:dyDescent="0.3">
      <c r="C350" s="3"/>
      <c r="D350" s="8">
        <v>2021</v>
      </c>
      <c r="E350" s="14">
        <f>Data!N350</f>
        <v>1035604000000</v>
      </c>
      <c r="F350" s="14">
        <f>Data!K350</f>
        <v>3026262000000</v>
      </c>
      <c r="G350" s="12">
        <f t="shared" si="5"/>
        <v>0.34220566494242732</v>
      </c>
    </row>
    <row r="351" spans="2:7" ht="15" customHeight="1" x14ac:dyDescent="0.3">
      <c r="C351" s="3"/>
      <c r="D351" s="8">
        <v>2022</v>
      </c>
      <c r="E351" s="14">
        <f>Data!N351</f>
        <v>1171814000000</v>
      </c>
      <c r="F351" s="14">
        <f>Data!K351</f>
        <v>3236456000000</v>
      </c>
      <c r="G351" s="12">
        <f t="shared" si="5"/>
        <v>0.36206702640171845</v>
      </c>
    </row>
    <row r="352" spans="2:7" ht="15" customHeight="1" x14ac:dyDescent="0.3">
      <c r="C352" s="3"/>
      <c r="D352" s="8">
        <v>2023</v>
      </c>
      <c r="E352" s="14">
        <f>Data!N352</f>
        <v>1327060000000</v>
      </c>
      <c r="F352" s="14">
        <f>Data!K352</f>
        <v>3619255000000</v>
      </c>
      <c r="G352" s="12">
        <f t="shared" si="5"/>
        <v>0.36666662061667388</v>
      </c>
    </row>
    <row r="353" spans="2:7" ht="15" customHeight="1" x14ac:dyDescent="0.3">
      <c r="C353" s="3"/>
      <c r="D353" s="8">
        <v>2024</v>
      </c>
      <c r="E353" s="14">
        <f>Data!N353</f>
        <v>1302294000000</v>
      </c>
      <c r="F353" s="14">
        <f>Data!K353</f>
        <v>3812640000000</v>
      </c>
      <c r="G353" s="12">
        <f t="shared" si="5"/>
        <v>0.34157276847538715</v>
      </c>
    </row>
    <row r="354" spans="2:7" ht="15" customHeight="1" x14ac:dyDescent="0.3">
      <c r="B354" s="8">
        <v>33</v>
      </c>
      <c r="C354" s="3" t="s">
        <v>30</v>
      </c>
      <c r="D354" s="8">
        <v>2014</v>
      </c>
      <c r="E354" s="14">
        <f>Data!N356</f>
        <v>136930000</v>
      </c>
      <c r="F354" s="14">
        <f>Data!K356</f>
        <v>100136930000</v>
      </c>
      <c r="G354" s="12">
        <f t="shared" si="5"/>
        <v>1.3674275814127715E-3</v>
      </c>
    </row>
    <row r="355" spans="2:7" ht="15" customHeight="1" x14ac:dyDescent="0.3">
      <c r="C355" s="3"/>
      <c r="D355" s="8">
        <v>2015</v>
      </c>
      <c r="E355" s="14">
        <f>Data!N357</f>
        <v>11416180000</v>
      </c>
      <c r="F355" s="14">
        <f>Data!K357</f>
        <v>611553110000</v>
      </c>
      <c r="G355" s="12">
        <f t="shared" si="5"/>
        <v>1.8667520143916854E-2</v>
      </c>
    </row>
    <row r="356" spans="2:7" ht="15" customHeight="1" x14ac:dyDescent="0.3">
      <c r="C356" s="3"/>
      <c r="D356" s="8">
        <v>2016</v>
      </c>
      <c r="E356" s="14" t="e">
        <f>Data!#REF!</f>
        <v>#REF!</v>
      </c>
      <c r="F356" s="14" t="e">
        <f>Data!#REF!</f>
        <v>#REF!</v>
      </c>
      <c r="G356" s="12">
        <f t="shared" si="5"/>
        <v>0</v>
      </c>
    </row>
    <row r="357" spans="2:7" ht="15" customHeight="1" x14ac:dyDescent="0.3">
      <c r="C357" s="3"/>
      <c r="D357" s="8">
        <v>2017</v>
      </c>
      <c r="E357" s="14" t="e">
        <f>Data!#REF!</f>
        <v>#REF!</v>
      </c>
      <c r="F357" s="14" t="e">
        <f>Data!#REF!</f>
        <v>#REF!</v>
      </c>
      <c r="G357" s="12">
        <f t="shared" si="5"/>
        <v>0</v>
      </c>
    </row>
    <row r="358" spans="2:7" ht="15" customHeight="1" x14ac:dyDescent="0.3">
      <c r="C358" s="3"/>
      <c r="D358" s="8">
        <v>2018</v>
      </c>
      <c r="E358" s="14">
        <f>Data!N358</f>
        <v>17999000000</v>
      </c>
      <c r="F358" s="14">
        <f>Data!K358</f>
        <v>629552000000</v>
      </c>
      <c r="G358" s="12">
        <f t="shared" si="5"/>
        <v>2.8590172058860903E-2</v>
      </c>
    </row>
    <row r="359" spans="2:7" ht="15" customHeight="1" x14ac:dyDescent="0.3">
      <c r="C359" s="3"/>
      <c r="D359" s="8">
        <v>2019</v>
      </c>
      <c r="E359" s="14">
        <f>Data!N359</f>
        <v>37346000000</v>
      </c>
      <c r="F359" s="14">
        <f>Data!K359</f>
        <v>666898000000</v>
      </c>
      <c r="G359" s="12">
        <f t="shared" si="5"/>
        <v>5.5999568149851998E-2</v>
      </c>
    </row>
    <row r="360" spans="2:7" ht="15" customHeight="1" x14ac:dyDescent="0.3">
      <c r="C360" s="3"/>
      <c r="D360" s="8">
        <v>2020</v>
      </c>
      <c r="E360" s="14">
        <f>Data!N360</f>
        <v>-312516000000</v>
      </c>
      <c r="F360" s="14">
        <f>Data!K360</f>
        <v>353452000000</v>
      </c>
      <c r="G360" s="12">
        <f t="shared" si="5"/>
        <v>-0.88418229349388322</v>
      </c>
    </row>
    <row r="361" spans="2:7" ht="15" customHeight="1" x14ac:dyDescent="0.3">
      <c r="C361" s="3"/>
      <c r="D361" s="8">
        <v>2021</v>
      </c>
      <c r="E361" s="14">
        <f>Data!N361</f>
        <v>59556000000</v>
      </c>
      <c r="F361" s="14">
        <f>Data!K361</f>
        <v>413008000000</v>
      </c>
      <c r="G361" s="12">
        <f t="shared" si="5"/>
        <v>0.14420059659861309</v>
      </c>
    </row>
    <row r="362" spans="2:7" ht="15" customHeight="1" x14ac:dyDescent="0.3">
      <c r="C362" s="3"/>
      <c r="D362" s="8">
        <v>2022</v>
      </c>
      <c r="E362" s="14">
        <f>Data!N362</f>
        <v>-88798000000</v>
      </c>
      <c r="F362" s="14">
        <f>Data!K362</f>
        <v>324210000000</v>
      </c>
      <c r="G362" s="12">
        <f t="shared" si="5"/>
        <v>-0.27389037969217483</v>
      </c>
    </row>
    <row r="363" spans="2:7" ht="15" customHeight="1" x14ac:dyDescent="0.3">
      <c r="C363" s="3"/>
      <c r="D363" s="8">
        <v>2023</v>
      </c>
      <c r="E363" s="14">
        <f>Data!N363</f>
        <v>1140000000</v>
      </c>
      <c r="F363" s="14">
        <f>Data!K363</f>
        <v>325350000000</v>
      </c>
      <c r="G363" s="12">
        <f t="shared" si="5"/>
        <v>3.5039188566159522E-3</v>
      </c>
    </row>
    <row r="364" spans="2:7" ht="15" customHeight="1" x14ac:dyDescent="0.3">
      <c r="C364" s="3"/>
      <c r="D364" s="8">
        <v>2024</v>
      </c>
      <c r="E364" s="14">
        <f>Data!N364</f>
        <v>47962000000</v>
      </c>
      <c r="F364" s="14">
        <f>Data!K364</f>
        <v>373311000000</v>
      </c>
      <c r="G364" s="12">
        <f t="shared" si="5"/>
        <v>0.12847732855447602</v>
      </c>
    </row>
    <row r="365" spans="2:7" ht="15" customHeight="1" x14ac:dyDescent="0.3">
      <c r="B365" s="8">
        <v>34</v>
      </c>
      <c r="C365" s="3" t="s">
        <v>9</v>
      </c>
      <c r="D365" s="8">
        <v>2014</v>
      </c>
      <c r="E365" s="14">
        <f>Data!N365</f>
        <v>0</v>
      </c>
      <c r="F365" s="14">
        <f>Data!K365</f>
        <v>0</v>
      </c>
      <c r="G365" s="12">
        <f t="shared" si="5"/>
        <v>0</v>
      </c>
    </row>
    <row r="366" spans="2:7" ht="15" customHeight="1" x14ac:dyDescent="0.3">
      <c r="C366" s="3"/>
      <c r="D366" s="8">
        <v>2015</v>
      </c>
      <c r="E366" s="14">
        <f>Data!N366</f>
        <v>191182000000</v>
      </c>
      <c r="F366" s="14">
        <f>Data!K366</f>
        <v>4823091000000</v>
      </c>
      <c r="G366" s="12">
        <f t="shared" si="5"/>
        <v>3.9638895471804284E-2</v>
      </c>
    </row>
    <row r="367" spans="2:7" ht="15" customHeight="1" x14ac:dyDescent="0.3">
      <c r="C367" s="3"/>
      <c r="D367" s="8">
        <v>2016</v>
      </c>
      <c r="E367" s="14">
        <f>Data!N367</f>
        <v>131395000000</v>
      </c>
      <c r="F367" s="14">
        <f>Data!K367</f>
        <v>4906474000000</v>
      </c>
      <c r="G367" s="12">
        <f t="shared" si="5"/>
        <v>2.6779923831248265E-2</v>
      </c>
    </row>
    <row r="368" spans="2:7" ht="15" customHeight="1" x14ac:dyDescent="0.3">
      <c r="C368" s="3"/>
      <c r="D368" s="8">
        <v>2017</v>
      </c>
      <c r="E368" s="14">
        <f>Data!N368</f>
        <v>473479000000</v>
      </c>
      <c r="F368" s="14">
        <f>Data!K368</f>
        <v>5213625000000</v>
      </c>
      <c r="G368" s="12">
        <f t="shared" si="5"/>
        <v>9.081569924956244E-2</v>
      </c>
    </row>
    <row r="369" spans="2:7" ht="15" customHeight="1" x14ac:dyDescent="0.3">
      <c r="C369" s="3"/>
      <c r="D369" s="8">
        <v>2018</v>
      </c>
      <c r="E369" s="14">
        <f>Data!N369</f>
        <v>-38211000000</v>
      </c>
      <c r="F369" s="14">
        <f>Data!K369</f>
        <v>5062943000000</v>
      </c>
      <c r="G369" s="12">
        <f t="shared" si="5"/>
        <v>-7.5471914260144745E-3</v>
      </c>
    </row>
    <row r="370" spans="2:7" ht="15" customHeight="1" x14ac:dyDescent="0.3">
      <c r="C370" s="3"/>
      <c r="D370" s="8">
        <v>2019</v>
      </c>
      <c r="E370" s="14">
        <f>Data!N370</f>
        <v>434958000000</v>
      </c>
      <c r="F370" s="14">
        <f>Data!K370</f>
        <v>5442390000000</v>
      </c>
      <c r="G370" s="12">
        <f t="shared" si="5"/>
        <v>7.9920402617232503E-2</v>
      </c>
    </row>
    <row r="371" spans="2:7" ht="15" customHeight="1" x14ac:dyDescent="0.3">
      <c r="C371" s="3"/>
      <c r="D371" s="8">
        <v>2020</v>
      </c>
      <c r="E371" s="14">
        <f>Data!N371</f>
        <v>319807000000</v>
      </c>
      <c r="F371" s="14">
        <f>Data!K371</f>
        <v>5671565000000</v>
      </c>
      <c r="G371" s="12">
        <f t="shared" si="5"/>
        <v>5.638778714517069E-2</v>
      </c>
    </row>
    <row r="372" spans="2:7" ht="15" customHeight="1" x14ac:dyDescent="0.3">
      <c r="C372" s="3"/>
      <c r="D372" s="8">
        <v>2021</v>
      </c>
      <c r="E372" s="14">
        <f>Data!N372</f>
        <v>83874000000</v>
      </c>
      <c r="F372" s="14">
        <f>Data!K372</f>
        <v>5708164000000</v>
      </c>
      <c r="G372" s="12">
        <f t="shared" si="5"/>
        <v>1.469369135154491E-2</v>
      </c>
    </row>
    <row r="373" spans="2:7" ht="15" customHeight="1" x14ac:dyDescent="0.3">
      <c r="C373" s="3"/>
      <c r="D373" s="8">
        <v>2022</v>
      </c>
      <c r="E373" s="14">
        <f>Data!N374</f>
        <v>369689000000</v>
      </c>
      <c r="F373" s="14">
        <f>Data!K374</f>
        <v>6027772000000</v>
      </c>
      <c r="G373" s="12">
        <f t="shared" si="5"/>
        <v>6.1330952796489313E-2</v>
      </c>
    </row>
    <row r="374" spans="2:7" ht="15" customHeight="1" x14ac:dyDescent="0.3">
      <c r="C374" s="3"/>
      <c r="D374" s="8">
        <v>2023</v>
      </c>
      <c r="E374" s="14" t="e">
        <f>Data!#REF!</f>
        <v>#REF!</v>
      </c>
      <c r="F374" s="14" t="e">
        <f>Data!#REF!</f>
        <v>#REF!</v>
      </c>
      <c r="G374" s="12">
        <f t="shared" si="5"/>
        <v>0</v>
      </c>
    </row>
    <row r="375" spans="2:7" ht="15" customHeight="1" x14ac:dyDescent="0.3">
      <c r="C375" s="3"/>
      <c r="D375" s="8">
        <v>2024</v>
      </c>
      <c r="E375" s="14">
        <f>Data!N375</f>
        <v>67857000000</v>
      </c>
      <c r="F375" s="14">
        <f>Data!K375</f>
        <v>5998008000000</v>
      </c>
      <c r="G375" s="12">
        <f t="shared" si="5"/>
        <v>1.131325600099233E-2</v>
      </c>
    </row>
    <row r="376" spans="2:7" ht="15" customHeight="1" x14ac:dyDescent="0.3">
      <c r="B376" s="8">
        <v>35</v>
      </c>
      <c r="C376" s="3" t="s">
        <v>31</v>
      </c>
      <c r="D376" s="8">
        <v>2014</v>
      </c>
      <c r="E376" s="14">
        <f>Data!N376</f>
        <v>0</v>
      </c>
      <c r="F376" s="14">
        <f>Data!K376</f>
        <v>0</v>
      </c>
      <c r="G376" s="12">
        <f t="shared" si="5"/>
        <v>0</v>
      </c>
    </row>
    <row r="377" spans="2:7" ht="15" customHeight="1" x14ac:dyDescent="0.3">
      <c r="C377" s="3"/>
      <c r="D377" s="8">
        <v>2015</v>
      </c>
      <c r="E377" s="14">
        <f>Data!N377</f>
        <v>0</v>
      </c>
      <c r="F377" s="14">
        <f>Data!K377</f>
        <v>0</v>
      </c>
      <c r="G377" s="12">
        <f t="shared" si="5"/>
        <v>0</v>
      </c>
    </row>
    <row r="378" spans="2:7" ht="15" customHeight="1" x14ac:dyDescent="0.3">
      <c r="C378" s="3"/>
      <c r="D378" s="8">
        <v>2016</v>
      </c>
      <c r="E378" s="14">
        <f>Data!N378</f>
        <v>0</v>
      </c>
      <c r="F378" s="14">
        <f>Data!K378</f>
        <v>0</v>
      </c>
      <c r="G378" s="12">
        <f t="shared" si="5"/>
        <v>0</v>
      </c>
    </row>
    <row r="379" spans="2:7" ht="15" customHeight="1" x14ac:dyDescent="0.3">
      <c r="C379" s="3"/>
      <c r="D379" s="8">
        <v>2017</v>
      </c>
      <c r="E379" s="14">
        <f>Data!N379</f>
        <v>0</v>
      </c>
      <c r="F379" s="14">
        <f>Data!K379</f>
        <v>0</v>
      </c>
      <c r="G379" s="12">
        <f t="shared" si="5"/>
        <v>0</v>
      </c>
    </row>
    <row r="380" spans="2:7" ht="15" customHeight="1" x14ac:dyDescent="0.3">
      <c r="C380" s="3"/>
      <c r="D380" s="8">
        <v>2018</v>
      </c>
      <c r="E380" s="14">
        <f>Data!N380</f>
        <v>0</v>
      </c>
      <c r="F380" s="14">
        <f>Data!K380</f>
        <v>0</v>
      </c>
      <c r="G380" s="12">
        <f t="shared" si="5"/>
        <v>0</v>
      </c>
    </row>
    <row r="381" spans="2:7" ht="15" customHeight="1" x14ac:dyDescent="0.3">
      <c r="C381" s="3"/>
      <c r="D381" s="8">
        <v>2019</v>
      </c>
      <c r="E381" s="14">
        <f>Data!N381</f>
        <v>0</v>
      </c>
      <c r="F381" s="14">
        <f>Data!K381</f>
        <v>0</v>
      </c>
      <c r="G381" s="12">
        <f t="shared" si="5"/>
        <v>0</v>
      </c>
    </row>
    <row r="382" spans="2:7" ht="15" customHeight="1" x14ac:dyDescent="0.3">
      <c r="C382" s="3"/>
      <c r="D382" s="8">
        <v>2020</v>
      </c>
      <c r="E382" s="14">
        <f>Data!N382</f>
        <v>91793730000</v>
      </c>
      <c r="F382" s="14">
        <f>Data!K382</f>
        <v>1828129290000</v>
      </c>
      <c r="G382" s="12">
        <f t="shared" si="5"/>
        <v>5.0211837041350613E-2</v>
      </c>
    </row>
    <row r="383" spans="2:7" ht="15" customHeight="1" x14ac:dyDescent="0.3">
      <c r="C383" s="3"/>
      <c r="D383" s="8">
        <v>2021</v>
      </c>
      <c r="E383" s="14">
        <f>Data!N383</f>
        <v>135306810000</v>
      </c>
      <c r="F383" s="14">
        <f>Data!K383</f>
        <v>1963436100000</v>
      </c>
      <c r="G383" s="12">
        <f t="shared" si="5"/>
        <v>6.8913274030155597E-2</v>
      </c>
    </row>
    <row r="384" spans="2:7" ht="15" customHeight="1" x14ac:dyDescent="0.3">
      <c r="C384" s="3"/>
      <c r="D384" s="8">
        <v>2022</v>
      </c>
      <c r="E384" s="14">
        <f>Data!N384</f>
        <v>48387010000</v>
      </c>
      <c r="F384" s="14">
        <f>Data!K384</f>
        <v>2011823110000</v>
      </c>
      <c r="G384" s="12">
        <f t="shared" si="5"/>
        <v>2.4051324273732994E-2</v>
      </c>
    </row>
    <row r="385" spans="2:7" ht="15" customHeight="1" x14ac:dyDescent="0.3">
      <c r="C385" s="3"/>
      <c r="D385" s="8">
        <v>2023</v>
      </c>
      <c r="E385" s="14">
        <f>Data!N385</f>
        <v>52443750000</v>
      </c>
      <c r="F385" s="14">
        <f>Data!K385</f>
        <v>1356668420000</v>
      </c>
      <c r="G385" s="12">
        <f t="shared" si="5"/>
        <v>3.865627682260047E-2</v>
      </c>
    </row>
    <row r="386" spans="2:7" ht="15" customHeight="1" x14ac:dyDescent="0.3">
      <c r="C386" s="3"/>
      <c r="D386" s="8">
        <v>2024</v>
      </c>
      <c r="E386" s="14">
        <f>Data!N386</f>
        <v>-160522730000</v>
      </c>
      <c r="F386" s="14">
        <f>Data!K386</f>
        <v>1196145690000</v>
      </c>
      <c r="G386" s="12">
        <f t="shared" si="5"/>
        <v>-0.13419998194367108</v>
      </c>
    </row>
    <row r="387" spans="2:7" ht="15" customHeight="1" x14ac:dyDescent="0.3">
      <c r="B387" s="8">
        <v>36</v>
      </c>
      <c r="C387" s="4" t="s">
        <v>54</v>
      </c>
      <c r="D387" s="8">
        <v>2014</v>
      </c>
      <c r="E387" s="14">
        <f>Data!N387</f>
        <v>0</v>
      </c>
      <c r="F387" s="14">
        <f>Data!K387</f>
        <v>0</v>
      </c>
      <c r="G387" s="12">
        <f t="shared" ref="G387:G450" si="6">IFERROR(E387/F387,0)</f>
        <v>0</v>
      </c>
    </row>
    <row r="388" spans="2:7" ht="15" customHeight="1" x14ac:dyDescent="0.3">
      <c r="C388" s="4"/>
      <c r="D388" s="8">
        <v>2015</v>
      </c>
      <c r="E388" s="14">
        <f>Data!N388</f>
        <v>0</v>
      </c>
      <c r="F388" s="14">
        <f>Data!K388</f>
        <v>0</v>
      </c>
      <c r="G388" s="12">
        <f t="shared" si="6"/>
        <v>0</v>
      </c>
    </row>
    <row r="389" spans="2:7" ht="15" customHeight="1" x14ac:dyDescent="0.3">
      <c r="C389" s="4"/>
      <c r="D389" s="8">
        <v>2016</v>
      </c>
      <c r="E389" s="14">
        <f>Data!N389</f>
        <v>364720000</v>
      </c>
      <c r="F389" s="14">
        <f>Data!K389</f>
        <v>52864720000</v>
      </c>
      <c r="G389" s="12">
        <f t="shared" si="6"/>
        <v>6.899119110060547E-3</v>
      </c>
    </row>
    <row r="390" spans="2:7" ht="15" customHeight="1" x14ac:dyDescent="0.3">
      <c r="C390" s="4"/>
      <c r="D390" s="8">
        <v>2017</v>
      </c>
      <c r="E390" s="14">
        <f>Data!N390</f>
        <v>3849220000</v>
      </c>
      <c r="F390" s="14">
        <f>Data!K390</f>
        <v>56713950000</v>
      </c>
      <c r="G390" s="12">
        <f t="shared" si="6"/>
        <v>6.7870779587738114E-2</v>
      </c>
    </row>
    <row r="391" spans="2:7" ht="15" customHeight="1" x14ac:dyDescent="0.3">
      <c r="C391" s="4"/>
      <c r="D391" s="8">
        <v>2018</v>
      </c>
      <c r="E391" s="14">
        <f>Data!N391</f>
        <v>14352550000</v>
      </c>
      <c r="F391" s="14">
        <f>Data!K391</f>
        <v>571066500000</v>
      </c>
      <c r="G391" s="12">
        <f t="shared" si="6"/>
        <v>2.5132887325731768E-2</v>
      </c>
    </row>
    <row r="392" spans="2:7" ht="15" customHeight="1" x14ac:dyDescent="0.3">
      <c r="C392" s="4"/>
      <c r="D392" s="8">
        <v>2019</v>
      </c>
      <c r="E392" s="14">
        <f>Data!N392</f>
        <v>-20783310000</v>
      </c>
      <c r="F392" s="14">
        <f>Data!K392</f>
        <v>550283180000</v>
      </c>
      <c r="G392" s="12">
        <f t="shared" si="6"/>
        <v>-3.7768390449440956E-2</v>
      </c>
    </row>
    <row r="393" spans="2:7" ht="15" customHeight="1" x14ac:dyDescent="0.3">
      <c r="C393" s="4"/>
      <c r="D393" s="8">
        <v>2020</v>
      </c>
      <c r="E393" s="14">
        <f>Data!N393</f>
        <v>24416240000</v>
      </c>
      <c r="F393" s="14">
        <f>Data!K393</f>
        <v>574699420000</v>
      </c>
      <c r="G393" s="12">
        <f t="shared" si="6"/>
        <v>4.2485235151272643E-2</v>
      </c>
    </row>
    <row r="394" spans="2:7" ht="15" customHeight="1" x14ac:dyDescent="0.3">
      <c r="C394" s="4"/>
      <c r="D394" s="8">
        <v>2021</v>
      </c>
      <c r="E394" s="14">
        <f>Data!N394</f>
        <v>-16015990000</v>
      </c>
      <c r="F394" s="14">
        <f>Data!K394</f>
        <v>558683430000</v>
      </c>
      <c r="G394" s="12">
        <f t="shared" si="6"/>
        <v>-2.8667379664365559E-2</v>
      </c>
    </row>
    <row r="395" spans="2:7" ht="15" customHeight="1" x14ac:dyDescent="0.3">
      <c r="C395" s="4"/>
      <c r="D395" s="8">
        <v>2022</v>
      </c>
      <c r="E395" s="14">
        <f>Data!N395</f>
        <v>660160000</v>
      </c>
      <c r="F395" s="14">
        <f>Data!K395</f>
        <v>559343590000</v>
      </c>
      <c r="G395" s="12">
        <f t="shared" si="6"/>
        <v>1.1802405744919683E-3</v>
      </c>
    </row>
    <row r="396" spans="2:7" ht="15" customHeight="1" x14ac:dyDescent="0.3">
      <c r="C396" s="4"/>
      <c r="D396" s="8">
        <v>2023</v>
      </c>
      <c r="E396" s="14">
        <f>Data!N396</f>
        <v>47095890000</v>
      </c>
      <c r="F396" s="14">
        <f>Data!K396</f>
        <v>606439480000</v>
      </c>
      <c r="G396" s="12">
        <f t="shared" si="6"/>
        <v>7.7659670178465298E-2</v>
      </c>
    </row>
    <row r="397" spans="2:7" ht="15" customHeight="1" x14ac:dyDescent="0.3">
      <c r="C397" s="4"/>
      <c r="D397" s="8">
        <v>2024</v>
      </c>
      <c r="E397" s="14">
        <f>Data!N397</f>
        <v>0</v>
      </c>
      <c r="F397" s="14">
        <f>Data!K397</f>
        <v>0</v>
      </c>
      <c r="G397" s="12">
        <f t="shared" si="6"/>
        <v>0</v>
      </c>
    </row>
    <row r="398" spans="2:7" ht="15" customHeight="1" x14ac:dyDescent="0.3">
      <c r="B398" s="8">
        <v>37</v>
      </c>
      <c r="C398" s="3" t="s">
        <v>10</v>
      </c>
      <c r="D398" s="8">
        <v>2014</v>
      </c>
      <c r="E398" s="14">
        <f>Data!N398</f>
        <v>0</v>
      </c>
      <c r="F398" s="14">
        <f>Data!K398</f>
        <v>0</v>
      </c>
      <c r="G398" s="12">
        <f t="shared" si="6"/>
        <v>0</v>
      </c>
    </row>
    <row r="399" spans="2:7" ht="15" customHeight="1" x14ac:dyDescent="0.3">
      <c r="C399" s="3"/>
      <c r="D399" s="8">
        <v>2015</v>
      </c>
      <c r="E399" s="14">
        <f>Data!N399</f>
        <v>0</v>
      </c>
      <c r="F399" s="14">
        <f>Data!K399</f>
        <v>0</v>
      </c>
      <c r="G399" s="12">
        <f t="shared" si="6"/>
        <v>0</v>
      </c>
    </row>
    <row r="400" spans="2:7" ht="15" customHeight="1" x14ac:dyDescent="0.3">
      <c r="C400" s="3"/>
      <c r="D400" s="8">
        <v>2016</v>
      </c>
      <c r="E400" s="14">
        <f>Data!N400</f>
        <v>0</v>
      </c>
      <c r="F400" s="14">
        <f>Data!K400</f>
        <v>0</v>
      </c>
      <c r="G400" s="12">
        <f t="shared" si="6"/>
        <v>0</v>
      </c>
    </row>
    <row r="401" spans="2:7" ht="15" customHeight="1" x14ac:dyDescent="0.3">
      <c r="C401" s="3"/>
      <c r="D401" s="8">
        <v>2017</v>
      </c>
      <c r="E401" s="14">
        <f>Data!N401</f>
        <v>-23649080000</v>
      </c>
      <c r="F401" s="14">
        <f>Data!K401</f>
        <v>114896260000</v>
      </c>
      <c r="G401" s="12">
        <f t="shared" si="6"/>
        <v>-0.20582985033629467</v>
      </c>
    </row>
    <row r="402" spans="2:7" ht="15" customHeight="1" x14ac:dyDescent="0.3">
      <c r="C402" s="3"/>
      <c r="D402" s="8">
        <v>2018</v>
      </c>
      <c r="E402" s="14">
        <f>Data!N402</f>
        <v>-22824050000</v>
      </c>
      <c r="F402" s="14">
        <f>Data!K402</f>
        <v>112072210000</v>
      </c>
      <c r="G402" s="12">
        <f t="shared" si="6"/>
        <v>-0.20365485788136059</v>
      </c>
    </row>
    <row r="403" spans="2:7" ht="15" customHeight="1" x14ac:dyDescent="0.3">
      <c r="C403" s="3"/>
      <c r="D403" s="8">
        <v>2019</v>
      </c>
      <c r="E403" s="14">
        <f>Data!N403</f>
        <v>-33770430000</v>
      </c>
      <c r="F403" s="14">
        <f>Data!K403</f>
        <v>118301780000</v>
      </c>
      <c r="G403" s="12">
        <f t="shared" si="6"/>
        <v>-0.28546003280762133</v>
      </c>
    </row>
    <row r="404" spans="2:7" ht="15" customHeight="1" x14ac:dyDescent="0.3">
      <c r="C404" s="3"/>
      <c r="D404" s="8">
        <v>2020</v>
      </c>
      <c r="E404" s="14">
        <f>Data!N404</f>
        <v>-31624440000</v>
      </c>
      <c r="F404" s="14">
        <f>Data!K404</f>
        <v>121676340000</v>
      </c>
      <c r="G404" s="12">
        <f t="shared" si="6"/>
        <v>-0.25990623978334654</v>
      </c>
    </row>
    <row r="405" spans="2:7" ht="15" customHeight="1" x14ac:dyDescent="0.3">
      <c r="C405" s="3"/>
      <c r="D405" s="8">
        <v>2021</v>
      </c>
      <c r="E405" s="14">
        <f>Data!N405</f>
        <v>-24154450000</v>
      </c>
      <c r="F405" s="14">
        <f>Data!K405</f>
        <v>127521880000</v>
      </c>
      <c r="G405" s="12">
        <f t="shared" si="6"/>
        <v>-0.1894141617109158</v>
      </c>
    </row>
    <row r="406" spans="2:7" ht="15" customHeight="1" x14ac:dyDescent="0.3">
      <c r="C406" s="3"/>
      <c r="D406" s="8">
        <v>2022</v>
      </c>
      <c r="E406" s="14">
        <f>Data!N406</f>
        <v>-23184920000</v>
      </c>
      <c r="F406" s="14">
        <f>Data!K406</f>
        <v>129336960000</v>
      </c>
      <c r="G406" s="12">
        <f t="shared" si="6"/>
        <v>-0.17925981869374386</v>
      </c>
    </row>
    <row r="407" spans="2:7" ht="15" customHeight="1" x14ac:dyDescent="0.3">
      <c r="C407" s="3"/>
      <c r="D407" s="8">
        <v>2023</v>
      </c>
      <c r="E407" s="14">
        <f>Data!N407</f>
        <v>-34996390000</v>
      </c>
      <c r="F407" s="14">
        <f>Data!K407</f>
        <v>119340570000</v>
      </c>
      <c r="G407" s="12">
        <f t="shared" si="6"/>
        <v>-0.29324805470595622</v>
      </c>
    </row>
    <row r="408" spans="2:7" ht="15" customHeight="1" x14ac:dyDescent="0.3">
      <c r="C408" s="3"/>
      <c r="D408" s="8">
        <v>2024</v>
      </c>
      <c r="E408" s="14">
        <f>Data!N408</f>
        <v>-36679000000</v>
      </c>
      <c r="F408" s="14">
        <f>Data!K408</f>
        <v>122662000000</v>
      </c>
      <c r="G408" s="12">
        <f t="shared" si="6"/>
        <v>-0.29902496290619751</v>
      </c>
    </row>
    <row r="409" spans="2:7" ht="15" customHeight="1" x14ac:dyDescent="0.3">
      <c r="B409" s="8">
        <v>38</v>
      </c>
      <c r="C409" s="3" t="s">
        <v>32</v>
      </c>
      <c r="D409" s="8">
        <v>2014</v>
      </c>
      <c r="E409" s="14">
        <f>Data!N409</f>
        <v>0</v>
      </c>
      <c r="F409" s="14">
        <f>Data!K409</f>
        <v>0</v>
      </c>
      <c r="G409" s="12">
        <f t="shared" si="6"/>
        <v>0</v>
      </c>
    </row>
    <row r="410" spans="2:7" ht="15" customHeight="1" x14ac:dyDescent="0.3">
      <c r="C410" s="3"/>
      <c r="D410" s="8">
        <v>2015</v>
      </c>
      <c r="E410" s="14">
        <f>Data!N410</f>
        <v>0</v>
      </c>
      <c r="F410" s="14">
        <f>Data!K410</f>
        <v>0</v>
      </c>
      <c r="G410" s="12">
        <f t="shared" si="6"/>
        <v>0</v>
      </c>
    </row>
    <row r="411" spans="2:7" ht="15" customHeight="1" x14ac:dyDescent="0.3">
      <c r="C411" s="3"/>
      <c r="D411" s="8">
        <v>2016</v>
      </c>
      <c r="E411" s="14">
        <f>Data!N411</f>
        <v>0</v>
      </c>
      <c r="F411" s="14">
        <f>Data!K411</f>
        <v>0</v>
      </c>
      <c r="G411" s="12">
        <f t="shared" si="6"/>
        <v>0</v>
      </c>
    </row>
    <row r="412" spans="2:7" ht="15" customHeight="1" x14ac:dyDescent="0.3">
      <c r="C412" s="3"/>
      <c r="D412" s="8">
        <v>2017</v>
      </c>
      <c r="E412" s="14">
        <f>Data!N412</f>
        <v>850000000</v>
      </c>
      <c r="F412" s="14">
        <f>Data!K412</f>
        <v>106717000000</v>
      </c>
      <c r="G412" s="12">
        <f t="shared" si="6"/>
        <v>7.9649915196266761E-3</v>
      </c>
    </row>
    <row r="413" spans="2:7" ht="15" customHeight="1" x14ac:dyDescent="0.3">
      <c r="C413" s="3"/>
      <c r="D413" s="8">
        <v>2018</v>
      </c>
      <c r="E413" s="14">
        <f>Data!N413</f>
        <v>-10827000000</v>
      </c>
      <c r="F413" s="14">
        <f>Data!K413</f>
        <v>370889000000</v>
      </c>
      <c r="G413" s="12">
        <f t="shared" si="6"/>
        <v>-2.9192022411017853E-2</v>
      </c>
    </row>
    <row r="414" spans="2:7" ht="15" customHeight="1" x14ac:dyDescent="0.3">
      <c r="C414" s="3"/>
      <c r="D414" s="8">
        <v>2019</v>
      </c>
      <c r="E414" s="14">
        <f>Data!N414</f>
        <v>-31964000000</v>
      </c>
      <c r="F414" s="14">
        <f>Data!K414</f>
        <v>338925000000</v>
      </c>
      <c r="G414" s="12">
        <f t="shared" si="6"/>
        <v>-9.4309950579036655E-2</v>
      </c>
    </row>
    <row r="415" spans="2:7" ht="15" customHeight="1" x14ac:dyDescent="0.3">
      <c r="C415" s="3"/>
      <c r="D415" s="8">
        <v>2020</v>
      </c>
      <c r="E415" s="14">
        <f>Data!N415</f>
        <v>-28340000000</v>
      </c>
      <c r="F415" s="14">
        <f>Data!K415</f>
        <v>310585000000</v>
      </c>
      <c r="G415" s="12">
        <f t="shared" si="6"/>
        <v>-9.124716261248933E-2</v>
      </c>
    </row>
    <row r="416" spans="2:7" ht="15" customHeight="1" x14ac:dyDescent="0.3">
      <c r="C416" s="3"/>
      <c r="D416" s="8">
        <v>2021</v>
      </c>
      <c r="E416" s="14">
        <f>Data!N416</f>
        <v>-23823000000</v>
      </c>
      <c r="F416" s="14">
        <f>Data!K416</f>
        <v>260645000000</v>
      </c>
      <c r="G416" s="12">
        <f t="shared" si="6"/>
        <v>-9.1400180321893759E-2</v>
      </c>
    </row>
    <row r="417" spans="2:7" ht="15" customHeight="1" x14ac:dyDescent="0.3">
      <c r="C417" s="3"/>
      <c r="D417" s="8">
        <v>2022</v>
      </c>
      <c r="E417" s="14">
        <f>Data!N417</f>
        <v>-36004000000</v>
      </c>
      <c r="F417" s="14">
        <f>Data!K417</f>
        <v>224641000000</v>
      </c>
      <c r="G417" s="12">
        <f t="shared" si="6"/>
        <v>-0.16027350305598712</v>
      </c>
    </row>
    <row r="418" spans="2:7" ht="15" customHeight="1" x14ac:dyDescent="0.3">
      <c r="C418" s="3"/>
      <c r="D418" s="8">
        <v>2023</v>
      </c>
      <c r="E418" s="14">
        <f>Data!N418</f>
        <v>-50202000000</v>
      </c>
      <c r="F418" s="14">
        <f>Data!K418</f>
        <v>176443000000</v>
      </c>
      <c r="G418" s="12">
        <f t="shared" si="6"/>
        <v>-0.28452248034776101</v>
      </c>
    </row>
    <row r="419" spans="2:7" ht="15" customHeight="1" x14ac:dyDescent="0.3">
      <c r="C419" s="3"/>
      <c r="D419" s="8">
        <v>2024</v>
      </c>
      <c r="E419" s="14">
        <f>Data!N419</f>
        <v>-49633000000</v>
      </c>
      <c r="F419" s="14">
        <f>Data!K419</f>
        <v>126809000000</v>
      </c>
      <c r="G419" s="12">
        <f t="shared" si="6"/>
        <v>-0.39139966406169907</v>
      </c>
    </row>
    <row r="420" spans="2:7" ht="15" customHeight="1" x14ac:dyDescent="0.3">
      <c r="B420" s="8">
        <v>39</v>
      </c>
      <c r="C420" s="3" t="s">
        <v>33</v>
      </c>
      <c r="D420" s="8">
        <v>2014</v>
      </c>
      <c r="E420" s="14">
        <f>Data!N420</f>
        <v>0</v>
      </c>
      <c r="F420" s="14">
        <f>Data!K420</f>
        <v>0</v>
      </c>
      <c r="G420" s="12">
        <f t="shared" si="6"/>
        <v>0</v>
      </c>
    </row>
    <row r="421" spans="2:7" ht="15" customHeight="1" x14ac:dyDescent="0.3">
      <c r="C421" s="3"/>
      <c r="D421" s="8">
        <v>2015</v>
      </c>
      <c r="E421" s="14">
        <f>Data!N421</f>
        <v>-54770000000</v>
      </c>
      <c r="F421" s="14">
        <f>Data!K421</f>
        <v>407183000000</v>
      </c>
      <c r="G421" s="12">
        <f t="shared" si="6"/>
        <v>-0.13450954484838512</v>
      </c>
    </row>
    <row r="422" spans="2:7" ht="15" customHeight="1" x14ac:dyDescent="0.3">
      <c r="C422" s="3"/>
      <c r="D422" s="8">
        <v>2016</v>
      </c>
      <c r="E422" s="14">
        <f>Data!N422</f>
        <v>-21632000000</v>
      </c>
      <c r="F422" s="14">
        <f>Data!K422</f>
        <v>385552000000</v>
      </c>
      <c r="G422" s="12">
        <f t="shared" si="6"/>
        <v>-5.6106569282483296E-2</v>
      </c>
    </row>
    <row r="423" spans="2:7" ht="15" customHeight="1" x14ac:dyDescent="0.3">
      <c r="C423" s="3"/>
      <c r="D423" s="8">
        <v>2017</v>
      </c>
      <c r="E423" s="14">
        <f>Data!N423</f>
        <v>124439000000</v>
      </c>
      <c r="F423" s="14">
        <f>Data!K423</f>
        <v>509991000000</v>
      </c>
      <c r="G423" s="12">
        <f t="shared" si="6"/>
        <v>0.24400234513942404</v>
      </c>
    </row>
    <row r="424" spans="2:7" ht="15" customHeight="1" x14ac:dyDescent="0.3">
      <c r="C424" s="3"/>
      <c r="D424" s="8">
        <v>2018</v>
      </c>
      <c r="E424" s="14">
        <f>Data!N435</f>
        <v>25061000000</v>
      </c>
      <c r="F424" s="14">
        <f>Data!K435</f>
        <v>437677000000</v>
      </c>
      <c r="G424" s="12">
        <f t="shared" si="6"/>
        <v>5.7259120310183077E-2</v>
      </c>
    </row>
    <row r="425" spans="2:7" ht="15" customHeight="1" x14ac:dyDescent="0.3">
      <c r="C425" s="3"/>
      <c r="D425" s="8">
        <v>2019</v>
      </c>
      <c r="E425" s="14">
        <f>Data!N436</f>
        <v>43964000000</v>
      </c>
      <c r="F425" s="14">
        <f>Data!K436</f>
        <v>467698000000</v>
      </c>
      <c r="G425" s="12">
        <f t="shared" si="6"/>
        <v>9.4000829595166105E-2</v>
      </c>
    </row>
    <row r="426" spans="2:7" ht="15" customHeight="1" x14ac:dyDescent="0.3">
      <c r="C426" s="3"/>
      <c r="D426" s="8">
        <v>2020</v>
      </c>
      <c r="E426" s="14">
        <f>Data!N437</f>
        <v>35347000000</v>
      </c>
      <c r="F426" s="14">
        <f>Data!K437</f>
        <v>447766000000</v>
      </c>
      <c r="G426" s="12">
        <f t="shared" si="6"/>
        <v>7.8940786035563218E-2</v>
      </c>
    </row>
    <row r="427" spans="2:7" ht="15" customHeight="1" x14ac:dyDescent="0.3">
      <c r="C427" s="3"/>
      <c r="D427" s="8">
        <v>2021</v>
      </c>
      <c r="E427" s="14">
        <f>Data!N438</f>
        <v>3583000000</v>
      </c>
      <c r="F427" s="14">
        <f>Data!K438</f>
        <v>427808000000</v>
      </c>
      <c r="G427" s="12">
        <f t="shared" si="6"/>
        <v>8.3752524496970605E-3</v>
      </c>
    </row>
    <row r="428" spans="2:7" ht="15" customHeight="1" x14ac:dyDescent="0.3">
      <c r="C428" s="3"/>
      <c r="D428" s="8">
        <v>2022</v>
      </c>
      <c r="E428" s="14">
        <f>Data!N439</f>
        <v>-2476000000</v>
      </c>
      <c r="F428" s="14">
        <f>Data!K439</f>
        <v>487341000000</v>
      </c>
      <c r="G428" s="12">
        <f t="shared" si="6"/>
        <v>-5.0806314264549872E-3</v>
      </c>
    </row>
    <row r="429" spans="2:7" ht="15" customHeight="1" x14ac:dyDescent="0.3">
      <c r="C429" s="3"/>
      <c r="D429" s="8">
        <v>2023</v>
      </c>
      <c r="E429" s="14">
        <f>Data!N440</f>
        <v>-48327000000</v>
      </c>
      <c r="F429" s="14">
        <f>Data!K440</f>
        <v>439014000000</v>
      </c>
      <c r="G429" s="12">
        <f t="shared" si="6"/>
        <v>-0.11008077191160191</v>
      </c>
    </row>
    <row r="430" spans="2:7" ht="15" customHeight="1" x14ac:dyDescent="0.3">
      <c r="C430" s="3"/>
      <c r="D430" s="8">
        <v>2024</v>
      </c>
      <c r="E430" s="14">
        <f>Data!N441</f>
        <v>209000000</v>
      </c>
      <c r="F430" s="14">
        <f>Data!K441</f>
        <v>439223000000</v>
      </c>
      <c r="G430" s="12">
        <f t="shared" si="6"/>
        <v>4.758402906951594E-4</v>
      </c>
    </row>
    <row r="431" spans="2:7" ht="15" customHeight="1" x14ac:dyDescent="0.3">
      <c r="B431" s="8">
        <v>40</v>
      </c>
      <c r="C431" s="3" t="s">
        <v>12</v>
      </c>
      <c r="D431" s="8">
        <v>2014</v>
      </c>
      <c r="E431" s="14">
        <f>Data!N431</f>
        <v>0</v>
      </c>
      <c r="F431" s="14">
        <f>Data!K431</f>
        <v>0</v>
      </c>
      <c r="G431" s="12">
        <f t="shared" si="6"/>
        <v>0</v>
      </c>
    </row>
    <row r="432" spans="2:7" ht="15" customHeight="1" x14ac:dyDescent="0.3">
      <c r="C432" s="3"/>
      <c r="D432" s="8">
        <v>2015</v>
      </c>
      <c r="E432" s="14">
        <f>Data!N432</f>
        <v>0</v>
      </c>
      <c r="F432" s="14">
        <f>Data!K432</f>
        <v>0</v>
      </c>
      <c r="G432" s="12">
        <f t="shared" si="6"/>
        <v>0</v>
      </c>
    </row>
    <row r="433" spans="2:7" ht="15" customHeight="1" x14ac:dyDescent="0.3">
      <c r="C433" s="3"/>
      <c r="D433" s="8">
        <v>2016</v>
      </c>
      <c r="E433" s="14">
        <f>Data!N433</f>
        <v>0</v>
      </c>
      <c r="F433" s="14">
        <f>Data!K433</f>
        <v>0</v>
      </c>
      <c r="G433" s="12">
        <f t="shared" si="6"/>
        <v>0</v>
      </c>
    </row>
    <row r="434" spans="2:7" ht="15" customHeight="1" x14ac:dyDescent="0.3">
      <c r="C434" s="3"/>
      <c r="D434" s="8">
        <v>2017</v>
      </c>
      <c r="E434" s="14">
        <f>Data!N434</f>
        <v>0</v>
      </c>
      <c r="F434" s="14">
        <f>Data!K434</f>
        <v>0</v>
      </c>
      <c r="G434" s="12">
        <f t="shared" si="6"/>
        <v>0</v>
      </c>
    </row>
    <row r="435" spans="2:7" ht="15" customHeight="1" x14ac:dyDescent="0.3">
      <c r="C435" s="3"/>
      <c r="D435" s="8">
        <v>2018</v>
      </c>
      <c r="E435" s="14" t="e">
        <f>Data!#REF!</f>
        <v>#REF!</v>
      </c>
      <c r="F435" s="14" t="e">
        <f>Data!#REF!</f>
        <v>#REF!</v>
      </c>
      <c r="G435" s="12">
        <f t="shared" si="6"/>
        <v>0</v>
      </c>
    </row>
    <row r="436" spans="2:7" ht="15" customHeight="1" x14ac:dyDescent="0.3">
      <c r="C436" s="3"/>
      <c r="D436" s="8">
        <v>2019</v>
      </c>
      <c r="E436" s="14" t="e">
        <f>Data!#REF!</f>
        <v>#REF!</v>
      </c>
      <c r="F436" s="14" t="e">
        <f>Data!#REF!</f>
        <v>#REF!</v>
      </c>
      <c r="G436" s="12">
        <f t="shared" si="6"/>
        <v>0</v>
      </c>
    </row>
    <row r="437" spans="2:7" ht="15" customHeight="1" x14ac:dyDescent="0.3">
      <c r="C437" s="3"/>
      <c r="D437" s="8">
        <v>2020</v>
      </c>
      <c r="E437" s="14" t="e">
        <f>Data!#REF!</f>
        <v>#REF!</v>
      </c>
      <c r="F437" s="14" t="e">
        <f>Data!#REF!</f>
        <v>#REF!</v>
      </c>
      <c r="G437" s="12">
        <f t="shared" si="6"/>
        <v>0</v>
      </c>
    </row>
    <row r="438" spans="2:7" ht="15" customHeight="1" x14ac:dyDescent="0.3">
      <c r="C438" s="3"/>
      <c r="D438" s="8">
        <v>2021</v>
      </c>
      <c r="E438" s="14" t="e">
        <f>Data!#REF!</f>
        <v>#REF!</v>
      </c>
      <c r="F438" s="14" t="e">
        <f>Data!#REF!</f>
        <v>#REF!</v>
      </c>
      <c r="G438" s="12">
        <f t="shared" si="6"/>
        <v>0</v>
      </c>
    </row>
    <row r="439" spans="2:7" ht="15" customHeight="1" x14ac:dyDescent="0.3">
      <c r="C439" s="3"/>
      <c r="D439" s="8">
        <v>2022</v>
      </c>
      <c r="E439" s="14" t="e">
        <f>Data!#REF!</f>
        <v>#REF!</v>
      </c>
      <c r="F439" s="14" t="e">
        <f>Data!#REF!</f>
        <v>#REF!</v>
      </c>
      <c r="G439" s="12">
        <f t="shared" si="6"/>
        <v>0</v>
      </c>
    </row>
    <row r="440" spans="2:7" ht="15" customHeight="1" x14ac:dyDescent="0.3">
      <c r="C440" s="3"/>
      <c r="D440" s="8">
        <v>2023</v>
      </c>
      <c r="E440" s="14" t="e">
        <f>Data!#REF!</f>
        <v>#REF!</v>
      </c>
      <c r="F440" s="14" t="e">
        <f>Data!#REF!</f>
        <v>#REF!</v>
      </c>
      <c r="G440" s="12">
        <f t="shared" si="6"/>
        <v>0</v>
      </c>
    </row>
    <row r="441" spans="2:7" ht="15" customHeight="1" x14ac:dyDescent="0.3">
      <c r="C441" s="3"/>
      <c r="D441" s="8">
        <v>2024</v>
      </c>
      <c r="E441" s="14" t="e">
        <f>Data!#REF!</f>
        <v>#REF!</v>
      </c>
      <c r="F441" s="14" t="e">
        <f>Data!#REF!</f>
        <v>#REF!</v>
      </c>
      <c r="G441" s="12">
        <f t="shared" si="6"/>
        <v>0</v>
      </c>
    </row>
    <row r="442" spans="2:7" ht="15" customHeight="1" x14ac:dyDescent="0.3">
      <c r="B442" s="8">
        <v>41</v>
      </c>
      <c r="C442" s="3" t="s">
        <v>34</v>
      </c>
      <c r="D442" s="8">
        <v>2014</v>
      </c>
      <c r="E442" s="14">
        <f>Data!N442</f>
        <v>0</v>
      </c>
      <c r="F442" s="14">
        <f>Data!K442</f>
        <v>0</v>
      </c>
      <c r="G442" s="12">
        <f t="shared" si="6"/>
        <v>0</v>
      </c>
    </row>
    <row r="443" spans="2:7" ht="15" customHeight="1" x14ac:dyDescent="0.3">
      <c r="C443" s="3"/>
      <c r="D443" s="8">
        <v>2015</v>
      </c>
      <c r="E443" s="14">
        <f>Data!N443</f>
        <v>0</v>
      </c>
      <c r="F443" s="14">
        <f>Data!K443</f>
        <v>0</v>
      </c>
      <c r="G443" s="12">
        <f t="shared" si="6"/>
        <v>0</v>
      </c>
    </row>
    <row r="444" spans="2:7" ht="15" customHeight="1" x14ac:dyDescent="0.3">
      <c r="C444" s="3"/>
      <c r="D444" s="8">
        <v>2016</v>
      </c>
      <c r="E444" s="14">
        <f>Data!N444</f>
        <v>0</v>
      </c>
      <c r="F444" s="14">
        <f>Data!K444</f>
        <v>0</v>
      </c>
      <c r="G444" s="12">
        <f t="shared" si="6"/>
        <v>0</v>
      </c>
    </row>
    <row r="445" spans="2:7" ht="15" customHeight="1" x14ac:dyDescent="0.3">
      <c r="C445" s="3"/>
      <c r="D445" s="8">
        <v>2017</v>
      </c>
      <c r="E445" s="14">
        <f>Data!N445</f>
        <v>0</v>
      </c>
      <c r="F445" s="14">
        <f>Data!K445</f>
        <v>0</v>
      </c>
      <c r="G445" s="12">
        <f t="shared" si="6"/>
        <v>0</v>
      </c>
    </row>
    <row r="446" spans="2:7" ht="15" customHeight="1" x14ac:dyDescent="0.3">
      <c r="C446" s="3"/>
      <c r="D446" s="8">
        <v>2018</v>
      </c>
      <c r="E446" s="14">
        <f>Data!N446</f>
        <v>-487947000000</v>
      </c>
      <c r="F446" s="14">
        <f>Data!K446</f>
        <v>299783000000</v>
      </c>
      <c r="G446" s="12">
        <f t="shared" si="6"/>
        <v>-1.6276673460469739</v>
      </c>
    </row>
    <row r="447" spans="2:7" ht="15" customHeight="1" x14ac:dyDescent="0.3">
      <c r="C447" s="3"/>
      <c r="D447" s="8">
        <v>2019</v>
      </c>
      <c r="E447" s="14">
        <f>Data!N447</f>
        <v>-345388000000</v>
      </c>
      <c r="F447" s="14">
        <f>Data!K447</f>
        <v>5836966000000</v>
      </c>
      <c r="G447" s="12">
        <f t="shared" si="6"/>
        <v>-5.9172522163055262E-2</v>
      </c>
    </row>
    <row r="448" spans="2:7" ht="15" customHeight="1" x14ac:dyDescent="0.3">
      <c r="C448" s="3"/>
      <c r="D448" s="8">
        <v>2020</v>
      </c>
      <c r="E448" s="14">
        <f>Data!N448</f>
        <v>-362365000000</v>
      </c>
      <c r="F448" s="14">
        <f>Data!K448</f>
        <v>5620989000000</v>
      </c>
      <c r="G448" s="12">
        <f t="shared" si="6"/>
        <v>-6.4466413294884589E-2</v>
      </c>
    </row>
    <row r="449" spans="2:7" ht="15" customHeight="1" x14ac:dyDescent="0.3">
      <c r="C449" s="3"/>
      <c r="D449" s="8">
        <v>2021</v>
      </c>
      <c r="E449" s="14">
        <f>Data!N449</f>
        <v>-179468000000</v>
      </c>
      <c r="F449" s="14">
        <f>Data!K449</f>
        <v>5586520000000</v>
      </c>
      <c r="G449" s="12">
        <f t="shared" si="6"/>
        <v>-3.2125187057416779E-2</v>
      </c>
    </row>
    <row r="450" spans="2:7" ht="15" customHeight="1" x14ac:dyDescent="0.3">
      <c r="C450" s="3"/>
      <c r="D450" s="8">
        <v>2022</v>
      </c>
      <c r="E450" s="14">
        <f>Data!N450</f>
        <v>-390672000000</v>
      </c>
      <c r="F450" s="14">
        <f>Data!K450</f>
        <v>5195848000000</v>
      </c>
      <c r="G450" s="12">
        <f t="shared" si="6"/>
        <v>-7.5189266506641456E-2</v>
      </c>
    </row>
    <row r="451" spans="2:7" ht="15" customHeight="1" x14ac:dyDescent="0.3">
      <c r="C451" s="3"/>
      <c r="D451" s="8">
        <v>2023</v>
      </c>
      <c r="E451" s="14">
        <f>Data!N451</f>
        <v>-1879916000000</v>
      </c>
      <c r="F451" s="14">
        <f>Data!K451</f>
        <v>3315932000000</v>
      </c>
      <c r="G451" s="12">
        <f t="shared" ref="G451:G514" si="7">IFERROR(E451/F451,0)</f>
        <v>-0.5669344244695006</v>
      </c>
    </row>
    <row r="452" spans="2:7" ht="15" customHeight="1" x14ac:dyDescent="0.3">
      <c r="C452" s="3"/>
      <c r="D452" s="8">
        <v>2024</v>
      </c>
      <c r="E452" s="14">
        <f>Data!N452</f>
        <v>-833046000000</v>
      </c>
      <c r="F452" s="14">
        <f>Data!K452</f>
        <v>2482886000000</v>
      </c>
      <c r="G452" s="12">
        <f t="shared" si="7"/>
        <v>-0.33551520287278597</v>
      </c>
    </row>
    <row r="453" spans="2:7" ht="15" customHeight="1" x14ac:dyDescent="0.3">
      <c r="B453" s="8">
        <v>42</v>
      </c>
      <c r="C453" s="3" t="s">
        <v>14</v>
      </c>
      <c r="D453" s="8">
        <v>2014</v>
      </c>
      <c r="E453" s="14">
        <f>Data!N453</f>
        <v>0</v>
      </c>
      <c r="F453" s="14">
        <f>Data!K453</f>
        <v>0</v>
      </c>
      <c r="G453" s="12">
        <f t="shared" si="7"/>
        <v>0</v>
      </c>
    </row>
    <row r="454" spans="2:7" ht="15" customHeight="1" x14ac:dyDescent="0.3">
      <c r="C454" s="3"/>
      <c r="D454" s="8">
        <v>2015</v>
      </c>
      <c r="E454" s="14">
        <f>Data!N454</f>
        <v>-36636610000</v>
      </c>
      <c r="F454" s="14">
        <f>Data!K454</f>
        <v>116650850000</v>
      </c>
      <c r="G454" s="12">
        <f t="shared" si="7"/>
        <v>-0.31407066472297457</v>
      </c>
    </row>
    <row r="455" spans="2:7" ht="15" customHeight="1" x14ac:dyDescent="0.3">
      <c r="C455" s="3"/>
      <c r="D455" s="8">
        <v>2016</v>
      </c>
      <c r="E455" s="14">
        <f>Data!N455</f>
        <v>-61977770000</v>
      </c>
      <c r="F455" s="14">
        <f>Data!K455</f>
        <v>276744140000</v>
      </c>
      <c r="G455" s="12">
        <f t="shared" si="7"/>
        <v>-0.22395332381744379</v>
      </c>
    </row>
    <row r="456" spans="2:7" ht="15" customHeight="1" x14ac:dyDescent="0.3">
      <c r="C456" s="3"/>
      <c r="D456" s="8">
        <v>2017</v>
      </c>
      <c r="E456" s="14">
        <f>Data!N456</f>
        <v>3425090000</v>
      </c>
      <c r="F456" s="14">
        <f>Data!K456</f>
        <v>670557780000</v>
      </c>
      <c r="G456" s="12">
        <f t="shared" si="7"/>
        <v>5.1078223266606496E-3</v>
      </c>
    </row>
    <row r="457" spans="2:7" ht="15" customHeight="1" x14ac:dyDescent="0.3">
      <c r="C457" s="3"/>
      <c r="D457" s="8">
        <v>2018</v>
      </c>
      <c r="E457" s="14">
        <f>Data!N457</f>
        <v>-96016840000</v>
      </c>
      <c r="F457" s="14">
        <f>Data!K457</f>
        <v>574540940000</v>
      </c>
      <c r="G457" s="12">
        <f t="shared" si="7"/>
        <v>-0.16711923087674135</v>
      </c>
    </row>
    <row r="458" spans="2:7" ht="15" customHeight="1" x14ac:dyDescent="0.3">
      <c r="C458" s="3"/>
      <c r="D458" s="8">
        <v>2019</v>
      </c>
      <c r="E458" s="14">
        <f>Data!N458</f>
        <v>179690200000</v>
      </c>
      <c r="F458" s="14">
        <f>Data!K458</f>
        <v>754231130000</v>
      </c>
      <c r="G458" s="12">
        <f t="shared" si="7"/>
        <v>0.23824288451207257</v>
      </c>
    </row>
    <row r="459" spans="2:7" ht="15" customHeight="1" x14ac:dyDescent="0.3">
      <c r="C459" s="3"/>
      <c r="D459" s="8">
        <v>2020</v>
      </c>
      <c r="E459" s="14">
        <f>Data!N459</f>
        <v>102991370000</v>
      </c>
      <c r="F459" s="14">
        <f>Data!K459</f>
        <v>857222500000</v>
      </c>
      <c r="G459" s="12">
        <f t="shared" si="7"/>
        <v>0.12014543482001463</v>
      </c>
    </row>
    <row r="460" spans="2:7" ht="15" customHeight="1" x14ac:dyDescent="0.3">
      <c r="C460" s="3"/>
      <c r="D460" s="8">
        <v>2021</v>
      </c>
      <c r="E460" s="14">
        <f>Data!N460</f>
        <v>-31273380000</v>
      </c>
      <c r="F460" s="14">
        <f>Data!K460</f>
        <v>825949120000</v>
      </c>
      <c r="G460" s="12">
        <f t="shared" si="7"/>
        <v>-3.7863567189223471E-2</v>
      </c>
    </row>
    <row r="461" spans="2:7" ht="15" customHeight="1" x14ac:dyDescent="0.3">
      <c r="C461" s="3"/>
      <c r="D461" s="8">
        <v>2022</v>
      </c>
      <c r="E461" s="14">
        <f>Data!N461</f>
        <v>-403354500000</v>
      </c>
      <c r="F461" s="14">
        <f>Data!K461</f>
        <v>422594620000</v>
      </c>
      <c r="G461" s="12">
        <f t="shared" si="7"/>
        <v>-0.95447145067772043</v>
      </c>
    </row>
    <row r="462" spans="2:7" ht="15" customHeight="1" x14ac:dyDescent="0.3">
      <c r="C462" s="3"/>
      <c r="D462" s="8">
        <v>2023</v>
      </c>
      <c r="E462" s="14">
        <f>Data!N462</f>
        <v>405449950000</v>
      </c>
      <c r="F462" s="14">
        <f>Data!K462</f>
        <v>1102149380000</v>
      </c>
      <c r="G462" s="12">
        <f t="shared" si="7"/>
        <v>0.3678720483424851</v>
      </c>
    </row>
    <row r="463" spans="2:7" ht="15" customHeight="1" x14ac:dyDescent="0.3">
      <c r="C463" s="3"/>
      <c r="D463" s="8">
        <v>2024</v>
      </c>
      <c r="E463" s="14">
        <f>Data!N463</f>
        <v>-99348650000</v>
      </c>
      <c r="F463" s="14">
        <f>Data!K463</f>
        <v>1002800730000</v>
      </c>
      <c r="G463" s="12">
        <f t="shared" si="7"/>
        <v>-9.9071178378579761E-2</v>
      </c>
    </row>
    <row r="464" spans="2:7" ht="15" customHeight="1" x14ac:dyDescent="0.3">
      <c r="B464" s="8">
        <v>43</v>
      </c>
      <c r="C464" s="3" t="s">
        <v>15</v>
      </c>
      <c r="D464" s="8">
        <v>2014</v>
      </c>
      <c r="E464" s="14">
        <f>Data!N464</f>
        <v>0</v>
      </c>
      <c r="F464" s="14">
        <f>Data!K464</f>
        <v>0</v>
      </c>
      <c r="G464" s="12">
        <f t="shared" si="7"/>
        <v>0</v>
      </c>
    </row>
    <row r="465" spans="2:7" ht="15" customHeight="1" x14ac:dyDescent="0.3">
      <c r="C465" s="3"/>
      <c r="D465" s="8">
        <v>2015</v>
      </c>
      <c r="E465" s="14">
        <f>Data!N465</f>
        <v>-72698130000</v>
      </c>
      <c r="F465" s="14">
        <f>Data!K465</f>
        <v>292513050000</v>
      </c>
      <c r="G465" s="12">
        <f t="shared" si="7"/>
        <v>-0.24852952714417356</v>
      </c>
    </row>
    <row r="466" spans="2:7" ht="15" customHeight="1" x14ac:dyDescent="0.3">
      <c r="C466" s="3"/>
      <c r="D466" s="8">
        <v>2016</v>
      </c>
      <c r="E466" s="14">
        <f>Data!N466</f>
        <v>-131560440000</v>
      </c>
      <c r="F466" s="14">
        <f>Data!K466</f>
        <v>1880952610000</v>
      </c>
      <c r="G466" s="12">
        <f t="shared" si="7"/>
        <v>-6.994351654611862E-2</v>
      </c>
    </row>
    <row r="467" spans="2:7" ht="15" customHeight="1" x14ac:dyDescent="0.3">
      <c r="C467" s="3"/>
      <c r="D467" s="8">
        <v>2017</v>
      </c>
      <c r="E467" s="14">
        <f>Data!N467</f>
        <v>-56928730000</v>
      </c>
      <c r="F467" s="14">
        <f>Data!K467</f>
        <v>1824023880000</v>
      </c>
      <c r="G467" s="12">
        <f t="shared" si="7"/>
        <v>-3.1210517923701744E-2</v>
      </c>
    </row>
    <row r="468" spans="2:7" ht="15" customHeight="1" x14ac:dyDescent="0.3">
      <c r="C468" s="3"/>
      <c r="D468" s="8">
        <v>2018</v>
      </c>
      <c r="E468" s="14">
        <f>Data!N468</f>
        <v>-2518050000</v>
      </c>
      <c r="F468" s="14">
        <f>Data!K468</f>
        <v>1821505820000</v>
      </c>
      <c r="G468" s="12">
        <f t="shared" si="7"/>
        <v>-1.3824001945818652E-3</v>
      </c>
    </row>
    <row r="469" spans="2:7" ht="15" customHeight="1" x14ac:dyDescent="0.3">
      <c r="C469" s="3"/>
      <c r="D469" s="8">
        <v>2019</v>
      </c>
      <c r="E469" s="14">
        <f>Data!N469</f>
        <v>28306930000</v>
      </c>
      <c r="F469" s="14">
        <f>Data!K469</f>
        <v>1849812750000</v>
      </c>
      <c r="G469" s="12">
        <f t="shared" si="7"/>
        <v>1.5302592113715294E-2</v>
      </c>
    </row>
    <row r="470" spans="2:7" ht="15" customHeight="1" x14ac:dyDescent="0.3">
      <c r="C470" s="3"/>
      <c r="D470" s="8">
        <v>2020</v>
      </c>
      <c r="E470" s="14">
        <f>Data!N470</f>
        <v>33705640000</v>
      </c>
      <c r="F470" s="14">
        <f>Data!K470</f>
        <v>1861815520000</v>
      </c>
      <c r="G470" s="12">
        <f t="shared" si="7"/>
        <v>1.8103641116924408E-2</v>
      </c>
    </row>
    <row r="471" spans="2:7" ht="15" customHeight="1" x14ac:dyDescent="0.3">
      <c r="C471" s="3"/>
      <c r="D471" s="8">
        <v>2021</v>
      </c>
      <c r="E471" s="14">
        <f>Data!N471</f>
        <v>10323500000</v>
      </c>
      <c r="F471" s="14">
        <f>Data!K471</f>
        <v>1872139020000</v>
      </c>
      <c r="G471" s="12">
        <f t="shared" si="7"/>
        <v>5.5142806649048958E-3</v>
      </c>
    </row>
    <row r="472" spans="2:7" ht="15" customHeight="1" x14ac:dyDescent="0.3">
      <c r="C472" s="3"/>
      <c r="D472" s="8">
        <v>2022</v>
      </c>
      <c r="E472" s="14">
        <f>Data!N472</f>
        <v>-65538340000</v>
      </c>
      <c r="F472" s="14">
        <f>Data!K472</f>
        <v>1806600680000</v>
      </c>
      <c r="G472" s="12">
        <f t="shared" si="7"/>
        <v>-3.6277158934756963E-2</v>
      </c>
    </row>
    <row r="473" spans="2:7" ht="15" customHeight="1" x14ac:dyDescent="0.3">
      <c r="C473" s="3"/>
      <c r="D473" s="8">
        <v>2023</v>
      </c>
      <c r="E473" s="14">
        <f>Data!N473</f>
        <v>-36842490000</v>
      </c>
      <c r="F473" s="14">
        <f>Data!K473</f>
        <v>1769758180000</v>
      </c>
      <c r="G473" s="12">
        <f t="shared" si="7"/>
        <v>-2.0817810261512679E-2</v>
      </c>
    </row>
    <row r="474" spans="2:7" ht="15" customHeight="1" x14ac:dyDescent="0.3">
      <c r="C474" s="3"/>
      <c r="D474" s="8">
        <v>2024</v>
      </c>
      <c r="E474" s="14">
        <f>Data!N474</f>
        <v>-81191580000</v>
      </c>
      <c r="F474" s="14">
        <f>Data!K474</f>
        <v>1688566600000</v>
      </c>
      <c r="G474" s="12">
        <f t="shared" si="7"/>
        <v>-4.8083137496619917E-2</v>
      </c>
    </row>
    <row r="475" spans="2:7" ht="15" customHeight="1" x14ac:dyDescent="0.3">
      <c r="B475" s="8">
        <v>44</v>
      </c>
      <c r="C475" s="3" t="s">
        <v>35</v>
      </c>
      <c r="D475" s="8">
        <v>2014</v>
      </c>
      <c r="E475" s="14">
        <f>Data!N490</f>
        <v>-1719655000000</v>
      </c>
      <c r="F475" s="14">
        <f>Data!K490</f>
        <v>6032822000000</v>
      </c>
      <c r="G475" s="12">
        <f t="shared" si="7"/>
        <v>-0.28504984897615082</v>
      </c>
    </row>
    <row r="476" spans="2:7" ht="15" customHeight="1" x14ac:dyDescent="0.3">
      <c r="C476" s="3"/>
      <c r="D476" s="8">
        <v>2015</v>
      </c>
      <c r="E476" s="14">
        <f>Data!N491</f>
        <v>1137336000000</v>
      </c>
      <c r="F476" s="14">
        <f>Data!K491</f>
        <v>7170158000000</v>
      </c>
      <c r="G476" s="12">
        <f t="shared" si="7"/>
        <v>0.15862077237349581</v>
      </c>
    </row>
    <row r="477" spans="2:7" ht="15" customHeight="1" x14ac:dyDescent="0.3">
      <c r="C477" s="3"/>
      <c r="D477" s="8">
        <v>2016</v>
      </c>
      <c r="E477" s="14">
        <f>Data!N477</f>
        <v>22042000000</v>
      </c>
      <c r="F477" s="14">
        <f>Data!K477</f>
        <v>144115000000</v>
      </c>
      <c r="G477" s="12">
        <f t="shared" si="7"/>
        <v>0.15294729903202303</v>
      </c>
    </row>
    <row r="478" spans="2:7" ht="15" customHeight="1" x14ac:dyDescent="0.3">
      <c r="C478" s="3"/>
      <c r="D478" s="8">
        <v>2017</v>
      </c>
      <c r="E478" s="14">
        <f>Data!N478</f>
        <v>25404000000</v>
      </c>
      <c r="F478" s="14">
        <f>Data!K478</f>
        <v>182333000000</v>
      </c>
      <c r="G478" s="12">
        <f t="shared" si="7"/>
        <v>0.13932749420017221</v>
      </c>
    </row>
    <row r="479" spans="2:7" ht="15" customHeight="1" x14ac:dyDescent="0.3">
      <c r="C479" s="3"/>
      <c r="D479" s="8">
        <v>2018</v>
      </c>
      <c r="E479" s="14" t="e">
        <f>Data!#REF!</f>
        <v>#REF!</v>
      </c>
      <c r="F479" s="14" t="e">
        <f>Data!#REF!</f>
        <v>#REF!</v>
      </c>
      <c r="G479" s="12">
        <f t="shared" si="7"/>
        <v>0</v>
      </c>
    </row>
    <row r="480" spans="2:7" ht="15" customHeight="1" x14ac:dyDescent="0.3">
      <c r="C480" s="3"/>
      <c r="D480" s="8">
        <v>2019</v>
      </c>
      <c r="E480" s="14" t="e">
        <f>Data!#REF!</f>
        <v>#REF!</v>
      </c>
      <c r="F480" s="14" t="e">
        <f>Data!#REF!</f>
        <v>#REF!</v>
      </c>
      <c r="G480" s="12">
        <f t="shared" si="7"/>
        <v>0</v>
      </c>
    </row>
    <row r="481" spans="2:7" ht="15" customHeight="1" x14ac:dyDescent="0.3">
      <c r="C481" s="3"/>
      <c r="D481" s="8">
        <v>2020</v>
      </c>
      <c r="E481" s="14">
        <f>Data!N481</f>
        <v>11351000000</v>
      </c>
      <c r="F481" s="14">
        <f>Data!K481</f>
        <v>198476000000</v>
      </c>
      <c r="G481" s="12">
        <f t="shared" si="7"/>
        <v>5.7190793849130374E-2</v>
      </c>
    </row>
    <row r="482" spans="2:7" ht="15" customHeight="1" x14ac:dyDescent="0.3">
      <c r="C482" s="3"/>
      <c r="D482" s="8">
        <v>2021</v>
      </c>
      <c r="E482" s="14">
        <f>Data!N482</f>
        <v>10292000000</v>
      </c>
      <c r="F482" s="14">
        <f>Data!K482</f>
        <v>201904000000</v>
      </c>
      <c r="G482" s="12">
        <f t="shared" si="7"/>
        <v>5.0974720659323243E-2</v>
      </c>
    </row>
    <row r="483" spans="2:7" ht="15" customHeight="1" x14ac:dyDescent="0.3">
      <c r="C483" s="3"/>
      <c r="D483" s="8">
        <v>2022</v>
      </c>
      <c r="E483" s="14">
        <f>Data!N483</f>
        <v>12467000000</v>
      </c>
      <c r="F483" s="14">
        <f>Data!K483</f>
        <v>227017000000</v>
      </c>
      <c r="G483" s="12">
        <f t="shared" si="7"/>
        <v>5.4916592149486604E-2</v>
      </c>
    </row>
    <row r="484" spans="2:7" ht="15" customHeight="1" x14ac:dyDescent="0.3">
      <c r="C484" s="3"/>
      <c r="D484" s="8">
        <v>2023</v>
      </c>
      <c r="E484" s="14">
        <f>Data!N484</f>
        <v>12692000000</v>
      </c>
      <c r="F484" s="14">
        <f>Data!K484</f>
        <v>232406000000</v>
      </c>
      <c r="G484" s="12">
        <f t="shared" si="7"/>
        <v>5.461132672994673E-2</v>
      </c>
    </row>
    <row r="485" spans="2:7" ht="15" customHeight="1" x14ac:dyDescent="0.3">
      <c r="C485" s="3"/>
      <c r="D485" s="8">
        <v>2024</v>
      </c>
      <c r="E485" s="14">
        <f>Data!N485</f>
        <v>17059000000</v>
      </c>
      <c r="F485" s="14">
        <f>Data!K485</f>
        <v>239790000000</v>
      </c>
      <c r="G485" s="12">
        <f t="shared" si="7"/>
        <v>7.1141415405146166E-2</v>
      </c>
    </row>
    <row r="486" spans="2:7" ht="15" customHeight="1" x14ac:dyDescent="0.3">
      <c r="B486" s="8">
        <v>45</v>
      </c>
      <c r="C486" s="3" t="s">
        <v>36</v>
      </c>
      <c r="D486" s="8">
        <v>2014</v>
      </c>
      <c r="E486" s="14">
        <f>Data!N486</f>
        <v>0</v>
      </c>
      <c r="F486" s="14">
        <f>Data!K486</f>
        <v>0</v>
      </c>
      <c r="G486" s="12">
        <f t="shared" si="7"/>
        <v>0</v>
      </c>
    </row>
    <row r="487" spans="2:7" ht="15" customHeight="1" x14ac:dyDescent="0.3">
      <c r="C487" s="3"/>
      <c r="D487" s="8">
        <v>2015</v>
      </c>
      <c r="E487" s="14">
        <f>Data!N487</f>
        <v>0</v>
      </c>
      <c r="F487" s="14">
        <f>Data!K487</f>
        <v>0</v>
      </c>
      <c r="G487" s="12">
        <f t="shared" si="7"/>
        <v>0</v>
      </c>
    </row>
    <row r="488" spans="2:7" ht="15" customHeight="1" x14ac:dyDescent="0.3">
      <c r="C488" s="3"/>
      <c r="D488" s="8">
        <v>2016</v>
      </c>
      <c r="E488" s="14">
        <f>Data!N488</f>
        <v>0</v>
      </c>
      <c r="F488" s="14">
        <f>Data!K488</f>
        <v>0</v>
      </c>
      <c r="G488" s="12">
        <f t="shared" si="7"/>
        <v>0</v>
      </c>
    </row>
    <row r="489" spans="2:7" ht="15" customHeight="1" x14ac:dyDescent="0.3">
      <c r="C489" s="3"/>
      <c r="D489" s="8">
        <v>2017</v>
      </c>
      <c r="E489" s="14">
        <f>Data!N489</f>
        <v>0</v>
      </c>
      <c r="F489" s="14">
        <f>Data!K489</f>
        <v>0</v>
      </c>
      <c r="G489" s="12">
        <f t="shared" si="7"/>
        <v>0</v>
      </c>
    </row>
    <row r="490" spans="2:7" ht="15" customHeight="1" x14ac:dyDescent="0.3">
      <c r="C490" s="3"/>
      <c r="D490" s="8">
        <v>2018</v>
      </c>
      <c r="E490" s="14" t="e">
        <f>Data!#REF!</f>
        <v>#REF!</v>
      </c>
      <c r="F490" s="14" t="e">
        <f>Data!#REF!</f>
        <v>#REF!</v>
      </c>
      <c r="G490" s="12">
        <f t="shared" si="7"/>
        <v>0</v>
      </c>
    </row>
    <row r="491" spans="2:7" ht="15" customHeight="1" x14ac:dyDescent="0.3">
      <c r="C491" s="3"/>
      <c r="D491" s="8">
        <v>2019</v>
      </c>
      <c r="E491" s="14" t="e">
        <f>Data!#REF!</f>
        <v>#REF!</v>
      </c>
      <c r="F491" s="14" t="e">
        <f>Data!#REF!</f>
        <v>#REF!</v>
      </c>
      <c r="G491" s="12">
        <f t="shared" si="7"/>
        <v>0</v>
      </c>
    </row>
    <row r="492" spans="2:7" ht="15" customHeight="1" x14ac:dyDescent="0.3">
      <c r="C492" s="3"/>
      <c r="D492" s="8">
        <v>2020</v>
      </c>
      <c r="E492" s="14">
        <f>Data!N492</f>
        <v>-2050261000000</v>
      </c>
      <c r="F492" s="14">
        <f>Data!K492</f>
        <v>28980403000000</v>
      </c>
      <c r="G492" s="12">
        <f t="shared" si="7"/>
        <v>-7.0746462704469631E-2</v>
      </c>
    </row>
    <row r="493" spans="2:7" ht="15" customHeight="1" x14ac:dyDescent="0.3">
      <c r="C493" s="3"/>
      <c r="D493" s="8">
        <v>2021</v>
      </c>
      <c r="E493" s="14">
        <f>Data!N493</f>
        <v>13960484000000</v>
      </c>
      <c r="F493" s="14">
        <f>Data!K493</f>
        <v>19080381000000</v>
      </c>
      <c r="G493" s="12">
        <f t="shared" si="7"/>
        <v>0.73166694103225716</v>
      </c>
    </row>
    <row r="494" spans="2:7" ht="15" customHeight="1" x14ac:dyDescent="0.3">
      <c r="C494" s="3"/>
      <c r="D494" s="8">
        <v>2022</v>
      </c>
      <c r="E494" s="14">
        <f>Data!N494</f>
        <v>-490645000000</v>
      </c>
      <c r="F494" s="14">
        <f>Data!K494</f>
        <v>18586736000000</v>
      </c>
      <c r="G494" s="12">
        <f t="shared" si="7"/>
        <v>-2.639758804343054E-2</v>
      </c>
    </row>
    <row r="495" spans="2:7" ht="15" customHeight="1" x14ac:dyDescent="0.3">
      <c r="C495" s="3"/>
      <c r="D495" s="8">
        <v>2023</v>
      </c>
      <c r="E495" s="14">
        <f>Data!N495</f>
        <v>-514894000000</v>
      </c>
      <c r="F495" s="14">
        <f>Data!K495</f>
        <v>18074841000000</v>
      </c>
      <c r="G495" s="12">
        <f t="shared" si="7"/>
        <v>-2.8486778943172999E-2</v>
      </c>
    </row>
    <row r="496" spans="2:7" ht="15" customHeight="1" x14ac:dyDescent="0.3">
      <c r="C496" s="3"/>
      <c r="D496" s="8">
        <v>2024</v>
      </c>
      <c r="E496" s="14">
        <f>Data!N496</f>
        <v>1026180000000</v>
      </c>
      <c r="F496" s="14">
        <f>Data!K496</f>
        <v>19101021000000</v>
      </c>
      <c r="G496" s="12">
        <f t="shared" si="7"/>
        <v>5.3723829736640777E-2</v>
      </c>
    </row>
    <row r="497" spans="2:7" ht="15" customHeight="1" x14ac:dyDescent="0.3">
      <c r="B497" s="8">
        <v>46</v>
      </c>
      <c r="C497" s="3" t="s">
        <v>16</v>
      </c>
      <c r="D497" s="8">
        <v>2014</v>
      </c>
      <c r="E497" s="14">
        <f>Data!N499</f>
        <v>-9442000000</v>
      </c>
      <c r="F497" s="14">
        <f>Data!K499</f>
        <v>94182000000</v>
      </c>
      <c r="G497" s="12">
        <f t="shared" si="7"/>
        <v>-0.10025270221486059</v>
      </c>
    </row>
    <row r="498" spans="2:7" ht="15" customHeight="1" x14ac:dyDescent="0.3">
      <c r="C498" s="3"/>
      <c r="D498" s="8">
        <v>2015</v>
      </c>
      <c r="E498" s="14">
        <f>Data!N500</f>
        <v>-26602000000</v>
      </c>
      <c r="F498" s="14">
        <f>Data!K500</f>
        <v>107580000000</v>
      </c>
      <c r="G498" s="12">
        <f t="shared" si="7"/>
        <v>-0.24727644543595464</v>
      </c>
    </row>
    <row r="499" spans="2:7" ht="15" customHeight="1" x14ac:dyDescent="0.3">
      <c r="C499" s="3"/>
      <c r="D499" s="8">
        <v>2016</v>
      </c>
      <c r="E499" s="14">
        <f>Data!N501</f>
        <v>-22553000000</v>
      </c>
      <c r="F499" s="14">
        <f>Data!K501</f>
        <v>100027000000</v>
      </c>
      <c r="G499" s="12">
        <f t="shared" si="7"/>
        <v>-0.22546912333669908</v>
      </c>
    </row>
    <row r="500" spans="2:7" ht="15" customHeight="1" x14ac:dyDescent="0.3">
      <c r="C500" s="3"/>
      <c r="D500" s="8">
        <v>2017</v>
      </c>
      <c r="E500" s="14" t="e">
        <f>Data!#REF!</f>
        <v>#REF!</v>
      </c>
      <c r="F500" s="14" t="e">
        <f>Data!#REF!</f>
        <v>#REF!</v>
      </c>
      <c r="G500" s="12">
        <f t="shared" si="7"/>
        <v>0</v>
      </c>
    </row>
    <row r="501" spans="2:7" ht="15" customHeight="1" x14ac:dyDescent="0.3">
      <c r="C501" s="3"/>
      <c r="D501" s="8">
        <v>2018</v>
      </c>
      <c r="E501" s="14" t="e">
        <f>Data!#REF!</f>
        <v>#REF!</v>
      </c>
      <c r="F501" s="14" t="e">
        <f>Data!#REF!</f>
        <v>#REF!</v>
      </c>
      <c r="G501" s="12">
        <f t="shared" si="7"/>
        <v>0</v>
      </c>
    </row>
    <row r="502" spans="2:7" ht="15" customHeight="1" x14ac:dyDescent="0.3">
      <c r="C502" s="3"/>
      <c r="D502" s="8">
        <v>2019</v>
      </c>
      <c r="E502" s="14">
        <f>Data!N502</f>
        <v>-8932000000</v>
      </c>
      <c r="F502" s="14">
        <f>Data!K502</f>
        <v>102491000000</v>
      </c>
      <c r="G502" s="12">
        <f t="shared" si="7"/>
        <v>-8.7149115532095506E-2</v>
      </c>
    </row>
    <row r="503" spans="2:7" ht="15" customHeight="1" x14ac:dyDescent="0.3">
      <c r="C503" s="3"/>
      <c r="D503" s="8">
        <v>2020</v>
      </c>
      <c r="E503" s="14">
        <f>Data!N503</f>
        <v>-18068000000</v>
      </c>
      <c r="F503" s="14">
        <f>Data!K503</f>
        <v>104423000000</v>
      </c>
      <c r="G503" s="12">
        <f t="shared" si="7"/>
        <v>-0.17302701512118979</v>
      </c>
    </row>
    <row r="504" spans="2:7" ht="15" customHeight="1" x14ac:dyDescent="0.3">
      <c r="C504" s="3"/>
      <c r="D504" s="8">
        <v>2021</v>
      </c>
      <c r="E504" s="14">
        <f>Data!N504</f>
        <v>-25102000000</v>
      </c>
      <c r="F504" s="14">
        <f>Data!K504</f>
        <v>107008000000</v>
      </c>
      <c r="G504" s="12">
        <f t="shared" si="7"/>
        <v>-0.23458059210526316</v>
      </c>
    </row>
    <row r="505" spans="2:7" ht="15" customHeight="1" x14ac:dyDescent="0.3">
      <c r="C505" s="3"/>
      <c r="D505" s="8">
        <v>2022</v>
      </c>
      <c r="E505" s="14">
        <f>Data!N505</f>
        <v>-7021000000</v>
      </c>
      <c r="F505" s="14">
        <f>Data!K505</f>
        <v>107315000000</v>
      </c>
      <c r="G505" s="12">
        <f t="shared" si="7"/>
        <v>-6.5424218422401342E-2</v>
      </c>
    </row>
    <row r="506" spans="2:7" ht="15" customHeight="1" x14ac:dyDescent="0.3">
      <c r="C506" s="3"/>
      <c r="D506" s="8">
        <v>2023</v>
      </c>
      <c r="E506" s="14">
        <f>Data!N506</f>
        <v>-17306000000</v>
      </c>
      <c r="F506" s="14">
        <f>Data!K506</f>
        <v>121437000000</v>
      </c>
      <c r="G506" s="12">
        <f t="shared" si="7"/>
        <v>-0.14251010812190684</v>
      </c>
    </row>
    <row r="507" spans="2:7" ht="15" customHeight="1" x14ac:dyDescent="0.3">
      <c r="C507" s="3"/>
      <c r="D507" s="8">
        <v>2024</v>
      </c>
      <c r="E507" s="14">
        <f>Data!N507</f>
        <v>-9212000000</v>
      </c>
      <c r="F507" s="14">
        <f>Data!K507</f>
        <v>128224000000</v>
      </c>
      <c r="G507" s="12">
        <f t="shared" si="7"/>
        <v>-7.1843024706763167E-2</v>
      </c>
    </row>
    <row r="508" spans="2:7" ht="15" customHeight="1" x14ac:dyDescent="0.3">
      <c r="B508" s="8">
        <v>47</v>
      </c>
      <c r="C508" s="3" t="s">
        <v>17</v>
      </c>
      <c r="D508" s="8">
        <v>2014</v>
      </c>
      <c r="E508" s="14">
        <f>Data!N508</f>
        <v>0</v>
      </c>
      <c r="F508" s="14">
        <f>Data!K508</f>
        <v>0</v>
      </c>
      <c r="G508" s="12">
        <f t="shared" si="7"/>
        <v>0</v>
      </c>
    </row>
    <row r="509" spans="2:7" ht="15" customHeight="1" x14ac:dyDescent="0.3">
      <c r="C509" s="3"/>
      <c r="D509" s="8">
        <v>2015</v>
      </c>
      <c r="E509" s="14">
        <f>Data!N509</f>
        <v>0</v>
      </c>
      <c r="F509" s="14">
        <f>Data!K509</f>
        <v>0</v>
      </c>
      <c r="G509" s="12">
        <f t="shared" si="7"/>
        <v>0</v>
      </c>
    </row>
    <row r="510" spans="2:7" ht="15" customHeight="1" x14ac:dyDescent="0.3">
      <c r="C510" s="3"/>
      <c r="D510" s="8">
        <v>2016</v>
      </c>
      <c r="E510" s="14">
        <f>Data!N510</f>
        <v>0</v>
      </c>
      <c r="F510" s="14">
        <f>Data!K510</f>
        <v>0</v>
      </c>
      <c r="G510" s="12">
        <f t="shared" si="7"/>
        <v>0</v>
      </c>
    </row>
    <row r="511" spans="2:7" ht="15" customHeight="1" x14ac:dyDescent="0.3">
      <c r="C511" s="3"/>
      <c r="D511" s="8">
        <v>2017</v>
      </c>
      <c r="E511" s="14">
        <f>Data!N511</f>
        <v>0</v>
      </c>
      <c r="F511" s="14">
        <f>Data!K511</f>
        <v>0</v>
      </c>
      <c r="G511" s="12">
        <f t="shared" si="7"/>
        <v>0</v>
      </c>
    </row>
    <row r="512" spans="2:7" ht="15" customHeight="1" x14ac:dyDescent="0.3">
      <c r="C512" s="3"/>
      <c r="D512" s="8">
        <v>2018</v>
      </c>
      <c r="E512" s="14">
        <f>Data!N512</f>
        <v>0</v>
      </c>
      <c r="F512" s="14">
        <f>Data!K512</f>
        <v>0</v>
      </c>
      <c r="G512" s="12">
        <f t="shared" si="7"/>
        <v>0</v>
      </c>
    </row>
    <row r="513" spans="2:7" ht="15" customHeight="1" x14ac:dyDescent="0.3">
      <c r="C513" s="3"/>
      <c r="D513" s="8">
        <v>2019</v>
      </c>
      <c r="E513" s="14">
        <f>Data!N513</f>
        <v>-18252960000</v>
      </c>
      <c r="F513" s="14">
        <f>Data!K513</f>
        <v>108072260000</v>
      </c>
      <c r="G513" s="12">
        <f t="shared" si="7"/>
        <v>-0.16889588503099684</v>
      </c>
    </row>
    <row r="514" spans="2:7" ht="15" customHeight="1" x14ac:dyDescent="0.3">
      <c r="C514" s="3"/>
      <c r="D514" s="8">
        <v>2020</v>
      </c>
      <c r="E514" s="14">
        <f>Data!N514</f>
        <v>-17891670000</v>
      </c>
      <c r="F514" s="14">
        <f>Data!K514</f>
        <v>100180580000</v>
      </c>
      <c r="G514" s="12">
        <f t="shared" si="7"/>
        <v>-0.17859419460338521</v>
      </c>
    </row>
    <row r="515" spans="2:7" ht="15" customHeight="1" x14ac:dyDescent="0.3">
      <c r="C515" s="3"/>
      <c r="D515" s="8">
        <v>2021</v>
      </c>
      <c r="E515" s="14">
        <f>Data!N515</f>
        <v>-3379720000</v>
      </c>
      <c r="F515" s="14">
        <f>Data!K515</f>
        <v>111800860000</v>
      </c>
      <c r="G515" s="12">
        <f t="shared" ref="G515:G578" si="8">IFERROR(E515/F515,0)</f>
        <v>-3.0229821130177352E-2</v>
      </c>
    </row>
    <row r="516" spans="2:7" ht="15" customHeight="1" x14ac:dyDescent="0.3">
      <c r="C516" s="3"/>
      <c r="D516" s="8">
        <v>2022</v>
      </c>
      <c r="E516" s="14">
        <f>Data!N516</f>
        <v>2177000000</v>
      </c>
      <c r="F516" s="14">
        <f>Data!K516</f>
        <v>113978000000</v>
      </c>
      <c r="G516" s="12">
        <f t="shared" si="8"/>
        <v>1.9100177227184195E-2</v>
      </c>
    </row>
    <row r="517" spans="2:7" ht="15" customHeight="1" x14ac:dyDescent="0.3">
      <c r="C517" s="3"/>
      <c r="D517" s="8">
        <v>2023</v>
      </c>
      <c r="E517" s="14">
        <f>Data!N517</f>
        <v>3175000000</v>
      </c>
      <c r="F517" s="14">
        <f>Data!K517</f>
        <v>123153000000</v>
      </c>
      <c r="G517" s="12">
        <f t="shared" si="8"/>
        <v>2.5780939156983589E-2</v>
      </c>
    </row>
    <row r="518" spans="2:7" ht="15" customHeight="1" x14ac:dyDescent="0.3">
      <c r="C518" s="3"/>
      <c r="D518" s="8">
        <v>2024</v>
      </c>
      <c r="E518" s="14">
        <f>Data!N518</f>
        <v>47213000000</v>
      </c>
      <c r="F518" s="14">
        <f>Data!K518</f>
        <v>170996000000</v>
      </c>
      <c r="G518" s="12">
        <f t="shared" si="8"/>
        <v>0.27610587382160984</v>
      </c>
    </row>
    <row r="519" spans="2:7" ht="15" customHeight="1" x14ac:dyDescent="0.3">
      <c r="B519" s="8">
        <v>48</v>
      </c>
      <c r="C519" s="3" t="s">
        <v>26</v>
      </c>
      <c r="D519" s="8">
        <v>2014</v>
      </c>
      <c r="E519" s="14">
        <f>Data!N519</f>
        <v>0</v>
      </c>
      <c r="F519" s="14">
        <f>Data!K519</f>
        <v>0</v>
      </c>
      <c r="G519" s="12">
        <f t="shared" si="8"/>
        <v>0</v>
      </c>
    </row>
    <row r="520" spans="2:7" ht="15" customHeight="1" x14ac:dyDescent="0.3">
      <c r="C520" s="3"/>
      <c r="D520" s="8">
        <v>2015</v>
      </c>
      <c r="E520" s="14">
        <f>Data!N520</f>
        <v>-1863354000000</v>
      </c>
      <c r="F520" s="14">
        <f>Data!K520</f>
        <v>7223445250000</v>
      </c>
      <c r="G520" s="12">
        <f t="shared" si="8"/>
        <v>-0.2579591781359456</v>
      </c>
    </row>
    <row r="521" spans="2:7" ht="15" customHeight="1" x14ac:dyDescent="0.3">
      <c r="C521" s="3"/>
      <c r="D521" s="8">
        <v>2016</v>
      </c>
      <c r="E521" s="14">
        <f>Data!N532</f>
        <v>3668000000</v>
      </c>
      <c r="F521" s="14">
        <f>Data!K532</f>
        <v>108668000000</v>
      </c>
      <c r="G521" s="12">
        <f t="shared" si="8"/>
        <v>3.3754187065189387E-2</v>
      </c>
    </row>
    <row r="522" spans="2:7" ht="15" customHeight="1" x14ac:dyDescent="0.3">
      <c r="C522" s="3"/>
      <c r="D522" s="8">
        <v>2017</v>
      </c>
      <c r="E522" s="14">
        <f>Data!N533</f>
        <v>2102000000</v>
      </c>
      <c r="F522" s="14">
        <f>Data!K533</f>
        <v>110770000000</v>
      </c>
      <c r="G522" s="12">
        <f t="shared" si="8"/>
        <v>1.8976257109325628E-2</v>
      </c>
    </row>
    <row r="523" spans="2:7" ht="15" customHeight="1" x14ac:dyDescent="0.3">
      <c r="C523" s="3"/>
      <c r="D523" s="8">
        <v>2018</v>
      </c>
      <c r="E523" s="14">
        <f>Data!N523</f>
        <v>-154565010000</v>
      </c>
      <c r="F523" s="14">
        <f>Data!K523</f>
        <v>7103034820000</v>
      </c>
      <c r="G523" s="12">
        <f t="shared" si="8"/>
        <v>-2.1760418457303862E-2</v>
      </c>
    </row>
    <row r="524" spans="2:7" ht="15" customHeight="1" x14ac:dyDescent="0.3">
      <c r="C524" s="3"/>
      <c r="D524" s="8">
        <v>2019</v>
      </c>
      <c r="E524" s="14">
        <f>Data!N524</f>
        <v>623756880000</v>
      </c>
      <c r="F524" s="14">
        <f>Data!K524</f>
        <v>7742214170000</v>
      </c>
      <c r="G524" s="12">
        <f t="shared" si="8"/>
        <v>8.0565696879966314E-2</v>
      </c>
    </row>
    <row r="525" spans="2:7" ht="15" customHeight="1" x14ac:dyDescent="0.3">
      <c r="C525" s="3"/>
      <c r="D525" s="8">
        <v>2020</v>
      </c>
      <c r="E525" s="14">
        <f>Data!N525</f>
        <v>428300980000</v>
      </c>
      <c r="F525" s="14">
        <f>Data!K525</f>
        <v>8041917720000</v>
      </c>
      <c r="G525" s="12">
        <f t="shared" si="8"/>
        <v>5.3258562809568262E-2</v>
      </c>
    </row>
    <row r="526" spans="2:7" ht="15" customHeight="1" x14ac:dyDescent="0.3">
      <c r="C526" s="3"/>
      <c r="D526" s="8">
        <v>2021</v>
      </c>
      <c r="E526" s="14">
        <f>Data!N526</f>
        <v>60534920000</v>
      </c>
      <c r="F526" s="14">
        <f>Data!K526</f>
        <v>7595506270000</v>
      </c>
      <c r="G526" s="12">
        <f t="shared" si="8"/>
        <v>7.9698334578558652E-3</v>
      </c>
    </row>
    <row r="527" spans="2:7" ht="15" customHeight="1" x14ac:dyDescent="0.3">
      <c r="C527" s="3"/>
      <c r="D527" s="8">
        <v>2022</v>
      </c>
      <c r="E527" s="14">
        <f>Data!N527</f>
        <v>42396020000</v>
      </c>
      <c r="F527" s="14">
        <f>Data!K527</f>
        <v>7571633800000</v>
      </c>
      <c r="G527" s="12">
        <f t="shared" si="8"/>
        <v>5.5993225662868164E-3</v>
      </c>
    </row>
    <row r="528" spans="2:7" ht="15" customHeight="1" x14ac:dyDescent="0.3">
      <c r="C528" s="3"/>
      <c r="D528" s="8">
        <v>2023</v>
      </c>
      <c r="E528" s="14">
        <f>Data!N528</f>
        <v>125376970000</v>
      </c>
      <c r="F528" s="14">
        <f>Data!K528</f>
        <v>7441337270000</v>
      </c>
      <c r="G528" s="12">
        <f t="shared" si="8"/>
        <v>1.6848714881592782E-2</v>
      </c>
    </row>
    <row r="529" spans="2:7" ht="15" customHeight="1" x14ac:dyDescent="0.3">
      <c r="C529" s="3"/>
      <c r="D529" s="8">
        <v>2024</v>
      </c>
      <c r="E529" s="14">
        <f>Data!N529</f>
        <v>226258030000</v>
      </c>
      <c r="F529" s="14">
        <f>Data!K529</f>
        <v>7592926740000</v>
      </c>
      <c r="G529" s="12">
        <f t="shared" si="8"/>
        <v>2.9798526674577133E-2</v>
      </c>
    </row>
    <row r="530" spans="2:7" ht="15" customHeight="1" x14ac:dyDescent="0.3">
      <c r="B530" s="8">
        <v>49</v>
      </c>
      <c r="C530" s="3" t="s">
        <v>38</v>
      </c>
      <c r="D530" s="8">
        <v>2014</v>
      </c>
      <c r="E530" s="14">
        <f>Data!N530</f>
        <v>0</v>
      </c>
      <c r="F530" s="14">
        <f>Data!K530</f>
        <v>0</v>
      </c>
      <c r="G530" s="12">
        <f t="shared" si="8"/>
        <v>0</v>
      </c>
    </row>
    <row r="531" spans="2:7" ht="15" customHeight="1" x14ac:dyDescent="0.3">
      <c r="C531" s="3"/>
      <c r="D531" s="8">
        <v>2015</v>
      </c>
      <c r="E531" s="14">
        <f>Data!N531</f>
        <v>0</v>
      </c>
      <c r="F531" s="14">
        <f>Data!K531</f>
        <v>0</v>
      </c>
      <c r="G531" s="12">
        <f t="shared" si="8"/>
        <v>0</v>
      </c>
    </row>
    <row r="532" spans="2:7" ht="15" customHeight="1" x14ac:dyDescent="0.3">
      <c r="C532" s="3"/>
      <c r="D532" s="8">
        <v>2016</v>
      </c>
      <c r="E532" s="14" t="e">
        <f>Data!#REF!</f>
        <v>#REF!</v>
      </c>
      <c r="F532" s="14" t="e">
        <f>Data!#REF!</f>
        <v>#REF!</v>
      </c>
      <c r="G532" s="12">
        <f t="shared" si="8"/>
        <v>0</v>
      </c>
    </row>
    <row r="533" spans="2:7" ht="15" customHeight="1" x14ac:dyDescent="0.3">
      <c r="C533" s="3"/>
      <c r="D533" s="8">
        <v>2017</v>
      </c>
      <c r="E533" s="14" t="e">
        <f>Data!#REF!</f>
        <v>#REF!</v>
      </c>
      <c r="F533" s="14" t="e">
        <f>Data!#REF!</f>
        <v>#REF!</v>
      </c>
      <c r="G533" s="12">
        <f t="shared" si="8"/>
        <v>0</v>
      </c>
    </row>
    <row r="534" spans="2:7" ht="15" customHeight="1" x14ac:dyDescent="0.3">
      <c r="C534" s="3"/>
      <c r="D534" s="8">
        <v>2018</v>
      </c>
      <c r="E534" s="14">
        <f>Data!N534</f>
        <v>-302000000</v>
      </c>
      <c r="F534" s="14">
        <f>Data!K534</f>
        <v>110469000000</v>
      </c>
      <c r="G534" s="12">
        <f t="shared" si="8"/>
        <v>-2.7337986222379131E-3</v>
      </c>
    </row>
    <row r="535" spans="2:7" ht="15" customHeight="1" x14ac:dyDescent="0.3">
      <c r="C535" s="3"/>
      <c r="D535" s="8">
        <v>2019</v>
      </c>
      <c r="E535" s="14">
        <f>Data!N535</f>
        <v>20461000000</v>
      </c>
      <c r="F535" s="14">
        <f>Data!K535</f>
        <v>180930000000</v>
      </c>
      <c r="G535" s="12">
        <f t="shared" si="8"/>
        <v>0.1130879345603272</v>
      </c>
    </row>
    <row r="536" spans="2:7" ht="15" customHeight="1" x14ac:dyDescent="0.3">
      <c r="C536" s="3"/>
      <c r="D536" s="8">
        <v>2020</v>
      </c>
      <c r="E536" s="14">
        <f>Data!N536</f>
        <v>6721000000</v>
      </c>
      <c r="F536" s="14">
        <f>Data!K536</f>
        <v>317651000000</v>
      </c>
      <c r="G536" s="12">
        <f t="shared" si="8"/>
        <v>2.1158441182303849E-2</v>
      </c>
    </row>
    <row r="537" spans="2:7" ht="15" customHeight="1" x14ac:dyDescent="0.3">
      <c r="C537" s="3"/>
      <c r="D537" s="8">
        <v>2021</v>
      </c>
      <c r="E537" s="14">
        <f>Data!N537</f>
        <v>56443000000</v>
      </c>
      <c r="F537" s="14">
        <f>Data!K537</f>
        <v>374094000000</v>
      </c>
      <c r="G537" s="12">
        <f t="shared" si="8"/>
        <v>0.15087919079161921</v>
      </c>
    </row>
    <row r="538" spans="2:7" ht="15" customHeight="1" x14ac:dyDescent="0.3">
      <c r="C538" s="3"/>
      <c r="D538" s="8">
        <v>2022</v>
      </c>
      <c r="E538" s="14">
        <f>Data!N538</f>
        <v>8045000000</v>
      </c>
      <c r="F538" s="14">
        <f>Data!K538</f>
        <v>382139000000</v>
      </c>
      <c r="G538" s="12">
        <f t="shared" si="8"/>
        <v>2.1052548941615484E-2</v>
      </c>
    </row>
    <row r="539" spans="2:7" ht="15" customHeight="1" x14ac:dyDescent="0.3">
      <c r="C539" s="3"/>
      <c r="D539" s="8">
        <v>2023</v>
      </c>
      <c r="E539" s="14">
        <f>Data!N539</f>
        <v>-108834000000</v>
      </c>
      <c r="F539" s="14">
        <f>Data!K539</f>
        <v>373304000000</v>
      </c>
      <c r="G539" s="12">
        <f t="shared" si="8"/>
        <v>-0.2915425497717678</v>
      </c>
    </row>
    <row r="540" spans="2:7" ht="15" customHeight="1" x14ac:dyDescent="0.3">
      <c r="C540" s="3"/>
      <c r="D540" s="8">
        <v>2024</v>
      </c>
      <c r="E540" s="14">
        <f>Data!N540</f>
        <v>-85799000000</v>
      </c>
      <c r="F540" s="14">
        <f>Data!K540</f>
        <v>367505000000</v>
      </c>
      <c r="G540" s="12">
        <f t="shared" si="8"/>
        <v>-0.23346349029264907</v>
      </c>
    </row>
    <row r="541" spans="2:7" ht="15" customHeight="1" x14ac:dyDescent="0.3">
      <c r="B541" s="8">
        <v>50</v>
      </c>
      <c r="C541" s="3" t="s">
        <v>39</v>
      </c>
      <c r="D541" s="8">
        <v>2014</v>
      </c>
      <c r="E541" s="14">
        <f>Data!N541</f>
        <v>0</v>
      </c>
      <c r="F541" s="14">
        <f>Data!K541</f>
        <v>0</v>
      </c>
      <c r="G541" s="12">
        <f t="shared" si="8"/>
        <v>0</v>
      </c>
    </row>
    <row r="542" spans="2:7" ht="15" customHeight="1" x14ac:dyDescent="0.3">
      <c r="C542" s="3"/>
      <c r="D542" s="8">
        <v>2015</v>
      </c>
      <c r="E542" s="14">
        <f>Data!N542</f>
        <v>319848000000</v>
      </c>
      <c r="F542" s="14">
        <f>Data!K542</f>
        <v>4605738000000</v>
      </c>
      <c r="G542" s="12">
        <f t="shared" si="8"/>
        <v>6.9445548140167762E-2</v>
      </c>
    </row>
    <row r="543" spans="2:7" ht="15" customHeight="1" x14ac:dyDescent="0.3">
      <c r="C543" s="3"/>
      <c r="D543" s="8">
        <v>2016</v>
      </c>
      <c r="E543" s="14">
        <f>Data!N543</f>
        <v>365939000000</v>
      </c>
      <c r="F543" s="14">
        <f>Data!K543</f>
        <v>4758210000000</v>
      </c>
      <c r="G543" s="12">
        <f t="shared" si="8"/>
        <v>7.6906862034252371E-2</v>
      </c>
    </row>
    <row r="544" spans="2:7" ht="15" customHeight="1" x14ac:dyDescent="0.3">
      <c r="C544" s="3"/>
      <c r="D544" s="8">
        <v>2017</v>
      </c>
      <c r="E544" s="14">
        <f>Data!N544</f>
        <v>459410000000</v>
      </c>
      <c r="F544" s="14">
        <f>Data!K544</f>
        <v>4972132000000</v>
      </c>
      <c r="G544" s="12">
        <f t="shared" si="8"/>
        <v>9.2396983829069704E-2</v>
      </c>
    </row>
    <row r="545" spans="2:7" ht="15" customHeight="1" x14ac:dyDescent="0.3">
      <c r="C545" s="3"/>
      <c r="D545" s="8">
        <v>2018</v>
      </c>
      <c r="E545" s="14">
        <f>Data!N545</f>
        <v>276069000000</v>
      </c>
      <c r="F545" s="14">
        <f>Data!K545</f>
        <v>4874632000000</v>
      </c>
      <c r="G545" s="12">
        <f t="shared" si="8"/>
        <v>5.6633813588389849E-2</v>
      </c>
    </row>
    <row r="546" spans="2:7" ht="15" customHeight="1" x14ac:dyDescent="0.3">
      <c r="C546" s="3"/>
      <c r="D546" s="8">
        <v>2019</v>
      </c>
      <c r="E546" s="14">
        <f>Data!N546</f>
        <v>514097000000</v>
      </c>
      <c r="F546" s="14">
        <f>Data!K546</f>
        <v>4983140000000</v>
      </c>
      <c r="G546" s="12">
        <f t="shared" si="8"/>
        <v>0.10316728006839061</v>
      </c>
    </row>
    <row r="547" spans="2:7" ht="15" customHeight="1" x14ac:dyDescent="0.3">
      <c r="C547" s="3"/>
      <c r="D547" s="8">
        <v>2020</v>
      </c>
      <c r="E547" s="14">
        <f>Data!N547</f>
        <v>497792000000</v>
      </c>
      <c r="F547" s="14">
        <f>Data!K547</f>
        <v>5267465000000</v>
      </c>
      <c r="G547" s="12">
        <f t="shared" si="8"/>
        <v>9.4503143352637375E-2</v>
      </c>
    </row>
    <row r="548" spans="2:7" ht="15" customHeight="1" x14ac:dyDescent="0.3">
      <c r="C548" s="3"/>
      <c r="D548" s="8">
        <v>2021</v>
      </c>
      <c r="E548" s="14">
        <f>Data!N548</f>
        <v>386645000000</v>
      </c>
      <c r="F548" s="14">
        <f>Data!K548</f>
        <v>5211162000000</v>
      </c>
      <c r="G548" s="12">
        <f t="shared" si="8"/>
        <v>7.4195544103215369E-2</v>
      </c>
    </row>
    <row r="549" spans="2:7" ht="15" customHeight="1" x14ac:dyDescent="0.3">
      <c r="C549" s="3"/>
      <c r="D549" s="8">
        <v>2022</v>
      </c>
      <c r="E549" s="14">
        <f>Data!N549</f>
        <v>394699000000</v>
      </c>
      <c r="F549" s="14">
        <f>Data!K549</f>
        <v>4525398000000</v>
      </c>
      <c r="G549" s="12">
        <f t="shared" si="8"/>
        <v>8.7218626958336043E-2</v>
      </c>
    </row>
    <row r="550" spans="2:7" ht="15" customHeight="1" x14ac:dyDescent="0.3">
      <c r="C550" s="3"/>
      <c r="D550" s="8">
        <v>2023</v>
      </c>
      <c r="E550" s="14">
        <f>Data!N550</f>
        <v>448983000000</v>
      </c>
      <c r="F550" s="14">
        <f>Data!K550</f>
        <v>4741594000000</v>
      </c>
      <c r="G550" s="12">
        <f t="shared" si="8"/>
        <v>9.4690308786454513E-2</v>
      </c>
    </row>
    <row r="551" spans="2:7" ht="15" customHeight="1" x14ac:dyDescent="0.3">
      <c r="C551" s="3"/>
      <c r="D551" s="8">
        <v>2024</v>
      </c>
      <c r="E551" s="14">
        <f>Data!N551</f>
        <v>285520000000</v>
      </c>
      <c r="F551" s="14">
        <f>Data!K551</f>
        <v>4711715000000</v>
      </c>
      <c r="G551" s="12">
        <f t="shared" si="8"/>
        <v>6.0597892699367426E-2</v>
      </c>
    </row>
    <row r="552" spans="2:7" ht="15" customHeight="1" x14ac:dyDescent="0.3">
      <c r="B552" s="8">
        <v>51</v>
      </c>
      <c r="C552" s="3" t="s">
        <v>48</v>
      </c>
      <c r="D552" s="8">
        <v>2014</v>
      </c>
      <c r="E552" s="14">
        <f>Data!N552</f>
        <v>0</v>
      </c>
      <c r="F552" s="14">
        <f>Data!K552</f>
        <v>0</v>
      </c>
      <c r="G552" s="12">
        <f t="shared" si="8"/>
        <v>0</v>
      </c>
    </row>
    <row r="553" spans="2:7" ht="15" customHeight="1" x14ac:dyDescent="0.3">
      <c r="C553" s="3"/>
      <c r="D553" s="8">
        <v>2015</v>
      </c>
      <c r="E553" s="14">
        <f>Data!N553</f>
        <v>0</v>
      </c>
      <c r="F553" s="14">
        <f>Data!K553</f>
        <v>0</v>
      </c>
      <c r="G553" s="12">
        <f t="shared" si="8"/>
        <v>0</v>
      </c>
    </row>
    <row r="554" spans="2:7" ht="15" customHeight="1" x14ac:dyDescent="0.3">
      <c r="C554" s="3"/>
      <c r="D554" s="8">
        <v>2016</v>
      </c>
      <c r="E554" s="14">
        <f>Data!N554</f>
        <v>0</v>
      </c>
      <c r="F554" s="14">
        <f>Data!K554</f>
        <v>0</v>
      </c>
      <c r="G554" s="12">
        <f t="shared" si="8"/>
        <v>0</v>
      </c>
    </row>
    <row r="555" spans="2:7" ht="15" customHeight="1" x14ac:dyDescent="0.3">
      <c r="C555" s="3"/>
      <c r="D555" s="8">
        <v>2017</v>
      </c>
      <c r="E555" s="14">
        <f>Data!N555</f>
        <v>0</v>
      </c>
      <c r="F555" s="14">
        <f>Data!K555</f>
        <v>0</v>
      </c>
      <c r="G555" s="12">
        <f t="shared" si="8"/>
        <v>0</v>
      </c>
    </row>
    <row r="556" spans="2:7" ht="15" customHeight="1" x14ac:dyDescent="0.3">
      <c r="C556" s="3"/>
      <c r="D556" s="8">
        <v>2018</v>
      </c>
      <c r="E556" s="14">
        <f>Data!N556</f>
        <v>0</v>
      </c>
      <c r="F556" s="14">
        <f>Data!K556</f>
        <v>0</v>
      </c>
      <c r="G556" s="12">
        <f t="shared" si="8"/>
        <v>0</v>
      </c>
    </row>
    <row r="557" spans="2:7" ht="15" customHeight="1" x14ac:dyDescent="0.3">
      <c r="C557" s="3"/>
      <c r="D557" s="8">
        <v>2019</v>
      </c>
      <c r="E557" s="14">
        <f>Data!N557</f>
        <v>-39394000000</v>
      </c>
      <c r="F557" s="14">
        <f>Data!K557</f>
        <v>163700000000</v>
      </c>
      <c r="G557" s="12">
        <f t="shared" si="8"/>
        <v>-0.24064752596212585</v>
      </c>
    </row>
    <row r="558" spans="2:7" ht="15" customHeight="1" x14ac:dyDescent="0.3">
      <c r="C558" s="3"/>
      <c r="D558" s="8">
        <v>2020</v>
      </c>
      <c r="E558" s="14">
        <f>Data!N558</f>
        <v>22811000000</v>
      </c>
      <c r="F558" s="14">
        <f>Data!K558</f>
        <v>329512000000</v>
      </c>
      <c r="G558" s="12">
        <f t="shared" si="8"/>
        <v>6.9226613901769887E-2</v>
      </c>
    </row>
    <row r="559" spans="2:7" ht="15" customHeight="1" x14ac:dyDescent="0.3">
      <c r="C559" s="3"/>
      <c r="D559" s="8">
        <v>2021</v>
      </c>
      <c r="E559" s="14">
        <f>Data!N559</f>
        <v>26708000000</v>
      </c>
      <c r="F559" s="14">
        <f>Data!K559</f>
        <v>356219000000</v>
      </c>
      <c r="G559" s="12">
        <f t="shared" si="8"/>
        <v>7.4976348819125307E-2</v>
      </c>
    </row>
    <row r="560" spans="2:7" ht="15" customHeight="1" x14ac:dyDescent="0.3">
      <c r="C560" s="3"/>
      <c r="D560" s="8">
        <v>2022</v>
      </c>
      <c r="E560" s="14">
        <f>Data!N560</f>
        <v>66058000000</v>
      </c>
      <c r="F560" s="14">
        <f>Data!K560</f>
        <v>422277000000</v>
      </c>
      <c r="G560" s="12">
        <f t="shared" si="8"/>
        <v>0.15643286278911708</v>
      </c>
    </row>
    <row r="561" spans="2:7" ht="15" customHeight="1" x14ac:dyDescent="0.3">
      <c r="C561" s="3"/>
      <c r="D561" s="8">
        <v>2023</v>
      </c>
      <c r="E561" s="14">
        <f>Data!N561</f>
        <v>93500000000</v>
      </c>
      <c r="F561" s="14">
        <f>Data!K561</f>
        <v>515777000000</v>
      </c>
      <c r="G561" s="12">
        <f t="shared" si="8"/>
        <v>0.18127989421784996</v>
      </c>
    </row>
    <row r="562" spans="2:7" ht="15" customHeight="1" x14ac:dyDescent="0.3">
      <c r="C562" s="3"/>
      <c r="D562" s="8">
        <v>2024</v>
      </c>
      <c r="E562" s="14">
        <f>Data!N562</f>
        <v>90541000000</v>
      </c>
      <c r="F562" s="14">
        <f>Data!K562</f>
        <v>606065000000</v>
      </c>
      <c r="G562" s="12">
        <f t="shared" si="8"/>
        <v>0.14939156691113989</v>
      </c>
    </row>
    <row r="563" spans="2:7" ht="15" customHeight="1" x14ac:dyDescent="0.3">
      <c r="B563" s="8">
        <v>52</v>
      </c>
      <c r="C563" s="3" t="s">
        <v>37</v>
      </c>
      <c r="D563" s="8">
        <v>2014</v>
      </c>
      <c r="E563" s="14">
        <f>Data!N563</f>
        <v>0</v>
      </c>
      <c r="F563" s="14">
        <f>Data!K563</f>
        <v>0</v>
      </c>
      <c r="G563" s="12">
        <f t="shared" si="8"/>
        <v>0</v>
      </c>
    </row>
    <row r="564" spans="2:7" ht="15" customHeight="1" x14ac:dyDescent="0.3">
      <c r="C564" s="3"/>
      <c r="D564" s="8">
        <v>2015</v>
      </c>
      <c r="E564" s="14">
        <f>Data!N564</f>
        <v>37215000000</v>
      </c>
      <c r="F564" s="14">
        <f>Data!K564</f>
        <v>142763000000</v>
      </c>
      <c r="G564" s="12">
        <f t="shared" si="8"/>
        <v>0.2606767860019753</v>
      </c>
    </row>
    <row r="565" spans="2:7" ht="15" customHeight="1" x14ac:dyDescent="0.3">
      <c r="C565" s="3"/>
      <c r="D565" s="8">
        <v>2016</v>
      </c>
      <c r="E565" s="14">
        <f>Data!N565</f>
        <v>73582000000</v>
      </c>
      <c r="F565" s="14">
        <f>Data!K565</f>
        <v>216345000000</v>
      </c>
      <c r="G565" s="12">
        <f t="shared" si="8"/>
        <v>0.34011416949779288</v>
      </c>
    </row>
    <row r="566" spans="2:7" ht="15" customHeight="1" x14ac:dyDescent="0.3">
      <c r="C566" s="3"/>
      <c r="D566" s="8">
        <v>2017</v>
      </c>
      <c r="E566" s="14">
        <f>Data!N566</f>
        <v>86750000000</v>
      </c>
      <c r="F566" s="14">
        <f>Data!K566</f>
        <v>303026000000</v>
      </c>
      <c r="G566" s="12">
        <f t="shared" si="8"/>
        <v>0.28627906516272533</v>
      </c>
    </row>
    <row r="567" spans="2:7" ht="15" customHeight="1" x14ac:dyDescent="0.3">
      <c r="C567" s="3"/>
      <c r="D567" s="8">
        <v>2018</v>
      </c>
      <c r="E567" s="14">
        <f>Data!N567</f>
        <v>59551000000</v>
      </c>
      <c r="F567" s="14">
        <f>Data!K567</f>
        <v>275220000000</v>
      </c>
      <c r="G567" s="12">
        <f t="shared" si="8"/>
        <v>0.21637599011699732</v>
      </c>
    </row>
    <row r="568" spans="2:7" ht="15" customHeight="1" x14ac:dyDescent="0.3">
      <c r="C568" s="3"/>
      <c r="D568" s="8">
        <v>2019</v>
      </c>
      <c r="E568" s="14">
        <f>Data!N568</f>
        <v>53718000000</v>
      </c>
      <c r="F568" s="14">
        <f>Data!K568</f>
        <v>268893000000</v>
      </c>
      <c r="G568" s="12">
        <f t="shared" si="8"/>
        <v>0.19977463154488961</v>
      </c>
    </row>
    <row r="569" spans="2:7" ht="15" customHeight="1" x14ac:dyDescent="0.3">
      <c r="C569" s="3"/>
      <c r="D569" s="8">
        <v>2020</v>
      </c>
      <c r="E569" s="14">
        <f>Data!N569</f>
        <v>51407000000</v>
      </c>
      <c r="F569" s="14">
        <f>Data!K569</f>
        <v>320301000000</v>
      </c>
      <c r="G569" s="12">
        <f t="shared" si="8"/>
        <v>0.16049590853603329</v>
      </c>
    </row>
    <row r="570" spans="2:7" ht="15" customHeight="1" x14ac:dyDescent="0.3">
      <c r="C570" s="3"/>
      <c r="D570" s="8">
        <v>2021</v>
      </c>
      <c r="E570" s="14">
        <f>Data!N570</f>
        <v>47823000000</v>
      </c>
      <c r="F570" s="14">
        <f>Data!K570</f>
        <v>368124000000</v>
      </c>
      <c r="G570" s="12">
        <f t="shared" si="8"/>
        <v>0.12991003031587184</v>
      </c>
    </row>
    <row r="571" spans="2:7" ht="15" customHeight="1" x14ac:dyDescent="0.3">
      <c r="C571" s="3"/>
      <c r="D571" s="8">
        <v>2022</v>
      </c>
      <c r="E571" s="14">
        <f>Data!N571</f>
        <v>58489000000</v>
      </c>
      <c r="F571" s="14">
        <f>Data!K571</f>
        <v>426613000000</v>
      </c>
      <c r="G571" s="12">
        <f t="shared" si="8"/>
        <v>0.13710083846483814</v>
      </c>
    </row>
    <row r="572" spans="2:7" ht="15" customHeight="1" x14ac:dyDescent="0.3">
      <c r="C572" s="3"/>
      <c r="D572" s="8">
        <v>2023</v>
      </c>
      <c r="E572" s="14">
        <f>Data!N572</f>
        <v>45393000000</v>
      </c>
      <c r="F572" s="14">
        <f>Data!K572</f>
        <v>472006000000</v>
      </c>
      <c r="G572" s="12">
        <f t="shared" si="8"/>
        <v>9.6170387664563581E-2</v>
      </c>
    </row>
    <row r="573" spans="2:7" ht="15" customHeight="1" x14ac:dyDescent="0.3">
      <c r="C573" s="3"/>
      <c r="D573" s="8">
        <v>2024</v>
      </c>
      <c r="E573" s="14">
        <f>Data!N573</f>
        <v>28788000000</v>
      </c>
      <c r="F573" s="14">
        <f>Data!K573</f>
        <v>500794000000</v>
      </c>
      <c r="G573" s="12">
        <f t="shared" si="8"/>
        <v>5.7484714273733313E-2</v>
      </c>
    </row>
    <row r="574" spans="2:7" ht="15" customHeight="1" x14ac:dyDescent="0.3">
      <c r="B574" s="8">
        <v>53</v>
      </c>
      <c r="C574" s="3" t="s">
        <v>43</v>
      </c>
      <c r="D574" s="8">
        <v>2014</v>
      </c>
      <c r="E574" s="14">
        <f>Data!N574</f>
        <v>0</v>
      </c>
      <c r="F574" s="14">
        <f>Data!K574</f>
        <v>0</v>
      </c>
      <c r="G574" s="12">
        <f t="shared" si="8"/>
        <v>0</v>
      </c>
    </row>
    <row r="575" spans="2:7" ht="15" customHeight="1" x14ac:dyDescent="0.3">
      <c r="C575" s="3"/>
      <c r="D575" s="8">
        <v>2015</v>
      </c>
      <c r="E575" s="14">
        <f>Data!N575</f>
        <v>0</v>
      </c>
      <c r="F575" s="14">
        <f>Data!K575</f>
        <v>0</v>
      </c>
      <c r="G575" s="12">
        <f t="shared" si="8"/>
        <v>0</v>
      </c>
    </row>
    <row r="576" spans="2:7" ht="15" customHeight="1" x14ac:dyDescent="0.3">
      <c r="C576" s="3"/>
      <c r="D576" s="8">
        <v>2016</v>
      </c>
      <c r="E576" s="14">
        <f>Data!N576</f>
        <v>4947088000000</v>
      </c>
      <c r="F576" s="14">
        <f>Data!K576</f>
        <v>6557750000000</v>
      </c>
      <c r="G576" s="12">
        <f t="shared" si="8"/>
        <v>0.75438801418169343</v>
      </c>
    </row>
    <row r="577" spans="2:7" ht="15" customHeight="1" x14ac:dyDescent="0.3">
      <c r="C577" s="3"/>
      <c r="D577" s="8">
        <v>2017</v>
      </c>
      <c r="E577" s="14">
        <f>Data!N577</f>
        <v>5450673000000</v>
      </c>
      <c r="F577" s="14">
        <f>Data!K577</f>
        <v>6284722000000</v>
      </c>
      <c r="G577" s="12">
        <f t="shared" si="8"/>
        <v>0.86728943619144971</v>
      </c>
    </row>
    <row r="578" spans="2:7" ht="15" customHeight="1" x14ac:dyDescent="0.3">
      <c r="C578" s="3"/>
      <c r="D578" s="8">
        <v>2018</v>
      </c>
      <c r="E578" s="14">
        <f>Data!N578</f>
        <v>4643399000000</v>
      </c>
      <c r="F578" s="14">
        <f>Data!K578</f>
        <v>5592468000000</v>
      </c>
      <c r="G578" s="12">
        <f t="shared" si="8"/>
        <v>0.83029513982020098</v>
      </c>
    </row>
    <row r="579" spans="2:7" ht="15" customHeight="1" x14ac:dyDescent="0.3">
      <c r="C579" s="3"/>
      <c r="D579" s="8">
        <v>2019</v>
      </c>
      <c r="E579" s="14">
        <f>Data!N579</f>
        <v>4089773000000</v>
      </c>
      <c r="F579" s="14">
        <f>Data!K579</f>
        <v>5440730000000</v>
      </c>
      <c r="G579" s="12">
        <f t="shared" ref="G579:G642" si="9">IFERROR(E579/F579,0)</f>
        <v>0.75169563643114068</v>
      </c>
    </row>
    <row r="580" spans="2:7" ht="15" customHeight="1" x14ac:dyDescent="0.3">
      <c r="C580" s="3"/>
      <c r="D580" s="8">
        <v>2020</v>
      </c>
      <c r="E580" s="14">
        <f>Data!N580</f>
        <v>4326583000000</v>
      </c>
      <c r="F580" s="14">
        <f>Data!K580</f>
        <v>5371808000000</v>
      </c>
      <c r="G580" s="12">
        <f t="shared" si="9"/>
        <v>0.80542398388028758</v>
      </c>
    </row>
    <row r="581" spans="2:7" ht="15" customHeight="1" x14ac:dyDescent="0.3">
      <c r="C581" s="3"/>
      <c r="D581" s="8">
        <v>2021</v>
      </c>
      <c r="E581" s="14">
        <f>Data!N581</f>
        <v>2921159000000</v>
      </c>
      <c r="F581" s="14">
        <f>Data!K581</f>
        <v>4958258000000</v>
      </c>
      <c r="G581" s="12">
        <f t="shared" si="9"/>
        <v>0.58915026204767884</v>
      </c>
    </row>
    <row r="582" spans="2:7" ht="15" customHeight="1" x14ac:dyDescent="0.3">
      <c r="C582" s="3"/>
      <c r="D582" s="8">
        <v>2022</v>
      </c>
      <c r="E582" s="14">
        <f>Data!N582</f>
        <v>2288272000000</v>
      </c>
      <c r="F582" s="14">
        <f>Data!K582</f>
        <v>5699419000000</v>
      </c>
      <c r="G582" s="12">
        <f t="shared" si="9"/>
        <v>0.40149215209480127</v>
      </c>
    </row>
    <row r="583" spans="2:7" ht="15" customHeight="1" x14ac:dyDescent="0.3">
      <c r="C583" s="3"/>
      <c r="D583" s="8">
        <v>2023</v>
      </c>
      <c r="E583" s="14">
        <f>Data!N583</f>
        <v>1988032000000</v>
      </c>
      <c r="F583" s="14">
        <f>Data!K583</f>
        <v>6151455000000</v>
      </c>
      <c r="G583" s="12">
        <f t="shared" si="9"/>
        <v>0.32318077593024741</v>
      </c>
    </row>
    <row r="584" spans="2:7" ht="15" customHeight="1" x14ac:dyDescent="0.3">
      <c r="C584" s="3"/>
      <c r="D584" s="8">
        <v>2024</v>
      </c>
      <c r="E584" s="14">
        <f>Data!N584</f>
        <v>1552649000000</v>
      </c>
      <c r="F584" s="14">
        <f>Data!K584</f>
        <v>6605104000000</v>
      </c>
      <c r="G584" s="12">
        <f t="shared" si="9"/>
        <v>0.23506806251650239</v>
      </c>
    </row>
    <row r="585" spans="2:7" ht="15" customHeight="1" x14ac:dyDescent="0.3">
      <c r="B585" s="8">
        <v>54</v>
      </c>
      <c r="C585" s="4" t="s">
        <v>150</v>
      </c>
      <c r="D585" s="8">
        <v>2014</v>
      </c>
      <c r="E585" s="14">
        <f>Data!N596</f>
        <v>0</v>
      </c>
      <c r="F585" s="14">
        <f>Data!K596</f>
        <v>0</v>
      </c>
      <c r="G585" s="12">
        <f t="shared" si="9"/>
        <v>0</v>
      </c>
    </row>
    <row r="586" spans="2:7" ht="15" customHeight="1" x14ac:dyDescent="0.3">
      <c r="C586" s="4"/>
      <c r="D586" s="8">
        <v>2015</v>
      </c>
      <c r="E586" s="14">
        <f>Data!N597</f>
        <v>-102535000000</v>
      </c>
      <c r="F586" s="14">
        <f>Data!K597</f>
        <v>1066111000000</v>
      </c>
      <c r="G586" s="12">
        <f t="shared" si="9"/>
        <v>-9.6176664531179207E-2</v>
      </c>
    </row>
    <row r="587" spans="2:7" ht="15" customHeight="1" x14ac:dyDescent="0.3">
      <c r="C587" s="4"/>
      <c r="D587" s="8">
        <v>2016</v>
      </c>
      <c r="E587" s="14">
        <f>Data!N598</f>
        <v>-62379000000</v>
      </c>
      <c r="F587" s="14">
        <f>Data!K598</f>
        <v>1288588000000</v>
      </c>
      <c r="G587" s="12">
        <f t="shared" si="9"/>
        <v>-4.8408800951118588E-2</v>
      </c>
    </row>
    <row r="588" spans="2:7" ht="15" customHeight="1" x14ac:dyDescent="0.3">
      <c r="C588" s="4"/>
      <c r="D588" s="8">
        <v>2017</v>
      </c>
      <c r="E588" s="14">
        <f>Data!N599</f>
        <v>-185323000000</v>
      </c>
      <c r="F588" s="14">
        <f>Data!K599</f>
        <v>1550979000000</v>
      </c>
      <c r="G588" s="12">
        <f t="shared" si="9"/>
        <v>-0.11948775579811204</v>
      </c>
    </row>
    <row r="589" spans="2:7" ht="15" customHeight="1" x14ac:dyDescent="0.3">
      <c r="C589" s="4"/>
      <c r="D589" s="8">
        <v>2018</v>
      </c>
      <c r="E589" s="14">
        <f>Data!N600</f>
        <v>-53891000000</v>
      </c>
      <c r="F589" s="14">
        <f>Data!K600</f>
        <v>1495844000000</v>
      </c>
      <c r="G589" s="12">
        <f t="shared" si="9"/>
        <v>-3.6027152564037428E-2</v>
      </c>
    </row>
    <row r="590" spans="2:7" ht="15" customHeight="1" x14ac:dyDescent="0.3">
      <c r="C590" s="4"/>
      <c r="D590" s="8">
        <v>2019</v>
      </c>
      <c r="E590" s="14">
        <f>Data!N601</f>
        <v>-111560000000</v>
      </c>
      <c r="F590" s="14">
        <f>Data!K601</f>
        <v>1384284000000</v>
      </c>
      <c r="G590" s="12">
        <f t="shared" si="9"/>
        <v>-8.0590399079957575E-2</v>
      </c>
    </row>
    <row r="591" spans="2:7" ht="15" customHeight="1" x14ac:dyDescent="0.3">
      <c r="C591" s="4"/>
      <c r="D591" s="8">
        <v>2020</v>
      </c>
      <c r="E591" s="14">
        <f>Data!N602</f>
        <v>-259241000000</v>
      </c>
      <c r="F591" s="14">
        <f>Data!K602</f>
        <v>1121514000000</v>
      </c>
      <c r="G591" s="12">
        <f t="shared" si="9"/>
        <v>-0.23115270964071782</v>
      </c>
    </row>
    <row r="592" spans="2:7" ht="15" customHeight="1" x14ac:dyDescent="0.3">
      <c r="C592" s="4"/>
      <c r="D592" s="8">
        <v>2021</v>
      </c>
      <c r="E592" s="14">
        <f>Data!N603</f>
        <v>-183548000000</v>
      </c>
      <c r="F592" s="14">
        <f>Data!K603</f>
        <v>1237305000000</v>
      </c>
      <c r="G592" s="12">
        <f t="shared" si="9"/>
        <v>-0.14834499173607155</v>
      </c>
    </row>
    <row r="593" spans="2:7" ht="15" customHeight="1" x14ac:dyDescent="0.3">
      <c r="C593" s="4"/>
      <c r="D593" s="8">
        <v>2022</v>
      </c>
      <c r="E593" s="14">
        <f>Data!N604</f>
        <v>-250764000000</v>
      </c>
      <c r="F593" s="14">
        <f>Data!K604</f>
        <v>7234540000000</v>
      </c>
      <c r="G593" s="12">
        <f t="shared" si="9"/>
        <v>-3.4662051768322516E-2</v>
      </c>
    </row>
    <row r="594" spans="2:7" ht="15" customHeight="1" x14ac:dyDescent="0.3">
      <c r="C594" s="4"/>
      <c r="D594" s="8">
        <v>2023</v>
      </c>
      <c r="E594" s="14">
        <f>Data!N605</f>
        <v>-133955000000</v>
      </c>
      <c r="F594" s="14">
        <f>Data!K605</f>
        <v>7055589000000</v>
      </c>
      <c r="G594" s="12">
        <f t="shared" si="9"/>
        <v>-1.8985658036487104E-2</v>
      </c>
    </row>
    <row r="595" spans="2:7" ht="15" customHeight="1" x14ac:dyDescent="0.3">
      <c r="C595" s="4"/>
      <c r="D595" s="8">
        <v>2024</v>
      </c>
      <c r="E595" s="14">
        <f>Data!N606</f>
        <v>22096000000</v>
      </c>
      <c r="F595" s="14">
        <f>Data!K606</f>
        <v>7077686000000</v>
      </c>
      <c r="G595" s="12">
        <f t="shared" si="9"/>
        <v>3.1219243125507404E-3</v>
      </c>
    </row>
    <row r="596" spans="2:7" ht="15" customHeight="1" x14ac:dyDescent="0.3">
      <c r="B596" s="8">
        <v>55</v>
      </c>
      <c r="C596" s="3" t="s">
        <v>40</v>
      </c>
      <c r="D596" s="8">
        <v>2014</v>
      </c>
      <c r="E596" s="14" t="e">
        <f>Data!#REF!</f>
        <v>#REF!</v>
      </c>
      <c r="F596" s="14">
        <f>Data!K607</f>
        <v>0</v>
      </c>
      <c r="G596" s="12">
        <f t="shared" si="9"/>
        <v>0</v>
      </c>
    </row>
    <row r="597" spans="2:7" ht="15" customHeight="1" x14ac:dyDescent="0.3">
      <c r="C597" s="3"/>
      <c r="D597" s="8">
        <v>2015</v>
      </c>
      <c r="E597" s="14" t="e">
        <f>Data!#REF!</f>
        <v>#REF!</v>
      </c>
      <c r="F597" s="14">
        <f>Data!K608</f>
        <v>489233000000</v>
      </c>
      <c r="G597" s="12">
        <f t="shared" si="9"/>
        <v>0</v>
      </c>
    </row>
    <row r="598" spans="2:7" ht="15" customHeight="1" x14ac:dyDescent="0.3">
      <c r="C598" s="3"/>
      <c r="D598" s="8">
        <v>2016</v>
      </c>
      <c r="E598" s="14" t="e">
        <f>Data!#REF!</f>
        <v>#REF!</v>
      </c>
      <c r="F598" s="14" t="e">
        <f>Data!#REF!</f>
        <v>#REF!</v>
      </c>
      <c r="G598" s="12">
        <f t="shared" si="9"/>
        <v>0</v>
      </c>
    </row>
    <row r="599" spans="2:7" ht="15" customHeight="1" x14ac:dyDescent="0.3">
      <c r="C599" s="3"/>
      <c r="D599" s="8">
        <v>2017</v>
      </c>
      <c r="E599" s="14" t="e">
        <f>Data!#REF!</f>
        <v>#REF!</v>
      </c>
      <c r="F599" s="14" t="e">
        <f>Data!#REF!</f>
        <v>#REF!</v>
      </c>
      <c r="G599" s="12">
        <f t="shared" si="9"/>
        <v>0</v>
      </c>
    </row>
    <row r="600" spans="2:7" ht="15" customHeight="1" x14ac:dyDescent="0.3">
      <c r="C600" s="3"/>
      <c r="D600" s="8">
        <v>2018</v>
      </c>
      <c r="E600" s="14" t="e">
        <f>Data!#REF!</f>
        <v>#REF!</v>
      </c>
      <c r="F600" s="14" t="e">
        <f>Data!#REF!</f>
        <v>#REF!</v>
      </c>
      <c r="G600" s="12">
        <f t="shared" si="9"/>
        <v>0</v>
      </c>
    </row>
    <row r="601" spans="2:7" ht="15" customHeight="1" x14ac:dyDescent="0.3">
      <c r="C601" s="3"/>
      <c r="D601" s="8">
        <v>2019</v>
      </c>
      <c r="E601" s="14" t="e">
        <f>Data!#REF!</f>
        <v>#REF!</v>
      </c>
      <c r="F601" s="14" t="e">
        <f>Data!#REF!</f>
        <v>#REF!</v>
      </c>
      <c r="G601" s="12">
        <f t="shared" si="9"/>
        <v>0</v>
      </c>
    </row>
    <row r="602" spans="2:7" ht="15" customHeight="1" x14ac:dyDescent="0.3">
      <c r="C602" s="3"/>
      <c r="D602" s="8">
        <v>2020</v>
      </c>
      <c r="E602" s="14" t="e">
        <f>Data!#REF!</f>
        <v>#REF!</v>
      </c>
      <c r="F602" s="14" t="e">
        <f>Data!#REF!</f>
        <v>#REF!</v>
      </c>
      <c r="G602" s="12">
        <f t="shared" si="9"/>
        <v>0</v>
      </c>
    </row>
    <row r="603" spans="2:7" ht="15" customHeight="1" x14ac:dyDescent="0.3">
      <c r="C603" s="3"/>
      <c r="D603" s="8">
        <v>2021</v>
      </c>
      <c r="E603" s="14" t="e">
        <f>Data!#REF!</f>
        <v>#REF!</v>
      </c>
      <c r="F603" s="14" t="e">
        <f>Data!#REF!</f>
        <v>#REF!</v>
      </c>
      <c r="G603" s="12">
        <f t="shared" si="9"/>
        <v>0</v>
      </c>
    </row>
    <row r="604" spans="2:7" ht="15" customHeight="1" x14ac:dyDescent="0.3">
      <c r="C604" s="3"/>
      <c r="D604" s="8">
        <v>2022</v>
      </c>
      <c r="E604" s="14" t="e">
        <f>Data!#REF!</f>
        <v>#REF!</v>
      </c>
      <c r="F604" s="14" t="e">
        <f>Data!#REF!</f>
        <v>#REF!</v>
      </c>
      <c r="G604" s="12">
        <f t="shared" si="9"/>
        <v>0</v>
      </c>
    </row>
    <row r="605" spans="2:7" ht="15" customHeight="1" x14ac:dyDescent="0.3">
      <c r="C605" s="3"/>
      <c r="D605" s="8">
        <v>2023</v>
      </c>
      <c r="E605" s="14" t="e">
        <f>Data!#REF!</f>
        <v>#REF!</v>
      </c>
      <c r="F605" s="14" t="e">
        <f>Data!#REF!</f>
        <v>#REF!</v>
      </c>
      <c r="G605" s="12">
        <f t="shared" si="9"/>
        <v>0</v>
      </c>
    </row>
    <row r="606" spans="2:7" ht="15" customHeight="1" x14ac:dyDescent="0.3">
      <c r="C606" s="3"/>
      <c r="D606" s="8">
        <v>2024</v>
      </c>
      <c r="E606" s="14" t="e">
        <f>Data!#REF!</f>
        <v>#REF!</v>
      </c>
      <c r="F606" s="14" t="e">
        <f>Data!#REF!</f>
        <v>#REF!</v>
      </c>
      <c r="G606" s="12">
        <f t="shared" si="9"/>
        <v>0</v>
      </c>
    </row>
    <row r="607" spans="2:7" ht="15" customHeight="1" x14ac:dyDescent="0.3">
      <c r="B607" s="8">
        <v>56</v>
      </c>
      <c r="C607" s="3" t="s">
        <v>47</v>
      </c>
      <c r="D607" s="8">
        <v>2014</v>
      </c>
      <c r="E607" s="14">
        <f>Data!N607</f>
        <v>0</v>
      </c>
      <c r="F607" s="14" t="e">
        <f>Data!#REF!</f>
        <v>#REF!</v>
      </c>
      <c r="G607" s="12">
        <f t="shared" si="9"/>
        <v>0</v>
      </c>
    </row>
    <row r="608" spans="2:7" ht="15" customHeight="1" x14ac:dyDescent="0.3">
      <c r="C608" s="3"/>
      <c r="D608" s="8">
        <v>2015</v>
      </c>
      <c r="E608" s="14">
        <f>Data!N608</f>
        <v>-141190000000</v>
      </c>
      <c r="F608" s="14" t="e">
        <f>Data!#REF!</f>
        <v>#REF!</v>
      </c>
      <c r="G608" s="12">
        <f t="shared" si="9"/>
        <v>0</v>
      </c>
    </row>
    <row r="609" spans="2:7" ht="15" customHeight="1" x14ac:dyDescent="0.3">
      <c r="C609" s="3"/>
      <c r="D609" s="8">
        <v>2016</v>
      </c>
      <c r="E609" s="14">
        <f>Data!N609</f>
        <v>-294967000000</v>
      </c>
      <c r="F609" s="14">
        <f>Data!K609</f>
        <v>614267000000</v>
      </c>
      <c r="G609" s="12">
        <f t="shared" si="9"/>
        <v>-0.48019346635909138</v>
      </c>
    </row>
    <row r="610" spans="2:7" ht="15" customHeight="1" x14ac:dyDescent="0.3">
      <c r="C610" s="3"/>
      <c r="D610" s="8">
        <v>2017</v>
      </c>
      <c r="E610" s="14">
        <f>Data!N610</f>
        <v>-254335000000</v>
      </c>
      <c r="F610" s="14">
        <f>Data!K610</f>
        <v>1461947000000</v>
      </c>
      <c r="G610" s="12">
        <f t="shared" si="9"/>
        <v>-0.17397005500199392</v>
      </c>
    </row>
    <row r="611" spans="2:7" ht="15" customHeight="1" x14ac:dyDescent="0.3">
      <c r="C611" s="3"/>
      <c r="D611" s="8">
        <v>2018</v>
      </c>
      <c r="E611" s="14">
        <f>Data!N611</f>
        <v>-238404000000</v>
      </c>
      <c r="F611" s="14">
        <f>Data!K611</f>
        <v>1311548000000</v>
      </c>
      <c r="G611" s="12">
        <f t="shared" si="9"/>
        <v>-0.18177298886506632</v>
      </c>
    </row>
    <row r="612" spans="2:7" ht="15" customHeight="1" x14ac:dyDescent="0.3">
      <c r="C612" s="3"/>
      <c r="D612" s="8">
        <v>2019</v>
      </c>
      <c r="E612" s="14">
        <f>Data!N612</f>
        <v>154007000000</v>
      </c>
      <c r="F612" s="14">
        <f>Data!K612</f>
        <v>1157517000000</v>
      </c>
      <c r="G612" s="12">
        <f t="shared" si="9"/>
        <v>0.13304944981369604</v>
      </c>
    </row>
    <row r="613" spans="2:7" ht="15" customHeight="1" x14ac:dyDescent="0.3">
      <c r="C613" s="3"/>
      <c r="D613" s="8">
        <v>2020</v>
      </c>
      <c r="E613" s="14">
        <f>Data!N613</f>
        <v>-102691000000</v>
      </c>
      <c r="F613" s="14">
        <f>Data!K613</f>
        <v>1054658000000</v>
      </c>
      <c r="G613" s="12">
        <f t="shared" si="9"/>
        <v>-9.7369004928611932E-2</v>
      </c>
    </row>
    <row r="614" spans="2:7" ht="15" customHeight="1" x14ac:dyDescent="0.3">
      <c r="C614" s="3"/>
      <c r="D614" s="8">
        <v>2021</v>
      </c>
      <c r="E614" s="14">
        <f>Data!N614</f>
        <v>-193518000000</v>
      </c>
      <c r="F614" s="14">
        <f>Data!K614</f>
        <v>861140000000</v>
      </c>
      <c r="G614" s="12">
        <f t="shared" si="9"/>
        <v>-0.22472304154957382</v>
      </c>
    </row>
    <row r="615" spans="2:7" ht="15" customHeight="1" x14ac:dyDescent="0.3">
      <c r="C615" s="3"/>
      <c r="D615" s="8">
        <v>2022</v>
      </c>
      <c r="E615" s="14">
        <f>Data!N615</f>
        <v>-170293000000</v>
      </c>
      <c r="F615" s="14">
        <f>Data!K615</f>
        <v>690847000000</v>
      </c>
      <c r="G615" s="12">
        <f t="shared" si="9"/>
        <v>-0.24649886298992396</v>
      </c>
    </row>
    <row r="616" spans="2:7" ht="15" customHeight="1" x14ac:dyDescent="0.3">
      <c r="C616" s="3"/>
      <c r="D616" s="8">
        <v>2023</v>
      </c>
      <c r="E616" s="14">
        <f>Data!N616</f>
        <v>-197334000000</v>
      </c>
      <c r="F616" s="14">
        <f>Data!K616</f>
        <v>493513000000</v>
      </c>
      <c r="G616" s="12">
        <f t="shared" si="9"/>
        <v>-0.399855728217899</v>
      </c>
    </row>
    <row r="617" spans="2:7" ht="15" customHeight="1" x14ac:dyDescent="0.3">
      <c r="C617" s="3"/>
      <c r="D617" s="8">
        <v>2024</v>
      </c>
      <c r="E617" s="14">
        <f>Data!N617</f>
        <v>-180619000000</v>
      </c>
      <c r="F617" s="14">
        <f>Data!K617</f>
        <v>312893000000</v>
      </c>
      <c r="G617" s="12">
        <f t="shared" si="9"/>
        <v>-0.5772548443077985</v>
      </c>
    </row>
    <row r="618" spans="2:7" ht="15" customHeight="1" x14ac:dyDescent="0.3">
      <c r="B618" s="8">
        <v>57</v>
      </c>
      <c r="C618" s="3" t="s">
        <v>41</v>
      </c>
      <c r="D618" s="8">
        <v>2014</v>
      </c>
      <c r="E618" s="14">
        <f>Data!N618</f>
        <v>0</v>
      </c>
      <c r="F618" s="14">
        <f>Data!K618</f>
        <v>0</v>
      </c>
      <c r="G618" s="12">
        <f t="shared" si="9"/>
        <v>0</v>
      </c>
    </row>
    <row r="619" spans="2:7" ht="15" customHeight="1" x14ac:dyDescent="0.3">
      <c r="C619" s="3"/>
      <c r="D619" s="8">
        <v>2015</v>
      </c>
      <c r="E619" s="14">
        <f>Data!N619</f>
        <v>0</v>
      </c>
      <c r="F619" s="14">
        <f>Data!K619</f>
        <v>0</v>
      </c>
      <c r="G619" s="12">
        <f t="shared" si="9"/>
        <v>0</v>
      </c>
    </row>
    <row r="620" spans="2:7" ht="15" customHeight="1" x14ac:dyDescent="0.3">
      <c r="C620" s="3"/>
      <c r="D620" s="8">
        <v>2016</v>
      </c>
      <c r="E620" s="14">
        <f>Data!N620</f>
        <v>0</v>
      </c>
      <c r="F620" s="14">
        <f>Data!K620</f>
        <v>0</v>
      </c>
      <c r="G620" s="12">
        <f t="shared" si="9"/>
        <v>0</v>
      </c>
    </row>
    <row r="621" spans="2:7" ht="15" customHeight="1" x14ac:dyDescent="0.3">
      <c r="C621" s="3"/>
      <c r="D621" s="8">
        <v>2017</v>
      </c>
      <c r="E621" s="14">
        <f>Data!N621</f>
        <v>24103000000</v>
      </c>
      <c r="F621" s="14">
        <f>Data!K621</f>
        <v>170950000000</v>
      </c>
      <c r="G621" s="12">
        <f t="shared" si="9"/>
        <v>0.14099444281953788</v>
      </c>
    </row>
    <row r="622" spans="2:7" ht="15" customHeight="1" x14ac:dyDescent="0.3">
      <c r="C622" s="3"/>
      <c r="D622" s="8">
        <v>2018</v>
      </c>
      <c r="E622" s="14">
        <f>Data!N622</f>
        <v>-8105000000</v>
      </c>
      <c r="F622" s="14">
        <f>Data!K622</f>
        <v>162845000000</v>
      </c>
      <c r="G622" s="12">
        <f t="shared" si="9"/>
        <v>-4.9771254874266938E-2</v>
      </c>
    </row>
    <row r="623" spans="2:7" ht="15" customHeight="1" x14ac:dyDescent="0.3">
      <c r="C623" s="3"/>
      <c r="D623" s="8">
        <v>2019</v>
      </c>
      <c r="E623" s="14">
        <f>Data!N623</f>
        <v>25772000000</v>
      </c>
      <c r="F623" s="14">
        <f>Data!K623</f>
        <v>188614000000</v>
      </c>
      <c r="G623" s="12">
        <f t="shared" si="9"/>
        <v>0.13663884971423118</v>
      </c>
    </row>
    <row r="624" spans="2:7" ht="15" customHeight="1" x14ac:dyDescent="0.3">
      <c r="C624" s="3"/>
      <c r="D624" s="8">
        <v>2020</v>
      </c>
      <c r="E624" s="14">
        <f>Data!N624</f>
        <v>1376000000</v>
      </c>
      <c r="F624" s="14">
        <f>Data!K624</f>
        <v>175149000000</v>
      </c>
      <c r="G624" s="12">
        <f t="shared" si="9"/>
        <v>7.8561681768094596E-3</v>
      </c>
    </row>
    <row r="625" spans="1:7" ht="15" customHeight="1" x14ac:dyDescent="0.3">
      <c r="C625" s="3"/>
      <c r="D625" s="8">
        <v>2021</v>
      </c>
      <c r="E625" s="14">
        <f>Data!N625</f>
        <v>87802000000</v>
      </c>
      <c r="F625" s="14">
        <f>Data!K625</f>
        <v>262951000000</v>
      </c>
      <c r="G625" s="12">
        <f t="shared" si="9"/>
        <v>0.33391012013645127</v>
      </c>
    </row>
    <row r="626" spans="1:7" ht="15" customHeight="1" x14ac:dyDescent="0.3">
      <c r="C626" s="3"/>
      <c r="D626" s="8">
        <v>2022</v>
      </c>
      <c r="E626" s="14">
        <f>Data!N626</f>
        <v>-87610000000</v>
      </c>
      <c r="F626" s="14">
        <f>Data!K626</f>
        <v>155341000000</v>
      </c>
      <c r="G626" s="12">
        <f t="shared" si="9"/>
        <v>-0.56398503936500988</v>
      </c>
    </row>
    <row r="627" spans="1:7" ht="15" customHeight="1" x14ac:dyDescent="0.3">
      <c r="C627" s="3"/>
      <c r="D627" s="8">
        <v>2023</v>
      </c>
      <c r="E627" s="14">
        <f>Data!N627</f>
        <v>-29177000000</v>
      </c>
      <c r="F627" s="14">
        <f>Data!K627</f>
        <v>126164000000</v>
      </c>
      <c r="G627" s="12">
        <f t="shared" si="9"/>
        <v>-0.23126248375130781</v>
      </c>
    </row>
    <row r="628" spans="1:7" ht="15" customHeight="1" x14ac:dyDescent="0.3">
      <c r="C628" s="3"/>
      <c r="D628" s="8">
        <v>2024</v>
      </c>
      <c r="E628" s="14">
        <f>Data!N628</f>
        <v>6487000000</v>
      </c>
      <c r="F628" s="14">
        <f>Data!K628</f>
        <v>132651000000</v>
      </c>
      <c r="G628" s="12">
        <f t="shared" si="9"/>
        <v>4.8902759873653424E-2</v>
      </c>
    </row>
    <row r="629" spans="1:7" ht="15" customHeight="1" x14ac:dyDescent="0.3">
      <c r="B629" s="8">
        <v>58</v>
      </c>
      <c r="C629" s="4" t="s">
        <v>49</v>
      </c>
      <c r="D629" s="8">
        <v>2014</v>
      </c>
      <c r="E629" s="14">
        <f>Data!N629</f>
        <v>0</v>
      </c>
      <c r="F629" s="14">
        <f>Data!K629</f>
        <v>0</v>
      </c>
      <c r="G629" s="12">
        <f t="shared" si="9"/>
        <v>0</v>
      </c>
    </row>
    <row r="630" spans="1:7" ht="15" customHeight="1" x14ac:dyDescent="0.3">
      <c r="C630" s="4"/>
      <c r="D630" s="8">
        <v>2015</v>
      </c>
      <c r="E630" s="14">
        <f>Data!N630</f>
        <v>0</v>
      </c>
      <c r="F630" s="14">
        <f>Data!K630</f>
        <v>0</v>
      </c>
      <c r="G630" s="12">
        <f t="shared" si="9"/>
        <v>0</v>
      </c>
    </row>
    <row r="631" spans="1:7" ht="15" customHeight="1" x14ac:dyDescent="0.3">
      <c r="C631" s="4"/>
      <c r="D631" s="8">
        <v>2016</v>
      </c>
      <c r="E631" s="14">
        <f>Data!N631</f>
        <v>0</v>
      </c>
      <c r="F631" s="14">
        <f>Data!K631</f>
        <v>0</v>
      </c>
      <c r="G631" s="12">
        <f t="shared" si="9"/>
        <v>0</v>
      </c>
    </row>
    <row r="632" spans="1:7" ht="15" customHeight="1" x14ac:dyDescent="0.3">
      <c r="C632" s="4"/>
      <c r="D632" s="8">
        <v>2017</v>
      </c>
      <c r="E632" s="14">
        <f>Data!N632</f>
        <v>0</v>
      </c>
      <c r="F632" s="14">
        <f>Data!K632</f>
        <v>0</v>
      </c>
      <c r="G632" s="12">
        <f t="shared" si="9"/>
        <v>0</v>
      </c>
    </row>
    <row r="633" spans="1:7" ht="15" customHeight="1" x14ac:dyDescent="0.3">
      <c r="C633" s="4"/>
      <c r="D633" s="8">
        <v>2018</v>
      </c>
      <c r="E633" s="14">
        <f>Data!N633</f>
        <v>0</v>
      </c>
      <c r="F633" s="14">
        <f>Data!K633</f>
        <v>0</v>
      </c>
      <c r="G633" s="12">
        <f t="shared" si="9"/>
        <v>0</v>
      </c>
    </row>
    <row r="634" spans="1:7" ht="15" customHeight="1" x14ac:dyDescent="0.3">
      <c r="C634" s="4"/>
      <c r="D634" s="8">
        <v>2019</v>
      </c>
      <c r="E634" s="14">
        <f>Data!N634</f>
        <v>0</v>
      </c>
      <c r="F634" s="14">
        <f>Data!K634</f>
        <v>0</v>
      </c>
      <c r="G634" s="12">
        <f t="shared" si="9"/>
        <v>0</v>
      </c>
    </row>
    <row r="635" spans="1:7" ht="15" customHeight="1" x14ac:dyDescent="0.3">
      <c r="C635" s="4"/>
      <c r="D635" s="8">
        <v>2020</v>
      </c>
      <c r="E635" s="14">
        <f>Data!N635</f>
        <v>-244725000000</v>
      </c>
      <c r="F635" s="14">
        <f>Data!K635</f>
        <v>418031000000</v>
      </c>
      <c r="G635" s="12">
        <f t="shared" si="9"/>
        <v>-0.58542309063203446</v>
      </c>
    </row>
    <row r="636" spans="1:7" ht="15" customHeight="1" x14ac:dyDescent="0.3">
      <c r="C636" s="4"/>
      <c r="D636" s="8">
        <v>2021</v>
      </c>
      <c r="E636" s="14">
        <f>Data!N636</f>
        <v>-293500000000</v>
      </c>
      <c r="F636" s="14">
        <f>Data!K636</f>
        <v>249530000000</v>
      </c>
      <c r="G636" s="12">
        <f t="shared" si="9"/>
        <v>-1.1762112772011382</v>
      </c>
    </row>
    <row r="637" spans="1:7" ht="15" customHeight="1" x14ac:dyDescent="0.3">
      <c r="C637" s="4"/>
      <c r="D637" s="8">
        <v>2022</v>
      </c>
      <c r="E637" s="14">
        <f>Data!N637</f>
        <v>-1895000000</v>
      </c>
      <c r="F637" s="14">
        <f>Data!K637</f>
        <v>357636000000</v>
      </c>
      <c r="G637" s="12">
        <f t="shared" si="9"/>
        <v>-5.2986835777158901E-3</v>
      </c>
    </row>
    <row r="638" spans="1:7" ht="15" customHeight="1" x14ac:dyDescent="0.3">
      <c r="C638" s="4"/>
      <c r="D638" s="8">
        <v>2023</v>
      </c>
      <c r="E638" s="14">
        <f>Data!N638</f>
        <v>-110609000000</v>
      </c>
      <c r="F638" s="14">
        <f>Data!K638</f>
        <v>247025000000</v>
      </c>
      <c r="G638" s="12">
        <f t="shared" si="9"/>
        <v>-0.44776439631616233</v>
      </c>
    </row>
    <row r="639" spans="1:7" ht="15" customHeight="1" x14ac:dyDescent="0.3">
      <c r="C639" s="4"/>
      <c r="D639" s="8">
        <v>2024</v>
      </c>
      <c r="E639" s="14">
        <f>Data!N639</f>
        <v>-97265000000</v>
      </c>
      <c r="F639" s="14">
        <f>Data!K639</f>
        <v>289762000000</v>
      </c>
      <c r="G639" s="12">
        <f t="shared" si="9"/>
        <v>-0.33567203429021059</v>
      </c>
    </row>
    <row r="640" spans="1:7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Data!N640</f>
        <v>0</v>
      </c>
      <c r="F640" s="14">
        <f>Data!K640</f>
        <v>0</v>
      </c>
      <c r="G640" s="12">
        <f t="shared" si="9"/>
        <v>0</v>
      </c>
    </row>
    <row r="641" spans="2:7" ht="15" customHeight="1" x14ac:dyDescent="0.3">
      <c r="C641" s="2"/>
      <c r="D641" s="8">
        <v>2015</v>
      </c>
      <c r="E641" s="14">
        <f>Data!N641</f>
        <v>0</v>
      </c>
      <c r="F641" s="14">
        <f>Data!K641</f>
        <v>0</v>
      </c>
      <c r="G641" s="12">
        <f t="shared" si="9"/>
        <v>0</v>
      </c>
    </row>
    <row r="642" spans="2:7" ht="15" customHeight="1" x14ac:dyDescent="0.3">
      <c r="C642" s="2"/>
      <c r="D642" s="8">
        <v>2016</v>
      </c>
      <c r="E642" s="14">
        <f>Data!N642</f>
        <v>0</v>
      </c>
      <c r="F642" s="14">
        <f>Data!K642</f>
        <v>0</v>
      </c>
      <c r="G642" s="12">
        <f t="shared" si="9"/>
        <v>0</v>
      </c>
    </row>
    <row r="643" spans="2:7" ht="15" customHeight="1" x14ac:dyDescent="0.3">
      <c r="C643" s="2"/>
      <c r="D643" s="8">
        <v>2017</v>
      </c>
      <c r="E643" s="14">
        <f>Data!N643</f>
        <v>0</v>
      </c>
      <c r="F643" s="14">
        <f>Data!K643</f>
        <v>0</v>
      </c>
      <c r="G643" s="12">
        <f t="shared" ref="G643:G706" si="10">IFERROR(E643/F643,0)</f>
        <v>0</v>
      </c>
    </row>
    <row r="644" spans="2:7" ht="15" customHeight="1" x14ac:dyDescent="0.3">
      <c r="C644" s="2"/>
      <c r="D644" s="8">
        <v>2018</v>
      </c>
      <c r="E644" s="14">
        <f>Data!N644</f>
        <v>0</v>
      </c>
      <c r="F644" s="14">
        <f>Data!K644</f>
        <v>0</v>
      </c>
      <c r="G644" s="12">
        <f t="shared" si="10"/>
        <v>0</v>
      </c>
    </row>
    <row r="645" spans="2:7" ht="15" customHeight="1" x14ac:dyDescent="0.3">
      <c r="C645" s="2"/>
      <c r="D645" s="8">
        <v>2019</v>
      </c>
      <c r="E645" s="14">
        <f>Data!N645</f>
        <v>74896000000</v>
      </c>
      <c r="F645" s="14">
        <f>Data!K645</f>
        <v>386100000000</v>
      </c>
      <c r="G645" s="12">
        <f t="shared" si="10"/>
        <v>0.19398083398083399</v>
      </c>
    </row>
    <row r="646" spans="2:7" ht="15" customHeight="1" x14ac:dyDescent="0.3">
      <c r="C646" s="2"/>
      <c r="D646" s="8">
        <v>2020</v>
      </c>
      <c r="E646" s="14">
        <f>Data!N646</f>
        <v>78044000000</v>
      </c>
      <c r="F646" s="14">
        <f>Data!K646</f>
        <v>388974000000</v>
      </c>
      <c r="G646" s="12">
        <f t="shared" si="10"/>
        <v>0.20064065978702947</v>
      </c>
    </row>
    <row r="647" spans="2:7" ht="15" customHeight="1" x14ac:dyDescent="0.3">
      <c r="C647" s="2"/>
      <c r="D647" s="8">
        <v>2021</v>
      </c>
      <c r="E647" s="14">
        <f>Data!N647</f>
        <v>70990000000</v>
      </c>
      <c r="F647" s="14">
        <f>Data!K647</f>
        <v>384789000000</v>
      </c>
      <c r="G647" s="12">
        <f t="shared" si="10"/>
        <v>0.18449072088859089</v>
      </c>
    </row>
    <row r="648" spans="2:7" ht="15" customHeight="1" x14ac:dyDescent="0.3">
      <c r="C648" s="2"/>
      <c r="D648" s="8">
        <v>2022</v>
      </c>
      <c r="E648" s="14">
        <f>Data!N648</f>
        <v>77054000000</v>
      </c>
      <c r="F648" s="14">
        <f>Data!K648</f>
        <v>391666000000</v>
      </c>
      <c r="G648" s="12">
        <f t="shared" si="10"/>
        <v>0.19673395188757767</v>
      </c>
    </row>
    <row r="649" spans="2:7" ht="15" customHeight="1" x14ac:dyDescent="0.3">
      <c r="C649" s="2"/>
      <c r="D649" s="8">
        <v>2023</v>
      </c>
      <c r="E649" s="14">
        <f>Data!N649</f>
        <v>133013000000</v>
      </c>
      <c r="F649" s="14">
        <f>Data!K649</f>
        <v>447003000000</v>
      </c>
      <c r="G649" s="12">
        <f t="shared" si="10"/>
        <v>0.29756623557336304</v>
      </c>
    </row>
    <row r="650" spans="2:7" ht="15" customHeight="1" x14ac:dyDescent="0.3">
      <c r="C650" s="2"/>
      <c r="D650" s="8">
        <v>2024</v>
      </c>
      <c r="E650" s="14">
        <f>Data!N650</f>
        <v>151251000000</v>
      </c>
      <c r="F650" s="14">
        <f>Data!K650</f>
        <v>599463000000</v>
      </c>
      <c r="G650" s="12">
        <f t="shared" si="10"/>
        <v>0.25231081818227313</v>
      </c>
    </row>
    <row r="651" spans="2:7" ht="15" customHeight="1" x14ac:dyDescent="0.3">
      <c r="B651" s="8">
        <v>60</v>
      </c>
      <c r="C651" s="2" t="s">
        <v>63</v>
      </c>
      <c r="D651" s="8">
        <v>2014</v>
      </c>
      <c r="E651" s="14">
        <f>Data!N651</f>
        <v>0</v>
      </c>
      <c r="F651" s="14">
        <f>Data!K651</f>
        <v>0</v>
      </c>
      <c r="G651" s="12">
        <f t="shared" si="10"/>
        <v>0</v>
      </c>
    </row>
    <row r="652" spans="2:7" ht="15" customHeight="1" x14ac:dyDescent="0.3">
      <c r="C652" s="2"/>
      <c r="D652" s="8">
        <v>2015</v>
      </c>
      <c r="E652" s="14">
        <f>Data!N652</f>
        <v>0</v>
      </c>
      <c r="F652" s="14">
        <f>Data!K652</f>
        <v>0</v>
      </c>
      <c r="G652" s="12">
        <f t="shared" si="10"/>
        <v>0</v>
      </c>
    </row>
    <row r="653" spans="2:7" ht="15" customHeight="1" x14ac:dyDescent="0.3">
      <c r="C653" s="2"/>
      <c r="D653" s="8">
        <v>2016</v>
      </c>
      <c r="E653" s="14">
        <f>Data!N653</f>
        <v>0</v>
      </c>
      <c r="F653" s="14">
        <f>Data!K653</f>
        <v>0</v>
      </c>
      <c r="G653" s="12">
        <f t="shared" si="10"/>
        <v>0</v>
      </c>
    </row>
    <row r="654" spans="2:7" ht="15" customHeight="1" x14ac:dyDescent="0.3">
      <c r="C654" s="2"/>
      <c r="D654" s="8">
        <v>2017</v>
      </c>
      <c r="E654" s="14">
        <f>Data!N654</f>
        <v>0</v>
      </c>
      <c r="F654" s="14">
        <f>Data!K654</f>
        <v>0</v>
      </c>
      <c r="G654" s="12">
        <f t="shared" si="10"/>
        <v>0</v>
      </c>
    </row>
    <row r="655" spans="2:7" ht="15" customHeight="1" x14ac:dyDescent="0.3">
      <c r="C655" s="2"/>
      <c r="D655" s="8">
        <v>2018</v>
      </c>
      <c r="E655" s="14">
        <f>Data!N655</f>
        <v>0</v>
      </c>
      <c r="F655" s="14">
        <f>Data!K655</f>
        <v>0</v>
      </c>
      <c r="G655" s="12">
        <f t="shared" si="10"/>
        <v>0</v>
      </c>
    </row>
    <row r="656" spans="2:7" ht="15" customHeight="1" x14ac:dyDescent="0.3">
      <c r="C656" s="2"/>
      <c r="D656" s="8">
        <v>2019</v>
      </c>
      <c r="E656" s="14">
        <f>Data!N656</f>
        <v>0</v>
      </c>
      <c r="F656" s="14">
        <f>Data!K656</f>
        <v>0</v>
      </c>
      <c r="G656" s="12">
        <f t="shared" si="10"/>
        <v>0</v>
      </c>
    </row>
    <row r="657" spans="2:7" ht="15" customHeight="1" x14ac:dyDescent="0.3">
      <c r="C657" s="2"/>
      <c r="D657" s="8">
        <v>2020</v>
      </c>
      <c r="E657" s="14">
        <f>Data!N657</f>
        <v>10618000000</v>
      </c>
      <c r="F657" s="14">
        <f>Data!K657</f>
        <v>226442000000</v>
      </c>
      <c r="G657" s="12">
        <f t="shared" si="10"/>
        <v>4.6890594501020129E-2</v>
      </c>
    </row>
    <row r="658" spans="2:7" ht="15" customHeight="1" x14ac:dyDescent="0.3">
      <c r="C658" s="2"/>
      <c r="D658" s="8">
        <v>2021</v>
      </c>
      <c r="E658" s="14">
        <f>Data!N658</f>
        <v>11025000000</v>
      </c>
      <c r="F658" s="14">
        <f>Data!K658</f>
        <v>187468000000</v>
      </c>
      <c r="G658" s="12">
        <f t="shared" si="10"/>
        <v>5.8810036912966476E-2</v>
      </c>
    </row>
    <row r="659" spans="2:7" ht="15" customHeight="1" x14ac:dyDescent="0.3">
      <c r="C659" s="2"/>
      <c r="D659" s="8">
        <v>2022</v>
      </c>
      <c r="E659" s="14">
        <f>Data!N659</f>
        <v>22839000000</v>
      </c>
      <c r="F659" s="14">
        <f>Data!K659</f>
        <v>210306000000</v>
      </c>
      <c r="G659" s="12">
        <f t="shared" si="10"/>
        <v>0.10859889874753929</v>
      </c>
    </row>
    <row r="660" spans="2:7" ht="15" customHeight="1" x14ac:dyDescent="0.3">
      <c r="C660" s="2"/>
      <c r="D660" s="8">
        <v>2023</v>
      </c>
      <c r="E660" s="14">
        <f>Data!N660</f>
        <v>7193000000</v>
      </c>
      <c r="F660" s="14">
        <f>Data!K660</f>
        <v>217500000000</v>
      </c>
      <c r="G660" s="12">
        <f t="shared" si="10"/>
        <v>3.3071264367816093E-2</v>
      </c>
    </row>
    <row r="661" spans="2:7" ht="15" customHeight="1" x14ac:dyDescent="0.3">
      <c r="C661" s="2"/>
      <c r="D661" s="8">
        <v>2024</v>
      </c>
      <c r="E661" s="14">
        <f>Data!N661</f>
        <v>25756000000</v>
      </c>
      <c r="F661" s="14">
        <f>Data!K661</f>
        <v>262366000000</v>
      </c>
      <c r="G661" s="12">
        <f t="shared" si="10"/>
        <v>9.8168207770823968E-2</v>
      </c>
    </row>
    <row r="662" spans="2:7" ht="15" customHeight="1" x14ac:dyDescent="0.3">
      <c r="B662" s="8">
        <v>61</v>
      </c>
      <c r="C662" s="2" t="s">
        <v>61</v>
      </c>
      <c r="D662" s="8">
        <v>2014</v>
      </c>
      <c r="E662" s="14">
        <f>Data!N662</f>
        <v>0</v>
      </c>
      <c r="F662" s="14">
        <f>Data!K662</f>
        <v>0</v>
      </c>
      <c r="G662" s="12">
        <f t="shared" si="10"/>
        <v>0</v>
      </c>
    </row>
    <row r="663" spans="2:7" ht="15" customHeight="1" x14ac:dyDescent="0.3">
      <c r="C663" s="2"/>
      <c r="D663" s="8">
        <v>2015</v>
      </c>
      <c r="E663" s="14">
        <f>Data!N663</f>
        <v>44788000000</v>
      </c>
      <c r="F663" s="14">
        <f>Data!K663</f>
        <v>451915000000</v>
      </c>
      <c r="G663" s="12">
        <f t="shared" si="10"/>
        <v>9.9107132978546855E-2</v>
      </c>
    </row>
    <row r="664" spans="2:7" ht="15" customHeight="1" x14ac:dyDescent="0.3">
      <c r="C664" s="2"/>
      <c r="D664" s="8">
        <v>2016</v>
      </c>
      <c r="E664" s="14">
        <f>Data!N664</f>
        <v>-60325000000</v>
      </c>
      <c r="F664" s="14">
        <f>Data!K664</f>
        <v>391590000000</v>
      </c>
      <c r="G664" s="12">
        <f t="shared" si="10"/>
        <v>-0.15405143134400776</v>
      </c>
    </row>
    <row r="665" spans="2:7" ht="15" customHeight="1" x14ac:dyDescent="0.3">
      <c r="C665" s="2"/>
      <c r="D665" s="8">
        <v>2017</v>
      </c>
      <c r="E665" s="14">
        <f>Data!N665</f>
        <v>-28586000000</v>
      </c>
      <c r="F665" s="14">
        <f>Data!K665</f>
        <v>942004000000</v>
      </c>
      <c r="G665" s="12">
        <f t="shared" si="10"/>
        <v>-3.034594332932769E-2</v>
      </c>
    </row>
    <row r="666" spans="2:7" ht="15" customHeight="1" x14ac:dyDescent="0.3">
      <c r="C666" s="2"/>
      <c r="D666" s="8">
        <v>2018</v>
      </c>
      <c r="E666" s="14">
        <f>Data!N666</f>
        <v>-30098000000</v>
      </c>
      <c r="F666" s="14">
        <f>Data!K666</f>
        <v>911906000000</v>
      </c>
      <c r="G666" s="12">
        <f t="shared" si="10"/>
        <v>-3.3005594874910352E-2</v>
      </c>
    </row>
    <row r="667" spans="2:7" ht="15" customHeight="1" x14ac:dyDescent="0.3">
      <c r="C667" s="2"/>
      <c r="D667" s="8">
        <v>2019</v>
      </c>
      <c r="E667" s="14">
        <f>Data!N667</f>
        <v>16276000000</v>
      </c>
      <c r="F667" s="14">
        <f>Data!K667</f>
        <v>928182000000</v>
      </c>
      <c r="G667" s="12">
        <f t="shared" si="10"/>
        <v>1.7535354057717129E-2</v>
      </c>
    </row>
    <row r="668" spans="2:7" ht="15" customHeight="1" x14ac:dyDescent="0.3">
      <c r="C668" s="2"/>
      <c r="D668" s="8">
        <v>2020</v>
      </c>
      <c r="E668" s="14">
        <f>Data!N668</f>
        <v>-29151000000</v>
      </c>
      <c r="F668" s="14">
        <f>Data!K668</f>
        <v>899031000000</v>
      </c>
      <c r="G668" s="12">
        <f t="shared" si="10"/>
        <v>-3.2424910820650236E-2</v>
      </c>
    </row>
    <row r="669" spans="2:7" ht="15" customHeight="1" x14ac:dyDescent="0.3">
      <c r="C669" s="2"/>
      <c r="D669" s="8">
        <v>2021</v>
      </c>
      <c r="E669" s="14">
        <f>Data!N669</f>
        <v>-42621000000</v>
      </c>
      <c r="F669" s="14">
        <f>Data!K669</f>
        <v>856410000000</v>
      </c>
      <c r="G669" s="12">
        <f t="shared" si="10"/>
        <v>-4.976705082845833E-2</v>
      </c>
    </row>
    <row r="670" spans="2:7" ht="15" customHeight="1" x14ac:dyDescent="0.3">
      <c r="C670" s="2"/>
      <c r="D670" s="8">
        <v>2022</v>
      </c>
      <c r="E670" s="14">
        <f>Data!N670</f>
        <v>-21501000000</v>
      </c>
      <c r="F670" s="14">
        <f>Data!K670</f>
        <v>834909000000</v>
      </c>
      <c r="G670" s="12">
        <f t="shared" si="10"/>
        <v>-2.5752507159462888E-2</v>
      </c>
    </row>
    <row r="671" spans="2:7" ht="15" customHeight="1" x14ac:dyDescent="0.3">
      <c r="C671" s="2"/>
      <c r="D671" s="8">
        <v>2023</v>
      </c>
      <c r="E671" s="14">
        <f>Data!N671</f>
        <v>19450000000</v>
      </c>
      <c r="F671" s="14">
        <f>Data!K671</f>
        <v>854359000000</v>
      </c>
      <c r="G671" s="12">
        <f t="shared" si="10"/>
        <v>2.2765605559255536E-2</v>
      </c>
    </row>
    <row r="672" spans="2:7" ht="15" customHeight="1" x14ac:dyDescent="0.3">
      <c r="C672" s="2"/>
      <c r="D672" s="8">
        <v>2024</v>
      </c>
      <c r="E672" s="14">
        <f>Data!N672</f>
        <v>23815000000</v>
      </c>
      <c r="F672" s="14">
        <f>Data!K672</f>
        <v>872174000000</v>
      </c>
      <c r="G672" s="12">
        <f t="shared" si="10"/>
        <v>2.7305331275639954E-2</v>
      </c>
    </row>
    <row r="673" spans="2:7" ht="15" customHeight="1" x14ac:dyDescent="0.3">
      <c r="B673" s="8">
        <v>62</v>
      </c>
      <c r="C673" s="2" t="s">
        <v>62</v>
      </c>
      <c r="D673" s="8">
        <v>2014</v>
      </c>
      <c r="E673" s="14">
        <f>Data!N673</f>
        <v>0</v>
      </c>
      <c r="F673" s="14">
        <f>Data!K673</f>
        <v>0</v>
      </c>
      <c r="G673" s="12">
        <f t="shared" si="10"/>
        <v>0</v>
      </c>
    </row>
    <row r="674" spans="2:7" ht="15" customHeight="1" x14ac:dyDescent="0.3">
      <c r="C674" s="2"/>
      <c r="D674" s="8">
        <v>2015</v>
      </c>
      <c r="E674" s="14">
        <f>Data!N674</f>
        <v>0</v>
      </c>
      <c r="F674" s="14">
        <f>Data!K674</f>
        <v>0</v>
      </c>
      <c r="G674" s="12">
        <f t="shared" si="10"/>
        <v>0</v>
      </c>
    </row>
    <row r="675" spans="2:7" ht="15" customHeight="1" x14ac:dyDescent="0.3">
      <c r="C675" s="2"/>
      <c r="D675" s="8">
        <v>2016</v>
      </c>
      <c r="E675" s="14">
        <f>Data!N675</f>
        <v>0</v>
      </c>
      <c r="F675" s="14">
        <f>Data!K675</f>
        <v>0</v>
      </c>
      <c r="G675" s="12">
        <f t="shared" si="10"/>
        <v>0</v>
      </c>
    </row>
    <row r="676" spans="2:7" ht="15" customHeight="1" x14ac:dyDescent="0.3">
      <c r="C676" s="2"/>
      <c r="D676" s="8">
        <v>2017</v>
      </c>
      <c r="E676" s="14">
        <f>Data!N676</f>
        <v>0</v>
      </c>
      <c r="F676" s="14">
        <f>Data!K676</f>
        <v>0</v>
      </c>
      <c r="G676" s="12">
        <f t="shared" si="10"/>
        <v>0</v>
      </c>
    </row>
    <row r="677" spans="2:7" ht="15" customHeight="1" x14ac:dyDescent="0.3">
      <c r="C677" s="2"/>
      <c r="D677" s="8">
        <v>2018</v>
      </c>
      <c r="E677" s="14">
        <f>Data!N677</f>
        <v>5948440000</v>
      </c>
      <c r="F677" s="14">
        <f>Data!K677</f>
        <v>154310470000</v>
      </c>
      <c r="G677" s="12">
        <f t="shared" si="10"/>
        <v>3.854851845114593E-2</v>
      </c>
    </row>
    <row r="678" spans="2:7" ht="15" customHeight="1" x14ac:dyDescent="0.3">
      <c r="C678" s="2"/>
      <c r="D678" s="8">
        <v>2019</v>
      </c>
      <c r="E678" s="14">
        <f>Data!N678</f>
        <v>13910270000</v>
      </c>
      <c r="F678" s="14">
        <f>Data!K678</f>
        <v>168220730000</v>
      </c>
      <c r="G678" s="12">
        <f t="shared" si="10"/>
        <v>8.2690581594789175E-2</v>
      </c>
    </row>
    <row r="679" spans="2:7" ht="15" customHeight="1" x14ac:dyDescent="0.3">
      <c r="C679" s="2"/>
      <c r="D679" s="8">
        <v>2020</v>
      </c>
      <c r="E679" s="14">
        <f>Data!N679</f>
        <v>18088270000</v>
      </c>
      <c r="F679" s="14">
        <f>Data!K679</f>
        <v>186309000000</v>
      </c>
      <c r="G679" s="12">
        <f t="shared" si="10"/>
        <v>9.7087472961585319E-2</v>
      </c>
    </row>
    <row r="680" spans="2:7" ht="15" customHeight="1" x14ac:dyDescent="0.3">
      <c r="C680" s="2"/>
      <c r="D680" s="8">
        <v>2021</v>
      </c>
      <c r="E680" s="14">
        <f>Data!N680</f>
        <v>20744920000</v>
      </c>
      <c r="F680" s="14">
        <f>Data!K680</f>
        <v>207053920000</v>
      </c>
      <c r="G680" s="12">
        <f t="shared" si="10"/>
        <v>0.10019090679374726</v>
      </c>
    </row>
    <row r="681" spans="2:7" ht="15" customHeight="1" x14ac:dyDescent="0.3">
      <c r="C681" s="2"/>
      <c r="D681" s="8">
        <v>2022</v>
      </c>
      <c r="E681" s="14">
        <f>Data!N681</f>
        <v>15585220000</v>
      </c>
      <c r="F681" s="14">
        <f>Data!K681</f>
        <v>220391870000</v>
      </c>
      <c r="G681" s="12">
        <f t="shared" si="10"/>
        <v>7.0715947915864594E-2</v>
      </c>
    </row>
    <row r="682" spans="2:7" ht="15" customHeight="1" x14ac:dyDescent="0.3">
      <c r="C682" s="2"/>
      <c r="D682" s="8">
        <v>2023</v>
      </c>
      <c r="E682" s="14">
        <f>Data!N682</f>
        <v>25794260000</v>
      </c>
      <c r="F682" s="14">
        <f>Data!K682</f>
        <v>243286130000</v>
      </c>
      <c r="G682" s="12">
        <f t="shared" si="10"/>
        <v>0.10602437549563554</v>
      </c>
    </row>
    <row r="683" spans="2:7" ht="15" customHeight="1" x14ac:dyDescent="0.3">
      <c r="C683" s="2"/>
      <c r="D683" s="8">
        <v>2024</v>
      </c>
      <c r="E683" s="14">
        <f>Data!N683</f>
        <v>13053680000</v>
      </c>
      <c r="F683" s="14">
        <f>Data!K683</f>
        <v>256239820000</v>
      </c>
      <c r="G683" s="12">
        <f t="shared" si="10"/>
        <v>5.0943214056269628E-2</v>
      </c>
    </row>
    <row r="684" spans="2:7" ht="15" customHeight="1" x14ac:dyDescent="0.3">
      <c r="B684" s="8">
        <v>63</v>
      </c>
      <c r="C684" s="2" t="s">
        <v>60</v>
      </c>
      <c r="D684" s="8">
        <v>2014</v>
      </c>
      <c r="E684" s="14">
        <f>Data!N684</f>
        <v>0</v>
      </c>
      <c r="F684" s="14">
        <f>Data!K684</f>
        <v>0</v>
      </c>
      <c r="G684" s="12">
        <f t="shared" si="10"/>
        <v>0</v>
      </c>
    </row>
    <row r="685" spans="2:7" ht="15" customHeight="1" x14ac:dyDescent="0.3">
      <c r="C685" s="2"/>
      <c r="D685" s="8">
        <v>2015</v>
      </c>
      <c r="E685" s="14">
        <f>Data!N685</f>
        <v>43205419672</v>
      </c>
      <c r="F685" s="14">
        <f>Data!K685</f>
        <v>590552561406</v>
      </c>
      <c r="G685" s="12">
        <f t="shared" si="10"/>
        <v>7.3161006310997326E-2</v>
      </c>
    </row>
    <row r="686" spans="2:7" ht="15" customHeight="1" x14ac:dyDescent="0.3">
      <c r="C686" s="2"/>
      <c r="D686" s="8">
        <v>2016</v>
      </c>
      <c r="E686" s="14">
        <f>Data!N686</f>
        <v>14717553647</v>
      </c>
      <c r="F686" s="14">
        <f>Data!K686</f>
        <v>602078935898</v>
      </c>
      <c r="G686" s="12">
        <f t="shared" si="10"/>
        <v>2.4444558295414847E-2</v>
      </c>
    </row>
    <row r="687" spans="2:7" ht="15" customHeight="1" x14ac:dyDescent="0.3">
      <c r="C687" s="2"/>
      <c r="D687" s="8">
        <v>2017</v>
      </c>
      <c r="E687" s="14">
        <f>Data!N687</f>
        <v>-172575486513</v>
      </c>
      <c r="F687" s="14">
        <f>Data!K687</f>
        <v>434345925596</v>
      </c>
      <c r="G687" s="12">
        <f t="shared" si="10"/>
        <v>-0.39732267840706847</v>
      </c>
    </row>
    <row r="688" spans="2:7" ht="15" customHeight="1" x14ac:dyDescent="0.3">
      <c r="C688" s="2"/>
      <c r="D688" s="8">
        <v>2018</v>
      </c>
      <c r="E688" s="14">
        <f>Data!N688</f>
        <v>3614820369</v>
      </c>
      <c r="F688" s="14">
        <f>Data!K688</f>
        <v>438884324322</v>
      </c>
      <c r="G688" s="12">
        <f t="shared" si="10"/>
        <v>8.2363852356410073E-3</v>
      </c>
    </row>
    <row r="689" spans="2:7" ht="15" customHeight="1" x14ac:dyDescent="0.3">
      <c r="C689" s="2"/>
      <c r="D689" s="8">
        <v>2019</v>
      </c>
      <c r="E689" s="14">
        <f>Data!N689</f>
        <v>6764502320</v>
      </c>
      <c r="F689" s="14">
        <f>Data!K689</f>
        <v>449275043471</v>
      </c>
      <c r="G689" s="12">
        <f t="shared" si="10"/>
        <v>1.5056483591296204E-2</v>
      </c>
    </row>
    <row r="690" spans="2:7" ht="15" customHeight="1" x14ac:dyDescent="0.3">
      <c r="C690" s="2"/>
      <c r="D690" s="8">
        <v>2020</v>
      </c>
      <c r="E690" s="14">
        <f>Data!N690</f>
        <v>2101704759</v>
      </c>
      <c r="F690" s="14">
        <f>Data!K690</f>
        <v>457945125009</v>
      </c>
      <c r="G690" s="12">
        <f t="shared" si="10"/>
        <v>4.5894248987991635E-3</v>
      </c>
    </row>
    <row r="691" spans="2:7" ht="15" customHeight="1" x14ac:dyDescent="0.3">
      <c r="C691" s="2"/>
      <c r="D691" s="8">
        <v>2021</v>
      </c>
      <c r="E691" s="14">
        <f>Data!N691</f>
        <v>16779893824</v>
      </c>
      <c r="F691" s="14">
        <f>Data!K691</f>
        <v>476385727010</v>
      </c>
      <c r="G691" s="12">
        <f t="shared" si="10"/>
        <v>3.5223334522043244E-2</v>
      </c>
    </row>
    <row r="692" spans="2:7" ht="15" customHeight="1" x14ac:dyDescent="0.3">
      <c r="C692" s="2"/>
      <c r="D692" s="8">
        <v>2022</v>
      </c>
      <c r="E692" s="14">
        <f>Data!N692</f>
        <v>13583332925</v>
      </c>
      <c r="F692" s="14">
        <f>Data!K692</f>
        <v>491914445068</v>
      </c>
      <c r="G692" s="12">
        <f t="shared" si="10"/>
        <v>2.7613201972798953E-2</v>
      </c>
    </row>
    <row r="693" spans="2:7" ht="15" customHeight="1" x14ac:dyDescent="0.3">
      <c r="C693" s="2"/>
      <c r="D693" s="8">
        <v>2023</v>
      </c>
      <c r="E693" s="14">
        <f>Data!N693</f>
        <v>7640395584</v>
      </c>
      <c r="F693" s="14">
        <f>Data!K693</f>
        <v>466666894432</v>
      </c>
      <c r="G693" s="12">
        <f t="shared" si="10"/>
        <v>1.6372268260638992E-2</v>
      </c>
    </row>
    <row r="694" spans="2:7" ht="15" customHeight="1" x14ac:dyDescent="0.3">
      <c r="C694" s="2"/>
      <c r="D694" s="8">
        <v>2024</v>
      </c>
      <c r="E694" s="14">
        <f>Data!N694</f>
        <v>-90332000000</v>
      </c>
      <c r="F694" s="14">
        <f>Data!K694</f>
        <v>366442000000</v>
      </c>
      <c r="G694" s="12">
        <f t="shared" si="10"/>
        <v>-0.24651104403971161</v>
      </c>
    </row>
    <row r="695" spans="2:7" ht="15" customHeight="1" x14ac:dyDescent="0.3">
      <c r="B695" s="8">
        <v>64</v>
      </c>
      <c r="C695" s="1" t="s">
        <v>131</v>
      </c>
      <c r="D695" s="8">
        <v>2014</v>
      </c>
      <c r="E695" s="14">
        <f>Data!N695</f>
        <v>0</v>
      </c>
      <c r="F695" s="14">
        <f>Data!K695</f>
        <v>0</v>
      </c>
      <c r="G695" s="12">
        <f t="shared" si="10"/>
        <v>0</v>
      </c>
    </row>
    <row r="696" spans="2:7" ht="15" customHeight="1" x14ac:dyDescent="0.3">
      <c r="C696" s="1"/>
      <c r="D696" s="8">
        <v>2015</v>
      </c>
      <c r="E696" s="14">
        <f>Data!N696</f>
        <v>0</v>
      </c>
      <c r="F696" s="14">
        <f>Data!K696</f>
        <v>0</v>
      </c>
      <c r="G696" s="12">
        <f t="shared" si="10"/>
        <v>0</v>
      </c>
    </row>
    <row r="697" spans="2:7" ht="15" customHeight="1" x14ac:dyDescent="0.3">
      <c r="C697" s="1"/>
      <c r="D697" s="8">
        <v>2016</v>
      </c>
      <c r="E697" s="14">
        <f>Data!N697</f>
        <v>0</v>
      </c>
      <c r="F697" s="14">
        <f>Data!K697</f>
        <v>0</v>
      </c>
      <c r="G697" s="12">
        <f t="shared" si="10"/>
        <v>0</v>
      </c>
    </row>
    <row r="698" spans="2:7" ht="15" customHeight="1" x14ac:dyDescent="0.3">
      <c r="C698" s="1"/>
      <c r="D698" s="8">
        <v>2017</v>
      </c>
      <c r="E698" s="14">
        <f>Data!N698</f>
        <v>57000000</v>
      </c>
      <c r="F698" s="14">
        <f>Data!K698</f>
        <v>100495000000</v>
      </c>
      <c r="G698" s="12">
        <f t="shared" si="10"/>
        <v>5.6719239763172301E-4</v>
      </c>
    </row>
    <row r="699" spans="2:7" ht="15" customHeight="1" x14ac:dyDescent="0.3">
      <c r="C699" s="1"/>
      <c r="D699" s="8">
        <v>2018</v>
      </c>
      <c r="E699" s="14">
        <f>Data!N699</f>
        <v>28617000000</v>
      </c>
      <c r="F699" s="14">
        <f>Data!K699</f>
        <v>214517000000</v>
      </c>
      <c r="G699" s="12">
        <f t="shared" si="10"/>
        <v>0.13340201475873706</v>
      </c>
    </row>
    <row r="700" spans="2:7" ht="15" customHeight="1" x14ac:dyDescent="0.3">
      <c r="C700" s="1"/>
      <c r="D700" s="8">
        <v>2019</v>
      </c>
      <c r="E700" s="14">
        <f>Data!N700</f>
        <v>19664000000</v>
      </c>
      <c r="F700" s="14">
        <f>Data!K700</f>
        <v>224771000000</v>
      </c>
      <c r="G700" s="12">
        <f t="shared" si="10"/>
        <v>8.7484595432684817E-2</v>
      </c>
    </row>
    <row r="701" spans="2:7" ht="15" customHeight="1" x14ac:dyDescent="0.3">
      <c r="C701" s="1"/>
      <c r="D701" s="8">
        <v>2020</v>
      </c>
      <c r="E701" s="14">
        <f>Data!N701</f>
        <v>25992000000</v>
      </c>
      <c r="F701" s="14">
        <f>Data!K701</f>
        <v>240113000000</v>
      </c>
      <c r="G701" s="12">
        <f t="shared" si="10"/>
        <v>0.10824903274708159</v>
      </c>
    </row>
    <row r="702" spans="2:7" ht="15" customHeight="1" x14ac:dyDescent="0.3">
      <c r="C702" s="1"/>
      <c r="D702" s="8">
        <v>2021</v>
      </c>
      <c r="E702" s="14">
        <f>Data!N702</f>
        <v>35445000000</v>
      </c>
      <c r="F702" s="14">
        <f>Data!K702</f>
        <v>259262000000</v>
      </c>
      <c r="G702" s="12">
        <f t="shared" si="10"/>
        <v>0.13671498329874798</v>
      </c>
    </row>
    <row r="703" spans="2:7" ht="15" customHeight="1" x14ac:dyDescent="0.3">
      <c r="C703" s="1"/>
      <c r="D703" s="8">
        <v>2022</v>
      </c>
      <c r="E703" s="14" t="e">
        <f>Data!#REF!</f>
        <v>#REF!</v>
      </c>
      <c r="F703" s="14">
        <f>Data!K703</f>
        <v>297572000000</v>
      </c>
      <c r="G703" s="12">
        <f t="shared" si="10"/>
        <v>0</v>
      </c>
    </row>
    <row r="704" spans="2:7" ht="15" customHeight="1" x14ac:dyDescent="0.3">
      <c r="C704" s="1"/>
      <c r="D704" s="8">
        <v>2023</v>
      </c>
      <c r="E704" s="14" t="e">
        <f>Data!#REF!</f>
        <v>#REF!</v>
      </c>
      <c r="F704" s="14">
        <f>Data!K704</f>
        <v>337181000000</v>
      </c>
      <c r="G704" s="12">
        <f t="shared" si="10"/>
        <v>0</v>
      </c>
    </row>
    <row r="705" spans="2:7" ht="15" customHeight="1" x14ac:dyDescent="0.3">
      <c r="C705" s="1"/>
      <c r="D705" s="8">
        <v>2024</v>
      </c>
      <c r="E705" s="14" t="e">
        <f>Data!#REF!</f>
        <v>#REF!</v>
      </c>
      <c r="F705" s="14">
        <f>Data!K705</f>
        <v>337333000000</v>
      </c>
      <c r="G705" s="12">
        <f t="shared" si="10"/>
        <v>0</v>
      </c>
    </row>
    <row r="706" spans="2:7" ht="15" customHeight="1" x14ac:dyDescent="0.3">
      <c r="B706" s="8">
        <v>65</v>
      </c>
      <c r="C706" s="2" t="s">
        <v>64</v>
      </c>
      <c r="D706" s="8">
        <v>2014</v>
      </c>
      <c r="E706" s="14">
        <f>Data!N706</f>
        <v>0</v>
      </c>
      <c r="F706" s="14">
        <f>Data!K706</f>
        <v>0</v>
      </c>
      <c r="G706" s="12">
        <f t="shared" si="10"/>
        <v>0</v>
      </c>
    </row>
    <row r="707" spans="2:7" ht="15" customHeight="1" x14ac:dyDescent="0.3">
      <c r="C707" s="2"/>
      <c r="D707" s="8">
        <v>2015</v>
      </c>
      <c r="E707" s="14">
        <f>Data!N707</f>
        <v>0</v>
      </c>
      <c r="F707" s="14">
        <f>Data!K707</f>
        <v>0</v>
      </c>
      <c r="G707" s="12">
        <f t="shared" ref="G707:G770" si="11">IFERROR(E707/F707,0)</f>
        <v>0</v>
      </c>
    </row>
    <row r="708" spans="2:7" ht="15" customHeight="1" x14ac:dyDescent="0.3">
      <c r="C708" s="2"/>
      <c r="D708" s="8">
        <v>2016</v>
      </c>
      <c r="E708" s="14">
        <f>Data!N708</f>
        <v>0</v>
      </c>
      <c r="F708" s="14">
        <f>Data!K708</f>
        <v>0</v>
      </c>
      <c r="G708" s="12">
        <f t="shared" si="11"/>
        <v>0</v>
      </c>
    </row>
    <row r="709" spans="2:7" ht="15" customHeight="1" x14ac:dyDescent="0.3">
      <c r="C709" s="2"/>
      <c r="D709" s="8">
        <v>2017</v>
      </c>
      <c r="E709" s="14">
        <f>Data!N709</f>
        <v>0</v>
      </c>
      <c r="F709" s="14">
        <f>Data!K709</f>
        <v>0</v>
      </c>
      <c r="G709" s="12">
        <f t="shared" si="11"/>
        <v>0</v>
      </c>
    </row>
    <row r="710" spans="2:7" ht="15" customHeight="1" x14ac:dyDescent="0.3">
      <c r="C710" s="2"/>
      <c r="D710" s="8">
        <v>2018</v>
      </c>
      <c r="E710" s="14">
        <f>Data!N710</f>
        <v>0</v>
      </c>
      <c r="F710" s="14">
        <f>Data!K710</f>
        <v>0</v>
      </c>
      <c r="G710" s="12">
        <f t="shared" si="11"/>
        <v>0</v>
      </c>
    </row>
    <row r="711" spans="2:7" ht="15" customHeight="1" x14ac:dyDescent="0.3">
      <c r="C711" s="2"/>
      <c r="D711" s="8">
        <v>2019</v>
      </c>
      <c r="E711" s="14">
        <f>Data!N711</f>
        <v>0</v>
      </c>
      <c r="F711" s="14">
        <f>Data!K711</f>
        <v>0</v>
      </c>
      <c r="G711" s="12">
        <f t="shared" si="11"/>
        <v>0</v>
      </c>
    </row>
    <row r="712" spans="2:7" ht="15" customHeight="1" x14ac:dyDescent="0.3">
      <c r="C712" s="2"/>
      <c r="D712" s="8">
        <v>2020</v>
      </c>
      <c r="E712" s="14">
        <f>Data!N712</f>
        <v>0</v>
      </c>
      <c r="F712" s="14">
        <f>Data!K712</f>
        <v>0</v>
      </c>
      <c r="G712" s="12">
        <f t="shared" si="11"/>
        <v>0</v>
      </c>
    </row>
    <row r="713" spans="2:7" ht="15" customHeight="1" x14ac:dyDescent="0.3">
      <c r="C713" s="2"/>
      <c r="D713" s="8">
        <v>2021</v>
      </c>
      <c r="E713" s="14">
        <f>Data!N713</f>
        <v>0</v>
      </c>
      <c r="F713" s="14">
        <f>Data!K713</f>
        <v>0</v>
      </c>
      <c r="G713" s="12">
        <f t="shared" si="11"/>
        <v>0</v>
      </c>
    </row>
    <row r="714" spans="2:7" ht="15" customHeight="1" x14ac:dyDescent="0.3">
      <c r="C714" s="2"/>
      <c r="D714" s="8">
        <v>2022</v>
      </c>
      <c r="E714" s="14">
        <f>Data!N714</f>
        <v>887676316000</v>
      </c>
      <c r="F714" s="14">
        <f>Data!K714</f>
        <v>7171253628000</v>
      </c>
      <c r="G714" s="12">
        <f t="shared" si="11"/>
        <v>0.12378258559062638</v>
      </c>
    </row>
    <row r="715" spans="2:7" ht="15" customHeight="1" x14ac:dyDescent="0.3">
      <c r="C715" s="2"/>
      <c r="D715" s="8">
        <v>2023</v>
      </c>
      <c r="E715" s="14">
        <f>Data!N715</f>
        <v>1224519584000</v>
      </c>
      <c r="F715" s="14">
        <f>Data!K715</f>
        <v>7751873212000</v>
      </c>
      <c r="G715" s="12">
        <f t="shared" si="11"/>
        <v>0.1579643462311055</v>
      </c>
    </row>
    <row r="716" spans="2:7" ht="15" customHeight="1" x14ac:dyDescent="0.3">
      <c r="C716" s="2"/>
      <c r="D716" s="8">
        <v>2024</v>
      </c>
      <c r="E716" s="14">
        <f>Data!N716</f>
        <v>1329615553000</v>
      </c>
      <c r="F716" s="14">
        <f>Data!K716</f>
        <v>8359088765000</v>
      </c>
      <c r="G716" s="12">
        <f t="shared" si="11"/>
        <v>0.15906226029889514</v>
      </c>
    </row>
    <row r="717" spans="2:7" ht="15" customHeight="1" x14ac:dyDescent="0.3">
      <c r="B717" s="8">
        <v>66</v>
      </c>
      <c r="C717" s="2" t="s">
        <v>67</v>
      </c>
      <c r="D717" s="8">
        <v>2014</v>
      </c>
      <c r="E717" s="14">
        <f>Data!N717</f>
        <v>0</v>
      </c>
      <c r="F717" s="14">
        <f>Data!K717</f>
        <v>0</v>
      </c>
      <c r="G717" s="12">
        <f t="shared" si="11"/>
        <v>0</v>
      </c>
    </row>
    <row r="718" spans="2:7" ht="15" customHeight="1" x14ac:dyDescent="0.3">
      <c r="C718" s="2"/>
      <c r="D718" s="8">
        <v>2015</v>
      </c>
      <c r="E718" s="14">
        <f>Data!N718</f>
        <v>180892000000</v>
      </c>
      <c r="F718" s="14">
        <f>Data!K718</f>
        <v>576540204055</v>
      </c>
      <c r="G718" s="12">
        <f t="shared" si="11"/>
        <v>0.31375435525176926</v>
      </c>
    </row>
    <row r="719" spans="2:7" ht="15" customHeight="1" x14ac:dyDescent="0.3">
      <c r="C719" s="2"/>
      <c r="D719" s="8">
        <v>2016</v>
      </c>
      <c r="E719" s="14">
        <f>Data!N719</f>
        <v>199223000000</v>
      </c>
      <c r="F719" s="14">
        <f>Data!K719</f>
        <v>689345000000</v>
      </c>
      <c r="G719" s="12">
        <f t="shared" si="11"/>
        <v>0.28900332924732897</v>
      </c>
    </row>
    <row r="720" spans="2:7" ht="15" customHeight="1" x14ac:dyDescent="0.3">
      <c r="C720" s="2"/>
      <c r="D720" s="8">
        <v>2017</v>
      </c>
      <c r="E720" s="14">
        <f>Data!N720</f>
        <v>172087000000</v>
      </c>
      <c r="F720" s="14">
        <f>Data!K720</f>
        <v>813386000000</v>
      </c>
      <c r="G720" s="12">
        <f t="shared" si="11"/>
        <v>0.21156867711025271</v>
      </c>
    </row>
    <row r="721" spans="2:7" ht="15" customHeight="1" x14ac:dyDescent="0.3">
      <c r="C721" s="2"/>
      <c r="D721" s="8">
        <v>2018</v>
      </c>
      <c r="E721" s="14">
        <f>Data!N721</f>
        <v>160182000000</v>
      </c>
      <c r="F721" s="14">
        <f>Data!K721</f>
        <v>902048000000</v>
      </c>
      <c r="G721" s="12">
        <f t="shared" si="11"/>
        <v>0.17757591613750046</v>
      </c>
    </row>
    <row r="722" spans="2:7" ht="15" customHeight="1" x14ac:dyDescent="0.3">
      <c r="C722" s="2"/>
      <c r="D722" s="8">
        <v>2019</v>
      </c>
      <c r="E722" s="14">
        <f>Data!N722</f>
        <v>79913000000</v>
      </c>
      <c r="F722" s="14">
        <f>Data!K722</f>
        <v>876030000000</v>
      </c>
      <c r="G722" s="12">
        <f t="shared" si="11"/>
        <v>9.1221761811810104E-2</v>
      </c>
    </row>
    <row r="723" spans="2:7" ht="15" customHeight="1" x14ac:dyDescent="0.3">
      <c r="C723" s="2"/>
      <c r="D723" s="8">
        <v>2020</v>
      </c>
      <c r="E723" s="14">
        <f>Data!N723</f>
        <v>75949000000</v>
      </c>
      <c r="F723" s="14">
        <f>Data!K723</f>
        <v>907100000000</v>
      </c>
      <c r="G723" s="12">
        <f t="shared" si="11"/>
        <v>8.3727262705324657E-2</v>
      </c>
    </row>
    <row r="724" spans="2:7" ht="15" customHeight="1" x14ac:dyDescent="0.3">
      <c r="C724" s="2"/>
      <c r="D724" s="8">
        <v>2021</v>
      </c>
      <c r="E724" s="14">
        <f>Data!N724</f>
        <v>74899000000</v>
      </c>
      <c r="F724" s="14">
        <f>Data!K724</f>
        <v>951581000000</v>
      </c>
      <c r="G724" s="12">
        <f t="shared" si="11"/>
        <v>7.8710062517011167E-2</v>
      </c>
    </row>
    <row r="725" spans="2:7" ht="15" customHeight="1" x14ac:dyDescent="0.3">
      <c r="C725" s="2"/>
      <c r="D725" s="8">
        <v>2022</v>
      </c>
      <c r="E725" s="14">
        <f>Data!N725</f>
        <v>94736000000</v>
      </c>
      <c r="F725" s="14">
        <f>Data!K725</f>
        <v>1002803000000</v>
      </c>
      <c r="G725" s="12">
        <f t="shared" si="11"/>
        <v>9.4471197234152676E-2</v>
      </c>
    </row>
    <row r="726" spans="2:7" ht="15" customHeight="1" x14ac:dyDescent="0.3">
      <c r="C726" s="2"/>
      <c r="D726" s="8">
        <v>2023</v>
      </c>
      <c r="E726" s="14">
        <f>Data!N726</f>
        <v>130076000000</v>
      </c>
      <c r="F726" s="14">
        <f>Data!K726</f>
        <v>1080977000000</v>
      </c>
      <c r="G726" s="12">
        <f t="shared" si="11"/>
        <v>0.12033188495222377</v>
      </c>
    </row>
    <row r="727" spans="2:7" ht="15" customHeight="1" x14ac:dyDescent="0.3">
      <c r="C727" s="2"/>
      <c r="D727" s="8">
        <v>2024</v>
      </c>
      <c r="E727" s="14">
        <f>Data!N727</f>
        <v>0</v>
      </c>
      <c r="F727" s="14">
        <f>Data!K727</f>
        <v>0</v>
      </c>
      <c r="G727" s="12">
        <f t="shared" si="11"/>
        <v>0</v>
      </c>
    </row>
    <row r="728" spans="2:7" ht="15" customHeight="1" x14ac:dyDescent="0.3">
      <c r="B728" s="8">
        <v>67</v>
      </c>
      <c r="C728" s="2" t="s">
        <v>68</v>
      </c>
      <c r="D728" s="8">
        <v>2014</v>
      </c>
      <c r="E728" s="14">
        <f>Data!N728</f>
        <v>0</v>
      </c>
      <c r="F728" s="14">
        <f>Data!K728</f>
        <v>0</v>
      </c>
      <c r="G728" s="12">
        <f t="shared" si="11"/>
        <v>0</v>
      </c>
    </row>
    <row r="729" spans="2:7" ht="15" customHeight="1" x14ac:dyDescent="0.3">
      <c r="C729" s="2"/>
      <c r="D729" s="8">
        <v>2015</v>
      </c>
      <c r="E729" s="14">
        <f>Data!N729</f>
        <v>5147000000</v>
      </c>
      <c r="F729" s="14">
        <f>Data!K729</f>
        <v>105809000000</v>
      </c>
      <c r="G729" s="12">
        <f t="shared" si="11"/>
        <v>4.8644255214584771E-2</v>
      </c>
    </row>
    <row r="730" spans="2:7" ht="15" customHeight="1" x14ac:dyDescent="0.3">
      <c r="C730" s="2"/>
      <c r="D730" s="8">
        <v>2016</v>
      </c>
      <c r="E730" s="14">
        <f>Data!N730</f>
        <v>8314000000</v>
      </c>
      <c r="F730" s="14">
        <f>Data!K730</f>
        <v>111886000000</v>
      </c>
      <c r="G730" s="12">
        <f t="shared" si="11"/>
        <v>7.430777755930143E-2</v>
      </c>
    </row>
    <row r="731" spans="2:7" ht="15" customHeight="1" x14ac:dyDescent="0.3">
      <c r="C731" s="2"/>
      <c r="D731" s="8">
        <v>2017</v>
      </c>
      <c r="E731" s="14">
        <f>Data!N731</f>
        <v>4135470000.0000005</v>
      </c>
      <c r="F731" s="14">
        <f>Data!K731</f>
        <v>111638670000</v>
      </c>
      <c r="G731" s="12">
        <f t="shared" si="11"/>
        <v>3.7043347076779046E-2</v>
      </c>
    </row>
    <row r="732" spans="2:7" ht="15" customHeight="1" x14ac:dyDescent="0.3">
      <c r="C732" s="2"/>
      <c r="D732" s="8">
        <v>2018</v>
      </c>
      <c r="E732" s="14">
        <f>Data!N732</f>
        <v>4379710000</v>
      </c>
      <c r="F732" s="14">
        <f>Data!K732</f>
        <v>112443380000</v>
      </c>
      <c r="G732" s="12">
        <f t="shared" si="11"/>
        <v>3.8950358838377143E-2</v>
      </c>
    </row>
    <row r="733" spans="2:7" ht="15" customHeight="1" x14ac:dyDescent="0.3">
      <c r="C733" s="2"/>
      <c r="D733" s="8">
        <v>2019</v>
      </c>
      <c r="E733" s="14">
        <f>Data!N733</f>
        <v>5451080000</v>
      </c>
      <c r="F733" s="14">
        <f>Data!K733</f>
        <v>114195750000</v>
      </c>
      <c r="G733" s="12">
        <f t="shared" si="11"/>
        <v>4.77345260222031E-2</v>
      </c>
    </row>
    <row r="734" spans="2:7" ht="15" customHeight="1" x14ac:dyDescent="0.3">
      <c r="C734" s="2"/>
      <c r="D734" s="8">
        <v>2020</v>
      </c>
      <c r="E734" s="14">
        <f>Data!N734</f>
        <v>8472430000</v>
      </c>
      <c r="F734" s="14">
        <f>Data!K734</f>
        <v>119219370000</v>
      </c>
      <c r="G734" s="12">
        <f t="shared" si="11"/>
        <v>7.10658846796456E-2</v>
      </c>
    </row>
    <row r="735" spans="2:7" ht="15" customHeight="1" x14ac:dyDescent="0.3">
      <c r="C735" s="2"/>
      <c r="D735" s="8">
        <v>2021</v>
      </c>
      <c r="E735" s="14">
        <f>Data!N735</f>
        <v>8169000000</v>
      </c>
      <c r="F735" s="14">
        <f>Data!K735</f>
        <v>126921280000</v>
      </c>
      <c r="G735" s="12">
        <f t="shared" si="11"/>
        <v>6.4362729402035662E-2</v>
      </c>
    </row>
    <row r="736" spans="2:7" ht="15" customHeight="1" x14ac:dyDescent="0.3">
      <c r="C736" s="2"/>
      <c r="D736" s="8">
        <v>2022</v>
      </c>
      <c r="E736" s="14">
        <f>Data!N736</f>
        <v>6873980000</v>
      </c>
      <c r="F736" s="14">
        <f>Data!K736</f>
        <v>122374230000</v>
      </c>
      <c r="G736" s="12">
        <f t="shared" si="11"/>
        <v>5.6171793685647703E-2</v>
      </c>
    </row>
    <row r="737" spans="2:7" ht="15" customHeight="1" x14ac:dyDescent="0.3">
      <c r="C737" s="2"/>
      <c r="D737" s="8">
        <v>2023</v>
      </c>
      <c r="E737" s="14">
        <f>Data!N737</f>
        <v>4831560000</v>
      </c>
      <c r="F737" s="14">
        <f>Data!K737</f>
        <v>127722410000</v>
      </c>
      <c r="G737" s="12">
        <f t="shared" si="11"/>
        <v>3.7828600321588045E-2</v>
      </c>
    </row>
    <row r="738" spans="2:7" ht="15" customHeight="1" x14ac:dyDescent="0.3">
      <c r="C738" s="2"/>
      <c r="D738" s="8">
        <v>2024</v>
      </c>
      <c r="E738" s="14">
        <f>Data!N738</f>
        <v>4237859999.9999995</v>
      </c>
      <c r="F738" s="14">
        <f>Data!K738</f>
        <v>129661180000</v>
      </c>
      <c r="G738" s="12">
        <f t="shared" si="11"/>
        <v>3.2684107918808075E-2</v>
      </c>
    </row>
    <row r="739" spans="2:7" ht="15" customHeight="1" x14ac:dyDescent="0.3">
      <c r="B739" s="8">
        <v>68</v>
      </c>
      <c r="C739" s="2" t="s">
        <v>69</v>
      </c>
      <c r="D739" s="8">
        <v>2014</v>
      </c>
      <c r="E739" s="14">
        <f>Data!N739</f>
        <v>0</v>
      </c>
      <c r="F739" s="14">
        <f>Data!K739</f>
        <v>0</v>
      </c>
      <c r="G739" s="12">
        <f t="shared" si="11"/>
        <v>0</v>
      </c>
    </row>
    <row r="740" spans="2:7" ht="15" customHeight="1" x14ac:dyDescent="0.3">
      <c r="C740" s="2"/>
      <c r="D740" s="8">
        <v>2015</v>
      </c>
      <c r="E740" s="14">
        <f>Data!N740</f>
        <v>268564704000</v>
      </c>
      <c r="F740" s="14">
        <f>Data!K740</f>
        <v>1222352590000</v>
      </c>
      <c r="G740" s="12">
        <f t="shared" si="11"/>
        <v>0.21971132240984576</v>
      </c>
    </row>
    <row r="741" spans="2:7" ht="15" customHeight="1" x14ac:dyDescent="0.3">
      <c r="C741" s="2"/>
      <c r="D741" s="8">
        <v>2016</v>
      </c>
      <c r="E741" s="14">
        <f>Data!N741</f>
        <v>173481650000</v>
      </c>
      <c r="F741" s="14">
        <f>Data!K741</f>
        <v>1232196934000</v>
      </c>
      <c r="G741" s="12">
        <f t="shared" si="11"/>
        <v>0.14079052236953546</v>
      </c>
    </row>
    <row r="742" spans="2:7" ht="15" customHeight="1" x14ac:dyDescent="0.3">
      <c r="C742" s="2"/>
      <c r="D742" s="8">
        <v>2017</v>
      </c>
      <c r="E742" s="14">
        <f>Data!N742</f>
        <v>160822141000</v>
      </c>
      <c r="F742" s="14">
        <f>Data!K742</f>
        <v>1375352652000</v>
      </c>
      <c r="G742" s="12">
        <f t="shared" si="11"/>
        <v>0.11693156716289227</v>
      </c>
    </row>
    <row r="743" spans="2:7" ht="15" customHeight="1" x14ac:dyDescent="0.3">
      <c r="C743" s="2"/>
      <c r="D743" s="8">
        <v>2018</v>
      </c>
      <c r="E743" s="14">
        <f>Data!N743</f>
        <v>69110393000</v>
      </c>
      <c r="F743" s="14">
        <f>Data!K743</f>
        <v>1334408933000</v>
      </c>
      <c r="G743" s="12">
        <f t="shared" si="11"/>
        <v>5.1791014951186633E-2</v>
      </c>
    </row>
    <row r="744" spans="2:7" ht="15" customHeight="1" x14ac:dyDescent="0.3">
      <c r="C744" s="2"/>
      <c r="D744" s="8">
        <v>2019</v>
      </c>
      <c r="E744" s="14">
        <f>Data!N744</f>
        <v>87524342000</v>
      </c>
      <c r="F744" s="14">
        <f>Data!K744</f>
        <v>1253704378000</v>
      </c>
      <c r="G744" s="12">
        <f t="shared" si="11"/>
        <v>6.9812583840239251E-2</v>
      </c>
    </row>
    <row r="745" spans="2:7" ht="15" customHeight="1" x14ac:dyDescent="0.3">
      <c r="C745" s="2"/>
      <c r="D745" s="8">
        <v>2020</v>
      </c>
      <c r="E745" s="14">
        <f>Data!N745</f>
        <v>138190287000</v>
      </c>
      <c r="F745" s="14">
        <f>Data!K745</f>
        <v>1387236002000</v>
      </c>
      <c r="G745" s="12">
        <f t="shared" si="11"/>
        <v>9.9615556978602693E-2</v>
      </c>
    </row>
    <row r="746" spans="2:7" ht="15" customHeight="1" x14ac:dyDescent="0.3">
      <c r="C746" s="2"/>
      <c r="D746" s="8">
        <v>2021</v>
      </c>
      <c r="E746" s="14">
        <f>Data!N746</f>
        <v>157351069000</v>
      </c>
      <c r="F746" s="14">
        <f>Data!K746</f>
        <v>1512103062000</v>
      </c>
      <c r="G746" s="12">
        <f t="shared" si="11"/>
        <v>0.10406107424442211</v>
      </c>
    </row>
    <row r="747" spans="2:7" ht="15" customHeight="1" x14ac:dyDescent="0.3">
      <c r="C747" s="2"/>
      <c r="D747" s="8">
        <v>2022</v>
      </c>
      <c r="E747" s="14">
        <f>Data!N747</f>
        <v>91138279000</v>
      </c>
      <c r="F747" s="14">
        <f>Data!K747</f>
        <v>1505488077000</v>
      </c>
      <c r="G747" s="12">
        <f t="shared" si="11"/>
        <v>6.0537363525064967E-2</v>
      </c>
    </row>
    <row r="748" spans="2:7" ht="15" customHeight="1" x14ac:dyDescent="0.3">
      <c r="C748" s="2"/>
      <c r="D748" s="8">
        <v>2023</v>
      </c>
      <c r="E748" s="14">
        <f>Data!N748</f>
        <v>84575723000</v>
      </c>
      <c r="F748" s="14">
        <f>Data!K748</f>
        <v>1548860178000</v>
      </c>
      <c r="G748" s="12">
        <f t="shared" si="11"/>
        <v>5.4605137507770567E-2</v>
      </c>
    </row>
    <row r="749" spans="2:7" ht="15" customHeight="1" x14ac:dyDescent="0.3">
      <c r="C749" s="2"/>
      <c r="D749" s="8">
        <v>2024</v>
      </c>
      <c r="E749" s="14">
        <f>Data!N749</f>
        <v>80050275000</v>
      </c>
      <c r="F749" s="14">
        <f>Data!K749</f>
        <v>1559077737000</v>
      </c>
      <c r="G749" s="12">
        <f t="shared" si="11"/>
        <v>5.1344633497258388E-2</v>
      </c>
    </row>
    <row r="750" spans="2:7" ht="15" customHeight="1" x14ac:dyDescent="0.3">
      <c r="B750" s="8">
        <v>69</v>
      </c>
      <c r="C750" s="2" t="s">
        <v>70</v>
      </c>
      <c r="D750" s="8">
        <v>2014</v>
      </c>
      <c r="E750" s="14">
        <f>Data!N750</f>
        <v>0</v>
      </c>
      <c r="F750" s="14">
        <f>Data!K750</f>
        <v>0</v>
      </c>
      <c r="G750" s="12">
        <f t="shared" si="11"/>
        <v>0</v>
      </c>
    </row>
    <row r="751" spans="2:7" ht="15" customHeight="1" x14ac:dyDescent="0.3">
      <c r="C751" s="2"/>
      <c r="D751" s="8">
        <v>2015</v>
      </c>
      <c r="E751" s="14">
        <f>Data!N751</f>
        <v>0</v>
      </c>
      <c r="F751" s="14">
        <f>Data!K751</f>
        <v>0</v>
      </c>
      <c r="G751" s="12">
        <f t="shared" si="11"/>
        <v>0</v>
      </c>
    </row>
    <row r="752" spans="2:7" ht="15" customHeight="1" x14ac:dyDescent="0.3">
      <c r="C752" s="2"/>
      <c r="D752" s="8">
        <v>2016</v>
      </c>
      <c r="E752" s="14">
        <f>Data!N752</f>
        <v>0</v>
      </c>
      <c r="F752" s="14">
        <f>Data!K752</f>
        <v>0</v>
      </c>
      <c r="G752" s="12">
        <f t="shared" si="11"/>
        <v>0</v>
      </c>
    </row>
    <row r="753" spans="2:7" ht="15" customHeight="1" x14ac:dyDescent="0.3">
      <c r="C753" s="2"/>
      <c r="D753" s="8">
        <v>2017</v>
      </c>
      <c r="E753" s="14">
        <f>Data!N753</f>
        <v>25574790000</v>
      </c>
      <c r="F753" s="14">
        <f>Data!K753</f>
        <v>151853840000</v>
      </c>
      <c r="G753" s="12">
        <f t="shared" si="11"/>
        <v>0.16841714374822528</v>
      </c>
    </row>
    <row r="754" spans="2:7" ht="15" customHeight="1" x14ac:dyDescent="0.3">
      <c r="C754" s="2"/>
      <c r="D754" s="8">
        <v>2018</v>
      </c>
      <c r="E754" s="14">
        <f>Data!N754</f>
        <v>30203870000</v>
      </c>
      <c r="F754" s="14">
        <f>Data!K754</f>
        <v>164230810000</v>
      </c>
      <c r="G754" s="12">
        <f t="shared" si="11"/>
        <v>0.18391110657007659</v>
      </c>
    </row>
    <row r="755" spans="2:7" ht="15" customHeight="1" x14ac:dyDescent="0.3">
      <c r="C755" s="2"/>
      <c r="D755" s="8">
        <v>2019</v>
      </c>
      <c r="E755" s="14">
        <f>Data!N755</f>
        <v>37361450000</v>
      </c>
      <c r="F755" s="14">
        <f>Data!K755</f>
        <v>178025870000</v>
      </c>
      <c r="G755" s="12">
        <f t="shared" si="11"/>
        <v>0.20986528530937668</v>
      </c>
    </row>
    <row r="756" spans="2:7" ht="15" customHeight="1" x14ac:dyDescent="0.3">
      <c r="C756" s="2"/>
      <c r="D756" s="8">
        <v>2020</v>
      </c>
      <c r="E756" s="14">
        <f>Data!N756</f>
        <v>42154150000</v>
      </c>
      <c r="F756" s="14">
        <f>Data!K756</f>
        <v>189519000000</v>
      </c>
      <c r="G756" s="12">
        <f t="shared" si="11"/>
        <v>0.22242703897762231</v>
      </c>
    </row>
    <row r="757" spans="2:7" ht="15" customHeight="1" x14ac:dyDescent="0.3">
      <c r="C757" s="2"/>
      <c r="D757" s="8">
        <v>2021</v>
      </c>
      <c r="E757" s="14">
        <f>Data!N757</f>
        <v>31535620000</v>
      </c>
      <c r="F757" s="14">
        <f>Data!K757</f>
        <v>187287430000</v>
      </c>
      <c r="G757" s="12">
        <f t="shared" si="11"/>
        <v>0.16838086784574918</v>
      </c>
    </row>
    <row r="758" spans="2:7" ht="15" customHeight="1" x14ac:dyDescent="0.3">
      <c r="C758" s="2"/>
      <c r="D758" s="8">
        <v>2022</v>
      </c>
      <c r="E758" s="14">
        <f>Data!N758</f>
        <v>42879190000</v>
      </c>
      <c r="F758" s="14">
        <f>Data!K758</f>
        <v>205262620000</v>
      </c>
      <c r="G758" s="12">
        <f t="shared" si="11"/>
        <v>0.20889916537165901</v>
      </c>
    </row>
    <row r="759" spans="2:7" ht="15" customHeight="1" x14ac:dyDescent="0.3">
      <c r="C759" s="2"/>
      <c r="D759" s="8">
        <v>2023</v>
      </c>
      <c r="E759" s="14">
        <f>Data!N759</f>
        <v>42350270000</v>
      </c>
      <c r="F759" s="14">
        <f>Data!K759</f>
        <v>259373160000</v>
      </c>
      <c r="G759" s="12">
        <f t="shared" si="11"/>
        <v>0.16327930769706472</v>
      </c>
    </row>
    <row r="760" spans="2:7" ht="15" customHeight="1" x14ac:dyDescent="0.3">
      <c r="C760" s="2"/>
      <c r="D760" s="8">
        <v>2024</v>
      </c>
      <c r="E760" s="14">
        <f>Data!N760</f>
        <v>48834840000</v>
      </c>
      <c r="F760" s="14">
        <f>Data!K760</f>
        <v>274121599999.99997</v>
      </c>
      <c r="G760" s="12">
        <f t="shared" si="11"/>
        <v>0.17815028075131623</v>
      </c>
    </row>
    <row r="761" spans="2:7" ht="15" customHeight="1" x14ac:dyDescent="0.3">
      <c r="B761" s="8">
        <v>70</v>
      </c>
      <c r="C761" s="2" t="s">
        <v>71</v>
      </c>
      <c r="D761" s="8">
        <v>2014</v>
      </c>
      <c r="E761" s="14">
        <f>Data!N761</f>
        <v>0</v>
      </c>
      <c r="F761" s="14">
        <f>Data!K761</f>
        <v>0</v>
      </c>
      <c r="G761" s="12">
        <f t="shared" si="11"/>
        <v>0</v>
      </c>
    </row>
    <row r="762" spans="2:7" ht="15" customHeight="1" x14ac:dyDescent="0.3">
      <c r="C762" s="2"/>
      <c r="D762" s="8">
        <v>2015</v>
      </c>
      <c r="E762" s="14">
        <f>Data!N762</f>
        <v>28199274000</v>
      </c>
      <c r="F762" s="14">
        <f>Data!K762</f>
        <v>160705086000</v>
      </c>
      <c r="G762" s="12">
        <f t="shared" si="11"/>
        <v>0.175472193829634</v>
      </c>
    </row>
    <row r="763" spans="2:7" ht="15" customHeight="1" x14ac:dyDescent="0.3">
      <c r="C763" s="2"/>
      <c r="D763" s="8">
        <v>2016</v>
      </c>
      <c r="E763" s="14">
        <f>Data!N763</f>
        <v>15304781000</v>
      </c>
      <c r="F763" s="14">
        <f>Data!K763</f>
        <v>173651622000</v>
      </c>
      <c r="G763" s="12">
        <f t="shared" si="11"/>
        <v>8.8134972905695053E-2</v>
      </c>
    </row>
    <row r="764" spans="2:7" ht="15" customHeight="1" x14ac:dyDescent="0.3">
      <c r="C764" s="2"/>
      <c r="D764" s="8">
        <v>2017</v>
      </c>
      <c r="E764" s="14">
        <f>Data!N764</f>
        <v>13511398000</v>
      </c>
      <c r="F764" s="14">
        <f>Data!K764</f>
        <v>267548015000</v>
      </c>
      <c r="G764" s="12">
        <f t="shared" si="11"/>
        <v>5.0500834401630675E-2</v>
      </c>
    </row>
    <row r="765" spans="2:7" ht="15" customHeight="1" x14ac:dyDescent="0.3">
      <c r="C765" s="2"/>
      <c r="D765" s="8">
        <v>2018</v>
      </c>
      <c r="E765" s="14">
        <f>Data!N765</f>
        <v>13936519000</v>
      </c>
      <c r="F765" s="14">
        <f>Data!K765</f>
        <v>281361909000</v>
      </c>
      <c r="G765" s="12">
        <f t="shared" si="11"/>
        <v>4.9532358696073531E-2</v>
      </c>
    </row>
    <row r="766" spans="2:7" ht="15" customHeight="1" x14ac:dyDescent="0.3">
      <c r="C766" s="2"/>
      <c r="D766" s="8">
        <v>2019</v>
      </c>
      <c r="E766" s="14">
        <f>Data!N766</f>
        <v>8009060000</v>
      </c>
      <c r="F766" s="14">
        <f>Data!K766</f>
        <v>291485498000</v>
      </c>
      <c r="G766" s="12">
        <f t="shared" si="11"/>
        <v>2.747670143095764E-2</v>
      </c>
    </row>
    <row r="767" spans="2:7" ht="15" customHeight="1" x14ac:dyDescent="0.3">
      <c r="C767" s="2"/>
      <c r="D767" s="8">
        <v>2020</v>
      </c>
      <c r="E767" s="14">
        <f>Data!N767</f>
        <v>23668304000</v>
      </c>
      <c r="F767" s="14">
        <f>Data!K767</f>
        <v>313771731000</v>
      </c>
      <c r="G767" s="12">
        <f t="shared" si="11"/>
        <v>7.5431600943043534E-2</v>
      </c>
    </row>
    <row r="768" spans="2:7" ht="15" customHeight="1" x14ac:dyDescent="0.3">
      <c r="C768" s="2"/>
      <c r="D768" s="8">
        <v>2021</v>
      </c>
      <c r="E768" s="14">
        <f>Data!N768</f>
        <v>16469192000</v>
      </c>
      <c r="F768" s="14">
        <f>Data!K768</f>
        <v>355742467000</v>
      </c>
      <c r="G768" s="12">
        <f t="shared" si="11"/>
        <v>4.6295265614155645E-2</v>
      </c>
    </row>
    <row r="769" spans="2:7" ht="15" customHeight="1" x14ac:dyDescent="0.3">
      <c r="C769" s="2"/>
      <c r="D769" s="8">
        <v>2022</v>
      </c>
      <c r="E769" s="14">
        <f>Data!N769</f>
        <v>5147620000</v>
      </c>
      <c r="F769" s="14">
        <f>Data!K769</f>
        <v>369251595000</v>
      </c>
      <c r="G769" s="12">
        <f t="shared" si="11"/>
        <v>1.394068453516091E-2</v>
      </c>
    </row>
    <row r="770" spans="2:7" ht="15" customHeight="1" x14ac:dyDescent="0.3">
      <c r="C770" s="2"/>
      <c r="D770" s="8">
        <v>2023</v>
      </c>
      <c r="E770" s="14">
        <f>Data!N770</f>
        <v>5826993000</v>
      </c>
      <c r="F770" s="14">
        <f>Data!K770</f>
        <v>387696811000</v>
      </c>
      <c r="G770" s="12">
        <f t="shared" si="11"/>
        <v>1.5029767681014017E-2</v>
      </c>
    </row>
    <row r="771" spans="2:7" ht="15" customHeight="1" x14ac:dyDescent="0.3">
      <c r="C771" s="2"/>
      <c r="D771" s="8">
        <v>2024</v>
      </c>
      <c r="E771" s="14">
        <f>Data!N771</f>
        <v>9899005000</v>
      </c>
      <c r="F771" s="14">
        <f>Data!K771</f>
        <v>422232510000</v>
      </c>
      <c r="G771" s="12">
        <f t="shared" ref="G771:G834" si="12">IFERROR(E771/F771,0)</f>
        <v>2.3444440599801279E-2</v>
      </c>
    </row>
    <row r="772" spans="2:7" ht="15" customHeight="1" x14ac:dyDescent="0.3">
      <c r="B772" s="8">
        <v>71</v>
      </c>
      <c r="C772" s="2" t="s">
        <v>73</v>
      </c>
      <c r="D772" s="8">
        <v>2014</v>
      </c>
      <c r="E772" s="14">
        <f>Data!N772</f>
        <v>0</v>
      </c>
      <c r="F772" s="14">
        <f>Data!K772</f>
        <v>0</v>
      </c>
      <c r="G772" s="12">
        <f t="shared" si="12"/>
        <v>0</v>
      </c>
    </row>
    <row r="773" spans="2:7" ht="15" customHeight="1" x14ac:dyDescent="0.3">
      <c r="C773" s="2"/>
      <c r="D773" s="8">
        <v>2015</v>
      </c>
      <c r="E773" s="14">
        <f>Data!N773</f>
        <v>25175000000</v>
      </c>
      <c r="F773" s="14">
        <f>Data!K773</f>
        <v>145167000000</v>
      </c>
      <c r="G773" s="12">
        <f t="shared" si="12"/>
        <v>0.17342095655348666</v>
      </c>
    </row>
    <row r="774" spans="2:7" ht="15" customHeight="1" x14ac:dyDescent="0.3">
      <c r="C774" s="2"/>
      <c r="D774" s="8">
        <v>2016</v>
      </c>
      <c r="E774" s="14">
        <f>Data!N774</f>
        <v>39913000000</v>
      </c>
      <c r="F774" s="14">
        <f>Data!K774</f>
        <v>167079000000</v>
      </c>
      <c r="G774" s="12">
        <f t="shared" si="12"/>
        <v>0.23888699357788831</v>
      </c>
    </row>
    <row r="775" spans="2:7" ht="15" customHeight="1" x14ac:dyDescent="0.3">
      <c r="C775" s="2"/>
      <c r="D775" s="8">
        <v>2017</v>
      </c>
      <c r="E775" s="14">
        <f>Data!N775</f>
        <v>37937000000</v>
      </c>
      <c r="F775" s="14">
        <f>Data!K775</f>
        <v>181683000000</v>
      </c>
      <c r="G775" s="12">
        <f t="shared" si="12"/>
        <v>0.20880874930510834</v>
      </c>
    </row>
    <row r="776" spans="2:7" ht="15" customHeight="1" x14ac:dyDescent="0.3">
      <c r="C776" s="2"/>
      <c r="D776" s="8">
        <v>2018</v>
      </c>
      <c r="E776" s="14">
        <f>Data!N776</f>
        <v>41364000000</v>
      </c>
      <c r="F776" s="14">
        <f>Data!K776</f>
        <v>198713000000</v>
      </c>
      <c r="G776" s="12">
        <f t="shared" si="12"/>
        <v>0.2081595064238374</v>
      </c>
    </row>
    <row r="777" spans="2:7" ht="15" customHeight="1" x14ac:dyDescent="0.3">
      <c r="C777" s="2"/>
      <c r="D777" s="8">
        <v>2019</v>
      </c>
      <c r="E777" s="14">
        <f>Data!N777</f>
        <v>40854000000</v>
      </c>
      <c r="F777" s="14">
        <f>Data!K777</f>
        <v>209123000000</v>
      </c>
      <c r="G777" s="12">
        <f t="shared" si="12"/>
        <v>0.19535871233675875</v>
      </c>
    </row>
    <row r="778" spans="2:7" ht="15" customHeight="1" x14ac:dyDescent="0.3">
      <c r="C778" s="2"/>
      <c r="D778" s="8">
        <v>2020</v>
      </c>
      <c r="E778" s="14">
        <f>Data!N778</f>
        <v>52437000000</v>
      </c>
      <c r="F778" s="14">
        <f>Data!K778</f>
        <v>231115000000</v>
      </c>
      <c r="G778" s="12">
        <f t="shared" si="12"/>
        <v>0.22688704757371872</v>
      </c>
    </row>
    <row r="779" spans="2:7" ht="15" customHeight="1" x14ac:dyDescent="0.3">
      <c r="C779" s="2"/>
      <c r="D779" s="8">
        <v>2021</v>
      </c>
      <c r="E779" s="14">
        <f>Data!N779</f>
        <v>40159000000</v>
      </c>
      <c r="F779" s="14">
        <f>Data!K779</f>
        <v>235830000000</v>
      </c>
      <c r="G779" s="12">
        <f t="shared" si="12"/>
        <v>0.17028791926387651</v>
      </c>
    </row>
    <row r="780" spans="2:7" ht="15" customHeight="1" x14ac:dyDescent="0.3">
      <c r="C780" s="2"/>
      <c r="D780" s="8">
        <v>2022</v>
      </c>
      <c r="E780" s="14">
        <f>Data!N780</f>
        <v>49054000000</v>
      </c>
      <c r="F780" s="14">
        <f>Data!K780</f>
        <v>257553000000</v>
      </c>
      <c r="G780" s="12">
        <f t="shared" si="12"/>
        <v>0.1904617690339464</v>
      </c>
    </row>
    <row r="781" spans="2:7" ht="15" customHeight="1" x14ac:dyDescent="0.3">
      <c r="C781" s="2"/>
      <c r="D781" s="8">
        <v>2023</v>
      </c>
      <c r="E781" s="14">
        <f>Data!N781</f>
        <v>23154000000</v>
      </c>
      <c r="F781" s="14">
        <f>Data!K781</f>
        <v>245707000000</v>
      </c>
      <c r="G781" s="12">
        <f t="shared" si="12"/>
        <v>9.4234189502130583E-2</v>
      </c>
    </row>
    <row r="782" spans="2:7" ht="15" customHeight="1" x14ac:dyDescent="0.3">
      <c r="C782" s="2"/>
      <c r="D782" s="8">
        <v>2024</v>
      </c>
      <c r="E782" s="14">
        <f>Data!N782</f>
        <v>81125000000</v>
      </c>
      <c r="F782" s="14">
        <f>Data!K782</f>
        <v>313833000000</v>
      </c>
      <c r="G782" s="12">
        <f t="shared" si="12"/>
        <v>0.258497353688108</v>
      </c>
    </row>
    <row r="783" spans="2:7" ht="15" customHeight="1" x14ac:dyDescent="0.3">
      <c r="B783" s="8">
        <v>72</v>
      </c>
      <c r="C783" s="2" t="s">
        <v>75</v>
      </c>
      <c r="D783" s="8">
        <v>2014</v>
      </c>
      <c r="E783" s="14">
        <f>Data!N783</f>
        <v>0</v>
      </c>
      <c r="F783" s="14">
        <f>Data!K783</f>
        <v>0</v>
      </c>
      <c r="G783" s="12">
        <f t="shared" si="12"/>
        <v>0</v>
      </c>
    </row>
    <row r="784" spans="2:7" ht="15" customHeight="1" x14ac:dyDescent="0.3">
      <c r="C784" s="2"/>
      <c r="D784" s="8">
        <v>2015</v>
      </c>
      <c r="E784" s="14">
        <f>Data!N784</f>
        <v>6347000000</v>
      </c>
      <c r="F784" s="14">
        <f>Data!K784</f>
        <v>118753000000</v>
      </c>
      <c r="G784" s="12">
        <f t="shared" si="12"/>
        <v>5.344707081084267E-2</v>
      </c>
    </row>
    <row r="785" spans="2:7" ht="15" customHeight="1" x14ac:dyDescent="0.3">
      <c r="C785" s="2"/>
      <c r="D785" s="8">
        <v>2016</v>
      </c>
      <c r="E785" s="14">
        <f>Data!N785</f>
        <v>15826000000</v>
      </c>
      <c r="F785" s="14">
        <f>Data!K785</f>
        <v>145579000000</v>
      </c>
      <c r="G785" s="12">
        <f t="shared" si="12"/>
        <v>0.10871073437789791</v>
      </c>
    </row>
    <row r="786" spans="2:7" ht="15" customHeight="1" x14ac:dyDescent="0.3">
      <c r="C786" s="2"/>
      <c r="D786" s="8">
        <v>2017</v>
      </c>
      <c r="E786" s="14">
        <f>Data!N786</f>
        <v>30388000000</v>
      </c>
      <c r="F786" s="14">
        <f>Data!K786</f>
        <v>175966000000</v>
      </c>
      <c r="G786" s="12">
        <f t="shared" si="12"/>
        <v>0.17269245195094507</v>
      </c>
    </row>
    <row r="787" spans="2:7" ht="15" customHeight="1" x14ac:dyDescent="0.3">
      <c r="C787" s="2"/>
      <c r="D787" s="8">
        <v>2018</v>
      </c>
      <c r="E787" s="14">
        <f>Data!N787</f>
        <v>50842000000</v>
      </c>
      <c r="F787" s="14">
        <f>Data!K787</f>
        <v>226807000000</v>
      </c>
      <c r="G787" s="12">
        <f t="shared" si="12"/>
        <v>0.22416415719091562</v>
      </c>
    </row>
    <row r="788" spans="2:7" ht="15" customHeight="1" x14ac:dyDescent="0.3">
      <c r="C788" s="2"/>
      <c r="D788" s="8">
        <v>2019</v>
      </c>
      <c r="E788" s="14">
        <f>Data!N788</f>
        <v>67340000000</v>
      </c>
      <c r="F788" s="14">
        <f>Data!K788</f>
        <v>294148000000</v>
      </c>
      <c r="G788" s="12">
        <f t="shared" si="12"/>
        <v>0.22893237417898474</v>
      </c>
    </row>
    <row r="789" spans="2:7" ht="15" customHeight="1" x14ac:dyDescent="0.3">
      <c r="C789" s="2"/>
      <c r="D789" s="8">
        <v>2020</v>
      </c>
      <c r="E789" s="14">
        <f>Data!N789</f>
        <v>9651000000</v>
      </c>
      <c r="F789" s="14">
        <f>Data!K789</f>
        <v>303799000000</v>
      </c>
      <c r="G789" s="12">
        <f t="shared" si="12"/>
        <v>3.1767714837771029E-2</v>
      </c>
    </row>
    <row r="790" spans="2:7" ht="15" customHeight="1" x14ac:dyDescent="0.3">
      <c r="C790" s="2"/>
      <c r="D790" s="8">
        <v>2021</v>
      </c>
      <c r="E790" s="14">
        <f>Data!N790</f>
        <v>11178000000</v>
      </c>
      <c r="F790" s="14">
        <f>Data!K790</f>
        <v>344977000000</v>
      </c>
      <c r="G790" s="12">
        <f t="shared" si="12"/>
        <v>3.2402160144009602E-2</v>
      </c>
    </row>
    <row r="791" spans="2:7" ht="15" customHeight="1" x14ac:dyDescent="0.3">
      <c r="C791" s="2"/>
      <c r="D791" s="8">
        <v>2022</v>
      </c>
      <c r="E791" s="14">
        <f>Data!N791</f>
        <v>15877000000</v>
      </c>
      <c r="F791" s="14">
        <f>Data!K791</f>
        <v>360854000000</v>
      </c>
      <c r="G791" s="12">
        <f t="shared" si="12"/>
        <v>4.3998403786572965E-2</v>
      </c>
    </row>
    <row r="792" spans="2:7" ht="15" customHeight="1" x14ac:dyDescent="0.3">
      <c r="C792" s="2"/>
      <c r="D792" s="8">
        <v>2023</v>
      </c>
      <c r="E792" s="14">
        <f>Data!N792</f>
        <v>20066000000</v>
      </c>
      <c r="F792" s="14">
        <f>Data!K792</f>
        <v>380920000000</v>
      </c>
      <c r="G792" s="12">
        <f t="shared" si="12"/>
        <v>5.2677727606846581E-2</v>
      </c>
    </row>
    <row r="793" spans="2:7" ht="15" customHeight="1" x14ac:dyDescent="0.3">
      <c r="C793" s="2"/>
      <c r="D793" s="8">
        <v>2024</v>
      </c>
      <c r="E793" s="14">
        <f>Data!N793</f>
        <v>22038000000</v>
      </c>
      <c r="F793" s="14">
        <f>Data!K793</f>
        <v>402958000000</v>
      </c>
      <c r="G793" s="12">
        <f t="shared" si="12"/>
        <v>5.4690563284511044E-2</v>
      </c>
    </row>
    <row r="794" spans="2:7" ht="15" customHeight="1" x14ac:dyDescent="0.3">
      <c r="B794" s="8">
        <v>73</v>
      </c>
      <c r="C794" s="2" t="s">
        <v>96</v>
      </c>
      <c r="D794" s="8">
        <v>2014</v>
      </c>
      <c r="E794" s="14">
        <f>Data!N794</f>
        <v>0</v>
      </c>
      <c r="F794" s="14">
        <f>Data!K794</f>
        <v>0</v>
      </c>
      <c r="G794" s="12">
        <f t="shared" si="12"/>
        <v>0</v>
      </c>
    </row>
    <row r="795" spans="2:7" ht="15" customHeight="1" x14ac:dyDescent="0.3">
      <c r="C795" s="2"/>
      <c r="D795" s="8">
        <v>2015</v>
      </c>
      <c r="E795" s="14">
        <f>Data!N795</f>
        <v>0</v>
      </c>
      <c r="F795" s="14">
        <f>Data!K795</f>
        <v>0</v>
      </c>
      <c r="G795" s="12">
        <f t="shared" si="12"/>
        <v>0</v>
      </c>
    </row>
    <row r="796" spans="2:7" ht="15" customHeight="1" x14ac:dyDescent="0.3">
      <c r="C796" s="2"/>
      <c r="D796" s="8">
        <v>2016</v>
      </c>
      <c r="E796" s="14">
        <f>Data!N796</f>
        <v>0</v>
      </c>
      <c r="F796" s="14">
        <f>Data!K796</f>
        <v>0</v>
      </c>
      <c r="G796" s="12">
        <f t="shared" si="12"/>
        <v>0</v>
      </c>
    </row>
    <row r="797" spans="2:7" ht="15" customHeight="1" x14ac:dyDescent="0.3">
      <c r="C797" s="2"/>
      <c r="D797" s="8">
        <v>2017</v>
      </c>
      <c r="E797" s="14">
        <f>Data!N797</f>
        <v>0</v>
      </c>
      <c r="F797" s="14">
        <f>Data!K797</f>
        <v>0</v>
      </c>
      <c r="G797" s="12">
        <f t="shared" si="12"/>
        <v>0</v>
      </c>
    </row>
    <row r="798" spans="2:7" ht="15" customHeight="1" x14ac:dyDescent="0.3">
      <c r="C798" s="2"/>
      <c r="D798" s="8">
        <v>2018</v>
      </c>
      <c r="E798" s="14">
        <f>Data!N798</f>
        <v>0</v>
      </c>
      <c r="F798" s="14">
        <f>Data!K798</f>
        <v>0</v>
      </c>
      <c r="G798" s="12">
        <f t="shared" si="12"/>
        <v>0</v>
      </c>
    </row>
    <row r="799" spans="2:7" ht="15" customHeight="1" x14ac:dyDescent="0.3">
      <c r="C799" s="2"/>
      <c r="D799" s="8">
        <v>2019</v>
      </c>
      <c r="E799" s="14">
        <f>Data!N799</f>
        <v>0</v>
      </c>
      <c r="F799" s="14">
        <f>Data!K799</f>
        <v>200205000000</v>
      </c>
      <c r="G799" s="12">
        <f t="shared" si="12"/>
        <v>0</v>
      </c>
    </row>
    <row r="800" spans="2:7" ht="15" customHeight="1" x14ac:dyDescent="0.3">
      <c r="C800" s="2"/>
      <c r="D800" s="8">
        <v>2020</v>
      </c>
      <c r="E800" s="14">
        <f>Data!N800</f>
        <v>3086000000</v>
      </c>
      <c r="F800" s="14">
        <f>Data!K800</f>
        <v>203291000000</v>
      </c>
      <c r="G800" s="12">
        <f t="shared" si="12"/>
        <v>1.5180209650205863E-2</v>
      </c>
    </row>
    <row r="801" spans="2:7" ht="15" customHeight="1" x14ac:dyDescent="0.3">
      <c r="C801" s="2"/>
      <c r="D801" s="8">
        <v>2021</v>
      </c>
      <c r="E801" s="14">
        <f>Data!N801</f>
        <v>5139000000</v>
      </c>
      <c r="F801" s="14">
        <f>Data!K801</f>
        <v>208429000000</v>
      </c>
      <c r="G801" s="12">
        <f t="shared" si="12"/>
        <v>2.4655878020812844E-2</v>
      </c>
    </row>
    <row r="802" spans="2:7" ht="15" customHeight="1" x14ac:dyDescent="0.3">
      <c r="C802" s="2"/>
      <c r="D802" s="8">
        <v>2022</v>
      </c>
      <c r="E802" s="14">
        <f>Data!N802</f>
        <v>9125000000</v>
      </c>
      <c r="F802" s="14">
        <f>Data!K802</f>
        <v>217554000000</v>
      </c>
      <c r="G802" s="12">
        <f t="shared" si="12"/>
        <v>4.1943609402723001E-2</v>
      </c>
    </row>
    <row r="803" spans="2:7" ht="15" customHeight="1" x14ac:dyDescent="0.3">
      <c r="C803" s="2"/>
      <c r="D803" s="8">
        <v>2023</v>
      </c>
      <c r="E803" s="14">
        <f>Data!N803</f>
        <v>12040000000</v>
      </c>
      <c r="F803" s="14">
        <f>Data!K803</f>
        <v>229594000000</v>
      </c>
      <c r="G803" s="12">
        <f t="shared" si="12"/>
        <v>5.2440394783835817E-2</v>
      </c>
    </row>
    <row r="804" spans="2:7" ht="15" customHeight="1" x14ac:dyDescent="0.3">
      <c r="C804" s="2"/>
      <c r="D804" s="8">
        <v>2024</v>
      </c>
      <c r="E804" s="14">
        <f>Data!N804</f>
        <v>16393000000</v>
      </c>
      <c r="F804" s="14">
        <f>Data!K804</f>
        <v>245987000000</v>
      </c>
      <c r="G804" s="12">
        <f t="shared" si="12"/>
        <v>6.6641733099716646E-2</v>
      </c>
    </row>
    <row r="805" spans="2:7" ht="15" customHeight="1" x14ac:dyDescent="0.3">
      <c r="B805" s="8">
        <v>74</v>
      </c>
      <c r="C805" s="2" t="s">
        <v>76</v>
      </c>
      <c r="D805" s="8">
        <v>2014</v>
      </c>
      <c r="E805" s="14">
        <f>Data!N805</f>
        <v>0</v>
      </c>
      <c r="F805" s="14">
        <f>Data!K805</f>
        <v>0</v>
      </c>
      <c r="G805" s="12">
        <f t="shared" si="12"/>
        <v>0</v>
      </c>
    </row>
    <row r="806" spans="2:7" ht="15" customHeight="1" x14ac:dyDescent="0.3">
      <c r="C806" s="2"/>
      <c r="D806" s="8">
        <v>2015</v>
      </c>
      <c r="E806" s="14">
        <f>Data!N806</f>
        <v>155591000000</v>
      </c>
      <c r="F806" s="14">
        <f>Data!K806</f>
        <v>4262582000000</v>
      </c>
      <c r="G806" s="12">
        <f t="shared" si="12"/>
        <v>3.6501585189446212E-2</v>
      </c>
    </row>
    <row r="807" spans="2:7" ht="15" customHeight="1" x14ac:dyDescent="0.3">
      <c r="C807" s="2"/>
      <c r="D807" s="8">
        <v>2016</v>
      </c>
      <c r="E807" s="14">
        <f>Data!N807</f>
        <v>1426619000000</v>
      </c>
      <c r="F807" s="14">
        <f>Data!K807</f>
        <v>4337145000000</v>
      </c>
      <c r="G807" s="12">
        <f t="shared" si="12"/>
        <v>0.32893043695795277</v>
      </c>
    </row>
    <row r="808" spans="2:7" ht="15" customHeight="1" x14ac:dyDescent="0.3">
      <c r="C808" s="2"/>
      <c r="D808" s="8">
        <v>2017</v>
      </c>
      <c r="E808" s="14">
        <f>Data!N808</f>
        <v>-379089000000</v>
      </c>
      <c r="F808" s="14">
        <f>Data!K808</f>
        <v>3990690000000</v>
      </c>
      <c r="G808" s="12">
        <f t="shared" si="12"/>
        <v>-9.4993347015177823E-2</v>
      </c>
    </row>
    <row r="809" spans="2:7" ht="15" customHeight="1" x14ac:dyDescent="0.3">
      <c r="C809" s="2"/>
      <c r="D809" s="8">
        <v>2018</v>
      </c>
      <c r="E809" s="14">
        <f>Data!N809</f>
        <v>690212000000</v>
      </c>
      <c r="F809" s="14">
        <f>Data!K809</f>
        <v>4493149000000</v>
      </c>
      <c r="G809" s="12">
        <f t="shared" si="12"/>
        <v>0.15361431370292861</v>
      </c>
    </row>
    <row r="810" spans="2:7" ht="15" customHeight="1" x14ac:dyDescent="0.3">
      <c r="C810" s="2"/>
      <c r="D810" s="8">
        <v>2019</v>
      </c>
      <c r="E810" s="14">
        <f>Data!N810</f>
        <v>1097058000000</v>
      </c>
      <c r="F810" s="14">
        <f>Data!K810</f>
        <v>5531057000000</v>
      </c>
      <c r="G810" s="12">
        <f t="shared" si="12"/>
        <v>0.1983450902784043</v>
      </c>
    </row>
    <row r="811" spans="2:7" ht="15" customHeight="1" x14ac:dyDescent="0.3">
      <c r="C811" s="2"/>
      <c r="D811" s="8">
        <v>2020</v>
      </c>
      <c r="E811" s="14">
        <f>Data!N811</f>
        <v>296078000000</v>
      </c>
      <c r="F811" s="14">
        <f>Data!K811</f>
        <v>5750905000000</v>
      </c>
      <c r="G811" s="12">
        <f t="shared" si="12"/>
        <v>5.1483722996641397E-2</v>
      </c>
    </row>
    <row r="812" spans="2:7" ht="15" customHeight="1" x14ac:dyDescent="0.3">
      <c r="C812" s="2"/>
      <c r="D812" s="8">
        <v>2021</v>
      </c>
      <c r="E812" s="14">
        <f>Data!N812</f>
        <v>1072763000000</v>
      </c>
      <c r="F812" s="14">
        <f>Data!K812</f>
        <v>6771089000000</v>
      </c>
      <c r="G812" s="12">
        <f t="shared" si="12"/>
        <v>0.15843286065210485</v>
      </c>
    </row>
    <row r="813" spans="2:7" ht="15" customHeight="1" x14ac:dyDescent="0.3">
      <c r="C813" s="2"/>
      <c r="D813" s="8">
        <v>2022</v>
      </c>
      <c r="E813" s="14">
        <f>Data!N813</f>
        <v>156972000000</v>
      </c>
      <c r="F813" s="14">
        <f>Data!K813</f>
        <v>6863880000000</v>
      </c>
      <c r="G813" s="12">
        <f t="shared" si="12"/>
        <v>2.2869280931484815E-2</v>
      </c>
    </row>
    <row r="814" spans="2:7" ht="15" customHeight="1" x14ac:dyDescent="0.3">
      <c r="C814" s="2"/>
      <c r="D814" s="8">
        <v>2023</v>
      </c>
      <c r="E814" s="14">
        <f>Data!N814</f>
        <v>333652000000</v>
      </c>
      <c r="F814" s="14">
        <f>Data!K814</f>
        <v>7173512000000</v>
      </c>
      <c r="G814" s="12">
        <f t="shared" si="12"/>
        <v>4.651166680978578E-2</v>
      </c>
    </row>
    <row r="815" spans="2:7" ht="15" customHeight="1" x14ac:dyDescent="0.3">
      <c r="C815" s="2"/>
      <c r="D815" s="8">
        <v>2024</v>
      </c>
      <c r="E815" s="14">
        <f>Data!N815</f>
        <v>147451000000</v>
      </c>
      <c r="F815" s="14">
        <f>Data!K815</f>
        <v>8566984000000</v>
      </c>
      <c r="G815" s="12">
        <f t="shared" si="12"/>
        <v>1.7211541424613376E-2</v>
      </c>
    </row>
    <row r="816" spans="2:7" ht="15" customHeight="1" x14ac:dyDescent="0.3">
      <c r="B816" s="8">
        <v>75</v>
      </c>
      <c r="C816" s="1" t="s">
        <v>130</v>
      </c>
      <c r="D816" s="8">
        <v>2014</v>
      </c>
      <c r="E816" s="14">
        <f>Data!N816</f>
        <v>0</v>
      </c>
      <c r="F816" s="14">
        <f>Data!K816</f>
        <v>0</v>
      </c>
      <c r="G816" s="12">
        <f t="shared" si="12"/>
        <v>0</v>
      </c>
    </row>
    <row r="817" spans="2:7" ht="15" customHeight="1" x14ac:dyDescent="0.3">
      <c r="C817" s="1"/>
      <c r="D817" s="8">
        <v>2015</v>
      </c>
      <c r="E817" s="14">
        <f>Data!N817</f>
        <v>0</v>
      </c>
      <c r="F817" s="14">
        <f>Data!K817</f>
        <v>0</v>
      </c>
      <c r="G817" s="12">
        <f t="shared" si="12"/>
        <v>0</v>
      </c>
    </row>
    <row r="818" spans="2:7" ht="15" customHeight="1" x14ac:dyDescent="0.3">
      <c r="C818" s="1"/>
      <c r="D818" s="8">
        <v>2016</v>
      </c>
      <c r="E818" s="14">
        <f>Data!N818</f>
        <v>0</v>
      </c>
      <c r="F818" s="14">
        <f>Data!K818</f>
        <v>0</v>
      </c>
      <c r="G818" s="12">
        <f t="shared" si="12"/>
        <v>0</v>
      </c>
    </row>
    <row r="819" spans="2:7" ht="15" customHeight="1" x14ac:dyDescent="0.3">
      <c r="C819" s="1"/>
      <c r="D819" s="8">
        <v>2017</v>
      </c>
      <c r="E819" s="14">
        <f>Data!N819</f>
        <v>0</v>
      </c>
      <c r="F819" s="14">
        <f>Data!K819</f>
        <v>0</v>
      </c>
      <c r="G819" s="12">
        <f t="shared" si="12"/>
        <v>0</v>
      </c>
    </row>
    <row r="820" spans="2:7" ht="15" customHeight="1" x14ac:dyDescent="0.3">
      <c r="C820" s="1"/>
      <c r="D820" s="8">
        <v>2018</v>
      </c>
      <c r="E820" s="14">
        <f>Data!N820</f>
        <v>0</v>
      </c>
      <c r="F820" s="14">
        <f>Data!K820</f>
        <v>0</v>
      </c>
      <c r="G820" s="12">
        <f t="shared" si="12"/>
        <v>0</v>
      </c>
    </row>
    <row r="821" spans="2:7" ht="15" customHeight="1" x14ac:dyDescent="0.3">
      <c r="C821" s="1"/>
      <c r="D821" s="8">
        <v>2019</v>
      </c>
      <c r="E821" s="14">
        <f>Data!N821</f>
        <v>0</v>
      </c>
      <c r="F821" s="14">
        <f>Data!K821</f>
        <v>0</v>
      </c>
      <c r="G821" s="12">
        <f t="shared" si="12"/>
        <v>0</v>
      </c>
    </row>
    <row r="822" spans="2:7" ht="15" customHeight="1" x14ac:dyDescent="0.3">
      <c r="C822" s="1"/>
      <c r="D822" s="8">
        <v>2020</v>
      </c>
      <c r="E822" s="14">
        <f>Data!N822</f>
        <v>0</v>
      </c>
      <c r="F822" s="14">
        <f>Data!K822</f>
        <v>0</v>
      </c>
      <c r="G822" s="12">
        <f t="shared" si="12"/>
        <v>0</v>
      </c>
    </row>
    <row r="823" spans="2:7" ht="15" customHeight="1" x14ac:dyDescent="0.3">
      <c r="C823" s="1"/>
      <c r="D823" s="8">
        <v>2021</v>
      </c>
      <c r="E823" s="14">
        <f>Data!N823</f>
        <v>0</v>
      </c>
      <c r="F823" s="14">
        <f>Data!K823</f>
        <v>0</v>
      </c>
      <c r="G823" s="12">
        <f t="shared" si="12"/>
        <v>0</v>
      </c>
    </row>
    <row r="824" spans="2:7" ht="15" customHeight="1" x14ac:dyDescent="0.3">
      <c r="C824" s="1"/>
      <c r="D824" s="8">
        <v>2022</v>
      </c>
      <c r="E824" s="14">
        <f>Data!N824</f>
        <v>0</v>
      </c>
      <c r="F824" s="14">
        <f>Data!K824</f>
        <v>0</v>
      </c>
      <c r="G824" s="12">
        <f t="shared" si="12"/>
        <v>0</v>
      </c>
    </row>
    <row r="825" spans="2:7" ht="15" customHeight="1" x14ac:dyDescent="0.3">
      <c r="C825" s="1"/>
      <c r="D825" s="8">
        <v>2023</v>
      </c>
      <c r="E825" s="14">
        <f>Data!N825</f>
        <v>0</v>
      </c>
      <c r="F825" s="14">
        <f>Data!K825</f>
        <v>0</v>
      </c>
      <c r="G825" s="12">
        <f t="shared" si="12"/>
        <v>0</v>
      </c>
    </row>
    <row r="826" spans="2:7" ht="15" customHeight="1" x14ac:dyDescent="0.3">
      <c r="C826" s="1"/>
      <c r="D826" s="8">
        <v>2024</v>
      </c>
      <c r="E826" s="14">
        <f>Data!N826</f>
        <v>0</v>
      </c>
      <c r="F826" s="14">
        <f>Data!K826</f>
        <v>0</v>
      </c>
      <c r="G826" s="12">
        <f t="shared" si="12"/>
        <v>0</v>
      </c>
    </row>
    <row r="827" spans="2:7" ht="15" customHeight="1" x14ac:dyDescent="0.3">
      <c r="B827" s="8">
        <v>76</v>
      </c>
      <c r="C827" s="2" t="s">
        <v>79</v>
      </c>
      <c r="D827" s="8">
        <v>2014</v>
      </c>
      <c r="E827" s="14">
        <f>Data!N827</f>
        <v>0</v>
      </c>
      <c r="F827" s="14">
        <f>Data!K827</f>
        <v>0</v>
      </c>
      <c r="G827" s="12">
        <f t="shared" si="12"/>
        <v>0</v>
      </c>
    </row>
    <row r="828" spans="2:7" ht="15" customHeight="1" x14ac:dyDescent="0.3">
      <c r="C828" s="2"/>
      <c r="D828" s="8">
        <v>2015</v>
      </c>
      <c r="E828" s="14">
        <f>Data!N828</f>
        <v>0</v>
      </c>
      <c r="F828" s="14">
        <f>Data!K828</f>
        <v>0</v>
      </c>
      <c r="G828" s="12">
        <f t="shared" si="12"/>
        <v>0</v>
      </c>
    </row>
    <row r="829" spans="2:7" ht="15" customHeight="1" x14ac:dyDescent="0.3">
      <c r="C829" s="2"/>
      <c r="D829" s="8">
        <v>2016</v>
      </c>
      <c r="E829" s="14">
        <f>Data!N829</f>
        <v>0</v>
      </c>
      <c r="F829" s="14">
        <f>Data!K829</f>
        <v>0</v>
      </c>
      <c r="G829" s="12">
        <f t="shared" si="12"/>
        <v>0</v>
      </c>
    </row>
    <row r="830" spans="2:7" ht="15" customHeight="1" x14ac:dyDescent="0.3">
      <c r="C830" s="2"/>
      <c r="D830" s="8">
        <v>2017</v>
      </c>
      <c r="E830" s="14">
        <f>Data!N830</f>
        <v>0</v>
      </c>
      <c r="F830" s="14">
        <f>Data!K830</f>
        <v>0</v>
      </c>
      <c r="G830" s="12">
        <f t="shared" si="12"/>
        <v>0</v>
      </c>
    </row>
    <row r="831" spans="2:7" ht="15" customHeight="1" x14ac:dyDescent="0.3">
      <c r="C831" s="2"/>
      <c r="D831" s="8">
        <v>2018</v>
      </c>
      <c r="E831" s="14">
        <f>Data!N831</f>
        <v>0</v>
      </c>
      <c r="F831" s="14">
        <f>Data!K831</f>
        <v>0</v>
      </c>
      <c r="G831" s="12">
        <f t="shared" si="12"/>
        <v>0</v>
      </c>
    </row>
    <row r="832" spans="2:7" ht="15" customHeight="1" x14ac:dyDescent="0.3">
      <c r="C832" s="2"/>
      <c r="D832" s="8">
        <v>2019</v>
      </c>
      <c r="E832" s="14">
        <f>Data!N832</f>
        <v>25155527000</v>
      </c>
      <c r="F832" s="14">
        <f>Data!K832</f>
        <v>334102591000</v>
      </c>
      <c r="G832" s="12">
        <f t="shared" si="12"/>
        <v>7.5292822257699885E-2</v>
      </c>
    </row>
    <row r="833" spans="2:7" ht="15" customHeight="1" x14ac:dyDescent="0.3">
      <c r="C833" s="2"/>
      <c r="D833" s="8">
        <v>2020</v>
      </c>
      <c r="E833" s="14">
        <f>Data!N833</f>
        <v>32575206000</v>
      </c>
      <c r="F833" s="14">
        <f>Data!K833</f>
        <v>351701797000</v>
      </c>
      <c r="G833" s="12">
        <f t="shared" si="12"/>
        <v>9.2621664938493331E-2</v>
      </c>
    </row>
    <row r="834" spans="2:7" ht="15" customHeight="1" x14ac:dyDescent="0.3">
      <c r="C834" s="2"/>
      <c r="D834" s="8">
        <v>2021</v>
      </c>
      <c r="E834" s="14">
        <f>Data!N834</f>
        <v>26480941000</v>
      </c>
      <c r="F834" s="14">
        <f>Data!K834</f>
        <v>359942738000</v>
      </c>
      <c r="G834" s="12">
        <f t="shared" si="12"/>
        <v>7.3569871549957477E-2</v>
      </c>
    </row>
    <row r="835" spans="2:7" ht="15" customHeight="1" x14ac:dyDescent="0.3">
      <c r="C835" s="2"/>
      <c r="D835" s="8">
        <v>2022</v>
      </c>
      <c r="E835" s="14">
        <f>Data!N835</f>
        <v>17253935000</v>
      </c>
      <c r="F835" s="14">
        <f>Data!K835</f>
        <v>365125870000</v>
      </c>
      <c r="G835" s="12">
        <f t="shared" ref="G835:G898" si="13">IFERROR(E835/F835,0)</f>
        <v>4.7254759023237655E-2</v>
      </c>
    </row>
    <row r="836" spans="2:7" ht="15" customHeight="1" x14ac:dyDescent="0.3">
      <c r="C836" s="2"/>
      <c r="D836" s="8">
        <v>2023</v>
      </c>
      <c r="E836" s="14">
        <f>Data!N836</f>
        <v>19270173000</v>
      </c>
      <c r="F836" s="14">
        <f>Data!K836</f>
        <v>371724043000</v>
      </c>
      <c r="G836" s="12">
        <f t="shared" si="13"/>
        <v>5.1839996263034295E-2</v>
      </c>
    </row>
    <row r="837" spans="2:7" ht="15" customHeight="1" x14ac:dyDescent="0.3">
      <c r="C837" s="2"/>
      <c r="D837" s="8">
        <v>2024</v>
      </c>
      <c r="E837" s="14">
        <f>Data!N837</f>
        <v>42106319000</v>
      </c>
      <c r="F837" s="14">
        <f>Data!K837</f>
        <v>398470362000</v>
      </c>
      <c r="G837" s="12">
        <f t="shared" si="13"/>
        <v>0.10566988919492085</v>
      </c>
    </row>
    <row r="838" spans="2:7" ht="15" customHeight="1" x14ac:dyDescent="0.3">
      <c r="B838" s="8">
        <v>77</v>
      </c>
      <c r="C838" s="2" t="s">
        <v>119</v>
      </c>
      <c r="D838" s="8">
        <v>2014</v>
      </c>
      <c r="E838" s="14">
        <f>Data!N838</f>
        <v>0</v>
      </c>
      <c r="F838" s="14">
        <f>Data!K838</f>
        <v>0</v>
      </c>
      <c r="G838" s="12">
        <f t="shared" si="13"/>
        <v>0</v>
      </c>
    </row>
    <row r="839" spans="2:7" ht="15" customHeight="1" x14ac:dyDescent="0.3">
      <c r="C839" s="2"/>
      <c r="D839" s="8">
        <v>2015</v>
      </c>
      <c r="E839" s="14">
        <f>Data!N839</f>
        <v>0</v>
      </c>
      <c r="F839" s="14">
        <f>Data!K839</f>
        <v>0</v>
      </c>
      <c r="G839" s="12">
        <f t="shared" si="13"/>
        <v>0</v>
      </c>
    </row>
    <row r="840" spans="2:7" ht="15" customHeight="1" x14ac:dyDescent="0.3">
      <c r="C840" s="2"/>
      <c r="D840" s="8">
        <v>2016</v>
      </c>
      <c r="E840" s="14">
        <f>Data!N840</f>
        <v>0</v>
      </c>
      <c r="F840" s="14">
        <f>Data!K840</f>
        <v>0</v>
      </c>
      <c r="G840" s="12">
        <f t="shared" si="13"/>
        <v>0</v>
      </c>
    </row>
    <row r="841" spans="2:7" ht="15" customHeight="1" x14ac:dyDescent="0.3">
      <c r="C841" s="2"/>
      <c r="D841" s="8">
        <v>2017</v>
      </c>
      <c r="E841" s="14">
        <f>Data!N841</f>
        <v>0</v>
      </c>
      <c r="F841" s="14">
        <f>Data!K841</f>
        <v>0</v>
      </c>
      <c r="G841" s="12">
        <f t="shared" si="13"/>
        <v>0</v>
      </c>
    </row>
    <row r="842" spans="2:7" ht="15" customHeight="1" x14ac:dyDescent="0.3">
      <c r="C842" s="2"/>
      <c r="D842" s="8">
        <v>2018</v>
      </c>
      <c r="E842" s="14">
        <f>Data!N842</f>
        <v>5145900000</v>
      </c>
      <c r="F842" s="14">
        <f>Data!K842</f>
        <v>117659090000</v>
      </c>
      <c r="G842" s="12">
        <f t="shared" si="13"/>
        <v>4.3735677370953657E-2</v>
      </c>
    </row>
    <row r="843" spans="2:7" ht="15" customHeight="1" x14ac:dyDescent="0.3">
      <c r="C843" s="2"/>
      <c r="D843" s="8">
        <v>2019</v>
      </c>
      <c r="E843" s="14">
        <f>Data!N843</f>
        <v>1096750000</v>
      </c>
      <c r="F843" s="14">
        <f>Data!K843</f>
        <v>118755840000</v>
      </c>
      <c r="G843" s="12">
        <f t="shared" si="13"/>
        <v>9.2353352896160732E-3</v>
      </c>
    </row>
    <row r="844" spans="2:7" ht="15" customHeight="1" x14ac:dyDescent="0.3">
      <c r="C844" s="2"/>
      <c r="D844" s="8">
        <v>2020</v>
      </c>
      <c r="E844" s="14">
        <f>Data!N844</f>
        <v>-12047500000</v>
      </c>
      <c r="F844" s="14">
        <f>Data!K844</f>
        <v>106708340000</v>
      </c>
      <c r="G844" s="12">
        <f t="shared" si="13"/>
        <v>-0.11290120341109233</v>
      </c>
    </row>
    <row r="845" spans="2:7" ht="15" customHeight="1" x14ac:dyDescent="0.3">
      <c r="C845" s="2"/>
      <c r="D845" s="8">
        <v>2021</v>
      </c>
      <c r="E845" s="14">
        <f>Data!N845</f>
        <v>-19146530000</v>
      </c>
      <c r="F845" s="14">
        <f>Data!K845</f>
        <v>87561810000</v>
      </c>
      <c r="G845" s="12">
        <f t="shared" si="13"/>
        <v>-0.21866302215543512</v>
      </c>
    </row>
    <row r="846" spans="2:7" ht="15" customHeight="1" x14ac:dyDescent="0.3">
      <c r="C846" s="2"/>
      <c r="D846" s="8">
        <v>2022</v>
      </c>
      <c r="E846" s="14">
        <f>Data!N846</f>
        <v>-54450670000</v>
      </c>
      <c r="F846" s="14">
        <f>Data!K846</f>
        <v>103111140000</v>
      </c>
      <c r="G846" s="12">
        <f t="shared" si="13"/>
        <v>-0.52807747058174315</v>
      </c>
    </row>
    <row r="847" spans="2:7" ht="15" customHeight="1" x14ac:dyDescent="0.3">
      <c r="C847" s="2"/>
      <c r="D847" s="8">
        <v>2023</v>
      </c>
      <c r="E847" s="14">
        <f>Data!N847</f>
        <v>-22969000000</v>
      </c>
      <c r="F847" s="14">
        <f>Data!K847</f>
        <v>105142000000</v>
      </c>
      <c r="G847" s="12">
        <f t="shared" si="13"/>
        <v>-0.2184569439424778</v>
      </c>
    </row>
    <row r="848" spans="2:7" ht="15" customHeight="1" x14ac:dyDescent="0.3">
      <c r="C848" s="2"/>
      <c r="D848" s="8">
        <v>2024</v>
      </c>
      <c r="E848" s="14">
        <f>Data!N848</f>
        <v>17360000000</v>
      </c>
      <c r="F848" s="14">
        <f>Data!K848</f>
        <v>167502000000</v>
      </c>
      <c r="G848" s="12">
        <f t="shared" si="13"/>
        <v>0.1036405535456293</v>
      </c>
    </row>
    <row r="849" spans="2:7" ht="15" customHeight="1" x14ac:dyDescent="0.3">
      <c r="B849" s="8">
        <v>78</v>
      </c>
      <c r="C849" s="2" t="s">
        <v>80</v>
      </c>
      <c r="D849" s="8">
        <v>2014</v>
      </c>
      <c r="E849" s="14">
        <f>Data!N849</f>
        <v>0</v>
      </c>
      <c r="F849" s="14">
        <f>Data!K849</f>
        <v>0</v>
      </c>
      <c r="G849" s="12">
        <f t="shared" si="13"/>
        <v>0</v>
      </c>
    </row>
    <row r="850" spans="2:7" ht="15" customHeight="1" x14ac:dyDescent="0.3">
      <c r="C850" s="2"/>
      <c r="D850" s="8">
        <v>2015</v>
      </c>
      <c r="E850" s="14">
        <f>Data!N850</f>
        <v>2117225000</v>
      </c>
      <c r="F850" s="14">
        <f>Data!K850</f>
        <v>111678042000</v>
      </c>
      <c r="G850" s="12">
        <f t="shared" si="13"/>
        <v>1.8958292624793691E-2</v>
      </c>
    </row>
    <row r="851" spans="2:7" ht="15" customHeight="1" x14ac:dyDescent="0.3">
      <c r="C851" s="2"/>
      <c r="D851" s="8">
        <v>2016</v>
      </c>
      <c r="E851" s="14">
        <f>Data!N851</f>
        <v>2082770000</v>
      </c>
      <c r="F851" s="14">
        <f>Data!K851</f>
        <v>113569618000</v>
      </c>
      <c r="G851" s="12">
        <f t="shared" si="13"/>
        <v>1.8339147711142253E-2</v>
      </c>
    </row>
    <row r="852" spans="2:7" ht="15" customHeight="1" x14ac:dyDescent="0.3">
      <c r="C852" s="2"/>
      <c r="D852" s="8">
        <v>2017</v>
      </c>
      <c r="E852" s="14">
        <f>Data!N852</f>
        <v>1343981000</v>
      </c>
      <c r="F852" s="14">
        <f>Data!K852</f>
        <v>114981130000</v>
      </c>
      <c r="G852" s="12">
        <f t="shared" si="13"/>
        <v>1.1688709269077457E-2</v>
      </c>
    </row>
    <row r="853" spans="2:7" ht="15" customHeight="1" x14ac:dyDescent="0.3">
      <c r="C853" s="2"/>
      <c r="D853" s="8">
        <v>2018</v>
      </c>
      <c r="E853" s="14">
        <f>Data!N853</f>
        <v>5366000000</v>
      </c>
      <c r="F853" s="14">
        <f>Data!K853</f>
        <v>127939000000</v>
      </c>
      <c r="G853" s="12">
        <f t="shared" si="13"/>
        <v>4.1941862919047355E-2</v>
      </c>
    </row>
    <row r="854" spans="2:7" ht="15" customHeight="1" x14ac:dyDescent="0.3">
      <c r="C854" s="2"/>
      <c r="D854" s="8">
        <v>2019</v>
      </c>
      <c r="E854" s="14">
        <f>Data!N854</f>
        <v>5349521000</v>
      </c>
      <c r="F854" s="14">
        <f>Data!K854</f>
        <v>130678469000</v>
      </c>
      <c r="G854" s="12">
        <f t="shared" si="13"/>
        <v>4.0936514185821997E-2</v>
      </c>
    </row>
    <row r="855" spans="2:7" ht="15" customHeight="1" x14ac:dyDescent="0.3">
      <c r="C855" s="2"/>
      <c r="D855" s="8">
        <v>2020</v>
      </c>
      <c r="E855" s="14">
        <f>Data!N855</f>
        <v>1222362000</v>
      </c>
      <c r="F855" s="14">
        <f>Data!K855</f>
        <v>132006192000</v>
      </c>
      <c r="G855" s="12">
        <f t="shared" si="13"/>
        <v>9.2598838090867733E-3</v>
      </c>
    </row>
    <row r="856" spans="2:7" ht="15" customHeight="1" x14ac:dyDescent="0.3">
      <c r="C856" s="2"/>
      <c r="D856" s="8">
        <v>2021</v>
      </c>
      <c r="E856" s="14">
        <f>Data!N856</f>
        <v>-30971000000</v>
      </c>
      <c r="F856" s="14">
        <f>Data!K856</f>
        <v>100981000000</v>
      </c>
      <c r="G856" s="12">
        <f t="shared" si="13"/>
        <v>-0.30670126063318842</v>
      </c>
    </row>
    <row r="857" spans="2:7" ht="15" customHeight="1" x14ac:dyDescent="0.3">
      <c r="C857" s="2"/>
      <c r="D857" s="8">
        <v>2022</v>
      </c>
      <c r="E857" s="14">
        <f>Data!N857</f>
        <v>11323000000</v>
      </c>
      <c r="F857" s="14">
        <f>Data!K857</f>
        <v>115067000000</v>
      </c>
      <c r="G857" s="12">
        <f t="shared" si="13"/>
        <v>9.8403538807825E-2</v>
      </c>
    </row>
    <row r="858" spans="2:7" ht="15" customHeight="1" x14ac:dyDescent="0.3">
      <c r="C858" s="2"/>
      <c r="D858" s="8">
        <v>2023</v>
      </c>
      <c r="E858" s="14">
        <f>Data!N858</f>
        <v>2621000000</v>
      </c>
      <c r="F858" s="14">
        <f>Data!K858</f>
        <v>118774000000</v>
      </c>
      <c r="G858" s="12">
        <f t="shared" si="13"/>
        <v>2.2067119066462356E-2</v>
      </c>
    </row>
    <row r="859" spans="2:7" ht="15" customHeight="1" x14ac:dyDescent="0.3">
      <c r="C859" s="2"/>
      <c r="D859" s="8">
        <v>2024</v>
      </c>
      <c r="E859" s="14">
        <f>Data!N859</f>
        <v>38401000000</v>
      </c>
      <c r="F859" s="14">
        <f>Data!K859</f>
        <v>162780000000</v>
      </c>
      <c r="G859" s="12">
        <f t="shared" si="13"/>
        <v>0.23590735962648973</v>
      </c>
    </row>
    <row r="860" spans="2:7" ht="15" customHeight="1" x14ac:dyDescent="0.3">
      <c r="B860" s="8">
        <v>79</v>
      </c>
      <c r="C860" s="2" t="s">
        <v>97</v>
      </c>
      <c r="D860" s="8">
        <v>2014</v>
      </c>
      <c r="E860" s="14">
        <f>Data!N860</f>
        <v>0</v>
      </c>
      <c r="F860" s="14">
        <f>Data!K860</f>
        <v>0</v>
      </c>
      <c r="G860" s="12">
        <f t="shared" si="13"/>
        <v>0</v>
      </c>
    </row>
    <row r="861" spans="2:7" ht="15" customHeight="1" x14ac:dyDescent="0.3">
      <c r="C861" s="2"/>
      <c r="D861" s="8">
        <v>2015</v>
      </c>
      <c r="E861" s="14">
        <f>Data!N861</f>
        <v>15392160000</v>
      </c>
      <c r="F861" s="14">
        <f>Data!K861</f>
        <v>122164320000</v>
      </c>
      <c r="G861" s="12">
        <f t="shared" si="13"/>
        <v>0.12599554436188898</v>
      </c>
    </row>
    <row r="862" spans="2:7" ht="15" customHeight="1" x14ac:dyDescent="0.3">
      <c r="C862" s="2"/>
      <c r="D862" s="8">
        <v>2016</v>
      </c>
      <c r="E862" s="14">
        <f>Data!N862</f>
        <v>25285110000</v>
      </c>
      <c r="F862" s="14">
        <f>Data!K862</f>
        <v>147349430000</v>
      </c>
      <c r="G862" s="12">
        <f t="shared" si="13"/>
        <v>0.17159964582150064</v>
      </c>
    </row>
    <row r="863" spans="2:7" ht="15" customHeight="1" x14ac:dyDescent="0.3">
      <c r="C863" s="2"/>
      <c r="D863" s="8">
        <v>2017</v>
      </c>
      <c r="E863" s="14">
        <f>Data!N863</f>
        <v>1139200000</v>
      </c>
      <c r="F863" s="14">
        <f>Data!K863</f>
        <v>198488620000</v>
      </c>
      <c r="G863" s="12">
        <f t="shared" si="13"/>
        <v>5.7393718592028097E-3</v>
      </c>
    </row>
    <row r="864" spans="2:7" ht="15" customHeight="1" x14ac:dyDescent="0.3">
      <c r="C864" s="2"/>
      <c r="D864" s="8">
        <v>2018</v>
      </c>
      <c r="E864" s="14">
        <f>Data!N864</f>
        <v>-177602760000</v>
      </c>
      <c r="F864" s="14">
        <f>Data!K864</f>
        <v>21894360000</v>
      </c>
      <c r="G864" s="12">
        <f t="shared" si="13"/>
        <v>-8.1118041358596464</v>
      </c>
    </row>
    <row r="865" spans="2:7" ht="15" customHeight="1" x14ac:dyDescent="0.3">
      <c r="C865" s="2"/>
      <c r="D865" s="8">
        <v>2019</v>
      </c>
      <c r="E865" s="14">
        <f>Data!N865</f>
        <v>-26822050000</v>
      </c>
      <c r="F865" s="14">
        <f>Data!K865</f>
        <v>111492870000</v>
      </c>
      <c r="G865" s="12">
        <f t="shared" si="13"/>
        <v>-0.24057188589727754</v>
      </c>
    </row>
    <row r="866" spans="2:7" ht="15" customHeight="1" x14ac:dyDescent="0.3">
      <c r="C866" s="2"/>
      <c r="D866" s="8">
        <v>2020</v>
      </c>
      <c r="E866" s="14">
        <f>Data!N866</f>
        <v>12878000000</v>
      </c>
      <c r="F866" s="14">
        <f>Data!K866</f>
        <v>123984000000</v>
      </c>
      <c r="G866" s="12">
        <f t="shared" si="13"/>
        <v>0.10386824106336301</v>
      </c>
    </row>
    <row r="867" spans="2:7" ht="15" customHeight="1" x14ac:dyDescent="0.3">
      <c r="C867" s="2"/>
      <c r="D867" s="8">
        <v>2021</v>
      </c>
      <c r="E867" s="14">
        <f>Data!N867</f>
        <v>-161336000000</v>
      </c>
      <c r="F867" s="14">
        <f>Data!K867</f>
        <v>-37353000000</v>
      </c>
      <c r="G867" s="12">
        <f t="shared" si="13"/>
        <v>4.3192246941343395</v>
      </c>
    </row>
    <row r="868" spans="2:7" ht="15" customHeight="1" x14ac:dyDescent="0.3">
      <c r="C868" s="2"/>
      <c r="D868" s="8">
        <v>2022</v>
      </c>
      <c r="E868" s="14">
        <f>Data!N868</f>
        <v>-77626000000</v>
      </c>
      <c r="F868" s="14">
        <f>Data!K868</f>
        <v>135021000000</v>
      </c>
      <c r="G868" s="12">
        <f t="shared" si="13"/>
        <v>-0.57491797572229508</v>
      </c>
    </row>
    <row r="869" spans="2:7" ht="15" customHeight="1" x14ac:dyDescent="0.3">
      <c r="C869" s="2"/>
      <c r="D869" s="8">
        <v>2023</v>
      </c>
      <c r="E869" s="14">
        <f>Data!N869</f>
        <v>-29796000000</v>
      </c>
      <c r="F869" s="14">
        <f>Data!K869</f>
        <v>125690000000</v>
      </c>
      <c r="G869" s="12">
        <f t="shared" si="13"/>
        <v>-0.23705943193571485</v>
      </c>
    </row>
    <row r="870" spans="2:7" ht="15" customHeight="1" x14ac:dyDescent="0.3">
      <c r="C870" s="2"/>
      <c r="D870" s="8">
        <v>2024</v>
      </c>
      <c r="E870" s="14">
        <f>Data!N870</f>
        <v>-15285000000</v>
      </c>
      <c r="F870" s="14">
        <f>Data!K870</f>
        <v>110404000000</v>
      </c>
      <c r="G870" s="12">
        <f t="shared" si="13"/>
        <v>-0.13844607079453644</v>
      </c>
    </row>
    <row r="871" spans="2:7" ht="15" customHeight="1" x14ac:dyDescent="0.3">
      <c r="B871" s="8">
        <v>80</v>
      </c>
      <c r="C871" s="2" t="s">
        <v>81</v>
      </c>
      <c r="D871" s="8">
        <v>2014</v>
      </c>
      <c r="E871" s="14">
        <f>Data!N871</f>
        <v>0</v>
      </c>
      <c r="F871" s="14">
        <f>Data!K871</f>
        <v>0</v>
      </c>
      <c r="G871" s="12">
        <f t="shared" si="13"/>
        <v>0</v>
      </c>
    </row>
    <row r="872" spans="2:7" ht="15" customHeight="1" x14ac:dyDescent="0.3">
      <c r="C872" s="2"/>
      <c r="D872" s="8">
        <v>2015</v>
      </c>
      <c r="E872" s="14">
        <f>Data!N872</f>
        <v>21534000000</v>
      </c>
      <c r="F872" s="14">
        <f>Data!K872</f>
        <v>182744000000</v>
      </c>
      <c r="G872" s="12">
        <f t="shared" si="13"/>
        <v>0.11783697412774154</v>
      </c>
    </row>
    <row r="873" spans="2:7" ht="15" customHeight="1" x14ac:dyDescent="0.3">
      <c r="C873" s="2"/>
      <c r="D873" s="8">
        <v>2016</v>
      </c>
      <c r="E873" s="14">
        <f>Data!N873</f>
        <v>20589000000</v>
      </c>
      <c r="F873" s="14">
        <f>Data!K873</f>
        <v>202257000000</v>
      </c>
      <c r="G873" s="12">
        <f t="shared" si="13"/>
        <v>0.10179622954953352</v>
      </c>
    </row>
    <row r="874" spans="2:7" ht="15" customHeight="1" x14ac:dyDescent="0.3">
      <c r="C874" s="2"/>
      <c r="D874" s="8">
        <v>2017</v>
      </c>
      <c r="E874" s="14">
        <f>Data!N874</f>
        <v>10427000000</v>
      </c>
      <c r="F874" s="14">
        <f>Data!K874</f>
        <v>212684000000</v>
      </c>
      <c r="G874" s="12">
        <f t="shared" si="13"/>
        <v>4.9025784732278872E-2</v>
      </c>
    </row>
    <row r="875" spans="2:7" ht="15" customHeight="1" x14ac:dyDescent="0.3">
      <c r="C875" s="2"/>
      <c r="D875" s="8">
        <v>2018</v>
      </c>
      <c r="E875" s="14">
        <f>Data!N875</f>
        <v>17770000000</v>
      </c>
      <c r="F875" s="14">
        <f>Data!K875</f>
        <v>230454000000</v>
      </c>
      <c r="G875" s="12">
        <f t="shared" si="13"/>
        <v>7.7108663768040472E-2</v>
      </c>
    </row>
    <row r="876" spans="2:7" ht="15" customHeight="1" x14ac:dyDescent="0.3">
      <c r="C876" s="2"/>
      <c r="D876" s="8">
        <v>2019</v>
      </c>
      <c r="E876" s="14">
        <f>Data!N876</f>
        <v>38867000000</v>
      </c>
      <c r="F876" s="14">
        <f>Data!K876</f>
        <v>269322000000</v>
      </c>
      <c r="G876" s="12">
        <f t="shared" si="13"/>
        <v>0.14431424094578238</v>
      </c>
    </row>
    <row r="877" spans="2:7" ht="15" customHeight="1" x14ac:dyDescent="0.3">
      <c r="C877" s="2"/>
      <c r="D877" s="8">
        <v>2020</v>
      </c>
      <c r="E877" s="14">
        <f>Data!N877</f>
        <v>13427000000</v>
      </c>
      <c r="F877" s="14">
        <f>Data!K877</f>
        <v>282749000000</v>
      </c>
      <c r="G877" s="12">
        <f t="shared" si="13"/>
        <v>4.748734743535786E-2</v>
      </c>
    </row>
    <row r="878" spans="2:7" ht="15" customHeight="1" x14ac:dyDescent="0.3">
      <c r="C878" s="2"/>
      <c r="D878" s="8">
        <v>2021</v>
      </c>
      <c r="E878" s="14">
        <f>Data!N878</f>
        <v>16716000000</v>
      </c>
      <c r="F878" s="14">
        <f>Data!K878</f>
        <v>299465000000</v>
      </c>
      <c r="G878" s="12">
        <f t="shared" si="13"/>
        <v>5.5819544854991403E-2</v>
      </c>
    </row>
    <row r="879" spans="2:7" ht="15" customHeight="1" x14ac:dyDescent="0.3">
      <c r="C879" s="2"/>
      <c r="D879" s="8">
        <v>2022</v>
      </c>
      <c r="E879" s="14">
        <f>Data!N879</f>
        <v>8256000000</v>
      </c>
      <c r="F879" s="14">
        <f>Data!K879</f>
        <v>307721000000</v>
      </c>
      <c r="G879" s="12">
        <f t="shared" si="13"/>
        <v>2.6829498149297578E-2</v>
      </c>
    </row>
    <row r="880" spans="2:7" ht="15" customHeight="1" x14ac:dyDescent="0.3">
      <c r="C880" s="2"/>
      <c r="D880" s="8">
        <v>2023</v>
      </c>
      <c r="E880" s="14">
        <f>Data!N880</f>
        <v>18594000000</v>
      </c>
      <c r="F880" s="14">
        <f>Data!K880</f>
        <v>326315000000</v>
      </c>
      <c r="G880" s="12">
        <f t="shared" si="13"/>
        <v>5.6981750762300235E-2</v>
      </c>
    </row>
    <row r="881" spans="2:7" ht="15" customHeight="1" x14ac:dyDescent="0.3">
      <c r="C881" s="2"/>
      <c r="D881" s="8">
        <v>2024</v>
      </c>
      <c r="E881" s="14">
        <f>Data!N881</f>
        <v>-61897000000</v>
      </c>
      <c r="F881" s="14">
        <f>Data!K881</f>
        <v>264419000000</v>
      </c>
      <c r="G881" s="12">
        <f t="shared" si="13"/>
        <v>-0.23408680919298538</v>
      </c>
    </row>
    <row r="882" spans="2:7" ht="15" customHeight="1" x14ac:dyDescent="0.3">
      <c r="B882" s="8">
        <v>81</v>
      </c>
      <c r="C882" s="2" t="s">
        <v>82</v>
      </c>
      <c r="D882" s="8">
        <v>2014</v>
      </c>
      <c r="E882" s="14">
        <f>Data!N882</f>
        <v>0</v>
      </c>
      <c r="F882" s="14">
        <f>Data!K882</f>
        <v>0</v>
      </c>
      <c r="G882" s="12">
        <f t="shared" si="13"/>
        <v>0</v>
      </c>
    </row>
    <row r="883" spans="2:7" ht="15" customHeight="1" x14ac:dyDescent="0.3">
      <c r="C883" s="2"/>
      <c r="D883" s="8">
        <v>2015</v>
      </c>
      <c r="E883" s="14">
        <f>Data!N883</f>
        <v>0</v>
      </c>
      <c r="F883" s="14">
        <f>Data!K883</f>
        <v>0</v>
      </c>
      <c r="G883" s="12">
        <f t="shared" si="13"/>
        <v>0</v>
      </c>
    </row>
    <row r="884" spans="2:7" ht="15" customHeight="1" x14ac:dyDescent="0.3">
      <c r="C884" s="2"/>
      <c r="D884" s="8">
        <v>2016</v>
      </c>
      <c r="E884" s="14">
        <f>Data!N884</f>
        <v>0</v>
      </c>
      <c r="F884" s="14">
        <f>Data!K884</f>
        <v>0</v>
      </c>
      <c r="G884" s="12">
        <f t="shared" si="13"/>
        <v>0</v>
      </c>
    </row>
    <row r="885" spans="2:7" ht="15" customHeight="1" x14ac:dyDescent="0.3">
      <c r="C885" s="2"/>
      <c r="D885" s="8">
        <v>2017</v>
      </c>
      <c r="E885" s="14">
        <f>Data!N885</f>
        <v>0</v>
      </c>
      <c r="F885" s="14">
        <f>Data!K885</f>
        <v>0</v>
      </c>
      <c r="G885" s="12">
        <f t="shared" si="13"/>
        <v>0</v>
      </c>
    </row>
    <row r="886" spans="2:7" ht="15" customHeight="1" x14ac:dyDescent="0.3">
      <c r="C886" s="2"/>
      <c r="D886" s="8">
        <v>2018</v>
      </c>
      <c r="E886" s="14">
        <f>Data!N886</f>
        <v>-24686106000</v>
      </c>
      <c r="F886" s="14">
        <f>Data!K886</f>
        <v>263872170000</v>
      </c>
      <c r="G886" s="12">
        <f t="shared" si="13"/>
        <v>-9.3553276194302717E-2</v>
      </c>
    </row>
    <row r="887" spans="2:7" ht="15" customHeight="1" x14ac:dyDescent="0.3">
      <c r="C887" s="2"/>
      <c r="D887" s="8">
        <v>2019</v>
      </c>
      <c r="E887" s="14">
        <f>Data!N887</f>
        <v>-114947315000</v>
      </c>
      <c r="F887" s="14">
        <f>Data!K887</f>
        <v>148924854000</v>
      </c>
      <c r="G887" s="12">
        <f t="shared" si="13"/>
        <v>-0.77184776021334889</v>
      </c>
    </row>
    <row r="888" spans="2:7" ht="15" customHeight="1" x14ac:dyDescent="0.3">
      <c r="C888" s="2"/>
      <c r="D888" s="8">
        <v>2020</v>
      </c>
      <c r="E888" s="14">
        <f>Data!N888</f>
        <v>12480110000</v>
      </c>
      <c r="F888" s="14">
        <f>Data!K888</f>
        <v>105569150000</v>
      </c>
      <c r="G888" s="12">
        <f t="shared" si="13"/>
        <v>0.11821739589643376</v>
      </c>
    </row>
    <row r="889" spans="2:7" ht="15" customHeight="1" x14ac:dyDescent="0.3">
      <c r="C889" s="2"/>
      <c r="D889" s="8">
        <v>2021</v>
      </c>
      <c r="E889" s="14">
        <f>Data!N889</f>
        <v>16567071000</v>
      </c>
      <c r="F889" s="14">
        <f>Data!K889</f>
        <v>122136221000</v>
      </c>
      <c r="G889" s="12">
        <f t="shared" si="13"/>
        <v>0.13564420828117812</v>
      </c>
    </row>
    <row r="890" spans="2:7" ht="15" customHeight="1" x14ac:dyDescent="0.3">
      <c r="C890" s="2"/>
      <c r="D890" s="8">
        <v>2022</v>
      </c>
      <c r="E890" s="14">
        <f>Data!N890</f>
        <v>-8682082000</v>
      </c>
      <c r="F890" s="14">
        <f>Data!K890</f>
        <v>210067263000</v>
      </c>
      <c r="G890" s="12">
        <f t="shared" si="13"/>
        <v>-4.1330009616967305E-2</v>
      </c>
    </row>
    <row r="891" spans="2:7" ht="15" customHeight="1" x14ac:dyDescent="0.3">
      <c r="C891" s="2"/>
      <c r="D891" s="8">
        <v>2023</v>
      </c>
      <c r="E891" s="14">
        <f>Data!N891</f>
        <v>5911484000</v>
      </c>
      <c r="F891" s="14">
        <f>Data!K891</f>
        <v>215979111000</v>
      </c>
      <c r="G891" s="12">
        <f t="shared" si="13"/>
        <v>2.7370628449341104E-2</v>
      </c>
    </row>
    <row r="892" spans="2:7" ht="15" customHeight="1" x14ac:dyDescent="0.3">
      <c r="C892" s="2"/>
      <c r="D892" s="8">
        <v>2024</v>
      </c>
      <c r="E892" s="14">
        <f>Data!N892</f>
        <v>7185945000</v>
      </c>
      <c r="F892" s="14">
        <f>Data!K892</f>
        <v>223291047000</v>
      </c>
      <c r="G892" s="12">
        <f t="shared" si="13"/>
        <v>3.2181966525509642E-2</v>
      </c>
    </row>
    <row r="893" spans="2:7" ht="15" customHeight="1" x14ac:dyDescent="0.3">
      <c r="B893" s="8">
        <v>82</v>
      </c>
      <c r="C893" s="2" t="s">
        <v>83</v>
      </c>
      <c r="D893" s="8">
        <v>2014</v>
      </c>
      <c r="E893" s="14">
        <f>Data!N893</f>
        <v>0</v>
      </c>
      <c r="F893" s="14">
        <f>Data!K893</f>
        <v>0</v>
      </c>
      <c r="G893" s="12">
        <f t="shared" si="13"/>
        <v>0</v>
      </c>
    </row>
    <row r="894" spans="2:7" ht="15" customHeight="1" x14ac:dyDescent="0.3">
      <c r="C894" s="2"/>
      <c r="D894" s="8">
        <v>2015</v>
      </c>
      <c r="E894" s="14">
        <f>Data!N894</f>
        <v>0</v>
      </c>
      <c r="F894" s="14">
        <f>Data!K894</f>
        <v>0</v>
      </c>
      <c r="G894" s="12">
        <f t="shared" si="13"/>
        <v>0</v>
      </c>
    </row>
    <row r="895" spans="2:7" ht="15" customHeight="1" x14ac:dyDescent="0.3">
      <c r="C895" s="2"/>
      <c r="D895" s="8">
        <v>2016</v>
      </c>
      <c r="E895" s="14">
        <f>Data!N895</f>
        <v>0</v>
      </c>
      <c r="F895" s="14">
        <f>Data!K895</f>
        <v>0</v>
      </c>
      <c r="G895" s="12">
        <f t="shared" si="13"/>
        <v>0</v>
      </c>
    </row>
    <row r="896" spans="2:7" ht="15" customHeight="1" x14ac:dyDescent="0.3">
      <c r="C896" s="2"/>
      <c r="D896" s="8">
        <v>2017</v>
      </c>
      <c r="E896" s="14">
        <f>Data!N896</f>
        <v>0</v>
      </c>
      <c r="F896" s="14">
        <f>Data!K896</f>
        <v>0</v>
      </c>
      <c r="G896" s="12">
        <f t="shared" si="13"/>
        <v>0</v>
      </c>
    </row>
    <row r="897" spans="2:7" ht="15" customHeight="1" x14ac:dyDescent="0.3">
      <c r="C897" s="2"/>
      <c r="D897" s="8">
        <v>2018</v>
      </c>
      <c r="E897" s="14">
        <f>Data!N897</f>
        <v>0</v>
      </c>
      <c r="F897" s="14">
        <f>Data!K897</f>
        <v>0</v>
      </c>
      <c r="G897" s="12">
        <f t="shared" si="13"/>
        <v>0</v>
      </c>
    </row>
    <row r="898" spans="2:7" ht="15" customHeight="1" x14ac:dyDescent="0.3">
      <c r="C898" s="2"/>
      <c r="D898" s="8">
        <v>2019</v>
      </c>
      <c r="E898" s="14">
        <f>Data!N898</f>
        <v>0</v>
      </c>
      <c r="F898" s="14">
        <f>Data!K898</f>
        <v>0</v>
      </c>
      <c r="G898" s="12">
        <f t="shared" si="13"/>
        <v>0</v>
      </c>
    </row>
    <row r="899" spans="2:7" ht="15" customHeight="1" x14ac:dyDescent="0.3">
      <c r="C899" s="2"/>
      <c r="D899" s="8">
        <v>2020</v>
      </c>
      <c r="E899" s="14">
        <f>Data!N899</f>
        <v>397000000</v>
      </c>
      <c r="F899" s="14">
        <f>Data!K899</f>
        <v>127713000000</v>
      </c>
      <c r="G899" s="12">
        <f t="shared" ref="G899:G962" si="14">IFERROR(E899/F899,0)</f>
        <v>3.1085324125186943E-3</v>
      </c>
    </row>
    <row r="900" spans="2:7" ht="15" customHeight="1" x14ac:dyDescent="0.3">
      <c r="C900" s="2"/>
      <c r="D900" s="8">
        <v>2021</v>
      </c>
      <c r="E900" s="14">
        <f>Data!N900</f>
        <v>1588000000</v>
      </c>
      <c r="F900" s="14">
        <f>Data!K900</f>
        <v>129301000000</v>
      </c>
      <c r="G900" s="12">
        <f t="shared" si="14"/>
        <v>1.2281420870681587E-2</v>
      </c>
    </row>
    <row r="901" spans="2:7" ht="15" customHeight="1" x14ac:dyDescent="0.3">
      <c r="C901" s="2"/>
      <c r="D901" s="8">
        <v>2022</v>
      </c>
      <c r="E901" s="14">
        <f>Data!N901</f>
        <v>6442000000</v>
      </c>
      <c r="F901" s="14">
        <f>Data!K901</f>
        <v>140743000000</v>
      </c>
      <c r="G901" s="12">
        <f t="shared" si="14"/>
        <v>4.5771370512210197E-2</v>
      </c>
    </row>
    <row r="902" spans="2:7" ht="15" customHeight="1" x14ac:dyDescent="0.3">
      <c r="C902" s="2"/>
      <c r="D902" s="8">
        <v>2023</v>
      </c>
      <c r="E902" s="14">
        <f>Data!N902</f>
        <v>30761000000</v>
      </c>
      <c r="F902" s="14">
        <f>Data!K902</f>
        <v>171505000000</v>
      </c>
      <c r="G902" s="12">
        <f t="shared" si="14"/>
        <v>0.17935920235561645</v>
      </c>
    </row>
    <row r="903" spans="2:7" ht="15" customHeight="1" x14ac:dyDescent="0.3">
      <c r="C903" s="2"/>
      <c r="D903" s="8">
        <v>2024</v>
      </c>
      <c r="E903" s="14">
        <f>Data!N903</f>
        <v>29277000000</v>
      </c>
      <c r="F903" s="14">
        <f>Data!K903</f>
        <v>260782000000</v>
      </c>
      <c r="G903" s="12">
        <f t="shared" si="14"/>
        <v>0.11226618401576796</v>
      </c>
    </row>
    <row r="904" spans="2:7" ht="15" customHeight="1" x14ac:dyDescent="0.3">
      <c r="B904" s="8">
        <v>83</v>
      </c>
      <c r="C904" s="2" t="s">
        <v>98</v>
      </c>
      <c r="D904" s="8">
        <v>2014</v>
      </c>
      <c r="E904" s="14">
        <f>Data!N904</f>
        <v>0</v>
      </c>
      <c r="F904" s="14">
        <f>Data!K904</f>
        <v>0</v>
      </c>
      <c r="G904" s="12">
        <f t="shared" si="14"/>
        <v>0</v>
      </c>
    </row>
    <row r="905" spans="2:7" ht="15" customHeight="1" x14ac:dyDescent="0.3">
      <c r="C905" s="2"/>
      <c r="D905" s="8">
        <v>2015</v>
      </c>
      <c r="E905" s="14">
        <f>Data!E905</f>
        <v>1139467000000</v>
      </c>
      <c r="F905" s="14">
        <f>Data!K905</f>
        <v>2346927000000</v>
      </c>
      <c r="G905" s="12">
        <f t="shared" si="14"/>
        <v>0.48551446210299681</v>
      </c>
    </row>
    <row r="906" spans="2:7" ht="15" customHeight="1" x14ac:dyDescent="0.3">
      <c r="C906" s="2"/>
      <c r="D906" s="8">
        <v>2016</v>
      </c>
      <c r="E906" s="14">
        <f>Data!N906</f>
        <v>366412000000</v>
      </c>
      <c r="F906" s="14">
        <f>Data!K906</f>
        <v>2700301000000</v>
      </c>
      <c r="G906" s="12">
        <f t="shared" si="14"/>
        <v>0.13569302088915272</v>
      </c>
    </row>
    <row r="907" spans="2:7" ht="15" customHeight="1" x14ac:dyDescent="0.3">
      <c r="C907" s="2"/>
      <c r="D907" s="8">
        <v>2017</v>
      </c>
      <c r="E907" s="14">
        <f>Data!N907</f>
        <v>360724000000</v>
      </c>
      <c r="F907" s="14">
        <f>Data!K907</f>
        <v>3029485000000</v>
      </c>
      <c r="G907" s="12">
        <f t="shared" si="14"/>
        <v>0.11907106323351989</v>
      </c>
    </row>
    <row r="908" spans="2:7" ht="15" customHeight="1" x14ac:dyDescent="0.3">
      <c r="C908" s="2"/>
      <c r="D908" s="8">
        <v>2018</v>
      </c>
      <c r="E908" s="14">
        <f>Data!N908</f>
        <v>201570000000</v>
      </c>
      <c r="F908" s="14">
        <f>Data!K908</f>
        <v>3167976000000</v>
      </c>
      <c r="G908" s="12">
        <f t="shared" si="14"/>
        <v>6.3627375964969438E-2</v>
      </c>
    </row>
    <row r="909" spans="2:7" ht="15" customHeight="1" x14ac:dyDescent="0.3">
      <c r="C909" s="2"/>
      <c r="D909" s="8">
        <v>2019</v>
      </c>
      <c r="E909" s="14">
        <f>Data!N909</f>
        <v>106528000000</v>
      </c>
      <c r="F909" s="14">
        <f>Data!K909</f>
        <v>3267355000000</v>
      </c>
      <c r="G909" s="12">
        <f t="shared" si="14"/>
        <v>3.2603742170654856E-2</v>
      </c>
    </row>
    <row r="910" spans="2:7" ht="15" customHeight="1" x14ac:dyDescent="0.3">
      <c r="C910" s="2"/>
      <c r="D910" s="8">
        <v>2020</v>
      </c>
      <c r="E910" s="14">
        <f>Data!N910</f>
        <v>-252932000000</v>
      </c>
      <c r="F910" s="14">
        <f>Data!K910</f>
        <v>922556000000</v>
      </c>
      <c r="G910" s="12">
        <f t="shared" si="14"/>
        <v>-0.27416438676893329</v>
      </c>
    </row>
    <row r="911" spans="2:7" ht="15" customHeight="1" x14ac:dyDescent="0.3">
      <c r="C911" s="2"/>
      <c r="D911" s="8">
        <v>2021</v>
      </c>
      <c r="E911" s="14">
        <f>Data!N911</f>
        <v>9402000000</v>
      </c>
      <c r="F911" s="14">
        <f>Data!K911</f>
        <v>938868000000</v>
      </c>
      <c r="G911" s="12">
        <f t="shared" si="14"/>
        <v>1.0014187297894911E-2</v>
      </c>
    </row>
    <row r="912" spans="2:7" ht="15" customHeight="1" x14ac:dyDescent="0.3">
      <c r="C912" s="2"/>
      <c r="D912" s="8">
        <v>2022</v>
      </c>
      <c r="E912" s="14">
        <f>Data!N912</f>
        <v>231059000000</v>
      </c>
      <c r="F912" s="14">
        <f>Data!K912</f>
        <v>2703441000000</v>
      </c>
      <c r="G912" s="12">
        <f t="shared" si="14"/>
        <v>8.546848257461509E-2</v>
      </c>
    </row>
    <row r="913" spans="2:7" ht="15" customHeight="1" x14ac:dyDescent="0.3">
      <c r="C913" s="2"/>
      <c r="D913" s="8">
        <v>2023</v>
      </c>
      <c r="E913" s="14">
        <f>Data!N913</f>
        <v>102889000000</v>
      </c>
      <c r="F913" s="14">
        <f>Data!K913</f>
        <v>2866830000000</v>
      </c>
      <c r="G913" s="12">
        <f t="shared" si="14"/>
        <v>3.5889466762940254E-2</v>
      </c>
    </row>
    <row r="914" spans="2:7" ht="15" customHeight="1" x14ac:dyDescent="0.3">
      <c r="C914" s="2"/>
      <c r="D914" s="8">
        <v>2024</v>
      </c>
      <c r="E914" s="14">
        <f>Data!N914</f>
        <v>157332000000</v>
      </c>
      <c r="F914" s="14">
        <f>Data!K914</f>
        <v>2991970000000</v>
      </c>
      <c r="G914" s="12">
        <f t="shared" si="14"/>
        <v>5.2584751852458415E-2</v>
      </c>
    </row>
    <row r="915" spans="2:7" ht="15" customHeight="1" x14ac:dyDescent="0.3">
      <c r="B915" s="8">
        <v>84</v>
      </c>
      <c r="C915" s="2" t="s">
        <v>84</v>
      </c>
      <c r="D915" s="8">
        <v>2014</v>
      </c>
      <c r="E915" s="14">
        <f>Data!N915</f>
        <v>0</v>
      </c>
      <c r="F915" s="14">
        <f>Data!K915</f>
        <v>0</v>
      </c>
      <c r="G915" s="12">
        <f t="shared" si="14"/>
        <v>0</v>
      </c>
    </row>
    <row r="916" spans="2:7" ht="15" customHeight="1" x14ac:dyDescent="0.3">
      <c r="C916" s="2"/>
      <c r="D916" s="8">
        <v>2015</v>
      </c>
      <c r="E916" s="14">
        <f>Data!N916</f>
        <v>19107000000</v>
      </c>
      <c r="F916" s="14">
        <f>Data!K916</f>
        <v>166216000000</v>
      </c>
      <c r="G916" s="12">
        <f t="shared" si="14"/>
        <v>0.11495283245896905</v>
      </c>
    </row>
    <row r="917" spans="2:7" ht="15" customHeight="1" x14ac:dyDescent="0.3">
      <c r="C917" s="2"/>
      <c r="D917" s="8">
        <v>2016</v>
      </c>
      <c r="E917" s="14">
        <f>Data!N917</f>
        <v>23994000000</v>
      </c>
      <c r="F917" s="14">
        <f>Data!K917</f>
        <v>183530000000</v>
      </c>
      <c r="G917" s="12">
        <f t="shared" si="14"/>
        <v>0.13073611943551464</v>
      </c>
    </row>
    <row r="918" spans="2:7" ht="15" customHeight="1" x14ac:dyDescent="0.3">
      <c r="C918" s="2"/>
      <c r="D918" s="8">
        <v>2017</v>
      </c>
      <c r="E918" s="14">
        <f>Data!N918</f>
        <v>35617000000</v>
      </c>
      <c r="F918" s="14">
        <f>Data!K918</f>
        <v>211444000000</v>
      </c>
      <c r="G918" s="12">
        <f t="shared" si="14"/>
        <v>0.16844649174249446</v>
      </c>
    </row>
    <row r="919" spans="2:7" ht="15" customHeight="1" x14ac:dyDescent="0.3">
      <c r="C919" s="2"/>
      <c r="D919" s="8">
        <v>2018</v>
      </c>
      <c r="E919" s="14">
        <f>Data!N919</f>
        <v>20084000000</v>
      </c>
      <c r="F919" s="14">
        <f>Data!K919</f>
        <v>219626000000</v>
      </c>
      <c r="G919" s="12">
        <f t="shared" si="14"/>
        <v>9.1446367916366914E-2</v>
      </c>
    </row>
    <row r="920" spans="2:7" ht="15" customHeight="1" x14ac:dyDescent="0.3">
      <c r="C920" s="2"/>
      <c r="D920" s="8">
        <v>2019</v>
      </c>
      <c r="E920" s="14">
        <f>Data!N920</f>
        <v>2873000000</v>
      </c>
      <c r="F920" s="14">
        <f>Data!K920</f>
        <v>209363000000</v>
      </c>
      <c r="G920" s="12">
        <f t="shared" si="14"/>
        <v>1.372257753280188E-2</v>
      </c>
    </row>
    <row r="921" spans="2:7" ht="15" customHeight="1" x14ac:dyDescent="0.3">
      <c r="C921" s="2"/>
      <c r="D921" s="8">
        <v>2020</v>
      </c>
      <c r="E921" s="14">
        <f>Data!N921</f>
        <v>172000000</v>
      </c>
      <c r="F921" s="14">
        <f>Data!K921</f>
        <v>209535000000</v>
      </c>
      <c r="G921" s="12">
        <f t="shared" si="14"/>
        <v>8.2086524924236996E-4</v>
      </c>
    </row>
    <row r="922" spans="2:7" ht="15" customHeight="1" x14ac:dyDescent="0.3">
      <c r="C922" s="2"/>
      <c r="D922" s="8">
        <v>2021</v>
      </c>
      <c r="E922" s="14">
        <f>Data!N922</f>
        <v>719000000</v>
      </c>
      <c r="F922" s="14">
        <f>Data!K922</f>
        <v>308454000000</v>
      </c>
      <c r="G922" s="12">
        <f t="shared" si="14"/>
        <v>2.3309796598520362E-3</v>
      </c>
    </row>
    <row r="923" spans="2:7" ht="15" customHeight="1" x14ac:dyDescent="0.3">
      <c r="C923" s="2"/>
      <c r="D923" s="8">
        <v>2022</v>
      </c>
      <c r="E923" s="14">
        <f>Data!N923</f>
        <v>9388000000</v>
      </c>
      <c r="F923" s="14">
        <f>Data!K923</f>
        <v>317842000000</v>
      </c>
      <c r="G923" s="12">
        <f t="shared" si="14"/>
        <v>2.9536688039969543E-2</v>
      </c>
    </row>
    <row r="924" spans="2:7" ht="15" customHeight="1" x14ac:dyDescent="0.3">
      <c r="C924" s="2"/>
      <c r="D924" s="8">
        <v>2023</v>
      </c>
      <c r="E924" s="14">
        <f>Data!N924</f>
        <v>6532000000</v>
      </c>
      <c r="F924" s="14">
        <f>Data!K924</f>
        <v>324374000000</v>
      </c>
      <c r="G924" s="12">
        <f t="shared" si="14"/>
        <v>2.0137248978031531E-2</v>
      </c>
    </row>
    <row r="925" spans="2:7" ht="15" customHeight="1" x14ac:dyDescent="0.3">
      <c r="C925" s="2"/>
      <c r="D925" s="8">
        <v>2024</v>
      </c>
      <c r="E925" s="14">
        <f>Data!N925</f>
        <v>2724000000</v>
      </c>
      <c r="F925" s="14">
        <f>Data!K925</f>
        <v>327097000000</v>
      </c>
      <c r="G925" s="12">
        <f t="shared" si="14"/>
        <v>8.327804901909831E-3</v>
      </c>
    </row>
    <row r="926" spans="2:7" ht="15" customHeight="1" x14ac:dyDescent="0.3">
      <c r="B926" s="8">
        <v>85</v>
      </c>
      <c r="C926" s="2" t="s">
        <v>99</v>
      </c>
      <c r="D926" s="8">
        <v>2014</v>
      </c>
      <c r="E926" s="14">
        <f>Data!N926</f>
        <v>0</v>
      </c>
      <c r="F926" s="14">
        <f>Data!K926</f>
        <v>0</v>
      </c>
      <c r="G926" s="12">
        <f t="shared" si="14"/>
        <v>0</v>
      </c>
    </row>
    <row r="927" spans="2:7" ht="15" customHeight="1" x14ac:dyDescent="0.3">
      <c r="C927" s="2"/>
      <c r="D927" s="8">
        <v>2015</v>
      </c>
      <c r="E927" s="14">
        <f>Data!N927</f>
        <v>101580000000</v>
      </c>
      <c r="F927" s="14">
        <f>Data!K927</f>
        <v>704477000000</v>
      </c>
      <c r="G927" s="12">
        <f t="shared" si="14"/>
        <v>0.14419207440413243</v>
      </c>
    </row>
    <row r="928" spans="2:7" ht="15" customHeight="1" x14ac:dyDescent="0.3">
      <c r="C928" s="2"/>
      <c r="D928" s="8">
        <v>2016</v>
      </c>
      <c r="E928" s="14">
        <f>Data!N928</f>
        <v>62049000000</v>
      </c>
      <c r="F928" s="14">
        <f>Data!K928</f>
        <v>748405000000</v>
      </c>
      <c r="G928" s="12">
        <f t="shared" si="14"/>
        <v>8.290831835703931E-2</v>
      </c>
    </row>
    <row r="929" spans="2:7" ht="15" customHeight="1" x14ac:dyDescent="0.3">
      <c r="C929" s="2"/>
      <c r="D929" s="8">
        <v>2017</v>
      </c>
      <c r="E929" s="14">
        <f>Data!N929</f>
        <v>112228000000</v>
      </c>
      <c r="F929" s="14">
        <f>Data!K929</f>
        <v>849987000000</v>
      </c>
      <c r="G929" s="12">
        <f t="shared" si="14"/>
        <v>0.13203496053469052</v>
      </c>
    </row>
    <row r="930" spans="2:7" ht="15" customHeight="1" x14ac:dyDescent="0.3">
      <c r="C930" s="2"/>
      <c r="D930" s="8">
        <v>2018</v>
      </c>
      <c r="E930" s="14">
        <f>Data!N930</f>
        <v>77533000000</v>
      </c>
      <c r="F930" s="14">
        <f>Data!K930</f>
        <v>915495000000</v>
      </c>
      <c r="G930" s="12">
        <f t="shared" si="14"/>
        <v>8.4689703384507833E-2</v>
      </c>
    </row>
    <row r="931" spans="2:7" ht="15" customHeight="1" x14ac:dyDescent="0.3">
      <c r="C931" s="2"/>
      <c r="D931" s="8">
        <v>2019</v>
      </c>
      <c r="E931" s="14">
        <f>Data!N931</f>
        <v>129057000000</v>
      </c>
      <c r="F931" s="14">
        <f>Data!K931</f>
        <v>1024377000000</v>
      </c>
      <c r="G931" s="12">
        <f t="shared" si="14"/>
        <v>0.12598584310268582</v>
      </c>
    </row>
    <row r="932" spans="2:7" ht="15" customHeight="1" x14ac:dyDescent="0.3">
      <c r="C932" s="2"/>
      <c r="D932" s="8">
        <v>2020</v>
      </c>
      <c r="E932" s="14">
        <f>Data!N932</f>
        <v>70258000000</v>
      </c>
      <c r="F932" s="14">
        <f>Data!K932</f>
        <v>1088225000000</v>
      </c>
      <c r="G932" s="12">
        <f t="shared" si="14"/>
        <v>6.4562016127179586E-2</v>
      </c>
    </row>
    <row r="933" spans="2:7" ht="15" customHeight="1" x14ac:dyDescent="0.3">
      <c r="C933" s="2"/>
      <c r="D933" s="8">
        <v>2021</v>
      </c>
      <c r="E933" s="14">
        <f>Data!N933</f>
        <v>38628000000</v>
      </c>
      <c r="F933" s="14">
        <f>Data!K933</f>
        <v>1140637000000</v>
      </c>
      <c r="G933" s="12">
        <f t="shared" si="14"/>
        <v>3.3865287554235048E-2</v>
      </c>
    </row>
    <row r="934" spans="2:7" ht="15" customHeight="1" x14ac:dyDescent="0.3">
      <c r="C934" s="2"/>
      <c r="D934" s="8">
        <v>2022</v>
      </c>
      <c r="E934" s="14">
        <f>Data!N934</f>
        <v>70208000000</v>
      </c>
      <c r="F934" s="14">
        <f>Data!K934</f>
        <v>1201468000000</v>
      </c>
      <c r="G934" s="12">
        <f t="shared" si="14"/>
        <v>5.8435180961956538E-2</v>
      </c>
    </row>
    <row r="935" spans="2:7" ht="15" customHeight="1" x14ac:dyDescent="0.3">
      <c r="C935" s="2"/>
      <c r="D935" s="8">
        <v>2023</v>
      </c>
      <c r="E935" s="14">
        <f>Data!N935</f>
        <v>125684000000</v>
      </c>
      <c r="F935" s="14">
        <f>Data!K935</f>
        <v>1318493000000</v>
      </c>
      <c r="G935" s="12">
        <f t="shared" si="14"/>
        <v>9.5323979725337946E-2</v>
      </c>
    </row>
    <row r="936" spans="2:7" ht="15" customHeight="1" x14ac:dyDescent="0.3">
      <c r="C936" s="2"/>
      <c r="D936" s="8">
        <v>2024</v>
      </c>
      <c r="E936" s="14">
        <f>Data!N936</f>
        <v>124293000000</v>
      </c>
      <c r="F936" s="14">
        <f>Data!K936</f>
        <v>1429557000000</v>
      </c>
      <c r="G936" s="12">
        <f t="shared" si="14"/>
        <v>8.6945116564082436E-2</v>
      </c>
    </row>
    <row r="937" spans="2:7" ht="15" customHeight="1" x14ac:dyDescent="0.3">
      <c r="B937" s="8">
        <v>86</v>
      </c>
      <c r="C937" s="1" t="s">
        <v>132</v>
      </c>
      <c r="D937" s="8">
        <v>2014</v>
      </c>
      <c r="E937" s="14">
        <f>Data!N937</f>
        <v>0</v>
      </c>
      <c r="F937" s="14">
        <f>Data!K937</f>
        <v>0</v>
      </c>
      <c r="G937" s="12">
        <f t="shared" si="14"/>
        <v>0</v>
      </c>
    </row>
    <row r="938" spans="2:7" ht="15" customHeight="1" x14ac:dyDescent="0.3">
      <c r="C938" s="1"/>
      <c r="D938" s="8">
        <v>2015</v>
      </c>
      <c r="E938" s="14">
        <f>Data!N938</f>
        <v>0</v>
      </c>
      <c r="F938" s="14">
        <f>Data!K938</f>
        <v>0</v>
      </c>
      <c r="G938" s="12">
        <f t="shared" si="14"/>
        <v>0</v>
      </c>
    </row>
    <row r="939" spans="2:7" ht="15" customHeight="1" x14ac:dyDescent="0.3">
      <c r="C939" s="1"/>
      <c r="D939" s="8">
        <v>2016</v>
      </c>
      <c r="E939" s="14">
        <f>Data!N939</f>
        <v>12722000000</v>
      </c>
      <c r="F939" s="14">
        <f>Data!K939</f>
        <v>87541000000</v>
      </c>
      <c r="G939" s="12">
        <f t="shared" si="14"/>
        <v>0.1453261900138221</v>
      </c>
    </row>
    <row r="940" spans="2:7" ht="15" customHeight="1" x14ac:dyDescent="0.3">
      <c r="C940" s="1"/>
      <c r="D940" s="8">
        <v>2017</v>
      </c>
      <c r="E940" s="14">
        <f>Data!N940</f>
        <v>3753000000</v>
      </c>
      <c r="F940" s="14">
        <f>Data!K940</f>
        <v>95137000000</v>
      </c>
      <c r="G940" s="12">
        <f t="shared" si="14"/>
        <v>3.9448374449478123E-2</v>
      </c>
    </row>
    <row r="941" spans="2:7" ht="15" customHeight="1" x14ac:dyDescent="0.3">
      <c r="C941" s="1"/>
      <c r="D941" s="8">
        <v>2018</v>
      </c>
      <c r="E941" s="14">
        <f>Data!N941</f>
        <v>1591000000</v>
      </c>
      <c r="F941" s="14">
        <f>Data!K941</f>
        <v>96280000000</v>
      </c>
      <c r="G941" s="12">
        <f t="shared" si="14"/>
        <v>1.6524719567926879E-2</v>
      </c>
    </row>
    <row r="942" spans="2:7" ht="15" customHeight="1" x14ac:dyDescent="0.3">
      <c r="C942" s="1"/>
      <c r="D942" s="8">
        <v>2019</v>
      </c>
      <c r="E942" s="14">
        <f>Data!N942</f>
        <v>8279000000</v>
      </c>
      <c r="F942" s="14">
        <f>Data!K942</f>
        <v>104117000000</v>
      </c>
      <c r="G942" s="12">
        <f t="shared" si="14"/>
        <v>7.9516313378218739E-2</v>
      </c>
    </row>
    <row r="943" spans="2:7" ht="15" customHeight="1" x14ac:dyDescent="0.3">
      <c r="C943" s="1"/>
      <c r="D943" s="8">
        <v>2020</v>
      </c>
      <c r="E943" s="14">
        <f>Data!N943</f>
        <v>7000000</v>
      </c>
      <c r="F943" s="14">
        <f>Data!K943</f>
        <v>31897000000</v>
      </c>
      <c r="G943" s="12">
        <f t="shared" si="14"/>
        <v>2.194563752076998E-4</v>
      </c>
    </row>
    <row r="944" spans="2:7" ht="15" customHeight="1" x14ac:dyDescent="0.3">
      <c r="C944" s="1"/>
      <c r="D944" s="8">
        <v>2021</v>
      </c>
      <c r="E944" s="14">
        <f>Data!N944</f>
        <v>5785000000</v>
      </c>
      <c r="F944" s="14">
        <f>Data!K944</f>
        <v>37602000000</v>
      </c>
      <c r="G944" s="12">
        <f t="shared" si="14"/>
        <v>0.15384819956385298</v>
      </c>
    </row>
    <row r="945" spans="2:7" ht="15" customHeight="1" x14ac:dyDescent="0.3">
      <c r="C945" s="1"/>
      <c r="D945" s="8">
        <v>2022</v>
      </c>
      <c r="E945" s="14">
        <f>Data!N945</f>
        <v>14499000000</v>
      </c>
      <c r="F945" s="14">
        <f>Data!K945</f>
        <v>52085000000</v>
      </c>
      <c r="G945" s="12">
        <f t="shared" si="14"/>
        <v>0.27837189209945284</v>
      </c>
    </row>
    <row r="946" spans="2:7" ht="15" customHeight="1" x14ac:dyDescent="0.3">
      <c r="C946" s="1"/>
      <c r="D946" s="8">
        <v>2023</v>
      </c>
      <c r="E946" s="14">
        <f>Data!N946</f>
        <v>9463000000</v>
      </c>
      <c r="F946" s="14">
        <f>Data!K946</f>
        <v>61841000000</v>
      </c>
      <c r="G946" s="12">
        <f t="shared" si="14"/>
        <v>0.15302145825584967</v>
      </c>
    </row>
    <row r="947" spans="2:7" ht="15" customHeight="1" x14ac:dyDescent="0.3">
      <c r="C947" s="1"/>
      <c r="D947" s="8">
        <v>2024</v>
      </c>
      <c r="E947" s="14">
        <f>Data!N947</f>
        <v>9720000000</v>
      </c>
      <c r="F947" s="14">
        <f>Data!K947</f>
        <v>71716000000</v>
      </c>
      <c r="G947" s="12">
        <f t="shared" si="14"/>
        <v>0.13553460873445256</v>
      </c>
    </row>
    <row r="948" spans="2:7" ht="15" customHeight="1" x14ac:dyDescent="0.3">
      <c r="B948" s="8">
        <v>87</v>
      </c>
      <c r="C948" s="4" t="s">
        <v>129</v>
      </c>
      <c r="D948" s="8">
        <v>2014</v>
      </c>
      <c r="E948" s="14">
        <f>Data!N948</f>
        <v>0</v>
      </c>
      <c r="F948" s="14">
        <f>Data!K948</f>
        <v>0</v>
      </c>
      <c r="G948" s="12">
        <f t="shared" si="14"/>
        <v>0</v>
      </c>
    </row>
    <row r="949" spans="2:7" ht="15" customHeight="1" x14ac:dyDescent="0.3">
      <c r="C949" s="4"/>
      <c r="D949" s="8">
        <v>2015</v>
      </c>
      <c r="E949" s="14">
        <f>Data!N949</f>
        <v>0</v>
      </c>
      <c r="F949" s="14">
        <f>Data!K949</f>
        <v>0</v>
      </c>
      <c r="G949" s="12">
        <f t="shared" si="14"/>
        <v>0</v>
      </c>
    </row>
    <row r="950" spans="2:7" ht="15" customHeight="1" x14ac:dyDescent="0.3">
      <c r="C950" s="4"/>
      <c r="D950" s="8">
        <v>2016</v>
      </c>
      <c r="E950" s="14">
        <f>Data!N950</f>
        <v>0</v>
      </c>
      <c r="F950" s="14">
        <f>Data!K950</f>
        <v>0</v>
      </c>
      <c r="G950" s="12">
        <f t="shared" si="14"/>
        <v>0</v>
      </c>
    </row>
    <row r="951" spans="2:7" ht="15" customHeight="1" x14ac:dyDescent="0.3">
      <c r="C951" s="4"/>
      <c r="D951" s="8">
        <v>2017</v>
      </c>
      <c r="E951" s="14">
        <f>Data!N951</f>
        <v>0</v>
      </c>
      <c r="F951" s="14">
        <f>Data!K951</f>
        <v>0</v>
      </c>
      <c r="G951" s="12">
        <f t="shared" si="14"/>
        <v>0</v>
      </c>
    </row>
    <row r="952" spans="2:7" ht="15" customHeight="1" x14ac:dyDescent="0.3">
      <c r="C952" s="4"/>
      <c r="D952" s="8">
        <v>2018</v>
      </c>
      <c r="E952" s="14">
        <f>Data!N952</f>
        <v>0</v>
      </c>
      <c r="F952" s="14">
        <f>Data!K952</f>
        <v>0</v>
      </c>
      <c r="G952" s="12">
        <f t="shared" si="14"/>
        <v>0</v>
      </c>
    </row>
    <row r="953" spans="2:7" ht="15" customHeight="1" x14ac:dyDescent="0.3">
      <c r="C953" s="4"/>
      <c r="D953" s="8">
        <v>2019</v>
      </c>
      <c r="E953" s="14">
        <f>Data!N953</f>
        <v>0</v>
      </c>
      <c r="F953" s="14">
        <f>Data!K953</f>
        <v>0</v>
      </c>
      <c r="G953" s="12">
        <f t="shared" si="14"/>
        <v>0</v>
      </c>
    </row>
    <row r="954" spans="2:7" ht="15" customHeight="1" x14ac:dyDescent="0.3">
      <c r="C954" s="4"/>
      <c r="D954" s="8">
        <v>2020</v>
      </c>
      <c r="E954" s="14">
        <f>Data!N954</f>
        <v>0</v>
      </c>
      <c r="F954" s="14">
        <f>Data!K954</f>
        <v>0</v>
      </c>
      <c r="G954" s="12">
        <f t="shared" si="14"/>
        <v>0</v>
      </c>
    </row>
    <row r="955" spans="2:7" ht="15" customHeight="1" x14ac:dyDescent="0.3">
      <c r="C955" s="4"/>
      <c r="D955" s="8">
        <v>2021</v>
      </c>
      <c r="E955" s="14">
        <f>Data!N955</f>
        <v>0</v>
      </c>
      <c r="F955" s="14">
        <f>Data!K955</f>
        <v>0</v>
      </c>
      <c r="G955" s="12">
        <f t="shared" si="14"/>
        <v>0</v>
      </c>
    </row>
    <row r="956" spans="2:7" ht="15" customHeight="1" x14ac:dyDescent="0.3">
      <c r="C956" s="4"/>
      <c r="D956" s="8">
        <v>2022</v>
      </c>
      <c r="E956" s="14">
        <f>Data!N956</f>
        <v>0</v>
      </c>
      <c r="F956" s="14">
        <f>Data!K956</f>
        <v>0</v>
      </c>
      <c r="G956" s="12">
        <f t="shared" si="14"/>
        <v>0</v>
      </c>
    </row>
    <row r="957" spans="2:7" ht="15" customHeight="1" x14ac:dyDescent="0.3">
      <c r="C957" s="4"/>
      <c r="D957" s="8">
        <v>2023</v>
      </c>
      <c r="E957" s="14">
        <f>Data!N957</f>
        <v>0</v>
      </c>
      <c r="F957" s="14">
        <f>Data!K957</f>
        <v>0</v>
      </c>
      <c r="G957" s="12">
        <f t="shared" si="14"/>
        <v>0</v>
      </c>
    </row>
    <row r="958" spans="2:7" ht="15" customHeight="1" x14ac:dyDescent="0.3">
      <c r="C958" s="4"/>
      <c r="D958" s="8">
        <v>2024</v>
      </c>
      <c r="E958" s="14">
        <f>Data!N958</f>
        <v>0</v>
      </c>
      <c r="F958" s="14">
        <f>Data!K958</f>
        <v>0</v>
      </c>
      <c r="G958" s="12">
        <f t="shared" si="14"/>
        <v>0</v>
      </c>
    </row>
    <row r="959" spans="2:7" ht="15" customHeight="1" x14ac:dyDescent="0.3">
      <c r="B959" s="8">
        <v>88</v>
      </c>
      <c r="C959" s="2" t="s">
        <v>100</v>
      </c>
      <c r="D959" s="8">
        <v>2014</v>
      </c>
      <c r="E959" s="14">
        <f>Data!N959</f>
        <v>0</v>
      </c>
      <c r="F959" s="14">
        <f>Data!K959</f>
        <v>0</v>
      </c>
      <c r="G959" s="12">
        <f t="shared" si="14"/>
        <v>0</v>
      </c>
    </row>
    <row r="960" spans="2:7" ht="15" customHeight="1" x14ac:dyDescent="0.3">
      <c r="C960" s="2"/>
      <c r="D960" s="8">
        <v>2015</v>
      </c>
      <c r="E960" s="14">
        <f>Data!N960</f>
        <v>0</v>
      </c>
      <c r="F960" s="14">
        <f>Data!K960</f>
        <v>0</v>
      </c>
      <c r="G960" s="12">
        <f t="shared" si="14"/>
        <v>0</v>
      </c>
    </row>
    <row r="961" spans="2:7" ht="15" customHeight="1" x14ac:dyDescent="0.3">
      <c r="C961" s="2"/>
      <c r="D961" s="8">
        <v>2016</v>
      </c>
      <c r="E961" s="14">
        <f>Data!N961</f>
        <v>0</v>
      </c>
      <c r="F961" s="14">
        <f>Data!K961</f>
        <v>0</v>
      </c>
      <c r="G961" s="12">
        <f t="shared" si="14"/>
        <v>0</v>
      </c>
    </row>
    <row r="962" spans="2:7" ht="15" customHeight="1" x14ac:dyDescent="0.3">
      <c r="C962" s="2"/>
      <c r="D962" s="8">
        <v>2017</v>
      </c>
      <c r="E962" s="14">
        <f>Data!N962</f>
        <v>0</v>
      </c>
      <c r="F962" s="14">
        <f>Data!K962</f>
        <v>0</v>
      </c>
      <c r="G962" s="12">
        <f t="shared" si="14"/>
        <v>0</v>
      </c>
    </row>
    <row r="963" spans="2:7" ht="15" customHeight="1" x14ac:dyDescent="0.3">
      <c r="C963" s="2"/>
      <c r="D963" s="8">
        <v>2018</v>
      </c>
      <c r="E963" s="14">
        <f>Data!N963</f>
        <v>0</v>
      </c>
      <c r="F963" s="14">
        <f>Data!K963</f>
        <v>0</v>
      </c>
      <c r="G963" s="12">
        <f t="shared" ref="G963:G1026" si="15">IFERROR(E963/F963,0)</f>
        <v>0</v>
      </c>
    </row>
    <row r="964" spans="2:7" ht="15" customHeight="1" x14ac:dyDescent="0.3">
      <c r="C964" s="2"/>
      <c r="D964" s="8">
        <v>2019</v>
      </c>
      <c r="E964" s="14">
        <f>Data!N964</f>
        <v>0</v>
      </c>
      <c r="F964" s="14">
        <f>Data!K964</f>
        <v>0</v>
      </c>
      <c r="G964" s="12">
        <f t="shared" si="15"/>
        <v>0</v>
      </c>
    </row>
    <row r="965" spans="2:7" ht="15" customHeight="1" x14ac:dyDescent="0.3">
      <c r="C965" s="2"/>
      <c r="D965" s="8">
        <v>2020</v>
      </c>
      <c r="E965" s="14">
        <f>Data!N965</f>
        <v>0</v>
      </c>
      <c r="F965" s="14">
        <f>Data!K965</f>
        <v>0</v>
      </c>
      <c r="G965" s="12">
        <f t="shared" si="15"/>
        <v>0</v>
      </c>
    </row>
    <row r="966" spans="2:7" ht="15" customHeight="1" x14ac:dyDescent="0.3">
      <c r="C966" s="2"/>
      <c r="D966" s="8">
        <v>2021</v>
      </c>
      <c r="E966" s="14">
        <f>Data!N966</f>
        <v>0</v>
      </c>
      <c r="F966" s="14">
        <f>Data!K966</f>
        <v>0</v>
      </c>
      <c r="G966" s="12">
        <f t="shared" si="15"/>
        <v>0</v>
      </c>
    </row>
    <row r="967" spans="2:7" ht="15" customHeight="1" x14ac:dyDescent="0.3">
      <c r="C967" s="2"/>
      <c r="D967" s="8">
        <v>2022</v>
      </c>
      <c r="E967" s="14">
        <f>Data!N967</f>
        <v>0</v>
      </c>
      <c r="F967" s="14">
        <f>Data!K967</f>
        <v>0</v>
      </c>
      <c r="G967" s="12">
        <f t="shared" si="15"/>
        <v>0</v>
      </c>
    </row>
    <row r="968" spans="2:7" ht="15" customHeight="1" x14ac:dyDescent="0.3">
      <c r="C968" s="2"/>
      <c r="D968" s="8">
        <v>2023</v>
      </c>
      <c r="E968" s="14">
        <f>Data!N968</f>
        <v>0</v>
      </c>
      <c r="F968" s="14">
        <f>Data!K968</f>
        <v>0</v>
      </c>
      <c r="G968" s="12">
        <f t="shared" si="15"/>
        <v>0</v>
      </c>
    </row>
    <row r="969" spans="2:7" ht="15" customHeight="1" x14ac:dyDescent="0.3">
      <c r="C969" s="2"/>
      <c r="D969" s="8">
        <v>2024</v>
      </c>
      <c r="E969" s="14">
        <f>Data!N969</f>
        <v>0</v>
      </c>
      <c r="F969" s="14">
        <f>Data!K969</f>
        <v>0</v>
      </c>
      <c r="G969" s="12">
        <f t="shared" si="15"/>
        <v>0</v>
      </c>
    </row>
    <row r="970" spans="2:7" ht="15" customHeight="1" x14ac:dyDescent="0.3">
      <c r="B970" s="8">
        <v>89</v>
      </c>
      <c r="C970" s="2" t="s">
        <v>101</v>
      </c>
      <c r="D970" s="8">
        <v>2014</v>
      </c>
      <c r="E970" s="14">
        <f>Data!N970</f>
        <v>0</v>
      </c>
      <c r="F970" s="14">
        <f>Data!K970</f>
        <v>0</v>
      </c>
      <c r="G970" s="12">
        <f t="shared" si="15"/>
        <v>0</v>
      </c>
    </row>
    <row r="971" spans="2:7" ht="15" customHeight="1" x14ac:dyDescent="0.3">
      <c r="C971" s="2"/>
      <c r="D971" s="8">
        <v>2015</v>
      </c>
      <c r="E971" s="14">
        <f>Data!N971</f>
        <v>9171050031</v>
      </c>
      <c r="F971" s="14">
        <f>Data!K971</f>
        <v>225241558243</v>
      </c>
      <c r="G971" s="12">
        <f t="shared" si="15"/>
        <v>4.0716509433422976E-2</v>
      </c>
    </row>
    <row r="972" spans="2:7" ht="15" customHeight="1" x14ac:dyDescent="0.3">
      <c r="C972" s="2"/>
      <c r="D972" s="8">
        <v>2016</v>
      </c>
      <c r="E972" s="14">
        <f>Data!N972</f>
        <v>41755380041</v>
      </c>
      <c r="F972" s="14">
        <f>Data!K972</f>
        <v>269632579797</v>
      </c>
      <c r="G972" s="12">
        <f t="shared" si="15"/>
        <v>0.15486029200342422</v>
      </c>
    </row>
    <row r="973" spans="2:7" ht="15" customHeight="1" x14ac:dyDescent="0.3">
      <c r="C973" s="2"/>
      <c r="D973" s="8">
        <v>2017</v>
      </c>
      <c r="E973" s="14">
        <f>Data!N973</f>
        <v>52743811762</v>
      </c>
      <c r="F973" s="14">
        <f>Data!K973</f>
        <v>454968310890</v>
      </c>
      <c r="G973" s="12">
        <f t="shared" si="15"/>
        <v>0.11592853941590701</v>
      </c>
    </row>
    <row r="974" spans="2:7" ht="15" customHeight="1" x14ac:dyDescent="0.3">
      <c r="C974" s="2"/>
      <c r="D974" s="8">
        <v>2018</v>
      </c>
      <c r="E974" s="14">
        <f>Data!N974</f>
        <v>69900405337</v>
      </c>
      <c r="F974" s="14">
        <f>Data!K974</f>
        <v>519594297238</v>
      </c>
      <c r="G974" s="12">
        <f t="shared" si="15"/>
        <v>0.13452881547886222</v>
      </c>
    </row>
    <row r="975" spans="2:7" ht="15" customHeight="1" x14ac:dyDescent="0.3">
      <c r="C975" s="2"/>
      <c r="D975" s="8">
        <v>2019</v>
      </c>
      <c r="E975" s="14">
        <f>Data!N975</f>
        <v>9408511340</v>
      </c>
      <c r="F975" s="14">
        <f>Data!K975</f>
        <v>530294832434</v>
      </c>
      <c r="G975" s="12">
        <f t="shared" si="15"/>
        <v>1.7742038512455191E-2</v>
      </c>
    </row>
    <row r="976" spans="2:7" ht="15" customHeight="1" x14ac:dyDescent="0.3">
      <c r="C976" s="2"/>
      <c r="D976" s="8">
        <v>2020</v>
      </c>
      <c r="E976" s="14">
        <f>Data!N976</f>
        <v>-88526593736</v>
      </c>
      <c r="F976" s="14">
        <f>Data!K976</f>
        <v>443450319375</v>
      </c>
      <c r="G976" s="12">
        <f t="shared" si="15"/>
        <v>-0.19963136763723521</v>
      </c>
    </row>
    <row r="977" spans="2:7" ht="15" customHeight="1" x14ac:dyDescent="0.3">
      <c r="C977" s="2"/>
      <c r="D977" s="8">
        <v>2021</v>
      </c>
      <c r="E977" s="14">
        <f>Data!N977</f>
        <v>19550788783</v>
      </c>
      <c r="F977" s="14">
        <f>Data!K977</f>
        <v>462879983946</v>
      </c>
      <c r="G977" s="12">
        <f t="shared" si="15"/>
        <v>4.2237274155455411E-2</v>
      </c>
    </row>
    <row r="978" spans="2:7" ht="15" customHeight="1" x14ac:dyDescent="0.3">
      <c r="C978" s="2"/>
      <c r="D978" s="8">
        <v>2022</v>
      </c>
      <c r="E978" s="14">
        <f>Data!N978</f>
        <v>-86331829021</v>
      </c>
      <c r="F978" s="14">
        <f>Data!K978</f>
        <v>376952349563</v>
      </c>
      <c r="G978" s="12">
        <f t="shared" si="15"/>
        <v>-0.22902584138574622</v>
      </c>
    </row>
    <row r="979" spans="2:7" ht="15" customHeight="1" x14ac:dyDescent="0.3">
      <c r="C979" s="2"/>
      <c r="D979" s="8">
        <v>2023</v>
      </c>
      <c r="E979" s="14">
        <f>Data!N979</f>
        <v>7568967642</v>
      </c>
      <c r="F979" s="14">
        <f>Data!K979</f>
        <v>385442024803</v>
      </c>
      <c r="G979" s="12">
        <f t="shared" si="15"/>
        <v>1.9637110524905816E-2</v>
      </c>
    </row>
    <row r="980" spans="2:7" ht="15" customHeight="1" x14ac:dyDescent="0.3">
      <c r="C980" s="2"/>
      <c r="D980" s="8">
        <v>2024</v>
      </c>
      <c r="E980" s="14">
        <f>Data!N980</f>
        <v>7077123622</v>
      </c>
      <c r="F980" s="14">
        <f>Data!K980</f>
        <v>390973640398</v>
      </c>
      <c r="G980" s="12">
        <f t="shared" si="15"/>
        <v>1.8101280727763871E-2</v>
      </c>
    </row>
    <row r="981" spans="2:7" ht="15" customHeight="1" x14ac:dyDescent="0.3">
      <c r="B981" s="8">
        <v>90</v>
      </c>
      <c r="C981" s="2" t="s">
        <v>93</v>
      </c>
      <c r="D981" s="8">
        <v>2014</v>
      </c>
      <c r="E981" s="14">
        <f>Data!N981</f>
        <v>0</v>
      </c>
      <c r="F981" s="14">
        <f>Data!K981</f>
        <v>0</v>
      </c>
      <c r="G981" s="12">
        <f t="shared" si="15"/>
        <v>0</v>
      </c>
    </row>
    <row r="982" spans="2:7" ht="15" customHeight="1" x14ac:dyDescent="0.3">
      <c r="C982" s="2"/>
      <c r="D982" s="8">
        <v>2015</v>
      </c>
      <c r="E982" s="14">
        <f>Data!N982</f>
        <v>33021000000</v>
      </c>
      <c r="F982" s="14">
        <f>Data!K982</f>
        <v>164901000000</v>
      </c>
      <c r="G982" s="12">
        <f t="shared" si="15"/>
        <v>0.20024742117998071</v>
      </c>
    </row>
    <row r="983" spans="2:7" ht="15" customHeight="1" x14ac:dyDescent="0.3">
      <c r="C983" s="2"/>
      <c r="D983" s="8">
        <v>2016</v>
      </c>
      <c r="E983" s="14">
        <f>Data!N983</f>
        <v>41163000000</v>
      </c>
      <c r="F983" s="14">
        <f>Data!K983</f>
        <v>206064000000</v>
      </c>
      <c r="G983" s="12">
        <f t="shared" si="15"/>
        <v>0.19975832750989983</v>
      </c>
    </row>
    <row r="984" spans="2:7" ht="15" customHeight="1" x14ac:dyDescent="0.3">
      <c r="C984" s="2"/>
      <c r="D984" s="8">
        <v>2017</v>
      </c>
      <c r="E984" s="14">
        <f>Data!N984</f>
        <v>66851000000</v>
      </c>
      <c r="F984" s="14">
        <f>Data!K984</f>
        <v>272915000000</v>
      </c>
      <c r="G984" s="12">
        <f t="shared" si="15"/>
        <v>0.2449517248960299</v>
      </c>
    </row>
    <row r="985" spans="2:7" ht="15" customHeight="1" x14ac:dyDescent="0.3">
      <c r="C985" s="2"/>
      <c r="D985" s="8">
        <v>2018</v>
      </c>
      <c r="E985" s="14">
        <f>Data!N985</f>
        <v>62098000000</v>
      </c>
      <c r="F985" s="14">
        <f>Data!K985</f>
        <v>335459000000</v>
      </c>
      <c r="G985" s="12">
        <f t="shared" si="15"/>
        <v>0.18511353101273181</v>
      </c>
    </row>
    <row r="986" spans="2:7" ht="15" customHeight="1" x14ac:dyDescent="0.3">
      <c r="C986" s="2"/>
      <c r="D986" s="8">
        <v>2019</v>
      </c>
      <c r="E986" s="14">
        <f>Data!N986</f>
        <v>79602000000</v>
      </c>
      <c r="F986" s="14">
        <f>Data!K986</f>
        <v>415061000000</v>
      </c>
      <c r="G986" s="12">
        <f t="shared" si="15"/>
        <v>0.19178385827625338</v>
      </c>
    </row>
    <row r="987" spans="2:7" ht="15" customHeight="1" x14ac:dyDescent="0.3">
      <c r="C987" s="2"/>
      <c r="D987" s="8">
        <v>2020</v>
      </c>
      <c r="E987" s="14">
        <f>Data!N987</f>
        <v>107521000000</v>
      </c>
      <c r="F987" s="14">
        <f>Data!K987</f>
        <v>523192000000</v>
      </c>
      <c r="G987" s="12">
        <f t="shared" si="15"/>
        <v>0.20550964082019602</v>
      </c>
    </row>
    <row r="988" spans="2:7" ht="15" customHeight="1" x14ac:dyDescent="0.3">
      <c r="C988" s="2"/>
      <c r="D988" s="8">
        <v>2021</v>
      </c>
      <c r="E988" s="14">
        <f>Data!N988</f>
        <v>83387000000</v>
      </c>
      <c r="F988" s="14">
        <f>Data!K988</f>
        <v>606923000000</v>
      </c>
      <c r="G988" s="12">
        <f t="shared" si="15"/>
        <v>0.13739304656439119</v>
      </c>
    </row>
    <row r="989" spans="2:7" ht="15" customHeight="1" x14ac:dyDescent="0.3">
      <c r="C989" s="2"/>
      <c r="D989" s="8">
        <v>2022</v>
      </c>
      <c r="E989" s="14">
        <f>Data!N989</f>
        <v>63985000000</v>
      </c>
      <c r="F989" s="14">
        <f>Data!K989</f>
        <v>670856000000</v>
      </c>
      <c r="G989" s="12">
        <f t="shared" si="15"/>
        <v>9.5378143744708252E-2</v>
      </c>
    </row>
    <row r="990" spans="2:7" ht="15" customHeight="1" x14ac:dyDescent="0.3">
      <c r="C990" s="2"/>
      <c r="D990" s="8">
        <v>2023</v>
      </c>
      <c r="E990" s="14">
        <f>Data!N990</f>
        <v>46743000000</v>
      </c>
      <c r="F990" s="14">
        <f>Data!K990</f>
        <v>717467000000</v>
      </c>
      <c r="G990" s="12">
        <f t="shared" si="15"/>
        <v>6.5150034775118576E-2</v>
      </c>
    </row>
    <row r="991" spans="2:7" ht="15" customHeight="1" x14ac:dyDescent="0.3">
      <c r="C991" s="2"/>
      <c r="D991" s="8">
        <v>2024</v>
      </c>
      <c r="E991" s="14">
        <f>Data!N991</f>
        <v>38215000000</v>
      </c>
      <c r="F991" s="14">
        <f>Data!K991</f>
        <v>755759000000</v>
      </c>
      <c r="G991" s="12">
        <f t="shared" si="15"/>
        <v>5.0565061084287453E-2</v>
      </c>
    </row>
    <row r="992" spans="2:7" ht="15" customHeight="1" x14ac:dyDescent="0.3">
      <c r="B992" s="8">
        <v>91</v>
      </c>
      <c r="C992" s="2" t="s">
        <v>88</v>
      </c>
      <c r="D992" s="8">
        <v>2014</v>
      </c>
      <c r="E992" s="14">
        <f>Data!N992</f>
        <v>0</v>
      </c>
      <c r="F992" s="14">
        <f>Data!K992</f>
        <v>0</v>
      </c>
      <c r="G992" s="12">
        <f t="shared" si="15"/>
        <v>0</v>
      </c>
    </row>
    <row r="993" spans="2:7" ht="15" customHeight="1" x14ac:dyDescent="0.3">
      <c r="C993" s="2"/>
      <c r="D993" s="8">
        <v>2015</v>
      </c>
      <c r="E993" s="14">
        <f>Data!N993</f>
        <v>177826000000</v>
      </c>
      <c r="F993" s="14">
        <f>Data!K993</f>
        <v>726372000000</v>
      </c>
      <c r="G993" s="12">
        <f t="shared" si="15"/>
        <v>0.24481395207965065</v>
      </c>
    </row>
    <row r="994" spans="2:7" ht="15" customHeight="1" x14ac:dyDescent="0.3">
      <c r="C994" s="2"/>
      <c r="D994" s="8">
        <v>2016</v>
      </c>
      <c r="E994" s="14">
        <f>Data!N994</f>
        <v>154934000000</v>
      </c>
      <c r="F994" s="14">
        <f>Data!K994</f>
        <v>788925000000</v>
      </c>
      <c r="G994" s="12">
        <f t="shared" si="15"/>
        <v>0.19638622175745477</v>
      </c>
    </row>
    <row r="995" spans="2:7" ht="15" customHeight="1" x14ac:dyDescent="0.3">
      <c r="C995" s="2"/>
      <c r="D995" s="8">
        <v>2017</v>
      </c>
      <c r="E995" s="14">
        <f>Data!N995</f>
        <v>127030000000</v>
      </c>
      <c r="F995" s="14">
        <f>Data!K995</f>
        <v>842970000000</v>
      </c>
      <c r="G995" s="12">
        <f t="shared" si="15"/>
        <v>0.15069338173363228</v>
      </c>
    </row>
    <row r="996" spans="2:7" ht="15" customHeight="1" x14ac:dyDescent="0.3">
      <c r="C996" s="2"/>
      <c r="D996" s="8">
        <v>2018</v>
      </c>
      <c r="E996" s="14">
        <f>Data!N996</f>
        <v>83039000000</v>
      </c>
      <c r="F996" s="14">
        <f>Data!K996</f>
        <v>875126000000</v>
      </c>
      <c r="G996" s="12">
        <f t="shared" si="15"/>
        <v>9.488805040645576E-2</v>
      </c>
    </row>
    <row r="997" spans="2:7" ht="15" customHeight="1" x14ac:dyDescent="0.3">
      <c r="C997" s="2"/>
      <c r="D997" s="8">
        <v>2019</v>
      </c>
      <c r="E997" s="14">
        <f>Data!N997</f>
        <v>133709000000</v>
      </c>
      <c r="F997" s="14">
        <f>Data!K997</f>
        <v>952119000000</v>
      </c>
      <c r="G997" s="12">
        <f t="shared" si="15"/>
        <v>0.14043307611758615</v>
      </c>
    </row>
    <row r="998" spans="2:7" ht="15" customHeight="1" x14ac:dyDescent="0.3">
      <c r="C998" s="2"/>
      <c r="D998" s="8">
        <v>2020</v>
      </c>
      <c r="E998" s="14">
        <f>Data!N998</f>
        <v>98223000000</v>
      </c>
      <c r="F998" s="14">
        <f>Data!K998</f>
        <v>1019667000000</v>
      </c>
      <c r="G998" s="12">
        <f t="shared" si="15"/>
        <v>9.6328507247954484E-2</v>
      </c>
    </row>
    <row r="999" spans="2:7" ht="15" customHeight="1" x14ac:dyDescent="0.3">
      <c r="C999" s="2"/>
      <c r="D999" s="8">
        <v>2021</v>
      </c>
      <c r="E999" s="14">
        <f>Data!N999</f>
        <v>150262000000</v>
      </c>
      <c r="F999" s="14">
        <f>Data!K999</f>
        <v>1096891000000</v>
      </c>
      <c r="G999" s="12">
        <f t="shared" si="15"/>
        <v>0.13698899890691052</v>
      </c>
    </row>
    <row r="1000" spans="2:7" ht="15" customHeight="1" x14ac:dyDescent="0.3">
      <c r="C1000" s="2"/>
      <c r="D1000" s="8">
        <v>2022</v>
      </c>
      <c r="E1000" s="14">
        <f>Data!N1000</f>
        <v>134116000000</v>
      </c>
      <c r="F1000" s="14">
        <f>Data!K1000</f>
        <v>1062324000000</v>
      </c>
      <c r="G1000" s="12">
        <f t="shared" si="15"/>
        <v>0.12624773609557913</v>
      </c>
    </row>
    <row r="1001" spans="2:7" ht="15" customHeight="1" x14ac:dyDescent="0.3">
      <c r="C1001" s="2"/>
      <c r="D1001" s="8">
        <v>2023</v>
      </c>
      <c r="E1001" s="14">
        <f>Data!N1001</f>
        <v>212388000000</v>
      </c>
      <c r="F1001" s="14">
        <f>Data!K1001</f>
        <v>1231642000000</v>
      </c>
      <c r="G1001" s="12">
        <f t="shared" si="15"/>
        <v>0.17244296638146475</v>
      </c>
    </row>
    <row r="1002" spans="2:7" ht="15" customHeight="1" x14ac:dyDescent="0.3">
      <c r="C1002" s="2"/>
      <c r="D1002" s="8">
        <v>2024</v>
      </c>
      <c r="E1002" s="14">
        <f>Data!N1002</f>
        <v>104313000000</v>
      </c>
      <c r="F1002" s="14">
        <f>Data!K1002</f>
        <v>1128071000000</v>
      </c>
      <c r="G1002" s="12">
        <f t="shared" si="15"/>
        <v>9.2470243450988462E-2</v>
      </c>
    </row>
    <row r="1003" spans="2:7" ht="15" customHeight="1" x14ac:dyDescent="0.3">
      <c r="B1003" s="8">
        <v>92</v>
      </c>
      <c r="C1003" s="2" t="s">
        <v>94</v>
      </c>
      <c r="D1003" s="8">
        <v>2014</v>
      </c>
      <c r="E1003" s="14">
        <f>Data!N1003</f>
        <v>0</v>
      </c>
      <c r="F1003" s="14">
        <f>Data!K1003</f>
        <v>0</v>
      </c>
      <c r="G1003" s="12">
        <f t="shared" si="15"/>
        <v>0</v>
      </c>
    </row>
    <row r="1004" spans="2:7" ht="15" customHeight="1" x14ac:dyDescent="0.3">
      <c r="C1004" s="2"/>
      <c r="D1004" s="8">
        <v>2015</v>
      </c>
      <c r="E1004" s="14">
        <f>Data!N1004</f>
        <v>193750252000</v>
      </c>
      <c r="F1004" s="14">
        <f>Data!K1004</f>
        <v>1508526723000</v>
      </c>
      <c r="G1004" s="12">
        <f t="shared" si="15"/>
        <v>0.12843673833943742</v>
      </c>
    </row>
    <row r="1005" spans="2:7" ht="15" customHeight="1" x14ac:dyDescent="0.3">
      <c r="C1005" s="2"/>
      <c r="D1005" s="8">
        <v>2016</v>
      </c>
      <c r="E1005" s="14">
        <f>Data!N1005</f>
        <v>130306422000</v>
      </c>
      <c r="F1005" s="14">
        <f>Data!K1005</f>
        <v>1763758503000</v>
      </c>
      <c r="G1005" s="12">
        <f t="shared" si="15"/>
        <v>7.3879968135297486E-2</v>
      </c>
    </row>
    <row r="1006" spans="2:7" ht="15" customHeight="1" x14ac:dyDescent="0.3">
      <c r="C1006" s="2"/>
      <c r="D1006" s="8">
        <v>2017</v>
      </c>
      <c r="E1006" s="14">
        <f>Data!N1006</f>
        <v>123189910000</v>
      </c>
      <c r="F1006" s="14">
        <f>Data!K1006</f>
        <v>1854009404000</v>
      </c>
      <c r="G1006" s="12">
        <f t="shared" si="15"/>
        <v>6.6445137621319206E-2</v>
      </c>
    </row>
    <row r="1007" spans="2:7" ht="15" customHeight="1" x14ac:dyDescent="0.3">
      <c r="C1007" s="2"/>
      <c r="D1007" s="8">
        <v>2018</v>
      </c>
      <c r="E1007" s="14">
        <f>Data!N1007</f>
        <v>28246915000</v>
      </c>
      <c r="F1007" s="14">
        <f>Data!K1007</f>
        <v>1826304984000</v>
      </c>
      <c r="G1007" s="12">
        <f t="shared" si="15"/>
        <v>1.5466702028120841E-2</v>
      </c>
    </row>
    <row r="1008" spans="2:7" ht="15" customHeight="1" x14ac:dyDescent="0.3">
      <c r="C1008" s="2"/>
      <c r="D1008" s="8">
        <v>2019</v>
      </c>
      <c r="E1008" s="14">
        <f>Data!N1008</f>
        <v>73060310000</v>
      </c>
      <c r="F1008" s="14">
        <f>Data!K1008</f>
        <v>1951094614000</v>
      </c>
      <c r="G1008" s="12">
        <f t="shared" si="15"/>
        <v>3.7445805793198707E-2</v>
      </c>
    </row>
    <row r="1009" spans="2:7" ht="15" customHeight="1" x14ac:dyDescent="0.3">
      <c r="C1009" s="2"/>
      <c r="D1009" s="8">
        <v>2020</v>
      </c>
      <c r="E1009" s="14">
        <f>Data!N1009</f>
        <v>107253266000</v>
      </c>
      <c r="F1009" s="14">
        <f>Data!K1009</f>
        <v>2006374654000</v>
      </c>
      <c r="G1009" s="12">
        <f t="shared" si="15"/>
        <v>5.3456250449623155E-2</v>
      </c>
    </row>
    <row r="1010" spans="2:7" ht="15" customHeight="1" x14ac:dyDescent="0.3">
      <c r="C1010" s="2"/>
      <c r="D1010" s="8">
        <v>2021</v>
      </c>
      <c r="E1010" s="14">
        <f>Data!N1010</f>
        <v>149438469000</v>
      </c>
      <c r="F1010" s="14">
        <f>Data!K1010</f>
        <v>1859762049000</v>
      </c>
      <c r="G1010" s="12">
        <f t="shared" si="15"/>
        <v>8.0353542583769547E-2</v>
      </c>
    </row>
    <row r="1011" spans="2:7" ht="15" customHeight="1" x14ac:dyDescent="0.3">
      <c r="C1011" s="2"/>
      <c r="D1011" s="8">
        <v>2022</v>
      </c>
      <c r="E1011" s="14">
        <f>Data!N1011</f>
        <v>169774422000</v>
      </c>
      <c r="F1011" s="14">
        <f>Data!K1011</f>
        <v>1700336893000</v>
      </c>
      <c r="G1011" s="12">
        <f t="shared" si="15"/>
        <v>9.98475200408417E-2</v>
      </c>
    </row>
    <row r="1012" spans="2:7" ht="15" customHeight="1" x14ac:dyDescent="0.3">
      <c r="C1012" s="2"/>
      <c r="D1012" s="8">
        <v>2023</v>
      </c>
      <c r="E1012" s="14">
        <f>Data!N1012</f>
        <v>148073877000</v>
      </c>
      <c r="F1012" s="14">
        <f>Data!K1012</f>
        <v>1705656748000</v>
      </c>
      <c r="G1012" s="12">
        <f t="shared" si="15"/>
        <v>8.6813409071682696E-2</v>
      </c>
    </row>
    <row r="1013" spans="2:7" ht="15" customHeight="1" x14ac:dyDescent="0.3">
      <c r="C1013" s="2"/>
      <c r="D1013" s="8">
        <v>2024</v>
      </c>
      <c r="E1013" s="14">
        <f>Data!N1013</f>
        <v>228593443000</v>
      </c>
      <c r="F1013" s="14">
        <f>Data!K1013</f>
        <v>1817705803000</v>
      </c>
      <c r="G1013" s="12">
        <f t="shared" si="15"/>
        <v>0.1257593184896709</v>
      </c>
    </row>
    <row r="1014" spans="2:7" ht="15" customHeight="1" x14ac:dyDescent="0.3">
      <c r="B1014" s="8">
        <v>93</v>
      </c>
      <c r="C1014" s="2" t="s">
        <v>102</v>
      </c>
      <c r="D1014" s="8">
        <v>2014</v>
      </c>
      <c r="E1014" s="14">
        <f>Data!N1014</f>
        <v>0</v>
      </c>
      <c r="F1014" s="14">
        <f>Data!K1014</f>
        <v>0</v>
      </c>
      <c r="G1014" s="12">
        <f t="shared" si="15"/>
        <v>0</v>
      </c>
    </row>
    <row r="1015" spans="2:7" ht="15" customHeight="1" x14ac:dyDescent="0.3">
      <c r="C1015" s="2"/>
      <c r="D1015" s="8">
        <v>2015</v>
      </c>
      <c r="E1015" s="14">
        <f>Data!N1015</f>
        <v>2387000000</v>
      </c>
      <c r="F1015" s="14">
        <f>Data!K1015</f>
        <v>107881000000</v>
      </c>
      <c r="G1015" s="12">
        <f t="shared" si="15"/>
        <v>2.2126231681204291E-2</v>
      </c>
    </row>
    <row r="1016" spans="2:7" ht="15" customHeight="1" x14ac:dyDescent="0.3">
      <c r="C1016" s="2"/>
      <c r="D1016" s="8">
        <v>2016</v>
      </c>
      <c r="E1016" s="14">
        <f>Data!N1016</f>
        <v>8208000000</v>
      </c>
      <c r="F1016" s="14">
        <f>Data!K1016</f>
        <v>218751000000</v>
      </c>
      <c r="G1016" s="12">
        <f t="shared" si="15"/>
        <v>3.7522114184620869E-2</v>
      </c>
    </row>
    <row r="1017" spans="2:7" ht="15" customHeight="1" x14ac:dyDescent="0.3">
      <c r="C1017" s="2"/>
      <c r="D1017" s="8">
        <v>2017</v>
      </c>
      <c r="E1017" s="14">
        <f>Data!N1017</f>
        <v>9454000000</v>
      </c>
      <c r="F1017" s="14">
        <f>Data!K1017</f>
        <v>226379000000</v>
      </c>
      <c r="G1017" s="12">
        <f t="shared" si="15"/>
        <v>4.1761824197474144E-2</v>
      </c>
    </row>
    <row r="1018" spans="2:7" ht="15" customHeight="1" x14ac:dyDescent="0.3">
      <c r="C1018" s="2"/>
      <c r="D1018" s="8">
        <v>2018</v>
      </c>
      <c r="E1018" s="14">
        <f>Data!N1018</f>
        <v>13783000000</v>
      </c>
      <c r="F1018" s="14">
        <f>Data!K1018</f>
        <v>234924000000</v>
      </c>
      <c r="G1018" s="12">
        <f t="shared" si="15"/>
        <v>5.8670037969726377E-2</v>
      </c>
    </row>
    <row r="1019" spans="2:7" ht="15" customHeight="1" x14ac:dyDescent="0.3">
      <c r="C1019" s="2"/>
      <c r="D1019" s="8">
        <v>2019</v>
      </c>
      <c r="E1019" s="14">
        <f>Data!N1019</f>
        <v>21651000000</v>
      </c>
      <c r="F1019" s="14">
        <f>Data!K1019</f>
        <v>182828000000</v>
      </c>
      <c r="G1019" s="12">
        <f t="shared" si="15"/>
        <v>0.11842277988054346</v>
      </c>
    </row>
    <row r="1020" spans="2:7" ht="15" customHeight="1" x14ac:dyDescent="0.3">
      <c r="C1020" s="2"/>
      <c r="D1020" s="8">
        <v>2020</v>
      </c>
      <c r="E1020" s="14">
        <f>Data!N1020</f>
        <v>29534000000</v>
      </c>
      <c r="F1020" s="14">
        <f>Data!K1020</f>
        <v>230431000000</v>
      </c>
      <c r="G1020" s="12">
        <f t="shared" si="15"/>
        <v>0.12816851899267026</v>
      </c>
    </row>
    <row r="1021" spans="2:7" ht="15" customHeight="1" x14ac:dyDescent="0.3">
      <c r="C1021" s="2"/>
      <c r="D1021" s="8">
        <v>2021</v>
      </c>
      <c r="E1021" s="14">
        <f>Data!N1021</f>
        <v>24036000000</v>
      </c>
      <c r="F1021" s="14">
        <f>Data!K1021</f>
        <v>250885000000</v>
      </c>
      <c r="G1021" s="12">
        <f t="shared" si="15"/>
        <v>9.5804850828068638E-2</v>
      </c>
    </row>
    <row r="1022" spans="2:7" ht="15" customHeight="1" x14ac:dyDescent="0.3">
      <c r="C1022" s="2"/>
      <c r="D1022" s="8">
        <v>2022</v>
      </c>
      <c r="E1022" s="14">
        <f>Data!N1022</f>
        <v>55602000000</v>
      </c>
      <c r="F1022" s="14">
        <f>Data!K1022</f>
        <v>305975000000</v>
      </c>
      <c r="G1022" s="12">
        <f t="shared" si="15"/>
        <v>0.18172072881771387</v>
      </c>
    </row>
    <row r="1023" spans="2:7" ht="15" customHeight="1" x14ac:dyDescent="0.3">
      <c r="C1023" s="2"/>
      <c r="D1023" s="8">
        <v>2023</v>
      </c>
      <c r="E1023" s="14">
        <f>Data!N1023</f>
        <v>67483000000</v>
      </c>
      <c r="F1023" s="14">
        <f>Data!K1023</f>
        <v>355143000000</v>
      </c>
      <c r="G1023" s="12">
        <f t="shared" si="15"/>
        <v>0.19001641592260018</v>
      </c>
    </row>
    <row r="1024" spans="2:7" ht="15" customHeight="1" x14ac:dyDescent="0.3">
      <c r="C1024" s="2"/>
      <c r="D1024" s="8">
        <v>2024</v>
      </c>
      <c r="E1024" s="14">
        <f>Data!N1024</f>
        <v>83670000000</v>
      </c>
      <c r="F1024" s="14">
        <f>Data!K1024</f>
        <v>401299000000</v>
      </c>
      <c r="G1024" s="12">
        <f t="shared" si="15"/>
        <v>0.20849790305981325</v>
      </c>
    </row>
    <row r="1025" spans="2:7" ht="15" customHeight="1" x14ac:dyDescent="0.3">
      <c r="B1025" s="8">
        <v>94</v>
      </c>
      <c r="C1025" s="2" t="s">
        <v>114</v>
      </c>
      <c r="D1025" s="8">
        <v>2014</v>
      </c>
      <c r="E1025" s="14">
        <f>Data!N1025</f>
        <v>0</v>
      </c>
      <c r="F1025" s="14">
        <f>Data!K1025</f>
        <v>0</v>
      </c>
      <c r="G1025" s="12">
        <f t="shared" si="15"/>
        <v>0</v>
      </c>
    </row>
    <row r="1026" spans="2:7" ht="15" customHeight="1" x14ac:dyDescent="0.3">
      <c r="C1026" s="2"/>
      <c r="D1026" s="8">
        <v>2015</v>
      </c>
      <c r="E1026" s="14">
        <f>Data!N1026</f>
        <v>74020090000</v>
      </c>
      <c r="F1026" s="14">
        <f>Data!K1026</f>
        <v>345020010000</v>
      </c>
      <c r="G1026" s="12">
        <f t="shared" si="15"/>
        <v>0.21453854227179461</v>
      </c>
    </row>
    <row r="1027" spans="2:7" ht="15" customHeight="1" x14ac:dyDescent="0.3">
      <c r="C1027" s="2"/>
      <c r="D1027" s="8">
        <v>2016</v>
      </c>
      <c r="E1027" s="14">
        <f>Data!N1027</f>
        <v>49876180000</v>
      </c>
      <c r="F1027" s="14">
        <f>Data!K1027</f>
        <v>370247190000</v>
      </c>
      <c r="G1027" s="12">
        <f t="shared" ref="G1027:G1090" si="16">IFERROR(E1027/F1027,0)</f>
        <v>0.13471048895739088</v>
      </c>
    </row>
    <row r="1028" spans="2:7" ht="15" customHeight="1" x14ac:dyDescent="0.3">
      <c r="C1028" s="2"/>
      <c r="D1028" s="8">
        <v>2017</v>
      </c>
      <c r="E1028" s="14">
        <f>Data!N1028</f>
        <v>46544000000</v>
      </c>
      <c r="F1028" s="14">
        <f>Data!K1028</f>
        <v>396791000000</v>
      </c>
      <c r="G1028" s="12">
        <f t="shared" si="16"/>
        <v>0.11730104765481073</v>
      </c>
    </row>
    <row r="1029" spans="2:7" ht="15" customHeight="1" x14ac:dyDescent="0.3">
      <c r="C1029" s="2"/>
      <c r="D1029" s="8">
        <v>2018</v>
      </c>
      <c r="E1029" s="14">
        <f>Data!N1029</f>
        <v>51602000000</v>
      </c>
      <c r="F1029" s="14">
        <f>Data!K1029</f>
        <v>424393000000</v>
      </c>
      <c r="G1029" s="12">
        <f t="shared" si="16"/>
        <v>0.12159012990317937</v>
      </c>
    </row>
    <row r="1030" spans="2:7" ht="15" customHeight="1" x14ac:dyDescent="0.3">
      <c r="C1030" s="2"/>
      <c r="D1030" s="8">
        <v>2019</v>
      </c>
      <c r="E1030" s="14">
        <f>Data!N1030</f>
        <v>61565000000</v>
      </c>
      <c r="F1030" s="14">
        <f>Data!K1030</f>
        <v>456958000000</v>
      </c>
      <c r="G1030" s="12">
        <f t="shared" si="16"/>
        <v>0.13472791810188245</v>
      </c>
    </row>
    <row r="1031" spans="2:7" ht="15" customHeight="1" x14ac:dyDescent="0.3">
      <c r="C1031" s="2"/>
      <c r="D1031" s="8">
        <v>2020</v>
      </c>
      <c r="E1031" s="14">
        <f>Data!N1031</f>
        <v>80594000000</v>
      </c>
      <c r="F1031" s="14">
        <f>Data!K1031</f>
        <v>497227000000</v>
      </c>
      <c r="G1031" s="12">
        <f t="shared" si="16"/>
        <v>0.16208693413672226</v>
      </c>
    </row>
    <row r="1032" spans="2:7" ht="15" customHeight="1" x14ac:dyDescent="0.3">
      <c r="C1032" s="2"/>
      <c r="D1032" s="8">
        <v>2021</v>
      </c>
      <c r="E1032" s="14">
        <f>Data!N1032</f>
        <v>94515000000</v>
      </c>
      <c r="F1032" s="14">
        <f>Data!K1032</f>
        <v>543742000000</v>
      </c>
      <c r="G1032" s="12">
        <f t="shared" si="16"/>
        <v>0.17382324705466931</v>
      </c>
    </row>
    <row r="1033" spans="2:7" ht="15" customHeight="1" x14ac:dyDescent="0.3">
      <c r="C1033" s="2"/>
      <c r="D1033" s="8">
        <v>2022</v>
      </c>
      <c r="E1033" s="14">
        <f>Data!N1033</f>
        <v>107336000000</v>
      </c>
      <c r="F1033" s="14">
        <f>Data!K1033</f>
        <v>651077000000</v>
      </c>
      <c r="G1033" s="12">
        <f t="shared" si="16"/>
        <v>0.16485914876427826</v>
      </c>
    </row>
    <row r="1034" spans="2:7" ht="15" customHeight="1" x14ac:dyDescent="0.3">
      <c r="C1034" s="2"/>
      <c r="D1034" s="8">
        <v>2023</v>
      </c>
      <c r="E1034" s="14">
        <f>Data!N1034</f>
        <v>110353000000</v>
      </c>
      <c r="F1034" s="14">
        <f>Data!K1034</f>
        <v>706430000000</v>
      </c>
      <c r="G1034" s="12">
        <f t="shared" si="16"/>
        <v>0.15621222201775123</v>
      </c>
    </row>
    <row r="1035" spans="2:7" ht="15" customHeight="1" x14ac:dyDescent="0.3">
      <c r="C1035" s="2"/>
      <c r="D1035" s="8">
        <v>2024</v>
      </c>
      <c r="E1035" s="14">
        <f>Data!N1035</f>
        <v>130247000000</v>
      </c>
      <c r="F1035" s="14">
        <f>Data!K1035</f>
        <v>776677000000</v>
      </c>
      <c r="G1035" s="12">
        <f t="shared" si="16"/>
        <v>0.16769776882796839</v>
      </c>
    </row>
    <row r="1036" spans="2:7" ht="15" customHeight="1" x14ac:dyDescent="0.3">
      <c r="B1036" s="8">
        <v>95</v>
      </c>
      <c r="C1036" s="2" t="s">
        <v>115</v>
      </c>
      <c r="D1036" s="8">
        <v>2014</v>
      </c>
      <c r="E1036" s="14">
        <f>Data!N1036</f>
        <v>0</v>
      </c>
      <c r="F1036" s="14">
        <f>Data!K1036</f>
        <v>0</v>
      </c>
      <c r="G1036" s="12">
        <f t="shared" si="16"/>
        <v>0</v>
      </c>
    </row>
    <row r="1037" spans="2:7" ht="15" customHeight="1" x14ac:dyDescent="0.3">
      <c r="C1037" s="2"/>
      <c r="D1037" s="8">
        <v>2015</v>
      </c>
      <c r="E1037" s="14">
        <f>Data!N1037</f>
        <v>0</v>
      </c>
      <c r="F1037" s="14">
        <f>Data!K1037</f>
        <v>0</v>
      </c>
      <c r="G1037" s="12">
        <f t="shared" si="16"/>
        <v>0</v>
      </c>
    </row>
    <row r="1038" spans="2:7" ht="15" customHeight="1" x14ac:dyDescent="0.3">
      <c r="C1038" s="2"/>
      <c r="D1038" s="8">
        <v>2016</v>
      </c>
      <c r="E1038" s="14">
        <f>Data!N1038</f>
        <v>0</v>
      </c>
      <c r="F1038" s="14">
        <f>Data!K1038</f>
        <v>0</v>
      </c>
      <c r="G1038" s="12">
        <f t="shared" si="16"/>
        <v>0</v>
      </c>
    </row>
    <row r="1039" spans="2:7" ht="15" customHeight="1" x14ac:dyDescent="0.3">
      <c r="C1039" s="2"/>
      <c r="D1039" s="8">
        <v>2017</v>
      </c>
      <c r="E1039" s="14">
        <f>Data!N1039</f>
        <v>0</v>
      </c>
      <c r="F1039" s="14">
        <f>Data!K1039</f>
        <v>0</v>
      </c>
      <c r="G1039" s="12">
        <f t="shared" si="16"/>
        <v>0</v>
      </c>
    </row>
    <row r="1040" spans="2:7" ht="15" customHeight="1" x14ac:dyDescent="0.3">
      <c r="C1040" s="2"/>
      <c r="D1040" s="8">
        <v>2018</v>
      </c>
      <c r="E1040" s="14">
        <f>Data!N1040</f>
        <v>0</v>
      </c>
      <c r="F1040" s="14">
        <f>Data!K1040</f>
        <v>0</v>
      </c>
      <c r="G1040" s="12">
        <f t="shared" si="16"/>
        <v>0</v>
      </c>
    </row>
    <row r="1041" spans="2:7" ht="15" customHeight="1" x14ac:dyDescent="0.3">
      <c r="C1041" s="2"/>
      <c r="D1041" s="8">
        <v>2019</v>
      </c>
      <c r="E1041" s="14">
        <f>Data!N1041</f>
        <v>5205588810</v>
      </c>
      <c r="F1041" s="14">
        <f>Data!K1041</f>
        <v>111210002226</v>
      </c>
      <c r="G1041" s="12">
        <f t="shared" si="16"/>
        <v>4.6808638663824932E-2</v>
      </c>
    </row>
    <row r="1042" spans="2:7" ht="15" customHeight="1" x14ac:dyDescent="0.3">
      <c r="C1042" s="2"/>
      <c r="D1042" s="8">
        <v>2020</v>
      </c>
      <c r="E1042" s="14">
        <f>Data!N1042</f>
        <v>203000000</v>
      </c>
      <c r="F1042" s="14">
        <f>Data!K1042</f>
        <v>111413000000</v>
      </c>
      <c r="G1042" s="12">
        <f t="shared" si="16"/>
        <v>1.8220494915315089E-3</v>
      </c>
    </row>
    <row r="1043" spans="2:7" ht="15" customHeight="1" x14ac:dyDescent="0.3">
      <c r="C1043" s="2"/>
      <c r="D1043" s="8">
        <v>2021</v>
      </c>
      <c r="E1043" s="14">
        <f>Data!N1043</f>
        <v>4029000000</v>
      </c>
      <c r="F1043" s="14">
        <f>Data!K1043</f>
        <v>115443000000</v>
      </c>
      <c r="G1043" s="12">
        <f t="shared" si="16"/>
        <v>3.4900340427743565E-2</v>
      </c>
    </row>
    <row r="1044" spans="2:7" ht="15" customHeight="1" x14ac:dyDescent="0.3">
      <c r="C1044" s="2"/>
      <c r="D1044" s="8">
        <v>2022</v>
      </c>
      <c r="E1044" s="14">
        <f>Data!N1044</f>
        <v>-12927000000</v>
      </c>
      <c r="F1044" s="14">
        <f>Data!K1044</f>
        <v>102516000000</v>
      </c>
      <c r="G1044" s="12">
        <f t="shared" si="16"/>
        <v>-0.12609738967575793</v>
      </c>
    </row>
    <row r="1045" spans="2:7" ht="15" customHeight="1" x14ac:dyDescent="0.3">
      <c r="C1045" s="2"/>
      <c r="D1045" s="8">
        <v>2023</v>
      </c>
      <c r="E1045" s="14">
        <f>Data!N1045</f>
        <v>-2138000000</v>
      </c>
      <c r="F1045" s="14">
        <f>Data!K1045</f>
        <v>100378000000</v>
      </c>
      <c r="G1045" s="12">
        <f t="shared" si="16"/>
        <v>-2.129948793560342E-2</v>
      </c>
    </row>
    <row r="1046" spans="2:7" ht="15" customHeight="1" x14ac:dyDescent="0.3">
      <c r="C1046" s="2"/>
      <c r="D1046" s="8">
        <v>2024</v>
      </c>
      <c r="E1046" s="14">
        <f>Data!N1046</f>
        <v>-345000000</v>
      </c>
      <c r="F1046" s="14">
        <f>Data!K1046</f>
        <v>140032000000</v>
      </c>
      <c r="G1046" s="12">
        <f t="shared" si="16"/>
        <v>-2.4637225776965267E-3</v>
      </c>
    </row>
    <row r="1047" spans="2:7" ht="15" customHeight="1" x14ac:dyDescent="0.3">
      <c r="B1047" s="8">
        <v>96</v>
      </c>
      <c r="C1047" s="2" t="s">
        <v>116</v>
      </c>
      <c r="D1047" s="8">
        <v>2014</v>
      </c>
      <c r="E1047" s="14">
        <f>Data!N1047</f>
        <v>0</v>
      </c>
      <c r="F1047" s="14">
        <f>Data!K1047</f>
        <v>0</v>
      </c>
      <c r="G1047" s="12">
        <f t="shared" si="16"/>
        <v>0</v>
      </c>
    </row>
    <row r="1048" spans="2:7" ht="15" customHeight="1" x14ac:dyDescent="0.3">
      <c r="C1048" s="2"/>
      <c r="D1048" s="8">
        <v>2015</v>
      </c>
      <c r="E1048" s="14">
        <f>Data!N1048</f>
        <v>63323652330</v>
      </c>
      <c r="F1048" s="14">
        <f>Data!K1048</f>
        <v>274413615021</v>
      </c>
      <c r="G1048" s="12">
        <f t="shared" si="16"/>
        <v>0.23075987802264855</v>
      </c>
    </row>
    <row r="1049" spans="2:7" ht="15" customHeight="1" x14ac:dyDescent="0.3">
      <c r="C1049" s="2"/>
      <c r="D1049" s="8">
        <v>2016</v>
      </c>
      <c r="E1049" s="14">
        <f>Data!N1049</f>
        <v>63334978929</v>
      </c>
      <c r="F1049" s="14">
        <f>Data!K1049</f>
        <v>310491043060</v>
      </c>
      <c r="G1049" s="12">
        <f t="shared" si="16"/>
        <v>0.20398327212537659</v>
      </c>
    </row>
    <row r="1050" spans="2:7" ht="15" customHeight="1" x14ac:dyDescent="0.3">
      <c r="C1050" s="2"/>
      <c r="D1050" s="8">
        <v>2017</v>
      </c>
      <c r="E1050" s="14">
        <f>Data!N1050</f>
        <v>60408579794</v>
      </c>
      <c r="F1050" s="14">
        <f>Data!K1050</f>
        <v>356295920510</v>
      </c>
      <c r="G1050" s="12">
        <f t="shared" si="16"/>
        <v>0.16954608884528202</v>
      </c>
    </row>
    <row r="1051" spans="2:7" ht="15" customHeight="1" x14ac:dyDescent="0.3">
      <c r="C1051" s="2"/>
      <c r="D1051" s="8">
        <v>2018</v>
      </c>
      <c r="E1051" s="14">
        <f>Data!N1051</f>
        <v>70945360128</v>
      </c>
      <c r="F1051" s="14">
        <f>Data!K1051</f>
        <v>405785338438</v>
      </c>
      <c r="G1051" s="12">
        <f t="shared" si="16"/>
        <v>0.174834705465436</v>
      </c>
    </row>
    <row r="1052" spans="2:7" ht="15" customHeight="1" x14ac:dyDescent="0.3">
      <c r="C1052" s="2"/>
      <c r="D1052" s="8">
        <v>2019</v>
      </c>
      <c r="E1052" s="14">
        <f>Data!N1052</f>
        <v>61534181086</v>
      </c>
      <c r="F1052" s="14">
        <f>Data!K1052</f>
        <v>443289279365</v>
      </c>
      <c r="G1052" s="12">
        <f t="shared" si="16"/>
        <v>0.13881269850276115</v>
      </c>
    </row>
    <row r="1053" spans="2:7" ht="15" customHeight="1" x14ac:dyDescent="0.3">
      <c r="C1053" s="2"/>
      <c r="D1053" s="8">
        <v>2020</v>
      </c>
      <c r="E1053" s="14">
        <f>Data!N1053</f>
        <v>76278294005</v>
      </c>
      <c r="F1053" s="14">
        <f>Data!K1053</f>
        <v>503181214943</v>
      </c>
      <c r="G1053" s="12">
        <f t="shared" si="16"/>
        <v>0.15159209394102829</v>
      </c>
    </row>
    <row r="1054" spans="2:7" ht="15" customHeight="1" x14ac:dyDescent="0.3">
      <c r="C1054" s="2"/>
      <c r="D1054" s="8">
        <v>2021</v>
      </c>
      <c r="E1054" s="14">
        <f>Data!N1054</f>
        <v>59863973819</v>
      </c>
      <c r="F1054" s="14">
        <f>Data!K1054</f>
        <v>549046298074</v>
      </c>
      <c r="G1054" s="12">
        <f t="shared" si="16"/>
        <v>0.10903265176178564</v>
      </c>
    </row>
    <row r="1055" spans="2:7" ht="15" customHeight="1" x14ac:dyDescent="0.3">
      <c r="C1055" s="2"/>
      <c r="D1055" s="8">
        <v>2022</v>
      </c>
      <c r="E1055" s="14">
        <f>Data!N1055</f>
        <v>81808341042</v>
      </c>
      <c r="F1055" s="14">
        <f>Data!K1055</f>
        <v>614117783224</v>
      </c>
      <c r="G1055" s="12">
        <f t="shared" si="16"/>
        <v>0.13321278633639622</v>
      </c>
    </row>
    <row r="1056" spans="2:7" ht="15" customHeight="1" x14ac:dyDescent="0.3">
      <c r="C1056" s="2"/>
      <c r="D1056" s="8">
        <v>2023</v>
      </c>
      <c r="E1056" s="14">
        <f>Data!N1056</f>
        <v>84142519498</v>
      </c>
      <c r="F1056" s="14">
        <f>Data!K1056</f>
        <v>678478999511</v>
      </c>
      <c r="G1056" s="12">
        <f t="shared" si="16"/>
        <v>0.12401639484588914</v>
      </c>
    </row>
    <row r="1057" spans="2:7" ht="15" customHeight="1" x14ac:dyDescent="0.3">
      <c r="C1057" s="2"/>
      <c r="D1057" s="8">
        <v>2024</v>
      </c>
      <c r="E1057" s="14">
        <f>Data!N1057</f>
        <v>29800515520</v>
      </c>
      <c r="F1057" s="14">
        <f>Data!K1057</f>
        <v>688490922678</v>
      </c>
      <c r="G1057" s="12">
        <f t="shared" si="16"/>
        <v>4.328381760515583E-2</v>
      </c>
    </row>
    <row r="1058" spans="2:7" ht="15" customHeight="1" x14ac:dyDescent="0.3">
      <c r="B1058" s="8">
        <v>97</v>
      </c>
      <c r="C1058" s="2" t="s">
        <v>117</v>
      </c>
      <c r="D1058" s="8">
        <v>2014</v>
      </c>
      <c r="E1058" s="14">
        <f>Data!N1058</f>
        <v>0</v>
      </c>
      <c r="F1058" s="14">
        <f>Data!K1058</f>
        <v>0</v>
      </c>
      <c r="G1058" s="12">
        <f t="shared" si="16"/>
        <v>0</v>
      </c>
    </row>
    <row r="1059" spans="2:7" ht="15" customHeight="1" x14ac:dyDescent="0.3">
      <c r="C1059" s="2"/>
      <c r="D1059" s="8">
        <v>2015</v>
      </c>
      <c r="E1059" s="14">
        <f>Data!N1059</f>
        <v>0</v>
      </c>
      <c r="F1059" s="14">
        <f>Data!K1059</f>
        <v>0</v>
      </c>
      <c r="G1059" s="12">
        <f t="shared" si="16"/>
        <v>0</v>
      </c>
    </row>
    <row r="1060" spans="2:7" ht="15" customHeight="1" x14ac:dyDescent="0.3">
      <c r="C1060" s="2"/>
      <c r="D1060" s="8">
        <v>2016</v>
      </c>
      <c r="E1060" s="14">
        <f>Data!N1060</f>
        <v>0</v>
      </c>
      <c r="F1060" s="14">
        <f>Data!K1060</f>
        <v>0</v>
      </c>
      <c r="G1060" s="12">
        <f t="shared" si="16"/>
        <v>0</v>
      </c>
    </row>
    <row r="1061" spans="2:7" ht="15" customHeight="1" x14ac:dyDescent="0.3">
      <c r="C1061" s="2"/>
      <c r="D1061" s="8">
        <v>2017</v>
      </c>
      <c r="E1061" s="14">
        <f>Data!N1061</f>
        <v>16400000000</v>
      </c>
      <c r="F1061" s="14">
        <f>Data!K1061</f>
        <v>213009000000</v>
      </c>
      <c r="G1061" s="12">
        <f t="shared" si="16"/>
        <v>7.6992051979024367E-2</v>
      </c>
    </row>
    <row r="1062" spans="2:7" ht="15" customHeight="1" x14ac:dyDescent="0.3">
      <c r="C1062" s="2"/>
      <c r="D1062" s="8">
        <v>2018</v>
      </c>
      <c r="E1062" s="14">
        <f>Data!N1062</f>
        <v>42448000000</v>
      </c>
      <c r="F1062" s="14">
        <f>Data!K1062</f>
        <v>255458000000</v>
      </c>
      <c r="G1062" s="12">
        <f t="shared" si="16"/>
        <v>0.16616430098098317</v>
      </c>
    </row>
    <row r="1063" spans="2:7" ht="15" customHeight="1" x14ac:dyDescent="0.3">
      <c r="C1063" s="2"/>
      <c r="D1063" s="8">
        <v>2019</v>
      </c>
      <c r="E1063" s="14">
        <f>Data!N1063</f>
        <v>32292000000</v>
      </c>
      <c r="F1063" s="14">
        <f>Data!K1063</f>
        <v>287743000000</v>
      </c>
      <c r="G1063" s="12">
        <f t="shared" si="16"/>
        <v>0.11222514535540395</v>
      </c>
    </row>
    <row r="1064" spans="2:7" ht="15" customHeight="1" x14ac:dyDescent="0.3">
      <c r="C1064" s="2"/>
      <c r="D1064" s="8">
        <v>2020</v>
      </c>
      <c r="E1064" s="14">
        <f>Data!N1064</f>
        <v>35799000000</v>
      </c>
      <c r="F1064" s="14">
        <f>Data!K1064</f>
        <v>323542000000</v>
      </c>
      <c r="G1064" s="12">
        <f t="shared" si="16"/>
        <v>0.11064714936546105</v>
      </c>
    </row>
    <row r="1065" spans="2:7" ht="15" customHeight="1" x14ac:dyDescent="0.3">
      <c r="C1065" s="2"/>
      <c r="D1065" s="8">
        <v>2021</v>
      </c>
      <c r="E1065" s="14">
        <f>Data!N1065</f>
        <v>44502000000</v>
      </c>
      <c r="F1065" s="14">
        <f>Data!K1065</f>
        <v>372044000000</v>
      </c>
      <c r="G1065" s="12">
        <f t="shared" si="16"/>
        <v>0.11961488426100139</v>
      </c>
    </row>
    <row r="1066" spans="2:7" ht="15" customHeight="1" x14ac:dyDescent="0.3">
      <c r="C1066" s="2"/>
      <c r="D1066" s="8">
        <v>2022</v>
      </c>
      <c r="E1066" s="14">
        <f>Data!N1066</f>
        <v>4674000000</v>
      </c>
      <c r="F1066" s="14">
        <f>Data!K1066</f>
        <v>376719000000</v>
      </c>
      <c r="G1066" s="12">
        <f t="shared" si="16"/>
        <v>1.2407125735627881E-2</v>
      </c>
    </row>
    <row r="1067" spans="2:7" ht="15" customHeight="1" x14ac:dyDescent="0.3">
      <c r="C1067" s="2"/>
      <c r="D1067" s="8">
        <v>2023</v>
      </c>
      <c r="E1067" s="14">
        <f>Data!N1067</f>
        <v>14225000000</v>
      </c>
      <c r="F1067" s="14">
        <f>Data!K1067</f>
        <v>394945000000</v>
      </c>
      <c r="G1067" s="12">
        <f t="shared" si="16"/>
        <v>3.6017673346921721E-2</v>
      </c>
    </row>
    <row r="1068" spans="2:7" ht="15" customHeight="1" x14ac:dyDescent="0.3">
      <c r="C1068" s="2"/>
      <c r="D1068" s="8">
        <v>2024</v>
      </c>
      <c r="E1068" s="14">
        <f>Data!N1068</f>
        <v>-4978000000</v>
      </c>
      <c r="F1068" s="14">
        <f>Data!K1068</f>
        <v>389967000000</v>
      </c>
      <c r="G1068" s="12">
        <f t="shared" si="16"/>
        <v>-1.2765182694945983E-2</v>
      </c>
    </row>
    <row r="1069" spans="2:7" ht="15" customHeight="1" x14ac:dyDescent="0.3">
      <c r="B1069" s="8">
        <v>98</v>
      </c>
      <c r="C1069" s="2" t="s">
        <v>103</v>
      </c>
      <c r="D1069" s="8">
        <v>2014</v>
      </c>
      <c r="E1069" s="14">
        <f>Data!N1069</f>
        <v>0</v>
      </c>
      <c r="F1069" s="14">
        <f>Data!K1069</f>
        <v>0</v>
      </c>
      <c r="G1069" s="12">
        <f t="shared" si="16"/>
        <v>0</v>
      </c>
    </row>
    <row r="1070" spans="2:7" ht="15" customHeight="1" x14ac:dyDescent="0.3">
      <c r="C1070" s="2"/>
      <c r="D1070" s="8">
        <v>2015</v>
      </c>
      <c r="E1070" s="14">
        <f>Data!N1070</f>
        <v>0</v>
      </c>
      <c r="F1070" s="14">
        <f>Data!K1070</f>
        <v>0</v>
      </c>
      <c r="G1070" s="12">
        <f t="shared" si="16"/>
        <v>0</v>
      </c>
    </row>
    <row r="1071" spans="2:7" ht="15" customHeight="1" x14ac:dyDescent="0.3">
      <c r="C1071" s="2"/>
      <c r="D1071" s="8">
        <v>2016</v>
      </c>
      <c r="E1071" s="14">
        <f>Data!N1071</f>
        <v>0</v>
      </c>
      <c r="F1071" s="14">
        <f>Data!K1071</f>
        <v>0</v>
      </c>
      <c r="G1071" s="12">
        <f t="shared" si="16"/>
        <v>0</v>
      </c>
    </row>
    <row r="1072" spans="2:7" ht="15" customHeight="1" x14ac:dyDescent="0.3">
      <c r="C1072" s="2"/>
      <c r="D1072" s="8">
        <v>2017</v>
      </c>
      <c r="E1072" s="14">
        <f>Data!N1072</f>
        <v>1379870000</v>
      </c>
      <c r="F1072" s="14">
        <f>Data!K1072</f>
        <v>155996990000</v>
      </c>
      <c r="G1072" s="12">
        <f t="shared" si="16"/>
        <v>8.8454911854388991E-3</v>
      </c>
    </row>
    <row r="1073" spans="2:7" ht="15" customHeight="1" x14ac:dyDescent="0.3">
      <c r="C1073" s="2"/>
      <c r="D1073" s="8">
        <v>2018</v>
      </c>
      <c r="E1073" s="14">
        <f>Data!N1073</f>
        <v>1653090000</v>
      </c>
      <c r="F1073" s="14">
        <f>Data!K1073</f>
        <v>157650080000</v>
      </c>
      <c r="G1073" s="12">
        <f t="shared" si="16"/>
        <v>1.048581770462787E-2</v>
      </c>
    </row>
    <row r="1074" spans="2:7" ht="15" customHeight="1" x14ac:dyDescent="0.3">
      <c r="C1074" s="2"/>
      <c r="D1074" s="8">
        <v>2019</v>
      </c>
      <c r="E1074" s="14">
        <f>Data!N1074</f>
        <v>4405740000</v>
      </c>
      <c r="F1074" s="14">
        <f>Data!K1074</f>
        <v>162055820000</v>
      </c>
      <c r="G1074" s="12">
        <f t="shared" si="16"/>
        <v>2.7186558310587056E-2</v>
      </c>
    </row>
    <row r="1075" spans="2:7" ht="15" customHeight="1" x14ac:dyDescent="0.3">
      <c r="C1075" s="2"/>
      <c r="D1075" s="8">
        <v>2020</v>
      </c>
      <c r="E1075" s="14">
        <f>Data!N1075</f>
        <v>14776200000</v>
      </c>
      <c r="F1075" s="14">
        <f>Data!K1075</f>
        <v>196620040000</v>
      </c>
      <c r="G1075" s="12">
        <f t="shared" si="16"/>
        <v>7.5151037503603399E-2</v>
      </c>
    </row>
    <row r="1076" spans="2:7" ht="15" customHeight="1" x14ac:dyDescent="0.3">
      <c r="C1076" s="2"/>
      <c r="D1076" s="8">
        <v>2021</v>
      </c>
      <c r="E1076" s="14">
        <f>Data!N1076</f>
        <v>12122560000</v>
      </c>
      <c r="F1076" s="14">
        <f>Data!K1076</f>
        <v>208742630000</v>
      </c>
      <c r="G1076" s="12">
        <f t="shared" si="16"/>
        <v>5.807419404459932E-2</v>
      </c>
    </row>
    <row r="1077" spans="2:7" ht="15" customHeight="1" x14ac:dyDescent="0.3">
      <c r="C1077" s="2"/>
      <c r="D1077" s="8">
        <v>2022</v>
      </c>
      <c r="E1077" s="14">
        <f>Data!N1077</f>
        <v>18174950000</v>
      </c>
      <c r="F1077" s="14">
        <f>Data!K1077</f>
        <v>226906850000</v>
      </c>
      <c r="G1077" s="12">
        <f t="shared" si="16"/>
        <v>8.0098727737836037E-2</v>
      </c>
    </row>
    <row r="1078" spans="2:7" ht="15" customHeight="1" x14ac:dyDescent="0.3">
      <c r="C1078" s="2"/>
      <c r="D1078" s="8">
        <v>2023</v>
      </c>
      <c r="E1078" s="14">
        <f>Data!N1078</f>
        <v>30291850000</v>
      </c>
      <c r="F1078" s="14">
        <f>Data!K1078</f>
        <v>257198700000</v>
      </c>
      <c r="G1078" s="12">
        <f t="shared" si="16"/>
        <v>0.1177760618541229</v>
      </c>
    </row>
    <row r="1079" spans="2:7" ht="15" customHeight="1" x14ac:dyDescent="0.3">
      <c r="C1079" s="2"/>
      <c r="D1079" s="8">
        <v>2024</v>
      </c>
      <c r="E1079" s="14">
        <f>Data!N1079</f>
        <v>37758550000</v>
      </c>
      <c r="F1079" s="14">
        <f>Data!K1079</f>
        <v>294957250000</v>
      </c>
      <c r="G1079" s="12">
        <f t="shared" si="16"/>
        <v>0.12801363587435127</v>
      </c>
    </row>
    <row r="1080" spans="2:7" ht="15" customHeight="1" x14ac:dyDescent="0.3">
      <c r="B1080" s="8">
        <v>99</v>
      </c>
      <c r="C1080" s="2" t="s">
        <v>118</v>
      </c>
      <c r="D1080" s="8">
        <v>2014</v>
      </c>
      <c r="E1080" s="14">
        <f>Data!N1080</f>
        <v>0</v>
      </c>
      <c r="F1080" s="14">
        <f>Data!K1080</f>
        <v>0</v>
      </c>
      <c r="G1080" s="12">
        <f t="shared" si="16"/>
        <v>0</v>
      </c>
    </row>
    <row r="1081" spans="2:7" ht="15" customHeight="1" x14ac:dyDescent="0.3">
      <c r="C1081" s="2"/>
      <c r="D1081" s="8">
        <v>2015</v>
      </c>
      <c r="E1081" s="14">
        <f>Data!N1081</f>
        <v>0</v>
      </c>
      <c r="F1081" s="14">
        <f>Data!K1081</f>
        <v>0</v>
      </c>
      <c r="G1081" s="12">
        <f t="shared" si="16"/>
        <v>0</v>
      </c>
    </row>
    <row r="1082" spans="2:7" ht="15" customHeight="1" x14ac:dyDescent="0.3">
      <c r="C1082" s="2"/>
      <c r="D1082" s="8">
        <v>2016</v>
      </c>
      <c r="E1082" s="14">
        <f>Data!N1082</f>
        <v>0</v>
      </c>
      <c r="F1082" s="14">
        <f>Data!K1082</f>
        <v>0</v>
      </c>
      <c r="G1082" s="12">
        <f t="shared" si="16"/>
        <v>0</v>
      </c>
    </row>
    <row r="1083" spans="2:7" ht="15" customHeight="1" x14ac:dyDescent="0.3">
      <c r="C1083" s="2"/>
      <c r="D1083" s="8">
        <v>2017</v>
      </c>
      <c r="E1083" s="14">
        <f>Data!N1083</f>
        <v>0</v>
      </c>
      <c r="F1083" s="14">
        <f>Data!K1083</f>
        <v>0</v>
      </c>
      <c r="G1083" s="12">
        <f t="shared" si="16"/>
        <v>0</v>
      </c>
    </row>
    <row r="1084" spans="2:7" ht="15" customHeight="1" x14ac:dyDescent="0.3">
      <c r="C1084" s="2"/>
      <c r="D1084" s="8">
        <v>2018</v>
      </c>
      <c r="E1084" s="14">
        <f>Data!N1084</f>
        <v>0</v>
      </c>
      <c r="F1084" s="14">
        <f>Data!K1084</f>
        <v>0</v>
      </c>
      <c r="G1084" s="12">
        <f t="shared" si="16"/>
        <v>0</v>
      </c>
    </row>
    <row r="1085" spans="2:7" ht="15" customHeight="1" x14ac:dyDescent="0.3">
      <c r="C1085" s="2"/>
      <c r="D1085" s="8">
        <v>2019</v>
      </c>
      <c r="E1085" s="14">
        <f>Data!N1085</f>
        <v>0</v>
      </c>
      <c r="F1085" s="14">
        <f>Data!K1085</f>
        <v>0</v>
      </c>
      <c r="G1085" s="12">
        <f t="shared" si="16"/>
        <v>0</v>
      </c>
    </row>
    <row r="1086" spans="2:7" ht="15" customHeight="1" x14ac:dyDescent="0.3">
      <c r="C1086" s="2"/>
      <c r="D1086" s="8">
        <v>2020</v>
      </c>
      <c r="E1086" s="14">
        <f>Data!N1086</f>
        <v>0</v>
      </c>
      <c r="F1086" s="14">
        <f>Data!K1086</f>
        <v>0</v>
      </c>
      <c r="G1086" s="12">
        <f t="shared" si="16"/>
        <v>0</v>
      </c>
    </row>
    <row r="1087" spans="2:7" ht="15" customHeight="1" x14ac:dyDescent="0.3">
      <c r="C1087" s="2"/>
      <c r="D1087" s="8">
        <v>2021</v>
      </c>
      <c r="E1087" s="14">
        <f>Data!N1087</f>
        <v>31712000000</v>
      </c>
      <c r="F1087" s="14">
        <f>Data!K1087</f>
        <v>339559000000</v>
      </c>
      <c r="G1087" s="12">
        <f t="shared" si="16"/>
        <v>9.3391722793387894E-2</v>
      </c>
    </row>
    <row r="1088" spans="2:7" ht="15" customHeight="1" x14ac:dyDescent="0.3">
      <c r="C1088" s="2"/>
      <c r="D1088" s="8">
        <v>2022</v>
      </c>
      <c r="E1088" s="14">
        <f>Data!N1088</f>
        <v>51852000000</v>
      </c>
      <c r="F1088" s="14">
        <f>Data!K1088</f>
        <v>385447000000</v>
      </c>
      <c r="G1088" s="12">
        <f t="shared" si="16"/>
        <v>0.13452433149045134</v>
      </c>
    </row>
    <row r="1089" spans="2:7" ht="15" customHeight="1" x14ac:dyDescent="0.3">
      <c r="C1089" s="2"/>
      <c r="D1089" s="8">
        <v>2023</v>
      </c>
      <c r="E1089" s="14">
        <f>Data!N1089</f>
        <v>25782000000</v>
      </c>
      <c r="F1089" s="14">
        <f>Data!K1089</f>
        <v>399865000000</v>
      </c>
      <c r="G1089" s="12">
        <f t="shared" si="16"/>
        <v>6.4476760906806041E-2</v>
      </c>
    </row>
    <row r="1090" spans="2:7" ht="15" customHeight="1" x14ac:dyDescent="0.3">
      <c r="C1090" s="2"/>
      <c r="D1090" s="8">
        <v>2024</v>
      </c>
      <c r="E1090" s="14">
        <f>Data!N1090</f>
        <v>35423000000</v>
      </c>
      <c r="F1090" s="14">
        <f>Data!K1090</f>
        <v>435288000000</v>
      </c>
      <c r="G1090" s="12">
        <f t="shared" si="16"/>
        <v>8.1378305857271502E-2</v>
      </c>
    </row>
    <row r="1091" spans="2:7" ht="15" customHeight="1" x14ac:dyDescent="0.3">
      <c r="B1091" s="8">
        <v>100</v>
      </c>
      <c r="C1091" s="2" t="s">
        <v>104</v>
      </c>
      <c r="D1091" s="8">
        <v>2014</v>
      </c>
      <c r="E1091" s="14">
        <f>Data!N1091</f>
        <v>0</v>
      </c>
      <c r="F1091" s="14">
        <f>Data!K1091</f>
        <v>0</v>
      </c>
      <c r="G1091" s="12">
        <f t="shared" ref="G1091:G1154" si="17">IFERROR(E1091/F1091,0)</f>
        <v>0</v>
      </c>
    </row>
    <row r="1092" spans="2:7" ht="15" customHeight="1" x14ac:dyDescent="0.3">
      <c r="C1092" s="2"/>
      <c r="D1092" s="8">
        <v>2015</v>
      </c>
      <c r="E1092" s="14">
        <f>Data!N1092</f>
        <v>5718000000</v>
      </c>
      <c r="F1092" s="14" t="e">
        <f>Data!#REF!</f>
        <v>#REF!</v>
      </c>
      <c r="G1092" s="12">
        <f t="shared" si="17"/>
        <v>0</v>
      </c>
    </row>
    <row r="1093" spans="2:7" ht="15" customHeight="1" x14ac:dyDescent="0.3">
      <c r="C1093" s="2"/>
      <c r="D1093" s="8">
        <v>2016</v>
      </c>
      <c r="E1093" s="14">
        <f>Data!N1093</f>
        <v>1411000000</v>
      </c>
      <c r="F1093" s="14" t="e">
        <f>Data!#REF!</f>
        <v>#REF!</v>
      </c>
      <c r="G1093" s="12">
        <f t="shared" si="17"/>
        <v>0</v>
      </c>
    </row>
    <row r="1094" spans="2:7" ht="15" customHeight="1" x14ac:dyDescent="0.3">
      <c r="C1094" s="2"/>
      <c r="D1094" s="8">
        <v>2017</v>
      </c>
      <c r="E1094" s="14">
        <f>Data!N1094</f>
        <v>9010000000</v>
      </c>
      <c r="F1094" s="14">
        <f>Data!K1094</f>
        <v>159010000000</v>
      </c>
      <c r="G1094" s="12">
        <f t="shared" si="17"/>
        <v>5.6663102949500034E-2</v>
      </c>
    </row>
    <row r="1095" spans="2:7" ht="15" customHeight="1" x14ac:dyDescent="0.3">
      <c r="C1095" s="2"/>
      <c r="D1095" s="8">
        <v>2018</v>
      </c>
      <c r="E1095" s="14">
        <f>Data!N1095</f>
        <v>10001000000</v>
      </c>
      <c r="F1095" s="14">
        <f>Data!K1095</f>
        <v>269011000000</v>
      </c>
      <c r="G1095" s="12">
        <f t="shared" si="17"/>
        <v>3.7176918415975556E-2</v>
      </c>
    </row>
    <row r="1096" spans="2:7" ht="15" customHeight="1" x14ac:dyDescent="0.3">
      <c r="C1096" s="2"/>
      <c r="D1096" s="8">
        <v>2019</v>
      </c>
      <c r="E1096" s="14">
        <f>Data!N1096</f>
        <v>62066000000</v>
      </c>
      <c r="F1096" s="14">
        <f>Data!K1096</f>
        <v>331077000000</v>
      </c>
      <c r="G1096" s="12">
        <f t="shared" si="17"/>
        <v>0.18746696387849351</v>
      </c>
    </row>
    <row r="1097" spans="2:7" ht="15" customHeight="1" x14ac:dyDescent="0.3">
      <c r="C1097" s="2"/>
      <c r="D1097" s="8">
        <v>2020</v>
      </c>
      <c r="E1097" s="14">
        <f>Data!N1097</f>
        <v>9599000000</v>
      </c>
      <c r="F1097" s="14">
        <f>Data!K1097</f>
        <v>310676000000</v>
      </c>
      <c r="G1097" s="12">
        <f t="shared" si="17"/>
        <v>3.0897140429257491E-2</v>
      </c>
    </row>
    <row r="1098" spans="2:7" ht="15" customHeight="1" x14ac:dyDescent="0.3">
      <c r="C1098" s="2"/>
      <c r="D1098" s="8">
        <v>2021</v>
      </c>
      <c r="E1098" s="14">
        <f>Data!N1098</f>
        <v>52678000000</v>
      </c>
      <c r="F1098" s="14">
        <f>Data!K1098</f>
        <v>363354000000</v>
      </c>
      <c r="G1098" s="12">
        <f t="shared" si="17"/>
        <v>0.14497707469850338</v>
      </c>
    </row>
    <row r="1099" spans="2:7" ht="15" customHeight="1" x14ac:dyDescent="0.3">
      <c r="C1099" s="2"/>
      <c r="D1099" s="8">
        <v>2022</v>
      </c>
      <c r="E1099" s="14">
        <f>Data!N1099</f>
        <v>147083000000</v>
      </c>
      <c r="F1099" s="14">
        <f>Data!K1099</f>
        <v>510437000000</v>
      </c>
      <c r="G1099" s="12">
        <f t="shared" si="17"/>
        <v>0.28815113324465114</v>
      </c>
    </row>
    <row r="1100" spans="2:7" ht="15" customHeight="1" x14ac:dyDescent="0.3">
      <c r="C1100" s="2"/>
      <c r="D1100" s="8">
        <v>2023</v>
      </c>
      <c r="E1100" s="14">
        <f>Data!N1100</f>
        <v>220755000000</v>
      </c>
      <c r="F1100" s="14">
        <f>Data!K1100</f>
        <v>631193000000</v>
      </c>
      <c r="G1100" s="12">
        <f t="shared" si="17"/>
        <v>0.34974247179547302</v>
      </c>
    </row>
    <row r="1101" spans="2:7" ht="15" customHeight="1" x14ac:dyDescent="0.3">
      <c r="C1101" s="2"/>
      <c r="D1101" s="8">
        <v>2024</v>
      </c>
      <c r="E1101" s="14">
        <f>Data!N1101</f>
        <v>133779000000</v>
      </c>
      <c r="F1101" s="14">
        <f>Data!K1101</f>
        <v>759942000000</v>
      </c>
      <c r="G1101" s="12">
        <f t="shared" si="17"/>
        <v>0.17603843451210752</v>
      </c>
    </row>
    <row r="1102" spans="2:7" ht="15" customHeight="1" x14ac:dyDescent="0.3">
      <c r="B1102" s="8">
        <v>101</v>
      </c>
      <c r="C1102" s="2" t="s">
        <v>120</v>
      </c>
      <c r="D1102" s="8">
        <v>2014</v>
      </c>
      <c r="E1102" s="14">
        <f>Data!N1102</f>
        <v>0</v>
      </c>
      <c r="F1102" s="14">
        <f>Data!K1102</f>
        <v>0</v>
      </c>
      <c r="G1102" s="12">
        <f t="shared" si="17"/>
        <v>0</v>
      </c>
    </row>
    <row r="1103" spans="2:7" ht="15" customHeight="1" x14ac:dyDescent="0.3">
      <c r="C1103" s="2"/>
      <c r="D1103" s="8">
        <v>2015</v>
      </c>
      <c r="E1103" s="14">
        <f>Data!N1103</f>
        <v>468372000000</v>
      </c>
      <c r="F1103" s="14">
        <f>Data!K1103</f>
        <v>2662842000000</v>
      </c>
      <c r="G1103" s="12">
        <f t="shared" si="17"/>
        <v>0.17589177277510268</v>
      </c>
    </row>
    <row r="1104" spans="2:7" ht="15" customHeight="1" x14ac:dyDescent="0.3">
      <c r="C1104" s="2"/>
      <c r="D1104" s="8">
        <v>2016</v>
      </c>
      <c r="E1104" s="14">
        <f>Data!N1104</f>
        <v>483012000000</v>
      </c>
      <c r="F1104" s="14">
        <f>Data!K1104</f>
        <v>2707109000000</v>
      </c>
      <c r="G1104" s="12">
        <f t="shared" si="17"/>
        <v>0.17842355073253421</v>
      </c>
    </row>
    <row r="1105" spans="2:7" ht="15" customHeight="1" x14ac:dyDescent="0.3">
      <c r="C1105" s="2"/>
      <c r="D1105" s="8">
        <v>2017</v>
      </c>
      <c r="E1105" s="14">
        <f>Data!N1105</f>
        <v>567868000000</v>
      </c>
      <c r="F1105" s="14">
        <f>Data!K1105</f>
        <v>3317169000000</v>
      </c>
      <c r="G1105" s="12">
        <f t="shared" si="17"/>
        <v>0.17119055435523484</v>
      </c>
    </row>
    <row r="1106" spans="2:7" ht="15" customHeight="1" x14ac:dyDescent="0.3">
      <c r="C1106" s="2"/>
      <c r="D1106" s="8">
        <v>2018</v>
      </c>
      <c r="E1106" s="14">
        <f>Data!N1106</f>
        <v>556878000000</v>
      </c>
      <c r="F1106" s="14">
        <f>Data!K1106</f>
        <v>3806605000000</v>
      </c>
      <c r="G1106" s="12">
        <f t="shared" si="17"/>
        <v>0.14629256253275558</v>
      </c>
    </row>
    <row r="1107" spans="2:7" ht="15" customHeight="1" x14ac:dyDescent="0.3">
      <c r="C1107" s="2"/>
      <c r="D1107" s="8">
        <v>2019</v>
      </c>
      <c r="E1107" s="14">
        <f>Data!N1107</f>
        <v>757790000000</v>
      </c>
      <c r="F1107" s="14">
        <f>Data!K1107</f>
        <v>4376065000000</v>
      </c>
      <c r="G1107" s="12">
        <f t="shared" si="17"/>
        <v>0.17316698906437633</v>
      </c>
    </row>
    <row r="1108" spans="2:7" ht="15" customHeight="1" x14ac:dyDescent="0.3">
      <c r="C1108" s="2"/>
      <c r="D1108" s="8">
        <v>2020</v>
      </c>
      <c r="E1108" s="14">
        <f>Data!N1108</f>
        <v>892894000000</v>
      </c>
      <c r="F1108" s="14">
        <f>Data!K1108</f>
        <v>4995796000000</v>
      </c>
      <c r="G1108" s="12">
        <f t="shared" si="17"/>
        <v>0.17872907540660188</v>
      </c>
    </row>
    <row r="1109" spans="2:7" ht="15" customHeight="1" x14ac:dyDescent="0.3">
      <c r="C1109" s="2"/>
      <c r="D1109" s="8">
        <v>2021</v>
      </c>
      <c r="E1109" s="14">
        <f>Data!N1109</f>
        <v>187812000000</v>
      </c>
      <c r="F1109" s="14">
        <f>Data!K1109</f>
        <v>4509286000000</v>
      </c>
      <c r="G1109" s="12">
        <f t="shared" si="17"/>
        <v>4.1650052802150936E-2</v>
      </c>
    </row>
    <row r="1110" spans="2:7" ht="15" customHeight="1" x14ac:dyDescent="0.3">
      <c r="C1110" s="2"/>
      <c r="D1110" s="8">
        <v>2022</v>
      </c>
      <c r="E1110" s="14">
        <f>Data!N1110</f>
        <v>353313000000</v>
      </c>
      <c r="F1110" s="14">
        <f>Data!K1110</f>
        <v>4888329000000</v>
      </c>
      <c r="G1110" s="12">
        <f t="shared" si="17"/>
        <v>7.2276845523286185E-2</v>
      </c>
    </row>
    <row r="1111" spans="2:7" ht="15" customHeight="1" x14ac:dyDescent="0.3">
      <c r="C1111" s="2"/>
      <c r="D1111" s="8">
        <v>2023</v>
      </c>
      <c r="E1111" s="14">
        <f>Data!N1111</f>
        <v>670161000000</v>
      </c>
      <c r="F1111" s="14">
        <f>Data!K1111</f>
        <v>5530230000000</v>
      </c>
      <c r="G1111" s="12">
        <f t="shared" si="17"/>
        <v>0.12118139751872888</v>
      </c>
    </row>
    <row r="1112" spans="2:7" ht="15" customHeight="1" x14ac:dyDescent="0.3">
      <c r="C1112" s="2"/>
      <c r="D1112" s="8">
        <v>2024</v>
      </c>
      <c r="E1112" s="14">
        <f>Data!N1112</f>
        <v>627880000000</v>
      </c>
      <c r="F1112" s="14">
        <f>Data!K1112</f>
        <v>6101724000000</v>
      </c>
      <c r="G1112" s="12">
        <f t="shared" si="17"/>
        <v>0.10290206505571213</v>
      </c>
    </row>
    <row r="1113" spans="2:7" ht="15" customHeight="1" x14ac:dyDescent="0.3">
      <c r="B1113" s="8">
        <v>102</v>
      </c>
      <c r="C1113" s="1" t="s">
        <v>134</v>
      </c>
      <c r="D1113" s="8">
        <v>2014</v>
      </c>
      <c r="E1113" s="14">
        <f>Data!N1113</f>
        <v>0</v>
      </c>
      <c r="F1113" s="14">
        <f>Data!K1113</f>
        <v>0</v>
      </c>
      <c r="G1113" s="12">
        <f t="shared" si="17"/>
        <v>0</v>
      </c>
    </row>
    <row r="1114" spans="2:7" ht="15" customHeight="1" x14ac:dyDescent="0.3">
      <c r="C1114" s="1"/>
      <c r="D1114" s="8">
        <v>2015</v>
      </c>
      <c r="E1114" s="14">
        <f>Data!N1114</f>
        <v>181000000</v>
      </c>
      <c r="F1114" s="14">
        <f>Data!K1114</f>
        <v>56992000000</v>
      </c>
      <c r="G1114" s="12">
        <f t="shared" si="17"/>
        <v>3.1758843346434587E-3</v>
      </c>
    </row>
    <row r="1115" spans="2:7" ht="15" customHeight="1" x14ac:dyDescent="0.3">
      <c r="C1115" s="1"/>
      <c r="D1115" s="8">
        <v>2016</v>
      </c>
      <c r="E1115" s="14">
        <f>Data!N1115</f>
        <v>282000000</v>
      </c>
      <c r="F1115" s="14">
        <f>Data!K1115</f>
        <v>58299000000</v>
      </c>
      <c r="G1115" s="12">
        <f t="shared" si="17"/>
        <v>4.8371327123964388E-3</v>
      </c>
    </row>
    <row r="1116" spans="2:7" ht="15" customHeight="1" x14ac:dyDescent="0.3">
      <c r="C1116" s="1"/>
      <c r="D1116" s="8">
        <v>2017</v>
      </c>
      <c r="E1116" s="14">
        <f>Data!N1116</f>
        <v>-3000000</v>
      </c>
      <c r="F1116" s="14">
        <f>Data!K1116</f>
        <v>57678000000</v>
      </c>
      <c r="G1116" s="12">
        <f t="shared" si="17"/>
        <v>-5.2012899199001353E-5</v>
      </c>
    </row>
    <row r="1117" spans="2:7" ht="15" customHeight="1" x14ac:dyDescent="0.3">
      <c r="C1117" s="1"/>
      <c r="D1117" s="8">
        <v>2018</v>
      </c>
      <c r="E1117" s="14">
        <f>Data!N1117</f>
        <v>-439000000</v>
      </c>
      <c r="F1117" s="14">
        <f>Data!K1117</f>
        <v>67777000000</v>
      </c>
      <c r="G1117" s="12">
        <f t="shared" si="17"/>
        <v>-6.4771235079746818E-3</v>
      </c>
    </row>
    <row r="1118" spans="2:7" ht="15" customHeight="1" x14ac:dyDescent="0.3">
      <c r="C1118" s="1"/>
      <c r="D1118" s="8">
        <v>2019</v>
      </c>
      <c r="E1118" s="14">
        <f>Data!N1118</f>
        <v>-1032000000</v>
      </c>
      <c r="F1118" s="14">
        <f>Data!K1118</f>
        <v>66617000000</v>
      </c>
      <c r="G1118" s="12">
        <f t="shared" si="17"/>
        <v>-1.5491541198192654E-2</v>
      </c>
    </row>
    <row r="1119" spans="2:7" ht="15" customHeight="1" x14ac:dyDescent="0.3">
      <c r="C1119" s="1"/>
      <c r="D1119" s="8">
        <v>2020</v>
      </c>
      <c r="E1119" s="14">
        <f>Data!N1119</f>
        <v>-6227000000</v>
      </c>
      <c r="F1119" s="14">
        <f>Data!K1119</f>
        <v>69482000000</v>
      </c>
      <c r="G1119" s="12">
        <f t="shared" si="17"/>
        <v>-8.9620333323738519E-2</v>
      </c>
    </row>
    <row r="1120" spans="2:7" ht="15" customHeight="1" x14ac:dyDescent="0.3">
      <c r="C1120" s="1"/>
      <c r="D1120" s="8">
        <v>2021</v>
      </c>
      <c r="E1120" s="14">
        <f>Data!N1120</f>
        <v>-1009000000</v>
      </c>
      <c r="F1120" s="14">
        <f>Data!K1120</f>
        <v>59162000000</v>
      </c>
      <c r="G1120" s="12">
        <f t="shared" si="17"/>
        <v>-1.7054866299313749E-2</v>
      </c>
    </row>
    <row r="1121" spans="2:7" ht="15" customHeight="1" x14ac:dyDescent="0.3">
      <c r="C1121" s="1"/>
      <c r="D1121" s="8">
        <v>2022</v>
      </c>
      <c r="E1121" s="14">
        <f>Data!N1121</f>
        <v>-1166000000</v>
      </c>
      <c r="F1121" s="14">
        <f>Data!K1121</f>
        <v>65363000000</v>
      </c>
      <c r="G1121" s="12">
        <f t="shared" si="17"/>
        <v>-1.7838838486605571E-2</v>
      </c>
    </row>
    <row r="1122" spans="2:7" ht="15" customHeight="1" x14ac:dyDescent="0.3">
      <c r="C1122" s="1"/>
      <c r="D1122" s="8">
        <v>2023</v>
      </c>
      <c r="E1122" s="14">
        <f>Data!N1122</f>
        <v>-1492000000</v>
      </c>
      <c r="F1122" s="14">
        <f>Data!K1122</f>
        <v>54638000000</v>
      </c>
      <c r="G1122" s="12">
        <f t="shared" si="17"/>
        <v>-2.7307002452505582E-2</v>
      </c>
    </row>
    <row r="1123" spans="2:7" ht="15" customHeight="1" x14ac:dyDescent="0.3">
      <c r="C1123" s="1"/>
      <c r="D1123" s="8">
        <v>2024</v>
      </c>
      <c r="E1123" s="14">
        <f>Data!N1123</f>
        <v>-1852000000</v>
      </c>
      <c r="F1123" s="14">
        <f>Data!K1123</f>
        <v>52401000000</v>
      </c>
      <c r="G1123" s="12">
        <f t="shared" si="17"/>
        <v>-3.5342836968760137E-2</v>
      </c>
    </row>
    <row r="1124" spans="2:7" ht="15" customHeight="1" x14ac:dyDescent="0.3">
      <c r="B1124" s="8">
        <v>103</v>
      </c>
      <c r="C1124" s="2" t="s">
        <v>122</v>
      </c>
      <c r="D1124" s="8">
        <v>2014</v>
      </c>
      <c r="E1124" s="14">
        <f>Data!N1124</f>
        <v>0</v>
      </c>
      <c r="F1124" s="14">
        <f>Data!K1124</f>
        <v>0</v>
      </c>
      <c r="G1124" s="12">
        <f t="shared" si="17"/>
        <v>0</v>
      </c>
    </row>
    <row r="1125" spans="2:7" ht="15" customHeight="1" x14ac:dyDescent="0.3">
      <c r="C1125" s="2"/>
      <c r="D1125" s="8">
        <v>2015</v>
      </c>
      <c r="E1125" s="14">
        <f>Data!N1125</f>
        <v>3310000000</v>
      </c>
      <c r="F1125" s="14">
        <f>Data!K1125</f>
        <v>116417000000</v>
      </c>
      <c r="G1125" s="12">
        <f t="shared" si="17"/>
        <v>2.8432273637011778E-2</v>
      </c>
    </row>
    <row r="1126" spans="2:7" ht="15" customHeight="1" x14ac:dyDescent="0.3">
      <c r="C1126" s="2"/>
      <c r="D1126" s="8">
        <v>2016</v>
      </c>
      <c r="E1126" s="14">
        <f>Data!N1126</f>
        <v>6274000000</v>
      </c>
      <c r="F1126" s="14">
        <f>Data!K1126</f>
        <v>128700000000</v>
      </c>
      <c r="G1126" s="12">
        <f t="shared" si="17"/>
        <v>4.8749028749028749E-2</v>
      </c>
    </row>
    <row r="1127" spans="2:7" ht="15" customHeight="1" x14ac:dyDescent="0.3">
      <c r="C1127" s="2"/>
      <c r="D1127" s="8">
        <v>2017</v>
      </c>
      <c r="E1127" s="14">
        <f>Data!N1127</f>
        <v>4681000000</v>
      </c>
      <c r="F1127" s="14">
        <f>Data!K1127</f>
        <v>133380000000</v>
      </c>
      <c r="G1127" s="12">
        <f t="shared" si="17"/>
        <v>3.5095216674164043E-2</v>
      </c>
    </row>
    <row r="1128" spans="2:7" ht="15" customHeight="1" x14ac:dyDescent="0.3">
      <c r="C1128" s="2"/>
      <c r="D1128" s="8">
        <v>2018</v>
      </c>
      <c r="E1128" s="14">
        <f>Data!N1128</f>
        <v>5562000000</v>
      </c>
      <c r="F1128" s="14">
        <f>Data!K1129</f>
        <v>114421000000</v>
      </c>
      <c r="G1128" s="12">
        <f t="shared" si="17"/>
        <v>4.8609957962262175E-2</v>
      </c>
    </row>
    <row r="1129" spans="2:7" ht="15" customHeight="1" x14ac:dyDescent="0.3">
      <c r="C1129" s="2"/>
      <c r="D1129" s="8">
        <v>2019</v>
      </c>
      <c r="E1129" s="14">
        <f>Data!N1129</f>
        <v>6482000000</v>
      </c>
      <c r="F1129" s="14" t="e">
        <f>Data!#REF!</f>
        <v>#REF!</v>
      </c>
      <c r="G1129" s="12">
        <f t="shared" si="17"/>
        <v>0</v>
      </c>
    </row>
    <row r="1130" spans="2:7" ht="15" customHeight="1" x14ac:dyDescent="0.3">
      <c r="C1130" s="2"/>
      <c r="D1130" s="8">
        <v>2020</v>
      </c>
      <c r="E1130" s="14">
        <f>Data!N1130</f>
        <v>19752000000</v>
      </c>
      <c r="F1130" s="14">
        <f>Data!K1130</f>
        <v>179001000000</v>
      </c>
      <c r="G1130" s="12">
        <f t="shared" si="17"/>
        <v>0.11034575225836728</v>
      </c>
    </row>
    <row r="1131" spans="2:7" ht="15" customHeight="1" x14ac:dyDescent="0.3">
      <c r="C1131" s="2"/>
      <c r="D1131" s="8">
        <v>2021</v>
      </c>
      <c r="E1131" s="14">
        <f>Data!N1131</f>
        <v>-18953000000</v>
      </c>
      <c r="F1131" s="14">
        <f>Data!K1131</f>
        <v>142995000000</v>
      </c>
      <c r="G1131" s="12">
        <f t="shared" si="17"/>
        <v>-0.13254309591244448</v>
      </c>
    </row>
    <row r="1132" spans="2:7" ht="15" customHeight="1" x14ac:dyDescent="0.3">
      <c r="C1132" s="2"/>
      <c r="D1132" s="8">
        <v>2022</v>
      </c>
      <c r="E1132" s="14">
        <f>Data!N1132</f>
        <v>11119000000</v>
      </c>
      <c r="F1132" s="14">
        <f>Data!K1132</f>
        <v>154113000000</v>
      </c>
      <c r="G1132" s="12">
        <f t="shared" si="17"/>
        <v>7.2148358671883614E-2</v>
      </c>
    </row>
    <row r="1133" spans="2:7" ht="15" customHeight="1" x14ac:dyDescent="0.3">
      <c r="C1133" s="2"/>
      <c r="D1133" s="8">
        <v>2023</v>
      </c>
      <c r="E1133" s="14">
        <f>Data!N1133</f>
        <v>-2255000000</v>
      </c>
      <c r="F1133" s="14">
        <f>Data!K1133</f>
        <v>149416000000</v>
      </c>
      <c r="G1133" s="12">
        <f t="shared" si="17"/>
        <v>-1.5092091877710554E-2</v>
      </c>
    </row>
    <row r="1134" spans="2:7" ht="15" customHeight="1" x14ac:dyDescent="0.3">
      <c r="C1134" s="2"/>
      <c r="D1134" s="8">
        <v>2024</v>
      </c>
      <c r="E1134" s="14">
        <f>Data!N1134</f>
        <v>10968000000</v>
      </c>
      <c r="F1134" s="14">
        <f>Data!K1134</f>
        <v>262297000000</v>
      </c>
      <c r="G1134" s="12">
        <f t="shared" si="17"/>
        <v>4.1815194226392217E-2</v>
      </c>
    </row>
    <row r="1135" spans="2:7" ht="15" customHeight="1" x14ac:dyDescent="0.3">
      <c r="B1135" s="8">
        <v>104</v>
      </c>
      <c r="C1135" s="2" t="s">
        <v>123</v>
      </c>
      <c r="D1135" s="8">
        <v>2014</v>
      </c>
      <c r="E1135" s="14">
        <f>Data!N1135</f>
        <v>0</v>
      </c>
      <c r="F1135" s="14">
        <f>Data!K1135</f>
        <v>0</v>
      </c>
      <c r="G1135" s="12">
        <f t="shared" si="17"/>
        <v>0</v>
      </c>
    </row>
    <row r="1136" spans="2:7" ht="15" customHeight="1" x14ac:dyDescent="0.3">
      <c r="C1136" s="2"/>
      <c r="D1136" s="8">
        <v>2015</v>
      </c>
      <c r="E1136" s="14">
        <f>Data!N1136</f>
        <v>75614000000</v>
      </c>
      <c r="F1136" s="14">
        <f>Data!K1136</f>
        <v>139620000000</v>
      </c>
      <c r="G1136" s="12">
        <f t="shared" si="17"/>
        <v>0.54156997564818798</v>
      </c>
    </row>
    <row r="1137" spans="2:7" ht="15" customHeight="1" x14ac:dyDescent="0.3">
      <c r="C1137" s="2"/>
      <c r="D1137" s="8">
        <v>2016</v>
      </c>
      <c r="E1137" s="14">
        <f>Data!N1137</f>
        <v>69254000000</v>
      </c>
      <c r="F1137" s="14">
        <f>Data!K1137</f>
        <v>120706000000</v>
      </c>
      <c r="G1137" s="12">
        <f t="shared" si="17"/>
        <v>0.57374115619770349</v>
      </c>
    </row>
    <row r="1138" spans="2:7" ht="15" customHeight="1" x14ac:dyDescent="0.3">
      <c r="C1138" s="2"/>
      <c r="D1138" s="8">
        <v>2017</v>
      </c>
      <c r="E1138" s="14">
        <f>Data!N1138</f>
        <v>91177000000</v>
      </c>
      <c r="F1138" s="14">
        <f>Data!K1138</f>
        <v>140052000000</v>
      </c>
      <c r="G1138" s="12">
        <f t="shared" si="17"/>
        <v>0.65102247736554997</v>
      </c>
    </row>
    <row r="1139" spans="2:7" ht="15" customHeight="1" x14ac:dyDescent="0.3">
      <c r="C1139" s="2"/>
      <c r="D1139" s="8">
        <v>2018</v>
      </c>
      <c r="E1139" s="14">
        <f>Data!N1139</f>
        <v>76205000000</v>
      </c>
      <c r="F1139" s="14">
        <f>Data!K1139</f>
        <v>135467000000</v>
      </c>
      <c r="G1139" s="12">
        <f t="shared" si="17"/>
        <v>0.56253552525707373</v>
      </c>
    </row>
    <row r="1140" spans="2:7" ht="15" customHeight="1" x14ac:dyDescent="0.3">
      <c r="C1140" s="2"/>
      <c r="D1140" s="8">
        <v>2019</v>
      </c>
      <c r="E1140" s="14">
        <f>Data!N1140</f>
        <v>79859000000</v>
      </c>
      <c r="F1140" s="14">
        <f>Data!K1140</f>
        <v>146256000000</v>
      </c>
      <c r="G1140" s="12">
        <f t="shared" si="17"/>
        <v>0.54602204354009409</v>
      </c>
    </row>
    <row r="1141" spans="2:7" ht="15" customHeight="1" x14ac:dyDescent="0.3">
      <c r="C1141" s="2"/>
      <c r="D1141" s="8">
        <v>2020</v>
      </c>
      <c r="E1141" s="14">
        <f>Data!N1141</f>
        <v>92901000000</v>
      </c>
      <c r="F1141" s="14">
        <f>Data!K1141</f>
        <v>139429000000</v>
      </c>
      <c r="G1141" s="12">
        <f t="shared" si="17"/>
        <v>0.66629610769639025</v>
      </c>
    </row>
    <row r="1142" spans="2:7" ht="15" customHeight="1" x14ac:dyDescent="0.3">
      <c r="C1142" s="2"/>
      <c r="D1142" s="8">
        <v>2021</v>
      </c>
      <c r="E1142" s="14">
        <f>Data!N1142</f>
        <v>45634000000</v>
      </c>
      <c r="F1142" s="14">
        <f>Data!K1142</f>
        <v>158508000000</v>
      </c>
      <c r="G1142" s="12">
        <f t="shared" si="17"/>
        <v>0.2878971408383173</v>
      </c>
    </row>
    <row r="1143" spans="2:7" ht="15" customHeight="1" x14ac:dyDescent="0.3">
      <c r="C1143" s="2"/>
      <c r="D1143" s="8">
        <v>2022</v>
      </c>
      <c r="E1143" s="14">
        <f>Data!N1143</f>
        <v>33533000000</v>
      </c>
      <c r="F1143" s="14">
        <f>Data!K1143</f>
        <v>163152000000</v>
      </c>
      <c r="G1143" s="12">
        <f t="shared" si="17"/>
        <v>0.2055322643914877</v>
      </c>
    </row>
    <row r="1144" spans="2:7" ht="15" customHeight="1" x14ac:dyDescent="0.3">
      <c r="C1144" s="2"/>
      <c r="D1144" s="8">
        <v>2023</v>
      </c>
      <c r="E1144" s="14">
        <f>Data!N1144</f>
        <v>40962000000</v>
      </c>
      <c r="F1144" s="14">
        <f>Data!K1144</f>
        <v>191029000000</v>
      </c>
      <c r="G1144" s="12">
        <f t="shared" si="17"/>
        <v>0.21442817582670695</v>
      </c>
    </row>
    <row r="1145" spans="2:7" ht="15" customHeight="1" x14ac:dyDescent="0.3">
      <c r="C1145" s="2"/>
      <c r="D1145" s="8">
        <v>2024</v>
      </c>
      <c r="E1145" s="14">
        <f>Data!N1145</f>
        <v>57498000000</v>
      </c>
      <c r="F1145" s="14">
        <f>Data!K1145</f>
        <v>248527000000</v>
      </c>
      <c r="G1145" s="12">
        <f t="shared" si="17"/>
        <v>0.23135514451146152</v>
      </c>
    </row>
    <row r="1146" spans="2:7" ht="15" customHeight="1" x14ac:dyDescent="0.3">
      <c r="B1146" s="8">
        <v>105</v>
      </c>
      <c r="C1146" s="1" t="s">
        <v>135</v>
      </c>
      <c r="D1146" s="8">
        <v>2014</v>
      </c>
      <c r="E1146" s="14">
        <f>Data!N1146</f>
        <v>0</v>
      </c>
      <c r="F1146" s="14">
        <f>Data!K1146</f>
        <v>0</v>
      </c>
      <c r="G1146" s="12">
        <f t="shared" si="17"/>
        <v>0</v>
      </c>
    </row>
    <row r="1147" spans="2:7" ht="15" customHeight="1" x14ac:dyDescent="0.3">
      <c r="C1147" s="1"/>
      <c r="D1147" s="8">
        <v>2015</v>
      </c>
      <c r="E1147" s="14">
        <f>Data!N1147</f>
        <v>0</v>
      </c>
      <c r="F1147" s="14">
        <f>Data!K1147</f>
        <v>0</v>
      </c>
      <c r="G1147" s="12">
        <f t="shared" si="17"/>
        <v>0</v>
      </c>
    </row>
    <row r="1148" spans="2:7" ht="15" customHeight="1" x14ac:dyDescent="0.3">
      <c r="C1148" s="1"/>
      <c r="D1148" s="8">
        <v>2016</v>
      </c>
      <c r="E1148" s="14">
        <f>Data!N1148</f>
        <v>-29418000000</v>
      </c>
      <c r="F1148" s="14">
        <f>Data!K1148</f>
        <v>29216000000</v>
      </c>
      <c r="G1148" s="12">
        <f t="shared" si="17"/>
        <v>-1.0069140197152244</v>
      </c>
    </row>
    <row r="1149" spans="2:7" ht="15" customHeight="1" x14ac:dyDescent="0.3">
      <c r="C1149" s="1"/>
      <c r="D1149" s="8">
        <v>2017</v>
      </c>
      <c r="E1149" s="14">
        <f>Data!N1149</f>
        <v>-4168000000</v>
      </c>
      <c r="F1149" s="14">
        <f>Data!K1149</f>
        <v>10975000000</v>
      </c>
      <c r="G1149" s="12">
        <f t="shared" si="17"/>
        <v>-0.3797722095671982</v>
      </c>
    </row>
    <row r="1150" spans="2:7" ht="15" customHeight="1" x14ac:dyDescent="0.3">
      <c r="C1150" s="1"/>
      <c r="D1150" s="8">
        <v>2018</v>
      </c>
      <c r="E1150" s="14">
        <f>Data!N1150</f>
        <v>1444000000</v>
      </c>
      <c r="F1150" s="14">
        <f>Data!K1150</f>
        <v>62614000000</v>
      </c>
      <c r="G1150" s="12">
        <f t="shared" si="17"/>
        <v>2.3061935030504362E-2</v>
      </c>
    </row>
    <row r="1151" spans="2:7" ht="15" customHeight="1" x14ac:dyDescent="0.3">
      <c r="C1151" s="1"/>
      <c r="D1151" s="8">
        <v>2019</v>
      </c>
      <c r="E1151" s="14">
        <f>Data!N1151</f>
        <v>1055000000</v>
      </c>
      <c r="F1151" s="14">
        <f>Data!K1151</f>
        <v>65521000000</v>
      </c>
      <c r="G1151" s="12">
        <f t="shared" si="17"/>
        <v>1.61017078493918E-2</v>
      </c>
    </row>
    <row r="1152" spans="2:7" ht="15" customHeight="1" x14ac:dyDescent="0.3">
      <c r="C1152" s="1"/>
      <c r="D1152" s="8">
        <v>2020</v>
      </c>
      <c r="E1152" s="14">
        <f>Data!N1152</f>
        <v>3485000000</v>
      </c>
      <c r="F1152" s="14">
        <f>Data!K1152</f>
        <v>68747000000</v>
      </c>
      <c r="G1152" s="12">
        <f t="shared" si="17"/>
        <v>5.0693121154377643E-2</v>
      </c>
    </row>
    <row r="1153" spans="2:7" ht="15" customHeight="1" x14ac:dyDescent="0.3">
      <c r="C1153" s="1"/>
      <c r="D1153" s="8">
        <v>2021</v>
      </c>
      <c r="E1153" s="14">
        <f>Data!N1153</f>
        <v>2610000000</v>
      </c>
      <c r="F1153" s="14">
        <f>Data!K1153</f>
        <v>70597000000</v>
      </c>
      <c r="G1153" s="12">
        <f t="shared" si="17"/>
        <v>3.6970409507486153E-2</v>
      </c>
    </row>
    <row r="1154" spans="2:7" ht="15" customHeight="1" x14ac:dyDescent="0.3">
      <c r="C1154" s="1"/>
      <c r="D1154" s="8">
        <v>2022</v>
      </c>
      <c r="E1154" s="14">
        <f>Data!N1154</f>
        <v>8854000000</v>
      </c>
      <c r="F1154" s="14">
        <f>Data!K1154</f>
        <v>78029000000</v>
      </c>
      <c r="G1154" s="12">
        <f t="shared" si="17"/>
        <v>0.11347063271347832</v>
      </c>
    </row>
    <row r="1155" spans="2:7" ht="15" customHeight="1" x14ac:dyDescent="0.3">
      <c r="C1155" s="1"/>
      <c r="D1155" s="8">
        <v>2023</v>
      </c>
      <c r="E1155" s="14">
        <f>Data!N1155</f>
        <v>10394000000</v>
      </c>
      <c r="F1155" s="14">
        <f>Data!K1155</f>
        <v>89908000000</v>
      </c>
      <c r="G1155" s="12">
        <f t="shared" ref="G1155:G1218" si="18">IFERROR(E1155/F1155,0)</f>
        <v>0.11560706499977755</v>
      </c>
    </row>
    <row r="1156" spans="2:7" ht="15" customHeight="1" x14ac:dyDescent="0.3">
      <c r="C1156" s="1"/>
      <c r="D1156" s="8">
        <v>2024</v>
      </c>
      <c r="E1156" s="14">
        <f>Data!N1156</f>
        <v>4121000000</v>
      </c>
      <c r="F1156" s="14">
        <f>Data!K1156</f>
        <v>96582000000</v>
      </c>
      <c r="G1156" s="12">
        <f t="shared" si="18"/>
        <v>4.2668406121223419E-2</v>
      </c>
    </row>
    <row r="1157" spans="2:7" ht="15" customHeight="1" x14ac:dyDescent="0.3">
      <c r="B1157" s="8">
        <v>106</v>
      </c>
      <c r="C1157" s="2" t="s">
        <v>124</v>
      </c>
      <c r="D1157" s="8">
        <v>2014</v>
      </c>
      <c r="E1157" s="14">
        <f>Data!N1157</f>
        <v>0</v>
      </c>
      <c r="F1157" s="14">
        <f>Data!K1157</f>
        <v>0</v>
      </c>
      <c r="G1157" s="12">
        <f t="shared" si="18"/>
        <v>0</v>
      </c>
    </row>
    <row r="1158" spans="2:7" ht="15" customHeight="1" x14ac:dyDescent="0.3">
      <c r="C1158" s="2"/>
      <c r="D1158" s="8">
        <v>2015</v>
      </c>
      <c r="E1158" s="14">
        <f>Data!N1158</f>
        <v>164603000000</v>
      </c>
      <c r="F1158" s="14">
        <f>Data!K1158</f>
        <v>761704000000</v>
      </c>
      <c r="G1158" s="12">
        <f t="shared" si="18"/>
        <v>0.21609837942297797</v>
      </c>
    </row>
    <row r="1159" spans="2:7" ht="15" customHeight="1" x14ac:dyDescent="0.3">
      <c r="C1159" s="2"/>
      <c r="D1159" s="8">
        <v>2016</v>
      </c>
      <c r="E1159" s="14">
        <f>Data!N1159</f>
        <v>93641000000</v>
      </c>
      <c r="F1159" s="14">
        <f>Data!K1159</f>
        <v>790735000000</v>
      </c>
      <c r="G1159" s="12">
        <f t="shared" si="18"/>
        <v>0.11842273327979665</v>
      </c>
    </row>
    <row r="1160" spans="2:7" ht="15" customHeight="1" x14ac:dyDescent="0.3">
      <c r="C1160" s="2"/>
      <c r="D1160" s="8">
        <v>2017</v>
      </c>
      <c r="E1160" s="14">
        <f>Data!N1160</f>
        <v>119205000000</v>
      </c>
      <c r="F1160" s="14">
        <f>Data!K1160</f>
        <v>783168000000</v>
      </c>
      <c r="G1160" s="12">
        <f t="shared" si="18"/>
        <v>0.15220872150036774</v>
      </c>
    </row>
    <row r="1161" spans="2:7" ht="15" customHeight="1" x14ac:dyDescent="0.3">
      <c r="C1161" s="2"/>
      <c r="D1161" s="8">
        <v>2018</v>
      </c>
      <c r="E1161" s="14">
        <f>Data!N1161</f>
        <v>129975000000</v>
      </c>
      <c r="F1161" s="14">
        <f>Data!K1161</f>
        <v>857084000000</v>
      </c>
      <c r="G1161" s="12">
        <f t="shared" si="18"/>
        <v>0.15164791315670342</v>
      </c>
    </row>
    <row r="1162" spans="2:7" ht="15" customHeight="1" x14ac:dyDescent="0.3">
      <c r="C1162" s="2"/>
      <c r="D1162" s="8">
        <v>2019</v>
      </c>
      <c r="E1162" s="14">
        <f>Data!N1162</f>
        <v>155313000000</v>
      </c>
      <c r="F1162" s="14">
        <f>Data!K1162</f>
        <v>992211000000</v>
      </c>
      <c r="G1162" s="12">
        <f t="shared" si="18"/>
        <v>0.15653222953585477</v>
      </c>
    </row>
    <row r="1163" spans="2:7" ht="15" customHeight="1" x14ac:dyDescent="0.3">
      <c r="C1163" s="2"/>
      <c r="D1163" s="8">
        <v>2020</v>
      </c>
      <c r="E1163" s="14">
        <f>Data!N1163</f>
        <v>189874000000</v>
      </c>
      <c r="F1163" s="14">
        <f>Data!K1163</f>
        <v>1159604000000</v>
      </c>
      <c r="G1163" s="12">
        <f t="shared" si="18"/>
        <v>0.16374038033673566</v>
      </c>
    </row>
    <row r="1164" spans="2:7" ht="15" customHeight="1" x14ac:dyDescent="0.3">
      <c r="C1164" s="2"/>
      <c r="D1164" s="8">
        <v>2021</v>
      </c>
      <c r="E1164" s="14">
        <f>Data!N1164</f>
        <v>224323000000</v>
      </c>
      <c r="F1164" s="14">
        <f>Data!K1164</f>
        <v>1318513000000</v>
      </c>
      <c r="G1164" s="12">
        <f t="shared" si="18"/>
        <v>0.1701333244344197</v>
      </c>
    </row>
    <row r="1165" spans="2:7" ht="15" customHeight="1" x14ac:dyDescent="0.3">
      <c r="C1165" s="2"/>
      <c r="D1165" s="8">
        <v>2022</v>
      </c>
      <c r="E1165" s="14">
        <f>Data!N1165</f>
        <v>264949000000</v>
      </c>
      <c r="F1165" s="14">
        <f>Data!K1165</f>
        <v>1456690000000</v>
      </c>
      <c r="G1165" s="12">
        <f t="shared" si="18"/>
        <v>0.18188427187665185</v>
      </c>
    </row>
    <row r="1166" spans="2:7" ht="15" customHeight="1" x14ac:dyDescent="0.3">
      <c r="C1166" s="2"/>
      <c r="D1166" s="8">
        <v>2023</v>
      </c>
      <c r="E1166" s="14">
        <f>Data!N1166</f>
        <v>242841000000</v>
      </c>
      <c r="F1166" s="14">
        <f>Data!K1166</f>
        <v>1474249000000</v>
      </c>
      <c r="G1166" s="12">
        <f t="shared" si="18"/>
        <v>0.16472183464258752</v>
      </c>
    </row>
    <row r="1167" spans="2:7" ht="15" customHeight="1" x14ac:dyDescent="0.3">
      <c r="C1167" s="2"/>
      <c r="D1167" s="8">
        <v>2024</v>
      </c>
      <c r="E1167" s="14">
        <f>Data!N1167</f>
        <v>296676000000</v>
      </c>
      <c r="F1167" s="14">
        <f>Data!K1167</f>
        <v>1557157000000</v>
      </c>
      <c r="G1167" s="12">
        <f t="shared" si="18"/>
        <v>0.19052414111101193</v>
      </c>
    </row>
    <row r="1168" spans="2:7" ht="15" customHeight="1" x14ac:dyDescent="0.3">
      <c r="B1168" s="8">
        <v>107</v>
      </c>
      <c r="C1168" s="2" t="s">
        <v>105</v>
      </c>
      <c r="D1168" s="8">
        <v>2014</v>
      </c>
      <c r="E1168" s="14">
        <f>Data!N1168</f>
        <v>0</v>
      </c>
      <c r="F1168" s="14">
        <f>Data!K1168</f>
        <v>0</v>
      </c>
      <c r="G1168" s="12">
        <f t="shared" si="18"/>
        <v>0</v>
      </c>
    </row>
    <row r="1169" spans="2:7" ht="15" customHeight="1" x14ac:dyDescent="0.3">
      <c r="C1169" s="2"/>
      <c r="D1169" s="8">
        <v>2015</v>
      </c>
      <c r="E1169" s="14">
        <f>Data!N1169</f>
        <v>0</v>
      </c>
      <c r="F1169" s="14">
        <f>Data!K1169</f>
        <v>0</v>
      </c>
      <c r="G1169" s="12">
        <f t="shared" si="18"/>
        <v>0</v>
      </c>
    </row>
    <row r="1170" spans="2:7" ht="15" customHeight="1" x14ac:dyDescent="0.3">
      <c r="C1170" s="2"/>
      <c r="D1170" s="8">
        <v>2016</v>
      </c>
      <c r="E1170" s="14">
        <f>Data!N1170</f>
        <v>0</v>
      </c>
      <c r="F1170" s="14">
        <f>Data!K1170</f>
        <v>0</v>
      </c>
      <c r="G1170" s="12">
        <f t="shared" si="18"/>
        <v>0</v>
      </c>
    </row>
    <row r="1171" spans="2:7" ht="15" customHeight="1" x14ac:dyDescent="0.3">
      <c r="C1171" s="2"/>
      <c r="D1171" s="8">
        <v>2017</v>
      </c>
      <c r="E1171" s="14">
        <f>Data!N1171</f>
        <v>0</v>
      </c>
      <c r="F1171" s="14">
        <f>Data!K1171</f>
        <v>0</v>
      </c>
      <c r="G1171" s="12">
        <f t="shared" si="18"/>
        <v>0</v>
      </c>
    </row>
    <row r="1172" spans="2:7" ht="15" customHeight="1" x14ac:dyDescent="0.3">
      <c r="C1172" s="2"/>
      <c r="D1172" s="8">
        <v>2018</v>
      </c>
      <c r="E1172" s="14">
        <f>Data!N1172</f>
        <v>0</v>
      </c>
      <c r="F1172" s="14">
        <f>Data!K1172</f>
        <v>0</v>
      </c>
      <c r="G1172" s="12">
        <f t="shared" si="18"/>
        <v>0</v>
      </c>
    </row>
    <row r="1173" spans="2:7" ht="15" customHeight="1" x14ac:dyDescent="0.3">
      <c r="C1173" s="2"/>
      <c r="D1173" s="8">
        <v>2019</v>
      </c>
      <c r="E1173" s="14">
        <f>Data!N1173</f>
        <v>-7150000000</v>
      </c>
      <c r="F1173" s="14">
        <f>Data!K1173</f>
        <v>193148000000</v>
      </c>
      <c r="G1173" s="12">
        <f t="shared" si="18"/>
        <v>-3.7018245076314536E-2</v>
      </c>
    </row>
    <row r="1174" spans="2:7" ht="15" customHeight="1" x14ac:dyDescent="0.3">
      <c r="C1174" s="2"/>
      <c r="D1174" s="8">
        <v>2020</v>
      </c>
      <c r="E1174" s="14">
        <f>Data!N1174</f>
        <v>14976000000</v>
      </c>
      <c r="F1174" s="14">
        <f>Data!K1174</f>
        <v>208124000000</v>
      </c>
      <c r="G1174" s="12">
        <f t="shared" si="18"/>
        <v>7.1957102496588571E-2</v>
      </c>
    </row>
    <row r="1175" spans="2:7" ht="15" customHeight="1" x14ac:dyDescent="0.3">
      <c r="C1175" s="2"/>
      <c r="D1175" s="8">
        <v>2021</v>
      </c>
      <c r="E1175" s="14">
        <f>Data!N1175</f>
        <v>19343000000</v>
      </c>
      <c r="F1175" s="14">
        <f>Data!K1175</f>
        <v>227467000000</v>
      </c>
      <c r="G1175" s="12">
        <f t="shared" si="18"/>
        <v>8.5036510790576211E-2</v>
      </c>
    </row>
    <row r="1176" spans="2:7" ht="15" customHeight="1" x14ac:dyDescent="0.3">
      <c r="C1176" s="2"/>
      <c r="D1176" s="8">
        <v>2022</v>
      </c>
      <c r="E1176" s="14">
        <f>Data!N1176</f>
        <v>23678000000</v>
      </c>
      <c r="F1176" s="14">
        <f>Data!K1176</f>
        <v>251145000000</v>
      </c>
      <c r="G1176" s="12">
        <f t="shared" si="18"/>
        <v>9.4280196699118038E-2</v>
      </c>
    </row>
    <row r="1177" spans="2:7" ht="15" customHeight="1" x14ac:dyDescent="0.3">
      <c r="C1177" s="2"/>
      <c r="D1177" s="8">
        <v>2023</v>
      </c>
      <c r="E1177" s="14">
        <f>Data!N1177</f>
        <v>65325000000</v>
      </c>
      <c r="F1177" s="14">
        <f>Data!K1177</f>
        <v>316470000000</v>
      </c>
      <c r="G1177" s="12">
        <f t="shared" si="18"/>
        <v>0.20641766992131955</v>
      </c>
    </row>
    <row r="1178" spans="2:7" ht="15" customHeight="1" x14ac:dyDescent="0.3">
      <c r="C1178" s="2"/>
      <c r="D1178" s="8">
        <v>2024</v>
      </c>
      <c r="E1178" s="14">
        <f>Data!N1178</f>
        <v>75079000000</v>
      </c>
      <c r="F1178" s="14">
        <f>Data!K1178</f>
        <v>391579000000</v>
      </c>
      <c r="G1178" s="12">
        <f t="shared" si="18"/>
        <v>0.19173397960564789</v>
      </c>
    </row>
    <row r="1179" spans="2:7" ht="15" customHeight="1" x14ac:dyDescent="0.3">
      <c r="B1179" s="8">
        <v>108</v>
      </c>
      <c r="C1179" s="1" t="s">
        <v>125</v>
      </c>
      <c r="D1179" s="8">
        <v>2014</v>
      </c>
      <c r="E1179" s="14">
        <f>Data!N1179</f>
        <v>0</v>
      </c>
      <c r="F1179" s="14">
        <f>Data!K1179</f>
        <v>0</v>
      </c>
      <c r="G1179" s="12">
        <f t="shared" si="18"/>
        <v>0</v>
      </c>
    </row>
    <row r="1180" spans="2:7" ht="15" customHeight="1" x14ac:dyDescent="0.3">
      <c r="C1180" s="1"/>
      <c r="D1180" s="8">
        <v>2015</v>
      </c>
      <c r="E1180" s="14">
        <f>Data!N1180</f>
        <v>130435000000</v>
      </c>
      <c r="F1180" s="14">
        <f>Data!K1180</f>
        <v>388717000000</v>
      </c>
      <c r="G1180" s="12">
        <f t="shared" si="18"/>
        <v>0.33555259996346959</v>
      </c>
    </row>
    <row r="1181" spans="2:7" ht="15" customHeight="1" x14ac:dyDescent="0.3">
      <c r="C1181" s="1"/>
      <c r="D1181" s="8">
        <v>2016</v>
      </c>
      <c r="E1181" s="14">
        <f>Data!N1181</f>
        <v>25738000000</v>
      </c>
      <c r="F1181" s="14">
        <f>Data!K1181</f>
        <v>414363000000</v>
      </c>
      <c r="G1181" s="12">
        <f t="shared" si="18"/>
        <v>6.2114619307225789E-2</v>
      </c>
    </row>
    <row r="1182" spans="2:7" ht="15" customHeight="1" x14ac:dyDescent="0.3">
      <c r="C1182" s="1"/>
      <c r="D1182" s="8">
        <v>2017</v>
      </c>
      <c r="E1182" s="14">
        <f>Data!N1182</f>
        <v>34230000000</v>
      </c>
      <c r="F1182" s="14">
        <f>Data!K1182</f>
        <v>419617000000</v>
      </c>
      <c r="G1182" s="12">
        <f t="shared" si="18"/>
        <v>8.1574388072933171E-2</v>
      </c>
    </row>
    <row r="1183" spans="2:7" ht="15" customHeight="1" x14ac:dyDescent="0.3">
      <c r="C1183" s="1"/>
      <c r="D1183" s="8">
        <v>2018</v>
      </c>
      <c r="E1183" s="14">
        <f>Data!N1183</f>
        <v>34927000000</v>
      </c>
      <c r="F1183" s="14">
        <f>Data!K1183</f>
        <v>440344000000</v>
      </c>
      <c r="G1183" s="12">
        <f t="shared" si="18"/>
        <v>7.9317533564667628E-2</v>
      </c>
    </row>
    <row r="1184" spans="2:7" ht="15" customHeight="1" x14ac:dyDescent="0.3">
      <c r="C1184" s="1"/>
      <c r="D1184" s="8">
        <v>2019</v>
      </c>
      <c r="E1184" s="14">
        <f>Data!N1184</f>
        <v>48455000000</v>
      </c>
      <c r="F1184" s="14">
        <f>Data!K1184</f>
        <v>471299000000</v>
      </c>
      <c r="G1184" s="12">
        <f t="shared" si="18"/>
        <v>0.10281159094332896</v>
      </c>
    </row>
    <row r="1185" spans="2:7" ht="15" customHeight="1" x14ac:dyDescent="0.3">
      <c r="C1185" s="1"/>
      <c r="D1185" s="8">
        <v>2020</v>
      </c>
      <c r="E1185" s="14">
        <f>Data!N1185</f>
        <v>35108000000</v>
      </c>
      <c r="F1185" s="14">
        <f>Data!K1185</f>
        <v>486407000000</v>
      </c>
      <c r="G1185" s="12">
        <f t="shared" si="18"/>
        <v>7.2178237566482395E-2</v>
      </c>
    </row>
    <row r="1186" spans="2:7" ht="15" customHeight="1" x14ac:dyDescent="0.3">
      <c r="C1186" s="1"/>
      <c r="D1186" s="8">
        <v>2021</v>
      </c>
      <c r="E1186" s="14">
        <f>Data!N1186</f>
        <v>55620000000</v>
      </c>
      <c r="F1186" s="14">
        <f>Data!K1186</f>
        <v>522027000000</v>
      </c>
      <c r="G1186" s="12">
        <f t="shared" si="18"/>
        <v>0.10654621312690724</v>
      </c>
    </row>
    <row r="1187" spans="2:7" ht="15" customHeight="1" x14ac:dyDescent="0.3">
      <c r="C1187" s="1"/>
      <c r="D1187" s="8">
        <v>2022</v>
      </c>
      <c r="E1187" s="14">
        <f>Data!N1187</f>
        <v>77227000000</v>
      </c>
      <c r="F1187" s="14">
        <f>Data!K1187</f>
        <v>562427000000</v>
      </c>
      <c r="G1187" s="12">
        <f t="shared" si="18"/>
        <v>0.13731026426540688</v>
      </c>
    </row>
    <row r="1188" spans="2:7" ht="15" customHeight="1" x14ac:dyDescent="0.3">
      <c r="C1188" s="1"/>
      <c r="D1188" s="8">
        <v>2023</v>
      </c>
      <c r="E1188" s="14">
        <f>Data!N1188</f>
        <v>113831000000</v>
      </c>
      <c r="F1188" s="14">
        <f>Data!K1188</f>
        <v>629515000000</v>
      </c>
      <c r="G1188" s="12">
        <f t="shared" si="18"/>
        <v>0.18082333224784158</v>
      </c>
    </row>
    <row r="1189" spans="2:7" ht="15" customHeight="1" x14ac:dyDescent="0.3">
      <c r="C1189" s="1"/>
      <c r="D1189" s="8">
        <v>2024</v>
      </c>
      <c r="E1189" s="14">
        <f>Data!N1189</f>
        <v>115420000000</v>
      </c>
      <c r="F1189" s="14">
        <f>Data!K1189</f>
        <v>695935000000</v>
      </c>
      <c r="G1189" s="12">
        <f t="shared" si="18"/>
        <v>0.16584882208826973</v>
      </c>
    </row>
    <row r="1190" spans="2:7" ht="15" customHeight="1" x14ac:dyDescent="0.3">
      <c r="B1190" s="8">
        <v>109</v>
      </c>
      <c r="C1190" s="2" t="s">
        <v>106</v>
      </c>
      <c r="D1190" s="8">
        <v>2014</v>
      </c>
      <c r="E1190" s="14">
        <f>Data!N1190</f>
        <v>0</v>
      </c>
      <c r="F1190" s="14">
        <f>Data!K1190</f>
        <v>0</v>
      </c>
      <c r="G1190" s="12">
        <f t="shared" si="18"/>
        <v>0</v>
      </c>
    </row>
    <row r="1191" spans="2:7" ht="15" customHeight="1" x14ac:dyDescent="0.3">
      <c r="C1191" s="2"/>
      <c r="D1191" s="8">
        <v>2015</v>
      </c>
      <c r="E1191" s="14">
        <f>Data!N1202</f>
        <v>44111000000</v>
      </c>
      <c r="F1191" s="14">
        <f>Data!K1202</f>
        <v>321230000000</v>
      </c>
      <c r="G1191" s="12">
        <f t="shared" si="18"/>
        <v>0.13731905488279425</v>
      </c>
    </row>
    <row r="1192" spans="2:7" ht="15" customHeight="1" x14ac:dyDescent="0.3">
      <c r="C1192" s="2"/>
      <c r="D1192" s="8">
        <v>2016</v>
      </c>
      <c r="E1192" s="14">
        <f>Data!N1203</f>
        <v>52121000000</v>
      </c>
      <c r="F1192" s="14">
        <f>Data!K1203</f>
        <v>373351000000</v>
      </c>
      <c r="G1192" s="12">
        <f t="shared" si="18"/>
        <v>0.13960321520499477</v>
      </c>
    </row>
    <row r="1193" spans="2:7" ht="15" customHeight="1" x14ac:dyDescent="0.3">
      <c r="C1193" s="2"/>
      <c r="D1193" s="8">
        <v>2017</v>
      </c>
      <c r="E1193" s="14">
        <f>Data!N1193</f>
        <v>285370000000</v>
      </c>
      <c r="F1193" s="14">
        <f>Data!K1193</f>
        <v>3709251000000</v>
      </c>
      <c r="G1193" s="12">
        <f t="shared" si="18"/>
        <v>7.6934669559973162E-2</v>
      </c>
    </row>
    <row r="1194" spans="2:7" ht="15" customHeight="1" x14ac:dyDescent="0.3">
      <c r="C1194" s="2"/>
      <c r="D1194" s="8">
        <v>2018</v>
      </c>
      <c r="E1194" s="14">
        <f>Data!N1194</f>
        <v>226922000000</v>
      </c>
      <c r="F1194" s="14">
        <f>Data!K1194</f>
        <v>4667403000000</v>
      </c>
      <c r="G1194" s="12">
        <f t="shared" si="18"/>
        <v>4.8618471556880774E-2</v>
      </c>
    </row>
    <row r="1195" spans="2:7" ht="15" customHeight="1" x14ac:dyDescent="0.3">
      <c r="C1195" s="2"/>
      <c r="D1195" s="8">
        <v>2019</v>
      </c>
      <c r="E1195" s="14">
        <f>Data!N1195</f>
        <v>340899000000</v>
      </c>
      <c r="F1195" s="14">
        <f>Data!K1195</f>
        <v>5024879000000</v>
      </c>
      <c r="G1195" s="12">
        <f t="shared" si="18"/>
        <v>6.7842230628837027E-2</v>
      </c>
    </row>
    <row r="1196" spans="2:7" ht="15" customHeight="1" x14ac:dyDescent="0.3">
      <c r="C1196" s="2"/>
      <c r="D1196" s="8">
        <v>2020</v>
      </c>
      <c r="E1196" s="14">
        <f>Data!N1196</f>
        <v>244847000000</v>
      </c>
      <c r="F1196" s="14">
        <f>Data!K1196</f>
        <v>5218711000000</v>
      </c>
      <c r="G1196" s="12">
        <f t="shared" si="18"/>
        <v>4.6917141033485085E-2</v>
      </c>
    </row>
    <row r="1197" spans="2:7" ht="15" customHeight="1" x14ac:dyDescent="0.3">
      <c r="C1197" s="2"/>
      <c r="D1197" s="8">
        <v>2021</v>
      </c>
      <c r="E1197" s="14">
        <f>Data!N1197</f>
        <v>245397000000</v>
      </c>
      <c r="F1197" s="14">
        <f>Data!K1197</f>
        <v>5340392000000</v>
      </c>
      <c r="G1197" s="12">
        <f t="shared" si="18"/>
        <v>4.5951121191103575E-2</v>
      </c>
    </row>
    <row r="1198" spans="2:7" ht="15" customHeight="1" x14ac:dyDescent="0.3">
      <c r="C1198" s="2"/>
      <c r="D1198" s="8">
        <v>2022</v>
      </c>
      <c r="E1198" s="14">
        <f>Data!N1198</f>
        <v>397450000000</v>
      </c>
      <c r="F1198" s="14">
        <f>Data!K1198</f>
        <v>5603741000000</v>
      </c>
      <c r="G1198" s="12">
        <f t="shared" si="18"/>
        <v>7.0925833296007074E-2</v>
      </c>
    </row>
    <row r="1199" spans="2:7" ht="15" customHeight="1" x14ac:dyDescent="0.3">
      <c r="C1199" s="2"/>
      <c r="D1199" s="8">
        <v>2023</v>
      </c>
      <c r="E1199" s="14">
        <f>Data!N1199</f>
        <v>1236532000000</v>
      </c>
      <c r="F1199" s="14">
        <f>Data!K1199</f>
        <v>6652105000000</v>
      </c>
      <c r="G1199" s="12">
        <f t="shared" si="18"/>
        <v>0.18588582110474805</v>
      </c>
    </row>
    <row r="1200" spans="2:7" ht="15" customHeight="1" x14ac:dyDescent="0.3">
      <c r="C1200" s="2"/>
      <c r="D1200" s="8">
        <v>2024</v>
      </c>
      <c r="E1200" s="14">
        <f>Data!N1200</f>
        <v>646662000000</v>
      </c>
      <c r="F1200" s="14">
        <f>Data!K1200</f>
        <v>5768032000000</v>
      </c>
      <c r="G1200" s="12">
        <f t="shared" si="18"/>
        <v>0.11211137524895839</v>
      </c>
    </row>
    <row r="1201" spans="2:7" ht="15" customHeight="1" x14ac:dyDescent="0.3">
      <c r="B1201" s="8">
        <v>110</v>
      </c>
      <c r="C1201" s="2" t="s">
        <v>66</v>
      </c>
      <c r="D1201" s="8">
        <v>2014</v>
      </c>
      <c r="E1201" s="14">
        <f>Data!N1201</f>
        <v>0</v>
      </c>
      <c r="F1201" s="14">
        <f>Data!K1201</f>
        <v>0</v>
      </c>
      <c r="G1201" s="12">
        <f t="shared" si="18"/>
        <v>0</v>
      </c>
    </row>
    <row r="1202" spans="2:7" ht="15" customHeight="1" x14ac:dyDescent="0.3">
      <c r="C1202" s="2"/>
      <c r="D1202" s="8">
        <v>2015</v>
      </c>
      <c r="E1202" s="14" t="e">
        <f>Data!#REF!</f>
        <v>#REF!</v>
      </c>
      <c r="F1202" s="14" t="e">
        <f>Data!#REF!</f>
        <v>#REF!</v>
      </c>
      <c r="G1202" s="12">
        <f t="shared" si="18"/>
        <v>0</v>
      </c>
    </row>
    <row r="1203" spans="2:7" ht="15" customHeight="1" x14ac:dyDescent="0.3">
      <c r="C1203" s="2"/>
      <c r="D1203" s="8">
        <v>2016</v>
      </c>
      <c r="E1203" s="14" t="e">
        <f>Data!#REF!</f>
        <v>#REF!</v>
      </c>
      <c r="F1203" s="14" t="e">
        <f>Data!#REF!</f>
        <v>#REF!</v>
      </c>
      <c r="G1203" s="12">
        <f t="shared" si="18"/>
        <v>0</v>
      </c>
    </row>
    <row r="1204" spans="2:7" ht="15" customHeight="1" x14ac:dyDescent="0.3">
      <c r="C1204" s="2"/>
      <c r="D1204" s="8">
        <v>2017</v>
      </c>
      <c r="E1204" s="14">
        <f>Data!N1204</f>
        <v>71954000000</v>
      </c>
      <c r="F1204" s="14">
        <f>Data!K1204</f>
        <v>445305000000</v>
      </c>
      <c r="G1204" s="12">
        <f t="shared" si="18"/>
        <v>0.16158363368926915</v>
      </c>
    </row>
    <row r="1205" spans="2:7" ht="15" customHeight="1" x14ac:dyDescent="0.3">
      <c r="C1205" s="2"/>
      <c r="D1205" s="8">
        <v>2018</v>
      </c>
      <c r="E1205" s="14">
        <f>Data!N1205</f>
        <v>79972000000</v>
      </c>
      <c r="F1205" s="14">
        <f>Data!K1205</f>
        <v>525277000000</v>
      </c>
      <c r="G1205" s="12">
        <f t="shared" si="18"/>
        <v>0.15224729047721489</v>
      </c>
    </row>
    <row r="1206" spans="2:7" ht="15" customHeight="1" x14ac:dyDescent="0.3">
      <c r="C1206" s="2"/>
      <c r="D1206" s="8">
        <v>2019</v>
      </c>
      <c r="E1206" s="14">
        <f>Data!N1206</f>
        <v>138922000000</v>
      </c>
      <c r="F1206" s="14">
        <f>Data!K1206</f>
        <v>664200000000</v>
      </c>
      <c r="G1206" s="12">
        <f t="shared" si="18"/>
        <v>0.20915688045769346</v>
      </c>
    </row>
    <row r="1207" spans="2:7" ht="15" customHeight="1" x14ac:dyDescent="0.3">
      <c r="C1207" s="2"/>
      <c r="D1207" s="8">
        <v>2020</v>
      </c>
      <c r="E1207" s="14">
        <f>Data!N1207</f>
        <v>137862000000</v>
      </c>
      <c r="F1207" s="14">
        <f>Data!K1207</f>
        <v>802062000000</v>
      </c>
      <c r="G1207" s="12">
        <f t="shared" si="18"/>
        <v>0.17188446778428601</v>
      </c>
    </row>
    <row r="1208" spans="2:7" ht="15" customHeight="1" x14ac:dyDescent="0.3">
      <c r="C1208" s="2"/>
      <c r="D1208" s="8">
        <v>2021</v>
      </c>
      <c r="E1208" s="14">
        <f>Data!N1208</f>
        <v>126664000000</v>
      </c>
      <c r="F1208" s="14">
        <f>Data!K1208</f>
        <v>928725000000</v>
      </c>
      <c r="G1208" s="12">
        <f t="shared" si="18"/>
        <v>0.1363848286629519</v>
      </c>
    </row>
    <row r="1209" spans="2:7" ht="15" customHeight="1" x14ac:dyDescent="0.3">
      <c r="C1209" s="2"/>
      <c r="D1209" s="8">
        <v>2022</v>
      </c>
      <c r="E1209" s="14">
        <f>Data!N1209</f>
        <v>135324000000</v>
      </c>
      <c r="F1209" s="14">
        <f>Data!K1209</f>
        <v>1064050000000</v>
      </c>
      <c r="G1209" s="12">
        <f t="shared" si="18"/>
        <v>0.12717823410554016</v>
      </c>
    </row>
    <row r="1210" spans="2:7" ht="15" customHeight="1" x14ac:dyDescent="0.3">
      <c r="C1210" s="2"/>
      <c r="D1210" s="8">
        <v>2023</v>
      </c>
      <c r="E1210" s="14">
        <f>Data!N1210</f>
        <v>180262000000</v>
      </c>
      <c r="F1210" s="14">
        <f>Data!K1210</f>
        <v>1244312000000</v>
      </c>
      <c r="G1210" s="12">
        <f t="shared" si="18"/>
        <v>0.14486881103774615</v>
      </c>
    </row>
    <row r="1211" spans="2:7" ht="15" customHeight="1" x14ac:dyDescent="0.3">
      <c r="C1211" s="2"/>
      <c r="D1211" s="8">
        <v>2024</v>
      </c>
      <c r="E1211" s="14">
        <f>Data!N1211</f>
        <v>219794000000</v>
      </c>
      <c r="F1211" s="14">
        <f>Data!K1211</f>
        <v>1378271000000</v>
      </c>
      <c r="G1211" s="12">
        <f t="shared" si="18"/>
        <v>0.15947081524605827</v>
      </c>
    </row>
    <row r="1212" spans="2:7" ht="15" customHeight="1" x14ac:dyDescent="0.3">
      <c r="B1212" s="8">
        <v>111</v>
      </c>
      <c r="C1212" s="2" t="s">
        <v>74</v>
      </c>
      <c r="D1212" s="8">
        <v>2014</v>
      </c>
      <c r="E1212" s="14">
        <f>Data!N1212</f>
        <v>0</v>
      </c>
      <c r="F1212" s="14">
        <f>Data!K1212</f>
        <v>0</v>
      </c>
      <c r="G1212" s="12">
        <f t="shared" si="18"/>
        <v>0</v>
      </c>
    </row>
    <row r="1213" spans="2:7" ht="15" customHeight="1" x14ac:dyDescent="0.3">
      <c r="C1213" s="2"/>
      <c r="D1213" s="8">
        <v>2015</v>
      </c>
      <c r="E1213" s="14">
        <f>Data!N1213</f>
        <v>12435000000</v>
      </c>
      <c r="F1213" s="14">
        <f>Data!K1213</f>
        <v>193635000000</v>
      </c>
      <c r="G1213" s="12">
        <f t="shared" si="18"/>
        <v>6.4218762103958479E-2</v>
      </c>
    </row>
    <row r="1214" spans="2:7" ht="15" customHeight="1" x14ac:dyDescent="0.3">
      <c r="C1214" s="2"/>
      <c r="D1214" s="8">
        <v>2016</v>
      </c>
      <c r="E1214" s="14">
        <f>Data!N1214</f>
        <v>52025000000</v>
      </c>
      <c r="F1214" s="14">
        <f>Data!K1214</f>
        <v>250544000000</v>
      </c>
      <c r="G1214" s="12">
        <f t="shared" si="18"/>
        <v>0.20764815760904273</v>
      </c>
    </row>
    <row r="1215" spans="2:7" ht="15" customHeight="1" x14ac:dyDescent="0.3">
      <c r="C1215" s="2"/>
      <c r="D1215" s="8">
        <v>2017</v>
      </c>
      <c r="E1215" s="14">
        <f>Data!N1215</f>
        <v>11258000000</v>
      </c>
      <c r="F1215" s="14">
        <f>Data!K1215</f>
        <v>250894000000</v>
      </c>
      <c r="G1215" s="12">
        <f t="shared" si="18"/>
        <v>4.4871539375194308E-2</v>
      </c>
    </row>
    <row r="1216" spans="2:7" ht="15" customHeight="1" x14ac:dyDescent="0.3">
      <c r="C1216" s="2"/>
      <c r="D1216" s="8">
        <v>2018</v>
      </c>
      <c r="E1216" s="14">
        <f>Data!N1216</f>
        <v>11113000000</v>
      </c>
      <c r="F1216" s="14">
        <f>Data!K1216</f>
        <v>256676000000</v>
      </c>
      <c r="G1216" s="12">
        <f t="shared" si="18"/>
        <v>4.3295828203649737E-2</v>
      </c>
    </row>
    <row r="1217" spans="2:7" ht="15" customHeight="1" x14ac:dyDescent="0.3">
      <c r="C1217" s="2"/>
      <c r="D1217" s="8">
        <v>2019</v>
      </c>
      <c r="E1217" s="14">
        <f>Data!N1217</f>
        <v>27047000000</v>
      </c>
      <c r="F1217" s="14">
        <f>Data!K1217</f>
        <v>274252000000</v>
      </c>
      <c r="G1217" s="12">
        <f t="shared" si="18"/>
        <v>9.8620976328340354E-2</v>
      </c>
    </row>
    <row r="1218" spans="2:7" ht="15" customHeight="1" x14ac:dyDescent="0.3">
      <c r="C1218" s="2"/>
      <c r="D1218" s="8">
        <v>2020</v>
      </c>
      <c r="E1218" s="14">
        <f>Data!N1218</f>
        <v>22432000000</v>
      </c>
      <c r="F1218" s="14">
        <f>Data!K1218</f>
        <v>267840000000</v>
      </c>
      <c r="G1218" s="12">
        <f t="shared" si="18"/>
        <v>8.375149342891279E-2</v>
      </c>
    </row>
    <row r="1219" spans="2:7" ht="15" customHeight="1" x14ac:dyDescent="0.3">
      <c r="C1219" s="2"/>
      <c r="D1219" s="8">
        <v>2021</v>
      </c>
      <c r="E1219" s="14">
        <f>Data!N1219</f>
        <v>25877000000</v>
      </c>
      <c r="F1219" s="14">
        <f>Data!K1219</f>
        <v>287427000000</v>
      </c>
      <c r="G1219" s="12">
        <f t="shared" ref="G1219:G1282" si="19">IFERROR(E1219/F1219,0)</f>
        <v>9.0029816266391116E-2</v>
      </c>
    </row>
    <row r="1220" spans="2:7" ht="15" customHeight="1" x14ac:dyDescent="0.3">
      <c r="C1220" s="2"/>
      <c r="D1220" s="8">
        <v>2022</v>
      </c>
      <c r="E1220" s="14">
        <f>Data!N1220</f>
        <v>44991000000</v>
      </c>
      <c r="F1220" s="14">
        <f>Data!K1220</f>
        <v>311967000000</v>
      </c>
      <c r="G1220" s="12">
        <f t="shared" si="19"/>
        <v>0.1442171768167787</v>
      </c>
    </row>
    <row r="1221" spans="2:7" ht="15" customHeight="1" x14ac:dyDescent="0.3">
      <c r="C1221" s="2"/>
      <c r="D1221" s="8">
        <v>2023</v>
      </c>
      <c r="E1221" s="14">
        <f>Data!N1221</f>
        <v>40787000000</v>
      </c>
      <c r="F1221" s="14">
        <f>Data!K1221</f>
        <v>319258000000</v>
      </c>
      <c r="G1221" s="12">
        <f t="shared" si="19"/>
        <v>0.12775560831678454</v>
      </c>
    </row>
    <row r="1222" spans="2:7" ht="15" customHeight="1" x14ac:dyDescent="0.3">
      <c r="C1222" s="2"/>
      <c r="D1222" s="8">
        <v>2024</v>
      </c>
      <c r="E1222" s="14">
        <f>Data!N1222</f>
        <v>51135000000</v>
      </c>
      <c r="F1222" s="14">
        <f>Data!K1222</f>
        <v>320760000000</v>
      </c>
      <c r="G1222" s="12">
        <f t="shared" si="19"/>
        <v>0.15941825664047887</v>
      </c>
    </row>
    <row r="1223" spans="2:7" ht="15" customHeight="1" x14ac:dyDescent="0.3">
      <c r="B1223" s="8">
        <v>112</v>
      </c>
      <c r="C1223" s="2" t="s">
        <v>91</v>
      </c>
      <c r="D1223" s="8">
        <v>2014</v>
      </c>
      <c r="E1223" s="14">
        <f>Data!N1223</f>
        <v>0</v>
      </c>
      <c r="F1223" s="14">
        <f>Data!K1223</f>
        <v>0</v>
      </c>
      <c r="G1223" s="12">
        <f t="shared" si="19"/>
        <v>0</v>
      </c>
    </row>
    <row r="1224" spans="2:7" ht="15" customHeight="1" x14ac:dyDescent="0.3">
      <c r="C1224" s="2"/>
      <c r="D1224" s="8">
        <v>2015</v>
      </c>
      <c r="E1224" s="14">
        <f>Data!N1224</f>
        <v>78288000000</v>
      </c>
      <c r="F1224" s="14">
        <f>Data!K1224</f>
        <v>349754000000</v>
      </c>
      <c r="G1224" s="12">
        <f t="shared" si="19"/>
        <v>0.2238373256631804</v>
      </c>
    </row>
    <row r="1225" spans="2:7" ht="15" customHeight="1" x14ac:dyDescent="0.3">
      <c r="C1225" s="2"/>
      <c r="D1225" s="8">
        <v>2016</v>
      </c>
      <c r="E1225" s="14">
        <f>Data!N1225</f>
        <v>76580000000</v>
      </c>
      <c r="F1225" s="14">
        <f>Data!K1225</f>
        <v>304334000000</v>
      </c>
      <c r="G1225" s="12">
        <f t="shared" si="19"/>
        <v>0.25163143125644849</v>
      </c>
    </row>
    <row r="1226" spans="2:7" ht="15" customHeight="1" x14ac:dyDescent="0.3">
      <c r="C1226" s="2"/>
      <c r="D1226" s="8">
        <v>2017</v>
      </c>
      <c r="E1226" s="14">
        <f>Data!N1226</f>
        <v>62531000000</v>
      </c>
      <c r="F1226" s="14">
        <f>Data!K1226</f>
        <v>316865000000</v>
      </c>
      <c r="G1226" s="12">
        <f t="shared" si="19"/>
        <v>0.19734271692992283</v>
      </c>
    </row>
    <row r="1227" spans="2:7" ht="15" customHeight="1" x14ac:dyDescent="0.3">
      <c r="C1227" s="2"/>
      <c r="D1227" s="8">
        <v>2018</v>
      </c>
      <c r="E1227" s="14">
        <f>Data!N1227</f>
        <v>335166000000</v>
      </c>
      <c r="F1227" s="14">
        <f>Data!K1227</f>
        <v>315032000000</v>
      </c>
      <c r="G1227" s="12">
        <f t="shared" si="19"/>
        <v>1.0639109677747023</v>
      </c>
    </row>
    <row r="1228" spans="2:7" ht="15" customHeight="1" x14ac:dyDescent="0.3">
      <c r="C1228" s="2"/>
      <c r="D1228" s="8">
        <v>2019</v>
      </c>
      <c r="E1228" s="14">
        <f>Data!N1228</f>
        <v>53466000000</v>
      </c>
      <c r="F1228" s="14">
        <f>Data!K1228</f>
        <v>367268000000</v>
      </c>
      <c r="G1228" s="12">
        <f t="shared" si="19"/>
        <v>0.14557761634555691</v>
      </c>
    </row>
    <row r="1229" spans="2:7" ht="15" customHeight="1" x14ac:dyDescent="0.3">
      <c r="C1229" s="2"/>
      <c r="D1229" s="8">
        <v>2020</v>
      </c>
      <c r="E1229" s="14">
        <f>Data!N1229</f>
        <v>32572000000</v>
      </c>
      <c r="F1229" s="14">
        <f>Data!K1229</f>
        <v>399820000000</v>
      </c>
      <c r="G1229" s="12">
        <f t="shared" si="19"/>
        <v>8.1466659996998647E-2</v>
      </c>
    </row>
    <row r="1230" spans="2:7" ht="15" customHeight="1" x14ac:dyDescent="0.3">
      <c r="C1230" s="2"/>
      <c r="D1230" s="8">
        <v>2021</v>
      </c>
      <c r="E1230" s="14">
        <f>Data!N1230</f>
        <v>31959000000</v>
      </c>
      <c r="F1230" s="14">
        <f>Data!K1230</f>
        <v>430595000000</v>
      </c>
      <c r="G1230" s="12">
        <f t="shared" si="19"/>
        <v>7.4220555278161612E-2</v>
      </c>
    </row>
    <row r="1231" spans="2:7" ht="15" customHeight="1" x14ac:dyDescent="0.3">
      <c r="C1231" s="2"/>
      <c r="D1231" s="8">
        <v>2022</v>
      </c>
      <c r="E1231" s="14">
        <f>Data!N1231</f>
        <v>71504000000</v>
      </c>
      <c r="F1231" s="14">
        <f>Data!K1231</f>
        <v>502098000000</v>
      </c>
      <c r="G1231" s="12">
        <f t="shared" si="19"/>
        <v>0.14241044576955098</v>
      </c>
    </row>
    <row r="1232" spans="2:7" ht="15" customHeight="1" x14ac:dyDescent="0.3">
      <c r="C1232" s="2"/>
      <c r="D1232" s="8">
        <v>2023</v>
      </c>
      <c r="E1232" s="14">
        <f>Data!N1232</f>
        <v>85872000000</v>
      </c>
      <c r="F1232" s="14">
        <f>Data!K1232</f>
        <v>626711000000</v>
      </c>
      <c r="G1232" s="12">
        <f t="shared" si="19"/>
        <v>0.13702009379123711</v>
      </c>
    </row>
    <row r="1233" spans="2:7" ht="15" customHeight="1" x14ac:dyDescent="0.3">
      <c r="C1233" s="2"/>
      <c r="D1233" s="8">
        <v>2024</v>
      </c>
      <c r="E1233" s="14">
        <f>Data!N1233</f>
        <v>102244000000</v>
      </c>
      <c r="F1233" s="14">
        <f>Data!K1233</f>
        <v>718656000000</v>
      </c>
      <c r="G1233" s="12">
        <f t="shared" si="19"/>
        <v>0.1422711283284353</v>
      </c>
    </row>
    <row r="1234" spans="2:7" ht="15" customHeight="1" x14ac:dyDescent="0.3">
      <c r="B1234" s="8">
        <v>113</v>
      </c>
      <c r="C1234" s="2" t="s">
        <v>90</v>
      </c>
      <c r="D1234" s="8">
        <v>2014</v>
      </c>
      <c r="E1234" s="14">
        <f>Data!N1234</f>
        <v>0</v>
      </c>
      <c r="F1234" s="14">
        <f>Data!K1234</f>
        <v>0</v>
      </c>
      <c r="G1234" s="12">
        <f t="shared" si="19"/>
        <v>0</v>
      </c>
    </row>
    <row r="1235" spans="2:7" ht="15" customHeight="1" x14ac:dyDescent="0.3">
      <c r="C1235" s="2"/>
      <c r="D1235" s="8">
        <v>2015</v>
      </c>
      <c r="E1235" s="14">
        <f>Data!N1235</f>
        <v>0</v>
      </c>
      <c r="F1235" s="14">
        <f>Data!K1235</f>
        <v>0</v>
      </c>
      <c r="G1235" s="12">
        <f t="shared" si="19"/>
        <v>0</v>
      </c>
    </row>
    <row r="1236" spans="2:7" ht="15" customHeight="1" x14ac:dyDescent="0.3">
      <c r="C1236" s="2"/>
      <c r="D1236" s="8">
        <v>2016</v>
      </c>
      <c r="E1236" s="14">
        <f>Data!N1236</f>
        <v>0</v>
      </c>
      <c r="F1236" s="14">
        <f>Data!K1236</f>
        <v>0</v>
      </c>
      <c r="G1236" s="12">
        <f t="shared" si="19"/>
        <v>0</v>
      </c>
    </row>
    <row r="1237" spans="2:7" ht="15" customHeight="1" x14ac:dyDescent="0.3">
      <c r="C1237" s="2"/>
      <c r="D1237" s="8">
        <v>2017</v>
      </c>
      <c r="E1237" s="14">
        <f>Data!N1237</f>
        <v>0</v>
      </c>
      <c r="F1237" s="14">
        <f>Data!K1237</f>
        <v>0</v>
      </c>
      <c r="G1237" s="12">
        <f t="shared" si="19"/>
        <v>0</v>
      </c>
    </row>
    <row r="1238" spans="2:7" ht="15" customHeight="1" x14ac:dyDescent="0.3">
      <c r="C1238" s="2"/>
      <c r="D1238" s="8">
        <v>2018</v>
      </c>
      <c r="E1238" s="14">
        <f>Data!N1238</f>
        <v>10348000000</v>
      </c>
      <c r="F1238" s="14">
        <f>Data!K1238</f>
        <v>135647000000</v>
      </c>
      <c r="G1238" s="12">
        <f t="shared" si="19"/>
        <v>7.6286242968882464E-2</v>
      </c>
    </row>
    <row r="1239" spans="2:7" ht="15" customHeight="1" x14ac:dyDescent="0.3">
      <c r="C1239" s="2"/>
      <c r="D1239" s="8">
        <v>2019</v>
      </c>
      <c r="E1239" s="14">
        <f>Data!N1239</f>
        <v>2032000000</v>
      </c>
      <c r="F1239" s="14">
        <f>Data!K1239</f>
        <v>137994000000</v>
      </c>
      <c r="G1239" s="12">
        <f t="shared" si="19"/>
        <v>1.4725277910633796E-2</v>
      </c>
    </row>
    <row r="1240" spans="2:7" ht="15" customHeight="1" x14ac:dyDescent="0.3">
      <c r="C1240" s="2"/>
      <c r="D1240" s="8">
        <v>2020</v>
      </c>
      <c r="E1240" s="14">
        <f>Data!N1240</f>
        <v>1144000000</v>
      </c>
      <c r="F1240" s="14">
        <f>Data!K1240</f>
        <v>138058000000</v>
      </c>
      <c r="G1240" s="12">
        <f t="shared" si="19"/>
        <v>8.2863723942111292E-3</v>
      </c>
    </row>
    <row r="1241" spans="2:7" ht="15" customHeight="1" x14ac:dyDescent="0.3">
      <c r="C1241" s="2"/>
      <c r="D1241" s="8">
        <v>2021</v>
      </c>
      <c r="E1241" s="14">
        <f>Data!N1241</f>
        <v>-23736000000</v>
      </c>
      <c r="F1241" s="14">
        <f>Data!K1241</f>
        <v>114323000000</v>
      </c>
      <c r="G1241" s="12">
        <f t="shared" si="19"/>
        <v>-0.20762226323661906</v>
      </c>
    </row>
    <row r="1242" spans="2:7" ht="15" customHeight="1" x14ac:dyDescent="0.3">
      <c r="C1242" s="2"/>
      <c r="D1242" s="8">
        <v>2022</v>
      </c>
      <c r="E1242" s="14">
        <f>Data!N1242</f>
        <v>-37966000000</v>
      </c>
      <c r="F1242" s="14">
        <f>Data!K1242</f>
        <v>155637000000</v>
      </c>
      <c r="G1242" s="12">
        <f t="shared" si="19"/>
        <v>-0.24393942314488201</v>
      </c>
    </row>
    <row r="1243" spans="2:7" ht="15" customHeight="1" x14ac:dyDescent="0.3">
      <c r="C1243" s="2"/>
      <c r="D1243" s="8">
        <v>2023</v>
      </c>
      <c r="E1243" s="14">
        <f>Data!N1243</f>
        <v>-24634000000</v>
      </c>
      <c r="F1243" s="14">
        <f>Data!K1243</f>
        <v>131003000000</v>
      </c>
      <c r="G1243" s="12">
        <f t="shared" si="19"/>
        <v>-0.18804149523293359</v>
      </c>
    </row>
    <row r="1244" spans="2:7" ht="15" customHeight="1" x14ac:dyDescent="0.3">
      <c r="C1244" s="2"/>
      <c r="D1244" s="8">
        <v>2024</v>
      </c>
      <c r="E1244" s="14">
        <f>Data!N1244</f>
        <v>165690000000</v>
      </c>
      <c r="F1244" s="14">
        <f>Data!K1244</f>
        <v>296693000000</v>
      </c>
      <c r="G1244" s="12">
        <f t="shared" si="19"/>
        <v>0.55845604715985886</v>
      </c>
    </row>
    <row r="1245" spans="2:7" ht="15" customHeight="1" x14ac:dyDescent="0.3">
      <c r="B1245" s="8">
        <v>114</v>
      </c>
      <c r="C1245" s="2" t="s">
        <v>107</v>
      </c>
      <c r="D1245" s="8">
        <v>2014</v>
      </c>
      <c r="E1245" s="14">
        <f>Data!N1245</f>
        <v>0</v>
      </c>
      <c r="F1245" s="14">
        <f>Data!K1245</f>
        <v>0</v>
      </c>
      <c r="G1245" s="12">
        <f t="shared" si="19"/>
        <v>0</v>
      </c>
    </row>
    <row r="1246" spans="2:7" ht="15" customHeight="1" x14ac:dyDescent="0.3">
      <c r="C1246" s="2"/>
      <c r="D1246" s="8">
        <v>2015</v>
      </c>
      <c r="E1246" s="14">
        <f>Data!N1246</f>
        <v>13489120000</v>
      </c>
      <c r="F1246" s="14">
        <f>Data!K1246</f>
        <v>115660920000</v>
      </c>
      <c r="G1246" s="12">
        <f t="shared" si="19"/>
        <v>0.11662642835626762</v>
      </c>
    </row>
    <row r="1247" spans="2:7" ht="15" customHeight="1" x14ac:dyDescent="0.3">
      <c r="C1247" s="2"/>
      <c r="D1247" s="8">
        <v>2016</v>
      </c>
      <c r="E1247" s="14">
        <f>Data!N1247</f>
        <v>8408330000</v>
      </c>
      <c r="F1247" s="14">
        <f>Data!K1247</f>
        <v>120067110000</v>
      </c>
      <c r="G1247" s="12">
        <f t="shared" si="19"/>
        <v>7.0030252248096919E-2</v>
      </c>
    </row>
    <row r="1248" spans="2:7" ht="15" customHeight="1" x14ac:dyDescent="0.3">
      <c r="C1248" s="2"/>
      <c r="D1248" s="8">
        <v>2017</v>
      </c>
      <c r="E1248" s="14">
        <f>Data!N1248</f>
        <v>5659920000</v>
      </c>
      <c r="F1248" s="14">
        <f>Data!K1248</f>
        <v>124125560000</v>
      </c>
      <c r="G1248" s="12">
        <f t="shared" si="19"/>
        <v>4.5598344128316523E-2</v>
      </c>
    </row>
    <row r="1249" spans="2:7" ht="15" customHeight="1" x14ac:dyDescent="0.3">
      <c r="C1249" s="2"/>
      <c r="D1249" s="8">
        <v>2018</v>
      </c>
      <c r="E1249" s="14">
        <f>Data!N1249</f>
        <v>3281880000</v>
      </c>
      <c r="F1249" s="14">
        <f>Data!K1249</f>
        <v>125960230000</v>
      </c>
      <c r="G1249" s="12">
        <f t="shared" si="19"/>
        <v>2.6054890499961774E-2</v>
      </c>
    </row>
    <row r="1250" spans="2:7" ht="15" customHeight="1" x14ac:dyDescent="0.3">
      <c r="C1250" s="2"/>
      <c r="D1250" s="8">
        <v>2019</v>
      </c>
      <c r="E1250" s="14">
        <f>Data!N1250</f>
        <v>4997370000</v>
      </c>
      <c r="F1250" s="14">
        <f>Data!K1250</f>
        <v>130957620000</v>
      </c>
      <c r="G1250" s="12">
        <f t="shared" si="19"/>
        <v>3.8160207859611377E-2</v>
      </c>
    </row>
    <row r="1251" spans="2:7" ht="15" customHeight="1" x14ac:dyDescent="0.3">
      <c r="C1251" s="2"/>
      <c r="D1251" s="8">
        <v>2020</v>
      </c>
      <c r="E1251" s="14">
        <f>Data!N1251</f>
        <v>2427260000</v>
      </c>
      <c r="F1251" s="14">
        <f>Data!K1251</f>
        <v>133384870000</v>
      </c>
      <c r="G1251" s="12">
        <f t="shared" si="19"/>
        <v>1.8197416243686409E-2</v>
      </c>
    </row>
    <row r="1252" spans="2:7" ht="15" customHeight="1" x14ac:dyDescent="0.3">
      <c r="C1252" s="2"/>
      <c r="D1252" s="8">
        <v>2021</v>
      </c>
      <c r="E1252" s="14">
        <f>Data!N1252</f>
        <v>4131649999.9999995</v>
      </c>
      <c r="F1252" s="14">
        <f>Data!K1252</f>
        <v>137516520000</v>
      </c>
      <c r="G1252" s="12">
        <f t="shared" si="19"/>
        <v>3.004475389575012E-2</v>
      </c>
    </row>
    <row r="1253" spans="2:7" ht="15" customHeight="1" x14ac:dyDescent="0.3">
      <c r="C1253" s="2"/>
      <c r="D1253" s="8">
        <v>2022</v>
      </c>
      <c r="E1253" s="14">
        <f>Data!N1253</f>
        <v>2614710000</v>
      </c>
      <c r="F1253" s="14">
        <f>Data!K1253</f>
        <v>140131230000</v>
      </c>
      <c r="G1253" s="12">
        <f t="shared" si="19"/>
        <v>1.8659009843844231E-2</v>
      </c>
    </row>
    <row r="1254" spans="2:7" ht="15" customHeight="1" x14ac:dyDescent="0.3">
      <c r="C1254" s="2"/>
      <c r="D1254" s="8">
        <v>2023</v>
      </c>
      <c r="E1254" s="14">
        <f>Data!N1254</f>
        <v>5217910000</v>
      </c>
      <c r="F1254" s="14">
        <f>Data!K1254</f>
        <v>145349140000</v>
      </c>
      <c r="G1254" s="12">
        <f t="shared" si="19"/>
        <v>3.5899146014899019E-2</v>
      </c>
    </row>
    <row r="1255" spans="2:7" ht="15" customHeight="1" x14ac:dyDescent="0.3">
      <c r="C1255" s="2"/>
      <c r="D1255" s="8">
        <v>2024</v>
      </c>
      <c r="E1255" s="14">
        <f>Data!N1255</f>
        <v>-14664160000</v>
      </c>
      <c r="F1255" s="14">
        <f>Data!K1255</f>
        <v>130051220000</v>
      </c>
      <c r="G1255" s="12">
        <f t="shared" si="19"/>
        <v>-0.11275680458822301</v>
      </c>
    </row>
    <row r="1256" spans="2:7" ht="15" customHeight="1" x14ac:dyDescent="0.3">
      <c r="B1256" s="8">
        <v>115</v>
      </c>
      <c r="C1256" s="1" t="s">
        <v>128</v>
      </c>
      <c r="D1256" s="8">
        <v>2014</v>
      </c>
      <c r="E1256" s="14">
        <f>Data!N1256</f>
        <v>0</v>
      </c>
      <c r="F1256" s="14">
        <f>Data!K1256</f>
        <v>0</v>
      </c>
      <c r="G1256" s="12">
        <f t="shared" si="19"/>
        <v>0</v>
      </c>
    </row>
    <row r="1257" spans="2:7" ht="15" customHeight="1" x14ac:dyDescent="0.3">
      <c r="C1257" s="1"/>
      <c r="D1257" s="8">
        <v>2015</v>
      </c>
      <c r="E1257" s="14">
        <f>Data!N1257</f>
        <v>0</v>
      </c>
      <c r="F1257" s="14">
        <f>Data!K1257</f>
        <v>0</v>
      </c>
      <c r="G1257" s="12">
        <f t="shared" si="19"/>
        <v>0</v>
      </c>
    </row>
    <row r="1258" spans="2:7" ht="15" customHeight="1" x14ac:dyDescent="0.3">
      <c r="C1258" s="1"/>
      <c r="D1258" s="8">
        <v>2016</v>
      </c>
      <c r="E1258" s="14">
        <f>Data!N1258</f>
        <v>0</v>
      </c>
      <c r="F1258" s="14">
        <f>Data!K1258</f>
        <v>0</v>
      </c>
      <c r="G1258" s="12">
        <f t="shared" si="19"/>
        <v>0</v>
      </c>
    </row>
    <row r="1259" spans="2:7" ht="15" customHeight="1" x14ac:dyDescent="0.3">
      <c r="C1259" s="1"/>
      <c r="D1259" s="8">
        <v>2017</v>
      </c>
      <c r="E1259" s="14">
        <f>Data!N1259</f>
        <v>0</v>
      </c>
      <c r="F1259" s="14">
        <f>Data!K1259</f>
        <v>0</v>
      </c>
      <c r="G1259" s="12">
        <f t="shared" si="19"/>
        <v>0</v>
      </c>
    </row>
    <row r="1260" spans="2:7" ht="15" customHeight="1" x14ac:dyDescent="0.3">
      <c r="C1260" s="1"/>
      <c r="D1260" s="8">
        <v>2018</v>
      </c>
      <c r="E1260" s="14">
        <f>Data!N1260</f>
        <v>0</v>
      </c>
      <c r="F1260" s="14">
        <f>Data!K1260</f>
        <v>0</v>
      </c>
      <c r="G1260" s="12">
        <f t="shared" si="19"/>
        <v>0</v>
      </c>
    </row>
    <row r="1261" spans="2:7" ht="15" customHeight="1" x14ac:dyDescent="0.3">
      <c r="C1261" s="1"/>
      <c r="D1261" s="8">
        <v>2019</v>
      </c>
      <c r="E1261" s="14">
        <f>Data!N1261</f>
        <v>0</v>
      </c>
      <c r="F1261" s="14">
        <f>Data!K1261</f>
        <v>0</v>
      </c>
      <c r="G1261" s="12">
        <f t="shared" si="19"/>
        <v>0</v>
      </c>
    </row>
    <row r="1262" spans="2:7" ht="15" customHeight="1" x14ac:dyDescent="0.3">
      <c r="C1262" s="1"/>
      <c r="D1262" s="8">
        <v>2020</v>
      </c>
      <c r="E1262" s="14">
        <f>Data!N1262</f>
        <v>0</v>
      </c>
      <c r="F1262" s="14">
        <f>Data!K1262</f>
        <v>0</v>
      </c>
      <c r="G1262" s="12">
        <f t="shared" si="19"/>
        <v>0</v>
      </c>
    </row>
    <row r="1263" spans="2:7" ht="15" customHeight="1" x14ac:dyDescent="0.3">
      <c r="C1263" s="1"/>
      <c r="D1263" s="8">
        <v>2021</v>
      </c>
      <c r="E1263" s="14">
        <f>Data!N1263</f>
        <v>0</v>
      </c>
      <c r="F1263" s="14">
        <f>Data!K1263</f>
        <v>0</v>
      </c>
      <c r="G1263" s="12">
        <f t="shared" si="19"/>
        <v>0</v>
      </c>
    </row>
    <row r="1264" spans="2:7" ht="15" customHeight="1" x14ac:dyDescent="0.3">
      <c r="C1264" s="1"/>
      <c r="D1264" s="8">
        <v>2022</v>
      </c>
      <c r="E1264" s="14">
        <f>Data!N1264</f>
        <v>-5958830000</v>
      </c>
      <c r="F1264" s="14">
        <f>Data!K1264</f>
        <v>150041170000</v>
      </c>
      <c r="G1264" s="12">
        <f t="shared" si="19"/>
        <v>-3.9714632990398568E-2</v>
      </c>
    </row>
    <row r="1265" spans="2:7" ht="15" customHeight="1" x14ac:dyDescent="0.3">
      <c r="C1265" s="1"/>
      <c r="D1265" s="8">
        <v>2023</v>
      </c>
      <c r="E1265" s="14">
        <f>Data!N1265</f>
        <v>-20423990000</v>
      </c>
      <c r="F1265" s="14">
        <f>Data!K1265</f>
        <v>129617170000</v>
      </c>
      <c r="G1265" s="12">
        <f t="shared" si="19"/>
        <v>-0.15757163962151002</v>
      </c>
    </row>
    <row r="1266" spans="2:7" ht="15" customHeight="1" x14ac:dyDescent="0.3">
      <c r="C1266" s="1"/>
      <c r="D1266" s="8">
        <v>2024</v>
      </c>
      <c r="E1266" s="14">
        <f>Data!N1266</f>
        <v>-25659730000</v>
      </c>
      <c r="F1266" s="14">
        <f>Data!K1266</f>
        <v>103957440000</v>
      </c>
      <c r="G1266" s="12">
        <f t="shared" si="19"/>
        <v>-0.24682918317342173</v>
      </c>
    </row>
    <row r="1267" spans="2:7" ht="15" customHeight="1" x14ac:dyDescent="0.3">
      <c r="B1267" s="8">
        <v>116</v>
      </c>
      <c r="C1267" s="1" t="s">
        <v>127</v>
      </c>
      <c r="D1267" s="8">
        <v>2014</v>
      </c>
      <c r="E1267" s="14">
        <f>Data!N1267</f>
        <v>0</v>
      </c>
      <c r="F1267" s="14">
        <f>Data!K1267</f>
        <v>0</v>
      </c>
      <c r="G1267" s="12">
        <f t="shared" si="19"/>
        <v>0</v>
      </c>
    </row>
    <row r="1268" spans="2:7" ht="15" customHeight="1" x14ac:dyDescent="0.3">
      <c r="C1268" s="1"/>
      <c r="D1268" s="8">
        <v>2015</v>
      </c>
      <c r="E1268" s="14">
        <f>Data!N1268</f>
        <v>116317000000</v>
      </c>
      <c r="F1268" s="14">
        <f>Data!K1268</f>
        <v>858902000000</v>
      </c>
      <c r="G1268" s="12">
        <f t="shared" si="19"/>
        <v>0.13542522895510781</v>
      </c>
    </row>
    <row r="1269" spans="2:7" ht="15" customHeight="1" x14ac:dyDescent="0.3">
      <c r="C1269" s="1"/>
      <c r="D1269" s="8">
        <v>2016</v>
      </c>
      <c r="E1269" s="14">
        <f>Data!N1269</f>
        <v>95151000000</v>
      </c>
      <c r="F1269" s="14">
        <f>Data!K1269</f>
        <v>937404000000</v>
      </c>
      <c r="G1269" s="12">
        <f t="shared" si="19"/>
        <v>0.10150479409091491</v>
      </c>
    </row>
    <row r="1270" spans="2:7" ht="15" customHeight="1" x14ac:dyDescent="0.3">
      <c r="C1270" s="1"/>
      <c r="D1270" s="8">
        <v>2017</v>
      </c>
      <c r="E1270" s="14">
        <f>Data!N1270</f>
        <v>79537000000</v>
      </c>
      <c r="F1270" s="14">
        <f>Data!K1270</f>
        <v>1001894000000</v>
      </c>
      <c r="G1270" s="12">
        <f t="shared" si="19"/>
        <v>7.9386641700619029E-2</v>
      </c>
    </row>
    <row r="1271" spans="2:7" ht="15" customHeight="1" x14ac:dyDescent="0.3">
      <c r="C1271" s="1"/>
      <c r="D1271" s="8">
        <v>2018</v>
      </c>
      <c r="E1271" s="14">
        <f>Data!N1271</f>
        <v>12240000000</v>
      </c>
      <c r="F1271" s="14">
        <f>Data!K1271</f>
        <v>998450000000</v>
      </c>
      <c r="G1271" s="12">
        <f t="shared" si="19"/>
        <v>1.2259001452250989E-2</v>
      </c>
    </row>
    <row r="1272" spans="2:7" ht="15" customHeight="1" x14ac:dyDescent="0.3">
      <c r="C1272" s="1"/>
      <c r="D1272" s="8">
        <v>2019</v>
      </c>
      <c r="E1272" s="14">
        <f>Data!N1272</f>
        <v>164737000000</v>
      </c>
      <c r="F1272" s="14">
        <f>Data!K1272</f>
        <v>1144707000000</v>
      </c>
      <c r="G1272" s="12">
        <f t="shared" si="19"/>
        <v>0.14391193554333118</v>
      </c>
    </row>
    <row r="1273" spans="2:7" ht="15" customHeight="1" x14ac:dyDescent="0.3">
      <c r="C1273" s="1"/>
      <c r="D1273" s="8">
        <v>2020</v>
      </c>
      <c r="E1273" s="14">
        <f>Data!N1273</f>
        <v>127623000000</v>
      </c>
      <c r="F1273" s="14">
        <f>Data!K1273</f>
        <v>1240538000000</v>
      </c>
      <c r="G1273" s="12">
        <f t="shared" si="19"/>
        <v>0.10287713878978315</v>
      </c>
    </row>
    <row r="1274" spans="2:7" ht="15" customHeight="1" x14ac:dyDescent="0.3">
      <c r="C1274" s="1"/>
      <c r="D1274" s="8">
        <v>2021</v>
      </c>
      <c r="E1274" s="14">
        <f>Data!N1274</f>
        <v>115633000000</v>
      </c>
      <c r="F1274" s="14">
        <f>Data!K1274</f>
        <v>1309413000000</v>
      </c>
      <c r="G1274" s="12">
        <f t="shared" si="19"/>
        <v>8.8309036186443854E-2</v>
      </c>
    </row>
    <row r="1275" spans="2:7" ht="15" customHeight="1" x14ac:dyDescent="0.3">
      <c r="C1275" s="1"/>
      <c r="D1275" s="8">
        <v>2022</v>
      </c>
      <c r="E1275" s="14">
        <f>Data!N1275</f>
        <v>104071000000</v>
      </c>
      <c r="F1275" s="14">
        <f>Data!K1275</f>
        <v>1329579000000</v>
      </c>
      <c r="G1275" s="12">
        <f t="shared" si="19"/>
        <v>7.8273649027248468E-2</v>
      </c>
    </row>
    <row r="1276" spans="2:7" ht="15" customHeight="1" x14ac:dyDescent="0.3">
      <c r="C1276" s="1"/>
      <c r="D1276" s="8">
        <v>2023</v>
      </c>
      <c r="E1276" s="14">
        <f>Data!N1276</f>
        <v>244251000000</v>
      </c>
      <c r="F1276" s="14">
        <f>Data!K1276</f>
        <v>1513002000000</v>
      </c>
      <c r="G1276" s="12">
        <f t="shared" si="19"/>
        <v>0.16143468415772089</v>
      </c>
    </row>
    <row r="1277" spans="2:7" ht="15" customHeight="1" x14ac:dyDescent="0.3">
      <c r="C1277" s="1"/>
      <c r="D1277" s="8">
        <v>2024</v>
      </c>
      <c r="E1277" s="14">
        <f>Data!N1277</f>
        <v>171954000000</v>
      </c>
      <c r="F1277" s="14">
        <f>Data!K1277</f>
        <v>1555140000000</v>
      </c>
      <c r="G1277" s="12">
        <f t="shared" si="19"/>
        <v>0.11057139550136966</v>
      </c>
    </row>
    <row r="1278" spans="2:7" ht="15" customHeight="1" x14ac:dyDescent="0.3">
      <c r="B1278" s="8">
        <v>117</v>
      </c>
      <c r="C1278" s="2" t="s">
        <v>65</v>
      </c>
      <c r="D1278" s="8">
        <v>2014</v>
      </c>
      <c r="E1278" s="14">
        <f>Data!N1278</f>
        <v>0</v>
      </c>
      <c r="F1278" s="14">
        <f>Data!K1278</f>
        <v>0</v>
      </c>
      <c r="G1278" s="12">
        <f t="shared" si="19"/>
        <v>0</v>
      </c>
    </row>
    <row r="1279" spans="2:7" ht="15" customHeight="1" x14ac:dyDescent="0.3">
      <c r="C1279" s="2"/>
      <c r="D1279" s="8">
        <v>2015</v>
      </c>
      <c r="E1279" s="14">
        <f>Data!N1279</f>
        <v>5677000000</v>
      </c>
      <c r="F1279" s="14">
        <f>Data!K1279</f>
        <v>114563000000</v>
      </c>
      <c r="G1279" s="12">
        <f t="shared" si="19"/>
        <v>4.955352077023123E-2</v>
      </c>
    </row>
    <row r="1280" spans="2:7" ht="15" customHeight="1" x14ac:dyDescent="0.3">
      <c r="C1280" s="2"/>
      <c r="D1280" s="8">
        <v>2016</v>
      </c>
      <c r="E1280" s="14">
        <f>Data!N1280</f>
        <v>8434000000</v>
      </c>
      <c r="F1280" s="14">
        <f>Data!K1280</f>
        <v>123204000000</v>
      </c>
      <c r="G1280" s="12">
        <f t="shared" si="19"/>
        <v>6.8455569624362847E-2</v>
      </c>
    </row>
    <row r="1281" spans="2:7" ht="15" customHeight="1" x14ac:dyDescent="0.3">
      <c r="C1281" s="2"/>
      <c r="D1281" s="8">
        <v>2017</v>
      </c>
      <c r="E1281" s="14">
        <f>Data!N1281</f>
        <v>4033000000</v>
      </c>
      <c r="F1281" s="14">
        <f>Data!K1281</f>
        <v>128612000000</v>
      </c>
      <c r="G1281" s="12">
        <f t="shared" si="19"/>
        <v>3.135788262370541E-2</v>
      </c>
    </row>
    <row r="1282" spans="2:7" ht="15" customHeight="1" x14ac:dyDescent="0.3">
      <c r="C1282" s="2"/>
      <c r="D1282" s="8">
        <v>2018</v>
      </c>
      <c r="E1282" s="14">
        <f>Data!N1282</f>
        <v>11452000000</v>
      </c>
      <c r="F1282" s="14">
        <f>Data!K1282</f>
        <v>137670000000</v>
      </c>
      <c r="G1282" s="12">
        <f t="shared" si="19"/>
        <v>8.3184426527202732E-2</v>
      </c>
    </row>
    <row r="1283" spans="2:7" ht="15" customHeight="1" x14ac:dyDescent="0.3">
      <c r="C1283" s="2"/>
      <c r="D1283" s="8">
        <v>2019</v>
      </c>
      <c r="E1283" s="14">
        <f>Data!N1283</f>
        <v>10442000000</v>
      </c>
      <c r="F1283" s="14">
        <f>Data!K1283</f>
        <v>149172000000</v>
      </c>
      <c r="G1283" s="12">
        <f t="shared" ref="G1283:G1346" si="20">IFERROR(E1283/F1283,0)</f>
        <v>6.9999731853162786E-2</v>
      </c>
    </row>
    <row r="1284" spans="2:7" ht="15" customHeight="1" x14ac:dyDescent="0.3">
      <c r="C1284" s="2"/>
      <c r="D1284" s="8">
        <v>2020</v>
      </c>
      <c r="E1284" s="14">
        <f>Data!N1284</f>
        <v>8105000000</v>
      </c>
      <c r="F1284" s="14">
        <f>Data!K1284</f>
        <v>162859000000</v>
      </c>
      <c r="G1284" s="12">
        <f t="shared" si="20"/>
        <v>4.9766976341497862E-2</v>
      </c>
    </row>
    <row r="1285" spans="2:7" ht="15" customHeight="1" x14ac:dyDescent="0.3">
      <c r="C1285" s="2"/>
      <c r="D1285" s="8">
        <v>2021</v>
      </c>
      <c r="E1285" s="14">
        <f>Data!N1285</f>
        <v>21941000000</v>
      </c>
      <c r="F1285" s="14">
        <f>Data!K1285</f>
        <v>185934000000</v>
      </c>
      <c r="G1285" s="12">
        <f t="shared" si="20"/>
        <v>0.11800423806296859</v>
      </c>
    </row>
    <row r="1286" spans="2:7" ht="15" customHeight="1" x14ac:dyDescent="0.3">
      <c r="C1286" s="2"/>
      <c r="D1286" s="8">
        <v>2022</v>
      </c>
      <c r="E1286" s="14">
        <f>Data!N1286</f>
        <v>18549000000</v>
      </c>
      <c r="F1286" s="14">
        <f>Data!K1286</f>
        <v>197864000000</v>
      </c>
      <c r="G1286" s="12">
        <f t="shared" si="20"/>
        <v>9.3746209517648491E-2</v>
      </c>
    </row>
    <row r="1287" spans="2:7" ht="15" customHeight="1" x14ac:dyDescent="0.3">
      <c r="C1287" s="2"/>
      <c r="D1287" s="8">
        <v>2023</v>
      </c>
      <c r="E1287" s="14">
        <f>Data!N1287</f>
        <v>16262000000</v>
      </c>
      <c r="F1287" s="14">
        <f>Data!K1287</f>
        <v>213068000000</v>
      </c>
      <c r="G1287" s="12">
        <f t="shared" si="20"/>
        <v>7.6323051795670865E-2</v>
      </c>
    </row>
    <row r="1288" spans="2:7" ht="15" customHeight="1" x14ac:dyDescent="0.3">
      <c r="C1288" s="2"/>
      <c r="D1288" s="8">
        <v>2024</v>
      </c>
      <c r="E1288" s="14">
        <f>Data!N1288</f>
        <v>1386000000</v>
      </c>
      <c r="F1288" s="14">
        <f>Data!K1288</f>
        <v>213765000000</v>
      </c>
      <c r="G1288" s="12">
        <f t="shared" si="20"/>
        <v>6.483755525928005E-3</v>
      </c>
    </row>
    <row r="1289" spans="2:7" ht="15" customHeight="1" x14ac:dyDescent="0.3">
      <c r="B1289" s="8">
        <v>118</v>
      </c>
      <c r="C1289" s="3" t="s">
        <v>89</v>
      </c>
      <c r="D1289" s="8">
        <v>2014</v>
      </c>
      <c r="E1289" s="14">
        <f>Data!N1289</f>
        <v>0</v>
      </c>
      <c r="F1289" s="14">
        <f>Data!K1289</f>
        <v>0</v>
      </c>
      <c r="G1289" s="12">
        <f t="shared" si="20"/>
        <v>0</v>
      </c>
    </row>
    <row r="1290" spans="2:7" ht="15" customHeight="1" x14ac:dyDescent="0.3">
      <c r="C1290" s="3"/>
      <c r="D1290" s="8">
        <v>2015</v>
      </c>
      <c r="E1290" s="14">
        <f>Data!N1290</f>
        <v>0</v>
      </c>
      <c r="F1290" s="14">
        <f>Data!K1290</f>
        <v>0</v>
      </c>
      <c r="G1290" s="12">
        <f t="shared" si="20"/>
        <v>0</v>
      </c>
    </row>
    <row r="1291" spans="2:7" ht="15" customHeight="1" x14ac:dyDescent="0.3">
      <c r="C1291" s="3"/>
      <c r="D1291" s="8">
        <v>2016</v>
      </c>
      <c r="E1291" s="14">
        <f>Data!N1291</f>
        <v>0</v>
      </c>
      <c r="F1291" s="14">
        <f>Data!K1291</f>
        <v>0</v>
      </c>
      <c r="G1291" s="12">
        <f t="shared" si="20"/>
        <v>0</v>
      </c>
    </row>
    <row r="1292" spans="2:7" ht="15" customHeight="1" x14ac:dyDescent="0.3">
      <c r="C1292" s="3"/>
      <c r="D1292" s="8">
        <v>2017</v>
      </c>
      <c r="E1292" s="14">
        <f>Data!N1292</f>
        <v>0</v>
      </c>
      <c r="F1292" s="14">
        <f>Data!K1292</f>
        <v>0</v>
      </c>
      <c r="G1292" s="12">
        <f t="shared" si="20"/>
        <v>0</v>
      </c>
    </row>
    <row r="1293" spans="2:7" ht="15" customHeight="1" x14ac:dyDescent="0.3">
      <c r="C1293" s="3"/>
      <c r="D1293" s="8">
        <v>2018</v>
      </c>
      <c r="E1293" s="14">
        <f>Data!N1293</f>
        <v>-31751121000</v>
      </c>
      <c r="F1293" s="14">
        <f>Data!K1293</f>
        <v>560442200000</v>
      </c>
      <c r="G1293" s="12">
        <f t="shared" si="20"/>
        <v>-5.6653694172209015E-2</v>
      </c>
    </row>
    <row r="1294" spans="2:7" ht="15" customHeight="1" x14ac:dyDescent="0.3">
      <c r="C1294" s="3"/>
      <c r="D1294" s="8">
        <v>2019</v>
      </c>
      <c r="E1294" s="14">
        <f>Data!N1294</f>
        <v>-47424280000</v>
      </c>
      <c r="F1294" s="14">
        <f>Data!K1294</f>
        <v>504479833000</v>
      </c>
      <c r="G1294" s="12">
        <f t="shared" si="20"/>
        <v>-9.4006294994947795E-2</v>
      </c>
    </row>
    <row r="1295" spans="2:7" ht="15" customHeight="1" x14ac:dyDescent="0.3">
      <c r="C1295" s="3"/>
      <c r="D1295" s="8">
        <v>2020</v>
      </c>
      <c r="E1295" s="14">
        <f>Data!N1295</f>
        <v>89461062000</v>
      </c>
      <c r="F1295" s="14">
        <f>Data!K1295</f>
        <v>423203745000</v>
      </c>
      <c r="G1295" s="12">
        <f t="shared" si="20"/>
        <v>0.21139005279832768</v>
      </c>
    </row>
    <row r="1296" spans="2:7" ht="15" customHeight="1" x14ac:dyDescent="0.3">
      <c r="C1296" s="3"/>
      <c r="D1296" s="8">
        <v>2021</v>
      </c>
      <c r="E1296" s="14">
        <f>Data!N1296</f>
        <v>-14247767000</v>
      </c>
      <c r="F1296" s="14">
        <f>Data!K1296</f>
        <v>406410849000</v>
      </c>
      <c r="G1296" s="12">
        <f t="shared" si="20"/>
        <v>-3.5057545917038253E-2</v>
      </c>
    </row>
    <row r="1297" spans="2:7" ht="15" customHeight="1" x14ac:dyDescent="0.3">
      <c r="C1297" s="3"/>
      <c r="D1297" s="8">
        <v>2022</v>
      </c>
      <c r="E1297" s="14">
        <f>Data!N1297</f>
        <v>6444473000</v>
      </c>
      <c r="F1297" s="14">
        <f>Data!K1297</f>
        <v>389742202000</v>
      </c>
      <c r="G1297" s="12">
        <f t="shared" si="20"/>
        <v>1.6535219863103252E-2</v>
      </c>
    </row>
    <row r="1298" spans="2:7" ht="15" customHeight="1" x14ac:dyDescent="0.3">
      <c r="C1298" s="3"/>
      <c r="D1298" s="8">
        <v>2023</v>
      </c>
      <c r="E1298" s="14">
        <f>Data!N1298</f>
        <v>10599448000</v>
      </c>
      <c r="F1298" s="14">
        <f>Data!K1298</f>
        <v>404834625000</v>
      </c>
      <c r="G1298" s="12">
        <f t="shared" si="20"/>
        <v>2.6182167594977827E-2</v>
      </c>
    </row>
    <row r="1299" spans="2:7" ht="15" customHeight="1" x14ac:dyDescent="0.3">
      <c r="C1299" s="3"/>
      <c r="D1299" s="8">
        <v>2024</v>
      </c>
      <c r="E1299" s="14">
        <f>Data!N1299</f>
        <v>-39174280000</v>
      </c>
      <c r="F1299" s="14">
        <f>Data!K1299</f>
        <v>258860343000</v>
      </c>
      <c r="G1299" s="12">
        <f t="shared" si="20"/>
        <v>-0.15133364788904727</v>
      </c>
    </row>
    <row r="1300" spans="2:7" ht="15" customHeight="1" x14ac:dyDescent="0.3">
      <c r="B1300" s="8">
        <v>119</v>
      </c>
      <c r="C1300" s="2" t="s">
        <v>72</v>
      </c>
      <c r="D1300" s="8">
        <v>2014</v>
      </c>
      <c r="E1300" s="14">
        <f>Data!N1300</f>
        <v>0</v>
      </c>
      <c r="F1300" s="14">
        <f>Data!K1300</f>
        <v>0</v>
      </c>
      <c r="G1300" s="12">
        <f t="shared" si="20"/>
        <v>0</v>
      </c>
    </row>
    <row r="1301" spans="2:7" ht="15" customHeight="1" x14ac:dyDescent="0.3">
      <c r="C1301" s="2"/>
      <c r="D1301" s="8">
        <v>2015</v>
      </c>
      <c r="E1301" s="14">
        <f>Data!N1301</f>
        <v>-9171000000</v>
      </c>
      <c r="F1301" s="14">
        <f>Data!K1301</f>
        <v>105564000000</v>
      </c>
      <c r="G1301" s="12">
        <f t="shared" si="20"/>
        <v>-8.6876207798112989E-2</v>
      </c>
    </row>
    <row r="1302" spans="2:7" ht="15" customHeight="1" x14ac:dyDescent="0.3">
      <c r="C1302" s="2"/>
      <c r="D1302" s="8">
        <v>2016</v>
      </c>
      <c r="E1302" s="14">
        <f>Data!N1302</f>
        <v>3484000000</v>
      </c>
      <c r="F1302" s="14">
        <f>Data!K1302</f>
        <v>109048000000</v>
      </c>
      <c r="G1302" s="12">
        <f t="shared" si="20"/>
        <v>3.1949233365123612E-2</v>
      </c>
    </row>
    <row r="1303" spans="2:7" ht="15" customHeight="1" x14ac:dyDescent="0.3">
      <c r="C1303" s="2"/>
      <c r="D1303" s="8">
        <v>2017</v>
      </c>
      <c r="E1303" s="14">
        <f>Data!N1303</f>
        <v>4984000000</v>
      </c>
      <c r="F1303" s="14">
        <f>Data!K1303</f>
        <v>114013000000</v>
      </c>
      <c r="G1303" s="12">
        <f t="shared" si="20"/>
        <v>4.3714313280064553E-2</v>
      </c>
    </row>
    <row r="1304" spans="2:7" ht="15" customHeight="1" x14ac:dyDescent="0.3">
      <c r="C1304" s="2"/>
      <c r="D1304" s="8">
        <v>2018</v>
      </c>
      <c r="E1304" s="14">
        <f>Data!N1304</f>
        <v>5994000000</v>
      </c>
      <c r="F1304" s="14">
        <f>Data!K1304</f>
        <v>115326000000</v>
      </c>
      <c r="G1304" s="12">
        <f t="shared" si="20"/>
        <v>5.1974402996722333E-2</v>
      </c>
    </row>
    <row r="1305" spans="2:7" ht="15" customHeight="1" x14ac:dyDescent="0.3">
      <c r="C1305" s="2"/>
      <c r="D1305" s="8">
        <v>2019</v>
      </c>
      <c r="E1305" s="14">
        <f>Data!N1305</f>
        <v>11953000000</v>
      </c>
      <c r="F1305" s="14">
        <f>Data!K1305</f>
        <v>127277000000</v>
      </c>
      <c r="G1305" s="12">
        <f t="shared" si="20"/>
        <v>9.3913275768599203E-2</v>
      </c>
    </row>
    <row r="1306" spans="2:7" ht="15" customHeight="1" x14ac:dyDescent="0.3">
      <c r="C1306" s="2"/>
      <c r="D1306" s="8">
        <v>2020</v>
      </c>
      <c r="E1306" s="14">
        <f>Data!N1306</f>
        <v>10652000000</v>
      </c>
      <c r="F1306" s="14">
        <f>Data!K1306</f>
        <v>145658000000</v>
      </c>
      <c r="G1306" s="12">
        <f t="shared" si="20"/>
        <v>7.3130209119993406E-2</v>
      </c>
    </row>
    <row r="1307" spans="2:7" ht="15" customHeight="1" x14ac:dyDescent="0.3">
      <c r="C1307" s="2"/>
      <c r="D1307" s="8">
        <v>2021</v>
      </c>
      <c r="E1307" s="14">
        <f>Data!N1307</f>
        <v>6355000000</v>
      </c>
      <c r="F1307" s="14">
        <f>Data!K1307</f>
        <v>152014000000</v>
      </c>
      <c r="G1307" s="12">
        <f t="shared" si="20"/>
        <v>4.1805360032628573E-2</v>
      </c>
    </row>
    <row r="1308" spans="2:7" ht="15" customHeight="1" x14ac:dyDescent="0.3">
      <c r="C1308" s="2"/>
      <c r="D1308" s="8">
        <v>2022</v>
      </c>
      <c r="E1308" s="14">
        <f>Data!N1308</f>
        <v>111000000</v>
      </c>
      <c r="F1308" s="14">
        <f>Data!K1308</f>
        <v>152124000000</v>
      </c>
      <c r="G1308" s="12">
        <f t="shared" si="20"/>
        <v>7.2966790250059165E-4</v>
      </c>
    </row>
    <row r="1309" spans="2:7" ht="15" customHeight="1" x14ac:dyDescent="0.3">
      <c r="C1309" s="2"/>
      <c r="D1309" s="8">
        <v>2023</v>
      </c>
      <c r="E1309" s="14">
        <f>Data!N1309</f>
        <v>2643000000</v>
      </c>
      <c r="F1309" s="14">
        <f>Data!K1309</f>
        <v>147397000000</v>
      </c>
      <c r="G1309" s="12">
        <f t="shared" si="20"/>
        <v>1.7931165491834978E-2</v>
      </c>
    </row>
    <row r="1310" spans="2:7" ht="15" customHeight="1" x14ac:dyDescent="0.3">
      <c r="C1310" s="2"/>
      <c r="D1310" s="8">
        <v>2024</v>
      </c>
      <c r="E1310" s="14">
        <f>Data!N1310</f>
        <v>0</v>
      </c>
      <c r="F1310" s="14">
        <f>Data!K1310</f>
        <v>0</v>
      </c>
      <c r="G1310" s="12">
        <f t="shared" si="20"/>
        <v>0</v>
      </c>
    </row>
    <row r="1311" spans="2:7" ht="15" customHeight="1" x14ac:dyDescent="0.3">
      <c r="B1311" s="8">
        <v>120</v>
      </c>
      <c r="C1311" s="2" t="s">
        <v>108</v>
      </c>
      <c r="D1311" s="8">
        <v>2014</v>
      </c>
      <c r="E1311" s="14">
        <f>Data!N1311</f>
        <v>0</v>
      </c>
      <c r="F1311" s="14">
        <f>Data!K1311</f>
        <v>0</v>
      </c>
      <c r="G1311" s="12">
        <f t="shared" si="20"/>
        <v>0</v>
      </c>
    </row>
    <row r="1312" spans="2:7" ht="15" customHeight="1" x14ac:dyDescent="0.3">
      <c r="C1312" s="2"/>
      <c r="D1312" s="8">
        <v>2015</v>
      </c>
      <c r="E1312" s="14">
        <f>Data!N1312</f>
        <v>73390000000</v>
      </c>
      <c r="F1312" s="14">
        <f>Data!K1312</f>
        <v>497589000000</v>
      </c>
      <c r="G1312" s="12">
        <f t="shared" si="20"/>
        <v>0.14749120257883513</v>
      </c>
    </row>
    <row r="1313" spans="2:7" ht="15" customHeight="1" x14ac:dyDescent="0.3">
      <c r="C1313" s="2"/>
      <c r="D1313" s="8">
        <v>2016</v>
      </c>
      <c r="E1313" s="14">
        <f>Data!N1313</f>
        <v>105532000000</v>
      </c>
      <c r="F1313" s="14">
        <f>Data!K1313</f>
        <v>565558000000</v>
      </c>
      <c r="G1313" s="12">
        <f t="shared" si="20"/>
        <v>0.18659801470406218</v>
      </c>
    </row>
    <row r="1314" spans="2:7" ht="15" customHeight="1" x14ac:dyDescent="0.3">
      <c r="C1314" s="2"/>
      <c r="D1314" s="8">
        <v>2017</v>
      </c>
      <c r="E1314" s="14">
        <f>Data!N1314</f>
        <v>123185000000</v>
      </c>
      <c r="F1314" s="14">
        <f>Data!K1314</f>
        <v>632869000000</v>
      </c>
      <c r="G1314" s="12">
        <f t="shared" si="20"/>
        <v>0.19464533734469536</v>
      </c>
    </row>
    <row r="1315" spans="2:7" ht="15" customHeight="1" x14ac:dyDescent="0.3">
      <c r="C1315" s="2"/>
      <c r="D1315" s="8">
        <v>2018</v>
      </c>
      <c r="E1315" s="14">
        <f>Data!N1315</f>
        <v>139985000000</v>
      </c>
      <c r="F1315" s="14">
        <f>Data!K1315</f>
        <v>711709000000</v>
      </c>
      <c r="G1315" s="12">
        <f t="shared" si="20"/>
        <v>0.19668853421833923</v>
      </c>
    </row>
    <row r="1316" spans="2:7" ht="15" customHeight="1" x14ac:dyDescent="0.3">
      <c r="C1316" s="2"/>
      <c r="D1316" s="8">
        <v>2019</v>
      </c>
      <c r="E1316" s="14">
        <f>Data!N1316</f>
        <v>178342000000</v>
      </c>
      <c r="F1316" s="14">
        <f>Data!K1316</f>
        <v>841104000000</v>
      </c>
      <c r="G1316" s="12">
        <f t="shared" si="20"/>
        <v>0.21203323251345851</v>
      </c>
    </row>
    <row r="1317" spans="2:7" ht="15" customHeight="1" x14ac:dyDescent="0.3">
      <c r="C1317" s="2"/>
      <c r="D1317" s="8">
        <v>2020</v>
      </c>
      <c r="E1317" s="14">
        <f>Data!N1317</f>
        <v>201733000000</v>
      </c>
      <c r="F1317" s="14">
        <f>Data!K1317</f>
        <v>1007497000000</v>
      </c>
      <c r="G1317" s="12">
        <f t="shared" si="20"/>
        <v>0.20023186173259078</v>
      </c>
    </row>
    <row r="1318" spans="2:7" ht="15" customHeight="1" x14ac:dyDescent="0.3">
      <c r="C1318" s="2"/>
      <c r="D1318" s="8">
        <v>2021</v>
      </c>
      <c r="E1318" s="14">
        <f>Data!N1318</f>
        <v>285451000000</v>
      </c>
      <c r="F1318" s="14">
        <f>Data!K1318</f>
        <v>1254508000000</v>
      </c>
      <c r="G1318" s="12">
        <f t="shared" si="20"/>
        <v>0.22754019902623179</v>
      </c>
    </row>
    <row r="1319" spans="2:7" ht="15" customHeight="1" x14ac:dyDescent="0.3">
      <c r="C1319" s="2"/>
      <c r="D1319" s="8">
        <v>2022</v>
      </c>
      <c r="E1319" s="14">
        <f>Data!N1319</f>
        <v>366756000000</v>
      </c>
      <c r="F1319" s="14">
        <f>Data!K1319</f>
        <v>1553377000000</v>
      </c>
      <c r="G1319" s="12">
        <f t="shared" si="20"/>
        <v>0.23610237566283007</v>
      </c>
    </row>
    <row r="1320" spans="2:7" ht="15" customHeight="1" x14ac:dyDescent="0.3">
      <c r="C1320" s="2"/>
      <c r="D1320" s="8">
        <v>2023</v>
      </c>
      <c r="E1320" s="14">
        <f>Data!N1320</f>
        <v>474296000000</v>
      </c>
      <c r="F1320" s="14">
        <f>Data!K1320</f>
        <v>1935570000000</v>
      </c>
      <c r="G1320" s="12">
        <f t="shared" si="20"/>
        <v>0.24504202896304447</v>
      </c>
    </row>
    <row r="1321" spans="2:7" ht="15" customHeight="1" x14ac:dyDescent="0.3">
      <c r="C1321" s="2"/>
      <c r="D1321" s="8">
        <v>2024</v>
      </c>
      <c r="E1321" s="14">
        <f>Data!N1321</f>
        <v>690611000000</v>
      </c>
      <c r="F1321" s="14">
        <f>Data!K1321</f>
        <v>2505422000000</v>
      </c>
      <c r="G1321" s="12">
        <f t="shared" si="20"/>
        <v>0.27564657770227929</v>
      </c>
    </row>
    <row r="1322" spans="2:7" ht="15" customHeight="1" x14ac:dyDescent="0.3">
      <c r="B1322" s="8">
        <v>121</v>
      </c>
      <c r="C1322" s="2" t="s">
        <v>77</v>
      </c>
      <c r="D1322" s="8">
        <v>2014</v>
      </c>
      <c r="E1322" s="14">
        <f>Data!N1322</f>
        <v>0</v>
      </c>
      <c r="F1322" s="14">
        <f>Data!K1322</f>
        <v>0</v>
      </c>
      <c r="G1322" s="12">
        <f t="shared" si="20"/>
        <v>0</v>
      </c>
    </row>
    <row r="1323" spans="2:7" ht="15" customHeight="1" x14ac:dyDescent="0.3">
      <c r="C1323" s="2"/>
      <c r="D1323" s="8">
        <v>2015</v>
      </c>
      <c r="E1323" s="14">
        <f>Data!N1323</f>
        <v>14059000000</v>
      </c>
      <c r="F1323" s="14">
        <f>Data!K1323</f>
        <v>159339000000</v>
      </c>
      <c r="G1323" s="12">
        <f t="shared" si="20"/>
        <v>8.8233263670538908E-2</v>
      </c>
    </row>
    <row r="1324" spans="2:7" ht="15" customHeight="1" x14ac:dyDescent="0.3">
      <c r="C1324" s="2"/>
      <c r="D1324" s="8">
        <v>2016</v>
      </c>
      <c r="E1324" s="14">
        <f>Data!N1324</f>
        <v>4620000000</v>
      </c>
      <c r="F1324" s="14">
        <f>Data!K1324</f>
        <v>159164000000</v>
      </c>
      <c r="G1324" s="12">
        <f t="shared" si="20"/>
        <v>2.902666432107763E-2</v>
      </c>
    </row>
    <row r="1325" spans="2:7" ht="15" customHeight="1" x14ac:dyDescent="0.3">
      <c r="C1325" s="2"/>
      <c r="D1325" s="8">
        <v>2017</v>
      </c>
      <c r="E1325" s="14">
        <f>Data!N1325</f>
        <v>9322000000</v>
      </c>
      <c r="F1325" s="14">
        <f>Data!K1325</f>
        <v>167277000000</v>
      </c>
      <c r="G1325" s="12">
        <f t="shared" si="20"/>
        <v>5.572792434106303E-2</v>
      </c>
    </row>
    <row r="1326" spans="2:7" ht="15" customHeight="1" x14ac:dyDescent="0.3">
      <c r="C1326" s="2"/>
      <c r="D1326" s="8">
        <v>2018</v>
      </c>
      <c r="E1326" s="14">
        <f>Data!N1326</f>
        <v>17550000000</v>
      </c>
      <c r="F1326" s="14">
        <f>Data!K1326</f>
        <v>181844000000</v>
      </c>
      <c r="G1326" s="12">
        <f t="shared" si="20"/>
        <v>9.6511295396053756E-2</v>
      </c>
    </row>
    <row r="1327" spans="2:7" ht="15" customHeight="1" x14ac:dyDescent="0.3">
      <c r="C1327" s="2"/>
      <c r="D1327" s="8">
        <v>2019</v>
      </c>
      <c r="E1327" s="14">
        <f>Data!N1327</f>
        <v>19656000000</v>
      </c>
      <c r="F1327" s="14">
        <f>Data!K1327</f>
        <v>201500000000</v>
      </c>
      <c r="G1327" s="12">
        <f t="shared" si="20"/>
        <v>9.75483870967742E-2</v>
      </c>
    </row>
    <row r="1328" spans="2:7" ht="15" customHeight="1" x14ac:dyDescent="0.3">
      <c r="C1328" s="2"/>
      <c r="D1328" s="8">
        <v>2020</v>
      </c>
      <c r="E1328" s="14">
        <f>Data!N1328</f>
        <v>25920000000</v>
      </c>
      <c r="F1328" s="14">
        <f>Data!K1328</f>
        <v>217420000000</v>
      </c>
      <c r="G1328" s="12">
        <f t="shared" si="20"/>
        <v>0.11921626345322417</v>
      </c>
    </row>
    <row r="1329" spans="2:7" ht="15" customHeight="1" x14ac:dyDescent="0.3">
      <c r="C1329" s="2"/>
      <c r="D1329" s="8">
        <v>2021</v>
      </c>
      <c r="E1329" s="14">
        <f>Data!N1329</f>
        <v>30752000000</v>
      </c>
      <c r="F1329" s="14">
        <f>Data!K1329</f>
        <v>259173000000</v>
      </c>
      <c r="G1329" s="12">
        <f t="shared" si="20"/>
        <v>0.11865433513521856</v>
      </c>
    </row>
    <row r="1330" spans="2:7" ht="15" customHeight="1" x14ac:dyDescent="0.3">
      <c r="C1330" s="2"/>
      <c r="D1330" s="8">
        <v>2022</v>
      </c>
      <c r="E1330" s="14">
        <f>Data!N1330</f>
        <v>56965000000</v>
      </c>
      <c r="F1330" s="14">
        <f>Data!K1330</f>
        <v>300888000000</v>
      </c>
      <c r="G1330" s="12">
        <f t="shared" si="20"/>
        <v>0.18932293743851533</v>
      </c>
    </row>
    <row r="1331" spans="2:7" ht="15" customHeight="1" x14ac:dyDescent="0.3">
      <c r="C1331" s="2"/>
      <c r="D1331" s="8">
        <v>2023</v>
      </c>
      <c r="E1331" s="14">
        <f>Data!N1331</f>
        <v>44483000000</v>
      </c>
      <c r="F1331" s="14">
        <f>Data!K1331</f>
        <v>387787000000</v>
      </c>
      <c r="G1331" s="12">
        <f t="shared" si="20"/>
        <v>0.11470987939255313</v>
      </c>
    </row>
    <row r="1332" spans="2:7" ht="15" customHeight="1" x14ac:dyDescent="0.3">
      <c r="C1332" s="2"/>
      <c r="D1332" s="8">
        <v>2024</v>
      </c>
      <c r="E1332" s="14" t="str">
        <f>Data!N1332</f>
        <v>71158*1e6</v>
      </c>
      <c r="F1332" s="14">
        <f>Data!K1332</f>
        <v>446099000000</v>
      </c>
      <c r="G1332" s="12">
        <f t="shared" si="20"/>
        <v>0</v>
      </c>
    </row>
    <row r="1333" spans="2:7" ht="15" customHeight="1" x14ac:dyDescent="0.3">
      <c r="B1333" s="8">
        <v>122</v>
      </c>
      <c r="C1333" s="2" t="s">
        <v>109</v>
      </c>
      <c r="D1333" s="8">
        <v>2014</v>
      </c>
      <c r="E1333" s="14">
        <f>Data!N1333</f>
        <v>0</v>
      </c>
      <c r="F1333" s="14">
        <f>Data!K1333</f>
        <v>0</v>
      </c>
      <c r="G1333" s="12">
        <f t="shared" si="20"/>
        <v>0</v>
      </c>
    </row>
    <row r="1334" spans="2:7" ht="15" customHeight="1" x14ac:dyDescent="0.3">
      <c r="C1334" s="2"/>
      <c r="D1334" s="8">
        <v>2015</v>
      </c>
      <c r="E1334" s="14">
        <f>Data!N1334</f>
        <v>0</v>
      </c>
      <c r="F1334" s="14">
        <f>Data!K1334</f>
        <v>0</v>
      </c>
      <c r="G1334" s="12">
        <f t="shared" si="20"/>
        <v>0</v>
      </c>
    </row>
    <row r="1335" spans="2:7" ht="15" customHeight="1" x14ac:dyDescent="0.3">
      <c r="C1335" s="2"/>
      <c r="D1335" s="8">
        <v>2016</v>
      </c>
      <c r="E1335" s="14">
        <f>Data!N1335</f>
        <v>0</v>
      </c>
      <c r="F1335" s="14">
        <f>Data!K1335</f>
        <v>0</v>
      </c>
      <c r="G1335" s="12">
        <f t="shared" si="20"/>
        <v>0</v>
      </c>
    </row>
    <row r="1336" spans="2:7" ht="15" customHeight="1" x14ac:dyDescent="0.3">
      <c r="C1336" s="2"/>
      <c r="D1336" s="8">
        <v>2017</v>
      </c>
      <c r="E1336" s="14">
        <f>Data!N1336</f>
        <v>0</v>
      </c>
      <c r="F1336" s="14">
        <f>Data!K1336</f>
        <v>0</v>
      </c>
      <c r="G1336" s="12">
        <f t="shared" si="20"/>
        <v>0</v>
      </c>
    </row>
    <row r="1337" spans="2:7" ht="15" customHeight="1" x14ac:dyDescent="0.3">
      <c r="C1337" s="2"/>
      <c r="D1337" s="8">
        <v>2018</v>
      </c>
      <c r="E1337" s="14">
        <f>Data!N1337</f>
        <v>0</v>
      </c>
      <c r="F1337" s="14">
        <f>Data!K1337</f>
        <v>0</v>
      </c>
      <c r="G1337" s="12">
        <f t="shared" si="20"/>
        <v>0</v>
      </c>
    </row>
    <row r="1338" spans="2:7" ht="15" customHeight="1" x14ac:dyDescent="0.3">
      <c r="C1338" s="2"/>
      <c r="D1338" s="8">
        <v>2019</v>
      </c>
      <c r="E1338" s="14">
        <f>Data!N1338</f>
        <v>0</v>
      </c>
      <c r="F1338" s="14">
        <f>Data!K1338</f>
        <v>0</v>
      </c>
      <c r="G1338" s="12">
        <f t="shared" si="20"/>
        <v>0</v>
      </c>
    </row>
    <row r="1339" spans="2:7" ht="15" customHeight="1" x14ac:dyDescent="0.3">
      <c r="C1339" s="2"/>
      <c r="D1339" s="8">
        <v>2020</v>
      </c>
      <c r="E1339" s="14">
        <f>Data!N1339</f>
        <v>0</v>
      </c>
      <c r="F1339" s="14">
        <f>Data!K1339</f>
        <v>0</v>
      </c>
      <c r="G1339" s="12">
        <f t="shared" si="20"/>
        <v>0</v>
      </c>
    </row>
    <row r="1340" spans="2:7" ht="15" customHeight="1" x14ac:dyDescent="0.3">
      <c r="C1340" s="2"/>
      <c r="D1340" s="8">
        <v>2021</v>
      </c>
      <c r="E1340" s="14">
        <f>Data!N1340</f>
        <v>0</v>
      </c>
      <c r="F1340" s="14">
        <f>Data!K1340</f>
        <v>0</v>
      </c>
      <c r="G1340" s="12">
        <f t="shared" si="20"/>
        <v>0</v>
      </c>
    </row>
    <row r="1341" spans="2:7" ht="15" customHeight="1" x14ac:dyDescent="0.3">
      <c r="C1341" s="2"/>
      <c r="D1341" s="8">
        <v>2022</v>
      </c>
      <c r="E1341" s="14">
        <f>Data!N1341</f>
        <v>0</v>
      </c>
      <c r="F1341" s="14">
        <f>Data!K1341</f>
        <v>0</v>
      </c>
      <c r="G1341" s="12">
        <f t="shared" si="20"/>
        <v>0</v>
      </c>
    </row>
    <row r="1342" spans="2:7" ht="15" customHeight="1" x14ac:dyDescent="0.3">
      <c r="C1342" s="2"/>
      <c r="D1342" s="8">
        <v>2023</v>
      </c>
      <c r="E1342" s="14">
        <f>Data!N1342</f>
        <v>0</v>
      </c>
      <c r="F1342" s="14">
        <f>Data!K1342</f>
        <v>0</v>
      </c>
      <c r="G1342" s="12">
        <f t="shared" si="20"/>
        <v>0</v>
      </c>
    </row>
    <row r="1343" spans="2:7" ht="15" customHeight="1" x14ac:dyDescent="0.3">
      <c r="C1343" s="2"/>
      <c r="D1343" s="8">
        <v>2024</v>
      </c>
      <c r="E1343" s="14">
        <f>Data!N1343</f>
        <v>0</v>
      </c>
      <c r="F1343" s="14">
        <f>Data!K1343</f>
        <v>0</v>
      </c>
      <c r="G1343" s="12">
        <f t="shared" si="20"/>
        <v>0</v>
      </c>
    </row>
    <row r="1344" spans="2:7" ht="15" customHeight="1" x14ac:dyDescent="0.3">
      <c r="B1344" s="8">
        <v>123</v>
      </c>
      <c r="C1344" s="2" t="s">
        <v>78</v>
      </c>
      <c r="D1344" s="8">
        <v>2014</v>
      </c>
      <c r="E1344" s="14">
        <f>Data!N1344</f>
        <v>0</v>
      </c>
      <c r="F1344" s="14">
        <f>Data!K1344</f>
        <v>0</v>
      </c>
      <c r="G1344" s="12">
        <f t="shared" si="20"/>
        <v>0</v>
      </c>
    </row>
    <row r="1345" spans="2:7" ht="15" customHeight="1" x14ac:dyDescent="0.3">
      <c r="C1345" s="2"/>
      <c r="D1345" s="8">
        <v>2015</v>
      </c>
      <c r="E1345" s="14">
        <f>Data!N1345</f>
        <v>0</v>
      </c>
      <c r="F1345" s="14">
        <f>Data!K1345</f>
        <v>0</v>
      </c>
      <c r="G1345" s="12">
        <f t="shared" si="20"/>
        <v>0</v>
      </c>
    </row>
    <row r="1346" spans="2:7" ht="15" customHeight="1" x14ac:dyDescent="0.3">
      <c r="C1346" s="2"/>
      <c r="D1346" s="8">
        <v>2016</v>
      </c>
      <c r="E1346" s="14">
        <f>Data!N1346</f>
        <v>0</v>
      </c>
      <c r="F1346" s="14">
        <f>Data!K1346</f>
        <v>0</v>
      </c>
      <c r="G1346" s="12">
        <f t="shared" si="20"/>
        <v>0</v>
      </c>
    </row>
    <row r="1347" spans="2:7" ht="15" customHeight="1" x14ac:dyDescent="0.3">
      <c r="C1347" s="2"/>
      <c r="D1347" s="8">
        <v>2017</v>
      </c>
      <c r="E1347" s="14">
        <f>Data!N1347</f>
        <v>0</v>
      </c>
      <c r="F1347" s="14">
        <f>Data!K1347</f>
        <v>0</v>
      </c>
      <c r="G1347" s="12">
        <f t="shared" ref="G1347:G1410" si="21">IFERROR(E1347/F1347,0)</f>
        <v>0</v>
      </c>
    </row>
    <row r="1348" spans="2:7" ht="15" customHeight="1" x14ac:dyDescent="0.3">
      <c r="C1348" s="2"/>
      <c r="D1348" s="8">
        <v>2018</v>
      </c>
      <c r="E1348" s="14">
        <f>Data!N1348</f>
        <v>0</v>
      </c>
      <c r="F1348" s="14">
        <f>Data!K1348</f>
        <v>0</v>
      </c>
      <c r="G1348" s="12">
        <f t="shared" si="21"/>
        <v>0</v>
      </c>
    </row>
    <row r="1349" spans="2:7" ht="15" customHeight="1" x14ac:dyDescent="0.3">
      <c r="C1349" s="2"/>
      <c r="D1349" s="8">
        <v>2019</v>
      </c>
      <c r="E1349" s="14">
        <f>Data!N1349</f>
        <v>512260665</v>
      </c>
      <c r="F1349" s="14">
        <f>Data!K1349</f>
        <v>113373585566</v>
      </c>
      <c r="G1349" s="12">
        <f t="shared" si="21"/>
        <v>4.5183422791351116E-3</v>
      </c>
    </row>
    <row r="1350" spans="2:7" ht="15" customHeight="1" x14ac:dyDescent="0.3">
      <c r="C1350" s="2"/>
      <c r="D1350" s="8">
        <v>2020</v>
      </c>
      <c r="E1350" s="14">
        <f>Data!N1350</f>
        <v>410214152</v>
      </c>
      <c r="F1350" s="14">
        <f>Data!K1350</f>
        <v>116178253450</v>
      </c>
      <c r="G1350" s="12">
        <f t="shared" si="21"/>
        <v>3.5309030719466372E-3</v>
      </c>
    </row>
    <row r="1351" spans="2:7" ht="15" customHeight="1" x14ac:dyDescent="0.3">
      <c r="C1351" s="2"/>
      <c r="D1351" s="8">
        <v>2021</v>
      </c>
      <c r="E1351" s="14">
        <f>Data!N1351</f>
        <v>2308985768</v>
      </c>
      <c r="F1351" s="14">
        <f>Data!K1351</f>
        <v>119987239217</v>
      </c>
      <c r="G1351" s="12">
        <f t="shared" si="21"/>
        <v>1.9243594427771939E-2</v>
      </c>
    </row>
    <row r="1352" spans="2:7" ht="15" customHeight="1" x14ac:dyDescent="0.3">
      <c r="C1352" s="2"/>
      <c r="D1352" s="8">
        <v>2022</v>
      </c>
      <c r="E1352" s="14">
        <f>Data!N1352</f>
        <v>5810058561</v>
      </c>
      <c r="F1352" s="14">
        <f>Data!K1352</f>
        <v>125797297777</v>
      </c>
      <c r="G1352" s="12">
        <f t="shared" si="21"/>
        <v>4.6185877309538478E-2</v>
      </c>
    </row>
    <row r="1353" spans="2:7" ht="15" customHeight="1" x14ac:dyDescent="0.3">
      <c r="C1353" s="2"/>
      <c r="D1353" s="8">
        <v>2023</v>
      </c>
      <c r="E1353" s="14">
        <f>Data!N1353</f>
        <v>153740775461</v>
      </c>
      <c r="F1353" s="14">
        <f>Data!K1353</f>
        <v>290538073238</v>
      </c>
      <c r="G1353" s="12">
        <f t="shared" si="21"/>
        <v>0.52915879061075832</v>
      </c>
    </row>
    <row r="1354" spans="2:7" ht="15" customHeight="1" x14ac:dyDescent="0.3">
      <c r="C1354" s="2"/>
      <c r="D1354" s="8">
        <v>2024</v>
      </c>
      <c r="E1354" s="14">
        <f>Data!N1354</f>
        <v>89805636099</v>
      </c>
      <c r="F1354" s="14">
        <f>Data!K1354</f>
        <v>217928117414</v>
      </c>
      <c r="G1354" s="12">
        <f t="shared" si="21"/>
        <v>0.41208833979139747</v>
      </c>
    </row>
    <row r="1355" spans="2:7" ht="15" customHeight="1" x14ac:dyDescent="0.3">
      <c r="B1355" s="8">
        <v>124</v>
      </c>
      <c r="C1355" s="2" t="s">
        <v>110</v>
      </c>
      <c r="D1355" s="8">
        <v>2014</v>
      </c>
      <c r="E1355" s="14">
        <f>Data!N1355</f>
        <v>0</v>
      </c>
      <c r="F1355" s="14">
        <f>Data!K1355</f>
        <v>0</v>
      </c>
      <c r="G1355" s="12">
        <f t="shared" si="21"/>
        <v>0</v>
      </c>
    </row>
    <row r="1356" spans="2:7" ht="15" customHeight="1" x14ac:dyDescent="0.3">
      <c r="C1356" s="2"/>
      <c r="D1356" s="8">
        <v>2015</v>
      </c>
      <c r="E1356" s="14">
        <f>Data!N1356</f>
        <v>23304078542</v>
      </c>
      <c r="F1356" s="14">
        <f>Data!K1356</f>
        <v>216388147244</v>
      </c>
      <c r="G1356" s="12">
        <f t="shared" si="21"/>
        <v>0.1076957256615458</v>
      </c>
    </row>
    <row r="1357" spans="2:7" ht="15" customHeight="1" x14ac:dyDescent="0.3">
      <c r="C1357" s="2"/>
      <c r="D1357" s="8">
        <v>2016</v>
      </c>
      <c r="E1357" s="14">
        <f>Data!N1357</f>
        <v>22952083488</v>
      </c>
      <c r="F1357" s="14">
        <f>Data!K1357</f>
        <v>373195660331</v>
      </c>
      <c r="G1357" s="12">
        <f t="shared" si="21"/>
        <v>6.1501474769677149E-2</v>
      </c>
    </row>
    <row r="1358" spans="2:7" ht="15" customHeight="1" x14ac:dyDescent="0.3">
      <c r="C1358" s="2"/>
      <c r="D1358" s="8">
        <v>2017</v>
      </c>
      <c r="E1358" s="14">
        <f>Data!N1358</f>
        <v>-42679419828</v>
      </c>
      <c r="F1358" s="14">
        <f>Data!K1358</f>
        <v>367290802779</v>
      </c>
      <c r="G1358" s="12">
        <f t="shared" si="21"/>
        <v>-0.11620062224558435</v>
      </c>
    </row>
    <row r="1359" spans="2:7" ht="15" customHeight="1" x14ac:dyDescent="0.3">
      <c r="C1359" s="2"/>
      <c r="D1359" s="8">
        <v>2018</v>
      </c>
      <c r="E1359" s="14">
        <f>Data!N1359</f>
        <v>22714000000</v>
      </c>
      <c r="F1359" s="14">
        <f>Data!K1359</f>
        <v>481782000000</v>
      </c>
      <c r="G1359" s="12">
        <f t="shared" si="21"/>
        <v>4.7145804534000857E-2</v>
      </c>
    </row>
    <row r="1360" spans="2:7" ht="15" customHeight="1" x14ac:dyDescent="0.3">
      <c r="C1360" s="2"/>
      <c r="D1360" s="8">
        <v>2019</v>
      </c>
      <c r="E1360" s="14">
        <f>Data!N1360</f>
        <v>16900000000</v>
      </c>
      <c r="F1360" s="14">
        <f>Data!K1360</f>
        <v>502025000000</v>
      </c>
      <c r="G1360" s="12">
        <f t="shared" si="21"/>
        <v>3.3663662168218714E-2</v>
      </c>
    </row>
    <row r="1361" spans="2:7" ht="15" customHeight="1" x14ac:dyDescent="0.3">
      <c r="C1361" s="2"/>
      <c r="D1361" s="8">
        <v>2020</v>
      </c>
      <c r="E1361" s="14">
        <f>Data!N1361</f>
        <v>23078000000</v>
      </c>
      <c r="F1361" s="14">
        <f>Data!K1361</f>
        <v>528437000000</v>
      </c>
      <c r="G1361" s="12">
        <f t="shared" si="21"/>
        <v>4.3672187980781055E-2</v>
      </c>
    </row>
    <row r="1362" spans="2:7" ht="15" customHeight="1" x14ac:dyDescent="0.3">
      <c r="C1362" s="2"/>
      <c r="D1362" s="8">
        <v>2021</v>
      </c>
      <c r="E1362" s="14">
        <f>Data!N1362</f>
        <v>35617000000</v>
      </c>
      <c r="F1362" s="14">
        <f>Data!K1362</f>
        <v>562686000000</v>
      </c>
      <c r="G1362" s="12">
        <f t="shared" si="21"/>
        <v>6.329818051275489E-2</v>
      </c>
    </row>
    <row r="1363" spans="2:7" ht="15" customHeight="1" x14ac:dyDescent="0.3">
      <c r="C1363" s="2"/>
      <c r="D1363" s="8">
        <v>2022</v>
      </c>
      <c r="E1363" s="14">
        <f>Data!N1363</f>
        <v>-60964000000</v>
      </c>
      <c r="F1363" s="14">
        <f>Data!K1363</f>
        <v>475532000000</v>
      </c>
      <c r="G1363" s="12">
        <f t="shared" si="21"/>
        <v>-0.12820167727934187</v>
      </c>
    </row>
    <row r="1364" spans="2:7" ht="15" customHeight="1" x14ac:dyDescent="0.3">
      <c r="C1364" s="2"/>
      <c r="D1364" s="8">
        <v>2023</v>
      </c>
      <c r="E1364" s="14">
        <f>Data!N1364</f>
        <v>32571000000</v>
      </c>
      <c r="F1364" s="14">
        <f>Data!K1364</f>
        <v>512775000000</v>
      </c>
      <c r="G1364" s="12">
        <f t="shared" si="21"/>
        <v>6.3519087318999565E-2</v>
      </c>
    </row>
    <row r="1365" spans="2:7" ht="15" customHeight="1" x14ac:dyDescent="0.3">
      <c r="C1365" s="2"/>
      <c r="D1365" s="8">
        <v>2024</v>
      </c>
      <c r="E1365" s="14">
        <f>Data!N1365</f>
        <v>48042000000</v>
      </c>
      <c r="F1365" s="14">
        <f>Data!K1365</f>
        <v>556673000000</v>
      </c>
      <c r="G1365" s="12">
        <f t="shared" si="21"/>
        <v>8.6302012132796091E-2</v>
      </c>
    </row>
    <row r="1366" spans="2:7" ht="15" customHeight="1" x14ac:dyDescent="0.3">
      <c r="B1366" s="8">
        <v>125</v>
      </c>
      <c r="C1366" s="2" t="s">
        <v>111</v>
      </c>
      <c r="D1366" s="8">
        <v>2014</v>
      </c>
      <c r="E1366" s="14">
        <f>Data!N1366</f>
        <v>0</v>
      </c>
      <c r="F1366" s="14">
        <f>Data!K1366</f>
        <v>0</v>
      </c>
      <c r="G1366" s="12">
        <f t="shared" si="21"/>
        <v>0</v>
      </c>
    </row>
    <row r="1367" spans="2:7" ht="15" customHeight="1" x14ac:dyDescent="0.3">
      <c r="C1367" s="2"/>
      <c r="D1367" s="8">
        <v>2015</v>
      </c>
      <c r="E1367" s="14">
        <f>Data!N1367</f>
        <v>0</v>
      </c>
      <c r="F1367" s="14">
        <f>Data!K1367</f>
        <v>0</v>
      </c>
      <c r="G1367" s="12">
        <f t="shared" si="21"/>
        <v>0</v>
      </c>
    </row>
    <row r="1368" spans="2:7" ht="15" customHeight="1" x14ac:dyDescent="0.3">
      <c r="C1368" s="2"/>
      <c r="D1368" s="8">
        <v>2016</v>
      </c>
      <c r="E1368" s="14">
        <f>Data!N1368</f>
        <v>0</v>
      </c>
      <c r="F1368" s="14">
        <f>Data!K1368</f>
        <v>0</v>
      </c>
      <c r="G1368" s="12">
        <f t="shared" si="21"/>
        <v>0</v>
      </c>
    </row>
    <row r="1369" spans="2:7" ht="15" customHeight="1" x14ac:dyDescent="0.3">
      <c r="C1369" s="2"/>
      <c r="D1369" s="8">
        <v>2017</v>
      </c>
      <c r="E1369" s="14">
        <f>Data!N1369</f>
        <v>0</v>
      </c>
      <c r="F1369" s="14">
        <f>Data!K1369</f>
        <v>0</v>
      </c>
      <c r="G1369" s="12">
        <f t="shared" si="21"/>
        <v>0</v>
      </c>
    </row>
    <row r="1370" spans="2:7" ht="15" customHeight="1" x14ac:dyDescent="0.3">
      <c r="C1370" s="2"/>
      <c r="D1370" s="8">
        <v>2018</v>
      </c>
      <c r="E1370" s="14">
        <f>Data!N1370</f>
        <v>0</v>
      </c>
      <c r="F1370" s="14">
        <f>Data!K1370</f>
        <v>0</v>
      </c>
      <c r="G1370" s="12">
        <f t="shared" si="21"/>
        <v>0</v>
      </c>
    </row>
    <row r="1371" spans="2:7" ht="15" customHeight="1" x14ac:dyDescent="0.3">
      <c r="C1371" s="2"/>
      <c r="D1371" s="8">
        <v>2019</v>
      </c>
      <c r="E1371" s="14">
        <f>Data!N1371</f>
        <v>0</v>
      </c>
      <c r="F1371" s="14">
        <f>Data!K1371</f>
        <v>0</v>
      </c>
      <c r="G1371" s="12">
        <f t="shared" si="21"/>
        <v>0</v>
      </c>
    </row>
    <row r="1372" spans="2:7" ht="15" customHeight="1" x14ac:dyDescent="0.3">
      <c r="C1372" s="2"/>
      <c r="D1372" s="8">
        <v>2020</v>
      </c>
      <c r="E1372" s="14">
        <f>Data!N1372</f>
        <v>0</v>
      </c>
      <c r="F1372" s="14">
        <f>Data!K1372</f>
        <v>0</v>
      </c>
      <c r="G1372" s="12">
        <f t="shared" si="21"/>
        <v>0</v>
      </c>
    </row>
    <row r="1373" spans="2:7" ht="15" customHeight="1" x14ac:dyDescent="0.3">
      <c r="C1373" s="2"/>
      <c r="D1373" s="8">
        <v>2021</v>
      </c>
      <c r="E1373" s="14">
        <f>Data!N1373</f>
        <v>0</v>
      </c>
      <c r="F1373" s="14">
        <f>Data!K1373</f>
        <v>0</v>
      </c>
      <c r="G1373" s="12">
        <f t="shared" si="21"/>
        <v>0</v>
      </c>
    </row>
    <row r="1374" spans="2:7" ht="15" customHeight="1" x14ac:dyDescent="0.3">
      <c r="C1374" s="2"/>
      <c r="D1374" s="8">
        <v>2022</v>
      </c>
      <c r="E1374" s="14">
        <f>Data!N1374</f>
        <v>0</v>
      </c>
      <c r="F1374" s="14">
        <f>Data!K1374</f>
        <v>0</v>
      </c>
      <c r="G1374" s="12">
        <f t="shared" si="21"/>
        <v>0</v>
      </c>
    </row>
    <row r="1375" spans="2:7" ht="15" customHeight="1" x14ac:dyDescent="0.3">
      <c r="C1375" s="2"/>
      <c r="D1375" s="8">
        <v>2023</v>
      </c>
      <c r="E1375" s="14">
        <f>Data!N1375</f>
        <v>0</v>
      </c>
      <c r="F1375" s="14">
        <f>Data!K1375</f>
        <v>0</v>
      </c>
      <c r="G1375" s="12">
        <f t="shared" si="21"/>
        <v>0</v>
      </c>
    </row>
    <row r="1376" spans="2:7" ht="15" customHeight="1" x14ac:dyDescent="0.3">
      <c r="C1376" s="2"/>
      <c r="D1376" s="8">
        <v>2024</v>
      </c>
      <c r="E1376" s="14">
        <f>Data!N1376</f>
        <v>0</v>
      </c>
      <c r="F1376" s="14">
        <f>Data!K1376</f>
        <v>0</v>
      </c>
      <c r="G1376" s="12">
        <f t="shared" si="21"/>
        <v>0</v>
      </c>
    </row>
    <row r="1377" spans="2:7" ht="15" customHeight="1" x14ac:dyDescent="0.3">
      <c r="B1377" s="8">
        <v>126</v>
      </c>
      <c r="C1377" s="2" t="s">
        <v>86</v>
      </c>
      <c r="D1377" s="8">
        <v>2014</v>
      </c>
      <c r="E1377" s="14">
        <f>Data!N1377</f>
        <v>0</v>
      </c>
      <c r="F1377" s="14">
        <f>Data!K1377</f>
        <v>0</v>
      </c>
      <c r="G1377" s="12">
        <f t="shared" si="21"/>
        <v>0</v>
      </c>
    </row>
    <row r="1378" spans="2:7" ht="15" customHeight="1" x14ac:dyDescent="0.3">
      <c r="C1378" s="2"/>
      <c r="D1378" s="8">
        <v>2015</v>
      </c>
      <c r="E1378" s="14">
        <f>Data!N1378</f>
        <v>0</v>
      </c>
      <c r="F1378" s="14">
        <f>Data!K1378</f>
        <v>0</v>
      </c>
      <c r="G1378" s="12">
        <f t="shared" si="21"/>
        <v>0</v>
      </c>
    </row>
    <row r="1379" spans="2:7" ht="15" customHeight="1" x14ac:dyDescent="0.3">
      <c r="C1379" s="2"/>
      <c r="D1379" s="8">
        <v>2016</v>
      </c>
      <c r="E1379" s="14">
        <f>Data!N1379</f>
        <v>83158110807</v>
      </c>
      <c r="F1379" s="14">
        <f>Data!K1379</f>
        <v>1186059890855</v>
      </c>
      <c r="G1379" s="12">
        <f t="shared" si="21"/>
        <v>7.0112910358222688E-2</v>
      </c>
    </row>
    <row r="1380" spans="2:7" ht="15" customHeight="1" x14ac:dyDescent="0.3">
      <c r="C1380" s="2"/>
      <c r="D1380" s="8">
        <v>2017</v>
      </c>
      <c r="E1380" s="14">
        <f>Data!N1380</f>
        <v>91874383925</v>
      </c>
      <c r="F1380" s="14">
        <f>Data!K1380</f>
        <v>1071538322010</v>
      </c>
      <c r="G1380" s="12">
        <f t="shared" si="21"/>
        <v>8.5740642250350232E-2</v>
      </c>
    </row>
    <row r="1381" spans="2:7" ht="15" customHeight="1" x14ac:dyDescent="0.3">
      <c r="C1381" s="2"/>
      <c r="D1381" s="8">
        <v>2018</v>
      </c>
      <c r="E1381" s="14">
        <f>Data!N1381</f>
        <v>68687123783</v>
      </c>
      <c r="F1381" s="14">
        <f>Data!K1381</f>
        <v>879819493867</v>
      </c>
      <c r="G1381" s="12">
        <f t="shared" si="21"/>
        <v>7.8069563429545075E-2</v>
      </c>
    </row>
    <row r="1382" spans="2:7" ht="15" customHeight="1" x14ac:dyDescent="0.3">
      <c r="C1382" s="2"/>
      <c r="D1382" s="8">
        <v>2019</v>
      </c>
      <c r="E1382" s="14">
        <f>Data!N1382</f>
        <v>80002543527</v>
      </c>
      <c r="F1382" s="14">
        <f>Data!K1382</f>
        <v>848511733189</v>
      </c>
      <c r="G1382" s="12">
        <f t="shared" si="21"/>
        <v>9.4285724519474617E-2</v>
      </c>
    </row>
    <row r="1383" spans="2:7" ht="15" customHeight="1" x14ac:dyDescent="0.3">
      <c r="C1383" s="2"/>
      <c r="D1383" s="8">
        <v>2020</v>
      </c>
      <c r="E1383" s="14">
        <f>Data!N1383</f>
        <v>92908485040</v>
      </c>
      <c r="F1383" s="14">
        <f>Data!K1383</f>
        <v>861079475415</v>
      </c>
      <c r="G1383" s="12">
        <f t="shared" si="21"/>
        <v>0.10789768853243478</v>
      </c>
    </row>
    <row r="1384" spans="2:7" ht="15" customHeight="1" x14ac:dyDescent="0.3">
      <c r="C1384" s="2"/>
      <c r="D1384" s="8">
        <v>2021</v>
      </c>
      <c r="E1384" s="14">
        <f>Data!N1384</f>
        <v>98384767320</v>
      </c>
      <c r="F1384" s="14">
        <f>Data!K1384</f>
        <v>871834713331</v>
      </c>
      <c r="G1384" s="12">
        <f t="shared" si="21"/>
        <v>0.11284795823752354</v>
      </c>
    </row>
    <row r="1385" spans="2:7" ht="15" customHeight="1" x14ac:dyDescent="0.3">
      <c r="C1385" s="2"/>
      <c r="D1385" s="8">
        <v>2022</v>
      </c>
      <c r="E1385" s="14">
        <f>Data!N1385</f>
        <v>73838714374</v>
      </c>
      <c r="F1385" s="14">
        <f>Data!K1385</f>
        <v>730148693223</v>
      </c>
      <c r="G1385" s="12">
        <f t="shared" si="21"/>
        <v>0.10112832503755284</v>
      </c>
    </row>
    <row r="1386" spans="2:7" ht="15" customHeight="1" x14ac:dyDescent="0.3">
      <c r="C1386" s="2"/>
      <c r="D1386" s="8">
        <v>2023</v>
      </c>
      <c r="E1386" s="14">
        <f>Data!N1386</f>
        <v>24885327757</v>
      </c>
      <c r="F1386" s="14">
        <f>Data!K1386</f>
        <v>843744702806</v>
      </c>
      <c r="G1386" s="12">
        <f t="shared" si="21"/>
        <v>2.9493906953418608E-2</v>
      </c>
    </row>
    <row r="1387" spans="2:7" ht="15" customHeight="1" x14ac:dyDescent="0.3">
      <c r="C1387" s="2"/>
      <c r="D1387" s="8">
        <v>2024</v>
      </c>
      <c r="E1387" s="14">
        <f>Data!N1387</f>
        <v>62274344673</v>
      </c>
      <c r="F1387" s="14">
        <f>Data!K1387</f>
        <v>893803986316</v>
      </c>
      <c r="G1387" s="12">
        <f t="shared" si="21"/>
        <v>6.9673379875689223E-2</v>
      </c>
    </row>
    <row r="1388" spans="2:7" ht="15" customHeight="1" x14ac:dyDescent="0.3">
      <c r="B1388" s="8">
        <v>127</v>
      </c>
      <c r="C1388" s="2" t="s">
        <v>112</v>
      </c>
      <c r="D1388" s="8">
        <v>2014</v>
      </c>
      <c r="E1388" s="14">
        <f>Data!N1388</f>
        <v>0</v>
      </c>
      <c r="F1388" s="14">
        <f>Data!K1388</f>
        <v>0</v>
      </c>
      <c r="G1388" s="12">
        <f t="shared" si="21"/>
        <v>0</v>
      </c>
    </row>
    <row r="1389" spans="2:7" ht="15" customHeight="1" x14ac:dyDescent="0.3">
      <c r="C1389" s="2"/>
      <c r="D1389" s="8">
        <v>2015</v>
      </c>
      <c r="E1389" s="14">
        <f>Data!N1389</f>
        <v>0</v>
      </c>
      <c r="F1389" s="14">
        <f>Data!K1389</f>
        <v>0</v>
      </c>
      <c r="G1389" s="12">
        <f t="shared" si="21"/>
        <v>0</v>
      </c>
    </row>
    <row r="1390" spans="2:7" ht="15" customHeight="1" x14ac:dyDescent="0.3">
      <c r="C1390" s="2"/>
      <c r="D1390" s="8">
        <v>2016</v>
      </c>
      <c r="E1390" s="14">
        <f>Data!N1390</f>
        <v>-5008301835</v>
      </c>
      <c r="F1390" s="14">
        <f>Data!K1390</f>
        <v>112976073028</v>
      </c>
      <c r="G1390" s="12">
        <f t="shared" si="21"/>
        <v>-4.433064188519583E-2</v>
      </c>
    </row>
    <row r="1391" spans="2:7" ht="15" customHeight="1" x14ac:dyDescent="0.3">
      <c r="C1391" s="2"/>
      <c r="D1391" s="8">
        <v>2017</v>
      </c>
      <c r="E1391" s="14">
        <f>Data!N1391</f>
        <v>-3567096668</v>
      </c>
      <c r="F1391" s="14">
        <f>Data!K1391</f>
        <v>133833728557</v>
      </c>
      <c r="G1391" s="12">
        <f t="shared" si="21"/>
        <v>-2.6653196518251137E-2</v>
      </c>
    </row>
    <row r="1392" spans="2:7" ht="15" customHeight="1" x14ac:dyDescent="0.3">
      <c r="C1392" s="2"/>
      <c r="D1392" s="8">
        <v>2018</v>
      </c>
      <c r="E1392" s="14">
        <f>Data!N1392</f>
        <v>907382305</v>
      </c>
      <c r="F1392" s="14">
        <f>Data!K1392</f>
        <v>129279805953</v>
      </c>
      <c r="G1392" s="12">
        <f t="shared" si="21"/>
        <v>7.0187474239393668E-3</v>
      </c>
    </row>
    <row r="1393" spans="2:7" ht="15" customHeight="1" x14ac:dyDescent="0.3">
      <c r="C1393" s="2"/>
      <c r="D1393" s="8">
        <v>2019</v>
      </c>
      <c r="E1393" s="14">
        <f>Data!N1393</f>
        <v>991432600</v>
      </c>
      <c r="F1393" s="14">
        <f>Data!K1393</f>
        <v>130312057303</v>
      </c>
      <c r="G1393" s="12">
        <f t="shared" si="21"/>
        <v>7.6081417216423272E-3</v>
      </c>
    </row>
    <row r="1394" spans="2:7" ht="15" customHeight="1" x14ac:dyDescent="0.3">
      <c r="C1394" s="2"/>
      <c r="D1394" s="8">
        <v>2020</v>
      </c>
      <c r="E1394" s="14">
        <f>Data!N1394</f>
        <v>3061017413</v>
      </c>
      <c r="F1394" s="14">
        <f>Data!K1394</f>
        <v>133609520780</v>
      </c>
      <c r="G1394" s="12">
        <f t="shared" si="21"/>
        <v>2.2910174328371689E-2</v>
      </c>
    </row>
    <row r="1395" spans="2:7" ht="15" customHeight="1" x14ac:dyDescent="0.3">
      <c r="C1395" s="2"/>
      <c r="D1395" s="8">
        <v>2021</v>
      </c>
      <c r="E1395" s="14">
        <f>Data!N1395</f>
        <v>3790417710</v>
      </c>
      <c r="F1395" s="14">
        <f>Data!K1395</f>
        <v>137464258240</v>
      </c>
      <c r="G1395" s="12">
        <f t="shared" si="21"/>
        <v>2.7573841800988572E-2</v>
      </c>
    </row>
    <row r="1396" spans="2:7" ht="15" customHeight="1" x14ac:dyDescent="0.3">
      <c r="C1396" s="2"/>
      <c r="D1396" s="8">
        <v>2022</v>
      </c>
      <c r="E1396" s="14">
        <f>Data!N1396</f>
        <v>-8188437794</v>
      </c>
      <c r="F1396" s="14">
        <f>Data!K1396</f>
        <v>240017769070</v>
      </c>
      <c r="G1396" s="12">
        <f t="shared" si="21"/>
        <v>-3.4115964937628772E-2</v>
      </c>
    </row>
    <row r="1397" spans="2:7" ht="15" customHeight="1" x14ac:dyDescent="0.3">
      <c r="C1397" s="2"/>
      <c r="D1397" s="8">
        <v>2023</v>
      </c>
      <c r="E1397" s="14">
        <f>Data!N1397</f>
        <v>12901352409</v>
      </c>
      <c r="F1397" s="14">
        <f>Data!K1397</f>
        <v>280683357404</v>
      </c>
      <c r="G1397" s="12">
        <f t="shared" si="21"/>
        <v>4.5964080408338964E-2</v>
      </c>
    </row>
    <row r="1398" spans="2:7" ht="15" customHeight="1" x14ac:dyDescent="0.3">
      <c r="C1398" s="2"/>
      <c r="D1398" s="8">
        <v>2024</v>
      </c>
      <c r="E1398" s="14">
        <f>Data!N1398</f>
        <v>75510200038</v>
      </c>
      <c r="F1398" s="14">
        <f>Data!K1398</f>
        <v>356193557442</v>
      </c>
      <c r="G1398" s="12">
        <f t="shared" si="21"/>
        <v>0.21199204325950094</v>
      </c>
    </row>
    <row r="1399" spans="2:7" ht="15" customHeight="1" x14ac:dyDescent="0.3">
      <c r="B1399" s="8">
        <v>128</v>
      </c>
      <c r="C1399" s="2" t="s">
        <v>92</v>
      </c>
      <c r="D1399" s="8">
        <v>2014</v>
      </c>
      <c r="E1399" s="14">
        <f>Data!N1399</f>
        <v>0</v>
      </c>
      <c r="F1399" s="14">
        <f>Data!K1399</f>
        <v>0</v>
      </c>
      <c r="G1399" s="12">
        <f t="shared" si="21"/>
        <v>0</v>
      </c>
    </row>
    <row r="1400" spans="2:7" ht="15" customHeight="1" x14ac:dyDescent="0.3">
      <c r="C1400" s="2"/>
      <c r="D1400" s="8">
        <v>2015</v>
      </c>
      <c r="E1400" s="14">
        <f>Data!N1400</f>
        <v>0</v>
      </c>
      <c r="F1400" s="14">
        <f>Data!K1400</f>
        <v>0</v>
      </c>
      <c r="G1400" s="12">
        <f t="shared" si="21"/>
        <v>0</v>
      </c>
    </row>
    <row r="1401" spans="2:7" ht="15" customHeight="1" x14ac:dyDescent="0.3">
      <c r="C1401" s="2"/>
      <c r="D1401" s="8">
        <v>2016</v>
      </c>
      <c r="E1401" s="14">
        <f>Data!N1401</f>
        <v>0</v>
      </c>
      <c r="F1401" s="14">
        <f>Data!K1401</f>
        <v>0</v>
      </c>
      <c r="G1401" s="12">
        <f t="shared" si="21"/>
        <v>0</v>
      </c>
    </row>
    <row r="1402" spans="2:7" ht="15" customHeight="1" x14ac:dyDescent="0.3">
      <c r="C1402" s="2"/>
      <c r="D1402" s="8">
        <v>2017</v>
      </c>
      <c r="E1402" s="14">
        <f>Data!N1402</f>
        <v>0</v>
      </c>
      <c r="F1402" s="14">
        <f>Data!K1402</f>
        <v>0</v>
      </c>
      <c r="G1402" s="12">
        <f t="shared" si="21"/>
        <v>0</v>
      </c>
    </row>
    <row r="1403" spans="2:7" ht="15" customHeight="1" x14ac:dyDescent="0.3">
      <c r="C1403" s="2"/>
      <c r="D1403" s="8">
        <v>2018</v>
      </c>
      <c r="E1403" s="14">
        <f>Data!N1403</f>
        <v>23323000000</v>
      </c>
      <c r="F1403" s="14">
        <f>Data!K1403</f>
        <v>351591000000</v>
      </c>
      <c r="G1403" s="12">
        <f t="shared" si="21"/>
        <v>6.6335600171790521E-2</v>
      </c>
    </row>
    <row r="1404" spans="2:7" ht="15" customHeight="1" x14ac:dyDescent="0.3">
      <c r="C1404" s="2"/>
      <c r="D1404" s="8">
        <v>2019</v>
      </c>
      <c r="E1404" s="14">
        <f>Data!N1404</f>
        <v>21274000000</v>
      </c>
      <c r="F1404" s="14">
        <f>Data!K1404</f>
        <v>495110000000</v>
      </c>
      <c r="G1404" s="12">
        <f t="shared" si="21"/>
        <v>4.2968229282381691E-2</v>
      </c>
    </row>
    <row r="1405" spans="2:7" ht="15" customHeight="1" x14ac:dyDescent="0.3">
      <c r="C1405" s="2"/>
      <c r="D1405" s="8">
        <v>2020</v>
      </c>
      <c r="E1405" s="14">
        <f>Data!N1405</f>
        <v>17904000000</v>
      </c>
      <c r="F1405" s="14">
        <f>Data!K1405</f>
        <v>217623000000</v>
      </c>
      <c r="G1405" s="12">
        <f t="shared" si="21"/>
        <v>8.2270715871024663E-2</v>
      </c>
    </row>
    <row r="1406" spans="2:7" ht="15" customHeight="1" x14ac:dyDescent="0.3">
      <c r="C1406" s="2"/>
      <c r="D1406" s="8">
        <v>2021</v>
      </c>
      <c r="E1406" s="14">
        <f>Data!N1406</f>
        <v>24732000000</v>
      </c>
      <c r="F1406" s="14">
        <f>Data!K1406</f>
        <v>242356000000</v>
      </c>
      <c r="G1406" s="12">
        <f t="shared" si="21"/>
        <v>0.10204822657578108</v>
      </c>
    </row>
    <row r="1407" spans="2:7" ht="15" customHeight="1" x14ac:dyDescent="0.3">
      <c r="C1407" s="2"/>
      <c r="D1407" s="8">
        <v>2022</v>
      </c>
      <c r="E1407" s="14">
        <f>Data!N1407</f>
        <v>29909000000</v>
      </c>
      <c r="F1407" s="14">
        <f>Data!K1407</f>
        <v>272266000000</v>
      </c>
      <c r="G1407" s="12">
        <f t="shared" si="21"/>
        <v>0.10985212990237489</v>
      </c>
    </row>
    <row r="1408" spans="2:7" ht="15" customHeight="1" x14ac:dyDescent="0.3">
      <c r="C1408" s="2"/>
      <c r="D1408" s="8">
        <v>2023</v>
      </c>
      <c r="E1408" s="14">
        <f>Data!N1408</f>
        <v>22628000000</v>
      </c>
      <c r="F1408" s="14">
        <f>Data!K1408</f>
        <v>294894000000</v>
      </c>
      <c r="G1408" s="12">
        <f t="shared" si="21"/>
        <v>7.6732656479955516E-2</v>
      </c>
    </row>
    <row r="1409" spans="2:7" ht="15" customHeight="1" x14ac:dyDescent="0.3">
      <c r="C1409" s="2"/>
      <c r="D1409" s="8">
        <v>2024</v>
      </c>
      <c r="E1409" s="14">
        <f>Data!N1409</f>
        <v>14218000000</v>
      </c>
      <c r="F1409" s="14">
        <f>Data!K1409</f>
        <v>309113000000</v>
      </c>
      <c r="G1409" s="12">
        <f t="shared" si="21"/>
        <v>4.5996124394638856E-2</v>
      </c>
    </row>
    <row r="1410" spans="2:7" ht="15" customHeight="1" x14ac:dyDescent="0.3">
      <c r="B1410" s="8">
        <v>129</v>
      </c>
      <c r="C1410" s="2" t="s">
        <v>87</v>
      </c>
      <c r="D1410" s="8">
        <v>2014</v>
      </c>
      <c r="E1410" s="14">
        <f>Data!N1410</f>
        <v>0</v>
      </c>
      <c r="F1410" s="14">
        <f>Data!K1410</f>
        <v>0</v>
      </c>
      <c r="G1410" s="12">
        <f t="shared" si="21"/>
        <v>0</v>
      </c>
    </row>
    <row r="1411" spans="2:7" ht="15" customHeight="1" x14ac:dyDescent="0.3">
      <c r="C1411" s="2"/>
      <c r="D1411" s="8">
        <v>2015</v>
      </c>
      <c r="E1411" s="14">
        <f>Data!N1411</f>
        <v>3914000000</v>
      </c>
      <c r="F1411" s="14">
        <f>Data!K1411</f>
        <v>152480000000</v>
      </c>
      <c r="G1411" s="12">
        <f t="shared" ref="G1411:G1474" si="22">IFERROR(E1411/F1411,0)</f>
        <v>2.5668940188877231E-2</v>
      </c>
    </row>
    <row r="1412" spans="2:7" ht="15" customHeight="1" x14ac:dyDescent="0.3">
      <c r="C1412" s="2"/>
      <c r="D1412" s="8">
        <v>2016</v>
      </c>
      <c r="E1412" s="14">
        <f>Data!N1412</f>
        <v>6404000000</v>
      </c>
      <c r="F1412" s="14">
        <f>Data!K1412</f>
        <v>183884000000</v>
      </c>
      <c r="G1412" s="12">
        <f t="shared" si="22"/>
        <v>3.4826303539187746E-2</v>
      </c>
    </row>
    <row r="1413" spans="2:7" ht="15" customHeight="1" x14ac:dyDescent="0.3">
      <c r="C1413" s="2"/>
      <c r="D1413" s="8">
        <v>2017</v>
      </c>
      <c r="E1413" s="14">
        <f>Data!N1413</f>
        <v>-260000000</v>
      </c>
      <c r="F1413" s="14">
        <f>Data!K1413</f>
        <v>569073000000</v>
      </c>
      <c r="G1413" s="12">
        <f t="shared" si="22"/>
        <v>-4.5688338754430453E-4</v>
      </c>
    </row>
    <row r="1414" spans="2:7" ht="15" customHeight="1" x14ac:dyDescent="0.3">
      <c r="C1414" s="2"/>
      <c r="D1414" s="8">
        <v>2018</v>
      </c>
      <c r="E1414" s="14">
        <f>Data!N1414</f>
        <v>10946000000</v>
      </c>
      <c r="F1414" s="14">
        <f>Data!K1414</f>
        <v>201470000000</v>
      </c>
      <c r="G1414" s="12">
        <f t="shared" si="22"/>
        <v>5.4330669578597307E-2</v>
      </c>
    </row>
    <row r="1415" spans="2:7" ht="15" customHeight="1" x14ac:dyDescent="0.3">
      <c r="C1415" s="2"/>
      <c r="D1415" s="8">
        <v>2019</v>
      </c>
      <c r="E1415" s="14">
        <f>Data!N1415</f>
        <v>5680000000</v>
      </c>
      <c r="F1415" s="14">
        <f>Data!K1415</f>
        <v>200900000000</v>
      </c>
      <c r="G1415" s="12">
        <f t="shared" si="22"/>
        <v>2.8272772523643602E-2</v>
      </c>
    </row>
    <row r="1416" spans="2:7" ht="15" customHeight="1" x14ac:dyDescent="0.3">
      <c r="C1416" s="2"/>
      <c r="D1416" s="8">
        <v>2020</v>
      </c>
      <c r="E1416" s="14">
        <f>Data!N1416</f>
        <v>2437000000</v>
      </c>
      <c r="F1416" s="14">
        <f>Data!K1416</f>
        <v>201022000000</v>
      </c>
      <c r="G1416" s="12">
        <f t="shared" si="22"/>
        <v>1.2123051208325457E-2</v>
      </c>
    </row>
    <row r="1417" spans="2:7" ht="15" customHeight="1" x14ac:dyDescent="0.3">
      <c r="C1417" s="2"/>
      <c r="D1417" s="8">
        <v>2021</v>
      </c>
      <c r="E1417" s="14">
        <f>Data!N1417</f>
        <v>14164000000</v>
      </c>
      <c r="F1417" s="14">
        <f>Data!K1417</f>
        <v>208685000000</v>
      </c>
      <c r="G1417" s="12">
        <f t="shared" si="22"/>
        <v>6.7872630998873903E-2</v>
      </c>
    </row>
    <row r="1418" spans="2:7" ht="15" customHeight="1" x14ac:dyDescent="0.3">
      <c r="C1418" s="2"/>
      <c r="D1418" s="8">
        <v>2022</v>
      </c>
      <c r="E1418" s="14">
        <f>Data!N1418</f>
        <v>10766000000</v>
      </c>
      <c r="F1418" s="14">
        <f>Data!K1418</f>
        <v>204452000000</v>
      </c>
      <c r="G1418" s="12">
        <f t="shared" si="22"/>
        <v>5.2657836558214155E-2</v>
      </c>
    </row>
    <row r="1419" spans="2:7" ht="15" customHeight="1" x14ac:dyDescent="0.3">
      <c r="C1419" s="2"/>
      <c r="D1419" s="8">
        <v>2023</v>
      </c>
      <c r="E1419" s="14">
        <f>Data!N1419</f>
        <v>41018000000</v>
      </c>
      <c r="F1419" s="14">
        <f>Data!K1419</f>
        <v>230220000000</v>
      </c>
      <c r="G1419" s="12">
        <f t="shared" si="22"/>
        <v>0.17816870819216402</v>
      </c>
    </row>
    <row r="1420" spans="2:7" ht="15" customHeight="1" x14ac:dyDescent="0.3">
      <c r="C1420" s="2"/>
      <c r="D1420" s="8">
        <v>2024</v>
      </c>
      <c r="E1420" s="14">
        <f>Data!N1420</f>
        <v>-4911000000</v>
      </c>
      <c r="F1420" s="14">
        <f>Data!K1420</f>
        <v>216759000000</v>
      </c>
      <c r="G1420" s="12">
        <f t="shared" si="22"/>
        <v>-2.2656498692095829E-2</v>
      </c>
    </row>
    <row r="1421" spans="2:7" ht="15" customHeight="1" x14ac:dyDescent="0.3">
      <c r="B1421" s="8">
        <v>130</v>
      </c>
      <c r="C1421" s="2" t="s">
        <v>113</v>
      </c>
      <c r="D1421" s="8">
        <v>2014</v>
      </c>
      <c r="E1421" s="14">
        <f>Data!N1421</f>
        <v>0</v>
      </c>
      <c r="F1421" s="14">
        <f>Data!K1421</f>
        <v>0</v>
      </c>
      <c r="G1421" s="12">
        <f t="shared" si="22"/>
        <v>0</v>
      </c>
    </row>
    <row r="1422" spans="2:7" ht="15" customHeight="1" x14ac:dyDescent="0.3">
      <c r="C1422" s="2"/>
      <c r="D1422" s="8">
        <v>2015</v>
      </c>
      <c r="E1422" s="14">
        <f>Data!N1422</f>
        <v>0</v>
      </c>
      <c r="F1422" s="14">
        <f>Data!K1422</f>
        <v>0</v>
      </c>
      <c r="G1422" s="12">
        <f t="shared" si="22"/>
        <v>0</v>
      </c>
    </row>
    <row r="1423" spans="2:7" ht="15" customHeight="1" x14ac:dyDescent="0.3">
      <c r="C1423" s="2"/>
      <c r="D1423" s="8">
        <v>2016</v>
      </c>
      <c r="E1423" s="14">
        <f>Data!N1423</f>
        <v>0</v>
      </c>
      <c r="F1423" s="14">
        <f>Data!K1423</f>
        <v>0</v>
      </c>
      <c r="G1423" s="12">
        <f t="shared" si="22"/>
        <v>0</v>
      </c>
    </row>
    <row r="1424" spans="2:7" ht="15" customHeight="1" x14ac:dyDescent="0.3">
      <c r="C1424" s="2"/>
      <c r="D1424" s="8">
        <v>2017</v>
      </c>
      <c r="E1424" s="14">
        <f>Data!N1424</f>
        <v>0</v>
      </c>
      <c r="F1424" s="14">
        <f>Data!K1424</f>
        <v>0</v>
      </c>
      <c r="G1424" s="12">
        <f t="shared" si="22"/>
        <v>0</v>
      </c>
    </row>
    <row r="1425" spans="2:7" ht="15" customHeight="1" x14ac:dyDescent="0.3">
      <c r="C1425" s="2"/>
      <c r="D1425" s="8">
        <v>2018</v>
      </c>
      <c r="E1425" s="14">
        <f>Data!N1425</f>
        <v>0</v>
      </c>
      <c r="F1425" s="14">
        <f>Data!K1425</f>
        <v>0</v>
      </c>
      <c r="G1425" s="12">
        <f t="shared" si="22"/>
        <v>0</v>
      </c>
    </row>
    <row r="1426" spans="2:7" ht="15" customHeight="1" x14ac:dyDescent="0.3">
      <c r="C1426" s="2"/>
      <c r="D1426" s="8">
        <v>2019</v>
      </c>
      <c r="E1426" s="14">
        <f>Data!N1426</f>
        <v>814000000</v>
      </c>
      <c r="F1426" s="14">
        <f>Data!K1426</f>
        <v>183568000000</v>
      </c>
      <c r="G1426" s="12">
        <f t="shared" si="22"/>
        <v>4.4343240651965486E-3</v>
      </c>
    </row>
    <row r="1427" spans="2:7" ht="15" customHeight="1" x14ac:dyDescent="0.3">
      <c r="C1427" s="2"/>
      <c r="D1427" s="8">
        <v>2020</v>
      </c>
      <c r="E1427" s="14">
        <f>Data!N1427</f>
        <v>-25009000000</v>
      </c>
      <c r="F1427" s="14">
        <f>Data!K1427</f>
        <v>143604000000</v>
      </c>
      <c r="G1427" s="12">
        <f t="shared" si="22"/>
        <v>-0.1741525305701791</v>
      </c>
    </row>
    <row r="1428" spans="2:7" ht="15" customHeight="1" x14ac:dyDescent="0.3">
      <c r="C1428" s="2"/>
      <c r="D1428" s="8">
        <v>2021</v>
      </c>
      <c r="E1428" s="14">
        <f>Data!N1428</f>
        <v>-123474000000</v>
      </c>
      <c r="F1428" s="14">
        <f>Data!K1428</f>
        <v>107672000000</v>
      </c>
      <c r="G1428" s="12">
        <f t="shared" si="22"/>
        <v>-1.1467605319860317</v>
      </c>
    </row>
    <row r="1429" spans="2:7" ht="15" customHeight="1" x14ac:dyDescent="0.3">
      <c r="C1429" s="2"/>
      <c r="D1429" s="8">
        <v>2022</v>
      </c>
      <c r="E1429" s="14">
        <f>Data!N1429</f>
        <v>-6667000000</v>
      </c>
      <c r="F1429" s="14">
        <f>Data!K1429</f>
        <v>65560000000</v>
      </c>
      <c r="G1429" s="12">
        <f t="shared" si="22"/>
        <v>-0.10169310555216596</v>
      </c>
    </row>
    <row r="1430" spans="2:7" ht="15" customHeight="1" x14ac:dyDescent="0.3">
      <c r="C1430" s="2"/>
      <c r="D1430" s="8">
        <v>2023</v>
      </c>
      <c r="E1430" s="14">
        <f>Data!N1430</f>
        <v>17617000000</v>
      </c>
      <c r="F1430" s="14">
        <f>Data!K1430</f>
        <v>133681000000</v>
      </c>
      <c r="G1430" s="12">
        <f t="shared" si="22"/>
        <v>0.1317838735497191</v>
      </c>
    </row>
    <row r="1431" spans="2:7" ht="15" customHeight="1" x14ac:dyDescent="0.3">
      <c r="C1431" s="2"/>
      <c r="D1431" s="8">
        <v>2024</v>
      </c>
      <c r="E1431" s="14">
        <f>Data!N1431</f>
        <v>1297000000</v>
      </c>
      <c r="F1431" s="14">
        <f>Data!K1431</f>
        <v>134630000000</v>
      </c>
      <c r="G1431" s="12">
        <f t="shared" si="22"/>
        <v>9.6338111862140675E-3</v>
      </c>
    </row>
    <row r="1432" spans="2:7" ht="15" customHeight="1" x14ac:dyDescent="0.3">
      <c r="B1432" s="8">
        <v>131</v>
      </c>
      <c r="C1432" s="2" t="s">
        <v>121</v>
      </c>
      <c r="D1432" s="8">
        <v>2014</v>
      </c>
      <c r="E1432" s="14">
        <f>Data!N1432</f>
        <v>0</v>
      </c>
      <c r="F1432" s="14">
        <f>Data!K1432</f>
        <v>0</v>
      </c>
      <c r="G1432" s="12">
        <f t="shared" si="22"/>
        <v>0</v>
      </c>
    </row>
    <row r="1433" spans="2:7" ht="15" customHeight="1" x14ac:dyDescent="0.3">
      <c r="C1433" s="2"/>
      <c r="D1433" s="8">
        <v>2015</v>
      </c>
      <c r="E1433" s="14">
        <f>Data!N1433</f>
        <v>66607000000</v>
      </c>
      <c r="F1433" s="14">
        <f>Data!K1433</f>
        <v>399103000000</v>
      </c>
      <c r="G1433" s="12">
        <f t="shared" si="22"/>
        <v>0.16689175476004942</v>
      </c>
    </row>
    <row r="1434" spans="2:7" ht="15" customHeight="1" x14ac:dyDescent="0.3">
      <c r="C1434" s="2"/>
      <c r="D1434" s="8">
        <v>2016</v>
      </c>
      <c r="E1434" s="14">
        <f>Data!N1434</f>
        <v>56491000000</v>
      </c>
      <c r="F1434" s="14">
        <f>Data!K1434</f>
        <v>575593000000</v>
      </c>
      <c r="G1434" s="12">
        <f t="shared" si="22"/>
        <v>9.814400105630193E-2</v>
      </c>
    </row>
    <row r="1435" spans="2:7" ht="15" customHeight="1" x14ac:dyDescent="0.3">
      <c r="C1435" s="2"/>
      <c r="D1435" s="8">
        <v>2017</v>
      </c>
      <c r="E1435" s="14">
        <f>Data!N1435</f>
        <v>-27944000000</v>
      </c>
      <c r="F1435" s="14">
        <f>Data!K1435</f>
        <v>697649000000</v>
      </c>
      <c r="G1435" s="12">
        <f t="shared" si="22"/>
        <v>-4.0054525986563443E-2</v>
      </c>
    </row>
    <row r="1436" spans="2:7" ht="15" customHeight="1" x14ac:dyDescent="0.3">
      <c r="C1436" s="2"/>
      <c r="D1436" s="8">
        <v>2018</v>
      </c>
      <c r="E1436" s="14">
        <f>Data!N1436</f>
        <v>32928000000</v>
      </c>
      <c r="F1436" s="14">
        <f>Data!K1436</f>
        <v>880577000000</v>
      </c>
      <c r="G1436" s="12">
        <f t="shared" si="22"/>
        <v>3.7393663472927413E-2</v>
      </c>
    </row>
    <row r="1437" spans="2:7" ht="15" customHeight="1" x14ac:dyDescent="0.3">
      <c r="C1437" s="2"/>
      <c r="D1437" s="8">
        <v>2019</v>
      </c>
      <c r="E1437" s="14">
        <f>Data!N1437</f>
        <v>88202000000</v>
      </c>
      <c r="F1437" s="14">
        <f>Data!K1437</f>
        <v>998779000000</v>
      </c>
      <c r="G1437" s="12">
        <f t="shared" si="22"/>
        <v>8.8309826297909746E-2</v>
      </c>
    </row>
    <row r="1438" spans="2:7" ht="15" customHeight="1" x14ac:dyDescent="0.3">
      <c r="C1438" s="2"/>
      <c r="D1438" s="8">
        <v>2020</v>
      </c>
      <c r="E1438" s="14">
        <f>Data!N1438</f>
        <v>106353000000</v>
      </c>
      <c r="F1438" s="14">
        <f>Data!K1438</f>
        <v>1105132000000</v>
      </c>
      <c r="G1438" s="12">
        <f t="shared" si="22"/>
        <v>9.6235562810596378E-2</v>
      </c>
    </row>
    <row r="1439" spans="2:7" ht="15" customHeight="1" x14ac:dyDescent="0.3">
      <c r="C1439" s="2"/>
      <c r="D1439" s="8">
        <v>2021</v>
      </c>
      <c r="E1439" s="14">
        <f>Data!N1439</f>
        <v>91639000000</v>
      </c>
      <c r="F1439" s="14">
        <f>Data!K1439</f>
        <v>1143205000000</v>
      </c>
      <c r="G1439" s="12">
        <f t="shared" si="22"/>
        <v>8.0159726383282087E-2</v>
      </c>
    </row>
    <row r="1440" spans="2:7" ht="15" customHeight="1" x14ac:dyDescent="0.3">
      <c r="C1440" s="2"/>
      <c r="D1440" s="8">
        <v>2022</v>
      </c>
      <c r="E1440" s="14">
        <f>Data!N1440</f>
        <v>66141000000</v>
      </c>
      <c r="F1440" s="14">
        <f>Data!K1440</f>
        <v>1152024000000</v>
      </c>
      <c r="G1440" s="12">
        <f t="shared" si="22"/>
        <v>5.7412866398616695E-2</v>
      </c>
    </row>
    <row r="1441" spans="2:7" ht="15" customHeight="1" x14ac:dyDescent="0.3">
      <c r="C1441" s="2"/>
      <c r="D1441" s="8">
        <v>2023</v>
      </c>
      <c r="E1441" s="14">
        <f>Data!N1441</f>
        <v>103002000000</v>
      </c>
      <c r="F1441" s="14">
        <f>Data!K1441</f>
        <v>1201036000000</v>
      </c>
      <c r="G1441" s="12">
        <f t="shared" si="22"/>
        <v>8.5760959704788198E-2</v>
      </c>
    </row>
    <row r="1442" spans="2:7" ht="15" customHeight="1" x14ac:dyDescent="0.3">
      <c r="C1442" s="2"/>
      <c r="D1442" s="8">
        <v>2024</v>
      </c>
      <c r="E1442" s="14">
        <f>Data!N1442</f>
        <v>155838000000</v>
      </c>
      <c r="F1442" s="14">
        <f>Data!K1442</f>
        <v>1289476000000</v>
      </c>
      <c r="G1442" s="12">
        <f t="shared" si="22"/>
        <v>0.1208537421402182</v>
      </c>
    </row>
    <row r="1443" spans="2:7" ht="15" customHeight="1" x14ac:dyDescent="0.3">
      <c r="B1443" s="8">
        <v>132</v>
      </c>
      <c r="C1443" s="2" t="s">
        <v>85</v>
      </c>
      <c r="D1443" s="8">
        <v>2014</v>
      </c>
      <c r="E1443" s="14">
        <f>Data!N1443</f>
        <v>0</v>
      </c>
      <c r="F1443" s="14">
        <f>Data!K1443</f>
        <v>0</v>
      </c>
      <c r="G1443" s="12">
        <f t="shared" si="22"/>
        <v>0</v>
      </c>
    </row>
    <row r="1444" spans="2:7" ht="15" customHeight="1" x14ac:dyDescent="0.3">
      <c r="C1444" s="2"/>
      <c r="D1444" s="8">
        <v>2015</v>
      </c>
      <c r="E1444" s="14">
        <f>Data!N1444</f>
        <v>0</v>
      </c>
      <c r="F1444" s="14">
        <f>Data!K1444</f>
        <v>0</v>
      </c>
      <c r="G1444" s="12">
        <f t="shared" si="22"/>
        <v>0</v>
      </c>
    </row>
    <row r="1445" spans="2:7" ht="15" customHeight="1" x14ac:dyDescent="0.3">
      <c r="C1445" s="2"/>
      <c r="D1445" s="8">
        <v>2016</v>
      </c>
      <c r="E1445" s="14">
        <f>Data!N1445</f>
        <v>-4551000000</v>
      </c>
      <c r="F1445" s="14">
        <f>Data!K1445</f>
        <v>154632000000</v>
      </c>
      <c r="G1445" s="12">
        <f t="shared" si="22"/>
        <v>-2.9431165606084123E-2</v>
      </c>
    </row>
    <row r="1446" spans="2:7" ht="15" customHeight="1" x14ac:dyDescent="0.3">
      <c r="C1446" s="2"/>
      <c r="D1446" s="8">
        <v>2017</v>
      </c>
      <c r="E1446" s="14">
        <f>Data!N1446</f>
        <v>1580000000</v>
      </c>
      <c r="F1446" s="14">
        <f>Data!K1446</f>
        <v>156213000000</v>
      </c>
      <c r="G1446" s="12">
        <f t="shared" si="22"/>
        <v>1.0114395088757017E-2</v>
      </c>
    </row>
    <row r="1447" spans="2:7" ht="15" customHeight="1" x14ac:dyDescent="0.3">
      <c r="C1447" s="2"/>
      <c r="D1447" s="8">
        <v>2018</v>
      </c>
      <c r="E1447" s="14">
        <f>Data!N1447</f>
        <v>4358000000</v>
      </c>
      <c r="F1447" s="14">
        <f>Data!K1447</f>
        <v>127752000000</v>
      </c>
      <c r="G1447" s="12">
        <f t="shared" si="22"/>
        <v>3.4112968877199577E-2</v>
      </c>
    </row>
    <row r="1448" spans="2:7" ht="15" customHeight="1" x14ac:dyDescent="0.3">
      <c r="C1448" s="2"/>
      <c r="D1448" s="8">
        <v>2019</v>
      </c>
      <c r="E1448" s="14">
        <f>Data!N1448</f>
        <v>4698000000</v>
      </c>
      <c r="F1448" s="14">
        <f>Data!K1448</f>
        <v>132450000000</v>
      </c>
      <c r="G1448" s="12">
        <f t="shared" si="22"/>
        <v>3.5469988674971691E-2</v>
      </c>
    </row>
    <row r="1449" spans="2:7" ht="15" customHeight="1" x14ac:dyDescent="0.3">
      <c r="C1449" s="2"/>
      <c r="D1449" s="8">
        <v>2020</v>
      </c>
      <c r="E1449" s="14">
        <f>Data!N1449</f>
        <v>8366000000</v>
      </c>
      <c r="F1449" s="14">
        <f>Data!K1449</f>
        <v>126595000000</v>
      </c>
      <c r="G1449" s="12">
        <f t="shared" si="22"/>
        <v>6.6084758481772587E-2</v>
      </c>
    </row>
    <row r="1450" spans="2:7" ht="15" customHeight="1" x14ac:dyDescent="0.3">
      <c r="C1450" s="2"/>
      <c r="D1450" s="8">
        <v>2021</v>
      </c>
      <c r="E1450" s="14">
        <f>Data!N1450</f>
        <v>12131000000</v>
      </c>
      <c r="F1450" s="14">
        <f>Data!K1450</f>
        <v>133551000000</v>
      </c>
      <c r="G1450" s="12">
        <f t="shared" si="22"/>
        <v>9.0834213147037463E-2</v>
      </c>
    </row>
    <row r="1451" spans="2:7" ht="15" customHeight="1" x14ac:dyDescent="0.3">
      <c r="C1451" s="2"/>
      <c r="D1451" s="8">
        <v>2022</v>
      </c>
      <c r="E1451" s="14">
        <f>Data!N1451</f>
        <v>-8607000000</v>
      </c>
      <c r="F1451" s="14">
        <f>Data!K1451</f>
        <v>124944000000</v>
      </c>
      <c r="G1451" s="12">
        <f t="shared" si="22"/>
        <v>-6.8886861313868619E-2</v>
      </c>
    </row>
    <row r="1452" spans="2:7" ht="15" customHeight="1" x14ac:dyDescent="0.3">
      <c r="C1452" s="2"/>
      <c r="D1452" s="8">
        <v>2023</v>
      </c>
      <c r="E1452" s="14">
        <f>Data!N1452</f>
        <v>-25582000000</v>
      </c>
      <c r="F1452" s="14">
        <f>Data!K1452</f>
        <v>132362000000</v>
      </c>
      <c r="G1452" s="12">
        <f t="shared" si="22"/>
        <v>-0.19327299375953824</v>
      </c>
    </row>
    <row r="1453" spans="2:7" ht="15" customHeight="1" x14ac:dyDescent="0.3">
      <c r="C1453" s="2"/>
      <c r="D1453" s="8">
        <v>2024</v>
      </c>
      <c r="E1453" s="14">
        <f>Data!N1453</f>
        <v>3497000000</v>
      </c>
      <c r="F1453" s="14">
        <f>Data!K1453</f>
        <v>167859000000</v>
      </c>
      <c r="G1453" s="12">
        <f t="shared" si="22"/>
        <v>2.0832960997027267E-2</v>
      </c>
    </row>
    <row r="1454" spans="2:7" ht="15" customHeight="1" x14ac:dyDescent="0.3">
      <c r="B1454" s="8">
        <v>133</v>
      </c>
      <c r="C1454" s="1" t="s">
        <v>126</v>
      </c>
      <c r="D1454" s="8">
        <v>2014</v>
      </c>
      <c r="E1454" s="14">
        <f>Data!N1454</f>
        <v>0</v>
      </c>
      <c r="F1454" s="14">
        <f>Data!K1454</f>
        <v>0</v>
      </c>
      <c r="G1454" s="12">
        <f t="shared" si="22"/>
        <v>0</v>
      </c>
    </row>
    <row r="1455" spans="2:7" ht="15" customHeight="1" x14ac:dyDescent="0.3">
      <c r="C1455" s="1"/>
      <c r="D1455" s="8">
        <v>2015</v>
      </c>
      <c r="E1455" s="14">
        <f>Data!N1455</f>
        <v>16972642756</v>
      </c>
      <c r="F1455" s="14">
        <f>Data!K1455</f>
        <v>164579537109</v>
      </c>
      <c r="G1455" s="12">
        <f t="shared" si="22"/>
        <v>0.10312729671100682</v>
      </c>
    </row>
    <row r="1456" spans="2:7" ht="15" customHeight="1" x14ac:dyDescent="0.3">
      <c r="C1456" s="1"/>
      <c r="D1456" s="8">
        <v>2016</v>
      </c>
      <c r="E1456" s="14">
        <f>Data!N1456</f>
        <v>7992365154</v>
      </c>
      <c r="F1456" s="14">
        <f>Data!K1456</f>
        <v>167266283353</v>
      </c>
      <c r="G1456" s="12">
        <f t="shared" si="22"/>
        <v>4.7782284593081162E-2</v>
      </c>
    </row>
    <row r="1457" spans="2:7" ht="15" customHeight="1" x14ac:dyDescent="0.3">
      <c r="C1457" s="1"/>
      <c r="D1457" s="8">
        <v>2017</v>
      </c>
      <c r="E1457" s="14">
        <f>Data!N1457</f>
        <v>8814778660</v>
      </c>
      <c r="F1457" s="14">
        <f>Data!K1457</f>
        <v>189901877562</v>
      </c>
      <c r="G1457" s="12">
        <f t="shared" si="22"/>
        <v>4.641754348701535E-2</v>
      </c>
    </row>
    <row r="1458" spans="2:7" ht="15" customHeight="1" x14ac:dyDescent="0.3">
      <c r="C1458" s="1"/>
      <c r="D1458" s="8">
        <v>2018</v>
      </c>
      <c r="E1458" s="14">
        <f>Data!N1458</f>
        <v>3947657923</v>
      </c>
      <c r="F1458" s="14">
        <f>Data!K1458</f>
        <v>179728315478</v>
      </c>
      <c r="G1458" s="12">
        <f t="shared" si="22"/>
        <v>2.1964585338158475E-2</v>
      </c>
    </row>
    <row r="1459" spans="2:7" ht="15" customHeight="1" x14ac:dyDescent="0.3">
      <c r="C1459" s="1"/>
      <c r="D1459" s="8">
        <v>2019</v>
      </c>
      <c r="E1459" s="14">
        <f>Data!N1459</f>
        <v>21806030031</v>
      </c>
      <c r="F1459" s="14">
        <f>Data!K1459</f>
        <v>186332264743</v>
      </c>
      <c r="G1459" s="12">
        <f t="shared" si="22"/>
        <v>0.11702766593362728</v>
      </c>
    </row>
    <row r="1460" spans="2:7" ht="15" customHeight="1" x14ac:dyDescent="0.3">
      <c r="C1460" s="1"/>
      <c r="D1460" s="8">
        <v>2020</v>
      </c>
      <c r="E1460" s="14">
        <f>Data!N1460</f>
        <v>6211645756</v>
      </c>
      <c r="F1460" s="14">
        <f>Data!K1460</f>
        <v>184247090444</v>
      </c>
      <c r="G1460" s="12">
        <f t="shared" si="22"/>
        <v>3.3713670815811149E-2</v>
      </c>
    </row>
    <row r="1461" spans="2:7" ht="15" customHeight="1" x14ac:dyDescent="0.3">
      <c r="C1461" s="1"/>
      <c r="D1461" s="8">
        <v>2021</v>
      </c>
      <c r="E1461" s="14">
        <f>Data!N1461</f>
        <v>12309015432</v>
      </c>
      <c r="F1461" s="14">
        <f>Data!K1461</f>
        <v>240603959637</v>
      </c>
      <c r="G1461" s="12">
        <f t="shared" si="22"/>
        <v>5.1158823198797942E-2</v>
      </c>
    </row>
    <row r="1462" spans="2:7" ht="15" customHeight="1" x14ac:dyDescent="0.3">
      <c r="C1462" s="1"/>
      <c r="D1462" s="8">
        <v>2022</v>
      </c>
      <c r="E1462" s="14">
        <f>Data!N1462</f>
        <v>8663549352</v>
      </c>
      <c r="F1462" s="14">
        <f>Data!K1462</f>
        <v>186535177545</v>
      </c>
      <c r="G1462" s="12">
        <f t="shared" si="22"/>
        <v>4.6444587375000589E-2</v>
      </c>
    </row>
    <row r="1463" spans="2:7" ht="15" customHeight="1" x14ac:dyDescent="0.3">
      <c r="C1463" s="1"/>
      <c r="D1463" s="8">
        <v>2023</v>
      </c>
      <c r="E1463" s="14">
        <f>Data!N1463</f>
        <v>6479063389</v>
      </c>
      <c r="F1463" s="14">
        <f>Data!K1463</f>
        <v>153629532490</v>
      </c>
      <c r="G1463" s="12">
        <f t="shared" si="22"/>
        <v>4.2173293662933806E-2</v>
      </c>
    </row>
    <row r="1464" spans="2:7" ht="15" customHeight="1" x14ac:dyDescent="0.3">
      <c r="C1464" s="1"/>
      <c r="D1464" s="8">
        <v>2024</v>
      </c>
      <c r="E1464" s="14">
        <f>Data!N1464</f>
        <v>7006375716</v>
      </c>
      <c r="F1464" s="14">
        <f>Data!K1464</f>
        <v>152114722955</v>
      </c>
      <c r="G1464" s="12">
        <f t="shared" si="22"/>
        <v>4.6059813145586777E-2</v>
      </c>
    </row>
    <row r="1465" spans="2:7" ht="15" customHeight="1" x14ac:dyDescent="0.3">
      <c r="B1465" s="8">
        <v>134</v>
      </c>
      <c r="C1465" s="2" t="s">
        <v>95</v>
      </c>
      <c r="D1465" s="8">
        <v>2014</v>
      </c>
      <c r="E1465" s="14">
        <f>Data!N1465</f>
        <v>0</v>
      </c>
      <c r="F1465" s="14">
        <f>Data!K1465</f>
        <v>0</v>
      </c>
      <c r="G1465" s="12">
        <f t="shared" si="22"/>
        <v>0</v>
      </c>
    </row>
    <row r="1466" spans="2:7" ht="15" customHeight="1" x14ac:dyDescent="0.3">
      <c r="C1466" s="2"/>
      <c r="D1466" s="8">
        <v>2015</v>
      </c>
      <c r="E1466" s="14">
        <f>Data!N1466</f>
        <v>0</v>
      </c>
      <c r="F1466" s="14">
        <f>Data!K1466</f>
        <v>0</v>
      </c>
      <c r="G1466" s="12">
        <f t="shared" si="22"/>
        <v>0</v>
      </c>
    </row>
    <row r="1467" spans="2:7" ht="15" customHeight="1" x14ac:dyDescent="0.3">
      <c r="C1467" s="2"/>
      <c r="D1467" s="8">
        <v>2016</v>
      </c>
      <c r="E1467" s="14">
        <f>Data!N1467</f>
        <v>0</v>
      </c>
      <c r="F1467" s="14">
        <f>Data!K1467</f>
        <v>0</v>
      </c>
      <c r="G1467" s="12">
        <f t="shared" si="22"/>
        <v>0</v>
      </c>
    </row>
    <row r="1468" spans="2:7" ht="15" customHeight="1" x14ac:dyDescent="0.3">
      <c r="C1468" s="2"/>
      <c r="D1468" s="8">
        <v>2017</v>
      </c>
      <c r="E1468" s="14">
        <f>Data!N1468</f>
        <v>0</v>
      </c>
      <c r="F1468" s="14">
        <f>Data!K1468</f>
        <v>0</v>
      </c>
      <c r="G1468" s="12">
        <f t="shared" si="22"/>
        <v>0</v>
      </c>
    </row>
    <row r="1469" spans="2:7" ht="15" customHeight="1" x14ac:dyDescent="0.3">
      <c r="C1469" s="2"/>
      <c r="D1469" s="8">
        <v>2018</v>
      </c>
      <c r="E1469" s="14">
        <f>Data!N1469</f>
        <v>0</v>
      </c>
      <c r="F1469" s="14">
        <f>Data!K1469</f>
        <v>0</v>
      </c>
      <c r="G1469" s="12">
        <f t="shared" si="22"/>
        <v>0</v>
      </c>
    </row>
    <row r="1470" spans="2:7" ht="15" customHeight="1" x14ac:dyDescent="0.3">
      <c r="C1470" s="2"/>
      <c r="D1470" s="8">
        <v>2019</v>
      </c>
      <c r="E1470" s="14">
        <f>Data!N1470</f>
        <v>0</v>
      </c>
      <c r="F1470" s="14">
        <f>Data!K1470</f>
        <v>0</v>
      </c>
      <c r="G1470" s="12">
        <f t="shared" si="22"/>
        <v>0</v>
      </c>
    </row>
    <row r="1471" spans="2:7" ht="15" customHeight="1" x14ac:dyDescent="0.3">
      <c r="C1471" s="2"/>
      <c r="D1471" s="8">
        <v>2020</v>
      </c>
      <c r="E1471" s="14">
        <f>Data!N1471</f>
        <v>306194000000</v>
      </c>
      <c r="F1471" s="14">
        <f>Data!K1471</f>
        <v>4560376000000</v>
      </c>
      <c r="G1471" s="12">
        <f t="shared" si="22"/>
        <v>6.7142270725045472E-2</v>
      </c>
    </row>
    <row r="1472" spans="2:7" ht="15" customHeight="1" x14ac:dyDescent="0.3">
      <c r="C1472" s="2"/>
      <c r="D1472" s="8">
        <v>2021</v>
      </c>
      <c r="E1472" s="14">
        <f>Data!N1472</f>
        <v>206880000000</v>
      </c>
      <c r="F1472" s="14">
        <f>Data!K1472</f>
        <v>4328120000000</v>
      </c>
      <c r="G1472" s="12">
        <f t="shared" si="22"/>
        <v>4.7799044388787744E-2</v>
      </c>
    </row>
    <row r="1473" spans="1:7" ht="15" customHeight="1" x14ac:dyDescent="0.3">
      <c r="C1473" s="2"/>
      <c r="D1473" s="8">
        <v>2022</v>
      </c>
      <c r="E1473" s="14">
        <f>Data!N1473</f>
        <v>151760000000</v>
      </c>
      <c r="F1473" s="14">
        <f>Data!K1473</f>
        <v>4382880000000</v>
      </c>
      <c r="G1473" s="12">
        <f t="shared" si="22"/>
        <v>3.4625634286131496E-2</v>
      </c>
    </row>
    <row r="1474" spans="1:7" ht="15" customHeight="1" x14ac:dyDescent="0.3">
      <c r="C1474" s="2"/>
      <c r="D1474" s="8">
        <v>2023</v>
      </c>
      <c r="E1474" s="14">
        <f>Data!N1474</f>
        <v>97702000000</v>
      </c>
      <c r="F1474" s="14">
        <f>Data!K1474</f>
        <v>4373842000000</v>
      </c>
      <c r="G1474" s="12">
        <f t="shared" si="22"/>
        <v>2.2337798210360593E-2</v>
      </c>
    </row>
    <row r="1475" spans="1:7" ht="15" customHeight="1" x14ac:dyDescent="0.3">
      <c r="C1475" s="2"/>
      <c r="D1475" s="8">
        <v>2024</v>
      </c>
      <c r="E1475" s="14">
        <f>Data!N1475</f>
        <v>116691000000</v>
      </c>
      <c r="F1475" s="14">
        <f>Data!K1475</f>
        <v>4430613000000</v>
      </c>
      <c r="G1475" s="12">
        <f t="shared" ref="G1475:G1538" si="23">IFERROR(E1475/F1475,0)</f>
        <v>2.6337439085742764E-2</v>
      </c>
    </row>
    <row r="1476" spans="1:7" ht="15" customHeight="1" x14ac:dyDescent="0.3">
      <c r="B1476" s="8">
        <v>135</v>
      </c>
      <c r="C1476" s="1" t="s">
        <v>133</v>
      </c>
      <c r="D1476" s="8">
        <v>2014</v>
      </c>
      <c r="E1476" s="14">
        <f>Data!N1476</f>
        <v>0</v>
      </c>
      <c r="F1476" s="14">
        <f>Data!K1476</f>
        <v>0</v>
      </c>
      <c r="G1476" s="12">
        <f t="shared" si="23"/>
        <v>0</v>
      </c>
    </row>
    <row r="1477" spans="1:7" ht="15" customHeight="1" x14ac:dyDescent="0.3">
      <c r="C1477" s="1"/>
      <c r="D1477" s="8">
        <v>2015</v>
      </c>
      <c r="E1477" s="14">
        <f>Data!N1477</f>
        <v>0</v>
      </c>
      <c r="F1477" s="14">
        <f>Data!K1477</f>
        <v>0</v>
      </c>
      <c r="G1477" s="12">
        <f t="shared" si="23"/>
        <v>0</v>
      </c>
    </row>
    <row r="1478" spans="1:7" ht="15" customHeight="1" x14ac:dyDescent="0.3">
      <c r="C1478" s="1"/>
      <c r="D1478" s="8">
        <v>2016</v>
      </c>
      <c r="E1478" s="14">
        <f>Data!N1478</f>
        <v>0</v>
      </c>
      <c r="F1478" s="14">
        <f>Data!K1478</f>
        <v>0</v>
      </c>
      <c r="G1478" s="12">
        <f t="shared" si="23"/>
        <v>0</v>
      </c>
    </row>
    <row r="1479" spans="1:7" ht="15" customHeight="1" x14ac:dyDescent="0.3">
      <c r="C1479" s="1"/>
      <c r="D1479" s="8">
        <v>2017</v>
      </c>
      <c r="E1479" s="14">
        <f>Data!N1479</f>
        <v>0</v>
      </c>
      <c r="F1479" s="14">
        <f>Data!K1479</f>
        <v>0</v>
      </c>
      <c r="G1479" s="12">
        <f t="shared" si="23"/>
        <v>0</v>
      </c>
    </row>
    <row r="1480" spans="1:7" ht="15" customHeight="1" x14ac:dyDescent="0.3">
      <c r="C1480" s="1"/>
      <c r="D1480" s="8">
        <v>2018</v>
      </c>
      <c r="E1480" s="14">
        <f>Data!N1480</f>
        <v>0</v>
      </c>
      <c r="F1480" s="14">
        <f>Data!K1480</f>
        <v>0</v>
      </c>
      <c r="G1480" s="12">
        <f t="shared" si="23"/>
        <v>0</v>
      </c>
    </row>
    <row r="1481" spans="1:7" ht="15" customHeight="1" x14ac:dyDescent="0.3">
      <c r="C1481" s="1"/>
      <c r="D1481" s="8">
        <v>2019</v>
      </c>
      <c r="E1481" s="14">
        <f>Data!N1481</f>
        <v>0</v>
      </c>
      <c r="F1481" s="14">
        <f>Data!K1481</f>
        <v>0</v>
      </c>
      <c r="G1481" s="12">
        <f t="shared" si="23"/>
        <v>0</v>
      </c>
    </row>
    <row r="1482" spans="1:7" ht="15" customHeight="1" x14ac:dyDescent="0.3">
      <c r="C1482" s="1"/>
      <c r="D1482" s="8">
        <v>2020</v>
      </c>
      <c r="E1482" s="14">
        <f>Data!N1482</f>
        <v>20721000000</v>
      </c>
      <c r="F1482" s="14">
        <f>Data!K1482</f>
        <v>729917000000</v>
      </c>
      <c r="G1482" s="12">
        <f t="shared" si="23"/>
        <v>2.8388159201662655E-2</v>
      </c>
    </row>
    <row r="1483" spans="1:7" ht="15" customHeight="1" x14ac:dyDescent="0.3">
      <c r="C1483" s="1"/>
      <c r="D1483" s="8">
        <v>2021</v>
      </c>
      <c r="E1483" s="14">
        <f>Data!N1483</f>
        <v>-21011000000</v>
      </c>
      <c r="F1483" s="14">
        <f>Data!K1483</f>
        <v>333561000000</v>
      </c>
      <c r="G1483" s="12">
        <f t="shared" si="23"/>
        <v>-6.2989977845131773E-2</v>
      </c>
    </row>
    <row r="1484" spans="1:7" ht="15" customHeight="1" x14ac:dyDescent="0.3">
      <c r="C1484" s="1"/>
      <c r="D1484" s="8">
        <v>2022</v>
      </c>
      <c r="E1484" s="14">
        <f>Data!N1484</f>
        <v>5312000000</v>
      </c>
      <c r="F1484" s="14">
        <f>Data!K1484</f>
        <v>327988000000</v>
      </c>
      <c r="G1484" s="12">
        <f t="shared" si="23"/>
        <v>1.6195714477358927E-2</v>
      </c>
    </row>
    <row r="1485" spans="1:7" ht="15" customHeight="1" x14ac:dyDescent="0.3">
      <c r="C1485" s="1"/>
      <c r="D1485" s="8">
        <v>2023</v>
      </c>
      <c r="E1485" s="14">
        <f>Data!N1485</f>
        <v>15986000000</v>
      </c>
      <c r="F1485" s="14">
        <f>Data!K1485</f>
        <v>344301000000</v>
      </c>
      <c r="G1485" s="12">
        <f t="shared" si="23"/>
        <v>4.6430303716805933E-2</v>
      </c>
    </row>
    <row r="1486" spans="1:7" ht="15" customHeight="1" x14ac:dyDescent="0.3">
      <c r="C1486" s="1"/>
      <c r="D1486" s="8">
        <v>2024</v>
      </c>
      <c r="E1486" s="14">
        <f>Data!N1486</f>
        <v>43863000000</v>
      </c>
      <c r="F1486" s="14">
        <f>Data!K1486</f>
        <v>38586000000</v>
      </c>
      <c r="G1486" s="12">
        <f t="shared" si="23"/>
        <v>1.1367594464313482</v>
      </c>
    </row>
    <row r="1487" spans="1:7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Data!N1487</f>
        <v>0</v>
      </c>
      <c r="F1487" s="14">
        <f>Data!K1487</f>
        <v>0</v>
      </c>
      <c r="G1487" s="12">
        <f t="shared" si="23"/>
        <v>0</v>
      </c>
    </row>
    <row r="1488" spans="1:7" ht="15" customHeight="1" x14ac:dyDescent="0.3">
      <c r="C1488" s="1"/>
      <c r="D1488" s="8">
        <v>2015</v>
      </c>
      <c r="E1488" s="14">
        <f>Data!N1488</f>
        <v>0</v>
      </c>
      <c r="F1488" s="14">
        <f>Data!K1488</f>
        <v>0</v>
      </c>
      <c r="G1488" s="12">
        <f t="shared" si="23"/>
        <v>0</v>
      </c>
    </row>
    <row r="1489" spans="2:7" ht="15" customHeight="1" x14ac:dyDescent="0.3">
      <c r="C1489" s="1"/>
      <c r="D1489" s="8">
        <v>2016</v>
      </c>
      <c r="E1489" s="14">
        <f>Data!N1489</f>
        <v>0</v>
      </c>
      <c r="F1489" s="14">
        <f>Data!K1489</f>
        <v>0</v>
      </c>
      <c r="G1489" s="12">
        <f t="shared" si="23"/>
        <v>0</v>
      </c>
    </row>
    <row r="1490" spans="2:7" ht="15" customHeight="1" x14ac:dyDescent="0.3">
      <c r="C1490" s="1"/>
      <c r="D1490" s="8">
        <v>2017</v>
      </c>
      <c r="E1490" s="14">
        <f>Data!N1490</f>
        <v>0</v>
      </c>
      <c r="F1490" s="14">
        <f>Data!K1490</f>
        <v>0</v>
      </c>
      <c r="G1490" s="12">
        <f t="shared" si="23"/>
        <v>0</v>
      </c>
    </row>
    <row r="1491" spans="2:7" ht="15" customHeight="1" x14ac:dyDescent="0.3">
      <c r="C1491" s="1"/>
      <c r="D1491" s="8">
        <v>2018</v>
      </c>
      <c r="E1491" s="14">
        <f>Data!N1491</f>
        <v>0</v>
      </c>
      <c r="F1491" s="14">
        <f>Data!K1491</f>
        <v>0</v>
      </c>
      <c r="G1491" s="12">
        <f t="shared" si="23"/>
        <v>0</v>
      </c>
    </row>
    <row r="1492" spans="2:7" ht="15" customHeight="1" x14ac:dyDescent="0.3">
      <c r="C1492" s="1"/>
      <c r="D1492" s="8">
        <v>2019</v>
      </c>
      <c r="E1492" s="14">
        <f>Data!N1492</f>
        <v>0</v>
      </c>
      <c r="F1492" s="14">
        <f>Data!K1492</f>
        <v>0</v>
      </c>
      <c r="G1492" s="12">
        <f t="shared" si="23"/>
        <v>0</v>
      </c>
    </row>
    <row r="1493" spans="2:7" ht="15" customHeight="1" x14ac:dyDescent="0.3">
      <c r="C1493" s="1"/>
      <c r="D1493" s="8">
        <v>2020</v>
      </c>
      <c r="E1493" s="14">
        <f>Data!N1493</f>
        <v>0</v>
      </c>
      <c r="F1493" s="14">
        <f>Data!K1493</f>
        <v>0</v>
      </c>
      <c r="G1493" s="12">
        <f t="shared" si="23"/>
        <v>0</v>
      </c>
    </row>
    <row r="1494" spans="2:7" ht="15" customHeight="1" x14ac:dyDescent="0.3">
      <c r="C1494" s="1"/>
      <c r="D1494" s="8">
        <v>2021</v>
      </c>
      <c r="E1494" s="14">
        <f>Data!N1494</f>
        <v>0</v>
      </c>
      <c r="F1494" s="14">
        <f>Data!K1494</f>
        <v>0</v>
      </c>
      <c r="G1494" s="12">
        <f t="shared" si="23"/>
        <v>0</v>
      </c>
    </row>
    <row r="1495" spans="2:7" ht="15" customHeight="1" x14ac:dyDescent="0.3">
      <c r="C1495" s="1"/>
      <c r="D1495" s="8">
        <v>2022</v>
      </c>
      <c r="E1495" s="14">
        <f>Data!N1495</f>
        <v>5634000000</v>
      </c>
      <c r="F1495" s="14">
        <f>Data!K1495</f>
        <v>310790000000</v>
      </c>
      <c r="G1495" s="12">
        <f t="shared" si="23"/>
        <v>1.8127996396280446E-2</v>
      </c>
    </row>
    <row r="1496" spans="2:7" ht="15" customHeight="1" x14ac:dyDescent="0.3">
      <c r="C1496" s="1"/>
      <c r="D1496" s="8">
        <v>2023</v>
      </c>
      <c r="E1496" s="14">
        <f>Data!N1496</f>
        <v>19190000000</v>
      </c>
      <c r="F1496" s="14">
        <f>Data!K1496</f>
        <v>329980000000</v>
      </c>
      <c r="G1496" s="12">
        <f t="shared" si="23"/>
        <v>5.8155039699375723E-2</v>
      </c>
    </row>
    <row r="1497" spans="2:7" ht="15" customHeight="1" x14ac:dyDescent="0.3">
      <c r="C1497" s="1"/>
      <c r="D1497" s="8">
        <v>2024</v>
      </c>
      <c r="E1497" s="14">
        <f>Data!N1497</f>
        <v>44744000000</v>
      </c>
      <c r="F1497" s="14">
        <f>Data!K1497</f>
        <v>574724000000</v>
      </c>
      <c r="G1497" s="12">
        <f t="shared" si="23"/>
        <v>7.7853021624292709E-2</v>
      </c>
    </row>
    <row r="1498" spans="2:7" ht="15" customHeight="1" x14ac:dyDescent="0.3">
      <c r="B1498" s="8">
        <v>137</v>
      </c>
      <c r="C1498" s="1" t="s">
        <v>136</v>
      </c>
      <c r="D1498" s="8">
        <v>2014</v>
      </c>
      <c r="E1498" s="14">
        <f>Data!N1498</f>
        <v>0</v>
      </c>
      <c r="F1498" s="14">
        <f>Data!K1498</f>
        <v>0</v>
      </c>
      <c r="G1498" s="12">
        <f t="shared" si="23"/>
        <v>0</v>
      </c>
    </row>
    <row r="1499" spans="2:7" ht="15" customHeight="1" x14ac:dyDescent="0.3">
      <c r="C1499" s="1"/>
      <c r="D1499" s="8">
        <v>2015</v>
      </c>
      <c r="E1499" s="14">
        <f>Data!N1499</f>
        <v>0</v>
      </c>
      <c r="F1499" s="14">
        <f>Data!K1499</f>
        <v>0</v>
      </c>
      <c r="G1499" s="12">
        <f t="shared" si="23"/>
        <v>0</v>
      </c>
    </row>
    <row r="1500" spans="2:7" ht="15" customHeight="1" x14ac:dyDescent="0.3">
      <c r="C1500" s="1"/>
      <c r="D1500" s="8">
        <v>2016</v>
      </c>
      <c r="E1500" s="14">
        <f>Data!N1500</f>
        <v>142045000000</v>
      </c>
      <c r="F1500" s="14">
        <f>Data!K1500</f>
        <v>746339000000</v>
      </c>
      <c r="G1500" s="12">
        <f t="shared" si="23"/>
        <v>0.19032236021432619</v>
      </c>
    </row>
    <row r="1501" spans="2:7" ht="15" customHeight="1" x14ac:dyDescent="0.3">
      <c r="C1501" s="1"/>
      <c r="D1501" s="8">
        <v>2017</v>
      </c>
      <c r="E1501" s="14">
        <f>Data!N1501</f>
        <v>167828000000</v>
      </c>
      <c r="F1501" s="14">
        <f>Data!K1501</f>
        <v>1356933000000</v>
      </c>
      <c r="G1501" s="12">
        <f t="shared" si="23"/>
        <v>0.12368186196370787</v>
      </c>
    </row>
    <row r="1502" spans="2:7" ht="15" customHeight="1" x14ac:dyDescent="0.3">
      <c r="C1502" s="1"/>
      <c r="D1502" s="8">
        <v>2018</v>
      </c>
      <c r="E1502" s="14">
        <f>Data!N1502</f>
        <v>82022000000</v>
      </c>
      <c r="F1502" s="14">
        <f>Data!K1502</f>
        <v>1410477000000</v>
      </c>
      <c r="G1502" s="12">
        <f t="shared" si="23"/>
        <v>5.8151958521833393E-2</v>
      </c>
    </row>
    <row r="1503" spans="2:7" ht="15" customHeight="1" x14ac:dyDescent="0.3">
      <c r="C1503" s="1"/>
      <c r="D1503" s="8">
        <v>2019</v>
      </c>
      <c r="E1503" s="14">
        <f>Data!N1503</f>
        <v>210499000000</v>
      </c>
      <c r="F1503" s="14">
        <f>Data!K1503</f>
        <v>1595086000000</v>
      </c>
      <c r="G1503" s="12">
        <f t="shared" si="23"/>
        <v>0.13196717919911527</v>
      </c>
    </row>
    <row r="1504" spans="2:7" ht="15" customHeight="1" x14ac:dyDescent="0.3">
      <c r="C1504" s="1"/>
      <c r="D1504" s="8">
        <v>2020</v>
      </c>
      <c r="E1504" s="14">
        <f>Data!N1504</f>
        <v>186603000000</v>
      </c>
      <c r="F1504" s="14">
        <f>Data!K1504</f>
        <v>1755800000000</v>
      </c>
      <c r="G1504" s="12">
        <f t="shared" si="23"/>
        <v>0.10627804989178721</v>
      </c>
    </row>
    <row r="1505" spans="2:7" ht="15" customHeight="1" x14ac:dyDescent="0.3">
      <c r="C1505" s="1"/>
      <c r="D1505" s="8">
        <v>2021</v>
      </c>
      <c r="E1505" s="14">
        <f>Data!N1505</f>
        <v>-346893000000</v>
      </c>
      <c r="F1505" s="14">
        <f>Data!K1505</f>
        <v>1383017000000</v>
      </c>
      <c r="G1505" s="12">
        <f t="shared" si="23"/>
        <v>-0.25082338105749963</v>
      </c>
    </row>
    <row r="1506" spans="2:7" ht="15" customHeight="1" x14ac:dyDescent="0.3">
      <c r="C1506" s="1"/>
      <c r="D1506" s="8">
        <v>2022</v>
      </c>
      <c r="E1506" s="14">
        <f>Data!N1506</f>
        <v>12582000000</v>
      </c>
      <c r="F1506" s="14">
        <f>Data!K1506</f>
        <v>1396966000000</v>
      </c>
      <c r="G1506" s="12">
        <f t="shared" si="23"/>
        <v>9.0066615794514686E-3</v>
      </c>
    </row>
    <row r="1507" spans="2:7" ht="15" customHeight="1" x14ac:dyDescent="0.3">
      <c r="C1507" s="1"/>
      <c r="D1507" s="8">
        <v>2023</v>
      </c>
      <c r="E1507" s="14">
        <f>Data!N1507</f>
        <v>57570000000</v>
      </c>
      <c r="F1507" s="14">
        <f>Data!K1507</f>
        <v>1446969000000</v>
      </c>
      <c r="G1507" s="12">
        <f t="shared" si="23"/>
        <v>3.9786616022872638E-2</v>
      </c>
    </row>
    <row r="1508" spans="2:7" ht="15" customHeight="1" x14ac:dyDescent="0.3">
      <c r="C1508" s="1"/>
      <c r="D1508" s="8">
        <v>2024</v>
      </c>
      <c r="E1508" s="14">
        <f>Data!N1508</f>
        <v>13831000000</v>
      </c>
      <c r="F1508" s="14">
        <f>Data!K1508</f>
        <v>1453202000000</v>
      </c>
      <c r="G1508" s="12">
        <f t="shared" si="23"/>
        <v>9.517603196252139E-3</v>
      </c>
    </row>
    <row r="1509" spans="2:7" ht="15" customHeight="1" x14ac:dyDescent="0.3">
      <c r="B1509" s="8">
        <v>138</v>
      </c>
      <c r="C1509" s="1" t="s">
        <v>143</v>
      </c>
      <c r="D1509" s="8">
        <v>2014</v>
      </c>
      <c r="E1509" s="14">
        <f>Data!N1509</f>
        <v>0</v>
      </c>
      <c r="F1509" s="14">
        <f>Data!K1509</f>
        <v>0</v>
      </c>
      <c r="G1509" s="12">
        <f t="shared" si="23"/>
        <v>0</v>
      </c>
    </row>
    <row r="1510" spans="2:7" ht="15" customHeight="1" x14ac:dyDescent="0.3">
      <c r="C1510" s="1"/>
      <c r="D1510" s="8">
        <v>2015</v>
      </c>
      <c r="E1510" s="14">
        <f>Data!N1510</f>
        <v>0</v>
      </c>
      <c r="F1510" s="14">
        <f>Data!K1510</f>
        <v>0</v>
      </c>
      <c r="G1510" s="12">
        <f t="shared" si="23"/>
        <v>0</v>
      </c>
    </row>
    <row r="1511" spans="2:7" ht="15" customHeight="1" x14ac:dyDescent="0.3">
      <c r="C1511" s="1"/>
      <c r="D1511" s="8">
        <v>2016</v>
      </c>
      <c r="E1511" s="14">
        <f>Data!N1511</f>
        <v>0</v>
      </c>
      <c r="F1511" s="14">
        <f>Data!K1511</f>
        <v>0</v>
      </c>
      <c r="G1511" s="12">
        <f t="shared" si="23"/>
        <v>0</v>
      </c>
    </row>
    <row r="1512" spans="2:7" ht="15" customHeight="1" x14ac:dyDescent="0.3">
      <c r="C1512" s="1"/>
      <c r="D1512" s="8">
        <v>2017</v>
      </c>
      <c r="E1512" s="14">
        <f>Data!N1512</f>
        <v>0</v>
      </c>
      <c r="F1512" s="14">
        <f>Data!K1512</f>
        <v>0</v>
      </c>
      <c r="G1512" s="12">
        <f t="shared" si="23"/>
        <v>0</v>
      </c>
    </row>
    <row r="1513" spans="2:7" ht="15" customHeight="1" x14ac:dyDescent="0.3">
      <c r="C1513" s="1"/>
      <c r="D1513" s="8">
        <v>2018</v>
      </c>
      <c r="E1513" s="14">
        <f>Data!N1513</f>
        <v>0</v>
      </c>
      <c r="F1513" s="14">
        <f>Data!K1513</f>
        <v>0</v>
      </c>
      <c r="G1513" s="12">
        <f t="shared" si="23"/>
        <v>0</v>
      </c>
    </row>
    <row r="1514" spans="2:7" ht="15" customHeight="1" x14ac:dyDescent="0.3">
      <c r="C1514" s="1"/>
      <c r="D1514" s="8">
        <v>2019</v>
      </c>
      <c r="E1514" s="14">
        <f>Data!N1514</f>
        <v>0</v>
      </c>
      <c r="F1514" s="14">
        <f>Data!K1514</f>
        <v>0</v>
      </c>
      <c r="G1514" s="12">
        <f t="shared" si="23"/>
        <v>0</v>
      </c>
    </row>
    <row r="1515" spans="2:7" ht="15" customHeight="1" x14ac:dyDescent="0.3">
      <c r="C1515" s="1"/>
      <c r="D1515" s="8">
        <v>2020</v>
      </c>
      <c r="E1515" s="14">
        <f>Data!N1515</f>
        <v>0</v>
      </c>
      <c r="F1515" s="14">
        <f>Data!K1515</f>
        <v>0</v>
      </c>
      <c r="G1515" s="12">
        <f t="shared" si="23"/>
        <v>0</v>
      </c>
    </row>
    <row r="1516" spans="2:7" ht="15" customHeight="1" x14ac:dyDescent="0.3">
      <c r="C1516" s="1"/>
      <c r="D1516" s="8">
        <v>2021</v>
      </c>
      <c r="E1516" s="14">
        <f>Data!N1516</f>
        <v>0</v>
      </c>
      <c r="F1516" s="14">
        <f>Data!K1516</f>
        <v>0</v>
      </c>
      <c r="G1516" s="12">
        <f t="shared" si="23"/>
        <v>0</v>
      </c>
    </row>
    <row r="1517" spans="2:7" ht="15" customHeight="1" x14ac:dyDescent="0.3">
      <c r="C1517" s="1"/>
      <c r="D1517" s="8">
        <v>2022</v>
      </c>
      <c r="E1517" s="14">
        <f>Data!N1517</f>
        <v>0</v>
      </c>
      <c r="F1517" s="14">
        <f>Data!K1517</f>
        <v>0</v>
      </c>
      <c r="G1517" s="12">
        <f t="shared" si="23"/>
        <v>0</v>
      </c>
    </row>
    <row r="1518" spans="2:7" ht="15" customHeight="1" x14ac:dyDescent="0.3">
      <c r="C1518" s="1"/>
      <c r="D1518" s="8">
        <v>2023</v>
      </c>
      <c r="E1518" s="14">
        <f>Data!N1518</f>
        <v>0</v>
      </c>
      <c r="F1518" s="14">
        <f>Data!K1518</f>
        <v>0</v>
      </c>
      <c r="G1518" s="12">
        <f t="shared" si="23"/>
        <v>0</v>
      </c>
    </row>
    <row r="1519" spans="2:7" ht="15" customHeight="1" x14ac:dyDescent="0.3">
      <c r="C1519" s="1"/>
      <c r="D1519" s="8">
        <v>2024</v>
      </c>
      <c r="E1519" s="14">
        <f>Data!N1519</f>
        <v>14542000000</v>
      </c>
      <c r="F1519" s="14">
        <f>Data!K1519</f>
        <v>519681000000</v>
      </c>
      <c r="G1519" s="12">
        <f t="shared" si="23"/>
        <v>2.7982550834069361E-2</v>
      </c>
    </row>
    <row r="1520" spans="2:7" ht="15" customHeight="1" x14ac:dyDescent="0.3">
      <c r="B1520" s="8">
        <v>139</v>
      </c>
      <c r="C1520" s="1" t="s">
        <v>137</v>
      </c>
      <c r="D1520" s="8">
        <v>2014</v>
      </c>
      <c r="E1520" s="14">
        <f>Data!N1520</f>
        <v>0</v>
      </c>
      <c r="F1520" s="14">
        <f>Data!K1520</f>
        <v>0</v>
      </c>
      <c r="G1520" s="12">
        <f t="shared" si="23"/>
        <v>0</v>
      </c>
    </row>
    <row r="1521" spans="2:7" ht="15" customHeight="1" x14ac:dyDescent="0.3">
      <c r="C1521" s="1"/>
      <c r="D1521" s="8">
        <v>2015</v>
      </c>
      <c r="E1521" s="14">
        <f>Data!N1521</f>
        <v>209694606317</v>
      </c>
      <c r="F1521" s="14">
        <f>Data!K1521</f>
        <v>1898113138423</v>
      </c>
      <c r="G1521" s="12">
        <f t="shared" si="23"/>
        <v>0.1104752936335605</v>
      </c>
    </row>
    <row r="1522" spans="2:7" ht="15" customHeight="1" x14ac:dyDescent="0.3">
      <c r="C1522" s="1"/>
      <c r="D1522" s="8">
        <v>2016</v>
      </c>
      <c r="E1522" s="14">
        <f>Data!N1522</f>
        <v>266102522369</v>
      </c>
      <c r="F1522" s="14">
        <f>Data!K1522</f>
        <v>2350693719506</v>
      </c>
      <c r="G1522" s="12">
        <f t="shared" si="23"/>
        <v>0.11320169878401753</v>
      </c>
    </row>
    <row r="1523" spans="2:7" ht="15" customHeight="1" x14ac:dyDescent="0.3">
      <c r="C1523" s="1"/>
      <c r="D1523" s="8">
        <v>2017</v>
      </c>
      <c r="E1523" s="14">
        <f>Data!N1523</f>
        <v>155878629657</v>
      </c>
      <c r="F1523" s="14">
        <f>Data!K1523</f>
        <v>2883426635511</v>
      </c>
      <c r="G1523" s="12">
        <f t="shared" si="23"/>
        <v>5.4060203140689669E-2</v>
      </c>
    </row>
    <row r="1524" spans="2:7" ht="15" customHeight="1" x14ac:dyDescent="0.3">
      <c r="C1524" s="1"/>
      <c r="D1524" s="8">
        <v>2018</v>
      </c>
      <c r="E1524" s="14">
        <f>Data!N1524</f>
        <v>203386075809</v>
      </c>
      <c r="F1524" s="14">
        <f>Data!K1524</f>
        <v>2904915111549</v>
      </c>
      <c r="G1524" s="12">
        <f t="shared" si="23"/>
        <v>7.0014464450407848E-2</v>
      </c>
    </row>
    <row r="1525" spans="2:7" ht="15" customHeight="1" x14ac:dyDescent="0.3">
      <c r="C1525" s="1"/>
      <c r="D1525" s="8">
        <v>2019</v>
      </c>
      <c r="E1525" s="14">
        <f>Data!N1525</f>
        <v>219840490426</v>
      </c>
      <c r="F1525" s="14">
        <f>Data!K1525</f>
        <v>3226646237225</v>
      </c>
      <c r="G1525" s="12">
        <f t="shared" si="23"/>
        <v>6.8132814775216433E-2</v>
      </c>
    </row>
    <row r="1526" spans="2:7" ht="15" customHeight="1" x14ac:dyDescent="0.3">
      <c r="C1526" s="1"/>
      <c r="D1526" s="8">
        <v>2020</v>
      </c>
      <c r="E1526" s="14">
        <f>Data!N1526</f>
        <v>104051805294</v>
      </c>
      <c r="F1526" s="14">
        <f>Data!K1526</f>
        <v>3429623952147</v>
      </c>
      <c r="G1526" s="12">
        <f t="shared" si="23"/>
        <v>3.0339129521433944E-2</v>
      </c>
    </row>
    <row r="1527" spans="2:7" ht="15" customHeight="1" x14ac:dyDescent="0.3">
      <c r="C1527" s="1"/>
      <c r="D1527" s="8">
        <v>2021</v>
      </c>
      <c r="E1527" s="14">
        <f>Data!N1527</f>
        <v>-517856820373</v>
      </c>
      <c r="F1527" s="14">
        <f>Data!K1527</f>
        <v>2753378841543</v>
      </c>
      <c r="G1527" s="12">
        <f t="shared" si="23"/>
        <v>-0.18808048226403593</v>
      </c>
    </row>
    <row r="1528" spans="2:7" ht="15" customHeight="1" x14ac:dyDescent="0.3">
      <c r="C1528" s="1"/>
      <c r="D1528" s="8">
        <v>2022</v>
      </c>
      <c r="E1528" s="14">
        <f>Data!N1528</f>
        <v>-219018930068</v>
      </c>
      <c r="F1528" s="14">
        <f>Data!K1528</f>
        <v>2565043005932</v>
      </c>
      <c r="G1528" s="12">
        <f t="shared" si="23"/>
        <v>-8.5386065481744308E-2</v>
      </c>
    </row>
    <row r="1529" spans="2:7" ht="15" customHeight="1" x14ac:dyDescent="0.3">
      <c r="C1529" s="1"/>
      <c r="D1529" s="8">
        <v>2023</v>
      </c>
      <c r="E1529" s="14">
        <f>Data!N1529</f>
        <v>56040281607</v>
      </c>
      <c r="F1529" s="14">
        <f>Data!K1529</f>
        <v>2705717558920</v>
      </c>
      <c r="G1529" s="12">
        <f t="shared" si="23"/>
        <v>2.0711800247683185E-2</v>
      </c>
    </row>
    <row r="1530" spans="2:7" ht="15" customHeight="1" x14ac:dyDescent="0.3">
      <c r="C1530" s="1"/>
      <c r="D1530" s="8">
        <v>2024</v>
      </c>
      <c r="E1530" s="14">
        <f>Data!N1530</f>
        <v>72779413836</v>
      </c>
      <c r="F1530" s="14">
        <f>Data!K1530</f>
        <v>2525021331405</v>
      </c>
      <c r="G1530" s="12">
        <f t="shared" si="23"/>
        <v>2.8823286730612799E-2</v>
      </c>
    </row>
    <row r="1531" spans="2:7" ht="15" customHeight="1" x14ac:dyDescent="0.3">
      <c r="B1531" s="8">
        <v>140</v>
      </c>
      <c r="C1531" s="1" t="s">
        <v>139</v>
      </c>
      <c r="D1531" s="8">
        <v>2014</v>
      </c>
      <c r="E1531" s="14">
        <f>Data!N1531</f>
        <v>0</v>
      </c>
      <c r="F1531" s="14">
        <f>Data!K1531</f>
        <v>0</v>
      </c>
      <c r="G1531" s="12">
        <f t="shared" si="23"/>
        <v>0</v>
      </c>
    </row>
    <row r="1532" spans="2:7" ht="15" customHeight="1" x14ac:dyDescent="0.3">
      <c r="C1532" s="1"/>
      <c r="D1532" s="8">
        <v>2015</v>
      </c>
      <c r="E1532" s="14">
        <f>Data!N1532</f>
        <v>66633000000</v>
      </c>
      <c r="F1532" s="14">
        <f>Data!K1532</f>
        <v>313769000000</v>
      </c>
      <c r="G1532" s="12">
        <f t="shared" si="23"/>
        <v>0.21236323537379409</v>
      </c>
    </row>
    <row r="1533" spans="2:7" ht="15" customHeight="1" x14ac:dyDescent="0.3">
      <c r="C1533" s="1"/>
      <c r="D1533" s="8">
        <v>2016</v>
      </c>
      <c r="E1533" s="14">
        <f>Data!N1533</f>
        <v>69927000000</v>
      </c>
      <c r="F1533" s="14">
        <f>Data!K1533</f>
        <v>368773000000</v>
      </c>
      <c r="G1533" s="12">
        <f t="shared" si="23"/>
        <v>0.18962071518251064</v>
      </c>
    </row>
    <row r="1534" spans="2:7" ht="15" customHeight="1" x14ac:dyDescent="0.3">
      <c r="C1534" s="1"/>
      <c r="D1534" s="8">
        <v>2017</v>
      </c>
      <c r="E1534" s="14">
        <f>Data!N1534</f>
        <v>77253000000</v>
      </c>
      <c r="F1534" s="14">
        <f>Data!K1534</f>
        <v>430493000000</v>
      </c>
      <c r="G1534" s="12">
        <f t="shared" si="23"/>
        <v>0.17945239527704282</v>
      </c>
    </row>
    <row r="1535" spans="2:7" ht="15" customHeight="1" x14ac:dyDescent="0.3">
      <c r="C1535" s="1"/>
      <c r="D1535" s="8">
        <v>2018</v>
      </c>
      <c r="E1535" s="14">
        <f>Data!N1535</f>
        <v>27644000000</v>
      </c>
      <c r="F1535" s="14">
        <f>Data!K1535</f>
        <v>442690000000</v>
      </c>
      <c r="G1535" s="12">
        <f t="shared" si="23"/>
        <v>6.2445503625561907E-2</v>
      </c>
    </row>
    <row r="1536" spans="2:7" ht="15" customHeight="1" x14ac:dyDescent="0.3">
      <c r="C1536" s="1"/>
      <c r="D1536" s="8">
        <v>2019</v>
      </c>
      <c r="E1536" s="14">
        <f>Data!N1536</f>
        <v>65926000000</v>
      </c>
      <c r="F1536" s="14">
        <f>Data!K1536</f>
        <v>506656000000</v>
      </c>
      <c r="G1536" s="12">
        <f t="shared" si="23"/>
        <v>0.13011984462830797</v>
      </c>
    </row>
    <row r="1537" spans="2:7" ht="15" customHeight="1" x14ac:dyDescent="0.3">
      <c r="C1537" s="1"/>
      <c r="D1537" s="8">
        <v>2020</v>
      </c>
      <c r="E1537" s="14">
        <f>Data!N1537</f>
        <v>83480000000</v>
      </c>
      <c r="F1537" s="14">
        <f>Data!K1537</f>
        <v>583807000000</v>
      </c>
      <c r="G1537" s="12">
        <f t="shared" si="23"/>
        <v>0.142992461549793</v>
      </c>
    </row>
    <row r="1538" spans="2:7" ht="15" customHeight="1" x14ac:dyDescent="0.3">
      <c r="C1538" s="1"/>
      <c r="D1538" s="8">
        <v>2021</v>
      </c>
      <c r="E1538" s="14">
        <f>Data!N1538</f>
        <v>45576000000</v>
      </c>
      <c r="F1538" s="14">
        <f>Data!K1538</f>
        <v>621607000000</v>
      </c>
      <c r="G1538" s="12">
        <f t="shared" si="23"/>
        <v>7.3319637648868174E-2</v>
      </c>
    </row>
    <row r="1539" spans="2:7" ht="15" customHeight="1" x14ac:dyDescent="0.3">
      <c r="C1539" s="1"/>
      <c r="D1539" s="8">
        <v>2022</v>
      </c>
      <c r="E1539" s="14">
        <f>Data!N1539</f>
        <v>41034000000</v>
      </c>
      <c r="F1539" s="14">
        <f>Data!K1539</f>
        <v>658140000000</v>
      </c>
      <c r="G1539" s="12">
        <f t="shared" ref="G1539:G1602" si="24">IFERROR(E1539/F1539,0)</f>
        <v>6.2348436502871731E-2</v>
      </c>
    </row>
    <row r="1540" spans="2:7" ht="15" customHeight="1" x14ac:dyDescent="0.3">
      <c r="C1540" s="1"/>
      <c r="D1540" s="8">
        <v>2023</v>
      </c>
      <c r="E1540" s="14">
        <f>Data!N1540</f>
        <v>68886000000</v>
      </c>
      <c r="F1540" s="14">
        <f>Data!K1540</f>
        <v>725138000000</v>
      </c>
      <c r="G1540" s="12">
        <f t="shared" si="24"/>
        <v>9.4997090209036072E-2</v>
      </c>
    </row>
    <row r="1541" spans="2:7" ht="15" customHeight="1" x14ac:dyDescent="0.3">
      <c r="C1541" s="1"/>
      <c r="D1541" s="8">
        <v>2024</v>
      </c>
      <c r="E1541" s="14">
        <f>Data!N1541</f>
        <v>63889000000</v>
      </c>
      <c r="F1541" s="14">
        <f>Data!K1541</f>
        <v>772910000000</v>
      </c>
      <c r="G1541" s="12">
        <f t="shared" si="24"/>
        <v>8.2660335614754624E-2</v>
      </c>
    </row>
    <row r="1542" spans="2:7" ht="15" customHeight="1" x14ac:dyDescent="0.3">
      <c r="B1542" s="8">
        <v>141</v>
      </c>
      <c r="C1542" s="1" t="s">
        <v>140</v>
      </c>
      <c r="D1542" s="8">
        <v>2014</v>
      </c>
      <c r="E1542" s="14">
        <f>Data!N1542</f>
        <v>0</v>
      </c>
      <c r="F1542" s="14">
        <f>Data!K1542</f>
        <v>0</v>
      </c>
      <c r="G1542" s="12">
        <f t="shared" si="24"/>
        <v>0</v>
      </c>
    </row>
    <row r="1543" spans="2:7" ht="15" customHeight="1" x14ac:dyDescent="0.3">
      <c r="C1543" s="1"/>
      <c r="D1543" s="8">
        <v>2015</v>
      </c>
      <c r="E1543" s="14">
        <f>Data!N1543</f>
        <v>251072000000</v>
      </c>
      <c r="F1543" s="14">
        <f>Data!K1543</f>
        <v>1182824000000</v>
      </c>
      <c r="G1543" s="12">
        <f t="shared" si="24"/>
        <v>0.21226488471657659</v>
      </c>
    </row>
    <row r="1544" spans="2:7" ht="15" customHeight="1" x14ac:dyDescent="0.3">
      <c r="C1544" s="1"/>
      <c r="D1544" s="8">
        <v>2016</v>
      </c>
      <c r="E1544" s="14">
        <f>Data!N1544</f>
        <v>335612000000</v>
      </c>
      <c r="F1544" s="14">
        <f>Data!K1544</f>
        <v>1418496000000</v>
      </c>
      <c r="G1544" s="12">
        <f t="shared" si="24"/>
        <v>0.23659707182818987</v>
      </c>
    </row>
    <row r="1545" spans="2:7" ht="15" customHeight="1" x14ac:dyDescent="0.3">
      <c r="C1545" s="1"/>
      <c r="D1545" s="8">
        <v>2017</v>
      </c>
      <c r="E1545" s="14">
        <f>Data!N1545</f>
        <v>0</v>
      </c>
      <c r="F1545" s="14">
        <f>Data!K1545</f>
        <v>0</v>
      </c>
      <c r="G1545" s="12">
        <f t="shared" si="24"/>
        <v>0</v>
      </c>
    </row>
    <row r="1546" spans="2:7" ht="15" customHeight="1" x14ac:dyDescent="0.3">
      <c r="C1546" s="1"/>
      <c r="D1546" s="8">
        <v>2018</v>
      </c>
      <c r="E1546" s="14">
        <f>Data!N1546</f>
        <v>280005000000</v>
      </c>
      <c r="F1546" s="14">
        <f>Data!K1546</f>
        <v>1736159000000</v>
      </c>
      <c r="G1546" s="12">
        <f t="shared" si="24"/>
        <v>0.16127843129575115</v>
      </c>
    </row>
    <row r="1547" spans="2:7" ht="15" customHeight="1" x14ac:dyDescent="0.3">
      <c r="C1547" s="1"/>
      <c r="D1547" s="8">
        <v>2019</v>
      </c>
      <c r="E1547" s="14">
        <f>Data!N1547</f>
        <v>368029000000</v>
      </c>
      <c r="F1547" s="14">
        <f>Data!K1547</f>
        <v>1980138000000</v>
      </c>
      <c r="G1547" s="12">
        <f t="shared" si="24"/>
        <v>0.18586027842503905</v>
      </c>
    </row>
    <row r="1548" spans="2:7" ht="15" customHeight="1" x14ac:dyDescent="0.3">
      <c r="C1548" s="1"/>
      <c r="D1548" s="8">
        <v>2020</v>
      </c>
      <c r="E1548" s="14">
        <f>Data!N1548</f>
        <v>-542931000000</v>
      </c>
      <c r="F1548" s="14">
        <f>Data!K1548</f>
        <v>717821000000</v>
      </c>
      <c r="G1548" s="12">
        <f t="shared" si="24"/>
        <v>-0.75635987244730929</v>
      </c>
    </row>
    <row r="1549" spans="2:7" ht="15" customHeight="1" x14ac:dyDescent="0.3">
      <c r="C1549" s="1"/>
      <c r="D1549" s="8">
        <v>2021</v>
      </c>
      <c r="E1549" s="14">
        <f>Data!N1549</f>
        <v>-740433000000</v>
      </c>
      <c r="F1549" s="14">
        <f>Data!K1549</f>
        <v>6790000000</v>
      </c>
      <c r="G1549" s="12">
        <f t="shared" si="24"/>
        <v>-109.04756995581738</v>
      </c>
    </row>
    <row r="1550" spans="2:7" ht="15" customHeight="1" x14ac:dyDescent="0.3">
      <c r="C1550" s="1"/>
      <c r="D1550" s="8">
        <v>2022</v>
      </c>
      <c r="E1550" s="14">
        <f>Data!N1550</f>
        <v>170937000000</v>
      </c>
      <c r="F1550" s="14">
        <f>Data!K1550</f>
        <v>117320000000</v>
      </c>
      <c r="G1550" s="12">
        <f t="shared" si="24"/>
        <v>1.4570150017047392</v>
      </c>
    </row>
    <row r="1551" spans="2:7" ht="15" customHeight="1" x14ac:dyDescent="0.3">
      <c r="C1551" s="1"/>
      <c r="D1551" s="8">
        <v>2023</v>
      </c>
      <c r="E1551" s="14">
        <f>Data!N1551</f>
        <v>1228465000000</v>
      </c>
      <c r="F1551" s="14">
        <f>Data!K1551</f>
        <v>-3283000000</v>
      </c>
      <c r="G1551" s="12">
        <f t="shared" si="24"/>
        <v>-374.18976545842219</v>
      </c>
    </row>
    <row r="1552" spans="2:7" ht="15" customHeight="1" x14ac:dyDescent="0.3">
      <c r="C1552" s="1"/>
      <c r="D1552" s="8">
        <v>2024</v>
      </c>
      <c r="E1552" s="14">
        <f>Data!N1552</f>
        <v>-1418120000000</v>
      </c>
      <c r="F1552" s="14">
        <f>Data!K1552</f>
        <v>-2070885000000</v>
      </c>
      <c r="G1552" s="12">
        <f t="shared" si="24"/>
        <v>0.68478935334410163</v>
      </c>
    </row>
    <row r="1553" spans="2:7" ht="15" customHeight="1" x14ac:dyDescent="0.3">
      <c r="B1553" s="8">
        <v>142</v>
      </c>
      <c r="C1553" s="1" t="s">
        <v>138</v>
      </c>
      <c r="D1553" s="8">
        <v>2014</v>
      </c>
      <c r="E1553" s="14">
        <f>Data!N1553</f>
        <v>0</v>
      </c>
      <c r="F1553" s="14">
        <f>Data!K1553</f>
        <v>0</v>
      </c>
      <c r="G1553" s="12">
        <f t="shared" si="24"/>
        <v>0</v>
      </c>
    </row>
    <row r="1554" spans="2:7" ht="15" customHeight="1" x14ac:dyDescent="0.3">
      <c r="C1554" s="1"/>
      <c r="D1554" s="8">
        <v>2015</v>
      </c>
      <c r="E1554" s="14">
        <f>Data!N1556</f>
        <v>10204000000</v>
      </c>
      <c r="F1554" s="14">
        <f>Data!K1556</f>
        <v>310204000000</v>
      </c>
      <c r="G1554" s="12">
        <f t="shared" si="24"/>
        <v>3.2894482340653244E-2</v>
      </c>
    </row>
    <row r="1555" spans="2:7" ht="15" customHeight="1" x14ac:dyDescent="0.3">
      <c r="C1555" s="1"/>
      <c r="D1555" s="8">
        <v>2016</v>
      </c>
      <c r="E1555" s="14">
        <f>Data!N1555</f>
        <v>0</v>
      </c>
      <c r="F1555" s="14">
        <f>Data!K1555</f>
        <v>0</v>
      </c>
      <c r="G1555" s="12">
        <f t="shared" si="24"/>
        <v>0</v>
      </c>
    </row>
    <row r="1556" spans="2:7" ht="15" customHeight="1" x14ac:dyDescent="0.3">
      <c r="C1556" s="1"/>
      <c r="D1556" s="8">
        <v>2017</v>
      </c>
      <c r="E1556" s="14" t="e">
        <f>Data!#REF!</f>
        <v>#REF!</v>
      </c>
      <c r="F1556" s="14" t="e">
        <f>Data!#REF!</f>
        <v>#REF!</v>
      </c>
      <c r="G1556" s="12">
        <f t="shared" si="24"/>
        <v>0</v>
      </c>
    </row>
    <row r="1557" spans="2:7" ht="15" customHeight="1" x14ac:dyDescent="0.3">
      <c r="C1557" s="1"/>
      <c r="D1557" s="8">
        <v>2018</v>
      </c>
      <c r="E1557" s="14">
        <f>Data!N1558</f>
        <v>88635000000</v>
      </c>
      <c r="F1557" s="14">
        <f>Data!K1557</f>
        <v>0</v>
      </c>
      <c r="G1557" s="12">
        <f t="shared" si="24"/>
        <v>0</v>
      </c>
    </row>
    <row r="1558" spans="2:7" ht="15" customHeight="1" x14ac:dyDescent="0.3">
      <c r="C1558" s="1"/>
      <c r="D1558" s="8">
        <v>2019</v>
      </c>
      <c r="E1558" s="14" t="e">
        <f>Data!#REF!</f>
        <v>#REF!</v>
      </c>
      <c r="F1558" s="14">
        <f>Data!K1558</f>
        <v>452675000000</v>
      </c>
      <c r="G1558" s="12">
        <f t="shared" si="24"/>
        <v>0</v>
      </c>
    </row>
    <row r="1559" spans="2:7" ht="15" customHeight="1" x14ac:dyDescent="0.3">
      <c r="C1559" s="1"/>
      <c r="D1559" s="8">
        <v>2020</v>
      </c>
      <c r="E1559" s="14">
        <f>Data!N1559</f>
        <v>176521000000</v>
      </c>
      <c r="F1559" s="14">
        <f>Data!K1559</f>
        <v>629196000000</v>
      </c>
      <c r="G1559" s="12">
        <f t="shared" si="24"/>
        <v>0.28055009885631821</v>
      </c>
    </row>
    <row r="1560" spans="2:7" ht="15" customHeight="1" x14ac:dyDescent="0.3">
      <c r="C1560" s="1"/>
      <c r="D1560" s="8">
        <v>2021</v>
      </c>
      <c r="E1560" s="14">
        <f>Data!N1560</f>
        <v>50892000000</v>
      </c>
      <c r="F1560" s="14">
        <f>Data!K1560</f>
        <v>540088000000</v>
      </c>
      <c r="G1560" s="12">
        <f t="shared" si="24"/>
        <v>9.4229088592970037E-2</v>
      </c>
    </row>
    <row r="1561" spans="2:7" ht="15" customHeight="1" x14ac:dyDescent="0.3">
      <c r="C1561" s="1"/>
      <c r="D1561" s="8">
        <v>2022</v>
      </c>
      <c r="E1561" s="14">
        <f>Data!N1561</f>
        <v>46435000000</v>
      </c>
      <c r="F1561" s="14">
        <f>Data!K1561</f>
        <v>586522000000</v>
      </c>
      <c r="G1561" s="12">
        <f t="shared" si="24"/>
        <v>7.9170090806482962E-2</v>
      </c>
    </row>
    <row r="1562" spans="2:7" ht="15" customHeight="1" x14ac:dyDescent="0.3">
      <c r="C1562" s="1"/>
      <c r="D1562" s="8">
        <v>2023</v>
      </c>
      <c r="E1562" s="14">
        <f>Data!N1562</f>
        <v>92135000000</v>
      </c>
      <c r="F1562" s="14">
        <f>Data!K1562</f>
        <v>678658000000</v>
      </c>
      <c r="G1562" s="12">
        <f t="shared" si="24"/>
        <v>0.13576057454564744</v>
      </c>
    </row>
    <row r="1563" spans="2:7" ht="15" customHeight="1" x14ac:dyDescent="0.3">
      <c r="C1563" s="1"/>
      <c r="D1563" s="8">
        <v>2024</v>
      </c>
      <c r="E1563" s="14">
        <f>Data!N1563</f>
        <v>224803000000</v>
      </c>
      <c r="F1563" s="14">
        <f>Data!K1563</f>
        <v>903461000000</v>
      </c>
      <c r="G1563" s="12">
        <f t="shared" si="24"/>
        <v>0.24882424365855305</v>
      </c>
    </row>
    <row r="1564" spans="2:7" ht="15" customHeight="1" x14ac:dyDescent="0.3">
      <c r="B1564" s="8">
        <v>143</v>
      </c>
      <c r="C1564" s="1" t="s">
        <v>144</v>
      </c>
      <c r="D1564" s="8">
        <v>2014</v>
      </c>
      <c r="E1564" s="14">
        <f>Data!N1564</f>
        <v>0</v>
      </c>
      <c r="F1564" s="14">
        <f>Data!K1564</f>
        <v>0</v>
      </c>
      <c r="G1564" s="12">
        <f t="shared" si="24"/>
        <v>0</v>
      </c>
    </row>
    <row r="1565" spans="2:7" ht="15" customHeight="1" x14ac:dyDescent="0.3">
      <c r="C1565" s="1"/>
      <c r="D1565" s="8">
        <v>2015</v>
      </c>
      <c r="E1565" s="14">
        <f>Data!N1565</f>
        <v>0</v>
      </c>
      <c r="F1565" s="14">
        <f>Data!K1565</f>
        <v>0</v>
      </c>
      <c r="G1565" s="12">
        <f t="shared" si="24"/>
        <v>0</v>
      </c>
    </row>
    <row r="1566" spans="2:7" ht="15" customHeight="1" x14ac:dyDescent="0.3">
      <c r="C1566" s="1"/>
      <c r="D1566" s="8">
        <v>2016</v>
      </c>
      <c r="E1566" s="14">
        <f>Data!N1566</f>
        <v>0</v>
      </c>
      <c r="F1566" s="14">
        <f>Data!K1566</f>
        <v>0</v>
      </c>
      <c r="G1566" s="12">
        <f t="shared" si="24"/>
        <v>0</v>
      </c>
    </row>
    <row r="1567" spans="2:7" ht="15" customHeight="1" x14ac:dyDescent="0.3">
      <c r="C1567" s="1"/>
      <c r="D1567" s="8">
        <v>2017</v>
      </c>
      <c r="E1567" s="14">
        <f>Data!N1567</f>
        <v>0</v>
      </c>
      <c r="F1567" s="14">
        <f>Data!K1567</f>
        <v>0</v>
      </c>
      <c r="G1567" s="12">
        <f t="shared" si="24"/>
        <v>0</v>
      </c>
    </row>
    <row r="1568" spans="2:7" ht="15" customHeight="1" x14ac:dyDescent="0.3">
      <c r="C1568" s="1"/>
      <c r="D1568" s="8">
        <v>2018</v>
      </c>
      <c r="E1568" s="14">
        <f>Data!N1568</f>
        <v>0</v>
      </c>
      <c r="F1568" s="14">
        <f>Data!K1568</f>
        <v>0</v>
      </c>
      <c r="G1568" s="12">
        <f t="shared" si="24"/>
        <v>0</v>
      </c>
    </row>
    <row r="1569" spans="2:7" ht="15" customHeight="1" x14ac:dyDescent="0.3">
      <c r="C1569" s="1"/>
      <c r="D1569" s="8">
        <v>2019</v>
      </c>
      <c r="E1569" s="14">
        <f>Data!N1569</f>
        <v>0</v>
      </c>
      <c r="F1569" s="14">
        <f>Data!K1569</f>
        <v>0</v>
      </c>
      <c r="G1569" s="12">
        <f t="shared" si="24"/>
        <v>0</v>
      </c>
    </row>
    <row r="1570" spans="2:7" ht="15" customHeight="1" x14ac:dyDescent="0.3">
      <c r="C1570" s="1"/>
      <c r="D1570" s="8">
        <v>2020</v>
      </c>
      <c r="E1570" s="14">
        <f>Data!N1570</f>
        <v>0</v>
      </c>
      <c r="F1570" s="14">
        <f>Data!K1570</f>
        <v>0</v>
      </c>
      <c r="G1570" s="12">
        <f t="shared" si="24"/>
        <v>0</v>
      </c>
    </row>
    <row r="1571" spans="2:7" ht="15" customHeight="1" x14ac:dyDescent="0.3">
      <c r="C1571" s="1"/>
      <c r="D1571" s="8">
        <v>2021</v>
      </c>
      <c r="E1571" s="14">
        <f>Data!N1571</f>
        <v>0</v>
      </c>
      <c r="F1571" s="14">
        <f>Data!K1571</f>
        <v>0</v>
      </c>
      <c r="G1571" s="12">
        <f t="shared" si="24"/>
        <v>0</v>
      </c>
    </row>
    <row r="1572" spans="2:7" ht="15" customHeight="1" x14ac:dyDescent="0.3">
      <c r="C1572" s="1"/>
      <c r="D1572" s="8">
        <v>2022</v>
      </c>
      <c r="E1572" s="14">
        <f>Data!N1572</f>
        <v>0</v>
      </c>
      <c r="F1572" s="14">
        <f>Data!K1572</f>
        <v>0</v>
      </c>
      <c r="G1572" s="12">
        <f t="shared" si="24"/>
        <v>0</v>
      </c>
    </row>
    <row r="1573" spans="2:7" ht="15" customHeight="1" x14ac:dyDescent="0.3">
      <c r="C1573" s="1"/>
      <c r="D1573" s="8">
        <v>2023</v>
      </c>
      <c r="E1573" s="14">
        <f>Data!N1573</f>
        <v>0</v>
      </c>
      <c r="F1573" s="14">
        <f>Data!K1573</f>
        <v>0</v>
      </c>
      <c r="G1573" s="12">
        <f t="shared" si="24"/>
        <v>0</v>
      </c>
    </row>
    <row r="1574" spans="2:7" ht="15" customHeight="1" x14ac:dyDescent="0.3">
      <c r="C1574" s="1"/>
      <c r="D1574" s="8">
        <v>2024</v>
      </c>
      <c r="E1574" s="14">
        <f>Data!N1574</f>
        <v>0</v>
      </c>
      <c r="F1574" s="14">
        <f>Data!K1574</f>
        <v>0</v>
      </c>
      <c r="G1574" s="12">
        <f t="shared" si="24"/>
        <v>0</v>
      </c>
    </row>
    <row r="1575" spans="2:7" ht="15" customHeight="1" x14ac:dyDescent="0.3">
      <c r="B1575" s="8">
        <v>144</v>
      </c>
      <c r="C1575" s="1" t="s">
        <v>141</v>
      </c>
      <c r="D1575" s="8">
        <v>2014</v>
      </c>
      <c r="E1575" s="14">
        <f>Data!N1575</f>
        <v>0</v>
      </c>
      <c r="F1575" s="14">
        <f>Data!K1575</f>
        <v>0</v>
      </c>
      <c r="G1575" s="12">
        <f t="shared" si="24"/>
        <v>0</v>
      </c>
    </row>
    <row r="1576" spans="2:7" ht="15" customHeight="1" x14ac:dyDescent="0.3">
      <c r="C1576" s="1"/>
      <c r="D1576" s="8">
        <v>2015</v>
      </c>
      <c r="E1576" s="14">
        <f>Data!N1576</f>
        <v>0</v>
      </c>
      <c r="F1576" s="14">
        <f>Data!K1576</f>
        <v>0</v>
      </c>
      <c r="G1576" s="12">
        <f t="shared" si="24"/>
        <v>0</v>
      </c>
    </row>
    <row r="1577" spans="2:7" ht="15" customHeight="1" x14ac:dyDescent="0.3">
      <c r="C1577" s="1"/>
      <c r="D1577" s="8">
        <v>2016</v>
      </c>
      <c r="E1577" s="14">
        <f>Data!N1577</f>
        <v>0</v>
      </c>
      <c r="F1577" s="14">
        <f>Data!K1577</f>
        <v>0</v>
      </c>
      <c r="G1577" s="12">
        <f t="shared" si="24"/>
        <v>0</v>
      </c>
    </row>
    <row r="1578" spans="2:7" ht="15" customHeight="1" x14ac:dyDescent="0.3">
      <c r="C1578" s="1"/>
      <c r="D1578" s="8">
        <v>2017</v>
      </c>
      <c r="E1578" s="14">
        <f>Data!N1578</f>
        <v>238561000000</v>
      </c>
      <c r="F1578" s="14">
        <f>Data!K1578</f>
        <v>1057204000000</v>
      </c>
      <c r="G1578" s="12">
        <f t="shared" si="24"/>
        <v>0.22565275954309669</v>
      </c>
    </row>
    <row r="1579" spans="2:7" ht="15" customHeight="1" x14ac:dyDescent="0.3">
      <c r="C1579" s="1"/>
      <c r="D1579" s="8">
        <v>2018</v>
      </c>
      <c r="E1579" s="14">
        <f>Data!N1579</f>
        <v>-117523000000</v>
      </c>
      <c r="F1579" s="14">
        <f>Data!K1579</f>
        <v>913786000000</v>
      </c>
      <c r="G1579" s="12">
        <f t="shared" si="24"/>
        <v>-0.12861107524081131</v>
      </c>
    </row>
    <row r="1580" spans="2:7" ht="15" customHeight="1" x14ac:dyDescent="0.3">
      <c r="C1580" s="1"/>
      <c r="D1580" s="8">
        <v>2019</v>
      </c>
      <c r="E1580" s="14">
        <f>Data!N1580</f>
        <v>141595000000</v>
      </c>
      <c r="F1580" s="14">
        <f>Data!K1580</f>
        <v>1420444000000</v>
      </c>
      <c r="G1580" s="12">
        <f t="shared" si="24"/>
        <v>9.9683620051195257E-2</v>
      </c>
    </row>
    <row r="1581" spans="2:7" ht="15" customHeight="1" x14ac:dyDescent="0.3">
      <c r="C1581" s="1"/>
      <c r="D1581" s="8">
        <v>2020</v>
      </c>
      <c r="E1581" s="14">
        <f>Data!N1581</f>
        <v>18545000000</v>
      </c>
      <c r="F1581" s="14">
        <f>Data!K1581</f>
        <v>1406225000000</v>
      </c>
      <c r="G1581" s="12">
        <f t="shared" si="24"/>
        <v>1.3187790005155648E-2</v>
      </c>
    </row>
    <row r="1582" spans="2:7" ht="15" customHeight="1" x14ac:dyDescent="0.3">
      <c r="C1582" s="1"/>
      <c r="D1582" s="8">
        <v>2021</v>
      </c>
      <c r="E1582" s="14">
        <f>Data!N1582</f>
        <v>25318000000</v>
      </c>
      <c r="F1582" s="14">
        <f>Data!K1582</f>
        <v>1421543000000</v>
      </c>
      <c r="G1582" s="12">
        <f t="shared" si="24"/>
        <v>1.7810224523633827E-2</v>
      </c>
    </row>
    <row r="1583" spans="2:7" ht="15" customHeight="1" x14ac:dyDescent="0.3">
      <c r="C1583" s="1"/>
      <c r="D1583" s="8">
        <v>2022</v>
      </c>
      <c r="E1583" s="14">
        <f>Data!N1583</f>
        <v>92556000000</v>
      </c>
      <c r="F1583" s="14">
        <f>Data!K1583</f>
        <v>1503354000000</v>
      </c>
      <c r="G1583" s="12">
        <f t="shared" si="24"/>
        <v>6.1566337668972175E-2</v>
      </c>
    </row>
    <row r="1584" spans="2:7" ht="15" customHeight="1" x14ac:dyDescent="0.3">
      <c r="C1584" s="1"/>
      <c r="D1584" s="8">
        <v>2023</v>
      </c>
      <c r="E1584" s="14">
        <f>Data!N1584</f>
        <v>-35712000000</v>
      </c>
      <c r="F1584" s="14">
        <f>Data!K1584</f>
        <v>1437642000000</v>
      </c>
      <c r="G1584" s="12">
        <f t="shared" si="24"/>
        <v>-2.4840676607945512E-2</v>
      </c>
    </row>
    <row r="1585" spans="1:7" ht="15" customHeight="1" x14ac:dyDescent="0.3">
      <c r="C1585" s="1"/>
      <c r="D1585" s="8">
        <v>2024</v>
      </c>
      <c r="E1585" s="14">
        <f>Data!N1585</f>
        <v>86005000000</v>
      </c>
      <c r="F1585" s="14">
        <f>Data!K1585</f>
        <v>1523647000000</v>
      </c>
      <c r="G1585" s="12">
        <f t="shared" si="24"/>
        <v>5.644680165418893E-2</v>
      </c>
    </row>
    <row r="1586" spans="1:7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Data!N1586</f>
        <v>0</v>
      </c>
      <c r="F1586" s="14">
        <f>Data!K1586</f>
        <v>0</v>
      </c>
      <c r="G1586" s="12">
        <f t="shared" si="24"/>
        <v>0</v>
      </c>
    </row>
    <row r="1587" spans="1:7" ht="15" customHeight="1" x14ac:dyDescent="0.3">
      <c r="C1587" s="4"/>
      <c r="D1587" s="8">
        <v>2015</v>
      </c>
      <c r="E1587" s="14">
        <f>Data!N1587</f>
        <v>346716000000</v>
      </c>
      <c r="F1587" s="14">
        <f>Data!K1587</f>
        <v>1816023000000</v>
      </c>
      <c r="G1587" s="12">
        <f t="shared" si="24"/>
        <v>0.1909204894431403</v>
      </c>
    </row>
    <row r="1588" spans="1:7" ht="15" customHeight="1" x14ac:dyDescent="0.3">
      <c r="C1588" s="4"/>
      <c r="D1588" s="8">
        <v>2016</v>
      </c>
      <c r="E1588" s="14">
        <f>Data!N1588</f>
        <v>537628000000</v>
      </c>
      <c r="F1588" s="14">
        <f>Data!K1588</f>
        <v>1601114000000</v>
      </c>
      <c r="G1588" s="12">
        <f t="shared" si="24"/>
        <v>0.33578371059150069</v>
      </c>
    </row>
    <row r="1589" spans="1:7" ht="15" customHeight="1" x14ac:dyDescent="0.3">
      <c r="C1589" s="4"/>
      <c r="D1589" s="8">
        <v>2017</v>
      </c>
      <c r="E1589" s="14">
        <f>Data!N1589</f>
        <v>943811000000</v>
      </c>
      <c r="F1589" s="14">
        <f>Data!K1589</f>
        <v>1186576000000</v>
      </c>
      <c r="G1589" s="12">
        <f t="shared" si="24"/>
        <v>0.79540712099351407</v>
      </c>
    </row>
    <row r="1590" spans="1:7" ht="15" customHeight="1" x14ac:dyDescent="0.3">
      <c r="C1590" s="4"/>
      <c r="D1590" s="8">
        <v>2018</v>
      </c>
      <c r="E1590" s="14">
        <f>Data!N1590</f>
        <v>0</v>
      </c>
      <c r="F1590" s="14">
        <f>Data!K1590</f>
        <v>0</v>
      </c>
      <c r="G1590" s="12">
        <f t="shared" si="24"/>
        <v>0</v>
      </c>
    </row>
    <row r="1591" spans="1:7" ht="15" customHeight="1" x14ac:dyDescent="0.3">
      <c r="C1591" s="4"/>
      <c r="D1591" s="8">
        <v>2019</v>
      </c>
      <c r="E1591" s="14">
        <f>Data!N1591</f>
        <v>0</v>
      </c>
      <c r="F1591" s="14">
        <f>Data!K1591</f>
        <v>0</v>
      </c>
      <c r="G1591" s="12">
        <f t="shared" si="24"/>
        <v>0</v>
      </c>
    </row>
    <row r="1592" spans="1:7" ht="15" customHeight="1" x14ac:dyDescent="0.3">
      <c r="C1592" s="4"/>
      <c r="D1592" s="8">
        <v>2020</v>
      </c>
      <c r="E1592" s="14">
        <f>Data!N1592</f>
        <v>0</v>
      </c>
      <c r="F1592" s="14">
        <f>Data!K1592</f>
        <v>0</v>
      </c>
      <c r="G1592" s="12">
        <f t="shared" si="24"/>
        <v>0</v>
      </c>
    </row>
    <row r="1593" spans="1:7" ht="15" customHeight="1" x14ac:dyDescent="0.3">
      <c r="C1593" s="4"/>
      <c r="D1593" s="8">
        <v>2021</v>
      </c>
      <c r="E1593" s="14">
        <f>Data!N1593</f>
        <v>0</v>
      </c>
      <c r="F1593" s="14">
        <f>Data!K1593</f>
        <v>0</v>
      </c>
      <c r="G1593" s="12">
        <f t="shared" si="24"/>
        <v>0</v>
      </c>
    </row>
    <row r="1594" spans="1:7" ht="15" customHeight="1" x14ac:dyDescent="0.3">
      <c r="C1594" s="4"/>
      <c r="D1594" s="8">
        <v>2022</v>
      </c>
      <c r="E1594" s="14">
        <f>Data!N1594</f>
        <v>0</v>
      </c>
      <c r="F1594" s="14">
        <f>Data!K1594</f>
        <v>0</v>
      </c>
      <c r="G1594" s="12">
        <f t="shared" si="24"/>
        <v>0</v>
      </c>
    </row>
    <row r="1595" spans="1:7" ht="15" customHeight="1" x14ac:dyDescent="0.3">
      <c r="C1595" s="4"/>
      <c r="D1595" s="8">
        <v>2023</v>
      </c>
      <c r="E1595" s="14">
        <f>Data!N1595</f>
        <v>0</v>
      </c>
      <c r="F1595" s="14">
        <f>Data!K1595</f>
        <v>0</v>
      </c>
      <c r="G1595" s="12">
        <f t="shared" si="24"/>
        <v>0</v>
      </c>
    </row>
    <row r="1596" spans="1:7" ht="15" customHeight="1" x14ac:dyDescent="0.3">
      <c r="C1596" s="4"/>
      <c r="D1596" s="8">
        <v>2024</v>
      </c>
      <c r="E1596" s="14">
        <f>Data!N1596</f>
        <v>0</v>
      </c>
      <c r="F1596" s="14">
        <f>Data!K1596</f>
        <v>0</v>
      </c>
      <c r="G1596" s="12">
        <f t="shared" si="24"/>
        <v>0</v>
      </c>
    </row>
    <row r="1597" spans="1:7" ht="15" customHeight="1" x14ac:dyDescent="0.3">
      <c r="B1597" s="8">
        <v>146</v>
      </c>
      <c r="C1597" s="4" t="s">
        <v>146</v>
      </c>
      <c r="D1597" s="8">
        <v>2014</v>
      </c>
      <c r="E1597" s="14">
        <f>Data!N1597</f>
        <v>0</v>
      </c>
      <c r="F1597" s="14">
        <f>Data!K1597</f>
        <v>0</v>
      </c>
      <c r="G1597" s="12">
        <f t="shared" si="24"/>
        <v>0</v>
      </c>
    </row>
    <row r="1598" spans="1:7" ht="15" customHeight="1" x14ac:dyDescent="0.3">
      <c r="C1598" s="4"/>
      <c r="D1598" s="8">
        <v>2015</v>
      </c>
      <c r="E1598" s="14">
        <f>Data!N1598</f>
        <v>0</v>
      </c>
      <c r="F1598" s="14">
        <f>Data!K1598</f>
        <v>0</v>
      </c>
      <c r="G1598" s="12">
        <f t="shared" si="24"/>
        <v>0</v>
      </c>
    </row>
    <row r="1599" spans="1:7" ht="15" customHeight="1" x14ac:dyDescent="0.3">
      <c r="C1599" s="4"/>
      <c r="D1599" s="8">
        <v>2016</v>
      </c>
      <c r="E1599" s="14">
        <f>Data!N1599</f>
        <v>0</v>
      </c>
      <c r="F1599" s="14">
        <f>Data!K1599</f>
        <v>0</v>
      </c>
      <c r="G1599" s="12">
        <f t="shared" si="24"/>
        <v>0</v>
      </c>
    </row>
    <row r="1600" spans="1:7" ht="15" customHeight="1" x14ac:dyDescent="0.3">
      <c r="C1600" s="4"/>
      <c r="D1600" s="8">
        <v>2017</v>
      </c>
      <c r="E1600" s="14">
        <f>Data!N1600</f>
        <v>0</v>
      </c>
      <c r="F1600" s="14">
        <f>Data!K1600</f>
        <v>0</v>
      </c>
      <c r="G1600" s="12">
        <f t="shared" si="24"/>
        <v>0</v>
      </c>
    </row>
    <row r="1601" spans="1:7" ht="15" customHeight="1" x14ac:dyDescent="0.3">
      <c r="C1601" s="4"/>
      <c r="D1601" s="8">
        <v>2018</v>
      </c>
      <c r="E1601" s="14">
        <f>Data!N1601</f>
        <v>0</v>
      </c>
      <c r="F1601" s="14">
        <f>Data!K1601</f>
        <v>0</v>
      </c>
      <c r="G1601" s="12">
        <f t="shared" si="24"/>
        <v>0</v>
      </c>
    </row>
    <row r="1602" spans="1:7" ht="15" customHeight="1" x14ac:dyDescent="0.3">
      <c r="C1602" s="4"/>
      <c r="D1602" s="8">
        <v>2019</v>
      </c>
      <c r="E1602" s="14">
        <f>Data!N1602</f>
        <v>0</v>
      </c>
      <c r="F1602" s="14">
        <f>Data!K1602</f>
        <v>0</v>
      </c>
      <c r="G1602" s="12">
        <f t="shared" si="24"/>
        <v>0</v>
      </c>
    </row>
    <row r="1603" spans="1:7" ht="15" customHeight="1" x14ac:dyDescent="0.3">
      <c r="C1603" s="4"/>
      <c r="D1603" s="8">
        <v>2020</v>
      </c>
      <c r="E1603" s="14">
        <f>Data!N1603</f>
        <v>0</v>
      </c>
      <c r="F1603" s="14">
        <f>Data!K1603</f>
        <v>0</v>
      </c>
      <c r="G1603" s="12">
        <f t="shared" ref="G1603:G1629" si="25">IFERROR(E1603/F1603,0)</f>
        <v>0</v>
      </c>
    </row>
    <row r="1604" spans="1:7" ht="15" customHeight="1" x14ac:dyDescent="0.3">
      <c r="C1604" s="4"/>
      <c r="D1604" s="8">
        <v>2021</v>
      </c>
      <c r="E1604" s="14">
        <f>Data!N1604</f>
        <v>0</v>
      </c>
      <c r="F1604" s="14">
        <f>Data!K1604</f>
        <v>0</v>
      </c>
      <c r="G1604" s="12">
        <f t="shared" si="25"/>
        <v>0</v>
      </c>
    </row>
    <row r="1605" spans="1:7" ht="15" customHeight="1" x14ac:dyDescent="0.3">
      <c r="C1605" s="4"/>
      <c r="D1605" s="8">
        <v>2022</v>
      </c>
      <c r="E1605" s="14">
        <f>Data!N1605</f>
        <v>0</v>
      </c>
      <c r="F1605" s="14">
        <f>Data!K1605</f>
        <v>0</v>
      </c>
      <c r="G1605" s="12">
        <f t="shared" si="25"/>
        <v>0</v>
      </c>
    </row>
    <row r="1606" spans="1:7" ht="15" customHeight="1" x14ac:dyDescent="0.3">
      <c r="C1606" s="4"/>
      <c r="D1606" s="8">
        <v>2023</v>
      </c>
      <c r="E1606" s="14">
        <f>Data!N1606</f>
        <v>0</v>
      </c>
      <c r="F1606" s="14">
        <f>Data!K1606</f>
        <v>0</v>
      </c>
      <c r="G1606" s="12">
        <f t="shared" si="25"/>
        <v>0</v>
      </c>
    </row>
    <row r="1607" spans="1:7" ht="15" customHeight="1" x14ac:dyDescent="0.3">
      <c r="C1607" s="4"/>
      <c r="D1607" s="8">
        <v>2024</v>
      </c>
      <c r="E1607" s="14">
        <f>Data!N1607</f>
        <v>0</v>
      </c>
      <c r="F1607" s="14">
        <f>Data!K1607</f>
        <v>0</v>
      </c>
      <c r="G1607" s="12">
        <f t="shared" si="25"/>
        <v>0</v>
      </c>
    </row>
    <row r="1608" spans="1:7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Data!N1608</f>
        <v>0</v>
      </c>
      <c r="F1608" s="14">
        <f>Data!K1608</f>
        <v>0</v>
      </c>
      <c r="G1608" s="12">
        <f t="shared" si="25"/>
        <v>0</v>
      </c>
    </row>
    <row r="1609" spans="1:7" ht="15" customHeight="1" x14ac:dyDescent="0.3">
      <c r="C1609" s="4"/>
      <c r="D1609" s="8">
        <v>2015</v>
      </c>
      <c r="E1609" s="14">
        <f>Data!N1609</f>
        <v>0</v>
      </c>
      <c r="F1609" s="14">
        <f>Data!K1609</f>
        <v>10116093000000</v>
      </c>
      <c r="G1609" s="12">
        <f t="shared" si="25"/>
        <v>0</v>
      </c>
    </row>
    <row r="1610" spans="1:7" ht="15" customHeight="1" x14ac:dyDescent="0.3">
      <c r="C1610" s="4"/>
      <c r="D1610" s="8">
        <v>2016</v>
      </c>
      <c r="E1610" s="14">
        <f>Data!N1610</f>
        <v>0</v>
      </c>
      <c r="F1610" s="14">
        <f>Data!K1610</f>
        <v>10344737000000</v>
      </c>
      <c r="G1610" s="12">
        <f t="shared" si="25"/>
        <v>0</v>
      </c>
    </row>
    <row r="1611" spans="1:7" ht="15" customHeight="1" x14ac:dyDescent="0.3">
      <c r="C1611" s="4"/>
      <c r="D1611" s="8">
        <v>2017</v>
      </c>
      <c r="E1611" s="14">
        <f>Data!N1611</f>
        <v>0</v>
      </c>
      <c r="F1611" s="14">
        <f>Data!K1611</f>
        <v>10161365000000</v>
      </c>
      <c r="G1611" s="12">
        <f t="shared" si="25"/>
        <v>0</v>
      </c>
    </row>
    <row r="1612" spans="1:7" ht="15" customHeight="1" x14ac:dyDescent="0.3">
      <c r="C1612" s="4"/>
      <c r="D1612" s="8">
        <v>2018</v>
      </c>
      <c r="E1612" s="14">
        <f>Data!N1612</f>
        <v>0</v>
      </c>
      <c r="F1612" s="14">
        <f>Data!K1612</f>
        <v>10124003000000</v>
      </c>
      <c r="G1612" s="12">
        <f t="shared" si="25"/>
        <v>0</v>
      </c>
    </row>
    <row r="1613" spans="1:7" ht="15" customHeight="1" x14ac:dyDescent="0.3">
      <c r="C1613" s="4"/>
      <c r="D1613" s="8">
        <v>2019</v>
      </c>
      <c r="E1613" s="14">
        <f>Data!N1613</f>
        <v>0</v>
      </c>
      <c r="F1613" s="14">
        <f>Data!K1613</f>
        <v>10303087000000</v>
      </c>
      <c r="G1613" s="12">
        <f t="shared" si="25"/>
        <v>0</v>
      </c>
    </row>
    <row r="1614" spans="1:7" ht="15" customHeight="1" x14ac:dyDescent="0.3">
      <c r="C1614" s="4"/>
      <c r="D1614" s="8">
        <v>2020</v>
      </c>
      <c r="E1614" s="14">
        <f>Data!N1614</f>
        <v>0</v>
      </c>
      <c r="F1614" s="14">
        <f>Data!K1614</f>
        <v>10162441000000</v>
      </c>
      <c r="G1614" s="12">
        <f t="shared" si="25"/>
        <v>0</v>
      </c>
    </row>
    <row r="1615" spans="1:7" ht="15" customHeight="1" x14ac:dyDescent="0.3">
      <c r="C1615" s="4"/>
      <c r="D1615" s="8">
        <v>2021</v>
      </c>
      <c r="E1615" s="14">
        <f>Data!N1615</f>
        <v>0</v>
      </c>
      <c r="F1615" s="14">
        <f>Data!K1615</f>
        <v>10630981000000</v>
      </c>
      <c r="G1615" s="12">
        <f t="shared" si="25"/>
        <v>0</v>
      </c>
    </row>
    <row r="1616" spans="1:7" ht="15" customHeight="1" x14ac:dyDescent="0.3">
      <c r="C1616" s="4"/>
      <c r="D1616" s="8">
        <v>2022</v>
      </c>
      <c r="E1616" s="14">
        <f>Data!N1616</f>
        <v>0</v>
      </c>
      <c r="F1616" s="14">
        <f>Data!K1616</f>
        <v>10753649000000</v>
      </c>
      <c r="G1616" s="12">
        <f t="shared" si="25"/>
        <v>0</v>
      </c>
    </row>
    <row r="1617" spans="2:7" ht="15" customHeight="1" x14ac:dyDescent="0.3">
      <c r="C1617" s="4"/>
      <c r="D1617" s="8">
        <v>2023</v>
      </c>
      <c r="E1617" s="14">
        <f>Data!N1617</f>
        <v>0</v>
      </c>
      <c r="F1617" s="14">
        <f>Data!K1617</f>
        <v>10289025000000</v>
      </c>
      <c r="G1617" s="12">
        <f t="shared" si="25"/>
        <v>0</v>
      </c>
    </row>
    <row r="1618" spans="2:7" ht="15" customHeight="1" x14ac:dyDescent="0.3">
      <c r="C1618" s="4"/>
      <c r="D1618" s="8">
        <v>2024</v>
      </c>
      <c r="E1618" s="14">
        <f>Data!N1618</f>
        <v>0</v>
      </c>
      <c r="F1618" s="14">
        <f>Data!K1618</f>
        <v>10582198000000</v>
      </c>
      <c r="G1618" s="12">
        <f t="shared" si="25"/>
        <v>0</v>
      </c>
    </row>
    <row r="1619" spans="2:7" ht="15" customHeight="1" x14ac:dyDescent="0.3">
      <c r="B1619" s="8">
        <v>148</v>
      </c>
      <c r="C1619" s="4" t="s">
        <v>148</v>
      </c>
      <c r="D1619" s="8">
        <v>2014</v>
      </c>
      <c r="E1619" s="14">
        <f>Data!N1619</f>
        <v>0</v>
      </c>
      <c r="F1619" s="14">
        <f>Data!K1619</f>
        <v>0</v>
      </c>
      <c r="G1619" s="12">
        <f t="shared" si="25"/>
        <v>0</v>
      </c>
    </row>
    <row r="1620" spans="2:7" ht="15" customHeight="1" x14ac:dyDescent="0.3">
      <c r="C1620" s="5"/>
      <c r="D1620" s="8">
        <v>2015</v>
      </c>
      <c r="E1620" s="14">
        <f>Data!N1620</f>
        <v>624615000000</v>
      </c>
      <c r="F1620" s="14">
        <f>Data!K1620</f>
        <v>8912939000000</v>
      </c>
      <c r="G1620" s="12">
        <f t="shared" si="25"/>
        <v>7.0079577566950699E-2</v>
      </c>
    </row>
    <row r="1621" spans="2:7" ht="15" customHeight="1" x14ac:dyDescent="0.3">
      <c r="C1621" s="5"/>
      <c r="D1621" s="8">
        <v>2016</v>
      </c>
      <c r="E1621" s="14">
        <f>Data!N1621</f>
        <v>1072535000000</v>
      </c>
      <c r="F1621" s="14">
        <f>Data!K1621</f>
        <v>10424740000000</v>
      </c>
      <c r="G1621" s="12">
        <f t="shared" si="25"/>
        <v>0.10288362107831946</v>
      </c>
    </row>
    <row r="1622" spans="2:7" ht="15" customHeight="1" x14ac:dyDescent="0.3">
      <c r="C1622" s="5"/>
      <c r="D1622" s="8">
        <v>2017</v>
      </c>
      <c r="E1622" s="14">
        <f>Data!N1622</f>
        <v>1299524000000</v>
      </c>
      <c r="F1622" s="14">
        <f>Data!K1622</f>
        <v>11921127000000</v>
      </c>
      <c r="G1622" s="12">
        <f t="shared" si="25"/>
        <v>0.10901016321695088</v>
      </c>
    </row>
    <row r="1623" spans="2:7" ht="15" customHeight="1" x14ac:dyDescent="0.3">
      <c r="C1623" s="5"/>
      <c r="D1623" s="8">
        <v>2018</v>
      </c>
      <c r="E1623" s="14">
        <f>Data!N1623</f>
        <v>501517000000</v>
      </c>
      <c r="F1623" s="14">
        <f>Data!K1623</f>
        <v>12230975000000</v>
      </c>
      <c r="G1623" s="12">
        <f t="shared" si="25"/>
        <v>4.1003844746637125E-2</v>
      </c>
    </row>
    <row r="1624" spans="2:7" ht="15" customHeight="1" x14ac:dyDescent="0.3">
      <c r="C1624" s="5"/>
      <c r="D1624" s="8">
        <v>2019</v>
      </c>
      <c r="E1624" s="14">
        <f>Data!N1624</f>
        <v>318277000000</v>
      </c>
      <c r="F1624" s="14">
        <f>Data!K1624</f>
        <v>12331587000000</v>
      </c>
      <c r="G1624" s="12">
        <f t="shared" si="25"/>
        <v>2.5809897785256674E-2</v>
      </c>
    </row>
    <row r="1625" spans="2:7" ht="15" customHeight="1" x14ac:dyDescent="0.3">
      <c r="C1625" s="5"/>
      <c r="D1625" s="8">
        <v>2020</v>
      </c>
      <c r="E1625" s="14">
        <f>Data!N1625</f>
        <v>63470000000</v>
      </c>
      <c r="F1625" s="14">
        <f>Data!K1625</f>
        <v>12190281000000</v>
      </c>
      <c r="G1625" s="12">
        <f t="shared" si="25"/>
        <v>5.2066068042237908E-3</v>
      </c>
    </row>
    <row r="1626" spans="2:7" ht="15" customHeight="1" x14ac:dyDescent="0.3">
      <c r="C1626" s="5"/>
      <c r="D1626" s="8">
        <v>2021</v>
      </c>
      <c r="E1626" s="14">
        <f>Data!N1626</f>
        <v>33137000000</v>
      </c>
      <c r="F1626" s="14">
        <f>Data!K1626</f>
        <v>12174373000000</v>
      </c>
      <c r="G1626" s="12">
        <f t="shared" si="25"/>
        <v>2.7218650192498621E-3</v>
      </c>
    </row>
    <row r="1627" spans="2:7" ht="15" customHeight="1" x14ac:dyDescent="0.3">
      <c r="C1627" s="5"/>
      <c r="D1627" s="8">
        <v>2022</v>
      </c>
      <c r="E1627" s="14">
        <f>Data!N1627</f>
        <v>53089000000</v>
      </c>
      <c r="F1627" s="14">
        <f>Data!K1627</f>
        <v>12821213000000</v>
      </c>
      <c r="G1627" s="12">
        <f t="shared" si="25"/>
        <v>4.1407158589440796E-3</v>
      </c>
    </row>
    <row r="1628" spans="2:7" ht="15" customHeight="1" x14ac:dyDescent="0.3">
      <c r="C1628" s="5"/>
      <c r="D1628" s="8">
        <v>2023</v>
      </c>
      <c r="E1628" s="14">
        <f>Data!N1628</f>
        <v>467839000000</v>
      </c>
      <c r="F1628" s="14">
        <f>Data!K1628</f>
        <v>12440546000000</v>
      </c>
      <c r="G1628" s="12">
        <f t="shared" si="25"/>
        <v>3.7605986103825345E-2</v>
      </c>
    </row>
    <row r="1629" spans="2:7" ht="15" customHeight="1" x14ac:dyDescent="0.3">
      <c r="C1629" s="5"/>
      <c r="D1629" s="8">
        <v>2024</v>
      </c>
      <c r="E1629" s="14">
        <f>Data!N1629</f>
        <v>277711000000</v>
      </c>
      <c r="F1629" s="14">
        <f>Data!K1629</f>
        <v>12532550000000</v>
      </c>
      <c r="G1629" s="12">
        <f t="shared" si="25"/>
        <v>2.2159177501785352E-2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EF4D-BAD5-489E-B5C1-AB03885D2801}">
  <sheetPr codeName="Sheet10"/>
  <dimension ref="A1:F1629"/>
  <sheetViews>
    <sheetView workbookViewId="0">
      <selection activeCell="F3" sqref="F3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31.33203125" style="62" bestFit="1" customWidth="1"/>
    <col min="6" max="6" width="49.6640625" style="16" bestFit="1" customWidth="1"/>
    <col min="7" max="8" width="12.109375" bestFit="1" customWidth="1"/>
    <col min="9" max="9" width="11.5546875" bestFit="1" customWidth="1"/>
    <col min="10" max="10" width="11" bestFit="1" customWidth="1"/>
    <col min="11" max="11" width="28.109375" bestFit="1" customWidth="1"/>
    <col min="12" max="12" width="23.33203125" bestFit="1" customWidth="1"/>
    <col min="13" max="13" width="40.6640625" bestFit="1" customWidth="1"/>
  </cols>
  <sheetData>
    <row r="1" spans="1:6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61" t="s">
        <v>177</v>
      </c>
      <c r="F1" s="15" t="s">
        <v>58</v>
      </c>
    </row>
    <row r="2" spans="1:6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62">
        <f>IFERROR(Data!O2,0)</f>
        <v>0</v>
      </c>
      <c r="F2" s="16">
        <f>Data!P2</f>
        <v>0</v>
      </c>
    </row>
    <row r="3" spans="1:6" ht="15" customHeight="1" x14ac:dyDescent="0.3">
      <c r="C3" s="3"/>
      <c r="D3" s="8">
        <v>2015</v>
      </c>
      <c r="E3" s="62">
        <f>Data!O3</f>
        <v>0</v>
      </c>
      <c r="F3" s="16">
        <f>Data!P3</f>
        <v>0</v>
      </c>
    </row>
    <row r="4" spans="1:6" ht="15" customHeight="1" x14ac:dyDescent="0.3">
      <c r="C4" s="3"/>
      <c r="D4" s="8">
        <v>2016</v>
      </c>
      <c r="E4" s="62">
        <f>Data!O4</f>
        <v>0</v>
      </c>
      <c r="F4" s="16">
        <f>Data!P4</f>
        <v>0</v>
      </c>
    </row>
    <row r="5" spans="1:6" ht="15" customHeight="1" x14ac:dyDescent="0.3">
      <c r="C5" s="3"/>
      <c r="D5" s="8">
        <v>2017</v>
      </c>
      <c r="E5" s="62">
        <f>Data!O5</f>
        <v>0</v>
      </c>
      <c r="F5" s="16">
        <f>Data!P5</f>
        <v>0</v>
      </c>
    </row>
    <row r="6" spans="1:6" ht="15" customHeight="1" x14ac:dyDescent="0.3">
      <c r="C6" s="3"/>
      <c r="D6" s="8">
        <v>2018</v>
      </c>
      <c r="E6" s="62">
        <f>Data!O6</f>
        <v>0</v>
      </c>
      <c r="F6" s="16">
        <f>Data!P6</f>
        <v>0</v>
      </c>
    </row>
    <row r="7" spans="1:6" ht="15" customHeight="1" x14ac:dyDescent="0.3">
      <c r="C7" s="3"/>
      <c r="D7" s="8">
        <v>2019</v>
      </c>
      <c r="E7" s="62">
        <f>Data!O7</f>
        <v>0</v>
      </c>
      <c r="F7" s="16">
        <f>Data!P7</f>
        <v>0</v>
      </c>
    </row>
    <row r="8" spans="1:6" ht="15" customHeight="1" x14ac:dyDescent="0.3">
      <c r="C8" s="3"/>
      <c r="D8" s="8">
        <v>2020</v>
      </c>
      <c r="E8" s="62">
        <f>Data!O8</f>
        <v>0</v>
      </c>
      <c r="F8" s="16">
        <f>Data!P8</f>
        <v>0</v>
      </c>
    </row>
    <row r="9" spans="1:6" ht="15" customHeight="1" x14ac:dyDescent="0.3">
      <c r="C9" s="3"/>
      <c r="D9" s="8">
        <v>2021</v>
      </c>
      <c r="E9" s="62">
        <f>Data!O9</f>
        <v>0</v>
      </c>
      <c r="F9" s="16">
        <f>Data!P9</f>
        <v>0</v>
      </c>
    </row>
    <row r="10" spans="1:6" ht="15" customHeight="1" x14ac:dyDescent="0.3">
      <c r="C10" s="3"/>
      <c r="D10" s="8">
        <v>2022</v>
      </c>
      <c r="E10" s="62">
        <f>Data!O10</f>
        <v>0</v>
      </c>
      <c r="F10" s="16">
        <f>Data!P10</f>
        <v>0</v>
      </c>
    </row>
    <row r="11" spans="1:6" ht="15" customHeight="1" x14ac:dyDescent="0.3">
      <c r="C11" s="3"/>
      <c r="D11" s="8">
        <v>2023</v>
      </c>
      <c r="E11" s="62">
        <f>Data!O11</f>
        <v>0</v>
      </c>
      <c r="F11" s="16">
        <f>Data!P11</f>
        <v>0</v>
      </c>
    </row>
    <row r="12" spans="1:6" ht="15" customHeight="1" x14ac:dyDescent="0.3">
      <c r="C12" s="3"/>
      <c r="D12" s="8">
        <v>2024</v>
      </c>
      <c r="E12" s="62">
        <f>Data!O12</f>
        <v>0</v>
      </c>
      <c r="F12" s="16">
        <f>Data!P12</f>
        <v>0</v>
      </c>
    </row>
    <row r="13" spans="1:6" ht="15" customHeight="1" x14ac:dyDescent="0.3">
      <c r="B13" s="8">
        <v>2</v>
      </c>
      <c r="C13" s="3" t="s">
        <v>2</v>
      </c>
      <c r="D13" s="8">
        <v>2014</v>
      </c>
      <c r="E13" s="62">
        <f>Data!O13</f>
        <v>0</v>
      </c>
      <c r="F13" s="16">
        <f>Data!P13</f>
        <v>0</v>
      </c>
    </row>
    <row r="14" spans="1:6" ht="15" customHeight="1" x14ac:dyDescent="0.3">
      <c r="C14" s="3"/>
      <c r="D14" s="8">
        <v>2015</v>
      </c>
      <c r="E14" s="62">
        <f>Data!O14</f>
        <v>0.8</v>
      </c>
      <c r="F14" s="16" t="str">
        <f>Data!P14</f>
        <v>AIA International Limited</v>
      </c>
    </row>
    <row r="15" spans="1:6" ht="15" customHeight="1" x14ac:dyDescent="0.3">
      <c r="C15" s="3"/>
      <c r="D15" s="8">
        <v>2016</v>
      </c>
      <c r="E15" s="62">
        <f>Data!O15</f>
        <v>0.8</v>
      </c>
      <c r="F15" s="16" t="str">
        <f>Data!P15</f>
        <v>AIA International Limited</v>
      </c>
    </row>
    <row r="16" spans="1:6" ht="15" customHeight="1" x14ac:dyDescent="0.3">
      <c r="C16" s="3"/>
      <c r="D16" s="8">
        <v>2017</v>
      </c>
      <c r="E16" s="62">
        <f>Data!O16</f>
        <v>0.95</v>
      </c>
      <c r="F16" s="16" t="str">
        <f>Data!P16</f>
        <v>AIA International Limited</v>
      </c>
    </row>
    <row r="17" spans="2:6" ht="15" customHeight="1" x14ac:dyDescent="0.3">
      <c r="C17" s="3"/>
      <c r="D17" s="8">
        <v>2018</v>
      </c>
      <c r="E17" s="62">
        <f>Data!O17</f>
        <v>0.95</v>
      </c>
      <c r="F17" s="16" t="str">
        <f>Data!P17</f>
        <v>AIA International Limited</v>
      </c>
    </row>
    <row r="18" spans="2:6" ht="15" customHeight="1" x14ac:dyDescent="0.3">
      <c r="C18" s="3"/>
      <c r="D18" s="8">
        <v>2019</v>
      </c>
      <c r="E18" s="62">
        <f>Data!O18</f>
        <v>0.94989999999999997</v>
      </c>
      <c r="F18" s="16" t="str">
        <f>Data!P18</f>
        <v>AIA International Limited</v>
      </c>
    </row>
    <row r="19" spans="2:6" ht="15" customHeight="1" x14ac:dyDescent="0.3">
      <c r="C19" s="3"/>
      <c r="D19" s="8">
        <v>2020</v>
      </c>
      <c r="E19" s="62">
        <f>Data!O19</f>
        <v>0.94989999999999997</v>
      </c>
      <c r="F19" s="16" t="str">
        <f>Data!P19</f>
        <v>AIA International Limited</v>
      </c>
    </row>
    <row r="20" spans="2:6" ht="15" customHeight="1" x14ac:dyDescent="0.3">
      <c r="C20" s="3"/>
      <c r="D20" s="8">
        <v>2021</v>
      </c>
      <c r="E20" s="62">
        <f>Data!O20</f>
        <v>0.94989999999999997</v>
      </c>
      <c r="F20" s="16" t="str">
        <f>Data!P20</f>
        <v>AIA International Limited</v>
      </c>
    </row>
    <row r="21" spans="2:6" ht="15" customHeight="1" x14ac:dyDescent="0.3">
      <c r="C21" s="3"/>
      <c r="D21" s="8">
        <v>2022</v>
      </c>
      <c r="E21" s="62">
        <f>Data!O21</f>
        <v>0.94989999999999997</v>
      </c>
      <c r="F21" s="16" t="str">
        <f>Data!P21</f>
        <v>AIA International Limited</v>
      </c>
    </row>
    <row r="22" spans="2:6" ht="15" customHeight="1" x14ac:dyDescent="0.3">
      <c r="C22" s="3"/>
      <c r="D22" s="8">
        <v>2023</v>
      </c>
      <c r="E22" s="62">
        <f>Data!O22</f>
        <v>0.94989999999999997</v>
      </c>
      <c r="F22" s="16" t="str">
        <f>Data!P22</f>
        <v>AIA International Limited</v>
      </c>
    </row>
    <row r="23" spans="2:6" ht="15" customHeight="1" x14ac:dyDescent="0.3">
      <c r="C23" s="3"/>
      <c r="D23" s="8">
        <v>2024</v>
      </c>
      <c r="E23" s="62">
        <f>Data!O23</f>
        <v>0.94989999999999997</v>
      </c>
      <c r="F23" s="16" t="str">
        <f>Data!P23</f>
        <v>AIA International Limited</v>
      </c>
    </row>
    <row r="24" spans="2:6" ht="15" customHeight="1" x14ac:dyDescent="0.3">
      <c r="B24" s="8">
        <v>3</v>
      </c>
      <c r="C24" s="3" t="s">
        <v>3</v>
      </c>
      <c r="D24" s="8">
        <v>2014</v>
      </c>
      <c r="E24" s="62">
        <f>Data!O24</f>
        <v>0</v>
      </c>
      <c r="F24" s="16">
        <f>Data!P24</f>
        <v>0</v>
      </c>
    </row>
    <row r="25" spans="2:6" ht="15" customHeight="1" x14ac:dyDescent="0.3">
      <c r="C25" s="3"/>
      <c r="D25" s="8">
        <v>2015</v>
      </c>
      <c r="E25" s="62">
        <f>Data!O25</f>
        <v>0.99760000000000004</v>
      </c>
      <c r="F25" s="16" t="str">
        <f>Data!P25</f>
        <v>Allianz Asia Pacific &amp; Africa GmbH</v>
      </c>
    </row>
    <row r="26" spans="2:6" ht="15" customHeight="1" x14ac:dyDescent="0.3">
      <c r="C26" s="3"/>
      <c r="D26" s="8">
        <v>2016</v>
      </c>
      <c r="E26" s="62">
        <f>Data!O26</f>
        <v>0.99760000000000004</v>
      </c>
      <c r="F26" s="16" t="str">
        <f>Data!P26</f>
        <v>Allianz Asia Pacific &amp; Africa GmbH</v>
      </c>
    </row>
    <row r="27" spans="2:6" ht="15" customHeight="1" x14ac:dyDescent="0.3">
      <c r="C27" s="3"/>
      <c r="D27" s="8">
        <v>2017</v>
      </c>
      <c r="E27" s="62">
        <f>Data!O27</f>
        <v>0.99760000000000004</v>
      </c>
      <c r="F27" s="16" t="str">
        <f>Data!P27</f>
        <v>Allianz Asia Pacific &amp; Africa GmbH</v>
      </c>
    </row>
    <row r="28" spans="2:6" ht="15" customHeight="1" x14ac:dyDescent="0.3">
      <c r="C28" s="3"/>
      <c r="D28" s="8">
        <v>2018</v>
      </c>
      <c r="E28" s="62">
        <f>Data!O28</f>
        <v>0.99760000000000004</v>
      </c>
      <c r="F28" s="16" t="str">
        <f>Data!P28</f>
        <v>Allianz Asia Pacific &amp; Africa GmbH</v>
      </c>
    </row>
    <row r="29" spans="2:6" ht="15" customHeight="1" x14ac:dyDescent="0.3">
      <c r="C29" s="3"/>
      <c r="D29" s="8">
        <v>2019</v>
      </c>
      <c r="E29" s="62">
        <f>Data!O29</f>
        <v>0.99760000000000004</v>
      </c>
      <c r="F29" s="16" t="str">
        <f>Data!P29</f>
        <v>Allianz Asia Pacific &amp; Africa GmbH</v>
      </c>
    </row>
    <row r="30" spans="2:6" ht="15" customHeight="1" x14ac:dyDescent="0.3">
      <c r="C30" s="3"/>
      <c r="D30" s="8">
        <v>2020</v>
      </c>
      <c r="E30" s="62">
        <f>Data!O30</f>
        <v>0.99760000000000004</v>
      </c>
      <c r="F30" s="16" t="str">
        <f>Data!P30</f>
        <v>Allianz Asia Pacific &amp; Africa GmbH</v>
      </c>
    </row>
    <row r="31" spans="2:6" ht="15" customHeight="1" x14ac:dyDescent="0.3">
      <c r="C31" s="3"/>
      <c r="D31" s="8">
        <v>2021</v>
      </c>
      <c r="E31" s="62">
        <f>Data!O31</f>
        <v>0.99760000000000004</v>
      </c>
      <c r="F31" s="16" t="str">
        <f>Data!P31</f>
        <v>Allianz Asia Pacific &amp; Africa GmbH</v>
      </c>
    </row>
    <row r="32" spans="2:6" ht="15" customHeight="1" x14ac:dyDescent="0.3">
      <c r="C32" s="3"/>
      <c r="D32" s="8">
        <v>2022</v>
      </c>
      <c r="E32" s="62">
        <f>Data!O32</f>
        <v>0.99760000000000004</v>
      </c>
      <c r="F32" s="16" t="str">
        <f>Data!P32</f>
        <v>Allianz Asia Pacific &amp; Africa GmbH</v>
      </c>
    </row>
    <row r="33" spans="2:6" ht="15" customHeight="1" x14ac:dyDescent="0.3">
      <c r="C33" s="3"/>
      <c r="D33" s="8">
        <v>2023</v>
      </c>
      <c r="E33" s="62">
        <f>Data!O33</f>
        <v>0.99760000000000004</v>
      </c>
      <c r="F33" s="16" t="str">
        <f>Data!P33</f>
        <v>Allianz Asia Pacific &amp; Africa GmbH</v>
      </c>
    </row>
    <row r="34" spans="2:6" ht="15" customHeight="1" x14ac:dyDescent="0.3">
      <c r="C34" s="3"/>
      <c r="D34" s="8">
        <v>2024</v>
      </c>
      <c r="E34" s="62">
        <f>Data!O34</f>
        <v>0.99760000000000004</v>
      </c>
      <c r="F34" s="16" t="str">
        <f>Data!P34</f>
        <v>Allianz Asia Pacific &amp; Africa GmbH</v>
      </c>
    </row>
    <row r="35" spans="2:6" ht="15" customHeight="1" x14ac:dyDescent="0.3">
      <c r="B35" s="8">
        <v>4</v>
      </c>
      <c r="C35" s="4" t="s">
        <v>56</v>
      </c>
      <c r="D35" s="8">
        <v>2014</v>
      </c>
      <c r="E35" s="62">
        <f>Data!O35</f>
        <v>0</v>
      </c>
      <c r="F35" s="16">
        <f>Data!P35</f>
        <v>0</v>
      </c>
    </row>
    <row r="36" spans="2:6" ht="15" customHeight="1" x14ac:dyDescent="0.3">
      <c r="C36" s="4"/>
      <c r="D36" s="8">
        <v>2015</v>
      </c>
      <c r="E36" s="62">
        <f>Data!O36</f>
        <v>0</v>
      </c>
      <c r="F36" s="16">
        <f>Data!P36</f>
        <v>0</v>
      </c>
    </row>
    <row r="37" spans="2:6" ht="15" customHeight="1" x14ac:dyDescent="0.3">
      <c r="C37" s="4"/>
      <c r="D37" s="8">
        <v>2016</v>
      </c>
      <c r="E37" s="62">
        <f>Data!O37</f>
        <v>0</v>
      </c>
      <c r="F37" s="16">
        <f>Data!P37</f>
        <v>0</v>
      </c>
    </row>
    <row r="38" spans="2:6" ht="15" customHeight="1" x14ac:dyDescent="0.3">
      <c r="C38" s="4"/>
      <c r="D38" s="8">
        <v>2017</v>
      </c>
      <c r="E38" s="62">
        <f>Data!O38</f>
        <v>0</v>
      </c>
      <c r="F38" s="16">
        <f>Data!P38</f>
        <v>0</v>
      </c>
    </row>
    <row r="39" spans="2:6" ht="15" customHeight="1" x14ac:dyDescent="0.3">
      <c r="C39" s="4"/>
      <c r="D39" s="8">
        <v>2018</v>
      </c>
      <c r="E39" s="62">
        <f>Data!O39</f>
        <v>0</v>
      </c>
      <c r="F39" s="16">
        <f>Data!P39</f>
        <v>0</v>
      </c>
    </row>
    <row r="40" spans="2:6" ht="15" customHeight="1" x14ac:dyDescent="0.3">
      <c r="C40" s="4"/>
      <c r="D40" s="8">
        <v>2019</v>
      </c>
      <c r="E40" s="62">
        <f>Data!O40</f>
        <v>0</v>
      </c>
      <c r="F40" s="16">
        <f>Data!P40</f>
        <v>0</v>
      </c>
    </row>
    <row r="41" spans="2:6" ht="15" customHeight="1" x14ac:dyDescent="0.3">
      <c r="C41" s="4"/>
      <c r="D41" s="8">
        <v>2020</v>
      </c>
      <c r="E41" s="62">
        <f>Data!O41</f>
        <v>0</v>
      </c>
      <c r="F41" s="16">
        <f>Data!P41</f>
        <v>0</v>
      </c>
    </row>
    <row r="42" spans="2:6" ht="15" customHeight="1" x14ac:dyDescent="0.3">
      <c r="C42" s="4"/>
      <c r="D42" s="8">
        <v>2021</v>
      </c>
      <c r="E42" s="62">
        <f>Data!O42</f>
        <v>0</v>
      </c>
      <c r="F42" s="16">
        <f>Data!P42</f>
        <v>0</v>
      </c>
    </row>
    <row r="43" spans="2:6" ht="15" customHeight="1" x14ac:dyDescent="0.3">
      <c r="C43" s="4"/>
      <c r="D43" s="8">
        <v>2022</v>
      </c>
      <c r="E43" s="62">
        <f>Data!O43</f>
        <v>0</v>
      </c>
      <c r="F43" s="16">
        <f>Data!P43</f>
        <v>0</v>
      </c>
    </row>
    <row r="44" spans="2:6" ht="15" customHeight="1" x14ac:dyDescent="0.3">
      <c r="C44" s="4"/>
      <c r="D44" s="8">
        <v>2023</v>
      </c>
      <c r="E44" s="62">
        <f>Data!O44</f>
        <v>0.99990000000000001</v>
      </c>
      <c r="F44" s="16" t="str">
        <f>Data!P44</f>
        <v>PT Asuransi Allianz Life Indonesia</v>
      </c>
    </row>
    <row r="45" spans="2:6" ht="15" customHeight="1" x14ac:dyDescent="0.3">
      <c r="C45" s="4"/>
      <c r="D45" s="8">
        <v>2024</v>
      </c>
      <c r="E45" s="62">
        <f>Data!O45</f>
        <v>0.99</v>
      </c>
      <c r="F45" s="16" t="str">
        <f>Data!P45</f>
        <v>PT Asuransi Allianz Life Indonesia</v>
      </c>
    </row>
    <row r="46" spans="2:6" ht="15" customHeight="1" x14ac:dyDescent="0.3">
      <c r="B46" s="8">
        <v>5</v>
      </c>
      <c r="C46" s="3" t="s">
        <v>20</v>
      </c>
      <c r="D46" s="8">
        <v>2014</v>
      </c>
      <c r="E46" s="62">
        <f>Data!O46</f>
        <v>0</v>
      </c>
      <c r="F46" s="16">
        <f>Data!P46</f>
        <v>0</v>
      </c>
    </row>
    <row r="47" spans="2:6" ht="15" customHeight="1" x14ac:dyDescent="0.3">
      <c r="C47" s="3"/>
      <c r="D47" s="8">
        <v>2015</v>
      </c>
      <c r="E47" s="62">
        <f>Data!O47</f>
        <v>0</v>
      </c>
      <c r="F47" s="16">
        <f>Data!P47</f>
        <v>0</v>
      </c>
    </row>
    <row r="48" spans="2:6" ht="15" customHeight="1" x14ac:dyDescent="0.3">
      <c r="C48" s="3"/>
      <c r="D48" s="8">
        <v>2016</v>
      </c>
      <c r="E48" s="62">
        <f>Data!O48</f>
        <v>0</v>
      </c>
      <c r="F48" s="16">
        <f>Data!P48</f>
        <v>0</v>
      </c>
    </row>
    <row r="49" spans="2:6" ht="15" customHeight="1" x14ac:dyDescent="0.3">
      <c r="C49" s="3"/>
      <c r="D49" s="8">
        <v>2017</v>
      </c>
      <c r="E49" s="62">
        <f>Data!O49</f>
        <v>0.91</v>
      </c>
      <c r="F49" s="16" t="str">
        <f>Data!P49</f>
        <v>PT Bank Rakyat Indonesia</v>
      </c>
    </row>
    <row r="50" spans="2:6" ht="15" customHeight="1" x14ac:dyDescent="0.3">
      <c r="C50" s="3"/>
      <c r="D50" s="8">
        <v>2018</v>
      </c>
      <c r="E50" s="62">
        <f>Data!O50</f>
        <v>0.91</v>
      </c>
      <c r="F50" s="16" t="str">
        <f>Data!P50</f>
        <v>PT Bank Rakyat Indonesia</v>
      </c>
    </row>
    <row r="51" spans="2:6" ht="15" customHeight="1" x14ac:dyDescent="0.3">
      <c r="C51" s="3"/>
      <c r="D51" s="8">
        <v>2019</v>
      </c>
      <c r="E51" s="62">
        <f>Data!O51</f>
        <v>0.91010000000000002</v>
      </c>
      <c r="F51" s="16" t="str">
        <f>Data!P51</f>
        <v>PT Bank Rakyat Indonesia</v>
      </c>
    </row>
    <row r="52" spans="2:6" ht="15" customHeight="1" x14ac:dyDescent="0.3">
      <c r="C52" s="3"/>
      <c r="D52" s="8">
        <v>2020</v>
      </c>
      <c r="E52" s="62">
        <f>Data!O52</f>
        <v>0.91010000000000002</v>
      </c>
      <c r="F52" s="16" t="str">
        <f>Data!P52</f>
        <v>PT Bank Rakyat Indonesia</v>
      </c>
    </row>
    <row r="53" spans="2:6" ht="15" customHeight="1" x14ac:dyDescent="0.3">
      <c r="C53" s="3"/>
      <c r="D53" s="8">
        <v>2021</v>
      </c>
      <c r="E53" s="62">
        <f>Data!O53</f>
        <v>0.63829999999999998</v>
      </c>
      <c r="F53" s="16" t="str">
        <f>Data!P53</f>
        <v>PT Bank Rakyat Indonesia</v>
      </c>
    </row>
    <row r="54" spans="2:6" ht="15" customHeight="1" x14ac:dyDescent="0.3">
      <c r="C54" s="3"/>
      <c r="D54" s="8">
        <v>2022</v>
      </c>
      <c r="E54" s="62">
        <f>Data!O54</f>
        <v>0.59019999999999995</v>
      </c>
      <c r="F54" s="16" t="str">
        <f>Data!P54</f>
        <v>PT Bank Rakyat Indonesia</v>
      </c>
    </row>
    <row r="55" spans="2:6" ht="15" customHeight="1" x14ac:dyDescent="0.3">
      <c r="C55" s="3"/>
      <c r="D55" s="8">
        <v>2023</v>
      </c>
      <c r="E55" s="62">
        <f>Data!O55</f>
        <v>0.54769999999999996</v>
      </c>
      <c r="F55" s="16" t="str">
        <f>Data!P55</f>
        <v>PT Bank Rakyat Indonesia</v>
      </c>
    </row>
    <row r="56" spans="2:6" ht="15" customHeight="1" x14ac:dyDescent="0.3">
      <c r="C56" s="3"/>
      <c r="D56" s="8">
        <v>2024</v>
      </c>
      <c r="E56" s="62">
        <f>Data!O56</f>
        <v>0</v>
      </c>
      <c r="F56" s="16">
        <f>Data!P56</f>
        <v>0</v>
      </c>
    </row>
    <row r="57" spans="2:6" ht="15" customHeight="1" x14ac:dyDescent="0.3">
      <c r="B57" s="8">
        <v>6</v>
      </c>
      <c r="C57" s="3" t="s">
        <v>21</v>
      </c>
      <c r="D57" s="8">
        <v>2014</v>
      </c>
      <c r="E57" s="62">
        <f>Data!O57</f>
        <v>0</v>
      </c>
      <c r="F57" s="16">
        <f>Data!P57</f>
        <v>0</v>
      </c>
    </row>
    <row r="58" spans="2:6" ht="15" customHeight="1" x14ac:dyDescent="0.3">
      <c r="C58" s="3"/>
      <c r="D58" s="8">
        <v>2015</v>
      </c>
      <c r="E58" s="62">
        <f>Data!O58</f>
        <v>0</v>
      </c>
      <c r="F58" s="16">
        <f>Data!P58</f>
        <v>0</v>
      </c>
    </row>
    <row r="59" spans="2:6" ht="15" customHeight="1" x14ac:dyDescent="0.3">
      <c r="C59" s="3"/>
      <c r="D59" s="8">
        <v>2016</v>
      </c>
      <c r="E59" s="62">
        <f>Data!O59</f>
        <v>0</v>
      </c>
      <c r="F59" s="16">
        <f>Data!P59</f>
        <v>0</v>
      </c>
    </row>
    <row r="60" spans="2:6" ht="15" customHeight="1" x14ac:dyDescent="0.3">
      <c r="C60" s="3"/>
      <c r="D60" s="8">
        <v>2017</v>
      </c>
      <c r="E60" s="62">
        <f>Data!O60</f>
        <v>0.6</v>
      </c>
      <c r="F60" s="16" t="str">
        <f>Data!P60</f>
        <v>PT Ciputra Internasional</v>
      </c>
    </row>
    <row r="61" spans="2:6" ht="15" customHeight="1" x14ac:dyDescent="0.3">
      <c r="C61" s="3"/>
      <c r="D61" s="8">
        <v>2018</v>
      </c>
      <c r="E61" s="62">
        <f>Data!O61</f>
        <v>0.6</v>
      </c>
      <c r="F61" s="16" t="str">
        <f>Data!P61</f>
        <v>PT Ciputra Internasional</v>
      </c>
    </row>
    <row r="62" spans="2:6" ht="15" customHeight="1" x14ac:dyDescent="0.3">
      <c r="C62" s="3"/>
      <c r="D62" s="8">
        <v>2019</v>
      </c>
      <c r="E62" s="62">
        <f>Data!O62</f>
        <v>0.6</v>
      </c>
      <c r="F62" s="16" t="str">
        <f>Data!P62</f>
        <v>PT Ciputra Internasional</v>
      </c>
    </row>
    <row r="63" spans="2:6" ht="15" customHeight="1" x14ac:dyDescent="0.3">
      <c r="C63" s="3"/>
      <c r="D63" s="8">
        <v>2020</v>
      </c>
      <c r="E63" s="62">
        <f>Data!O63</f>
        <v>0.6</v>
      </c>
      <c r="F63" s="16" t="str">
        <f>Data!P63</f>
        <v>PT Ciputra Internasional</v>
      </c>
    </row>
    <row r="64" spans="2:6" ht="15" customHeight="1" x14ac:dyDescent="0.3">
      <c r="C64" s="3"/>
      <c r="D64" s="8">
        <v>2021</v>
      </c>
      <c r="E64" s="62">
        <f>Data!O64</f>
        <v>0.6</v>
      </c>
      <c r="F64" s="16" t="str">
        <f>Data!P64</f>
        <v>PT Ciputra Internasional</v>
      </c>
    </row>
    <row r="65" spans="2:6" ht="15" customHeight="1" x14ac:dyDescent="0.3">
      <c r="C65" s="3"/>
      <c r="D65" s="8">
        <v>2022</v>
      </c>
      <c r="E65" s="62">
        <f>Data!O65</f>
        <v>0.6</v>
      </c>
      <c r="F65" s="16" t="str">
        <f>Data!P65</f>
        <v>PT Ciputra Internasional</v>
      </c>
    </row>
    <row r="66" spans="2:6" ht="15" customHeight="1" x14ac:dyDescent="0.3">
      <c r="C66" s="3"/>
      <c r="D66" s="8">
        <v>2023</v>
      </c>
      <c r="E66" s="62">
        <f>Data!O66</f>
        <v>0.6</v>
      </c>
      <c r="F66" s="16" t="str">
        <f>Data!P66</f>
        <v>PT Ciputra Internasional</v>
      </c>
    </row>
    <row r="67" spans="2:6" ht="15" customHeight="1" x14ac:dyDescent="0.3">
      <c r="C67" s="3"/>
      <c r="D67" s="8">
        <v>2024</v>
      </c>
      <c r="E67" s="62">
        <f>Data!O67</f>
        <v>0.6</v>
      </c>
      <c r="F67" s="16" t="str">
        <f>Data!P67</f>
        <v>PT Ciputra Internasional</v>
      </c>
    </row>
    <row r="68" spans="2:6" ht="15" customHeight="1" x14ac:dyDescent="0.3">
      <c r="B68" s="8">
        <v>7</v>
      </c>
      <c r="C68" s="3" t="s">
        <v>19</v>
      </c>
      <c r="D68" s="8">
        <v>2014</v>
      </c>
      <c r="E68" s="62">
        <f>Data!O68</f>
        <v>0</v>
      </c>
      <c r="F68" s="16">
        <f>Data!P68</f>
        <v>0</v>
      </c>
    </row>
    <row r="69" spans="2:6" ht="15" customHeight="1" x14ac:dyDescent="0.3">
      <c r="C69" s="3"/>
      <c r="D69" s="8">
        <v>2015</v>
      </c>
      <c r="E69" s="62">
        <f>Data!O69</f>
        <v>0.5</v>
      </c>
      <c r="F69" s="16" t="str">
        <f>Data!P69</f>
        <v>Aviva International Holding dan PT Astra International</v>
      </c>
    </row>
    <row r="70" spans="2:6" ht="15" customHeight="1" x14ac:dyDescent="0.3">
      <c r="C70" s="3"/>
      <c r="D70" s="8">
        <v>2016</v>
      </c>
      <c r="E70" s="62">
        <f>Data!O70</f>
        <v>0.5</v>
      </c>
      <c r="F70" s="16" t="str">
        <f>Data!P70</f>
        <v>Aviva International Holding dan PT Astra International</v>
      </c>
    </row>
    <row r="71" spans="2:6" ht="15" customHeight="1" x14ac:dyDescent="0.3">
      <c r="C71" s="3"/>
      <c r="D71" s="8">
        <v>2017</v>
      </c>
      <c r="E71" s="62">
        <f>Data!O71</f>
        <v>0.5</v>
      </c>
      <c r="F71" s="16" t="str">
        <f>Data!P71</f>
        <v>Aviva International Holding dan PT Astra International</v>
      </c>
    </row>
    <row r="72" spans="2:6" ht="15" customHeight="1" x14ac:dyDescent="0.3">
      <c r="C72" s="3"/>
      <c r="D72" s="8">
        <v>2018</v>
      </c>
      <c r="E72" s="62">
        <f>Data!O72</f>
        <v>0.5</v>
      </c>
      <c r="F72" s="16" t="str">
        <f>Data!P72</f>
        <v>Aviva International Holding dan PT Astra International</v>
      </c>
    </row>
    <row r="73" spans="2:6" ht="15" customHeight="1" x14ac:dyDescent="0.3">
      <c r="C73" s="3"/>
      <c r="D73" s="8">
        <v>2019</v>
      </c>
      <c r="E73" s="62">
        <f>Data!O73</f>
        <v>0.5</v>
      </c>
      <c r="F73" s="16" t="str">
        <f>Data!P73</f>
        <v>Aviva International Holding dan PT Astra International</v>
      </c>
    </row>
    <row r="74" spans="2:6" ht="15" customHeight="1" x14ac:dyDescent="0.3">
      <c r="C74" s="3"/>
      <c r="D74" s="8">
        <v>2020</v>
      </c>
      <c r="E74" s="62">
        <f>Data!O74</f>
        <v>0.49990000000000001</v>
      </c>
      <c r="F74" s="16" t="str">
        <f>Data!P74</f>
        <v>PT Astra International dan PT Sedaya Multi Investama</v>
      </c>
    </row>
    <row r="75" spans="2:6" ht="15" customHeight="1" x14ac:dyDescent="0.3">
      <c r="C75" s="3"/>
      <c r="D75" s="8">
        <v>2021</v>
      </c>
      <c r="E75" s="62">
        <f>Data!O75</f>
        <v>0.49990000000000001</v>
      </c>
      <c r="F75" s="16" t="str">
        <f>Data!P75</f>
        <v>PT Astra International dan PT Sedaya Multi Investama</v>
      </c>
    </row>
    <row r="76" spans="2:6" ht="15" customHeight="1" x14ac:dyDescent="0.3">
      <c r="C76" s="3"/>
      <c r="D76" s="8">
        <v>2022</v>
      </c>
      <c r="E76" s="62">
        <f>Data!O76</f>
        <v>0.49990000000000001</v>
      </c>
      <c r="F76" s="16" t="str">
        <f>Data!P76</f>
        <v>PT Astra International dan PT Sedaya Multi Investama</v>
      </c>
    </row>
    <row r="77" spans="2:6" ht="15" customHeight="1" x14ac:dyDescent="0.3">
      <c r="C77" s="3"/>
      <c r="D77" s="8">
        <v>2023</v>
      </c>
      <c r="E77" s="62">
        <f>Data!O77</f>
        <v>0.49990000000000001</v>
      </c>
      <c r="F77" s="16" t="str">
        <f>Data!P77</f>
        <v>PT Astra International dan PT Sedaya Multi Investama</v>
      </c>
    </row>
    <row r="78" spans="2:6" ht="15" customHeight="1" x14ac:dyDescent="0.3">
      <c r="C78" s="3"/>
      <c r="D78" s="8">
        <v>2024</v>
      </c>
      <c r="E78" s="62">
        <f>Data!O78</f>
        <v>0.49990000000000001</v>
      </c>
      <c r="F78" s="16" t="str">
        <f>Data!P78</f>
        <v>PT Astra International dan PT Sedaya Multi Investama</v>
      </c>
    </row>
    <row r="79" spans="2:6" ht="15" customHeight="1" x14ac:dyDescent="0.3">
      <c r="B79" s="8">
        <v>8</v>
      </c>
      <c r="C79" s="3" t="s">
        <v>8</v>
      </c>
      <c r="D79" s="8">
        <v>2014</v>
      </c>
      <c r="E79" s="62">
        <f>Data!O79</f>
        <v>0</v>
      </c>
      <c r="F79" s="16">
        <f>Data!P79</f>
        <v>0</v>
      </c>
    </row>
    <row r="80" spans="2:6" ht="15" customHeight="1" x14ac:dyDescent="0.3">
      <c r="C80" s="3"/>
      <c r="D80" s="8">
        <v>2015</v>
      </c>
      <c r="E80" s="62">
        <f>Data!O80</f>
        <v>0.99990000000000001</v>
      </c>
      <c r="F80" s="16" t="str">
        <f>Data!P80</f>
        <v>PT BCA Sekuritas</v>
      </c>
    </row>
    <row r="81" spans="2:6" ht="15" customHeight="1" x14ac:dyDescent="0.3">
      <c r="C81" s="3"/>
      <c r="D81" s="8">
        <v>2016</v>
      </c>
      <c r="E81" s="62">
        <f>Data!O81</f>
        <v>0.99990000000000001</v>
      </c>
      <c r="F81" s="16" t="str">
        <f>Data!P81</f>
        <v>PT BCA Sekuritas</v>
      </c>
    </row>
    <row r="82" spans="2:6" ht="15" customHeight="1" x14ac:dyDescent="0.3">
      <c r="C82" s="3"/>
      <c r="D82" s="8">
        <v>2017</v>
      </c>
      <c r="E82" s="62">
        <f>Data!O82</f>
        <v>0.9</v>
      </c>
      <c r="F82" s="16" t="str">
        <f>Data!P82</f>
        <v>PT BCA Sekuritas</v>
      </c>
    </row>
    <row r="83" spans="2:6" ht="15" customHeight="1" x14ac:dyDescent="0.3">
      <c r="C83" s="3"/>
      <c r="D83" s="8">
        <v>2018</v>
      </c>
      <c r="E83" s="62">
        <f>Data!O83</f>
        <v>0.9</v>
      </c>
      <c r="F83" s="16" t="str">
        <f>Data!P83</f>
        <v>PT BCA Sekuritas</v>
      </c>
    </row>
    <row r="84" spans="2:6" ht="15" customHeight="1" x14ac:dyDescent="0.3">
      <c r="C84" s="3"/>
      <c r="D84" s="8">
        <v>2019</v>
      </c>
      <c r="E84" s="62">
        <f>Data!O84</f>
        <v>0.9</v>
      </c>
      <c r="F84" s="16" t="str">
        <f>Data!P84</f>
        <v>PT BCA Sekuritas</v>
      </c>
    </row>
    <row r="85" spans="2:6" ht="15" customHeight="1" x14ac:dyDescent="0.3">
      <c r="C85" s="3"/>
      <c r="D85" s="8">
        <v>2020</v>
      </c>
      <c r="E85" s="62">
        <f>Data!O85</f>
        <v>0.9</v>
      </c>
      <c r="F85" s="16" t="str">
        <f>Data!P85</f>
        <v>PT BCA Sekuritas</v>
      </c>
    </row>
    <row r="86" spans="2:6" ht="15" customHeight="1" x14ac:dyDescent="0.3">
      <c r="C86" s="3"/>
      <c r="D86" s="8">
        <v>2021</v>
      </c>
      <c r="E86" s="62">
        <f>Data!O86</f>
        <v>0.9</v>
      </c>
      <c r="F86" s="16" t="str">
        <f>Data!P86</f>
        <v>PT BCA Sekuritas</v>
      </c>
    </row>
    <row r="87" spans="2:6" ht="15" customHeight="1" x14ac:dyDescent="0.3">
      <c r="C87" s="3"/>
      <c r="D87" s="8">
        <v>2022</v>
      </c>
      <c r="E87" s="62">
        <f>Data!O87</f>
        <v>0.9</v>
      </c>
      <c r="F87" s="16" t="str">
        <f>Data!P87</f>
        <v>PT BCA Sekuritas</v>
      </c>
    </row>
    <row r="88" spans="2:6" ht="15" customHeight="1" x14ac:dyDescent="0.3">
      <c r="C88" s="3"/>
      <c r="D88" s="8">
        <v>2023</v>
      </c>
      <c r="E88" s="62">
        <f>Data!O88</f>
        <v>0.9</v>
      </c>
      <c r="F88" s="16" t="str">
        <f>Data!P88</f>
        <v>PT BCA Sekuritas</v>
      </c>
    </row>
    <row r="89" spans="2:6" ht="15" customHeight="1" x14ac:dyDescent="0.3">
      <c r="C89" s="3"/>
      <c r="D89" s="8">
        <v>2024</v>
      </c>
      <c r="E89" s="62">
        <f>Data!O89</f>
        <v>0.9</v>
      </c>
      <c r="F89" s="16" t="str">
        <f>Data!P89</f>
        <v>PT BCA Sekuritas</v>
      </c>
    </row>
    <row r="90" spans="2:6" ht="15" customHeight="1" x14ac:dyDescent="0.3">
      <c r="B90" s="8">
        <v>9</v>
      </c>
      <c r="C90" s="3" t="s">
        <v>11</v>
      </c>
      <c r="D90" s="8">
        <v>2014</v>
      </c>
      <c r="E90" s="62">
        <f>Data!O90</f>
        <v>0</v>
      </c>
      <c r="F90" s="16">
        <f>Data!P90</f>
        <v>0</v>
      </c>
    </row>
    <row r="91" spans="2:6" ht="15" customHeight="1" x14ac:dyDescent="0.3">
      <c r="C91" s="3"/>
      <c r="D91" s="8">
        <v>2015</v>
      </c>
      <c r="E91" s="62">
        <f>Data!O91</f>
        <v>0.99990000000000001</v>
      </c>
      <c r="F91" s="16" t="str">
        <f>Data!P91</f>
        <v>PT Asuransi Central Asia</v>
      </c>
    </row>
    <row r="92" spans="2:6" ht="15" customHeight="1" x14ac:dyDescent="0.3">
      <c r="C92" s="3"/>
      <c r="D92" s="8">
        <v>2016</v>
      </c>
      <c r="E92" s="62">
        <f>Data!O92</f>
        <v>0.99</v>
      </c>
      <c r="F92" s="16" t="str">
        <f>Data!P92</f>
        <v>PT Asuransi Central Asia</v>
      </c>
    </row>
    <row r="93" spans="2:6" ht="15" customHeight="1" x14ac:dyDescent="0.3">
      <c r="C93" s="3"/>
      <c r="D93" s="8">
        <v>2017</v>
      </c>
      <c r="E93" s="62">
        <f>Data!O93</f>
        <v>0.99</v>
      </c>
      <c r="F93" s="16" t="str">
        <f>Data!P93</f>
        <v>PT Asuransi Central Asia</v>
      </c>
    </row>
    <row r="94" spans="2:6" ht="15" customHeight="1" x14ac:dyDescent="0.3">
      <c r="C94" s="3"/>
      <c r="D94" s="8">
        <v>2018</v>
      </c>
      <c r="E94" s="62">
        <f>Data!O94</f>
        <v>0.99</v>
      </c>
      <c r="F94" s="16" t="str">
        <f>Data!P94</f>
        <v>PT Asuransi Central Asia</v>
      </c>
    </row>
    <row r="95" spans="2:6" ht="15" customHeight="1" x14ac:dyDescent="0.3">
      <c r="C95" s="3"/>
      <c r="D95" s="8">
        <v>2019</v>
      </c>
      <c r="E95" s="62">
        <f>Data!O95</f>
        <v>0.99</v>
      </c>
      <c r="F95" s="16" t="str">
        <f>Data!P95</f>
        <v>PT Asuransi Central Asia</v>
      </c>
    </row>
    <row r="96" spans="2:6" ht="15" customHeight="1" x14ac:dyDescent="0.3">
      <c r="C96" s="3"/>
      <c r="D96" s="8">
        <v>2020</v>
      </c>
      <c r="E96" s="62">
        <f>Data!O96</f>
        <v>0.99</v>
      </c>
      <c r="F96" s="16" t="str">
        <f>Data!P96</f>
        <v>PT Asuransi Central Asia</v>
      </c>
    </row>
    <row r="97" spans="2:6" ht="15" customHeight="1" x14ac:dyDescent="0.3">
      <c r="C97" s="3"/>
      <c r="D97" s="8">
        <v>2021</v>
      </c>
      <c r="E97" s="62">
        <f>Data!O97</f>
        <v>0.99</v>
      </c>
      <c r="F97" s="16" t="str">
        <f>Data!P97</f>
        <v>PT Asuransi Central Asia</v>
      </c>
    </row>
    <row r="98" spans="2:6" ht="15" customHeight="1" x14ac:dyDescent="0.3">
      <c r="C98" s="3"/>
      <c r="D98" s="8">
        <v>2022</v>
      </c>
      <c r="E98" s="62">
        <f>Data!O98</f>
        <v>0.99</v>
      </c>
      <c r="F98" s="16" t="str">
        <f>Data!P98</f>
        <v>PT Asuransi Central Asia</v>
      </c>
    </row>
    <row r="99" spans="2:6" ht="15" customHeight="1" x14ac:dyDescent="0.3">
      <c r="C99" s="3"/>
      <c r="D99" s="8">
        <v>2023</v>
      </c>
      <c r="E99" s="62">
        <f>Data!O99</f>
        <v>0.99</v>
      </c>
      <c r="F99" s="16" t="str">
        <f>Data!P99</f>
        <v>PT Asuransi Central Asia</v>
      </c>
    </row>
    <row r="100" spans="2:6" ht="15" customHeight="1" x14ac:dyDescent="0.3">
      <c r="C100" s="3"/>
      <c r="D100" s="8">
        <v>2024</v>
      </c>
      <c r="E100" s="62">
        <f>Data!O100</f>
        <v>0.99</v>
      </c>
      <c r="F100" s="16" t="str">
        <f>Data!P100</f>
        <v>PT Asuransi Central Asia</v>
      </c>
    </row>
    <row r="101" spans="2:6" ht="15" customHeight="1" x14ac:dyDescent="0.3">
      <c r="B101" s="8">
        <v>10</v>
      </c>
      <c r="C101" s="3" t="s">
        <v>13</v>
      </c>
      <c r="D101" s="8">
        <v>2014</v>
      </c>
      <c r="E101" s="62">
        <f>Data!O101</f>
        <v>0</v>
      </c>
      <c r="F101" s="16">
        <f>Data!P101</f>
        <v>0</v>
      </c>
    </row>
    <row r="102" spans="2:6" ht="15" customHeight="1" x14ac:dyDescent="0.3">
      <c r="C102" s="3"/>
      <c r="D102" s="8">
        <v>2015</v>
      </c>
      <c r="E102" s="62">
        <f>Data!O102</f>
        <v>0.9859</v>
      </c>
      <c r="F102" s="16" t="str">
        <f>Data!P102</f>
        <v>Generali Asia N.V.</v>
      </c>
    </row>
    <row r="103" spans="2:6" ht="15" customHeight="1" x14ac:dyDescent="0.3">
      <c r="C103" s="3"/>
      <c r="D103" s="8">
        <v>2016</v>
      </c>
      <c r="E103" s="62">
        <f>Data!O103</f>
        <v>0.98</v>
      </c>
      <c r="F103" s="16" t="str">
        <f>Data!P103</f>
        <v>Generali Asia N.V.</v>
      </c>
    </row>
    <row r="104" spans="2:6" ht="15" customHeight="1" x14ac:dyDescent="0.3">
      <c r="C104" s="3"/>
      <c r="D104" s="8">
        <v>2017</v>
      </c>
      <c r="E104" s="62">
        <f>Data!O104</f>
        <v>0.98</v>
      </c>
      <c r="F104" s="16" t="str">
        <f>Data!P104</f>
        <v>Generali Asia N.V.</v>
      </c>
    </row>
    <row r="105" spans="2:6" ht="15" customHeight="1" x14ac:dyDescent="0.3">
      <c r="C105" s="3"/>
      <c r="D105" s="8">
        <v>2018</v>
      </c>
      <c r="E105" s="62">
        <f>Data!O105</f>
        <v>0.98</v>
      </c>
      <c r="F105" s="16" t="str">
        <f>Data!P105</f>
        <v>Generali Asia N.V.</v>
      </c>
    </row>
    <row r="106" spans="2:6" ht="15" customHeight="1" x14ac:dyDescent="0.3">
      <c r="C106" s="3"/>
      <c r="D106" s="8">
        <v>2019</v>
      </c>
      <c r="E106" s="62">
        <f>Data!O106</f>
        <v>0.98</v>
      </c>
      <c r="F106" s="16" t="str">
        <f>Data!P106</f>
        <v>Generali Asia N.V.</v>
      </c>
    </row>
    <row r="107" spans="2:6" ht="15" customHeight="1" x14ac:dyDescent="0.3">
      <c r="C107" s="3"/>
      <c r="D107" s="8">
        <v>2020</v>
      </c>
      <c r="E107" s="62">
        <f>Data!O107</f>
        <v>0.98</v>
      </c>
      <c r="F107" s="16" t="str">
        <f>Data!P107</f>
        <v>Generali Asia N.V.</v>
      </c>
    </row>
    <row r="108" spans="2:6" ht="15" customHeight="1" x14ac:dyDescent="0.3">
      <c r="C108" s="3"/>
      <c r="D108" s="8">
        <v>2021</v>
      </c>
      <c r="E108" s="62">
        <f>Data!O108</f>
        <v>0.98</v>
      </c>
      <c r="F108" s="16" t="str">
        <f>Data!P108</f>
        <v>Generali Asia N.V.</v>
      </c>
    </row>
    <row r="109" spans="2:6" ht="15" customHeight="1" x14ac:dyDescent="0.3">
      <c r="C109" s="3"/>
      <c r="D109" s="8">
        <v>2022</v>
      </c>
      <c r="E109" s="62">
        <f>Data!O109</f>
        <v>0.98</v>
      </c>
      <c r="F109" s="16" t="str">
        <f>Data!P109</f>
        <v>Generali Asia N.V.</v>
      </c>
    </row>
    <row r="110" spans="2:6" ht="15" customHeight="1" x14ac:dyDescent="0.3">
      <c r="C110" s="3"/>
      <c r="D110" s="8">
        <v>2023</v>
      </c>
      <c r="E110" s="62">
        <f>Data!O110</f>
        <v>0.98</v>
      </c>
      <c r="F110" s="16" t="str">
        <f>Data!P110</f>
        <v>Generali Asia N.V.</v>
      </c>
    </row>
    <row r="111" spans="2:6" ht="15" customHeight="1" x14ac:dyDescent="0.3">
      <c r="C111" s="3"/>
      <c r="D111" s="8">
        <v>2024</v>
      </c>
      <c r="E111" s="62">
        <f>Data!O111</f>
        <v>0.98</v>
      </c>
      <c r="F111" s="16" t="str">
        <f>Data!P111</f>
        <v>Generali Asia N.V.</v>
      </c>
    </row>
    <row r="112" spans="2:6" ht="15" customHeight="1" x14ac:dyDescent="0.3">
      <c r="B112" s="8">
        <v>11</v>
      </c>
      <c r="C112" s="3" t="s">
        <v>23</v>
      </c>
      <c r="D112" s="8">
        <v>2014</v>
      </c>
      <c r="E112" s="62">
        <f>Data!O112</f>
        <v>0</v>
      </c>
      <c r="F112" s="16">
        <f>Data!P112</f>
        <v>0</v>
      </c>
    </row>
    <row r="113" spans="2:6" ht="15" customHeight="1" x14ac:dyDescent="0.3">
      <c r="C113" s="3"/>
      <c r="D113" s="8">
        <v>2015</v>
      </c>
      <c r="E113" s="62">
        <f>Data!O113</f>
        <v>0</v>
      </c>
      <c r="F113" s="16">
        <f>Data!P113</f>
        <v>0</v>
      </c>
    </row>
    <row r="114" spans="2:6" ht="15" customHeight="1" x14ac:dyDescent="0.3">
      <c r="C114" s="3"/>
      <c r="D114" s="8">
        <v>2016</v>
      </c>
      <c r="E114" s="62">
        <f>Data!O114</f>
        <v>0</v>
      </c>
      <c r="F114" s="16">
        <f>Data!P114</f>
        <v>0</v>
      </c>
    </row>
    <row r="115" spans="2:6" ht="15" customHeight="1" x14ac:dyDescent="0.3">
      <c r="C115" s="3"/>
      <c r="D115" s="8">
        <v>2017</v>
      </c>
      <c r="E115" s="62">
        <f>Data!O115</f>
        <v>0</v>
      </c>
      <c r="F115" s="16">
        <f>Data!P115</f>
        <v>0</v>
      </c>
    </row>
    <row r="116" spans="2:6" ht="15" customHeight="1" x14ac:dyDescent="0.3">
      <c r="C116" s="3"/>
      <c r="D116" s="8">
        <v>2018</v>
      </c>
      <c r="E116" s="62">
        <f>Data!O116</f>
        <v>0</v>
      </c>
      <c r="F116" s="16">
        <f>Data!P116</f>
        <v>0</v>
      </c>
    </row>
    <row r="117" spans="2:6" ht="15" customHeight="1" x14ac:dyDescent="0.3">
      <c r="C117" s="3"/>
      <c r="D117" s="8">
        <v>2019</v>
      </c>
      <c r="E117" s="62">
        <f>Data!O117</f>
        <v>0</v>
      </c>
      <c r="F117" s="16">
        <f>Data!P117</f>
        <v>0</v>
      </c>
    </row>
    <row r="118" spans="2:6" ht="15" customHeight="1" x14ac:dyDescent="0.3">
      <c r="C118" s="3"/>
      <c r="D118" s="8">
        <v>2020</v>
      </c>
      <c r="E118" s="62">
        <f>Data!O118</f>
        <v>0.99990000000000001</v>
      </c>
      <c r="F118" s="16" t="str">
        <f>Data!P118</f>
        <v>PT Bahana Pembinaan Usaha Indonesia</v>
      </c>
    </row>
    <row r="119" spans="2:6" ht="15" customHeight="1" x14ac:dyDescent="0.3">
      <c r="C119" s="3"/>
      <c r="D119" s="8">
        <v>2021</v>
      </c>
      <c r="E119" s="62">
        <f>Data!O119</f>
        <v>0.99990000000000001</v>
      </c>
      <c r="F119" s="16" t="str">
        <f>Data!P119</f>
        <v>PT Bahana Pembinaan Usaha Indonesia</v>
      </c>
    </row>
    <row r="120" spans="2:6" ht="15" customHeight="1" x14ac:dyDescent="0.3">
      <c r="C120" s="3"/>
      <c r="D120" s="8">
        <v>2022</v>
      </c>
      <c r="E120" s="62">
        <f>Data!O120</f>
        <v>0.99990000000000001</v>
      </c>
      <c r="F120" s="16" t="str">
        <f>Data!P120</f>
        <v>PT Bahana Pembinaan Usaha Indonesia</v>
      </c>
    </row>
    <row r="121" spans="2:6" ht="15" customHeight="1" x14ac:dyDescent="0.3">
      <c r="C121" s="3"/>
      <c r="D121" s="8">
        <v>2023</v>
      </c>
      <c r="E121" s="62">
        <f>Data!O121</f>
        <v>0.99990000000000001</v>
      </c>
      <c r="F121" s="16" t="str">
        <f>Data!P121</f>
        <v>PT Bahana Pembinaan Usaha Indonesia</v>
      </c>
    </row>
    <row r="122" spans="2:6" ht="15" customHeight="1" x14ac:dyDescent="0.3">
      <c r="C122" s="3"/>
      <c r="D122" s="8">
        <v>2024</v>
      </c>
      <c r="E122" s="62">
        <f>Data!O122</f>
        <v>0.99990000000000001</v>
      </c>
      <c r="F122" s="16" t="str">
        <f>Data!P122</f>
        <v>PT Bahana Pembinaan Usaha Indonesia</v>
      </c>
    </row>
    <row r="123" spans="2:6" ht="15" customHeight="1" x14ac:dyDescent="0.3">
      <c r="B123" s="8">
        <v>12</v>
      </c>
      <c r="C123" s="3" t="s">
        <v>24</v>
      </c>
      <c r="D123" s="8">
        <v>2014</v>
      </c>
      <c r="E123" s="62">
        <f>Data!O123</f>
        <v>0</v>
      </c>
      <c r="F123" s="16">
        <f>Data!P123</f>
        <v>0</v>
      </c>
    </row>
    <row r="124" spans="2:6" ht="15" customHeight="1" x14ac:dyDescent="0.3">
      <c r="C124" s="3"/>
      <c r="D124" s="8">
        <v>2015</v>
      </c>
      <c r="E124" s="62">
        <f>Data!O124</f>
        <v>0.8</v>
      </c>
      <c r="F124" s="16" t="str">
        <f>Data!P124</f>
        <v>PT Bank Mandiri</v>
      </c>
    </row>
    <row r="125" spans="2:6" ht="15" customHeight="1" x14ac:dyDescent="0.3">
      <c r="C125" s="3"/>
      <c r="D125" s="8">
        <v>2016</v>
      </c>
      <c r="E125" s="62">
        <f>Data!O125</f>
        <v>0.8</v>
      </c>
      <c r="F125" s="16" t="str">
        <f>Data!P125</f>
        <v>PT Bank Mandiri</v>
      </c>
    </row>
    <row r="126" spans="2:6" ht="15" customHeight="1" x14ac:dyDescent="0.3">
      <c r="C126" s="3"/>
      <c r="D126" s="8">
        <v>2017</v>
      </c>
      <c r="E126" s="62">
        <f>Data!O126</f>
        <v>0.8</v>
      </c>
      <c r="F126" s="16" t="str">
        <f>Data!P126</f>
        <v>PT Bank Mandiri</v>
      </c>
    </row>
    <row r="127" spans="2:6" ht="15" customHeight="1" x14ac:dyDescent="0.3">
      <c r="C127" s="3"/>
      <c r="D127" s="8">
        <v>2018</v>
      </c>
      <c r="E127" s="62">
        <f>Data!O127</f>
        <v>0.8</v>
      </c>
      <c r="F127" s="16" t="str">
        <f>Data!P127</f>
        <v>PT Bank Mandiri</v>
      </c>
    </row>
    <row r="128" spans="2:6" ht="15" customHeight="1" x14ac:dyDescent="0.3">
      <c r="C128" s="3"/>
      <c r="D128" s="8">
        <v>2019</v>
      </c>
      <c r="E128" s="62">
        <f>Data!O128</f>
        <v>0.8</v>
      </c>
      <c r="F128" s="16" t="str">
        <f>Data!P128</f>
        <v>PT Bank Mandiri</v>
      </c>
    </row>
    <row r="129" spans="2:6" ht="15" customHeight="1" x14ac:dyDescent="0.3">
      <c r="C129" s="3"/>
      <c r="D129" s="8">
        <v>2020</v>
      </c>
      <c r="E129" s="62">
        <f>Data!O129</f>
        <v>0.8</v>
      </c>
      <c r="F129" s="16" t="str">
        <f>Data!P129</f>
        <v>PT Bank Mandiri</v>
      </c>
    </row>
    <row r="130" spans="2:6" ht="15" customHeight="1" x14ac:dyDescent="0.3">
      <c r="C130" s="3"/>
      <c r="D130" s="8">
        <v>2021</v>
      </c>
      <c r="E130" s="62">
        <f>Data!O130</f>
        <v>0.8</v>
      </c>
      <c r="F130" s="16" t="str">
        <f>Data!P130</f>
        <v>PT Bank Mandiri</v>
      </c>
    </row>
    <row r="131" spans="2:6" ht="15" customHeight="1" x14ac:dyDescent="0.3">
      <c r="C131" s="3"/>
      <c r="D131" s="8">
        <v>2022</v>
      </c>
      <c r="E131" s="62">
        <f>Data!O131</f>
        <v>0.8</v>
      </c>
      <c r="F131" s="16" t="str">
        <f>Data!P131</f>
        <v>PT Bank Mandiri</v>
      </c>
    </row>
    <row r="132" spans="2:6" ht="15" customHeight="1" x14ac:dyDescent="0.3">
      <c r="C132" s="3"/>
      <c r="D132" s="8">
        <v>2023</v>
      </c>
      <c r="E132" s="62">
        <f>Data!O132</f>
        <v>0.8</v>
      </c>
      <c r="F132" s="16" t="str">
        <f>Data!P132</f>
        <v>PT Bank Mandiri</v>
      </c>
    </row>
    <row r="133" spans="2:6" ht="15" customHeight="1" x14ac:dyDescent="0.3">
      <c r="C133" s="3"/>
      <c r="D133" s="8">
        <v>2024</v>
      </c>
      <c r="E133" s="62">
        <f>Data!O133</f>
        <v>0.8</v>
      </c>
      <c r="F133" s="16" t="str">
        <f>Data!P133</f>
        <v>PT Bank Mandiri</v>
      </c>
    </row>
    <row r="134" spans="2:6" ht="15" customHeight="1" x14ac:dyDescent="0.3">
      <c r="B134" s="8">
        <v>13</v>
      </c>
      <c r="C134" s="3" t="s">
        <v>18</v>
      </c>
      <c r="D134" s="8">
        <v>2014</v>
      </c>
      <c r="E134" s="62">
        <f>Data!O134</f>
        <v>0</v>
      </c>
      <c r="F134" s="16">
        <f>Data!P134</f>
        <v>0</v>
      </c>
    </row>
    <row r="135" spans="2:6" ht="15" customHeight="1" x14ac:dyDescent="0.3">
      <c r="C135" s="3"/>
      <c r="D135" s="8">
        <v>2015</v>
      </c>
      <c r="E135" s="62">
        <f>Data!O135</f>
        <v>0.95</v>
      </c>
      <c r="F135" s="16" t="str">
        <f>Data!P135</f>
        <v>The Manufacturers Life Insurance Company</v>
      </c>
    </row>
    <row r="136" spans="2:6" ht="15" customHeight="1" x14ac:dyDescent="0.3">
      <c r="C136" s="3"/>
      <c r="D136" s="8">
        <v>2016</v>
      </c>
      <c r="E136" s="62">
        <f>Data!O136</f>
        <v>0.95</v>
      </c>
      <c r="F136" s="16" t="str">
        <f>Data!P136</f>
        <v>The Manufacturers Life Insurance Company</v>
      </c>
    </row>
    <row r="137" spans="2:6" ht="15" customHeight="1" x14ac:dyDescent="0.3">
      <c r="C137" s="3"/>
      <c r="D137" s="8">
        <v>2017</v>
      </c>
      <c r="E137" s="62">
        <f>Data!O137</f>
        <v>0.95</v>
      </c>
      <c r="F137" s="16" t="str">
        <f>Data!P137</f>
        <v>The Manufacturers Life Insurance Company</v>
      </c>
    </row>
    <row r="138" spans="2:6" ht="15" customHeight="1" x14ac:dyDescent="0.3">
      <c r="C138" s="3"/>
      <c r="D138" s="8">
        <v>2018</v>
      </c>
      <c r="E138" s="62">
        <f>Data!O138</f>
        <v>0.95</v>
      </c>
      <c r="F138" s="16" t="str">
        <f>Data!P138</f>
        <v>The Manufacturers Life Insurance Company</v>
      </c>
    </row>
    <row r="139" spans="2:6" ht="15" customHeight="1" x14ac:dyDescent="0.3">
      <c r="C139" s="3"/>
      <c r="D139" s="8">
        <v>2019</v>
      </c>
      <c r="E139" s="62">
        <f>Data!O139</f>
        <v>0.95</v>
      </c>
      <c r="F139" s="16" t="str">
        <f>Data!P139</f>
        <v>The Manufacturers Life Insurance Company</v>
      </c>
    </row>
    <row r="140" spans="2:6" ht="15" customHeight="1" x14ac:dyDescent="0.3">
      <c r="C140" s="3"/>
      <c r="D140" s="8">
        <v>2020</v>
      </c>
      <c r="E140" s="62">
        <f>Data!O140</f>
        <v>0.95</v>
      </c>
      <c r="F140" s="16" t="str">
        <f>Data!P140</f>
        <v>Manulife Financial Asia Limited</v>
      </c>
    </row>
    <row r="141" spans="2:6" ht="15" customHeight="1" x14ac:dyDescent="0.3">
      <c r="C141" s="3"/>
      <c r="D141" s="8">
        <v>2021</v>
      </c>
      <c r="E141" s="62">
        <f>Data!O141</f>
        <v>0.95</v>
      </c>
      <c r="F141" s="16" t="str">
        <f>Data!P141</f>
        <v>Manulife Financial Asia Limited</v>
      </c>
    </row>
    <row r="142" spans="2:6" ht="15" customHeight="1" x14ac:dyDescent="0.3">
      <c r="C142" s="3"/>
      <c r="D142" s="8">
        <v>2022</v>
      </c>
      <c r="E142" s="62">
        <f>Data!O142</f>
        <v>0.95</v>
      </c>
      <c r="F142" s="16" t="str">
        <f>Data!P142</f>
        <v>Manulife Financial Asia Limited</v>
      </c>
    </row>
    <row r="143" spans="2:6" ht="15" customHeight="1" x14ac:dyDescent="0.3">
      <c r="C143" s="3"/>
      <c r="D143" s="8">
        <v>2023</v>
      </c>
      <c r="E143" s="62">
        <f>Data!O143</f>
        <v>0.95</v>
      </c>
      <c r="F143" s="16" t="str">
        <f>Data!P143</f>
        <v>Manulife Financial Asia Limited</v>
      </c>
    </row>
    <row r="144" spans="2:6" ht="15" customHeight="1" x14ac:dyDescent="0.3">
      <c r="C144" s="3"/>
      <c r="D144" s="8">
        <v>2024</v>
      </c>
      <c r="E144" s="62">
        <f>Data!O144</f>
        <v>0.95</v>
      </c>
      <c r="F144" s="16">
        <f>Data!P144</f>
        <v>0</v>
      </c>
    </row>
    <row r="145" spans="2:6" ht="15" customHeight="1" x14ac:dyDescent="0.3">
      <c r="B145" s="8">
        <v>14</v>
      </c>
      <c r="C145" s="4" t="s">
        <v>57</v>
      </c>
      <c r="D145" s="8">
        <v>2014</v>
      </c>
      <c r="E145" s="62">
        <f>Data!O145</f>
        <v>0</v>
      </c>
      <c r="F145" s="16">
        <f>Data!P145</f>
        <v>0</v>
      </c>
    </row>
    <row r="146" spans="2:6" ht="15" customHeight="1" x14ac:dyDescent="0.3">
      <c r="C146" s="4"/>
      <c r="D146" s="8">
        <v>2015</v>
      </c>
      <c r="E146" s="62">
        <f>Data!O146</f>
        <v>0</v>
      </c>
      <c r="F146" s="16">
        <f>Data!P146</f>
        <v>0</v>
      </c>
    </row>
    <row r="147" spans="2:6" ht="15" customHeight="1" x14ac:dyDescent="0.3">
      <c r="C147" s="4"/>
      <c r="D147" s="8">
        <v>2016</v>
      </c>
      <c r="E147" s="62">
        <f>Data!O147</f>
        <v>0</v>
      </c>
      <c r="F147" s="16">
        <f>Data!P147</f>
        <v>0</v>
      </c>
    </row>
    <row r="148" spans="2:6" ht="15" customHeight="1" x14ac:dyDescent="0.3">
      <c r="C148" s="4"/>
      <c r="D148" s="8">
        <v>2017</v>
      </c>
      <c r="E148" s="62">
        <f>Data!O148</f>
        <v>0</v>
      </c>
      <c r="F148" s="16">
        <f>Data!P148</f>
        <v>0</v>
      </c>
    </row>
    <row r="149" spans="2:6" ht="15" customHeight="1" x14ac:dyDescent="0.3">
      <c r="C149" s="4"/>
      <c r="D149" s="8">
        <v>2018</v>
      </c>
      <c r="E149" s="62">
        <f>Data!O149</f>
        <v>0</v>
      </c>
      <c r="F149" s="16">
        <f>Data!P149</f>
        <v>0</v>
      </c>
    </row>
    <row r="150" spans="2:6" ht="15" customHeight="1" x14ac:dyDescent="0.3">
      <c r="C150" s="4"/>
      <c r="D150" s="8">
        <v>2019</v>
      </c>
      <c r="E150" s="62">
        <f>Data!O150</f>
        <v>0</v>
      </c>
      <c r="F150" s="16">
        <f>Data!P150</f>
        <v>0</v>
      </c>
    </row>
    <row r="151" spans="2:6" ht="15" customHeight="1" x14ac:dyDescent="0.3">
      <c r="C151" s="4"/>
      <c r="D151" s="8">
        <v>2020</v>
      </c>
      <c r="E151" s="62">
        <f>Data!O151</f>
        <v>0</v>
      </c>
      <c r="F151" s="16">
        <f>Data!P151</f>
        <v>0</v>
      </c>
    </row>
    <row r="152" spans="2:6" ht="15" customHeight="1" x14ac:dyDescent="0.3">
      <c r="C152" s="4"/>
      <c r="D152" s="8">
        <v>2021</v>
      </c>
      <c r="E152" s="62">
        <f>Data!O152</f>
        <v>0</v>
      </c>
      <c r="F152" s="16">
        <f>Data!P152</f>
        <v>0</v>
      </c>
    </row>
    <row r="153" spans="2:6" ht="15" customHeight="1" x14ac:dyDescent="0.3">
      <c r="C153" s="4"/>
      <c r="D153" s="8">
        <v>2022</v>
      </c>
      <c r="E153" s="62">
        <f>Data!O153</f>
        <v>0</v>
      </c>
      <c r="F153" s="16">
        <f>Data!P153</f>
        <v>0</v>
      </c>
    </row>
    <row r="154" spans="2:6" ht="15" customHeight="1" x14ac:dyDescent="0.3">
      <c r="C154" s="4"/>
      <c r="D154" s="8">
        <v>2023</v>
      </c>
      <c r="E154" s="62">
        <f>Data!O154</f>
        <v>0</v>
      </c>
      <c r="F154" s="16">
        <f>Data!P154</f>
        <v>0</v>
      </c>
    </row>
    <row r="155" spans="2:6" ht="15" customHeight="1" x14ac:dyDescent="0.3">
      <c r="C155" s="4"/>
      <c r="D155" s="8">
        <v>2024</v>
      </c>
      <c r="E155" s="62">
        <f>Data!O155</f>
        <v>0.99</v>
      </c>
      <c r="F155" s="16" t="str">
        <f>Data!P155</f>
        <v>PT Asuransi Jiwa Manulife Indonesia</v>
      </c>
    </row>
    <row r="156" spans="2:6" ht="15" customHeight="1" x14ac:dyDescent="0.3">
      <c r="B156" s="8">
        <v>15</v>
      </c>
      <c r="C156" s="3" t="s">
        <v>25</v>
      </c>
      <c r="D156" s="8">
        <v>2014</v>
      </c>
      <c r="E156" s="62">
        <f>Data!O156</f>
        <v>0</v>
      </c>
      <c r="F156" s="16">
        <f>Data!P156</f>
        <v>0</v>
      </c>
    </row>
    <row r="157" spans="2:6" ht="15" customHeight="1" x14ac:dyDescent="0.3">
      <c r="C157" s="3"/>
      <c r="D157" s="8">
        <v>2015</v>
      </c>
      <c r="E157" s="62">
        <f>Data!O157</f>
        <v>0</v>
      </c>
      <c r="F157" s="16">
        <f>Data!P157</f>
        <v>0</v>
      </c>
    </row>
    <row r="158" spans="2:6" ht="15" customHeight="1" x14ac:dyDescent="0.3">
      <c r="C158" s="3"/>
      <c r="D158" s="8">
        <v>2016</v>
      </c>
      <c r="E158" s="62">
        <f>Data!O158</f>
        <v>0</v>
      </c>
      <c r="F158" s="16">
        <f>Data!P158</f>
        <v>0</v>
      </c>
    </row>
    <row r="159" spans="2:6" ht="15" customHeight="1" x14ac:dyDescent="0.3">
      <c r="C159" s="3"/>
      <c r="D159" s="8">
        <v>2017</v>
      </c>
      <c r="E159" s="62">
        <f>Data!O159</f>
        <v>0</v>
      </c>
      <c r="F159" s="16">
        <f>Data!P159</f>
        <v>0</v>
      </c>
    </row>
    <row r="160" spans="2:6" ht="15" customHeight="1" x14ac:dyDescent="0.3">
      <c r="C160" s="3"/>
      <c r="D160" s="8">
        <v>2018</v>
      </c>
      <c r="E160" s="62">
        <f>Data!O160</f>
        <v>0.99</v>
      </c>
      <c r="F160" s="16" t="str">
        <f>Data!P160</f>
        <v>PT Nasional Investiondo Perkasa</v>
      </c>
    </row>
    <row r="161" spans="2:6" ht="15" customHeight="1" x14ac:dyDescent="0.3">
      <c r="C161" s="3"/>
      <c r="D161" s="8">
        <v>2019</v>
      </c>
      <c r="E161" s="62">
        <f>Data!O161</f>
        <v>0.99</v>
      </c>
      <c r="F161" s="16" t="str">
        <f>Data!P161</f>
        <v>PT Nasional Investiondo Perkasa</v>
      </c>
    </row>
    <row r="162" spans="2:6" ht="15" customHeight="1" x14ac:dyDescent="0.3">
      <c r="C162" s="3"/>
      <c r="D162" s="8">
        <v>2020</v>
      </c>
      <c r="E162" s="62">
        <f>Data!O162</f>
        <v>0.99</v>
      </c>
      <c r="F162" s="16" t="str">
        <f>Data!P162</f>
        <v>PT Nasional Investiondo Perkasa</v>
      </c>
    </row>
    <row r="163" spans="2:6" ht="15" customHeight="1" x14ac:dyDescent="0.3">
      <c r="C163" s="3"/>
      <c r="D163" s="8">
        <v>2021</v>
      </c>
      <c r="E163" s="62">
        <f>Data!O163</f>
        <v>0.99</v>
      </c>
      <c r="F163" s="16" t="str">
        <f>Data!P163</f>
        <v>PT Nasional Investiondo Perkasa</v>
      </c>
    </row>
    <row r="164" spans="2:6" ht="15" customHeight="1" x14ac:dyDescent="0.3">
      <c r="C164" s="3"/>
      <c r="D164" s="8">
        <v>2022</v>
      </c>
      <c r="E164" s="62">
        <f>Data!O164</f>
        <v>0.99</v>
      </c>
      <c r="F164" s="16" t="str">
        <f>Data!P164</f>
        <v>PT Nasional Investiondo Perkasa</v>
      </c>
    </row>
    <row r="165" spans="2:6" ht="15" customHeight="1" x14ac:dyDescent="0.3">
      <c r="C165" s="3"/>
      <c r="D165" s="8">
        <v>2023</v>
      </c>
      <c r="E165" s="62">
        <f>Data!O165</f>
        <v>0.99</v>
      </c>
      <c r="F165" s="16" t="str">
        <f>Data!P165</f>
        <v>PT Nasional Investiondo Perkasa</v>
      </c>
    </row>
    <row r="166" spans="2:6" ht="15" customHeight="1" x14ac:dyDescent="0.3">
      <c r="C166" s="3"/>
      <c r="D166" s="8">
        <v>2024</v>
      </c>
      <c r="E166" s="62">
        <f>Data!O166</f>
        <v>0.99</v>
      </c>
      <c r="F166" s="16" t="str">
        <f>Data!P166</f>
        <v>PT Nasional Investiondo Perkasa</v>
      </c>
    </row>
    <row r="167" spans="2:6" ht="15" customHeight="1" x14ac:dyDescent="0.3">
      <c r="B167" s="8">
        <v>16</v>
      </c>
      <c r="C167" s="3" t="s">
        <v>44</v>
      </c>
      <c r="D167" s="8">
        <v>2014</v>
      </c>
      <c r="E167" s="62">
        <f>Data!O167</f>
        <v>0</v>
      </c>
      <c r="F167" s="16">
        <f>Data!P167</f>
        <v>0</v>
      </c>
    </row>
    <row r="168" spans="2:6" ht="15" customHeight="1" x14ac:dyDescent="0.3">
      <c r="C168" s="3"/>
      <c r="D168" s="8">
        <v>2015</v>
      </c>
      <c r="E168" s="62">
        <f>Data!O168</f>
        <v>0.99</v>
      </c>
      <c r="F168" s="16" t="str">
        <f>Data!P168</f>
        <v>PT Reliance Capital Management</v>
      </c>
    </row>
    <row r="169" spans="2:6" ht="15" customHeight="1" x14ac:dyDescent="0.3">
      <c r="C169" s="3"/>
      <c r="D169" s="8">
        <v>2016</v>
      </c>
      <c r="E169" s="62">
        <f>Data!O169</f>
        <v>0.99</v>
      </c>
      <c r="F169" s="16" t="str">
        <f>Data!P169</f>
        <v>PT Reliance Capital Management</v>
      </c>
    </row>
    <row r="170" spans="2:6" ht="15" customHeight="1" x14ac:dyDescent="0.3">
      <c r="C170" s="3"/>
      <c r="D170" s="8">
        <v>2017</v>
      </c>
      <c r="E170" s="62">
        <f>Data!O170</f>
        <v>0.99</v>
      </c>
      <c r="F170" s="16" t="str">
        <f>Data!P170</f>
        <v>PT Reliance Capital Management</v>
      </c>
    </row>
    <row r="171" spans="2:6" ht="15" customHeight="1" x14ac:dyDescent="0.3">
      <c r="C171" s="3"/>
      <c r="D171" s="8">
        <v>2018</v>
      </c>
      <c r="E171" s="62">
        <f>Data!O171</f>
        <v>0.99</v>
      </c>
      <c r="F171" s="16" t="str">
        <f>Data!P171</f>
        <v>PT Reliance Capital Management</v>
      </c>
    </row>
    <row r="172" spans="2:6" ht="15" customHeight="1" x14ac:dyDescent="0.3">
      <c r="C172" s="3"/>
      <c r="D172" s="8">
        <v>2019</v>
      </c>
      <c r="E172" s="62">
        <f>Data!O172</f>
        <v>0.99</v>
      </c>
      <c r="F172" s="16" t="str">
        <f>Data!P172</f>
        <v>PT Reliance Capital Management</v>
      </c>
    </row>
    <row r="173" spans="2:6" ht="15" customHeight="1" x14ac:dyDescent="0.3">
      <c r="C173" s="3"/>
      <c r="D173" s="8">
        <v>2020</v>
      </c>
      <c r="E173" s="62">
        <f>Data!O173</f>
        <v>0.99</v>
      </c>
      <c r="F173" s="16" t="str">
        <f>Data!P173</f>
        <v>PT Reliance Capital Management</v>
      </c>
    </row>
    <row r="174" spans="2:6" ht="15" customHeight="1" x14ac:dyDescent="0.3">
      <c r="C174" s="3"/>
      <c r="D174" s="8">
        <v>2021</v>
      </c>
      <c r="E174" s="62">
        <f>Data!O174</f>
        <v>0.99</v>
      </c>
      <c r="F174" s="16" t="str">
        <f>Data!P174</f>
        <v>PT Reliance Capital Management</v>
      </c>
    </row>
    <row r="175" spans="2:6" ht="15" customHeight="1" x14ac:dyDescent="0.3">
      <c r="C175" s="3"/>
      <c r="D175" s="8">
        <v>2022</v>
      </c>
      <c r="E175" s="62">
        <f>Data!O175</f>
        <v>0.99</v>
      </c>
      <c r="F175" s="16" t="str">
        <f>Data!P175</f>
        <v>PT Reliance Capital Management</v>
      </c>
    </row>
    <row r="176" spans="2:6" ht="15" customHeight="1" x14ac:dyDescent="0.3">
      <c r="C176" s="3"/>
      <c r="D176" s="8">
        <v>2023</v>
      </c>
      <c r="E176" s="62">
        <f>Data!O176</f>
        <v>0.99</v>
      </c>
      <c r="F176" s="16" t="str">
        <f>Data!P176</f>
        <v>PT Reliance Capital Management</v>
      </c>
    </row>
    <row r="177" spans="2:6" ht="15" customHeight="1" x14ac:dyDescent="0.3">
      <c r="C177" s="3"/>
      <c r="D177" s="8">
        <v>2024</v>
      </c>
      <c r="E177" s="62">
        <f>Data!O177</f>
        <v>0.99</v>
      </c>
      <c r="F177" s="16" t="str">
        <f>Data!P177</f>
        <v>PT Reliance Capital Management</v>
      </c>
    </row>
    <row r="178" spans="2:6" ht="15" customHeight="1" x14ac:dyDescent="0.3">
      <c r="B178" s="8">
        <v>17</v>
      </c>
      <c r="C178" s="3" t="s">
        <v>22</v>
      </c>
      <c r="D178" s="8">
        <v>2014</v>
      </c>
      <c r="E178" s="62">
        <f>Data!O178</f>
        <v>0</v>
      </c>
      <c r="F178" s="16">
        <f>Data!P178</f>
        <v>0</v>
      </c>
    </row>
    <row r="179" spans="2:6" ht="15" customHeight="1" x14ac:dyDescent="0.3">
      <c r="C179" s="3"/>
      <c r="D179" s="8">
        <v>2015</v>
      </c>
      <c r="E179" s="62">
        <f>Data!O179</f>
        <v>0</v>
      </c>
      <c r="F179" s="16">
        <f>Data!P179</f>
        <v>0</v>
      </c>
    </row>
    <row r="180" spans="2:6" ht="15" customHeight="1" x14ac:dyDescent="0.3">
      <c r="C180" s="3"/>
      <c r="D180" s="8">
        <v>2016</v>
      </c>
      <c r="E180" s="62">
        <f>Data!O180</f>
        <v>0</v>
      </c>
      <c r="F180" s="16">
        <f>Data!P180</f>
        <v>0</v>
      </c>
    </row>
    <row r="181" spans="2:6" ht="15" customHeight="1" x14ac:dyDescent="0.3">
      <c r="C181" s="3"/>
      <c r="D181" s="8">
        <v>2017</v>
      </c>
      <c r="E181" s="62">
        <f>Data!O181</f>
        <v>0</v>
      </c>
      <c r="F181" s="16">
        <f>Data!P181</f>
        <v>0</v>
      </c>
    </row>
    <row r="182" spans="2:6" ht="15" customHeight="1" x14ac:dyDescent="0.3">
      <c r="C182" s="3"/>
      <c r="D182" s="8">
        <v>2018</v>
      </c>
      <c r="E182" s="62">
        <f>Data!O182</f>
        <v>0</v>
      </c>
      <c r="F182" s="16">
        <f>Data!P182</f>
        <v>0</v>
      </c>
    </row>
    <row r="183" spans="2:6" ht="15" customHeight="1" x14ac:dyDescent="0.3">
      <c r="C183" s="3"/>
      <c r="D183" s="8">
        <v>2019</v>
      </c>
      <c r="E183" s="62">
        <f>Data!O183</f>
        <v>0</v>
      </c>
      <c r="F183" s="16">
        <f>Data!P183</f>
        <v>0</v>
      </c>
    </row>
    <row r="184" spans="2:6" ht="15" customHeight="1" x14ac:dyDescent="0.3">
      <c r="C184" s="3"/>
      <c r="D184" s="8">
        <v>2020</v>
      </c>
      <c r="E184" s="62">
        <f>Data!O184</f>
        <v>0.99</v>
      </c>
      <c r="F184" s="16" t="str">
        <f>Data!P184</f>
        <v>PT Pool Advista Indonesia</v>
      </c>
    </row>
    <row r="185" spans="2:6" ht="15" customHeight="1" x14ac:dyDescent="0.3">
      <c r="C185" s="3"/>
      <c r="D185" s="8">
        <v>2021</v>
      </c>
      <c r="E185" s="62">
        <f>Data!O185</f>
        <v>0.99</v>
      </c>
      <c r="F185" s="16" t="str">
        <f>Data!P185</f>
        <v>PT Wahana Mandiri Sentosa</v>
      </c>
    </row>
    <row r="186" spans="2:6" ht="15" customHeight="1" x14ac:dyDescent="0.3">
      <c r="C186" s="3"/>
      <c r="D186" s="8">
        <v>2022</v>
      </c>
      <c r="E186" s="62">
        <f>Data!O186</f>
        <v>0.99</v>
      </c>
      <c r="F186" s="16" t="str">
        <f>Data!P186</f>
        <v>PT Wahana Mandiri Sentosa</v>
      </c>
    </row>
    <row r="187" spans="2:6" ht="15" customHeight="1" x14ac:dyDescent="0.3">
      <c r="C187" s="3"/>
      <c r="D187" s="8">
        <v>2023</v>
      </c>
      <c r="E187" s="62">
        <f>Data!O187</f>
        <v>0.99</v>
      </c>
      <c r="F187" s="16" t="str">
        <f>Data!P187</f>
        <v>PT Wahana Mandiri Sentosa</v>
      </c>
    </row>
    <row r="188" spans="2:6" ht="15" customHeight="1" x14ac:dyDescent="0.3">
      <c r="C188" s="3"/>
      <c r="D188" s="8">
        <v>2024</v>
      </c>
      <c r="E188" s="62">
        <f>Data!O188</f>
        <v>0.99</v>
      </c>
      <c r="F188" s="16" t="str">
        <f>Data!P188</f>
        <v>PT Wahana Mandiri Sentosa</v>
      </c>
    </row>
    <row r="189" spans="2:6" ht="15" customHeight="1" x14ac:dyDescent="0.3">
      <c r="B189" s="8">
        <v>18</v>
      </c>
      <c r="C189" s="3" t="s">
        <v>45</v>
      </c>
      <c r="D189" s="8">
        <v>2014</v>
      </c>
      <c r="E189" s="62">
        <f>Data!O189</f>
        <v>0</v>
      </c>
      <c r="F189" s="16">
        <f>Data!P189</f>
        <v>0</v>
      </c>
    </row>
    <row r="190" spans="2:6" ht="15" customHeight="1" x14ac:dyDescent="0.3">
      <c r="C190" s="3"/>
      <c r="D190" s="8">
        <v>2015</v>
      </c>
      <c r="E190" s="62">
        <f>Data!O190</f>
        <v>0.99990000000000001</v>
      </c>
      <c r="F190" s="16" t="e">
        <f>Data!#REF!</f>
        <v>#REF!</v>
      </c>
    </row>
    <row r="191" spans="2:6" ht="15" customHeight="1" x14ac:dyDescent="0.3">
      <c r="C191" s="3"/>
      <c r="D191" s="8">
        <v>2016</v>
      </c>
      <c r="E191" s="62">
        <f>Data!O191</f>
        <v>0.99990000000000001</v>
      </c>
      <c r="F191" s="16" t="str">
        <f>Data!P191</f>
        <v>PT Asuransi Jiwa Sequis Life</v>
      </c>
    </row>
    <row r="192" spans="2:6" ht="15" customHeight="1" x14ac:dyDescent="0.3">
      <c r="C192" s="3"/>
      <c r="D192" s="8">
        <v>2017</v>
      </c>
      <c r="E192" s="62">
        <f>Data!O192</f>
        <v>0.99990000000000001</v>
      </c>
      <c r="F192" s="16" t="str">
        <f>Data!P192</f>
        <v>PT Asuransi Jiwa Sequis Life</v>
      </c>
    </row>
    <row r="193" spans="2:6" ht="15" customHeight="1" x14ac:dyDescent="0.3">
      <c r="C193" s="3"/>
      <c r="D193" s="8">
        <v>2018</v>
      </c>
      <c r="E193" s="62">
        <f>Data!O193</f>
        <v>0.99990000000000001</v>
      </c>
      <c r="F193" s="16" t="str">
        <f>Data!P193</f>
        <v>PT Asuransi Jiwa Sequis Life</v>
      </c>
    </row>
    <row r="194" spans="2:6" ht="15" customHeight="1" x14ac:dyDescent="0.3">
      <c r="C194" s="3"/>
      <c r="D194" s="8">
        <v>2019</v>
      </c>
      <c r="E194" s="62">
        <f>Data!O194</f>
        <v>0.99990000000000001</v>
      </c>
      <c r="F194" s="16" t="str">
        <f>Data!P194</f>
        <v>PT Asuransi Jiwa Sequis Life</v>
      </c>
    </row>
    <row r="195" spans="2:6" ht="15" customHeight="1" x14ac:dyDescent="0.3">
      <c r="C195" s="3"/>
      <c r="D195" s="8">
        <v>2020</v>
      </c>
      <c r="E195" s="62">
        <f>Data!O195</f>
        <v>0.99990000000000001</v>
      </c>
      <c r="F195" s="16" t="str">
        <f>Data!P195</f>
        <v>PT Asuransi Jiwa Sequis Life</v>
      </c>
    </row>
    <row r="196" spans="2:6" ht="15" customHeight="1" x14ac:dyDescent="0.3">
      <c r="C196" s="3"/>
      <c r="D196" s="8">
        <v>2021</v>
      </c>
      <c r="E196" s="62">
        <f>Data!O196</f>
        <v>0.99990000000000001</v>
      </c>
      <c r="F196" s="16" t="str">
        <f>Data!P196</f>
        <v>PT Asuransi Jiwa Sequis Life</v>
      </c>
    </row>
    <row r="197" spans="2:6" ht="15" customHeight="1" x14ac:dyDescent="0.3">
      <c r="C197" s="3"/>
      <c r="D197" s="8">
        <v>2022</v>
      </c>
      <c r="E197" s="62">
        <f>Data!O197</f>
        <v>0.99990000000000001</v>
      </c>
      <c r="F197" s="16" t="str">
        <f>Data!P197</f>
        <v>PT Asuransi Jiwa Sequis Life</v>
      </c>
    </row>
    <row r="198" spans="2:6" ht="15" customHeight="1" x14ac:dyDescent="0.3">
      <c r="C198" s="3"/>
      <c r="D198" s="8">
        <v>2023</v>
      </c>
      <c r="E198" s="62">
        <f>Data!O198</f>
        <v>0.99990000000000001</v>
      </c>
      <c r="F198" s="16" t="str">
        <f>Data!P198</f>
        <v>PT Asuransi Jiwa Sequis Life</v>
      </c>
    </row>
    <row r="199" spans="2:6" ht="15" customHeight="1" x14ac:dyDescent="0.3">
      <c r="C199" s="3"/>
      <c r="D199" s="8">
        <v>2024</v>
      </c>
      <c r="E199" s="62">
        <f>Data!O199</f>
        <v>0.99990000000000001</v>
      </c>
      <c r="F199" s="16" t="str">
        <f>Data!P199</f>
        <v>PT Asuransi Jiwa Sequis Life</v>
      </c>
    </row>
    <row r="200" spans="2:6" ht="15" customHeight="1" x14ac:dyDescent="0.3">
      <c r="B200" s="8">
        <v>19</v>
      </c>
      <c r="C200" s="3" t="s">
        <v>46</v>
      </c>
      <c r="D200" s="8">
        <v>2014</v>
      </c>
      <c r="E200" s="62">
        <f>Data!O200</f>
        <v>0</v>
      </c>
      <c r="F200" s="16">
        <f>Data!P200</f>
        <v>0</v>
      </c>
    </row>
    <row r="201" spans="2:6" ht="15" customHeight="1" x14ac:dyDescent="0.3">
      <c r="C201" s="3"/>
      <c r="D201" s="8">
        <v>2015</v>
      </c>
      <c r="E201" s="62">
        <f>Data!O201</f>
        <v>0.68340000000000001</v>
      </c>
      <c r="F201" s="16" t="str">
        <f>Data!P201</f>
        <v>PT Sequis</v>
      </c>
    </row>
    <row r="202" spans="2:6" ht="15" customHeight="1" x14ac:dyDescent="0.3">
      <c r="C202" s="3"/>
      <c r="D202" s="8">
        <v>2016</v>
      </c>
      <c r="E202" s="62">
        <f>Data!O202</f>
        <v>0.68340000000000001</v>
      </c>
      <c r="F202" s="16" t="str">
        <f>Data!P202</f>
        <v>PT Sequis</v>
      </c>
    </row>
    <row r="203" spans="2:6" ht="15" customHeight="1" x14ac:dyDescent="0.3">
      <c r="C203" s="3"/>
      <c r="D203" s="8">
        <v>2017</v>
      </c>
      <c r="E203" s="62">
        <f>Data!O203</f>
        <v>0.68340000000000001</v>
      </c>
      <c r="F203" s="16" t="str">
        <f>Data!P203</f>
        <v>PT Sequis</v>
      </c>
    </row>
    <row r="204" spans="2:6" ht="15" customHeight="1" x14ac:dyDescent="0.3">
      <c r="C204" s="3"/>
      <c r="D204" s="8">
        <v>2018</v>
      </c>
      <c r="E204" s="62">
        <f>Data!O204</f>
        <v>0.68340000000000001</v>
      </c>
      <c r="F204" s="16" t="str">
        <f>Data!P204</f>
        <v>PT Sequis</v>
      </c>
    </row>
    <row r="205" spans="2:6" ht="15" customHeight="1" x14ac:dyDescent="0.3">
      <c r="C205" s="3"/>
      <c r="D205" s="8">
        <v>2019</v>
      </c>
      <c r="E205" s="62">
        <f>Data!O205</f>
        <v>0.68340000000000001</v>
      </c>
      <c r="F205" s="16" t="str">
        <f>Data!P205</f>
        <v>PT Sequis</v>
      </c>
    </row>
    <row r="206" spans="2:6" ht="15" customHeight="1" x14ac:dyDescent="0.3">
      <c r="C206" s="3"/>
      <c r="D206" s="8">
        <v>2020</v>
      </c>
      <c r="E206" s="62">
        <f>Data!O206</f>
        <v>0.68340000000000001</v>
      </c>
      <c r="F206" s="16" t="str">
        <f>Data!P206</f>
        <v>PT Sequis</v>
      </c>
    </row>
    <row r="207" spans="2:6" ht="15" customHeight="1" x14ac:dyDescent="0.3">
      <c r="C207" s="3"/>
      <c r="D207" s="8">
        <v>2021</v>
      </c>
      <c r="E207" s="62">
        <f>Data!O207</f>
        <v>0.68340000000000001</v>
      </c>
      <c r="F207" s="16" t="str">
        <f>Data!P207</f>
        <v>PT Sequis</v>
      </c>
    </row>
    <row r="208" spans="2:6" ht="15" customHeight="1" x14ac:dyDescent="0.3">
      <c r="C208" s="3"/>
      <c r="D208" s="8">
        <v>2022</v>
      </c>
      <c r="E208" s="62">
        <f>Data!O208</f>
        <v>0.68340000000000001</v>
      </c>
      <c r="F208" s="16" t="str">
        <f>Data!P208</f>
        <v>PT Sequis</v>
      </c>
    </row>
    <row r="209" spans="2:6" ht="15" customHeight="1" x14ac:dyDescent="0.3">
      <c r="C209" s="3"/>
      <c r="D209" s="8">
        <v>2023</v>
      </c>
      <c r="E209" s="62">
        <f>Data!O209</f>
        <v>0.68340000000000001</v>
      </c>
      <c r="F209" s="16" t="str">
        <f>Data!P209</f>
        <v>PT Sequis</v>
      </c>
    </row>
    <row r="210" spans="2:6" ht="15" customHeight="1" x14ac:dyDescent="0.3">
      <c r="C210" s="3"/>
      <c r="D210" s="8">
        <v>2024</v>
      </c>
      <c r="E210" s="62">
        <f>Data!O210</f>
        <v>0.68340000000000001</v>
      </c>
      <c r="F210" s="16" t="str">
        <f>Data!P210</f>
        <v>PT Sequis</v>
      </c>
    </row>
    <row r="211" spans="2:6" ht="15" customHeight="1" x14ac:dyDescent="0.3">
      <c r="B211" s="8">
        <v>20</v>
      </c>
      <c r="C211" s="3" t="s">
        <v>27</v>
      </c>
      <c r="D211" s="8">
        <v>2014</v>
      </c>
      <c r="E211" s="62">
        <f>Data!O211</f>
        <v>0</v>
      </c>
      <c r="F211" s="16">
        <f>Data!P211</f>
        <v>0</v>
      </c>
    </row>
    <row r="212" spans="2:6" ht="15" customHeight="1" x14ac:dyDescent="0.3">
      <c r="C212" s="3"/>
      <c r="D212" s="8">
        <v>2015</v>
      </c>
      <c r="E212" s="62">
        <f>Data!O212</f>
        <v>0</v>
      </c>
      <c r="F212" s="16">
        <f>Data!P212</f>
        <v>0</v>
      </c>
    </row>
    <row r="213" spans="2:6" ht="15" customHeight="1" x14ac:dyDescent="0.3">
      <c r="C213" s="3"/>
      <c r="D213" s="8">
        <v>2016</v>
      </c>
      <c r="E213" s="62">
        <f>Data!O213</f>
        <v>0</v>
      </c>
      <c r="F213" s="16">
        <f>Data!P213</f>
        <v>0</v>
      </c>
    </row>
    <row r="214" spans="2:6" ht="15" customHeight="1" x14ac:dyDescent="0.3">
      <c r="C214" s="3"/>
      <c r="D214" s="8">
        <v>2017</v>
      </c>
      <c r="E214" s="62">
        <f>Data!O214</f>
        <v>0</v>
      </c>
      <c r="F214" s="16">
        <f>Data!P214</f>
        <v>0</v>
      </c>
    </row>
    <row r="215" spans="2:6" ht="15" customHeight="1" x14ac:dyDescent="0.3">
      <c r="C215" s="3"/>
      <c r="D215" s="8">
        <v>2018</v>
      </c>
      <c r="E215" s="62">
        <f>Data!O215</f>
        <v>0.99990000000000001</v>
      </c>
      <c r="F215" s="16" t="str">
        <f>Data!P215</f>
        <v>PT Transpacific Mutualcapita</v>
      </c>
    </row>
    <row r="216" spans="2:6" ht="15" customHeight="1" x14ac:dyDescent="0.3">
      <c r="C216" s="3"/>
      <c r="D216" s="8">
        <v>2019</v>
      </c>
      <c r="E216" s="62">
        <f>Data!O216</f>
        <v>0.99990000000000001</v>
      </c>
      <c r="F216" s="16" t="str">
        <f>Data!P216</f>
        <v>PT Transpacific Mutualcapita</v>
      </c>
    </row>
    <row r="217" spans="2:6" ht="15" customHeight="1" x14ac:dyDescent="0.3">
      <c r="C217" s="3"/>
      <c r="D217" s="8">
        <v>2020</v>
      </c>
      <c r="E217" s="62">
        <f>Data!O217</f>
        <v>0.99990000000000001</v>
      </c>
      <c r="F217" s="16" t="str">
        <f>Data!P217</f>
        <v>PT Transpacific Mutualcapita</v>
      </c>
    </row>
    <row r="218" spans="2:6" ht="15" customHeight="1" x14ac:dyDescent="0.3">
      <c r="C218" s="3"/>
      <c r="D218" s="8">
        <v>2021</v>
      </c>
      <c r="E218" s="62">
        <f>Data!O218</f>
        <v>0.99990000000000001</v>
      </c>
      <c r="F218" s="16" t="str">
        <f>Data!P218</f>
        <v>PT Transpacific Mutualcapita</v>
      </c>
    </row>
    <row r="219" spans="2:6" ht="15" customHeight="1" x14ac:dyDescent="0.3">
      <c r="C219" s="3"/>
      <c r="D219" s="8">
        <v>2022</v>
      </c>
      <c r="E219" s="62">
        <f>Data!O219</f>
        <v>0.99990000000000001</v>
      </c>
      <c r="F219" s="16" t="str">
        <f>Data!P219</f>
        <v>PT Transpacific Mutualcapita</v>
      </c>
    </row>
    <row r="220" spans="2:6" ht="15" customHeight="1" x14ac:dyDescent="0.3">
      <c r="C220" s="3"/>
      <c r="D220" s="8">
        <v>2023</v>
      </c>
      <c r="E220" s="62">
        <f>Data!O220</f>
        <v>0.99990000000000001</v>
      </c>
      <c r="F220" s="16" t="str">
        <f>Data!P220</f>
        <v>PT Transpacific Mutualcapita</v>
      </c>
    </row>
    <row r="221" spans="2:6" ht="15" customHeight="1" x14ac:dyDescent="0.3">
      <c r="C221" s="3"/>
      <c r="D221" s="8">
        <v>2024</v>
      </c>
      <c r="E221" s="62">
        <f>Data!O221</f>
        <v>0.99990000000000001</v>
      </c>
      <c r="F221" s="16" t="str">
        <f>Data!P221</f>
        <v>PT Transpacific Mutualcapita</v>
      </c>
    </row>
    <row r="222" spans="2:6" ht="15" customHeight="1" x14ac:dyDescent="0.3">
      <c r="B222" s="8">
        <v>21</v>
      </c>
      <c r="C222" s="4" t="s">
        <v>52</v>
      </c>
      <c r="D222" s="8">
        <v>2014</v>
      </c>
      <c r="E222" s="62">
        <f>Data!O222</f>
        <v>0</v>
      </c>
      <c r="F222" s="16">
        <f>Data!P222</f>
        <v>0</v>
      </c>
    </row>
    <row r="223" spans="2:6" ht="15" customHeight="1" x14ac:dyDescent="0.3">
      <c r="C223" s="4"/>
      <c r="D223" s="8">
        <v>2015</v>
      </c>
      <c r="E223" s="62">
        <f>Data!O223</f>
        <v>0.68</v>
      </c>
      <c r="F223" s="16" t="str">
        <f>Data!P223</f>
        <v>PT Angdy Putra Hidayah</v>
      </c>
    </row>
    <row r="224" spans="2:6" ht="15" customHeight="1" x14ac:dyDescent="0.3">
      <c r="C224" s="4"/>
      <c r="D224" s="8">
        <v>2016</v>
      </c>
      <c r="E224" s="62">
        <f>Data!O224</f>
        <v>0.68</v>
      </c>
      <c r="F224" s="16" t="str">
        <f>Data!P224</f>
        <v>PT Angdy Putra Hidayah</v>
      </c>
    </row>
    <row r="225" spans="2:6" ht="15" customHeight="1" x14ac:dyDescent="0.3">
      <c r="C225" s="4"/>
      <c r="D225" s="8">
        <v>2017</v>
      </c>
      <c r="E225" s="62">
        <f>Data!O225</f>
        <v>0.68</v>
      </c>
      <c r="F225" s="16" t="str">
        <f>Data!P225</f>
        <v>PT Angdy Putra Hidayah</v>
      </c>
    </row>
    <row r="226" spans="2:6" ht="15" customHeight="1" x14ac:dyDescent="0.3">
      <c r="C226" s="4"/>
      <c r="D226" s="8">
        <v>2018</v>
      </c>
      <c r="E226" s="62">
        <f>Data!O226</f>
        <v>0.68</v>
      </c>
      <c r="F226" s="16" t="str">
        <f>Data!P226</f>
        <v>PT Angdy Putra Hidayah</v>
      </c>
    </row>
    <row r="227" spans="2:6" ht="15" customHeight="1" x14ac:dyDescent="0.3">
      <c r="C227" s="4"/>
      <c r="D227" s="8">
        <v>2019</v>
      </c>
      <c r="E227" s="62">
        <f>Data!O227</f>
        <v>0.68</v>
      </c>
      <c r="F227" s="16" t="str">
        <f>Data!P227</f>
        <v>PT Angdy Putra Hidayah</v>
      </c>
    </row>
    <row r="228" spans="2:6" ht="15" customHeight="1" x14ac:dyDescent="0.3">
      <c r="C228" s="4"/>
      <c r="D228" s="8">
        <v>2020</v>
      </c>
      <c r="E228" s="62">
        <f>Data!O228</f>
        <v>0.68</v>
      </c>
      <c r="F228" s="16" t="str">
        <f>Data!P228</f>
        <v>PT Angdy Putra Hidayah</v>
      </c>
    </row>
    <row r="229" spans="2:6" ht="15" customHeight="1" x14ac:dyDescent="0.3">
      <c r="C229" s="4"/>
      <c r="D229" s="8">
        <v>2021</v>
      </c>
      <c r="E229" s="62">
        <f>Data!O229</f>
        <v>0.68</v>
      </c>
      <c r="F229" s="16" t="str">
        <f>Data!P229</f>
        <v>PT Angdy Putra Hidayah</v>
      </c>
    </row>
    <row r="230" spans="2:6" ht="15" customHeight="1" x14ac:dyDescent="0.3">
      <c r="C230" s="4"/>
      <c r="D230" s="8">
        <v>2022</v>
      </c>
      <c r="E230" s="62">
        <f>Data!O230</f>
        <v>0.68</v>
      </c>
      <c r="F230" s="16" t="str">
        <f>Data!P230</f>
        <v>PT Angdy Putra Hidayah</v>
      </c>
    </row>
    <row r="231" spans="2:6" ht="15" customHeight="1" x14ac:dyDescent="0.3">
      <c r="C231" s="4"/>
      <c r="D231" s="8">
        <v>2023</v>
      </c>
      <c r="E231" s="62">
        <f>Data!O231</f>
        <v>0.68</v>
      </c>
      <c r="F231" s="16" t="str">
        <f>Data!P231</f>
        <v>PT Angdy Putra Hidayah</v>
      </c>
    </row>
    <row r="232" spans="2:6" ht="15" customHeight="1" x14ac:dyDescent="0.3">
      <c r="C232" s="4"/>
      <c r="D232" s="8">
        <v>2024</v>
      </c>
      <c r="E232" s="62">
        <f>Data!O232</f>
        <v>0.68</v>
      </c>
      <c r="F232" s="16" t="str">
        <f>Data!P232</f>
        <v>PT Angdy Putra Hidayah</v>
      </c>
    </row>
    <row r="233" spans="2:6" ht="15" customHeight="1" x14ac:dyDescent="0.3">
      <c r="B233" s="8">
        <v>22</v>
      </c>
      <c r="C233" s="4" t="s">
        <v>53</v>
      </c>
      <c r="D233" s="8">
        <v>2014</v>
      </c>
      <c r="E233" s="62">
        <f>Data!O233</f>
        <v>0</v>
      </c>
      <c r="F233" s="16">
        <f>Data!P233</f>
        <v>0</v>
      </c>
    </row>
    <row r="234" spans="2:6" ht="15" customHeight="1" x14ac:dyDescent="0.3">
      <c r="C234" s="4"/>
      <c r="D234" s="8">
        <v>2015</v>
      </c>
      <c r="E234" s="62">
        <f>Data!O234</f>
        <v>0</v>
      </c>
      <c r="F234" s="16">
        <f>Data!P234</f>
        <v>0</v>
      </c>
    </row>
    <row r="235" spans="2:6" ht="15" customHeight="1" x14ac:dyDescent="0.3">
      <c r="C235" s="4"/>
      <c r="D235" s="8">
        <v>2016</v>
      </c>
      <c r="E235" s="62">
        <f>Data!O235</f>
        <v>0</v>
      </c>
      <c r="F235" s="16">
        <f>Data!P235</f>
        <v>0</v>
      </c>
    </row>
    <row r="236" spans="2:6" ht="15" customHeight="1" x14ac:dyDescent="0.3">
      <c r="C236" s="4"/>
      <c r="D236" s="8">
        <v>2017</v>
      </c>
      <c r="E236" s="62">
        <f>Data!O236</f>
        <v>1</v>
      </c>
      <c r="F236" s="16" t="str">
        <f>Data!P236</f>
        <v>PT Bumiputera Sembilan Belas Dua Belas</v>
      </c>
    </row>
    <row r="237" spans="2:6" ht="15" customHeight="1" x14ac:dyDescent="0.3">
      <c r="C237" s="4"/>
      <c r="D237" s="8">
        <v>2018</v>
      </c>
      <c r="E237" s="62">
        <f>Data!O237</f>
        <v>0.99</v>
      </c>
      <c r="F237" s="16" t="str">
        <f>Data!P237</f>
        <v>AJB Bumiputera 1912</v>
      </c>
    </row>
    <row r="238" spans="2:6" ht="15" customHeight="1" x14ac:dyDescent="0.3">
      <c r="C238" s="4"/>
      <c r="D238" s="8">
        <v>2019</v>
      </c>
      <c r="E238" s="62">
        <f>Data!O238</f>
        <v>0.99</v>
      </c>
      <c r="F238" s="16" t="str">
        <f>Data!P238</f>
        <v>AJB Bumiputera 1912</v>
      </c>
    </row>
    <row r="239" spans="2:6" ht="15" customHeight="1" x14ac:dyDescent="0.3">
      <c r="C239" s="4"/>
      <c r="D239" s="8">
        <v>2020</v>
      </c>
      <c r="E239" s="62">
        <f>Data!O239</f>
        <v>0.99</v>
      </c>
      <c r="F239" s="16" t="str">
        <f>Data!P239</f>
        <v>AJB Bumiputera 1912</v>
      </c>
    </row>
    <row r="240" spans="2:6" ht="15" customHeight="1" x14ac:dyDescent="0.3">
      <c r="C240" s="4"/>
      <c r="D240" s="8">
        <v>2021</v>
      </c>
      <c r="E240" s="62">
        <f>Data!O240</f>
        <v>0.99</v>
      </c>
      <c r="F240" s="16" t="str">
        <f>Data!P240</f>
        <v>AJB Bumiputera 1912</v>
      </c>
    </row>
    <row r="241" spans="2:6" ht="15" customHeight="1" x14ac:dyDescent="0.3">
      <c r="C241" s="4"/>
      <c r="D241" s="8">
        <v>2022</v>
      </c>
      <c r="E241" s="62">
        <f>Data!O241</f>
        <v>0.99</v>
      </c>
      <c r="F241" s="16" t="str">
        <f>Data!P241</f>
        <v>AJB Bumiputera 1912</v>
      </c>
    </row>
    <row r="242" spans="2:6" ht="15" customHeight="1" x14ac:dyDescent="0.3">
      <c r="C242" s="4"/>
      <c r="D242" s="8">
        <v>2023</v>
      </c>
      <c r="E242" s="62">
        <f>Data!O242</f>
        <v>0.99</v>
      </c>
      <c r="F242" s="16" t="str">
        <f>Data!P242</f>
        <v>AJB Bumiputera 1912</v>
      </c>
    </row>
    <row r="243" spans="2:6" ht="15" customHeight="1" x14ac:dyDescent="0.3">
      <c r="C243" s="4"/>
      <c r="D243" s="8">
        <v>2024</v>
      </c>
      <c r="E243" s="62">
        <f>Data!O243</f>
        <v>0.99</v>
      </c>
      <c r="F243" s="16" t="str">
        <f>Data!P243</f>
        <v>AJB Bumiputera 1912</v>
      </c>
    </row>
    <row r="244" spans="2:6" ht="15" customHeight="1" x14ac:dyDescent="0.3">
      <c r="B244" s="8">
        <v>23</v>
      </c>
      <c r="C244" s="4" t="s">
        <v>51</v>
      </c>
      <c r="D244" s="8">
        <v>2014</v>
      </c>
      <c r="E244" s="62">
        <f>Data!O244</f>
        <v>0</v>
      </c>
      <c r="F244" s="16">
        <f>Data!P244</f>
        <v>0</v>
      </c>
    </row>
    <row r="245" spans="2:6" ht="15" customHeight="1" x14ac:dyDescent="0.3">
      <c r="C245" s="4"/>
      <c r="D245" s="8">
        <v>2015</v>
      </c>
      <c r="E245" s="62">
        <f>Data!O245</f>
        <v>0.88500000000000001</v>
      </c>
      <c r="F245" s="16" t="str">
        <f>Data!P245</f>
        <v>Kospin Jasa</v>
      </c>
    </row>
    <row r="246" spans="2:6" ht="15" customHeight="1" x14ac:dyDescent="0.3">
      <c r="C246" s="4"/>
      <c r="D246" s="8">
        <v>2016</v>
      </c>
      <c r="E246" s="62">
        <f>Data!O246</f>
        <v>0.88500000000000001</v>
      </c>
      <c r="F246" s="16" t="str">
        <f>Data!P246</f>
        <v>Kospin Jasa</v>
      </c>
    </row>
    <row r="247" spans="2:6" ht="15" customHeight="1" x14ac:dyDescent="0.3">
      <c r="C247" s="4"/>
      <c r="D247" s="8">
        <v>2017</v>
      </c>
      <c r="E247" s="62">
        <f>Data!O247</f>
        <v>0.53100000000000003</v>
      </c>
      <c r="F247" s="16" t="str">
        <f>Data!P247</f>
        <v>Kospin Jasa</v>
      </c>
    </row>
    <row r="248" spans="2:6" ht="15" customHeight="1" x14ac:dyDescent="0.3">
      <c r="C248" s="4"/>
      <c r="D248" s="8">
        <v>2018</v>
      </c>
      <c r="E248" s="62">
        <f>Data!O248</f>
        <v>0.53100000000000003</v>
      </c>
      <c r="F248" s="16" t="str">
        <f>Data!P248</f>
        <v>Kospin Jasa</v>
      </c>
    </row>
    <row r="249" spans="2:6" ht="15" customHeight="1" x14ac:dyDescent="0.3">
      <c r="C249" s="4"/>
      <c r="D249" s="8">
        <v>2019</v>
      </c>
      <c r="E249" s="62">
        <f>Data!O249</f>
        <v>0.53100000000000003</v>
      </c>
      <c r="F249" s="16" t="str">
        <f>Data!P249</f>
        <v>Kospin Jasa</v>
      </c>
    </row>
    <row r="250" spans="2:6" ht="15" customHeight="1" x14ac:dyDescent="0.3">
      <c r="C250" s="4"/>
      <c r="D250" s="8">
        <v>2020</v>
      </c>
      <c r="E250" s="62">
        <f>Data!O250</f>
        <v>0.53100000000000003</v>
      </c>
      <c r="F250" s="16" t="str">
        <f>Data!P250</f>
        <v>Kospin Jasa</v>
      </c>
    </row>
    <row r="251" spans="2:6" ht="15" customHeight="1" x14ac:dyDescent="0.3">
      <c r="C251" s="4"/>
      <c r="D251" s="8">
        <v>2021</v>
      </c>
      <c r="E251" s="62">
        <f>Data!O251</f>
        <v>0.57999999999999996</v>
      </c>
      <c r="F251" s="16" t="str">
        <f>Data!P251</f>
        <v>Kospin Jasa</v>
      </c>
    </row>
    <row r="252" spans="2:6" ht="15" customHeight="1" x14ac:dyDescent="0.3">
      <c r="C252" s="4"/>
      <c r="D252" s="8">
        <v>2022</v>
      </c>
      <c r="E252" s="62">
        <f>Data!O252</f>
        <v>0.57999999999999996</v>
      </c>
      <c r="F252" s="16" t="str">
        <f>Data!P252</f>
        <v>Kospin Jasa</v>
      </c>
    </row>
    <row r="253" spans="2:6" ht="15" customHeight="1" x14ac:dyDescent="0.3">
      <c r="C253" s="4"/>
      <c r="D253" s="8">
        <v>2023</v>
      </c>
      <c r="E253" s="62">
        <f>Data!O253</f>
        <v>0.57999999999999996</v>
      </c>
      <c r="F253" s="16" t="str">
        <f>Data!P253</f>
        <v>Kospin Jasa</v>
      </c>
    </row>
    <row r="254" spans="2:6" ht="15" customHeight="1" x14ac:dyDescent="0.3">
      <c r="C254" s="4"/>
      <c r="D254" s="8">
        <v>2024</v>
      </c>
      <c r="E254" s="62">
        <f>Data!O254</f>
        <v>0.57950000000000002</v>
      </c>
      <c r="F254" s="16" t="str">
        <f>Data!P254</f>
        <v>Kospin Jasa</v>
      </c>
    </row>
    <row r="255" spans="2:6" ht="15" customHeight="1" x14ac:dyDescent="0.3">
      <c r="B255" s="8">
        <v>24</v>
      </c>
      <c r="C255" s="4" t="s">
        <v>50</v>
      </c>
      <c r="D255" s="8">
        <v>2014</v>
      </c>
      <c r="E255" s="62">
        <f>Data!O255</f>
        <v>0</v>
      </c>
      <c r="F255" s="16">
        <f>Data!P255</f>
        <v>0</v>
      </c>
    </row>
    <row r="256" spans="2:6" ht="15" customHeight="1" x14ac:dyDescent="0.3">
      <c r="C256" s="4"/>
      <c r="D256" s="8">
        <v>2015</v>
      </c>
      <c r="E256" s="62">
        <f>Data!O256</f>
        <v>0.95</v>
      </c>
      <c r="F256" s="16" t="str">
        <f>Data!P256</f>
        <v>Dana Pensiun Perhutani</v>
      </c>
    </row>
    <row r="257" spans="2:6" ht="15" customHeight="1" x14ac:dyDescent="0.3">
      <c r="C257" s="4"/>
      <c r="D257" s="8">
        <v>2016</v>
      </c>
      <c r="E257" s="62">
        <f>Data!O257</f>
        <v>0.95</v>
      </c>
      <c r="F257" s="16" t="str">
        <f>Data!P257</f>
        <v>Dana Pensiun Perhutani</v>
      </c>
    </row>
    <row r="258" spans="2:6" ht="15" customHeight="1" x14ac:dyDescent="0.3">
      <c r="C258" s="4"/>
      <c r="D258" s="8">
        <v>2017</v>
      </c>
      <c r="E258" s="62">
        <f>Data!O258</f>
        <v>0.95</v>
      </c>
      <c r="F258" s="16" t="str">
        <f>Data!P258</f>
        <v>Dana Pensiun Perhutani</v>
      </c>
    </row>
    <row r="259" spans="2:6" ht="15" customHeight="1" x14ac:dyDescent="0.3">
      <c r="C259" s="4"/>
      <c r="D259" s="8">
        <v>2018</v>
      </c>
      <c r="E259" s="62">
        <f>Data!O259</f>
        <v>0.95</v>
      </c>
      <c r="F259" s="16" t="str">
        <f>Data!P259</f>
        <v>Dana Pensiun Perhutani</v>
      </c>
    </row>
    <row r="260" spans="2:6" ht="15" customHeight="1" x14ac:dyDescent="0.3">
      <c r="C260" s="4"/>
      <c r="D260" s="8">
        <v>2019</v>
      </c>
      <c r="E260" s="62">
        <f>Data!O260</f>
        <v>0.95</v>
      </c>
      <c r="F260" s="16" t="str">
        <f>Data!P260</f>
        <v>Dana Pensiun Perhutani</v>
      </c>
    </row>
    <row r="261" spans="2:6" ht="15" customHeight="1" x14ac:dyDescent="0.3">
      <c r="C261" s="4"/>
      <c r="D261" s="8">
        <v>2020</v>
      </c>
      <c r="E261" s="62">
        <f>Data!O261</f>
        <v>0.95</v>
      </c>
      <c r="F261" s="16" t="str">
        <f>Data!P261</f>
        <v>Dana Pensiun Perhutani</v>
      </c>
    </row>
    <row r="262" spans="2:6" ht="15" customHeight="1" x14ac:dyDescent="0.3">
      <c r="C262" s="4"/>
      <c r="D262" s="8">
        <v>2021</v>
      </c>
      <c r="E262" s="62">
        <f>Data!O262</f>
        <v>0.95</v>
      </c>
      <c r="F262" s="16" t="str">
        <f>Data!P262</f>
        <v>Dana Pensiun Perhutani</v>
      </c>
    </row>
    <row r="263" spans="2:6" ht="15" customHeight="1" x14ac:dyDescent="0.3">
      <c r="C263" s="4"/>
      <c r="D263" s="8">
        <v>2022</v>
      </c>
      <c r="E263" s="62">
        <f>Data!O263</f>
        <v>0.95</v>
      </c>
      <c r="F263" s="16" t="str">
        <f>Data!P263</f>
        <v>Dana Pensiun Perhutani</v>
      </c>
    </row>
    <row r="264" spans="2:6" ht="15" customHeight="1" x14ac:dyDescent="0.3">
      <c r="C264" s="4"/>
      <c r="D264" s="8">
        <v>2023</v>
      </c>
      <c r="E264" s="62">
        <f>Data!O264</f>
        <v>0.95499999999999996</v>
      </c>
      <c r="F264" s="16" t="str">
        <f>Data!P264</f>
        <v>Dana Pensiun Perhutani</v>
      </c>
    </row>
    <row r="265" spans="2:6" ht="15" customHeight="1" x14ac:dyDescent="0.3">
      <c r="C265" s="4"/>
      <c r="D265" s="8">
        <v>2024</v>
      </c>
      <c r="E265" s="62">
        <f>Data!O265</f>
        <v>0.95</v>
      </c>
      <c r="F265" s="16" t="str">
        <f>Data!P265</f>
        <v>Dana Pensiun Perhutani</v>
      </c>
    </row>
    <row r="266" spans="2:6" ht="15" customHeight="1" x14ac:dyDescent="0.3">
      <c r="B266" s="8">
        <v>25</v>
      </c>
      <c r="C266" s="3" t="s">
        <v>28</v>
      </c>
      <c r="D266" s="8">
        <v>2014</v>
      </c>
      <c r="E266" s="62">
        <f>Data!O266</f>
        <v>0</v>
      </c>
      <c r="F266" s="16">
        <f>Data!P266</f>
        <v>0</v>
      </c>
    </row>
    <row r="267" spans="2:6" ht="15" customHeight="1" x14ac:dyDescent="0.3">
      <c r="C267" s="3"/>
      <c r="D267" s="8">
        <v>2015</v>
      </c>
      <c r="E267" s="62">
        <f>Data!O267</f>
        <v>0.99970000000000003</v>
      </c>
      <c r="F267" s="16" t="str">
        <f>Data!P267</f>
        <v>PT Taspen</v>
      </c>
    </row>
    <row r="268" spans="2:6" ht="15" customHeight="1" x14ac:dyDescent="0.3">
      <c r="C268" s="3"/>
      <c r="D268" s="8">
        <v>2016</v>
      </c>
      <c r="E268" s="62">
        <f>Data!O268</f>
        <v>0.99970000000000003</v>
      </c>
      <c r="F268" s="16" t="str">
        <f>Data!P268</f>
        <v>PT Taspen</v>
      </c>
    </row>
    <row r="269" spans="2:6" ht="15" customHeight="1" x14ac:dyDescent="0.3">
      <c r="C269" s="3"/>
      <c r="D269" s="8">
        <v>2017</v>
      </c>
      <c r="E269" s="62">
        <f>Data!O269</f>
        <v>0.99970000000000003</v>
      </c>
      <c r="F269" s="16" t="str">
        <f>Data!P269</f>
        <v>PT Taspen</v>
      </c>
    </row>
    <row r="270" spans="2:6" ht="15" customHeight="1" x14ac:dyDescent="0.3">
      <c r="C270" s="3"/>
      <c r="D270" s="8">
        <v>2018</v>
      </c>
      <c r="E270" s="62">
        <f>Data!O270</f>
        <v>0.99970000000000003</v>
      </c>
      <c r="F270" s="16" t="str">
        <f>Data!P270</f>
        <v>PT Taspen</v>
      </c>
    </row>
    <row r="271" spans="2:6" ht="15" customHeight="1" x14ac:dyDescent="0.3">
      <c r="C271" s="3"/>
      <c r="D271" s="8">
        <v>2019</v>
      </c>
      <c r="E271" s="62">
        <f>Data!O271</f>
        <v>0.99970000000000003</v>
      </c>
      <c r="F271" s="16" t="str">
        <f>Data!P271</f>
        <v>PT Taspen</v>
      </c>
    </row>
    <row r="272" spans="2:6" ht="15" customHeight="1" x14ac:dyDescent="0.3">
      <c r="C272" s="3"/>
      <c r="D272" s="8">
        <v>2020</v>
      </c>
      <c r="E272" s="62">
        <f>Data!O272</f>
        <v>0.99970000000000003</v>
      </c>
      <c r="F272" s="16" t="str">
        <f>Data!P272</f>
        <v>PT Taspen</v>
      </c>
    </row>
    <row r="273" spans="2:6" ht="15" customHeight="1" x14ac:dyDescent="0.3">
      <c r="C273" s="3"/>
      <c r="D273" s="8">
        <v>2021</v>
      </c>
      <c r="E273" s="62">
        <f>Data!O273</f>
        <v>0.99970000000000003</v>
      </c>
      <c r="F273" s="16" t="str">
        <f>Data!P273</f>
        <v>PT Taspen</v>
      </c>
    </row>
    <row r="274" spans="2:6" ht="15" customHeight="1" x14ac:dyDescent="0.3">
      <c r="C274" s="3"/>
      <c r="D274" s="8">
        <v>2022</v>
      </c>
      <c r="E274" s="62">
        <f>Data!O274</f>
        <v>0.99970000000000003</v>
      </c>
      <c r="F274" s="16" t="str">
        <f>Data!P274</f>
        <v>PT Taspen</v>
      </c>
    </row>
    <row r="275" spans="2:6" ht="15" customHeight="1" x14ac:dyDescent="0.3">
      <c r="C275" s="3"/>
      <c r="D275" s="8">
        <v>2023</v>
      </c>
      <c r="E275" s="62">
        <f>Data!O275</f>
        <v>0.99970000000000003</v>
      </c>
      <c r="F275" s="16" t="str">
        <f>Data!P275</f>
        <v>PT Taspen</v>
      </c>
    </row>
    <row r="276" spans="2:6" ht="15" customHeight="1" x14ac:dyDescent="0.3">
      <c r="C276" s="3"/>
      <c r="D276" s="8">
        <v>2024</v>
      </c>
      <c r="E276" s="62">
        <f>Data!O276</f>
        <v>0.99970000000000003</v>
      </c>
      <c r="F276" s="16" t="str">
        <f>Data!P276</f>
        <v>PT Taspen</v>
      </c>
    </row>
    <row r="277" spans="2:6" ht="15" customHeight="1" x14ac:dyDescent="0.3">
      <c r="B277" s="8">
        <v>26</v>
      </c>
      <c r="C277" s="3" t="s">
        <v>42</v>
      </c>
      <c r="D277" s="8">
        <v>2014</v>
      </c>
      <c r="E277" s="62">
        <f>Data!O277</f>
        <v>0</v>
      </c>
      <c r="F277" s="16">
        <f>Data!P277</f>
        <v>0</v>
      </c>
    </row>
    <row r="278" spans="2:6" ht="15" customHeight="1" x14ac:dyDescent="0.3">
      <c r="C278" s="3"/>
      <c r="D278" s="8">
        <v>2015</v>
      </c>
      <c r="E278" s="62">
        <f>Data!O278</f>
        <v>0</v>
      </c>
      <c r="F278" s="16">
        <f>Data!P278</f>
        <v>0</v>
      </c>
    </row>
    <row r="279" spans="2:6" ht="15" customHeight="1" x14ac:dyDescent="0.3">
      <c r="C279" s="3"/>
      <c r="D279" s="8">
        <v>2016</v>
      </c>
      <c r="E279" s="62">
        <f>Data!O279</f>
        <v>0</v>
      </c>
      <c r="F279" s="16">
        <f>Data!P279</f>
        <v>0</v>
      </c>
    </row>
    <row r="280" spans="2:6" ht="15" customHeight="1" x14ac:dyDescent="0.3">
      <c r="C280" s="3"/>
      <c r="D280" s="8">
        <v>2017</v>
      </c>
      <c r="E280" s="62">
        <f>Data!O280</f>
        <v>0</v>
      </c>
      <c r="F280" s="16">
        <f>Data!P280</f>
        <v>0</v>
      </c>
    </row>
    <row r="281" spans="2:6" ht="15" customHeight="1" x14ac:dyDescent="0.3">
      <c r="C281" s="3"/>
      <c r="D281" s="8">
        <v>2018</v>
      </c>
      <c r="E281" s="62">
        <f>Data!O281</f>
        <v>0</v>
      </c>
      <c r="F281" s="16">
        <f>Data!P281</f>
        <v>0</v>
      </c>
    </row>
    <row r="282" spans="2:6" ht="15" customHeight="1" x14ac:dyDescent="0.3">
      <c r="C282" s="3"/>
      <c r="D282" s="8">
        <v>2019</v>
      </c>
      <c r="E282" s="62">
        <f>Data!O282</f>
        <v>0</v>
      </c>
      <c r="F282" s="16">
        <f>Data!P282</f>
        <v>0</v>
      </c>
    </row>
    <row r="283" spans="2:6" ht="15" customHeight="1" x14ac:dyDescent="0.3">
      <c r="C283" s="3"/>
      <c r="D283" s="8">
        <v>2020</v>
      </c>
      <c r="E283" s="62">
        <f>Data!O283</f>
        <v>0</v>
      </c>
      <c r="F283" s="16">
        <f>Data!P283</f>
        <v>0</v>
      </c>
    </row>
    <row r="284" spans="2:6" ht="15" customHeight="1" x14ac:dyDescent="0.3">
      <c r="C284" s="3"/>
      <c r="D284" s="8">
        <v>2021</v>
      </c>
      <c r="E284" s="62">
        <f>Data!O284</f>
        <v>0</v>
      </c>
      <c r="F284" s="16">
        <f>Data!P284</f>
        <v>0</v>
      </c>
    </row>
    <row r="285" spans="2:6" ht="15" customHeight="1" x14ac:dyDescent="0.3">
      <c r="C285" s="3"/>
      <c r="D285" s="8">
        <v>2022</v>
      </c>
      <c r="E285" s="62">
        <f>Data!O285</f>
        <v>0</v>
      </c>
      <c r="F285" s="16" t="e">
        <f>Data!#REF!</f>
        <v>#REF!</v>
      </c>
    </row>
    <row r="286" spans="2:6" ht="15" customHeight="1" x14ac:dyDescent="0.3">
      <c r="C286" s="3"/>
      <c r="D286" s="8">
        <v>2023</v>
      </c>
      <c r="E286" s="62">
        <f>Data!O286</f>
        <v>0.98</v>
      </c>
      <c r="F286" s="16" t="e">
        <f>Data!#REF!</f>
        <v>#REF!</v>
      </c>
    </row>
    <row r="287" spans="2:6" ht="15" customHeight="1" x14ac:dyDescent="0.3">
      <c r="C287" s="3"/>
      <c r="D287" s="8">
        <v>2024</v>
      </c>
      <c r="E287" s="62">
        <f>Data!O287</f>
        <v>0.98</v>
      </c>
      <c r="F287" s="16" t="str">
        <f>Data!P286</f>
        <v>Alatief Corporation</v>
      </c>
    </row>
    <row r="288" spans="2:6" ht="15" customHeight="1" x14ac:dyDescent="0.3">
      <c r="B288" s="8">
        <v>27</v>
      </c>
      <c r="C288" s="3" t="s">
        <v>29</v>
      </c>
      <c r="D288" s="8">
        <v>2014</v>
      </c>
      <c r="E288" s="62">
        <f>Data!O288</f>
        <v>0</v>
      </c>
      <c r="F288" s="16" t="str">
        <f>Data!P287</f>
        <v>Alatief Corporation</v>
      </c>
    </row>
    <row r="289" spans="2:6" ht="15" customHeight="1" x14ac:dyDescent="0.3">
      <c r="C289" s="3"/>
      <c r="D289" s="8">
        <v>2015</v>
      </c>
      <c r="E289" s="62">
        <f>Data!O289</f>
        <v>0.5</v>
      </c>
      <c r="F289" s="16" t="str">
        <f>Data!P289</f>
        <v>PT Sinarmas Multiartha dan PT Asuransi Sinarmas</v>
      </c>
    </row>
    <row r="290" spans="2:6" ht="15" customHeight="1" x14ac:dyDescent="0.3">
      <c r="C290" s="3"/>
      <c r="D290" s="8">
        <v>2016</v>
      </c>
      <c r="E290" s="62">
        <f>Data!O290</f>
        <v>0.5</v>
      </c>
      <c r="F290" s="16" t="str">
        <f>Data!P290</f>
        <v>PT Sinarmas Multiartha dan PT Asuransi Sinarmas</v>
      </c>
    </row>
    <row r="291" spans="2:6" ht="15" customHeight="1" x14ac:dyDescent="0.3">
      <c r="C291" s="3"/>
      <c r="D291" s="8">
        <v>2017</v>
      </c>
      <c r="E291" s="62">
        <f>Data!O291</f>
        <v>0.99</v>
      </c>
      <c r="F291" s="16" t="str">
        <f>Data!P291</f>
        <v>PT Asuransi Sinarmas</v>
      </c>
    </row>
    <row r="292" spans="2:6" ht="15" customHeight="1" x14ac:dyDescent="0.3">
      <c r="C292" s="3"/>
      <c r="D292" s="8">
        <v>2018</v>
      </c>
      <c r="E292" s="62">
        <f>Data!O292</f>
        <v>0.99</v>
      </c>
      <c r="F292" s="16" t="str">
        <f>Data!P292</f>
        <v>PT Asuransi Sinarmas</v>
      </c>
    </row>
    <row r="293" spans="2:6" ht="15" customHeight="1" x14ac:dyDescent="0.3">
      <c r="C293" s="3"/>
      <c r="D293" s="8">
        <v>2019</v>
      </c>
      <c r="E293" s="62">
        <f>Data!O293</f>
        <v>0.99</v>
      </c>
      <c r="F293" s="16" t="str">
        <f>Data!P293</f>
        <v>PT Asuransi Sinarmas</v>
      </c>
    </row>
    <row r="294" spans="2:6" ht="15" customHeight="1" x14ac:dyDescent="0.3">
      <c r="C294" s="3"/>
      <c r="D294" s="8">
        <v>2020</v>
      </c>
      <c r="E294" s="62">
        <f>Data!O294</f>
        <v>0.99</v>
      </c>
      <c r="F294" s="16" t="str">
        <f>Data!P294</f>
        <v>PT Asuransi Sinarmas</v>
      </c>
    </row>
    <row r="295" spans="2:6" ht="15" customHeight="1" x14ac:dyDescent="0.3">
      <c r="C295" s="3"/>
      <c r="D295" s="8">
        <v>2021</v>
      </c>
      <c r="E295" s="62">
        <f>Data!O295</f>
        <v>0.99</v>
      </c>
      <c r="F295" s="16" t="str">
        <f>Data!P295</f>
        <v>PT Asuransi Sinarmas</v>
      </c>
    </row>
    <row r="296" spans="2:6" ht="15" customHeight="1" x14ac:dyDescent="0.3">
      <c r="C296" s="3"/>
      <c r="D296" s="8">
        <v>2022</v>
      </c>
      <c r="E296" s="62">
        <f>Data!O296</f>
        <v>0.99</v>
      </c>
      <c r="F296" s="16" t="str">
        <f>Data!P296</f>
        <v>PT Asuransi Sinarmas</v>
      </c>
    </row>
    <row r="297" spans="2:6" ht="15" customHeight="1" x14ac:dyDescent="0.3">
      <c r="C297" s="3"/>
      <c r="D297" s="8">
        <v>2023</v>
      </c>
      <c r="E297" s="62">
        <f>Data!O297</f>
        <v>0.99</v>
      </c>
      <c r="F297" s="16" t="str">
        <f>Data!P297</f>
        <v>PT Asuransi Sinarmas</v>
      </c>
    </row>
    <row r="298" spans="2:6" ht="15" customHeight="1" x14ac:dyDescent="0.3">
      <c r="C298" s="3"/>
      <c r="D298" s="8">
        <v>2024</v>
      </c>
      <c r="E298" s="62">
        <f>Data!O298</f>
        <v>0.99</v>
      </c>
      <c r="F298" s="16" t="str">
        <f>Data!P298</f>
        <v>PT Asuransi Sinarmas</v>
      </c>
    </row>
    <row r="299" spans="2:6" ht="15" customHeight="1" x14ac:dyDescent="0.3">
      <c r="B299" s="8">
        <v>28</v>
      </c>
      <c r="C299" s="4" t="s">
        <v>149</v>
      </c>
      <c r="D299" s="8">
        <v>2014</v>
      </c>
      <c r="E299" s="62">
        <f>Data!O299</f>
        <v>0</v>
      </c>
      <c r="F299" s="16">
        <f>Data!P299</f>
        <v>0</v>
      </c>
    </row>
    <row r="300" spans="2:6" ht="15" customHeight="1" x14ac:dyDescent="0.3">
      <c r="C300" s="4"/>
      <c r="D300" s="8">
        <v>2015</v>
      </c>
      <c r="E300" s="62">
        <f>Data!O300</f>
        <v>0</v>
      </c>
      <c r="F300" s="16">
        <f>Data!P300</f>
        <v>0</v>
      </c>
    </row>
    <row r="301" spans="2:6" ht="15" customHeight="1" x14ac:dyDescent="0.3">
      <c r="C301" s="4"/>
      <c r="D301" s="8">
        <v>2016</v>
      </c>
      <c r="E301" s="62">
        <f>Data!O301</f>
        <v>0</v>
      </c>
      <c r="F301" s="16">
        <f>Data!P301</f>
        <v>0</v>
      </c>
    </row>
    <row r="302" spans="2:6" ht="15" customHeight="1" x14ac:dyDescent="0.3">
      <c r="C302" s="4"/>
      <c r="D302" s="8">
        <v>2017</v>
      </c>
      <c r="E302" s="62">
        <f>Data!O302</f>
        <v>0</v>
      </c>
      <c r="F302" s="16">
        <f>Data!P302</f>
        <v>0</v>
      </c>
    </row>
    <row r="303" spans="2:6" ht="15" customHeight="1" x14ac:dyDescent="0.3">
      <c r="C303" s="4"/>
      <c r="D303" s="8">
        <v>2018</v>
      </c>
      <c r="E303" s="62">
        <f>Data!O303</f>
        <v>0</v>
      </c>
      <c r="F303" s="16">
        <f>Data!P303</f>
        <v>0</v>
      </c>
    </row>
    <row r="304" spans="2:6" ht="15" customHeight="1" x14ac:dyDescent="0.3">
      <c r="C304" s="4"/>
      <c r="D304" s="8">
        <v>2019</v>
      </c>
      <c r="E304" s="62">
        <f>Data!O304</f>
        <v>0.99</v>
      </c>
      <c r="F304" s="16" t="str">
        <f>Data!P304</f>
        <v>KSPS BMT UGT Sidogiri</v>
      </c>
    </row>
    <row r="305" spans="2:6" ht="15" customHeight="1" x14ac:dyDescent="0.3">
      <c r="C305" s="4"/>
      <c r="D305" s="8">
        <v>2020</v>
      </c>
      <c r="E305" s="62">
        <f>Data!O305</f>
        <v>0.99</v>
      </c>
      <c r="F305" s="16" t="str">
        <f>Data!P305</f>
        <v>KSPS BMT UGT Sidogiri</v>
      </c>
    </row>
    <row r="306" spans="2:6" ht="15" customHeight="1" x14ac:dyDescent="0.3">
      <c r="C306" s="4"/>
      <c r="D306" s="8">
        <v>2021</v>
      </c>
      <c r="E306" s="62">
        <f>Data!O306</f>
        <v>0.99</v>
      </c>
      <c r="F306" s="16" t="str">
        <f>Data!P306</f>
        <v>KSPS BMT UGT Sidogiri</v>
      </c>
    </row>
    <row r="307" spans="2:6" ht="15" customHeight="1" x14ac:dyDescent="0.3">
      <c r="C307" s="4"/>
      <c r="D307" s="8">
        <v>2022</v>
      </c>
      <c r="E307" s="62">
        <f>Data!O307</f>
        <v>0.99</v>
      </c>
      <c r="F307" s="16" t="str">
        <f>Data!P307</f>
        <v>KSPS BMT UGT Sidogiri</v>
      </c>
    </row>
    <row r="308" spans="2:6" ht="15" customHeight="1" x14ac:dyDescent="0.3">
      <c r="C308" s="4"/>
      <c r="D308" s="8">
        <v>2023</v>
      </c>
      <c r="E308" s="62">
        <f>Data!O308</f>
        <v>0.99</v>
      </c>
      <c r="F308" s="16" t="str">
        <f>Data!P308</f>
        <v>KSPS BMT UGT Sidogiri</v>
      </c>
    </row>
    <row r="309" spans="2:6" ht="15" customHeight="1" x14ac:dyDescent="0.3">
      <c r="C309" s="4"/>
      <c r="D309" s="8">
        <v>2024</v>
      </c>
      <c r="E309" s="62">
        <f>Data!O309</f>
        <v>0.99</v>
      </c>
      <c r="F309" s="16" t="str">
        <f>Data!P309</f>
        <v>KSPS BMT UGT Sidogiri</v>
      </c>
    </row>
    <row r="310" spans="2:6" ht="15" customHeight="1" x14ac:dyDescent="0.3">
      <c r="B310" s="8">
        <v>29</v>
      </c>
      <c r="C310" s="4" t="s">
        <v>55</v>
      </c>
      <c r="D310" s="8">
        <v>2014</v>
      </c>
      <c r="E310" s="62">
        <f>Data!O310</f>
        <v>0</v>
      </c>
      <c r="F310" s="16">
        <f>Data!P310</f>
        <v>0</v>
      </c>
    </row>
    <row r="311" spans="2:6" ht="15" customHeight="1" x14ac:dyDescent="0.3">
      <c r="C311" s="4"/>
      <c r="D311" s="8">
        <v>2015</v>
      </c>
      <c r="E311" s="62">
        <f>Data!O311</f>
        <v>0.57240000000000002</v>
      </c>
      <c r="F311" s="16" t="str">
        <f>Data!P311</f>
        <v>PT Syarikat Takaful Indonesia</v>
      </c>
    </row>
    <row r="312" spans="2:6" ht="15" customHeight="1" x14ac:dyDescent="0.3">
      <c r="C312" s="4"/>
      <c r="D312" s="8">
        <v>2016</v>
      </c>
      <c r="E312" s="62">
        <f>Data!O312</f>
        <v>0.57240000000000002</v>
      </c>
      <c r="F312" s="16" t="str">
        <f>Data!P312</f>
        <v>PT Syarikat Takaful Indonesia</v>
      </c>
    </row>
    <row r="313" spans="2:6" ht="15" customHeight="1" x14ac:dyDescent="0.3">
      <c r="C313" s="4"/>
      <c r="D313" s="8">
        <v>2017</v>
      </c>
      <c r="E313" s="62">
        <f>Data!O313</f>
        <v>0.57240000000000002</v>
      </c>
      <c r="F313" s="16" t="str">
        <f>Data!P313</f>
        <v>PT Syarikat Takaful Indonesia</v>
      </c>
    </row>
    <row r="314" spans="2:6" ht="15" customHeight="1" x14ac:dyDescent="0.3">
      <c r="C314" s="4"/>
      <c r="D314" s="8">
        <v>2018</v>
      </c>
      <c r="E314" s="62">
        <f>Data!O314</f>
        <v>0.57240000000000002</v>
      </c>
      <c r="F314" s="16" t="str">
        <f>Data!P314</f>
        <v>PT Syarikat Takaful Indonesia</v>
      </c>
    </row>
    <row r="315" spans="2:6" ht="15" customHeight="1" x14ac:dyDescent="0.3">
      <c r="C315" s="4"/>
      <c r="D315" s="8">
        <v>2019</v>
      </c>
      <c r="E315" s="62">
        <f>Data!O315</f>
        <v>0.57240000000000002</v>
      </c>
      <c r="F315" s="16" t="str">
        <f>Data!P315</f>
        <v>PT Syarikat Takaful Indonesia</v>
      </c>
    </row>
    <row r="316" spans="2:6" ht="15" customHeight="1" x14ac:dyDescent="0.3">
      <c r="C316" s="4"/>
      <c r="D316" s="8">
        <v>2020</v>
      </c>
      <c r="E316" s="62">
        <f>Data!O316</f>
        <v>0.57240000000000002</v>
      </c>
      <c r="F316" s="16" t="str">
        <f>Data!P316</f>
        <v>PT Syarikat Takaful Indonesia</v>
      </c>
    </row>
    <row r="317" spans="2:6" ht="15" customHeight="1" x14ac:dyDescent="0.3">
      <c r="C317" s="4"/>
      <c r="D317" s="8">
        <v>2021</v>
      </c>
      <c r="E317" s="62">
        <f>Data!O317</f>
        <v>0.57240000000000002</v>
      </c>
      <c r="F317" s="16" t="str">
        <f>Data!P317</f>
        <v>PT Syarikat Takaful Indonesia</v>
      </c>
    </row>
    <row r="318" spans="2:6" ht="15" customHeight="1" x14ac:dyDescent="0.3">
      <c r="C318" s="4"/>
      <c r="D318" s="8">
        <v>2022</v>
      </c>
      <c r="E318" s="62">
        <f>Data!O318</f>
        <v>0.57240000000000002</v>
      </c>
      <c r="F318" s="16" t="str">
        <f>Data!P318</f>
        <v>PT Syarikat Takaful Indonesia</v>
      </c>
    </row>
    <row r="319" spans="2:6" ht="15" customHeight="1" x14ac:dyDescent="0.3">
      <c r="C319" s="4"/>
      <c r="D319" s="8">
        <v>2023</v>
      </c>
      <c r="E319" s="62">
        <f>Data!O319</f>
        <v>0.57240000000000002</v>
      </c>
      <c r="F319" s="16" t="str">
        <f>Data!P319</f>
        <v>PT Syarikat Takaful Indonesia</v>
      </c>
    </row>
    <row r="320" spans="2:6" ht="15" customHeight="1" x14ac:dyDescent="0.3">
      <c r="C320" s="4"/>
      <c r="D320" s="8">
        <v>2024</v>
      </c>
      <c r="E320" s="62">
        <f>Data!O320</f>
        <v>0.57240000000000002</v>
      </c>
      <c r="F320" s="16" t="str">
        <f>Data!P320</f>
        <v>PT Syarikat Takaful Indonesia</v>
      </c>
    </row>
    <row r="321" spans="2:6" ht="15" customHeight="1" x14ac:dyDescent="0.3">
      <c r="B321" s="8">
        <v>30</v>
      </c>
      <c r="C321" s="3" t="s">
        <v>5</v>
      </c>
      <c r="D321" s="8">
        <v>2014</v>
      </c>
      <c r="E321" s="62">
        <f>Data!O321</f>
        <v>0</v>
      </c>
      <c r="F321" s="16">
        <f>Data!P321</f>
        <v>0</v>
      </c>
    </row>
    <row r="322" spans="2:6" ht="15" customHeight="1" x14ac:dyDescent="0.3">
      <c r="C322" s="3"/>
      <c r="D322" s="8">
        <v>2015</v>
      </c>
      <c r="E322" s="62">
        <f>Data!O322</f>
        <v>0</v>
      </c>
      <c r="F322" s="16">
        <f>Data!P322</f>
        <v>0</v>
      </c>
    </row>
    <row r="323" spans="2:6" ht="15" customHeight="1" x14ac:dyDescent="0.3">
      <c r="C323" s="3"/>
      <c r="D323" s="8">
        <v>2016</v>
      </c>
      <c r="E323" s="62">
        <f>Data!O323</f>
        <v>0</v>
      </c>
      <c r="F323" s="16">
        <f>Data!P323</f>
        <v>0</v>
      </c>
    </row>
    <row r="324" spans="2:6" ht="15" customHeight="1" x14ac:dyDescent="0.3">
      <c r="C324" s="3"/>
      <c r="D324" s="8">
        <v>2017</v>
      </c>
      <c r="E324" s="62">
        <f>Data!O324</f>
        <v>0</v>
      </c>
      <c r="F324" s="16">
        <f>Data!P324</f>
        <v>0</v>
      </c>
    </row>
    <row r="325" spans="2:6" ht="15" customHeight="1" x14ac:dyDescent="0.3">
      <c r="C325" s="3"/>
      <c r="D325" s="8">
        <v>2018</v>
      </c>
      <c r="E325" s="62">
        <f>Data!O325</f>
        <v>0.64929999999999999</v>
      </c>
      <c r="F325" s="16" t="str">
        <f>Data!P325</f>
        <v>PT Bina Asetanusa</v>
      </c>
    </row>
    <row r="326" spans="2:6" ht="15" customHeight="1" x14ac:dyDescent="0.3">
      <c r="C326" s="3"/>
      <c r="D326" s="8">
        <v>2019</v>
      </c>
      <c r="E326" s="62">
        <f>Data!O326</f>
        <v>0.64929999999999999</v>
      </c>
      <c r="F326" s="16" t="str">
        <f>Data!P326</f>
        <v>PT Bina Asetanusa</v>
      </c>
    </row>
    <row r="327" spans="2:6" ht="15" customHeight="1" x14ac:dyDescent="0.3">
      <c r="C327" s="3"/>
      <c r="D327" s="8">
        <v>2020</v>
      </c>
      <c r="E327" s="62">
        <f>Data!O327</f>
        <v>0.64929999999999999</v>
      </c>
      <c r="F327" s="16" t="str">
        <f>Data!P327</f>
        <v>PT Bina Asetanusa</v>
      </c>
    </row>
    <row r="328" spans="2:6" ht="15" customHeight="1" x14ac:dyDescent="0.3">
      <c r="C328" s="3"/>
      <c r="D328" s="8">
        <v>2021</v>
      </c>
      <c r="E328" s="62">
        <f>Data!O328</f>
        <v>0.64929999999999999</v>
      </c>
      <c r="F328" s="16" t="str">
        <f>Data!P328</f>
        <v>PT Bina Asetanusa</v>
      </c>
    </row>
    <row r="329" spans="2:6" ht="15" customHeight="1" x14ac:dyDescent="0.3">
      <c r="C329" s="3"/>
      <c r="D329" s="8">
        <v>2022</v>
      </c>
      <c r="E329" s="62">
        <f>Data!O329</f>
        <v>0.64929999999999999</v>
      </c>
      <c r="F329" s="16" t="str">
        <f>Data!P329</f>
        <v>PT Bina Asetanusa</v>
      </c>
    </row>
    <row r="330" spans="2:6" ht="15" customHeight="1" x14ac:dyDescent="0.3">
      <c r="C330" s="3"/>
      <c r="D330" s="8">
        <v>2023</v>
      </c>
      <c r="E330" s="62">
        <f>Data!O330</f>
        <v>0.64929999999999999</v>
      </c>
      <c r="F330" s="16" t="str">
        <f>Data!P330</f>
        <v>PT Bina Asetanusa</v>
      </c>
    </row>
    <row r="331" spans="2:6" ht="15" customHeight="1" x14ac:dyDescent="0.3">
      <c r="C331" s="3"/>
      <c r="D331" s="8">
        <v>2024</v>
      </c>
      <c r="E331" s="62">
        <f>Data!O331</f>
        <v>0.64929999999999999</v>
      </c>
      <c r="F331" s="16" t="str">
        <f>Data!P331</f>
        <v>PT Bina Asetanusa</v>
      </c>
    </row>
    <row r="332" spans="2:6" ht="15" customHeight="1" x14ac:dyDescent="0.3">
      <c r="B332" s="8">
        <v>31</v>
      </c>
      <c r="C332" s="3" t="s">
        <v>6</v>
      </c>
      <c r="D332" s="8">
        <v>2014</v>
      </c>
      <c r="E332" s="62">
        <f>Data!O332</f>
        <v>0</v>
      </c>
      <c r="F332" s="16">
        <f>Data!P332</f>
        <v>0</v>
      </c>
    </row>
    <row r="333" spans="2:6" ht="15" customHeight="1" x14ac:dyDescent="0.3">
      <c r="C333" s="3"/>
      <c r="D333" s="8">
        <v>2015</v>
      </c>
      <c r="E333" s="62">
        <f>Data!O333</f>
        <v>0</v>
      </c>
      <c r="F333" s="16">
        <f>Data!P333</f>
        <v>0</v>
      </c>
    </row>
    <row r="334" spans="2:6" ht="15" customHeight="1" x14ac:dyDescent="0.3">
      <c r="C334" s="3"/>
      <c r="D334" s="8">
        <v>2016</v>
      </c>
      <c r="E334" s="62">
        <f>Data!O334</f>
        <v>0</v>
      </c>
      <c r="F334" s="16">
        <f>Data!P334</f>
        <v>0</v>
      </c>
    </row>
    <row r="335" spans="2:6" ht="15" customHeight="1" x14ac:dyDescent="0.3">
      <c r="C335" s="3"/>
      <c r="D335" s="8">
        <v>2017</v>
      </c>
      <c r="E335" s="62">
        <f>Data!O335</f>
        <v>0</v>
      </c>
      <c r="F335" s="16">
        <f>Data!P335</f>
        <v>0</v>
      </c>
    </row>
    <row r="336" spans="2:6" ht="15" customHeight="1" x14ac:dyDescent="0.3">
      <c r="C336" s="3"/>
      <c r="D336" s="8">
        <v>2018</v>
      </c>
      <c r="E336" s="62">
        <f>Data!O336</f>
        <v>0</v>
      </c>
      <c r="F336" s="16">
        <f>Data!P336</f>
        <v>0</v>
      </c>
    </row>
    <row r="337" spans="2:6" ht="15" customHeight="1" x14ac:dyDescent="0.3">
      <c r="C337" s="3"/>
      <c r="D337" s="8">
        <v>2019</v>
      </c>
      <c r="E337" s="62">
        <f>Data!O337</f>
        <v>0</v>
      </c>
      <c r="F337" s="16">
        <f>Data!P337</f>
        <v>0</v>
      </c>
    </row>
    <row r="338" spans="2:6" ht="15" customHeight="1" x14ac:dyDescent="0.3">
      <c r="C338" s="3"/>
      <c r="D338" s="8">
        <v>2020</v>
      </c>
      <c r="E338" s="62">
        <f>Data!O338</f>
        <v>0.91159999999999997</v>
      </c>
      <c r="F338" s="16" t="str">
        <f>Data!P338</f>
        <v>AXA Asia</v>
      </c>
    </row>
    <row r="339" spans="2:6" ht="15" customHeight="1" x14ac:dyDescent="0.3">
      <c r="C339" s="3"/>
      <c r="D339" s="8">
        <v>2021</v>
      </c>
      <c r="E339" s="62">
        <f>Data!O339</f>
        <v>0.91159999999999997</v>
      </c>
      <c r="F339" s="16" t="str">
        <f>Data!P339</f>
        <v>AXA Asia</v>
      </c>
    </row>
    <row r="340" spans="2:6" ht="15" customHeight="1" x14ac:dyDescent="0.3">
      <c r="C340" s="3"/>
      <c r="D340" s="8">
        <v>2022</v>
      </c>
      <c r="E340" s="62">
        <f>Data!O340</f>
        <v>0.91159999999999997</v>
      </c>
      <c r="F340" s="16" t="str">
        <f>Data!P340</f>
        <v>AXA Asia</v>
      </c>
    </row>
    <row r="341" spans="2:6" ht="15" customHeight="1" x14ac:dyDescent="0.3">
      <c r="C341" s="3"/>
      <c r="D341" s="8">
        <v>2023</v>
      </c>
      <c r="E341" s="62">
        <f>Data!O341</f>
        <v>0.91159999999999997</v>
      </c>
      <c r="F341" s="16" t="str">
        <f>Data!P341</f>
        <v>AXA Asia</v>
      </c>
    </row>
    <row r="342" spans="2:6" ht="15" customHeight="1" x14ac:dyDescent="0.3">
      <c r="C342" s="3"/>
      <c r="D342" s="8">
        <v>2024</v>
      </c>
      <c r="E342" s="62">
        <f>Data!O342</f>
        <v>0.91159999999999997</v>
      </c>
      <c r="F342" s="16" t="str">
        <f>Data!P342</f>
        <v>AXA Asia</v>
      </c>
    </row>
    <row r="343" spans="2:6" ht="15" customHeight="1" x14ac:dyDescent="0.3">
      <c r="B343" s="8">
        <v>32</v>
      </c>
      <c r="C343" s="3" t="s">
        <v>7</v>
      </c>
      <c r="D343" s="8">
        <v>2014</v>
      </c>
      <c r="E343" s="62">
        <f>Data!O343</f>
        <v>0</v>
      </c>
      <c r="F343" s="16">
        <f>Data!P343</f>
        <v>0</v>
      </c>
    </row>
    <row r="344" spans="2:6" ht="15" customHeight="1" x14ac:dyDescent="0.3">
      <c r="C344" s="3"/>
      <c r="D344" s="8">
        <v>2015</v>
      </c>
      <c r="E344" s="62">
        <f>Data!O344</f>
        <v>0</v>
      </c>
      <c r="F344" s="16">
        <f>Data!P344</f>
        <v>0</v>
      </c>
    </row>
    <row r="345" spans="2:6" ht="15" customHeight="1" x14ac:dyDescent="0.3">
      <c r="C345" s="3"/>
      <c r="D345" s="8">
        <v>2016</v>
      </c>
      <c r="E345" s="62">
        <f>Data!O345</f>
        <v>0</v>
      </c>
      <c r="F345" s="16">
        <f>Data!P345</f>
        <v>0</v>
      </c>
    </row>
    <row r="346" spans="2:6" ht="15" customHeight="1" x14ac:dyDescent="0.3">
      <c r="C346" s="3"/>
      <c r="D346" s="8">
        <v>2017</v>
      </c>
      <c r="E346" s="62">
        <f>Data!O346</f>
        <v>0.51</v>
      </c>
      <c r="F346" s="16" t="str">
        <f>Data!P346</f>
        <v>PT Bank Mandiri</v>
      </c>
    </row>
    <row r="347" spans="2:6" ht="15" customHeight="1" x14ac:dyDescent="0.3">
      <c r="C347" s="3"/>
      <c r="D347" s="8">
        <v>2018</v>
      </c>
      <c r="E347" s="62">
        <f>Data!O347</f>
        <v>0.51</v>
      </c>
      <c r="F347" s="16" t="str">
        <f>Data!P347</f>
        <v>PT Bank Mandiri</v>
      </c>
    </row>
    <row r="348" spans="2:6" ht="15" customHeight="1" x14ac:dyDescent="0.3">
      <c r="C348" s="3"/>
      <c r="D348" s="8">
        <v>2019</v>
      </c>
      <c r="E348" s="62">
        <f>Data!O348</f>
        <v>0.51</v>
      </c>
      <c r="F348" s="16" t="str">
        <f>Data!P348</f>
        <v>PT Bank Mandiri</v>
      </c>
    </row>
    <row r="349" spans="2:6" ht="15" customHeight="1" x14ac:dyDescent="0.3">
      <c r="C349" s="3"/>
      <c r="D349" s="8">
        <v>2020</v>
      </c>
      <c r="E349" s="62">
        <f>Data!O349</f>
        <v>0.51</v>
      </c>
      <c r="F349" s="16" t="str">
        <f>Data!P349</f>
        <v>PT Bank Mandiri</v>
      </c>
    </row>
    <row r="350" spans="2:6" ht="15" customHeight="1" x14ac:dyDescent="0.3">
      <c r="C350" s="3"/>
      <c r="D350" s="8">
        <v>2021</v>
      </c>
      <c r="E350" s="62">
        <f>Data!O350</f>
        <v>0.51</v>
      </c>
      <c r="F350" s="16" t="str">
        <f>Data!P350</f>
        <v>PT Bank Mandiri</v>
      </c>
    </row>
    <row r="351" spans="2:6" ht="15" customHeight="1" x14ac:dyDescent="0.3">
      <c r="C351" s="3"/>
      <c r="D351" s="8">
        <v>2022</v>
      </c>
      <c r="E351" s="62">
        <f>Data!O351</f>
        <v>0.51</v>
      </c>
      <c r="F351" s="16" t="str">
        <f>Data!P351</f>
        <v>PT Bank Mandiri</v>
      </c>
    </row>
    <row r="352" spans="2:6" ht="15" customHeight="1" x14ac:dyDescent="0.3">
      <c r="C352" s="3"/>
      <c r="D352" s="8">
        <v>2023</v>
      </c>
      <c r="E352" s="62">
        <f>Data!O352</f>
        <v>0.51</v>
      </c>
      <c r="F352" s="16" t="str">
        <f>Data!P352</f>
        <v>PT Bank Mandiri</v>
      </c>
    </row>
    <row r="353" spans="2:6" ht="15" customHeight="1" x14ac:dyDescent="0.3">
      <c r="C353" s="3"/>
      <c r="D353" s="8">
        <v>2024</v>
      </c>
      <c r="E353" s="62">
        <f>Data!O353</f>
        <v>0.51</v>
      </c>
      <c r="F353" s="16" t="str">
        <f>Data!P353</f>
        <v>PT Bank Mandiri</v>
      </c>
    </row>
    <row r="354" spans="2:6" ht="15" customHeight="1" x14ac:dyDescent="0.3">
      <c r="B354" s="8">
        <v>33</v>
      </c>
      <c r="C354" s="3" t="s">
        <v>30</v>
      </c>
      <c r="D354" s="8">
        <v>2014</v>
      </c>
      <c r="E354" s="62">
        <f>Data!O354</f>
        <v>0</v>
      </c>
      <c r="F354" s="16">
        <f>Data!P356</f>
        <v>0</v>
      </c>
    </row>
    <row r="355" spans="2:6" ht="15" customHeight="1" x14ac:dyDescent="0.3">
      <c r="C355" s="3"/>
      <c r="D355" s="8">
        <v>2015</v>
      </c>
      <c r="E355" s="62">
        <f>Data!O355</f>
        <v>0</v>
      </c>
      <c r="F355" s="16" t="str">
        <f>Data!P357</f>
        <v>PT Bhineka Mandiri Utama</v>
      </c>
    </row>
    <row r="356" spans="2:6" ht="15" customHeight="1" x14ac:dyDescent="0.3">
      <c r="C356" s="3"/>
      <c r="D356" s="8">
        <v>2016</v>
      </c>
      <c r="E356" s="62">
        <f>Data!O356</f>
        <v>0</v>
      </c>
      <c r="F356" s="16" t="e">
        <f>Data!#REF!</f>
        <v>#REF!</v>
      </c>
    </row>
    <row r="357" spans="2:6" ht="15" customHeight="1" x14ac:dyDescent="0.3">
      <c r="C357" s="3"/>
      <c r="D357" s="8">
        <v>2017</v>
      </c>
      <c r="E357" s="62">
        <f>Data!O357</f>
        <v>0.99990000000000001</v>
      </c>
      <c r="F357" s="16" t="e">
        <f>Data!#REF!</f>
        <v>#REF!</v>
      </c>
    </row>
    <row r="358" spans="2:6" ht="15" customHeight="1" x14ac:dyDescent="0.3">
      <c r="C358" s="3"/>
      <c r="D358" s="8">
        <v>2018</v>
      </c>
      <c r="E358" s="62">
        <f>Data!O358</f>
        <v>0.99990000000000001</v>
      </c>
      <c r="F358" s="16" t="str">
        <f>Data!P358</f>
        <v>PT Bhineka Mandiri Utama</v>
      </c>
    </row>
    <row r="359" spans="2:6" ht="15" customHeight="1" x14ac:dyDescent="0.3">
      <c r="C359" s="3"/>
      <c r="D359" s="8">
        <v>2019</v>
      </c>
      <c r="E359" s="62">
        <f>Data!O359</f>
        <v>0.99990000000000001</v>
      </c>
      <c r="F359" s="16" t="str">
        <f>Data!P359</f>
        <v>PT Bhineka Mandiri Utama</v>
      </c>
    </row>
    <row r="360" spans="2:6" ht="15" customHeight="1" x14ac:dyDescent="0.3">
      <c r="C360" s="3"/>
      <c r="D360" s="8">
        <v>2020</v>
      </c>
      <c r="E360" s="62">
        <f>Data!O360</f>
        <v>0.99990000000000001</v>
      </c>
      <c r="F360" s="16" t="str">
        <f>Data!P360</f>
        <v>PT Bhineka Mandiri Utama</v>
      </c>
    </row>
    <row r="361" spans="2:6" ht="15" customHeight="1" x14ac:dyDescent="0.3">
      <c r="C361" s="3"/>
      <c r="D361" s="8">
        <v>2021</v>
      </c>
      <c r="E361" s="62">
        <f>Data!O361</f>
        <v>0.99990000000000001</v>
      </c>
      <c r="F361" s="16" t="str">
        <f>Data!P361</f>
        <v>PT Bhineka Mandiri Utama</v>
      </c>
    </row>
    <row r="362" spans="2:6" ht="15" customHeight="1" x14ac:dyDescent="0.3">
      <c r="C362" s="3"/>
      <c r="D362" s="8">
        <v>2022</v>
      </c>
      <c r="E362" s="62">
        <f>Data!O362</f>
        <v>0.99990000000000001</v>
      </c>
      <c r="F362" s="16" t="str">
        <f>Data!P362</f>
        <v>PT Bhineka Mandiri Utama</v>
      </c>
    </row>
    <row r="363" spans="2:6" ht="15" customHeight="1" x14ac:dyDescent="0.3">
      <c r="C363" s="3"/>
      <c r="D363" s="8">
        <v>2023</v>
      </c>
      <c r="E363" s="62">
        <f>Data!O363</f>
        <v>0.99990000000000001</v>
      </c>
      <c r="F363" s="16" t="str">
        <f>Data!P363</f>
        <v>PT Bhineka Mandiri Utama</v>
      </c>
    </row>
    <row r="364" spans="2:6" ht="15" customHeight="1" x14ac:dyDescent="0.3">
      <c r="C364" s="3"/>
      <c r="D364" s="8">
        <v>2024</v>
      </c>
      <c r="E364" s="62">
        <f>Data!O364</f>
        <v>0.99990000000000001</v>
      </c>
      <c r="F364" s="16" t="str">
        <f>Data!P364</f>
        <v>PT Bhineka Mandiri Utama</v>
      </c>
    </row>
    <row r="365" spans="2:6" ht="15" customHeight="1" x14ac:dyDescent="0.3">
      <c r="B365" s="8">
        <v>34</v>
      </c>
      <c r="C365" s="3" t="s">
        <v>9</v>
      </c>
      <c r="D365" s="8">
        <v>2014</v>
      </c>
      <c r="E365" s="62">
        <f>Data!O365</f>
        <v>0</v>
      </c>
      <c r="F365" s="16">
        <f>Data!P365</f>
        <v>0</v>
      </c>
    </row>
    <row r="366" spans="2:6" ht="15" customHeight="1" x14ac:dyDescent="0.3">
      <c r="C366" s="3"/>
      <c r="D366" s="8">
        <v>2015</v>
      </c>
      <c r="E366" s="62">
        <f>Data!O366</f>
        <v>0.6</v>
      </c>
      <c r="F366" s="16" t="str">
        <f>Data!P366</f>
        <v>PT Bank Negara Indonesia</v>
      </c>
    </row>
    <row r="367" spans="2:6" ht="15" customHeight="1" x14ac:dyDescent="0.3">
      <c r="C367" s="3"/>
      <c r="D367" s="8">
        <v>2016</v>
      </c>
      <c r="E367" s="62">
        <f>Data!O367</f>
        <v>0.6</v>
      </c>
      <c r="F367" s="16" t="str">
        <f>Data!P367</f>
        <v>PT Bank Negara Indonesia</v>
      </c>
    </row>
    <row r="368" spans="2:6" ht="15" customHeight="1" x14ac:dyDescent="0.3">
      <c r="C368" s="3"/>
      <c r="D368" s="8">
        <v>2017</v>
      </c>
      <c r="E368" s="62">
        <f>Data!O368</f>
        <v>0.6</v>
      </c>
      <c r="F368" s="16" t="str">
        <f>Data!P368</f>
        <v>PT Bank Negara Indonesia</v>
      </c>
    </row>
    <row r="369" spans="2:6" ht="15" customHeight="1" x14ac:dyDescent="0.3">
      <c r="C369" s="3"/>
      <c r="D369" s="8">
        <v>2018</v>
      </c>
      <c r="E369" s="62">
        <f>Data!O369</f>
        <v>0.6</v>
      </c>
      <c r="F369" s="16" t="str">
        <f>Data!P369</f>
        <v>PT Bank Negara Indonesia</v>
      </c>
    </row>
    <row r="370" spans="2:6" ht="15" customHeight="1" x14ac:dyDescent="0.3">
      <c r="C370" s="3"/>
      <c r="D370" s="8">
        <v>2019</v>
      </c>
      <c r="E370" s="62">
        <f>Data!O370</f>
        <v>0.6</v>
      </c>
      <c r="F370" s="16" t="str">
        <f>Data!P370</f>
        <v>PT Bank Negara Indonesia</v>
      </c>
    </row>
    <row r="371" spans="2:6" ht="15" customHeight="1" x14ac:dyDescent="0.3">
      <c r="C371" s="3"/>
      <c r="D371" s="8">
        <v>2020</v>
      </c>
      <c r="E371" s="62">
        <f>Data!O371</f>
        <v>0.6</v>
      </c>
      <c r="F371" s="16" t="str">
        <f>Data!P371</f>
        <v>PT Bank Negara Indonesia</v>
      </c>
    </row>
    <row r="372" spans="2:6" ht="15" customHeight="1" x14ac:dyDescent="0.3">
      <c r="C372" s="3"/>
      <c r="D372" s="8">
        <v>2021</v>
      </c>
      <c r="E372" s="62">
        <f>Data!O372</f>
        <v>0.6</v>
      </c>
      <c r="F372" s="16" t="str">
        <f>Data!P372</f>
        <v>PT Bank Negara Indonesia</v>
      </c>
    </row>
    <row r="373" spans="2:6" ht="15" customHeight="1" x14ac:dyDescent="0.3">
      <c r="C373" s="3"/>
      <c r="D373" s="8">
        <v>2022</v>
      </c>
      <c r="E373" s="62">
        <f>Data!O373</f>
        <v>0</v>
      </c>
      <c r="F373" s="16" t="str">
        <f>Data!P374</f>
        <v>PT Bank Negara Indonesia</v>
      </c>
    </row>
    <row r="374" spans="2:6" ht="15" customHeight="1" x14ac:dyDescent="0.3">
      <c r="C374" s="3"/>
      <c r="D374" s="8">
        <v>2023</v>
      </c>
      <c r="E374" s="62">
        <f>Data!O374</f>
        <v>0.6</v>
      </c>
      <c r="F374" s="16" t="e">
        <f>Data!#REF!</f>
        <v>#REF!</v>
      </c>
    </row>
    <row r="375" spans="2:6" ht="15" customHeight="1" x14ac:dyDescent="0.3">
      <c r="C375" s="3"/>
      <c r="D375" s="8">
        <v>2024</v>
      </c>
      <c r="E375" s="62">
        <f>Data!O375</f>
        <v>0.6</v>
      </c>
      <c r="F375" s="16" t="str">
        <f>Data!P375</f>
        <v>PT Bank Negara Indonesia</v>
      </c>
    </row>
    <row r="376" spans="2:6" ht="15" customHeight="1" x14ac:dyDescent="0.3">
      <c r="B376" s="8">
        <v>35</v>
      </c>
      <c r="C376" s="3" t="s">
        <v>31</v>
      </c>
      <c r="D376" s="8">
        <v>2014</v>
      </c>
      <c r="E376" s="62">
        <f>Data!O376</f>
        <v>0</v>
      </c>
      <c r="F376" s="16">
        <f>Data!P376</f>
        <v>0</v>
      </c>
    </row>
    <row r="377" spans="2:6" ht="15" customHeight="1" x14ac:dyDescent="0.3">
      <c r="C377" s="3"/>
      <c r="D377" s="8">
        <v>2015</v>
      </c>
      <c r="E377" s="62">
        <f>Data!O377</f>
        <v>0</v>
      </c>
      <c r="F377" s="16">
        <f>Data!P377</f>
        <v>0</v>
      </c>
    </row>
    <row r="378" spans="2:6" ht="15" customHeight="1" x14ac:dyDescent="0.3">
      <c r="C378" s="3"/>
      <c r="D378" s="8">
        <v>2016</v>
      </c>
      <c r="E378" s="62">
        <f>Data!O378</f>
        <v>0</v>
      </c>
      <c r="F378" s="16">
        <f>Data!P378</f>
        <v>0</v>
      </c>
    </row>
    <row r="379" spans="2:6" ht="15" customHeight="1" x14ac:dyDescent="0.3">
      <c r="C379" s="3"/>
      <c r="D379" s="8">
        <v>2017</v>
      </c>
      <c r="E379" s="62">
        <f>Data!O379</f>
        <v>0</v>
      </c>
      <c r="F379" s="16">
        <f>Data!P379</f>
        <v>0</v>
      </c>
    </row>
    <row r="380" spans="2:6" ht="15" customHeight="1" x14ac:dyDescent="0.3">
      <c r="C380" s="3"/>
      <c r="D380" s="8">
        <v>2018</v>
      </c>
      <c r="E380" s="62">
        <f>Data!O380</f>
        <v>0</v>
      </c>
      <c r="F380" s="16">
        <f>Data!P380</f>
        <v>0</v>
      </c>
    </row>
    <row r="381" spans="2:6" ht="15" customHeight="1" x14ac:dyDescent="0.3">
      <c r="C381" s="3"/>
      <c r="D381" s="8">
        <v>2019</v>
      </c>
      <c r="E381" s="62">
        <f>Data!O381</f>
        <v>0</v>
      </c>
      <c r="F381" s="16">
        <f>Data!P381</f>
        <v>0</v>
      </c>
    </row>
    <row r="382" spans="2:6" ht="15" customHeight="1" x14ac:dyDescent="0.3">
      <c r="C382" s="3"/>
      <c r="D382" s="8">
        <v>2020</v>
      </c>
      <c r="E382" s="62">
        <f>Data!O382</f>
        <v>0</v>
      </c>
      <c r="F382" s="16">
        <f>Data!P382</f>
        <v>0</v>
      </c>
    </row>
    <row r="383" spans="2:6" ht="15" customHeight="1" x14ac:dyDescent="0.3">
      <c r="C383" s="3"/>
      <c r="D383" s="8">
        <v>2021</v>
      </c>
      <c r="E383" s="62">
        <f>Data!O383</f>
        <v>0.99990000000000001</v>
      </c>
      <c r="F383" s="16" t="str">
        <f>Data!P383</f>
        <v>PT Capital Global Financial</v>
      </c>
    </row>
    <row r="384" spans="2:6" ht="15" customHeight="1" x14ac:dyDescent="0.3">
      <c r="C384" s="3"/>
      <c r="D384" s="8">
        <v>2022</v>
      </c>
      <c r="E384" s="62">
        <f>Data!O384</f>
        <v>0.99990000000000001</v>
      </c>
      <c r="F384" s="16" t="str">
        <f>Data!P384</f>
        <v>PT Capital Global Financial</v>
      </c>
    </row>
    <row r="385" spans="2:6" ht="15" customHeight="1" x14ac:dyDescent="0.3">
      <c r="C385" s="3"/>
      <c r="D385" s="8">
        <v>2023</v>
      </c>
      <c r="E385" s="62">
        <f>Data!O385</f>
        <v>0.99990000000000001</v>
      </c>
      <c r="F385" s="16" t="str">
        <f>Data!P385</f>
        <v>PT Capital Global Financial</v>
      </c>
    </row>
    <row r="386" spans="2:6" ht="15" customHeight="1" x14ac:dyDescent="0.3">
      <c r="C386" s="3"/>
      <c r="D386" s="8">
        <v>2024</v>
      </c>
      <c r="E386" s="62">
        <f>Data!O386</f>
        <v>0.99990000000000001</v>
      </c>
      <c r="F386" s="16" t="str">
        <f>Data!P386</f>
        <v>PT Capital Global Financial</v>
      </c>
    </row>
    <row r="387" spans="2:6" ht="15" customHeight="1" x14ac:dyDescent="0.3">
      <c r="B387" s="8">
        <v>36</v>
      </c>
      <c r="C387" s="4" t="s">
        <v>54</v>
      </c>
      <c r="D387" s="8">
        <v>2014</v>
      </c>
      <c r="E387" s="62">
        <f>Data!O387</f>
        <v>0</v>
      </c>
      <c r="F387" s="16">
        <f>Data!P387</f>
        <v>0</v>
      </c>
    </row>
    <row r="388" spans="2:6" ht="15" customHeight="1" x14ac:dyDescent="0.3">
      <c r="C388" s="4"/>
      <c r="D388" s="8">
        <v>2015</v>
      </c>
      <c r="E388" s="62">
        <f>Data!O388</f>
        <v>0</v>
      </c>
      <c r="F388" s="16">
        <f>Data!P388</f>
        <v>0</v>
      </c>
    </row>
    <row r="389" spans="2:6" ht="15" customHeight="1" x14ac:dyDescent="0.3">
      <c r="C389" s="4"/>
      <c r="D389" s="8">
        <v>2016</v>
      </c>
      <c r="E389" s="62">
        <f>Data!O389</f>
        <v>0</v>
      </c>
      <c r="F389" s="16">
        <f>Data!P389</f>
        <v>0</v>
      </c>
    </row>
    <row r="390" spans="2:6" ht="15" customHeight="1" x14ac:dyDescent="0.3">
      <c r="C390" s="4"/>
      <c r="D390" s="8">
        <v>2017</v>
      </c>
      <c r="E390" s="62">
        <f>Data!O390</f>
        <v>0.99990000000000001</v>
      </c>
      <c r="F390" s="16" t="str">
        <f>Data!P390</f>
        <v>PT Inigo Global Capital</v>
      </c>
    </row>
    <row r="391" spans="2:6" ht="15" customHeight="1" x14ac:dyDescent="0.3">
      <c r="C391" s="4"/>
      <c r="D391" s="8">
        <v>2018</v>
      </c>
      <c r="E391" s="62">
        <f>Data!O391</f>
        <v>0.99990000000000001</v>
      </c>
      <c r="F391" s="16" t="str">
        <f>Data!P391</f>
        <v>PT Inigo Global Capital</v>
      </c>
    </row>
    <row r="392" spans="2:6" ht="15" customHeight="1" x14ac:dyDescent="0.3">
      <c r="C392" s="4"/>
      <c r="D392" s="8">
        <v>2019</v>
      </c>
      <c r="E392" s="62">
        <f>Data!O392</f>
        <v>0.99990000000000001</v>
      </c>
      <c r="F392" s="16" t="str">
        <f>Data!P392</f>
        <v>PT Inigo Global Capital</v>
      </c>
    </row>
    <row r="393" spans="2:6" ht="15" customHeight="1" x14ac:dyDescent="0.3">
      <c r="C393" s="4"/>
      <c r="D393" s="8">
        <v>2020</v>
      </c>
      <c r="E393" s="62">
        <f>Data!O393</f>
        <v>0.99990000000000001</v>
      </c>
      <c r="F393" s="16" t="str">
        <f>Data!P393</f>
        <v>PT Inigo Global Capital</v>
      </c>
    </row>
    <row r="394" spans="2:6" ht="15" customHeight="1" x14ac:dyDescent="0.3">
      <c r="C394" s="4"/>
      <c r="D394" s="8">
        <v>2021</v>
      </c>
      <c r="E394" s="62">
        <f>Data!O394</f>
        <v>0.99990000000000001</v>
      </c>
      <c r="F394" s="16" t="str">
        <f>Data!P394</f>
        <v>PT Inigo Global Capital</v>
      </c>
    </row>
    <row r="395" spans="2:6" ht="15" customHeight="1" x14ac:dyDescent="0.3">
      <c r="C395" s="4"/>
      <c r="D395" s="8">
        <v>2022</v>
      </c>
      <c r="E395" s="62">
        <f>Data!O395</f>
        <v>0.99990000000000001</v>
      </c>
      <c r="F395" s="16" t="str">
        <f>Data!P395</f>
        <v>PT Inigo Global Capital</v>
      </c>
    </row>
    <row r="396" spans="2:6" ht="15" customHeight="1" x14ac:dyDescent="0.3">
      <c r="C396" s="4"/>
      <c r="D396" s="8">
        <v>2023</v>
      </c>
      <c r="E396" s="62">
        <f>Data!O396</f>
        <v>0.99990000000000001</v>
      </c>
      <c r="F396" s="16" t="str">
        <f>Data!P396</f>
        <v>PT Inigo Global Capital</v>
      </c>
    </row>
    <row r="397" spans="2:6" ht="15" customHeight="1" x14ac:dyDescent="0.3">
      <c r="C397" s="4"/>
      <c r="D397" s="8">
        <v>2024</v>
      </c>
      <c r="E397" s="62">
        <f>Data!O397</f>
        <v>0</v>
      </c>
      <c r="F397" s="16">
        <f>Data!P397</f>
        <v>0</v>
      </c>
    </row>
    <row r="398" spans="2:6" ht="15" customHeight="1" x14ac:dyDescent="0.3">
      <c r="B398" s="8">
        <v>37</v>
      </c>
      <c r="C398" s="3" t="s">
        <v>10</v>
      </c>
      <c r="D398" s="8">
        <v>2014</v>
      </c>
      <c r="E398" s="62">
        <f>Data!O398</f>
        <v>0</v>
      </c>
      <c r="F398" s="16">
        <f>Data!P398</f>
        <v>0</v>
      </c>
    </row>
    <row r="399" spans="2:6" ht="15" customHeight="1" x14ac:dyDescent="0.3">
      <c r="C399" s="3"/>
      <c r="D399" s="8">
        <v>2015</v>
      </c>
      <c r="E399" s="62">
        <f>Data!O399</f>
        <v>0</v>
      </c>
      <c r="F399" s="16">
        <f>Data!P399</f>
        <v>0</v>
      </c>
    </row>
    <row r="400" spans="2:6" ht="15" customHeight="1" x14ac:dyDescent="0.3">
      <c r="C400" s="3"/>
      <c r="D400" s="8">
        <v>2016</v>
      </c>
      <c r="E400" s="62">
        <f>Data!O400</f>
        <v>0</v>
      </c>
      <c r="F400" s="16">
        <f>Data!P400</f>
        <v>0</v>
      </c>
    </row>
    <row r="401" spans="2:6" ht="15" customHeight="1" x14ac:dyDescent="0.3">
      <c r="C401" s="3"/>
      <c r="D401" s="8">
        <v>2017</v>
      </c>
      <c r="E401" s="62">
        <f>Data!O401</f>
        <v>0</v>
      </c>
      <c r="F401" s="16">
        <f>Data!P401</f>
        <v>0</v>
      </c>
    </row>
    <row r="402" spans="2:6" ht="15" customHeight="1" x14ac:dyDescent="0.3">
      <c r="C402" s="3"/>
      <c r="D402" s="8">
        <v>2018</v>
      </c>
      <c r="E402" s="62">
        <f>Data!O402</f>
        <v>0.84</v>
      </c>
      <c r="F402" s="16" t="str">
        <f>Data!P402</f>
        <v>PT Asuransi Jiwa Central Asia Raya</v>
      </c>
    </row>
    <row r="403" spans="2:6" ht="15" customHeight="1" x14ac:dyDescent="0.3">
      <c r="C403" s="3"/>
      <c r="D403" s="8">
        <v>2019</v>
      </c>
      <c r="E403" s="62">
        <f>Data!O403</f>
        <v>0.85</v>
      </c>
      <c r="F403" s="16" t="str">
        <f>Data!P403</f>
        <v>PT Asuransi Jiwa Central Asia Raya</v>
      </c>
    </row>
    <row r="404" spans="2:6" ht="15" customHeight="1" x14ac:dyDescent="0.3">
      <c r="C404" s="3"/>
      <c r="D404" s="8">
        <v>2020</v>
      </c>
      <c r="E404" s="62">
        <f>Data!O404</f>
        <v>0</v>
      </c>
      <c r="F404" s="16">
        <f>Data!P404</f>
        <v>0</v>
      </c>
    </row>
    <row r="405" spans="2:6" ht="15" customHeight="1" x14ac:dyDescent="0.3">
      <c r="C405" s="3"/>
      <c r="D405" s="8">
        <v>2021</v>
      </c>
      <c r="E405" s="62">
        <f>Data!O405</f>
        <v>0.67300000000000004</v>
      </c>
      <c r="F405" s="16" t="str">
        <f>Data!P405</f>
        <v>PT Asuransi Jiwa Central Asia Raya</v>
      </c>
    </row>
    <row r="406" spans="2:6" ht="15" customHeight="1" x14ac:dyDescent="0.3">
      <c r="C406" s="3"/>
      <c r="D406" s="8">
        <v>2022</v>
      </c>
      <c r="E406" s="62">
        <f>Data!O406</f>
        <v>0.61450000000000005</v>
      </c>
      <c r="F406" s="16" t="str">
        <f>Data!P406</f>
        <v>PT Asuransi Jiwa Central Asia Raya</v>
      </c>
    </row>
    <row r="407" spans="2:6" ht="15" customHeight="1" x14ac:dyDescent="0.3">
      <c r="C407" s="3"/>
      <c r="D407" s="8">
        <v>2023</v>
      </c>
      <c r="E407" s="62">
        <f>Data!O407</f>
        <v>0.57299999999999995</v>
      </c>
      <c r="F407" s="16" t="str">
        <f>Data!P407</f>
        <v>PT Asuransi Jiwa Central Asia Raya</v>
      </c>
    </row>
    <row r="408" spans="2:6" ht="15" customHeight="1" x14ac:dyDescent="0.3">
      <c r="C408" s="3"/>
      <c r="D408" s="8">
        <v>2024</v>
      </c>
      <c r="E408" s="62">
        <f>Data!O408</f>
        <v>0.4874</v>
      </c>
      <c r="F408" s="16" t="str">
        <f>Data!P408</f>
        <v>PT Asuransi Jiwa Central Asia Raya</v>
      </c>
    </row>
    <row r="409" spans="2:6" ht="15" customHeight="1" x14ac:dyDescent="0.3">
      <c r="B409" s="8">
        <v>38</v>
      </c>
      <c r="C409" s="3" t="s">
        <v>32</v>
      </c>
      <c r="D409" s="8">
        <v>2014</v>
      </c>
      <c r="E409" s="62">
        <f>Data!O409</f>
        <v>0</v>
      </c>
      <c r="F409" s="16">
        <f>Data!P409</f>
        <v>0</v>
      </c>
    </row>
    <row r="410" spans="2:6" ht="15" customHeight="1" x14ac:dyDescent="0.3">
      <c r="C410" s="3"/>
      <c r="D410" s="8">
        <v>2015</v>
      </c>
      <c r="E410" s="62">
        <f>Data!O410</f>
        <v>0</v>
      </c>
      <c r="F410" s="16">
        <f>Data!P410</f>
        <v>0</v>
      </c>
    </row>
    <row r="411" spans="2:6" ht="15" customHeight="1" x14ac:dyDescent="0.3">
      <c r="C411" s="3"/>
      <c r="D411" s="8">
        <v>2016</v>
      </c>
      <c r="E411" s="62">
        <f>Data!O411</f>
        <v>0</v>
      </c>
      <c r="F411" s="16">
        <f>Data!P411</f>
        <v>0</v>
      </c>
    </row>
    <row r="412" spans="2:6" ht="15" customHeight="1" x14ac:dyDescent="0.3">
      <c r="C412" s="3"/>
      <c r="D412" s="8">
        <v>2017</v>
      </c>
      <c r="E412" s="62">
        <f>Data!O412</f>
        <v>0</v>
      </c>
      <c r="F412" s="16">
        <f>Data!P412</f>
        <v>0</v>
      </c>
    </row>
    <row r="413" spans="2:6" ht="15" customHeight="1" x14ac:dyDescent="0.3">
      <c r="C413" s="3"/>
      <c r="D413" s="8">
        <v>2018</v>
      </c>
      <c r="E413" s="62">
        <f>Data!O413</f>
        <v>0.8</v>
      </c>
      <c r="F413" s="16" t="str">
        <f>Data!P413</f>
        <v>China Life Insurance (Overseas) Company Limited</v>
      </c>
    </row>
    <row r="414" spans="2:6" ht="15" customHeight="1" x14ac:dyDescent="0.3">
      <c r="C414" s="3"/>
      <c r="D414" s="8">
        <v>2019</v>
      </c>
      <c r="E414" s="62">
        <f>Data!O414</f>
        <v>0.8</v>
      </c>
      <c r="F414" s="16" t="str">
        <f>Data!P414</f>
        <v>China Life Insurance (Overseas) Company Limited</v>
      </c>
    </row>
    <row r="415" spans="2:6" ht="15" customHeight="1" x14ac:dyDescent="0.3">
      <c r="C415" s="3"/>
      <c r="D415" s="8">
        <v>2020</v>
      </c>
      <c r="E415" s="62">
        <f>Data!O415</f>
        <v>0.8</v>
      </c>
      <c r="F415" s="16" t="str">
        <f>Data!P415</f>
        <v>China Life Insurance (Overseas) Company Limited</v>
      </c>
    </row>
    <row r="416" spans="2:6" ht="15" customHeight="1" x14ac:dyDescent="0.3">
      <c r="C416" s="3"/>
      <c r="D416" s="8">
        <v>2021</v>
      </c>
      <c r="E416" s="62">
        <f>Data!O416</f>
        <v>0.8</v>
      </c>
      <c r="F416" s="16" t="str">
        <f>Data!P416</f>
        <v>China Life Insurance (Overseas) Company Limited</v>
      </c>
    </row>
    <row r="417" spans="2:6" ht="15" customHeight="1" x14ac:dyDescent="0.3">
      <c r="C417" s="3"/>
      <c r="D417" s="8">
        <v>2022</v>
      </c>
      <c r="E417" s="62">
        <f>Data!O417</f>
        <v>0.8</v>
      </c>
      <c r="F417" s="16" t="str">
        <f>Data!P417</f>
        <v>China Life Insurance (Overseas) Company Limited</v>
      </c>
    </row>
    <row r="418" spans="2:6" ht="15" customHeight="1" x14ac:dyDescent="0.3">
      <c r="C418" s="3"/>
      <c r="D418" s="8">
        <v>2023</v>
      </c>
      <c r="E418" s="62">
        <f>Data!O418</f>
        <v>0.8</v>
      </c>
      <c r="F418" s="16" t="str">
        <f>Data!P418</f>
        <v>China Life Insurance (Overseas) Company Limited</v>
      </c>
    </row>
    <row r="419" spans="2:6" ht="15" customHeight="1" x14ac:dyDescent="0.3">
      <c r="C419" s="3"/>
      <c r="D419" s="8">
        <v>2024</v>
      </c>
      <c r="E419" s="62">
        <f>Data!O419</f>
        <v>0.8</v>
      </c>
      <c r="F419" s="16" t="str">
        <f>Data!P419</f>
        <v>China Life Insurance (Overseas) Company Limited</v>
      </c>
    </row>
    <row r="420" spans="2:6" ht="15" customHeight="1" x14ac:dyDescent="0.3">
      <c r="B420" s="8">
        <v>39</v>
      </c>
      <c r="C420" s="3" t="s">
        <v>33</v>
      </c>
      <c r="D420" s="8">
        <v>2014</v>
      </c>
      <c r="E420" s="62">
        <f>Data!O420</f>
        <v>0</v>
      </c>
      <c r="F420" s="16">
        <f>Data!P420</f>
        <v>0</v>
      </c>
    </row>
    <row r="421" spans="2:6" ht="15" customHeight="1" x14ac:dyDescent="0.3">
      <c r="C421" s="3"/>
      <c r="D421" s="8">
        <v>2015</v>
      </c>
      <c r="E421" s="62">
        <f>Data!O421</f>
        <v>0.98219999999999996</v>
      </c>
      <c r="F421" s="16" t="str">
        <f>Data!P421</f>
        <v>ACE INA International Holdings</v>
      </c>
    </row>
    <row r="422" spans="2:6" ht="15" customHeight="1" x14ac:dyDescent="0.3">
      <c r="C422" s="3"/>
      <c r="D422" s="8">
        <v>2016</v>
      </c>
      <c r="E422" s="62">
        <f>Data!O422</f>
        <v>0.98219999999999996</v>
      </c>
      <c r="F422" s="16" t="str">
        <f>Data!P422</f>
        <v>CHUBB INA International Holdings</v>
      </c>
    </row>
    <row r="423" spans="2:6" ht="15" customHeight="1" x14ac:dyDescent="0.3">
      <c r="C423" s="3"/>
      <c r="D423" s="8">
        <v>2017</v>
      </c>
      <c r="E423" s="62">
        <f>Data!O423</f>
        <v>0.98219999999999996</v>
      </c>
      <c r="F423" s="16" t="str">
        <f>Data!P423</f>
        <v>CHUBB INA International Holdings</v>
      </c>
    </row>
    <row r="424" spans="2:6" ht="15" customHeight="1" x14ac:dyDescent="0.3">
      <c r="C424" s="3"/>
      <c r="D424" s="8">
        <v>2018</v>
      </c>
      <c r="E424" s="62">
        <f>Data!O424</f>
        <v>0.98219999999999996</v>
      </c>
      <c r="F424" s="16">
        <f>Data!P435</f>
        <v>0</v>
      </c>
    </row>
    <row r="425" spans="2:6" ht="15" customHeight="1" x14ac:dyDescent="0.3">
      <c r="C425" s="3"/>
      <c r="D425" s="8">
        <v>2019</v>
      </c>
      <c r="E425" s="62">
        <f>Data!O425</f>
        <v>0.98219999999999996</v>
      </c>
      <c r="F425" s="16" t="str">
        <f>Data!P436</f>
        <v>PT Equity Development Investment</v>
      </c>
    </row>
    <row r="426" spans="2:6" ht="15" customHeight="1" x14ac:dyDescent="0.3">
      <c r="C426" s="3"/>
      <c r="D426" s="8">
        <v>2020</v>
      </c>
      <c r="E426" s="62">
        <f>Data!O426</f>
        <v>0.98219999999999996</v>
      </c>
      <c r="F426" s="16" t="str">
        <f>Data!P437</f>
        <v>PT Equity Development Investment</v>
      </c>
    </row>
    <row r="427" spans="2:6" ht="15" customHeight="1" x14ac:dyDescent="0.3">
      <c r="C427" s="3"/>
      <c r="D427" s="8">
        <v>2021</v>
      </c>
      <c r="E427" s="62">
        <f>Data!O427</f>
        <v>0.98219999999999996</v>
      </c>
      <c r="F427" s="16" t="str">
        <f>Data!P438</f>
        <v>PT Equity Development Investment</v>
      </c>
    </row>
    <row r="428" spans="2:6" ht="15" customHeight="1" x14ac:dyDescent="0.3">
      <c r="C428" s="3"/>
      <c r="D428" s="8">
        <v>2022</v>
      </c>
      <c r="E428" s="62">
        <f>Data!O428</f>
        <v>0.98219999999999996</v>
      </c>
      <c r="F428" s="16" t="str">
        <f>Data!P439</f>
        <v>PT Equity Development Investment</v>
      </c>
    </row>
    <row r="429" spans="2:6" ht="15" customHeight="1" x14ac:dyDescent="0.3">
      <c r="C429" s="3"/>
      <c r="D429" s="8">
        <v>2023</v>
      </c>
      <c r="E429" s="62">
        <f>Data!O429</f>
        <v>0.59350000000000003</v>
      </c>
      <c r="F429" s="16" t="str">
        <f>Data!P440</f>
        <v>PT Equity Development Investment</v>
      </c>
    </row>
    <row r="430" spans="2:6" ht="15" customHeight="1" x14ac:dyDescent="0.3">
      <c r="C430" s="3"/>
      <c r="D430" s="8">
        <v>2024</v>
      </c>
      <c r="E430" s="62">
        <f>Data!O430</f>
        <v>0.59350000000000003</v>
      </c>
      <c r="F430" s="16" t="str">
        <f>Data!P441</f>
        <v>PT Equity Development Investment</v>
      </c>
    </row>
    <row r="431" spans="2:6" ht="15" customHeight="1" x14ac:dyDescent="0.3">
      <c r="B431" s="8">
        <v>40</v>
      </c>
      <c r="C431" s="3" t="s">
        <v>12</v>
      </c>
      <c r="D431" s="8">
        <v>2014</v>
      </c>
      <c r="E431" s="62">
        <f>Data!O431</f>
        <v>0</v>
      </c>
      <c r="F431" s="16">
        <f>Data!P431</f>
        <v>0</v>
      </c>
    </row>
    <row r="432" spans="2:6" ht="15" customHeight="1" x14ac:dyDescent="0.3">
      <c r="C432" s="3"/>
      <c r="D432" s="8">
        <v>2015</v>
      </c>
      <c r="E432" s="62">
        <f>Data!O432</f>
        <v>0</v>
      </c>
      <c r="F432" s="16">
        <f>Data!P432</f>
        <v>0</v>
      </c>
    </row>
    <row r="433" spans="2:6" ht="15" customHeight="1" x14ac:dyDescent="0.3">
      <c r="C433" s="3"/>
      <c r="D433" s="8">
        <v>2016</v>
      </c>
      <c r="E433" s="62">
        <f>Data!O433</f>
        <v>0</v>
      </c>
      <c r="F433" s="16">
        <f>Data!P433</f>
        <v>0</v>
      </c>
    </row>
    <row r="434" spans="2:6" ht="15" customHeight="1" x14ac:dyDescent="0.3">
      <c r="C434" s="3"/>
      <c r="D434" s="8">
        <v>2017</v>
      </c>
      <c r="E434" s="62">
        <f>Data!O434</f>
        <v>0</v>
      </c>
      <c r="F434" s="16">
        <f>Data!P434</f>
        <v>0</v>
      </c>
    </row>
    <row r="435" spans="2:6" ht="15" customHeight="1" x14ac:dyDescent="0.3">
      <c r="C435" s="3"/>
      <c r="D435" s="8">
        <v>2018</v>
      </c>
      <c r="E435" s="62">
        <f>Data!O435</f>
        <v>0</v>
      </c>
      <c r="F435" s="16" t="e">
        <f>Data!#REF!</f>
        <v>#REF!</v>
      </c>
    </row>
    <row r="436" spans="2:6" ht="15" customHeight="1" x14ac:dyDescent="0.3">
      <c r="C436" s="3"/>
      <c r="D436" s="8">
        <v>2019</v>
      </c>
      <c r="E436" s="62">
        <f>Data!O436</f>
        <v>0.58230000000000004</v>
      </c>
      <c r="F436" s="16" t="e">
        <f>Data!#REF!</f>
        <v>#REF!</v>
      </c>
    </row>
    <row r="437" spans="2:6" ht="15" customHeight="1" x14ac:dyDescent="0.3">
      <c r="C437" s="3"/>
      <c r="D437" s="8">
        <v>2020</v>
      </c>
      <c r="E437" s="62">
        <f>Data!O437</f>
        <v>0.58230000000000004</v>
      </c>
      <c r="F437" s="16" t="e">
        <f>Data!#REF!</f>
        <v>#REF!</v>
      </c>
    </row>
    <row r="438" spans="2:6" ht="15" customHeight="1" x14ac:dyDescent="0.3">
      <c r="C438" s="3"/>
      <c r="D438" s="8">
        <v>2021</v>
      </c>
      <c r="E438" s="62">
        <f>Data!O438</f>
        <v>0.58230000000000004</v>
      </c>
      <c r="F438" s="16" t="e">
        <f>Data!#REF!</f>
        <v>#REF!</v>
      </c>
    </row>
    <row r="439" spans="2:6" ht="15" customHeight="1" x14ac:dyDescent="0.3">
      <c r="C439" s="3"/>
      <c r="D439" s="8">
        <v>2022</v>
      </c>
      <c r="E439" s="62">
        <f>Data!O439</f>
        <v>0.61870000000000003</v>
      </c>
      <c r="F439" s="16" t="e">
        <f>Data!#REF!</f>
        <v>#REF!</v>
      </c>
    </row>
    <row r="440" spans="2:6" ht="15" customHeight="1" x14ac:dyDescent="0.3">
      <c r="C440" s="3"/>
      <c r="D440" s="8">
        <v>2023</v>
      </c>
      <c r="E440" s="62">
        <f>Data!O440</f>
        <v>0.61870000000000003</v>
      </c>
      <c r="F440" s="16" t="e">
        <f>Data!#REF!</f>
        <v>#REF!</v>
      </c>
    </row>
    <row r="441" spans="2:6" ht="15" customHeight="1" x14ac:dyDescent="0.3">
      <c r="C441" s="3"/>
      <c r="D441" s="8">
        <v>2024</v>
      </c>
      <c r="E441" s="62">
        <f>Data!O441</f>
        <v>0.61870000000000003</v>
      </c>
      <c r="F441" s="16" t="e">
        <f>Data!#REF!</f>
        <v>#REF!</v>
      </c>
    </row>
    <row r="442" spans="2:6" ht="15" customHeight="1" x14ac:dyDescent="0.3">
      <c r="B442" s="8">
        <v>41</v>
      </c>
      <c r="C442" s="3" t="s">
        <v>34</v>
      </c>
      <c r="D442" s="8">
        <v>2014</v>
      </c>
      <c r="E442" s="62">
        <f>Data!O442</f>
        <v>0</v>
      </c>
      <c r="F442" s="16">
        <f>Data!P442</f>
        <v>0</v>
      </c>
    </row>
    <row r="443" spans="2:6" ht="15" customHeight="1" x14ac:dyDescent="0.3">
      <c r="C443" s="3"/>
      <c r="D443" s="8">
        <v>2015</v>
      </c>
      <c r="E443" s="62">
        <f>Data!O443</f>
        <v>0</v>
      </c>
      <c r="F443" s="16">
        <f>Data!P443</f>
        <v>0</v>
      </c>
    </row>
    <row r="444" spans="2:6" ht="15" customHeight="1" x14ac:dyDescent="0.3">
      <c r="C444" s="3"/>
      <c r="D444" s="8">
        <v>2016</v>
      </c>
      <c r="E444" s="62">
        <f>Data!O444</f>
        <v>0</v>
      </c>
      <c r="F444" s="16">
        <f>Data!P444</f>
        <v>0</v>
      </c>
    </row>
    <row r="445" spans="2:6" ht="15" customHeight="1" x14ac:dyDescent="0.3">
      <c r="C445" s="3"/>
      <c r="D445" s="8">
        <v>2017</v>
      </c>
      <c r="E445" s="62">
        <f>Data!O445</f>
        <v>0</v>
      </c>
      <c r="F445" s="16">
        <f>Data!P445</f>
        <v>0</v>
      </c>
    </row>
    <row r="446" spans="2:6" ht="15" customHeight="1" x14ac:dyDescent="0.3">
      <c r="C446" s="3"/>
      <c r="D446" s="8">
        <v>2018</v>
      </c>
      <c r="E446" s="62">
        <f>Data!O446</f>
        <v>0</v>
      </c>
      <c r="F446" s="16">
        <f>Data!P446</f>
        <v>0</v>
      </c>
    </row>
    <row r="447" spans="2:6" ht="15" customHeight="1" x14ac:dyDescent="0.3">
      <c r="C447" s="3"/>
      <c r="D447" s="8">
        <v>2019</v>
      </c>
      <c r="E447" s="62">
        <f>Data!O447</f>
        <v>0.79049999999999998</v>
      </c>
      <c r="F447" s="16" t="str">
        <f>Data!P447</f>
        <v xml:space="preserve">FWD Group Financial Services </v>
      </c>
    </row>
    <row r="448" spans="2:6" ht="15" customHeight="1" x14ac:dyDescent="0.3">
      <c r="C448" s="3"/>
      <c r="D448" s="8">
        <v>2020</v>
      </c>
      <c r="E448" s="62">
        <f>Data!O448</f>
        <v>0.79049999999999998</v>
      </c>
      <c r="F448" s="16" t="str">
        <f>Data!P448</f>
        <v xml:space="preserve">FWD Group Financial Services </v>
      </c>
    </row>
    <row r="449" spans="2:6" ht="15" customHeight="1" x14ac:dyDescent="0.3">
      <c r="C449" s="3"/>
      <c r="D449" s="8">
        <v>2021</v>
      </c>
      <c r="E449" s="62">
        <f>Data!O449</f>
        <v>0.79049999999999998</v>
      </c>
      <c r="F449" s="16" t="str">
        <f>Data!P449</f>
        <v xml:space="preserve">FWD Group Financial Services </v>
      </c>
    </row>
    <row r="450" spans="2:6" ht="15" customHeight="1" x14ac:dyDescent="0.3">
      <c r="C450" s="3"/>
      <c r="D450" s="8">
        <v>2022</v>
      </c>
      <c r="E450" s="62">
        <f>Data!O450</f>
        <v>0.79049999999999998</v>
      </c>
      <c r="F450" s="16" t="str">
        <f>Data!P450</f>
        <v xml:space="preserve">FWD Group Financial Services </v>
      </c>
    </row>
    <row r="451" spans="2:6" ht="15" customHeight="1" x14ac:dyDescent="0.3">
      <c r="C451" s="3"/>
      <c r="D451" s="8">
        <v>2023</v>
      </c>
      <c r="E451" s="62">
        <f>Data!O451</f>
        <v>0.79049999999999998</v>
      </c>
      <c r="F451" s="16" t="str">
        <f>Data!P451</f>
        <v xml:space="preserve">FWD Group Financial Services </v>
      </c>
    </row>
    <row r="452" spans="2:6" ht="15" customHeight="1" x14ac:dyDescent="0.3">
      <c r="C452" s="3"/>
      <c r="D452" s="8">
        <v>2024</v>
      </c>
      <c r="E452" s="62">
        <f>Data!O452</f>
        <v>0.79049999999999998</v>
      </c>
      <c r="F452" s="16" t="str">
        <f>Data!P452</f>
        <v xml:space="preserve">FWD Group Financial Services </v>
      </c>
    </row>
    <row r="453" spans="2:6" ht="15" customHeight="1" x14ac:dyDescent="0.3">
      <c r="B453" s="8">
        <v>42</v>
      </c>
      <c r="C453" s="3" t="s">
        <v>14</v>
      </c>
      <c r="D453" s="8">
        <v>2014</v>
      </c>
      <c r="E453" s="62">
        <f>Data!O453</f>
        <v>0</v>
      </c>
      <c r="F453" s="16">
        <f>Data!P453</f>
        <v>0</v>
      </c>
    </row>
    <row r="454" spans="2:6" ht="15" customHeight="1" x14ac:dyDescent="0.3">
      <c r="C454" s="3"/>
      <c r="D454" s="8">
        <v>2015</v>
      </c>
      <c r="E454" s="62">
        <f>Data!O454</f>
        <v>0.99160000000000004</v>
      </c>
      <c r="F454" s="16" t="str">
        <f>Data!P454</f>
        <v>The Great Eastern Life Assurance Co. Ltd. Singapura</v>
      </c>
    </row>
    <row r="455" spans="2:6" ht="15" customHeight="1" x14ac:dyDescent="0.3">
      <c r="C455" s="3"/>
      <c r="D455" s="8">
        <v>2016</v>
      </c>
      <c r="E455" s="62">
        <f>Data!O455</f>
        <v>0.99160000000000004</v>
      </c>
      <c r="F455" s="16" t="str">
        <f>Data!P455</f>
        <v>The Great Eastern Life Assurance Co. Ltd. Singapura</v>
      </c>
    </row>
    <row r="456" spans="2:6" ht="15" customHeight="1" x14ac:dyDescent="0.3">
      <c r="C456" s="3"/>
      <c r="D456" s="8">
        <v>2017</v>
      </c>
      <c r="E456" s="62">
        <f>Data!O456</f>
        <v>0.99480000000000002</v>
      </c>
      <c r="F456" s="16" t="str">
        <f>Data!P456</f>
        <v>The Great Eastern Life Assurance Co. Ltd. Singapura</v>
      </c>
    </row>
    <row r="457" spans="2:6" ht="15" customHeight="1" x14ac:dyDescent="0.3">
      <c r="C457" s="3"/>
      <c r="D457" s="8">
        <v>2018</v>
      </c>
      <c r="E457" s="62">
        <f>Data!O457</f>
        <v>0.99480000000000002</v>
      </c>
      <c r="F457" s="16" t="str">
        <f>Data!P457</f>
        <v>The Great Eastern Life Assurance Co. Ltd. Singapura</v>
      </c>
    </row>
    <row r="458" spans="2:6" ht="15" customHeight="1" x14ac:dyDescent="0.3">
      <c r="C458" s="3"/>
      <c r="D458" s="8">
        <v>2019</v>
      </c>
      <c r="E458" s="62">
        <f>Data!O458</f>
        <v>0.99480000000000002</v>
      </c>
      <c r="F458" s="16" t="str">
        <f>Data!P458</f>
        <v>The Great Eastern Life Assurance Co. Ltd. Singapura</v>
      </c>
    </row>
    <row r="459" spans="2:6" ht="15" customHeight="1" x14ac:dyDescent="0.3">
      <c r="C459" s="3"/>
      <c r="D459" s="8">
        <v>2020</v>
      </c>
      <c r="E459" s="62">
        <f>Data!O459</f>
        <v>0.99480000000000002</v>
      </c>
      <c r="F459" s="16" t="str">
        <f>Data!P459</f>
        <v>The Great Eastern Life Assurance Co. Ltd. Singapura</v>
      </c>
    </row>
    <row r="460" spans="2:6" ht="15" customHeight="1" x14ac:dyDescent="0.3">
      <c r="C460" s="3"/>
      <c r="D460" s="8">
        <v>2021</v>
      </c>
      <c r="E460" s="62">
        <f>Data!O460</f>
        <v>0.99480000000000002</v>
      </c>
      <c r="F460" s="16" t="str">
        <f>Data!P460</f>
        <v>The Great Eastern Life Assurance Co. Ltd. Singapura</v>
      </c>
    </row>
    <row r="461" spans="2:6" ht="15" customHeight="1" x14ac:dyDescent="0.3">
      <c r="C461" s="3"/>
      <c r="D461" s="8">
        <v>2022</v>
      </c>
      <c r="E461" s="62">
        <f>Data!O461</f>
        <v>0.99480000000000002</v>
      </c>
      <c r="F461" s="16" t="str">
        <f>Data!P461</f>
        <v>The Great Eastern Life Assurance Co. Ltd. Singapura</v>
      </c>
    </row>
    <row r="462" spans="2:6" ht="15" customHeight="1" x14ac:dyDescent="0.3">
      <c r="C462" s="3"/>
      <c r="D462" s="8">
        <v>2023</v>
      </c>
      <c r="E462" s="62">
        <f>Data!O462</f>
        <v>0.99480000000000002</v>
      </c>
      <c r="F462" s="16" t="str">
        <f>Data!P462</f>
        <v>The Great Eastern Life Assurance Co. Ltd. Singapura</v>
      </c>
    </row>
    <row r="463" spans="2:6" ht="15" customHeight="1" x14ac:dyDescent="0.3">
      <c r="C463" s="3"/>
      <c r="D463" s="8">
        <v>2024</v>
      </c>
      <c r="E463" s="62">
        <f>Data!O463</f>
        <v>0.99480000000000002</v>
      </c>
      <c r="F463" s="16" t="str">
        <f>Data!P463</f>
        <v>The Great Eastern Life Assurance Co. Ltd. Singapura</v>
      </c>
    </row>
    <row r="464" spans="2:6" ht="15" customHeight="1" x14ac:dyDescent="0.3">
      <c r="B464" s="8">
        <v>43</v>
      </c>
      <c r="C464" s="3" t="s">
        <v>15</v>
      </c>
      <c r="D464" s="8">
        <v>2014</v>
      </c>
      <c r="E464" s="62">
        <f>Data!O464</f>
        <v>0</v>
      </c>
      <c r="F464" s="16">
        <f>Data!P464</f>
        <v>0</v>
      </c>
    </row>
    <row r="465" spans="2:6" ht="15" customHeight="1" x14ac:dyDescent="0.3">
      <c r="C465" s="3"/>
      <c r="D465" s="8">
        <v>2015</v>
      </c>
      <c r="E465" s="62">
        <f>Data!O465</f>
        <v>0.98129999999999995</v>
      </c>
      <c r="F465" s="16" t="str">
        <f>Data!P465</f>
        <v>Hanwa Life Insurance</v>
      </c>
    </row>
    <row r="466" spans="2:6" ht="15" customHeight="1" x14ac:dyDescent="0.3">
      <c r="C466" s="3"/>
      <c r="D466" s="8">
        <v>2016</v>
      </c>
      <c r="E466" s="62">
        <f>Data!O466</f>
        <v>0.99609999999999999</v>
      </c>
      <c r="F466" s="16" t="str">
        <f>Data!P466</f>
        <v>Hanwa Life Insurance</v>
      </c>
    </row>
    <row r="467" spans="2:6" ht="15" customHeight="1" x14ac:dyDescent="0.3">
      <c r="C467" s="3"/>
      <c r="D467" s="8">
        <v>2017</v>
      </c>
      <c r="E467" s="62">
        <f>Data!O467</f>
        <v>0.99609999999999999</v>
      </c>
      <c r="F467" s="16" t="str">
        <f>Data!P467</f>
        <v>Hanwa Life Insurance</v>
      </c>
    </row>
    <row r="468" spans="2:6" ht="15" customHeight="1" x14ac:dyDescent="0.3">
      <c r="C468" s="3"/>
      <c r="D468" s="8">
        <v>2018</v>
      </c>
      <c r="E468" s="62">
        <f>Data!O468</f>
        <v>0.99609999999999999</v>
      </c>
      <c r="F468" s="16" t="str">
        <f>Data!P468</f>
        <v>Hanwa Life Insurance</v>
      </c>
    </row>
    <row r="469" spans="2:6" ht="15" customHeight="1" x14ac:dyDescent="0.3">
      <c r="C469" s="3"/>
      <c r="D469" s="8">
        <v>2019</v>
      </c>
      <c r="E469" s="62">
        <f>Data!O469</f>
        <v>0.99609999999999999</v>
      </c>
      <c r="F469" s="16" t="str">
        <f>Data!P469</f>
        <v>Hanwa Life Insurance</v>
      </c>
    </row>
    <row r="470" spans="2:6" ht="15" customHeight="1" x14ac:dyDescent="0.3">
      <c r="C470" s="3"/>
      <c r="D470" s="8">
        <v>2020</v>
      </c>
      <c r="E470" s="62">
        <f>Data!O470</f>
        <v>0.99609999999999999</v>
      </c>
      <c r="F470" s="16" t="str">
        <f>Data!P470</f>
        <v>Hanwa Life Insurance</v>
      </c>
    </row>
    <row r="471" spans="2:6" ht="15" customHeight="1" x14ac:dyDescent="0.3">
      <c r="C471" s="3"/>
      <c r="D471" s="8">
        <v>2021</v>
      </c>
      <c r="E471" s="62">
        <f>Data!O471</f>
        <v>0.99609999999999999</v>
      </c>
      <c r="F471" s="16" t="str">
        <f>Data!P471</f>
        <v>Hanwa Life Insurance</v>
      </c>
    </row>
    <row r="472" spans="2:6" ht="15" customHeight="1" x14ac:dyDescent="0.3">
      <c r="C472" s="3"/>
      <c r="D472" s="8">
        <v>2022</v>
      </c>
      <c r="E472" s="62">
        <f>Data!O472</f>
        <v>0.99609999999999999</v>
      </c>
      <c r="F472" s="16" t="str">
        <f>Data!P472</f>
        <v>Hanwa Life Insurance</v>
      </c>
    </row>
    <row r="473" spans="2:6" ht="15" customHeight="1" x14ac:dyDescent="0.3">
      <c r="C473" s="3"/>
      <c r="D473" s="8">
        <v>2023</v>
      </c>
      <c r="E473" s="62">
        <f>Data!O473</f>
        <v>0.99609999999999999</v>
      </c>
      <c r="F473" s="16" t="str">
        <f>Data!P473</f>
        <v>Hanwa Life Insurance</v>
      </c>
    </row>
    <row r="474" spans="2:6" ht="15" customHeight="1" x14ac:dyDescent="0.3">
      <c r="C474" s="3"/>
      <c r="D474" s="8">
        <v>2024</v>
      </c>
      <c r="E474" s="62">
        <f>Data!O474</f>
        <v>0.99609999999999999</v>
      </c>
      <c r="F474" s="16" t="str">
        <f>Data!P474</f>
        <v>Hanwa Life Insurance</v>
      </c>
    </row>
    <row r="475" spans="2:6" ht="15" customHeight="1" x14ac:dyDescent="0.3">
      <c r="B475" s="8">
        <v>44</v>
      </c>
      <c r="C475" s="3" t="s">
        <v>35</v>
      </c>
      <c r="D475" s="8">
        <v>2014</v>
      </c>
      <c r="E475" s="62">
        <f>Data!O475</f>
        <v>0</v>
      </c>
      <c r="F475" s="16">
        <f>Data!P490</f>
        <v>0</v>
      </c>
    </row>
    <row r="476" spans="2:6" ht="15" customHeight="1" x14ac:dyDescent="0.3">
      <c r="C476" s="3"/>
      <c r="D476" s="8">
        <v>2015</v>
      </c>
      <c r="E476" s="62">
        <f>Data!O476</f>
        <v>0.56499999999999995</v>
      </c>
      <c r="F476" s="16" t="str">
        <f>Data!P491</f>
        <v>PT Lintas Sejahtera Langgeng dan PT Cakra Intan Sakti</v>
      </c>
    </row>
    <row r="477" spans="2:6" ht="15" customHeight="1" x14ac:dyDescent="0.3">
      <c r="C477" s="3"/>
      <c r="D477" s="8">
        <v>2016</v>
      </c>
      <c r="E477" s="62">
        <f>Data!O477</f>
        <v>0.54</v>
      </c>
      <c r="F477" s="16" t="str">
        <f>Data!P477</f>
        <v>PT Bumi Narendo Mukti</v>
      </c>
    </row>
    <row r="478" spans="2:6" ht="15" customHeight="1" x14ac:dyDescent="0.3">
      <c r="C478" s="3"/>
      <c r="D478" s="8">
        <v>2017</v>
      </c>
      <c r="E478" s="62">
        <f>Data!O478</f>
        <v>0.54</v>
      </c>
      <c r="F478" s="16" t="str">
        <f>Data!P478</f>
        <v>PT Bumi Narendo Mukti</v>
      </c>
    </row>
    <row r="479" spans="2:6" ht="15" customHeight="1" x14ac:dyDescent="0.3">
      <c r="C479" s="3"/>
      <c r="D479" s="8">
        <v>2018</v>
      </c>
      <c r="E479" s="62">
        <f>Data!O479</f>
        <v>0.65039999999999998</v>
      </c>
      <c r="F479" s="16" t="e">
        <f>Data!#REF!</f>
        <v>#REF!</v>
      </c>
    </row>
    <row r="480" spans="2:6" ht="15" customHeight="1" x14ac:dyDescent="0.3">
      <c r="C480" s="3"/>
      <c r="D480" s="8">
        <v>2019</v>
      </c>
      <c r="E480" s="62">
        <f>Data!O480</f>
        <v>0.65310000000000001</v>
      </c>
      <c r="F480" s="16" t="e">
        <f>Data!#REF!</f>
        <v>#REF!</v>
      </c>
    </row>
    <row r="481" spans="2:6" ht="15" customHeight="1" x14ac:dyDescent="0.3">
      <c r="C481" s="3"/>
      <c r="D481" s="8">
        <v>2020</v>
      </c>
      <c r="E481" s="62">
        <f>Data!O481</f>
        <v>0.65310000000000001</v>
      </c>
      <c r="F481" s="16" t="str">
        <f>Data!P481</f>
        <v>PT Bumi Narendo Mukti</v>
      </c>
    </row>
    <row r="482" spans="2:6" ht="15" customHeight="1" x14ac:dyDescent="0.3">
      <c r="C482" s="3"/>
      <c r="D482" s="8">
        <v>2021</v>
      </c>
      <c r="E482" s="62">
        <f>Data!O482</f>
        <v>0.65310000000000001</v>
      </c>
      <c r="F482" s="16" t="str">
        <f>Data!P482</f>
        <v>PT Bumi Narendo Mukti</v>
      </c>
    </row>
    <row r="483" spans="2:6" ht="15" customHeight="1" x14ac:dyDescent="0.3">
      <c r="C483" s="3"/>
      <c r="D483" s="8">
        <v>2022</v>
      </c>
      <c r="E483" s="62">
        <f>Data!O483</f>
        <v>0.65310000000000001</v>
      </c>
      <c r="F483" s="16" t="str">
        <f>Data!P483</f>
        <v>PT Bumi Narendo Mukti</v>
      </c>
    </row>
    <row r="484" spans="2:6" ht="15" customHeight="1" x14ac:dyDescent="0.3">
      <c r="C484" s="3"/>
      <c r="D484" s="8">
        <v>2023</v>
      </c>
      <c r="E484" s="62">
        <f>Data!O484</f>
        <v>0.74850000000000005</v>
      </c>
      <c r="F484" s="16" t="str">
        <f>Data!P484</f>
        <v>PT Bumi Narendo Mukti</v>
      </c>
    </row>
    <row r="485" spans="2:6" ht="15" customHeight="1" x14ac:dyDescent="0.3">
      <c r="C485" s="3"/>
      <c r="D485" s="8">
        <v>2024</v>
      </c>
      <c r="E485" s="62">
        <f>Data!O485</f>
        <v>0.74850000000000005</v>
      </c>
      <c r="F485" s="16" t="str">
        <f>Data!P485</f>
        <v>PT Bumi Narendo Mukti</v>
      </c>
    </row>
    <row r="486" spans="2:6" ht="15" customHeight="1" x14ac:dyDescent="0.3">
      <c r="B486" s="8">
        <v>45</v>
      </c>
      <c r="C486" s="3" t="s">
        <v>36</v>
      </c>
      <c r="D486" s="8">
        <v>2014</v>
      </c>
      <c r="E486" s="62">
        <f>Data!O486</f>
        <v>0</v>
      </c>
      <c r="F486" s="16">
        <f>Data!P486</f>
        <v>0</v>
      </c>
    </row>
    <row r="487" spans="2:6" ht="15" customHeight="1" x14ac:dyDescent="0.3">
      <c r="C487" s="3"/>
      <c r="D487" s="8">
        <v>2015</v>
      </c>
      <c r="E487" s="62">
        <f>Data!O487</f>
        <v>0</v>
      </c>
      <c r="F487" s="16">
        <f>Data!P487</f>
        <v>0</v>
      </c>
    </row>
    <row r="488" spans="2:6" ht="15" customHeight="1" x14ac:dyDescent="0.3">
      <c r="C488" s="3"/>
      <c r="D488" s="8">
        <v>2016</v>
      </c>
      <c r="E488" s="62">
        <f>Data!O488</f>
        <v>0</v>
      </c>
      <c r="F488" s="16">
        <f>Data!P488</f>
        <v>0</v>
      </c>
    </row>
    <row r="489" spans="2:6" ht="15" customHeight="1" x14ac:dyDescent="0.3">
      <c r="C489" s="3"/>
      <c r="D489" s="8">
        <v>2017</v>
      </c>
      <c r="E489" s="62">
        <f>Data!O489</f>
        <v>0</v>
      </c>
      <c r="F489" s="16">
        <f>Data!P489</f>
        <v>0</v>
      </c>
    </row>
    <row r="490" spans="2:6" ht="15" customHeight="1" x14ac:dyDescent="0.3">
      <c r="C490" s="3"/>
      <c r="D490" s="8">
        <v>2018</v>
      </c>
      <c r="E490" s="62">
        <f>Data!O490</f>
        <v>0</v>
      </c>
      <c r="F490" s="16" t="e">
        <f>Data!#REF!</f>
        <v>#REF!</v>
      </c>
    </row>
    <row r="491" spans="2:6" ht="15" customHeight="1" x14ac:dyDescent="0.3">
      <c r="C491" s="3"/>
      <c r="D491" s="8">
        <v>2019</v>
      </c>
      <c r="E491" s="62">
        <f>Data!O491</f>
        <v>0.49730000000000002</v>
      </c>
      <c r="F491" s="16" t="e">
        <f>Data!#REF!</f>
        <v>#REF!</v>
      </c>
    </row>
    <row r="492" spans="2:6" ht="15" customHeight="1" x14ac:dyDescent="0.3">
      <c r="C492" s="3"/>
      <c r="D492" s="8">
        <v>2020</v>
      </c>
      <c r="E492" s="62">
        <f>Data!O492</f>
        <v>0.49730000000000002</v>
      </c>
      <c r="F492" s="16" t="str">
        <f>Data!P492</f>
        <v>PT Lintas Sejahtera Langgeng dan PT Cakra Intan Sakti</v>
      </c>
    </row>
    <row r="493" spans="2:6" ht="15" customHeight="1" x14ac:dyDescent="0.3">
      <c r="C493" s="3"/>
      <c r="D493" s="8">
        <v>2021</v>
      </c>
      <c r="E493" s="62">
        <f>Data!O493</f>
        <v>0.49730000000000002</v>
      </c>
      <c r="F493" s="16" t="str">
        <f>Data!P493</f>
        <v>PT Lintas Sejahtera Langgeng dan PT Cakra Intan Sakti</v>
      </c>
    </row>
    <row r="494" spans="2:6" ht="15" customHeight="1" x14ac:dyDescent="0.3">
      <c r="C494" s="3"/>
      <c r="D494" s="8">
        <v>2022</v>
      </c>
      <c r="E494" s="62">
        <f>Data!O494</f>
        <v>0.49730000000000002</v>
      </c>
      <c r="F494" s="16" t="str">
        <f>Data!P494</f>
        <v>PT Lintas Sejahtera Langgeng dan PT Cakra Intan Sakti</v>
      </c>
    </row>
    <row r="495" spans="2:6" ht="15" customHeight="1" x14ac:dyDescent="0.3">
      <c r="C495" s="3"/>
      <c r="D495" s="8">
        <v>2023</v>
      </c>
      <c r="E495" s="62">
        <f>Data!O495</f>
        <v>0.49730000000000002</v>
      </c>
      <c r="F495" s="16" t="str">
        <f>Data!P495</f>
        <v>PT Lintas Sejahtera Langgeng dan PT Cakra Intan Sakti</v>
      </c>
    </row>
    <row r="496" spans="2:6" ht="15" customHeight="1" x14ac:dyDescent="0.3">
      <c r="C496" s="3"/>
      <c r="D496" s="8">
        <v>2024</v>
      </c>
      <c r="E496" s="62">
        <f>Data!O496</f>
        <v>0.49730000000000002</v>
      </c>
      <c r="F496" s="16" t="str">
        <f>Data!P496</f>
        <v>PT Lintas Sejahtera Langgeng dan PT Cakra Intan Sakti</v>
      </c>
    </row>
    <row r="497" spans="2:6" ht="15" customHeight="1" x14ac:dyDescent="0.3">
      <c r="B497" s="8">
        <v>46</v>
      </c>
      <c r="C497" s="3" t="s">
        <v>16</v>
      </c>
      <c r="D497" s="8">
        <v>2014</v>
      </c>
      <c r="E497" s="62">
        <f>Data!O497</f>
        <v>0</v>
      </c>
      <c r="F497" s="16">
        <f>Data!P499</f>
        <v>0</v>
      </c>
    </row>
    <row r="498" spans="2:6" ht="15" customHeight="1" x14ac:dyDescent="0.3">
      <c r="C498" s="3"/>
      <c r="D498" s="8">
        <v>2015</v>
      </c>
      <c r="E498" s="62">
        <f>Data!O498</f>
        <v>0</v>
      </c>
      <c r="F498" s="16" t="str">
        <f>Data!P500</f>
        <v>PT Lippo General Insurance</v>
      </c>
    </row>
    <row r="499" spans="2:6" ht="15" customHeight="1" x14ac:dyDescent="0.3">
      <c r="C499" s="3"/>
      <c r="D499" s="8">
        <v>2016</v>
      </c>
      <c r="E499" s="62">
        <f>Data!O499</f>
        <v>0</v>
      </c>
      <c r="F499" s="16" t="str">
        <f>Data!P501</f>
        <v>PT Lippo General Insurance</v>
      </c>
    </row>
    <row r="500" spans="2:6" ht="15" customHeight="1" x14ac:dyDescent="0.3">
      <c r="C500" s="3"/>
      <c r="D500" s="8">
        <v>2017</v>
      </c>
      <c r="E500" s="62">
        <f>Data!O500</f>
        <v>0.99990000000000001</v>
      </c>
      <c r="F500" s="16" t="e">
        <f>Data!#REF!</f>
        <v>#REF!</v>
      </c>
    </row>
    <row r="501" spans="2:6" ht="15" customHeight="1" x14ac:dyDescent="0.3">
      <c r="C501" s="3"/>
      <c r="D501" s="8">
        <v>2018</v>
      </c>
      <c r="E501" s="62">
        <f>Data!O501</f>
        <v>1</v>
      </c>
      <c r="F501" s="16" t="e">
        <f>Data!#REF!</f>
        <v>#REF!</v>
      </c>
    </row>
    <row r="502" spans="2:6" ht="15" customHeight="1" x14ac:dyDescent="0.3">
      <c r="C502" s="3"/>
      <c r="D502" s="8">
        <v>2019</v>
      </c>
      <c r="E502" s="62">
        <f>Data!O502</f>
        <v>1</v>
      </c>
      <c r="F502" s="16" t="str">
        <f>Data!P502</f>
        <v>PT Lippo General Insurance</v>
      </c>
    </row>
    <row r="503" spans="2:6" ht="15" customHeight="1" x14ac:dyDescent="0.3">
      <c r="C503" s="3"/>
      <c r="D503" s="8">
        <v>2020</v>
      </c>
      <c r="E503" s="62">
        <f>Data!O503</f>
        <v>1</v>
      </c>
      <c r="F503" s="16" t="str">
        <f>Data!P503</f>
        <v>PT Lippo General Insurance</v>
      </c>
    </row>
    <row r="504" spans="2:6" ht="15" customHeight="1" x14ac:dyDescent="0.3">
      <c r="C504" s="3"/>
      <c r="D504" s="8">
        <v>2021</v>
      </c>
      <c r="E504" s="62">
        <f>Data!O504</f>
        <v>0.99990000000000001</v>
      </c>
      <c r="F504" s="16" t="str">
        <f>Data!P504</f>
        <v>PT Lippo General Insurance</v>
      </c>
    </row>
    <row r="505" spans="2:6" ht="15" customHeight="1" x14ac:dyDescent="0.3">
      <c r="C505" s="3"/>
      <c r="D505" s="8">
        <v>2022</v>
      </c>
      <c r="E505" s="62">
        <f>Data!O505</f>
        <v>1</v>
      </c>
      <c r="F505" s="16" t="str">
        <f>Data!P505</f>
        <v>PT Lippo General Insurance</v>
      </c>
    </row>
    <row r="506" spans="2:6" ht="15" customHeight="1" x14ac:dyDescent="0.3">
      <c r="C506" s="3"/>
      <c r="D506" s="8">
        <v>2023</v>
      </c>
      <c r="E506" s="62">
        <f>Data!O506</f>
        <v>0.99990000000000001</v>
      </c>
      <c r="F506" s="16" t="str">
        <f>Data!P506</f>
        <v>PT Lippo General Insurance</v>
      </c>
    </row>
    <row r="507" spans="2:6" ht="15" customHeight="1" x14ac:dyDescent="0.3">
      <c r="C507" s="3"/>
      <c r="D507" s="8">
        <v>2024</v>
      </c>
      <c r="E507" s="62">
        <f>Data!O507</f>
        <v>0.99990000000000001</v>
      </c>
      <c r="F507" s="16" t="str">
        <f>Data!P507</f>
        <v>PT Lippo General Insurance</v>
      </c>
    </row>
    <row r="508" spans="2:6" ht="15" customHeight="1" x14ac:dyDescent="0.3">
      <c r="B508" s="8">
        <v>47</v>
      </c>
      <c r="C508" s="3" t="s">
        <v>17</v>
      </c>
      <c r="D508" s="8">
        <v>2014</v>
      </c>
      <c r="E508" s="62">
        <f>Data!O508</f>
        <v>0</v>
      </c>
      <c r="F508" s="16">
        <f>Data!P508</f>
        <v>0</v>
      </c>
    </row>
    <row r="509" spans="2:6" ht="15" customHeight="1" x14ac:dyDescent="0.3">
      <c r="C509" s="3"/>
      <c r="D509" s="8">
        <v>2015</v>
      </c>
      <c r="E509" s="62">
        <f>Data!O509</f>
        <v>0</v>
      </c>
      <c r="F509" s="16">
        <f>Data!P509</f>
        <v>0</v>
      </c>
    </row>
    <row r="510" spans="2:6" ht="15" customHeight="1" x14ac:dyDescent="0.3">
      <c r="C510" s="3"/>
      <c r="D510" s="8">
        <v>2016</v>
      </c>
      <c r="E510" s="62">
        <f>Data!O510</f>
        <v>0</v>
      </c>
      <c r="F510" s="16">
        <f>Data!P510</f>
        <v>0</v>
      </c>
    </row>
    <row r="511" spans="2:6" ht="15" customHeight="1" x14ac:dyDescent="0.3">
      <c r="C511" s="3"/>
      <c r="D511" s="8">
        <v>2017</v>
      </c>
      <c r="E511" s="62">
        <f>Data!O511</f>
        <v>0</v>
      </c>
      <c r="F511" s="16">
        <f>Data!P511</f>
        <v>0</v>
      </c>
    </row>
    <row r="512" spans="2:6" ht="15" customHeight="1" x14ac:dyDescent="0.3">
      <c r="C512" s="3"/>
      <c r="D512" s="8">
        <v>2018</v>
      </c>
      <c r="E512" s="62">
        <f>Data!O512</f>
        <v>0</v>
      </c>
      <c r="F512" s="16">
        <f>Data!P512</f>
        <v>0</v>
      </c>
    </row>
    <row r="513" spans="2:6" ht="15" customHeight="1" x14ac:dyDescent="0.3">
      <c r="C513" s="3"/>
      <c r="D513" s="8">
        <v>2019</v>
      </c>
      <c r="E513" s="62">
        <f>Data!O513</f>
        <v>0</v>
      </c>
      <c r="F513" s="16">
        <f>Data!P513</f>
        <v>0</v>
      </c>
    </row>
    <row r="514" spans="2:6" ht="15" customHeight="1" x14ac:dyDescent="0.3">
      <c r="C514" s="3"/>
      <c r="D514" s="8">
        <v>2020</v>
      </c>
      <c r="E514" s="62">
        <f>Data!O514</f>
        <v>0.99980000000000002</v>
      </c>
      <c r="F514" s="16" t="str">
        <f>Data!P514</f>
        <v>PT MNC Kapital Indonesia</v>
      </c>
    </row>
    <row r="515" spans="2:6" ht="15" customHeight="1" x14ac:dyDescent="0.3">
      <c r="C515" s="3"/>
      <c r="D515" s="8">
        <v>2021</v>
      </c>
      <c r="E515" s="62">
        <f>Data!O515</f>
        <v>0.99980000000000002</v>
      </c>
      <c r="F515" s="16" t="str">
        <f>Data!P515</f>
        <v>PT MNC Kapital Indonesia</v>
      </c>
    </row>
    <row r="516" spans="2:6" ht="15" customHeight="1" x14ac:dyDescent="0.3">
      <c r="C516" s="3"/>
      <c r="D516" s="8">
        <v>2022</v>
      </c>
      <c r="E516" s="62">
        <f>Data!O516</f>
        <v>0.99980000000000002</v>
      </c>
      <c r="F516" s="16" t="str">
        <f>Data!P516</f>
        <v>PT MNC Kapital Indonesia</v>
      </c>
    </row>
    <row r="517" spans="2:6" ht="15" customHeight="1" x14ac:dyDescent="0.3">
      <c r="C517" s="3"/>
      <c r="D517" s="8">
        <v>2023</v>
      </c>
      <c r="E517" s="62">
        <f>Data!O517</f>
        <v>0.99980000000000002</v>
      </c>
      <c r="F517" s="16" t="str">
        <f>Data!P517</f>
        <v>PT MNC Kapital Indonesia</v>
      </c>
    </row>
    <row r="518" spans="2:6" ht="15" customHeight="1" x14ac:dyDescent="0.3">
      <c r="C518" s="3"/>
      <c r="D518" s="8">
        <v>2024</v>
      </c>
      <c r="E518" s="62">
        <f>Data!O518</f>
        <v>0.99980000000000002</v>
      </c>
      <c r="F518" s="16" t="str">
        <f>Data!P518</f>
        <v>PT MNC Kapital Indonesia</v>
      </c>
    </row>
    <row r="519" spans="2:6" ht="15" customHeight="1" x14ac:dyDescent="0.3">
      <c r="B519" s="8">
        <v>48</v>
      </c>
      <c r="C519" s="3" t="s">
        <v>26</v>
      </c>
      <c r="D519" s="8">
        <v>2014</v>
      </c>
      <c r="E519" s="62">
        <f>Data!O519</f>
        <v>0</v>
      </c>
      <c r="F519" s="16">
        <f>Data!P519</f>
        <v>0</v>
      </c>
    </row>
    <row r="520" spans="2:6" ht="15" customHeight="1" x14ac:dyDescent="0.3">
      <c r="C520" s="3"/>
      <c r="D520" s="8">
        <v>2015</v>
      </c>
      <c r="E520" s="62">
        <f>Data!O520</f>
        <v>0.5</v>
      </c>
      <c r="F520" s="16" t="str">
        <f>Data!P520</f>
        <v>PT Sinar Mas Multiartha &amp; Mitsui Sumitomo Insurance</v>
      </c>
    </row>
    <row r="521" spans="2:6" ht="15" customHeight="1" x14ac:dyDescent="0.3">
      <c r="C521" s="3"/>
      <c r="D521" s="8">
        <v>2016</v>
      </c>
      <c r="E521" s="62">
        <f>Data!O521</f>
        <v>0.5</v>
      </c>
      <c r="F521" s="16">
        <f>Data!P532</f>
        <v>0</v>
      </c>
    </row>
    <row r="522" spans="2:6" ht="15" customHeight="1" x14ac:dyDescent="0.3">
      <c r="C522" s="3"/>
      <c r="D522" s="8">
        <v>2017</v>
      </c>
      <c r="E522" s="62">
        <f>Data!O522</f>
        <v>0.5</v>
      </c>
      <c r="F522" s="16" t="str">
        <f>Data!P533</f>
        <v>PT Pacific Strategic Invesco</v>
      </c>
    </row>
    <row r="523" spans="2:6" ht="15" customHeight="1" x14ac:dyDescent="0.3">
      <c r="C523" s="3"/>
      <c r="D523" s="8">
        <v>2018</v>
      </c>
      <c r="E523" s="62">
        <f>Data!O523</f>
        <v>0.5</v>
      </c>
      <c r="F523" s="16" t="str">
        <f>Data!P523</f>
        <v>PT Sinar Mas Multiartha &amp; Mitsui Sumitomo Insurance</v>
      </c>
    </row>
    <row r="524" spans="2:6" ht="15" customHeight="1" x14ac:dyDescent="0.3">
      <c r="C524" s="3"/>
      <c r="D524" s="8">
        <v>2019</v>
      </c>
      <c r="E524" s="62">
        <f>Data!O524</f>
        <v>0.8</v>
      </c>
      <c r="F524" s="16" t="str">
        <f>Data!P524</f>
        <v>Mitsui Sumitomo Insurance</v>
      </c>
    </row>
    <row r="525" spans="2:6" ht="15" customHeight="1" x14ac:dyDescent="0.3">
      <c r="C525" s="3"/>
      <c r="D525" s="8">
        <v>2020</v>
      </c>
      <c r="E525" s="62">
        <f>Data!O525</f>
        <v>0.8</v>
      </c>
      <c r="F525" s="16" t="str">
        <f>Data!P525</f>
        <v>Mitsui Sumitomo Insurance</v>
      </c>
    </row>
    <row r="526" spans="2:6" ht="15" customHeight="1" x14ac:dyDescent="0.3">
      <c r="C526" s="3"/>
      <c r="D526" s="8">
        <v>2021</v>
      </c>
      <c r="E526" s="62">
        <f>Data!O526</f>
        <v>0.8</v>
      </c>
      <c r="F526" s="16" t="str">
        <f>Data!P526</f>
        <v>Mitsui Sumitomo Insurance</v>
      </c>
    </row>
    <row r="527" spans="2:6" ht="15" customHeight="1" x14ac:dyDescent="0.3">
      <c r="C527" s="3"/>
      <c r="D527" s="8">
        <v>2022</v>
      </c>
      <c r="E527" s="62">
        <f>Data!O527</f>
        <v>0.8</v>
      </c>
      <c r="F527" s="16" t="str">
        <f>Data!P527</f>
        <v>Mitsui Sumitomo Insurance</v>
      </c>
    </row>
    <row r="528" spans="2:6" ht="15" customHeight="1" x14ac:dyDescent="0.3">
      <c r="C528" s="3"/>
      <c r="D528" s="8">
        <v>2023</v>
      </c>
      <c r="E528" s="62">
        <f>Data!O528</f>
        <v>0.8</v>
      </c>
      <c r="F528" s="16" t="str">
        <f>Data!P528</f>
        <v>Mitsui Sumitomo Insurance</v>
      </c>
    </row>
    <row r="529" spans="2:6" ht="15" customHeight="1" x14ac:dyDescent="0.3">
      <c r="C529" s="3"/>
      <c r="D529" s="8">
        <v>2024</v>
      </c>
      <c r="E529" s="62">
        <f>Data!O529</f>
        <v>0.8</v>
      </c>
      <c r="F529" s="16" t="str">
        <f>Data!P529</f>
        <v>Mitsui Sumitomo Insurance</v>
      </c>
    </row>
    <row r="530" spans="2:6" ht="15" customHeight="1" x14ac:dyDescent="0.3">
      <c r="B530" s="8">
        <v>49</v>
      </c>
      <c r="C530" s="3" t="s">
        <v>38</v>
      </c>
      <c r="D530" s="8">
        <v>2014</v>
      </c>
      <c r="E530" s="62">
        <f>Data!O530</f>
        <v>0</v>
      </c>
      <c r="F530" s="16">
        <f>Data!P530</f>
        <v>0</v>
      </c>
    </row>
    <row r="531" spans="2:6" ht="15" customHeight="1" x14ac:dyDescent="0.3">
      <c r="C531" s="3"/>
      <c r="D531" s="8">
        <v>2015</v>
      </c>
      <c r="E531" s="62">
        <f>Data!O531</f>
        <v>0</v>
      </c>
      <c r="F531" s="16">
        <f>Data!P531</f>
        <v>0</v>
      </c>
    </row>
    <row r="532" spans="2:6" ht="15" customHeight="1" x14ac:dyDescent="0.3">
      <c r="C532" s="3"/>
      <c r="D532" s="8">
        <v>2016</v>
      </c>
      <c r="E532" s="62">
        <f>Data!O532</f>
        <v>0</v>
      </c>
      <c r="F532" s="16" t="e">
        <f>Data!#REF!</f>
        <v>#REF!</v>
      </c>
    </row>
    <row r="533" spans="2:6" ht="15" customHeight="1" x14ac:dyDescent="0.3">
      <c r="C533" s="3"/>
      <c r="D533" s="8">
        <v>2017</v>
      </c>
      <c r="E533" s="62">
        <f>Data!O533</f>
        <v>0.99990000000000001</v>
      </c>
      <c r="F533" s="16" t="e">
        <f>Data!#REF!</f>
        <v>#REF!</v>
      </c>
    </row>
    <row r="534" spans="2:6" ht="15" customHeight="1" x14ac:dyDescent="0.3">
      <c r="C534" s="3"/>
      <c r="D534" s="8">
        <v>2018</v>
      </c>
      <c r="E534" s="62">
        <f>Data!O534</f>
        <v>0.99990000000000001</v>
      </c>
      <c r="F534" s="16" t="str">
        <f>Data!P534</f>
        <v>PT Pacific Strategic Invesco</v>
      </c>
    </row>
    <row r="535" spans="2:6" ht="15" customHeight="1" x14ac:dyDescent="0.3">
      <c r="C535" s="3"/>
      <c r="D535" s="8">
        <v>2019</v>
      </c>
      <c r="E535" s="62">
        <f>Data!O535</f>
        <v>0.99990000000000001</v>
      </c>
      <c r="F535" s="16" t="str">
        <f>Data!P535</f>
        <v>PT Pacific Strategic Invesco</v>
      </c>
    </row>
    <row r="536" spans="2:6" ht="15" customHeight="1" x14ac:dyDescent="0.3">
      <c r="C536" s="3"/>
      <c r="D536" s="8">
        <v>2020</v>
      </c>
      <c r="E536" s="62">
        <f>Data!O536</f>
        <v>0.99990000000000001</v>
      </c>
      <c r="F536" s="16" t="str">
        <f>Data!P536</f>
        <v>PT Pacific Strategic Invesco</v>
      </c>
    </row>
    <row r="537" spans="2:6" ht="15" customHeight="1" x14ac:dyDescent="0.3">
      <c r="C537" s="3"/>
      <c r="D537" s="8">
        <v>2021</v>
      </c>
      <c r="E537" s="62">
        <f>Data!O537</f>
        <v>0.99990000000000001</v>
      </c>
      <c r="F537" s="16" t="str">
        <f>Data!P537</f>
        <v>PT Pacific Strategic Invesco</v>
      </c>
    </row>
    <row r="538" spans="2:6" ht="15" customHeight="1" x14ac:dyDescent="0.3">
      <c r="C538" s="3"/>
      <c r="D538" s="8">
        <v>2022</v>
      </c>
      <c r="E538" s="62">
        <f>Data!O538</f>
        <v>0.99990000000000001</v>
      </c>
      <c r="F538" s="16" t="str">
        <f>Data!P538</f>
        <v>PT Pacific Strategic Invesco</v>
      </c>
    </row>
    <row r="539" spans="2:6" ht="15" customHeight="1" x14ac:dyDescent="0.3">
      <c r="C539" s="3"/>
      <c r="D539" s="8">
        <v>2023</v>
      </c>
      <c r="E539" s="62">
        <f>Data!O539</f>
        <v>0.99990000000000001</v>
      </c>
      <c r="F539" s="16" t="str">
        <f>Data!P539</f>
        <v>PT Pacific Strategic Invesco</v>
      </c>
    </row>
    <row r="540" spans="2:6" ht="15" customHeight="1" x14ac:dyDescent="0.3">
      <c r="C540" s="3"/>
      <c r="D540" s="8">
        <v>2024</v>
      </c>
      <c r="E540" s="62">
        <f>Data!O540</f>
        <v>0.99990000000000001</v>
      </c>
      <c r="F540" s="16" t="str">
        <f>Data!P540</f>
        <v>PT Pacific Strategic Invesco</v>
      </c>
    </row>
    <row r="541" spans="2:6" ht="15" customHeight="1" x14ac:dyDescent="0.3">
      <c r="B541" s="8">
        <v>50</v>
      </c>
      <c r="C541" s="3" t="s">
        <v>39</v>
      </c>
      <c r="D541" s="8">
        <v>2014</v>
      </c>
      <c r="E541" s="62">
        <f>Data!O541</f>
        <v>0</v>
      </c>
      <c r="F541" s="16">
        <f>Data!P541</f>
        <v>0</v>
      </c>
    </row>
    <row r="542" spans="2:6" ht="15" customHeight="1" x14ac:dyDescent="0.3">
      <c r="C542" s="3"/>
      <c r="D542" s="8">
        <v>2015</v>
      </c>
      <c r="E542" s="62">
        <f>Data!O542</f>
        <v>0.95</v>
      </c>
      <c r="F542" s="16" t="str">
        <f>Data!P542</f>
        <v>PT Panin Internasional</v>
      </c>
    </row>
    <row r="543" spans="2:6" ht="15" customHeight="1" x14ac:dyDescent="0.3">
      <c r="C543" s="3"/>
      <c r="D543" s="8">
        <v>2016</v>
      </c>
      <c r="E543" s="62">
        <f>Data!O543</f>
        <v>0.95</v>
      </c>
      <c r="F543" s="16" t="str">
        <f>Data!P543</f>
        <v>PT Panin Internasional</v>
      </c>
    </row>
    <row r="544" spans="2:6" ht="15" customHeight="1" x14ac:dyDescent="0.3">
      <c r="C544" s="3"/>
      <c r="D544" s="8">
        <v>2017</v>
      </c>
      <c r="E544" s="62">
        <f>Data!O544</f>
        <v>0.95</v>
      </c>
      <c r="F544" s="16" t="str">
        <f>Data!P544</f>
        <v>PT Panin Internasional</v>
      </c>
    </row>
    <row r="545" spans="2:6" ht="15" customHeight="1" x14ac:dyDescent="0.3">
      <c r="C545" s="3"/>
      <c r="D545" s="8">
        <v>2018</v>
      </c>
      <c r="E545" s="62">
        <f>Data!O545</f>
        <v>0.95</v>
      </c>
      <c r="F545" s="16" t="str">
        <f>Data!P545</f>
        <v>PT Panin Internasional</v>
      </c>
    </row>
    <row r="546" spans="2:6" ht="15" customHeight="1" x14ac:dyDescent="0.3">
      <c r="C546" s="3"/>
      <c r="D546" s="8">
        <v>2019</v>
      </c>
      <c r="E546" s="62">
        <f>Data!O546</f>
        <v>0.95</v>
      </c>
      <c r="F546" s="16" t="str">
        <f>Data!P546</f>
        <v>PT Panin Internasional</v>
      </c>
    </row>
    <row r="547" spans="2:6" ht="15" customHeight="1" x14ac:dyDescent="0.3">
      <c r="C547" s="3"/>
      <c r="D547" s="8">
        <v>2020</v>
      </c>
      <c r="E547" s="62">
        <f>Data!O547</f>
        <v>0.95</v>
      </c>
      <c r="F547" s="16" t="str">
        <f>Data!P547</f>
        <v>PT Panin Internasional</v>
      </c>
    </row>
    <row r="548" spans="2:6" ht="15" customHeight="1" x14ac:dyDescent="0.3">
      <c r="C548" s="3"/>
      <c r="D548" s="8">
        <v>2021</v>
      </c>
      <c r="E548" s="62">
        <f>Data!O548</f>
        <v>0.95</v>
      </c>
      <c r="F548" s="16" t="str">
        <f>Data!P548</f>
        <v>PT Panin Internasional</v>
      </c>
    </row>
    <row r="549" spans="2:6" ht="15" customHeight="1" x14ac:dyDescent="0.3">
      <c r="C549" s="3"/>
      <c r="D549" s="8">
        <v>2022</v>
      </c>
      <c r="E549" s="62">
        <f>Data!O549</f>
        <v>0.95</v>
      </c>
      <c r="F549" s="16" t="str">
        <f>Data!P549</f>
        <v>PT Panin Internasional</v>
      </c>
    </row>
    <row r="550" spans="2:6" ht="15" customHeight="1" x14ac:dyDescent="0.3">
      <c r="C550" s="3"/>
      <c r="D550" s="8">
        <v>2023</v>
      </c>
      <c r="E550" s="62">
        <f>Data!O550</f>
        <v>0.95</v>
      </c>
      <c r="F550" s="16" t="str">
        <f>Data!P550</f>
        <v>PT Panin Internasional</v>
      </c>
    </row>
    <row r="551" spans="2:6" ht="15" customHeight="1" x14ac:dyDescent="0.3">
      <c r="C551" s="3"/>
      <c r="D551" s="8">
        <v>2024</v>
      </c>
      <c r="E551" s="62">
        <f>Data!O551</f>
        <v>0.95</v>
      </c>
      <c r="F551" s="16" t="str">
        <f>Data!P551</f>
        <v>PT Panin Internasional</v>
      </c>
    </row>
    <row r="552" spans="2:6" ht="15" customHeight="1" x14ac:dyDescent="0.3">
      <c r="B552" s="8">
        <v>51</v>
      </c>
      <c r="C552" s="3" t="s">
        <v>48</v>
      </c>
      <c r="D552" s="8">
        <v>2014</v>
      </c>
      <c r="E552" s="62">
        <f>Data!O552</f>
        <v>0</v>
      </c>
      <c r="F552" s="16">
        <f>Data!P552</f>
        <v>0</v>
      </c>
    </row>
    <row r="553" spans="2:6" ht="15" customHeight="1" x14ac:dyDescent="0.3">
      <c r="C553" s="3"/>
      <c r="D553" s="8">
        <v>2015</v>
      </c>
      <c r="E553" s="62">
        <f>Data!O553</f>
        <v>0</v>
      </c>
      <c r="F553" s="16">
        <f>Data!P553</f>
        <v>0</v>
      </c>
    </row>
    <row r="554" spans="2:6" ht="15" customHeight="1" x14ac:dyDescent="0.3">
      <c r="C554" s="3"/>
      <c r="D554" s="8">
        <v>2016</v>
      </c>
      <c r="E554" s="62">
        <f>Data!O554</f>
        <v>0</v>
      </c>
      <c r="F554" s="16">
        <f>Data!P554</f>
        <v>0</v>
      </c>
    </row>
    <row r="555" spans="2:6" ht="15" customHeight="1" x14ac:dyDescent="0.3">
      <c r="C555" s="3"/>
      <c r="D555" s="8">
        <v>2017</v>
      </c>
      <c r="E555" s="62">
        <f>Data!O555</f>
        <v>0</v>
      </c>
      <c r="F555" s="16">
        <f>Data!P555</f>
        <v>0</v>
      </c>
    </row>
    <row r="556" spans="2:6" ht="15" customHeight="1" x14ac:dyDescent="0.3">
      <c r="C556" s="3"/>
      <c r="D556" s="8">
        <v>2018</v>
      </c>
      <c r="E556" s="62">
        <f>Data!O556</f>
        <v>0</v>
      </c>
      <c r="F556" s="16">
        <f>Data!P556</f>
        <v>0</v>
      </c>
    </row>
    <row r="557" spans="2:6" ht="15" customHeight="1" x14ac:dyDescent="0.3">
      <c r="C557" s="3"/>
      <c r="D557" s="8">
        <v>2019</v>
      </c>
      <c r="E557" s="62">
        <f>Data!O557</f>
        <v>0</v>
      </c>
      <c r="F557" s="16">
        <f>Data!P557</f>
        <v>0</v>
      </c>
    </row>
    <row r="558" spans="2:6" ht="15" customHeight="1" x14ac:dyDescent="0.3">
      <c r="C558" s="3"/>
      <c r="D558" s="8">
        <v>2020</v>
      </c>
      <c r="E558" s="62">
        <f>Data!O558</f>
        <v>0.71389999999999998</v>
      </c>
      <c r="F558" s="16" t="str">
        <f>Data!P558</f>
        <v>Dana Pensiun Pertamina</v>
      </c>
    </row>
    <row r="559" spans="2:6" ht="15" customHeight="1" x14ac:dyDescent="0.3">
      <c r="C559" s="3"/>
      <c r="D559" s="8">
        <v>2021</v>
      </c>
      <c r="E559" s="62">
        <f>Data!O559</f>
        <v>0.71389999999999998</v>
      </c>
      <c r="F559" s="16" t="str">
        <f>Data!P559</f>
        <v>Dana Pensiun Pertamina</v>
      </c>
    </row>
    <row r="560" spans="2:6" ht="15" customHeight="1" x14ac:dyDescent="0.3">
      <c r="C560" s="3"/>
      <c r="D560" s="8">
        <v>2022</v>
      </c>
      <c r="E560" s="62">
        <f>Data!O560</f>
        <v>0.71389999999999998</v>
      </c>
      <c r="F560" s="16" t="str">
        <f>Data!P560</f>
        <v>Dana Pensiun Pertamina</v>
      </c>
    </row>
    <row r="561" spans="2:6" ht="15" customHeight="1" x14ac:dyDescent="0.3">
      <c r="C561" s="3"/>
      <c r="D561" s="8">
        <v>2023</v>
      </c>
      <c r="E561" s="62">
        <f>Data!O561</f>
        <v>0.71389999999999998</v>
      </c>
      <c r="F561" s="16" t="str">
        <f>Data!P561</f>
        <v>Dana Pensiun Pertamina</v>
      </c>
    </row>
    <row r="562" spans="2:6" ht="15" customHeight="1" x14ac:dyDescent="0.3">
      <c r="C562" s="3"/>
      <c r="D562" s="8">
        <v>2024</v>
      </c>
      <c r="E562" s="62">
        <f>Data!O562</f>
        <v>0.71389999999999998</v>
      </c>
      <c r="F562" s="16" t="str">
        <f>Data!P562</f>
        <v>Dana Pensiun Pertamina</v>
      </c>
    </row>
    <row r="563" spans="2:6" ht="15" customHeight="1" x14ac:dyDescent="0.3">
      <c r="B563" s="8">
        <v>52</v>
      </c>
      <c r="C563" s="3" t="s">
        <v>37</v>
      </c>
      <c r="D563" s="8">
        <v>2014</v>
      </c>
      <c r="E563" s="62">
        <f>Data!O563</f>
        <v>0</v>
      </c>
      <c r="F563" s="16">
        <f>Data!P563</f>
        <v>0</v>
      </c>
    </row>
    <row r="564" spans="2:6" ht="15" customHeight="1" x14ac:dyDescent="0.3">
      <c r="C564" s="3"/>
      <c r="D564" s="8">
        <v>2015</v>
      </c>
      <c r="E564" s="62">
        <f>Data!O564</f>
        <v>0</v>
      </c>
      <c r="F564" s="16">
        <f>Data!P564</f>
        <v>0</v>
      </c>
    </row>
    <row r="565" spans="2:6" ht="15" customHeight="1" x14ac:dyDescent="0.3">
      <c r="C565" s="3"/>
      <c r="D565" s="8">
        <v>2016</v>
      </c>
      <c r="E565" s="62">
        <f>Data!O565</f>
        <v>0.99990000000000001</v>
      </c>
      <c r="F565" s="16" t="str">
        <f>Data!P565</f>
        <v>PT Mega Corpora</v>
      </c>
    </row>
    <row r="566" spans="2:6" ht="15" customHeight="1" x14ac:dyDescent="0.3">
      <c r="C566" s="3"/>
      <c r="D566" s="8">
        <v>2017</v>
      </c>
      <c r="E566" s="62">
        <f>Data!O566</f>
        <v>0.51</v>
      </c>
      <c r="F566" s="16" t="str">
        <f>Data!P566</f>
        <v>PT Mega Corpora</v>
      </c>
    </row>
    <row r="567" spans="2:6" ht="15" customHeight="1" x14ac:dyDescent="0.3">
      <c r="C567" s="3"/>
      <c r="D567" s="8">
        <v>2018</v>
      </c>
      <c r="E567" s="62">
        <f>Data!O567</f>
        <v>0.51</v>
      </c>
      <c r="F567" s="16" t="str">
        <f>Data!P567</f>
        <v>PT Mega Corpora</v>
      </c>
    </row>
    <row r="568" spans="2:6" ht="15" customHeight="1" x14ac:dyDescent="0.3">
      <c r="C568" s="3"/>
      <c r="D568" s="8">
        <v>2019</v>
      </c>
      <c r="E568" s="62">
        <f>Data!O568</f>
        <v>0.51</v>
      </c>
      <c r="F568" s="16" t="str">
        <f>Data!P568</f>
        <v>PT Mega Corpora</v>
      </c>
    </row>
    <row r="569" spans="2:6" ht="15" customHeight="1" x14ac:dyDescent="0.3">
      <c r="C569" s="3"/>
      <c r="D569" s="8">
        <v>2020</v>
      </c>
      <c r="E569" s="62">
        <f>Data!O569</f>
        <v>0.51</v>
      </c>
      <c r="F569" s="16" t="str">
        <f>Data!P569</f>
        <v>PT Mega Corpora</v>
      </c>
    </row>
    <row r="570" spans="2:6" ht="15" customHeight="1" x14ac:dyDescent="0.3">
      <c r="C570" s="3"/>
      <c r="D570" s="8">
        <v>2021</v>
      </c>
      <c r="E570" s="62">
        <f>Data!O570</f>
        <v>0.51</v>
      </c>
      <c r="F570" s="16" t="str">
        <f>Data!P570</f>
        <v>PT Mega Corpora</v>
      </c>
    </row>
    <row r="571" spans="2:6" ht="15" customHeight="1" x14ac:dyDescent="0.3">
      <c r="C571" s="3"/>
      <c r="D571" s="8">
        <v>2022</v>
      </c>
      <c r="E571" s="62">
        <f>Data!O571</f>
        <v>0.51</v>
      </c>
      <c r="F571" s="16" t="str">
        <f>Data!P571</f>
        <v>PT Mega Corpora</v>
      </c>
    </row>
    <row r="572" spans="2:6" ht="15" customHeight="1" x14ac:dyDescent="0.3">
      <c r="C572" s="3"/>
      <c r="D572" s="8">
        <v>2023</v>
      </c>
      <c r="E572" s="62">
        <f>Data!O572</f>
        <v>0.51</v>
      </c>
      <c r="F572" s="16" t="str">
        <f>Data!P572</f>
        <v>PT Mega Corpora</v>
      </c>
    </row>
    <row r="573" spans="2:6" ht="15" customHeight="1" x14ac:dyDescent="0.3">
      <c r="C573" s="3"/>
      <c r="D573" s="8">
        <v>2024</v>
      </c>
      <c r="E573" s="62">
        <f>Data!O573</f>
        <v>0.51</v>
      </c>
      <c r="F573" s="16" t="str">
        <f>Data!P573</f>
        <v>PT Mega Corpora</v>
      </c>
    </row>
    <row r="574" spans="2:6" ht="15" customHeight="1" x14ac:dyDescent="0.3">
      <c r="B574" s="8">
        <v>53</v>
      </c>
      <c r="C574" s="3" t="s">
        <v>43</v>
      </c>
      <c r="D574" s="8">
        <v>2014</v>
      </c>
      <c r="E574" s="62">
        <f>Data!O574</f>
        <v>0</v>
      </c>
      <c r="F574" s="16">
        <f>Data!P574</f>
        <v>0</v>
      </c>
    </row>
    <row r="575" spans="2:6" ht="15" customHeight="1" x14ac:dyDescent="0.3">
      <c r="C575" s="3"/>
      <c r="D575" s="8">
        <v>2015</v>
      </c>
      <c r="E575" s="62">
        <f>Data!O575</f>
        <v>0</v>
      </c>
      <c r="F575" s="16">
        <f>Data!P575</f>
        <v>0</v>
      </c>
    </row>
    <row r="576" spans="2:6" ht="15" customHeight="1" x14ac:dyDescent="0.3">
      <c r="C576" s="3"/>
      <c r="D576" s="8">
        <v>2016</v>
      </c>
      <c r="E576" s="62">
        <f>Data!O576</f>
        <v>0</v>
      </c>
      <c r="F576" s="16">
        <f>Data!P576</f>
        <v>0</v>
      </c>
    </row>
    <row r="577" spans="2:6" ht="15" customHeight="1" x14ac:dyDescent="0.3">
      <c r="C577" s="3"/>
      <c r="D577" s="8">
        <v>2017</v>
      </c>
      <c r="E577" s="62">
        <f>Data!O577</f>
        <v>0.94599999999999995</v>
      </c>
      <c r="F577" s="16" t="str">
        <f>Data!P577</f>
        <v>Prudential Corporation Holdings</v>
      </c>
    </row>
    <row r="578" spans="2:6" ht="15" customHeight="1" x14ac:dyDescent="0.3">
      <c r="C578" s="3"/>
      <c r="D578" s="8">
        <v>2018</v>
      </c>
      <c r="E578" s="62">
        <f>Data!O578</f>
        <v>0.94599999999999995</v>
      </c>
      <c r="F578" s="16" t="str">
        <f>Data!P578</f>
        <v>Prudential Corporation Holdings</v>
      </c>
    </row>
    <row r="579" spans="2:6" ht="15" customHeight="1" x14ac:dyDescent="0.3">
      <c r="C579" s="3"/>
      <c r="D579" s="8">
        <v>2019</v>
      </c>
      <c r="E579" s="62">
        <f>Data!O579</f>
        <v>0.94599999999999995</v>
      </c>
      <c r="F579" s="16" t="str">
        <f>Data!P579</f>
        <v>Prudential Corporation Holdings</v>
      </c>
    </row>
    <row r="580" spans="2:6" ht="15" customHeight="1" x14ac:dyDescent="0.3">
      <c r="C580" s="3"/>
      <c r="D580" s="8">
        <v>2020</v>
      </c>
      <c r="E580" s="62">
        <f>Data!O580</f>
        <v>0.94599999999999995</v>
      </c>
      <c r="F580" s="16" t="str">
        <f>Data!P580</f>
        <v>Prudential Corporation Holdings</v>
      </c>
    </row>
    <row r="581" spans="2:6" ht="15" customHeight="1" x14ac:dyDescent="0.3">
      <c r="C581" s="3"/>
      <c r="D581" s="8">
        <v>2021</v>
      </c>
      <c r="E581" s="62">
        <f>Data!O581</f>
        <v>0.94599999999999995</v>
      </c>
      <c r="F581" s="16" t="str">
        <f>Data!P581</f>
        <v>Prudential Corporation Holdings</v>
      </c>
    </row>
    <row r="582" spans="2:6" ht="15" customHeight="1" x14ac:dyDescent="0.3">
      <c r="C582" s="3"/>
      <c r="D582" s="8">
        <v>2022</v>
      </c>
      <c r="E582" s="62">
        <f>Data!O582</f>
        <v>0.94620000000000004</v>
      </c>
      <c r="F582" s="16" t="str">
        <f>Data!P582</f>
        <v>Prudential Corporation Holdings</v>
      </c>
    </row>
    <row r="583" spans="2:6" ht="15" customHeight="1" x14ac:dyDescent="0.3">
      <c r="C583" s="3"/>
      <c r="D583" s="8">
        <v>2023</v>
      </c>
      <c r="E583" s="62">
        <f>Data!O583</f>
        <v>0.94620000000000004</v>
      </c>
      <c r="F583" s="16" t="str">
        <f>Data!P583</f>
        <v>Prudential Corporation Holdings</v>
      </c>
    </row>
    <row r="584" spans="2:6" ht="15" customHeight="1" x14ac:dyDescent="0.3">
      <c r="C584" s="3"/>
      <c r="D584" s="8">
        <v>2024</v>
      </c>
      <c r="E584" s="62">
        <f>Data!O584</f>
        <v>0.94620000000000004</v>
      </c>
      <c r="F584" s="16" t="str">
        <f>Data!P584</f>
        <v>Prudential Corporation Holdings</v>
      </c>
    </row>
    <row r="585" spans="2:6" ht="15" customHeight="1" x14ac:dyDescent="0.3">
      <c r="B585" s="8">
        <v>54</v>
      </c>
      <c r="C585" s="4" t="s">
        <v>150</v>
      </c>
      <c r="D585" s="8">
        <v>2014</v>
      </c>
      <c r="E585" s="62">
        <f>Data!O585</f>
        <v>0</v>
      </c>
      <c r="F585" s="16">
        <f>Data!P596</f>
        <v>0</v>
      </c>
    </row>
    <row r="586" spans="2:6" ht="15" customHeight="1" x14ac:dyDescent="0.3">
      <c r="C586" s="4"/>
      <c r="D586" s="8">
        <v>2015</v>
      </c>
      <c r="E586" s="62">
        <f>Data!O586</f>
        <v>0</v>
      </c>
      <c r="F586" s="16" t="str">
        <f>Data!P597</f>
        <v>Sun Life Assurance Company of Canada</v>
      </c>
    </row>
    <row r="587" spans="2:6" ht="15" customHeight="1" x14ac:dyDescent="0.3">
      <c r="C587" s="4"/>
      <c r="D587" s="8">
        <v>2016</v>
      </c>
      <c r="E587" s="62">
        <f>Data!O587</f>
        <v>0</v>
      </c>
      <c r="F587" s="16" t="e">
        <f>Data!#REF!</f>
        <v>#REF!</v>
      </c>
    </row>
    <row r="588" spans="2:6" ht="15" customHeight="1" x14ac:dyDescent="0.3">
      <c r="C588" s="4"/>
      <c r="D588" s="8">
        <v>2017</v>
      </c>
      <c r="E588" s="62">
        <f>Data!O588</f>
        <v>0</v>
      </c>
      <c r="F588" s="16" t="str">
        <f>Data!P599</f>
        <v>Sun Life Assurance Company of Canada</v>
      </c>
    </row>
    <row r="589" spans="2:6" ht="15" customHeight="1" x14ac:dyDescent="0.3">
      <c r="C589" s="4"/>
      <c r="D589" s="8">
        <v>2018</v>
      </c>
      <c r="E589" s="62">
        <f>Data!O589</f>
        <v>0</v>
      </c>
      <c r="F589" s="16" t="str">
        <f>Data!P600</f>
        <v>Sun Life Assurance Company of Canada</v>
      </c>
    </row>
    <row r="590" spans="2:6" ht="15" customHeight="1" x14ac:dyDescent="0.3">
      <c r="C590" s="4"/>
      <c r="D590" s="8">
        <v>2019</v>
      </c>
      <c r="E590" s="62">
        <f>Data!O590</f>
        <v>0</v>
      </c>
      <c r="F590" s="16" t="str">
        <f>Data!P601</f>
        <v>Sun Life Assurance Company of Canada</v>
      </c>
    </row>
    <row r="591" spans="2:6" ht="15" customHeight="1" x14ac:dyDescent="0.3">
      <c r="C591" s="4"/>
      <c r="D591" s="8">
        <v>2020</v>
      </c>
      <c r="E591" s="62">
        <f>Data!O591</f>
        <v>0</v>
      </c>
      <c r="F591" s="16" t="str">
        <f>Data!P602</f>
        <v>Sun Life Assurance Company of Canada</v>
      </c>
    </row>
    <row r="592" spans="2:6" ht="15" customHeight="1" x14ac:dyDescent="0.3">
      <c r="C592" s="4"/>
      <c r="D592" s="8">
        <v>2021</v>
      </c>
      <c r="E592" s="62">
        <f>Data!O592</f>
        <v>0</v>
      </c>
      <c r="F592" s="16" t="str">
        <f>Data!P603</f>
        <v>Sun Life Assurance Company of Canada</v>
      </c>
    </row>
    <row r="593" spans="2:6" ht="15" customHeight="1" x14ac:dyDescent="0.3">
      <c r="C593" s="4"/>
      <c r="D593" s="8">
        <v>2022</v>
      </c>
      <c r="E593" s="62">
        <f>Data!O593</f>
        <v>0.99990000000000001</v>
      </c>
      <c r="F593" s="16" t="str">
        <f>Data!P604</f>
        <v>Sun Life Assurance Company of Canada</v>
      </c>
    </row>
    <row r="594" spans="2:6" ht="15" customHeight="1" x14ac:dyDescent="0.3">
      <c r="C594" s="4"/>
      <c r="D594" s="8">
        <v>2023</v>
      </c>
      <c r="E594" s="62">
        <f>Data!O594</f>
        <v>0.99990000000000001</v>
      </c>
      <c r="F594" s="16" t="str">
        <f>Data!P605</f>
        <v>Sun Life Assurance Company of Canada</v>
      </c>
    </row>
    <row r="595" spans="2:6" ht="15" customHeight="1" x14ac:dyDescent="0.3">
      <c r="C595" s="4"/>
      <c r="D595" s="8">
        <v>2024</v>
      </c>
      <c r="E595" s="62">
        <f>Data!O595</f>
        <v>0.99990000000000001</v>
      </c>
      <c r="F595" s="16" t="str">
        <f>Data!P606</f>
        <v>Sun Life Assurance Company of Canada</v>
      </c>
    </row>
    <row r="596" spans="2:6" ht="15" customHeight="1" x14ac:dyDescent="0.3">
      <c r="B596" s="8">
        <v>55</v>
      </c>
      <c r="C596" s="3" t="s">
        <v>40</v>
      </c>
      <c r="D596" s="8">
        <v>2014</v>
      </c>
      <c r="E596" s="62">
        <f>Data!O596</f>
        <v>0</v>
      </c>
      <c r="F596" s="16" t="e">
        <f>Data!#REF!</f>
        <v>#REF!</v>
      </c>
    </row>
    <row r="597" spans="2:6" ht="15" customHeight="1" x14ac:dyDescent="0.3">
      <c r="C597" s="3"/>
      <c r="D597" s="8">
        <v>2015</v>
      </c>
      <c r="E597" s="62">
        <f>Data!O597</f>
        <v>0.97870000000000001</v>
      </c>
      <c r="F597" s="16" t="e">
        <f>Data!#REF!</f>
        <v>#REF!</v>
      </c>
    </row>
    <row r="598" spans="2:6" ht="15" customHeight="1" x14ac:dyDescent="0.3">
      <c r="C598" s="3"/>
      <c r="D598" s="8">
        <v>2016</v>
      </c>
      <c r="E598" s="62">
        <f>Data!O598</f>
        <v>0.97609999999999997</v>
      </c>
      <c r="F598" s="16" t="e">
        <f>Data!#REF!</f>
        <v>#REF!</v>
      </c>
    </row>
    <row r="599" spans="2:6" ht="15" customHeight="1" x14ac:dyDescent="0.3">
      <c r="C599" s="3"/>
      <c r="D599" s="8">
        <v>2017</v>
      </c>
      <c r="E599" s="62">
        <f>Data!O599</f>
        <v>0.97609999999999997</v>
      </c>
      <c r="F599" s="16" t="e">
        <f>Data!#REF!</f>
        <v>#REF!</v>
      </c>
    </row>
    <row r="600" spans="2:6" ht="15" customHeight="1" x14ac:dyDescent="0.3">
      <c r="C600" s="3"/>
      <c r="D600" s="8">
        <v>2018</v>
      </c>
      <c r="E600" s="62">
        <f>Data!O600</f>
        <v>0.95860000000000001</v>
      </c>
      <c r="F600" s="16" t="e">
        <f>Data!#REF!</f>
        <v>#REF!</v>
      </c>
    </row>
    <row r="601" spans="2:6" ht="15" customHeight="1" x14ac:dyDescent="0.3">
      <c r="C601" s="3"/>
      <c r="D601" s="8">
        <v>2019</v>
      </c>
      <c r="E601" s="62">
        <f>Data!O601</f>
        <v>0.95860000000000001</v>
      </c>
      <c r="F601" s="16" t="e">
        <f>Data!#REF!</f>
        <v>#REF!</v>
      </c>
    </row>
    <row r="602" spans="2:6" ht="15" customHeight="1" x14ac:dyDescent="0.3">
      <c r="C602" s="3"/>
      <c r="D602" s="8">
        <v>2020</v>
      </c>
      <c r="E602" s="62">
        <f>Data!O602</f>
        <v>0.95860000000000001</v>
      </c>
      <c r="F602" s="16" t="e">
        <f>Data!#REF!</f>
        <v>#REF!</v>
      </c>
    </row>
    <row r="603" spans="2:6" ht="15" customHeight="1" x14ac:dyDescent="0.3">
      <c r="C603" s="3"/>
      <c r="D603" s="8">
        <v>2021</v>
      </c>
      <c r="E603" s="62">
        <f>Data!O603</f>
        <v>0.95860000000000001</v>
      </c>
      <c r="F603" s="16" t="e">
        <f>Data!#REF!</f>
        <v>#REF!</v>
      </c>
    </row>
    <row r="604" spans="2:6" ht="15" customHeight="1" x14ac:dyDescent="0.3">
      <c r="C604" s="3"/>
      <c r="D604" s="8">
        <v>2022</v>
      </c>
      <c r="E604" s="62">
        <f>Data!O604</f>
        <v>0.95860000000000001</v>
      </c>
      <c r="F604" s="16" t="e">
        <f>Data!#REF!</f>
        <v>#REF!</v>
      </c>
    </row>
    <row r="605" spans="2:6" ht="15" customHeight="1" x14ac:dyDescent="0.3">
      <c r="C605" s="3"/>
      <c r="D605" s="8">
        <v>2023</v>
      </c>
      <c r="E605" s="62">
        <f>Data!O605</f>
        <v>0.95860000000000001</v>
      </c>
      <c r="F605" s="16" t="e">
        <f>Data!#REF!</f>
        <v>#REF!</v>
      </c>
    </row>
    <row r="606" spans="2:6" ht="15" customHeight="1" x14ac:dyDescent="0.3">
      <c r="C606" s="3"/>
      <c r="D606" s="8">
        <v>2024</v>
      </c>
      <c r="E606" s="62">
        <f>Data!O606</f>
        <v>0.95860000000000001</v>
      </c>
      <c r="F606" s="16" t="e">
        <f>Data!#REF!</f>
        <v>#REF!</v>
      </c>
    </row>
    <row r="607" spans="2:6" ht="15" customHeight="1" x14ac:dyDescent="0.3">
      <c r="B607" s="8">
        <v>56</v>
      </c>
      <c r="C607" s="3" t="s">
        <v>47</v>
      </c>
      <c r="D607" s="8">
        <v>2014</v>
      </c>
      <c r="E607" s="62">
        <f>Data!O607</f>
        <v>0</v>
      </c>
      <c r="F607" s="16">
        <f>Data!P607</f>
        <v>0</v>
      </c>
    </row>
    <row r="608" spans="2:6" ht="15" customHeight="1" x14ac:dyDescent="0.3">
      <c r="C608" s="3"/>
      <c r="D608" s="8">
        <v>2015</v>
      </c>
      <c r="E608" s="62">
        <f>Data!O608</f>
        <v>0.96199999999999997</v>
      </c>
      <c r="F608" s="16" t="str">
        <f>Data!P608</f>
        <v>Tokio Marine&amp; Nichido Fire Insurance</v>
      </c>
    </row>
    <row r="609" spans="2:6" ht="15" customHeight="1" x14ac:dyDescent="0.3">
      <c r="C609" s="3"/>
      <c r="D609" s="8">
        <v>2016</v>
      </c>
      <c r="E609" s="62">
        <f>Data!O609</f>
        <v>0.96199999999999997</v>
      </c>
      <c r="F609" s="16" t="str">
        <f>Data!P609</f>
        <v>Tokio Marine&amp; Nichido Fire Insurance</v>
      </c>
    </row>
    <row r="610" spans="2:6" ht="15" customHeight="1" x14ac:dyDescent="0.3">
      <c r="C610" s="3"/>
      <c r="D610" s="8">
        <v>2017</v>
      </c>
      <c r="E610" s="62">
        <f>Data!O610</f>
        <v>0.97799999999999998</v>
      </c>
      <c r="F610" s="16" t="str">
        <f>Data!P610</f>
        <v>Tokio Marine&amp; Nichido Fire Insurance</v>
      </c>
    </row>
    <row r="611" spans="2:6" ht="15" customHeight="1" x14ac:dyDescent="0.3">
      <c r="C611" s="3"/>
      <c r="D611" s="8">
        <v>2018</v>
      </c>
      <c r="E611" s="62">
        <f>Data!O611</f>
        <v>0.97799999999999998</v>
      </c>
      <c r="F611" s="16" t="str">
        <f>Data!P611</f>
        <v>Tokio Marine&amp; Nichido Fire Insurance</v>
      </c>
    </row>
    <row r="612" spans="2:6" ht="15" customHeight="1" x14ac:dyDescent="0.3">
      <c r="C612" s="3"/>
      <c r="D612" s="8">
        <v>2019</v>
      </c>
      <c r="E612" s="62">
        <f>Data!O612</f>
        <v>0.97799999999999998</v>
      </c>
      <c r="F612" s="16" t="str">
        <f>Data!P612</f>
        <v>Tokio Marine&amp; Nichido Fire Insurance</v>
      </c>
    </row>
    <row r="613" spans="2:6" ht="15" customHeight="1" x14ac:dyDescent="0.3">
      <c r="C613" s="3"/>
      <c r="D613" s="8">
        <v>2020</v>
      </c>
      <c r="E613" s="62">
        <f>Data!O613</f>
        <v>0.97799999999999998</v>
      </c>
      <c r="F613" s="16" t="str">
        <f>Data!P613</f>
        <v>Tokio Marine&amp; Nichido Fire Insurance</v>
      </c>
    </row>
    <row r="614" spans="2:6" ht="15" customHeight="1" x14ac:dyDescent="0.3">
      <c r="C614" s="3"/>
      <c r="D614" s="8">
        <v>2021</v>
      </c>
      <c r="E614" s="62">
        <f>Data!O614</f>
        <v>0.98</v>
      </c>
      <c r="F614" s="16" t="str">
        <f>Data!P614</f>
        <v>Tokio Marine&amp; Nichido Fire Insurance</v>
      </c>
    </row>
    <row r="615" spans="2:6" ht="15" customHeight="1" x14ac:dyDescent="0.3">
      <c r="C615" s="3"/>
      <c r="D615" s="8">
        <v>2022</v>
      </c>
      <c r="E615" s="62">
        <f>Data!O615</f>
        <v>0.97799999999999998</v>
      </c>
      <c r="F615" s="16" t="str">
        <f>Data!P615</f>
        <v>Tokio Marine&amp; Nichido Fire Insurance</v>
      </c>
    </row>
    <row r="616" spans="2:6" ht="15" customHeight="1" x14ac:dyDescent="0.3">
      <c r="C616" s="3"/>
      <c r="D616" s="8">
        <v>2023</v>
      </c>
      <c r="E616" s="62">
        <f>Data!O616</f>
        <v>0.97799999999999998</v>
      </c>
      <c r="F616" s="16" t="str">
        <f>Data!P616</f>
        <v>Tokio Marine&amp; Nichido Fire Insurance</v>
      </c>
    </row>
    <row r="617" spans="2:6" ht="15" customHeight="1" x14ac:dyDescent="0.3">
      <c r="C617" s="3"/>
      <c r="D617" s="8">
        <v>2024</v>
      </c>
      <c r="E617" s="62">
        <f>Data!O617</f>
        <v>0.97799999999999998</v>
      </c>
      <c r="F617" s="16" t="str">
        <f>Data!P617</f>
        <v>Tokio Marine&amp; Nichido Fire Insurance</v>
      </c>
    </row>
    <row r="618" spans="2:6" ht="15" customHeight="1" x14ac:dyDescent="0.3">
      <c r="B618" s="8">
        <v>57</v>
      </c>
      <c r="C618" s="3" t="s">
        <v>41</v>
      </c>
      <c r="D618" s="8">
        <v>2014</v>
      </c>
      <c r="E618" s="62">
        <f>Data!O618</f>
        <v>0</v>
      </c>
      <c r="F618" s="16">
        <f>Data!P618</f>
        <v>0</v>
      </c>
    </row>
    <row r="619" spans="2:6" ht="15" customHeight="1" x14ac:dyDescent="0.3">
      <c r="C619" s="3"/>
      <c r="D619" s="8">
        <v>2015</v>
      </c>
      <c r="E619" s="62">
        <f>Data!O619</f>
        <v>0</v>
      </c>
      <c r="F619" s="16">
        <f>Data!P619</f>
        <v>0</v>
      </c>
    </row>
    <row r="620" spans="2:6" ht="15" customHeight="1" x14ac:dyDescent="0.3">
      <c r="C620" s="3"/>
      <c r="D620" s="8">
        <v>2016</v>
      </c>
      <c r="E620" s="62">
        <f>Data!O620</f>
        <v>0</v>
      </c>
      <c r="F620" s="16">
        <f>Data!P620</f>
        <v>0</v>
      </c>
    </row>
    <row r="621" spans="2:6" ht="15" customHeight="1" x14ac:dyDescent="0.3">
      <c r="C621" s="3"/>
      <c r="D621" s="8">
        <v>2017</v>
      </c>
      <c r="E621" s="62">
        <f>Data!O621</f>
        <v>0</v>
      </c>
      <c r="F621" s="16">
        <f>Data!P621</f>
        <v>0</v>
      </c>
    </row>
    <row r="622" spans="2:6" ht="15" customHeight="1" x14ac:dyDescent="0.3">
      <c r="C622" s="3"/>
      <c r="D622" s="8">
        <v>2018</v>
      </c>
      <c r="E622" s="62">
        <f>Data!O622</f>
        <v>0.99329999999999996</v>
      </c>
      <c r="F622" s="16">
        <f>Data!Q622</f>
        <v>2</v>
      </c>
    </row>
    <row r="623" spans="2:6" ht="15" customHeight="1" x14ac:dyDescent="0.3">
      <c r="C623" s="3"/>
      <c r="D623" s="8">
        <v>2019</v>
      </c>
      <c r="E623" s="62">
        <f>Data!O623</f>
        <v>0.99329999999999996</v>
      </c>
      <c r="F623" s="16">
        <f>Data!Q623</f>
        <v>2</v>
      </c>
    </row>
    <row r="624" spans="2:6" ht="15" customHeight="1" x14ac:dyDescent="0.3">
      <c r="C624" s="3"/>
      <c r="D624" s="8">
        <v>2020</v>
      </c>
      <c r="E624" s="62">
        <f>Data!O624</f>
        <v>0.99329999999999996</v>
      </c>
      <c r="F624" s="16" t="str">
        <f>Data!P624</f>
        <v>PT Victoria Investama</v>
      </c>
    </row>
    <row r="625" spans="1:6" ht="15" customHeight="1" x14ac:dyDescent="0.3">
      <c r="C625" s="3"/>
      <c r="D625" s="8">
        <v>2021</v>
      </c>
      <c r="E625" s="62">
        <f>Data!O625</f>
        <v>0.99329999999999996</v>
      </c>
      <c r="F625" s="16" t="str">
        <f>Data!P625</f>
        <v>PT Victoria Investama</v>
      </c>
    </row>
    <row r="626" spans="1:6" ht="15" customHeight="1" x14ac:dyDescent="0.3">
      <c r="C626" s="3"/>
      <c r="D626" s="8">
        <v>2022</v>
      </c>
      <c r="E626" s="62">
        <f>Data!O626</f>
        <v>0.99329999999999996</v>
      </c>
      <c r="F626" s="16" t="str">
        <f>Data!P626</f>
        <v>PT Victoria Investama</v>
      </c>
    </row>
    <row r="627" spans="1:6" ht="15" customHeight="1" x14ac:dyDescent="0.3">
      <c r="C627" s="3"/>
      <c r="D627" s="8">
        <v>2023</v>
      </c>
      <c r="E627" s="62">
        <f>Data!O627</f>
        <v>0.99329999999999996</v>
      </c>
      <c r="F627" s="16" t="str">
        <f>Data!P627</f>
        <v>PT Victoria Investama</v>
      </c>
    </row>
    <row r="628" spans="1:6" ht="15" customHeight="1" x14ac:dyDescent="0.3">
      <c r="C628" s="3"/>
      <c r="D628" s="8">
        <v>2024</v>
      </c>
      <c r="E628" s="62">
        <f>Data!O628</f>
        <v>0.99329999999999996</v>
      </c>
      <c r="F628" s="16" t="str">
        <f>Data!P628</f>
        <v>PT Victoria Investama</v>
      </c>
    </row>
    <row r="629" spans="1:6" ht="15" customHeight="1" x14ac:dyDescent="0.3">
      <c r="B629" s="8">
        <v>58</v>
      </c>
      <c r="C629" s="4" t="s">
        <v>49</v>
      </c>
      <c r="D629" s="8">
        <v>2014</v>
      </c>
      <c r="E629" s="62">
        <f>Data!O629</f>
        <v>0</v>
      </c>
      <c r="F629" s="16">
        <f>Data!P629</f>
        <v>0</v>
      </c>
    </row>
    <row r="630" spans="1:6" ht="15" customHeight="1" x14ac:dyDescent="0.3">
      <c r="C630" s="4"/>
      <c r="D630" s="8">
        <v>2015</v>
      </c>
      <c r="E630" s="62">
        <f>Data!O630</f>
        <v>0</v>
      </c>
      <c r="F630" s="16">
        <f>Data!P630</f>
        <v>0</v>
      </c>
    </row>
    <row r="631" spans="1:6" ht="15" customHeight="1" x14ac:dyDescent="0.3">
      <c r="C631" s="4"/>
      <c r="D631" s="8">
        <v>2016</v>
      </c>
      <c r="E631" s="62">
        <f>Data!O631</f>
        <v>0</v>
      </c>
      <c r="F631" s="16">
        <f>Data!P631</f>
        <v>0</v>
      </c>
    </row>
    <row r="632" spans="1:6" ht="15" customHeight="1" x14ac:dyDescent="0.3">
      <c r="C632" s="4"/>
      <c r="D632" s="8">
        <v>2017</v>
      </c>
      <c r="E632" s="62">
        <f>Data!O632</f>
        <v>0</v>
      </c>
      <c r="F632" s="16">
        <f>Data!P632</f>
        <v>0</v>
      </c>
    </row>
    <row r="633" spans="1:6" ht="15" customHeight="1" x14ac:dyDescent="0.3">
      <c r="C633" s="4"/>
      <c r="D633" s="8">
        <v>2018</v>
      </c>
      <c r="E633" s="62">
        <f>Data!O633</f>
        <v>0</v>
      </c>
      <c r="F633" s="16">
        <f>Data!P633</f>
        <v>0</v>
      </c>
    </row>
    <row r="634" spans="1:6" ht="15" customHeight="1" x14ac:dyDescent="0.3">
      <c r="C634" s="4"/>
      <c r="D634" s="8">
        <v>2019</v>
      </c>
      <c r="E634" s="62">
        <f>Data!O634</f>
        <v>0</v>
      </c>
      <c r="F634" s="16">
        <f>Data!P634</f>
        <v>0</v>
      </c>
    </row>
    <row r="635" spans="1:6" ht="15" customHeight="1" x14ac:dyDescent="0.3">
      <c r="C635" s="4"/>
      <c r="D635" s="8">
        <v>2020</v>
      </c>
      <c r="E635" s="62">
        <f>Data!O635</f>
        <v>0.8367</v>
      </c>
      <c r="F635" s="16" t="str">
        <f>Data!P635</f>
        <v>Zurich Insurance Company</v>
      </c>
    </row>
    <row r="636" spans="1:6" ht="15" customHeight="1" x14ac:dyDescent="0.3">
      <c r="C636" s="4"/>
      <c r="D636" s="8">
        <v>2021</v>
      </c>
      <c r="E636" s="62">
        <f>Data!O636</f>
        <v>0.84</v>
      </c>
      <c r="F636" s="16" t="str">
        <f>Data!P636</f>
        <v>Zurich Insurance Company</v>
      </c>
    </row>
    <row r="637" spans="1:6" ht="15" customHeight="1" x14ac:dyDescent="0.3">
      <c r="C637" s="4"/>
      <c r="D637" s="8">
        <v>2022</v>
      </c>
      <c r="E637" s="62">
        <f>Data!O637</f>
        <v>0.84</v>
      </c>
      <c r="F637" s="16" t="str">
        <f>Data!P637</f>
        <v>Zurich Insurance Company</v>
      </c>
    </row>
    <row r="638" spans="1:6" ht="15" customHeight="1" x14ac:dyDescent="0.3">
      <c r="C638" s="4"/>
      <c r="D638" s="8">
        <v>2023</v>
      </c>
      <c r="E638" s="62">
        <f>Data!O638</f>
        <v>0.84</v>
      </c>
      <c r="F638" s="16" t="str">
        <f>Data!P638</f>
        <v>Zurich Insurance Company</v>
      </c>
    </row>
    <row r="639" spans="1:6" ht="15" customHeight="1" x14ac:dyDescent="0.3">
      <c r="C639" s="4"/>
      <c r="D639" s="8">
        <v>2024</v>
      </c>
      <c r="E639" s="62">
        <f>Data!O639</f>
        <v>0.84</v>
      </c>
      <c r="F639" s="16" t="str">
        <f>Data!P639</f>
        <v>Zurich Insurance Company</v>
      </c>
    </row>
    <row r="640" spans="1:6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62">
        <f>Data!O640</f>
        <v>0</v>
      </c>
      <c r="F640" s="16">
        <f>Data!P640</f>
        <v>0</v>
      </c>
    </row>
    <row r="641" spans="2:6" ht="15" customHeight="1" x14ac:dyDescent="0.3">
      <c r="C641" s="2"/>
      <c r="D641" s="8">
        <v>2015</v>
      </c>
      <c r="E641" s="62">
        <f>Data!O641</f>
        <v>0</v>
      </c>
      <c r="F641" s="16">
        <f>Data!P641</f>
        <v>0</v>
      </c>
    </row>
    <row r="642" spans="2:6" ht="15" customHeight="1" x14ac:dyDescent="0.3">
      <c r="C642" s="2"/>
      <c r="D642" s="8">
        <v>2016</v>
      </c>
      <c r="E642" s="62">
        <f>Data!O642</f>
        <v>0</v>
      </c>
      <c r="F642" s="16">
        <f>Data!P642</f>
        <v>0</v>
      </c>
    </row>
    <row r="643" spans="2:6" ht="15" customHeight="1" x14ac:dyDescent="0.3">
      <c r="C643" s="2"/>
      <c r="D643" s="8">
        <v>2017</v>
      </c>
      <c r="E643" s="62">
        <f>Data!O643</f>
        <v>0</v>
      </c>
      <c r="F643" s="16">
        <f>Data!P643</f>
        <v>0</v>
      </c>
    </row>
    <row r="644" spans="2:6" ht="15" customHeight="1" x14ac:dyDescent="0.3">
      <c r="C644" s="2"/>
      <c r="D644" s="8">
        <v>2018</v>
      </c>
      <c r="E644" s="62">
        <f>Data!O644</f>
        <v>0</v>
      </c>
      <c r="F644" s="16">
        <f>Data!P644</f>
        <v>0</v>
      </c>
    </row>
    <row r="645" spans="2:6" ht="15" customHeight="1" x14ac:dyDescent="0.3">
      <c r="C645" s="2"/>
      <c r="D645" s="8">
        <v>2019</v>
      </c>
      <c r="E645" s="62">
        <f>Data!O645</f>
        <v>0</v>
      </c>
      <c r="F645" s="16">
        <f>Data!P645</f>
        <v>0</v>
      </c>
    </row>
    <row r="646" spans="2:6" ht="15" customHeight="1" x14ac:dyDescent="0.3">
      <c r="C646" s="2"/>
      <c r="D646" s="8">
        <v>2020</v>
      </c>
      <c r="E646" s="62">
        <f>Data!O646</f>
        <v>0.99990000000000001</v>
      </c>
      <c r="F646" s="16" t="str">
        <f>Data!P646</f>
        <v>AIG Asia Pacific Insurance</v>
      </c>
    </row>
    <row r="647" spans="2:6" ht="15" customHeight="1" x14ac:dyDescent="0.3">
      <c r="C647" s="2"/>
      <c r="D647" s="8">
        <v>2021</v>
      </c>
      <c r="E647" s="62">
        <f>Data!O647</f>
        <v>0.99990000000000001</v>
      </c>
      <c r="F647" s="16" t="str">
        <f>Data!P647</f>
        <v>AIG Asia Pacific Insurance</v>
      </c>
    </row>
    <row r="648" spans="2:6" ht="15" customHeight="1" x14ac:dyDescent="0.3">
      <c r="C648" s="2"/>
      <c r="D648" s="8">
        <v>2022</v>
      </c>
      <c r="E648" s="62">
        <f>Data!O648</f>
        <v>0.99990000000000001</v>
      </c>
      <c r="F648" s="16" t="str">
        <f>Data!P648</f>
        <v>AIG Asia Pacific Insurance</v>
      </c>
    </row>
    <row r="649" spans="2:6" ht="15" customHeight="1" x14ac:dyDescent="0.3">
      <c r="C649" s="2"/>
      <c r="D649" s="8">
        <v>2023</v>
      </c>
      <c r="E649" s="62">
        <f>Data!O649</f>
        <v>0.99990000000000001</v>
      </c>
      <c r="F649" s="16" t="str">
        <f>Data!P649</f>
        <v>AIG Asia Pacific Insurance</v>
      </c>
    </row>
    <row r="650" spans="2:6" ht="15" customHeight="1" x14ac:dyDescent="0.3">
      <c r="C650" s="2"/>
      <c r="D650" s="8">
        <v>2024</v>
      </c>
      <c r="E650" s="62">
        <f>Data!O650</f>
        <v>0.99990000000000001</v>
      </c>
      <c r="F650" s="16" t="str">
        <f>Data!P650</f>
        <v>AIG Asia Pacific Insurance</v>
      </c>
    </row>
    <row r="651" spans="2:6" ht="15" customHeight="1" x14ac:dyDescent="0.3">
      <c r="B651" s="8">
        <v>60</v>
      </c>
      <c r="C651" s="2" t="s">
        <v>63</v>
      </c>
      <c r="D651" s="8">
        <v>2014</v>
      </c>
      <c r="E651" s="62">
        <f>Data!O651</f>
        <v>0</v>
      </c>
      <c r="F651" s="16">
        <f>Data!P651</f>
        <v>0</v>
      </c>
    </row>
    <row r="652" spans="2:6" ht="15" customHeight="1" x14ac:dyDescent="0.3">
      <c r="C652" s="2"/>
      <c r="D652" s="8">
        <v>2015</v>
      </c>
      <c r="E652" s="62">
        <f>Data!O652</f>
        <v>0</v>
      </c>
      <c r="F652" s="16">
        <f>Data!P652</f>
        <v>0</v>
      </c>
    </row>
    <row r="653" spans="2:6" ht="15" customHeight="1" x14ac:dyDescent="0.3">
      <c r="C653" s="2"/>
      <c r="D653" s="8">
        <v>2016</v>
      </c>
      <c r="E653" s="62">
        <f>Data!O653</f>
        <v>0</v>
      </c>
      <c r="F653" s="16">
        <f>Data!P653</f>
        <v>0</v>
      </c>
    </row>
    <row r="654" spans="2:6" ht="15" customHeight="1" x14ac:dyDescent="0.3">
      <c r="C654" s="2"/>
      <c r="D654" s="8">
        <v>2017</v>
      </c>
      <c r="E654" s="62">
        <f>Data!O654</f>
        <v>0</v>
      </c>
      <c r="F654" s="16">
        <f>Data!P654</f>
        <v>0</v>
      </c>
    </row>
    <row r="655" spans="2:6" ht="15" customHeight="1" x14ac:dyDescent="0.3">
      <c r="C655" s="2"/>
      <c r="D655" s="8">
        <v>2018</v>
      </c>
      <c r="E655" s="62">
        <f>Data!O655</f>
        <v>0</v>
      </c>
      <c r="F655" s="16">
        <f>Data!P655</f>
        <v>0</v>
      </c>
    </row>
    <row r="656" spans="2:6" ht="15" customHeight="1" x14ac:dyDescent="0.3">
      <c r="C656" s="2"/>
      <c r="D656" s="8">
        <v>2019</v>
      </c>
      <c r="E656" s="62">
        <f>Data!O656</f>
        <v>0</v>
      </c>
      <c r="F656" s="16">
        <f>Data!P656</f>
        <v>0</v>
      </c>
    </row>
    <row r="657" spans="2:6" ht="15" customHeight="1" x14ac:dyDescent="0.3">
      <c r="C657" s="2"/>
      <c r="D657" s="8">
        <v>2020</v>
      </c>
      <c r="E657" s="62">
        <f>Data!O657</f>
        <v>0</v>
      </c>
      <c r="F657" s="16">
        <f>Data!P657</f>
        <v>0</v>
      </c>
    </row>
    <row r="658" spans="2:6" ht="15" customHeight="1" x14ac:dyDescent="0.3">
      <c r="C658" s="2"/>
      <c r="D658" s="8">
        <v>2021</v>
      </c>
      <c r="E658" s="62">
        <f>Data!O658</f>
        <v>0.65</v>
      </c>
      <c r="F658" s="16" t="str">
        <f>Data!P658</f>
        <v>PT Harapan Sinar Sejahtera</v>
      </c>
    </row>
    <row r="659" spans="2:6" ht="15" customHeight="1" x14ac:dyDescent="0.3">
      <c r="C659" s="2"/>
      <c r="D659" s="8">
        <v>2022</v>
      </c>
      <c r="E659" s="62">
        <f>Data!O659</f>
        <v>0.65300000000000002</v>
      </c>
      <c r="F659" s="16" t="str">
        <f>Data!P659</f>
        <v>PT Harapan Sinar Sejahtera</v>
      </c>
    </row>
    <row r="660" spans="2:6" ht="15" customHeight="1" x14ac:dyDescent="0.3">
      <c r="C660" s="2"/>
      <c r="D660" s="8">
        <v>2023</v>
      </c>
      <c r="E660" s="62">
        <f>Data!O660</f>
        <v>0.65</v>
      </c>
      <c r="F660" s="16" t="str">
        <f>Data!P660</f>
        <v>PT Harapan Sinar Sejahtera</v>
      </c>
    </row>
    <row r="661" spans="2:6" ht="15" customHeight="1" x14ac:dyDescent="0.3">
      <c r="C661" s="2"/>
      <c r="D661" s="8">
        <v>2024</v>
      </c>
      <c r="E661" s="62">
        <f>Data!O661</f>
        <v>0.65</v>
      </c>
      <c r="F661" s="16" t="str">
        <f>Data!P661</f>
        <v>PT Harapan Sinar Sejahtera</v>
      </c>
    </row>
    <row r="662" spans="2:6" ht="15" customHeight="1" x14ac:dyDescent="0.3">
      <c r="B662" s="8">
        <v>61</v>
      </c>
      <c r="C662" s="2" t="s">
        <v>61</v>
      </c>
      <c r="D662" s="8">
        <v>2014</v>
      </c>
      <c r="E662" s="62">
        <f>Data!O662</f>
        <v>0</v>
      </c>
      <c r="F662" s="16">
        <f>Data!P662</f>
        <v>0</v>
      </c>
    </row>
    <row r="663" spans="2:6" ht="15" customHeight="1" x14ac:dyDescent="0.3">
      <c r="C663" s="2"/>
      <c r="D663" s="8">
        <v>2015</v>
      </c>
      <c r="E663" s="62">
        <f>Data!O663</f>
        <v>0.97750000000000004</v>
      </c>
      <c r="F663" s="16" t="str">
        <f>Data!P663</f>
        <v>Allianz Asia Pacific &amp; Africa GmbH</v>
      </c>
    </row>
    <row r="664" spans="2:6" ht="15" customHeight="1" x14ac:dyDescent="0.3">
      <c r="C664" s="2"/>
      <c r="D664" s="8">
        <v>2016</v>
      </c>
      <c r="E664" s="62">
        <f>Data!O664</f>
        <v>0.97750000000000004</v>
      </c>
      <c r="F664" s="16" t="str">
        <f>Data!P664</f>
        <v>Allianz Asia Pacific &amp; Africa GmbH</v>
      </c>
    </row>
    <row r="665" spans="2:6" ht="15" customHeight="1" x14ac:dyDescent="0.3">
      <c r="C665" s="2"/>
      <c r="D665" s="8">
        <v>2017</v>
      </c>
      <c r="E665" s="62">
        <f>Data!O665</f>
        <v>0.97750000000000004</v>
      </c>
      <c r="F665" s="16" t="str">
        <f>Data!P665</f>
        <v>Allianz Asia Pacific &amp; Africa GmbH</v>
      </c>
    </row>
    <row r="666" spans="2:6" ht="15" customHeight="1" x14ac:dyDescent="0.3">
      <c r="C666" s="2"/>
      <c r="D666" s="8">
        <v>2018</v>
      </c>
      <c r="E666" s="62">
        <f>Data!O666</f>
        <v>0.97750000000000004</v>
      </c>
      <c r="F666" s="16" t="str">
        <f>Data!P666</f>
        <v>Allianz Asia Pacific &amp; Africa GmbH</v>
      </c>
    </row>
    <row r="667" spans="2:6" ht="15" customHeight="1" x14ac:dyDescent="0.3">
      <c r="C667" s="2"/>
      <c r="D667" s="8">
        <v>2019</v>
      </c>
      <c r="E667" s="62">
        <f>Data!O667</f>
        <v>0.97750000000000004</v>
      </c>
      <c r="F667" s="16" t="str">
        <f>Data!P667</f>
        <v>Allianz Asia Pacific &amp; Africa GmbH</v>
      </c>
    </row>
    <row r="668" spans="2:6" ht="15" customHeight="1" x14ac:dyDescent="0.3">
      <c r="C668" s="2"/>
      <c r="D668" s="8">
        <v>2020</v>
      </c>
      <c r="E668" s="62">
        <f>Data!O668</f>
        <v>0.97750000000000004</v>
      </c>
      <c r="F668" s="16" t="str">
        <f>Data!P668</f>
        <v>Allianz Asia Pacific &amp; Africa GmbH</v>
      </c>
    </row>
    <row r="669" spans="2:6" ht="15" customHeight="1" x14ac:dyDescent="0.3">
      <c r="C669" s="2"/>
      <c r="D669" s="8">
        <v>2021</v>
      </c>
      <c r="E669" s="62">
        <f>Data!O669</f>
        <v>0.97750000000000004</v>
      </c>
      <c r="F669" s="16" t="str">
        <f>Data!P669</f>
        <v>Allianz Asia Pacific &amp; Africa GmbH</v>
      </c>
    </row>
    <row r="670" spans="2:6" ht="15" customHeight="1" x14ac:dyDescent="0.3">
      <c r="C670" s="2"/>
      <c r="D670" s="8">
        <v>2022</v>
      </c>
      <c r="E670" s="62">
        <f>Data!O670</f>
        <v>0.97750000000000004</v>
      </c>
      <c r="F670" s="16" t="str">
        <f>Data!P670</f>
        <v>Allianz Asia Pacific &amp; Africa GmbH</v>
      </c>
    </row>
    <row r="671" spans="2:6" ht="15" customHeight="1" x14ac:dyDescent="0.3">
      <c r="C671" s="2"/>
      <c r="D671" s="8">
        <v>2023</v>
      </c>
      <c r="E671" s="62">
        <f>Data!O671</f>
        <v>0.97750000000000004</v>
      </c>
      <c r="F671" s="16" t="str">
        <f>Data!P671</f>
        <v>Allianz Asia Pacific &amp; Africa GmbH</v>
      </c>
    </row>
    <row r="672" spans="2:6" ht="15" customHeight="1" x14ac:dyDescent="0.3">
      <c r="C672" s="2"/>
      <c r="D672" s="8">
        <v>2024</v>
      </c>
      <c r="E672" s="62">
        <f>Data!O672</f>
        <v>0.97750000000000004</v>
      </c>
      <c r="F672" s="16" t="str">
        <f>Data!P672</f>
        <v>Allianz Asia Pacific &amp; Africa GmbH</v>
      </c>
    </row>
    <row r="673" spans="2:6" ht="15" customHeight="1" x14ac:dyDescent="0.3">
      <c r="B673" s="8">
        <v>62</v>
      </c>
      <c r="C673" s="2" t="s">
        <v>62</v>
      </c>
      <c r="D673" s="8">
        <v>2014</v>
      </c>
      <c r="E673" s="62">
        <f>Data!O673</f>
        <v>0</v>
      </c>
      <c r="F673" s="16">
        <f>Data!P673</f>
        <v>0</v>
      </c>
    </row>
    <row r="674" spans="2:6" ht="15" customHeight="1" x14ac:dyDescent="0.3">
      <c r="C674" s="2"/>
      <c r="D674" s="8">
        <v>2015</v>
      </c>
      <c r="E674" s="62">
        <f>Data!O674</f>
        <v>0</v>
      </c>
      <c r="F674" s="16">
        <f>Data!P674</f>
        <v>0</v>
      </c>
    </row>
    <row r="675" spans="2:6" ht="15" customHeight="1" x14ac:dyDescent="0.3">
      <c r="C675" s="2"/>
      <c r="D675" s="8">
        <v>2016</v>
      </c>
      <c r="E675" s="62">
        <f>Data!O675</f>
        <v>0</v>
      </c>
      <c r="F675" s="16">
        <f>Data!P675</f>
        <v>0</v>
      </c>
    </row>
    <row r="676" spans="2:6" ht="15" customHeight="1" x14ac:dyDescent="0.3">
      <c r="C676" s="2"/>
      <c r="D676" s="8">
        <v>2017</v>
      </c>
      <c r="E676" s="62">
        <f>Data!O676</f>
        <v>0</v>
      </c>
      <c r="F676" s="16">
        <f>Data!P676</f>
        <v>0</v>
      </c>
    </row>
    <row r="677" spans="2:6" ht="15" customHeight="1" x14ac:dyDescent="0.3">
      <c r="C677" s="2"/>
      <c r="D677" s="8">
        <v>2018</v>
      </c>
      <c r="E677" s="62">
        <f>Data!O677</f>
        <v>0</v>
      </c>
      <c r="F677" s="16">
        <f>Data!P677</f>
        <v>0</v>
      </c>
    </row>
    <row r="678" spans="2:6" ht="15" customHeight="1" x14ac:dyDescent="0.3">
      <c r="C678" s="2"/>
      <c r="D678" s="8">
        <v>2019</v>
      </c>
      <c r="E678" s="62">
        <f>Data!O678</f>
        <v>0.5</v>
      </c>
      <c r="F678" s="16" t="str">
        <f>Data!P678</f>
        <v>PT Budiman Kencana Lestari &amp; PT Surya Husada Investment</v>
      </c>
    </row>
    <row r="679" spans="2:6" ht="15" customHeight="1" x14ac:dyDescent="0.3">
      <c r="C679" s="2"/>
      <c r="D679" s="8">
        <v>2020</v>
      </c>
      <c r="E679" s="62">
        <f>Data!O679</f>
        <v>0.5</v>
      </c>
      <c r="F679" s="16" t="str">
        <f>Data!P679</f>
        <v>PT Budiman Kencana Lestari &amp; PT Surya Husada Investment</v>
      </c>
    </row>
    <row r="680" spans="2:6" ht="15" customHeight="1" x14ac:dyDescent="0.3">
      <c r="C680" s="2"/>
      <c r="D680" s="8">
        <v>2021</v>
      </c>
      <c r="E680" s="62">
        <f>Data!O680</f>
        <v>0.5</v>
      </c>
      <c r="F680" s="16" t="str">
        <f>Data!P680</f>
        <v>PT Budiman Kencana Lestari &amp; PT Surya Husada Investment</v>
      </c>
    </row>
    <row r="681" spans="2:6" ht="15" customHeight="1" x14ac:dyDescent="0.3">
      <c r="C681" s="2"/>
      <c r="D681" s="8">
        <v>2022</v>
      </c>
      <c r="E681" s="62">
        <f>Data!O681</f>
        <v>0.5</v>
      </c>
      <c r="F681" s="16" t="str">
        <f>Data!P681</f>
        <v>PT Budiman Kencana Lestari &amp; PT Surya Husada Investment</v>
      </c>
    </row>
    <row r="682" spans="2:6" ht="15" customHeight="1" x14ac:dyDescent="0.3">
      <c r="C682" s="2"/>
      <c r="D682" s="8">
        <v>2023</v>
      </c>
      <c r="E682" s="62">
        <f>Data!O682</f>
        <v>0.5</v>
      </c>
      <c r="F682" s="16" t="str">
        <f>Data!P682</f>
        <v>PT Budiman Kencana Lestari &amp; PT Surya Husada Investment</v>
      </c>
    </row>
    <row r="683" spans="2:6" ht="15" customHeight="1" x14ac:dyDescent="0.3">
      <c r="C683" s="2"/>
      <c r="D683" s="8">
        <v>2024</v>
      </c>
      <c r="E683" s="62">
        <f>Data!O683</f>
        <v>0.5</v>
      </c>
      <c r="F683" s="16" t="str">
        <f>Data!P683</f>
        <v>PT Budiman Kencana Lestari &amp; PT Surya Husada Investment</v>
      </c>
    </row>
    <row r="684" spans="2:6" ht="15" customHeight="1" x14ac:dyDescent="0.3">
      <c r="B684" s="8">
        <v>63</v>
      </c>
      <c r="C684" s="2" t="s">
        <v>60</v>
      </c>
      <c r="D684" s="8">
        <v>2014</v>
      </c>
      <c r="E684" s="62">
        <f>Data!O684</f>
        <v>0</v>
      </c>
      <c r="F684" s="16">
        <f>Data!P684</f>
        <v>0</v>
      </c>
    </row>
    <row r="685" spans="2:6" ht="15" customHeight="1" x14ac:dyDescent="0.3">
      <c r="C685" s="2"/>
      <c r="D685" s="8">
        <v>2015</v>
      </c>
      <c r="E685" s="62">
        <f>Data!O685</f>
        <v>0.99990000000000001</v>
      </c>
      <c r="F685" s="16" t="str">
        <f>Data!P685</f>
        <v>PT Reasuransi Indonesia Utama</v>
      </c>
    </row>
    <row r="686" spans="2:6" ht="15" customHeight="1" x14ac:dyDescent="0.3">
      <c r="C686" s="2"/>
      <c r="D686" s="8">
        <v>2016</v>
      </c>
      <c r="E686" s="62">
        <f>Data!O686</f>
        <v>0.99990000000000001</v>
      </c>
      <c r="F686" s="16" t="str">
        <f>Data!P686</f>
        <v>PT Reasuransi Indonesia Utama</v>
      </c>
    </row>
    <row r="687" spans="2:6" ht="15" customHeight="1" x14ac:dyDescent="0.3">
      <c r="C687" s="2"/>
      <c r="D687" s="8">
        <v>2017</v>
      </c>
      <c r="E687" s="62">
        <f>Data!O687</f>
        <v>0.99990000000000001</v>
      </c>
      <c r="F687" s="16" t="str">
        <f>Data!P687</f>
        <v>PT Reasuransi Indonesia Utama</v>
      </c>
    </row>
    <row r="688" spans="2:6" ht="15" customHeight="1" x14ac:dyDescent="0.3">
      <c r="C688" s="2"/>
      <c r="D688" s="8">
        <v>2018</v>
      </c>
      <c r="E688" s="62">
        <f>Data!O688</f>
        <v>0.99990000000000001</v>
      </c>
      <c r="F688" s="16" t="str">
        <f>Data!P688</f>
        <v>PT Reasuransi Indonesia Utama</v>
      </c>
    </row>
    <row r="689" spans="2:6" ht="15" customHeight="1" x14ac:dyDescent="0.3">
      <c r="C689" s="2"/>
      <c r="D689" s="8">
        <v>2019</v>
      </c>
      <c r="E689" s="62">
        <f>Data!O689</f>
        <v>0.99990000000000001</v>
      </c>
      <c r="F689" s="16" t="str">
        <f>Data!P689</f>
        <v>PT Reasuransi Indonesia Utama</v>
      </c>
    </row>
    <row r="690" spans="2:6" ht="15" customHeight="1" x14ac:dyDescent="0.3">
      <c r="C690" s="2"/>
      <c r="D690" s="8">
        <v>2020</v>
      </c>
      <c r="E690" s="62">
        <f>Data!O690</f>
        <v>0.99990000000000001</v>
      </c>
      <c r="F690" s="16" t="str">
        <f>Data!P690</f>
        <v>PT Reasuransi Indonesia Utama</v>
      </c>
    </row>
    <row r="691" spans="2:6" ht="15" customHeight="1" x14ac:dyDescent="0.3">
      <c r="C691" s="2"/>
      <c r="D691" s="8">
        <v>2021</v>
      </c>
      <c r="E691" s="62">
        <f>Data!O691</f>
        <v>0.99990000000000001</v>
      </c>
      <c r="F691" s="16" t="str">
        <f>Data!P691</f>
        <v>PT Reasuransi Indonesia Utama</v>
      </c>
    </row>
    <row r="692" spans="2:6" ht="15" customHeight="1" x14ac:dyDescent="0.3">
      <c r="C692" s="2"/>
      <c r="D692" s="8">
        <v>2022</v>
      </c>
      <c r="E692" s="62">
        <f>Data!O692</f>
        <v>0.99990000000000001</v>
      </c>
      <c r="F692" s="16" t="str">
        <f>Data!P692</f>
        <v>PT Reasuransi Indonesia Utama</v>
      </c>
    </row>
    <row r="693" spans="2:6" ht="15" customHeight="1" x14ac:dyDescent="0.3">
      <c r="C693" s="2"/>
      <c r="D693" s="8">
        <v>2023</v>
      </c>
      <c r="E693" s="62">
        <f>Data!O693</f>
        <v>0.99990000000000001</v>
      </c>
      <c r="F693" s="16" t="str">
        <f>Data!P693</f>
        <v>PT Reasuransi Indonesia Utama</v>
      </c>
    </row>
    <row r="694" spans="2:6" ht="15" customHeight="1" x14ac:dyDescent="0.3">
      <c r="C694" s="2"/>
      <c r="D694" s="8">
        <v>2024</v>
      </c>
      <c r="E694" s="62">
        <f>Data!O694</f>
        <v>0.99990000000000001</v>
      </c>
      <c r="F694" s="16" t="str">
        <f>Data!P694</f>
        <v>PT Reasuransi Indonesia Utama</v>
      </c>
    </row>
    <row r="695" spans="2:6" ht="15" customHeight="1" x14ac:dyDescent="0.3">
      <c r="B695" s="8">
        <v>64</v>
      </c>
      <c r="C695" s="1" t="s">
        <v>131</v>
      </c>
      <c r="D695" s="8">
        <v>2014</v>
      </c>
      <c r="E695" s="62">
        <f>Data!O695</f>
        <v>0</v>
      </c>
      <c r="F695" s="16">
        <f>Data!P695</f>
        <v>0</v>
      </c>
    </row>
    <row r="696" spans="2:6" ht="15" customHeight="1" x14ac:dyDescent="0.3">
      <c r="C696" s="1"/>
      <c r="D696" s="8">
        <v>2015</v>
      </c>
      <c r="E696" s="62">
        <f>Data!O696</f>
        <v>0</v>
      </c>
      <c r="F696" s="16">
        <f>Data!P696</f>
        <v>0</v>
      </c>
    </row>
    <row r="697" spans="2:6" ht="15" customHeight="1" x14ac:dyDescent="0.3">
      <c r="C697" s="1"/>
      <c r="D697" s="8">
        <v>2016</v>
      </c>
      <c r="E697" s="62">
        <f>Data!O697</f>
        <v>0</v>
      </c>
      <c r="F697" s="16">
        <f>Data!P697</f>
        <v>0</v>
      </c>
    </row>
    <row r="698" spans="2:6" ht="15" customHeight="1" x14ac:dyDescent="0.3">
      <c r="C698" s="1"/>
      <c r="D698" s="8">
        <v>2017</v>
      </c>
      <c r="E698" s="62">
        <f>Data!O698</f>
        <v>0.99</v>
      </c>
      <c r="F698" s="16" t="str">
        <f>Data!P698</f>
        <v>PT Asuransi Bangun Askrida</v>
      </c>
    </row>
    <row r="699" spans="2:6" ht="15" customHeight="1" x14ac:dyDescent="0.3">
      <c r="C699" s="1"/>
      <c r="D699" s="8">
        <v>2018</v>
      </c>
      <c r="E699" s="62">
        <f>Data!O699</f>
        <v>0.99470000000000003</v>
      </c>
      <c r="F699" s="16" t="str">
        <f>Data!P699</f>
        <v>PT Asuransi Bangun Askrida</v>
      </c>
    </row>
    <row r="700" spans="2:6" ht="15" customHeight="1" x14ac:dyDescent="0.3">
      <c r="C700" s="1"/>
      <c r="D700" s="8">
        <v>2019</v>
      </c>
      <c r="E700" s="62">
        <f>Data!O700</f>
        <v>0.99470000000000003</v>
      </c>
      <c r="F700" s="16" t="str">
        <f>Data!P700</f>
        <v>PT Asuransi Bangun Askrida</v>
      </c>
    </row>
    <row r="701" spans="2:6" ht="15" customHeight="1" x14ac:dyDescent="0.3">
      <c r="C701" s="1"/>
      <c r="D701" s="8">
        <v>2020</v>
      </c>
      <c r="E701" s="62">
        <f>Data!O701</f>
        <v>0.99470000000000003</v>
      </c>
      <c r="F701" s="16" t="str">
        <f>Data!P701</f>
        <v>PT Asuransi Bangun Askrida</v>
      </c>
    </row>
    <row r="702" spans="2:6" ht="15" customHeight="1" x14ac:dyDescent="0.3">
      <c r="C702" s="1"/>
      <c r="D702" s="8">
        <v>2021</v>
      </c>
      <c r="E702" s="62">
        <f>Data!O702</f>
        <v>0.99470000000000003</v>
      </c>
      <c r="F702" s="16" t="str">
        <f>Data!P702</f>
        <v>PT Asuransi Bangun Askrida</v>
      </c>
    </row>
    <row r="703" spans="2:6" ht="15" customHeight="1" x14ac:dyDescent="0.3">
      <c r="C703" s="1"/>
      <c r="D703" s="8">
        <v>2022</v>
      </c>
      <c r="E703" s="62">
        <f>Data!O703</f>
        <v>0.94499999999999995</v>
      </c>
      <c r="F703" s="16" t="str">
        <f>Data!P703</f>
        <v>PT Asuransi Bangun Askrida</v>
      </c>
    </row>
    <row r="704" spans="2:6" ht="15" customHeight="1" x14ac:dyDescent="0.3">
      <c r="C704" s="1"/>
      <c r="D704" s="8">
        <v>2023</v>
      </c>
      <c r="E704" s="62">
        <f>Data!O704</f>
        <v>0.94499999999999995</v>
      </c>
      <c r="F704" s="16" t="str">
        <f>Data!P704</f>
        <v>PT Asuransi Bangun Askrida</v>
      </c>
    </row>
    <row r="705" spans="2:6" ht="15" customHeight="1" x14ac:dyDescent="0.3">
      <c r="C705" s="1"/>
      <c r="D705" s="8">
        <v>2024</v>
      </c>
      <c r="E705" s="62">
        <f>Data!O705</f>
        <v>0.94499999999999995</v>
      </c>
      <c r="F705" s="16" t="str">
        <f>Data!P705</f>
        <v>PT Asuransi Bangun Askrida</v>
      </c>
    </row>
    <row r="706" spans="2:6" ht="15" customHeight="1" x14ac:dyDescent="0.3">
      <c r="B706" s="8">
        <v>65</v>
      </c>
      <c r="C706" s="2" t="s">
        <v>64</v>
      </c>
      <c r="D706" s="8">
        <v>2014</v>
      </c>
      <c r="E706" s="62">
        <f>Data!O706</f>
        <v>0</v>
      </c>
      <c r="F706" s="16">
        <f>Data!P706</f>
        <v>0</v>
      </c>
    </row>
    <row r="707" spans="2:6" ht="15" customHeight="1" x14ac:dyDescent="0.3">
      <c r="C707" s="2"/>
      <c r="D707" s="8">
        <v>2015</v>
      </c>
      <c r="E707" s="62">
        <f>Data!O707</f>
        <v>0</v>
      </c>
      <c r="F707" s="16">
        <f>Data!P707</f>
        <v>0</v>
      </c>
    </row>
    <row r="708" spans="2:6" ht="15" customHeight="1" x14ac:dyDescent="0.3">
      <c r="C708" s="2"/>
      <c r="D708" s="8">
        <v>2016</v>
      </c>
      <c r="E708" s="62">
        <f>Data!O708</f>
        <v>0</v>
      </c>
      <c r="F708" s="16">
        <f>Data!P708</f>
        <v>0</v>
      </c>
    </row>
    <row r="709" spans="2:6" ht="15" customHeight="1" x14ac:dyDescent="0.3">
      <c r="C709" s="2"/>
      <c r="D709" s="8">
        <v>2017</v>
      </c>
      <c r="E709" s="62">
        <f>Data!O709</f>
        <v>0</v>
      </c>
      <c r="F709" s="16">
        <f>Data!P709</f>
        <v>0</v>
      </c>
    </row>
    <row r="710" spans="2:6" ht="15" customHeight="1" x14ac:dyDescent="0.3">
      <c r="C710" s="2"/>
      <c r="D710" s="8">
        <v>2018</v>
      </c>
      <c r="E710" s="62">
        <f>Data!O710</f>
        <v>0</v>
      </c>
      <c r="F710" s="16">
        <f>Data!P710</f>
        <v>0</v>
      </c>
    </row>
    <row r="711" spans="2:6" ht="15" customHeight="1" x14ac:dyDescent="0.3">
      <c r="C711" s="2"/>
      <c r="D711" s="8">
        <v>2019</v>
      </c>
      <c r="E711" s="62">
        <f>Data!O711</f>
        <v>0</v>
      </c>
      <c r="F711" s="16">
        <f>Data!P711</f>
        <v>0</v>
      </c>
    </row>
    <row r="712" spans="2:6" ht="15" customHeight="1" x14ac:dyDescent="0.3">
      <c r="C712" s="2"/>
      <c r="D712" s="8">
        <v>2020</v>
      </c>
      <c r="E712" s="62">
        <f>Data!O712</f>
        <v>0</v>
      </c>
      <c r="F712" s="16">
        <f>Data!P712</f>
        <v>0</v>
      </c>
    </row>
    <row r="713" spans="2:6" ht="15" customHeight="1" x14ac:dyDescent="0.3">
      <c r="C713" s="2"/>
      <c r="D713" s="8">
        <v>2021</v>
      </c>
      <c r="E713" s="62">
        <f>Data!O713</f>
        <v>0</v>
      </c>
      <c r="F713" s="16">
        <f>Data!P713</f>
        <v>0</v>
      </c>
    </row>
    <row r="714" spans="2:6" ht="15" customHeight="1" x14ac:dyDescent="0.3">
      <c r="C714" s="2"/>
      <c r="D714" s="8">
        <v>2022</v>
      </c>
      <c r="E714" s="62">
        <f>Data!O714</f>
        <v>0</v>
      </c>
      <c r="F714" s="16">
        <f>Data!P714</f>
        <v>0</v>
      </c>
    </row>
    <row r="715" spans="2:6" ht="15" customHeight="1" x14ac:dyDescent="0.3">
      <c r="C715" s="2"/>
      <c r="D715" s="8">
        <v>2023</v>
      </c>
      <c r="E715" s="62">
        <f>Data!O715</f>
        <v>0.95699999999999996</v>
      </c>
      <c r="F715" s="16" t="str">
        <f>Data!P715</f>
        <v>PT Sedaya Multi Investama</v>
      </c>
    </row>
    <row r="716" spans="2:6" ht="15" customHeight="1" x14ac:dyDescent="0.3">
      <c r="C716" s="2"/>
      <c r="D716" s="8">
        <v>2024</v>
      </c>
      <c r="E716" s="62">
        <f>Data!O716</f>
        <v>0.95699999999999996</v>
      </c>
      <c r="F716" s="16" t="str">
        <f>Data!P716</f>
        <v>PT Sedaya Multi Investama</v>
      </c>
    </row>
    <row r="717" spans="2:6" ht="15" customHeight="1" x14ac:dyDescent="0.3">
      <c r="B717" s="8">
        <v>66</v>
      </c>
      <c r="C717" s="2" t="s">
        <v>67</v>
      </c>
      <c r="D717" s="8">
        <v>2014</v>
      </c>
      <c r="E717" s="62">
        <f>Data!O717</f>
        <v>0</v>
      </c>
      <c r="F717" s="16">
        <f>Data!P717</f>
        <v>0</v>
      </c>
    </row>
    <row r="718" spans="2:6" ht="15" customHeight="1" x14ac:dyDescent="0.3">
      <c r="C718" s="2"/>
      <c r="D718" s="8">
        <v>2015</v>
      </c>
      <c r="E718" s="62">
        <f>Data!O718</f>
        <v>0.42459999999999998</v>
      </c>
      <c r="F718" s="16" t="str">
        <f>Data!P718</f>
        <v>Yayasan Kesejahteraan Pegawai dan Dana Pensiun Bank P{embangunan Daerah</v>
      </c>
    </row>
    <row r="719" spans="2:6" ht="15" customHeight="1" x14ac:dyDescent="0.3">
      <c r="C719" s="2"/>
      <c r="D719" s="8">
        <v>2016</v>
      </c>
      <c r="E719" s="62">
        <f>Data!O719</f>
        <v>0.42459999999999998</v>
      </c>
      <c r="F719" s="16" t="str">
        <f>Data!P719</f>
        <v>Yayasan Kesejahteraan Pegawai dan Dana Pensiun Bank P{embangunan Daerah</v>
      </c>
    </row>
    <row r="720" spans="2:6" ht="15" customHeight="1" x14ac:dyDescent="0.3">
      <c r="C720" s="2"/>
      <c r="D720" s="8">
        <v>2017</v>
      </c>
      <c r="E720" s="62">
        <f>Data!O720</f>
        <v>0.42459999999999998</v>
      </c>
      <c r="F720" s="16" t="str">
        <f>Data!P720</f>
        <v>Yayasan Kesejahteraan Pegawai dan Dana Pensiun Bank P{embangunan Daerah</v>
      </c>
    </row>
    <row r="721" spans="2:6" ht="15" customHeight="1" x14ac:dyDescent="0.3">
      <c r="C721" s="2"/>
      <c r="D721" s="8">
        <v>2018</v>
      </c>
      <c r="E721" s="62">
        <f>Data!O721</f>
        <v>0.45669999999999999</v>
      </c>
      <c r="F721" s="16" t="str">
        <f>Data!P721</f>
        <v>Yayasan Kesejahteraan Pegawai dan Dana Pensiun Bank P{embangunan Daerah</v>
      </c>
    </row>
    <row r="722" spans="2:6" ht="15" customHeight="1" x14ac:dyDescent="0.3">
      <c r="C722" s="2"/>
      <c r="D722" s="8">
        <v>2019</v>
      </c>
      <c r="E722" s="62">
        <f>Data!O722</f>
        <v>0.43030000000000002</v>
      </c>
      <c r="F722" s="16" t="str">
        <f>Data!P722</f>
        <v>Yayasan Kesejahteraan Pegawai dan Dana Pensiun Bank P{embangunan Daerah</v>
      </c>
    </row>
    <row r="723" spans="2:6" ht="15" customHeight="1" x14ac:dyDescent="0.3">
      <c r="C723" s="2"/>
      <c r="D723" s="8">
        <v>2020</v>
      </c>
      <c r="E723" s="62">
        <f>Data!O723</f>
        <v>0.43219999999999997</v>
      </c>
      <c r="F723" s="16" t="str">
        <f>Data!P723</f>
        <v>Yayasan Kesejahteraan Pegawai dan Dana Pensiun Bank P{embangunan Daerah</v>
      </c>
    </row>
    <row r="724" spans="2:6" ht="15" customHeight="1" x14ac:dyDescent="0.3">
      <c r="C724" s="2"/>
      <c r="D724" s="8">
        <v>2021</v>
      </c>
      <c r="E724" s="62">
        <f>Data!O724</f>
        <v>0.43219999999999997</v>
      </c>
      <c r="F724" s="16" t="str">
        <f>Data!P724</f>
        <v>Yayasan Kesejahteraan Pegawai dan Dana Pensiun Bank P{embangunan Daerah</v>
      </c>
    </row>
    <row r="725" spans="2:6" ht="15" customHeight="1" x14ac:dyDescent="0.3">
      <c r="C725" s="2"/>
      <c r="D725" s="8">
        <v>2022</v>
      </c>
      <c r="E725" s="62">
        <f>Data!O725</f>
        <v>0.4456</v>
      </c>
      <c r="F725" s="16" t="str">
        <f>Data!P725</f>
        <v>Yayasan Kesejahteraan Pegawai dan Dana Pensiun Bank P{embangunan Daerah</v>
      </c>
    </row>
    <row r="726" spans="2:6" ht="15" customHeight="1" x14ac:dyDescent="0.3">
      <c r="C726" s="2"/>
      <c r="D726" s="8">
        <v>2023</v>
      </c>
      <c r="E726" s="62">
        <f>Data!O726</f>
        <v>0.45679999999999998</v>
      </c>
      <c r="F726" s="16" t="str">
        <f>Data!P726</f>
        <v>Yayasan Kesejahteraan Pegawai dan Dana Pensiun Bank P{embangunan Daerah</v>
      </c>
    </row>
    <row r="727" spans="2:6" ht="15" customHeight="1" x14ac:dyDescent="0.3">
      <c r="C727" s="2"/>
      <c r="D727" s="8">
        <v>2024</v>
      </c>
      <c r="E727" s="62">
        <f>Data!O727</f>
        <v>0</v>
      </c>
      <c r="F727" s="16">
        <f>Data!P727</f>
        <v>0</v>
      </c>
    </row>
    <row r="728" spans="2:6" ht="15" customHeight="1" x14ac:dyDescent="0.3">
      <c r="B728" s="8">
        <v>67</v>
      </c>
      <c r="C728" s="2" t="s">
        <v>68</v>
      </c>
      <c r="D728" s="8">
        <v>2014</v>
      </c>
      <c r="E728" s="62">
        <f>Data!O728</f>
        <v>0</v>
      </c>
      <c r="F728" s="16">
        <f>Data!P728</f>
        <v>0</v>
      </c>
    </row>
    <row r="729" spans="2:6" ht="15" customHeight="1" x14ac:dyDescent="0.3">
      <c r="C729" s="2"/>
      <c r="D729" s="8">
        <v>2015</v>
      </c>
      <c r="E729" s="62">
        <f>Data!O729</f>
        <v>0</v>
      </c>
      <c r="F729" s="16">
        <f>Data!P729</f>
        <v>0</v>
      </c>
    </row>
    <row r="730" spans="2:6" ht="15" customHeight="1" x14ac:dyDescent="0.3">
      <c r="C730" s="2"/>
      <c r="D730" s="8">
        <v>2016</v>
      </c>
      <c r="E730" s="62">
        <f>Data!O730</f>
        <v>0.58109999999999995</v>
      </c>
      <c r="F730" s="16" t="str">
        <f>Data!P730</f>
        <v>Yayasan Brata Bhakti</v>
      </c>
    </row>
    <row r="731" spans="2:6" ht="15" customHeight="1" x14ac:dyDescent="0.3">
      <c r="C731" s="2"/>
      <c r="D731" s="8">
        <v>2017</v>
      </c>
      <c r="E731" s="62">
        <f>Data!O731</f>
        <v>0.58109999999999995</v>
      </c>
      <c r="F731" s="16" t="str">
        <f>Data!P731</f>
        <v>Yayasan Brata Bhakti</v>
      </c>
    </row>
    <row r="732" spans="2:6" ht="15" customHeight="1" x14ac:dyDescent="0.3">
      <c r="C732" s="2"/>
      <c r="D732" s="8">
        <v>2018</v>
      </c>
      <c r="E732" s="62">
        <f>Data!O732</f>
        <v>0</v>
      </c>
      <c r="F732" s="16">
        <f>Data!P732</f>
        <v>0</v>
      </c>
    </row>
    <row r="733" spans="2:6" ht="15" customHeight="1" x14ac:dyDescent="0.3">
      <c r="C733" s="2"/>
      <c r="D733" s="8">
        <v>2019</v>
      </c>
      <c r="E733" s="62">
        <f>Data!O733</f>
        <v>0.58109999999999995</v>
      </c>
      <c r="F733" s="16" t="str">
        <f>Data!P733</f>
        <v>Yayasan Brata Bhakti</v>
      </c>
    </row>
    <row r="734" spans="2:6" ht="15" customHeight="1" x14ac:dyDescent="0.3">
      <c r="C734" s="2"/>
      <c r="D734" s="8">
        <v>2020</v>
      </c>
      <c r="E734" s="62">
        <f>Data!O734</f>
        <v>0.58109999999999995</v>
      </c>
      <c r="F734" s="16" t="str">
        <f>Data!P734</f>
        <v>Yayasan Brata Bhakti</v>
      </c>
    </row>
    <row r="735" spans="2:6" ht="15" customHeight="1" x14ac:dyDescent="0.3">
      <c r="C735" s="2"/>
      <c r="D735" s="8">
        <v>2021</v>
      </c>
      <c r="E735" s="62">
        <f>Data!O735</f>
        <v>0.58109999999999995</v>
      </c>
      <c r="F735" s="16" t="str">
        <f>Data!P735</f>
        <v>Yayasan Brata Bhakti</v>
      </c>
    </row>
    <row r="736" spans="2:6" ht="15" customHeight="1" x14ac:dyDescent="0.3">
      <c r="C736" s="2"/>
      <c r="D736" s="8">
        <v>2022</v>
      </c>
      <c r="E736" s="62">
        <f>Data!O736</f>
        <v>0.58109999999999995</v>
      </c>
      <c r="F736" s="16" t="str">
        <f>Data!P736</f>
        <v>Yayasan Brata Bhakti</v>
      </c>
    </row>
    <row r="737" spans="2:6" ht="15" customHeight="1" x14ac:dyDescent="0.3">
      <c r="C737" s="2"/>
      <c r="D737" s="8">
        <v>2023</v>
      </c>
      <c r="E737" s="62">
        <f>Data!O737</f>
        <v>0.58530000000000004</v>
      </c>
      <c r="F737" s="16" t="str">
        <f>Data!P737</f>
        <v>Yayasan Brata Bhakti</v>
      </c>
    </row>
    <row r="738" spans="2:6" ht="15" customHeight="1" x14ac:dyDescent="0.3">
      <c r="C738" s="2"/>
      <c r="D738" s="8">
        <v>2024</v>
      </c>
      <c r="E738" s="62">
        <f>Data!O738</f>
        <v>0.58899999999999997</v>
      </c>
      <c r="F738" s="16" t="str">
        <f>Data!P738</f>
        <v>Yayasan Brata Bhakti</v>
      </c>
    </row>
    <row r="739" spans="2:6" ht="15" customHeight="1" x14ac:dyDescent="0.3">
      <c r="B739" s="8">
        <v>68</v>
      </c>
      <c r="C739" s="2" t="s">
        <v>69</v>
      </c>
      <c r="D739" s="8">
        <v>2014</v>
      </c>
      <c r="E739" s="62">
        <f>Data!O739</f>
        <v>0</v>
      </c>
      <c r="F739" s="16">
        <f>Data!P739</f>
        <v>0</v>
      </c>
    </row>
    <row r="740" spans="2:6" ht="15" customHeight="1" x14ac:dyDescent="0.3">
      <c r="C740" s="2"/>
      <c r="D740" s="8">
        <v>2015</v>
      </c>
      <c r="E740" s="62">
        <f>Data!O740</f>
        <v>0.2</v>
      </c>
      <c r="F740" s="16" t="str">
        <f>Data!P740</f>
        <v>Barclays Bank PLC</v>
      </c>
    </row>
    <row r="741" spans="2:6" ht="15" customHeight="1" x14ac:dyDescent="0.3">
      <c r="C741" s="2"/>
      <c r="D741" s="8">
        <v>2016</v>
      </c>
      <c r="E741" s="62">
        <f>Data!O741</f>
        <v>0.2</v>
      </c>
      <c r="F741" s="16" t="str">
        <f>Data!P741</f>
        <v>Barclays Bank PLC</v>
      </c>
    </row>
    <row r="742" spans="2:6" ht="15" customHeight="1" x14ac:dyDescent="0.3">
      <c r="C742" s="2"/>
      <c r="D742" s="8">
        <v>2017</v>
      </c>
      <c r="E742" s="62">
        <f>Data!O742</f>
        <v>0.62329999999999997</v>
      </c>
      <c r="F742" s="16" t="str">
        <f>Data!P742</f>
        <v>Bank of Singapore LTD</v>
      </c>
    </row>
    <row r="743" spans="2:6" ht="15" customHeight="1" x14ac:dyDescent="0.3">
      <c r="C743" s="2"/>
      <c r="D743" s="8">
        <v>2018</v>
      </c>
      <c r="E743" s="62">
        <f>Data!O743</f>
        <v>0.62329999999999997</v>
      </c>
      <c r="F743" s="16" t="str">
        <f>Data!P743</f>
        <v>Bank of Singapore LTD</v>
      </c>
    </row>
    <row r="744" spans="2:6" ht="15" customHeight="1" x14ac:dyDescent="0.3">
      <c r="C744" s="2"/>
      <c r="D744" s="8">
        <v>2019</v>
      </c>
      <c r="E744" s="62">
        <f>Data!O744</f>
        <v>0.62329999999999997</v>
      </c>
      <c r="F744" s="16" t="str">
        <f>Data!P744</f>
        <v>Bank of Singapore LTD</v>
      </c>
    </row>
    <row r="745" spans="2:6" ht="15" customHeight="1" x14ac:dyDescent="0.3">
      <c r="C745" s="2"/>
      <c r="D745" s="8">
        <v>2020</v>
      </c>
      <c r="E745" s="62">
        <f>Data!O745</f>
        <v>0.62329999999999997</v>
      </c>
      <c r="F745" s="16" t="str">
        <f>Data!P745</f>
        <v>Bank of Singapore LTD</v>
      </c>
    </row>
    <row r="746" spans="2:6" ht="15" customHeight="1" x14ac:dyDescent="0.3">
      <c r="C746" s="2"/>
      <c r="D746" s="8">
        <v>2021</v>
      </c>
      <c r="E746" s="62">
        <f>Data!O746</f>
        <v>0.62329999999999997</v>
      </c>
      <c r="F746" s="16" t="str">
        <f>Data!P746</f>
        <v>Bank of Singapore LTD</v>
      </c>
    </row>
    <row r="747" spans="2:6" ht="15" customHeight="1" x14ac:dyDescent="0.3">
      <c r="C747" s="2"/>
      <c r="D747" s="8">
        <v>2022</v>
      </c>
      <c r="E747" s="62">
        <f>Data!O747</f>
        <v>0.62329999999999997</v>
      </c>
      <c r="F747" s="16" t="str">
        <f>Data!P747</f>
        <v>Bank of Singapore LTD</v>
      </c>
    </row>
    <row r="748" spans="2:6" ht="15" customHeight="1" x14ac:dyDescent="0.3">
      <c r="C748" s="2"/>
      <c r="D748" s="8">
        <v>2023</v>
      </c>
      <c r="E748" s="62">
        <f>Data!O748</f>
        <v>0.94769999999999999</v>
      </c>
      <c r="F748" s="16" t="str">
        <f>Data!P748</f>
        <v>Oona Indonesia PTE</v>
      </c>
    </row>
    <row r="749" spans="2:6" ht="15" customHeight="1" x14ac:dyDescent="0.3">
      <c r="C749" s="2"/>
      <c r="D749" s="8">
        <v>2024</v>
      </c>
      <c r="E749" s="62">
        <f>Data!O749</f>
        <v>0.86760000000000004</v>
      </c>
      <c r="F749" s="16" t="str">
        <f>Data!P749</f>
        <v>Oona Indonesia PTE</v>
      </c>
    </row>
    <row r="750" spans="2:6" ht="15" customHeight="1" x14ac:dyDescent="0.3">
      <c r="B750" s="8">
        <v>69</v>
      </c>
      <c r="C750" s="2" t="s">
        <v>70</v>
      </c>
      <c r="D750" s="8">
        <v>2014</v>
      </c>
      <c r="E750" s="62">
        <f>Data!O750</f>
        <v>0</v>
      </c>
      <c r="F750" s="16">
        <f>Data!P750</f>
        <v>0</v>
      </c>
    </row>
    <row r="751" spans="2:6" ht="15" customHeight="1" x14ac:dyDescent="0.3">
      <c r="C751" s="2"/>
      <c r="D751" s="8">
        <v>2015</v>
      </c>
      <c r="E751" s="62">
        <f>Data!O751</f>
        <v>0</v>
      </c>
      <c r="F751" s="16">
        <f>Data!P751</f>
        <v>0</v>
      </c>
    </row>
    <row r="752" spans="2:6" ht="15" customHeight="1" x14ac:dyDescent="0.3">
      <c r="C752" s="2"/>
      <c r="D752" s="8">
        <v>2016</v>
      </c>
      <c r="E752" s="62">
        <f>Data!O752</f>
        <v>0</v>
      </c>
      <c r="F752" s="16">
        <f>Data!P752</f>
        <v>0</v>
      </c>
    </row>
    <row r="753" spans="2:6" ht="15" customHeight="1" x14ac:dyDescent="0.3">
      <c r="C753" s="2"/>
      <c r="D753" s="8">
        <v>2017</v>
      </c>
      <c r="E753" s="62">
        <f>Data!O753</f>
        <v>0</v>
      </c>
      <c r="F753" s="16">
        <f>Data!E753</f>
        <v>7655690000</v>
      </c>
    </row>
    <row r="754" spans="2:6" ht="15" customHeight="1" x14ac:dyDescent="0.3">
      <c r="C754" s="2"/>
      <c r="D754" s="8">
        <v>2018</v>
      </c>
      <c r="E754" s="62">
        <f>Data!O754</f>
        <v>0.75370000000000004</v>
      </c>
      <c r="F754" s="16">
        <f>Data!E754</f>
        <v>7243520000</v>
      </c>
    </row>
    <row r="755" spans="2:6" ht="15" customHeight="1" x14ac:dyDescent="0.3">
      <c r="C755" s="2"/>
      <c r="D755" s="8">
        <v>2019</v>
      </c>
      <c r="E755" s="62">
        <f>Data!O755</f>
        <v>0.75370000000000004</v>
      </c>
      <c r="F755" s="16" t="str">
        <f>Data!P755</f>
        <v>Yayawan Kesejahteraan Pegawai PT Bank Tabungan Negara</v>
      </c>
    </row>
    <row r="756" spans="2:6" ht="15" customHeight="1" x14ac:dyDescent="0.3">
      <c r="C756" s="2"/>
      <c r="D756" s="8">
        <v>2020</v>
      </c>
      <c r="E756" s="62">
        <f>Data!O756</f>
        <v>0.75370000000000004</v>
      </c>
      <c r="F756" s="16" t="str">
        <f>Data!P756</f>
        <v>Yayawan Kesejahteraan Pegawai PT Bank Tabungan Negara</v>
      </c>
    </row>
    <row r="757" spans="2:6" ht="15" customHeight="1" x14ac:dyDescent="0.3">
      <c r="C757" s="2"/>
      <c r="D757" s="8">
        <v>2021</v>
      </c>
      <c r="E757" s="62">
        <f>Data!O757</f>
        <v>0.75370000000000004</v>
      </c>
      <c r="F757" s="16" t="str">
        <f>Data!P757</f>
        <v>Yayawan Kesejahteraan Pegawai PT Bank Tabungan Negara</v>
      </c>
    </row>
    <row r="758" spans="2:6" ht="15" customHeight="1" x14ac:dyDescent="0.3">
      <c r="C758" s="2"/>
      <c r="D758" s="8">
        <v>2022</v>
      </c>
      <c r="E758" s="62">
        <f>Data!O758</f>
        <v>0.75370000000000004</v>
      </c>
      <c r="F758" s="16" t="str">
        <f>Data!P758</f>
        <v>Yayawan Kesejahteraan Pegawai PT Bank Tabungan Negara</v>
      </c>
    </row>
    <row r="759" spans="2:6" ht="15" customHeight="1" x14ac:dyDescent="0.3">
      <c r="C759" s="2"/>
      <c r="D759" s="8">
        <v>2023</v>
      </c>
      <c r="E759" s="62">
        <f>Data!O759</f>
        <v>0.67589999999999995</v>
      </c>
      <c r="F759" s="16" t="str">
        <f>Data!P759</f>
        <v>Yayawan Kesejahteraan Pegawai PT Bank Tabungan Negara</v>
      </c>
    </row>
    <row r="760" spans="2:6" ht="15" customHeight="1" x14ac:dyDescent="0.3">
      <c r="C760" s="2"/>
      <c r="D760" s="8">
        <v>2024</v>
      </c>
      <c r="E760" s="62">
        <f>Data!O760</f>
        <v>0.67589999999999995</v>
      </c>
      <c r="F760" s="16" t="str">
        <f>Data!P760</f>
        <v>Yayawan Kesejahteraan Pegawai PT Bank Tabungan Negara</v>
      </c>
    </row>
    <row r="761" spans="2:6" ht="15" customHeight="1" x14ac:dyDescent="0.3">
      <c r="B761" s="8">
        <v>70</v>
      </c>
      <c r="C761" s="2" t="s">
        <v>71</v>
      </c>
      <c r="D761" s="8">
        <v>2014</v>
      </c>
      <c r="E761" s="62">
        <f>Data!O761</f>
        <v>0</v>
      </c>
      <c r="F761" s="16">
        <f>Data!P761</f>
        <v>0</v>
      </c>
    </row>
    <row r="762" spans="2:6" ht="15" customHeight="1" x14ac:dyDescent="0.3">
      <c r="C762" s="2"/>
      <c r="D762" s="8">
        <v>2015</v>
      </c>
      <c r="E762" s="62">
        <f>Data!O762</f>
        <v>0.35460000000000003</v>
      </c>
      <c r="F762" s="16" t="str">
        <f>Data!P762</f>
        <v>PT Srihana Utama</v>
      </c>
    </row>
    <row r="763" spans="2:6" ht="15" customHeight="1" x14ac:dyDescent="0.3">
      <c r="C763" s="2"/>
      <c r="D763" s="8">
        <v>2016</v>
      </c>
      <c r="E763" s="62">
        <f>Data!O763</f>
        <v>0.35460000000000003</v>
      </c>
      <c r="F763" s="16" t="str">
        <f>Data!P763</f>
        <v>PT Srihana Utama</v>
      </c>
    </row>
    <row r="764" spans="2:6" ht="15" customHeight="1" x14ac:dyDescent="0.3">
      <c r="C764" s="2"/>
      <c r="D764" s="8">
        <v>2017</v>
      </c>
      <c r="E764" s="62">
        <f>Data!O764</f>
        <v>0.35460000000000003</v>
      </c>
      <c r="F764" s="16" t="str">
        <f>Data!P764</f>
        <v>PT Srihana Utama</v>
      </c>
    </row>
    <row r="765" spans="2:6" ht="15" customHeight="1" x14ac:dyDescent="0.3">
      <c r="C765" s="2"/>
      <c r="D765" s="8">
        <v>2018</v>
      </c>
      <c r="E765" s="62">
        <f>Data!O765</f>
        <v>0.35460000000000003</v>
      </c>
      <c r="F765" s="16" t="str">
        <f>Data!P765</f>
        <v>PT Srihana Utama</v>
      </c>
    </row>
    <row r="766" spans="2:6" ht="15" customHeight="1" x14ac:dyDescent="0.3">
      <c r="C766" s="2"/>
      <c r="D766" s="8">
        <v>2019</v>
      </c>
      <c r="E766" s="62">
        <f>Data!O766</f>
        <v>0.35460000000000003</v>
      </c>
      <c r="F766" s="16" t="str">
        <f>Data!P766</f>
        <v>PT Srihana Utama</v>
      </c>
    </row>
    <row r="767" spans="2:6" ht="15" customHeight="1" x14ac:dyDescent="0.3">
      <c r="C767" s="2"/>
      <c r="D767" s="8">
        <v>2020</v>
      </c>
      <c r="E767" s="62">
        <f>Data!O767</f>
        <v>0.35460000000000003</v>
      </c>
      <c r="F767" s="16" t="str">
        <f>Data!P767</f>
        <v>PT Srihana Utama</v>
      </c>
    </row>
    <row r="768" spans="2:6" ht="15" customHeight="1" x14ac:dyDescent="0.3">
      <c r="C768" s="2"/>
      <c r="D768" s="8">
        <v>2021</v>
      </c>
      <c r="E768" s="62">
        <f>Data!O768</f>
        <v>0.35460000000000003</v>
      </c>
      <c r="F768" s="16" t="str">
        <f>Data!P768</f>
        <v>PT Srihana Utama</v>
      </c>
    </row>
    <row r="769" spans="2:6" ht="15" customHeight="1" x14ac:dyDescent="0.3">
      <c r="C769" s="2"/>
      <c r="D769" s="8">
        <v>2022</v>
      </c>
      <c r="E769" s="62">
        <f>Data!O769</f>
        <v>0.35460000000000003</v>
      </c>
      <c r="F769" s="16" t="str">
        <f>Data!P769</f>
        <v>PT Srihana Utama</v>
      </c>
    </row>
    <row r="770" spans="2:6" ht="15" customHeight="1" x14ac:dyDescent="0.3">
      <c r="C770" s="2"/>
      <c r="D770" s="8">
        <v>2023</v>
      </c>
      <c r="E770" s="62">
        <f>Data!O770</f>
        <v>0.35460000000000003</v>
      </c>
      <c r="F770" s="16" t="str">
        <f>Data!P770</f>
        <v>PT Srihana Utama</v>
      </c>
    </row>
    <row r="771" spans="2:6" ht="15" customHeight="1" x14ac:dyDescent="0.3">
      <c r="C771" s="2"/>
      <c r="D771" s="8">
        <v>2024</v>
      </c>
      <c r="E771" s="62">
        <f>Data!O771</f>
        <v>0.35460000000000003</v>
      </c>
      <c r="F771" s="16" t="str">
        <f>Data!P771</f>
        <v>PT Srihana Utama</v>
      </c>
    </row>
    <row r="772" spans="2:6" ht="15" customHeight="1" x14ac:dyDescent="0.3">
      <c r="B772" s="8">
        <v>71</v>
      </c>
      <c r="C772" s="2" t="s">
        <v>73</v>
      </c>
      <c r="D772" s="8">
        <v>2014</v>
      </c>
      <c r="E772" s="62">
        <f>Data!O772</f>
        <v>0</v>
      </c>
      <c r="F772" s="16">
        <f>Data!P772</f>
        <v>0</v>
      </c>
    </row>
    <row r="773" spans="2:6" ht="15" customHeight="1" x14ac:dyDescent="0.3">
      <c r="C773" s="2"/>
      <c r="D773" s="8">
        <v>2015</v>
      </c>
      <c r="E773" s="62">
        <f>Data!O773</f>
        <v>0.22220000000000001</v>
      </c>
      <c r="F773" s="16" t="str">
        <f>Data!P773</f>
        <v>Siang Hadi Widjaja</v>
      </c>
    </row>
    <row r="774" spans="2:6" ht="15" customHeight="1" x14ac:dyDescent="0.3">
      <c r="C774" s="2"/>
      <c r="D774" s="8">
        <v>2016</v>
      </c>
      <c r="E774" s="62">
        <f>Data!O774</f>
        <v>0.22220000000000001</v>
      </c>
      <c r="F774" s="16" t="str">
        <f>Data!P774</f>
        <v>Siang Hadi Widjaja</v>
      </c>
    </row>
    <row r="775" spans="2:6" ht="15" customHeight="1" x14ac:dyDescent="0.3">
      <c r="C775" s="2"/>
      <c r="D775" s="8">
        <v>2017</v>
      </c>
      <c r="E775" s="62">
        <f>Data!O775</f>
        <v>0.25319999999999998</v>
      </c>
      <c r="F775" s="16" t="str">
        <f>Data!P775</f>
        <v>Siang Hadi Widjaja</v>
      </c>
    </row>
    <row r="776" spans="2:6" ht="15" customHeight="1" x14ac:dyDescent="0.3">
      <c r="C776" s="2"/>
      <c r="D776" s="8">
        <v>2018</v>
      </c>
      <c r="E776" s="62">
        <f>Data!O776</f>
        <v>0.25319999999999998</v>
      </c>
      <c r="F776" s="16" t="str">
        <f>Data!P776</f>
        <v>Siang Hadi Widjaja</v>
      </c>
    </row>
    <row r="777" spans="2:6" ht="15" customHeight="1" x14ac:dyDescent="0.3">
      <c r="C777" s="2"/>
      <c r="D777" s="8">
        <v>2019</v>
      </c>
      <c r="E777" s="62">
        <f>Data!O777</f>
        <v>0.25319999999999998</v>
      </c>
      <c r="F777" s="16" t="str">
        <f>Data!P777</f>
        <v>Siang Hadi Widjaja</v>
      </c>
    </row>
    <row r="778" spans="2:6" ht="15" customHeight="1" x14ac:dyDescent="0.3">
      <c r="C778" s="2"/>
      <c r="D778" s="8">
        <v>2020</v>
      </c>
      <c r="E778" s="62">
        <f>Data!O778</f>
        <v>0.25319999999999998</v>
      </c>
      <c r="F778" s="16" t="str">
        <f>Data!P778</f>
        <v>Siang Hadi Widjaja</v>
      </c>
    </row>
    <row r="779" spans="2:6" ht="15" customHeight="1" x14ac:dyDescent="0.3">
      <c r="C779" s="2"/>
      <c r="D779" s="8">
        <v>2021</v>
      </c>
      <c r="E779" s="62">
        <f>Data!O779</f>
        <v>0.25319999999999998</v>
      </c>
      <c r="F779" s="16" t="str">
        <f>Data!P779</f>
        <v>Siang Hadi Widjaja</v>
      </c>
    </row>
    <row r="780" spans="2:6" ht="15" customHeight="1" x14ac:dyDescent="0.3">
      <c r="C780" s="2"/>
      <c r="D780" s="8">
        <v>2022</v>
      </c>
      <c r="E780" s="62">
        <f>Data!O780</f>
        <v>0.25319999999999998</v>
      </c>
      <c r="F780" s="16" t="str">
        <f>Data!P780</f>
        <v>Siang Hadi Widjaja</v>
      </c>
    </row>
    <row r="781" spans="2:6" ht="15" customHeight="1" x14ac:dyDescent="0.3">
      <c r="C781" s="2"/>
      <c r="D781" s="8">
        <v>2023</v>
      </c>
      <c r="E781" s="62">
        <f>Data!O781</f>
        <v>0.25319999999999998</v>
      </c>
      <c r="F781" s="16" t="str">
        <f>Data!P781</f>
        <v>Siang Hadi Widjaja</v>
      </c>
    </row>
    <row r="782" spans="2:6" ht="15" customHeight="1" x14ac:dyDescent="0.3">
      <c r="C782" s="2"/>
      <c r="D782" s="8">
        <v>2024</v>
      </c>
      <c r="E782" s="62">
        <f>Data!O782</f>
        <v>0.25319999999999998</v>
      </c>
      <c r="F782" s="16" t="str">
        <f>Data!P782</f>
        <v>Siang Hadi Widjaja</v>
      </c>
    </row>
    <row r="783" spans="2:6" ht="15" customHeight="1" x14ac:dyDescent="0.3">
      <c r="B783" s="8">
        <v>72</v>
      </c>
      <c r="C783" s="2" t="s">
        <v>75</v>
      </c>
      <c r="D783" s="8">
        <v>2014</v>
      </c>
      <c r="E783" s="62">
        <f>Data!O783</f>
        <v>0</v>
      </c>
      <c r="F783" s="16">
        <f>Data!P783</f>
        <v>0</v>
      </c>
    </row>
    <row r="784" spans="2:6" ht="15" customHeight="1" x14ac:dyDescent="0.3">
      <c r="C784" s="2"/>
      <c r="D784" s="8">
        <v>2015</v>
      </c>
      <c r="E784" s="62">
        <f>Data!O784</f>
        <v>0.6</v>
      </c>
      <c r="F784" s="16" t="str">
        <f>Data!P784</f>
        <v>PT Scorpio Capital</v>
      </c>
    </row>
    <row r="785" spans="2:6" ht="15" customHeight="1" x14ac:dyDescent="0.3">
      <c r="C785" s="2"/>
      <c r="D785" s="8">
        <v>2016</v>
      </c>
      <c r="E785" s="62">
        <f>Data!O785</f>
        <v>0.6</v>
      </c>
      <c r="F785" s="16" t="str">
        <f>Data!P785</f>
        <v>PT Scorpio Capital</v>
      </c>
    </row>
    <row r="786" spans="2:6" ht="15" customHeight="1" x14ac:dyDescent="0.3">
      <c r="C786" s="2"/>
      <c r="D786" s="8">
        <v>2017</v>
      </c>
      <c r="E786" s="62">
        <f>Data!O786</f>
        <v>0.6</v>
      </c>
      <c r="F786" s="16" t="str">
        <f>Data!P786</f>
        <v>PT Scorpio Capital</v>
      </c>
    </row>
    <row r="787" spans="2:6" ht="15" customHeight="1" x14ac:dyDescent="0.3">
      <c r="C787" s="2"/>
      <c r="D787" s="8">
        <v>2018</v>
      </c>
      <c r="E787" s="62">
        <f>Data!O787</f>
        <v>0.6</v>
      </c>
      <c r="F787" s="16" t="str">
        <f>Data!P787</f>
        <v>PT Scorpio Capital</v>
      </c>
    </row>
    <row r="788" spans="2:6" ht="15" customHeight="1" x14ac:dyDescent="0.3">
      <c r="C788" s="2"/>
      <c r="D788" s="8">
        <v>2019</v>
      </c>
      <c r="E788" s="62">
        <f>Data!O788</f>
        <v>0.6</v>
      </c>
      <c r="F788" s="16" t="str">
        <f>Data!P788</f>
        <v>PT Scorpio Capital</v>
      </c>
    </row>
    <row r="789" spans="2:6" ht="15" customHeight="1" x14ac:dyDescent="0.3">
      <c r="C789" s="2"/>
      <c r="D789" s="8">
        <v>2020</v>
      </c>
      <c r="E789" s="62">
        <f>Data!O789</f>
        <v>0.6</v>
      </c>
      <c r="F789" s="16" t="str">
        <f>Data!P789</f>
        <v>PT Scorpio Capital</v>
      </c>
    </row>
    <row r="790" spans="2:6" ht="15" customHeight="1" x14ac:dyDescent="0.3">
      <c r="C790" s="2"/>
      <c r="D790" s="8">
        <v>2021</v>
      </c>
      <c r="E790" s="62">
        <f>Data!O790</f>
        <v>0.6</v>
      </c>
      <c r="F790" s="16" t="str">
        <f>Data!P790</f>
        <v>PT Scorpio Capital</v>
      </c>
    </row>
    <row r="791" spans="2:6" ht="15" customHeight="1" x14ac:dyDescent="0.3">
      <c r="C791" s="2"/>
      <c r="D791" s="8">
        <v>2022</v>
      </c>
      <c r="E791" s="62">
        <f>Data!O791</f>
        <v>0.6</v>
      </c>
      <c r="F791" s="16" t="str">
        <f>Data!P791</f>
        <v>PT Scorpio Capital</v>
      </c>
    </row>
    <row r="792" spans="2:6" ht="15" customHeight="1" x14ac:dyDescent="0.3">
      <c r="C792" s="2"/>
      <c r="D792" s="8">
        <v>2023</v>
      </c>
      <c r="E792" s="62">
        <f>Data!O792</f>
        <v>0.6</v>
      </c>
      <c r="F792" s="16" t="str">
        <f>Data!P792</f>
        <v>PT Scorpio Capital</v>
      </c>
    </row>
    <row r="793" spans="2:6" ht="15" customHeight="1" x14ac:dyDescent="0.3">
      <c r="C793" s="2"/>
      <c r="D793" s="8">
        <v>2024</v>
      </c>
      <c r="E793" s="62">
        <f>Data!O793</f>
        <v>0.6</v>
      </c>
      <c r="F793" s="16" t="str">
        <f>Data!P793</f>
        <v>PT Scorpio Capital</v>
      </c>
    </row>
    <row r="794" spans="2:6" ht="15" customHeight="1" x14ac:dyDescent="0.3">
      <c r="B794" s="8">
        <v>73</v>
      </c>
      <c r="C794" s="2" t="s">
        <v>96</v>
      </c>
      <c r="D794" s="8">
        <v>2014</v>
      </c>
      <c r="E794" s="62">
        <f>Data!O794</f>
        <v>0</v>
      </c>
      <c r="F794" s="16">
        <f>Data!P794</f>
        <v>0</v>
      </c>
    </row>
    <row r="795" spans="2:6" ht="15" customHeight="1" x14ac:dyDescent="0.3">
      <c r="C795" s="2"/>
      <c r="D795" s="8">
        <v>2015</v>
      </c>
      <c r="E795" s="62">
        <f>Data!O795</f>
        <v>0</v>
      </c>
      <c r="F795" s="16">
        <f>Data!P795</f>
        <v>0</v>
      </c>
    </row>
    <row r="796" spans="2:6" ht="15" customHeight="1" x14ac:dyDescent="0.3">
      <c r="C796" s="2"/>
      <c r="D796" s="8">
        <v>2016</v>
      </c>
      <c r="E796" s="62">
        <f>Data!O796</f>
        <v>0</v>
      </c>
      <c r="F796" s="16">
        <f>Data!P796</f>
        <v>0</v>
      </c>
    </row>
    <row r="797" spans="2:6" ht="15" customHeight="1" x14ac:dyDescent="0.3">
      <c r="C797" s="2"/>
      <c r="D797" s="8">
        <v>2017</v>
      </c>
      <c r="E797" s="62">
        <f>Data!O797</f>
        <v>0</v>
      </c>
      <c r="F797" s="16">
        <f>Data!P797</f>
        <v>0</v>
      </c>
    </row>
    <row r="798" spans="2:6" ht="15" customHeight="1" x14ac:dyDescent="0.3">
      <c r="C798" s="2"/>
      <c r="D798" s="8">
        <v>2018</v>
      </c>
      <c r="E798" s="62">
        <f>Data!O798</f>
        <v>0</v>
      </c>
      <c r="F798" s="16">
        <f>Data!P798</f>
        <v>0</v>
      </c>
    </row>
    <row r="799" spans="2:6" ht="15" customHeight="1" x14ac:dyDescent="0.3">
      <c r="C799" s="2"/>
      <c r="D799" s="8">
        <v>2019</v>
      </c>
      <c r="E799" s="62">
        <f>Data!O799</f>
        <v>0</v>
      </c>
      <c r="F799" s="16">
        <f>Data!P799</f>
        <v>0</v>
      </c>
    </row>
    <row r="800" spans="2:6" ht="15" customHeight="1" x14ac:dyDescent="0.3">
      <c r="C800" s="2"/>
      <c r="D800" s="8">
        <v>2020</v>
      </c>
      <c r="E800" s="62">
        <f>Data!O800</f>
        <v>0.98</v>
      </c>
      <c r="F800" s="16" t="str">
        <f>Data!P800</f>
        <v>PT Candi Kapitalindo Utama</v>
      </c>
    </row>
    <row r="801" spans="2:6" ht="15" customHeight="1" x14ac:dyDescent="0.3">
      <c r="C801" s="2"/>
      <c r="D801" s="8">
        <v>2021</v>
      </c>
      <c r="E801" s="62">
        <f>Data!O801</f>
        <v>0.98</v>
      </c>
      <c r="F801" s="16" t="str">
        <f>Data!P801</f>
        <v>PT Candi Kapitalindo Utama</v>
      </c>
    </row>
    <row r="802" spans="2:6" ht="15" customHeight="1" x14ac:dyDescent="0.3">
      <c r="C802" s="2"/>
      <c r="D802" s="8">
        <v>2022</v>
      </c>
      <c r="E802" s="62">
        <f>Data!O802</f>
        <v>0.98</v>
      </c>
      <c r="F802" s="16" t="str">
        <f>Data!P802</f>
        <v>PT Candi Kapitalindo Utama</v>
      </c>
    </row>
    <row r="803" spans="2:6" ht="15" customHeight="1" x14ac:dyDescent="0.3">
      <c r="C803" s="2"/>
      <c r="D803" s="8">
        <v>2023</v>
      </c>
      <c r="E803" s="62">
        <f>Data!O803</f>
        <v>0.98</v>
      </c>
      <c r="F803" s="16" t="str">
        <f>Data!P803</f>
        <v>PT Candi Kapitalindo Utama</v>
      </c>
    </row>
    <row r="804" spans="2:6" ht="15" customHeight="1" x14ac:dyDescent="0.3">
      <c r="C804" s="2"/>
      <c r="D804" s="8">
        <v>2024</v>
      </c>
      <c r="E804" s="62">
        <f>Data!O804</f>
        <v>0.98</v>
      </c>
      <c r="F804" s="16" t="str">
        <f>Data!P804</f>
        <v>PT Candi Kapitalindo Utama</v>
      </c>
    </row>
    <row r="805" spans="2:6" ht="15" customHeight="1" x14ac:dyDescent="0.3">
      <c r="B805" s="8">
        <v>74</v>
      </c>
      <c r="C805" s="2" t="s">
        <v>76</v>
      </c>
      <c r="D805" s="8">
        <v>2014</v>
      </c>
      <c r="E805" s="62">
        <f>Data!O805</f>
        <v>0</v>
      </c>
      <c r="F805" s="16">
        <f>Data!P805</f>
        <v>0</v>
      </c>
    </row>
    <row r="806" spans="2:6" ht="15" customHeight="1" x14ac:dyDescent="0.3">
      <c r="C806" s="2"/>
      <c r="D806" s="8">
        <v>2015</v>
      </c>
      <c r="E806" s="62">
        <f>Data!O806</f>
        <v>0.33</v>
      </c>
      <c r="F806" s="16" t="str">
        <f>Data!P806</f>
        <v>Amthoni Salim</v>
      </c>
    </row>
    <row r="807" spans="2:6" ht="15" customHeight="1" x14ac:dyDescent="0.3">
      <c r="C807" s="2"/>
      <c r="D807" s="8">
        <v>2016</v>
      </c>
      <c r="E807" s="62">
        <f>Data!O807</f>
        <v>0.33</v>
      </c>
      <c r="F807" s="16" t="str">
        <f>Data!P807</f>
        <v>Amthoni Salim</v>
      </c>
    </row>
    <row r="808" spans="2:6" ht="15" customHeight="1" x14ac:dyDescent="0.3">
      <c r="C808" s="2"/>
      <c r="D808" s="8">
        <v>2017</v>
      </c>
      <c r="E808" s="62">
        <f>Data!O808</f>
        <v>0.33</v>
      </c>
      <c r="F808" s="16" t="str">
        <f>Data!P808</f>
        <v>Amthoni Salim</v>
      </c>
    </row>
    <row r="809" spans="2:6" ht="15" customHeight="1" x14ac:dyDescent="0.3">
      <c r="C809" s="2"/>
      <c r="D809" s="8">
        <v>2018</v>
      </c>
      <c r="E809" s="62">
        <f>Data!O809</f>
        <v>0.33</v>
      </c>
      <c r="F809" s="16" t="str">
        <f>Data!P809</f>
        <v>Amthoni Salim</v>
      </c>
    </row>
    <row r="810" spans="2:6" ht="15" customHeight="1" x14ac:dyDescent="0.3">
      <c r="C810" s="2"/>
      <c r="D810" s="8">
        <v>2019</v>
      </c>
      <c r="E810" s="62">
        <f>Data!O810</f>
        <v>0.33</v>
      </c>
      <c r="F810" s="16" t="str">
        <f>Data!P810</f>
        <v>Amthoni Salim</v>
      </c>
    </row>
    <row r="811" spans="2:6" ht="15" customHeight="1" x14ac:dyDescent="0.3">
      <c r="C811" s="2"/>
      <c r="D811" s="8">
        <v>2020</v>
      </c>
      <c r="E811" s="62">
        <f>Data!O811</f>
        <v>0.33</v>
      </c>
      <c r="F811" s="16" t="str">
        <f>Data!P811</f>
        <v>Amthoni Salim</v>
      </c>
    </row>
    <row r="812" spans="2:6" ht="15" customHeight="1" x14ac:dyDescent="0.3">
      <c r="C812" s="2"/>
      <c r="D812" s="8">
        <v>2021</v>
      </c>
      <c r="E812" s="62">
        <f>Data!O812</f>
        <v>0.33</v>
      </c>
      <c r="F812" s="16" t="str">
        <f>Data!P812</f>
        <v>Amthoni Salim</v>
      </c>
    </row>
    <row r="813" spans="2:6" ht="15" customHeight="1" x14ac:dyDescent="0.3">
      <c r="C813" s="2"/>
      <c r="D813" s="8">
        <v>2022</v>
      </c>
      <c r="E813" s="62">
        <f>Data!O813</f>
        <v>0.33</v>
      </c>
      <c r="F813" s="16" t="str">
        <f>Data!P813</f>
        <v>Amthoni Salim</v>
      </c>
    </row>
    <row r="814" spans="2:6" ht="15" customHeight="1" x14ac:dyDescent="0.3">
      <c r="C814" s="2"/>
      <c r="D814" s="8">
        <v>2023</v>
      </c>
      <c r="E814" s="62">
        <f>Data!O814</f>
        <v>0.33</v>
      </c>
      <c r="F814" s="16" t="str">
        <f>Data!P814</f>
        <v>Amthoni Salim</v>
      </c>
    </row>
    <row r="815" spans="2:6" ht="15" customHeight="1" x14ac:dyDescent="0.3">
      <c r="C815" s="2"/>
      <c r="D815" s="8">
        <v>2024</v>
      </c>
      <c r="E815" s="62">
        <f>Data!O815</f>
        <v>0.33</v>
      </c>
      <c r="F815" s="16" t="str">
        <f>Data!P815</f>
        <v>Amthoni Salim</v>
      </c>
    </row>
    <row r="816" spans="2:6" ht="15" customHeight="1" x14ac:dyDescent="0.3">
      <c r="B816" s="8">
        <v>75</v>
      </c>
      <c r="C816" s="1" t="s">
        <v>130</v>
      </c>
      <c r="D816" s="8">
        <v>2014</v>
      </c>
      <c r="E816" s="62">
        <f>Data!O816</f>
        <v>0</v>
      </c>
      <c r="F816" s="16">
        <f>Data!P816</f>
        <v>0</v>
      </c>
    </row>
    <row r="817" spans="2:6" ht="15" customHeight="1" x14ac:dyDescent="0.3">
      <c r="C817" s="1"/>
      <c r="D817" s="8">
        <v>2015</v>
      </c>
      <c r="E817" s="62">
        <f>Data!O817</f>
        <v>0</v>
      </c>
      <c r="F817" s="16">
        <f>Data!P817</f>
        <v>0</v>
      </c>
    </row>
    <row r="818" spans="2:6" ht="15" customHeight="1" x14ac:dyDescent="0.3">
      <c r="C818" s="1"/>
      <c r="D818" s="8">
        <v>2016</v>
      </c>
      <c r="E818" s="62">
        <f>Data!O818</f>
        <v>0</v>
      </c>
      <c r="F818" s="16">
        <f>Data!P818</f>
        <v>0</v>
      </c>
    </row>
    <row r="819" spans="2:6" ht="15" customHeight="1" x14ac:dyDescent="0.3">
      <c r="C819" s="1"/>
      <c r="D819" s="8">
        <v>2017</v>
      </c>
      <c r="E819" s="62">
        <f>Data!O819</f>
        <v>0</v>
      </c>
      <c r="F819" s="16">
        <f>Data!P819</f>
        <v>0</v>
      </c>
    </row>
    <row r="820" spans="2:6" ht="15" customHeight="1" x14ac:dyDescent="0.3">
      <c r="C820" s="1"/>
      <c r="D820" s="8">
        <v>2018</v>
      </c>
      <c r="E820" s="62">
        <f>Data!O820</f>
        <v>0</v>
      </c>
      <c r="F820" s="16">
        <f>Data!P820</f>
        <v>0</v>
      </c>
    </row>
    <row r="821" spans="2:6" ht="15" customHeight="1" x14ac:dyDescent="0.3">
      <c r="C821" s="1"/>
      <c r="D821" s="8">
        <v>2019</v>
      </c>
      <c r="E821" s="62">
        <f>Data!O821</f>
        <v>0</v>
      </c>
      <c r="F821" s="16">
        <f>Data!P821</f>
        <v>0</v>
      </c>
    </row>
    <row r="822" spans="2:6" ht="15" customHeight="1" x14ac:dyDescent="0.3">
      <c r="C822" s="1"/>
      <c r="D822" s="8">
        <v>2020</v>
      </c>
      <c r="E822" s="62">
        <f>Data!O822</f>
        <v>0</v>
      </c>
      <c r="F822" s="16">
        <f>Data!P822</f>
        <v>0</v>
      </c>
    </row>
    <row r="823" spans="2:6" ht="15" customHeight="1" x14ac:dyDescent="0.3">
      <c r="C823" s="1"/>
      <c r="D823" s="8">
        <v>2021</v>
      </c>
      <c r="E823" s="62">
        <f>Data!O823</f>
        <v>0</v>
      </c>
      <c r="F823" s="16">
        <f>Data!P823</f>
        <v>0</v>
      </c>
    </row>
    <row r="824" spans="2:6" ht="15" customHeight="1" x14ac:dyDescent="0.3">
      <c r="C824" s="1"/>
      <c r="D824" s="8">
        <v>2022</v>
      </c>
      <c r="E824" s="62">
        <f>Data!O824</f>
        <v>0</v>
      </c>
      <c r="F824" s="16">
        <f>Data!P824</f>
        <v>0</v>
      </c>
    </row>
    <row r="825" spans="2:6" ht="15" customHeight="1" x14ac:dyDescent="0.3">
      <c r="C825" s="1"/>
      <c r="D825" s="8">
        <v>2023</v>
      </c>
      <c r="E825" s="62">
        <f>Data!O825</f>
        <v>0</v>
      </c>
      <c r="F825" s="16">
        <f>Data!P825</f>
        <v>0</v>
      </c>
    </row>
    <row r="826" spans="2:6" ht="15" customHeight="1" x14ac:dyDescent="0.3">
      <c r="C826" s="1"/>
      <c r="D826" s="8">
        <v>2024</v>
      </c>
      <c r="E826" s="62">
        <f>Data!O826</f>
        <v>0</v>
      </c>
      <c r="F826" s="16">
        <f>Data!P826</f>
        <v>0</v>
      </c>
    </row>
    <row r="827" spans="2:6" ht="15" customHeight="1" x14ac:dyDescent="0.3">
      <c r="B827" s="8">
        <v>76</v>
      </c>
      <c r="C827" s="2" t="s">
        <v>79</v>
      </c>
      <c r="D827" s="8">
        <v>2014</v>
      </c>
      <c r="E827" s="62">
        <f>Data!O827</f>
        <v>0</v>
      </c>
      <c r="F827" s="16">
        <f>Data!P827</f>
        <v>0</v>
      </c>
    </row>
    <row r="828" spans="2:6" ht="15" customHeight="1" x14ac:dyDescent="0.3">
      <c r="C828" s="2"/>
      <c r="D828" s="8">
        <v>2015</v>
      </c>
      <c r="E828" s="62">
        <f>Data!O828</f>
        <v>0</v>
      </c>
      <c r="F828" s="16">
        <f>Data!P828</f>
        <v>0</v>
      </c>
    </row>
    <row r="829" spans="2:6" ht="15" customHeight="1" x14ac:dyDescent="0.3">
      <c r="C829" s="2"/>
      <c r="D829" s="8">
        <v>2016</v>
      </c>
      <c r="E829" s="62">
        <f>Data!O829</f>
        <v>0</v>
      </c>
      <c r="F829" s="16">
        <f>Data!P829</f>
        <v>0</v>
      </c>
    </row>
    <row r="830" spans="2:6" ht="15" customHeight="1" x14ac:dyDescent="0.3">
      <c r="C830" s="2"/>
      <c r="D830" s="8">
        <v>2017</v>
      </c>
      <c r="E830" s="62">
        <f>Data!O830</f>
        <v>0</v>
      </c>
      <c r="F830" s="16">
        <f>Data!P830</f>
        <v>0</v>
      </c>
    </row>
    <row r="831" spans="2:6" ht="15" customHeight="1" x14ac:dyDescent="0.3">
      <c r="C831" s="2"/>
      <c r="D831" s="8">
        <v>2018</v>
      </c>
      <c r="E831" s="62">
        <f>Data!O831</f>
        <v>0</v>
      </c>
      <c r="F831" s="16">
        <f>Data!P831</f>
        <v>0</v>
      </c>
    </row>
    <row r="832" spans="2:6" ht="15" customHeight="1" x14ac:dyDescent="0.3">
      <c r="C832" s="2"/>
      <c r="D832" s="8">
        <v>2019</v>
      </c>
      <c r="E832" s="62">
        <f>Data!O832</f>
        <v>0</v>
      </c>
      <c r="F832" s="16">
        <f>Data!P832</f>
        <v>0</v>
      </c>
    </row>
    <row r="833" spans="2:6" ht="15" customHeight="1" x14ac:dyDescent="0.3">
      <c r="C833" s="2"/>
      <c r="D833" s="8">
        <v>2020</v>
      </c>
      <c r="E833" s="62">
        <f>Data!O833</f>
        <v>0.73329999999999995</v>
      </c>
      <c r="F833" s="16" t="str">
        <f>Data!P833</f>
        <v>PT Equity Development Investment</v>
      </c>
    </row>
    <row r="834" spans="2:6" ht="15" customHeight="1" x14ac:dyDescent="0.3">
      <c r="C834" s="2"/>
      <c r="D834" s="8">
        <v>2021</v>
      </c>
      <c r="E834" s="62">
        <f>Data!O834</f>
        <v>0.73329999999999995</v>
      </c>
      <c r="F834" s="16" t="str">
        <f>Data!P834</f>
        <v>PT Equity Development Investment</v>
      </c>
    </row>
    <row r="835" spans="2:6" ht="15" customHeight="1" x14ac:dyDescent="0.3">
      <c r="C835" s="2"/>
      <c r="D835" s="8">
        <v>2022</v>
      </c>
      <c r="E835" s="62">
        <f>Data!O835</f>
        <v>0.73329999999999995</v>
      </c>
      <c r="F835" s="16" t="str">
        <f>Data!P835</f>
        <v>PT Equity Development Investment</v>
      </c>
    </row>
    <row r="836" spans="2:6" ht="15" customHeight="1" x14ac:dyDescent="0.3">
      <c r="C836" s="2"/>
      <c r="D836" s="8">
        <v>2023</v>
      </c>
      <c r="E836" s="62">
        <f>Data!O836</f>
        <v>0.73329999999999995</v>
      </c>
      <c r="F836" s="16" t="str">
        <f>Data!P836</f>
        <v>PT Equity Development Investment</v>
      </c>
    </row>
    <row r="837" spans="2:6" ht="15" customHeight="1" x14ac:dyDescent="0.3">
      <c r="C837" s="2"/>
      <c r="D837" s="8">
        <v>2024</v>
      </c>
      <c r="E837" s="62">
        <f>Data!O837</f>
        <v>0.73329999999999995</v>
      </c>
      <c r="F837" s="16" t="str">
        <f>Data!P837</f>
        <v>PT Equity Development Investment</v>
      </c>
    </row>
    <row r="838" spans="2:6" ht="15" customHeight="1" x14ac:dyDescent="0.3">
      <c r="B838" s="8">
        <v>77</v>
      </c>
      <c r="C838" s="2" t="s">
        <v>119</v>
      </c>
      <c r="D838" s="8">
        <v>2014</v>
      </c>
      <c r="E838" s="62">
        <f>Data!O838</f>
        <v>0</v>
      </c>
      <c r="F838" s="16">
        <f>Data!P838</f>
        <v>0</v>
      </c>
    </row>
    <row r="839" spans="2:6" ht="15" customHeight="1" x14ac:dyDescent="0.3">
      <c r="C839" s="2"/>
      <c r="D839" s="8">
        <v>2015</v>
      </c>
      <c r="E839" s="62">
        <f>Data!O839</f>
        <v>0</v>
      </c>
      <c r="F839" s="16">
        <f>Data!P839</f>
        <v>0</v>
      </c>
    </row>
    <row r="840" spans="2:6" ht="15" customHeight="1" x14ac:dyDescent="0.3">
      <c r="C840" s="2"/>
      <c r="D840" s="8">
        <v>2016</v>
      </c>
      <c r="E840" s="62">
        <f>Data!O840</f>
        <v>0</v>
      </c>
      <c r="F840" s="16">
        <f>Data!P840</f>
        <v>0</v>
      </c>
    </row>
    <row r="841" spans="2:6" ht="15" customHeight="1" x14ac:dyDescent="0.3">
      <c r="C841" s="2"/>
      <c r="D841" s="8">
        <v>2017</v>
      </c>
      <c r="E841" s="62">
        <f>Data!O841</f>
        <v>0</v>
      </c>
      <c r="F841" s="16">
        <f>Data!P841</f>
        <v>0</v>
      </c>
    </row>
    <row r="842" spans="2:6" ht="15" customHeight="1" x14ac:dyDescent="0.3">
      <c r="C842" s="2"/>
      <c r="D842" s="8">
        <v>2018</v>
      </c>
      <c r="E842" s="62">
        <f>Data!O842</f>
        <v>0</v>
      </c>
      <c r="F842" s="16">
        <f>Data!P842</f>
        <v>0</v>
      </c>
    </row>
    <row r="843" spans="2:6" ht="15" customHeight="1" x14ac:dyDescent="0.3">
      <c r="C843" s="2"/>
      <c r="D843" s="8">
        <v>2019</v>
      </c>
      <c r="E843" s="62">
        <f>Data!O843</f>
        <v>0.55810000000000004</v>
      </c>
      <c r="F843" s="16" t="str">
        <f>Data!P843</f>
        <v>Djajus Adisaputro</v>
      </c>
    </row>
    <row r="844" spans="2:6" ht="15" customHeight="1" x14ac:dyDescent="0.3">
      <c r="C844" s="2"/>
      <c r="D844" s="8">
        <v>2020</v>
      </c>
      <c r="E844" s="62">
        <f>Data!O844</f>
        <v>0.55810000000000004</v>
      </c>
      <c r="F844" s="16" t="str">
        <f>Data!P844</f>
        <v>Djajus Adisaputro</v>
      </c>
    </row>
    <row r="845" spans="2:6" ht="15" customHeight="1" x14ac:dyDescent="0.3">
      <c r="C845" s="2"/>
      <c r="D845" s="8">
        <v>2021</v>
      </c>
      <c r="E845" s="62">
        <f>Data!O845</f>
        <v>0.55810000000000004</v>
      </c>
      <c r="F845" s="16" t="str">
        <f>Data!P845</f>
        <v>Djajus Adisaputro</v>
      </c>
    </row>
    <row r="846" spans="2:6" ht="15" customHeight="1" x14ac:dyDescent="0.3">
      <c r="C846" s="2"/>
      <c r="D846" s="8">
        <v>2022</v>
      </c>
      <c r="E846" s="62">
        <f>Data!O846</f>
        <v>0.38919999999999999</v>
      </c>
      <c r="F846" s="16" t="str">
        <f>Data!P846</f>
        <v>Djajus Adisaputro</v>
      </c>
    </row>
    <row r="847" spans="2:6" ht="15" customHeight="1" x14ac:dyDescent="0.3">
      <c r="C847" s="2"/>
      <c r="D847" s="8">
        <v>2023</v>
      </c>
      <c r="E847" s="62">
        <f>Data!O847</f>
        <v>0.38969999999999999</v>
      </c>
      <c r="F847" s="16" t="str">
        <f>Data!P847</f>
        <v>Adi Wibowo Adisaputro</v>
      </c>
    </row>
    <row r="848" spans="2:6" ht="15" customHeight="1" x14ac:dyDescent="0.3">
      <c r="C848" s="2"/>
      <c r="D848" s="8">
        <v>2024</v>
      </c>
      <c r="E848" s="62">
        <f>Data!O848</f>
        <v>0.48089999999999999</v>
      </c>
      <c r="F848" s="16" t="str">
        <f>Data!P848</f>
        <v>Adi Wibowo Adisaputro</v>
      </c>
    </row>
    <row r="849" spans="2:6" ht="15" customHeight="1" x14ac:dyDescent="0.3">
      <c r="B849" s="8">
        <v>78</v>
      </c>
      <c r="C849" s="2" t="s">
        <v>80</v>
      </c>
      <c r="D849" s="8">
        <v>2014</v>
      </c>
      <c r="E849" s="62">
        <f>Data!O849</f>
        <v>0</v>
      </c>
      <c r="F849" s="16">
        <f>Data!P849</f>
        <v>0</v>
      </c>
    </row>
    <row r="850" spans="2:6" ht="15" customHeight="1" x14ac:dyDescent="0.3">
      <c r="C850" s="2"/>
      <c r="D850" s="8">
        <v>2015</v>
      </c>
      <c r="E850" s="62">
        <f>Data!O850</f>
        <v>0</v>
      </c>
      <c r="F850" s="16">
        <f>Data!P850</f>
        <v>0</v>
      </c>
    </row>
    <row r="851" spans="2:6" ht="15" customHeight="1" x14ac:dyDescent="0.3">
      <c r="C851" s="2"/>
      <c r="D851" s="8">
        <v>2016</v>
      </c>
      <c r="E851" s="62">
        <f>Data!O851</f>
        <v>0</v>
      </c>
      <c r="F851" s="16">
        <f>Data!P851</f>
        <v>0</v>
      </c>
    </row>
    <row r="852" spans="2:6" ht="15" customHeight="1" x14ac:dyDescent="0.3">
      <c r="C852" s="2"/>
      <c r="D852" s="8">
        <v>2017</v>
      </c>
      <c r="E852" s="62">
        <f>Data!O852</f>
        <v>0</v>
      </c>
      <c r="F852" s="16">
        <f>Data!P852</f>
        <v>0</v>
      </c>
    </row>
    <row r="853" spans="2:6" ht="15" customHeight="1" x14ac:dyDescent="0.3">
      <c r="C853" s="2"/>
      <c r="D853" s="8">
        <v>2018</v>
      </c>
      <c r="E853" s="62">
        <f>Data!O853</f>
        <v>0.78</v>
      </c>
      <c r="F853" s="16" t="str">
        <f>Data!P853</f>
        <v>PT Adicahya Bintang Semesta</v>
      </c>
    </row>
    <row r="854" spans="2:6" ht="15" customHeight="1" x14ac:dyDescent="0.3">
      <c r="C854" s="2"/>
      <c r="D854" s="8">
        <v>2019</v>
      </c>
      <c r="E854" s="62">
        <f>Data!O854</f>
        <v>0.78</v>
      </c>
      <c r="F854" s="16" t="str">
        <f>Data!P854</f>
        <v>PT Adicahya Bintang Semesta</v>
      </c>
    </row>
    <row r="855" spans="2:6" ht="15" customHeight="1" x14ac:dyDescent="0.3">
      <c r="C855" s="2"/>
      <c r="D855" s="8">
        <v>2020</v>
      </c>
      <c r="E855" s="62">
        <f>Data!O855</f>
        <v>0.78</v>
      </c>
      <c r="F855" s="16" t="str">
        <f>Data!P855</f>
        <v>PT Adicahya Bintang Semesta</v>
      </c>
    </row>
    <row r="856" spans="2:6" ht="15" customHeight="1" x14ac:dyDescent="0.3">
      <c r="C856" s="2"/>
      <c r="D856" s="8">
        <v>2021</v>
      </c>
      <c r="E856" s="62">
        <f>Data!O856</f>
        <v>0.78</v>
      </c>
      <c r="F856" s="16" t="str">
        <f>Data!P856</f>
        <v>PT Adicahya Bintang Semesta</v>
      </c>
    </row>
    <row r="857" spans="2:6" ht="15" customHeight="1" x14ac:dyDescent="0.3">
      <c r="C857" s="2"/>
      <c r="D857" s="8">
        <v>2022</v>
      </c>
      <c r="E857" s="62">
        <f>Data!O857</f>
        <v>0.78</v>
      </c>
      <c r="F857" s="16" t="str">
        <f>Data!P857</f>
        <v>PT Adicahya Bintang Semesta</v>
      </c>
    </row>
    <row r="858" spans="2:6" ht="15" customHeight="1" x14ac:dyDescent="0.3">
      <c r="C858" s="2"/>
      <c r="D858" s="8">
        <v>2023</v>
      </c>
      <c r="E858" s="62">
        <f>Data!O858</f>
        <v>0.78</v>
      </c>
      <c r="F858" s="16" t="str">
        <f>Data!P858</f>
        <v>PT Adicahya Bintang Semesta</v>
      </c>
    </row>
    <row r="859" spans="2:6" ht="15" customHeight="1" x14ac:dyDescent="0.3">
      <c r="C859" s="2"/>
      <c r="D859" s="8">
        <v>2024</v>
      </c>
      <c r="E859" s="62">
        <f>Data!O859</f>
        <v>0.78</v>
      </c>
      <c r="F859" s="16" t="str">
        <f>Data!P859</f>
        <v>PT Adicahya Bintang Semesta</v>
      </c>
    </row>
    <row r="860" spans="2:6" ht="15" customHeight="1" x14ac:dyDescent="0.3">
      <c r="B860" s="8">
        <v>79</v>
      </c>
      <c r="C860" s="2" t="s">
        <v>97</v>
      </c>
      <c r="D860" s="8">
        <v>2014</v>
      </c>
      <c r="E860" s="62">
        <f>Data!O860</f>
        <v>0</v>
      </c>
      <c r="F860" s="16">
        <f>Data!P860</f>
        <v>0</v>
      </c>
    </row>
    <row r="861" spans="2:6" ht="15" customHeight="1" x14ac:dyDescent="0.3">
      <c r="C861" s="2"/>
      <c r="D861" s="8">
        <v>2015</v>
      </c>
      <c r="E861" s="62">
        <f>Data!O861</f>
        <v>0.99990000000000001</v>
      </c>
      <c r="F861" s="16" t="str">
        <f>Data!P861</f>
        <v>PT Trans Pasific Mutal Capita</v>
      </c>
    </row>
    <row r="862" spans="2:6" ht="15" customHeight="1" x14ac:dyDescent="0.3">
      <c r="C862" s="2"/>
      <c r="D862" s="8">
        <v>2016</v>
      </c>
      <c r="E862" s="62">
        <f>Data!O862</f>
        <v>0.99990000000000001</v>
      </c>
      <c r="F862" s="16" t="str">
        <f>Data!P862</f>
        <v>PT Trans Pasific Mutal Capita</v>
      </c>
    </row>
    <row r="863" spans="2:6" ht="15" customHeight="1" x14ac:dyDescent="0.3">
      <c r="C863" s="2"/>
      <c r="D863" s="8">
        <v>2017</v>
      </c>
      <c r="E863" s="62">
        <f>Data!O863</f>
        <v>0.75</v>
      </c>
      <c r="F863" s="16" t="str">
        <f>Data!P863</f>
        <v>Etiqa International Holdings</v>
      </c>
    </row>
    <row r="864" spans="2:6" ht="15" customHeight="1" x14ac:dyDescent="0.3">
      <c r="C864" s="2"/>
      <c r="D864" s="8">
        <v>2018</v>
      </c>
      <c r="E864" s="62">
        <f>Data!O864</f>
        <v>0.75</v>
      </c>
      <c r="F864" s="16" t="str">
        <f>Data!P864</f>
        <v>Etiqa International Holdings</v>
      </c>
    </row>
    <row r="865" spans="2:6" ht="15" customHeight="1" x14ac:dyDescent="0.3">
      <c r="C865" s="2"/>
      <c r="D865" s="8">
        <v>2019</v>
      </c>
      <c r="E865" s="62">
        <f>Data!O865</f>
        <v>0.8</v>
      </c>
      <c r="F865" s="16" t="str">
        <f>Data!P865</f>
        <v>Etiqa International Holdings</v>
      </c>
    </row>
    <row r="866" spans="2:6" ht="15" customHeight="1" x14ac:dyDescent="0.3">
      <c r="C866" s="2"/>
      <c r="D866" s="8">
        <v>2020</v>
      </c>
      <c r="E866" s="62">
        <f>Data!O866</f>
        <v>0.79869999999999997</v>
      </c>
      <c r="F866" s="16" t="str">
        <f>Data!P866</f>
        <v>Etiqa International Holdings</v>
      </c>
    </row>
    <row r="867" spans="2:6" ht="15" customHeight="1" x14ac:dyDescent="0.3">
      <c r="C867" s="2"/>
      <c r="D867" s="8">
        <v>2021</v>
      </c>
      <c r="E867" s="62">
        <f>Data!O867</f>
        <v>0.79869999999999997</v>
      </c>
      <c r="F867" s="16" t="str">
        <f>Data!P867</f>
        <v>Etiqa International Holdings</v>
      </c>
    </row>
    <row r="868" spans="2:6" ht="15" customHeight="1" x14ac:dyDescent="0.3">
      <c r="C868" s="2"/>
      <c r="D868" s="8">
        <v>2022</v>
      </c>
      <c r="E868" s="62">
        <f>Data!O868</f>
        <v>0.79869999999999997</v>
      </c>
      <c r="F868" s="16" t="str">
        <f>Data!P868</f>
        <v>Etiqa International Holdings</v>
      </c>
    </row>
    <row r="869" spans="2:6" ht="15" customHeight="1" x14ac:dyDescent="0.3">
      <c r="C869" s="2"/>
      <c r="D869" s="8">
        <v>2023</v>
      </c>
      <c r="E869" s="62">
        <f>Data!O869</f>
        <v>0.79869999999999997</v>
      </c>
      <c r="F869" s="16" t="str">
        <f>Data!P869</f>
        <v>Etiqa International Holdings</v>
      </c>
    </row>
    <row r="870" spans="2:6" ht="15" customHeight="1" x14ac:dyDescent="0.3">
      <c r="C870" s="2"/>
      <c r="D870" s="8">
        <v>2024</v>
      </c>
      <c r="E870" s="62">
        <f>Data!O870</f>
        <v>0.79869999999999997</v>
      </c>
      <c r="F870" s="16" t="str">
        <f>Data!P870</f>
        <v>Etiqa International Holdings</v>
      </c>
    </row>
    <row r="871" spans="2:6" ht="15" customHeight="1" x14ac:dyDescent="0.3">
      <c r="B871" s="8">
        <v>80</v>
      </c>
      <c r="C871" s="2" t="s">
        <v>81</v>
      </c>
      <c r="D871" s="8">
        <v>2014</v>
      </c>
      <c r="E871" s="62">
        <f>Data!O871</f>
        <v>0</v>
      </c>
      <c r="F871" s="16">
        <f>Data!P871</f>
        <v>0</v>
      </c>
    </row>
    <row r="872" spans="2:6" ht="15" customHeight="1" x14ac:dyDescent="0.3">
      <c r="C872" s="2"/>
      <c r="D872" s="8">
        <v>2015</v>
      </c>
      <c r="E872" s="62">
        <f>Data!O872</f>
        <v>0.8</v>
      </c>
      <c r="F872" s="16" t="str">
        <f>Data!P872</f>
        <v>Golden Eight Group Limited</v>
      </c>
    </row>
    <row r="873" spans="2:6" ht="15" customHeight="1" x14ac:dyDescent="0.3">
      <c r="C873" s="2"/>
      <c r="D873" s="8">
        <v>2016</v>
      </c>
      <c r="E873" s="62">
        <f>Data!O873</f>
        <v>0.8</v>
      </c>
      <c r="F873" s="16" t="str">
        <f>Data!P873</f>
        <v>Golden Eight Group Limited</v>
      </c>
    </row>
    <row r="874" spans="2:6" ht="15" customHeight="1" x14ac:dyDescent="0.3">
      <c r="C874" s="2"/>
      <c r="D874" s="8">
        <v>2017</v>
      </c>
      <c r="E874" s="62">
        <f>Data!O874</f>
        <v>0.8</v>
      </c>
      <c r="F874" s="16" t="str">
        <f>Data!P874</f>
        <v>Golden Eight Group Limited</v>
      </c>
    </row>
    <row r="875" spans="2:6" ht="15" customHeight="1" x14ac:dyDescent="0.3">
      <c r="C875" s="2"/>
      <c r="D875" s="8">
        <v>2018</v>
      </c>
      <c r="E875" s="62">
        <f>Data!O875</f>
        <v>0.8</v>
      </c>
      <c r="F875" s="16" t="str">
        <f>Data!P875</f>
        <v>Golden Eight Group Limited</v>
      </c>
    </row>
    <row r="876" spans="2:6" ht="15" customHeight="1" x14ac:dyDescent="0.3">
      <c r="C876" s="2"/>
      <c r="D876" s="8">
        <v>2019</v>
      </c>
      <c r="E876" s="62">
        <f>Data!O876</f>
        <v>0.8</v>
      </c>
      <c r="F876" s="16" t="str">
        <f>Data!P876</f>
        <v>Golden Eight Group Limited</v>
      </c>
    </row>
    <row r="877" spans="2:6" ht="15" customHeight="1" x14ac:dyDescent="0.3">
      <c r="C877" s="2"/>
      <c r="D877" s="8">
        <v>2020</v>
      </c>
      <c r="E877" s="62">
        <f>Data!O877</f>
        <v>0.8</v>
      </c>
      <c r="F877" s="16" t="str">
        <f>Data!P877</f>
        <v>Golden Eight Group Limited</v>
      </c>
    </row>
    <row r="878" spans="2:6" ht="15" customHeight="1" x14ac:dyDescent="0.3">
      <c r="C878" s="2"/>
      <c r="D878" s="8">
        <v>2021</v>
      </c>
      <c r="E878" s="62">
        <f>Data!O878</f>
        <v>0.8</v>
      </c>
      <c r="F878" s="16" t="str">
        <f>Data!P878</f>
        <v>Golden Eight Group Limited</v>
      </c>
    </row>
    <row r="879" spans="2:6" ht="15" customHeight="1" x14ac:dyDescent="0.3">
      <c r="C879" s="2"/>
      <c r="D879" s="8">
        <v>2022</v>
      </c>
      <c r="E879" s="62">
        <f>Data!O879</f>
        <v>0.8</v>
      </c>
      <c r="F879" s="16" t="str">
        <f>Data!P879</f>
        <v>Golden Eight Group Limited</v>
      </c>
    </row>
    <row r="880" spans="2:6" ht="15" customHeight="1" x14ac:dyDescent="0.3">
      <c r="C880" s="2"/>
      <c r="D880" s="8">
        <v>2023</v>
      </c>
      <c r="E880" s="62">
        <f>Data!O880</f>
        <v>0.8</v>
      </c>
      <c r="F880" s="16" t="str">
        <f>Data!P880</f>
        <v>Golden Eight Group Limited</v>
      </c>
    </row>
    <row r="881" spans="2:6" ht="15" customHeight="1" x14ac:dyDescent="0.3">
      <c r="C881" s="2"/>
      <c r="D881" s="8">
        <v>2024</v>
      </c>
      <c r="E881" s="62">
        <f>Data!O881</f>
        <v>0.8</v>
      </c>
      <c r="F881" s="16" t="str">
        <f>Data!P881</f>
        <v>Golden Eight Group Limited</v>
      </c>
    </row>
    <row r="882" spans="2:6" ht="15" customHeight="1" x14ac:dyDescent="0.3">
      <c r="B882" s="8">
        <v>81</v>
      </c>
      <c r="C882" s="2" t="s">
        <v>82</v>
      </c>
      <c r="D882" s="8">
        <v>2014</v>
      </c>
      <c r="E882" s="62">
        <f>Data!O882</f>
        <v>0</v>
      </c>
      <c r="F882" s="16">
        <f>Data!P882</f>
        <v>0</v>
      </c>
    </row>
    <row r="883" spans="2:6" ht="15" customHeight="1" x14ac:dyDescent="0.3">
      <c r="C883" s="2"/>
      <c r="D883" s="8">
        <v>2015</v>
      </c>
      <c r="E883" s="62">
        <f>Data!O883</f>
        <v>0</v>
      </c>
      <c r="F883" s="16">
        <f>Data!P883</f>
        <v>0</v>
      </c>
    </row>
    <row r="884" spans="2:6" ht="15" customHeight="1" x14ac:dyDescent="0.3">
      <c r="C884" s="2"/>
      <c r="D884" s="8">
        <v>2016</v>
      </c>
      <c r="E884" s="62">
        <f>Data!O884</f>
        <v>0</v>
      </c>
      <c r="F884" s="16">
        <f>Data!P884</f>
        <v>0</v>
      </c>
    </row>
    <row r="885" spans="2:6" ht="15" customHeight="1" x14ac:dyDescent="0.3">
      <c r="C885" s="2"/>
      <c r="D885" s="8">
        <v>2017</v>
      </c>
      <c r="E885" s="62">
        <f>Data!O885</f>
        <v>0</v>
      </c>
      <c r="F885" s="16">
        <f>Data!P885</f>
        <v>0</v>
      </c>
    </row>
    <row r="886" spans="2:6" ht="15" customHeight="1" x14ac:dyDescent="0.3">
      <c r="C886" s="2"/>
      <c r="D886" s="8">
        <v>2018</v>
      </c>
      <c r="E886" s="62">
        <f>Data!O886</f>
        <v>0</v>
      </c>
      <c r="F886" s="16">
        <f>Data!P886</f>
        <v>0</v>
      </c>
    </row>
    <row r="887" spans="2:6" ht="15" customHeight="1" x14ac:dyDescent="0.3">
      <c r="C887" s="2"/>
      <c r="D887" s="8">
        <v>2019</v>
      </c>
      <c r="E887" s="62">
        <f>Data!O887</f>
        <v>0.62150000000000005</v>
      </c>
      <c r="F887" s="16" t="str">
        <f>Data!P887</f>
        <v>PT Asuransi Central Asia</v>
      </c>
    </row>
    <row r="888" spans="2:6" ht="15" customHeight="1" x14ac:dyDescent="0.3">
      <c r="C888" s="2"/>
      <c r="D888" s="8">
        <v>2020</v>
      </c>
      <c r="E888" s="62">
        <f>Data!O888</f>
        <v>0.62150000000000005</v>
      </c>
      <c r="F888" s="16" t="str">
        <f>Data!P888</f>
        <v>PT Asuransi Central Asia</v>
      </c>
    </row>
    <row r="889" spans="2:6" ht="15" customHeight="1" x14ac:dyDescent="0.3">
      <c r="C889" s="2"/>
      <c r="D889" s="8">
        <v>2021</v>
      </c>
      <c r="E889" s="62">
        <f>Data!O889</f>
        <v>0.62150000000000005</v>
      </c>
      <c r="F889" s="16" t="str">
        <f>Data!P889</f>
        <v>PT Asuransi Central Asia</v>
      </c>
    </row>
    <row r="890" spans="2:6" ht="15" customHeight="1" x14ac:dyDescent="0.3">
      <c r="C890" s="2"/>
      <c r="D890" s="8">
        <v>2022</v>
      </c>
      <c r="E890" s="62">
        <f>Data!O890</f>
        <v>0.62580000000000002</v>
      </c>
      <c r="F890" s="16" t="str">
        <f>Data!P890</f>
        <v>PT Asuransi Central Asia</v>
      </c>
    </row>
    <row r="891" spans="2:6" ht="15" customHeight="1" x14ac:dyDescent="0.3">
      <c r="C891" s="2"/>
      <c r="D891" s="8">
        <v>2023</v>
      </c>
      <c r="E891" s="62">
        <f>Data!O891</f>
        <v>0.62580000000000002</v>
      </c>
      <c r="F891" s="16" t="str">
        <f>Data!P891</f>
        <v>PT Asuransi Central Asia</v>
      </c>
    </row>
    <row r="892" spans="2:6" ht="15" customHeight="1" x14ac:dyDescent="0.3">
      <c r="C892" s="2"/>
      <c r="D892" s="8">
        <v>2024</v>
      </c>
      <c r="E892" s="62">
        <f>Data!O892</f>
        <v>0.62580000000000002</v>
      </c>
      <c r="F892" s="16" t="str">
        <f>Data!P892</f>
        <v>PT Asuransi Central Asia</v>
      </c>
    </row>
    <row r="893" spans="2:6" ht="15" customHeight="1" x14ac:dyDescent="0.3">
      <c r="B893" s="8">
        <v>82</v>
      </c>
      <c r="C893" s="2" t="s">
        <v>83</v>
      </c>
      <c r="D893" s="8">
        <v>2014</v>
      </c>
      <c r="E893" s="62">
        <f>Data!O893</f>
        <v>0</v>
      </c>
      <c r="F893" s="16">
        <f>Data!P893</f>
        <v>0</v>
      </c>
    </row>
    <row r="894" spans="2:6" ht="15" customHeight="1" x14ac:dyDescent="0.3">
      <c r="C894" s="2"/>
      <c r="D894" s="8">
        <v>2015</v>
      </c>
      <c r="E894" s="62">
        <f>Data!O894</f>
        <v>0</v>
      </c>
      <c r="F894" s="16">
        <f>Data!P894</f>
        <v>0</v>
      </c>
    </row>
    <row r="895" spans="2:6" ht="15" customHeight="1" x14ac:dyDescent="0.3">
      <c r="C895" s="2"/>
      <c r="D895" s="8">
        <v>2016</v>
      </c>
      <c r="E895" s="62">
        <f>Data!O895</f>
        <v>0</v>
      </c>
      <c r="F895" s="16">
        <f>Data!P895</f>
        <v>0</v>
      </c>
    </row>
    <row r="896" spans="2:6" ht="15" customHeight="1" x14ac:dyDescent="0.3">
      <c r="C896" s="2"/>
      <c r="D896" s="8">
        <v>2017</v>
      </c>
      <c r="E896" s="62">
        <f>Data!O896</f>
        <v>0</v>
      </c>
      <c r="F896" s="16">
        <f>Data!P896</f>
        <v>0</v>
      </c>
    </row>
    <row r="897" spans="2:6" ht="15" customHeight="1" x14ac:dyDescent="0.3">
      <c r="C897" s="2"/>
      <c r="D897" s="8">
        <v>2018</v>
      </c>
      <c r="E897" s="62">
        <f>Data!O897</f>
        <v>0</v>
      </c>
      <c r="F897" s="16">
        <f>Data!P897</f>
        <v>0</v>
      </c>
    </row>
    <row r="898" spans="2:6" ht="15" customHeight="1" x14ac:dyDescent="0.3">
      <c r="C898" s="2"/>
      <c r="D898" s="8">
        <v>2019</v>
      </c>
      <c r="E898" s="62">
        <f>Data!O898</f>
        <v>0</v>
      </c>
      <c r="F898" s="16">
        <f>Data!P898</f>
        <v>0</v>
      </c>
    </row>
    <row r="899" spans="2:6" ht="15" customHeight="1" x14ac:dyDescent="0.3">
      <c r="C899" s="2"/>
      <c r="D899" s="8">
        <v>2020</v>
      </c>
      <c r="E899" s="62">
        <f>Data!O899</f>
        <v>0</v>
      </c>
      <c r="F899" s="16">
        <f>Data!P899</f>
        <v>0</v>
      </c>
    </row>
    <row r="900" spans="2:6" ht="15" customHeight="1" x14ac:dyDescent="0.3">
      <c r="C900" s="2"/>
      <c r="D900" s="8">
        <v>2021</v>
      </c>
      <c r="E900" s="62">
        <f>Data!O900</f>
        <v>0.9919</v>
      </c>
      <c r="F900" s="16" t="str">
        <f>Data!P900</f>
        <v>PT Intra Asia Corpora</v>
      </c>
    </row>
    <row r="901" spans="2:6" ht="15" customHeight="1" x14ac:dyDescent="0.3">
      <c r="C901" s="2"/>
      <c r="D901" s="8">
        <v>2022</v>
      </c>
      <c r="E901" s="62">
        <f>Data!O901</f>
        <v>0.99229999999999996</v>
      </c>
      <c r="F901" s="16" t="str">
        <f>Data!P901</f>
        <v>PT Intra Asia Corpora</v>
      </c>
    </row>
    <row r="902" spans="2:6" ht="15" customHeight="1" x14ac:dyDescent="0.3">
      <c r="C902" s="2"/>
      <c r="D902" s="8">
        <v>2023</v>
      </c>
      <c r="E902" s="62">
        <f>Data!O902</f>
        <v>0.99229999999999996</v>
      </c>
      <c r="F902" s="16" t="str">
        <f>Data!P902</f>
        <v>PT Intra Asia Corpora</v>
      </c>
    </row>
    <row r="903" spans="2:6" ht="15" customHeight="1" x14ac:dyDescent="0.3">
      <c r="C903" s="2"/>
      <c r="D903" s="8">
        <v>2024</v>
      </c>
      <c r="E903" s="62">
        <f>Data!O903</f>
        <v>0.99519999999999997</v>
      </c>
      <c r="F903" s="16" t="str">
        <f>Data!P903</f>
        <v>PT Intra Asia Corpora</v>
      </c>
    </row>
    <row r="904" spans="2:6" ht="15" customHeight="1" x14ac:dyDescent="0.3">
      <c r="B904" s="8">
        <v>83</v>
      </c>
      <c r="C904" s="2" t="s">
        <v>98</v>
      </c>
      <c r="D904" s="8">
        <v>2014</v>
      </c>
      <c r="E904" s="62">
        <f>Data!O904</f>
        <v>0</v>
      </c>
      <c r="F904" s="16">
        <f>Data!P904</f>
        <v>0</v>
      </c>
    </row>
    <row r="905" spans="2:6" ht="15" customHeight="1" x14ac:dyDescent="0.3">
      <c r="C905" s="2"/>
      <c r="D905" s="8">
        <v>2015</v>
      </c>
      <c r="E905" s="62">
        <f>Data!O905</f>
        <v>1</v>
      </c>
      <c r="F905" s="16" t="str">
        <f>Data!P905</f>
        <v>Pemerintah Indonesia</v>
      </c>
    </row>
    <row r="906" spans="2:6" ht="15" customHeight="1" x14ac:dyDescent="0.3">
      <c r="C906" s="2"/>
      <c r="D906" s="8">
        <v>2016</v>
      </c>
      <c r="E906" s="62">
        <f>Data!O906</f>
        <v>1</v>
      </c>
      <c r="F906" s="16" t="str">
        <f>Data!P906</f>
        <v>Pemerintah Indonesia</v>
      </c>
    </row>
    <row r="907" spans="2:6" ht="15" customHeight="1" x14ac:dyDescent="0.3">
      <c r="C907" s="2"/>
      <c r="D907" s="8">
        <v>2017</v>
      </c>
      <c r="E907" s="62">
        <f>Data!O907</f>
        <v>1</v>
      </c>
      <c r="F907" s="16" t="str">
        <f>Data!P907</f>
        <v>Pemerintah Indonesia</v>
      </c>
    </row>
    <row r="908" spans="2:6" ht="15" customHeight="1" x14ac:dyDescent="0.3">
      <c r="C908" s="2"/>
      <c r="D908" s="8">
        <v>2018</v>
      </c>
      <c r="E908" s="62">
        <f>Data!O908</f>
        <v>1</v>
      </c>
      <c r="F908" s="16" t="str">
        <f>Data!P908</f>
        <v>Pemerintah Indonesia</v>
      </c>
    </row>
    <row r="909" spans="2:6" ht="15" customHeight="1" x14ac:dyDescent="0.3">
      <c r="C909" s="2"/>
      <c r="D909" s="8">
        <v>2019</v>
      </c>
      <c r="E909" s="62">
        <f>Data!O909</f>
        <v>1</v>
      </c>
      <c r="F909" s="16" t="str">
        <f>Data!P909</f>
        <v>Pemerintah Indonesia</v>
      </c>
    </row>
    <row r="910" spans="2:6" ht="15" customHeight="1" x14ac:dyDescent="0.3">
      <c r="C910" s="2"/>
      <c r="D910" s="8">
        <v>2020</v>
      </c>
      <c r="E910" s="62">
        <f>Data!O910</f>
        <v>1</v>
      </c>
      <c r="F910" s="16" t="str">
        <f>Data!P910</f>
        <v>Pemerintah Indonesia</v>
      </c>
    </row>
    <row r="911" spans="2:6" ht="15" customHeight="1" x14ac:dyDescent="0.3">
      <c r="C911" s="2"/>
      <c r="D911" s="8">
        <v>2021</v>
      </c>
      <c r="E911" s="62">
        <f>Data!O911</f>
        <v>1</v>
      </c>
      <c r="F911" s="16" t="str">
        <f>Data!P911</f>
        <v>Pemerintah Indonesia</v>
      </c>
    </row>
    <row r="912" spans="2:6" ht="15" customHeight="1" x14ac:dyDescent="0.3">
      <c r="C912" s="2"/>
      <c r="D912" s="8">
        <v>2022</v>
      </c>
      <c r="E912" s="62">
        <f>Data!O912</f>
        <v>1</v>
      </c>
      <c r="F912" s="16" t="str">
        <f>Data!P912</f>
        <v>Pemerintah Indonesia</v>
      </c>
    </row>
    <row r="913" spans="2:6" ht="15" customHeight="1" x14ac:dyDescent="0.3">
      <c r="C913" s="2"/>
      <c r="D913" s="8">
        <v>2023</v>
      </c>
      <c r="E913" s="62">
        <f>Data!O913</f>
        <v>1</v>
      </c>
      <c r="F913" s="16" t="str">
        <f>Data!P913</f>
        <v>Pemerintah Indonesia</v>
      </c>
    </row>
    <row r="914" spans="2:6" ht="15" customHeight="1" x14ac:dyDescent="0.3">
      <c r="C914" s="2"/>
      <c r="D914" s="8">
        <v>2024</v>
      </c>
      <c r="E914" s="62">
        <f>Data!O914</f>
        <v>1</v>
      </c>
      <c r="F914" s="16" t="str">
        <f>Data!P914</f>
        <v>Pemerintah Indonesia</v>
      </c>
    </row>
    <row r="915" spans="2:6" ht="15" customHeight="1" x14ac:dyDescent="0.3">
      <c r="B915" s="8">
        <v>84</v>
      </c>
      <c r="C915" s="2" t="s">
        <v>84</v>
      </c>
      <c r="D915" s="8">
        <v>2014</v>
      </c>
      <c r="E915" s="62">
        <f>Data!O915</f>
        <v>0</v>
      </c>
      <c r="F915" s="16">
        <f>Data!P915</f>
        <v>0</v>
      </c>
    </row>
    <row r="916" spans="2:6" ht="15" customHeight="1" x14ac:dyDescent="0.3">
      <c r="C916" s="2"/>
      <c r="D916" s="8">
        <v>2015</v>
      </c>
      <c r="E916" s="62">
        <f>Data!O916</f>
        <v>0.90329999999999999</v>
      </c>
      <c r="F916" s="16" t="str">
        <f>Data!P916</f>
        <v>Dana Pensiun Perkebunan</v>
      </c>
    </row>
    <row r="917" spans="2:6" ht="15" customHeight="1" x14ac:dyDescent="0.3">
      <c r="C917" s="2"/>
      <c r="D917" s="8">
        <v>2016</v>
      </c>
      <c r="E917" s="62">
        <f>Data!O917</f>
        <v>0.87609999999999999</v>
      </c>
      <c r="F917" s="16" t="str">
        <f>Data!P917</f>
        <v>Dana Pensiun Perkebunan</v>
      </c>
    </row>
    <row r="918" spans="2:6" ht="15" customHeight="1" x14ac:dyDescent="0.3">
      <c r="C918" s="2"/>
      <c r="D918" s="8">
        <v>2017</v>
      </c>
      <c r="E918" s="62">
        <f>Data!O918</f>
        <v>0.77439999999999998</v>
      </c>
      <c r="F918" s="16" t="str">
        <f>Data!P918</f>
        <v>Dana Pensiun Perkebunan</v>
      </c>
    </row>
    <row r="919" spans="2:6" ht="15" customHeight="1" x14ac:dyDescent="0.3">
      <c r="C919" s="2"/>
      <c r="D919" s="8">
        <v>2018</v>
      </c>
      <c r="E919" s="62">
        <f>Data!O919</f>
        <v>0.77390000000000003</v>
      </c>
      <c r="F919" s="16" t="str">
        <f>Data!P919</f>
        <v>Dana Pensiun Perkebunan</v>
      </c>
    </row>
    <row r="920" spans="2:6" ht="15" customHeight="1" x14ac:dyDescent="0.3">
      <c r="C920" s="2"/>
      <c r="D920" s="8">
        <v>2019</v>
      </c>
      <c r="E920" s="62">
        <f>Data!O920</f>
        <v>0.77390000000000003</v>
      </c>
      <c r="F920" s="16" t="str">
        <f>Data!P920</f>
        <v>Dana Pensiun Perkebunan</v>
      </c>
    </row>
    <row r="921" spans="2:6" ht="15" customHeight="1" x14ac:dyDescent="0.3">
      <c r="C921" s="2"/>
      <c r="D921" s="8">
        <v>2020</v>
      </c>
      <c r="E921" s="62">
        <f>Data!O921</f>
        <v>0.77390000000000003</v>
      </c>
      <c r="F921" s="16" t="str">
        <f>Data!P921</f>
        <v>Dana Pensiun Perkebunan</v>
      </c>
    </row>
    <row r="922" spans="2:6" ht="15" customHeight="1" x14ac:dyDescent="0.3">
      <c r="C922" s="2"/>
      <c r="D922" s="8">
        <v>2021</v>
      </c>
      <c r="E922" s="62">
        <f>Data!O922</f>
        <v>0.77390000000000003</v>
      </c>
      <c r="F922" s="16" t="str">
        <f>Data!P922</f>
        <v>Dana Pensiun Perkebunan</v>
      </c>
    </row>
    <row r="923" spans="2:6" ht="15" customHeight="1" x14ac:dyDescent="0.3">
      <c r="C923" s="2"/>
      <c r="D923" s="8">
        <v>2022</v>
      </c>
      <c r="E923" s="62">
        <f>Data!O923</f>
        <v>0.77390000000000003</v>
      </c>
      <c r="F923" s="16" t="str">
        <f>Data!P923</f>
        <v>Dana Pensiun Perkebunan</v>
      </c>
    </row>
    <row r="924" spans="2:6" ht="15" customHeight="1" x14ac:dyDescent="0.3">
      <c r="C924" s="2"/>
      <c r="D924" s="8">
        <v>2023</v>
      </c>
      <c r="E924" s="62">
        <f>Data!O924</f>
        <v>0.77390000000000003</v>
      </c>
      <c r="F924" s="16" t="str">
        <f>Data!P924</f>
        <v>Dana Pensiun Perkebunan</v>
      </c>
    </row>
    <row r="925" spans="2:6" ht="15" customHeight="1" x14ac:dyDescent="0.3">
      <c r="C925" s="2"/>
      <c r="D925" s="8">
        <v>2024</v>
      </c>
      <c r="E925" s="62">
        <f>Data!O925</f>
        <v>0.77390000000000003</v>
      </c>
      <c r="F925" s="16" t="str">
        <f>Data!P925</f>
        <v>Dana Pensiun Perkebunan</v>
      </c>
    </row>
    <row r="926" spans="2:6" ht="15" customHeight="1" x14ac:dyDescent="0.3">
      <c r="B926" s="8">
        <v>85</v>
      </c>
      <c r="C926" s="2" t="s">
        <v>99</v>
      </c>
      <c r="D926" s="8">
        <v>2014</v>
      </c>
      <c r="E926" s="62">
        <f>Data!O926</f>
        <v>0</v>
      </c>
      <c r="F926" s="16">
        <f>Data!P926</f>
        <v>0</v>
      </c>
    </row>
    <row r="927" spans="2:6" ht="15" customHeight="1" x14ac:dyDescent="0.3">
      <c r="C927" s="2"/>
      <c r="D927" s="8">
        <v>2015</v>
      </c>
      <c r="E927" s="62">
        <f>Data!O927</f>
        <v>0.93799999999999994</v>
      </c>
      <c r="F927" s="16" t="str">
        <f>Data!P927</f>
        <v>PT Jasa Raharja</v>
      </c>
    </row>
    <row r="928" spans="2:6" ht="15" customHeight="1" x14ac:dyDescent="0.3">
      <c r="C928" s="2"/>
      <c r="D928" s="8">
        <v>2016</v>
      </c>
      <c r="E928" s="62">
        <f>Data!O928</f>
        <v>0.93799999999999994</v>
      </c>
      <c r="F928" s="16" t="str">
        <f>Data!P928</f>
        <v>PT Jasa Raharja</v>
      </c>
    </row>
    <row r="929" spans="2:6" ht="15" customHeight="1" x14ac:dyDescent="0.3">
      <c r="C929" s="2"/>
      <c r="D929" s="8">
        <v>2017</v>
      </c>
      <c r="E929" s="62">
        <f>Data!O929</f>
        <v>0.93799999999999994</v>
      </c>
      <c r="F929" s="16" t="str">
        <f>Data!P929</f>
        <v>PT Jasa Raharja</v>
      </c>
    </row>
    <row r="930" spans="2:6" ht="15" customHeight="1" x14ac:dyDescent="0.3">
      <c r="C930" s="2"/>
      <c r="D930" s="8">
        <v>2018</v>
      </c>
      <c r="E930" s="62">
        <f>Data!O930</f>
        <v>0.93799999999999994</v>
      </c>
      <c r="F930" s="16" t="str">
        <f>Data!P930</f>
        <v>PT Jasa Raharja</v>
      </c>
    </row>
    <row r="931" spans="2:6" ht="15" customHeight="1" x14ac:dyDescent="0.3">
      <c r="C931" s="2"/>
      <c r="D931" s="8">
        <v>2019</v>
      </c>
      <c r="E931" s="62">
        <f>Data!O931</f>
        <v>0.93799999999999994</v>
      </c>
      <c r="F931" s="16" t="str">
        <f>Data!P931</f>
        <v>PT Jasa Raharja</v>
      </c>
    </row>
    <row r="932" spans="2:6" ht="15" customHeight="1" x14ac:dyDescent="0.3">
      <c r="C932" s="2"/>
      <c r="D932" s="8">
        <v>2020</v>
      </c>
      <c r="E932" s="62">
        <f>Data!O932</f>
        <v>0.93799999999999994</v>
      </c>
      <c r="F932" s="16" t="str">
        <f>Data!P932</f>
        <v>PT Jasa Raharja</v>
      </c>
    </row>
    <row r="933" spans="2:6" ht="15" customHeight="1" x14ac:dyDescent="0.3">
      <c r="C933" s="2"/>
      <c r="D933" s="8">
        <v>2021</v>
      </c>
      <c r="E933" s="62">
        <f>Data!O933</f>
        <v>0.93799999999999994</v>
      </c>
      <c r="F933" s="16" t="str">
        <f>Data!P933</f>
        <v>PT Jasa Raharja</v>
      </c>
    </row>
    <row r="934" spans="2:6" ht="15" customHeight="1" x14ac:dyDescent="0.3">
      <c r="C934" s="2"/>
      <c r="D934" s="8">
        <v>2022</v>
      </c>
      <c r="E934" s="62">
        <f>Data!O934</f>
        <v>0.93799999999999994</v>
      </c>
      <c r="F934" s="16" t="str">
        <f>Data!P934</f>
        <v>PT Jasa Raharja</v>
      </c>
    </row>
    <row r="935" spans="2:6" ht="15" customHeight="1" x14ac:dyDescent="0.3">
      <c r="C935" s="2"/>
      <c r="D935" s="8">
        <v>2023</v>
      </c>
      <c r="E935" s="62">
        <f>Data!O935</f>
        <v>0.93799999999999994</v>
      </c>
      <c r="F935" s="16" t="str">
        <f>Data!P935</f>
        <v>PT Jasa Raharja</v>
      </c>
    </row>
    <row r="936" spans="2:6" ht="15" customHeight="1" x14ac:dyDescent="0.3">
      <c r="C936" s="2"/>
      <c r="D936" s="8">
        <v>2024</v>
      </c>
      <c r="E936" s="62">
        <f>Data!O936</f>
        <v>0.93799999999999994</v>
      </c>
      <c r="F936" s="16" t="str">
        <f>Data!P936</f>
        <v>PT Jasa Raharja</v>
      </c>
    </row>
    <row r="937" spans="2:6" ht="15" customHeight="1" x14ac:dyDescent="0.3">
      <c r="B937" s="8">
        <v>86</v>
      </c>
      <c r="C937" s="1" t="s">
        <v>132</v>
      </c>
      <c r="D937" s="8">
        <v>2014</v>
      </c>
      <c r="E937" s="62">
        <f>Data!O937</f>
        <v>0</v>
      </c>
      <c r="F937" s="16">
        <f>Data!P937</f>
        <v>0</v>
      </c>
    </row>
    <row r="938" spans="2:6" ht="15" customHeight="1" x14ac:dyDescent="0.3">
      <c r="C938" s="1"/>
      <c r="D938" s="8">
        <v>2015</v>
      </c>
      <c r="E938" s="62">
        <f>Data!O938</f>
        <v>0</v>
      </c>
      <c r="F938" s="16">
        <f>Data!P938</f>
        <v>0</v>
      </c>
    </row>
    <row r="939" spans="2:6" ht="15" customHeight="1" x14ac:dyDescent="0.3">
      <c r="C939" s="1"/>
      <c r="D939" s="8">
        <v>2016</v>
      </c>
      <c r="E939" s="62">
        <f>Data!O939</f>
        <v>0.95499999999999996</v>
      </c>
      <c r="F939" s="16" t="str">
        <f>Data!P939</f>
        <v>PT Asuransi Jasa Indonesia</v>
      </c>
    </row>
    <row r="940" spans="2:6" ht="15" customHeight="1" x14ac:dyDescent="0.3">
      <c r="C940" s="1"/>
      <c r="D940" s="8">
        <v>2017</v>
      </c>
      <c r="E940" s="62">
        <f>Data!O940</f>
        <v>0.96499999999999997</v>
      </c>
      <c r="F940" s="16" t="str">
        <f>Data!P940</f>
        <v>PT Asuransi Jasa Indonesia</v>
      </c>
    </row>
    <row r="941" spans="2:6" ht="15" customHeight="1" x14ac:dyDescent="0.3">
      <c r="C941" s="1"/>
      <c r="D941" s="8">
        <v>2018</v>
      </c>
      <c r="E941" s="62">
        <f>Data!O941</f>
        <v>0.96499999999999997</v>
      </c>
      <c r="F941" s="16" t="str">
        <f>Data!P941</f>
        <v>PT Asuransi Jasa Indonesia</v>
      </c>
    </row>
    <row r="942" spans="2:6" ht="15" customHeight="1" x14ac:dyDescent="0.3">
      <c r="C942" s="1"/>
      <c r="D942" s="8">
        <v>2019</v>
      </c>
      <c r="E942" s="62">
        <f>Data!O942</f>
        <v>0.96499999999999997</v>
      </c>
      <c r="F942" s="16" t="str">
        <f>Data!P942</f>
        <v>PT Asuransi Jasa Indonesia</v>
      </c>
    </row>
    <row r="943" spans="2:6" ht="15" customHeight="1" x14ac:dyDescent="0.3">
      <c r="C943" s="1"/>
      <c r="D943" s="8">
        <v>2020</v>
      </c>
      <c r="E943" s="62">
        <f>Data!O943</f>
        <v>0.96499999999999997</v>
      </c>
      <c r="F943" s="16" t="str">
        <f>Data!P943</f>
        <v>PT Asuransi Jasa Indonesia</v>
      </c>
    </row>
    <row r="944" spans="2:6" ht="15" customHeight="1" x14ac:dyDescent="0.3">
      <c r="C944" s="1"/>
      <c r="D944" s="8">
        <v>2021</v>
      </c>
      <c r="E944" s="62">
        <f>Data!O944</f>
        <v>0.96499999999999997</v>
      </c>
      <c r="F944" s="16" t="str">
        <f>Data!P944</f>
        <v>PT Asuransi Jasa Indonesia</v>
      </c>
    </row>
    <row r="945" spans="2:6" ht="15" customHeight="1" x14ac:dyDescent="0.3">
      <c r="C945" s="1"/>
      <c r="D945" s="8">
        <v>2022</v>
      </c>
      <c r="E945" s="62">
        <f>Data!O945</f>
        <v>0.96499999999999997</v>
      </c>
      <c r="F945" s="16" t="str">
        <f>Data!P945</f>
        <v>PT Asuransi Jasa Indonesia</v>
      </c>
    </row>
    <row r="946" spans="2:6" ht="15" customHeight="1" x14ac:dyDescent="0.3">
      <c r="C946" s="1"/>
      <c r="D946" s="8">
        <v>2023</v>
      </c>
      <c r="E946" s="62">
        <f>Data!O946</f>
        <v>0.96499999999999997</v>
      </c>
      <c r="F946" s="16" t="str">
        <f>Data!P946</f>
        <v>PT Asuransi Jasa Indonesia</v>
      </c>
    </row>
    <row r="947" spans="2:6" ht="15" customHeight="1" x14ac:dyDescent="0.3">
      <c r="C947" s="1"/>
      <c r="D947" s="8">
        <v>2024</v>
      </c>
      <c r="E947" s="62">
        <f>Data!O947</f>
        <v>0.96499999999999997</v>
      </c>
      <c r="F947" s="16" t="str">
        <f>Data!P947</f>
        <v>PT Asuransi Jasa Indonesia</v>
      </c>
    </row>
    <row r="948" spans="2:6" ht="15" customHeight="1" x14ac:dyDescent="0.3">
      <c r="B948" s="8">
        <v>87</v>
      </c>
      <c r="C948" s="4" t="s">
        <v>129</v>
      </c>
      <c r="D948" s="8">
        <v>2014</v>
      </c>
      <c r="E948" s="62">
        <f>Data!O948</f>
        <v>0</v>
      </c>
      <c r="F948" s="16">
        <f>Data!P948</f>
        <v>0</v>
      </c>
    </row>
    <row r="949" spans="2:6" ht="15" customHeight="1" x14ac:dyDescent="0.3">
      <c r="C949" s="4"/>
      <c r="D949" s="8">
        <v>2015</v>
      </c>
      <c r="E949" s="62">
        <f>Data!O949</f>
        <v>0</v>
      </c>
      <c r="F949" s="16">
        <f>Data!P949</f>
        <v>0</v>
      </c>
    </row>
    <row r="950" spans="2:6" ht="15" customHeight="1" x14ac:dyDescent="0.3">
      <c r="C950" s="4"/>
      <c r="D950" s="8">
        <v>2016</v>
      </c>
      <c r="E950" s="62">
        <f>Data!O950</f>
        <v>0</v>
      </c>
      <c r="F950" s="16">
        <f>Data!P950</f>
        <v>0</v>
      </c>
    </row>
    <row r="951" spans="2:6" ht="15" customHeight="1" x14ac:dyDescent="0.3">
      <c r="C951" s="4"/>
      <c r="D951" s="8">
        <v>2017</v>
      </c>
      <c r="E951" s="62">
        <f>Data!O951</f>
        <v>0</v>
      </c>
      <c r="F951" s="16">
        <f>Data!P951</f>
        <v>0</v>
      </c>
    </row>
    <row r="952" spans="2:6" ht="15" customHeight="1" x14ac:dyDescent="0.3">
      <c r="C952" s="4"/>
      <c r="D952" s="8">
        <v>2018</v>
      </c>
      <c r="E952" s="62">
        <f>Data!O952</f>
        <v>0</v>
      </c>
      <c r="F952" s="16">
        <f>Data!P952</f>
        <v>0</v>
      </c>
    </row>
    <row r="953" spans="2:6" ht="15" customHeight="1" x14ac:dyDescent="0.3">
      <c r="C953" s="4"/>
      <c r="D953" s="8">
        <v>2019</v>
      </c>
      <c r="E953" s="62">
        <f>Data!O953</f>
        <v>0</v>
      </c>
      <c r="F953" s="16">
        <f>Data!P953</f>
        <v>0</v>
      </c>
    </row>
    <row r="954" spans="2:6" ht="15" customHeight="1" x14ac:dyDescent="0.3">
      <c r="C954" s="4"/>
      <c r="D954" s="8">
        <v>2020</v>
      </c>
      <c r="E954" s="62">
        <f>Data!O954</f>
        <v>0</v>
      </c>
      <c r="F954" s="16">
        <f>Data!P954</f>
        <v>0</v>
      </c>
    </row>
    <row r="955" spans="2:6" ht="15" customHeight="1" x14ac:dyDescent="0.3">
      <c r="C955" s="4"/>
      <c r="D955" s="8">
        <v>2021</v>
      </c>
      <c r="E955" s="62">
        <f>Data!O955</f>
        <v>0</v>
      </c>
      <c r="F955" s="16">
        <f>Data!P955</f>
        <v>0</v>
      </c>
    </row>
    <row r="956" spans="2:6" ht="15" customHeight="1" x14ac:dyDescent="0.3">
      <c r="C956" s="4"/>
      <c r="D956" s="8">
        <v>2022</v>
      </c>
      <c r="E956" s="62">
        <f>Data!O956</f>
        <v>0</v>
      </c>
      <c r="F956" s="16">
        <f>Data!P956</f>
        <v>0</v>
      </c>
    </row>
    <row r="957" spans="2:6" ht="15" customHeight="1" x14ac:dyDescent="0.3">
      <c r="C957" s="4"/>
      <c r="D957" s="8">
        <v>2023</v>
      </c>
      <c r="E957" s="62">
        <f>Data!O957</f>
        <v>0</v>
      </c>
      <c r="F957" s="16">
        <f>Data!P957</f>
        <v>0</v>
      </c>
    </row>
    <row r="958" spans="2:6" ht="15" customHeight="1" x14ac:dyDescent="0.3">
      <c r="C958" s="4"/>
      <c r="D958" s="8">
        <v>2024</v>
      </c>
      <c r="E958" s="62">
        <f>Data!O958</f>
        <v>0</v>
      </c>
      <c r="F958" s="16">
        <f>Data!P958</f>
        <v>0</v>
      </c>
    </row>
    <row r="959" spans="2:6" ht="15" customHeight="1" x14ac:dyDescent="0.3">
      <c r="B959" s="8">
        <v>88</v>
      </c>
      <c r="C959" s="2" t="s">
        <v>100</v>
      </c>
      <c r="D959" s="8">
        <v>2014</v>
      </c>
      <c r="E959" s="62">
        <f>Data!O959</f>
        <v>0</v>
      </c>
      <c r="F959" s="16">
        <f>Data!P959</f>
        <v>0</v>
      </c>
    </row>
    <row r="960" spans="2:6" ht="15" customHeight="1" x14ac:dyDescent="0.3">
      <c r="C960" s="2"/>
      <c r="D960" s="8">
        <v>2015</v>
      </c>
      <c r="E960" s="62">
        <f>Data!O960</f>
        <v>0</v>
      </c>
      <c r="F960" s="16">
        <f>Data!P960</f>
        <v>0</v>
      </c>
    </row>
    <row r="961" spans="2:6" ht="15" customHeight="1" x14ac:dyDescent="0.3">
      <c r="C961" s="2"/>
      <c r="D961" s="8">
        <v>2016</v>
      </c>
      <c r="E961" s="62">
        <f>Data!O961</f>
        <v>0</v>
      </c>
      <c r="F961" s="16">
        <f>Data!P961</f>
        <v>0</v>
      </c>
    </row>
    <row r="962" spans="2:6" ht="15" customHeight="1" x14ac:dyDescent="0.3">
      <c r="C962" s="2"/>
      <c r="D962" s="8">
        <v>2017</v>
      </c>
      <c r="E962" s="62">
        <f>Data!O962</f>
        <v>0</v>
      </c>
      <c r="F962" s="16">
        <f>Data!P962</f>
        <v>0</v>
      </c>
    </row>
    <row r="963" spans="2:6" ht="15" customHeight="1" x14ac:dyDescent="0.3">
      <c r="C963" s="2"/>
      <c r="D963" s="8">
        <v>2018</v>
      </c>
      <c r="E963" s="62">
        <f>Data!O963</f>
        <v>0</v>
      </c>
      <c r="F963" s="16">
        <f>Data!P963</f>
        <v>0</v>
      </c>
    </row>
    <row r="964" spans="2:6" ht="15" customHeight="1" x14ac:dyDescent="0.3">
      <c r="C964" s="2"/>
      <c r="D964" s="8">
        <v>2019</v>
      </c>
      <c r="E964" s="62">
        <f>Data!O964</f>
        <v>0</v>
      </c>
      <c r="F964" s="16">
        <f>Data!P964</f>
        <v>0</v>
      </c>
    </row>
    <row r="965" spans="2:6" ht="15" customHeight="1" x14ac:dyDescent="0.3">
      <c r="C965" s="2"/>
      <c r="D965" s="8">
        <v>2020</v>
      </c>
      <c r="E965" s="62">
        <f>Data!O965</f>
        <v>0</v>
      </c>
      <c r="F965" s="16">
        <f>Data!P965</f>
        <v>0</v>
      </c>
    </row>
    <row r="966" spans="2:6" ht="15" customHeight="1" x14ac:dyDescent="0.3">
      <c r="C966" s="2"/>
      <c r="D966" s="8">
        <v>2021</v>
      </c>
      <c r="E966" s="62">
        <f>Data!O966</f>
        <v>0</v>
      </c>
      <c r="F966" s="16">
        <f>Data!P966</f>
        <v>0</v>
      </c>
    </row>
    <row r="967" spans="2:6" ht="15" customHeight="1" x14ac:dyDescent="0.3">
      <c r="C967" s="2"/>
      <c r="D967" s="8">
        <v>2022</v>
      </c>
      <c r="E967" s="62">
        <f>Data!O967</f>
        <v>0</v>
      </c>
      <c r="F967" s="16">
        <f>Data!P967</f>
        <v>0</v>
      </c>
    </row>
    <row r="968" spans="2:6" ht="15" customHeight="1" x14ac:dyDescent="0.3">
      <c r="C968" s="2"/>
      <c r="D968" s="8">
        <v>2023</v>
      </c>
      <c r="E968" s="62">
        <f>Data!O968</f>
        <v>0</v>
      </c>
      <c r="F968" s="16">
        <f>Data!P968</f>
        <v>0</v>
      </c>
    </row>
    <row r="969" spans="2:6" ht="15" customHeight="1" x14ac:dyDescent="0.3">
      <c r="C969" s="2"/>
      <c r="D969" s="8">
        <v>2024</v>
      </c>
      <c r="E969" s="62">
        <f>Data!O969</f>
        <v>0</v>
      </c>
      <c r="F969" s="16">
        <f>Data!P969</f>
        <v>0</v>
      </c>
    </row>
    <row r="970" spans="2:6" ht="15" customHeight="1" x14ac:dyDescent="0.3">
      <c r="B970" s="8">
        <v>89</v>
      </c>
      <c r="C970" s="2" t="s">
        <v>101</v>
      </c>
      <c r="D970" s="8">
        <v>2014</v>
      </c>
      <c r="E970" s="62">
        <f>Data!O970</f>
        <v>0</v>
      </c>
      <c r="F970" s="16">
        <f>Data!P970</f>
        <v>0</v>
      </c>
    </row>
    <row r="971" spans="2:6" ht="15" customHeight="1" x14ac:dyDescent="0.3">
      <c r="C971" s="2"/>
      <c r="D971" s="8">
        <v>2015</v>
      </c>
      <c r="E971" s="62">
        <f>Data!O971</f>
        <v>0.52600000000000002</v>
      </c>
      <c r="F971" s="16" t="str">
        <f>Data!P971</f>
        <v>Masyarakat</v>
      </c>
    </row>
    <row r="972" spans="2:6" ht="15" customHeight="1" x14ac:dyDescent="0.3">
      <c r="C972" s="2"/>
      <c r="D972" s="8">
        <v>2016</v>
      </c>
      <c r="E972" s="62">
        <f>Data!O972</f>
        <v>0.63200000000000001</v>
      </c>
      <c r="F972" s="16" t="str">
        <f>Data!P972</f>
        <v>Masyarakat</v>
      </c>
    </row>
    <row r="973" spans="2:6" ht="15" customHeight="1" x14ac:dyDescent="0.3">
      <c r="C973" s="2"/>
      <c r="D973" s="8">
        <v>2017</v>
      </c>
      <c r="E973" s="62">
        <f>Data!O973</f>
        <v>0.63500000000000001</v>
      </c>
      <c r="F973" s="16" t="str">
        <f>Data!P973</f>
        <v>Masyarakat</v>
      </c>
    </row>
    <row r="974" spans="2:6" ht="15" customHeight="1" x14ac:dyDescent="0.3">
      <c r="C974" s="2"/>
      <c r="D974" s="8">
        <v>2018</v>
      </c>
      <c r="E974" s="62">
        <f>Data!O974</f>
        <v>0.77659999999999996</v>
      </c>
      <c r="F974" s="16" t="str">
        <f>Data!P974</f>
        <v>Masyarakat</v>
      </c>
    </row>
    <row r="975" spans="2:6" ht="15" customHeight="1" x14ac:dyDescent="0.3">
      <c r="C975" s="2"/>
      <c r="D975" s="8">
        <v>2019</v>
      </c>
      <c r="E975" s="62">
        <f>Data!O975</f>
        <v>0.72629999999999995</v>
      </c>
      <c r="F975" s="16" t="str">
        <f>Data!P975</f>
        <v>Masyarakat</v>
      </c>
    </row>
    <row r="976" spans="2:6" ht="15" customHeight="1" x14ac:dyDescent="0.3">
      <c r="C976" s="2"/>
      <c r="D976" s="8">
        <v>2020</v>
      </c>
      <c r="E976" s="62">
        <f>Data!O976</f>
        <v>0.69910000000000005</v>
      </c>
      <c r="F976" s="16" t="str">
        <f>Data!P976</f>
        <v>Masyarakat</v>
      </c>
    </row>
    <row r="977" spans="2:6" ht="15" customHeight="1" x14ac:dyDescent="0.3">
      <c r="C977" s="2"/>
      <c r="D977" s="8">
        <v>2021</v>
      </c>
      <c r="E977" s="62">
        <f>Data!O977</f>
        <v>0.69910000000000005</v>
      </c>
      <c r="F977" s="16" t="str">
        <f>Data!P977</f>
        <v>Masyarakat</v>
      </c>
    </row>
    <row r="978" spans="2:6" ht="15" customHeight="1" x14ac:dyDescent="0.3">
      <c r="C978" s="2"/>
      <c r="D978" s="8">
        <v>2022</v>
      </c>
      <c r="E978" s="62">
        <f>Data!O978</f>
        <v>0.69910000000000005</v>
      </c>
      <c r="F978" s="16" t="str">
        <f>Data!P978</f>
        <v>Masyarakat</v>
      </c>
    </row>
    <row r="979" spans="2:6" ht="15" customHeight="1" x14ac:dyDescent="0.3">
      <c r="C979" s="2"/>
      <c r="D979" s="8">
        <v>2023</v>
      </c>
      <c r="E979" s="62">
        <f>Data!O979</f>
        <v>0.69030000000000002</v>
      </c>
      <c r="F979" s="16" t="str">
        <f>Data!P979</f>
        <v>Masyarakat</v>
      </c>
    </row>
    <row r="980" spans="2:6" ht="15" customHeight="1" x14ac:dyDescent="0.3">
      <c r="C980" s="2"/>
      <c r="D980" s="8">
        <v>2024</v>
      </c>
      <c r="E980" s="62">
        <f>Data!O980</f>
        <v>0.69030000000000002</v>
      </c>
      <c r="F980" s="16" t="str">
        <f>Data!P980</f>
        <v>Masyarakat</v>
      </c>
    </row>
    <row r="981" spans="2:6" ht="15" customHeight="1" x14ac:dyDescent="0.3">
      <c r="B981" s="8">
        <v>90</v>
      </c>
      <c r="C981" s="2" t="s">
        <v>93</v>
      </c>
      <c r="D981" s="8">
        <v>2014</v>
      </c>
      <c r="E981" s="62">
        <f>Data!O981</f>
        <v>0</v>
      </c>
      <c r="F981" s="16">
        <f>Data!P981</f>
        <v>0</v>
      </c>
    </row>
    <row r="982" spans="2:6" ht="15" customHeight="1" x14ac:dyDescent="0.3">
      <c r="C982" s="2"/>
      <c r="D982" s="8">
        <v>2015</v>
      </c>
      <c r="E982" s="62">
        <f>Data!O982</f>
        <v>0.56899999999999995</v>
      </c>
      <c r="F982" s="16" t="str">
        <f>Data!P982</f>
        <v>PT Mitra Pinasthika Mustika</v>
      </c>
    </row>
    <row r="983" spans="2:6" ht="15" customHeight="1" x14ac:dyDescent="0.3">
      <c r="C983" s="2"/>
      <c r="D983" s="8">
        <v>2016</v>
      </c>
      <c r="E983" s="62">
        <f>Data!O983</f>
        <v>0.56899999999999995</v>
      </c>
      <c r="F983" s="16" t="str">
        <f>Data!P983</f>
        <v>PT Mitra Pinasthika Mustika</v>
      </c>
    </row>
    <row r="984" spans="2:6" ht="15" customHeight="1" x14ac:dyDescent="0.3">
      <c r="C984" s="2"/>
      <c r="D984" s="8">
        <v>2017</v>
      </c>
      <c r="E984" s="62">
        <f>Data!O984</f>
        <v>0.56899999999999995</v>
      </c>
      <c r="F984" s="16" t="str">
        <f>Data!P984</f>
        <v>PT Mitra Pinasthika Mustika</v>
      </c>
    </row>
    <row r="985" spans="2:6" ht="15" customHeight="1" x14ac:dyDescent="0.3">
      <c r="C985" s="2"/>
      <c r="D985" s="8">
        <v>2018</v>
      </c>
      <c r="E985" s="62">
        <f>Data!O985</f>
        <v>0.56899999999999995</v>
      </c>
      <c r="F985" s="16" t="str">
        <f>Data!P985</f>
        <v>PT Mitra Pinasthika Mustika</v>
      </c>
    </row>
    <row r="986" spans="2:6" ht="15" customHeight="1" x14ac:dyDescent="0.3">
      <c r="C986" s="2"/>
      <c r="D986" s="8">
        <v>2019</v>
      </c>
      <c r="E986" s="62">
        <f>Data!O986</f>
        <v>0.56899999999999995</v>
      </c>
      <c r="F986" s="16" t="str">
        <f>Data!P986</f>
        <v>PT Mitra Pinasthika Mustika</v>
      </c>
    </row>
    <row r="987" spans="2:6" ht="15" customHeight="1" x14ac:dyDescent="0.3">
      <c r="C987" s="2"/>
      <c r="D987" s="8">
        <v>2020</v>
      </c>
      <c r="E987" s="62">
        <f>Data!O987</f>
        <v>0.88</v>
      </c>
      <c r="F987" s="16" t="str">
        <f>Data!P987</f>
        <v>PT Mitra Pinasthika Mustika</v>
      </c>
    </row>
    <row r="988" spans="2:6" ht="15" customHeight="1" x14ac:dyDescent="0.3">
      <c r="C988" s="2"/>
      <c r="D988" s="8">
        <v>2021</v>
      </c>
      <c r="E988" s="62">
        <f>Data!O988</f>
        <v>0.88</v>
      </c>
      <c r="F988" s="16" t="str">
        <f>Data!P988</f>
        <v>PT Mitra Pinasthika Mustika</v>
      </c>
    </row>
    <row r="989" spans="2:6" ht="15" customHeight="1" x14ac:dyDescent="0.3">
      <c r="C989" s="2"/>
      <c r="D989" s="8">
        <v>2022</v>
      </c>
      <c r="E989" s="62">
        <f>Data!O989</f>
        <v>0.96</v>
      </c>
      <c r="F989" s="16" t="str">
        <f>Data!P989</f>
        <v>PT Mitra Pinasthika Mustika</v>
      </c>
    </row>
    <row r="990" spans="2:6" ht="15" customHeight="1" x14ac:dyDescent="0.3">
      <c r="C990" s="2"/>
      <c r="D990" s="8">
        <v>2023</v>
      </c>
      <c r="E990" s="62">
        <f>Data!O990</f>
        <v>0.995</v>
      </c>
      <c r="F990" s="16" t="str">
        <f>Data!P990</f>
        <v>PT Mitra Pinasthika Mustika</v>
      </c>
    </row>
    <row r="991" spans="2:6" ht="15" customHeight="1" x14ac:dyDescent="0.3">
      <c r="C991" s="2"/>
      <c r="D991" s="8">
        <v>2024</v>
      </c>
      <c r="E991" s="62">
        <f>Data!O991</f>
        <v>0.99990000000000001</v>
      </c>
      <c r="F991" s="16" t="str">
        <f>Data!P991</f>
        <v>PT Mitra Pinasthika Mustika</v>
      </c>
    </row>
    <row r="992" spans="2:6" ht="15" customHeight="1" x14ac:dyDescent="0.3">
      <c r="B992" s="8">
        <v>91</v>
      </c>
      <c r="C992" s="2" t="s">
        <v>88</v>
      </c>
      <c r="D992" s="8">
        <v>2014</v>
      </c>
      <c r="E992" s="62">
        <f>Data!O992</f>
        <v>0</v>
      </c>
      <c r="F992" s="16">
        <f>Data!P992</f>
        <v>0</v>
      </c>
    </row>
    <row r="993" spans="2:6" ht="15" customHeight="1" x14ac:dyDescent="0.3">
      <c r="C993" s="2"/>
      <c r="D993" s="8">
        <v>2015</v>
      </c>
      <c r="E993" s="62">
        <f>Data!O993</f>
        <v>0.8</v>
      </c>
      <c r="F993" s="16" t="str">
        <f>Data!P993</f>
        <v>MSIG Holdings (Asia)</v>
      </c>
    </row>
    <row r="994" spans="2:6" ht="15" customHeight="1" x14ac:dyDescent="0.3">
      <c r="C994" s="2"/>
      <c r="D994" s="8">
        <v>2016</v>
      </c>
      <c r="E994" s="62">
        <f>Data!O994</f>
        <v>0.8</v>
      </c>
      <c r="F994" s="16" t="str">
        <f>Data!P994</f>
        <v>MSIG Holdings (Asia)</v>
      </c>
    </row>
    <row r="995" spans="2:6" ht="15" customHeight="1" x14ac:dyDescent="0.3">
      <c r="C995" s="2"/>
      <c r="D995" s="8">
        <v>2017</v>
      </c>
      <c r="E995" s="62">
        <f>Data!O995</f>
        <v>0.8</v>
      </c>
      <c r="F995" s="16" t="str">
        <f>Data!P995</f>
        <v>MSIG Holdings (Asia)</v>
      </c>
    </row>
    <row r="996" spans="2:6" ht="15" customHeight="1" x14ac:dyDescent="0.3">
      <c r="C996" s="2"/>
      <c r="D996" s="8">
        <v>2018</v>
      </c>
      <c r="E996" s="62">
        <f>Data!O996</f>
        <v>0.8</v>
      </c>
      <c r="F996" s="16" t="str">
        <f>Data!P996</f>
        <v>MSIG Holdings (Asia)</v>
      </c>
    </row>
    <row r="997" spans="2:6" ht="15" customHeight="1" x14ac:dyDescent="0.3">
      <c r="C997" s="2"/>
      <c r="D997" s="8">
        <v>2019</v>
      </c>
      <c r="E997" s="62">
        <f>Data!O997</f>
        <v>0.8</v>
      </c>
      <c r="F997" s="16" t="str">
        <f>Data!P997</f>
        <v>MSIG Holdings (Asia)</v>
      </c>
    </row>
    <row r="998" spans="2:6" ht="15" customHeight="1" x14ac:dyDescent="0.3">
      <c r="C998" s="2"/>
      <c r="D998" s="8">
        <v>2020</v>
      </c>
      <c r="E998" s="62">
        <f>Data!O998</f>
        <v>0.8</v>
      </c>
      <c r="F998" s="16" t="str">
        <f>Data!P998</f>
        <v>MSIG Holdings (Asia)</v>
      </c>
    </row>
    <row r="999" spans="2:6" ht="15" customHeight="1" x14ac:dyDescent="0.3">
      <c r="C999" s="2"/>
      <c r="D999" s="8">
        <v>2021</v>
      </c>
      <c r="E999" s="62">
        <f>Data!O999</f>
        <v>0.8</v>
      </c>
      <c r="F999" s="16" t="str">
        <f>Data!P999</f>
        <v>MSIG Holdings (Asia)</v>
      </c>
    </row>
    <row r="1000" spans="2:6" ht="15" customHeight="1" x14ac:dyDescent="0.3">
      <c r="C1000" s="2"/>
      <c r="D1000" s="8">
        <v>2022</v>
      </c>
      <c r="E1000" s="62">
        <f>Data!O1000</f>
        <v>0.8</v>
      </c>
      <c r="F1000" s="16" t="str">
        <f>Data!P1000</f>
        <v>MSIG Holdings (Asia)</v>
      </c>
    </row>
    <row r="1001" spans="2:6" ht="15" customHeight="1" x14ac:dyDescent="0.3">
      <c r="C1001" s="2"/>
      <c r="D1001" s="8">
        <v>2023</v>
      </c>
      <c r="E1001" s="62">
        <f>Data!O1001</f>
        <v>0.8</v>
      </c>
      <c r="F1001" s="16" t="str">
        <f>Data!P1001</f>
        <v>Mitsui Sumitomo Insurance</v>
      </c>
    </row>
    <row r="1002" spans="2:6" ht="15" customHeight="1" x14ac:dyDescent="0.3">
      <c r="C1002" s="2"/>
      <c r="D1002" s="8">
        <v>2024</v>
      </c>
      <c r="E1002" s="62">
        <f>Data!O1002</f>
        <v>0.8</v>
      </c>
      <c r="F1002" s="16" t="str">
        <f>Data!P1002</f>
        <v>Mitsui Sumitomo Insurance</v>
      </c>
    </row>
    <row r="1003" spans="2:6" ht="15" customHeight="1" x14ac:dyDescent="0.3">
      <c r="B1003" s="8">
        <v>92</v>
      </c>
      <c r="C1003" s="2" t="s">
        <v>94</v>
      </c>
      <c r="D1003" s="8">
        <v>2014</v>
      </c>
      <c r="E1003" s="62">
        <f>Data!O1003</f>
        <v>0</v>
      </c>
      <c r="F1003" s="16">
        <f>Data!P1003</f>
        <v>0</v>
      </c>
    </row>
    <row r="1004" spans="2:6" ht="15" customHeight="1" x14ac:dyDescent="0.3">
      <c r="C1004" s="2"/>
      <c r="D1004" s="8">
        <v>2015</v>
      </c>
      <c r="E1004" s="62">
        <f>Data!O1004</f>
        <v>0.55610000000000004</v>
      </c>
      <c r="F1004" s="16" t="str">
        <f>Data!P1004</f>
        <v>PT Paninvest</v>
      </c>
    </row>
    <row r="1005" spans="2:6" ht="15" customHeight="1" x14ac:dyDescent="0.3">
      <c r="C1005" s="2"/>
      <c r="D1005" s="8">
        <v>2016</v>
      </c>
      <c r="E1005" s="62">
        <f>Data!O1005</f>
        <v>0.8</v>
      </c>
      <c r="F1005" s="16" t="str">
        <f>Data!P1005</f>
        <v>Fairfax Asia</v>
      </c>
    </row>
    <row r="1006" spans="2:6" ht="15" customHeight="1" x14ac:dyDescent="0.3">
      <c r="C1006" s="2"/>
      <c r="D1006" s="8">
        <v>2017</v>
      </c>
      <c r="E1006" s="62">
        <f>Data!O1006</f>
        <v>0.8</v>
      </c>
      <c r="F1006" s="16" t="str">
        <f>Data!P1006</f>
        <v>Fairfax Asia</v>
      </c>
    </row>
    <row r="1007" spans="2:6" ht="15" customHeight="1" x14ac:dyDescent="0.3">
      <c r="C1007" s="2"/>
      <c r="D1007" s="8">
        <v>2018</v>
      </c>
      <c r="E1007" s="62">
        <f>Data!O1007</f>
        <v>0.8</v>
      </c>
      <c r="F1007" s="16" t="str">
        <f>Data!P1007</f>
        <v>Fairfax Asia</v>
      </c>
    </row>
    <row r="1008" spans="2:6" ht="15" customHeight="1" x14ac:dyDescent="0.3">
      <c r="C1008" s="2"/>
      <c r="D1008" s="8">
        <v>2019</v>
      </c>
      <c r="E1008" s="62">
        <f>Data!O1008</f>
        <v>0.8</v>
      </c>
      <c r="F1008" s="16" t="str">
        <f>Data!P1008</f>
        <v>Fairfax Asia</v>
      </c>
    </row>
    <row r="1009" spans="2:6" ht="15" customHeight="1" x14ac:dyDescent="0.3">
      <c r="C1009" s="2"/>
      <c r="D1009" s="8">
        <v>2020</v>
      </c>
      <c r="E1009" s="62">
        <f>Data!O1009</f>
        <v>0.8</v>
      </c>
      <c r="F1009" s="16" t="str">
        <f>Data!P1009</f>
        <v>Fairfax Asia</v>
      </c>
    </row>
    <row r="1010" spans="2:6" ht="15" customHeight="1" x14ac:dyDescent="0.3">
      <c r="C1010" s="2"/>
      <c r="D1010" s="8">
        <v>2021</v>
      </c>
      <c r="E1010" s="62">
        <f>Data!O1010</f>
        <v>0.8</v>
      </c>
      <c r="F1010" s="16" t="str">
        <f>Data!P1010</f>
        <v>Fairfax Asia</v>
      </c>
    </row>
    <row r="1011" spans="2:6" ht="15" customHeight="1" x14ac:dyDescent="0.3">
      <c r="C1011" s="2"/>
      <c r="D1011" s="8">
        <v>2022</v>
      </c>
      <c r="E1011" s="62">
        <f>Data!O1011</f>
        <v>0.8</v>
      </c>
      <c r="F1011" s="16" t="str">
        <f>Data!P1011</f>
        <v>Fairfax Asia</v>
      </c>
    </row>
    <row r="1012" spans="2:6" ht="15" customHeight="1" x14ac:dyDescent="0.3">
      <c r="C1012" s="2"/>
      <c r="D1012" s="8">
        <v>2023</v>
      </c>
      <c r="E1012" s="62">
        <f>Data!O1012</f>
        <v>0.8</v>
      </c>
      <c r="F1012" s="16" t="str">
        <f>Data!P1012</f>
        <v>Fairfax Asia</v>
      </c>
    </row>
    <row r="1013" spans="2:6" ht="15" customHeight="1" x14ac:dyDescent="0.3">
      <c r="C1013" s="2"/>
      <c r="D1013" s="8">
        <v>2024</v>
      </c>
      <c r="E1013" s="62">
        <f>Data!O1013</f>
        <v>0.8</v>
      </c>
      <c r="F1013" s="16" t="str">
        <f>Data!P1013</f>
        <v>Fairfax Asia</v>
      </c>
    </row>
    <row r="1014" spans="2:6" ht="15" customHeight="1" x14ac:dyDescent="0.3">
      <c r="B1014" s="8">
        <v>93</v>
      </c>
      <c r="C1014" s="2" t="s">
        <v>102</v>
      </c>
      <c r="D1014" s="8">
        <v>2014</v>
      </c>
      <c r="E1014" s="62">
        <f>Data!O1014</f>
        <v>0</v>
      </c>
      <c r="F1014" s="16">
        <f>Data!P1014</f>
        <v>0</v>
      </c>
    </row>
    <row r="1015" spans="2:6" ht="15" customHeight="1" x14ac:dyDescent="0.3">
      <c r="C1015" s="2"/>
      <c r="D1015" s="8">
        <v>2015</v>
      </c>
      <c r="E1015" s="62">
        <f>Data!O1015</f>
        <v>0.63590000000000002</v>
      </c>
      <c r="F1015" s="16" t="str">
        <f>Data!P1015</f>
        <v>Yayasan Pendidikan dan Kesejahteraan PT PLN</v>
      </c>
    </row>
    <row r="1016" spans="2:6" ht="15" customHeight="1" x14ac:dyDescent="0.3">
      <c r="C1016" s="2"/>
      <c r="D1016" s="8">
        <v>2016</v>
      </c>
      <c r="E1016" s="62">
        <f>Data!O1016</f>
        <v>0.67779999999999996</v>
      </c>
      <c r="F1016" s="16" t="str">
        <f>Data!P1016</f>
        <v>Dana Pensiun PT PLN</v>
      </c>
    </row>
    <row r="1017" spans="2:6" ht="15" customHeight="1" x14ac:dyDescent="0.3">
      <c r="C1017" s="2"/>
      <c r="D1017" s="8">
        <v>2017</v>
      </c>
      <c r="E1017" s="62">
        <f>Data!O1017</f>
        <v>0.67779999999999996</v>
      </c>
      <c r="F1017" s="16" t="str">
        <f>Data!P1017</f>
        <v>Dana Pensiun PT PLN</v>
      </c>
    </row>
    <row r="1018" spans="2:6" ht="15" customHeight="1" x14ac:dyDescent="0.3">
      <c r="C1018" s="2"/>
      <c r="D1018" s="8">
        <v>2018</v>
      </c>
      <c r="E1018" s="62">
        <f>Data!O1018</f>
        <v>0.70399999999999996</v>
      </c>
      <c r="F1018" s="16" t="str">
        <f>Data!P1018</f>
        <v>Dana Pensiun PT PLN</v>
      </c>
    </row>
    <row r="1019" spans="2:6" ht="15" customHeight="1" x14ac:dyDescent="0.3">
      <c r="C1019" s="2"/>
      <c r="D1019" s="8">
        <v>2019</v>
      </c>
      <c r="E1019" s="62">
        <f>Data!O1019</f>
        <v>0.79800000000000004</v>
      </c>
      <c r="F1019" s="16" t="str">
        <f>Data!P1019</f>
        <v>Dana Pensiun PT PLN</v>
      </c>
    </row>
    <row r="1020" spans="2:6" ht="15" customHeight="1" x14ac:dyDescent="0.3">
      <c r="C1020" s="2"/>
      <c r="D1020" s="8">
        <v>2020</v>
      </c>
      <c r="E1020" s="62">
        <f>Data!O1020</f>
        <v>0.79800000000000004</v>
      </c>
      <c r="F1020" s="16" t="str">
        <f>Data!P1020</f>
        <v>Dana Pensiun PT PLN</v>
      </c>
    </row>
    <row r="1021" spans="2:6" ht="15" customHeight="1" x14ac:dyDescent="0.3">
      <c r="C1021" s="2"/>
      <c r="D1021" s="8">
        <v>2021</v>
      </c>
      <c r="E1021" s="62">
        <f>Data!O1021</f>
        <v>0.79800000000000004</v>
      </c>
      <c r="F1021" s="16" t="str">
        <f>Data!P1021</f>
        <v>Dana Pensiun PT PLN</v>
      </c>
    </row>
    <row r="1022" spans="2:6" ht="15" customHeight="1" x14ac:dyDescent="0.3">
      <c r="C1022" s="2"/>
      <c r="D1022" s="8">
        <v>2022</v>
      </c>
      <c r="E1022" s="62">
        <f>Data!O1022</f>
        <v>0.79800000000000004</v>
      </c>
      <c r="F1022" s="16" t="str">
        <f>Data!P1022</f>
        <v>Dana Pensiun PT PLN</v>
      </c>
    </row>
    <row r="1023" spans="2:6" ht="15" customHeight="1" x14ac:dyDescent="0.3">
      <c r="C1023" s="2"/>
      <c r="D1023" s="8">
        <v>2023</v>
      </c>
      <c r="E1023" s="62">
        <f>Data!O1023</f>
        <v>0.79820000000000002</v>
      </c>
      <c r="F1023" s="16" t="str">
        <f>Data!P1023</f>
        <v>Dana Pensiun PT PLN</v>
      </c>
    </row>
    <row r="1024" spans="2:6" ht="15" customHeight="1" x14ac:dyDescent="0.3">
      <c r="C1024" s="2"/>
      <c r="D1024" s="8">
        <v>2024</v>
      </c>
      <c r="E1024" s="62">
        <f>Data!O1024</f>
        <v>0.79820000000000002</v>
      </c>
      <c r="F1024" s="16" t="str">
        <f>Data!P1024</f>
        <v>Dana Pensiun PT PLN</v>
      </c>
    </row>
    <row r="1025" spans="2:6" ht="15" customHeight="1" x14ac:dyDescent="0.3">
      <c r="B1025" s="8">
        <v>94</v>
      </c>
      <c r="C1025" s="2" t="s">
        <v>114</v>
      </c>
      <c r="D1025" s="8">
        <v>2014</v>
      </c>
      <c r="E1025" s="62">
        <f>Data!O1025</f>
        <v>0</v>
      </c>
      <c r="F1025" s="16">
        <f>Data!P1025</f>
        <v>0</v>
      </c>
    </row>
    <row r="1026" spans="2:6" ht="15" customHeight="1" x14ac:dyDescent="0.3">
      <c r="C1026" s="2"/>
      <c r="D1026" s="8">
        <v>2015</v>
      </c>
      <c r="E1026" s="62">
        <f>Data!O1026</f>
        <v>0.6</v>
      </c>
      <c r="F1026" s="16" t="str">
        <f>Data!P1026</f>
        <v>Roger Yeh</v>
      </c>
    </row>
    <row r="1027" spans="2:6" ht="15" customHeight="1" x14ac:dyDescent="0.3">
      <c r="C1027" s="2"/>
      <c r="D1027" s="8">
        <v>2016</v>
      </c>
      <c r="E1027" s="62">
        <f>Data!O1027</f>
        <v>0.6</v>
      </c>
      <c r="F1027" s="16" t="str">
        <f>Data!P1027</f>
        <v>Roger Yeh</v>
      </c>
    </row>
    <row r="1028" spans="2:6" ht="15" customHeight="1" x14ac:dyDescent="0.3">
      <c r="C1028" s="2"/>
      <c r="D1028" s="8">
        <v>2017</v>
      </c>
      <c r="E1028" s="62">
        <f>Data!O1028</f>
        <v>0.6</v>
      </c>
      <c r="F1028" s="16" t="str">
        <f>Data!P1028</f>
        <v>Roger Yeh</v>
      </c>
    </row>
    <row r="1029" spans="2:6" ht="15" customHeight="1" x14ac:dyDescent="0.3">
      <c r="C1029" s="2"/>
      <c r="D1029" s="8">
        <v>2018</v>
      </c>
      <c r="E1029" s="62">
        <f>Data!O1029</f>
        <v>0.6</v>
      </c>
      <c r="F1029" s="16" t="str">
        <f>Data!P1029</f>
        <v>Roger Yeh</v>
      </c>
    </row>
    <row r="1030" spans="2:6" ht="15" customHeight="1" x14ac:dyDescent="0.3">
      <c r="C1030" s="2"/>
      <c r="D1030" s="8">
        <v>2019</v>
      </c>
      <c r="E1030" s="62">
        <f>Data!O1030</f>
        <v>0.6</v>
      </c>
      <c r="F1030" s="16" t="str">
        <f>Data!P1030</f>
        <v>Roger Yeh</v>
      </c>
    </row>
    <row r="1031" spans="2:6" ht="15" customHeight="1" x14ac:dyDescent="0.3">
      <c r="C1031" s="2"/>
      <c r="D1031" s="8">
        <v>2020</v>
      </c>
      <c r="E1031" s="62">
        <f>Data!O1031</f>
        <v>0.6</v>
      </c>
      <c r="F1031" s="16" t="str">
        <f>Data!P1031</f>
        <v>Roger Yeh</v>
      </c>
    </row>
    <row r="1032" spans="2:6" ht="15" customHeight="1" x14ac:dyDescent="0.3">
      <c r="C1032" s="2"/>
      <c r="D1032" s="8">
        <v>2021</v>
      </c>
      <c r="E1032" s="62">
        <f>Data!O1032</f>
        <v>0.6</v>
      </c>
      <c r="F1032" s="16" t="str">
        <f>Data!P1032</f>
        <v>Roger Yeh</v>
      </c>
    </row>
    <row r="1033" spans="2:6" ht="15" customHeight="1" x14ac:dyDescent="0.3">
      <c r="C1033" s="2"/>
      <c r="D1033" s="8">
        <v>2022</v>
      </c>
      <c r="E1033" s="62">
        <f>Data!O1033</f>
        <v>0.6</v>
      </c>
      <c r="F1033" s="16" t="str">
        <f>Data!P1033</f>
        <v>Roger Yeh</v>
      </c>
    </row>
    <row r="1034" spans="2:6" ht="15" customHeight="1" x14ac:dyDescent="0.3">
      <c r="C1034" s="2"/>
      <c r="D1034" s="8">
        <v>2023</v>
      </c>
      <c r="E1034" s="62">
        <f>Data!O1034</f>
        <v>0.6</v>
      </c>
      <c r="F1034" s="16" t="str">
        <f>Data!P1034</f>
        <v>Roger Yeh</v>
      </c>
    </row>
    <row r="1035" spans="2:6" ht="15" customHeight="1" x14ac:dyDescent="0.3">
      <c r="C1035" s="2"/>
      <c r="D1035" s="8">
        <v>2024</v>
      </c>
      <c r="E1035" s="62">
        <f>Data!O1035</f>
        <v>0.6</v>
      </c>
      <c r="F1035" s="16" t="str">
        <f>Data!P1035</f>
        <v>Roger Yeh</v>
      </c>
    </row>
    <row r="1036" spans="2:6" ht="15" customHeight="1" x14ac:dyDescent="0.3">
      <c r="B1036" s="8">
        <v>95</v>
      </c>
      <c r="C1036" s="2" t="s">
        <v>115</v>
      </c>
      <c r="D1036" s="8">
        <v>2014</v>
      </c>
      <c r="E1036" s="62">
        <f>Data!O1036</f>
        <v>0</v>
      </c>
      <c r="F1036" s="16">
        <f>Data!P1036</f>
        <v>0</v>
      </c>
    </row>
    <row r="1037" spans="2:6" ht="15" customHeight="1" x14ac:dyDescent="0.3">
      <c r="C1037" s="2"/>
      <c r="D1037" s="8">
        <v>2015</v>
      </c>
      <c r="E1037" s="62">
        <f>Data!O1037</f>
        <v>0</v>
      </c>
      <c r="F1037" s="16">
        <f>Data!P1037</f>
        <v>0</v>
      </c>
    </row>
    <row r="1038" spans="2:6" ht="15" customHeight="1" x14ac:dyDescent="0.3">
      <c r="C1038" s="2"/>
      <c r="D1038" s="8">
        <v>2016</v>
      </c>
      <c r="E1038" s="62">
        <f>Data!O1038</f>
        <v>0</v>
      </c>
      <c r="F1038" s="16">
        <f>Data!P1038</f>
        <v>0</v>
      </c>
    </row>
    <row r="1039" spans="2:6" ht="15" customHeight="1" x14ac:dyDescent="0.3">
      <c r="C1039" s="2"/>
      <c r="D1039" s="8">
        <v>2017</v>
      </c>
      <c r="E1039" s="62">
        <f>Data!O1039</f>
        <v>0</v>
      </c>
      <c r="F1039" s="16">
        <f>Data!P1039</f>
        <v>0</v>
      </c>
    </row>
    <row r="1040" spans="2:6" ht="15" customHeight="1" x14ac:dyDescent="0.3">
      <c r="C1040" s="2"/>
      <c r="D1040" s="8">
        <v>2018</v>
      </c>
      <c r="E1040" s="62">
        <f>Data!O1040</f>
        <v>0</v>
      </c>
      <c r="F1040" s="16">
        <f>Data!P1040</f>
        <v>0</v>
      </c>
    </row>
    <row r="1041" spans="2:6" ht="15" customHeight="1" x14ac:dyDescent="0.3">
      <c r="C1041" s="2"/>
      <c r="D1041" s="8">
        <v>2019</v>
      </c>
      <c r="E1041" s="62">
        <f>Data!O1041</f>
        <v>0.22600000000000001</v>
      </c>
      <c r="F1041" s="16" t="str">
        <f>Data!P1041</f>
        <v>Yogeshlal M. Vaswani</v>
      </c>
    </row>
    <row r="1042" spans="2:6" ht="15" customHeight="1" x14ac:dyDescent="0.3">
      <c r="C1042" s="2"/>
      <c r="D1042" s="8">
        <v>2020</v>
      </c>
      <c r="E1042" s="62">
        <f>Data!O1042</f>
        <v>0.22600000000000001</v>
      </c>
      <c r="F1042" s="16" t="str">
        <f>Data!P1042</f>
        <v>Yogeshlal M. Vaswani</v>
      </c>
    </row>
    <row r="1043" spans="2:6" ht="15" customHeight="1" x14ac:dyDescent="0.3">
      <c r="C1043" s="2"/>
      <c r="D1043" s="8">
        <v>2021</v>
      </c>
      <c r="E1043" s="62">
        <f>Data!O1043</f>
        <v>0.22600000000000001</v>
      </c>
      <c r="F1043" s="16" t="str">
        <f>Data!P1043</f>
        <v>Yogeshlal M. Vaswani</v>
      </c>
    </row>
    <row r="1044" spans="2:6" ht="15" customHeight="1" x14ac:dyDescent="0.3">
      <c r="C1044" s="2"/>
      <c r="D1044" s="8">
        <v>2022</v>
      </c>
      <c r="E1044" s="62">
        <f>Data!O1044</f>
        <v>0.22600000000000001</v>
      </c>
      <c r="F1044" s="16" t="str">
        <f>Data!P1044</f>
        <v>Yogeshlal M. Vaswani</v>
      </c>
    </row>
    <row r="1045" spans="2:6" ht="15" customHeight="1" x14ac:dyDescent="0.3">
      <c r="C1045" s="2"/>
      <c r="D1045" s="8">
        <v>2023</v>
      </c>
      <c r="E1045" s="62">
        <f>Data!O1045</f>
        <v>0.22600000000000001</v>
      </c>
      <c r="F1045" s="16" t="str">
        <f>Data!P1045</f>
        <v>Yogeshlal M. Vaswani</v>
      </c>
    </row>
    <row r="1046" spans="2:6" ht="15" customHeight="1" x14ac:dyDescent="0.3">
      <c r="C1046" s="2"/>
      <c r="D1046" s="8">
        <v>2024</v>
      </c>
      <c r="E1046" s="62">
        <f>Data!O1046</f>
        <v>0.64339999999999997</v>
      </c>
      <c r="F1046" s="16" t="str">
        <f>Data!P1046</f>
        <v>Muhammad Rafid Andika</v>
      </c>
    </row>
    <row r="1047" spans="2:6" ht="15" customHeight="1" x14ac:dyDescent="0.3">
      <c r="B1047" s="8">
        <v>96</v>
      </c>
      <c r="C1047" s="2" t="s">
        <v>116</v>
      </c>
      <c r="D1047" s="8">
        <v>2014</v>
      </c>
      <c r="E1047" s="62">
        <f>Data!O1047</f>
        <v>0</v>
      </c>
      <c r="F1047" s="16">
        <f>Data!P1047</f>
        <v>0</v>
      </c>
    </row>
    <row r="1048" spans="2:6" ht="15" customHeight="1" x14ac:dyDescent="0.3">
      <c r="C1048" s="2"/>
      <c r="D1048" s="8">
        <v>2015</v>
      </c>
      <c r="E1048" s="62">
        <f>Data!O1048</f>
        <v>0</v>
      </c>
      <c r="F1048" s="16">
        <f>Data!P1048</f>
        <v>0</v>
      </c>
    </row>
    <row r="1049" spans="2:6" ht="15" customHeight="1" x14ac:dyDescent="0.3">
      <c r="C1049" s="2"/>
      <c r="D1049" s="8">
        <v>2016</v>
      </c>
      <c r="E1049" s="62">
        <f>Data!O1049</f>
        <v>0.25559999999999999</v>
      </c>
      <c r="F1049" s="16" t="str">
        <f>Data!P1049</f>
        <v>Syahril</v>
      </c>
    </row>
    <row r="1050" spans="2:6" ht="15" customHeight="1" x14ac:dyDescent="0.3">
      <c r="C1050" s="2"/>
      <c r="D1050" s="8">
        <v>2017</v>
      </c>
      <c r="E1050" s="62">
        <f>Data!O1050</f>
        <v>0.27689999999999998</v>
      </c>
      <c r="F1050" s="16" t="str">
        <f>Data!P1050</f>
        <v>Syahril</v>
      </c>
    </row>
    <row r="1051" spans="2:6" ht="15" customHeight="1" x14ac:dyDescent="0.3">
      <c r="C1051" s="2"/>
      <c r="D1051" s="8">
        <v>2018</v>
      </c>
      <c r="E1051" s="62">
        <f>Data!O1051</f>
        <v>0.27689999999999998</v>
      </c>
      <c r="F1051" s="16" t="str">
        <f>Data!P1051</f>
        <v>Syahril</v>
      </c>
    </row>
    <row r="1052" spans="2:6" ht="15" customHeight="1" x14ac:dyDescent="0.3">
      <c r="C1052" s="2"/>
      <c r="D1052" s="8">
        <v>2019</v>
      </c>
      <c r="E1052" s="62">
        <f>Data!O1052</f>
        <v>0.27689999999999998</v>
      </c>
      <c r="F1052" s="16" t="str">
        <f>Data!P1052</f>
        <v>Syahril</v>
      </c>
    </row>
    <row r="1053" spans="2:6" ht="15" customHeight="1" x14ac:dyDescent="0.3">
      <c r="C1053" s="2"/>
      <c r="D1053" s="8">
        <v>2020</v>
      </c>
      <c r="E1053" s="62">
        <f>Data!O1053</f>
        <v>0.31</v>
      </c>
      <c r="F1053" s="16" t="str">
        <f>Data!P1053</f>
        <v>Syahril</v>
      </c>
    </row>
    <row r="1054" spans="2:6" ht="15" customHeight="1" x14ac:dyDescent="0.3">
      <c r="C1054" s="2"/>
      <c r="D1054" s="8">
        <v>2021</v>
      </c>
      <c r="E1054" s="62">
        <f>Data!O1054</f>
        <v>0.31509999999999999</v>
      </c>
      <c r="F1054" s="16" t="str">
        <f>Data!P1054</f>
        <v>Syahril</v>
      </c>
    </row>
    <row r="1055" spans="2:6" ht="15" customHeight="1" x14ac:dyDescent="0.3">
      <c r="C1055" s="2"/>
      <c r="D1055" s="8">
        <v>2022</v>
      </c>
      <c r="E1055" s="62">
        <f>Data!O1055</f>
        <v>0.31509999999999999</v>
      </c>
      <c r="F1055" s="16" t="str">
        <f>Data!P1055</f>
        <v>Syahril</v>
      </c>
    </row>
    <row r="1056" spans="2:6" ht="15" customHeight="1" x14ac:dyDescent="0.3">
      <c r="C1056" s="2"/>
      <c r="D1056" s="8">
        <v>2023</v>
      </c>
      <c r="E1056" s="62">
        <f>Data!O1056</f>
        <v>0.31509999999999999</v>
      </c>
      <c r="F1056" s="16" t="str">
        <f>Data!P1056</f>
        <v>Syahril</v>
      </c>
    </row>
    <row r="1057" spans="2:6" ht="15" customHeight="1" x14ac:dyDescent="0.3">
      <c r="C1057" s="2"/>
      <c r="D1057" s="8">
        <v>2024</v>
      </c>
      <c r="E1057" s="62">
        <f>Data!O1057</f>
        <v>0.31509999999999999</v>
      </c>
      <c r="F1057" s="16" t="str">
        <f>Data!P1057</f>
        <v>Syahril</v>
      </c>
    </row>
    <row r="1058" spans="2:6" ht="15" customHeight="1" x14ac:dyDescent="0.3">
      <c r="B1058" s="8">
        <v>97</v>
      </c>
      <c r="C1058" s="2" t="s">
        <v>117</v>
      </c>
      <c r="D1058" s="8">
        <v>2014</v>
      </c>
      <c r="E1058" s="62">
        <f>Data!O1058</f>
        <v>0</v>
      </c>
      <c r="F1058" s="16">
        <f>Data!P1058</f>
        <v>0</v>
      </c>
    </row>
    <row r="1059" spans="2:6" ht="15" customHeight="1" x14ac:dyDescent="0.3">
      <c r="C1059" s="2"/>
      <c r="D1059" s="8">
        <v>2015</v>
      </c>
      <c r="E1059" s="62">
        <f>Data!O1059</f>
        <v>0</v>
      </c>
      <c r="F1059" s="16">
        <f>Data!P1059</f>
        <v>0</v>
      </c>
    </row>
    <row r="1060" spans="2:6" ht="15" customHeight="1" x14ac:dyDescent="0.3">
      <c r="C1060" s="2"/>
      <c r="D1060" s="8">
        <v>2016</v>
      </c>
      <c r="E1060" s="62">
        <f>Data!O1060</f>
        <v>0</v>
      </c>
      <c r="F1060" s="16">
        <f>Data!P1060</f>
        <v>0</v>
      </c>
    </row>
    <row r="1061" spans="2:6" ht="15" customHeight="1" x14ac:dyDescent="0.3">
      <c r="C1061" s="2"/>
      <c r="D1061" s="8">
        <v>2017</v>
      </c>
      <c r="E1061" s="62">
        <f>Data!O1061</f>
        <v>0</v>
      </c>
      <c r="F1061" s="16">
        <f>Data!P1061</f>
        <v>0</v>
      </c>
    </row>
    <row r="1062" spans="2:6" ht="15" customHeight="1" x14ac:dyDescent="0.3">
      <c r="C1062" s="2"/>
      <c r="D1062" s="8">
        <v>2018</v>
      </c>
      <c r="E1062" s="62">
        <f>Data!O1062</f>
        <v>0.95</v>
      </c>
      <c r="F1062" s="16" t="str">
        <f>Data!P1062</f>
        <v>PT Reliance Capital Management</v>
      </c>
    </row>
    <row r="1063" spans="2:6" ht="15" customHeight="1" x14ac:dyDescent="0.3">
      <c r="C1063" s="2"/>
      <c r="D1063" s="8">
        <v>2019</v>
      </c>
      <c r="E1063" s="62">
        <f>Data!O1063</f>
        <v>0.95</v>
      </c>
      <c r="F1063" s="16" t="str">
        <f>Data!P1063</f>
        <v>PT Reliance Capital Management</v>
      </c>
    </row>
    <row r="1064" spans="2:6" ht="15" customHeight="1" x14ac:dyDescent="0.3">
      <c r="C1064" s="2"/>
      <c r="D1064" s="8">
        <v>2020</v>
      </c>
      <c r="E1064" s="62">
        <f>Data!O1064</f>
        <v>0.95</v>
      </c>
      <c r="F1064" s="16" t="str">
        <f>Data!P1064</f>
        <v>PT Reliance Capital Management</v>
      </c>
    </row>
    <row r="1065" spans="2:6" ht="15" customHeight="1" x14ac:dyDescent="0.3">
      <c r="C1065" s="2"/>
      <c r="D1065" s="8">
        <v>2021</v>
      </c>
      <c r="E1065" s="62">
        <f>Data!O1065</f>
        <v>0.95</v>
      </c>
      <c r="F1065" s="16" t="str">
        <f>Data!P1065</f>
        <v>PT Reliance Capital Management</v>
      </c>
    </row>
    <row r="1066" spans="2:6" ht="15" customHeight="1" x14ac:dyDescent="0.3">
      <c r="C1066" s="2"/>
      <c r="D1066" s="8">
        <v>2022</v>
      </c>
      <c r="E1066" s="62">
        <f>Data!O1066</f>
        <v>0.95</v>
      </c>
      <c r="F1066" s="16" t="str">
        <f>Data!P1066</f>
        <v>PT Reliance Capital Management</v>
      </c>
    </row>
    <row r="1067" spans="2:6" ht="15" customHeight="1" x14ac:dyDescent="0.3">
      <c r="C1067" s="2"/>
      <c r="D1067" s="8">
        <v>2023</v>
      </c>
      <c r="E1067" s="62">
        <f>Data!O1067</f>
        <v>0.95</v>
      </c>
      <c r="F1067" s="16" t="str">
        <f>Data!P1067</f>
        <v>PT Reliance Capital Management</v>
      </c>
    </row>
    <row r="1068" spans="2:6" ht="15" customHeight="1" x14ac:dyDescent="0.3">
      <c r="C1068" s="2"/>
      <c r="D1068" s="8">
        <v>2024</v>
      </c>
      <c r="E1068" s="62">
        <f>Data!O1068</f>
        <v>0.95</v>
      </c>
      <c r="F1068" s="16" t="str">
        <f>Data!P1068</f>
        <v>PT Reliance Capital Management</v>
      </c>
    </row>
    <row r="1069" spans="2:6" ht="15" customHeight="1" x14ac:dyDescent="0.3">
      <c r="B1069" s="8">
        <v>98</v>
      </c>
      <c r="C1069" s="2" t="s">
        <v>103</v>
      </c>
      <c r="D1069" s="8">
        <v>2014</v>
      </c>
      <c r="E1069" s="62">
        <f>Data!O1069</f>
        <v>0</v>
      </c>
      <c r="F1069" s="16">
        <f>Data!P1069</f>
        <v>0</v>
      </c>
    </row>
    <row r="1070" spans="2:6" ht="15" customHeight="1" x14ac:dyDescent="0.3">
      <c r="C1070" s="2"/>
      <c r="D1070" s="8">
        <v>2015</v>
      </c>
      <c r="E1070" s="62">
        <f>Data!O1070</f>
        <v>0</v>
      </c>
      <c r="F1070" s="16">
        <f>Data!P1070</f>
        <v>0</v>
      </c>
    </row>
    <row r="1071" spans="2:6" ht="15" customHeight="1" x14ac:dyDescent="0.3">
      <c r="C1071" s="2"/>
      <c r="D1071" s="8">
        <v>2016</v>
      </c>
      <c r="E1071" s="62">
        <f>Data!O1071</f>
        <v>0</v>
      </c>
      <c r="F1071" s="16">
        <f>Data!P1071</f>
        <v>0</v>
      </c>
    </row>
    <row r="1072" spans="2:6" ht="15" customHeight="1" x14ac:dyDescent="0.3">
      <c r="C1072" s="2"/>
      <c r="D1072" s="8">
        <v>2017</v>
      </c>
      <c r="E1072" s="62">
        <f>Data!O1072</f>
        <v>0</v>
      </c>
      <c r="F1072" s="16">
        <f>Data!P1072</f>
        <v>0</v>
      </c>
    </row>
    <row r="1073" spans="2:6" ht="15" customHeight="1" x14ac:dyDescent="0.3">
      <c r="C1073" s="2"/>
      <c r="D1073" s="8">
        <v>2018</v>
      </c>
      <c r="E1073" s="62">
        <f>Data!O1073</f>
        <v>0.35</v>
      </c>
      <c r="F1073" s="16" t="str">
        <f>Data!P1073</f>
        <v>PT Asian International Investindo</v>
      </c>
    </row>
    <row r="1074" spans="2:6" ht="15" customHeight="1" x14ac:dyDescent="0.3">
      <c r="C1074" s="2"/>
      <c r="D1074" s="8">
        <v>2019</v>
      </c>
      <c r="E1074" s="62">
        <f>Data!O1074</f>
        <v>0.35</v>
      </c>
      <c r="F1074" s="16" t="str">
        <f>Data!P1074</f>
        <v>PT Asian International Investindo</v>
      </c>
    </row>
    <row r="1075" spans="2:6" ht="15" customHeight="1" x14ac:dyDescent="0.3">
      <c r="C1075" s="2"/>
      <c r="D1075" s="8">
        <v>2020</v>
      </c>
      <c r="E1075" s="62">
        <f>Data!O1075</f>
        <v>0.39960000000000001</v>
      </c>
      <c r="F1075" s="16" t="str">
        <f>Data!P1075</f>
        <v>Leonard Berly Wennas</v>
      </c>
    </row>
    <row r="1076" spans="2:6" ht="15" customHeight="1" x14ac:dyDescent="0.3">
      <c r="C1076" s="2"/>
      <c r="D1076" s="8">
        <v>2021</v>
      </c>
      <c r="E1076" s="62">
        <f>Data!O1076</f>
        <v>0.39960000000000001</v>
      </c>
      <c r="F1076" s="16" t="str">
        <f>Data!P1076</f>
        <v>Leonard Berly Wennas</v>
      </c>
    </row>
    <row r="1077" spans="2:6" ht="15" customHeight="1" x14ac:dyDescent="0.3">
      <c r="C1077" s="2"/>
      <c r="D1077" s="8">
        <v>2022</v>
      </c>
      <c r="E1077" s="62">
        <f>Data!O1077</f>
        <v>0.39960000000000001</v>
      </c>
      <c r="F1077" s="16" t="str">
        <f>Data!P1077</f>
        <v>Leonard Berly Wennas</v>
      </c>
    </row>
    <row r="1078" spans="2:6" ht="15" customHeight="1" x14ac:dyDescent="0.3">
      <c r="C1078" s="2"/>
      <c r="D1078" s="8">
        <v>2023</v>
      </c>
      <c r="E1078" s="62">
        <f>Data!O1078</f>
        <v>0.39960000000000001</v>
      </c>
      <c r="F1078" s="16" t="str">
        <f>Data!P1078</f>
        <v>Leonard Berly Wennas</v>
      </c>
    </row>
    <row r="1079" spans="2:6" ht="15" customHeight="1" x14ac:dyDescent="0.3">
      <c r="C1079" s="2"/>
      <c r="D1079" s="8">
        <v>2024</v>
      </c>
      <c r="E1079" s="62">
        <f>Data!O1079</f>
        <v>0.41689999999999999</v>
      </c>
      <c r="F1079" s="16" t="str">
        <f>Data!P1079</f>
        <v>Leonard Berly Wennas</v>
      </c>
    </row>
    <row r="1080" spans="2:6" ht="15" customHeight="1" x14ac:dyDescent="0.3">
      <c r="B1080" s="8">
        <v>99</v>
      </c>
      <c r="C1080" s="2" t="s">
        <v>118</v>
      </c>
      <c r="D1080" s="8">
        <v>2014</v>
      </c>
      <c r="E1080" s="62">
        <f>Data!O1080</f>
        <v>0</v>
      </c>
      <c r="F1080" s="16">
        <f>Data!P1080</f>
        <v>0</v>
      </c>
    </row>
    <row r="1081" spans="2:6" ht="15" customHeight="1" x14ac:dyDescent="0.3">
      <c r="C1081" s="2"/>
      <c r="D1081" s="8">
        <v>2015</v>
      </c>
      <c r="E1081" s="62">
        <f>Data!O1081</f>
        <v>0</v>
      </c>
      <c r="F1081" s="16">
        <f>Data!P1081</f>
        <v>0</v>
      </c>
    </row>
    <row r="1082" spans="2:6" ht="15" customHeight="1" x14ac:dyDescent="0.3">
      <c r="C1082" s="2"/>
      <c r="D1082" s="8">
        <v>2016</v>
      </c>
      <c r="E1082" s="62">
        <f>Data!O1082</f>
        <v>0</v>
      </c>
      <c r="F1082" s="16">
        <f>Data!P1082</f>
        <v>0</v>
      </c>
    </row>
    <row r="1083" spans="2:6" ht="15" customHeight="1" x14ac:dyDescent="0.3">
      <c r="C1083" s="2"/>
      <c r="D1083" s="8">
        <v>2017</v>
      </c>
      <c r="E1083" s="62">
        <f>Data!O1083</f>
        <v>0</v>
      </c>
      <c r="F1083" s="16">
        <f>Data!P1083</f>
        <v>0</v>
      </c>
    </row>
    <row r="1084" spans="2:6" ht="15" customHeight="1" x14ac:dyDescent="0.3">
      <c r="C1084" s="2"/>
      <c r="D1084" s="8">
        <v>2018</v>
      </c>
      <c r="E1084" s="62">
        <f>Data!O1084</f>
        <v>0</v>
      </c>
      <c r="F1084" s="16">
        <f>Data!P1084</f>
        <v>0</v>
      </c>
    </row>
    <row r="1085" spans="2:6" ht="15" customHeight="1" x14ac:dyDescent="0.3">
      <c r="C1085" s="2"/>
      <c r="D1085" s="8">
        <v>2019</v>
      </c>
      <c r="E1085" s="62">
        <f>Data!O1085</f>
        <v>0</v>
      </c>
      <c r="F1085" s="16">
        <f>Data!P1085</f>
        <v>0</v>
      </c>
    </row>
    <row r="1086" spans="2:6" ht="15" customHeight="1" x14ac:dyDescent="0.3">
      <c r="C1086" s="2"/>
      <c r="D1086" s="8">
        <v>2020</v>
      </c>
      <c r="E1086" s="62">
        <f>Data!O1086</f>
        <v>0</v>
      </c>
      <c r="F1086" s="16">
        <f>Data!P1086</f>
        <v>0</v>
      </c>
    </row>
    <row r="1087" spans="2:6" ht="15" customHeight="1" x14ac:dyDescent="0.3">
      <c r="C1087" s="2"/>
      <c r="D1087" s="8">
        <v>2021</v>
      </c>
      <c r="E1087" s="62">
        <f>Data!O1087</f>
        <v>0</v>
      </c>
      <c r="F1087" s="16">
        <f>Data!P1087</f>
        <v>0</v>
      </c>
    </row>
    <row r="1088" spans="2:6" ht="15" customHeight="1" x14ac:dyDescent="0.3">
      <c r="C1088" s="2"/>
      <c r="D1088" s="8">
        <v>2022</v>
      </c>
      <c r="E1088" s="62">
        <f>Data!O1088</f>
        <v>0.7</v>
      </c>
      <c r="F1088" s="16" t="str">
        <f>Data!P1088</f>
        <v>Samsung Fire &amp; Marine Insurance</v>
      </c>
    </row>
    <row r="1089" spans="2:6" ht="15" customHeight="1" x14ac:dyDescent="0.3">
      <c r="C1089" s="2"/>
      <c r="D1089" s="8">
        <v>2023</v>
      </c>
      <c r="E1089" s="62">
        <f>Data!O1089</f>
        <v>0.7</v>
      </c>
      <c r="F1089" s="16" t="str">
        <f>Data!P1089</f>
        <v>Samsung Fire &amp; Marine Insurance</v>
      </c>
    </row>
    <row r="1090" spans="2:6" ht="15" customHeight="1" x14ac:dyDescent="0.3">
      <c r="C1090" s="2"/>
      <c r="D1090" s="8">
        <v>2024</v>
      </c>
      <c r="E1090" s="62">
        <f>Data!O1090</f>
        <v>0.7</v>
      </c>
      <c r="F1090" s="16" t="str">
        <f>Data!P1090</f>
        <v>Samsung Fire &amp; Marine Insurance</v>
      </c>
    </row>
    <row r="1091" spans="2:6" ht="15" customHeight="1" x14ac:dyDescent="0.3">
      <c r="B1091" s="8">
        <v>100</v>
      </c>
      <c r="C1091" s="2" t="s">
        <v>104</v>
      </c>
      <c r="D1091" s="8">
        <v>2014</v>
      </c>
      <c r="E1091" s="62">
        <f>Data!O1091</f>
        <v>0</v>
      </c>
      <c r="F1091" s="16">
        <f>Data!P1091</f>
        <v>0</v>
      </c>
    </row>
    <row r="1092" spans="2:6" ht="15" customHeight="1" x14ac:dyDescent="0.3">
      <c r="C1092" s="2"/>
      <c r="D1092" s="8">
        <v>2015</v>
      </c>
      <c r="E1092" s="62">
        <f>Data!O1092</f>
        <v>0.99</v>
      </c>
      <c r="F1092" s="16" t="str">
        <f>Data!P1092</f>
        <v>PT Asuransi Sinar Mas</v>
      </c>
    </row>
    <row r="1093" spans="2:6" ht="15" customHeight="1" x14ac:dyDescent="0.3">
      <c r="C1093" s="2"/>
      <c r="D1093" s="8">
        <v>2016</v>
      </c>
      <c r="E1093" s="62">
        <f>Data!O1093</f>
        <v>0.99</v>
      </c>
      <c r="F1093" s="16" t="str">
        <f>Data!P1093</f>
        <v>PT Asuransi Sinar Mas</v>
      </c>
    </row>
    <row r="1094" spans="2:6" ht="15" customHeight="1" x14ac:dyDescent="0.3">
      <c r="C1094" s="2"/>
      <c r="D1094" s="8">
        <v>2017</v>
      </c>
      <c r="E1094" s="62">
        <f>Data!O1094</f>
        <v>0.85</v>
      </c>
      <c r="F1094" s="16" t="str">
        <f>Data!P1094</f>
        <v>PT  Sinar Mas Multifinance</v>
      </c>
    </row>
    <row r="1095" spans="2:6" ht="15" customHeight="1" x14ac:dyDescent="0.3">
      <c r="C1095" s="2"/>
      <c r="D1095" s="8">
        <v>2018</v>
      </c>
      <c r="E1095" s="62">
        <f>Data!O1095</f>
        <v>0.69</v>
      </c>
      <c r="F1095" s="16" t="str">
        <f>Data!P1095</f>
        <v>PT  Sinar Mas Multifinance</v>
      </c>
    </row>
    <row r="1096" spans="2:6" ht="15" customHeight="1" x14ac:dyDescent="0.3">
      <c r="C1096" s="2"/>
      <c r="D1096" s="8">
        <v>2019</v>
      </c>
      <c r="E1096" s="62">
        <f>Data!O1096</f>
        <v>0.68600000000000005</v>
      </c>
      <c r="F1096" s="16" t="str">
        <f>Data!P1096</f>
        <v>PT  Sinar Mas Multifinance</v>
      </c>
    </row>
    <row r="1097" spans="2:6" ht="15" customHeight="1" x14ac:dyDescent="0.3">
      <c r="C1097" s="2"/>
      <c r="D1097" s="8">
        <v>2020</v>
      </c>
      <c r="E1097" s="62">
        <f>Data!O1097</f>
        <v>0.68600000000000005</v>
      </c>
      <c r="F1097" s="16" t="str">
        <f>Data!P1097</f>
        <v>PT  Sinar Mas Multifinance</v>
      </c>
    </row>
    <row r="1098" spans="2:6" ht="15" customHeight="1" x14ac:dyDescent="0.3">
      <c r="C1098" s="2"/>
      <c r="D1098" s="8">
        <v>2021</v>
      </c>
      <c r="E1098" s="62">
        <f>Data!O1098</f>
        <v>0.68600000000000005</v>
      </c>
      <c r="F1098" s="16" t="str">
        <f>Data!P1098</f>
        <v>PT  Sinar Mas Multifinance</v>
      </c>
    </row>
    <row r="1099" spans="2:6" ht="15" customHeight="1" x14ac:dyDescent="0.3">
      <c r="C1099" s="2"/>
      <c r="D1099" s="8">
        <v>2022</v>
      </c>
      <c r="E1099" s="62">
        <f>Data!O1099</f>
        <v>0.68600000000000005</v>
      </c>
      <c r="F1099" s="16" t="str">
        <f>Data!P1099</f>
        <v>PT  Sinar Mas Multifinance</v>
      </c>
    </row>
    <row r="1100" spans="2:6" ht="15" customHeight="1" x14ac:dyDescent="0.3">
      <c r="C1100" s="2"/>
      <c r="D1100" s="8">
        <v>2023</v>
      </c>
      <c r="E1100" s="62">
        <f>Data!O1100</f>
        <v>0.68600000000000005</v>
      </c>
      <c r="F1100" s="16" t="str">
        <f>Data!P1100</f>
        <v>PT  Sinar Mas Multifinance</v>
      </c>
    </row>
    <row r="1101" spans="2:6" ht="15" customHeight="1" x14ac:dyDescent="0.3">
      <c r="C1101" s="2"/>
      <c r="D1101" s="8">
        <v>2024</v>
      </c>
      <c r="E1101" s="62">
        <f>Data!O1101</f>
        <v>0.68600000000000005</v>
      </c>
      <c r="F1101" s="16" t="str">
        <f>Data!P1101</f>
        <v>PT  Sinar Mas Multifinance</v>
      </c>
    </row>
    <row r="1102" spans="2:6" ht="15" customHeight="1" x14ac:dyDescent="0.3">
      <c r="B1102" s="8">
        <v>101</v>
      </c>
      <c r="C1102" s="2" t="s">
        <v>120</v>
      </c>
      <c r="D1102" s="8">
        <v>2014</v>
      </c>
      <c r="E1102" s="62">
        <f>Data!O1102</f>
        <v>0</v>
      </c>
      <c r="F1102" s="16">
        <f>Data!P1102</f>
        <v>0</v>
      </c>
    </row>
    <row r="1103" spans="2:6" ht="15" customHeight="1" x14ac:dyDescent="0.3">
      <c r="C1103" s="2"/>
      <c r="D1103" s="8">
        <v>2015</v>
      </c>
      <c r="E1103" s="62">
        <f>Data!O1103</f>
        <v>0.99990000000000001</v>
      </c>
      <c r="F1103" s="16" t="str">
        <f>Data!P1103</f>
        <v>PT Sinar Mas Multiartha</v>
      </c>
    </row>
    <row r="1104" spans="2:6" ht="15" customHeight="1" x14ac:dyDescent="0.3">
      <c r="C1104" s="2"/>
      <c r="D1104" s="8">
        <v>2016</v>
      </c>
      <c r="E1104" s="62">
        <f>Data!O1104</f>
        <v>0.99990000000000001</v>
      </c>
      <c r="F1104" s="16" t="str">
        <f>Data!P1104</f>
        <v>PT Sinar Mas Multiartha</v>
      </c>
    </row>
    <row r="1105" spans="2:6" ht="15" customHeight="1" x14ac:dyDescent="0.3">
      <c r="C1105" s="2"/>
      <c r="D1105" s="8">
        <v>2017</v>
      </c>
      <c r="E1105" s="62">
        <f>Data!O1105</f>
        <v>0.99990000000000001</v>
      </c>
      <c r="F1105" s="16" t="str">
        <f>Data!P1105</f>
        <v>PT Sinar Mas Multiartha</v>
      </c>
    </row>
    <row r="1106" spans="2:6" ht="15" customHeight="1" x14ac:dyDescent="0.3">
      <c r="C1106" s="2"/>
      <c r="D1106" s="8">
        <v>2018</v>
      </c>
      <c r="E1106" s="62">
        <f>Data!O1106</f>
        <v>0.99990000000000001</v>
      </c>
      <c r="F1106" s="16" t="str">
        <f>Data!P1106</f>
        <v>PT Sinar Mas Multiartha</v>
      </c>
    </row>
    <row r="1107" spans="2:6" ht="15" customHeight="1" x14ac:dyDescent="0.3">
      <c r="C1107" s="2"/>
      <c r="D1107" s="8">
        <v>2019</v>
      </c>
      <c r="E1107" s="62">
        <f>Data!O1107</f>
        <v>0.99990000000000001</v>
      </c>
      <c r="F1107" s="16" t="str">
        <f>Data!P1107</f>
        <v>PT Sinar Mas Multiartha</v>
      </c>
    </row>
    <row r="1108" spans="2:6" ht="15" customHeight="1" x14ac:dyDescent="0.3">
      <c r="C1108" s="2"/>
      <c r="D1108" s="8">
        <v>2020</v>
      </c>
      <c r="E1108" s="62">
        <f>Data!O1108</f>
        <v>0.99990000000000001</v>
      </c>
      <c r="F1108" s="16" t="str">
        <f>Data!P1108</f>
        <v>PT Sinar Mas Multiartha</v>
      </c>
    </row>
    <row r="1109" spans="2:6" ht="15" customHeight="1" x14ac:dyDescent="0.3">
      <c r="C1109" s="2"/>
      <c r="D1109" s="8">
        <v>2021</v>
      </c>
      <c r="E1109" s="62">
        <f>Data!O1109</f>
        <v>0.99990000000000001</v>
      </c>
      <c r="F1109" s="16" t="str">
        <f>Data!P1109</f>
        <v>PT Sinar Mas Multiartha</v>
      </c>
    </row>
    <row r="1110" spans="2:6" ht="15" customHeight="1" x14ac:dyDescent="0.3">
      <c r="C1110" s="2"/>
      <c r="D1110" s="8">
        <v>2022</v>
      </c>
      <c r="E1110" s="62">
        <f>Data!O1110</f>
        <v>0.99990000000000001</v>
      </c>
      <c r="F1110" s="16" t="str">
        <f>Data!P1110</f>
        <v>PT Sinar Mas Multiartha</v>
      </c>
    </row>
    <row r="1111" spans="2:6" ht="15" customHeight="1" x14ac:dyDescent="0.3">
      <c r="C1111" s="2"/>
      <c r="D1111" s="8">
        <v>2023</v>
      </c>
      <c r="E1111" s="62">
        <f>Data!O1111</f>
        <v>0.99990000000000001</v>
      </c>
      <c r="F1111" s="16" t="str">
        <f>Data!P1111</f>
        <v>PT Sinar Mas Multiartha</v>
      </c>
    </row>
    <row r="1112" spans="2:6" ht="15" customHeight="1" x14ac:dyDescent="0.3">
      <c r="C1112" s="2"/>
      <c r="D1112" s="8">
        <v>2024</v>
      </c>
      <c r="E1112" s="62">
        <f>Data!O1112</f>
        <v>0.99990000000000001</v>
      </c>
      <c r="F1112" s="16" t="str">
        <f>Data!P1112</f>
        <v>PT Sinar Mas Multiartha</v>
      </c>
    </row>
    <row r="1113" spans="2:6" ht="15" customHeight="1" x14ac:dyDescent="0.3">
      <c r="B1113" s="8">
        <v>102</v>
      </c>
      <c r="C1113" s="1" t="s">
        <v>134</v>
      </c>
      <c r="D1113" s="8">
        <v>2014</v>
      </c>
      <c r="E1113" s="62">
        <f>Data!O1113</f>
        <v>0</v>
      </c>
      <c r="F1113" s="16">
        <f>Data!P1113</f>
        <v>0</v>
      </c>
    </row>
    <row r="1114" spans="2:6" ht="15" customHeight="1" x14ac:dyDescent="0.3">
      <c r="C1114" s="1"/>
      <c r="D1114" s="8">
        <v>2015</v>
      </c>
      <c r="E1114" s="62">
        <f>Data!O1114</f>
        <v>0</v>
      </c>
      <c r="F1114" s="16">
        <f>Data!P1114</f>
        <v>0</v>
      </c>
    </row>
    <row r="1115" spans="2:6" ht="15" customHeight="1" x14ac:dyDescent="0.3">
      <c r="C1115" s="1"/>
      <c r="D1115" s="8">
        <v>2016</v>
      </c>
      <c r="E1115" s="62">
        <f>Data!O1115</f>
        <v>0.6</v>
      </c>
      <c r="F1115" s="16" t="str">
        <f>Data!P1115</f>
        <v>Suranto Tarunasastra</v>
      </c>
    </row>
    <row r="1116" spans="2:6" ht="15" customHeight="1" x14ac:dyDescent="0.3">
      <c r="C1116" s="1"/>
      <c r="D1116" s="8">
        <v>2017</v>
      </c>
      <c r="E1116" s="62">
        <f>Data!O1116</f>
        <v>0.6</v>
      </c>
      <c r="F1116" s="16" t="str">
        <f>Data!P1116</f>
        <v>Suranto Tarunasastra</v>
      </c>
    </row>
    <row r="1117" spans="2:6" ht="15" customHeight="1" x14ac:dyDescent="0.3">
      <c r="C1117" s="1"/>
      <c r="D1117" s="8">
        <v>2018</v>
      </c>
      <c r="E1117" s="62">
        <f>Data!O1117</f>
        <v>0.6</v>
      </c>
      <c r="F1117" s="16" t="str">
        <f>Data!P1117</f>
        <v>Suranto Tarunasastra</v>
      </c>
    </row>
    <row r="1118" spans="2:6" ht="15" customHeight="1" x14ac:dyDescent="0.3">
      <c r="C1118" s="1"/>
      <c r="D1118" s="8">
        <v>2019</v>
      </c>
      <c r="E1118" s="62">
        <f>Data!O1118</f>
        <v>0.6</v>
      </c>
      <c r="F1118" s="16" t="str">
        <f>Data!P1118</f>
        <v>Suranto Tarunasastra</v>
      </c>
    </row>
    <row r="1119" spans="2:6" ht="15" customHeight="1" x14ac:dyDescent="0.3">
      <c r="C1119" s="1"/>
      <c r="D1119" s="8">
        <v>2020</v>
      </c>
      <c r="E1119" s="62">
        <f>Data!O1119</f>
        <v>0.6</v>
      </c>
      <c r="F1119" s="16" t="str">
        <f>Data!P1119</f>
        <v>Suranto Tarunasastra</v>
      </c>
    </row>
    <row r="1120" spans="2:6" ht="15" customHeight="1" x14ac:dyDescent="0.3">
      <c r="C1120" s="1"/>
      <c r="D1120" s="8">
        <v>2021</v>
      </c>
      <c r="E1120" s="62">
        <f>Data!O1120</f>
        <v>0.6</v>
      </c>
      <c r="F1120" s="16" t="str">
        <f>Data!P1120</f>
        <v>Suranto Tarunasastra</v>
      </c>
    </row>
    <row r="1121" spans="2:6" ht="15" customHeight="1" x14ac:dyDescent="0.3">
      <c r="C1121" s="1"/>
      <c r="D1121" s="8">
        <v>2022</v>
      </c>
      <c r="E1121" s="62">
        <f>Data!O1121</f>
        <v>0.6</v>
      </c>
      <c r="F1121" s="16" t="str">
        <f>Data!P1121</f>
        <v>Suranto Tarunasastra</v>
      </c>
    </row>
    <row r="1122" spans="2:6" ht="15" customHeight="1" x14ac:dyDescent="0.3">
      <c r="C1122" s="1"/>
      <c r="D1122" s="8">
        <v>2023</v>
      </c>
      <c r="E1122" s="62">
        <f>Data!O1122</f>
        <v>0.6</v>
      </c>
      <c r="F1122" s="16" t="str">
        <f>Data!P1122</f>
        <v>Suranto Tarunasastra</v>
      </c>
    </row>
    <row r="1123" spans="2:6" ht="15" customHeight="1" x14ac:dyDescent="0.3">
      <c r="C1123" s="1"/>
      <c r="D1123" s="8">
        <v>2024</v>
      </c>
      <c r="E1123" s="62">
        <f>Data!O1123</f>
        <v>0.6</v>
      </c>
      <c r="F1123" s="16" t="str">
        <f>Data!P1123</f>
        <v>Suranto Tarunasastra</v>
      </c>
    </row>
    <row r="1124" spans="2:6" ht="15" customHeight="1" x14ac:dyDescent="0.3">
      <c r="B1124" s="8">
        <v>103</v>
      </c>
      <c r="C1124" s="2" t="s">
        <v>122</v>
      </c>
      <c r="D1124" s="8">
        <v>2014</v>
      </c>
      <c r="E1124" s="62">
        <f>Data!O1124</f>
        <v>0</v>
      </c>
      <c r="F1124" s="16">
        <f>Data!P1124</f>
        <v>0</v>
      </c>
    </row>
    <row r="1125" spans="2:6" ht="15" customHeight="1" x14ac:dyDescent="0.3">
      <c r="C1125" s="2"/>
      <c r="D1125" s="8">
        <v>2015</v>
      </c>
      <c r="E1125" s="62">
        <f>Data!O1125</f>
        <v>0.68979999999999997</v>
      </c>
      <c r="F1125" s="16" t="str">
        <f>Data!P1125</f>
        <v>Dana Pensiun Bank Mandiri Dua</v>
      </c>
    </row>
    <row r="1126" spans="2:6" ht="15" customHeight="1" x14ac:dyDescent="0.3">
      <c r="C1126" s="2"/>
      <c r="D1126" s="8">
        <v>2016</v>
      </c>
      <c r="E1126" s="62">
        <f>Data!O1126</f>
        <v>0.63680000000000003</v>
      </c>
      <c r="F1126" s="16" t="str">
        <f>Data!P1126</f>
        <v>Dana Pensiun Bank Mandiri Dua</v>
      </c>
    </row>
    <row r="1127" spans="2:6" ht="15" customHeight="1" x14ac:dyDescent="0.3">
      <c r="C1127" s="2"/>
      <c r="D1127" s="8">
        <v>2017</v>
      </c>
      <c r="E1127" s="62">
        <f>Data!O1127</f>
        <v>0.63680000000000003</v>
      </c>
      <c r="F1127" s="16" t="str">
        <f>Data!P1127</f>
        <v>Dana Pensiun Bank Mandiri Dua</v>
      </c>
    </row>
    <row r="1128" spans="2:6" ht="15" customHeight="1" x14ac:dyDescent="0.3">
      <c r="C1128" s="2"/>
      <c r="D1128" s="8">
        <v>2018</v>
      </c>
      <c r="E1128" s="62">
        <f>Data!O1128</f>
        <v>0</v>
      </c>
      <c r="F1128" s="16">
        <f>Data!P1128</f>
        <v>0</v>
      </c>
    </row>
    <row r="1129" spans="2:6" ht="15" customHeight="1" x14ac:dyDescent="0.3">
      <c r="C1129" s="2"/>
      <c r="D1129" s="8">
        <v>2019</v>
      </c>
      <c r="E1129" s="62">
        <f>Data!O1129</f>
        <v>0.63680000000000003</v>
      </c>
      <c r="F1129" s="16" t="str">
        <f>Data!P1129</f>
        <v>Dana Pensiun Bank Mandiri Dua</v>
      </c>
    </row>
    <row r="1130" spans="2:6" ht="15" customHeight="1" x14ac:dyDescent="0.3">
      <c r="C1130" s="2"/>
      <c r="D1130" s="8">
        <v>2020</v>
      </c>
      <c r="E1130" s="62">
        <f>Data!O1130</f>
        <v>0.63680000000000003</v>
      </c>
      <c r="F1130" s="16" t="str">
        <f>Data!P1130</f>
        <v>Dana Pensiun Bank Mandiri Dua</v>
      </c>
    </row>
    <row r="1131" spans="2:6" ht="15" customHeight="1" x14ac:dyDescent="0.3">
      <c r="C1131" s="2"/>
      <c r="D1131" s="8">
        <v>2021</v>
      </c>
      <c r="E1131" s="62">
        <f>Data!O1131</f>
        <v>0.63680000000000003</v>
      </c>
      <c r="F1131" s="16" t="str">
        <f>Data!P1131</f>
        <v>Dana Pensiun Bank Mandiri Dua</v>
      </c>
    </row>
    <row r="1132" spans="2:6" ht="15" customHeight="1" x14ac:dyDescent="0.3">
      <c r="C1132" s="2"/>
      <c r="D1132" s="8">
        <v>2022</v>
      </c>
      <c r="E1132" s="62">
        <f>Data!O1132</f>
        <v>0.63680000000000003</v>
      </c>
      <c r="F1132" s="16" t="str">
        <f>Data!P1132</f>
        <v>Dana Pensiun Bank Mandiri Dua</v>
      </c>
    </row>
    <row r="1133" spans="2:6" ht="15" customHeight="1" x14ac:dyDescent="0.3">
      <c r="C1133" s="2"/>
      <c r="D1133" s="8">
        <v>2023</v>
      </c>
      <c r="E1133" s="62">
        <f>Data!O1133</f>
        <v>0.63680000000000003</v>
      </c>
      <c r="F1133" s="16" t="str">
        <f>Data!P1133</f>
        <v>Dana Pensiun Bank Mandiri Dua</v>
      </c>
    </row>
    <row r="1134" spans="2:6" ht="15" customHeight="1" x14ac:dyDescent="0.3">
      <c r="C1134" s="2"/>
      <c r="D1134" s="8">
        <v>2024</v>
      </c>
      <c r="E1134" s="62">
        <f>Data!O1134</f>
        <v>0.85</v>
      </c>
      <c r="F1134" s="16" t="str">
        <f>Data!P1134</f>
        <v>PT Capitol Investasi Indonesia</v>
      </c>
    </row>
    <row r="1135" spans="2:6" ht="15" customHeight="1" x14ac:dyDescent="0.3">
      <c r="B1135" s="8">
        <v>104</v>
      </c>
      <c r="C1135" s="2" t="s">
        <v>123</v>
      </c>
      <c r="D1135" s="8">
        <v>2014</v>
      </c>
      <c r="E1135" s="62">
        <f>Data!O1135</f>
        <v>0</v>
      </c>
      <c r="F1135" s="16">
        <f>Data!P1135</f>
        <v>0</v>
      </c>
    </row>
    <row r="1136" spans="2:6" ht="15" customHeight="1" x14ac:dyDescent="0.3">
      <c r="C1136" s="2"/>
      <c r="D1136" s="8">
        <v>2015</v>
      </c>
      <c r="E1136" s="62">
        <f>Data!O1136</f>
        <v>0.51</v>
      </c>
      <c r="F1136" s="16" t="str">
        <f>Data!P1136</f>
        <v>PT Summit Investment Indonesia</v>
      </c>
    </row>
    <row r="1137" spans="2:6" ht="15" customHeight="1" x14ac:dyDescent="0.3">
      <c r="C1137" s="2"/>
      <c r="D1137" s="8">
        <v>2016</v>
      </c>
      <c r="E1137" s="62">
        <f>Data!O1137</f>
        <v>0.51</v>
      </c>
      <c r="F1137" s="16" t="str">
        <f>Data!P1137</f>
        <v>PT Summit Investment Indonesia</v>
      </c>
    </row>
    <row r="1138" spans="2:6" ht="15" customHeight="1" x14ac:dyDescent="0.3">
      <c r="C1138" s="2"/>
      <c r="D1138" s="8">
        <v>2017</v>
      </c>
      <c r="E1138" s="62">
        <f>Data!O1138</f>
        <v>0.51</v>
      </c>
      <c r="F1138" s="16" t="str">
        <f>Data!P1138</f>
        <v>PT Summit Investment Indonesia</v>
      </c>
    </row>
    <row r="1139" spans="2:6" ht="15" customHeight="1" x14ac:dyDescent="0.3">
      <c r="C1139" s="2"/>
      <c r="D1139" s="8">
        <v>2018</v>
      </c>
      <c r="E1139" s="62">
        <f>Data!O1139</f>
        <v>0.51</v>
      </c>
      <c r="F1139" s="16" t="str">
        <f>Data!P1139</f>
        <v>PT Summit Investment Indonesia</v>
      </c>
    </row>
    <row r="1140" spans="2:6" ht="15" customHeight="1" x14ac:dyDescent="0.3">
      <c r="C1140" s="2"/>
      <c r="D1140" s="8">
        <v>2019</v>
      </c>
      <c r="E1140" s="62">
        <f>Data!O1140</f>
        <v>0.51</v>
      </c>
      <c r="F1140" s="16" t="str">
        <f>Data!P1140</f>
        <v>PT Summit Investment Indonesia</v>
      </c>
    </row>
    <row r="1141" spans="2:6" ht="15" customHeight="1" x14ac:dyDescent="0.3">
      <c r="C1141" s="2"/>
      <c r="D1141" s="8">
        <v>2020</v>
      </c>
      <c r="E1141" s="62">
        <f>Data!O1141</f>
        <v>0.51</v>
      </c>
      <c r="F1141" s="16" t="str">
        <f>Data!P1141</f>
        <v>PT Summit Investment Indonesia</v>
      </c>
    </row>
    <row r="1142" spans="2:6" ht="15" customHeight="1" x14ac:dyDescent="0.3">
      <c r="C1142" s="2"/>
      <c r="D1142" s="8">
        <v>2021</v>
      </c>
      <c r="E1142" s="62">
        <f>Data!O1142</f>
        <v>0.51</v>
      </c>
      <c r="F1142" s="16" t="str">
        <f>Data!P1142</f>
        <v>PT Summit Investment Indonesia</v>
      </c>
    </row>
    <row r="1143" spans="2:6" ht="15" customHeight="1" x14ac:dyDescent="0.3">
      <c r="C1143" s="2"/>
      <c r="D1143" s="8">
        <v>2022</v>
      </c>
      <c r="E1143" s="62">
        <f>Data!O1143</f>
        <v>0.51</v>
      </c>
      <c r="F1143" s="16" t="str">
        <f>Data!P1143</f>
        <v>PT Summit Investment Indonesia</v>
      </c>
    </row>
    <row r="1144" spans="2:6" ht="15" customHeight="1" x14ac:dyDescent="0.3">
      <c r="C1144" s="2"/>
      <c r="D1144" s="8">
        <v>2023</v>
      </c>
      <c r="E1144" s="62">
        <f>Data!O1144</f>
        <v>0.51</v>
      </c>
      <c r="F1144" s="16" t="str">
        <f>Data!P1144</f>
        <v>PT Summit Investment Indonesia</v>
      </c>
    </row>
    <row r="1145" spans="2:6" ht="15" customHeight="1" x14ac:dyDescent="0.3">
      <c r="C1145" s="2"/>
      <c r="D1145" s="8">
        <v>2024</v>
      </c>
      <c r="E1145" s="62">
        <f>Data!O1145</f>
        <v>0.51</v>
      </c>
      <c r="F1145" s="16" t="str">
        <f>Data!P1145</f>
        <v>PT Summit Investment Indonesia</v>
      </c>
    </row>
    <row r="1146" spans="2:6" ht="15" customHeight="1" x14ac:dyDescent="0.3">
      <c r="B1146" s="8">
        <v>105</v>
      </c>
      <c r="C1146" s="1" t="s">
        <v>135</v>
      </c>
      <c r="D1146" s="8">
        <v>2014</v>
      </c>
      <c r="E1146" s="62">
        <f>Data!O1146</f>
        <v>0</v>
      </c>
      <c r="F1146" s="16">
        <f>Data!P1146</f>
        <v>0</v>
      </c>
    </row>
    <row r="1147" spans="2:6" ht="15" customHeight="1" x14ac:dyDescent="0.3">
      <c r="C1147" s="1"/>
      <c r="D1147" s="8">
        <v>2015</v>
      </c>
      <c r="E1147" s="62">
        <f>Data!O1147</f>
        <v>0</v>
      </c>
      <c r="F1147" s="16">
        <f>Data!P1147</f>
        <v>0</v>
      </c>
    </row>
    <row r="1148" spans="2:6" ht="15" customHeight="1" x14ac:dyDescent="0.3">
      <c r="C1148" s="1"/>
      <c r="D1148" s="8">
        <v>2016</v>
      </c>
      <c r="E1148" s="62">
        <f>Data!O1148</f>
        <v>0</v>
      </c>
      <c r="F1148" s="16">
        <f>Data!P1148</f>
        <v>0</v>
      </c>
    </row>
    <row r="1149" spans="2:6" ht="15" customHeight="1" x14ac:dyDescent="0.3">
      <c r="C1149" s="1"/>
      <c r="D1149" s="8">
        <v>2017</v>
      </c>
      <c r="E1149" s="62">
        <f>Data!O1149</f>
        <v>0.95</v>
      </c>
      <c r="F1149" s="16" t="str">
        <f>Data!P1149</f>
        <v>Koperasi Simpan Pinjam Jasa</v>
      </c>
    </row>
    <row r="1150" spans="2:6" ht="15" customHeight="1" x14ac:dyDescent="0.3">
      <c r="C1150" s="1"/>
      <c r="D1150" s="8">
        <v>2018</v>
      </c>
      <c r="E1150" s="62">
        <f>Data!O1150</f>
        <v>0.95</v>
      </c>
      <c r="F1150" s="16" t="str">
        <f>Data!P1150</f>
        <v>Koperasi Simpan Pinjam Jasa</v>
      </c>
    </row>
    <row r="1151" spans="2:6" ht="15" customHeight="1" x14ac:dyDescent="0.3">
      <c r="C1151" s="1"/>
      <c r="D1151" s="8">
        <v>2019</v>
      </c>
      <c r="E1151" s="62">
        <f>Data!O1151</f>
        <v>0.95</v>
      </c>
      <c r="F1151" s="16" t="str">
        <f>Data!P1151</f>
        <v>Koperasi Simpan Pinjam Jasa</v>
      </c>
    </row>
    <row r="1152" spans="2:6" ht="15" customHeight="1" x14ac:dyDescent="0.3">
      <c r="C1152" s="1"/>
      <c r="D1152" s="8">
        <v>2020</v>
      </c>
      <c r="E1152" s="62">
        <f>Data!O1152</f>
        <v>0.95</v>
      </c>
      <c r="F1152" s="16" t="str">
        <f>Data!P1152</f>
        <v>Koperasi Simpan Pinjam Jasa</v>
      </c>
    </row>
    <row r="1153" spans="2:6" ht="15" customHeight="1" x14ac:dyDescent="0.3">
      <c r="C1153" s="1"/>
      <c r="D1153" s="8">
        <v>2021</v>
      </c>
      <c r="E1153" s="62">
        <f>Data!O1153</f>
        <v>0.95</v>
      </c>
      <c r="F1153" s="16" t="str">
        <f>Data!P1153</f>
        <v>Koperasi Simpan Pinjam Jasa</v>
      </c>
    </row>
    <row r="1154" spans="2:6" ht="15" customHeight="1" x14ac:dyDescent="0.3">
      <c r="C1154" s="1"/>
      <c r="D1154" s="8">
        <v>2022</v>
      </c>
      <c r="E1154" s="62">
        <f>Data!O1154</f>
        <v>0.95</v>
      </c>
      <c r="F1154" s="16" t="str">
        <f>Data!P1154</f>
        <v>Koperasi Simpan Pinjam Jasa</v>
      </c>
    </row>
    <row r="1155" spans="2:6" ht="15" customHeight="1" x14ac:dyDescent="0.3">
      <c r="C1155" s="1"/>
      <c r="D1155" s="8">
        <v>2023</v>
      </c>
      <c r="E1155" s="62">
        <f>Data!O1155</f>
        <v>0.95</v>
      </c>
      <c r="F1155" s="16" t="str">
        <f>Data!P1155</f>
        <v>Koperasi Simpan Pinjam Jasa</v>
      </c>
    </row>
    <row r="1156" spans="2:6" ht="15" customHeight="1" x14ac:dyDescent="0.3">
      <c r="C1156" s="1"/>
      <c r="D1156" s="8">
        <v>2024</v>
      </c>
      <c r="E1156" s="62">
        <f>Data!O1156</f>
        <v>0.95</v>
      </c>
      <c r="F1156" s="16" t="str">
        <f>Data!P1156</f>
        <v>Koperasi Simpan Pinjam Jasa</v>
      </c>
    </row>
    <row r="1157" spans="2:6" ht="15" customHeight="1" x14ac:dyDescent="0.3">
      <c r="B1157" s="8">
        <v>106</v>
      </c>
      <c r="C1157" s="2" t="s">
        <v>124</v>
      </c>
      <c r="D1157" s="8">
        <v>2014</v>
      </c>
      <c r="E1157" s="62">
        <f>Data!O1157</f>
        <v>0</v>
      </c>
      <c r="F1157" s="16">
        <f>Data!P1157</f>
        <v>0</v>
      </c>
    </row>
    <row r="1158" spans="2:6" ht="15" customHeight="1" x14ac:dyDescent="0.3">
      <c r="C1158" s="2"/>
      <c r="D1158" s="8">
        <v>2015</v>
      </c>
      <c r="E1158" s="62">
        <f>Data!O1158</f>
        <v>0.6</v>
      </c>
      <c r="F1158" s="16" t="str">
        <f>Data!P1158</f>
        <v>Tokio Marine Asia</v>
      </c>
    </row>
    <row r="1159" spans="2:6" ht="15" customHeight="1" x14ac:dyDescent="0.3">
      <c r="C1159" s="2"/>
      <c r="D1159" s="8">
        <v>2016</v>
      </c>
      <c r="E1159" s="62">
        <f>Data!O1159</f>
        <v>0.6</v>
      </c>
      <c r="F1159" s="16" t="str">
        <f>Data!P1159</f>
        <v>Tokio Marine Asia</v>
      </c>
    </row>
    <row r="1160" spans="2:6" ht="15" customHeight="1" x14ac:dyDescent="0.3">
      <c r="C1160" s="2"/>
      <c r="D1160" s="8">
        <v>2017</v>
      </c>
      <c r="E1160" s="62">
        <f>Data!O1160</f>
        <v>0.6</v>
      </c>
      <c r="F1160" s="16" t="str">
        <f>Data!P1160</f>
        <v>Tokio Marine Asia</v>
      </c>
    </row>
    <row r="1161" spans="2:6" ht="15" customHeight="1" x14ac:dyDescent="0.3">
      <c r="C1161" s="2"/>
      <c r="D1161" s="8">
        <v>2018</v>
      </c>
      <c r="E1161" s="62">
        <f>Data!O1161</f>
        <v>0.6</v>
      </c>
      <c r="F1161" s="16" t="str">
        <f>Data!P1161</f>
        <v>Tokio Marine Asia</v>
      </c>
    </row>
    <row r="1162" spans="2:6" ht="15" customHeight="1" x14ac:dyDescent="0.3">
      <c r="C1162" s="2"/>
      <c r="D1162" s="8">
        <v>2019</v>
      </c>
      <c r="E1162" s="62">
        <f>Data!O1162</f>
        <v>0.6</v>
      </c>
      <c r="F1162" s="16" t="str">
        <f>Data!P1162</f>
        <v>Tokio Marine Asia</v>
      </c>
    </row>
    <row r="1163" spans="2:6" ht="15" customHeight="1" x14ac:dyDescent="0.3">
      <c r="C1163" s="2"/>
      <c r="D1163" s="8">
        <v>2020</v>
      </c>
      <c r="E1163" s="62">
        <f>Data!O1163</f>
        <v>0.6</v>
      </c>
      <c r="F1163" s="16" t="str">
        <f>Data!P1163</f>
        <v>Tokio Marine Asia</v>
      </c>
    </row>
    <row r="1164" spans="2:6" ht="15" customHeight="1" x14ac:dyDescent="0.3">
      <c r="C1164" s="2"/>
      <c r="D1164" s="8">
        <v>2021</v>
      </c>
      <c r="E1164" s="62">
        <f>Data!O1164</f>
        <v>0.6</v>
      </c>
      <c r="F1164" s="16" t="str">
        <f>Data!P1164</f>
        <v>Tokio Marine Asia</v>
      </c>
    </row>
    <row r="1165" spans="2:6" ht="15" customHeight="1" x14ac:dyDescent="0.3">
      <c r="C1165" s="2"/>
      <c r="D1165" s="8">
        <v>2022</v>
      </c>
      <c r="E1165" s="62">
        <f>Data!O1165</f>
        <v>0.6</v>
      </c>
      <c r="F1165" s="16" t="str">
        <f>Data!P1165</f>
        <v>Tokio Marine Asia</v>
      </c>
    </row>
    <row r="1166" spans="2:6" ht="15" customHeight="1" x14ac:dyDescent="0.3">
      <c r="C1166" s="2"/>
      <c r="D1166" s="8">
        <v>2023</v>
      </c>
      <c r="E1166" s="62">
        <f>Data!O1166</f>
        <v>0.8</v>
      </c>
      <c r="F1166" s="16" t="str">
        <f>Data!P1166</f>
        <v>Tokio Marine Asia</v>
      </c>
    </row>
    <row r="1167" spans="2:6" ht="15" customHeight="1" x14ac:dyDescent="0.3">
      <c r="C1167" s="2"/>
      <c r="D1167" s="8">
        <v>2024</v>
      </c>
      <c r="E1167" s="62">
        <f>Data!O1167</f>
        <v>0.8</v>
      </c>
      <c r="F1167" s="16" t="str">
        <f>Data!P1167</f>
        <v>Tokio Marine Asia</v>
      </c>
    </row>
    <row r="1168" spans="2:6" ht="15" customHeight="1" x14ac:dyDescent="0.3">
      <c r="B1168" s="8">
        <v>107</v>
      </c>
      <c r="C1168" s="2" t="s">
        <v>105</v>
      </c>
      <c r="D1168" s="8">
        <v>2014</v>
      </c>
      <c r="E1168" s="62">
        <f>Data!O1168</f>
        <v>0</v>
      </c>
      <c r="F1168" s="16">
        <f>Data!P1168</f>
        <v>0</v>
      </c>
    </row>
    <row r="1169" spans="2:6" ht="15" customHeight="1" x14ac:dyDescent="0.3">
      <c r="C1169" s="2"/>
      <c r="D1169" s="8">
        <v>2015</v>
      </c>
      <c r="E1169" s="62">
        <f>Data!O1169</f>
        <v>0</v>
      </c>
      <c r="F1169" s="16">
        <f>Data!P1169</f>
        <v>0</v>
      </c>
    </row>
    <row r="1170" spans="2:6" ht="15" customHeight="1" x14ac:dyDescent="0.3">
      <c r="C1170" s="2"/>
      <c r="D1170" s="8">
        <v>2016</v>
      </c>
      <c r="E1170" s="62">
        <f>Data!O1170</f>
        <v>0</v>
      </c>
      <c r="F1170" s="16">
        <f>Data!P1170</f>
        <v>0</v>
      </c>
    </row>
    <row r="1171" spans="2:6" ht="15" customHeight="1" x14ac:dyDescent="0.3">
      <c r="C1171" s="2"/>
      <c r="D1171" s="8">
        <v>2017</v>
      </c>
      <c r="E1171" s="62">
        <f>Data!O1171</f>
        <v>0</v>
      </c>
      <c r="F1171" s="16">
        <f>Data!P1171</f>
        <v>0</v>
      </c>
    </row>
    <row r="1172" spans="2:6" ht="15" customHeight="1" x14ac:dyDescent="0.3">
      <c r="C1172" s="2"/>
      <c r="D1172" s="8">
        <v>2018</v>
      </c>
      <c r="E1172" s="62">
        <f>Data!O1172</f>
        <v>0</v>
      </c>
      <c r="F1172" s="16">
        <f>Data!P1172</f>
        <v>0</v>
      </c>
    </row>
    <row r="1173" spans="2:6" ht="15" customHeight="1" x14ac:dyDescent="0.3">
      <c r="C1173" s="2"/>
      <c r="D1173" s="8">
        <v>2019</v>
      </c>
      <c r="E1173" s="62">
        <f>Data!O1173</f>
        <v>0.47249999999999998</v>
      </c>
      <c r="F1173" s="16" t="str">
        <f>Data!P1173</f>
        <v>Lainnya</v>
      </c>
    </row>
    <row r="1174" spans="2:6" ht="15" customHeight="1" x14ac:dyDescent="0.3">
      <c r="C1174" s="2"/>
      <c r="D1174" s="8">
        <v>2020</v>
      </c>
      <c r="E1174" s="62">
        <f>Data!O1174</f>
        <v>0.47249999999999998</v>
      </c>
      <c r="F1174" s="16" t="str">
        <f>Data!P1174</f>
        <v>Lainnya</v>
      </c>
    </row>
    <row r="1175" spans="2:6" ht="15" customHeight="1" x14ac:dyDescent="0.3">
      <c r="C1175" s="2"/>
      <c r="D1175" s="8">
        <v>2021</v>
      </c>
      <c r="E1175" s="62">
        <f>Data!O1175</f>
        <v>0.3725</v>
      </c>
      <c r="F1175" s="16" t="str">
        <f>Data!P1175</f>
        <v>Lainnya</v>
      </c>
    </row>
    <row r="1176" spans="2:6" ht="15" customHeight="1" x14ac:dyDescent="0.3">
      <c r="C1176" s="2"/>
      <c r="D1176" s="8">
        <v>2022</v>
      </c>
      <c r="E1176" s="62">
        <f>Data!O1176</f>
        <v>0.3725</v>
      </c>
      <c r="F1176" s="16" t="str">
        <f>Data!P1176</f>
        <v>Lainnya</v>
      </c>
    </row>
    <row r="1177" spans="2:6" ht="15" customHeight="1" x14ac:dyDescent="0.3">
      <c r="C1177" s="2"/>
      <c r="D1177" s="8">
        <v>2023</v>
      </c>
      <c r="E1177" s="62">
        <f>Data!O1177</f>
        <v>0.3725</v>
      </c>
      <c r="F1177" s="16" t="str">
        <f>Data!P1177</f>
        <v>Lainnya</v>
      </c>
    </row>
    <row r="1178" spans="2:6" ht="15" customHeight="1" x14ac:dyDescent="0.3">
      <c r="C1178" s="2"/>
      <c r="D1178" s="8">
        <v>2024</v>
      </c>
      <c r="E1178" s="62">
        <f>Data!O1178</f>
        <v>0.3725</v>
      </c>
      <c r="F1178" s="16" t="str">
        <f>Data!P1178</f>
        <v>Lainnya</v>
      </c>
    </row>
    <row r="1179" spans="2:6" ht="15" customHeight="1" x14ac:dyDescent="0.3">
      <c r="B1179" s="8">
        <v>108</v>
      </c>
      <c r="C1179" s="1" t="s">
        <v>125</v>
      </c>
      <c r="D1179" s="8">
        <v>2014</v>
      </c>
      <c r="E1179" s="62">
        <f>Data!O1179</f>
        <v>0</v>
      </c>
      <c r="F1179" s="16">
        <f>Data!P1179</f>
        <v>0</v>
      </c>
    </row>
    <row r="1180" spans="2:6" ht="15" customHeight="1" x14ac:dyDescent="0.3">
      <c r="C1180" s="1"/>
      <c r="D1180" s="8">
        <v>2015</v>
      </c>
      <c r="E1180" s="62">
        <f>Data!O1180</f>
        <v>0.66</v>
      </c>
      <c r="F1180" s="16" t="str">
        <f>Data!P1180</f>
        <v>Yayasan Dana Pensiun Bank BNI</v>
      </c>
    </row>
    <row r="1181" spans="2:6" ht="15" customHeight="1" x14ac:dyDescent="0.3">
      <c r="C1181" s="1"/>
      <c r="D1181" s="8">
        <v>2016</v>
      </c>
      <c r="E1181" s="62">
        <f>Data!O1181</f>
        <v>0.66</v>
      </c>
      <c r="F1181" s="16" t="str">
        <f>Data!P1181</f>
        <v>Yayasan Dana Pensiun Bank BNI</v>
      </c>
    </row>
    <row r="1182" spans="2:6" ht="15" customHeight="1" x14ac:dyDescent="0.3">
      <c r="C1182" s="1"/>
      <c r="D1182" s="8">
        <v>2017</v>
      </c>
      <c r="E1182" s="62">
        <f>Data!O1182</f>
        <v>0</v>
      </c>
      <c r="F1182" s="16">
        <f>Data!P1182</f>
        <v>0</v>
      </c>
    </row>
    <row r="1183" spans="2:6" ht="15" customHeight="1" x14ac:dyDescent="0.3">
      <c r="C1183" s="1"/>
      <c r="D1183" s="8">
        <v>2018</v>
      </c>
      <c r="E1183" s="62">
        <f>Data!O1183</f>
        <v>0.63</v>
      </c>
      <c r="F1183" s="16" t="str">
        <f>Data!P1183</f>
        <v>Yayasan Dana Pensiun Bank BNI</v>
      </c>
    </row>
    <row r="1184" spans="2:6" ht="15" customHeight="1" x14ac:dyDescent="0.3">
      <c r="C1184" s="1"/>
      <c r="D1184" s="8">
        <v>2019</v>
      </c>
      <c r="E1184" s="62">
        <f>Data!O1184</f>
        <v>0</v>
      </c>
      <c r="F1184" s="16">
        <f>Data!P1184</f>
        <v>0</v>
      </c>
    </row>
    <row r="1185" spans="2:6" ht="15" customHeight="1" x14ac:dyDescent="0.3">
      <c r="C1185" s="1"/>
      <c r="D1185" s="8">
        <v>2020</v>
      </c>
      <c r="E1185" s="62">
        <f>Data!O1185</f>
        <v>0.63</v>
      </c>
      <c r="F1185" s="16" t="str">
        <f>Data!P1185</f>
        <v>Yayasan Dana Pensiun Bank BNI</v>
      </c>
    </row>
    <row r="1186" spans="2:6" ht="15" customHeight="1" x14ac:dyDescent="0.3">
      <c r="C1186" s="1"/>
      <c r="D1186" s="8">
        <v>2021</v>
      </c>
      <c r="E1186" s="62">
        <f>Data!O1186</f>
        <v>0.629</v>
      </c>
      <c r="F1186" s="16" t="str">
        <f>Data!P1186</f>
        <v>Yayasan Dana Pensiun Bank BNI</v>
      </c>
    </row>
    <row r="1187" spans="2:6" ht="15" customHeight="1" x14ac:dyDescent="0.3">
      <c r="C1187" s="1"/>
      <c r="D1187" s="8">
        <v>2022</v>
      </c>
      <c r="E1187" s="62">
        <f>Data!O1187</f>
        <v>0.629</v>
      </c>
      <c r="F1187" s="16" t="str">
        <f>Data!P1187</f>
        <v>Yayasan Dana Pensiun Bank BNI</v>
      </c>
    </row>
    <row r="1188" spans="2:6" ht="15" customHeight="1" x14ac:dyDescent="0.3">
      <c r="C1188" s="1"/>
      <c r="D1188" s="8">
        <v>2023</v>
      </c>
      <c r="E1188" s="62">
        <f>Data!O1188</f>
        <v>0.63</v>
      </c>
      <c r="F1188" s="16" t="str">
        <f>Data!P1188</f>
        <v>Yayasan Dana Pensiun Bank BNI</v>
      </c>
    </row>
    <row r="1189" spans="2:6" ht="15" customHeight="1" x14ac:dyDescent="0.3">
      <c r="C1189" s="1"/>
      <c r="D1189" s="8">
        <v>2024</v>
      </c>
      <c r="E1189" s="62">
        <f>Data!O1189</f>
        <v>0.63</v>
      </c>
      <c r="F1189" s="16" t="str">
        <f>Data!P1189</f>
        <v>Yayasan Dana Pensiun Bank BNI</v>
      </c>
    </row>
    <row r="1190" spans="2:6" ht="15" customHeight="1" x14ac:dyDescent="0.3">
      <c r="B1190" s="8">
        <v>109</v>
      </c>
      <c r="C1190" s="2" t="s">
        <v>106</v>
      </c>
      <c r="D1190" s="8">
        <v>2014</v>
      </c>
      <c r="E1190" s="62">
        <f>Data!O1190</f>
        <v>0</v>
      </c>
      <c r="F1190" s="16">
        <f>Data!P1190</f>
        <v>0</v>
      </c>
    </row>
    <row r="1191" spans="2:6" ht="15" customHeight="1" x14ac:dyDescent="0.3">
      <c r="C1191" s="2"/>
      <c r="D1191" s="8">
        <v>2015</v>
      </c>
      <c r="E1191" s="62">
        <f>Data!O1191</f>
        <v>0.95</v>
      </c>
      <c r="F1191" s="16">
        <f>Data!P1202</f>
        <v>0</v>
      </c>
    </row>
    <row r="1192" spans="2:6" ht="15" customHeight="1" x14ac:dyDescent="0.3">
      <c r="C1192" s="2"/>
      <c r="D1192" s="8">
        <v>2016</v>
      </c>
      <c r="E1192" s="62">
        <f>Data!O1192</f>
        <v>0.95</v>
      </c>
      <c r="F1192" s="16" t="str">
        <f>Data!P1203</f>
        <v>PT Bank Central Asia</v>
      </c>
    </row>
    <row r="1193" spans="2:6" ht="15" customHeight="1" x14ac:dyDescent="0.3">
      <c r="C1193" s="2"/>
      <c r="D1193" s="8">
        <v>2017</v>
      </c>
      <c r="E1193" s="62">
        <f>Data!O1193</f>
        <v>0.95</v>
      </c>
      <c r="F1193" s="16" t="str">
        <f>Data!P1193</f>
        <v>PT Pertamina</v>
      </c>
    </row>
    <row r="1194" spans="2:6" ht="15" customHeight="1" x14ac:dyDescent="0.3">
      <c r="C1194" s="2"/>
      <c r="D1194" s="8">
        <v>2018</v>
      </c>
      <c r="E1194" s="62">
        <f>Data!O1194</f>
        <v>0.58499999999999996</v>
      </c>
      <c r="F1194" s="16" t="str">
        <f>Data!P1194</f>
        <v>PT Pertamina</v>
      </c>
    </row>
    <row r="1195" spans="2:6" ht="15" customHeight="1" x14ac:dyDescent="0.3">
      <c r="C1195" s="2"/>
      <c r="D1195" s="8">
        <v>2019</v>
      </c>
      <c r="E1195" s="62">
        <f>Data!O1195</f>
        <v>0.58499999999999996</v>
      </c>
      <c r="F1195" s="16" t="str">
        <f>Data!P1195</f>
        <v>PT Pertamina</v>
      </c>
    </row>
    <row r="1196" spans="2:6" ht="15" customHeight="1" x14ac:dyDescent="0.3">
      <c r="C1196" s="2"/>
      <c r="D1196" s="8">
        <v>2020</v>
      </c>
      <c r="E1196" s="62">
        <f>Data!O1196</f>
        <v>0.58499999999999996</v>
      </c>
      <c r="F1196" s="16" t="str">
        <f>Data!P1196</f>
        <v>PT Pertamina</v>
      </c>
    </row>
    <row r="1197" spans="2:6" ht="15" customHeight="1" x14ac:dyDescent="0.3">
      <c r="C1197" s="2"/>
      <c r="D1197" s="8">
        <v>2021</v>
      </c>
      <c r="E1197" s="62">
        <f>Data!O1197</f>
        <v>0.58499999999999996</v>
      </c>
      <c r="F1197" s="16" t="str">
        <f>Data!P1197</f>
        <v>PT Pertamina</v>
      </c>
    </row>
    <row r="1198" spans="2:6" ht="15" customHeight="1" x14ac:dyDescent="0.3">
      <c r="C1198" s="2"/>
      <c r="D1198" s="8">
        <v>2022</v>
      </c>
      <c r="E1198" s="62">
        <f>Data!O1198</f>
        <v>0.58499999999999996</v>
      </c>
      <c r="F1198" s="16" t="str">
        <f>Data!P1198</f>
        <v>PT Pertamina</v>
      </c>
    </row>
    <row r="1199" spans="2:6" ht="15" customHeight="1" x14ac:dyDescent="0.3">
      <c r="C1199" s="2"/>
      <c r="D1199" s="8">
        <v>2023</v>
      </c>
      <c r="E1199" s="62">
        <f>Data!O1199</f>
        <v>0.58499999999999996</v>
      </c>
      <c r="F1199" s="16" t="str">
        <f>Data!P1199</f>
        <v>PT Pertamina</v>
      </c>
    </row>
    <row r="1200" spans="2:6" ht="15" customHeight="1" x14ac:dyDescent="0.3">
      <c r="C1200" s="2"/>
      <c r="D1200" s="8">
        <v>2024</v>
      </c>
      <c r="E1200" s="62">
        <f>Data!O1200</f>
        <v>0.58499999999999996</v>
      </c>
      <c r="F1200" s="16" t="str">
        <f>Data!P1200</f>
        <v>PT Pertamina</v>
      </c>
    </row>
    <row r="1201" spans="2:6" ht="15" customHeight="1" x14ac:dyDescent="0.3">
      <c r="B1201" s="8">
        <v>110</v>
      </c>
      <c r="C1201" s="2" t="s">
        <v>66</v>
      </c>
      <c r="D1201" s="8">
        <v>2014</v>
      </c>
      <c r="E1201" s="62">
        <f>Data!O1201</f>
        <v>0</v>
      </c>
      <c r="F1201" s="16">
        <f>Data!P1201</f>
        <v>0</v>
      </c>
    </row>
    <row r="1202" spans="2:6" ht="15" customHeight="1" x14ac:dyDescent="0.3">
      <c r="C1202" s="2"/>
      <c r="D1202" s="8">
        <v>2015</v>
      </c>
      <c r="E1202" s="62">
        <f>Data!O1202</f>
        <v>0</v>
      </c>
      <c r="F1202" s="16" t="e">
        <f>Data!#REF!</f>
        <v>#REF!</v>
      </c>
    </row>
    <row r="1203" spans="2:6" ht="15" customHeight="1" x14ac:dyDescent="0.3">
      <c r="C1203" s="2"/>
      <c r="D1203" s="8">
        <v>2016</v>
      </c>
      <c r="E1203" s="62">
        <f>Data!O1203</f>
        <v>0.75</v>
      </c>
      <c r="F1203" s="16" t="e">
        <f>Data!#REF!</f>
        <v>#REF!</v>
      </c>
    </row>
    <row r="1204" spans="2:6" ht="15" customHeight="1" x14ac:dyDescent="0.3">
      <c r="C1204" s="2"/>
      <c r="D1204" s="8">
        <v>2017</v>
      </c>
      <c r="E1204" s="62">
        <f>Data!O1204</f>
        <v>0.75</v>
      </c>
      <c r="F1204" s="16" t="str">
        <f>Data!P1204</f>
        <v>PT Bank Central Asia</v>
      </c>
    </row>
    <row r="1205" spans="2:6" ht="15" customHeight="1" x14ac:dyDescent="0.3">
      <c r="C1205" s="2"/>
      <c r="D1205" s="8">
        <v>2018</v>
      </c>
      <c r="E1205" s="62">
        <f>Data!O1205</f>
        <v>0.75</v>
      </c>
      <c r="F1205" s="16" t="str">
        <f>Data!P1205</f>
        <v>PT Bank Central Asia</v>
      </c>
    </row>
    <row r="1206" spans="2:6" ht="15" customHeight="1" x14ac:dyDescent="0.3">
      <c r="C1206" s="2"/>
      <c r="D1206" s="8">
        <v>2019</v>
      </c>
      <c r="E1206" s="62">
        <f>Data!O1206</f>
        <v>0.75</v>
      </c>
      <c r="F1206" s="16" t="str">
        <f>Data!P1206</f>
        <v>PT Bank Central Asia</v>
      </c>
    </row>
    <row r="1207" spans="2:6" ht="15" customHeight="1" x14ac:dyDescent="0.3">
      <c r="C1207" s="2"/>
      <c r="D1207" s="8">
        <v>2020</v>
      </c>
      <c r="E1207" s="62">
        <f>Data!O1207</f>
        <v>0.75</v>
      </c>
      <c r="F1207" s="16" t="str">
        <f>Data!P1207</f>
        <v>PT Bank Central Asia</v>
      </c>
    </row>
    <row r="1208" spans="2:6" ht="15" customHeight="1" x14ac:dyDescent="0.3">
      <c r="C1208" s="2"/>
      <c r="D1208" s="8">
        <v>2021</v>
      </c>
      <c r="E1208" s="62">
        <f>Data!O1208</f>
        <v>0.75</v>
      </c>
      <c r="F1208" s="16" t="str">
        <f>Data!P1208</f>
        <v>PT Bank Central Asia</v>
      </c>
    </row>
    <row r="1209" spans="2:6" ht="15" customHeight="1" x14ac:dyDescent="0.3">
      <c r="C1209" s="2"/>
      <c r="D1209" s="8">
        <v>2022</v>
      </c>
      <c r="E1209" s="62">
        <f>Data!O1209</f>
        <v>0.75</v>
      </c>
      <c r="F1209" s="16" t="str">
        <f>Data!P1209</f>
        <v>PT Bank Central Asia</v>
      </c>
    </row>
    <row r="1210" spans="2:6" ht="15" customHeight="1" x14ac:dyDescent="0.3">
      <c r="C1210" s="2"/>
      <c r="D1210" s="8">
        <v>2023</v>
      </c>
      <c r="E1210" s="62">
        <f>Data!O1210</f>
        <v>0.75</v>
      </c>
      <c r="F1210" s="16" t="str">
        <f>Data!P1210</f>
        <v>PT Bank Central Asia</v>
      </c>
    </row>
    <row r="1211" spans="2:6" ht="15" customHeight="1" x14ac:dyDescent="0.3">
      <c r="C1211" s="2"/>
      <c r="D1211" s="8">
        <v>2024</v>
      </c>
      <c r="E1211" s="62">
        <f>Data!O1211</f>
        <v>0.75</v>
      </c>
      <c r="F1211" s="16" t="str">
        <f>Data!P1211</f>
        <v>PT Bank Central Asia</v>
      </c>
    </row>
    <row r="1212" spans="2:6" ht="15" customHeight="1" x14ac:dyDescent="0.3">
      <c r="B1212" s="8">
        <v>111</v>
      </c>
      <c r="C1212" s="2" t="s">
        <v>74</v>
      </c>
      <c r="D1212" s="8">
        <v>2014</v>
      </c>
      <c r="E1212" s="62">
        <f>Data!O1212</f>
        <v>0</v>
      </c>
      <c r="F1212" s="16">
        <f>Data!P1212</f>
        <v>0</v>
      </c>
    </row>
    <row r="1213" spans="2:6" ht="15" customHeight="1" x14ac:dyDescent="0.3">
      <c r="C1213" s="2"/>
      <c r="D1213" s="8">
        <v>2015</v>
      </c>
      <c r="E1213" s="62">
        <f>Data!O1213</f>
        <v>0.99450000000000005</v>
      </c>
      <c r="F1213" s="16" t="str">
        <f>Data!P1213</f>
        <v>AJB Bumiputera 1912</v>
      </c>
    </row>
    <row r="1214" spans="2:6" ht="15" customHeight="1" x14ac:dyDescent="0.3">
      <c r="C1214" s="2"/>
      <c r="D1214" s="8">
        <v>2016</v>
      </c>
      <c r="E1214" s="62">
        <f>Data!O1214</f>
        <v>0.99450000000000005</v>
      </c>
      <c r="F1214" s="16" t="str">
        <f>Data!P1214</f>
        <v>AJB Bumiputera 1912</v>
      </c>
    </row>
    <row r="1215" spans="2:6" ht="15" customHeight="1" x14ac:dyDescent="0.3">
      <c r="C1215" s="2"/>
      <c r="D1215" s="8">
        <v>2017</v>
      </c>
      <c r="E1215" s="62">
        <f>Data!O1215</f>
        <v>0.99970000000000003</v>
      </c>
      <c r="F1215" s="16" t="str">
        <f>Data!P1215</f>
        <v>AJB Bumiputera 1912</v>
      </c>
    </row>
    <row r="1216" spans="2:6" ht="15" customHeight="1" x14ac:dyDescent="0.3">
      <c r="C1216" s="2"/>
      <c r="D1216" s="8">
        <v>2018</v>
      </c>
      <c r="E1216" s="62">
        <f>Data!O1216</f>
        <v>0.99970000000000003</v>
      </c>
      <c r="F1216" s="16" t="str">
        <f>Data!P1216</f>
        <v>AJB Bumiputera 1912</v>
      </c>
    </row>
    <row r="1217" spans="2:6" ht="15" customHeight="1" x14ac:dyDescent="0.3">
      <c r="C1217" s="2"/>
      <c r="D1217" s="8">
        <v>2019</v>
      </c>
      <c r="E1217" s="62">
        <f>Data!O1217</f>
        <v>0.99970000000000003</v>
      </c>
      <c r="F1217" s="16" t="str">
        <f>Data!P1217</f>
        <v>AJB Bumiputera 1912</v>
      </c>
    </row>
    <row r="1218" spans="2:6" ht="15" customHeight="1" x14ac:dyDescent="0.3">
      <c r="C1218" s="2"/>
      <c r="D1218" s="8">
        <v>2020</v>
      </c>
      <c r="E1218" s="62">
        <f>Data!O1218</f>
        <v>0.99970000000000003</v>
      </c>
      <c r="F1218" s="16" t="str">
        <f>Data!P1218</f>
        <v>AJB Bumiputera 1912</v>
      </c>
    </row>
    <row r="1219" spans="2:6" ht="15" customHeight="1" x14ac:dyDescent="0.3">
      <c r="C1219" s="2"/>
      <c r="D1219" s="8">
        <v>2021</v>
      </c>
      <c r="E1219" s="62">
        <f>Data!O1219</f>
        <v>0.99970000000000003</v>
      </c>
      <c r="F1219" s="16" t="str">
        <f>Data!P1219</f>
        <v>AJB Bumiputera 1912</v>
      </c>
    </row>
    <row r="1220" spans="2:6" ht="15" customHeight="1" x14ac:dyDescent="0.3">
      <c r="C1220" s="2"/>
      <c r="D1220" s="8">
        <v>2022</v>
      </c>
      <c r="E1220" s="62">
        <f>Data!O1220</f>
        <v>0.99970000000000003</v>
      </c>
      <c r="F1220" s="16" t="str">
        <f>Data!P1220</f>
        <v>AJB Bumiputera 1912</v>
      </c>
    </row>
    <row r="1221" spans="2:6" ht="15" customHeight="1" x14ac:dyDescent="0.3">
      <c r="C1221" s="2"/>
      <c r="D1221" s="8">
        <v>2023</v>
      </c>
      <c r="E1221" s="62">
        <f>Data!O1221</f>
        <v>0.99970000000000003</v>
      </c>
      <c r="F1221" s="16" t="str">
        <f>Data!P1221</f>
        <v>AJB Bumiputera 1912</v>
      </c>
    </row>
    <row r="1222" spans="2:6" ht="15" customHeight="1" x14ac:dyDescent="0.3">
      <c r="C1222" s="2"/>
      <c r="D1222" s="8">
        <v>2024</v>
      </c>
      <c r="E1222" s="62">
        <f>Data!O1222</f>
        <v>0.99970000000000003</v>
      </c>
      <c r="F1222" s="16" t="str">
        <f>Data!P1222</f>
        <v>AJB Bumiputera 1912</v>
      </c>
    </row>
    <row r="1223" spans="2:6" ht="15" customHeight="1" x14ac:dyDescent="0.3">
      <c r="B1223" s="8">
        <v>112</v>
      </c>
      <c r="C1223" s="2" t="s">
        <v>91</v>
      </c>
      <c r="D1223" s="8">
        <v>2014</v>
      </c>
      <c r="E1223" s="62">
        <f>Data!O1223</f>
        <v>0</v>
      </c>
      <c r="F1223" s="16">
        <f>Data!P1223</f>
        <v>0</v>
      </c>
    </row>
    <row r="1224" spans="2:6" ht="15" customHeight="1" x14ac:dyDescent="0.3">
      <c r="C1224" s="2"/>
      <c r="D1224" s="8">
        <v>2015</v>
      </c>
      <c r="E1224" s="62">
        <f>Data!O1224</f>
        <v>0</v>
      </c>
      <c r="F1224" s="16">
        <f>Data!P1224</f>
        <v>0</v>
      </c>
    </row>
    <row r="1225" spans="2:6" ht="15" customHeight="1" x14ac:dyDescent="0.3">
      <c r="C1225" s="2"/>
      <c r="D1225" s="8">
        <v>2016</v>
      </c>
      <c r="E1225" s="62">
        <f>Data!O1225</f>
        <v>0.99990000000000001</v>
      </c>
      <c r="F1225" s="16" t="str">
        <f>Data!P1225</f>
        <v>PT Mega Corpora</v>
      </c>
    </row>
    <row r="1226" spans="2:6" ht="15" customHeight="1" x14ac:dyDescent="0.3">
      <c r="C1226" s="2"/>
      <c r="D1226" s="8">
        <v>2017</v>
      </c>
      <c r="E1226" s="62">
        <f>Data!O1226</f>
        <v>0.99990000000000001</v>
      </c>
      <c r="F1226" s="16" t="str">
        <f>Data!P1226</f>
        <v>PT Mega Corpora</v>
      </c>
    </row>
    <row r="1227" spans="2:6" ht="15" customHeight="1" x14ac:dyDescent="0.3">
      <c r="C1227" s="2"/>
      <c r="D1227" s="8">
        <v>2018</v>
      </c>
      <c r="E1227" s="62">
        <f>Data!O1227</f>
        <v>0.99990000000000001</v>
      </c>
      <c r="F1227" s="16" t="str">
        <f>Data!P1227</f>
        <v>PT Mega Corpora</v>
      </c>
    </row>
    <row r="1228" spans="2:6" ht="15" customHeight="1" x14ac:dyDescent="0.3">
      <c r="C1228" s="2"/>
      <c r="D1228" s="8">
        <v>2019</v>
      </c>
      <c r="E1228" s="62">
        <f>Data!O1228</f>
        <v>0.99990000000000001</v>
      </c>
      <c r="F1228" s="16" t="str">
        <f>Data!P1228</f>
        <v>PT Mega Corpora</v>
      </c>
    </row>
    <row r="1229" spans="2:6" ht="15" customHeight="1" x14ac:dyDescent="0.3">
      <c r="C1229" s="2"/>
      <c r="D1229" s="8">
        <v>2020</v>
      </c>
      <c r="E1229" s="62">
        <f>Data!O1229</f>
        <v>0.99990000000000001</v>
      </c>
      <c r="F1229" s="16" t="str">
        <f>Data!P1229</f>
        <v>PT Mega Corpora</v>
      </c>
    </row>
    <row r="1230" spans="2:6" ht="15" customHeight="1" x14ac:dyDescent="0.3">
      <c r="C1230" s="2"/>
      <c r="D1230" s="8">
        <v>2021</v>
      </c>
      <c r="E1230" s="62">
        <f>Data!O1230</f>
        <v>0.99990000000000001</v>
      </c>
      <c r="F1230" s="16" t="str">
        <f>Data!P1230</f>
        <v>PT Mega Corpora</v>
      </c>
    </row>
    <row r="1231" spans="2:6" ht="15" customHeight="1" x14ac:dyDescent="0.3">
      <c r="C1231" s="2"/>
      <c r="D1231" s="8">
        <v>2022</v>
      </c>
      <c r="E1231" s="62">
        <f>Data!O1231</f>
        <v>0.99990000000000001</v>
      </c>
      <c r="F1231" s="16" t="str">
        <f>Data!P1231</f>
        <v>PT Mega Corpora</v>
      </c>
    </row>
    <row r="1232" spans="2:6" ht="15" customHeight="1" x14ac:dyDescent="0.3">
      <c r="C1232" s="2"/>
      <c r="D1232" s="8">
        <v>2023</v>
      </c>
      <c r="E1232" s="62">
        <f>Data!O1232</f>
        <v>0.99990000000000001</v>
      </c>
      <c r="F1232" s="16" t="str">
        <f>Data!P1232</f>
        <v>PT Mega Corpora</v>
      </c>
    </row>
    <row r="1233" spans="2:6" ht="15" customHeight="1" x14ac:dyDescent="0.3">
      <c r="C1233" s="2"/>
      <c r="D1233" s="8">
        <v>2024</v>
      </c>
      <c r="E1233" s="62">
        <f>Data!O1233</f>
        <v>0.99990000000000001</v>
      </c>
      <c r="F1233" s="16" t="str">
        <f>Data!P1233</f>
        <v>PT Mega Corpora</v>
      </c>
    </row>
    <row r="1234" spans="2:6" ht="15" customHeight="1" x14ac:dyDescent="0.3">
      <c r="B1234" s="8">
        <v>113</v>
      </c>
      <c r="C1234" s="2" t="s">
        <v>90</v>
      </c>
      <c r="D1234" s="8">
        <v>2014</v>
      </c>
      <c r="E1234" s="62">
        <f>Data!O1234</f>
        <v>0</v>
      </c>
      <c r="F1234" s="16">
        <f>Data!P1234</f>
        <v>0</v>
      </c>
    </row>
    <row r="1235" spans="2:6" ht="15" customHeight="1" x14ac:dyDescent="0.3">
      <c r="C1235" s="2"/>
      <c r="D1235" s="8">
        <v>2015</v>
      </c>
      <c r="E1235" s="62">
        <f>Data!O1235</f>
        <v>0</v>
      </c>
      <c r="F1235" s="16">
        <f>Data!P1235</f>
        <v>0</v>
      </c>
    </row>
    <row r="1236" spans="2:6" ht="15" customHeight="1" x14ac:dyDescent="0.3">
      <c r="C1236" s="2"/>
      <c r="D1236" s="8">
        <v>2016</v>
      </c>
      <c r="E1236" s="62">
        <f>Data!O1236</f>
        <v>0</v>
      </c>
      <c r="F1236" s="16">
        <f>Data!P1236</f>
        <v>0</v>
      </c>
    </row>
    <row r="1237" spans="2:6" ht="15" customHeight="1" x14ac:dyDescent="0.3">
      <c r="C1237" s="2"/>
      <c r="D1237" s="8">
        <v>2017</v>
      </c>
      <c r="E1237" s="62">
        <f>Data!O1237</f>
        <v>0</v>
      </c>
      <c r="F1237" s="16">
        <f>Data!P1237</f>
        <v>0</v>
      </c>
    </row>
    <row r="1238" spans="2:6" ht="15" customHeight="1" x14ac:dyDescent="0.3">
      <c r="C1238" s="2"/>
      <c r="D1238" s="8">
        <v>2018</v>
      </c>
      <c r="E1238" s="62">
        <f>Data!O1238</f>
        <v>0</v>
      </c>
      <c r="F1238" s="16">
        <f>Data!P1238</f>
        <v>0</v>
      </c>
    </row>
    <row r="1239" spans="2:6" ht="15" customHeight="1" x14ac:dyDescent="0.3">
      <c r="C1239" s="2"/>
      <c r="D1239" s="8">
        <v>2019</v>
      </c>
      <c r="E1239" s="62">
        <f>Data!O1239</f>
        <v>0.93369999999999997</v>
      </c>
      <c r="F1239" s="16" t="str">
        <f>Data!P1239</f>
        <v>PT Prima Eksekutif</v>
      </c>
    </row>
    <row r="1240" spans="2:6" ht="15" customHeight="1" x14ac:dyDescent="0.3">
      <c r="C1240" s="2"/>
      <c r="D1240" s="8">
        <v>2020</v>
      </c>
      <c r="E1240" s="62">
        <f>Data!O1240</f>
        <v>0.93369999999999997</v>
      </c>
      <c r="F1240" s="16" t="str">
        <f>Data!P1240</f>
        <v>PT Prima Eksekutif</v>
      </c>
    </row>
    <row r="1241" spans="2:6" ht="15" customHeight="1" x14ac:dyDescent="0.3">
      <c r="C1241" s="2"/>
      <c r="D1241" s="8">
        <v>2021</v>
      </c>
      <c r="E1241" s="62">
        <f>Data!O1241</f>
        <v>0.9476</v>
      </c>
      <c r="F1241" s="16" t="str">
        <f>Data!P1241</f>
        <v>PT Prima Eksekutif</v>
      </c>
    </row>
    <row r="1242" spans="2:6" ht="15" customHeight="1" x14ac:dyDescent="0.3">
      <c r="C1242" s="2"/>
      <c r="D1242" s="8">
        <v>2022</v>
      </c>
      <c r="E1242" s="62">
        <f>Data!O1242</f>
        <v>0.99850000000000005</v>
      </c>
      <c r="F1242" s="16" t="str">
        <f>Data!P1242</f>
        <v>PT Wahana Mandiri Sentosa Cemerlang</v>
      </c>
    </row>
    <row r="1243" spans="2:6" ht="15" customHeight="1" x14ac:dyDescent="0.3">
      <c r="C1243" s="2"/>
      <c r="D1243" s="8">
        <v>2023</v>
      </c>
      <c r="E1243" s="62">
        <f>Data!O1243</f>
        <v>0.99850000000000005</v>
      </c>
      <c r="F1243" s="16" t="str">
        <f>Data!P1243</f>
        <v>PT Wahana Mandiri Sentosa Cemerlang</v>
      </c>
    </row>
    <row r="1244" spans="2:6" ht="15" customHeight="1" x14ac:dyDescent="0.3">
      <c r="C1244" s="2"/>
      <c r="D1244" s="8">
        <v>2024</v>
      </c>
      <c r="E1244" s="62">
        <f>Data!O1244</f>
        <v>0.99850000000000005</v>
      </c>
      <c r="F1244" s="16" t="str">
        <f>Data!P1244</f>
        <v>PT Wahana Mandiri Sentosa Cemerlang</v>
      </c>
    </row>
    <row r="1245" spans="2:6" ht="15" customHeight="1" x14ac:dyDescent="0.3">
      <c r="B1245" s="8">
        <v>114</v>
      </c>
      <c r="C1245" s="2" t="s">
        <v>107</v>
      </c>
      <c r="D1245" s="8">
        <v>2014</v>
      </c>
      <c r="E1245" s="62">
        <f>Data!O1245</f>
        <v>0</v>
      </c>
      <c r="F1245" s="16">
        <f>Data!P1245</f>
        <v>0</v>
      </c>
    </row>
    <row r="1246" spans="2:6" ht="15" customHeight="1" x14ac:dyDescent="0.3">
      <c r="C1246" s="2"/>
      <c r="D1246" s="8">
        <v>2015</v>
      </c>
      <c r="E1246" s="62">
        <f>Data!O1246</f>
        <v>0.54</v>
      </c>
      <c r="F1246" s="16" t="str">
        <f>Data!P1246</f>
        <v>PT Piramida Bangun Citra</v>
      </c>
    </row>
    <row r="1247" spans="2:6" ht="15" customHeight="1" x14ac:dyDescent="0.3">
      <c r="C1247" s="2"/>
      <c r="D1247" s="8">
        <v>2016</v>
      </c>
      <c r="E1247" s="62">
        <f>Data!O1247</f>
        <v>0.54</v>
      </c>
      <c r="F1247" s="16" t="str">
        <f>Data!P1247</f>
        <v>PT Piramida Bangun Citra</v>
      </c>
    </row>
    <row r="1248" spans="2:6" ht="15" customHeight="1" x14ac:dyDescent="0.3">
      <c r="C1248" s="2"/>
      <c r="D1248" s="8">
        <v>2017</v>
      </c>
      <c r="E1248" s="62">
        <f>Data!O1248</f>
        <v>0.54</v>
      </c>
      <c r="F1248" s="16" t="str">
        <f>Data!P1248</f>
        <v>PT Piramida Bangun Citra</v>
      </c>
    </row>
    <row r="1249" spans="2:6" ht="15" customHeight="1" x14ac:dyDescent="0.3">
      <c r="C1249" s="2"/>
      <c r="D1249" s="8">
        <v>2018</v>
      </c>
      <c r="E1249" s="62">
        <f>Data!O1249</f>
        <v>0.54</v>
      </c>
      <c r="F1249" s="16" t="str">
        <f>Data!P1249</f>
        <v>PT Piramida Bangun Citra</v>
      </c>
    </row>
    <row r="1250" spans="2:6" ht="15" customHeight="1" x14ac:dyDescent="0.3">
      <c r="C1250" s="2"/>
      <c r="D1250" s="8">
        <v>2019</v>
      </c>
      <c r="E1250" s="62">
        <f>Data!O1250</f>
        <v>0.54</v>
      </c>
      <c r="F1250" s="16" t="str">
        <f>Data!P1250</f>
        <v>PT Piramida Bangun Citra</v>
      </c>
    </row>
    <row r="1251" spans="2:6" ht="15" customHeight="1" x14ac:dyDescent="0.3">
      <c r="C1251" s="2"/>
      <c r="D1251" s="8">
        <v>2020</v>
      </c>
      <c r="E1251" s="62">
        <f>Data!O1251</f>
        <v>0.54</v>
      </c>
      <c r="F1251" s="16" t="str">
        <f>Data!P1251</f>
        <v>PT Piramida Bangun Citra</v>
      </c>
    </row>
    <row r="1252" spans="2:6" ht="15" customHeight="1" x14ac:dyDescent="0.3">
      <c r="C1252" s="2"/>
      <c r="D1252" s="8">
        <v>2021</v>
      </c>
      <c r="E1252" s="62">
        <f>Data!O1252</f>
        <v>0.54</v>
      </c>
      <c r="F1252" s="16" t="str">
        <f>Data!P1252</f>
        <v>PT Piramida Bangun Citra</v>
      </c>
    </row>
    <row r="1253" spans="2:6" ht="15" customHeight="1" x14ac:dyDescent="0.3">
      <c r="C1253" s="2"/>
      <c r="D1253" s="8">
        <v>2022</v>
      </c>
      <c r="E1253" s="62">
        <f>Data!O1253</f>
        <v>0.54</v>
      </c>
      <c r="F1253" s="16" t="str">
        <f>Data!P1253</f>
        <v>PT Piramida Bangun Citra</v>
      </c>
    </row>
    <row r="1254" spans="2:6" ht="15" customHeight="1" x14ac:dyDescent="0.3">
      <c r="C1254" s="2"/>
      <c r="D1254" s="8">
        <v>2023</v>
      </c>
      <c r="E1254" s="62">
        <f>Data!O1254</f>
        <v>0.54</v>
      </c>
      <c r="F1254" s="16" t="str">
        <f>Data!P1254</f>
        <v>PT Piramida Bangun Citra</v>
      </c>
    </row>
    <row r="1255" spans="2:6" ht="15" customHeight="1" x14ac:dyDescent="0.3">
      <c r="C1255" s="2"/>
      <c r="D1255" s="8">
        <v>2024</v>
      </c>
      <c r="E1255" s="62">
        <f>Data!O1255</f>
        <v>0.54</v>
      </c>
      <c r="F1255" s="16" t="str">
        <f>Data!P1255</f>
        <v>PT Piramida Bangun Citra</v>
      </c>
    </row>
    <row r="1256" spans="2:6" ht="15" customHeight="1" x14ac:dyDescent="0.3">
      <c r="B1256" s="8">
        <v>115</v>
      </c>
      <c r="C1256" s="1" t="s">
        <v>128</v>
      </c>
      <c r="D1256" s="8">
        <v>2014</v>
      </c>
      <c r="E1256" s="62">
        <f>Data!O1256</f>
        <v>0</v>
      </c>
      <c r="F1256" s="16">
        <f>Data!P1256</f>
        <v>0</v>
      </c>
    </row>
    <row r="1257" spans="2:6" ht="15" customHeight="1" x14ac:dyDescent="0.3">
      <c r="C1257" s="1"/>
      <c r="D1257" s="8">
        <v>2015</v>
      </c>
      <c r="E1257" s="62">
        <f>Data!O1257</f>
        <v>0</v>
      </c>
      <c r="F1257" s="16">
        <f>Data!P1257</f>
        <v>0</v>
      </c>
    </row>
    <row r="1258" spans="2:6" ht="15" customHeight="1" x14ac:dyDescent="0.3">
      <c r="C1258" s="1"/>
      <c r="D1258" s="8">
        <v>2016</v>
      </c>
      <c r="E1258" s="62">
        <f>Data!O1258</f>
        <v>0</v>
      </c>
      <c r="F1258" s="16">
        <f>Data!P1258</f>
        <v>0</v>
      </c>
    </row>
    <row r="1259" spans="2:6" ht="15" customHeight="1" x14ac:dyDescent="0.3">
      <c r="C1259" s="1"/>
      <c r="D1259" s="8">
        <v>2017</v>
      </c>
      <c r="E1259" s="62">
        <f>Data!O1259</f>
        <v>0</v>
      </c>
      <c r="F1259" s="16">
        <f>Data!P1259</f>
        <v>0</v>
      </c>
    </row>
    <row r="1260" spans="2:6" ht="15" customHeight="1" x14ac:dyDescent="0.3">
      <c r="C1260" s="1"/>
      <c r="D1260" s="8">
        <v>2018</v>
      </c>
      <c r="E1260" s="62">
        <f>Data!O1260</f>
        <v>0</v>
      </c>
      <c r="F1260" s="16">
        <f>Data!P1260</f>
        <v>0</v>
      </c>
    </row>
    <row r="1261" spans="2:6" ht="15" customHeight="1" x14ac:dyDescent="0.3">
      <c r="C1261" s="1"/>
      <c r="D1261" s="8">
        <v>2019</v>
      </c>
      <c r="E1261" s="62">
        <f>Data!O1261</f>
        <v>0</v>
      </c>
      <c r="F1261" s="16">
        <f>Data!P1261</f>
        <v>0</v>
      </c>
    </row>
    <row r="1262" spans="2:6" ht="15" customHeight="1" x14ac:dyDescent="0.3">
      <c r="C1262" s="1"/>
      <c r="D1262" s="8">
        <v>2020</v>
      </c>
      <c r="E1262" s="62">
        <f>Data!O1262</f>
        <v>0</v>
      </c>
      <c r="F1262" s="16">
        <f>Data!P1262</f>
        <v>0</v>
      </c>
    </row>
    <row r="1263" spans="2:6" ht="15" customHeight="1" x14ac:dyDescent="0.3">
      <c r="C1263" s="1"/>
      <c r="D1263" s="8">
        <v>2021</v>
      </c>
      <c r="E1263" s="62">
        <f>Data!O1263</f>
        <v>0</v>
      </c>
      <c r="F1263" s="16">
        <f>Data!P1263</f>
        <v>0</v>
      </c>
    </row>
    <row r="1264" spans="2:6" ht="15" customHeight="1" x14ac:dyDescent="0.3">
      <c r="C1264" s="1"/>
      <c r="D1264" s="8">
        <v>2022</v>
      </c>
      <c r="E1264" s="62">
        <f>Data!O1264</f>
        <v>0.42309999999999998</v>
      </c>
      <c r="F1264" s="16" t="str">
        <f>Data!P1264</f>
        <v>Cleosent Randing</v>
      </c>
    </row>
    <row r="1265" spans="2:6" ht="15" customHeight="1" x14ac:dyDescent="0.3">
      <c r="C1265" s="1"/>
      <c r="D1265" s="8">
        <v>2023</v>
      </c>
      <c r="E1265" s="62">
        <f>Data!O1265</f>
        <v>0.42309999999999998</v>
      </c>
      <c r="F1265" s="16" t="str">
        <f>Data!P1265</f>
        <v>Cleosent Randing</v>
      </c>
    </row>
    <row r="1266" spans="2:6" ht="15" customHeight="1" x14ac:dyDescent="0.3">
      <c r="C1266" s="1"/>
      <c r="D1266" s="8">
        <v>2024</v>
      </c>
      <c r="E1266" s="62">
        <f>Data!O1266</f>
        <v>0.42309999999999998</v>
      </c>
      <c r="F1266" s="16" t="str">
        <f>Data!P1266</f>
        <v>Cleosent Randing</v>
      </c>
    </row>
    <row r="1267" spans="2:6" ht="15" customHeight="1" x14ac:dyDescent="0.3">
      <c r="B1267" s="8">
        <v>116</v>
      </c>
      <c r="C1267" s="1" t="s">
        <v>127</v>
      </c>
      <c r="D1267" s="8">
        <v>2014</v>
      </c>
      <c r="E1267" s="62">
        <f>Data!O1267</f>
        <v>0</v>
      </c>
      <c r="F1267" s="16">
        <f>Data!P1267</f>
        <v>0</v>
      </c>
    </row>
    <row r="1268" spans="2:6" ht="15" customHeight="1" x14ac:dyDescent="0.3">
      <c r="C1268" s="1"/>
      <c r="D1268" s="8">
        <v>2015</v>
      </c>
      <c r="E1268" s="62">
        <f>Data!O1268</f>
        <v>0.72809999999999997</v>
      </c>
      <c r="F1268" s="16" t="str">
        <f>Data!P1268</f>
        <v>PT Pakarti Yoga</v>
      </c>
    </row>
    <row r="1269" spans="2:6" ht="15" customHeight="1" x14ac:dyDescent="0.3">
      <c r="C1269" s="1"/>
      <c r="D1269" s="8">
        <v>2016</v>
      </c>
      <c r="E1269" s="62">
        <f>Data!O1269</f>
        <v>0.72809999999999997</v>
      </c>
      <c r="F1269" s="16" t="str">
        <f>Data!P1269</f>
        <v>PT Pakarti Yoga</v>
      </c>
    </row>
    <row r="1270" spans="2:6" ht="15" customHeight="1" x14ac:dyDescent="0.3">
      <c r="C1270" s="1"/>
      <c r="D1270" s="8">
        <v>2017</v>
      </c>
      <c r="E1270" s="62">
        <f>Data!O1270</f>
        <v>0.72809999999999997</v>
      </c>
      <c r="F1270" s="16" t="str">
        <f>Data!P1270</f>
        <v>PT Pakarti Yoga</v>
      </c>
    </row>
    <row r="1271" spans="2:6" ht="15" customHeight="1" x14ac:dyDescent="0.3">
      <c r="C1271" s="1"/>
      <c r="D1271" s="8">
        <v>2018</v>
      </c>
      <c r="E1271" s="62">
        <f>Data!O1271</f>
        <v>0.73409999999999997</v>
      </c>
      <c r="F1271" s="16" t="str">
        <f>Data!P1271</f>
        <v>PT Pakarti Yoga</v>
      </c>
    </row>
    <row r="1272" spans="2:6" ht="15" customHeight="1" x14ac:dyDescent="0.3">
      <c r="C1272" s="1"/>
      <c r="D1272" s="8">
        <v>2019</v>
      </c>
      <c r="E1272" s="62">
        <f>Data!O1272</f>
        <v>0.73409999999999997</v>
      </c>
      <c r="F1272" s="16" t="str">
        <f>Data!P1272</f>
        <v>PT Pakarti Yoga</v>
      </c>
    </row>
    <row r="1273" spans="2:6" ht="15" customHeight="1" x14ac:dyDescent="0.3">
      <c r="C1273" s="1"/>
      <c r="D1273" s="8">
        <v>2020</v>
      </c>
      <c r="E1273" s="62">
        <f>Data!O1273</f>
        <v>0.73409999999999997</v>
      </c>
      <c r="F1273" s="16" t="str">
        <f>Data!P1273</f>
        <v>PT Pakarti Yoga</v>
      </c>
    </row>
    <row r="1274" spans="2:6" ht="15" customHeight="1" x14ac:dyDescent="0.3">
      <c r="C1274" s="1"/>
      <c r="D1274" s="8">
        <v>2021</v>
      </c>
      <c r="E1274" s="62">
        <f>Data!O1274</f>
        <v>0.73409999999999997</v>
      </c>
      <c r="F1274" s="16" t="str">
        <f>Data!P1274</f>
        <v>PT Pakarti Yoga</v>
      </c>
    </row>
    <row r="1275" spans="2:6" ht="15" customHeight="1" x14ac:dyDescent="0.3">
      <c r="C1275" s="1"/>
      <c r="D1275" s="8">
        <v>2022</v>
      </c>
      <c r="E1275" s="62">
        <f>Data!O1275</f>
        <v>0.73409999999999997</v>
      </c>
      <c r="F1275" s="16" t="str">
        <f>Data!P1275</f>
        <v>PT Pakarti Yoga</v>
      </c>
    </row>
    <row r="1276" spans="2:6" ht="15" customHeight="1" x14ac:dyDescent="0.3">
      <c r="C1276" s="1"/>
      <c r="D1276" s="8">
        <v>2023</v>
      </c>
      <c r="E1276" s="62">
        <f>Data!O1276</f>
        <v>0.73409999999999997</v>
      </c>
      <c r="F1276" s="16" t="str">
        <f>Data!P1276</f>
        <v>PT Pakarti Yoga</v>
      </c>
    </row>
    <row r="1277" spans="2:6" ht="15" customHeight="1" x14ac:dyDescent="0.3">
      <c r="C1277" s="1"/>
      <c r="D1277" s="8">
        <v>2024</v>
      </c>
      <c r="E1277" s="62">
        <f>Data!O1277</f>
        <v>0.73409999999999997</v>
      </c>
      <c r="F1277" s="16" t="str">
        <f>Data!P1277</f>
        <v>PT Pakarti Yoga</v>
      </c>
    </row>
    <row r="1278" spans="2:6" ht="15" customHeight="1" x14ac:dyDescent="0.3">
      <c r="B1278" s="8">
        <v>117</v>
      </c>
      <c r="C1278" s="2" t="s">
        <v>65</v>
      </c>
      <c r="D1278" s="8">
        <v>2014</v>
      </c>
      <c r="E1278" s="62">
        <f>Data!O1278</f>
        <v>0</v>
      </c>
      <c r="F1278" s="16">
        <f>Data!P1278</f>
        <v>0</v>
      </c>
    </row>
    <row r="1279" spans="2:6" ht="15" customHeight="1" x14ac:dyDescent="0.3">
      <c r="C1279" s="2"/>
      <c r="D1279" s="8">
        <v>2015</v>
      </c>
      <c r="E1279" s="62">
        <f>Data!O1279</f>
        <v>0.99650000000000005</v>
      </c>
      <c r="F1279" s="16" t="str">
        <f>Data!P1279</f>
        <v>PT Avrist Assurance</v>
      </c>
    </row>
    <row r="1280" spans="2:6" ht="15" customHeight="1" x14ac:dyDescent="0.3">
      <c r="C1280" s="2"/>
      <c r="D1280" s="8">
        <v>2016</v>
      </c>
      <c r="E1280" s="62">
        <f>Data!O1280</f>
        <v>0.99650000000000005</v>
      </c>
      <c r="F1280" s="16" t="str">
        <f>Data!P1280</f>
        <v>PT Avrist Assurance</v>
      </c>
    </row>
    <row r="1281" spans="2:6" ht="15" customHeight="1" x14ac:dyDescent="0.3">
      <c r="C1281" s="2"/>
      <c r="D1281" s="8">
        <v>2017</v>
      </c>
      <c r="E1281" s="62">
        <f>Data!O1281</f>
        <v>0.99650000000000005</v>
      </c>
      <c r="F1281" s="16" t="str">
        <f>Data!P1281</f>
        <v>PT Avrist Assurance</v>
      </c>
    </row>
    <row r="1282" spans="2:6" ht="15" customHeight="1" x14ac:dyDescent="0.3">
      <c r="C1282" s="2"/>
      <c r="D1282" s="8">
        <v>2018</v>
      </c>
      <c r="E1282" s="62">
        <f>Data!O1282</f>
        <v>0.99650000000000005</v>
      </c>
      <c r="F1282" s="16" t="str">
        <f>Data!P1282</f>
        <v>PT Avrist Assurance</v>
      </c>
    </row>
    <row r="1283" spans="2:6" ht="15" customHeight="1" x14ac:dyDescent="0.3">
      <c r="C1283" s="2"/>
      <c r="D1283" s="8">
        <v>2019</v>
      </c>
      <c r="E1283" s="62">
        <f>Data!O1283</f>
        <v>0.99650000000000005</v>
      </c>
      <c r="F1283" s="16" t="str">
        <f>Data!P1283</f>
        <v>PT Avrist Assurance</v>
      </c>
    </row>
    <row r="1284" spans="2:6" ht="15" customHeight="1" x14ac:dyDescent="0.3">
      <c r="C1284" s="2"/>
      <c r="D1284" s="8">
        <v>2020</v>
      </c>
      <c r="E1284" s="62">
        <f>Data!O1284</f>
        <v>0.99650000000000005</v>
      </c>
      <c r="F1284" s="16" t="str">
        <f>Data!P1284</f>
        <v>PT Avrist Assurance</v>
      </c>
    </row>
    <row r="1285" spans="2:6" ht="15" customHeight="1" x14ac:dyDescent="0.3">
      <c r="C1285" s="2"/>
      <c r="D1285" s="8">
        <v>2021</v>
      </c>
      <c r="E1285" s="62">
        <f>Data!O1285</f>
        <v>0.99650000000000005</v>
      </c>
      <c r="F1285" s="16" t="str">
        <f>Data!P1285</f>
        <v>PT Avrist Assurance</v>
      </c>
    </row>
    <row r="1286" spans="2:6" ht="15" customHeight="1" x14ac:dyDescent="0.3">
      <c r="C1286" s="2"/>
      <c r="D1286" s="8">
        <v>2022</v>
      </c>
      <c r="E1286" s="62">
        <f>Data!O1286</f>
        <v>0.99650000000000005</v>
      </c>
      <c r="F1286" s="16" t="str">
        <f>Data!P1286</f>
        <v>PT Avrist Assurance</v>
      </c>
    </row>
    <row r="1287" spans="2:6" ht="15" customHeight="1" x14ac:dyDescent="0.3">
      <c r="C1287" s="2"/>
      <c r="D1287" s="8">
        <v>2023</v>
      </c>
      <c r="E1287" s="62">
        <f>Data!O1287</f>
        <v>0.99650000000000005</v>
      </c>
      <c r="F1287" s="16" t="str">
        <f>Data!P1287</f>
        <v>PT Avrist Assurance</v>
      </c>
    </row>
    <row r="1288" spans="2:6" ht="15" customHeight="1" x14ac:dyDescent="0.3">
      <c r="C1288" s="2"/>
      <c r="D1288" s="8">
        <v>2024</v>
      </c>
      <c r="E1288" s="62">
        <f>Data!O1288</f>
        <v>0.99650000000000005</v>
      </c>
      <c r="F1288" s="16" t="str">
        <f>Data!P1288</f>
        <v>PT Avrist Assurance</v>
      </c>
    </row>
    <row r="1289" spans="2:6" ht="15" customHeight="1" x14ac:dyDescent="0.3">
      <c r="B1289" s="8">
        <v>118</v>
      </c>
      <c r="C1289" s="3" t="s">
        <v>89</v>
      </c>
      <c r="D1289" s="8">
        <v>2014</v>
      </c>
      <c r="E1289" s="62">
        <f>Data!O1289</f>
        <v>0</v>
      </c>
      <c r="F1289" s="16">
        <f>Data!P1289</f>
        <v>0</v>
      </c>
    </row>
    <row r="1290" spans="2:6" ht="15" customHeight="1" x14ac:dyDescent="0.3">
      <c r="C1290" s="3"/>
      <c r="D1290" s="8">
        <v>2015</v>
      </c>
      <c r="E1290" s="62">
        <f>Data!O1290</f>
        <v>0</v>
      </c>
      <c r="F1290" s="16">
        <f>Data!P1290</f>
        <v>0</v>
      </c>
    </row>
    <row r="1291" spans="2:6" ht="15" customHeight="1" x14ac:dyDescent="0.3">
      <c r="C1291" s="3"/>
      <c r="D1291" s="8">
        <v>2016</v>
      </c>
      <c r="E1291" s="62">
        <f>Data!O1291</f>
        <v>0</v>
      </c>
      <c r="F1291" s="16">
        <f>Data!P1291</f>
        <v>0</v>
      </c>
    </row>
    <row r="1292" spans="2:6" ht="15" customHeight="1" x14ac:dyDescent="0.3">
      <c r="C1292" s="3"/>
      <c r="D1292" s="8">
        <v>2017</v>
      </c>
      <c r="E1292" s="62">
        <f>Data!O1292</f>
        <v>0</v>
      </c>
      <c r="F1292" s="16">
        <f>Data!P1292</f>
        <v>0</v>
      </c>
    </row>
    <row r="1293" spans="2:6" ht="15" customHeight="1" x14ac:dyDescent="0.3">
      <c r="C1293" s="3"/>
      <c r="D1293" s="8">
        <v>2018</v>
      </c>
      <c r="E1293" s="62">
        <f>Data!O1293</f>
        <v>0</v>
      </c>
      <c r="F1293" s="16">
        <f>Data!P1293</f>
        <v>0</v>
      </c>
    </row>
    <row r="1294" spans="2:6" ht="15" customHeight="1" x14ac:dyDescent="0.3">
      <c r="C1294" s="3"/>
      <c r="D1294" s="8">
        <v>2019</v>
      </c>
      <c r="E1294" s="62">
        <f>Data!O1294</f>
        <v>0.8</v>
      </c>
      <c r="F1294" s="16" t="str">
        <f>Data!P1294</f>
        <v>AXA Asia</v>
      </c>
    </row>
    <row r="1295" spans="2:6" ht="15" customHeight="1" x14ac:dyDescent="0.3">
      <c r="C1295" s="3"/>
      <c r="D1295" s="8">
        <v>2020</v>
      </c>
      <c r="E1295" s="62">
        <f>Data!O1295</f>
        <v>0.8</v>
      </c>
      <c r="F1295" s="16" t="str">
        <f>Data!P1295</f>
        <v>AXA Asia</v>
      </c>
    </row>
    <row r="1296" spans="2:6" ht="15" customHeight="1" x14ac:dyDescent="0.3">
      <c r="C1296" s="3"/>
      <c r="D1296" s="8">
        <v>2021</v>
      </c>
      <c r="E1296" s="62">
        <f>Data!O1296</f>
        <v>0.8</v>
      </c>
      <c r="F1296" s="16" t="str">
        <f>Data!P1296</f>
        <v>AXA Asia</v>
      </c>
    </row>
    <row r="1297" spans="2:6" ht="15" customHeight="1" x14ac:dyDescent="0.3">
      <c r="C1297" s="3"/>
      <c r="D1297" s="8">
        <v>2022</v>
      </c>
      <c r="E1297" s="62">
        <f>Data!O1297</f>
        <v>0.8</v>
      </c>
      <c r="F1297" s="16" t="str">
        <f>Data!P1297</f>
        <v>AXA Asia</v>
      </c>
    </row>
    <row r="1298" spans="2:6" ht="15" customHeight="1" x14ac:dyDescent="0.3">
      <c r="C1298" s="3"/>
      <c r="D1298" s="8">
        <v>2023</v>
      </c>
      <c r="E1298" s="62">
        <f>Data!O1298</f>
        <v>0.8</v>
      </c>
      <c r="F1298" s="16" t="str">
        <f>Data!P1298</f>
        <v>AXA Asia</v>
      </c>
    </row>
    <row r="1299" spans="2:6" ht="15" customHeight="1" x14ac:dyDescent="0.3">
      <c r="C1299" s="3"/>
      <c r="D1299" s="8">
        <v>2024</v>
      </c>
      <c r="E1299" s="62">
        <f>Data!O1299</f>
        <v>0.8</v>
      </c>
      <c r="F1299" s="16" t="str">
        <f>Data!P1299</f>
        <v>AXA Asia</v>
      </c>
    </row>
    <row r="1300" spans="2:6" ht="15" customHeight="1" x14ac:dyDescent="0.3">
      <c r="B1300" s="8">
        <v>119</v>
      </c>
      <c r="C1300" s="2" t="s">
        <v>72</v>
      </c>
      <c r="D1300" s="8">
        <v>2014</v>
      </c>
      <c r="E1300" s="62">
        <f>Data!O1300</f>
        <v>0</v>
      </c>
      <c r="F1300" s="16">
        <f>Data!P1300</f>
        <v>0</v>
      </c>
    </row>
    <row r="1301" spans="2:6" ht="15" customHeight="1" x14ac:dyDescent="0.3">
      <c r="C1301" s="2"/>
      <c r="D1301" s="8">
        <v>2015</v>
      </c>
      <c r="E1301" s="62">
        <f>Data!O1301</f>
        <v>0</v>
      </c>
      <c r="F1301" s="16">
        <f>Data!P1301</f>
        <v>0</v>
      </c>
    </row>
    <row r="1302" spans="2:6" ht="15" customHeight="1" x14ac:dyDescent="0.3">
      <c r="C1302" s="2"/>
      <c r="D1302" s="8">
        <v>2016</v>
      </c>
      <c r="E1302" s="62">
        <f>Data!O1302</f>
        <v>0.98799999999999999</v>
      </c>
      <c r="F1302" s="16" t="str">
        <f>Data!P1302</f>
        <v>PT Bosowo Kapital</v>
      </c>
    </row>
    <row r="1303" spans="2:6" ht="15" customHeight="1" x14ac:dyDescent="0.3">
      <c r="C1303" s="2"/>
      <c r="D1303" s="8">
        <v>2017</v>
      </c>
      <c r="E1303" s="62">
        <f>Data!O1303</f>
        <v>0.98799999999999999</v>
      </c>
      <c r="F1303" s="16" t="str">
        <f>Data!P1303</f>
        <v>PT Bosowo Kapital</v>
      </c>
    </row>
    <row r="1304" spans="2:6" ht="15" customHeight="1" x14ac:dyDescent="0.3">
      <c r="C1304" s="2"/>
      <c r="D1304" s="8">
        <v>2018</v>
      </c>
      <c r="E1304" s="62">
        <f>Data!O1304</f>
        <v>0.98799999999999999</v>
      </c>
      <c r="F1304" s="16" t="str">
        <f>Data!P1304</f>
        <v>PT Bosowo Kapital</v>
      </c>
    </row>
    <row r="1305" spans="2:6" ht="15" customHeight="1" x14ac:dyDescent="0.3">
      <c r="C1305" s="2"/>
      <c r="D1305" s="8">
        <v>2019</v>
      </c>
      <c r="E1305" s="62">
        <f>Data!O1305</f>
        <v>0.98799999999999999</v>
      </c>
      <c r="F1305" s="16" t="str">
        <f>Data!P1305</f>
        <v>PT Bosowo Kapital</v>
      </c>
    </row>
    <row r="1306" spans="2:6" ht="15" customHeight="1" x14ac:dyDescent="0.3">
      <c r="C1306" s="2"/>
      <c r="D1306" s="8">
        <v>2020</v>
      </c>
      <c r="E1306" s="62">
        <f>Data!O1306</f>
        <v>0.98799999999999999</v>
      </c>
      <c r="F1306" s="16" t="str">
        <f>Data!P1306</f>
        <v>PT Bosowo Kapital</v>
      </c>
    </row>
    <row r="1307" spans="2:6" ht="15" customHeight="1" x14ac:dyDescent="0.3">
      <c r="C1307" s="2"/>
      <c r="D1307" s="8">
        <v>2021</v>
      </c>
      <c r="E1307" s="62">
        <f>Data!O1307</f>
        <v>0.98770000000000002</v>
      </c>
      <c r="F1307" s="16" t="str">
        <f>Data!P1307</f>
        <v>PT Bosowo Kapital</v>
      </c>
    </row>
    <row r="1308" spans="2:6" ht="15" customHeight="1" x14ac:dyDescent="0.3">
      <c r="C1308" s="2"/>
      <c r="D1308" s="8">
        <v>2022</v>
      </c>
      <c r="E1308" s="62">
        <f>Data!O1308</f>
        <v>0.98770000000000002</v>
      </c>
      <c r="F1308" s="16" t="str">
        <f>Data!P1308</f>
        <v>PT Bosowo Kapital</v>
      </c>
    </row>
    <row r="1309" spans="2:6" ht="15" customHeight="1" x14ac:dyDescent="0.3">
      <c r="C1309" s="2"/>
      <c r="D1309" s="8">
        <v>2023</v>
      </c>
      <c r="E1309" s="62">
        <f>Data!O1309</f>
        <v>0.98770000000000002</v>
      </c>
      <c r="F1309" s="16" t="str">
        <f>Data!P1309</f>
        <v>PT Bosowo Kapital</v>
      </c>
    </row>
    <row r="1310" spans="2:6" ht="15" customHeight="1" x14ac:dyDescent="0.3">
      <c r="C1310" s="2"/>
      <c r="D1310" s="8">
        <v>2024</v>
      </c>
      <c r="E1310" s="62">
        <f>Data!O1310</f>
        <v>0</v>
      </c>
      <c r="F1310" s="16">
        <f>Data!P1310</f>
        <v>0</v>
      </c>
    </row>
    <row r="1311" spans="2:6" ht="15" customHeight="1" x14ac:dyDescent="0.3">
      <c r="B1311" s="8">
        <v>120</v>
      </c>
      <c r="C1311" s="2" t="s">
        <v>108</v>
      </c>
      <c r="D1311" s="8">
        <v>2014</v>
      </c>
      <c r="E1311" s="62">
        <f>Data!O1311</f>
        <v>0</v>
      </c>
      <c r="F1311" s="16">
        <f>Data!P1311</f>
        <v>0</v>
      </c>
    </row>
    <row r="1312" spans="2:6" ht="15" customHeight="1" x14ac:dyDescent="0.3">
      <c r="C1312" s="2"/>
      <c r="D1312" s="8">
        <v>2015</v>
      </c>
      <c r="E1312" s="62">
        <f>Data!O1312</f>
        <v>0.9</v>
      </c>
      <c r="F1312" s="16" t="str">
        <f>Data!P1312</f>
        <v>Dana Pensiun Bank Rakyat Indonesia</v>
      </c>
    </row>
    <row r="1313" spans="2:6" ht="15" customHeight="1" x14ac:dyDescent="0.3">
      <c r="C1313" s="2"/>
      <c r="D1313" s="8">
        <v>2016</v>
      </c>
      <c r="E1313" s="62">
        <f>Data!O1313</f>
        <v>0.9</v>
      </c>
      <c r="F1313" s="16" t="str">
        <f>Data!P1313</f>
        <v>Dana Pensiun Bank Rakyat Indonesia</v>
      </c>
    </row>
    <row r="1314" spans="2:6" ht="15" customHeight="1" x14ac:dyDescent="0.3">
      <c r="C1314" s="2"/>
      <c r="D1314" s="8">
        <v>2017</v>
      </c>
      <c r="E1314" s="62">
        <f>Data!O1314</f>
        <v>0.9</v>
      </c>
      <c r="F1314" s="16" t="str">
        <f>Data!P1314</f>
        <v>Dana Pensiun Bank Rakyat Indonesia</v>
      </c>
    </row>
    <row r="1315" spans="2:6" ht="15" customHeight="1" x14ac:dyDescent="0.3">
      <c r="C1315" s="2"/>
      <c r="D1315" s="8">
        <v>2018</v>
      </c>
      <c r="E1315" s="62">
        <f>Data!O1315</f>
        <v>0.9</v>
      </c>
      <c r="F1315" s="16" t="str">
        <f>Data!P1315</f>
        <v>Dana Pensiun Bank Rakyat Indonesia</v>
      </c>
    </row>
    <row r="1316" spans="2:6" ht="15" customHeight="1" x14ac:dyDescent="0.3">
      <c r="C1316" s="2"/>
      <c r="D1316" s="8">
        <v>2019</v>
      </c>
      <c r="E1316" s="62">
        <f>Data!O1316</f>
        <v>0.9</v>
      </c>
      <c r="F1316" s="16" t="str">
        <f>Data!P1316</f>
        <v>Dana Pensiun Bank Rakyat Indonesia</v>
      </c>
    </row>
    <row r="1317" spans="2:6" ht="15" customHeight="1" x14ac:dyDescent="0.3">
      <c r="C1317" s="2"/>
      <c r="D1317" s="8">
        <v>2020</v>
      </c>
      <c r="E1317" s="62">
        <f>Data!O1317</f>
        <v>0.9</v>
      </c>
      <c r="F1317" s="16" t="str">
        <f>Data!P1317</f>
        <v>Dana Pensiun Bank Rakyat Indonesia</v>
      </c>
    </row>
    <row r="1318" spans="2:6" ht="15" customHeight="1" x14ac:dyDescent="0.3">
      <c r="C1318" s="2"/>
      <c r="D1318" s="8">
        <v>2021</v>
      </c>
      <c r="E1318" s="62">
        <f>Data!O1318</f>
        <v>0.9</v>
      </c>
      <c r="F1318" s="16" t="str">
        <f>Data!P1318</f>
        <v>Dana Pensiun Bank Rakyat Indonesia</v>
      </c>
    </row>
    <row r="1319" spans="2:6" ht="15" customHeight="1" x14ac:dyDescent="0.3">
      <c r="C1319" s="2"/>
      <c r="D1319" s="8">
        <v>2022</v>
      </c>
      <c r="E1319" s="62">
        <f>Data!O1319</f>
        <v>0.9</v>
      </c>
      <c r="F1319" s="16" t="str">
        <f>Data!P1319</f>
        <v>Dana Pensiun Bank Rakyat Indonesia</v>
      </c>
    </row>
    <row r="1320" spans="2:6" ht="15" customHeight="1" x14ac:dyDescent="0.3">
      <c r="C1320" s="2"/>
      <c r="D1320" s="8">
        <v>2023</v>
      </c>
      <c r="E1320" s="62">
        <f>Data!O1320</f>
        <v>0.9</v>
      </c>
      <c r="F1320" s="16" t="str">
        <f>Data!P1320</f>
        <v>Dana Pensiun Bank Rakyat Indonesia</v>
      </c>
    </row>
    <row r="1321" spans="2:6" ht="15" customHeight="1" x14ac:dyDescent="0.3">
      <c r="C1321" s="2"/>
      <c r="D1321" s="8">
        <v>2024</v>
      </c>
      <c r="E1321" s="62">
        <f>Data!O1321</f>
        <v>0.9</v>
      </c>
      <c r="F1321" s="16" t="str">
        <f>Data!P1321</f>
        <v>Dana Pensiun Bank Rakyat Indonesia</v>
      </c>
    </row>
    <row r="1322" spans="2:6" ht="15" customHeight="1" x14ac:dyDescent="0.3">
      <c r="B1322" s="8">
        <v>121</v>
      </c>
      <c r="C1322" s="2" t="s">
        <v>77</v>
      </c>
      <c r="D1322" s="8">
        <v>2014</v>
      </c>
      <c r="E1322" s="62">
        <f>Data!O1322</f>
        <v>0</v>
      </c>
      <c r="F1322" s="16">
        <f>Data!P1322</f>
        <v>0</v>
      </c>
    </row>
    <row r="1323" spans="2:6" ht="15" customHeight="1" x14ac:dyDescent="0.3">
      <c r="C1323" s="2"/>
      <c r="D1323" s="8">
        <v>2015</v>
      </c>
      <c r="E1323" s="62">
        <f>Data!O1323</f>
        <v>0.55000000000000004</v>
      </c>
      <c r="F1323" s="16" t="str">
        <f>Data!P1323</f>
        <v>China Taiping Insurance Holdings Company Limited</v>
      </c>
    </row>
    <row r="1324" spans="2:6" ht="15" customHeight="1" x14ac:dyDescent="0.3">
      <c r="C1324" s="2"/>
      <c r="D1324" s="8">
        <v>2016</v>
      </c>
      <c r="E1324" s="62">
        <f>Data!O1324</f>
        <v>0.55000000000000004</v>
      </c>
      <c r="F1324" s="16" t="str">
        <f>Data!P1324</f>
        <v>China Taiping Insurance Holdings Company Limited</v>
      </c>
    </row>
    <row r="1325" spans="2:6" ht="15" customHeight="1" x14ac:dyDescent="0.3">
      <c r="C1325" s="2"/>
      <c r="D1325" s="8">
        <v>2017</v>
      </c>
      <c r="E1325" s="62">
        <f>Data!O1325</f>
        <v>0.55000000000000004</v>
      </c>
      <c r="F1325" s="16" t="str">
        <f>Data!P1325</f>
        <v>China Taiping Insurance Holdings Company Limited</v>
      </c>
    </row>
    <row r="1326" spans="2:6" ht="15" customHeight="1" x14ac:dyDescent="0.3">
      <c r="C1326" s="2"/>
      <c r="D1326" s="8">
        <v>2018</v>
      </c>
      <c r="E1326" s="62">
        <f>Data!O1326</f>
        <v>0.55000000000000004</v>
      </c>
      <c r="F1326" s="16" t="str">
        <f>Data!P1326</f>
        <v>China Taiping Insurance Holdings Company Limited</v>
      </c>
    </row>
    <row r="1327" spans="2:6" ht="15" customHeight="1" x14ac:dyDescent="0.3">
      <c r="C1327" s="2"/>
      <c r="D1327" s="8">
        <v>2019</v>
      </c>
      <c r="E1327" s="62">
        <f>Data!O1327</f>
        <v>0.55000000000000004</v>
      </c>
      <c r="F1327" s="16" t="str">
        <f>Data!P1327</f>
        <v>China Taiping Insurance Holdings Company Limited</v>
      </c>
    </row>
    <row r="1328" spans="2:6" ht="15" customHeight="1" x14ac:dyDescent="0.3">
      <c r="C1328" s="2"/>
      <c r="D1328" s="8">
        <v>2020</v>
      </c>
      <c r="E1328" s="62">
        <f>Data!O1328</f>
        <v>0.55000000000000004</v>
      </c>
      <c r="F1328" s="16" t="str">
        <f>Data!P1328</f>
        <v>China Taiping Insurance Holdings Company Limited</v>
      </c>
    </row>
    <row r="1329" spans="2:6" ht="15" customHeight="1" x14ac:dyDescent="0.3">
      <c r="C1329" s="2"/>
      <c r="D1329" s="8">
        <v>2021</v>
      </c>
      <c r="E1329" s="62">
        <f>Data!O1329</f>
        <v>0.55000000000000004</v>
      </c>
      <c r="F1329" s="16" t="str">
        <f>Data!P1329</f>
        <v>China Taiping Insurance Holdings Company Limited</v>
      </c>
    </row>
    <row r="1330" spans="2:6" ht="15" customHeight="1" x14ac:dyDescent="0.3">
      <c r="C1330" s="2"/>
      <c r="D1330" s="8">
        <v>2022</v>
      </c>
      <c r="E1330" s="62">
        <f>Data!O1330</f>
        <v>0.55000000000000004</v>
      </c>
      <c r="F1330" s="16" t="str">
        <f>Data!P1330</f>
        <v>China Taiping Insurance Holdings Company Limited</v>
      </c>
    </row>
    <row r="1331" spans="2:6" ht="15" customHeight="1" x14ac:dyDescent="0.3">
      <c r="C1331" s="2"/>
      <c r="D1331" s="8">
        <v>2023</v>
      </c>
      <c r="E1331" s="62">
        <f>Data!O1331</f>
        <v>0.55000000000000004</v>
      </c>
      <c r="F1331" s="16" t="str">
        <f>Data!P1331</f>
        <v>China Taiping Insurance Holdings Company Limited</v>
      </c>
    </row>
    <row r="1332" spans="2:6" ht="15" customHeight="1" x14ac:dyDescent="0.3">
      <c r="C1332" s="2"/>
      <c r="D1332" s="8">
        <v>2024</v>
      </c>
      <c r="E1332" s="62">
        <f>Data!O1332</f>
        <v>0.55000000000000004</v>
      </c>
      <c r="F1332" s="16" t="str">
        <f>Data!P1332</f>
        <v>China Taiping Insurance Holdings Company Limited</v>
      </c>
    </row>
    <row r="1333" spans="2:6" ht="15" customHeight="1" x14ac:dyDescent="0.3">
      <c r="B1333" s="8">
        <v>122</v>
      </c>
      <c r="C1333" s="2" t="s">
        <v>109</v>
      </c>
      <c r="D1333" s="8">
        <v>2014</v>
      </c>
      <c r="E1333" s="62">
        <f>Data!O1333</f>
        <v>0</v>
      </c>
      <c r="F1333" s="16">
        <f>Data!P1333</f>
        <v>0</v>
      </c>
    </row>
    <row r="1334" spans="2:6" ht="15" customHeight="1" x14ac:dyDescent="0.3">
      <c r="C1334" s="2"/>
      <c r="D1334" s="8">
        <v>2015</v>
      </c>
      <c r="E1334" s="62">
        <f>Data!O1334</f>
        <v>0</v>
      </c>
      <c r="F1334" s="16">
        <f>Data!P1334</f>
        <v>0</v>
      </c>
    </row>
    <row r="1335" spans="2:6" ht="15" customHeight="1" x14ac:dyDescent="0.3">
      <c r="C1335" s="2"/>
      <c r="D1335" s="8">
        <v>2016</v>
      </c>
      <c r="E1335" s="62">
        <f>Data!O1335</f>
        <v>0</v>
      </c>
      <c r="F1335" s="16">
        <f>Data!P1335</f>
        <v>0</v>
      </c>
    </row>
    <row r="1336" spans="2:6" ht="15" customHeight="1" x14ac:dyDescent="0.3">
      <c r="C1336" s="2"/>
      <c r="D1336" s="8">
        <v>2017</v>
      </c>
      <c r="E1336" s="62">
        <f>Data!O1336</f>
        <v>0</v>
      </c>
      <c r="F1336" s="16">
        <f>Data!P1336</f>
        <v>0</v>
      </c>
    </row>
    <row r="1337" spans="2:6" ht="15" customHeight="1" x14ac:dyDescent="0.3">
      <c r="C1337" s="2"/>
      <c r="D1337" s="8">
        <v>2018</v>
      </c>
      <c r="E1337" s="62">
        <f>Data!O1337</f>
        <v>0</v>
      </c>
      <c r="F1337" s="16">
        <f>Data!P1337</f>
        <v>0</v>
      </c>
    </row>
    <row r="1338" spans="2:6" ht="15" customHeight="1" x14ac:dyDescent="0.3">
      <c r="C1338" s="2"/>
      <c r="D1338" s="8">
        <v>2019</v>
      </c>
      <c r="E1338" s="62">
        <f>Data!O1338</f>
        <v>0</v>
      </c>
      <c r="F1338" s="16">
        <f>Data!P1338</f>
        <v>0</v>
      </c>
    </row>
    <row r="1339" spans="2:6" ht="15" customHeight="1" x14ac:dyDescent="0.3">
      <c r="C1339" s="2"/>
      <c r="D1339" s="8">
        <v>2020</v>
      </c>
      <c r="E1339" s="62">
        <f>Data!O1339</f>
        <v>0</v>
      </c>
      <c r="F1339" s="16">
        <f>Data!P1339</f>
        <v>0</v>
      </c>
    </row>
    <row r="1340" spans="2:6" ht="15" customHeight="1" x14ac:dyDescent="0.3">
      <c r="C1340" s="2"/>
      <c r="D1340" s="8">
        <v>2021</v>
      </c>
      <c r="E1340" s="62">
        <f>Data!O1340</f>
        <v>0</v>
      </c>
      <c r="F1340" s="16">
        <f>Data!P1340</f>
        <v>0</v>
      </c>
    </row>
    <row r="1341" spans="2:6" ht="15" customHeight="1" x14ac:dyDescent="0.3">
      <c r="C1341" s="2"/>
      <c r="D1341" s="8">
        <v>2022</v>
      </c>
      <c r="E1341" s="62">
        <f>Data!O1341</f>
        <v>0</v>
      </c>
      <c r="F1341" s="16">
        <f>Data!P1341</f>
        <v>0</v>
      </c>
    </row>
    <row r="1342" spans="2:6" ht="15" customHeight="1" x14ac:dyDescent="0.3">
      <c r="C1342" s="2"/>
      <c r="D1342" s="8">
        <v>2023</v>
      </c>
      <c r="E1342" s="62">
        <f>Data!O1342</f>
        <v>0</v>
      </c>
      <c r="F1342" s="16">
        <f>Data!P1342</f>
        <v>0</v>
      </c>
    </row>
    <row r="1343" spans="2:6" ht="15" customHeight="1" x14ac:dyDescent="0.3">
      <c r="C1343" s="2"/>
      <c r="D1343" s="8">
        <v>2024</v>
      </c>
      <c r="E1343" s="62">
        <f>Data!O1343</f>
        <v>0</v>
      </c>
      <c r="F1343" s="16">
        <f>Data!P1343</f>
        <v>0</v>
      </c>
    </row>
    <row r="1344" spans="2:6" ht="15" customHeight="1" x14ac:dyDescent="0.3">
      <c r="B1344" s="8">
        <v>123</v>
      </c>
      <c r="C1344" s="2" t="s">
        <v>78</v>
      </c>
      <c r="D1344" s="8">
        <v>2014</v>
      </c>
      <c r="E1344" s="62">
        <f>Data!O1344</f>
        <v>0</v>
      </c>
      <c r="F1344" s="16">
        <f>Data!P1344</f>
        <v>0</v>
      </c>
    </row>
    <row r="1345" spans="2:6" ht="15" customHeight="1" x14ac:dyDescent="0.3">
      <c r="C1345" s="2"/>
      <c r="D1345" s="8">
        <v>2015</v>
      </c>
      <c r="E1345" s="62">
        <f>Data!O1345</f>
        <v>0</v>
      </c>
      <c r="F1345" s="16">
        <f>Data!P1345</f>
        <v>0</v>
      </c>
    </row>
    <row r="1346" spans="2:6" ht="15" customHeight="1" x14ac:dyDescent="0.3">
      <c r="C1346" s="2"/>
      <c r="D1346" s="8">
        <v>2016</v>
      </c>
      <c r="E1346" s="62">
        <f>Data!O1346</f>
        <v>0</v>
      </c>
      <c r="F1346" s="16">
        <f>Data!P1346</f>
        <v>0</v>
      </c>
    </row>
    <row r="1347" spans="2:6" ht="15" customHeight="1" x14ac:dyDescent="0.3">
      <c r="C1347" s="2"/>
      <c r="D1347" s="8">
        <v>2017</v>
      </c>
      <c r="E1347" s="62">
        <f>Data!O1347</f>
        <v>0</v>
      </c>
      <c r="F1347" s="16">
        <f>Data!P1347</f>
        <v>0</v>
      </c>
    </row>
    <row r="1348" spans="2:6" ht="15" customHeight="1" x14ac:dyDescent="0.3">
      <c r="C1348" s="2"/>
      <c r="D1348" s="8">
        <v>2018</v>
      </c>
      <c r="E1348" s="62">
        <f>Data!O1348</f>
        <v>0</v>
      </c>
      <c r="F1348" s="16">
        <f>Data!P1348</f>
        <v>0</v>
      </c>
    </row>
    <row r="1349" spans="2:6" ht="15" customHeight="1" x14ac:dyDescent="0.3">
      <c r="C1349" s="2"/>
      <c r="D1349" s="8">
        <v>2019</v>
      </c>
      <c r="E1349" s="62">
        <f>Data!O1349</f>
        <v>0.99990000000000001</v>
      </c>
      <c r="F1349" s="16" t="str">
        <f>Data!P1349</f>
        <v>PT Nusalaras Lestari</v>
      </c>
    </row>
    <row r="1350" spans="2:6" ht="15" customHeight="1" x14ac:dyDescent="0.3">
      <c r="C1350" s="2"/>
      <c r="D1350" s="8">
        <v>2020</v>
      </c>
      <c r="E1350" s="62">
        <f>Data!O1350</f>
        <v>0.99990000000000001</v>
      </c>
      <c r="F1350" s="16" t="str">
        <f>Data!P1350</f>
        <v>PT Nusalaras Lestari</v>
      </c>
    </row>
    <row r="1351" spans="2:6" ht="15" customHeight="1" x14ac:dyDescent="0.3">
      <c r="C1351" s="2"/>
      <c r="D1351" s="8">
        <v>2021</v>
      </c>
      <c r="E1351" s="62">
        <f>Data!O1351</f>
        <v>0.99990000000000001</v>
      </c>
      <c r="F1351" s="16" t="str">
        <f>Data!P1351</f>
        <v>PT Nusalaras Lestari</v>
      </c>
    </row>
    <row r="1352" spans="2:6" ht="15" customHeight="1" x14ac:dyDescent="0.3">
      <c r="C1352" s="2"/>
      <c r="D1352" s="8">
        <v>2022</v>
      </c>
      <c r="E1352" s="62">
        <f>Data!O1352</f>
        <v>0.99990000000000001</v>
      </c>
      <c r="F1352" s="16" t="str">
        <f>Data!P1352</f>
        <v>PT Nusalaras Lestari</v>
      </c>
    </row>
    <row r="1353" spans="2:6" ht="15" customHeight="1" x14ac:dyDescent="0.3">
      <c r="C1353" s="2"/>
      <c r="D1353" s="8">
        <v>2023</v>
      </c>
      <c r="E1353" s="62">
        <f>Data!O1353</f>
        <v>0.99990000000000001</v>
      </c>
      <c r="F1353" s="16" t="str">
        <f>Data!P1353</f>
        <v>PT Nusalaras Lestari</v>
      </c>
    </row>
    <row r="1354" spans="2:6" ht="15" customHeight="1" x14ac:dyDescent="0.3">
      <c r="C1354" s="2"/>
      <c r="D1354" s="8">
        <v>2024</v>
      </c>
      <c r="E1354" s="62">
        <f>Data!O1354</f>
        <v>0.99990000000000001</v>
      </c>
      <c r="F1354" s="16" t="str">
        <f>Data!P1354</f>
        <v>PT Nusalaras Lestari</v>
      </c>
    </row>
    <row r="1355" spans="2:6" ht="15" customHeight="1" x14ac:dyDescent="0.3">
      <c r="B1355" s="8">
        <v>124</v>
      </c>
      <c r="C1355" s="2" t="s">
        <v>110</v>
      </c>
      <c r="D1355" s="8">
        <v>2014</v>
      </c>
      <c r="E1355" s="62">
        <f>Data!O1355</f>
        <v>0</v>
      </c>
      <c r="F1355" s="16">
        <f>Data!P1355</f>
        <v>0</v>
      </c>
    </row>
    <row r="1356" spans="2:6" ht="15" customHeight="1" x14ac:dyDescent="0.3">
      <c r="C1356" s="2"/>
      <c r="D1356" s="8">
        <v>2015</v>
      </c>
      <c r="E1356" s="62">
        <f>Data!O1356</f>
        <v>0.55000000000000004</v>
      </c>
      <c r="F1356" s="16" t="str">
        <f>Data!P1356</f>
        <v>QBE Insurance (International) Limited</v>
      </c>
    </row>
    <row r="1357" spans="2:6" ht="15" customHeight="1" x14ac:dyDescent="0.3">
      <c r="C1357" s="2"/>
      <c r="D1357" s="8">
        <v>2016</v>
      </c>
      <c r="E1357" s="62">
        <f>Data!O1357</f>
        <v>0.55000000000000004</v>
      </c>
      <c r="F1357" s="16" t="str">
        <f>Data!P1357</f>
        <v>QBE Insurance (International) Limited</v>
      </c>
    </row>
    <row r="1358" spans="2:6" ht="15" customHeight="1" x14ac:dyDescent="0.3">
      <c r="C1358" s="2"/>
      <c r="D1358" s="8">
        <v>2017</v>
      </c>
      <c r="E1358" s="62">
        <f>Data!O1358</f>
        <v>0.76290000000000002</v>
      </c>
      <c r="F1358" s="16" t="str">
        <f>Data!P1358</f>
        <v>QBE Asia Pacific Holdings Limited</v>
      </c>
    </row>
    <row r="1359" spans="2:6" ht="15" customHeight="1" x14ac:dyDescent="0.3">
      <c r="C1359" s="2"/>
      <c r="D1359" s="8">
        <v>2018</v>
      </c>
      <c r="E1359" s="62">
        <f>Data!O1359</f>
        <v>0.76390000000000002</v>
      </c>
      <c r="F1359" s="16" t="str">
        <f>Data!P1359</f>
        <v>QBE Asia Pacific Holdings Limited</v>
      </c>
    </row>
    <row r="1360" spans="2:6" ht="15" customHeight="1" x14ac:dyDescent="0.3">
      <c r="C1360" s="2"/>
      <c r="D1360" s="8">
        <v>2019</v>
      </c>
      <c r="E1360" s="62">
        <f>Data!O1360</f>
        <v>0.95</v>
      </c>
      <c r="F1360" s="16" t="str">
        <f>Data!P1360</f>
        <v>Great Eastern General Insurance Limited</v>
      </c>
    </row>
    <row r="1361" spans="2:6" ht="15" customHeight="1" x14ac:dyDescent="0.3">
      <c r="C1361" s="2"/>
      <c r="D1361" s="8">
        <v>2020</v>
      </c>
      <c r="E1361" s="62">
        <f>Data!O1361</f>
        <v>0.95</v>
      </c>
      <c r="F1361" s="16" t="str">
        <f>Data!P1361</f>
        <v>Great Eastern General Insurance Limited</v>
      </c>
    </row>
    <row r="1362" spans="2:6" ht="15" customHeight="1" x14ac:dyDescent="0.3">
      <c r="C1362" s="2"/>
      <c r="D1362" s="8">
        <v>2021</v>
      </c>
      <c r="E1362" s="62">
        <f>Data!O1362</f>
        <v>0.95</v>
      </c>
      <c r="F1362" s="16" t="str">
        <f>Data!P1362</f>
        <v>Great Eastern General Insurance Limited</v>
      </c>
    </row>
    <row r="1363" spans="2:6" ht="15" customHeight="1" x14ac:dyDescent="0.3">
      <c r="C1363" s="2"/>
      <c r="D1363" s="8">
        <v>2022</v>
      </c>
      <c r="E1363" s="62">
        <f>Data!O1363</f>
        <v>0.95</v>
      </c>
      <c r="F1363" s="16" t="str">
        <f>Data!P1363</f>
        <v>Great Eastern General Insurance Limited</v>
      </c>
    </row>
    <row r="1364" spans="2:6" ht="15" customHeight="1" x14ac:dyDescent="0.3">
      <c r="C1364" s="2"/>
      <c r="D1364" s="8">
        <v>2023</v>
      </c>
      <c r="E1364" s="62">
        <f>Data!O1364</f>
        <v>0.95</v>
      </c>
      <c r="F1364" s="16" t="str">
        <f>Data!P1364</f>
        <v>Great Eastern General Insurance Limited</v>
      </c>
    </row>
    <row r="1365" spans="2:6" ht="15" customHeight="1" x14ac:dyDescent="0.3">
      <c r="C1365" s="2"/>
      <c r="D1365" s="8">
        <v>2024</v>
      </c>
      <c r="E1365" s="62">
        <f>Data!O1365</f>
        <v>0.95</v>
      </c>
      <c r="F1365" s="16" t="str">
        <f>Data!P1365</f>
        <v>Great Eastern General Insurance Limited</v>
      </c>
    </row>
    <row r="1366" spans="2:6" ht="15" customHeight="1" x14ac:dyDescent="0.3">
      <c r="B1366" s="8">
        <v>125</v>
      </c>
      <c r="C1366" s="2" t="s">
        <v>111</v>
      </c>
      <c r="D1366" s="8">
        <v>2014</v>
      </c>
      <c r="E1366" s="62">
        <f>Data!O1366</f>
        <v>0</v>
      </c>
      <c r="F1366" s="16">
        <f>Data!P1366</f>
        <v>0</v>
      </c>
    </row>
    <row r="1367" spans="2:6" ht="15" customHeight="1" x14ac:dyDescent="0.3">
      <c r="C1367" s="2"/>
      <c r="D1367" s="8">
        <v>2015</v>
      </c>
      <c r="E1367" s="62">
        <f>Data!O1367</f>
        <v>0</v>
      </c>
      <c r="F1367" s="16">
        <f>Data!P1367</f>
        <v>0</v>
      </c>
    </row>
    <row r="1368" spans="2:6" ht="15" customHeight="1" x14ac:dyDescent="0.3">
      <c r="C1368" s="2"/>
      <c r="D1368" s="8">
        <v>2016</v>
      </c>
      <c r="E1368" s="62">
        <f>Data!O1368</f>
        <v>0</v>
      </c>
      <c r="F1368" s="16">
        <f>Data!P1368</f>
        <v>0</v>
      </c>
    </row>
    <row r="1369" spans="2:6" ht="15" customHeight="1" x14ac:dyDescent="0.3">
      <c r="C1369" s="2"/>
      <c r="D1369" s="8">
        <v>2017</v>
      </c>
      <c r="E1369" s="62">
        <f>Data!O1369</f>
        <v>0</v>
      </c>
      <c r="F1369" s="16">
        <f>Data!P1369</f>
        <v>0</v>
      </c>
    </row>
    <row r="1370" spans="2:6" ht="15" customHeight="1" x14ac:dyDescent="0.3">
      <c r="C1370" s="2"/>
      <c r="D1370" s="8">
        <v>2018</v>
      </c>
      <c r="E1370" s="62">
        <f>Data!O1370</f>
        <v>0</v>
      </c>
      <c r="F1370" s="16">
        <f>Data!P1370</f>
        <v>0</v>
      </c>
    </row>
    <row r="1371" spans="2:6" ht="15" customHeight="1" x14ac:dyDescent="0.3">
      <c r="C1371" s="2"/>
      <c r="D1371" s="8">
        <v>2019</v>
      </c>
      <c r="E1371" s="62">
        <f>Data!O1371</f>
        <v>0</v>
      </c>
      <c r="F1371" s="16">
        <f>Data!P1371</f>
        <v>0</v>
      </c>
    </row>
    <row r="1372" spans="2:6" ht="15" customHeight="1" x14ac:dyDescent="0.3">
      <c r="C1372" s="2"/>
      <c r="D1372" s="8">
        <v>2020</v>
      </c>
      <c r="E1372" s="62">
        <f>Data!O1372</f>
        <v>0</v>
      </c>
      <c r="F1372" s="16">
        <f>Data!P1372</f>
        <v>0</v>
      </c>
    </row>
    <row r="1373" spans="2:6" ht="15" customHeight="1" x14ac:dyDescent="0.3">
      <c r="C1373" s="2"/>
      <c r="D1373" s="8">
        <v>2021</v>
      </c>
      <c r="E1373" s="62">
        <f>Data!O1373</f>
        <v>0</v>
      </c>
      <c r="F1373" s="16">
        <f>Data!P1373</f>
        <v>0</v>
      </c>
    </row>
    <row r="1374" spans="2:6" ht="15" customHeight="1" x14ac:dyDescent="0.3">
      <c r="C1374" s="2"/>
      <c r="D1374" s="8">
        <v>2022</v>
      </c>
      <c r="E1374" s="62">
        <f>Data!O1374</f>
        <v>0</v>
      </c>
      <c r="F1374" s="16">
        <f>Data!P1374</f>
        <v>0</v>
      </c>
    </row>
    <row r="1375" spans="2:6" ht="15" customHeight="1" x14ac:dyDescent="0.3">
      <c r="C1375" s="2"/>
      <c r="D1375" s="8">
        <v>2023</v>
      </c>
      <c r="E1375" s="62">
        <f>Data!O1375</f>
        <v>0</v>
      </c>
      <c r="F1375" s="16">
        <f>Data!P1375</f>
        <v>0</v>
      </c>
    </row>
    <row r="1376" spans="2:6" ht="15" customHeight="1" x14ac:dyDescent="0.3">
      <c r="C1376" s="2"/>
      <c r="D1376" s="8">
        <v>2024</v>
      </c>
      <c r="E1376" s="62">
        <f>Data!O1376</f>
        <v>0</v>
      </c>
      <c r="F1376" s="16">
        <f>Data!P1376</f>
        <v>0</v>
      </c>
    </row>
    <row r="1377" spans="2:6" ht="15" customHeight="1" x14ac:dyDescent="0.3">
      <c r="B1377" s="8">
        <v>126</v>
      </c>
      <c r="C1377" s="2" t="s">
        <v>86</v>
      </c>
      <c r="D1377" s="8">
        <v>2014</v>
      </c>
      <c r="E1377" s="62">
        <f>Data!O1377</f>
        <v>0</v>
      </c>
      <c r="F1377" s="16">
        <f>Data!P1377</f>
        <v>0</v>
      </c>
    </row>
    <row r="1378" spans="2:6" ht="15" customHeight="1" x14ac:dyDescent="0.3">
      <c r="C1378" s="2"/>
      <c r="D1378" s="8">
        <v>2015</v>
      </c>
      <c r="E1378" s="62">
        <f>Data!O1378</f>
        <v>0</v>
      </c>
      <c r="F1378" s="16">
        <f>Data!P1378</f>
        <v>0</v>
      </c>
    </row>
    <row r="1379" spans="2:6" ht="15" customHeight="1" x14ac:dyDescent="0.3">
      <c r="C1379" s="2"/>
      <c r="D1379" s="8">
        <v>2016</v>
      </c>
      <c r="E1379" s="62">
        <f>Data!O1379</f>
        <v>0.5887</v>
      </c>
      <c r="F1379" s="16" t="str">
        <f>Data!P1379</f>
        <v>Masyarakat</v>
      </c>
    </row>
    <row r="1380" spans="2:6" ht="15" customHeight="1" x14ac:dyDescent="0.3">
      <c r="C1380" s="2"/>
      <c r="D1380" s="8">
        <v>2017</v>
      </c>
      <c r="E1380" s="62">
        <f>Data!O1380</f>
        <v>0.65790000000000004</v>
      </c>
      <c r="F1380" s="16" t="str">
        <f>Data!P1380</f>
        <v>PT Inti Anugrah Pratama</v>
      </c>
    </row>
    <row r="1381" spans="2:6" ht="15" customHeight="1" x14ac:dyDescent="0.3">
      <c r="C1381" s="2"/>
      <c r="D1381" s="8">
        <v>2018</v>
      </c>
      <c r="E1381" s="62">
        <f>Data!O1381</f>
        <v>0.65790000000000004</v>
      </c>
      <c r="F1381" s="16" t="str">
        <f>Data!P1381</f>
        <v>PT Inti Anugrah Pratama</v>
      </c>
    </row>
    <row r="1382" spans="2:6" ht="15" customHeight="1" x14ac:dyDescent="0.3">
      <c r="C1382" s="2"/>
      <c r="D1382" s="8">
        <v>2019</v>
      </c>
      <c r="E1382" s="62">
        <f>Data!O1382</f>
        <v>0.65790000000000004</v>
      </c>
      <c r="F1382" s="16" t="str">
        <f>Data!P1382</f>
        <v>PT Inti Anugrah Pratama</v>
      </c>
    </row>
    <row r="1383" spans="2:6" ht="15" customHeight="1" x14ac:dyDescent="0.3">
      <c r="C1383" s="2"/>
      <c r="D1383" s="8">
        <v>2020</v>
      </c>
      <c r="E1383" s="62">
        <f>Data!O1383</f>
        <v>0.65790000000000004</v>
      </c>
      <c r="F1383" s="16" t="str">
        <f>Data!P1383</f>
        <v>PT Inti Anugrah Pratama</v>
      </c>
    </row>
    <row r="1384" spans="2:6" ht="15" customHeight="1" x14ac:dyDescent="0.3">
      <c r="C1384" s="2"/>
      <c r="D1384" s="8">
        <v>2021</v>
      </c>
      <c r="E1384" s="62">
        <f>Data!O1384</f>
        <v>0.65790000000000004</v>
      </c>
      <c r="F1384" s="16" t="str">
        <f>Data!P1384</f>
        <v>PT Inti Anugrah Pratama</v>
      </c>
    </row>
    <row r="1385" spans="2:6" ht="15" customHeight="1" x14ac:dyDescent="0.3">
      <c r="C1385" s="2"/>
      <c r="D1385" s="8">
        <v>2022</v>
      </c>
      <c r="E1385" s="62">
        <f>Data!O1385</f>
        <v>0.65790000000000004</v>
      </c>
      <c r="F1385" s="16" t="str">
        <f>Data!P1385</f>
        <v>PT Inti Anugrah Pratama</v>
      </c>
    </row>
    <row r="1386" spans="2:6" ht="15" customHeight="1" x14ac:dyDescent="0.3">
      <c r="C1386" s="2"/>
      <c r="D1386" s="8">
        <v>2023</v>
      </c>
      <c r="E1386" s="62">
        <f>Data!O1386</f>
        <v>0.59460000000000002</v>
      </c>
      <c r="F1386" s="16" t="str">
        <f>Data!P1386</f>
        <v>PT Hanhwa Life Insurance Indonesia</v>
      </c>
    </row>
    <row r="1387" spans="2:6" ht="15" customHeight="1" x14ac:dyDescent="0.3">
      <c r="C1387" s="2"/>
      <c r="D1387" s="8">
        <v>2024</v>
      </c>
      <c r="E1387" s="62">
        <f>Data!O1387</f>
        <v>0.59460000000000002</v>
      </c>
      <c r="F1387" s="16" t="str">
        <f>Data!P1387</f>
        <v>PT Hanhwa Life Insurance Indonesia</v>
      </c>
    </row>
    <row r="1388" spans="2:6" ht="15" customHeight="1" x14ac:dyDescent="0.3">
      <c r="B1388" s="8">
        <v>127</v>
      </c>
      <c r="C1388" s="2" t="s">
        <v>112</v>
      </c>
      <c r="D1388" s="8">
        <v>2014</v>
      </c>
      <c r="E1388" s="62">
        <f>Data!O1388</f>
        <v>0</v>
      </c>
      <c r="F1388" s="16">
        <f>Data!P1388</f>
        <v>0</v>
      </c>
    </row>
    <row r="1389" spans="2:6" ht="15" customHeight="1" x14ac:dyDescent="0.3">
      <c r="C1389" s="2"/>
      <c r="D1389" s="8">
        <v>2015</v>
      </c>
      <c r="E1389" s="62">
        <f>Data!O1389</f>
        <v>0</v>
      </c>
      <c r="F1389" s="16">
        <f>Data!P1389</f>
        <v>0</v>
      </c>
    </row>
    <row r="1390" spans="2:6" ht="15" customHeight="1" x14ac:dyDescent="0.3">
      <c r="C1390" s="2"/>
      <c r="D1390" s="8">
        <v>2016</v>
      </c>
      <c r="E1390" s="62">
        <f>Data!O1390</f>
        <v>0</v>
      </c>
      <c r="F1390" s="16">
        <f>Data!P1390</f>
        <v>0</v>
      </c>
    </row>
    <row r="1391" spans="2:6" ht="15" customHeight="1" x14ac:dyDescent="0.3">
      <c r="C1391" s="2"/>
      <c r="D1391" s="8">
        <v>2017</v>
      </c>
      <c r="E1391" s="62">
        <f>Data!O1391</f>
        <v>0.45900000000000002</v>
      </c>
      <c r="F1391" s="16" t="str">
        <f>Data!P1391</f>
        <v>PT Batavia Prima Investama</v>
      </c>
    </row>
    <row r="1392" spans="2:6" ht="15" customHeight="1" x14ac:dyDescent="0.3">
      <c r="C1392" s="2"/>
      <c r="D1392" s="8">
        <v>2018</v>
      </c>
      <c r="E1392" s="62">
        <f>Data!O1392</f>
        <v>0.45900000000000002</v>
      </c>
      <c r="F1392" s="16" t="str">
        <f>Data!P1392</f>
        <v>PT Batavia Prima Investama</v>
      </c>
    </row>
    <row r="1393" spans="2:6" ht="15" customHeight="1" x14ac:dyDescent="0.3">
      <c r="C1393" s="2"/>
      <c r="D1393" s="8">
        <v>2019</v>
      </c>
      <c r="E1393" s="62">
        <f>Data!O1393</f>
        <v>0.45900000000000002</v>
      </c>
      <c r="F1393" s="16" t="str">
        <f>Data!P1393</f>
        <v>PT Batavia Prima Investama</v>
      </c>
    </row>
    <row r="1394" spans="2:6" ht="15" customHeight="1" x14ac:dyDescent="0.3">
      <c r="C1394" s="2"/>
      <c r="D1394" s="8">
        <v>2020</v>
      </c>
      <c r="E1394" s="62">
        <f>Data!O1394</f>
        <v>0.6865</v>
      </c>
      <c r="F1394" s="16" t="str">
        <f>Data!P1394</f>
        <v>PT Batavia Prima Investama</v>
      </c>
    </row>
    <row r="1395" spans="2:6" ht="15" customHeight="1" x14ac:dyDescent="0.3">
      <c r="C1395" s="2"/>
      <c r="D1395" s="8">
        <v>2021</v>
      </c>
      <c r="E1395" s="62">
        <f>Data!O1395</f>
        <v>0.6865</v>
      </c>
      <c r="F1395" s="16" t="str">
        <f>Data!P1395</f>
        <v>PT Batavia Prima Investama</v>
      </c>
    </row>
    <row r="1396" spans="2:6" ht="15" customHeight="1" x14ac:dyDescent="0.3">
      <c r="C1396" s="2"/>
      <c r="D1396" s="8">
        <v>2022</v>
      </c>
      <c r="E1396" s="62">
        <f>Data!O1396</f>
        <v>0.6865</v>
      </c>
      <c r="F1396" s="16" t="str">
        <f>Data!P1396</f>
        <v>PT Batavia Prosperindo International</v>
      </c>
    </row>
    <row r="1397" spans="2:6" ht="15" customHeight="1" x14ac:dyDescent="0.3">
      <c r="C1397" s="2"/>
      <c r="D1397" s="8">
        <v>2023</v>
      </c>
      <c r="E1397" s="62">
        <f>Data!O1397</f>
        <v>0.86560000000000004</v>
      </c>
      <c r="F1397" s="16" t="str">
        <f>Data!P1397</f>
        <v>PT Batavia Prosperindo International</v>
      </c>
    </row>
    <row r="1398" spans="2:6" ht="15" customHeight="1" x14ac:dyDescent="0.3">
      <c r="C1398" s="2"/>
      <c r="D1398" s="8">
        <v>2024</v>
      </c>
      <c r="E1398" s="62">
        <f>Data!O1398</f>
        <v>0.87270000000000003</v>
      </c>
      <c r="F1398" s="16" t="str">
        <f>Data!P1398</f>
        <v>PT Batavia Prosperindo International</v>
      </c>
    </row>
    <row r="1399" spans="2:6" ht="15" customHeight="1" x14ac:dyDescent="0.3">
      <c r="B1399" s="8">
        <v>128</v>
      </c>
      <c r="C1399" s="2" t="s">
        <v>92</v>
      </c>
      <c r="D1399" s="8">
        <v>2014</v>
      </c>
      <c r="E1399" s="62">
        <f>Data!O1399</f>
        <v>0</v>
      </c>
      <c r="F1399" s="16">
        <f>Data!P1399</f>
        <v>0</v>
      </c>
    </row>
    <row r="1400" spans="2:6" ht="15" customHeight="1" x14ac:dyDescent="0.3">
      <c r="C1400" s="2"/>
      <c r="D1400" s="8">
        <v>2015</v>
      </c>
      <c r="E1400" s="62">
        <f>Data!O1400</f>
        <v>0</v>
      </c>
      <c r="F1400" s="16">
        <f>Data!P1400</f>
        <v>0</v>
      </c>
    </row>
    <row r="1401" spans="2:6" ht="15" customHeight="1" x14ac:dyDescent="0.3">
      <c r="C1401" s="2"/>
      <c r="D1401" s="8">
        <v>2016</v>
      </c>
      <c r="E1401" s="62">
        <f>Data!O1401</f>
        <v>0</v>
      </c>
      <c r="F1401" s="16">
        <f>Data!P1401</f>
        <v>0</v>
      </c>
    </row>
    <row r="1402" spans="2:6" ht="15" customHeight="1" x14ac:dyDescent="0.3">
      <c r="C1402" s="2"/>
      <c r="D1402" s="8">
        <v>2017</v>
      </c>
      <c r="E1402" s="62">
        <f>Data!O1402</f>
        <v>0</v>
      </c>
      <c r="F1402" s="16">
        <f>Data!P1402</f>
        <v>0</v>
      </c>
    </row>
    <row r="1403" spans="2:6" ht="15" customHeight="1" x14ac:dyDescent="0.3">
      <c r="C1403" s="2"/>
      <c r="D1403" s="8">
        <v>2018</v>
      </c>
      <c r="E1403" s="62">
        <f>Data!O1403</f>
        <v>0</v>
      </c>
      <c r="F1403" s="16">
        <f>Data!P1403</f>
        <v>0</v>
      </c>
    </row>
    <row r="1404" spans="2:6" ht="15" customHeight="1" x14ac:dyDescent="0.3">
      <c r="C1404" s="2"/>
      <c r="D1404" s="8">
        <v>2019</v>
      </c>
      <c r="E1404" s="62">
        <f>Data!O1404</f>
        <v>0.51</v>
      </c>
      <c r="F1404" s="16" t="str">
        <f>Data!P1404</f>
        <v>Merits Fire &amp; Marine Insurance</v>
      </c>
    </row>
    <row r="1405" spans="2:6" ht="15" customHeight="1" x14ac:dyDescent="0.3">
      <c r="C1405" s="2"/>
      <c r="D1405" s="8">
        <v>2020</v>
      </c>
      <c r="E1405" s="62">
        <f>Data!O1405</f>
        <v>0.51</v>
      </c>
      <c r="F1405" s="16" t="str">
        <f>Data!P1405</f>
        <v>Merits Fire &amp; Marine Insurance</v>
      </c>
    </row>
    <row r="1406" spans="2:6" ht="15" customHeight="1" x14ac:dyDescent="0.3">
      <c r="C1406" s="2"/>
      <c r="D1406" s="8">
        <v>2021</v>
      </c>
      <c r="E1406" s="62">
        <f>Data!O1406</f>
        <v>0.51</v>
      </c>
      <c r="F1406" s="16" t="str">
        <f>Data!P1406</f>
        <v>Merits Fire &amp; Marine Insurance</v>
      </c>
    </row>
    <row r="1407" spans="2:6" ht="15" customHeight="1" x14ac:dyDescent="0.3">
      <c r="C1407" s="2"/>
      <c r="D1407" s="8">
        <v>2022</v>
      </c>
      <c r="E1407" s="62">
        <f>Data!O1407</f>
        <v>0.51</v>
      </c>
      <c r="F1407" s="16" t="str">
        <f>Data!P1407</f>
        <v>Merits Fire &amp; Marine Insurance</v>
      </c>
    </row>
    <row r="1408" spans="2:6" ht="15" customHeight="1" x14ac:dyDescent="0.3">
      <c r="C1408" s="2"/>
      <c r="D1408" s="8">
        <v>2023</v>
      </c>
      <c r="E1408" s="62">
        <f>Data!O1408</f>
        <v>0.51</v>
      </c>
      <c r="F1408" s="16" t="str">
        <f>Data!P1408</f>
        <v>Merits Fire &amp; Marine Insurance</v>
      </c>
    </row>
    <row r="1409" spans="2:6" ht="15" customHeight="1" x14ac:dyDescent="0.3">
      <c r="C1409" s="2"/>
      <c r="D1409" s="8">
        <v>2024</v>
      </c>
      <c r="E1409" s="62">
        <f>Data!O1409</f>
        <v>0.51</v>
      </c>
      <c r="F1409" s="16" t="str">
        <f>Data!P1409</f>
        <v>Merits Fire &amp; Marine Insurance</v>
      </c>
    </row>
    <row r="1410" spans="2:6" ht="15" customHeight="1" x14ac:dyDescent="0.3">
      <c r="B1410" s="8">
        <v>129</v>
      </c>
      <c r="C1410" s="2" t="s">
        <v>87</v>
      </c>
      <c r="D1410" s="8">
        <v>2014</v>
      </c>
      <c r="E1410" s="62">
        <f>Data!O1410</f>
        <v>0</v>
      </c>
      <c r="F1410" s="16">
        <f>Data!P1410</f>
        <v>0</v>
      </c>
    </row>
    <row r="1411" spans="2:6" ht="15" customHeight="1" x14ac:dyDescent="0.3">
      <c r="C1411" s="2"/>
      <c r="D1411" s="8">
        <v>2015</v>
      </c>
      <c r="E1411" s="62">
        <f>Data!O1411</f>
        <v>0</v>
      </c>
      <c r="F1411" s="16">
        <f>Data!P1411</f>
        <v>0</v>
      </c>
    </row>
    <row r="1412" spans="2:6" ht="15" customHeight="1" x14ac:dyDescent="0.3">
      <c r="C1412" s="2"/>
      <c r="D1412" s="8">
        <v>2016</v>
      </c>
      <c r="E1412" s="62">
        <f>Data!O1412</f>
        <v>0.99970000000000003</v>
      </c>
      <c r="F1412" s="16" t="str">
        <f>Data!P1412</f>
        <v>PT MNC Kapital Indonesia</v>
      </c>
    </row>
    <row r="1413" spans="2:6" ht="15" customHeight="1" x14ac:dyDescent="0.3">
      <c r="C1413" s="2"/>
      <c r="D1413" s="8">
        <v>2017</v>
      </c>
      <c r="E1413" s="62">
        <f>Data!O1413</f>
        <v>0.99980000000000002</v>
      </c>
      <c r="F1413" s="16" t="str">
        <f>Data!P1413</f>
        <v>PT MNC Kapital Indonesia</v>
      </c>
    </row>
    <row r="1414" spans="2:6" ht="15" customHeight="1" x14ac:dyDescent="0.3">
      <c r="C1414" s="2"/>
      <c r="D1414" s="8">
        <v>2018</v>
      </c>
      <c r="E1414" s="62">
        <f>Data!O1414</f>
        <v>0.99980000000000002</v>
      </c>
      <c r="F1414" s="16" t="str">
        <f>Data!P1414</f>
        <v>PT MNC Kapital Indonesia</v>
      </c>
    </row>
    <row r="1415" spans="2:6" ht="15" customHeight="1" x14ac:dyDescent="0.3">
      <c r="C1415" s="2"/>
      <c r="D1415" s="8">
        <v>2019</v>
      </c>
      <c r="E1415" s="62">
        <f>Data!O1415</f>
        <v>0.99980000000000002</v>
      </c>
      <c r="F1415" s="16" t="str">
        <f>Data!P1415</f>
        <v>PT MNC Kapital Indonesia</v>
      </c>
    </row>
    <row r="1416" spans="2:6" ht="15" customHeight="1" x14ac:dyDescent="0.3">
      <c r="C1416" s="2"/>
      <c r="D1416" s="8">
        <v>2020</v>
      </c>
      <c r="E1416" s="62">
        <f>Data!O1416</f>
        <v>0.99980000000000002</v>
      </c>
      <c r="F1416" s="16" t="str">
        <f>Data!P1416</f>
        <v>PT MNC Kapital Indonesia</v>
      </c>
    </row>
    <row r="1417" spans="2:6" ht="15" customHeight="1" x14ac:dyDescent="0.3">
      <c r="C1417" s="2"/>
      <c r="D1417" s="8">
        <v>2021</v>
      </c>
      <c r="E1417" s="62">
        <f>Data!O1417</f>
        <v>0.99980000000000002</v>
      </c>
      <c r="F1417" s="16" t="str">
        <f>Data!P1417</f>
        <v>PT MNC Kapital Indonesia</v>
      </c>
    </row>
    <row r="1418" spans="2:6" ht="15" customHeight="1" x14ac:dyDescent="0.3">
      <c r="C1418" s="2"/>
      <c r="D1418" s="8">
        <v>2022</v>
      </c>
      <c r="E1418" s="62">
        <f>Data!O1418</f>
        <v>0.99980000000000002</v>
      </c>
      <c r="F1418" s="16" t="str">
        <f>Data!P1418</f>
        <v>PT MNC Kapital Indonesia</v>
      </c>
    </row>
    <row r="1419" spans="2:6" ht="15" customHeight="1" x14ac:dyDescent="0.3">
      <c r="C1419" s="2"/>
      <c r="D1419" s="8">
        <v>2023</v>
      </c>
      <c r="E1419" s="62">
        <f>Data!O1419</f>
        <v>0.99980000000000002</v>
      </c>
      <c r="F1419" s="16" t="str">
        <f>Data!P1419</f>
        <v>PT MNC Kapital Indonesia</v>
      </c>
    </row>
    <row r="1420" spans="2:6" ht="15" customHeight="1" x14ac:dyDescent="0.3">
      <c r="C1420" s="2"/>
      <c r="D1420" s="8">
        <v>2024</v>
      </c>
      <c r="E1420" s="62">
        <f>Data!O1420</f>
        <v>0.99980000000000002</v>
      </c>
      <c r="F1420" s="16" t="str">
        <f>Data!P1420</f>
        <v>PT MNC Kapital Indonesia</v>
      </c>
    </row>
    <row r="1421" spans="2:6" ht="15" customHeight="1" x14ac:dyDescent="0.3">
      <c r="B1421" s="8">
        <v>130</v>
      </c>
      <c r="C1421" s="2" t="s">
        <v>113</v>
      </c>
      <c r="D1421" s="8">
        <v>2014</v>
      </c>
      <c r="E1421" s="62">
        <f>Data!O1421</f>
        <v>0</v>
      </c>
      <c r="F1421" s="16">
        <f>Data!P1421</f>
        <v>0</v>
      </c>
    </row>
    <row r="1422" spans="2:6" ht="15" customHeight="1" x14ac:dyDescent="0.3">
      <c r="C1422" s="2"/>
      <c r="D1422" s="8">
        <v>2015</v>
      </c>
      <c r="E1422" s="62">
        <f>Data!O1422</f>
        <v>0</v>
      </c>
      <c r="F1422" s="16">
        <f>Data!P1422</f>
        <v>0</v>
      </c>
    </row>
    <row r="1423" spans="2:6" ht="15" customHeight="1" x14ac:dyDescent="0.3">
      <c r="C1423" s="2"/>
      <c r="D1423" s="8">
        <v>2016</v>
      </c>
      <c r="E1423" s="62">
        <f>Data!O1423</f>
        <v>0</v>
      </c>
      <c r="F1423" s="16">
        <f>Data!P1423</f>
        <v>0</v>
      </c>
    </row>
    <row r="1424" spans="2:6" ht="15" customHeight="1" x14ac:dyDescent="0.3">
      <c r="C1424" s="2"/>
      <c r="D1424" s="8">
        <v>2017</v>
      </c>
      <c r="E1424" s="62">
        <f>Data!O1424</f>
        <v>0</v>
      </c>
      <c r="F1424" s="16">
        <f>Data!P1424</f>
        <v>0</v>
      </c>
    </row>
    <row r="1425" spans="2:6" ht="15" customHeight="1" x14ac:dyDescent="0.3">
      <c r="C1425" s="2"/>
      <c r="D1425" s="8">
        <v>2018</v>
      </c>
      <c r="E1425" s="62">
        <f>Data!O1425</f>
        <v>0</v>
      </c>
      <c r="F1425" s="16">
        <f>Data!P1425</f>
        <v>0</v>
      </c>
    </row>
    <row r="1426" spans="2:6" ht="15" customHeight="1" x14ac:dyDescent="0.3">
      <c r="C1426" s="2"/>
      <c r="D1426" s="8">
        <v>2019</v>
      </c>
      <c r="E1426" s="62">
        <f>Data!O1426</f>
        <v>0</v>
      </c>
      <c r="F1426" s="16">
        <f>Data!P1426</f>
        <v>0</v>
      </c>
    </row>
    <row r="1427" spans="2:6" ht="15" customHeight="1" x14ac:dyDescent="0.3">
      <c r="C1427" s="2"/>
      <c r="D1427" s="8">
        <v>2020</v>
      </c>
      <c r="E1427" s="62">
        <f>Data!O1427</f>
        <v>0.55000000000000004</v>
      </c>
      <c r="F1427" s="16" t="str">
        <f>Data!P1427</f>
        <v>PT Multikem Suplindo</v>
      </c>
    </row>
    <row r="1428" spans="2:6" ht="15" customHeight="1" x14ac:dyDescent="0.3">
      <c r="C1428" s="2"/>
      <c r="D1428" s="8">
        <v>2021</v>
      </c>
      <c r="E1428" s="62">
        <f>Data!O1428</f>
        <v>0.55000000000000004</v>
      </c>
      <c r="F1428" s="16" t="str">
        <f>Data!P1428</f>
        <v>PT Multikem Suplindo</v>
      </c>
    </row>
    <row r="1429" spans="2:6" ht="15" customHeight="1" x14ac:dyDescent="0.3">
      <c r="C1429" s="2"/>
      <c r="D1429" s="8">
        <v>2022</v>
      </c>
      <c r="E1429" s="62">
        <f>Data!O1429</f>
        <v>0.55000000000000004</v>
      </c>
      <c r="F1429" s="16" t="str">
        <f>Data!P1429</f>
        <v>PT Multikem Suplindo</v>
      </c>
    </row>
    <row r="1430" spans="2:6" ht="15" customHeight="1" x14ac:dyDescent="0.3">
      <c r="C1430" s="2"/>
      <c r="D1430" s="8">
        <v>2023</v>
      </c>
      <c r="E1430" s="62">
        <f>Data!O1430</f>
        <v>0.68479999999999996</v>
      </c>
      <c r="F1430" s="16" t="str">
        <f>Data!P1430</f>
        <v>PT Multikem Suplindo</v>
      </c>
    </row>
    <row r="1431" spans="2:6" ht="15" customHeight="1" x14ac:dyDescent="0.3">
      <c r="C1431" s="2"/>
      <c r="D1431" s="8">
        <v>2024</v>
      </c>
      <c r="E1431" s="62">
        <f>Data!O1431</f>
        <v>0.68479999999999996</v>
      </c>
      <c r="F1431" s="16" t="str">
        <f>Data!P1431</f>
        <v>PT Multikem Suplindo</v>
      </c>
    </row>
    <row r="1432" spans="2:6" ht="15" customHeight="1" x14ac:dyDescent="0.3">
      <c r="B1432" s="8">
        <v>131</v>
      </c>
      <c r="C1432" s="2" t="s">
        <v>121</v>
      </c>
      <c r="D1432" s="8">
        <v>2014</v>
      </c>
      <c r="E1432" s="62">
        <f>Data!O1432</f>
        <v>0</v>
      </c>
      <c r="F1432" s="16">
        <f>Data!P1432</f>
        <v>0</v>
      </c>
    </row>
    <row r="1433" spans="2:6" ht="15" customHeight="1" x14ac:dyDescent="0.3">
      <c r="C1433" s="2"/>
      <c r="D1433" s="8">
        <v>2015</v>
      </c>
      <c r="E1433" s="62">
        <f>Data!O1433</f>
        <v>0</v>
      </c>
      <c r="F1433" s="16">
        <f>Data!P1433</f>
        <v>0</v>
      </c>
    </row>
    <row r="1434" spans="2:6" ht="15" customHeight="1" x14ac:dyDescent="0.3">
      <c r="C1434" s="2"/>
      <c r="D1434" s="8">
        <v>2016</v>
      </c>
      <c r="E1434" s="62">
        <f>Data!O1434</f>
        <v>0.8</v>
      </c>
      <c r="F1434" s="16" t="str">
        <f>Data!P1434</f>
        <v>Sompo Japan Nipponkoa Insurance</v>
      </c>
    </row>
    <row r="1435" spans="2:6" ht="15" customHeight="1" x14ac:dyDescent="0.3">
      <c r="C1435" s="2"/>
      <c r="D1435" s="8">
        <v>2017</v>
      </c>
      <c r="E1435" s="62">
        <f>Data!O1435</f>
        <v>0.8</v>
      </c>
      <c r="F1435" s="16" t="str">
        <f>Data!P1435</f>
        <v>Sompo Japan Nipponkoa Insurance</v>
      </c>
    </row>
    <row r="1436" spans="2:6" ht="15" customHeight="1" x14ac:dyDescent="0.3">
      <c r="C1436" s="2"/>
      <c r="D1436" s="8">
        <v>2018</v>
      </c>
      <c r="E1436" s="62">
        <f>Data!O1436</f>
        <v>0.8</v>
      </c>
      <c r="F1436" s="16" t="str">
        <f>Data!P1436</f>
        <v>Sompo Japan Nipponkoa Insurance</v>
      </c>
    </row>
    <row r="1437" spans="2:6" ht="15" customHeight="1" x14ac:dyDescent="0.3">
      <c r="C1437" s="2"/>
      <c r="D1437" s="8">
        <v>2019</v>
      </c>
      <c r="E1437" s="62">
        <f>Data!O1437</f>
        <v>0.8</v>
      </c>
      <c r="F1437" s="16" t="str">
        <f>Data!P1437</f>
        <v>Sompo Japan Nipponkoa Insurance</v>
      </c>
    </row>
    <row r="1438" spans="2:6" ht="15" customHeight="1" x14ac:dyDescent="0.3">
      <c r="C1438" s="2"/>
      <c r="D1438" s="8">
        <v>2020</v>
      </c>
      <c r="E1438" s="62">
        <f>Data!O1438</f>
        <v>0.8</v>
      </c>
      <c r="F1438" s="16" t="str">
        <f>Data!P1438</f>
        <v>Sompo Japan Nipponkoa Insurance</v>
      </c>
    </row>
    <row r="1439" spans="2:6" ht="15" customHeight="1" x14ac:dyDescent="0.3">
      <c r="C1439" s="2"/>
      <c r="D1439" s="8">
        <v>2021</v>
      </c>
      <c r="E1439" s="62">
        <f>Data!O1439</f>
        <v>0.8</v>
      </c>
      <c r="F1439" s="16" t="str">
        <f>Data!P1439</f>
        <v>Sompo International Holdings</v>
      </c>
    </row>
    <row r="1440" spans="2:6" ht="15" customHeight="1" x14ac:dyDescent="0.3">
      <c r="C1440" s="2"/>
      <c r="D1440" s="8">
        <v>2022</v>
      </c>
      <c r="E1440" s="62">
        <f>Data!O1440</f>
        <v>0.8</v>
      </c>
      <c r="F1440" s="16" t="str">
        <f>Data!P1440</f>
        <v>Sompo International Holdings</v>
      </c>
    </row>
    <row r="1441" spans="2:6" ht="15" customHeight="1" x14ac:dyDescent="0.3">
      <c r="C1441" s="2"/>
      <c r="D1441" s="8">
        <v>2023</v>
      </c>
      <c r="E1441" s="62">
        <f>Data!O1441</f>
        <v>0.8</v>
      </c>
      <c r="F1441" s="16" t="str">
        <f>Data!P1441</f>
        <v>Sompo International Holdings</v>
      </c>
    </row>
    <row r="1442" spans="2:6" ht="15" customHeight="1" x14ac:dyDescent="0.3">
      <c r="C1442" s="2"/>
      <c r="D1442" s="8">
        <v>2024</v>
      </c>
      <c r="E1442" s="62">
        <f>Data!O1442</f>
        <v>0.8</v>
      </c>
      <c r="F1442" s="16" t="str">
        <f>Data!P1442</f>
        <v>Sompo International Holdings</v>
      </c>
    </row>
    <row r="1443" spans="2:6" ht="15" customHeight="1" x14ac:dyDescent="0.3">
      <c r="B1443" s="8">
        <v>132</v>
      </c>
      <c r="C1443" s="2" t="s">
        <v>85</v>
      </c>
      <c r="D1443" s="8">
        <v>2014</v>
      </c>
      <c r="E1443" s="62">
        <f>Data!O1443</f>
        <v>0</v>
      </c>
      <c r="F1443" s="16">
        <f>Data!P1443</f>
        <v>0</v>
      </c>
    </row>
    <row r="1444" spans="2:6" ht="15" customHeight="1" x14ac:dyDescent="0.3">
      <c r="C1444" s="2"/>
      <c r="D1444" s="8">
        <v>2015</v>
      </c>
      <c r="E1444" s="62">
        <f>Data!O1444</f>
        <v>0</v>
      </c>
      <c r="F1444" s="16">
        <f>Data!P1444</f>
        <v>0</v>
      </c>
    </row>
    <row r="1445" spans="2:6" ht="15" customHeight="1" x14ac:dyDescent="0.3">
      <c r="C1445" s="2"/>
      <c r="D1445" s="8">
        <v>2016</v>
      </c>
      <c r="E1445" s="62">
        <f>Data!O1445</f>
        <v>0</v>
      </c>
      <c r="F1445" s="16">
        <f>Data!P1445</f>
        <v>0</v>
      </c>
    </row>
    <row r="1446" spans="2:6" ht="15" customHeight="1" x14ac:dyDescent="0.3">
      <c r="C1446" s="2"/>
      <c r="D1446" s="8">
        <v>2017</v>
      </c>
      <c r="E1446" s="62">
        <f>Data!O1446</f>
        <v>0.99</v>
      </c>
      <c r="F1446" s="16" t="str">
        <f>Data!P1446</f>
        <v>KSK Group Berhad</v>
      </c>
    </row>
    <row r="1447" spans="2:6" ht="15" customHeight="1" x14ac:dyDescent="0.3">
      <c r="C1447" s="2"/>
      <c r="D1447" s="8">
        <v>2018</v>
      </c>
      <c r="E1447" s="62">
        <f>Data!O1447</f>
        <v>0.99</v>
      </c>
      <c r="F1447" s="16" t="str">
        <f>Data!P1447</f>
        <v>KSK Group Berhad</v>
      </c>
    </row>
    <row r="1448" spans="2:6" ht="15" customHeight="1" x14ac:dyDescent="0.3">
      <c r="C1448" s="2"/>
      <c r="D1448" s="8">
        <v>2019</v>
      </c>
      <c r="E1448" s="62">
        <f>Data!O1448</f>
        <v>0.99</v>
      </c>
      <c r="F1448" s="16" t="str">
        <f>Data!P1448</f>
        <v>KSK Group Berhad</v>
      </c>
    </row>
    <row r="1449" spans="2:6" ht="15" customHeight="1" x14ac:dyDescent="0.3">
      <c r="C1449" s="2"/>
      <c r="D1449" s="8">
        <v>2020</v>
      </c>
      <c r="E1449" s="62">
        <f>Data!O1449</f>
        <v>0.9909</v>
      </c>
      <c r="F1449" s="16" t="str">
        <f>Data!P1449</f>
        <v>KSK Group Berhad</v>
      </c>
    </row>
    <row r="1450" spans="2:6" ht="15" customHeight="1" x14ac:dyDescent="0.3">
      <c r="C1450" s="2"/>
      <c r="D1450" s="8">
        <v>2021</v>
      </c>
      <c r="E1450" s="62">
        <f>Data!O1450</f>
        <v>0.9909</v>
      </c>
      <c r="F1450" s="16" t="str">
        <f>Data!P1450</f>
        <v>KSK Group Berhad</v>
      </c>
    </row>
    <row r="1451" spans="2:6" ht="15" customHeight="1" x14ac:dyDescent="0.3">
      <c r="C1451" s="2"/>
      <c r="D1451" s="8">
        <v>2022</v>
      </c>
      <c r="E1451" s="62">
        <f>Data!O1451</f>
        <v>0.9909</v>
      </c>
      <c r="F1451" s="16" t="str">
        <f>Data!P1451</f>
        <v>KSK Group Berhad</v>
      </c>
    </row>
    <row r="1452" spans="2:6" ht="15" customHeight="1" x14ac:dyDescent="0.3">
      <c r="C1452" s="2"/>
      <c r="D1452" s="8">
        <v>2023</v>
      </c>
      <c r="E1452" s="62">
        <f>Data!O1452</f>
        <v>0.9909</v>
      </c>
      <c r="F1452" s="16" t="str">
        <f>Data!P1452</f>
        <v>KSK Group Berhad</v>
      </c>
    </row>
    <row r="1453" spans="2:6" ht="15" customHeight="1" x14ac:dyDescent="0.3">
      <c r="C1453" s="2"/>
      <c r="D1453" s="8">
        <v>2024</v>
      </c>
      <c r="E1453" s="62">
        <f>Data!O1453</f>
        <v>0.9909</v>
      </c>
      <c r="F1453" s="16" t="str">
        <f>Data!P1453</f>
        <v>KSK Group Berhad</v>
      </c>
    </row>
    <row r="1454" spans="2:6" ht="15" customHeight="1" x14ac:dyDescent="0.3">
      <c r="B1454" s="8">
        <v>133</v>
      </c>
      <c r="C1454" s="1" t="s">
        <v>126</v>
      </c>
      <c r="D1454" s="8">
        <v>2014</v>
      </c>
      <c r="E1454" s="62">
        <f>Data!O1454</f>
        <v>0</v>
      </c>
      <c r="F1454" s="16">
        <f>Data!P1454</f>
        <v>0</v>
      </c>
    </row>
    <row r="1455" spans="2:6" ht="15" customHeight="1" x14ac:dyDescent="0.3">
      <c r="C1455" s="1"/>
      <c r="D1455" s="8">
        <v>2015</v>
      </c>
      <c r="E1455" s="62">
        <f>Data!O1455</f>
        <v>0.73370000000000002</v>
      </c>
      <c r="F1455" s="16" t="str">
        <f>Data!P1455</f>
        <v>PT Victoria Investama</v>
      </c>
    </row>
    <row r="1456" spans="2:6" ht="15" customHeight="1" x14ac:dyDescent="0.3">
      <c r="C1456" s="1"/>
      <c r="D1456" s="8">
        <v>2016</v>
      </c>
      <c r="E1456" s="62">
        <f>Data!O1456</f>
        <v>0.73370000000000002</v>
      </c>
      <c r="F1456" s="16" t="str">
        <f>Data!P1456</f>
        <v>PT Victoria Investama</v>
      </c>
    </row>
    <row r="1457" spans="2:6" ht="15" customHeight="1" x14ac:dyDescent="0.3">
      <c r="C1457" s="1"/>
      <c r="D1457" s="8">
        <v>2017</v>
      </c>
      <c r="E1457" s="62">
        <f>Data!O1457</f>
        <v>0.73350000000000004</v>
      </c>
      <c r="F1457" s="16" t="str">
        <f>Data!P1457</f>
        <v>PT Victoria Investama</v>
      </c>
    </row>
    <row r="1458" spans="2:6" ht="15" customHeight="1" x14ac:dyDescent="0.3">
      <c r="C1458" s="1"/>
      <c r="D1458" s="8">
        <v>2018</v>
      </c>
      <c r="E1458" s="62">
        <f>Data!O1458</f>
        <v>0.73280000000000001</v>
      </c>
      <c r="F1458" s="16" t="str">
        <f>Data!P1458</f>
        <v>PT Victoria Investama</v>
      </c>
    </row>
    <row r="1459" spans="2:6" ht="15" customHeight="1" x14ac:dyDescent="0.3">
      <c r="C1459" s="1"/>
      <c r="D1459" s="8">
        <v>2019</v>
      </c>
      <c r="E1459" s="62">
        <f>Data!O1459</f>
        <v>0.73150000000000004</v>
      </c>
      <c r="F1459" s="16" t="str">
        <f>Data!P1459</f>
        <v>PT Victoria Investama</v>
      </c>
    </row>
    <row r="1460" spans="2:6" ht="15" customHeight="1" x14ac:dyDescent="0.3">
      <c r="C1460" s="1"/>
      <c r="D1460" s="8">
        <v>2020</v>
      </c>
      <c r="E1460" s="62">
        <f>Data!O1460</f>
        <v>0.72950000000000004</v>
      </c>
      <c r="F1460" s="16" t="str">
        <f>Data!P1460</f>
        <v>PT Victoria Investama</v>
      </c>
    </row>
    <row r="1461" spans="2:6" ht="15" customHeight="1" x14ac:dyDescent="0.3">
      <c r="C1461" s="1"/>
      <c r="D1461" s="8">
        <v>2021</v>
      </c>
      <c r="E1461" s="62">
        <f>Data!O1461</f>
        <v>0.72950000000000004</v>
      </c>
      <c r="F1461" s="16" t="str">
        <f>Data!P1461</f>
        <v>PT Victoria Investama</v>
      </c>
    </row>
    <row r="1462" spans="2:6" ht="15" customHeight="1" x14ac:dyDescent="0.3">
      <c r="C1462" s="1"/>
      <c r="D1462" s="8">
        <v>2022</v>
      </c>
      <c r="E1462" s="62">
        <f>Data!O1462</f>
        <v>0.72950000000000004</v>
      </c>
      <c r="F1462" s="16" t="str">
        <f>Data!P1462</f>
        <v>PT Victoria Investama</v>
      </c>
    </row>
    <row r="1463" spans="2:6" ht="15" customHeight="1" x14ac:dyDescent="0.3">
      <c r="C1463" s="1"/>
      <c r="D1463" s="8">
        <v>2023</v>
      </c>
      <c r="E1463" s="62">
        <f>Data!O1463</f>
        <v>0.72950000000000004</v>
      </c>
      <c r="F1463" s="16" t="str">
        <f>Data!P1463</f>
        <v>PT Victoria Investama</v>
      </c>
    </row>
    <row r="1464" spans="2:6" ht="15" customHeight="1" x14ac:dyDescent="0.3">
      <c r="C1464" s="1"/>
      <c r="D1464" s="8">
        <v>2024</v>
      </c>
      <c r="E1464" s="62">
        <f>Data!O1464</f>
        <v>0.72950000000000004</v>
      </c>
      <c r="F1464" s="16" t="str">
        <f>Data!P1464</f>
        <v>PT Victoria Investama</v>
      </c>
    </row>
    <row r="1465" spans="2:6" ht="15" customHeight="1" x14ac:dyDescent="0.3">
      <c r="B1465" s="8">
        <v>134</v>
      </c>
      <c r="C1465" s="2" t="s">
        <v>95</v>
      </c>
      <c r="D1465" s="8">
        <v>2014</v>
      </c>
      <c r="E1465" s="62">
        <f>Data!O1465</f>
        <v>0</v>
      </c>
      <c r="F1465" s="16">
        <f>Data!P1465</f>
        <v>0</v>
      </c>
    </row>
    <row r="1466" spans="2:6" ht="15" customHeight="1" x14ac:dyDescent="0.3">
      <c r="C1466" s="2"/>
      <c r="D1466" s="8">
        <v>2015</v>
      </c>
      <c r="E1466" s="62">
        <f>Data!O1466</f>
        <v>0</v>
      </c>
      <c r="F1466" s="16">
        <f>Data!P1466</f>
        <v>0</v>
      </c>
    </row>
    <row r="1467" spans="2:6" ht="15" customHeight="1" x14ac:dyDescent="0.3">
      <c r="C1467" s="2"/>
      <c r="D1467" s="8">
        <v>2016</v>
      </c>
      <c r="E1467" s="62">
        <f>Data!O1467</f>
        <v>0</v>
      </c>
      <c r="F1467" s="16">
        <f>Data!P1467</f>
        <v>0</v>
      </c>
    </row>
    <row r="1468" spans="2:6" ht="15" customHeight="1" x14ac:dyDescent="0.3">
      <c r="C1468" s="2"/>
      <c r="D1468" s="8">
        <v>2017</v>
      </c>
      <c r="E1468" s="62">
        <f>Data!O1468</f>
        <v>0</v>
      </c>
      <c r="F1468" s="16">
        <f>Data!P1468</f>
        <v>0</v>
      </c>
    </row>
    <row r="1469" spans="2:6" ht="15" customHeight="1" x14ac:dyDescent="0.3">
      <c r="C1469" s="2"/>
      <c r="D1469" s="8">
        <v>2018</v>
      </c>
      <c r="E1469" s="62">
        <f>Data!O1469</f>
        <v>0</v>
      </c>
      <c r="F1469" s="16">
        <f>Data!P1469</f>
        <v>0</v>
      </c>
    </row>
    <row r="1470" spans="2:6" ht="15" customHeight="1" x14ac:dyDescent="0.3">
      <c r="C1470" s="2"/>
      <c r="D1470" s="8">
        <v>2019</v>
      </c>
      <c r="E1470" s="62">
        <f>Data!O1470</f>
        <v>0</v>
      </c>
      <c r="F1470" s="16">
        <f>Data!P1470</f>
        <v>0</v>
      </c>
    </row>
    <row r="1471" spans="2:6" ht="15" customHeight="1" x14ac:dyDescent="0.3">
      <c r="C1471" s="2"/>
      <c r="D1471" s="8">
        <v>2020</v>
      </c>
      <c r="E1471" s="62">
        <f>Data!O1471</f>
        <v>0</v>
      </c>
      <c r="F1471" s="16">
        <f>Data!P1471</f>
        <v>0</v>
      </c>
    </row>
    <row r="1472" spans="2:6" ht="15" customHeight="1" x14ac:dyDescent="0.3">
      <c r="C1472" s="2"/>
      <c r="D1472" s="8">
        <v>2021</v>
      </c>
      <c r="E1472" s="62">
        <f>Data!O1472</f>
        <v>0.8</v>
      </c>
      <c r="F1472" s="16" t="str">
        <f>Data!P1472</f>
        <v>Zurich Insurance Company</v>
      </c>
    </row>
    <row r="1473" spans="1:6" ht="15" customHeight="1" x14ac:dyDescent="0.3">
      <c r="C1473" s="2"/>
      <c r="D1473" s="8">
        <v>2022</v>
      </c>
      <c r="E1473" s="62">
        <f>Data!O1473</f>
        <v>0.8</v>
      </c>
      <c r="F1473" s="16" t="str">
        <f>Data!P1473</f>
        <v>Zurich Insurance Company</v>
      </c>
    </row>
    <row r="1474" spans="1:6" ht="15" customHeight="1" x14ac:dyDescent="0.3">
      <c r="C1474" s="2"/>
      <c r="D1474" s="8">
        <v>2023</v>
      </c>
      <c r="E1474" s="62">
        <f>Data!O1474</f>
        <v>0.8</v>
      </c>
      <c r="F1474" s="16" t="str">
        <f>Data!P1474</f>
        <v>Zurich Insurance Company</v>
      </c>
    </row>
    <row r="1475" spans="1:6" ht="15" customHeight="1" x14ac:dyDescent="0.3">
      <c r="C1475" s="2"/>
      <c r="D1475" s="8">
        <v>2024</v>
      </c>
      <c r="E1475" s="62">
        <f>Data!O1475</f>
        <v>0.8</v>
      </c>
      <c r="F1475" s="16" t="str">
        <f>Data!P1475</f>
        <v>Zurich Insurance Company</v>
      </c>
    </row>
    <row r="1476" spans="1:6" ht="15" customHeight="1" x14ac:dyDescent="0.3">
      <c r="B1476" s="8">
        <v>135</v>
      </c>
      <c r="C1476" s="1" t="s">
        <v>133</v>
      </c>
      <c r="D1476" s="8">
        <v>2014</v>
      </c>
      <c r="E1476" s="62">
        <f>Data!O1476</f>
        <v>0</v>
      </c>
      <c r="F1476" s="16">
        <f>Data!P1476</f>
        <v>0</v>
      </c>
    </row>
    <row r="1477" spans="1:6" ht="15" customHeight="1" x14ac:dyDescent="0.3">
      <c r="C1477" s="1"/>
      <c r="D1477" s="8">
        <v>2015</v>
      </c>
      <c r="E1477" s="62">
        <f>Data!O1477</f>
        <v>0</v>
      </c>
      <c r="F1477" s="16">
        <f>Data!P1477</f>
        <v>0</v>
      </c>
    </row>
    <row r="1478" spans="1:6" ht="15" customHeight="1" x14ac:dyDescent="0.3">
      <c r="C1478" s="1"/>
      <c r="D1478" s="8">
        <v>2016</v>
      </c>
      <c r="E1478" s="62">
        <f>Data!O1478</f>
        <v>0</v>
      </c>
      <c r="F1478" s="16">
        <f>Data!P1478</f>
        <v>0</v>
      </c>
    </row>
    <row r="1479" spans="1:6" ht="15" customHeight="1" x14ac:dyDescent="0.3">
      <c r="C1479" s="1"/>
      <c r="D1479" s="8">
        <v>2017</v>
      </c>
      <c r="E1479" s="62">
        <f>Data!O1479</f>
        <v>0</v>
      </c>
      <c r="F1479" s="16">
        <f>Data!P1479</f>
        <v>0</v>
      </c>
    </row>
    <row r="1480" spans="1:6" ht="15" customHeight="1" x14ac:dyDescent="0.3">
      <c r="C1480" s="1"/>
      <c r="D1480" s="8">
        <v>2018</v>
      </c>
      <c r="E1480" s="62">
        <f>Data!O1480</f>
        <v>0</v>
      </c>
      <c r="F1480" s="16">
        <f>Data!P1480</f>
        <v>0</v>
      </c>
    </row>
    <row r="1481" spans="1:6" ht="15" customHeight="1" x14ac:dyDescent="0.3">
      <c r="C1481" s="1"/>
      <c r="D1481" s="8">
        <v>2019</v>
      </c>
      <c r="E1481" s="62">
        <f>Data!O1481</f>
        <v>0</v>
      </c>
      <c r="F1481" s="16">
        <f>Data!P1481</f>
        <v>0</v>
      </c>
    </row>
    <row r="1482" spans="1:6" ht="15" customHeight="1" x14ac:dyDescent="0.3">
      <c r="C1482" s="1"/>
      <c r="D1482" s="8">
        <v>2020</v>
      </c>
      <c r="E1482" s="62">
        <f>Data!O1482</f>
        <v>0</v>
      </c>
      <c r="F1482" s="16">
        <f>Data!P1482</f>
        <v>0</v>
      </c>
    </row>
    <row r="1483" spans="1:6" ht="15" customHeight="1" x14ac:dyDescent="0.3">
      <c r="C1483" s="1"/>
      <c r="D1483" s="8">
        <v>2021</v>
      </c>
      <c r="E1483" s="62">
        <f>Data!O1483</f>
        <v>0.99729999999999996</v>
      </c>
      <c r="F1483" s="16" t="str">
        <f>Data!P1483</f>
        <v>PT Zurich Asuransi Indonesia</v>
      </c>
    </row>
    <row r="1484" spans="1:6" ht="15" customHeight="1" x14ac:dyDescent="0.3">
      <c r="C1484" s="1"/>
      <c r="D1484" s="8">
        <v>2022</v>
      </c>
      <c r="E1484" s="62">
        <f>Data!O1484</f>
        <v>0.99729999999999996</v>
      </c>
      <c r="F1484" s="16" t="str">
        <f>Data!P1484</f>
        <v>PT Zurich Asuransi Indonesia</v>
      </c>
    </row>
    <row r="1485" spans="1:6" ht="15" customHeight="1" x14ac:dyDescent="0.3">
      <c r="C1485" s="1"/>
      <c r="D1485" s="8">
        <v>2023</v>
      </c>
      <c r="E1485" s="62">
        <f>Data!O1485</f>
        <v>0.99729999999999996</v>
      </c>
      <c r="F1485" s="16" t="str">
        <f>Data!P1485</f>
        <v>PT Zurich Asuransi Indonesia</v>
      </c>
    </row>
    <row r="1486" spans="1:6" ht="15" customHeight="1" x14ac:dyDescent="0.3">
      <c r="C1486" s="1"/>
      <c r="D1486" s="8">
        <v>2024</v>
      </c>
      <c r="E1486" s="62">
        <f>Data!O1486</f>
        <v>0.99729999999999996</v>
      </c>
      <c r="F1486" s="16" t="str">
        <f>Data!P1486</f>
        <v>PT Zurich Asuransi Indonesia</v>
      </c>
    </row>
    <row r="1487" spans="1:6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62">
        <f>Data!O1487</f>
        <v>0</v>
      </c>
      <c r="F1487" s="16">
        <f>Data!P1487</f>
        <v>0</v>
      </c>
    </row>
    <row r="1488" spans="1:6" ht="15" customHeight="1" x14ac:dyDescent="0.3">
      <c r="C1488" s="1"/>
      <c r="D1488" s="8">
        <v>2015</v>
      </c>
      <c r="E1488" s="62">
        <f>Data!O1488</f>
        <v>0</v>
      </c>
      <c r="F1488" s="16">
        <f>Data!P1488</f>
        <v>0</v>
      </c>
    </row>
    <row r="1489" spans="2:6" ht="15" customHeight="1" x14ac:dyDescent="0.3">
      <c r="C1489" s="1"/>
      <c r="D1489" s="8">
        <v>2016</v>
      </c>
      <c r="E1489" s="62">
        <f>Data!O1489</f>
        <v>0</v>
      </c>
      <c r="F1489" s="16">
        <f>Data!P1489</f>
        <v>0</v>
      </c>
    </row>
    <row r="1490" spans="2:6" ht="15" customHeight="1" x14ac:dyDescent="0.3">
      <c r="C1490" s="1"/>
      <c r="D1490" s="8">
        <v>2017</v>
      </c>
      <c r="E1490" s="62">
        <f>Data!O1490</f>
        <v>0</v>
      </c>
      <c r="F1490" s="16">
        <f>Data!P1490</f>
        <v>0</v>
      </c>
    </row>
    <row r="1491" spans="2:6" ht="15" customHeight="1" x14ac:dyDescent="0.3">
      <c r="C1491" s="1"/>
      <c r="D1491" s="8">
        <v>2018</v>
      </c>
      <c r="E1491" s="62">
        <f>Data!O1491</f>
        <v>0</v>
      </c>
      <c r="F1491" s="16">
        <f>Data!P1491</f>
        <v>0</v>
      </c>
    </row>
    <row r="1492" spans="2:6" ht="15" customHeight="1" x14ac:dyDescent="0.3">
      <c r="C1492" s="1"/>
      <c r="D1492" s="8">
        <v>2019</v>
      </c>
      <c r="E1492" s="62">
        <f>Data!O1492</f>
        <v>0</v>
      </c>
      <c r="F1492" s="16">
        <f>Data!P1492</f>
        <v>0</v>
      </c>
    </row>
    <row r="1493" spans="2:6" ht="15" customHeight="1" x14ac:dyDescent="0.3">
      <c r="C1493" s="1"/>
      <c r="D1493" s="8">
        <v>2020</v>
      </c>
      <c r="E1493" s="62">
        <f>Data!O1493</f>
        <v>0</v>
      </c>
      <c r="F1493" s="16">
        <f>Data!P1493</f>
        <v>0</v>
      </c>
    </row>
    <row r="1494" spans="2:6" ht="15" customHeight="1" x14ac:dyDescent="0.3">
      <c r="C1494" s="1"/>
      <c r="D1494" s="8">
        <v>2021</v>
      </c>
      <c r="E1494" s="62">
        <f>Data!O1494</f>
        <v>0</v>
      </c>
      <c r="F1494" s="16">
        <f>Data!P1494</f>
        <v>0</v>
      </c>
    </row>
    <row r="1495" spans="2:6" ht="15" customHeight="1" x14ac:dyDescent="0.3">
      <c r="C1495" s="1"/>
      <c r="D1495" s="8">
        <v>2022</v>
      </c>
      <c r="E1495" s="62">
        <f>Data!O1495</f>
        <v>0.5</v>
      </c>
      <c r="F1495" s="16" t="str">
        <f>Data!P1495</f>
        <v>PT Bakti Nusa Bangsa dan PT Bakti Nusa Jayasentosa</v>
      </c>
    </row>
    <row r="1496" spans="2:6" ht="15" customHeight="1" x14ac:dyDescent="0.3">
      <c r="C1496" s="1"/>
      <c r="D1496" s="8">
        <v>2023</v>
      </c>
      <c r="E1496" s="62">
        <f>Data!O1496</f>
        <v>0.5</v>
      </c>
      <c r="F1496" s="16" t="str">
        <f>Data!P1496</f>
        <v>PT Bakti Nusa Bangsa dan PT Bakti Nusa Jayasentosa</v>
      </c>
    </row>
    <row r="1497" spans="2:6" ht="15" customHeight="1" x14ac:dyDescent="0.3">
      <c r="C1497" s="1"/>
      <c r="D1497" s="8">
        <v>2024</v>
      </c>
      <c r="E1497" s="62">
        <f>Data!O1497</f>
        <v>0.5</v>
      </c>
      <c r="F1497" s="16" t="str">
        <f>Data!P1497</f>
        <v>PT Bakti Nusa Bangsa dan PT Bakti Nusa Jayasentosa</v>
      </c>
    </row>
    <row r="1498" spans="2:6" ht="15" customHeight="1" x14ac:dyDescent="0.3">
      <c r="B1498" s="8">
        <v>137</v>
      </c>
      <c r="C1498" s="1" t="s">
        <v>136</v>
      </c>
      <c r="D1498" s="8">
        <v>2014</v>
      </c>
      <c r="E1498" s="62">
        <f>Data!O1498</f>
        <v>0</v>
      </c>
      <c r="F1498" s="16">
        <f>Data!P1498</f>
        <v>0</v>
      </c>
    </row>
    <row r="1499" spans="2:6" ht="15" customHeight="1" x14ac:dyDescent="0.3">
      <c r="C1499" s="1"/>
      <c r="D1499" s="8">
        <v>2015</v>
      </c>
      <c r="E1499" s="62">
        <f>Data!O1499</f>
        <v>0</v>
      </c>
      <c r="F1499" s="16">
        <f>Data!P1499</f>
        <v>0</v>
      </c>
    </row>
    <row r="1500" spans="2:6" ht="15" customHeight="1" x14ac:dyDescent="0.3">
      <c r="C1500" s="1"/>
      <c r="D1500" s="8">
        <v>2016</v>
      </c>
      <c r="E1500" s="62">
        <f>Data!O1500</f>
        <v>0</v>
      </c>
      <c r="F1500" s="16">
        <f>Data!P1500</f>
        <v>0</v>
      </c>
    </row>
    <row r="1501" spans="2:6" ht="15" customHeight="1" x14ac:dyDescent="0.3">
      <c r="C1501" s="1"/>
      <c r="D1501" s="8">
        <v>2017</v>
      </c>
      <c r="E1501" s="62">
        <f>Data!O1501</f>
        <v>0.58750000000000002</v>
      </c>
      <c r="F1501" s="16" t="str">
        <f>Data!P1501</f>
        <v>Masyarakat</v>
      </c>
    </row>
    <row r="1502" spans="2:6" ht="15" customHeight="1" x14ac:dyDescent="0.3">
      <c r="C1502" s="1"/>
      <c r="D1502" s="8">
        <v>2018</v>
      </c>
      <c r="E1502" s="62">
        <f>Data!O1502</f>
        <v>0.58750000000000002</v>
      </c>
      <c r="F1502" s="16" t="str">
        <f>Data!P1502</f>
        <v>Masyarakat</v>
      </c>
    </row>
    <row r="1503" spans="2:6" ht="15" customHeight="1" x14ac:dyDescent="0.3">
      <c r="C1503" s="1"/>
      <c r="D1503" s="8">
        <v>2019</v>
      </c>
      <c r="E1503" s="62">
        <f>Data!O1503</f>
        <v>0.58750000000000002</v>
      </c>
      <c r="F1503" s="16" t="str">
        <f>Data!P1503</f>
        <v>Masyarakat</v>
      </c>
    </row>
    <row r="1504" spans="2:6" ht="15" customHeight="1" x14ac:dyDescent="0.3">
      <c r="C1504" s="1"/>
      <c r="D1504" s="8">
        <v>2020</v>
      </c>
      <c r="E1504" s="62">
        <f>Data!O1504</f>
        <v>0.64700000000000002</v>
      </c>
      <c r="F1504" s="16" t="str">
        <f>Data!P1504</f>
        <v>Masyarakat</v>
      </c>
    </row>
    <row r="1505" spans="2:6" ht="15" customHeight="1" x14ac:dyDescent="0.3">
      <c r="C1505" s="1"/>
      <c r="D1505" s="8">
        <v>2021</v>
      </c>
      <c r="E1505" s="62">
        <f>Data!O1505</f>
        <v>0.64629999999999999</v>
      </c>
      <c r="F1505" s="16" t="str">
        <f>Data!P1505</f>
        <v>Masyarakat</v>
      </c>
    </row>
    <row r="1506" spans="2:6" ht="15" customHeight="1" x14ac:dyDescent="0.3">
      <c r="C1506" s="1"/>
      <c r="D1506" s="8">
        <v>2022</v>
      </c>
      <c r="E1506" s="62">
        <f>Data!O1506</f>
        <v>0.64700000000000002</v>
      </c>
      <c r="F1506" s="16" t="str">
        <f>Data!P1506</f>
        <v>Masyarakat</v>
      </c>
    </row>
    <row r="1507" spans="2:6" ht="15" customHeight="1" x14ac:dyDescent="0.3">
      <c r="C1507" s="1"/>
      <c r="D1507" s="8">
        <v>2023</v>
      </c>
      <c r="E1507" s="62">
        <f>Data!O1507</f>
        <v>0.59599999999999997</v>
      </c>
      <c r="F1507" s="16" t="str">
        <f>Data!P1507</f>
        <v>Masyarakat</v>
      </c>
    </row>
    <row r="1508" spans="2:6" ht="15" customHeight="1" x14ac:dyDescent="0.3">
      <c r="C1508" s="1"/>
      <c r="D1508" s="8">
        <v>2024</v>
      </c>
      <c r="E1508" s="62">
        <f>Data!O1508</f>
        <v>0.59279999999999999</v>
      </c>
      <c r="F1508" s="16" t="str">
        <f>Data!P1508</f>
        <v>Masyarakat</v>
      </c>
    </row>
    <row r="1509" spans="2:6" ht="15" customHeight="1" x14ac:dyDescent="0.3">
      <c r="B1509" s="8">
        <v>138</v>
      </c>
      <c r="C1509" s="1" t="s">
        <v>143</v>
      </c>
      <c r="D1509" s="8">
        <v>2014</v>
      </c>
      <c r="E1509" s="62">
        <f>Data!O1509</f>
        <v>0</v>
      </c>
      <c r="F1509" s="16">
        <f>Data!P1509</f>
        <v>0</v>
      </c>
    </row>
    <row r="1510" spans="2:6" ht="15" customHeight="1" x14ac:dyDescent="0.3">
      <c r="C1510" s="1"/>
      <c r="D1510" s="8">
        <v>2015</v>
      </c>
      <c r="E1510" s="62">
        <f>Data!O1510</f>
        <v>0</v>
      </c>
      <c r="F1510" s="16">
        <f>Data!P1510</f>
        <v>0</v>
      </c>
    </row>
    <row r="1511" spans="2:6" ht="15" customHeight="1" x14ac:dyDescent="0.3">
      <c r="C1511" s="1"/>
      <c r="D1511" s="8">
        <v>2016</v>
      </c>
      <c r="E1511" s="62">
        <f>Data!O1511</f>
        <v>0</v>
      </c>
      <c r="F1511" s="16">
        <f>Data!P1511</f>
        <v>0</v>
      </c>
    </row>
    <row r="1512" spans="2:6" ht="15" customHeight="1" x14ac:dyDescent="0.3">
      <c r="C1512" s="1"/>
      <c r="D1512" s="8">
        <v>2017</v>
      </c>
      <c r="E1512" s="62">
        <f>Data!O1512</f>
        <v>0</v>
      </c>
      <c r="F1512" s="16">
        <f>Data!P1512</f>
        <v>0</v>
      </c>
    </row>
    <row r="1513" spans="2:6" ht="15" customHeight="1" x14ac:dyDescent="0.3">
      <c r="C1513" s="1"/>
      <c r="D1513" s="8">
        <v>2018</v>
      </c>
      <c r="E1513" s="62">
        <f>Data!O1513</f>
        <v>0</v>
      </c>
      <c r="F1513" s="16">
        <f>Data!P1513</f>
        <v>0</v>
      </c>
    </row>
    <row r="1514" spans="2:6" ht="15" customHeight="1" x14ac:dyDescent="0.3">
      <c r="C1514" s="1"/>
      <c r="D1514" s="8">
        <v>2019</v>
      </c>
      <c r="E1514" s="62">
        <f>Data!O1514</f>
        <v>0</v>
      </c>
      <c r="F1514" s="16">
        <f>Data!P1514</f>
        <v>0</v>
      </c>
    </row>
    <row r="1515" spans="2:6" ht="15" customHeight="1" x14ac:dyDescent="0.3">
      <c r="C1515" s="1"/>
      <c r="D1515" s="8">
        <v>2020</v>
      </c>
      <c r="E1515" s="62">
        <f>Data!O1515</f>
        <v>0</v>
      </c>
      <c r="F1515" s="16">
        <f>Data!P1515</f>
        <v>0</v>
      </c>
    </row>
    <row r="1516" spans="2:6" ht="15" customHeight="1" x14ac:dyDescent="0.3">
      <c r="C1516" s="1"/>
      <c r="D1516" s="8">
        <v>2021</v>
      </c>
      <c r="E1516" s="62">
        <f>Data!O1516</f>
        <v>0</v>
      </c>
      <c r="F1516" s="16">
        <f>Data!P1516</f>
        <v>0</v>
      </c>
    </row>
    <row r="1517" spans="2:6" ht="15" customHeight="1" x14ac:dyDescent="0.3">
      <c r="C1517" s="1"/>
      <c r="D1517" s="8">
        <v>2022</v>
      </c>
      <c r="E1517" s="62">
        <f>Data!O1517</f>
        <v>0</v>
      </c>
      <c r="F1517" s="16">
        <f>Data!P1517</f>
        <v>0</v>
      </c>
    </row>
    <row r="1518" spans="2:6" ht="15" customHeight="1" x14ac:dyDescent="0.3">
      <c r="C1518" s="1"/>
      <c r="D1518" s="8">
        <v>2023</v>
      </c>
      <c r="E1518" s="62">
        <f>Data!O1518</f>
        <v>0</v>
      </c>
      <c r="F1518" s="16">
        <f>Data!P1518</f>
        <v>0</v>
      </c>
    </row>
    <row r="1519" spans="2:6" ht="15" customHeight="1" x14ac:dyDescent="0.3">
      <c r="C1519" s="1"/>
      <c r="D1519" s="8">
        <v>2024</v>
      </c>
      <c r="E1519" s="62">
        <f>Data!O1519</f>
        <v>0.99990000000000001</v>
      </c>
      <c r="F1519" s="16" t="str">
        <f>Data!P1519</f>
        <v>Orion Sedaya Indonesia</v>
      </c>
    </row>
    <row r="1520" spans="2:6" ht="15" customHeight="1" x14ac:dyDescent="0.3">
      <c r="B1520" s="8">
        <v>139</v>
      </c>
      <c r="C1520" s="1" t="s">
        <v>137</v>
      </c>
      <c r="D1520" s="8">
        <v>2014</v>
      </c>
      <c r="E1520" s="62">
        <f>Data!O1520</f>
        <v>0</v>
      </c>
      <c r="F1520" s="16">
        <f>Data!P1520</f>
        <v>0</v>
      </c>
    </row>
    <row r="1521" spans="2:6" ht="15" customHeight="1" x14ac:dyDescent="0.3">
      <c r="C1521" s="1"/>
      <c r="D1521" s="8">
        <v>2015</v>
      </c>
      <c r="E1521" s="62">
        <f>Data!O1521</f>
        <v>0.99990000000000001</v>
      </c>
      <c r="F1521" s="16" t="str">
        <f>Data!P1521</f>
        <v>PT Reasuransi Indonesia Utama</v>
      </c>
    </row>
    <row r="1522" spans="2:6" ht="15" customHeight="1" x14ac:dyDescent="0.3">
      <c r="C1522" s="1"/>
      <c r="D1522" s="8">
        <v>2016</v>
      </c>
      <c r="E1522" s="62">
        <f>Data!O1522</f>
        <v>1</v>
      </c>
      <c r="F1522" s="16" t="str">
        <f>Data!P1522</f>
        <v>Negara Republik Indonesia</v>
      </c>
    </row>
    <row r="1523" spans="2:6" ht="15" customHeight="1" x14ac:dyDescent="0.3">
      <c r="C1523" s="1"/>
      <c r="D1523" s="8">
        <v>2017</v>
      </c>
      <c r="E1523" s="62">
        <f>Data!O1523</f>
        <v>1</v>
      </c>
      <c r="F1523" s="16" t="str">
        <f>Data!P1523</f>
        <v>Negara Republik Indonesia</v>
      </c>
    </row>
    <row r="1524" spans="2:6" ht="15" customHeight="1" x14ac:dyDescent="0.3">
      <c r="C1524" s="1"/>
      <c r="D1524" s="8">
        <v>2018</v>
      </c>
      <c r="E1524" s="62">
        <f>Data!O1524</f>
        <v>1</v>
      </c>
      <c r="F1524" s="16" t="str">
        <f>Data!P1524</f>
        <v>Negara Republik Indonesia</v>
      </c>
    </row>
    <row r="1525" spans="2:6" ht="15" customHeight="1" x14ac:dyDescent="0.3">
      <c r="C1525" s="1"/>
      <c r="D1525" s="8">
        <v>2019</v>
      </c>
      <c r="E1525" s="62">
        <f>Data!O1525</f>
        <v>1</v>
      </c>
      <c r="F1525" s="16" t="str">
        <f>Data!P1525</f>
        <v>Negara Republik Indonesia</v>
      </c>
    </row>
    <row r="1526" spans="2:6" ht="15" customHeight="1" x14ac:dyDescent="0.3">
      <c r="C1526" s="1"/>
      <c r="D1526" s="8">
        <v>2020</v>
      </c>
      <c r="E1526" s="62">
        <f>Data!O1526</f>
        <v>1</v>
      </c>
      <c r="F1526" s="16" t="str">
        <f>Data!P1526</f>
        <v>Negara Republik Indonesia</v>
      </c>
    </row>
    <row r="1527" spans="2:6" ht="15" customHeight="1" x14ac:dyDescent="0.3">
      <c r="C1527" s="1"/>
      <c r="D1527" s="8">
        <v>2021</v>
      </c>
      <c r="E1527" s="62">
        <f>Data!O1527</f>
        <v>1</v>
      </c>
      <c r="F1527" s="16" t="str">
        <f>Data!P1527</f>
        <v>Negara Republik Indonesia</v>
      </c>
    </row>
    <row r="1528" spans="2:6" ht="15" customHeight="1" x14ac:dyDescent="0.3">
      <c r="C1528" s="1"/>
      <c r="D1528" s="8">
        <v>2022</v>
      </c>
      <c r="E1528" s="62">
        <f>Data!O1528</f>
        <v>1</v>
      </c>
      <c r="F1528" s="16" t="str">
        <f>Data!P1528</f>
        <v>Negara Republik Indonesia</v>
      </c>
    </row>
    <row r="1529" spans="2:6" ht="15" customHeight="1" x14ac:dyDescent="0.3">
      <c r="C1529" s="1"/>
      <c r="D1529" s="8">
        <v>2023</v>
      </c>
      <c r="E1529" s="62">
        <f>Data!O1529</f>
        <v>1</v>
      </c>
      <c r="F1529" s="16" t="str">
        <f>Data!P1529</f>
        <v>Negara Republik Indonesia</v>
      </c>
    </row>
    <row r="1530" spans="2:6" ht="15" customHeight="1" x14ac:dyDescent="0.3">
      <c r="C1530" s="1"/>
      <c r="D1530" s="8">
        <v>2024</v>
      </c>
      <c r="E1530" s="62">
        <f>Data!O1530</f>
        <v>1</v>
      </c>
      <c r="F1530" s="16" t="str">
        <f>Data!P1530</f>
        <v>Negara Republik Indonesia</v>
      </c>
    </row>
    <row r="1531" spans="2:6" ht="15" customHeight="1" x14ac:dyDescent="0.3">
      <c r="B1531" s="8">
        <v>140</v>
      </c>
      <c r="C1531" s="1" t="s">
        <v>139</v>
      </c>
      <c r="D1531" s="8">
        <v>2014</v>
      </c>
      <c r="E1531" s="62">
        <f>Data!O1531</f>
        <v>0</v>
      </c>
      <c r="F1531" s="16">
        <f>Data!P1531</f>
        <v>0</v>
      </c>
    </row>
    <row r="1532" spans="2:6" ht="15" customHeight="1" x14ac:dyDescent="0.3">
      <c r="C1532" s="1"/>
      <c r="D1532" s="8">
        <v>2015</v>
      </c>
      <c r="E1532" s="62">
        <f>Data!O1532</f>
        <v>0.4506</v>
      </c>
      <c r="F1532" s="16" t="str">
        <f>Data!P1532</f>
        <v>Lainnya</v>
      </c>
    </row>
    <row r="1533" spans="2:6" ht="15" customHeight="1" x14ac:dyDescent="0.3">
      <c r="C1533" s="1"/>
      <c r="D1533" s="8">
        <v>2016</v>
      </c>
      <c r="E1533" s="62">
        <f>Data!O1533</f>
        <v>0.45129999999999998</v>
      </c>
      <c r="F1533" s="16" t="str">
        <f>Data!P1533</f>
        <v>Lainnya</v>
      </c>
    </row>
    <row r="1534" spans="2:6" ht="15" customHeight="1" x14ac:dyDescent="0.3">
      <c r="C1534" s="1"/>
      <c r="D1534" s="8">
        <v>2017</v>
      </c>
      <c r="E1534" s="62">
        <f>Data!O1534</f>
        <v>0.45129999999999998</v>
      </c>
      <c r="F1534" s="16" t="str">
        <f>Data!P1534</f>
        <v>Lainnya</v>
      </c>
    </row>
    <row r="1535" spans="2:6" ht="15" customHeight="1" x14ac:dyDescent="0.3">
      <c r="C1535" s="1"/>
      <c r="D1535" s="8">
        <v>2018</v>
      </c>
      <c r="E1535" s="62">
        <f>Data!O1535</f>
        <v>0.45140000000000002</v>
      </c>
      <c r="F1535" s="16" t="str">
        <f>Data!P1535</f>
        <v>Lainnya</v>
      </c>
    </row>
    <row r="1536" spans="2:6" ht="15" customHeight="1" x14ac:dyDescent="0.3">
      <c r="C1536" s="1"/>
      <c r="D1536" s="8">
        <v>2019</v>
      </c>
      <c r="E1536" s="62">
        <f>Data!O1536</f>
        <v>0.44519999999999998</v>
      </c>
      <c r="F1536" s="16" t="str">
        <f>Data!P1536</f>
        <v>Lainnya</v>
      </c>
    </row>
    <row r="1537" spans="2:6" ht="15" customHeight="1" x14ac:dyDescent="0.3">
      <c r="C1537" s="1"/>
      <c r="D1537" s="8">
        <v>2020</v>
      </c>
      <c r="E1537" s="62">
        <f>Data!O1537</f>
        <v>0.44519999999999998</v>
      </c>
      <c r="F1537" s="16" t="str">
        <f>Data!P1537</f>
        <v>Lainnya</v>
      </c>
    </row>
    <row r="1538" spans="2:6" ht="15" customHeight="1" x14ac:dyDescent="0.3">
      <c r="C1538" s="1"/>
      <c r="D1538" s="8">
        <v>2021</v>
      </c>
      <c r="E1538" s="62">
        <f>Data!O1538</f>
        <v>0.4415</v>
      </c>
      <c r="F1538" s="16" t="str">
        <f>Data!P1538</f>
        <v>Lainnya</v>
      </c>
    </row>
    <row r="1539" spans="2:6" ht="15" customHeight="1" x14ac:dyDescent="0.3">
      <c r="C1539" s="1"/>
      <c r="D1539" s="8">
        <v>2022</v>
      </c>
      <c r="E1539" s="62">
        <f>Data!O1539</f>
        <v>0.4415</v>
      </c>
      <c r="F1539" s="16" t="str">
        <f>Data!P1539</f>
        <v>Lainnya</v>
      </c>
    </row>
    <row r="1540" spans="2:6" ht="15" customHeight="1" x14ac:dyDescent="0.3">
      <c r="C1540" s="1"/>
      <c r="D1540" s="8">
        <v>2023</v>
      </c>
      <c r="E1540" s="62">
        <f>Data!O1540</f>
        <v>0.44080000000000003</v>
      </c>
      <c r="F1540" s="16" t="str">
        <f>Data!P1540</f>
        <v>Lainnya</v>
      </c>
    </row>
    <row r="1541" spans="2:6" ht="15" customHeight="1" x14ac:dyDescent="0.3">
      <c r="C1541" s="1"/>
      <c r="D1541" s="8">
        <v>2024</v>
      </c>
      <c r="E1541" s="62">
        <f>Data!O1541</f>
        <v>0.439</v>
      </c>
      <c r="F1541" s="16" t="str">
        <f>Data!P1541</f>
        <v>Lainnya</v>
      </c>
    </row>
    <row r="1542" spans="2:6" ht="15" customHeight="1" x14ac:dyDescent="0.3">
      <c r="B1542" s="8">
        <v>141</v>
      </c>
      <c r="C1542" s="1" t="s">
        <v>140</v>
      </c>
      <c r="D1542" s="8">
        <v>2014</v>
      </c>
      <c r="E1542" s="62">
        <f>Data!O1542</f>
        <v>0</v>
      </c>
      <c r="F1542" s="16">
        <f>Data!P1542</f>
        <v>0</v>
      </c>
    </row>
    <row r="1543" spans="2:6" ht="15" customHeight="1" x14ac:dyDescent="0.3">
      <c r="C1543" s="1"/>
      <c r="D1543" s="8">
        <v>2015</v>
      </c>
      <c r="E1543" s="62">
        <f>Data!O1543</f>
        <v>0.99990000000000001</v>
      </c>
      <c r="F1543" s="16" t="str">
        <f>Data!P1543</f>
        <v>PT Asuransi Kredit Indonesia</v>
      </c>
    </row>
    <row r="1544" spans="2:6" ht="15" customHeight="1" x14ac:dyDescent="0.3">
      <c r="C1544" s="1"/>
      <c r="D1544" s="8">
        <v>2016</v>
      </c>
      <c r="E1544" s="62">
        <f>Data!O1544</f>
        <v>0.99990000000000001</v>
      </c>
      <c r="F1544" s="16" t="str">
        <f>Data!P1544</f>
        <v>PT Asuransi Kredit Indonesia</v>
      </c>
    </row>
    <row r="1545" spans="2:6" ht="15" customHeight="1" x14ac:dyDescent="0.3">
      <c r="C1545" s="1"/>
      <c r="D1545" s="8">
        <v>2017</v>
      </c>
      <c r="E1545" s="62">
        <f>Data!O1545</f>
        <v>0</v>
      </c>
      <c r="F1545" s="16">
        <f>Data!P1545</f>
        <v>0</v>
      </c>
    </row>
    <row r="1546" spans="2:6" ht="15" customHeight="1" x14ac:dyDescent="0.3">
      <c r="C1546" s="1"/>
      <c r="D1546" s="8">
        <v>2018</v>
      </c>
      <c r="E1546" s="62">
        <f>Data!O1546</f>
        <v>0.99990000000000001</v>
      </c>
      <c r="F1546" s="16" t="str">
        <f>Data!P1546</f>
        <v>PT Asuransi Kredit Indonesia</v>
      </c>
    </row>
    <row r="1547" spans="2:6" ht="15" customHeight="1" x14ac:dyDescent="0.3">
      <c r="C1547" s="1"/>
      <c r="D1547" s="8">
        <v>2019</v>
      </c>
      <c r="E1547" s="62">
        <f>Data!O1547</f>
        <v>0.99990000000000001</v>
      </c>
      <c r="F1547" s="16" t="str">
        <f>Data!P1547</f>
        <v>PT Asuransi Kredit Indonesia</v>
      </c>
    </row>
    <row r="1548" spans="2:6" ht="15" customHeight="1" x14ac:dyDescent="0.3">
      <c r="C1548" s="1"/>
      <c r="D1548" s="8">
        <v>2020</v>
      </c>
      <c r="E1548" s="62">
        <f>Data!O1548</f>
        <v>0.99990000000000001</v>
      </c>
      <c r="F1548" s="16" t="str">
        <f>Data!P1548</f>
        <v>PT Asuransi Kredit Indonesia</v>
      </c>
    </row>
    <row r="1549" spans="2:6" ht="15" customHeight="1" x14ac:dyDescent="0.3">
      <c r="C1549" s="1"/>
      <c r="D1549" s="8">
        <v>2021</v>
      </c>
      <c r="E1549" s="62">
        <f>Data!O1549</f>
        <v>0.99990000000000001</v>
      </c>
      <c r="F1549" s="16" t="str">
        <f>Data!P1549</f>
        <v>PT Asuransi Kredit Indonesia</v>
      </c>
    </row>
    <row r="1550" spans="2:6" ht="15" customHeight="1" x14ac:dyDescent="0.3">
      <c r="C1550" s="1"/>
      <c r="D1550" s="8">
        <v>2022</v>
      </c>
      <c r="E1550" s="62">
        <f>Data!O1550</f>
        <v>0.99990000000000001</v>
      </c>
      <c r="F1550" s="16" t="str">
        <f>Data!P1550</f>
        <v>PT Asuransi Kredit Indonesia</v>
      </c>
    </row>
    <row r="1551" spans="2:6" ht="15" customHeight="1" x14ac:dyDescent="0.3">
      <c r="C1551" s="1"/>
      <c r="D1551" s="8">
        <v>2023</v>
      </c>
      <c r="E1551" s="62">
        <f>Data!O1551</f>
        <v>0.99990000000000001</v>
      </c>
      <c r="F1551" s="16" t="str">
        <f>Data!P1551</f>
        <v>PT Asuransi Kredit Indonesia</v>
      </c>
    </row>
    <row r="1552" spans="2:6" ht="15" customHeight="1" x14ac:dyDescent="0.3">
      <c r="C1552" s="1"/>
      <c r="D1552" s="8">
        <v>2024</v>
      </c>
      <c r="E1552" s="62">
        <f>Data!O1552</f>
        <v>0.99990000000000001</v>
      </c>
      <c r="F1552" s="16" t="str">
        <f>Data!P1552</f>
        <v>PT Asuransi Kredit Indonesia</v>
      </c>
    </row>
    <row r="1553" spans="2:6" ht="15" customHeight="1" x14ac:dyDescent="0.3">
      <c r="B1553" s="8">
        <v>142</v>
      </c>
      <c r="C1553" s="1" t="s">
        <v>138</v>
      </c>
      <c r="D1553" s="8">
        <v>2014</v>
      </c>
      <c r="E1553" s="62">
        <f>Data!O1553</f>
        <v>0</v>
      </c>
      <c r="F1553" s="16">
        <f>Data!P1553</f>
        <v>0</v>
      </c>
    </row>
    <row r="1554" spans="2:6" ht="15" customHeight="1" x14ac:dyDescent="0.3">
      <c r="C1554" s="1"/>
      <c r="D1554" s="8">
        <v>2015</v>
      </c>
      <c r="E1554" s="62">
        <f>Data!O1554</f>
        <v>0</v>
      </c>
      <c r="F1554" s="16" t="str">
        <f>Data!P1556</f>
        <v>PT Asuransi Sinar Mas</v>
      </c>
    </row>
    <row r="1555" spans="2:6" ht="15" customHeight="1" x14ac:dyDescent="0.3">
      <c r="C1555" s="1"/>
      <c r="D1555" s="8">
        <v>2016</v>
      </c>
      <c r="E1555" s="62">
        <f>Data!O1555</f>
        <v>0</v>
      </c>
      <c r="F1555" s="16">
        <f>Data!P1555</f>
        <v>0</v>
      </c>
    </row>
    <row r="1556" spans="2:6" ht="15" customHeight="1" x14ac:dyDescent="0.3">
      <c r="C1556" s="1"/>
      <c r="D1556" s="8">
        <v>2017</v>
      </c>
      <c r="E1556" s="62">
        <f>Data!O1556</f>
        <v>0.99</v>
      </c>
      <c r="F1556" s="16" t="e">
        <f>Data!#REF!</f>
        <v>#REF!</v>
      </c>
    </row>
    <row r="1557" spans="2:6" ht="15" customHeight="1" x14ac:dyDescent="0.3">
      <c r="C1557" s="1"/>
      <c r="D1557" s="8">
        <v>2018</v>
      </c>
      <c r="E1557" s="62">
        <f>Data!O1557</f>
        <v>0</v>
      </c>
      <c r="F1557" s="16">
        <f>Data!P1557</f>
        <v>0</v>
      </c>
    </row>
    <row r="1558" spans="2:6" ht="15" customHeight="1" x14ac:dyDescent="0.3">
      <c r="C1558" s="1"/>
      <c r="D1558" s="8">
        <v>2019</v>
      </c>
      <c r="E1558" s="62">
        <f>Data!O1558</f>
        <v>0.99</v>
      </c>
      <c r="F1558" s="16" t="str">
        <f>Data!P1558</f>
        <v>PT Asuransi Sinar Mas</v>
      </c>
    </row>
    <row r="1559" spans="2:6" ht="15" customHeight="1" x14ac:dyDescent="0.3">
      <c r="C1559" s="1"/>
      <c r="D1559" s="8">
        <v>2020</v>
      </c>
      <c r="E1559" s="62">
        <f>Data!O1559</f>
        <v>0.99</v>
      </c>
      <c r="F1559" s="16" t="str">
        <f>Data!P1559</f>
        <v>PT Asuransi Sinar Mas</v>
      </c>
    </row>
    <row r="1560" spans="2:6" ht="15" customHeight="1" x14ac:dyDescent="0.3">
      <c r="C1560" s="1"/>
      <c r="D1560" s="8">
        <v>2021</v>
      </c>
      <c r="E1560" s="62">
        <f>Data!O1560</f>
        <v>0.99</v>
      </c>
      <c r="F1560" s="16" t="str">
        <f>Data!P1560</f>
        <v>PT Asuransi Sinar Mas</v>
      </c>
    </row>
    <row r="1561" spans="2:6" ht="15" customHeight="1" x14ac:dyDescent="0.3">
      <c r="C1561" s="1"/>
      <c r="D1561" s="8">
        <v>2022</v>
      </c>
      <c r="E1561" s="62">
        <f>Data!O1561</f>
        <v>0.99</v>
      </c>
      <c r="F1561" s="16" t="str">
        <f>Data!P1561</f>
        <v>PT Asuransi Sinar Mas</v>
      </c>
    </row>
    <row r="1562" spans="2:6" ht="15" customHeight="1" x14ac:dyDescent="0.3">
      <c r="C1562" s="1"/>
      <c r="D1562" s="8">
        <v>2023</v>
      </c>
      <c r="E1562" s="62">
        <f>Data!O1562</f>
        <v>0.99</v>
      </c>
      <c r="F1562" s="16" t="str">
        <f>Data!P1562</f>
        <v>PT Asuransi Sinar Mas</v>
      </c>
    </row>
    <row r="1563" spans="2:6" ht="15" customHeight="1" x14ac:dyDescent="0.3">
      <c r="C1563" s="1"/>
      <c r="D1563" s="8">
        <v>2024</v>
      </c>
      <c r="E1563" s="62">
        <f>Data!O1563</f>
        <v>0.99</v>
      </c>
      <c r="F1563" s="16" t="str">
        <f>Data!P1563</f>
        <v>PT Asuransi Sinar Mas</v>
      </c>
    </row>
    <row r="1564" spans="2:6" ht="15" customHeight="1" x14ac:dyDescent="0.3">
      <c r="B1564" s="8">
        <v>143</v>
      </c>
      <c r="C1564" s="1" t="s">
        <v>144</v>
      </c>
      <c r="D1564" s="8">
        <v>2014</v>
      </c>
      <c r="E1564" s="62">
        <f>Data!O1564</f>
        <v>0</v>
      </c>
      <c r="F1564" s="16">
        <f>Data!P1564</f>
        <v>0</v>
      </c>
    </row>
    <row r="1565" spans="2:6" ht="15" customHeight="1" x14ac:dyDescent="0.3">
      <c r="C1565" s="1"/>
      <c r="D1565" s="8">
        <v>2015</v>
      </c>
      <c r="E1565" s="62">
        <f>Data!O1565</f>
        <v>0</v>
      </c>
      <c r="F1565" s="16">
        <f>Data!P1565</f>
        <v>0</v>
      </c>
    </row>
    <row r="1566" spans="2:6" ht="15" customHeight="1" x14ac:dyDescent="0.3">
      <c r="C1566" s="1"/>
      <c r="D1566" s="8">
        <v>2016</v>
      </c>
      <c r="E1566" s="62">
        <f>Data!O1566</f>
        <v>0</v>
      </c>
      <c r="F1566" s="16">
        <f>Data!P1566</f>
        <v>0</v>
      </c>
    </row>
    <row r="1567" spans="2:6" ht="15" customHeight="1" x14ac:dyDescent="0.3">
      <c r="C1567" s="1"/>
      <c r="D1567" s="8">
        <v>2017</v>
      </c>
      <c r="E1567" s="62">
        <f>Data!O1567</f>
        <v>0</v>
      </c>
      <c r="F1567" s="16">
        <f>Data!P1567</f>
        <v>0</v>
      </c>
    </row>
    <row r="1568" spans="2:6" ht="15" customHeight="1" x14ac:dyDescent="0.3">
      <c r="C1568" s="1"/>
      <c r="D1568" s="8">
        <v>2018</v>
      </c>
      <c r="E1568" s="62">
        <f>Data!O1568</f>
        <v>0</v>
      </c>
      <c r="F1568" s="16">
        <f>Data!P1568</f>
        <v>0</v>
      </c>
    </row>
    <row r="1569" spans="2:6" ht="15" customHeight="1" x14ac:dyDescent="0.3">
      <c r="C1569" s="1"/>
      <c r="D1569" s="8">
        <v>2019</v>
      </c>
      <c r="E1569" s="62">
        <f>Data!O1569</f>
        <v>0</v>
      </c>
      <c r="F1569" s="16">
        <f>Data!P1569</f>
        <v>0</v>
      </c>
    </row>
    <row r="1570" spans="2:6" ht="15" customHeight="1" x14ac:dyDescent="0.3">
      <c r="C1570" s="1"/>
      <c r="D1570" s="8">
        <v>2020</v>
      </c>
      <c r="E1570" s="62">
        <f>Data!O1570</f>
        <v>0</v>
      </c>
      <c r="F1570" s="16">
        <f>Data!P1570</f>
        <v>0</v>
      </c>
    </row>
    <row r="1571" spans="2:6" ht="15" customHeight="1" x14ac:dyDescent="0.3">
      <c r="C1571" s="1"/>
      <c r="D1571" s="8">
        <v>2021</v>
      </c>
      <c r="E1571" s="62">
        <f>Data!O1571</f>
        <v>0</v>
      </c>
      <c r="F1571" s="16">
        <f>Data!P1571</f>
        <v>0</v>
      </c>
    </row>
    <row r="1572" spans="2:6" ht="15" customHeight="1" x14ac:dyDescent="0.3">
      <c r="C1572" s="1"/>
      <c r="D1572" s="8">
        <v>2022</v>
      </c>
      <c r="E1572" s="62">
        <f>Data!O1572</f>
        <v>0</v>
      </c>
      <c r="F1572" s="16">
        <f>Data!P1572</f>
        <v>0</v>
      </c>
    </row>
    <row r="1573" spans="2:6" ht="15" customHeight="1" x14ac:dyDescent="0.3">
      <c r="C1573" s="1"/>
      <c r="D1573" s="8">
        <v>2023</v>
      </c>
      <c r="E1573" s="62">
        <f>Data!O1573</f>
        <v>0</v>
      </c>
      <c r="F1573" s="16">
        <f>Data!P1573</f>
        <v>0</v>
      </c>
    </row>
    <row r="1574" spans="2:6" ht="15" customHeight="1" x14ac:dyDescent="0.3">
      <c r="C1574" s="1"/>
      <c r="D1574" s="8">
        <v>2024</v>
      </c>
      <c r="E1574" s="62">
        <f>Data!O1574</f>
        <v>0</v>
      </c>
      <c r="F1574" s="16">
        <f>Data!P1574</f>
        <v>0</v>
      </c>
    </row>
    <row r="1575" spans="2:6" ht="15" customHeight="1" x14ac:dyDescent="0.3">
      <c r="B1575" s="8">
        <v>144</v>
      </c>
      <c r="C1575" s="1" t="s">
        <v>141</v>
      </c>
      <c r="D1575" s="8">
        <v>2014</v>
      </c>
      <c r="E1575" s="62">
        <f>Data!O1575</f>
        <v>0</v>
      </c>
      <c r="F1575" s="16">
        <f>Data!P1575</f>
        <v>0</v>
      </c>
    </row>
    <row r="1576" spans="2:6" ht="15" customHeight="1" x14ac:dyDescent="0.3">
      <c r="C1576" s="1"/>
      <c r="D1576" s="8">
        <v>2015</v>
      </c>
      <c r="E1576" s="62">
        <f>Data!O1576</f>
        <v>0</v>
      </c>
      <c r="F1576" s="16">
        <f>Data!P1576</f>
        <v>0</v>
      </c>
    </row>
    <row r="1577" spans="2:6" ht="15" customHeight="1" x14ac:dyDescent="0.3">
      <c r="C1577" s="1"/>
      <c r="D1577" s="8">
        <v>2016</v>
      </c>
      <c r="E1577" s="62">
        <f>Data!O1577</f>
        <v>0</v>
      </c>
      <c r="F1577" s="16">
        <f>Data!P1577</f>
        <v>0</v>
      </c>
    </row>
    <row r="1578" spans="2:6" ht="15" customHeight="1" x14ac:dyDescent="0.3">
      <c r="C1578" s="1"/>
      <c r="D1578" s="8">
        <v>2017</v>
      </c>
      <c r="E1578" s="62">
        <f>Data!O1578</f>
        <v>0</v>
      </c>
      <c r="F1578" s="16">
        <f>Data!P1578</f>
        <v>0</v>
      </c>
    </row>
    <row r="1579" spans="2:6" ht="15" customHeight="1" x14ac:dyDescent="0.3">
      <c r="C1579" s="1"/>
      <c r="D1579" s="8">
        <v>2018</v>
      </c>
      <c r="E1579" s="62">
        <f>Data!O1579</f>
        <v>0.65049999999999997</v>
      </c>
      <c r="F1579" s="16" t="str">
        <f>Data!P1579</f>
        <v>PT Tugu Pratama Interindo</v>
      </c>
    </row>
    <row r="1580" spans="2:6" ht="15" customHeight="1" x14ac:dyDescent="0.3">
      <c r="C1580" s="1"/>
      <c r="D1580" s="8">
        <v>2019</v>
      </c>
      <c r="E1580" s="62">
        <f>Data!O1580</f>
        <v>0.50739999999999996</v>
      </c>
      <c r="F1580" s="16" t="str">
        <f>Data!P1580</f>
        <v>PT Tugu Pratama Interindo</v>
      </c>
    </row>
    <row r="1581" spans="2:6" ht="15" customHeight="1" x14ac:dyDescent="0.3">
      <c r="C1581" s="1"/>
      <c r="D1581" s="8">
        <v>2020</v>
      </c>
      <c r="E1581" s="62">
        <f>Data!O1581</f>
        <v>0.50739999999999996</v>
      </c>
      <c r="F1581" s="16" t="str">
        <f>Data!P1581</f>
        <v>PT Tugu Pratama Interindo</v>
      </c>
    </row>
    <row r="1582" spans="2:6" ht="15" customHeight="1" x14ac:dyDescent="0.3">
      <c r="C1582" s="1"/>
      <c r="D1582" s="8">
        <v>2021</v>
      </c>
      <c r="E1582" s="62">
        <f>Data!O1582</f>
        <v>0.50739999999999996</v>
      </c>
      <c r="F1582" s="16" t="str">
        <f>Data!P1582</f>
        <v>PT Tugu Pratama Interindo</v>
      </c>
    </row>
    <row r="1583" spans="2:6" ht="15" customHeight="1" x14ac:dyDescent="0.3">
      <c r="C1583" s="1"/>
      <c r="D1583" s="8">
        <v>2022</v>
      </c>
      <c r="E1583" s="62">
        <f>Data!O1583</f>
        <v>0.50739999999999996</v>
      </c>
      <c r="F1583" s="16" t="str">
        <f>Data!P1583</f>
        <v>PT Tugu Pratama Interindo</v>
      </c>
    </row>
    <row r="1584" spans="2:6" ht="15" customHeight="1" x14ac:dyDescent="0.3">
      <c r="C1584" s="1"/>
      <c r="D1584" s="8">
        <v>2023</v>
      </c>
      <c r="E1584" s="62">
        <f>Data!O1584</f>
        <v>0.50739999999999996</v>
      </c>
      <c r="F1584" s="16" t="str">
        <f>Data!P1584</f>
        <v>PT Tugu Pratama Interindo</v>
      </c>
    </row>
    <row r="1585" spans="1:6" ht="15" customHeight="1" x14ac:dyDescent="0.3">
      <c r="C1585" s="1"/>
      <c r="D1585" s="8">
        <v>2024</v>
      </c>
      <c r="E1585" s="62">
        <f>Data!O1585</f>
        <v>0.50739999999999996</v>
      </c>
      <c r="F1585" s="16" t="str">
        <f>Data!P1585</f>
        <v>PT Tugu Pratama Interindo</v>
      </c>
    </row>
    <row r="1586" spans="1:6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62">
        <f>Data!O1586</f>
        <v>0</v>
      </c>
      <c r="F1586" s="16">
        <f>Data!P1586</f>
        <v>0</v>
      </c>
    </row>
    <row r="1587" spans="1:6" ht="15" customHeight="1" x14ac:dyDescent="0.3">
      <c r="C1587" s="4"/>
      <c r="D1587" s="8">
        <v>2015</v>
      </c>
      <c r="E1587" s="62">
        <f>Data!O1587</f>
        <v>1</v>
      </c>
      <c r="F1587" s="16" t="str">
        <f>Data!P1587</f>
        <v>Pemerintah Indonesia</v>
      </c>
    </row>
    <row r="1588" spans="1:6" ht="15" customHeight="1" x14ac:dyDescent="0.3">
      <c r="C1588" s="4"/>
      <c r="D1588" s="8">
        <v>2016</v>
      </c>
      <c r="E1588" s="62">
        <f>Data!O1588</f>
        <v>1</v>
      </c>
      <c r="F1588" s="16" t="str">
        <f>Data!P1588</f>
        <v>Pemerintah Indonesia</v>
      </c>
    </row>
    <row r="1589" spans="1:6" ht="15" customHeight="1" x14ac:dyDescent="0.3">
      <c r="C1589" s="4"/>
      <c r="D1589" s="8">
        <v>2017</v>
      </c>
      <c r="E1589" s="62">
        <f>Data!O1589</f>
        <v>1</v>
      </c>
      <c r="F1589" s="16" t="str">
        <f>Data!P1589</f>
        <v>Pemerintah Indonesia</v>
      </c>
    </row>
    <row r="1590" spans="1:6" ht="15" customHeight="1" x14ac:dyDescent="0.3">
      <c r="C1590" s="4"/>
      <c r="D1590" s="8">
        <v>2018</v>
      </c>
      <c r="E1590" s="62">
        <f>Data!O1590</f>
        <v>0</v>
      </c>
      <c r="F1590" s="16">
        <f>Data!P1590</f>
        <v>0</v>
      </c>
    </row>
    <row r="1591" spans="1:6" ht="15" customHeight="1" x14ac:dyDescent="0.3">
      <c r="C1591" s="4"/>
      <c r="D1591" s="8">
        <v>2019</v>
      </c>
      <c r="E1591" s="62">
        <f>Data!O1591</f>
        <v>0</v>
      </c>
      <c r="F1591" s="16">
        <f>Data!P1591</f>
        <v>0</v>
      </c>
    </row>
    <row r="1592" spans="1:6" ht="15" customHeight="1" x14ac:dyDescent="0.3">
      <c r="C1592" s="4"/>
      <c r="D1592" s="8">
        <v>2020</v>
      </c>
      <c r="E1592" s="62">
        <f>Data!O1592</f>
        <v>0</v>
      </c>
      <c r="F1592" s="16">
        <f>Data!P1592</f>
        <v>0</v>
      </c>
    </row>
    <row r="1593" spans="1:6" ht="15" customHeight="1" x14ac:dyDescent="0.3">
      <c r="C1593" s="4"/>
      <c r="D1593" s="8">
        <v>2021</v>
      </c>
      <c r="E1593" s="62">
        <f>Data!O1593</f>
        <v>0</v>
      </c>
      <c r="F1593" s="16">
        <f>Data!P1593</f>
        <v>0</v>
      </c>
    </row>
    <row r="1594" spans="1:6" ht="15" customHeight="1" x14ac:dyDescent="0.3">
      <c r="C1594" s="4"/>
      <c r="D1594" s="8">
        <v>2022</v>
      </c>
      <c r="E1594" s="62">
        <f>Data!O1594</f>
        <v>0</v>
      </c>
      <c r="F1594" s="16">
        <f>Data!P1594</f>
        <v>0</v>
      </c>
    </row>
    <row r="1595" spans="1:6" ht="15" customHeight="1" x14ac:dyDescent="0.3">
      <c r="C1595" s="4"/>
      <c r="D1595" s="8">
        <v>2023</v>
      </c>
      <c r="E1595" s="62">
        <f>Data!O1595</f>
        <v>0</v>
      </c>
      <c r="F1595" s="16">
        <f>Data!P1595</f>
        <v>0</v>
      </c>
    </row>
    <row r="1596" spans="1:6" ht="15" customHeight="1" x14ac:dyDescent="0.3">
      <c r="C1596" s="4"/>
      <c r="D1596" s="8">
        <v>2024</v>
      </c>
      <c r="E1596" s="62">
        <f>Data!O1596</f>
        <v>0</v>
      </c>
      <c r="F1596" s="16">
        <f>Data!P1596</f>
        <v>0</v>
      </c>
    </row>
    <row r="1597" spans="1:6" ht="15" customHeight="1" x14ac:dyDescent="0.3">
      <c r="B1597" s="8">
        <v>146</v>
      </c>
      <c r="C1597" s="4" t="s">
        <v>146</v>
      </c>
      <c r="D1597" s="8">
        <v>2014</v>
      </c>
      <c r="E1597" s="62">
        <f>Data!O1597</f>
        <v>0</v>
      </c>
      <c r="F1597" s="16">
        <f>Data!P1597</f>
        <v>0</v>
      </c>
    </row>
    <row r="1598" spans="1:6" ht="15" customHeight="1" x14ac:dyDescent="0.3">
      <c r="C1598" s="4"/>
      <c r="D1598" s="8">
        <v>2015</v>
      </c>
      <c r="E1598" s="62">
        <f>Data!O1598</f>
        <v>0</v>
      </c>
      <c r="F1598" s="16">
        <f>Data!P1598</f>
        <v>0</v>
      </c>
    </row>
    <row r="1599" spans="1:6" ht="15" customHeight="1" x14ac:dyDescent="0.3">
      <c r="C1599" s="4"/>
      <c r="D1599" s="8">
        <v>2016</v>
      </c>
      <c r="E1599" s="62">
        <f>Data!O1599</f>
        <v>0</v>
      </c>
      <c r="F1599" s="16">
        <f>Data!P1599</f>
        <v>0</v>
      </c>
    </row>
    <row r="1600" spans="1:6" ht="15" customHeight="1" x14ac:dyDescent="0.3">
      <c r="C1600" s="4"/>
      <c r="D1600" s="8">
        <v>2017</v>
      </c>
      <c r="E1600" s="62">
        <f>Data!O1600</f>
        <v>0</v>
      </c>
      <c r="F1600" s="16">
        <f>Data!P1600</f>
        <v>0</v>
      </c>
    </row>
    <row r="1601" spans="1:6" ht="15" customHeight="1" x14ac:dyDescent="0.3">
      <c r="C1601" s="4"/>
      <c r="D1601" s="8">
        <v>2018</v>
      </c>
      <c r="E1601" s="62">
        <f>Data!O1601</f>
        <v>0</v>
      </c>
      <c r="F1601" s="16">
        <f>Data!P1601</f>
        <v>0</v>
      </c>
    </row>
    <row r="1602" spans="1:6" ht="15" customHeight="1" x14ac:dyDescent="0.3">
      <c r="C1602" s="4"/>
      <c r="D1602" s="8">
        <v>2019</v>
      </c>
      <c r="E1602" s="62">
        <f>Data!O1602</f>
        <v>0</v>
      </c>
      <c r="F1602" s="16">
        <f>Data!P1602</f>
        <v>0</v>
      </c>
    </row>
    <row r="1603" spans="1:6" ht="15" customHeight="1" x14ac:dyDescent="0.3">
      <c r="C1603" s="4"/>
      <c r="D1603" s="8">
        <v>2020</v>
      </c>
      <c r="E1603" s="62">
        <f>Data!O1603</f>
        <v>0</v>
      </c>
      <c r="F1603" s="16">
        <f>Data!P1603</f>
        <v>0</v>
      </c>
    </row>
    <row r="1604" spans="1:6" ht="15" customHeight="1" x14ac:dyDescent="0.3">
      <c r="C1604" s="4"/>
      <c r="D1604" s="8">
        <v>2021</v>
      </c>
      <c r="E1604" s="62">
        <f>Data!O1604</f>
        <v>0</v>
      </c>
      <c r="F1604" s="16">
        <f>Data!P1604</f>
        <v>0</v>
      </c>
    </row>
    <row r="1605" spans="1:6" ht="15" customHeight="1" x14ac:dyDescent="0.3">
      <c r="C1605" s="4"/>
      <c r="D1605" s="8">
        <v>2022</v>
      </c>
      <c r="E1605" s="62">
        <f>Data!O1605</f>
        <v>0</v>
      </c>
      <c r="F1605" s="16">
        <f>Data!P1605</f>
        <v>0</v>
      </c>
    </row>
    <row r="1606" spans="1:6" ht="15" customHeight="1" x14ac:dyDescent="0.3">
      <c r="C1606" s="4"/>
      <c r="D1606" s="8">
        <v>2023</v>
      </c>
      <c r="E1606" s="62">
        <f>Data!O1606</f>
        <v>0</v>
      </c>
      <c r="F1606" s="16">
        <f>Data!P1606</f>
        <v>0</v>
      </c>
    </row>
    <row r="1607" spans="1:6" ht="15" customHeight="1" x14ac:dyDescent="0.3">
      <c r="C1607" s="4"/>
      <c r="D1607" s="8">
        <v>2024</v>
      </c>
      <c r="E1607" s="62">
        <f>Data!O1607</f>
        <v>0</v>
      </c>
      <c r="F1607" s="16">
        <f>Data!P1607</f>
        <v>0</v>
      </c>
    </row>
    <row r="1608" spans="1:6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62">
        <f>Data!O1608</f>
        <v>0</v>
      </c>
      <c r="F1608" s="16">
        <f>Data!P1608</f>
        <v>0</v>
      </c>
    </row>
    <row r="1609" spans="1:6" ht="15" customHeight="1" x14ac:dyDescent="0.3">
      <c r="C1609" s="4"/>
      <c r="D1609" s="8">
        <v>2015</v>
      </c>
      <c r="E1609" s="62">
        <f>Data!O1609</f>
        <v>1</v>
      </c>
      <c r="F1609" s="16" t="str">
        <f>Data!P1609</f>
        <v>Pemerintah Indonesia</v>
      </c>
    </row>
    <row r="1610" spans="1:6" ht="15" customHeight="1" x14ac:dyDescent="0.3">
      <c r="C1610" s="4"/>
      <c r="D1610" s="8">
        <v>2016</v>
      </c>
      <c r="E1610" s="62">
        <f>Data!O1610</f>
        <v>1</v>
      </c>
      <c r="F1610" s="16" t="str">
        <f>Data!P1610</f>
        <v>Pemerintah Indonesia</v>
      </c>
    </row>
    <row r="1611" spans="1:6" ht="15" customHeight="1" x14ac:dyDescent="0.3">
      <c r="C1611" s="4"/>
      <c r="D1611" s="8">
        <v>2017</v>
      </c>
      <c r="E1611" s="62">
        <f>Data!O1611</f>
        <v>1</v>
      </c>
      <c r="F1611" s="16" t="str">
        <f>Data!P1611</f>
        <v>Pemerintah Indonesia</v>
      </c>
    </row>
    <row r="1612" spans="1:6" ht="15" customHeight="1" x14ac:dyDescent="0.3">
      <c r="C1612" s="4"/>
      <c r="D1612" s="8">
        <v>2018</v>
      </c>
      <c r="E1612" s="62">
        <f>Data!O1612</f>
        <v>1</v>
      </c>
      <c r="F1612" s="16" t="str">
        <f>Data!P1612</f>
        <v>Pemerintah Indonesia</v>
      </c>
    </row>
    <row r="1613" spans="1:6" ht="15" customHeight="1" x14ac:dyDescent="0.3">
      <c r="C1613" s="4"/>
      <c r="D1613" s="8">
        <v>2019</v>
      </c>
      <c r="E1613" s="62">
        <f>Data!O1613</f>
        <v>1</v>
      </c>
      <c r="F1613" s="16" t="str">
        <f>Data!P1613</f>
        <v>Pemerintah Indonesia</v>
      </c>
    </row>
    <row r="1614" spans="1:6" ht="15" customHeight="1" x14ac:dyDescent="0.3">
      <c r="C1614" s="4"/>
      <c r="D1614" s="8">
        <v>2020</v>
      </c>
      <c r="E1614" s="62">
        <f>Data!O1614</f>
        <v>1</v>
      </c>
      <c r="F1614" s="16" t="str">
        <f>Data!P1614</f>
        <v>Pemerintah Indonesia</v>
      </c>
    </row>
    <row r="1615" spans="1:6" ht="15" customHeight="1" x14ac:dyDescent="0.3">
      <c r="C1615" s="4"/>
      <c r="D1615" s="8">
        <v>2021</v>
      </c>
      <c r="E1615" s="62">
        <f>Data!O1615</f>
        <v>1</v>
      </c>
      <c r="F1615" s="16" t="str">
        <f>Data!P1615</f>
        <v>Pemerintah Indonesia</v>
      </c>
    </row>
    <row r="1616" spans="1:6" ht="15" customHeight="1" x14ac:dyDescent="0.3">
      <c r="C1616" s="4"/>
      <c r="D1616" s="8">
        <v>2022</v>
      </c>
      <c r="E1616" s="62">
        <f>Data!O1616</f>
        <v>1</v>
      </c>
      <c r="F1616" s="16" t="str">
        <f>Data!P1616</f>
        <v>Pemerintah Indonesia</v>
      </c>
    </row>
    <row r="1617" spans="2:6" ht="15" customHeight="1" x14ac:dyDescent="0.3">
      <c r="C1617" s="4"/>
      <c r="D1617" s="8">
        <v>2023</v>
      </c>
      <c r="E1617" s="62">
        <f>Data!O1617</f>
        <v>1</v>
      </c>
      <c r="F1617" s="16" t="str">
        <f>Data!P1617</f>
        <v>Pemerintah Indonesia</v>
      </c>
    </row>
    <row r="1618" spans="2:6" ht="15" customHeight="1" x14ac:dyDescent="0.3">
      <c r="C1618" s="4"/>
      <c r="D1618" s="8">
        <v>2024</v>
      </c>
      <c r="E1618" s="62">
        <f>Data!O1618</f>
        <v>1</v>
      </c>
      <c r="F1618" s="16" t="str">
        <f>Data!P1618</f>
        <v>Pemerintah Indonesia</v>
      </c>
    </row>
    <row r="1619" spans="2:6" ht="15" customHeight="1" x14ac:dyDescent="0.3">
      <c r="B1619" s="8">
        <v>148</v>
      </c>
      <c r="C1619" s="4" t="s">
        <v>148</v>
      </c>
      <c r="D1619" s="8">
        <v>2014</v>
      </c>
      <c r="E1619" s="62">
        <f>Data!O1619</f>
        <v>0</v>
      </c>
      <c r="F1619" s="16">
        <f>Data!P1619</f>
        <v>0</v>
      </c>
    </row>
    <row r="1620" spans="2:6" ht="15" customHeight="1" x14ac:dyDescent="0.3">
      <c r="C1620" s="5"/>
      <c r="D1620" s="8">
        <v>2015</v>
      </c>
      <c r="E1620" s="62">
        <f>Data!O1620</f>
        <v>1</v>
      </c>
      <c r="F1620" s="16" t="str">
        <f>Data!P1620</f>
        <v>Pemerintah Indonesia</v>
      </c>
    </row>
    <row r="1621" spans="2:6" ht="15" customHeight="1" x14ac:dyDescent="0.3">
      <c r="C1621" s="5"/>
      <c r="D1621" s="8">
        <v>2016</v>
      </c>
      <c r="E1621" s="62">
        <f>Data!O1621</f>
        <v>1</v>
      </c>
      <c r="F1621" s="16" t="str">
        <f>Data!P1621</f>
        <v>Pemerintah Indonesia</v>
      </c>
    </row>
    <row r="1622" spans="2:6" ht="15" customHeight="1" x14ac:dyDescent="0.3">
      <c r="C1622" s="5"/>
      <c r="D1622" s="8">
        <v>2017</v>
      </c>
      <c r="E1622" s="62">
        <f>Data!O1622</f>
        <v>1</v>
      </c>
      <c r="F1622" s="16" t="str">
        <f>Data!P1622</f>
        <v>Pemerintah Indonesia</v>
      </c>
    </row>
    <row r="1623" spans="2:6" ht="15" customHeight="1" x14ac:dyDescent="0.3">
      <c r="C1623" s="5"/>
      <c r="D1623" s="8">
        <v>2018</v>
      </c>
      <c r="E1623" s="62">
        <f>Data!O1623</f>
        <v>1</v>
      </c>
      <c r="F1623" s="16" t="str">
        <f>Data!P1623</f>
        <v>Pemerintah Indonesia</v>
      </c>
    </row>
    <row r="1624" spans="2:6" ht="15" customHeight="1" x14ac:dyDescent="0.3">
      <c r="C1624" s="5"/>
      <c r="D1624" s="8">
        <v>2019</v>
      </c>
      <c r="E1624" s="62">
        <f>Data!O1624</f>
        <v>1</v>
      </c>
      <c r="F1624" s="16" t="str">
        <f>Data!P1624</f>
        <v>Pemerintah Indonesia</v>
      </c>
    </row>
    <row r="1625" spans="2:6" ht="15" customHeight="1" x14ac:dyDescent="0.3">
      <c r="C1625" s="5"/>
      <c r="D1625" s="8">
        <v>2020</v>
      </c>
      <c r="E1625" s="62">
        <f>Data!O1625</f>
        <v>1</v>
      </c>
      <c r="F1625" s="16" t="str">
        <f>Data!P1625</f>
        <v>Pemerintah Indonesia</v>
      </c>
    </row>
    <row r="1626" spans="2:6" ht="15" customHeight="1" x14ac:dyDescent="0.3">
      <c r="C1626" s="5"/>
      <c r="D1626" s="8">
        <v>2021</v>
      </c>
      <c r="E1626" s="62">
        <f>Data!O1626</f>
        <v>1</v>
      </c>
      <c r="F1626" s="16" t="str">
        <f>Data!P1626</f>
        <v>Pemerintah Indonesia</v>
      </c>
    </row>
    <row r="1627" spans="2:6" ht="15" customHeight="1" x14ac:dyDescent="0.3">
      <c r="C1627" s="5"/>
      <c r="D1627" s="8">
        <v>2022</v>
      </c>
      <c r="E1627" s="62">
        <f>Data!O1627</f>
        <v>1</v>
      </c>
      <c r="F1627" s="16" t="str">
        <f>Data!P1627</f>
        <v>Pemerintah Indonesia</v>
      </c>
    </row>
    <row r="1628" spans="2:6" ht="15" customHeight="1" x14ac:dyDescent="0.3">
      <c r="C1628" s="5"/>
      <c r="D1628" s="8">
        <v>2023</v>
      </c>
      <c r="E1628" s="62">
        <f>Data!O1628</f>
        <v>1</v>
      </c>
      <c r="F1628" s="16" t="str">
        <f>Data!P1628</f>
        <v>Pemerintah Indonesia</v>
      </c>
    </row>
    <row r="1629" spans="2:6" ht="15" customHeight="1" x14ac:dyDescent="0.3">
      <c r="C1629" s="5"/>
      <c r="D1629" s="8">
        <v>2024</v>
      </c>
      <c r="E1629" s="62">
        <f>Data!O1629</f>
        <v>1</v>
      </c>
      <c r="F1629" s="16" t="str">
        <f>Data!P1629</f>
        <v>Pemerintah Indonesia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4F46-0A90-4E6E-8016-75369639A66C}">
  <sheetPr codeName="Sheet11"/>
  <dimension ref="A1:E1629"/>
  <sheetViews>
    <sheetView workbookViewId="0">
      <selection activeCell="E2" sqref="E2:E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29.6640625" style="14" bestFit="1" customWidth="1"/>
    <col min="6" max="7" width="12.109375" bestFit="1" customWidth="1"/>
    <col min="8" max="8" width="11.5546875" bestFit="1" customWidth="1"/>
    <col min="9" max="9" width="11" bestFit="1" customWidth="1"/>
    <col min="10" max="10" width="28.109375" bestFit="1" customWidth="1"/>
    <col min="11" max="11" width="23.33203125" bestFit="1" customWidth="1"/>
    <col min="12" max="12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166</v>
      </c>
    </row>
    <row r="2" spans="1:5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Data!Q2</f>
        <v>0</v>
      </c>
    </row>
    <row r="3" spans="1:5" ht="15" customHeight="1" x14ac:dyDescent="0.3">
      <c r="C3" s="3"/>
      <c r="D3" s="8">
        <v>2015</v>
      </c>
      <c r="E3" s="14">
        <f>Data!Q3</f>
        <v>0</v>
      </c>
    </row>
    <row r="4" spans="1:5" ht="15" customHeight="1" x14ac:dyDescent="0.3">
      <c r="C4" s="3"/>
      <c r="D4" s="8">
        <v>2016</v>
      </c>
      <c r="E4" s="14">
        <f>Data!Q4</f>
        <v>0</v>
      </c>
    </row>
    <row r="5" spans="1:5" ht="15" customHeight="1" x14ac:dyDescent="0.3">
      <c r="C5" s="3"/>
      <c r="D5" s="8">
        <v>2017</v>
      </c>
      <c r="E5" s="14">
        <f>Data!Q5</f>
        <v>0</v>
      </c>
    </row>
    <row r="6" spans="1:5" ht="15" customHeight="1" x14ac:dyDescent="0.3">
      <c r="C6" s="3"/>
      <c r="D6" s="8">
        <v>2018</v>
      </c>
      <c r="E6" s="14">
        <f>Data!Q6</f>
        <v>0</v>
      </c>
    </row>
    <row r="7" spans="1:5" ht="15" customHeight="1" x14ac:dyDescent="0.3">
      <c r="C7" s="3"/>
      <c r="D7" s="8">
        <v>2019</v>
      </c>
      <c r="E7" s="14">
        <f>Data!Q7</f>
        <v>0</v>
      </c>
    </row>
    <row r="8" spans="1:5" ht="15" customHeight="1" x14ac:dyDescent="0.3">
      <c r="C8" s="3"/>
      <c r="D8" s="8">
        <v>2020</v>
      </c>
      <c r="E8" s="14">
        <f>Data!Q8</f>
        <v>0</v>
      </c>
    </row>
    <row r="9" spans="1:5" ht="15" customHeight="1" x14ac:dyDescent="0.3">
      <c r="C9" s="3"/>
      <c r="D9" s="8">
        <v>2021</v>
      </c>
      <c r="E9" s="14">
        <f>Data!Q9</f>
        <v>0</v>
      </c>
    </row>
    <row r="10" spans="1:5" ht="15" customHeight="1" x14ac:dyDescent="0.3">
      <c r="C10" s="3"/>
      <c r="D10" s="8">
        <v>2022</v>
      </c>
      <c r="E10" s="14">
        <f>Data!Q10</f>
        <v>0</v>
      </c>
    </row>
    <row r="11" spans="1:5" ht="15" customHeight="1" x14ac:dyDescent="0.3">
      <c r="C11" s="3"/>
      <c r="D11" s="8">
        <v>2023</v>
      </c>
      <c r="E11" s="14">
        <f>Data!Q11</f>
        <v>0</v>
      </c>
    </row>
    <row r="12" spans="1:5" ht="15" customHeight="1" x14ac:dyDescent="0.3">
      <c r="C12" s="3"/>
      <c r="D12" s="8">
        <v>2024</v>
      </c>
      <c r="E12" s="14">
        <f>Data!Q12</f>
        <v>0</v>
      </c>
    </row>
    <row r="13" spans="1:5" ht="15" customHeight="1" x14ac:dyDescent="0.3">
      <c r="B13" s="8">
        <v>2</v>
      </c>
      <c r="C13" s="3" t="s">
        <v>2</v>
      </c>
      <c r="D13" s="8">
        <v>2014</v>
      </c>
      <c r="E13" s="14">
        <f>Data!Q13</f>
        <v>0</v>
      </c>
    </row>
    <row r="14" spans="1:5" ht="15" customHeight="1" x14ac:dyDescent="0.3">
      <c r="C14" s="3"/>
      <c r="D14" s="8">
        <v>2015</v>
      </c>
      <c r="E14" s="14">
        <f>Data!Q14</f>
        <v>2</v>
      </c>
    </row>
    <row r="15" spans="1:5" ht="15" customHeight="1" x14ac:dyDescent="0.3">
      <c r="C15" s="3"/>
      <c r="D15" s="8">
        <v>2016</v>
      </c>
      <c r="E15" s="14">
        <f>Data!Q15</f>
        <v>2</v>
      </c>
    </row>
    <row r="16" spans="1:5" ht="15" customHeight="1" x14ac:dyDescent="0.3">
      <c r="C16" s="3"/>
      <c r="D16" s="8">
        <v>2017</v>
      </c>
      <c r="E16" s="14">
        <f>Data!Q16</f>
        <v>2</v>
      </c>
    </row>
    <row r="17" spans="2:5" ht="15" customHeight="1" x14ac:dyDescent="0.3">
      <c r="C17" s="3"/>
      <c r="D17" s="8">
        <v>2018</v>
      </c>
      <c r="E17" s="14">
        <f>Data!Q17</f>
        <v>2</v>
      </c>
    </row>
    <row r="18" spans="2:5" ht="15" customHeight="1" x14ac:dyDescent="0.3">
      <c r="C18" s="3"/>
      <c r="D18" s="8">
        <v>2019</v>
      </c>
      <c r="E18" s="14">
        <f>Data!Q18</f>
        <v>2</v>
      </c>
    </row>
    <row r="19" spans="2:5" ht="15" customHeight="1" x14ac:dyDescent="0.3">
      <c r="C19" s="3"/>
      <c r="D19" s="8">
        <v>2020</v>
      </c>
      <c r="E19" s="14">
        <f>Data!Q19</f>
        <v>2</v>
      </c>
    </row>
    <row r="20" spans="2:5" ht="15" customHeight="1" x14ac:dyDescent="0.3">
      <c r="C20" s="3"/>
      <c r="D20" s="8">
        <v>2021</v>
      </c>
      <c r="E20" s="14">
        <f>Data!Q20</f>
        <v>1</v>
      </c>
    </row>
    <row r="21" spans="2:5" ht="15" customHeight="1" x14ac:dyDescent="0.3">
      <c r="C21" s="3"/>
      <c r="D21" s="8">
        <v>2022</v>
      </c>
      <c r="E21" s="14">
        <f>Data!Q21</f>
        <v>1</v>
      </c>
    </row>
    <row r="22" spans="2:5" ht="15" customHeight="1" x14ac:dyDescent="0.3">
      <c r="C22" s="3"/>
      <c r="D22" s="8">
        <v>2023</v>
      </c>
      <c r="E22" s="14">
        <f>Data!Q22</f>
        <v>2</v>
      </c>
    </row>
    <row r="23" spans="2:5" ht="15" customHeight="1" x14ac:dyDescent="0.3">
      <c r="C23" s="3"/>
      <c r="D23" s="8">
        <v>2024</v>
      </c>
      <c r="E23" s="14">
        <f>Data!Q23</f>
        <v>1</v>
      </c>
    </row>
    <row r="24" spans="2:5" ht="15" customHeight="1" x14ac:dyDescent="0.3">
      <c r="B24" s="8">
        <v>3</v>
      </c>
      <c r="C24" s="3" t="s">
        <v>3</v>
      </c>
      <c r="D24" s="8">
        <v>2014</v>
      </c>
      <c r="E24" s="14">
        <f>Data!Q24</f>
        <v>0</v>
      </c>
    </row>
    <row r="25" spans="2:5" ht="15" customHeight="1" x14ac:dyDescent="0.3">
      <c r="C25" s="3"/>
      <c r="D25" s="8">
        <v>2015</v>
      </c>
      <c r="E25" s="14">
        <f>Data!Q25</f>
        <v>2</v>
      </c>
    </row>
    <row r="26" spans="2:5" ht="15" customHeight="1" x14ac:dyDescent="0.3">
      <c r="C26" s="3"/>
      <c r="D26" s="8">
        <v>2016</v>
      </c>
      <c r="E26" s="14">
        <f>Data!Q26</f>
        <v>2</v>
      </c>
    </row>
    <row r="27" spans="2:5" ht="15" customHeight="1" x14ac:dyDescent="0.3">
      <c r="C27" s="3"/>
      <c r="D27" s="8">
        <v>2017</v>
      </c>
      <c r="E27" s="14">
        <f>Data!Q27</f>
        <v>2</v>
      </c>
    </row>
    <row r="28" spans="2:5" ht="15" customHeight="1" x14ac:dyDescent="0.3">
      <c r="C28" s="3"/>
      <c r="D28" s="8">
        <v>2018</v>
      </c>
      <c r="E28" s="14">
        <f>Data!Q28</f>
        <v>2</v>
      </c>
    </row>
    <row r="29" spans="2:5" ht="15" customHeight="1" x14ac:dyDescent="0.3">
      <c r="C29" s="3"/>
      <c r="D29" s="8">
        <v>2019</v>
      </c>
      <c r="E29" s="14">
        <f>Data!Q29</f>
        <v>2</v>
      </c>
    </row>
    <row r="30" spans="2:5" ht="15" customHeight="1" x14ac:dyDescent="0.3">
      <c r="C30" s="3"/>
      <c r="D30" s="8">
        <v>2020</v>
      </c>
      <c r="E30" s="14">
        <f>Data!Q30</f>
        <v>2</v>
      </c>
    </row>
    <row r="31" spans="2:5" ht="15" customHeight="1" x14ac:dyDescent="0.3">
      <c r="C31" s="3"/>
      <c r="D31" s="8">
        <v>2021</v>
      </c>
      <c r="E31" s="14">
        <f>Data!Q31</f>
        <v>2</v>
      </c>
    </row>
    <row r="32" spans="2:5" ht="15" customHeight="1" x14ac:dyDescent="0.3">
      <c r="C32" s="3"/>
      <c r="D32" s="8">
        <v>2022</v>
      </c>
      <c r="E32" s="14">
        <f>Data!Q32</f>
        <v>2</v>
      </c>
    </row>
    <row r="33" spans="2:5" ht="15" customHeight="1" x14ac:dyDescent="0.3">
      <c r="C33" s="3"/>
      <c r="D33" s="8">
        <v>2023</v>
      </c>
      <c r="E33" s="14">
        <f>Data!Q33</f>
        <v>2</v>
      </c>
    </row>
    <row r="34" spans="2:5" ht="15" customHeight="1" x14ac:dyDescent="0.3">
      <c r="C34" s="3"/>
      <c r="D34" s="8">
        <v>2024</v>
      </c>
      <c r="E34" s="14">
        <f>Data!Q34</f>
        <v>2</v>
      </c>
    </row>
    <row r="35" spans="2:5" ht="15" customHeight="1" x14ac:dyDescent="0.3">
      <c r="B35" s="8">
        <v>4</v>
      </c>
      <c r="C35" s="4" t="s">
        <v>56</v>
      </c>
      <c r="D35" s="8">
        <v>2014</v>
      </c>
      <c r="E35" s="14">
        <f>Data!Q35</f>
        <v>0</v>
      </c>
    </row>
    <row r="36" spans="2:5" ht="15" customHeight="1" x14ac:dyDescent="0.3">
      <c r="C36" s="4"/>
      <c r="D36" s="8">
        <v>2015</v>
      </c>
      <c r="E36" s="14">
        <f>Data!Q36</f>
        <v>0</v>
      </c>
    </row>
    <row r="37" spans="2:5" ht="15" customHeight="1" x14ac:dyDescent="0.3">
      <c r="C37" s="4"/>
      <c r="D37" s="8">
        <v>2016</v>
      </c>
      <c r="E37" s="14">
        <f>Data!Q37</f>
        <v>0</v>
      </c>
    </row>
    <row r="38" spans="2:5" ht="15" customHeight="1" x14ac:dyDescent="0.3">
      <c r="C38" s="4"/>
      <c r="D38" s="8">
        <v>2017</v>
      </c>
      <c r="E38" s="14">
        <f>Data!Q38</f>
        <v>0</v>
      </c>
    </row>
    <row r="39" spans="2:5" ht="15" customHeight="1" x14ac:dyDescent="0.3">
      <c r="C39" s="4"/>
      <c r="D39" s="8">
        <v>2018</v>
      </c>
      <c r="E39" s="14">
        <f>Data!Q39</f>
        <v>0</v>
      </c>
    </row>
    <row r="40" spans="2:5" ht="15" customHeight="1" x14ac:dyDescent="0.3">
      <c r="C40" s="4"/>
      <c r="D40" s="8">
        <v>2019</v>
      </c>
      <c r="E40" s="14">
        <f>Data!Q40</f>
        <v>0</v>
      </c>
    </row>
    <row r="41" spans="2:5" ht="15" customHeight="1" x14ac:dyDescent="0.3">
      <c r="C41" s="4"/>
      <c r="D41" s="8">
        <v>2020</v>
      </c>
      <c r="E41" s="14">
        <f>Data!Q41</f>
        <v>0</v>
      </c>
    </row>
    <row r="42" spans="2:5" ht="15" customHeight="1" x14ac:dyDescent="0.3">
      <c r="C42" s="4"/>
      <c r="D42" s="8">
        <v>2021</v>
      </c>
      <c r="E42" s="14">
        <f>Data!Q42</f>
        <v>0</v>
      </c>
    </row>
    <row r="43" spans="2:5" ht="15" customHeight="1" x14ac:dyDescent="0.3">
      <c r="C43" s="4"/>
      <c r="D43" s="8">
        <v>2022</v>
      </c>
      <c r="E43" s="14">
        <f>Data!Q43</f>
        <v>0</v>
      </c>
    </row>
    <row r="44" spans="2:5" ht="15" customHeight="1" x14ac:dyDescent="0.3">
      <c r="C44" s="4"/>
      <c r="D44" s="8">
        <v>2023</v>
      </c>
      <c r="E44" s="14">
        <f>Data!Q44</f>
        <v>2</v>
      </c>
    </row>
    <row r="45" spans="2:5" ht="15" customHeight="1" x14ac:dyDescent="0.3">
      <c r="C45" s="4"/>
      <c r="D45" s="8">
        <v>2024</v>
      </c>
      <c r="E45" s="14">
        <f>Data!Q45</f>
        <v>2</v>
      </c>
    </row>
    <row r="46" spans="2:5" ht="15" customHeight="1" x14ac:dyDescent="0.3">
      <c r="B46" s="8">
        <v>5</v>
      </c>
      <c r="C46" s="3" t="s">
        <v>20</v>
      </c>
      <c r="D46" s="8">
        <v>2014</v>
      </c>
      <c r="E46" s="14">
        <f>Data!Q46</f>
        <v>0</v>
      </c>
    </row>
    <row r="47" spans="2:5" ht="15" customHeight="1" x14ac:dyDescent="0.3">
      <c r="C47" s="3"/>
      <c r="D47" s="8">
        <v>2015</v>
      </c>
      <c r="E47" s="14">
        <f>Data!Q47</f>
        <v>0</v>
      </c>
    </row>
    <row r="48" spans="2:5" ht="15" customHeight="1" x14ac:dyDescent="0.3">
      <c r="C48" s="3"/>
      <c r="D48" s="8">
        <v>2016</v>
      </c>
      <c r="E48" s="14">
        <f>Data!Q48</f>
        <v>0</v>
      </c>
    </row>
    <row r="49" spans="2:5" ht="15" customHeight="1" x14ac:dyDescent="0.3">
      <c r="C49" s="3"/>
      <c r="D49" s="8">
        <v>2017</v>
      </c>
      <c r="E49" s="14">
        <f>Data!Q49</f>
        <v>3</v>
      </c>
    </row>
    <row r="50" spans="2:5" ht="15" customHeight="1" x14ac:dyDescent="0.3">
      <c r="C50" s="3"/>
      <c r="D50" s="8">
        <v>2018</v>
      </c>
      <c r="E50" s="14">
        <f>Data!Q50</f>
        <v>2</v>
      </c>
    </row>
    <row r="51" spans="2:5" ht="15" customHeight="1" x14ac:dyDescent="0.3">
      <c r="C51" s="3"/>
      <c r="D51" s="8">
        <v>2019</v>
      </c>
      <c r="E51" s="14">
        <f>Data!Q51</f>
        <v>3</v>
      </c>
    </row>
    <row r="52" spans="2:5" ht="15" customHeight="1" x14ac:dyDescent="0.3">
      <c r="C52" s="3"/>
      <c r="D52" s="8">
        <v>2020</v>
      </c>
      <c r="E52" s="14">
        <f>Data!Q52</f>
        <v>2</v>
      </c>
    </row>
    <row r="53" spans="2:5" ht="15" customHeight="1" x14ac:dyDescent="0.3">
      <c r="C53" s="3"/>
      <c r="D53" s="8">
        <v>2021</v>
      </c>
      <c r="E53" s="14">
        <f>Data!Q53</f>
        <v>4</v>
      </c>
    </row>
    <row r="54" spans="2:5" ht="15" customHeight="1" x14ac:dyDescent="0.3">
      <c r="C54" s="3"/>
      <c r="D54" s="8">
        <v>2022</v>
      </c>
      <c r="E54" s="14">
        <f>Data!Q54</f>
        <v>3</v>
      </c>
    </row>
    <row r="55" spans="2:5" ht="15" customHeight="1" x14ac:dyDescent="0.3">
      <c r="C55" s="3"/>
      <c r="D55" s="8">
        <v>2023</v>
      </c>
      <c r="E55" s="14">
        <f>Data!Q55</f>
        <v>3</v>
      </c>
    </row>
    <row r="56" spans="2:5" ht="15" customHeight="1" x14ac:dyDescent="0.3">
      <c r="C56" s="3"/>
      <c r="D56" s="8">
        <v>2024</v>
      </c>
      <c r="E56" s="14">
        <f>Data!Q56</f>
        <v>0</v>
      </c>
    </row>
    <row r="57" spans="2:5" ht="15" customHeight="1" x14ac:dyDescent="0.3">
      <c r="B57" s="8">
        <v>6</v>
      </c>
      <c r="C57" s="3" t="s">
        <v>21</v>
      </c>
      <c r="D57" s="8">
        <v>2014</v>
      </c>
      <c r="E57" s="14">
        <f>Data!Q57</f>
        <v>0</v>
      </c>
    </row>
    <row r="58" spans="2:5" ht="15" customHeight="1" x14ac:dyDescent="0.3">
      <c r="C58" s="3"/>
      <c r="D58" s="8">
        <v>2015</v>
      </c>
      <c r="E58" s="14">
        <f>Data!Q58</f>
        <v>0</v>
      </c>
    </row>
    <row r="59" spans="2:5" ht="15" customHeight="1" x14ac:dyDescent="0.3">
      <c r="C59" s="3"/>
      <c r="D59" s="8">
        <v>2016</v>
      </c>
      <c r="E59" s="14">
        <f>Data!Q59</f>
        <v>0</v>
      </c>
    </row>
    <row r="60" spans="2:5" ht="15" customHeight="1" x14ac:dyDescent="0.3">
      <c r="C60" s="3"/>
      <c r="D60" s="8">
        <v>2017</v>
      </c>
      <c r="E60" s="14">
        <f>Data!Q60</f>
        <v>2</v>
      </c>
    </row>
    <row r="61" spans="2:5" ht="15" customHeight="1" x14ac:dyDescent="0.3">
      <c r="C61" s="3"/>
      <c r="D61" s="8">
        <v>2018</v>
      </c>
      <c r="E61" s="14">
        <f>Data!Q61</f>
        <v>2</v>
      </c>
    </row>
    <row r="62" spans="2:5" ht="15" customHeight="1" x14ac:dyDescent="0.3">
      <c r="C62" s="3"/>
      <c r="D62" s="8">
        <v>2019</v>
      </c>
      <c r="E62" s="14">
        <f>Data!Q62</f>
        <v>2</v>
      </c>
    </row>
    <row r="63" spans="2:5" ht="15" customHeight="1" x14ac:dyDescent="0.3">
      <c r="C63" s="3"/>
      <c r="D63" s="8">
        <v>2020</v>
      </c>
      <c r="E63" s="14">
        <f>Data!Q63</f>
        <v>2</v>
      </c>
    </row>
    <row r="64" spans="2:5" ht="15" customHeight="1" x14ac:dyDescent="0.3">
      <c r="C64" s="3"/>
      <c r="D64" s="8">
        <v>2021</v>
      </c>
      <c r="E64" s="14">
        <f>Data!Q64</f>
        <v>2</v>
      </c>
    </row>
    <row r="65" spans="2:5" ht="15" customHeight="1" x14ac:dyDescent="0.3">
      <c r="C65" s="3"/>
      <c r="D65" s="8">
        <v>2022</v>
      </c>
      <c r="E65" s="14">
        <f>Data!Q65</f>
        <v>2</v>
      </c>
    </row>
    <row r="66" spans="2:5" ht="15" customHeight="1" x14ac:dyDescent="0.3">
      <c r="C66" s="3"/>
      <c r="D66" s="8">
        <v>2023</v>
      </c>
      <c r="E66" s="14">
        <f>Data!Q66</f>
        <v>2</v>
      </c>
    </row>
    <row r="67" spans="2:5" ht="15" customHeight="1" x14ac:dyDescent="0.3">
      <c r="C67" s="3"/>
      <c r="D67" s="8">
        <v>2024</v>
      </c>
      <c r="E67" s="14">
        <f>Data!Q67</f>
        <v>2</v>
      </c>
    </row>
    <row r="68" spans="2:5" ht="15" customHeight="1" x14ac:dyDescent="0.3">
      <c r="B68" s="8">
        <v>7</v>
      </c>
      <c r="C68" s="3" t="s">
        <v>19</v>
      </c>
      <c r="D68" s="8">
        <v>2014</v>
      </c>
      <c r="E68" s="14">
        <f>Data!Q68</f>
        <v>0</v>
      </c>
    </row>
    <row r="69" spans="2:5" ht="15" customHeight="1" x14ac:dyDescent="0.3">
      <c r="C69" s="3"/>
      <c r="D69" s="8">
        <v>2015</v>
      </c>
      <c r="E69" s="14">
        <f>Data!Q69</f>
        <v>2</v>
      </c>
    </row>
    <row r="70" spans="2:5" ht="15" customHeight="1" x14ac:dyDescent="0.3">
      <c r="C70" s="3"/>
      <c r="D70" s="8">
        <v>2016</v>
      </c>
      <c r="E70" s="14">
        <f>Data!Q70</f>
        <v>2</v>
      </c>
    </row>
    <row r="71" spans="2:5" ht="15" customHeight="1" x14ac:dyDescent="0.3">
      <c r="C71" s="3"/>
      <c r="D71" s="8">
        <v>2017</v>
      </c>
      <c r="E71" s="14">
        <f>Data!Q71</f>
        <v>2</v>
      </c>
    </row>
    <row r="72" spans="2:5" ht="15" customHeight="1" x14ac:dyDescent="0.3">
      <c r="C72" s="3"/>
      <c r="D72" s="8">
        <v>2018</v>
      </c>
      <c r="E72" s="14">
        <f>Data!Q72</f>
        <v>2</v>
      </c>
    </row>
    <row r="73" spans="2:5" ht="15" customHeight="1" x14ac:dyDescent="0.3">
      <c r="C73" s="3"/>
      <c r="D73" s="8">
        <v>2019</v>
      </c>
      <c r="E73" s="14">
        <f>Data!Q73</f>
        <v>2</v>
      </c>
    </row>
    <row r="74" spans="2:5" ht="15" customHeight="1" x14ac:dyDescent="0.3">
      <c r="C74" s="3"/>
      <c r="D74" s="8">
        <v>2020</v>
      </c>
      <c r="E74" s="14">
        <f>Data!Q74</f>
        <v>2</v>
      </c>
    </row>
    <row r="75" spans="2:5" ht="15" customHeight="1" x14ac:dyDescent="0.3">
      <c r="C75" s="3"/>
      <c r="D75" s="8">
        <v>2021</v>
      </c>
      <c r="E75" s="14">
        <f>Data!Q75</f>
        <v>2</v>
      </c>
    </row>
    <row r="76" spans="2:5" ht="15" customHeight="1" x14ac:dyDescent="0.3">
      <c r="C76" s="3"/>
      <c r="D76" s="8">
        <v>2022</v>
      </c>
      <c r="E76" s="14">
        <f>Data!Q76</f>
        <v>2</v>
      </c>
    </row>
    <row r="77" spans="2:5" ht="15" customHeight="1" x14ac:dyDescent="0.3">
      <c r="C77" s="3"/>
      <c r="D77" s="8">
        <v>2023</v>
      </c>
      <c r="E77" s="14">
        <f>Data!Q77</f>
        <v>2</v>
      </c>
    </row>
    <row r="78" spans="2:5" ht="15" customHeight="1" x14ac:dyDescent="0.3">
      <c r="C78" s="3"/>
      <c r="D78" s="8">
        <v>2024</v>
      </c>
      <c r="E78" s="14">
        <f>Data!Q78</f>
        <v>2</v>
      </c>
    </row>
    <row r="79" spans="2:5" ht="15" customHeight="1" x14ac:dyDescent="0.3">
      <c r="B79" s="8">
        <v>8</v>
      </c>
      <c r="C79" s="3" t="s">
        <v>8</v>
      </c>
      <c r="D79" s="8">
        <v>2014</v>
      </c>
      <c r="E79" s="14">
        <f>Data!Q79</f>
        <v>0</v>
      </c>
    </row>
    <row r="80" spans="2:5" ht="15" customHeight="1" x14ac:dyDescent="0.3">
      <c r="C80" s="3"/>
      <c r="D80" s="8">
        <v>2015</v>
      </c>
      <c r="E80" s="14">
        <f>Data!Q80</f>
        <v>2</v>
      </c>
    </row>
    <row r="81" spans="2:5" ht="15" customHeight="1" x14ac:dyDescent="0.3">
      <c r="C81" s="3"/>
      <c r="D81" s="8">
        <v>2016</v>
      </c>
      <c r="E81" s="14">
        <f>Data!Q81</f>
        <v>1</v>
      </c>
    </row>
    <row r="82" spans="2:5" ht="15" customHeight="1" x14ac:dyDescent="0.3">
      <c r="C82" s="3"/>
      <c r="D82" s="8">
        <v>2017</v>
      </c>
      <c r="E82" s="14">
        <f>Data!Q82</f>
        <v>0</v>
      </c>
    </row>
    <row r="83" spans="2:5" ht="15" customHeight="1" x14ac:dyDescent="0.3">
      <c r="C83" s="3"/>
      <c r="D83" s="8">
        <v>2018</v>
      </c>
      <c r="E83" s="14">
        <f>Data!Q83</f>
        <v>0</v>
      </c>
    </row>
    <row r="84" spans="2:5" ht="15" customHeight="1" x14ac:dyDescent="0.3">
      <c r="C84" s="3"/>
      <c r="D84" s="8">
        <v>2019</v>
      </c>
      <c r="E84" s="14">
        <f>Data!Q84</f>
        <v>0</v>
      </c>
    </row>
    <row r="85" spans="2:5" ht="15" customHeight="1" x14ac:dyDescent="0.3">
      <c r="C85" s="3"/>
      <c r="D85" s="8">
        <v>2020</v>
      </c>
      <c r="E85" s="14">
        <f>Data!Q85</f>
        <v>0</v>
      </c>
    </row>
    <row r="86" spans="2:5" ht="15" customHeight="1" x14ac:dyDescent="0.3">
      <c r="C86" s="3"/>
      <c r="D86" s="8">
        <v>2021</v>
      </c>
      <c r="E86" s="14">
        <f>Data!Q86</f>
        <v>2</v>
      </c>
    </row>
    <row r="87" spans="2:5" ht="15" customHeight="1" x14ac:dyDescent="0.3">
      <c r="C87" s="3"/>
      <c r="D87" s="8">
        <v>2022</v>
      </c>
      <c r="E87" s="14">
        <f>Data!Q87</f>
        <v>2</v>
      </c>
    </row>
    <row r="88" spans="2:5" ht="15" customHeight="1" x14ac:dyDescent="0.3">
      <c r="C88" s="3"/>
      <c r="D88" s="8">
        <v>2023</v>
      </c>
      <c r="E88" s="14">
        <f>Data!Q88</f>
        <v>2</v>
      </c>
    </row>
    <row r="89" spans="2:5" ht="15" customHeight="1" x14ac:dyDescent="0.3">
      <c r="C89" s="3"/>
      <c r="D89" s="8">
        <v>2024</v>
      </c>
      <c r="E89" s="14">
        <f>Data!Q89</f>
        <v>2</v>
      </c>
    </row>
    <row r="90" spans="2:5" ht="15" customHeight="1" x14ac:dyDescent="0.3">
      <c r="B90" s="8">
        <v>9</v>
      </c>
      <c r="C90" s="3" t="s">
        <v>11</v>
      </c>
      <c r="D90" s="8">
        <v>2014</v>
      </c>
      <c r="E90" s="14">
        <f>Data!Q90</f>
        <v>0</v>
      </c>
    </row>
    <row r="91" spans="2:5" ht="15" customHeight="1" x14ac:dyDescent="0.3">
      <c r="C91" s="3"/>
      <c r="D91" s="8">
        <v>2015</v>
      </c>
      <c r="E91" s="14">
        <f>Data!Q91</f>
        <v>2</v>
      </c>
    </row>
    <row r="92" spans="2:5" ht="15" customHeight="1" x14ac:dyDescent="0.3">
      <c r="C92" s="3"/>
      <c r="D92" s="8">
        <v>2016</v>
      </c>
      <c r="E92" s="14">
        <f>Data!Q92</f>
        <v>2</v>
      </c>
    </row>
    <row r="93" spans="2:5" ht="15" customHeight="1" x14ac:dyDescent="0.3">
      <c r="C93" s="3"/>
      <c r="D93" s="8">
        <v>2017</v>
      </c>
      <c r="E93" s="14">
        <f>Data!Q93</f>
        <v>2</v>
      </c>
    </row>
    <row r="94" spans="2:5" ht="15" customHeight="1" x14ac:dyDescent="0.3">
      <c r="C94" s="3"/>
      <c r="D94" s="8">
        <v>2018</v>
      </c>
      <c r="E94" s="14">
        <f>Data!Q94</f>
        <v>2</v>
      </c>
    </row>
    <row r="95" spans="2:5" ht="15" customHeight="1" x14ac:dyDescent="0.3">
      <c r="C95" s="3"/>
      <c r="D95" s="8">
        <v>2019</v>
      </c>
      <c r="E95" s="14">
        <f>Data!Q95</f>
        <v>2</v>
      </c>
    </row>
    <row r="96" spans="2:5" ht="15" customHeight="1" x14ac:dyDescent="0.3">
      <c r="C96" s="3"/>
      <c r="D96" s="8">
        <v>2020</v>
      </c>
      <c r="E96" s="14">
        <f>Data!Q96</f>
        <v>2</v>
      </c>
    </row>
    <row r="97" spans="2:5" ht="15" customHeight="1" x14ac:dyDescent="0.3">
      <c r="C97" s="3"/>
      <c r="D97" s="8">
        <v>2021</v>
      </c>
      <c r="E97" s="14">
        <f>Data!Q97</f>
        <v>2</v>
      </c>
    </row>
    <row r="98" spans="2:5" ht="15" customHeight="1" x14ac:dyDescent="0.3">
      <c r="C98" s="3"/>
      <c r="D98" s="8">
        <v>2022</v>
      </c>
      <c r="E98" s="14">
        <f>Data!Q98</f>
        <v>2</v>
      </c>
    </row>
    <row r="99" spans="2:5" ht="15" customHeight="1" x14ac:dyDescent="0.3">
      <c r="C99" s="3"/>
      <c r="D99" s="8">
        <v>2023</v>
      </c>
      <c r="E99" s="14">
        <f>Data!Q99</f>
        <v>2</v>
      </c>
    </row>
    <row r="100" spans="2:5" ht="15" customHeight="1" x14ac:dyDescent="0.3">
      <c r="C100" s="3"/>
      <c r="D100" s="8">
        <v>2024</v>
      </c>
      <c r="E100" s="14">
        <f>Data!Q100</f>
        <v>2</v>
      </c>
    </row>
    <row r="101" spans="2:5" ht="15" customHeight="1" x14ac:dyDescent="0.3">
      <c r="B101" s="8">
        <v>10</v>
      </c>
      <c r="C101" s="3" t="s">
        <v>13</v>
      </c>
      <c r="D101" s="8">
        <v>2014</v>
      </c>
      <c r="E101" s="14">
        <f>Data!Q101</f>
        <v>0</v>
      </c>
    </row>
    <row r="102" spans="2:5" ht="15" customHeight="1" x14ac:dyDescent="0.3">
      <c r="C102" s="3"/>
      <c r="D102" s="8">
        <v>2015</v>
      </c>
      <c r="E102" s="14">
        <f>Data!Q102</f>
        <v>2</v>
      </c>
    </row>
    <row r="103" spans="2:5" ht="15" customHeight="1" x14ac:dyDescent="0.3">
      <c r="C103" s="3"/>
      <c r="D103" s="8">
        <v>2016</v>
      </c>
      <c r="E103" s="14">
        <f>Data!Q103</f>
        <v>2</v>
      </c>
    </row>
    <row r="104" spans="2:5" ht="15" customHeight="1" x14ac:dyDescent="0.3">
      <c r="C104" s="3"/>
      <c r="D104" s="8">
        <v>2017</v>
      </c>
      <c r="E104" s="14">
        <f>Data!Q104</f>
        <v>0</v>
      </c>
    </row>
    <row r="105" spans="2:5" ht="15" customHeight="1" x14ac:dyDescent="0.3">
      <c r="C105" s="3"/>
      <c r="D105" s="8">
        <v>2018</v>
      </c>
      <c r="E105" s="14">
        <f>Data!Q105</f>
        <v>0</v>
      </c>
    </row>
    <row r="106" spans="2:5" ht="15" customHeight="1" x14ac:dyDescent="0.3">
      <c r="C106" s="3"/>
      <c r="D106" s="8">
        <v>2019</v>
      </c>
      <c r="E106" s="14">
        <f>Data!Q106</f>
        <v>2</v>
      </c>
    </row>
    <row r="107" spans="2:5" ht="15" customHeight="1" x14ac:dyDescent="0.3">
      <c r="C107" s="3"/>
      <c r="D107" s="8">
        <v>2020</v>
      </c>
      <c r="E107" s="14">
        <f>Data!Q107</f>
        <v>2</v>
      </c>
    </row>
    <row r="108" spans="2:5" ht="15" customHeight="1" x14ac:dyDescent="0.3">
      <c r="C108" s="3"/>
      <c r="D108" s="8">
        <v>2021</v>
      </c>
      <c r="E108" s="14">
        <f>Data!Q108</f>
        <v>2</v>
      </c>
    </row>
    <row r="109" spans="2:5" ht="15" customHeight="1" x14ac:dyDescent="0.3">
      <c r="C109" s="3"/>
      <c r="D109" s="8">
        <v>2022</v>
      </c>
      <c r="E109" s="14">
        <f>Data!Q109</f>
        <v>2</v>
      </c>
    </row>
    <row r="110" spans="2:5" ht="15" customHeight="1" x14ac:dyDescent="0.3">
      <c r="C110" s="3"/>
      <c r="D110" s="8">
        <v>2023</v>
      </c>
      <c r="E110" s="14">
        <f>Data!Q110</f>
        <v>2</v>
      </c>
    </row>
    <row r="111" spans="2:5" ht="15" customHeight="1" x14ac:dyDescent="0.3">
      <c r="C111" s="3"/>
      <c r="D111" s="8">
        <v>2024</v>
      </c>
      <c r="E111" s="14">
        <f>Data!Q111</f>
        <v>2</v>
      </c>
    </row>
    <row r="112" spans="2:5" ht="15" customHeight="1" x14ac:dyDescent="0.3">
      <c r="B112" s="8">
        <v>11</v>
      </c>
      <c r="C112" s="3" t="s">
        <v>23</v>
      </c>
      <c r="D112" s="8">
        <v>2014</v>
      </c>
      <c r="E112" s="14">
        <f>Data!Q112</f>
        <v>0</v>
      </c>
    </row>
    <row r="113" spans="2:5" ht="15" customHeight="1" x14ac:dyDescent="0.3">
      <c r="C113" s="3"/>
      <c r="D113" s="8">
        <v>2015</v>
      </c>
      <c r="E113" s="14">
        <f>Data!Q113</f>
        <v>0</v>
      </c>
    </row>
    <row r="114" spans="2:5" ht="15" customHeight="1" x14ac:dyDescent="0.3">
      <c r="C114" s="3"/>
      <c r="D114" s="8">
        <v>2016</v>
      </c>
      <c r="E114" s="14">
        <f>Data!Q114</f>
        <v>0</v>
      </c>
    </row>
    <row r="115" spans="2:5" ht="15" customHeight="1" x14ac:dyDescent="0.3">
      <c r="C115" s="3"/>
      <c r="D115" s="8">
        <v>2017</v>
      </c>
      <c r="E115" s="14">
        <f>Data!Q115</f>
        <v>0</v>
      </c>
    </row>
    <row r="116" spans="2:5" ht="15" customHeight="1" x14ac:dyDescent="0.3">
      <c r="C116" s="3"/>
      <c r="D116" s="8">
        <v>2018</v>
      </c>
      <c r="E116" s="14">
        <f>Data!Q116</f>
        <v>0</v>
      </c>
    </row>
    <row r="117" spans="2:5" ht="15" customHeight="1" x14ac:dyDescent="0.3">
      <c r="C117" s="3"/>
      <c r="D117" s="8">
        <v>2019</v>
      </c>
      <c r="E117" s="14">
        <f>Data!Q117</f>
        <v>0</v>
      </c>
    </row>
    <row r="118" spans="2:5" ht="15" customHeight="1" x14ac:dyDescent="0.3">
      <c r="C118" s="3"/>
      <c r="D118" s="8">
        <v>2020</v>
      </c>
      <c r="E118" s="14">
        <f>Data!Q118</f>
        <v>0</v>
      </c>
    </row>
    <row r="119" spans="2:5" ht="15" customHeight="1" x14ac:dyDescent="0.3">
      <c r="C119" s="3"/>
      <c r="D119" s="8">
        <v>2021</v>
      </c>
      <c r="E119" s="14">
        <f>Data!Q119</f>
        <v>2</v>
      </c>
    </row>
    <row r="120" spans="2:5" ht="15" customHeight="1" x14ac:dyDescent="0.3">
      <c r="C120" s="3"/>
      <c r="D120" s="8">
        <v>2022</v>
      </c>
      <c r="E120" s="14">
        <f>Data!Q120</f>
        <v>2</v>
      </c>
    </row>
    <row r="121" spans="2:5" ht="15" customHeight="1" x14ac:dyDescent="0.3">
      <c r="C121" s="3"/>
      <c r="D121" s="8">
        <v>2023</v>
      </c>
      <c r="E121" s="14">
        <f>Data!Q121</f>
        <v>3</v>
      </c>
    </row>
    <row r="122" spans="2:5" ht="15" customHeight="1" x14ac:dyDescent="0.3">
      <c r="C122" s="3"/>
      <c r="D122" s="8">
        <v>2024</v>
      </c>
      <c r="E122" s="14">
        <f>Data!Q122</f>
        <v>0</v>
      </c>
    </row>
    <row r="123" spans="2:5" ht="15" customHeight="1" x14ac:dyDescent="0.3">
      <c r="B123" s="8">
        <v>12</v>
      </c>
      <c r="C123" s="3" t="s">
        <v>24</v>
      </c>
      <c r="D123" s="8">
        <v>2014</v>
      </c>
      <c r="E123" s="14">
        <f>Data!Q123</f>
        <v>0</v>
      </c>
    </row>
    <row r="124" spans="2:5" ht="15" customHeight="1" x14ac:dyDescent="0.3">
      <c r="C124" s="3"/>
      <c r="D124" s="8">
        <v>2015</v>
      </c>
      <c r="E124" s="14">
        <f>Data!Q124</f>
        <v>3</v>
      </c>
    </row>
    <row r="125" spans="2:5" ht="15" customHeight="1" x14ac:dyDescent="0.3">
      <c r="C125" s="3"/>
      <c r="D125" s="8">
        <v>2016</v>
      </c>
      <c r="E125" s="14">
        <f>Data!Q125</f>
        <v>2</v>
      </c>
    </row>
    <row r="126" spans="2:5" ht="15" customHeight="1" x14ac:dyDescent="0.3">
      <c r="C126" s="3"/>
      <c r="D126" s="8">
        <v>2017</v>
      </c>
      <c r="E126" s="14">
        <f>Data!Q126</f>
        <v>2</v>
      </c>
    </row>
    <row r="127" spans="2:5" ht="15" customHeight="1" x14ac:dyDescent="0.3">
      <c r="C127" s="3"/>
      <c r="D127" s="8">
        <v>2018</v>
      </c>
      <c r="E127" s="14">
        <f>Data!Q127</f>
        <v>2</v>
      </c>
    </row>
    <row r="128" spans="2:5" ht="15" customHeight="1" x14ac:dyDescent="0.3">
      <c r="C128" s="3"/>
      <c r="D128" s="8">
        <v>2019</v>
      </c>
      <c r="E128" s="14">
        <f>Data!Q128</f>
        <v>1</v>
      </c>
    </row>
    <row r="129" spans="2:5" ht="15" customHeight="1" x14ac:dyDescent="0.3">
      <c r="C129" s="3"/>
      <c r="D129" s="8">
        <v>2020</v>
      </c>
      <c r="E129" s="14">
        <f>Data!Q129</f>
        <v>3</v>
      </c>
    </row>
    <row r="130" spans="2:5" ht="15" customHeight="1" x14ac:dyDescent="0.3">
      <c r="C130" s="3"/>
      <c r="D130" s="8">
        <v>2021</v>
      </c>
      <c r="E130" s="14">
        <f>Data!Q130</f>
        <v>5</v>
      </c>
    </row>
    <row r="131" spans="2:5" ht="15" customHeight="1" x14ac:dyDescent="0.3">
      <c r="C131" s="3"/>
      <c r="D131" s="8">
        <v>2022</v>
      </c>
      <c r="E131" s="14">
        <f>Data!Q131</f>
        <v>2</v>
      </c>
    </row>
    <row r="132" spans="2:5" ht="15" customHeight="1" x14ac:dyDescent="0.3">
      <c r="C132" s="3"/>
      <c r="D132" s="8">
        <v>2023</v>
      </c>
      <c r="E132" s="14">
        <f>Data!Q132</f>
        <v>3</v>
      </c>
    </row>
    <row r="133" spans="2:5" ht="15" customHeight="1" x14ac:dyDescent="0.3">
      <c r="C133" s="3"/>
      <c r="D133" s="8">
        <v>2024</v>
      </c>
      <c r="E133" s="14">
        <f>Data!Q133</f>
        <v>4</v>
      </c>
    </row>
    <row r="134" spans="2:5" ht="15" customHeight="1" x14ac:dyDescent="0.3">
      <c r="B134" s="8">
        <v>13</v>
      </c>
      <c r="C134" s="3" t="s">
        <v>18</v>
      </c>
      <c r="D134" s="8">
        <v>2014</v>
      </c>
      <c r="E134" s="14">
        <f>Data!Q134</f>
        <v>0</v>
      </c>
    </row>
    <row r="135" spans="2:5" ht="15" customHeight="1" x14ac:dyDescent="0.3">
      <c r="C135" s="3"/>
      <c r="D135" s="8">
        <v>2015</v>
      </c>
      <c r="E135" s="14">
        <f>Data!Q135</f>
        <v>1</v>
      </c>
    </row>
    <row r="136" spans="2:5" ht="15" customHeight="1" x14ac:dyDescent="0.3">
      <c r="C136" s="3"/>
      <c r="D136" s="8">
        <v>2016</v>
      </c>
      <c r="E136" s="14">
        <f>Data!Q136</f>
        <v>2</v>
      </c>
    </row>
    <row r="137" spans="2:5" ht="15" customHeight="1" x14ac:dyDescent="0.3">
      <c r="C137" s="3"/>
      <c r="D137" s="8">
        <v>2017</v>
      </c>
      <c r="E137" s="14">
        <f>Data!Q137</f>
        <v>2</v>
      </c>
    </row>
    <row r="138" spans="2:5" ht="15" customHeight="1" x14ac:dyDescent="0.3">
      <c r="C138" s="3"/>
      <c r="D138" s="8">
        <v>2018</v>
      </c>
      <c r="E138" s="14">
        <f>Data!Q138</f>
        <v>2</v>
      </c>
    </row>
    <row r="139" spans="2:5" ht="15" customHeight="1" x14ac:dyDescent="0.3">
      <c r="C139" s="3"/>
      <c r="D139" s="8">
        <v>2019</v>
      </c>
      <c r="E139" s="14">
        <f>Data!Q139</f>
        <v>2</v>
      </c>
    </row>
    <row r="140" spans="2:5" ht="15" customHeight="1" x14ac:dyDescent="0.3">
      <c r="C140" s="3"/>
      <c r="D140" s="8">
        <v>2020</v>
      </c>
      <c r="E140" s="14">
        <f>Data!Q140</f>
        <v>2</v>
      </c>
    </row>
    <row r="141" spans="2:5" ht="15" customHeight="1" x14ac:dyDescent="0.3">
      <c r="C141" s="3"/>
      <c r="D141" s="8">
        <v>2021</v>
      </c>
      <c r="E141" s="14">
        <f>Data!Q141</f>
        <v>2</v>
      </c>
    </row>
    <row r="142" spans="2:5" ht="15" customHeight="1" x14ac:dyDescent="0.3">
      <c r="C142" s="3"/>
      <c r="D142" s="8">
        <v>2022</v>
      </c>
      <c r="E142" s="14">
        <f>Data!Q142</f>
        <v>2</v>
      </c>
    </row>
    <row r="143" spans="2:5" ht="15" customHeight="1" x14ac:dyDescent="0.3">
      <c r="C143" s="3"/>
      <c r="D143" s="8">
        <v>2023</v>
      </c>
      <c r="E143" s="14">
        <f>Data!Q143</f>
        <v>2</v>
      </c>
    </row>
    <row r="144" spans="2:5" ht="15" customHeight="1" x14ac:dyDescent="0.3">
      <c r="C144" s="3"/>
      <c r="D144" s="8">
        <v>2024</v>
      </c>
      <c r="E144" s="14">
        <f>Data!Q144</f>
        <v>2</v>
      </c>
    </row>
    <row r="145" spans="2:5" ht="15" customHeight="1" x14ac:dyDescent="0.3">
      <c r="B145" s="8">
        <v>14</v>
      </c>
      <c r="C145" s="4" t="s">
        <v>57</v>
      </c>
      <c r="D145" s="8">
        <v>2014</v>
      </c>
      <c r="E145" s="14">
        <f>Data!Q145</f>
        <v>0</v>
      </c>
    </row>
    <row r="146" spans="2:5" ht="15" customHeight="1" x14ac:dyDescent="0.3">
      <c r="C146" s="4"/>
      <c r="D146" s="8">
        <v>2015</v>
      </c>
      <c r="E146" s="14">
        <f>Data!Q146</f>
        <v>0</v>
      </c>
    </row>
    <row r="147" spans="2:5" ht="15" customHeight="1" x14ac:dyDescent="0.3">
      <c r="C147" s="4"/>
      <c r="D147" s="8">
        <v>2016</v>
      </c>
      <c r="E147" s="14">
        <f>Data!Q147</f>
        <v>0</v>
      </c>
    </row>
    <row r="148" spans="2:5" ht="15" customHeight="1" x14ac:dyDescent="0.3">
      <c r="C148" s="4"/>
      <c r="D148" s="8">
        <v>2017</v>
      </c>
      <c r="E148" s="14">
        <f>Data!Q148</f>
        <v>0</v>
      </c>
    </row>
    <row r="149" spans="2:5" ht="15" customHeight="1" x14ac:dyDescent="0.3">
      <c r="C149" s="4"/>
      <c r="D149" s="8">
        <v>2018</v>
      </c>
      <c r="E149" s="14">
        <f>Data!Q149</f>
        <v>0</v>
      </c>
    </row>
    <row r="150" spans="2:5" ht="15" customHeight="1" x14ac:dyDescent="0.3">
      <c r="C150" s="4"/>
      <c r="D150" s="8">
        <v>2019</v>
      </c>
      <c r="E150" s="14">
        <f>Data!Q150</f>
        <v>0</v>
      </c>
    </row>
    <row r="151" spans="2:5" ht="15" customHeight="1" x14ac:dyDescent="0.3">
      <c r="C151" s="4"/>
      <c r="D151" s="8">
        <v>2020</v>
      </c>
      <c r="E151" s="14">
        <f>Data!Q151</f>
        <v>0</v>
      </c>
    </row>
    <row r="152" spans="2:5" ht="15" customHeight="1" x14ac:dyDescent="0.3">
      <c r="C152" s="4"/>
      <c r="D152" s="8">
        <v>2021</v>
      </c>
      <c r="E152" s="14">
        <f>Data!Q152</f>
        <v>0</v>
      </c>
    </row>
    <row r="153" spans="2:5" ht="15" customHeight="1" x14ac:dyDescent="0.3">
      <c r="C153" s="4"/>
      <c r="D153" s="8">
        <v>2022</v>
      </c>
      <c r="E153" s="14">
        <f>Data!Q153</f>
        <v>0</v>
      </c>
    </row>
    <row r="154" spans="2:5" ht="15" customHeight="1" x14ac:dyDescent="0.3">
      <c r="C154" s="4"/>
      <c r="D154" s="8">
        <v>2023</v>
      </c>
      <c r="E154" s="14">
        <f>Data!Q154</f>
        <v>0</v>
      </c>
    </row>
    <row r="155" spans="2:5" ht="15" customHeight="1" x14ac:dyDescent="0.3">
      <c r="C155" s="4"/>
      <c r="D155" s="8">
        <v>2024</v>
      </c>
      <c r="E155" s="14">
        <f>Data!Q155</f>
        <v>2</v>
      </c>
    </row>
    <row r="156" spans="2:5" ht="15" customHeight="1" x14ac:dyDescent="0.3">
      <c r="B156" s="8">
        <v>15</v>
      </c>
      <c r="C156" s="3" t="s">
        <v>25</v>
      </c>
      <c r="D156" s="8">
        <v>2014</v>
      </c>
      <c r="E156" s="14">
        <f>Data!Q156</f>
        <v>0</v>
      </c>
    </row>
    <row r="157" spans="2:5" ht="15" customHeight="1" x14ac:dyDescent="0.3">
      <c r="C157" s="3"/>
      <c r="D157" s="8">
        <v>2015</v>
      </c>
      <c r="E157" s="14">
        <f>Data!Q157</f>
        <v>0</v>
      </c>
    </row>
    <row r="158" spans="2:5" ht="15" customHeight="1" x14ac:dyDescent="0.3">
      <c r="C158" s="3"/>
      <c r="D158" s="8">
        <v>2016</v>
      </c>
      <c r="E158" s="14">
        <f>Data!Q158</f>
        <v>0</v>
      </c>
    </row>
    <row r="159" spans="2:5" ht="15" customHeight="1" x14ac:dyDescent="0.3">
      <c r="C159" s="3"/>
      <c r="D159" s="8">
        <v>2017</v>
      </c>
      <c r="E159" s="14">
        <f>Data!Q159</f>
        <v>0</v>
      </c>
    </row>
    <row r="160" spans="2:5" ht="15" customHeight="1" x14ac:dyDescent="0.3">
      <c r="C160" s="3"/>
      <c r="D160" s="8">
        <v>2018</v>
      </c>
      <c r="E160" s="14">
        <f>Data!Q160</f>
        <v>2</v>
      </c>
    </row>
    <row r="161" spans="2:5" ht="15" customHeight="1" x14ac:dyDescent="0.3">
      <c r="C161" s="3"/>
      <c r="D161" s="8">
        <v>2019</v>
      </c>
      <c r="E161" s="14">
        <f>Data!Q161</f>
        <v>2</v>
      </c>
    </row>
    <row r="162" spans="2:5" ht="15" customHeight="1" x14ac:dyDescent="0.3">
      <c r="C162" s="3"/>
      <c r="D162" s="8">
        <v>2020</v>
      </c>
      <c r="E162" s="14">
        <f>Data!Q162</f>
        <v>2</v>
      </c>
    </row>
    <row r="163" spans="2:5" ht="15" customHeight="1" x14ac:dyDescent="0.3">
      <c r="C163" s="3"/>
      <c r="D163" s="8">
        <v>2021</v>
      </c>
      <c r="E163" s="14">
        <f>Data!Q163</f>
        <v>1</v>
      </c>
    </row>
    <row r="164" spans="2:5" ht="15" customHeight="1" x14ac:dyDescent="0.3">
      <c r="C164" s="3"/>
      <c r="D164" s="8">
        <v>2022</v>
      </c>
      <c r="E164" s="14">
        <f>Data!Q164</f>
        <v>2</v>
      </c>
    </row>
    <row r="165" spans="2:5" ht="15" customHeight="1" x14ac:dyDescent="0.3">
      <c r="C165" s="3"/>
      <c r="D165" s="8">
        <v>2023</v>
      </c>
      <c r="E165" s="14">
        <f>Data!Q165</f>
        <v>2</v>
      </c>
    </row>
    <row r="166" spans="2:5" ht="15" customHeight="1" x14ac:dyDescent="0.3">
      <c r="C166" s="3"/>
      <c r="D166" s="8">
        <v>2024</v>
      </c>
      <c r="E166" s="14">
        <f>Data!Q166</f>
        <v>2</v>
      </c>
    </row>
    <row r="167" spans="2:5" ht="15" customHeight="1" x14ac:dyDescent="0.3">
      <c r="B167" s="8">
        <v>16</v>
      </c>
      <c r="C167" s="3" t="s">
        <v>44</v>
      </c>
      <c r="D167" s="8">
        <v>2014</v>
      </c>
      <c r="E167" s="14">
        <f>Data!Q167</f>
        <v>0</v>
      </c>
    </row>
    <row r="168" spans="2:5" ht="15" customHeight="1" x14ac:dyDescent="0.3">
      <c r="C168" s="3"/>
      <c r="D168" s="8">
        <v>2015</v>
      </c>
      <c r="E168" s="14">
        <f>Data!Q168</f>
        <v>1</v>
      </c>
    </row>
    <row r="169" spans="2:5" ht="15" customHeight="1" x14ac:dyDescent="0.3">
      <c r="C169" s="3"/>
      <c r="D169" s="8">
        <v>2016</v>
      </c>
      <c r="E169" s="14">
        <f>Data!Q169</f>
        <v>1</v>
      </c>
    </row>
    <row r="170" spans="2:5" ht="15" customHeight="1" x14ac:dyDescent="0.3">
      <c r="C170" s="3"/>
      <c r="D170" s="8">
        <v>2017</v>
      </c>
      <c r="E170" s="14">
        <f>Data!Q170</f>
        <v>2</v>
      </c>
    </row>
    <row r="171" spans="2:5" ht="15" customHeight="1" x14ac:dyDescent="0.3">
      <c r="C171" s="3"/>
      <c r="D171" s="8">
        <v>2018</v>
      </c>
      <c r="E171" s="14">
        <f>Data!Q171</f>
        <v>3</v>
      </c>
    </row>
    <row r="172" spans="2:5" ht="15" customHeight="1" x14ac:dyDescent="0.3">
      <c r="C172" s="3"/>
      <c r="D172" s="8">
        <v>2019</v>
      </c>
      <c r="E172" s="14">
        <f>Data!Q172</f>
        <v>2</v>
      </c>
    </row>
    <row r="173" spans="2:5" ht="15" customHeight="1" x14ac:dyDescent="0.3">
      <c r="C173" s="3"/>
      <c r="D173" s="8">
        <v>2020</v>
      </c>
      <c r="E173" s="14">
        <f>Data!Q173</f>
        <v>2</v>
      </c>
    </row>
    <row r="174" spans="2:5" ht="15" customHeight="1" x14ac:dyDescent="0.3">
      <c r="C174" s="3"/>
      <c r="D174" s="8">
        <v>2021</v>
      </c>
      <c r="E174" s="14">
        <f>Data!Q174</f>
        <v>2</v>
      </c>
    </row>
    <row r="175" spans="2:5" ht="15" customHeight="1" x14ac:dyDescent="0.3">
      <c r="C175" s="3"/>
      <c r="D175" s="8">
        <v>2022</v>
      </c>
      <c r="E175" s="14">
        <f>Data!Q175</f>
        <v>2</v>
      </c>
    </row>
    <row r="176" spans="2:5" ht="15" customHeight="1" x14ac:dyDescent="0.3">
      <c r="C176" s="3"/>
      <c r="D176" s="8">
        <v>2023</v>
      </c>
      <c r="E176" s="14">
        <f>Data!Q176</f>
        <v>2</v>
      </c>
    </row>
    <row r="177" spans="2:5" ht="15" customHeight="1" x14ac:dyDescent="0.3">
      <c r="C177" s="3"/>
      <c r="D177" s="8">
        <v>2024</v>
      </c>
      <c r="E177" s="14">
        <f>Data!Q177</f>
        <v>2</v>
      </c>
    </row>
    <row r="178" spans="2:5" ht="15" customHeight="1" x14ac:dyDescent="0.3">
      <c r="B178" s="8">
        <v>17</v>
      </c>
      <c r="C178" s="3" t="s">
        <v>22</v>
      </c>
      <c r="D178" s="8">
        <v>2014</v>
      </c>
      <c r="E178" s="14">
        <f>Data!Q178</f>
        <v>0</v>
      </c>
    </row>
    <row r="179" spans="2:5" ht="15" customHeight="1" x14ac:dyDescent="0.3">
      <c r="C179" s="3"/>
      <c r="D179" s="8">
        <v>2015</v>
      </c>
      <c r="E179" s="14">
        <f>Data!Q179</f>
        <v>0</v>
      </c>
    </row>
    <row r="180" spans="2:5" ht="15" customHeight="1" x14ac:dyDescent="0.3">
      <c r="C180" s="3"/>
      <c r="D180" s="8">
        <v>2016</v>
      </c>
      <c r="E180" s="14">
        <f>Data!Q180</f>
        <v>0</v>
      </c>
    </row>
    <row r="181" spans="2:5" ht="15" customHeight="1" x14ac:dyDescent="0.3">
      <c r="C181" s="3"/>
      <c r="D181" s="8">
        <v>2017</v>
      </c>
      <c r="E181" s="14">
        <f>Data!Q181</f>
        <v>0</v>
      </c>
    </row>
    <row r="182" spans="2:5" ht="15" customHeight="1" x14ac:dyDescent="0.3">
      <c r="C182" s="3"/>
      <c r="D182" s="8">
        <v>2018</v>
      </c>
      <c r="E182" s="14">
        <f>Data!Q182</f>
        <v>0</v>
      </c>
    </row>
    <row r="183" spans="2:5" ht="15" customHeight="1" x14ac:dyDescent="0.3">
      <c r="C183" s="3"/>
      <c r="D183" s="8">
        <v>2019</v>
      </c>
      <c r="E183" s="14">
        <f>Data!Q183</f>
        <v>0</v>
      </c>
    </row>
    <row r="184" spans="2:5" ht="15" customHeight="1" x14ac:dyDescent="0.3">
      <c r="C184" s="3"/>
      <c r="D184" s="8">
        <v>2020</v>
      </c>
      <c r="E184" s="14">
        <f>Data!Q184</f>
        <v>2</v>
      </c>
    </row>
    <row r="185" spans="2:5" ht="15" customHeight="1" x14ac:dyDescent="0.3">
      <c r="C185" s="3"/>
      <c r="D185" s="8">
        <v>2021</v>
      </c>
      <c r="E185" s="14">
        <f>Data!Q185</f>
        <v>2</v>
      </c>
    </row>
    <row r="186" spans="2:5" ht="15" customHeight="1" x14ac:dyDescent="0.3">
      <c r="C186" s="3"/>
      <c r="D186" s="8">
        <v>2022</v>
      </c>
      <c r="E186" s="14">
        <f>Data!Q186</f>
        <v>2</v>
      </c>
    </row>
    <row r="187" spans="2:5" ht="15" customHeight="1" x14ac:dyDescent="0.3">
      <c r="C187" s="3"/>
      <c r="D187" s="8">
        <v>2023</v>
      </c>
      <c r="E187" s="14">
        <f>Data!Q187</f>
        <v>2</v>
      </c>
    </row>
    <row r="188" spans="2:5" ht="15" customHeight="1" x14ac:dyDescent="0.3">
      <c r="C188" s="3"/>
      <c r="D188" s="8">
        <v>2024</v>
      </c>
      <c r="E188" s="14">
        <f>Data!Q188</f>
        <v>2</v>
      </c>
    </row>
    <row r="189" spans="2:5" ht="15" customHeight="1" x14ac:dyDescent="0.3">
      <c r="B189" s="8">
        <v>18</v>
      </c>
      <c r="C189" s="3" t="s">
        <v>45</v>
      </c>
      <c r="D189" s="8">
        <v>2014</v>
      </c>
      <c r="E189" s="14">
        <f>Data!Q189</f>
        <v>0</v>
      </c>
    </row>
    <row r="190" spans="2:5" ht="15" customHeight="1" x14ac:dyDescent="0.3">
      <c r="C190" s="3"/>
      <c r="D190" s="8">
        <v>2015</v>
      </c>
      <c r="E190" s="14">
        <f>Data!Q190</f>
        <v>1</v>
      </c>
    </row>
    <row r="191" spans="2:5" ht="15" customHeight="1" x14ac:dyDescent="0.3">
      <c r="C191" s="3"/>
      <c r="D191" s="8">
        <v>2016</v>
      </c>
      <c r="E191" s="14">
        <f>Data!Q191</f>
        <v>2</v>
      </c>
    </row>
    <row r="192" spans="2:5" ht="15" customHeight="1" x14ac:dyDescent="0.3">
      <c r="C192" s="3"/>
      <c r="D192" s="8">
        <v>2017</v>
      </c>
      <c r="E192" s="14">
        <f>Data!Q192</f>
        <v>2</v>
      </c>
    </row>
    <row r="193" spans="2:5" ht="15" customHeight="1" x14ac:dyDescent="0.3">
      <c r="C193" s="3"/>
      <c r="D193" s="8">
        <v>2018</v>
      </c>
      <c r="E193" s="14">
        <f>Data!Q193</f>
        <v>2</v>
      </c>
    </row>
    <row r="194" spans="2:5" ht="15" customHeight="1" x14ac:dyDescent="0.3">
      <c r="C194" s="3"/>
      <c r="D194" s="8">
        <v>2019</v>
      </c>
      <c r="E194" s="14">
        <f>Data!Q194</f>
        <v>2</v>
      </c>
    </row>
    <row r="195" spans="2:5" ht="15" customHeight="1" x14ac:dyDescent="0.3">
      <c r="C195" s="3"/>
      <c r="D195" s="8">
        <v>2020</v>
      </c>
      <c r="E195" s="14">
        <f>Data!Q195</f>
        <v>2</v>
      </c>
    </row>
    <row r="196" spans="2:5" ht="15" customHeight="1" x14ac:dyDescent="0.3">
      <c r="C196" s="3"/>
      <c r="D196" s="8">
        <v>2021</v>
      </c>
      <c r="E196" s="14">
        <f>Data!Q196</f>
        <v>2</v>
      </c>
    </row>
    <row r="197" spans="2:5" ht="15" customHeight="1" x14ac:dyDescent="0.3">
      <c r="C197" s="3"/>
      <c r="D197" s="8">
        <v>2022</v>
      </c>
      <c r="E197" s="14">
        <f>Data!Q197</f>
        <v>2</v>
      </c>
    </row>
    <row r="198" spans="2:5" ht="15" customHeight="1" x14ac:dyDescent="0.3">
      <c r="C198" s="3"/>
      <c r="D198" s="8">
        <v>2023</v>
      </c>
      <c r="E198" s="14">
        <f>Data!Q198</f>
        <v>2</v>
      </c>
    </row>
    <row r="199" spans="2:5" ht="15" customHeight="1" x14ac:dyDescent="0.3">
      <c r="C199" s="3"/>
      <c r="D199" s="8">
        <v>2024</v>
      </c>
      <c r="E199" s="14">
        <f>Data!Q199</f>
        <v>1</v>
      </c>
    </row>
    <row r="200" spans="2:5" ht="15" customHeight="1" x14ac:dyDescent="0.3">
      <c r="B200" s="8">
        <v>19</v>
      </c>
      <c r="C200" s="3" t="s">
        <v>46</v>
      </c>
      <c r="D200" s="8">
        <v>2014</v>
      </c>
      <c r="E200" s="14">
        <f>Data!Q200</f>
        <v>0</v>
      </c>
    </row>
    <row r="201" spans="2:5" ht="15" customHeight="1" x14ac:dyDescent="0.3">
      <c r="C201" s="3"/>
      <c r="D201" s="8">
        <v>2015</v>
      </c>
      <c r="E201" s="14">
        <f>Data!Q201</f>
        <v>2</v>
      </c>
    </row>
    <row r="202" spans="2:5" ht="15" customHeight="1" x14ac:dyDescent="0.3">
      <c r="C202" s="3"/>
      <c r="D202" s="8">
        <v>2016</v>
      </c>
      <c r="E202" s="14">
        <f>Data!Q202</f>
        <v>3</v>
      </c>
    </row>
    <row r="203" spans="2:5" ht="15" customHeight="1" x14ac:dyDescent="0.3">
      <c r="C203" s="3"/>
      <c r="D203" s="8">
        <v>2017</v>
      </c>
      <c r="E203" s="14">
        <f>Data!Q203</f>
        <v>3</v>
      </c>
    </row>
    <row r="204" spans="2:5" ht="15" customHeight="1" x14ac:dyDescent="0.3">
      <c r="C204" s="3"/>
      <c r="D204" s="8">
        <v>2018</v>
      </c>
      <c r="E204" s="14">
        <f>Data!Q204</f>
        <v>3</v>
      </c>
    </row>
    <row r="205" spans="2:5" ht="15" customHeight="1" x14ac:dyDescent="0.3">
      <c r="C205" s="3"/>
      <c r="D205" s="8">
        <v>2019</v>
      </c>
      <c r="E205" s="14">
        <f>Data!Q205</f>
        <v>2</v>
      </c>
    </row>
    <row r="206" spans="2:5" ht="15" customHeight="1" x14ac:dyDescent="0.3">
      <c r="C206" s="3"/>
      <c r="D206" s="8">
        <v>2020</v>
      </c>
      <c r="E206" s="14">
        <f>Data!Q206</f>
        <v>2</v>
      </c>
    </row>
    <row r="207" spans="2:5" ht="15" customHeight="1" x14ac:dyDescent="0.3">
      <c r="C207" s="3"/>
      <c r="D207" s="8">
        <v>2021</v>
      </c>
      <c r="E207" s="14">
        <f>Data!Q207</f>
        <v>3</v>
      </c>
    </row>
    <row r="208" spans="2:5" ht="15" customHeight="1" x14ac:dyDescent="0.3">
      <c r="C208" s="3"/>
      <c r="D208" s="8">
        <v>2022</v>
      </c>
      <c r="E208" s="14">
        <f>Data!Q208</f>
        <v>3</v>
      </c>
    </row>
    <row r="209" spans="2:5" ht="15" customHeight="1" x14ac:dyDescent="0.3">
      <c r="C209" s="3"/>
      <c r="D209" s="8">
        <v>2023</v>
      </c>
      <c r="E209" s="14">
        <f>Data!Q209</f>
        <v>3</v>
      </c>
    </row>
    <row r="210" spans="2:5" ht="15" customHeight="1" x14ac:dyDescent="0.3">
      <c r="C210" s="3"/>
      <c r="D210" s="8">
        <v>2024</v>
      </c>
      <c r="E210" s="14">
        <f>Data!Q210</f>
        <v>3</v>
      </c>
    </row>
    <row r="211" spans="2:5" ht="15" customHeight="1" x14ac:dyDescent="0.3">
      <c r="B211" s="8">
        <v>20</v>
      </c>
      <c r="C211" s="3" t="s">
        <v>27</v>
      </c>
      <c r="D211" s="8">
        <v>2014</v>
      </c>
      <c r="E211" s="14">
        <f>Data!Q211</f>
        <v>0</v>
      </c>
    </row>
    <row r="212" spans="2:5" ht="15" customHeight="1" x14ac:dyDescent="0.3">
      <c r="C212" s="3"/>
      <c r="D212" s="8">
        <v>2015</v>
      </c>
      <c r="E212" s="14">
        <f>Data!Q212</f>
        <v>0</v>
      </c>
    </row>
    <row r="213" spans="2:5" ht="15" customHeight="1" x14ac:dyDescent="0.3">
      <c r="C213" s="3"/>
      <c r="D213" s="8">
        <v>2016</v>
      </c>
      <c r="E213" s="14">
        <f>Data!Q213</f>
        <v>0</v>
      </c>
    </row>
    <row r="214" spans="2:5" ht="15" customHeight="1" x14ac:dyDescent="0.3">
      <c r="C214" s="3"/>
      <c r="D214" s="8">
        <v>2017</v>
      </c>
      <c r="E214" s="14">
        <f>Data!Q214</f>
        <v>0</v>
      </c>
    </row>
    <row r="215" spans="2:5" ht="15" customHeight="1" x14ac:dyDescent="0.3">
      <c r="C215" s="3"/>
      <c r="D215" s="8">
        <v>2018</v>
      </c>
      <c r="E215" s="14">
        <f>Data!Q215</f>
        <v>2</v>
      </c>
    </row>
    <row r="216" spans="2:5" ht="15" customHeight="1" x14ac:dyDescent="0.3">
      <c r="C216" s="3"/>
      <c r="D216" s="8">
        <v>2019</v>
      </c>
      <c r="E216" s="14">
        <f>Data!Q216</f>
        <v>2</v>
      </c>
    </row>
    <row r="217" spans="2:5" ht="15" customHeight="1" x14ac:dyDescent="0.3">
      <c r="C217" s="3"/>
      <c r="D217" s="8">
        <v>2020</v>
      </c>
      <c r="E217" s="14">
        <f>Data!Q217</f>
        <v>2</v>
      </c>
    </row>
    <row r="218" spans="2:5" ht="15" customHeight="1" x14ac:dyDescent="0.3">
      <c r="C218" s="3"/>
      <c r="D218" s="8">
        <v>2021</v>
      </c>
      <c r="E218" s="14">
        <f>Data!Q218</f>
        <v>2</v>
      </c>
    </row>
    <row r="219" spans="2:5" ht="15" customHeight="1" x14ac:dyDescent="0.3">
      <c r="C219" s="3"/>
      <c r="D219" s="8">
        <v>2022</v>
      </c>
      <c r="E219" s="14">
        <f>Data!Q219</f>
        <v>2</v>
      </c>
    </row>
    <row r="220" spans="2:5" ht="15" customHeight="1" x14ac:dyDescent="0.3">
      <c r="C220" s="3"/>
      <c r="D220" s="8">
        <v>2023</v>
      </c>
      <c r="E220" s="14">
        <f>Data!Q220</f>
        <v>2</v>
      </c>
    </row>
    <row r="221" spans="2:5" ht="15" customHeight="1" x14ac:dyDescent="0.3">
      <c r="C221" s="3"/>
      <c r="D221" s="8">
        <v>2024</v>
      </c>
      <c r="E221" s="14">
        <f>Data!Q221</f>
        <v>2</v>
      </c>
    </row>
    <row r="222" spans="2:5" ht="15" customHeight="1" x14ac:dyDescent="0.3">
      <c r="B222" s="8">
        <v>21</v>
      </c>
      <c r="C222" s="4" t="s">
        <v>52</v>
      </c>
      <c r="D222" s="8">
        <v>2014</v>
      </c>
      <c r="E222" s="14">
        <f>Data!Q222</f>
        <v>0</v>
      </c>
    </row>
    <row r="223" spans="2:5" ht="15" customHeight="1" x14ac:dyDescent="0.3">
      <c r="C223" s="4"/>
      <c r="D223" s="8">
        <v>2015</v>
      </c>
      <c r="E223" s="14">
        <f>Data!Q223</f>
        <v>2</v>
      </c>
    </row>
    <row r="224" spans="2:5" ht="15" customHeight="1" x14ac:dyDescent="0.3">
      <c r="C224" s="4"/>
      <c r="D224" s="8">
        <v>2016</v>
      </c>
      <c r="E224" s="14">
        <f>Data!Q224</f>
        <v>2</v>
      </c>
    </row>
    <row r="225" spans="2:5" ht="15" customHeight="1" x14ac:dyDescent="0.3">
      <c r="C225" s="4"/>
      <c r="D225" s="8">
        <v>2017</v>
      </c>
      <c r="E225" s="14">
        <f>Data!Q225</f>
        <v>3</v>
      </c>
    </row>
    <row r="226" spans="2:5" ht="15" customHeight="1" x14ac:dyDescent="0.3">
      <c r="C226" s="4"/>
      <c r="D226" s="8">
        <v>2018</v>
      </c>
      <c r="E226" s="14">
        <f>Data!Q226</f>
        <v>3</v>
      </c>
    </row>
    <row r="227" spans="2:5" ht="15" customHeight="1" x14ac:dyDescent="0.3">
      <c r="C227" s="4"/>
      <c r="D227" s="8">
        <v>2019</v>
      </c>
      <c r="E227" s="14">
        <f>Data!Q227</f>
        <v>3</v>
      </c>
    </row>
    <row r="228" spans="2:5" ht="15" customHeight="1" x14ac:dyDescent="0.3">
      <c r="C228" s="4"/>
      <c r="D228" s="8">
        <v>2020</v>
      </c>
      <c r="E228" s="14">
        <f>Data!Q228</f>
        <v>3</v>
      </c>
    </row>
    <row r="229" spans="2:5" ht="15" customHeight="1" x14ac:dyDescent="0.3">
      <c r="C229" s="4"/>
      <c r="D229" s="8">
        <v>2021</v>
      </c>
      <c r="E229" s="14">
        <f>Data!Q229</f>
        <v>3</v>
      </c>
    </row>
    <row r="230" spans="2:5" ht="15" customHeight="1" x14ac:dyDescent="0.3">
      <c r="C230" s="4"/>
      <c r="D230" s="8">
        <v>2022</v>
      </c>
      <c r="E230" s="14">
        <f>Data!Q230</f>
        <v>3</v>
      </c>
    </row>
    <row r="231" spans="2:5" ht="15" customHeight="1" x14ac:dyDescent="0.3">
      <c r="C231" s="4"/>
      <c r="D231" s="8">
        <v>2023</v>
      </c>
      <c r="E231" s="14">
        <f>Data!Q231</f>
        <v>4</v>
      </c>
    </row>
    <row r="232" spans="2:5" ht="15" customHeight="1" x14ac:dyDescent="0.3">
      <c r="C232" s="4"/>
      <c r="D232" s="8">
        <v>2024</v>
      </c>
      <c r="E232" s="14">
        <f>Data!Q232</f>
        <v>2</v>
      </c>
    </row>
    <row r="233" spans="2:5" ht="15" customHeight="1" x14ac:dyDescent="0.3">
      <c r="B233" s="8">
        <v>22</v>
      </c>
      <c r="C233" s="4" t="s">
        <v>53</v>
      </c>
      <c r="D233" s="8">
        <v>2014</v>
      </c>
      <c r="E233" s="14">
        <f>Data!Q233</f>
        <v>0</v>
      </c>
    </row>
    <row r="234" spans="2:5" ht="15" customHeight="1" x14ac:dyDescent="0.3">
      <c r="C234" s="4"/>
      <c r="D234" s="8">
        <v>2015</v>
      </c>
      <c r="E234" s="14">
        <f>Data!Q234</f>
        <v>0</v>
      </c>
    </row>
    <row r="235" spans="2:5" ht="15" customHeight="1" x14ac:dyDescent="0.3">
      <c r="C235" s="4"/>
      <c r="D235" s="8">
        <v>2016</v>
      </c>
      <c r="E235" s="14">
        <f>Data!Q235</f>
        <v>0</v>
      </c>
    </row>
    <row r="236" spans="2:5" ht="15" customHeight="1" x14ac:dyDescent="0.3">
      <c r="C236" s="4"/>
      <c r="D236" s="8">
        <v>2017</v>
      </c>
      <c r="E236" s="14">
        <f>Data!Q236</f>
        <v>2</v>
      </c>
    </row>
    <row r="237" spans="2:5" ht="15" customHeight="1" x14ac:dyDescent="0.3">
      <c r="C237" s="4"/>
      <c r="D237" s="8">
        <v>2018</v>
      </c>
      <c r="E237" s="14">
        <f>Data!Q237</f>
        <v>1</v>
      </c>
    </row>
    <row r="238" spans="2:5" ht="15" customHeight="1" x14ac:dyDescent="0.3">
      <c r="C238" s="4"/>
      <c r="D238" s="8">
        <v>2019</v>
      </c>
      <c r="E238" s="14">
        <f>Data!Q238</f>
        <v>0</v>
      </c>
    </row>
    <row r="239" spans="2:5" ht="15" customHeight="1" x14ac:dyDescent="0.3">
      <c r="C239" s="4"/>
      <c r="D239" s="8">
        <v>2020</v>
      </c>
      <c r="E239" s="14">
        <f>Data!Q239</f>
        <v>0</v>
      </c>
    </row>
    <row r="240" spans="2:5" ht="15" customHeight="1" x14ac:dyDescent="0.3">
      <c r="C240" s="4"/>
      <c r="D240" s="8">
        <v>2021</v>
      </c>
      <c r="E240" s="14">
        <f>Data!Q240</f>
        <v>0</v>
      </c>
    </row>
    <row r="241" spans="2:5" ht="15" customHeight="1" x14ac:dyDescent="0.3">
      <c r="C241" s="4"/>
      <c r="D241" s="8">
        <v>2022</v>
      </c>
      <c r="E241" s="14">
        <f>Data!Q241</f>
        <v>1</v>
      </c>
    </row>
    <row r="242" spans="2:5" ht="15" customHeight="1" x14ac:dyDescent="0.3">
      <c r="C242" s="4"/>
      <c r="D242" s="8">
        <v>2023</v>
      </c>
      <c r="E242" s="14">
        <f>Data!Q242</f>
        <v>2</v>
      </c>
    </row>
    <row r="243" spans="2:5" ht="15" customHeight="1" x14ac:dyDescent="0.3">
      <c r="C243" s="4"/>
      <c r="D243" s="8">
        <v>2024</v>
      </c>
      <c r="E243" s="14">
        <f>Data!Q243</f>
        <v>0</v>
      </c>
    </row>
    <row r="244" spans="2:5" ht="15" customHeight="1" x14ac:dyDescent="0.3">
      <c r="B244" s="8">
        <v>23</v>
      </c>
      <c r="C244" s="4" t="s">
        <v>51</v>
      </c>
      <c r="D244" s="8">
        <v>2014</v>
      </c>
      <c r="E244" s="14">
        <f>Data!Q244</f>
        <v>0</v>
      </c>
    </row>
    <row r="245" spans="2:5" ht="15" customHeight="1" x14ac:dyDescent="0.3">
      <c r="C245" s="4"/>
      <c r="D245" s="8">
        <v>2015</v>
      </c>
      <c r="E245" s="14">
        <f>Data!Q245</f>
        <v>0</v>
      </c>
    </row>
    <row r="246" spans="2:5" ht="15" customHeight="1" x14ac:dyDescent="0.3">
      <c r="C246" s="4"/>
      <c r="D246" s="8">
        <v>2016</v>
      </c>
      <c r="E246" s="14">
        <f>Data!Q246</f>
        <v>0</v>
      </c>
    </row>
    <row r="247" spans="2:5" ht="15" customHeight="1" x14ac:dyDescent="0.3">
      <c r="C247" s="4"/>
      <c r="D247" s="8">
        <v>2017</v>
      </c>
      <c r="E247" s="14">
        <f>Data!Q247</f>
        <v>2</v>
      </c>
    </row>
    <row r="248" spans="2:5" ht="15" customHeight="1" x14ac:dyDescent="0.3">
      <c r="C248" s="4"/>
      <c r="D248" s="8">
        <v>2018</v>
      </c>
      <c r="E248" s="14">
        <f>Data!Q248</f>
        <v>2</v>
      </c>
    </row>
    <row r="249" spans="2:5" ht="15" customHeight="1" x14ac:dyDescent="0.3">
      <c r="C249" s="4"/>
      <c r="D249" s="8">
        <v>2019</v>
      </c>
      <c r="E249" s="14">
        <f>Data!Q249</f>
        <v>2</v>
      </c>
    </row>
    <row r="250" spans="2:5" ht="15" customHeight="1" x14ac:dyDescent="0.3">
      <c r="C250" s="4"/>
      <c r="D250" s="8">
        <v>2020</v>
      </c>
      <c r="E250" s="14">
        <f>Data!Q250</f>
        <v>2</v>
      </c>
    </row>
    <row r="251" spans="2:5" ht="15" customHeight="1" x14ac:dyDescent="0.3">
      <c r="C251" s="4"/>
      <c r="D251" s="8">
        <v>2021</v>
      </c>
      <c r="E251" s="14">
        <f>Data!Q251</f>
        <v>2</v>
      </c>
    </row>
    <row r="252" spans="2:5" ht="15" customHeight="1" x14ac:dyDescent="0.3">
      <c r="C252" s="4"/>
      <c r="D252" s="8">
        <v>2022</v>
      </c>
      <c r="E252" s="14">
        <f>Data!Q252</f>
        <v>2</v>
      </c>
    </row>
    <row r="253" spans="2:5" ht="15" customHeight="1" x14ac:dyDescent="0.3">
      <c r="C253" s="4"/>
      <c r="D253" s="8">
        <v>2023</v>
      </c>
      <c r="E253" s="14">
        <f>Data!Q253</f>
        <v>2</v>
      </c>
    </row>
    <row r="254" spans="2:5" ht="15" customHeight="1" x14ac:dyDescent="0.3">
      <c r="C254" s="4"/>
      <c r="D254" s="8">
        <v>2024</v>
      </c>
      <c r="E254" s="14">
        <f>Data!Q254</f>
        <v>2</v>
      </c>
    </row>
    <row r="255" spans="2:5" ht="15" customHeight="1" x14ac:dyDescent="0.3">
      <c r="B255" s="8">
        <v>24</v>
      </c>
      <c r="C255" s="4" t="s">
        <v>50</v>
      </c>
      <c r="D255" s="8">
        <v>2014</v>
      </c>
      <c r="E255" s="14">
        <f>Data!Q255</f>
        <v>0</v>
      </c>
    </row>
    <row r="256" spans="2:5" ht="15" customHeight="1" x14ac:dyDescent="0.3">
      <c r="C256" s="4"/>
      <c r="D256" s="8">
        <v>2015</v>
      </c>
      <c r="E256" s="14">
        <f>Data!Q256</f>
        <v>1</v>
      </c>
    </row>
    <row r="257" spans="2:5" ht="15" customHeight="1" x14ac:dyDescent="0.3">
      <c r="C257" s="4"/>
      <c r="D257" s="8">
        <v>2016</v>
      </c>
      <c r="E257" s="14">
        <f>Data!Q257</f>
        <v>1</v>
      </c>
    </row>
    <row r="258" spans="2:5" ht="15" customHeight="1" x14ac:dyDescent="0.3">
      <c r="C258" s="4"/>
      <c r="D258" s="8">
        <v>2017</v>
      </c>
      <c r="E258" s="14">
        <f>Data!Q258</f>
        <v>2</v>
      </c>
    </row>
    <row r="259" spans="2:5" ht="15" customHeight="1" x14ac:dyDescent="0.3">
      <c r="C259" s="4"/>
      <c r="D259" s="8">
        <v>2018</v>
      </c>
      <c r="E259" s="14">
        <f>Data!Q259</f>
        <v>1</v>
      </c>
    </row>
    <row r="260" spans="2:5" ht="15" customHeight="1" x14ac:dyDescent="0.3">
      <c r="C260" s="4"/>
      <c r="D260" s="8">
        <v>2019</v>
      </c>
      <c r="E260" s="14">
        <f>Data!Q260</f>
        <v>1</v>
      </c>
    </row>
    <row r="261" spans="2:5" ht="15" customHeight="1" x14ac:dyDescent="0.3">
      <c r="C261" s="4"/>
      <c r="D261" s="8">
        <v>2020</v>
      </c>
      <c r="E261" s="14">
        <f>Data!Q261</f>
        <v>2</v>
      </c>
    </row>
    <row r="262" spans="2:5" ht="15" customHeight="1" x14ac:dyDescent="0.3">
      <c r="C262" s="4"/>
      <c r="D262" s="8">
        <v>2021</v>
      </c>
      <c r="E262" s="14">
        <f>Data!Q262</f>
        <v>2</v>
      </c>
    </row>
    <row r="263" spans="2:5" ht="15" customHeight="1" x14ac:dyDescent="0.3">
      <c r="C263" s="4"/>
      <c r="D263" s="8">
        <v>2022</v>
      </c>
      <c r="E263" s="14">
        <f>Data!Q263</f>
        <v>2</v>
      </c>
    </row>
    <row r="264" spans="2:5" ht="15" customHeight="1" x14ac:dyDescent="0.3">
      <c r="C264" s="4"/>
      <c r="D264" s="8">
        <v>2023</v>
      </c>
      <c r="E264" s="14">
        <f>Data!Q264</f>
        <v>2</v>
      </c>
    </row>
    <row r="265" spans="2:5" ht="15" customHeight="1" x14ac:dyDescent="0.3">
      <c r="C265" s="4"/>
      <c r="D265" s="8">
        <v>2024</v>
      </c>
      <c r="E265" s="14">
        <f>Data!Q265</f>
        <v>2</v>
      </c>
    </row>
    <row r="266" spans="2:5" ht="15" customHeight="1" x14ac:dyDescent="0.3">
      <c r="B266" s="8">
        <v>25</v>
      </c>
      <c r="C266" s="3" t="s">
        <v>28</v>
      </c>
      <c r="D266" s="8">
        <v>2014</v>
      </c>
      <c r="E266" s="14">
        <f>Data!Q266</f>
        <v>0</v>
      </c>
    </row>
    <row r="267" spans="2:5" ht="15" customHeight="1" x14ac:dyDescent="0.3">
      <c r="C267" s="3"/>
      <c r="D267" s="8">
        <v>2015</v>
      </c>
      <c r="E267" s="14">
        <f>Data!Q267</f>
        <v>2</v>
      </c>
    </row>
    <row r="268" spans="2:5" ht="15" customHeight="1" x14ac:dyDescent="0.3">
      <c r="C268" s="3"/>
      <c r="D268" s="8">
        <v>2016</v>
      </c>
      <c r="E268" s="14">
        <f>Data!Q268</f>
        <v>2</v>
      </c>
    </row>
    <row r="269" spans="2:5" ht="15" customHeight="1" x14ac:dyDescent="0.3">
      <c r="C269" s="3"/>
      <c r="D269" s="8">
        <v>2017</v>
      </c>
      <c r="E269" s="14">
        <f>Data!Q269</f>
        <v>2</v>
      </c>
    </row>
    <row r="270" spans="2:5" ht="15" customHeight="1" x14ac:dyDescent="0.3">
      <c r="C270" s="3"/>
      <c r="D270" s="8">
        <v>2018</v>
      </c>
      <c r="E270" s="14">
        <f>Data!Q270</f>
        <v>1</v>
      </c>
    </row>
    <row r="271" spans="2:5" ht="15" customHeight="1" x14ac:dyDescent="0.3">
      <c r="C271" s="3"/>
      <c r="D271" s="8">
        <v>2019</v>
      </c>
      <c r="E271" s="14">
        <f>Data!Q271</f>
        <v>2</v>
      </c>
    </row>
    <row r="272" spans="2:5" ht="15" customHeight="1" x14ac:dyDescent="0.3">
      <c r="C272" s="3"/>
      <c r="D272" s="8">
        <v>2020</v>
      </c>
      <c r="E272" s="14">
        <f>Data!Q272</f>
        <v>2</v>
      </c>
    </row>
    <row r="273" spans="2:5" ht="15" customHeight="1" x14ac:dyDescent="0.3">
      <c r="C273" s="3"/>
      <c r="D273" s="8">
        <v>2021</v>
      </c>
      <c r="E273" s="14">
        <f>Data!Q273</f>
        <v>2</v>
      </c>
    </row>
    <row r="274" spans="2:5" ht="15" customHeight="1" x14ac:dyDescent="0.3">
      <c r="C274" s="3"/>
      <c r="D274" s="8">
        <v>2022</v>
      </c>
      <c r="E274" s="14">
        <f>Data!Q274</f>
        <v>2</v>
      </c>
    </row>
    <row r="275" spans="2:5" ht="15" customHeight="1" x14ac:dyDescent="0.3">
      <c r="C275" s="3"/>
      <c r="D275" s="8">
        <v>2023</v>
      </c>
      <c r="E275" s="14">
        <f>Data!Q275</f>
        <v>2</v>
      </c>
    </row>
    <row r="276" spans="2:5" ht="15" customHeight="1" x14ac:dyDescent="0.3">
      <c r="C276" s="3"/>
      <c r="D276" s="8">
        <v>2024</v>
      </c>
      <c r="E276" s="14">
        <f>Data!Q276</f>
        <v>2</v>
      </c>
    </row>
    <row r="277" spans="2:5" ht="15" customHeight="1" x14ac:dyDescent="0.3">
      <c r="B277" s="8">
        <v>26</v>
      </c>
      <c r="C277" s="3" t="s">
        <v>42</v>
      </c>
      <c r="D277" s="8">
        <v>2014</v>
      </c>
      <c r="E277" s="14">
        <f>Data!Q277</f>
        <v>0</v>
      </c>
    </row>
    <row r="278" spans="2:5" ht="15" customHeight="1" x14ac:dyDescent="0.3">
      <c r="C278" s="3"/>
      <c r="D278" s="8">
        <v>2015</v>
      </c>
      <c r="E278" s="14">
        <f>Data!Q278</f>
        <v>0</v>
      </c>
    </row>
    <row r="279" spans="2:5" ht="15" customHeight="1" x14ac:dyDescent="0.3">
      <c r="C279" s="3"/>
      <c r="D279" s="8">
        <v>2016</v>
      </c>
      <c r="E279" s="14">
        <f>Data!Q279</f>
        <v>0</v>
      </c>
    </row>
    <row r="280" spans="2:5" ht="15" customHeight="1" x14ac:dyDescent="0.3">
      <c r="C280" s="3"/>
      <c r="D280" s="8">
        <v>2017</v>
      </c>
      <c r="E280" s="14">
        <f>Data!Q280</f>
        <v>0</v>
      </c>
    </row>
    <row r="281" spans="2:5" ht="15" customHeight="1" x14ac:dyDescent="0.3">
      <c r="C281" s="3"/>
      <c r="D281" s="8">
        <v>2018</v>
      </c>
      <c r="E281" s="14">
        <f>Data!Q281</f>
        <v>0</v>
      </c>
    </row>
    <row r="282" spans="2:5" ht="15" customHeight="1" x14ac:dyDescent="0.3">
      <c r="C282" s="3"/>
      <c r="D282" s="8">
        <v>2019</v>
      </c>
      <c r="E282" s="14">
        <f>Data!Q282</f>
        <v>0</v>
      </c>
    </row>
    <row r="283" spans="2:5" ht="15" customHeight="1" x14ac:dyDescent="0.3">
      <c r="C283" s="3"/>
      <c r="D283" s="8">
        <v>2020</v>
      </c>
      <c r="E283" s="14">
        <f>Data!Q283</f>
        <v>0</v>
      </c>
    </row>
    <row r="284" spans="2:5" ht="15" customHeight="1" x14ac:dyDescent="0.3">
      <c r="C284" s="3"/>
      <c r="D284" s="8">
        <v>2021</v>
      </c>
      <c r="E284" s="14">
        <f>Data!Q284</f>
        <v>0</v>
      </c>
    </row>
    <row r="285" spans="2:5" ht="15" customHeight="1" x14ac:dyDescent="0.3">
      <c r="C285" s="3"/>
      <c r="D285" s="8">
        <v>2022</v>
      </c>
      <c r="E285" s="14">
        <f>Data!Q285</f>
        <v>0</v>
      </c>
    </row>
    <row r="286" spans="2:5" ht="15" customHeight="1" x14ac:dyDescent="0.3">
      <c r="C286" s="3"/>
      <c r="D286" s="8">
        <v>2023</v>
      </c>
      <c r="E286" s="14">
        <f>Data!Q286</f>
        <v>2</v>
      </c>
    </row>
    <row r="287" spans="2:5" ht="15" customHeight="1" x14ac:dyDescent="0.3">
      <c r="C287" s="3"/>
      <c r="D287" s="8">
        <v>2024</v>
      </c>
      <c r="E287" s="14">
        <f>Data!Q287</f>
        <v>2</v>
      </c>
    </row>
    <row r="288" spans="2:5" ht="15" customHeight="1" x14ac:dyDescent="0.3">
      <c r="B288" s="8">
        <v>27</v>
      </c>
      <c r="C288" s="3" t="s">
        <v>29</v>
      </c>
      <c r="D288" s="8">
        <v>2014</v>
      </c>
      <c r="E288" s="14">
        <f>Data!Q288</f>
        <v>0</v>
      </c>
    </row>
    <row r="289" spans="2:5" ht="15" customHeight="1" x14ac:dyDescent="0.3">
      <c r="C289" s="3"/>
      <c r="D289" s="8">
        <v>2015</v>
      </c>
      <c r="E289" s="14">
        <f>Data!Q289</f>
        <v>2</v>
      </c>
    </row>
    <row r="290" spans="2:5" ht="15" customHeight="1" x14ac:dyDescent="0.3">
      <c r="C290" s="3"/>
      <c r="D290" s="8">
        <v>2016</v>
      </c>
      <c r="E290" s="14">
        <f>Data!Q290</f>
        <v>2</v>
      </c>
    </row>
    <row r="291" spans="2:5" ht="15" customHeight="1" x14ac:dyDescent="0.3">
      <c r="C291" s="3"/>
      <c r="D291" s="8">
        <v>2017</v>
      </c>
      <c r="E291" s="14">
        <f>Data!Q291</f>
        <v>2</v>
      </c>
    </row>
    <row r="292" spans="2:5" ht="15" customHeight="1" x14ac:dyDescent="0.3">
      <c r="C292" s="3"/>
      <c r="D292" s="8">
        <v>2018</v>
      </c>
      <c r="E292" s="14">
        <f>Data!Q292</f>
        <v>2</v>
      </c>
    </row>
    <row r="293" spans="2:5" ht="15" customHeight="1" x14ac:dyDescent="0.3">
      <c r="C293" s="3"/>
      <c r="D293" s="8">
        <v>2019</v>
      </c>
      <c r="E293" s="14">
        <f>Data!Q293</f>
        <v>2</v>
      </c>
    </row>
    <row r="294" spans="2:5" ht="15" customHeight="1" x14ac:dyDescent="0.3">
      <c r="C294" s="3"/>
      <c r="D294" s="8">
        <v>2020</v>
      </c>
      <c r="E294" s="14">
        <f>Data!Q294</f>
        <v>2</v>
      </c>
    </row>
    <row r="295" spans="2:5" ht="15" customHeight="1" x14ac:dyDescent="0.3">
      <c r="C295" s="3"/>
      <c r="D295" s="8">
        <v>2021</v>
      </c>
      <c r="E295" s="14">
        <f>Data!Q295</f>
        <v>2</v>
      </c>
    </row>
    <row r="296" spans="2:5" ht="15" customHeight="1" x14ac:dyDescent="0.3">
      <c r="C296" s="3"/>
      <c r="D296" s="8">
        <v>2022</v>
      </c>
      <c r="E296" s="14">
        <f>Data!Q296</f>
        <v>2</v>
      </c>
    </row>
    <row r="297" spans="2:5" ht="15" customHeight="1" x14ac:dyDescent="0.3">
      <c r="C297" s="3"/>
      <c r="D297" s="8">
        <v>2023</v>
      </c>
      <c r="E297" s="14">
        <f>Data!Q297</f>
        <v>2</v>
      </c>
    </row>
    <row r="298" spans="2:5" ht="15" customHeight="1" x14ac:dyDescent="0.3">
      <c r="C298" s="3"/>
      <c r="D298" s="8">
        <v>2024</v>
      </c>
      <c r="E298" s="14">
        <f>Data!Q298</f>
        <v>2</v>
      </c>
    </row>
    <row r="299" spans="2:5" ht="15" customHeight="1" x14ac:dyDescent="0.3">
      <c r="B299" s="8">
        <v>28</v>
      </c>
      <c r="C299" s="4" t="s">
        <v>149</v>
      </c>
      <c r="D299" s="8">
        <v>2014</v>
      </c>
      <c r="E299" s="14">
        <f>Data!Q299</f>
        <v>0</v>
      </c>
    </row>
    <row r="300" spans="2:5" ht="15" customHeight="1" x14ac:dyDescent="0.3">
      <c r="C300" s="4"/>
      <c r="D300" s="8">
        <v>2015</v>
      </c>
      <c r="E300" s="14">
        <f>Data!Q300</f>
        <v>0</v>
      </c>
    </row>
    <row r="301" spans="2:5" ht="15" customHeight="1" x14ac:dyDescent="0.3">
      <c r="C301" s="4"/>
      <c r="D301" s="8">
        <v>2016</v>
      </c>
      <c r="E301" s="14">
        <f>Data!Q301</f>
        <v>0</v>
      </c>
    </row>
    <row r="302" spans="2:5" ht="15" customHeight="1" x14ac:dyDescent="0.3">
      <c r="C302" s="4"/>
      <c r="D302" s="8">
        <v>2017</v>
      </c>
      <c r="E302" s="14">
        <f>Data!Q302</f>
        <v>0</v>
      </c>
    </row>
    <row r="303" spans="2:5" ht="15" customHeight="1" x14ac:dyDescent="0.3">
      <c r="C303" s="4"/>
      <c r="D303" s="8">
        <v>2018</v>
      </c>
      <c r="E303" s="14">
        <f>Data!Q303</f>
        <v>0</v>
      </c>
    </row>
    <row r="304" spans="2:5" ht="15" customHeight="1" x14ac:dyDescent="0.3">
      <c r="C304" s="4"/>
      <c r="D304" s="8">
        <v>2019</v>
      </c>
      <c r="E304" s="14">
        <f>Data!Q304</f>
        <v>2</v>
      </c>
    </row>
    <row r="305" spans="2:5" ht="15" customHeight="1" x14ac:dyDescent="0.3">
      <c r="C305" s="4"/>
      <c r="D305" s="8">
        <v>2020</v>
      </c>
      <c r="E305" s="14">
        <f>Data!Q305</f>
        <v>2</v>
      </c>
    </row>
    <row r="306" spans="2:5" ht="15" customHeight="1" x14ac:dyDescent="0.3">
      <c r="C306" s="4"/>
      <c r="D306" s="8">
        <v>2021</v>
      </c>
      <c r="E306" s="14">
        <f>Data!Q306</f>
        <v>2</v>
      </c>
    </row>
    <row r="307" spans="2:5" ht="15" customHeight="1" x14ac:dyDescent="0.3">
      <c r="C307" s="4"/>
      <c r="D307" s="8">
        <v>2022</v>
      </c>
      <c r="E307" s="14">
        <f>Data!Q307</f>
        <v>2</v>
      </c>
    </row>
    <row r="308" spans="2:5" ht="15" customHeight="1" x14ac:dyDescent="0.3">
      <c r="C308" s="4"/>
      <c r="D308" s="8">
        <v>2023</v>
      </c>
      <c r="E308" s="14">
        <f>Data!Q308</f>
        <v>2</v>
      </c>
    </row>
    <row r="309" spans="2:5" ht="15" customHeight="1" x14ac:dyDescent="0.3">
      <c r="C309" s="4"/>
      <c r="D309" s="8">
        <v>2024</v>
      </c>
      <c r="E309" s="14">
        <f>Data!Q309</f>
        <v>2</v>
      </c>
    </row>
    <row r="310" spans="2:5" ht="15" customHeight="1" x14ac:dyDescent="0.3">
      <c r="B310" s="8">
        <v>29</v>
      </c>
      <c r="C310" s="4" t="s">
        <v>55</v>
      </c>
      <c r="D310" s="8">
        <v>2014</v>
      </c>
      <c r="E310" s="14">
        <f>Data!Q310</f>
        <v>0</v>
      </c>
    </row>
    <row r="311" spans="2:5" ht="15" customHeight="1" x14ac:dyDescent="0.3">
      <c r="C311" s="4"/>
      <c r="D311" s="8">
        <v>2015</v>
      </c>
      <c r="E311" s="14">
        <f>Data!Q311</f>
        <v>1</v>
      </c>
    </row>
    <row r="312" spans="2:5" ht="15" customHeight="1" x14ac:dyDescent="0.3">
      <c r="C312" s="4"/>
      <c r="D312" s="8">
        <v>2016</v>
      </c>
      <c r="E312" s="14">
        <f>Data!Q312</f>
        <v>1</v>
      </c>
    </row>
    <row r="313" spans="2:5" ht="15" customHeight="1" x14ac:dyDescent="0.3">
      <c r="C313" s="4"/>
      <c r="D313" s="8">
        <v>2017</v>
      </c>
      <c r="E313" s="14">
        <f>Data!Q313</f>
        <v>1</v>
      </c>
    </row>
    <row r="314" spans="2:5" ht="15" customHeight="1" x14ac:dyDescent="0.3">
      <c r="C314" s="4"/>
      <c r="D314" s="8">
        <v>2018</v>
      </c>
      <c r="E314" s="14">
        <f>Data!Q314</f>
        <v>2</v>
      </c>
    </row>
    <row r="315" spans="2:5" ht="15" customHeight="1" x14ac:dyDescent="0.3">
      <c r="C315" s="4"/>
      <c r="D315" s="8">
        <v>2019</v>
      </c>
      <c r="E315" s="14">
        <f>Data!Q315</f>
        <v>2</v>
      </c>
    </row>
    <row r="316" spans="2:5" ht="15" customHeight="1" x14ac:dyDescent="0.3">
      <c r="C316" s="4"/>
      <c r="D316" s="8">
        <v>2020</v>
      </c>
      <c r="E316" s="14">
        <f>Data!Q316</f>
        <v>2</v>
      </c>
    </row>
    <row r="317" spans="2:5" ht="15" customHeight="1" x14ac:dyDescent="0.3">
      <c r="C317" s="4"/>
      <c r="D317" s="8">
        <v>2021</v>
      </c>
      <c r="E317" s="14">
        <f>Data!Q317</f>
        <v>2</v>
      </c>
    </row>
    <row r="318" spans="2:5" ht="15" customHeight="1" x14ac:dyDescent="0.3">
      <c r="C318" s="4"/>
      <c r="D318" s="8">
        <v>2022</v>
      </c>
      <c r="E318" s="14">
        <f>Data!Q318</f>
        <v>2</v>
      </c>
    </row>
    <row r="319" spans="2:5" ht="15" customHeight="1" x14ac:dyDescent="0.3">
      <c r="C319" s="4"/>
      <c r="D319" s="8">
        <v>2023</v>
      </c>
      <c r="E319" s="14">
        <f>Data!Q319</f>
        <v>2</v>
      </c>
    </row>
    <row r="320" spans="2:5" ht="15" customHeight="1" x14ac:dyDescent="0.3">
      <c r="C320" s="4"/>
      <c r="D320" s="8">
        <v>2024</v>
      </c>
      <c r="E320" s="14">
        <f>Data!Q320</f>
        <v>2</v>
      </c>
    </row>
    <row r="321" spans="2:5" ht="15" customHeight="1" x14ac:dyDescent="0.3">
      <c r="B321" s="8">
        <v>30</v>
      </c>
      <c r="C321" s="3" t="s">
        <v>5</v>
      </c>
      <c r="D321" s="8">
        <v>2014</v>
      </c>
      <c r="E321" s="14">
        <f>Data!Q321</f>
        <v>0</v>
      </c>
    </row>
    <row r="322" spans="2:5" ht="15" customHeight="1" x14ac:dyDescent="0.3">
      <c r="C322" s="3"/>
      <c r="D322" s="8">
        <v>2015</v>
      </c>
      <c r="E322" s="14">
        <f>Data!Q322</f>
        <v>0</v>
      </c>
    </row>
    <row r="323" spans="2:5" ht="15" customHeight="1" x14ac:dyDescent="0.3">
      <c r="C323" s="3"/>
      <c r="D323" s="8">
        <v>2016</v>
      </c>
      <c r="E323" s="14">
        <f>Data!Q323</f>
        <v>0</v>
      </c>
    </row>
    <row r="324" spans="2:5" ht="15" customHeight="1" x14ac:dyDescent="0.3">
      <c r="C324" s="3"/>
      <c r="D324" s="8">
        <v>2017</v>
      </c>
      <c r="E324" s="14">
        <f>Data!Q324</f>
        <v>0</v>
      </c>
    </row>
    <row r="325" spans="2:5" ht="15" customHeight="1" x14ac:dyDescent="0.3">
      <c r="C325" s="3"/>
      <c r="D325" s="8">
        <v>2018</v>
      </c>
      <c r="E325" s="14">
        <f>Data!Q325</f>
        <v>2</v>
      </c>
    </row>
    <row r="326" spans="2:5" ht="15" customHeight="1" x14ac:dyDescent="0.3">
      <c r="C326" s="3"/>
      <c r="D326" s="8">
        <v>2019</v>
      </c>
      <c r="E326" s="14">
        <f>Data!Q326</f>
        <v>2</v>
      </c>
    </row>
    <row r="327" spans="2:5" ht="15" customHeight="1" x14ac:dyDescent="0.3">
      <c r="C327" s="3"/>
      <c r="D327" s="8">
        <v>2020</v>
      </c>
      <c r="E327" s="14">
        <f>Data!Q327</f>
        <v>2</v>
      </c>
    </row>
    <row r="328" spans="2:5" ht="15" customHeight="1" x14ac:dyDescent="0.3">
      <c r="C328" s="3"/>
      <c r="D328" s="8">
        <v>2021</v>
      </c>
      <c r="E328" s="14">
        <f>Data!Q328</f>
        <v>2</v>
      </c>
    </row>
    <row r="329" spans="2:5" ht="15" customHeight="1" x14ac:dyDescent="0.3">
      <c r="C329" s="3"/>
      <c r="D329" s="8">
        <v>2022</v>
      </c>
      <c r="E329" s="14">
        <f>Data!Q329</f>
        <v>2</v>
      </c>
    </row>
    <row r="330" spans="2:5" ht="15" customHeight="1" x14ac:dyDescent="0.3">
      <c r="C330" s="3"/>
      <c r="D330" s="8">
        <v>2023</v>
      </c>
      <c r="E330" s="14">
        <f>Data!Q330</f>
        <v>2</v>
      </c>
    </row>
    <row r="331" spans="2:5" ht="15" customHeight="1" x14ac:dyDescent="0.3">
      <c r="C331" s="3"/>
      <c r="D331" s="8">
        <v>2024</v>
      </c>
      <c r="E331" s="14">
        <f>Data!Q331</f>
        <v>3</v>
      </c>
    </row>
    <row r="332" spans="2:5" ht="15" customHeight="1" x14ac:dyDescent="0.3">
      <c r="B332" s="8">
        <v>31</v>
      </c>
      <c r="C332" s="3" t="s">
        <v>6</v>
      </c>
      <c r="D332" s="8">
        <v>2014</v>
      </c>
      <c r="E332" s="14">
        <f>Data!Q332</f>
        <v>0</v>
      </c>
    </row>
    <row r="333" spans="2:5" ht="15" customHeight="1" x14ac:dyDescent="0.3">
      <c r="C333" s="3"/>
      <c r="D333" s="8">
        <v>2015</v>
      </c>
      <c r="E333" s="14">
        <f>Data!Q333</f>
        <v>0</v>
      </c>
    </row>
    <row r="334" spans="2:5" ht="15" customHeight="1" x14ac:dyDescent="0.3">
      <c r="C334" s="3"/>
      <c r="D334" s="8">
        <v>2016</v>
      </c>
      <c r="E334" s="14">
        <f>Data!Q334</f>
        <v>0</v>
      </c>
    </row>
    <row r="335" spans="2:5" ht="15" customHeight="1" x14ac:dyDescent="0.3">
      <c r="C335" s="3"/>
      <c r="D335" s="8">
        <v>2017</v>
      </c>
      <c r="E335" s="14">
        <f>Data!Q335</f>
        <v>0</v>
      </c>
    </row>
    <row r="336" spans="2:5" ht="15" customHeight="1" x14ac:dyDescent="0.3">
      <c r="C336" s="3"/>
      <c r="D336" s="8">
        <v>2018</v>
      </c>
      <c r="E336" s="14">
        <f>Data!Q336</f>
        <v>0</v>
      </c>
    </row>
    <row r="337" spans="2:5" ht="15" customHeight="1" x14ac:dyDescent="0.3">
      <c r="C337" s="3"/>
      <c r="D337" s="8">
        <v>2019</v>
      </c>
      <c r="E337" s="14">
        <f>Data!Q337</f>
        <v>0</v>
      </c>
    </row>
    <row r="338" spans="2:5" ht="15" customHeight="1" x14ac:dyDescent="0.3">
      <c r="C338" s="3"/>
      <c r="D338" s="8">
        <v>2020</v>
      </c>
      <c r="E338" s="14">
        <f>Data!Q338</f>
        <v>2</v>
      </c>
    </row>
    <row r="339" spans="2:5" ht="15" customHeight="1" x14ac:dyDescent="0.3">
      <c r="C339" s="3"/>
      <c r="D339" s="8">
        <v>2021</v>
      </c>
      <c r="E339" s="14">
        <f>Data!Q339</f>
        <v>2</v>
      </c>
    </row>
    <row r="340" spans="2:5" ht="15" customHeight="1" x14ac:dyDescent="0.3">
      <c r="C340" s="3"/>
      <c r="D340" s="8">
        <v>2022</v>
      </c>
      <c r="E340" s="14">
        <f>Data!Q340</f>
        <v>2</v>
      </c>
    </row>
    <row r="341" spans="2:5" ht="15" customHeight="1" x14ac:dyDescent="0.3">
      <c r="C341" s="3"/>
      <c r="D341" s="8">
        <v>2023</v>
      </c>
      <c r="E341" s="14">
        <f>Data!Q341</f>
        <v>2</v>
      </c>
    </row>
    <row r="342" spans="2:5" ht="15" customHeight="1" x14ac:dyDescent="0.3">
      <c r="C342" s="3"/>
      <c r="D342" s="8">
        <v>2024</v>
      </c>
      <c r="E342" s="14">
        <f>Data!Q342</f>
        <v>2</v>
      </c>
    </row>
    <row r="343" spans="2:5" ht="15" customHeight="1" x14ac:dyDescent="0.3">
      <c r="B343" s="8">
        <v>32</v>
      </c>
      <c r="C343" s="3" t="s">
        <v>7</v>
      </c>
      <c r="D343" s="8">
        <v>2014</v>
      </c>
      <c r="E343" s="14">
        <f>Data!Q343</f>
        <v>0</v>
      </c>
    </row>
    <row r="344" spans="2:5" ht="15" customHeight="1" x14ac:dyDescent="0.3">
      <c r="C344" s="3"/>
      <c r="D344" s="8">
        <v>2015</v>
      </c>
      <c r="E344" s="14">
        <f>Data!Q344</f>
        <v>0</v>
      </c>
    </row>
    <row r="345" spans="2:5" ht="15" customHeight="1" x14ac:dyDescent="0.3">
      <c r="C345" s="3"/>
      <c r="D345" s="8">
        <v>2016</v>
      </c>
      <c r="E345" s="14">
        <f>Data!Q345</f>
        <v>0</v>
      </c>
    </row>
    <row r="346" spans="2:5" ht="15" customHeight="1" x14ac:dyDescent="0.3">
      <c r="C346" s="3"/>
      <c r="D346" s="8">
        <v>2017</v>
      </c>
      <c r="E346" s="14">
        <f>Data!Q346</f>
        <v>2</v>
      </c>
    </row>
    <row r="347" spans="2:5" ht="15" customHeight="1" x14ac:dyDescent="0.3">
      <c r="C347" s="3"/>
      <c r="D347" s="8">
        <v>2018</v>
      </c>
      <c r="E347" s="14">
        <f>Data!Q347</f>
        <v>2</v>
      </c>
    </row>
    <row r="348" spans="2:5" ht="15" customHeight="1" x14ac:dyDescent="0.3">
      <c r="C348" s="3"/>
      <c r="D348" s="8">
        <v>2019</v>
      </c>
      <c r="E348" s="14">
        <f>Data!Q348</f>
        <v>2</v>
      </c>
    </row>
    <row r="349" spans="2:5" ht="15" customHeight="1" x14ac:dyDescent="0.3">
      <c r="C349" s="3"/>
      <c r="D349" s="8">
        <v>2020</v>
      </c>
      <c r="E349" s="14">
        <f>Data!Q349</f>
        <v>2</v>
      </c>
    </row>
    <row r="350" spans="2:5" ht="15" customHeight="1" x14ac:dyDescent="0.3">
      <c r="C350" s="3"/>
      <c r="D350" s="8">
        <v>2021</v>
      </c>
      <c r="E350" s="14">
        <f>Data!Q350</f>
        <v>2</v>
      </c>
    </row>
    <row r="351" spans="2:5" ht="15" customHeight="1" x14ac:dyDescent="0.3">
      <c r="C351" s="3"/>
      <c r="D351" s="8">
        <v>2022</v>
      </c>
      <c r="E351" s="14">
        <f>Data!Q351</f>
        <v>2</v>
      </c>
    </row>
    <row r="352" spans="2:5" ht="15" customHeight="1" x14ac:dyDescent="0.3">
      <c r="C352" s="3"/>
      <c r="D352" s="8">
        <v>2023</v>
      </c>
      <c r="E352" s="14">
        <f>Data!Q352</f>
        <v>2</v>
      </c>
    </row>
    <row r="353" spans="2:5" ht="15" customHeight="1" x14ac:dyDescent="0.3">
      <c r="C353" s="3"/>
      <c r="D353" s="8">
        <v>2024</v>
      </c>
      <c r="E353" s="14">
        <f>Data!Q353</f>
        <v>2</v>
      </c>
    </row>
    <row r="354" spans="2:5" ht="15" customHeight="1" x14ac:dyDescent="0.3">
      <c r="B354" s="8">
        <v>33</v>
      </c>
      <c r="C354" s="3" t="s">
        <v>30</v>
      </c>
      <c r="D354" s="8">
        <v>2014</v>
      </c>
      <c r="E354" s="14">
        <f>Data!Q354</f>
        <v>0</v>
      </c>
    </row>
    <row r="355" spans="2:5" ht="15" customHeight="1" x14ac:dyDescent="0.3">
      <c r="C355" s="3"/>
      <c r="D355" s="8">
        <v>2015</v>
      </c>
      <c r="E355" s="14">
        <f>Data!Q355</f>
        <v>0</v>
      </c>
    </row>
    <row r="356" spans="2:5" ht="15" customHeight="1" x14ac:dyDescent="0.3">
      <c r="C356" s="3"/>
      <c r="D356" s="8">
        <v>2016</v>
      </c>
      <c r="E356" s="14">
        <f>Data!Q356</f>
        <v>0</v>
      </c>
    </row>
    <row r="357" spans="2:5" ht="15" customHeight="1" x14ac:dyDescent="0.3">
      <c r="C357" s="3"/>
      <c r="D357" s="8">
        <v>2017</v>
      </c>
      <c r="E357" s="14">
        <f>Data!Q357</f>
        <v>2</v>
      </c>
    </row>
    <row r="358" spans="2:5" ht="15" customHeight="1" x14ac:dyDescent="0.3">
      <c r="C358" s="3"/>
      <c r="D358" s="8">
        <v>2018</v>
      </c>
      <c r="E358" s="14">
        <f>Data!Q358</f>
        <v>2</v>
      </c>
    </row>
    <row r="359" spans="2:5" ht="15" customHeight="1" x14ac:dyDescent="0.3">
      <c r="C359" s="3"/>
      <c r="D359" s="8">
        <v>2019</v>
      </c>
      <c r="E359" s="14">
        <f>Data!Q359</f>
        <v>2</v>
      </c>
    </row>
    <row r="360" spans="2:5" ht="15" customHeight="1" x14ac:dyDescent="0.3">
      <c r="C360" s="3"/>
      <c r="D360" s="8">
        <v>2020</v>
      </c>
      <c r="E360" s="14">
        <f>Data!Q360</f>
        <v>2</v>
      </c>
    </row>
    <row r="361" spans="2:5" ht="15" customHeight="1" x14ac:dyDescent="0.3">
      <c r="C361" s="3"/>
      <c r="D361" s="8">
        <v>2021</v>
      </c>
      <c r="E361" s="14">
        <f>Data!Q361</f>
        <v>2</v>
      </c>
    </row>
    <row r="362" spans="2:5" ht="15" customHeight="1" x14ac:dyDescent="0.3">
      <c r="C362" s="3"/>
      <c r="D362" s="8">
        <v>2022</v>
      </c>
      <c r="E362" s="14">
        <f>Data!Q362</f>
        <v>2</v>
      </c>
    </row>
    <row r="363" spans="2:5" ht="15" customHeight="1" x14ac:dyDescent="0.3">
      <c r="C363" s="3"/>
      <c r="D363" s="8">
        <v>2023</v>
      </c>
      <c r="E363" s="14">
        <f>Data!Q363</f>
        <v>2</v>
      </c>
    </row>
    <row r="364" spans="2:5" ht="15" customHeight="1" x14ac:dyDescent="0.3">
      <c r="C364" s="3"/>
      <c r="D364" s="8">
        <v>2024</v>
      </c>
      <c r="E364" s="14">
        <f>Data!Q364</f>
        <v>2</v>
      </c>
    </row>
    <row r="365" spans="2:5" ht="15" customHeight="1" x14ac:dyDescent="0.3">
      <c r="B365" s="8">
        <v>34</v>
      </c>
      <c r="C365" s="3" t="s">
        <v>9</v>
      </c>
      <c r="D365" s="8">
        <v>2014</v>
      </c>
      <c r="E365" s="14">
        <f>Data!Q365</f>
        <v>0</v>
      </c>
    </row>
    <row r="366" spans="2:5" ht="15" customHeight="1" x14ac:dyDescent="0.3">
      <c r="C366" s="3"/>
      <c r="D366" s="8">
        <v>2015</v>
      </c>
      <c r="E366" s="14">
        <f>Data!Q366</f>
        <v>3</v>
      </c>
    </row>
    <row r="367" spans="2:5" ht="15" customHeight="1" x14ac:dyDescent="0.3">
      <c r="C367" s="3"/>
      <c r="D367" s="8">
        <v>2016</v>
      </c>
      <c r="E367" s="14">
        <f>Data!Q367</f>
        <v>2</v>
      </c>
    </row>
    <row r="368" spans="2:5" ht="15" customHeight="1" x14ac:dyDescent="0.3">
      <c r="C368" s="3"/>
      <c r="D368" s="8">
        <v>2017</v>
      </c>
      <c r="E368" s="14">
        <f>Data!Q368</f>
        <v>2</v>
      </c>
    </row>
    <row r="369" spans="2:5" ht="15" customHeight="1" x14ac:dyDescent="0.3">
      <c r="C369" s="3"/>
      <c r="D369" s="8">
        <v>2018</v>
      </c>
      <c r="E369" s="14">
        <f>Data!Q369</f>
        <v>3</v>
      </c>
    </row>
    <row r="370" spans="2:5" ht="15" customHeight="1" x14ac:dyDescent="0.3">
      <c r="C370" s="3"/>
      <c r="D370" s="8">
        <v>2019</v>
      </c>
      <c r="E370" s="14">
        <f>Data!Q370</f>
        <v>3</v>
      </c>
    </row>
    <row r="371" spans="2:5" ht="15" customHeight="1" x14ac:dyDescent="0.3">
      <c r="C371" s="3"/>
      <c r="D371" s="8">
        <v>2020</v>
      </c>
      <c r="E371" s="14">
        <f>Data!Q371</f>
        <v>3</v>
      </c>
    </row>
    <row r="372" spans="2:5" ht="15" customHeight="1" x14ac:dyDescent="0.3">
      <c r="C372" s="3"/>
      <c r="D372" s="8">
        <v>2021</v>
      </c>
      <c r="E372" s="14">
        <f>Data!Q372</f>
        <v>3</v>
      </c>
    </row>
    <row r="373" spans="2:5" ht="15" customHeight="1" x14ac:dyDescent="0.3">
      <c r="C373" s="3"/>
      <c r="D373" s="8">
        <v>2022</v>
      </c>
      <c r="E373" s="14">
        <f>Data!Q373</f>
        <v>0</v>
      </c>
    </row>
    <row r="374" spans="2:5" ht="15" customHeight="1" x14ac:dyDescent="0.3">
      <c r="C374" s="3"/>
      <c r="D374" s="8">
        <v>2023</v>
      </c>
      <c r="E374" s="14">
        <f>Data!Q374</f>
        <v>3</v>
      </c>
    </row>
    <row r="375" spans="2:5" ht="15" customHeight="1" x14ac:dyDescent="0.3">
      <c r="C375" s="3"/>
      <c r="D375" s="8">
        <v>2024</v>
      </c>
      <c r="E375" s="14">
        <f>Data!Q375</f>
        <v>1</v>
      </c>
    </row>
    <row r="376" spans="2:5" ht="15" customHeight="1" x14ac:dyDescent="0.3">
      <c r="B376" s="8">
        <v>35</v>
      </c>
      <c r="C376" s="3" t="s">
        <v>31</v>
      </c>
      <c r="D376" s="8">
        <v>2014</v>
      </c>
      <c r="E376" s="14">
        <f>Data!Q376</f>
        <v>0</v>
      </c>
    </row>
    <row r="377" spans="2:5" ht="15" customHeight="1" x14ac:dyDescent="0.3">
      <c r="C377" s="3"/>
      <c r="D377" s="8">
        <v>2015</v>
      </c>
      <c r="E377" s="14">
        <f>Data!Q377</f>
        <v>0</v>
      </c>
    </row>
    <row r="378" spans="2:5" ht="15" customHeight="1" x14ac:dyDescent="0.3">
      <c r="C378" s="3"/>
      <c r="D378" s="8">
        <v>2016</v>
      </c>
      <c r="E378" s="14">
        <f>Data!Q378</f>
        <v>0</v>
      </c>
    </row>
    <row r="379" spans="2:5" ht="15" customHeight="1" x14ac:dyDescent="0.3">
      <c r="C379" s="3"/>
      <c r="D379" s="8">
        <v>2017</v>
      </c>
      <c r="E379" s="14">
        <f>Data!Q379</f>
        <v>0</v>
      </c>
    </row>
    <row r="380" spans="2:5" ht="15" customHeight="1" x14ac:dyDescent="0.3">
      <c r="C380" s="3"/>
      <c r="D380" s="8">
        <v>2018</v>
      </c>
      <c r="E380" s="14">
        <f>Data!Q380</f>
        <v>0</v>
      </c>
    </row>
    <row r="381" spans="2:5" ht="15" customHeight="1" x14ac:dyDescent="0.3">
      <c r="C381" s="3"/>
      <c r="D381" s="8">
        <v>2019</v>
      </c>
      <c r="E381" s="14">
        <f>Data!Q381</f>
        <v>0</v>
      </c>
    </row>
    <row r="382" spans="2:5" ht="15" customHeight="1" x14ac:dyDescent="0.3">
      <c r="C382" s="3"/>
      <c r="D382" s="8">
        <v>2020</v>
      </c>
      <c r="E382" s="14">
        <f>Data!Q382</f>
        <v>0</v>
      </c>
    </row>
    <row r="383" spans="2:5" ht="15" customHeight="1" x14ac:dyDescent="0.3">
      <c r="C383" s="3"/>
      <c r="D383" s="8">
        <v>2021</v>
      </c>
      <c r="E383" s="14">
        <f>Data!Q383</f>
        <v>2</v>
      </c>
    </row>
    <row r="384" spans="2:5" ht="15" customHeight="1" x14ac:dyDescent="0.3">
      <c r="C384" s="3"/>
      <c r="D384" s="8">
        <v>2022</v>
      </c>
      <c r="E384" s="14">
        <f>Data!Q384</f>
        <v>2</v>
      </c>
    </row>
    <row r="385" spans="2:5" ht="15" customHeight="1" x14ac:dyDescent="0.3">
      <c r="C385" s="3"/>
      <c r="D385" s="8">
        <v>2023</v>
      </c>
      <c r="E385" s="14">
        <f>Data!Q385</f>
        <v>2</v>
      </c>
    </row>
    <row r="386" spans="2:5" ht="15" customHeight="1" x14ac:dyDescent="0.3">
      <c r="C386" s="3"/>
      <c r="D386" s="8">
        <v>2024</v>
      </c>
      <c r="E386" s="14">
        <f>Data!Q386</f>
        <v>2</v>
      </c>
    </row>
    <row r="387" spans="2:5" ht="15" customHeight="1" x14ac:dyDescent="0.3">
      <c r="B387" s="8">
        <v>36</v>
      </c>
      <c r="C387" s="4" t="s">
        <v>54</v>
      </c>
      <c r="D387" s="8">
        <v>2014</v>
      </c>
      <c r="E387" s="14">
        <f>Data!Q387</f>
        <v>0</v>
      </c>
    </row>
    <row r="388" spans="2:5" ht="15" customHeight="1" x14ac:dyDescent="0.3">
      <c r="C388" s="4"/>
      <c r="D388" s="8">
        <v>2015</v>
      </c>
      <c r="E388" s="14">
        <f>Data!Q388</f>
        <v>0</v>
      </c>
    </row>
    <row r="389" spans="2:5" ht="15" customHeight="1" x14ac:dyDescent="0.3">
      <c r="C389" s="4"/>
      <c r="D389" s="8">
        <v>2016</v>
      </c>
      <c r="E389" s="14">
        <f>Data!Q389</f>
        <v>0</v>
      </c>
    </row>
    <row r="390" spans="2:5" ht="15" customHeight="1" x14ac:dyDescent="0.3">
      <c r="C390" s="4"/>
      <c r="D390" s="8">
        <v>2017</v>
      </c>
      <c r="E390" s="14">
        <f>Data!Q390</f>
        <v>2</v>
      </c>
    </row>
    <row r="391" spans="2:5" ht="15" customHeight="1" x14ac:dyDescent="0.3">
      <c r="C391" s="4"/>
      <c r="D391" s="8">
        <v>2018</v>
      </c>
      <c r="E391" s="14">
        <f>Data!Q391</f>
        <v>2</v>
      </c>
    </row>
    <row r="392" spans="2:5" ht="15" customHeight="1" x14ac:dyDescent="0.3">
      <c r="C392" s="4"/>
      <c r="D392" s="8">
        <v>2019</v>
      </c>
      <c r="E392" s="14">
        <f>Data!Q392</f>
        <v>2</v>
      </c>
    </row>
    <row r="393" spans="2:5" ht="15" customHeight="1" x14ac:dyDescent="0.3">
      <c r="C393" s="4"/>
      <c r="D393" s="8">
        <v>2020</v>
      </c>
      <c r="E393" s="14">
        <f>Data!Q393</f>
        <v>2</v>
      </c>
    </row>
    <row r="394" spans="2:5" ht="15" customHeight="1" x14ac:dyDescent="0.3">
      <c r="C394" s="4"/>
      <c r="D394" s="8">
        <v>2021</v>
      </c>
      <c r="E394" s="14">
        <f>Data!Q394</f>
        <v>2</v>
      </c>
    </row>
    <row r="395" spans="2:5" ht="15" customHeight="1" x14ac:dyDescent="0.3">
      <c r="C395" s="4"/>
      <c r="D395" s="8">
        <v>2022</v>
      </c>
      <c r="E395" s="14">
        <f>Data!Q395</f>
        <v>2</v>
      </c>
    </row>
    <row r="396" spans="2:5" ht="15" customHeight="1" x14ac:dyDescent="0.3">
      <c r="C396" s="4"/>
      <c r="D396" s="8">
        <v>2023</v>
      </c>
      <c r="E396" s="14">
        <f>Data!Q396</f>
        <v>2</v>
      </c>
    </row>
    <row r="397" spans="2:5" ht="15" customHeight="1" x14ac:dyDescent="0.3">
      <c r="C397" s="4"/>
      <c r="D397" s="8">
        <v>2024</v>
      </c>
      <c r="E397" s="14">
        <f>Data!Q397</f>
        <v>0</v>
      </c>
    </row>
    <row r="398" spans="2:5" ht="15" customHeight="1" x14ac:dyDescent="0.3">
      <c r="B398" s="8">
        <v>37</v>
      </c>
      <c r="C398" s="3" t="s">
        <v>10</v>
      </c>
      <c r="D398" s="8">
        <v>2014</v>
      </c>
      <c r="E398" s="14">
        <f>Data!Q398</f>
        <v>0</v>
      </c>
    </row>
    <row r="399" spans="2:5" ht="15" customHeight="1" x14ac:dyDescent="0.3">
      <c r="C399" s="3"/>
      <c r="D399" s="8">
        <v>2015</v>
      </c>
      <c r="E399" s="14">
        <f>Data!Q399</f>
        <v>0</v>
      </c>
    </row>
    <row r="400" spans="2:5" ht="15" customHeight="1" x14ac:dyDescent="0.3">
      <c r="C400" s="3"/>
      <c r="D400" s="8">
        <v>2016</v>
      </c>
      <c r="E400" s="14">
        <f>Data!Q400</f>
        <v>0</v>
      </c>
    </row>
    <row r="401" spans="2:5" ht="15" customHeight="1" x14ac:dyDescent="0.3">
      <c r="C401" s="3"/>
      <c r="D401" s="8">
        <v>2017</v>
      </c>
      <c r="E401" s="14">
        <f>Data!Q401</f>
        <v>0</v>
      </c>
    </row>
    <row r="402" spans="2:5" ht="15" customHeight="1" x14ac:dyDescent="0.3">
      <c r="C402" s="3"/>
      <c r="D402" s="8">
        <v>2018</v>
      </c>
      <c r="E402" s="14">
        <f>Data!Q402</f>
        <v>2</v>
      </c>
    </row>
    <row r="403" spans="2:5" ht="15" customHeight="1" x14ac:dyDescent="0.3">
      <c r="C403" s="3"/>
      <c r="D403" s="8">
        <v>2019</v>
      </c>
      <c r="E403" s="14">
        <f>Data!Q403</f>
        <v>2</v>
      </c>
    </row>
    <row r="404" spans="2:5" ht="15" customHeight="1" x14ac:dyDescent="0.3">
      <c r="C404" s="3"/>
      <c r="D404" s="8">
        <v>2020</v>
      </c>
      <c r="E404" s="14">
        <f>Data!Q404</f>
        <v>0</v>
      </c>
    </row>
    <row r="405" spans="2:5" ht="15" customHeight="1" x14ac:dyDescent="0.3">
      <c r="C405" s="3"/>
      <c r="D405" s="8">
        <v>2021</v>
      </c>
      <c r="E405" s="14">
        <f>Data!Q405</f>
        <v>2</v>
      </c>
    </row>
    <row r="406" spans="2:5" ht="15" customHeight="1" x14ac:dyDescent="0.3">
      <c r="C406" s="3"/>
      <c r="D406" s="8">
        <v>2022</v>
      </c>
      <c r="E406" s="14">
        <f>Data!Q406</f>
        <v>2</v>
      </c>
    </row>
    <row r="407" spans="2:5" ht="15" customHeight="1" x14ac:dyDescent="0.3">
      <c r="C407" s="3"/>
      <c r="D407" s="8">
        <v>2023</v>
      </c>
      <c r="E407" s="14">
        <f>Data!Q407</f>
        <v>2</v>
      </c>
    </row>
    <row r="408" spans="2:5" ht="15" customHeight="1" x14ac:dyDescent="0.3">
      <c r="C408" s="3"/>
      <c r="D408" s="8">
        <v>2024</v>
      </c>
      <c r="E408" s="14">
        <f>Data!Q408</f>
        <v>2</v>
      </c>
    </row>
    <row r="409" spans="2:5" ht="15" customHeight="1" x14ac:dyDescent="0.3">
      <c r="B409" s="8">
        <v>38</v>
      </c>
      <c r="C409" s="3" t="s">
        <v>32</v>
      </c>
      <c r="D409" s="8">
        <v>2014</v>
      </c>
      <c r="E409" s="14">
        <f>Data!Q409</f>
        <v>0</v>
      </c>
    </row>
    <row r="410" spans="2:5" ht="15" customHeight="1" x14ac:dyDescent="0.3">
      <c r="C410" s="3"/>
      <c r="D410" s="8">
        <v>2015</v>
      </c>
      <c r="E410" s="14">
        <f>Data!Q410</f>
        <v>0</v>
      </c>
    </row>
    <row r="411" spans="2:5" ht="15" customHeight="1" x14ac:dyDescent="0.3">
      <c r="C411" s="3"/>
      <c r="D411" s="8">
        <v>2016</v>
      </c>
      <c r="E411" s="14">
        <f>Data!Q411</f>
        <v>0</v>
      </c>
    </row>
    <row r="412" spans="2:5" ht="15" customHeight="1" x14ac:dyDescent="0.3">
      <c r="C412" s="3"/>
      <c r="D412" s="8">
        <v>2017</v>
      </c>
      <c r="E412" s="14">
        <f>Data!Q412</f>
        <v>0</v>
      </c>
    </row>
    <row r="413" spans="2:5" ht="15" customHeight="1" x14ac:dyDescent="0.3">
      <c r="C413" s="3"/>
      <c r="D413" s="8">
        <v>2018</v>
      </c>
      <c r="E413" s="14">
        <f>Data!Q413</f>
        <v>2</v>
      </c>
    </row>
    <row r="414" spans="2:5" ht="15" customHeight="1" x14ac:dyDescent="0.3">
      <c r="C414" s="3"/>
      <c r="D414" s="8">
        <v>2019</v>
      </c>
      <c r="E414" s="14">
        <f>Data!Q414</f>
        <v>2</v>
      </c>
    </row>
    <row r="415" spans="2:5" ht="15" customHeight="1" x14ac:dyDescent="0.3">
      <c r="C415" s="3"/>
      <c r="D415" s="8">
        <v>2020</v>
      </c>
      <c r="E415" s="14">
        <f>Data!Q415</f>
        <v>2</v>
      </c>
    </row>
    <row r="416" spans="2:5" ht="15" customHeight="1" x14ac:dyDescent="0.3">
      <c r="C416" s="3"/>
      <c r="D416" s="8">
        <v>2021</v>
      </c>
      <c r="E416" s="14">
        <f>Data!Q416</f>
        <v>2</v>
      </c>
    </row>
    <row r="417" spans="2:5" ht="15" customHeight="1" x14ac:dyDescent="0.3">
      <c r="C417" s="3"/>
      <c r="D417" s="8">
        <v>2022</v>
      </c>
      <c r="E417" s="14">
        <f>Data!Q417</f>
        <v>2</v>
      </c>
    </row>
    <row r="418" spans="2:5" ht="15" customHeight="1" x14ac:dyDescent="0.3">
      <c r="C418" s="3"/>
      <c r="D418" s="8">
        <v>2023</v>
      </c>
      <c r="E418" s="14">
        <f>Data!Q418</f>
        <v>2</v>
      </c>
    </row>
    <row r="419" spans="2:5" ht="15" customHeight="1" x14ac:dyDescent="0.3">
      <c r="C419" s="3"/>
      <c r="D419" s="8">
        <v>2024</v>
      </c>
      <c r="E419" s="14">
        <f>Data!Q419</f>
        <v>2</v>
      </c>
    </row>
    <row r="420" spans="2:5" ht="15" customHeight="1" x14ac:dyDescent="0.3">
      <c r="B420" s="8">
        <v>39</v>
      </c>
      <c r="C420" s="3" t="s">
        <v>33</v>
      </c>
      <c r="D420" s="8">
        <v>2014</v>
      </c>
      <c r="E420" s="14">
        <f>Data!Q420</f>
        <v>0</v>
      </c>
    </row>
    <row r="421" spans="2:5" ht="15" customHeight="1" x14ac:dyDescent="0.3">
      <c r="C421" s="3"/>
      <c r="D421" s="8">
        <v>2015</v>
      </c>
      <c r="E421" s="14">
        <f>Data!Q421</f>
        <v>2</v>
      </c>
    </row>
    <row r="422" spans="2:5" ht="15" customHeight="1" x14ac:dyDescent="0.3">
      <c r="C422" s="3"/>
      <c r="D422" s="8">
        <v>2016</v>
      </c>
      <c r="E422" s="14">
        <f>Data!Q422</f>
        <v>2</v>
      </c>
    </row>
    <row r="423" spans="2:5" ht="15" customHeight="1" x14ac:dyDescent="0.3">
      <c r="C423" s="3"/>
      <c r="D423" s="8">
        <v>2017</v>
      </c>
      <c r="E423" s="14">
        <f>Data!Q423</f>
        <v>2</v>
      </c>
    </row>
    <row r="424" spans="2:5" ht="15" customHeight="1" x14ac:dyDescent="0.3">
      <c r="C424" s="3"/>
      <c r="D424" s="8">
        <v>2018</v>
      </c>
      <c r="E424" s="14">
        <f>Data!Q424</f>
        <v>2</v>
      </c>
    </row>
    <row r="425" spans="2:5" ht="15" customHeight="1" x14ac:dyDescent="0.3">
      <c r="C425" s="3"/>
      <c r="D425" s="8">
        <v>2019</v>
      </c>
      <c r="E425" s="14">
        <f>Data!Q425</f>
        <v>2</v>
      </c>
    </row>
    <row r="426" spans="2:5" ht="15" customHeight="1" x14ac:dyDescent="0.3">
      <c r="C426" s="3"/>
      <c r="D426" s="8">
        <v>2020</v>
      </c>
      <c r="E426" s="14">
        <f>Data!Q426</f>
        <v>2</v>
      </c>
    </row>
    <row r="427" spans="2:5" ht="15" customHeight="1" x14ac:dyDescent="0.3">
      <c r="C427" s="3"/>
      <c r="D427" s="8">
        <v>2021</v>
      </c>
      <c r="E427" s="14">
        <f>Data!Q427</f>
        <v>1</v>
      </c>
    </row>
    <row r="428" spans="2:5" ht="15" customHeight="1" x14ac:dyDescent="0.3">
      <c r="C428" s="3"/>
      <c r="D428" s="8">
        <v>2022</v>
      </c>
      <c r="E428" s="14">
        <f>Data!Q428</f>
        <v>2</v>
      </c>
    </row>
    <row r="429" spans="2:5" ht="15" customHeight="1" x14ac:dyDescent="0.3">
      <c r="C429" s="3"/>
      <c r="D429" s="8">
        <v>2023</v>
      </c>
      <c r="E429" s="14">
        <f>Data!Q429</f>
        <v>3</v>
      </c>
    </row>
    <row r="430" spans="2:5" ht="15" customHeight="1" x14ac:dyDescent="0.3">
      <c r="C430" s="3"/>
      <c r="D430" s="8">
        <v>2024</v>
      </c>
      <c r="E430" s="14">
        <f>Data!Q430</f>
        <v>2</v>
      </c>
    </row>
    <row r="431" spans="2:5" ht="15" customHeight="1" x14ac:dyDescent="0.3">
      <c r="B431" s="8">
        <v>40</v>
      </c>
      <c r="C431" s="3" t="s">
        <v>12</v>
      </c>
      <c r="D431" s="8">
        <v>2014</v>
      </c>
      <c r="E431" s="14">
        <f>Data!Q431</f>
        <v>0</v>
      </c>
    </row>
    <row r="432" spans="2:5" ht="15" customHeight="1" x14ac:dyDescent="0.3">
      <c r="C432" s="3"/>
      <c r="D432" s="8">
        <v>2015</v>
      </c>
      <c r="E432" s="14">
        <f>Data!Q432</f>
        <v>0</v>
      </c>
    </row>
    <row r="433" spans="2:5" ht="15" customHeight="1" x14ac:dyDescent="0.3">
      <c r="C433" s="3"/>
      <c r="D433" s="8">
        <v>2016</v>
      </c>
      <c r="E433" s="14">
        <f>Data!Q433</f>
        <v>0</v>
      </c>
    </row>
    <row r="434" spans="2:5" ht="15" customHeight="1" x14ac:dyDescent="0.3">
      <c r="C434" s="3"/>
      <c r="D434" s="8">
        <v>2017</v>
      </c>
      <c r="E434" s="14">
        <f>Data!Q434</f>
        <v>0</v>
      </c>
    </row>
    <row r="435" spans="2:5" ht="15" customHeight="1" x14ac:dyDescent="0.3">
      <c r="C435" s="3"/>
      <c r="D435" s="8">
        <v>2018</v>
      </c>
      <c r="E435" s="14">
        <f>Data!Q435</f>
        <v>0</v>
      </c>
    </row>
    <row r="436" spans="2:5" ht="15" customHeight="1" x14ac:dyDescent="0.3">
      <c r="C436" s="3"/>
      <c r="D436" s="8">
        <v>2019</v>
      </c>
      <c r="E436" s="14">
        <f>Data!Q436</f>
        <v>1</v>
      </c>
    </row>
    <row r="437" spans="2:5" ht="15" customHeight="1" x14ac:dyDescent="0.3">
      <c r="C437" s="3"/>
      <c r="D437" s="8">
        <v>2020</v>
      </c>
      <c r="E437" s="14">
        <f>Data!Q437</f>
        <v>2</v>
      </c>
    </row>
    <row r="438" spans="2:5" ht="15" customHeight="1" x14ac:dyDescent="0.3">
      <c r="C438" s="3"/>
      <c r="D438" s="8">
        <v>2021</v>
      </c>
      <c r="E438" s="14">
        <f>Data!Q438</f>
        <v>2</v>
      </c>
    </row>
    <row r="439" spans="2:5" ht="15" customHeight="1" x14ac:dyDescent="0.3">
      <c r="C439" s="3"/>
      <c r="D439" s="8">
        <v>2022</v>
      </c>
      <c r="E439" s="14">
        <f>Data!Q439</f>
        <v>2</v>
      </c>
    </row>
    <row r="440" spans="2:5" ht="15" customHeight="1" x14ac:dyDescent="0.3">
      <c r="C440" s="3"/>
      <c r="D440" s="8">
        <v>2023</v>
      </c>
      <c r="E440" s="14">
        <f>Data!Q440</f>
        <v>2</v>
      </c>
    </row>
    <row r="441" spans="2:5" ht="15" customHeight="1" x14ac:dyDescent="0.3">
      <c r="C441" s="3"/>
      <c r="D441" s="8">
        <v>2024</v>
      </c>
      <c r="E441" s="14">
        <f>Data!Q441</f>
        <v>2</v>
      </c>
    </row>
    <row r="442" spans="2:5" ht="15" customHeight="1" x14ac:dyDescent="0.3">
      <c r="B442" s="8">
        <v>41</v>
      </c>
      <c r="C442" s="3" t="s">
        <v>34</v>
      </c>
      <c r="D442" s="8">
        <v>2014</v>
      </c>
      <c r="E442" s="14">
        <f>Data!Q442</f>
        <v>0</v>
      </c>
    </row>
    <row r="443" spans="2:5" ht="15" customHeight="1" x14ac:dyDescent="0.3">
      <c r="C443" s="3"/>
      <c r="D443" s="8">
        <v>2015</v>
      </c>
      <c r="E443" s="14">
        <f>Data!Q443</f>
        <v>0</v>
      </c>
    </row>
    <row r="444" spans="2:5" ht="15" customHeight="1" x14ac:dyDescent="0.3">
      <c r="C444" s="3"/>
      <c r="D444" s="8">
        <v>2016</v>
      </c>
      <c r="E444" s="14">
        <f>Data!Q444</f>
        <v>0</v>
      </c>
    </row>
    <row r="445" spans="2:5" ht="15" customHeight="1" x14ac:dyDescent="0.3">
      <c r="C445" s="3"/>
      <c r="D445" s="8">
        <v>2017</v>
      </c>
      <c r="E445" s="14">
        <f>Data!Q445</f>
        <v>0</v>
      </c>
    </row>
    <row r="446" spans="2:5" ht="15" customHeight="1" x14ac:dyDescent="0.3">
      <c r="C446" s="3"/>
      <c r="D446" s="8">
        <v>2018</v>
      </c>
      <c r="E446" s="14">
        <f>Data!Q446</f>
        <v>0</v>
      </c>
    </row>
    <row r="447" spans="2:5" ht="15" customHeight="1" x14ac:dyDescent="0.3">
      <c r="C447" s="3"/>
      <c r="D447" s="8">
        <v>2019</v>
      </c>
      <c r="E447" s="14">
        <f>Data!Q447</f>
        <v>2</v>
      </c>
    </row>
    <row r="448" spans="2:5" ht="15" customHeight="1" x14ac:dyDescent="0.3">
      <c r="C448" s="3"/>
      <c r="D448" s="8">
        <v>2020</v>
      </c>
      <c r="E448" s="14">
        <f>Data!Q448</f>
        <v>3</v>
      </c>
    </row>
    <row r="449" spans="2:5" ht="15" customHeight="1" x14ac:dyDescent="0.3">
      <c r="C449" s="3"/>
      <c r="D449" s="8">
        <v>2021</v>
      </c>
      <c r="E449" s="14">
        <f>Data!Q449</f>
        <v>3</v>
      </c>
    </row>
    <row r="450" spans="2:5" ht="15" customHeight="1" x14ac:dyDescent="0.3">
      <c r="C450" s="3"/>
      <c r="D450" s="8">
        <v>2022</v>
      </c>
      <c r="E450" s="14">
        <f>Data!Q450</f>
        <v>3</v>
      </c>
    </row>
    <row r="451" spans="2:5" ht="15" customHeight="1" x14ac:dyDescent="0.3">
      <c r="C451" s="3"/>
      <c r="D451" s="8">
        <v>2023</v>
      </c>
      <c r="E451" s="14">
        <f>Data!Q451</f>
        <v>3</v>
      </c>
    </row>
    <row r="452" spans="2:5" ht="15" customHeight="1" x14ac:dyDescent="0.3">
      <c r="C452" s="3"/>
      <c r="D452" s="8">
        <v>2024</v>
      </c>
      <c r="E452" s="14">
        <f>Data!Q452</f>
        <v>2</v>
      </c>
    </row>
    <row r="453" spans="2:5" ht="15" customHeight="1" x14ac:dyDescent="0.3">
      <c r="B453" s="8">
        <v>42</v>
      </c>
      <c r="C453" s="3" t="s">
        <v>14</v>
      </c>
      <c r="D453" s="8">
        <v>2014</v>
      </c>
      <c r="E453" s="14">
        <f>Data!Q453</f>
        <v>0</v>
      </c>
    </row>
    <row r="454" spans="2:5" ht="15" customHeight="1" x14ac:dyDescent="0.3">
      <c r="C454" s="3"/>
      <c r="D454" s="8">
        <v>2015</v>
      </c>
      <c r="E454" s="14">
        <f>Data!Q454</f>
        <v>2</v>
      </c>
    </row>
    <row r="455" spans="2:5" ht="15" customHeight="1" x14ac:dyDescent="0.3">
      <c r="C455" s="3"/>
      <c r="D455" s="8">
        <v>2016</v>
      </c>
      <c r="E455" s="14">
        <f>Data!Q455</f>
        <v>2</v>
      </c>
    </row>
    <row r="456" spans="2:5" ht="15" customHeight="1" x14ac:dyDescent="0.3">
      <c r="C456" s="3"/>
      <c r="D456" s="8">
        <v>2017</v>
      </c>
      <c r="E456" s="14">
        <f>Data!Q456</f>
        <v>2</v>
      </c>
    </row>
    <row r="457" spans="2:5" ht="15" customHeight="1" x14ac:dyDescent="0.3">
      <c r="C457" s="3"/>
      <c r="D457" s="8">
        <v>2018</v>
      </c>
      <c r="E457" s="14">
        <f>Data!Q457</f>
        <v>2</v>
      </c>
    </row>
    <row r="458" spans="2:5" ht="15" customHeight="1" x14ac:dyDescent="0.3">
      <c r="C458" s="3"/>
      <c r="D458" s="8">
        <v>2019</v>
      </c>
      <c r="E458" s="14">
        <f>Data!Q458</f>
        <v>2</v>
      </c>
    </row>
    <row r="459" spans="2:5" ht="15" customHeight="1" x14ac:dyDescent="0.3">
      <c r="C459" s="3"/>
      <c r="D459" s="8">
        <v>2020</v>
      </c>
      <c r="E459" s="14">
        <f>Data!Q459</f>
        <v>2</v>
      </c>
    </row>
    <row r="460" spans="2:5" ht="15" customHeight="1" x14ac:dyDescent="0.3">
      <c r="C460" s="3"/>
      <c r="D460" s="8">
        <v>2021</v>
      </c>
      <c r="E460" s="14">
        <f>Data!Q460</f>
        <v>2</v>
      </c>
    </row>
    <row r="461" spans="2:5" ht="15" customHeight="1" x14ac:dyDescent="0.3">
      <c r="C461" s="3"/>
      <c r="D461" s="8">
        <v>2022</v>
      </c>
      <c r="E461" s="14">
        <f>Data!Q461</f>
        <v>2</v>
      </c>
    </row>
    <row r="462" spans="2:5" ht="15" customHeight="1" x14ac:dyDescent="0.3">
      <c r="C462" s="3"/>
      <c r="D462" s="8">
        <v>2023</v>
      </c>
      <c r="E462" s="14">
        <f>Data!Q462</f>
        <v>2</v>
      </c>
    </row>
    <row r="463" spans="2:5" ht="15" customHeight="1" x14ac:dyDescent="0.3">
      <c r="C463" s="3"/>
      <c r="D463" s="8">
        <v>2024</v>
      </c>
      <c r="E463" s="14">
        <f>Data!Q463</f>
        <v>2</v>
      </c>
    </row>
    <row r="464" spans="2:5" ht="15" customHeight="1" x14ac:dyDescent="0.3">
      <c r="B464" s="8">
        <v>43</v>
      </c>
      <c r="C464" s="3" t="s">
        <v>15</v>
      </c>
      <c r="D464" s="8">
        <v>2014</v>
      </c>
      <c r="E464" s="14">
        <f>Data!Q464</f>
        <v>0</v>
      </c>
    </row>
    <row r="465" spans="2:5" ht="15" customHeight="1" x14ac:dyDescent="0.3">
      <c r="C465" s="3"/>
      <c r="D465" s="8">
        <v>2015</v>
      </c>
      <c r="E465" s="14">
        <f>Data!Q465</f>
        <v>2</v>
      </c>
    </row>
    <row r="466" spans="2:5" ht="15" customHeight="1" x14ac:dyDescent="0.3">
      <c r="C466" s="3"/>
      <c r="D466" s="8">
        <v>2016</v>
      </c>
      <c r="E466" s="14">
        <f>Data!Q466</f>
        <v>2</v>
      </c>
    </row>
    <row r="467" spans="2:5" ht="15" customHeight="1" x14ac:dyDescent="0.3">
      <c r="C467" s="3"/>
      <c r="D467" s="8">
        <v>2017</v>
      </c>
      <c r="E467" s="14">
        <f>Data!Q467</f>
        <v>2</v>
      </c>
    </row>
    <row r="468" spans="2:5" ht="15" customHeight="1" x14ac:dyDescent="0.3">
      <c r="C468" s="3"/>
      <c r="D468" s="8">
        <v>2018</v>
      </c>
      <c r="E468" s="14">
        <f>Data!Q468</f>
        <v>2</v>
      </c>
    </row>
    <row r="469" spans="2:5" ht="15" customHeight="1" x14ac:dyDescent="0.3">
      <c r="C469" s="3"/>
      <c r="D469" s="8">
        <v>2019</v>
      </c>
      <c r="E469" s="14">
        <f>Data!Q469</f>
        <v>2</v>
      </c>
    </row>
    <row r="470" spans="2:5" ht="15" customHeight="1" x14ac:dyDescent="0.3">
      <c r="C470" s="3"/>
      <c r="D470" s="8">
        <v>2020</v>
      </c>
      <c r="E470" s="14">
        <f>Data!Q470</f>
        <v>2</v>
      </c>
    </row>
    <row r="471" spans="2:5" ht="15" customHeight="1" x14ac:dyDescent="0.3">
      <c r="C471" s="3"/>
      <c r="D471" s="8">
        <v>2021</v>
      </c>
      <c r="E471" s="14">
        <f>Data!Q471</f>
        <v>2</v>
      </c>
    </row>
    <row r="472" spans="2:5" ht="15" customHeight="1" x14ac:dyDescent="0.3">
      <c r="C472" s="3"/>
      <c r="D472" s="8">
        <v>2022</v>
      </c>
      <c r="E472" s="14">
        <f>Data!Q472</f>
        <v>2</v>
      </c>
    </row>
    <row r="473" spans="2:5" ht="15" customHeight="1" x14ac:dyDescent="0.3">
      <c r="C473" s="3"/>
      <c r="D473" s="8">
        <v>2023</v>
      </c>
      <c r="E473" s="14">
        <f>Data!Q473</f>
        <v>2</v>
      </c>
    </row>
    <row r="474" spans="2:5" ht="15" customHeight="1" x14ac:dyDescent="0.3">
      <c r="C474" s="3"/>
      <c r="D474" s="8">
        <v>2024</v>
      </c>
      <c r="E474" s="14">
        <f>Data!Q474</f>
        <v>2</v>
      </c>
    </row>
    <row r="475" spans="2:5" ht="15" customHeight="1" x14ac:dyDescent="0.3">
      <c r="B475" s="8">
        <v>44</v>
      </c>
      <c r="C475" s="3" t="s">
        <v>35</v>
      </c>
      <c r="D475" s="8">
        <v>2014</v>
      </c>
      <c r="E475" s="14">
        <f>Data!Q475</f>
        <v>0</v>
      </c>
    </row>
    <row r="476" spans="2:5" ht="15" customHeight="1" x14ac:dyDescent="0.3">
      <c r="C476" s="3"/>
      <c r="D476" s="8">
        <v>2015</v>
      </c>
      <c r="E476" s="14">
        <f>Data!Q476</f>
        <v>2</v>
      </c>
    </row>
    <row r="477" spans="2:5" ht="15" customHeight="1" x14ac:dyDescent="0.3">
      <c r="C477" s="3"/>
      <c r="D477" s="8">
        <v>2016</v>
      </c>
      <c r="E477" s="14">
        <f>Data!Q477</f>
        <v>3</v>
      </c>
    </row>
    <row r="478" spans="2:5" ht="15" customHeight="1" x14ac:dyDescent="0.3">
      <c r="C478" s="3"/>
      <c r="D478" s="8">
        <v>2017</v>
      </c>
      <c r="E478" s="14">
        <f>Data!Q478</f>
        <v>3</v>
      </c>
    </row>
    <row r="479" spans="2:5" ht="15" customHeight="1" x14ac:dyDescent="0.3">
      <c r="C479" s="3"/>
      <c r="D479" s="8">
        <v>2018</v>
      </c>
      <c r="E479" s="14">
        <f>Data!Q479</f>
        <v>2</v>
      </c>
    </row>
    <row r="480" spans="2:5" ht="15" customHeight="1" x14ac:dyDescent="0.3">
      <c r="C480" s="3"/>
      <c r="D480" s="8">
        <v>2019</v>
      </c>
      <c r="E480" s="14">
        <f>Data!Q480</f>
        <v>2</v>
      </c>
    </row>
    <row r="481" spans="2:5" ht="15" customHeight="1" x14ac:dyDescent="0.3">
      <c r="C481" s="3"/>
      <c r="D481" s="8">
        <v>2020</v>
      </c>
      <c r="E481" s="14">
        <f>Data!Q481</f>
        <v>2</v>
      </c>
    </row>
    <row r="482" spans="2:5" ht="15" customHeight="1" x14ac:dyDescent="0.3">
      <c r="C482" s="3"/>
      <c r="D482" s="8">
        <v>2021</v>
      </c>
      <c r="E482" s="14">
        <f>Data!Q482</f>
        <v>2</v>
      </c>
    </row>
    <row r="483" spans="2:5" ht="15" customHeight="1" x14ac:dyDescent="0.3">
      <c r="C483" s="3"/>
      <c r="D483" s="8">
        <v>2022</v>
      </c>
      <c r="E483" s="14">
        <f>Data!Q483</f>
        <v>2</v>
      </c>
    </row>
    <row r="484" spans="2:5" ht="15" customHeight="1" x14ac:dyDescent="0.3">
      <c r="C484" s="3"/>
      <c r="D484" s="8">
        <v>2023</v>
      </c>
      <c r="E484" s="14">
        <f>Data!Q484</f>
        <v>2</v>
      </c>
    </row>
    <row r="485" spans="2:5" ht="15" customHeight="1" x14ac:dyDescent="0.3">
      <c r="C485" s="3"/>
      <c r="D485" s="8">
        <v>2024</v>
      </c>
      <c r="E485" s="14">
        <f>Data!Q485</f>
        <v>2</v>
      </c>
    </row>
    <row r="486" spans="2:5" ht="15" customHeight="1" x14ac:dyDescent="0.3">
      <c r="B486" s="8">
        <v>45</v>
      </c>
      <c r="C486" s="3" t="s">
        <v>36</v>
      </c>
      <c r="D486" s="8">
        <v>2014</v>
      </c>
      <c r="E486" s="14">
        <f>Data!Q486</f>
        <v>0</v>
      </c>
    </row>
    <row r="487" spans="2:5" ht="15" customHeight="1" x14ac:dyDescent="0.3">
      <c r="C487" s="3"/>
      <c r="D487" s="8">
        <v>2015</v>
      </c>
      <c r="E487" s="14">
        <f>Data!Q487</f>
        <v>0</v>
      </c>
    </row>
    <row r="488" spans="2:5" ht="15" customHeight="1" x14ac:dyDescent="0.3">
      <c r="C488" s="3"/>
      <c r="D488" s="8">
        <v>2016</v>
      </c>
      <c r="E488" s="14">
        <f>Data!Q488</f>
        <v>0</v>
      </c>
    </row>
    <row r="489" spans="2:5" ht="15" customHeight="1" x14ac:dyDescent="0.3">
      <c r="C489" s="3"/>
      <c r="D489" s="8">
        <v>2017</v>
      </c>
      <c r="E489" s="14">
        <f>Data!Q489</f>
        <v>0</v>
      </c>
    </row>
    <row r="490" spans="2:5" ht="15" customHeight="1" x14ac:dyDescent="0.3">
      <c r="C490" s="3"/>
      <c r="D490" s="8">
        <v>2018</v>
      </c>
      <c r="E490" s="14">
        <f>Data!Q490</f>
        <v>0</v>
      </c>
    </row>
    <row r="491" spans="2:5" ht="15" customHeight="1" x14ac:dyDescent="0.3">
      <c r="C491" s="3"/>
      <c r="D491" s="8">
        <v>2019</v>
      </c>
      <c r="E491" s="14">
        <f>Data!Q491</f>
        <v>2</v>
      </c>
    </row>
    <row r="492" spans="2:5" ht="15" customHeight="1" x14ac:dyDescent="0.3">
      <c r="C492" s="3"/>
      <c r="D492" s="8">
        <v>2020</v>
      </c>
      <c r="E492" s="14">
        <f>Data!Q492</f>
        <v>2</v>
      </c>
    </row>
    <row r="493" spans="2:5" ht="15" customHeight="1" x14ac:dyDescent="0.3">
      <c r="C493" s="3"/>
      <c r="D493" s="8">
        <v>2021</v>
      </c>
      <c r="E493" s="14">
        <f>Data!Q493</f>
        <v>2</v>
      </c>
    </row>
    <row r="494" spans="2:5" ht="15" customHeight="1" x14ac:dyDescent="0.3">
      <c r="C494" s="3"/>
      <c r="D494" s="8">
        <v>2022</v>
      </c>
      <c r="E494" s="14">
        <f>Data!Q494</f>
        <v>2</v>
      </c>
    </row>
    <row r="495" spans="2:5" ht="15" customHeight="1" x14ac:dyDescent="0.3">
      <c r="C495" s="3"/>
      <c r="D495" s="8">
        <v>2023</v>
      </c>
      <c r="E495" s="14">
        <f>Data!Q495</f>
        <v>2</v>
      </c>
    </row>
    <row r="496" spans="2:5" ht="15" customHeight="1" x14ac:dyDescent="0.3">
      <c r="C496" s="3"/>
      <c r="D496" s="8">
        <v>2024</v>
      </c>
      <c r="E496" s="14">
        <f>Data!Q496</f>
        <v>2</v>
      </c>
    </row>
    <row r="497" spans="2:5" ht="15" customHeight="1" x14ac:dyDescent="0.3">
      <c r="B497" s="8">
        <v>46</v>
      </c>
      <c r="C497" s="3" t="s">
        <v>16</v>
      </c>
      <c r="D497" s="8">
        <v>2014</v>
      </c>
      <c r="E497" s="14">
        <f>Data!Q497</f>
        <v>0</v>
      </c>
    </row>
    <row r="498" spans="2:5" ht="15" customHeight="1" x14ac:dyDescent="0.3">
      <c r="C498" s="3"/>
      <c r="D498" s="8">
        <v>2015</v>
      </c>
      <c r="E498" s="14">
        <f>Data!Q498</f>
        <v>0</v>
      </c>
    </row>
    <row r="499" spans="2:5" ht="15" customHeight="1" x14ac:dyDescent="0.3">
      <c r="C499" s="3"/>
      <c r="D499" s="8">
        <v>2016</v>
      </c>
      <c r="E499" s="14">
        <f>Data!Q499</f>
        <v>0</v>
      </c>
    </row>
    <row r="500" spans="2:5" ht="15" customHeight="1" x14ac:dyDescent="0.3">
      <c r="C500" s="3"/>
      <c r="D500" s="8">
        <v>2017</v>
      </c>
      <c r="E500" s="14">
        <f>Data!Q500</f>
        <v>2</v>
      </c>
    </row>
    <row r="501" spans="2:5" ht="15" customHeight="1" x14ac:dyDescent="0.3">
      <c r="C501" s="3"/>
      <c r="D501" s="8">
        <v>2018</v>
      </c>
      <c r="E501" s="14">
        <f>Data!Q501</f>
        <v>3</v>
      </c>
    </row>
    <row r="502" spans="2:5" ht="15" customHeight="1" x14ac:dyDescent="0.3">
      <c r="C502" s="3"/>
      <c r="D502" s="8">
        <v>2019</v>
      </c>
      <c r="E502" s="14">
        <f>Data!Q502</f>
        <v>2</v>
      </c>
    </row>
    <row r="503" spans="2:5" ht="15" customHeight="1" x14ac:dyDescent="0.3">
      <c r="C503" s="3"/>
      <c r="D503" s="8">
        <v>2020</v>
      </c>
      <c r="E503" s="14">
        <f>Data!Q503</f>
        <v>2</v>
      </c>
    </row>
    <row r="504" spans="2:5" ht="15" customHeight="1" x14ac:dyDescent="0.3">
      <c r="C504" s="3"/>
      <c r="D504" s="8">
        <v>2021</v>
      </c>
      <c r="E504" s="14">
        <f>Data!Q504</f>
        <v>2</v>
      </c>
    </row>
    <row r="505" spans="2:5" ht="15" customHeight="1" x14ac:dyDescent="0.3">
      <c r="C505" s="3"/>
      <c r="D505" s="8">
        <v>2022</v>
      </c>
      <c r="E505" s="14">
        <f>Data!Q505</f>
        <v>2</v>
      </c>
    </row>
    <row r="506" spans="2:5" ht="15" customHeight="1" x14ac:dyDescent="0.3">
      <c r="C506" s="3"/>
      <c r="D506" s="8">
        <v>2023</v>
      </c>
      <c r="E506" s="14">
        <f>Data!Q506</f>
        <v>2</v>
      </c>
    </row>
    <row r="507" spans="2:5" ht="15" customHeight="1" x14ac:dyDescent="0.3">
      <c r="C507" s="3"/>
      <c r="D507" s="8">
        <v>2024</v>
      </c>
      <c r="E507" s="14">
        <f>Data!Q507</f>
        <v>2</v>
      </c>
    </row>
    <row r="508" spans="2:5" ht="15" customHeight="1" x14ac:dyDescent="0.3">
      <c r="B508" s="8">
        <v>47</v>
      </c>
      <c r="C508" s="3" t="s">
        <v>17</v>
      </c>
      <c r="D508" s="8">
        <v>2014</v>
      </c>
      <c r="E508" s="14">
        <f>Data!Q508</f>
        <v>0</v>
      </c>
    </row>
    <row r="509" spans="2:5" ht="15" customHeight="1" x14ac:dyDescent="0.3">
      <c r="C509" s="3"/>
      <c r="D509" s="8">
        <v>2015</v>
      </c>
      <c r="E509" s="14">
        <f>Data!Q509</f>
        <v>0</v>
      </c>
    </row>
    <row r="510" spans="2:5" ht="15" customHeight="1" x14ac:dyDescent="0.3">
      <c r="C510" s="3"/>
      <c r="D510" s="8">
        <v>2016</v>
      </c>
      <c r="E510" s="14">
        <f>Data!Q510</f>
        <v>0</v>
      </c>
    </row>
    <row r="511" spans="2:5" ht="15" customHeight="1" x14ac:dyDescent="0.3">
      <c r="C511" s="3"/>
      <c r="D511" s="8">
        <v>2017</v>
      </c>
      <c r="E511" s="14">
        <f>Data!Q511</f>
        <v>0</v>
      </c>
    </row>
    <row r="512" spans="2:5" ht="15" customHeight="1" x14ac:dyDescent="0.3">
      <c r="C512" s="3"/>
      <c r="D512" s="8">
        <v>2018</v>
      </c>
      <c r="E512" s="14">
        <f>Data!Q512</f>
        <v>0</v>
      </c>
    </row>
    <row r="513" spans="2:5" ht="15" customHeight="1" x14ac:dyDescent="0.3">
      <c r="C513" s="3"/>
      <c r="D513" s="8">
        <v>2019</v>
      </c>
      <c r="E513" s="14">
        <f>Data!Q513</f>
        <v>0</v>
      </c>
    </row>
    <row r="514" spans="2:5" ht="15" customHeight="1" x14ac:dyDescent="0.3">
      <c r="C514" s="3"/>
      <c r="D514" s="8">
        <v>2020</v>
      </c>
      <c r="E514" s="14">
        <f>Data!Q514</f>
        <v>2</v>
      </c>
    </row>
    <row r="515" spans="2:5" ht="15" customHeight="1" x14ac:dyDescent="0.3">
      <c r="C515" s="3"/>
      <c r="D515" s="8">
        <v>2021</v>
      </c>
      <c r="E515" s="14">
        <f>Data!Q515</f>
        <v>2</v>
      </c>
    </row>
    <row r="516" spans="2:5" ht="15" customHeight="1" x14ac:dyDescent="0.3">
      <c r="C516" s="3"/>
      <c r="D516" s="8">
        <v>2022</v>
      </c>
      <c r="E516" s="14">
        <f>Data!Q516</f>
        <v>2</v>
      </c>
    </row>
    <row r="517" spans="2:5" ht="15" customHeight="1" x14ac:dyDescent="0.3">
      <c r="C517" s="3"/>
      <c r="D517" s="8">
        <v>2023</v>
      </c>
      <c r="E517" s="14">
        <f>Data!Q517</f>
        <v>2</v>
      </c>
    </row>
    <row r="518" spans="2:5" ht="15" customHeight="1" x14ac:dyDescent="0.3">
      <c r="C518" s="3"/>
      <c r="D518" s="8">
        <v>2024</v>
      </c>
      <c r="E518" s="14">
        <f>Data!Q518</f>
        <v>3</v>
      </c>
    </row>
    <row r="519" spans="2:5" ht="15" customHeight="1" x14ac:dyDescent="0.3">
      <c r="B519" s="8">
        <v>48</v>
      </c>
      <c r="C519" s="3" t="s">
        <v>26</v>
      </c>
      <c r="D519" s="8">
        <v>2014</v>
      </c>
      <c r="E519" s="14">
        <f>Data!Q519</f>
        <v>0</v>
      </c>
    </row>
    <row r="520" spans="2:5" ht="15" customHeight="1" x14ac:dyDescent="0.3">
      <c r="C520" s="3"/>
      <c r="D520" s="8">
        <v>2015</v>
      </c>
      <c r="E520" s="14">
        <f>Data!Q520</f>
        <v>2</v>
      </c>
    </row>
    <row r="521" spans="2:5" ht="15" customHeight="1" x14ac:dyDescent="0.3">
      <c r="C521" s="3"/>
      <c r="D521" s="8">
        <v>2016</v>
      </c>
      <c r="E521" s="14">
        <f>Data!Q521</f>
        <v>2</v>
      </c>
    </row>
    <row r="522" spans="2:5" ht="15" customHeight="1" x14ac:dyDescent="0.3">
      <c r="C522" s="3"/>
      <c r="D522" s="8">
        <v>2017</v>
      </c>
      <c r="E522" s="14">
        <f>Data!Q522</f>
        <v>2</v>
      </c>
    </row>
    <row r="523" spans="2:5" ht="15" customHeight="1" x14ac:dyDescent="0.3">
      <c r="C523" s="3"/>
      <c r="D523" s="8">
        <v>2018</v>
      </c>
      <c r="E523" s="14">
        <f>Data!Q523</f>
        <v>2</v>
      </c>
    </row>
    <row r="524" spans="2:5" ht="15" customHeight="1" x14ac:dyDescent="0.3">
      <c r="C524" s="3"/>
      <c r="D524" s="8">
        <v>2019</v>
      </c>
      <c r="E524" s="14">
        <f>Data!Q524</f>
        <v>2</v>
      </c>
    </row>
    <row r="525" spans="2:5" ht="15" customHeight="1" x14ac:dyDescent="0.3">
      <c r="C525" s="3"/>
      <c r="D525" s="8">
        <v>2020</v>
      </c>
      <c r="E525" s="14">
        <f>Data!Q525</f>
        <v>3</v>
      </c>
    </row>
    <row r="526" spans="2:5" ht="15" customHeight="1" x14ac:dyDescent="0.3">
      <c r="C526" s="3"/>
      <c r="D526" s="8">
        <v>2021</v>
      </c>
      <c r="E526" s="14">
        <f>Data!Q526</f>
        <v>3</v>
      </c>
    </row>
    <row r="527" spans="2:5" ht="15" customHeight="1" x14ac:dyDescent="0.3">
      <c r="C527" s="3"/>
      <c r="D527" s="8">
        <v>2022</v>
      </c>
      <c r="E527" s="14">
        <f>Data!Q527</f>
        <v>3</v>
      </c>
    </row>
    <row r="528" spans="2:5" ht="15" customHeight="1" x14ac:dyDescent="0.3">
      <c r="C528" s="3"/>
      <c r="D528" s="8">
        <v>2023</v>
      </c>
      <c r="E528" s="14">
        <f>Data!Q528</f>
        <v>3</v>
      </c>
    </row>
    <row r="529" spans="2:5" ht="15" customHeight="1" x14ac:dyDescent="0.3">
      <c r="C529" s="3"/>
      <c r="D529" s="8">
        <v>2024</v>
      </c>
      <c r="E529" s="14">
        <f>Data!Q529</f>
        <v>3</v>
      </c>
    </row>
    <row r="530" spans="2:5" ht="15" customHeight="1" x14ac:dyDescent="0.3">
      <c r="B530" s="8">
        <v>49</v>
      </c>
      <c r="C530" s="3" t="s">
        <v>38</v>
      </c>
      <c r="D530" s="8">
        <v>2014</v>
      </c>
      <c r="E530" s="14">
        <f>Data!Q530</f>
        <v>0</v>
      </c>
    </row>
    <row r="531" spans="2:5" ht="15" customHeight="1" x14ac:dyDescent="0.3">
      <c r="C531" s="3"/>
      <c r="D531" s="8">
        <v>2015</v>
      </c>
      <c r="E531" s="14">
        <f>Data!Q531</f>
        <v>0</v>
      </c>
    </row>
    <row r="532" spans="2:5" ht="15" customHeight="1" x14ac:dyDescent="0.3">
      <c r="C532" s="3"/>
      <c r="D532" s="8">
        <v>2016</v>
      </c>
      <c r="E532" s="14">
        <f>Data!Q532</f>
        <v>0</v>
      </c>
    </row>
    <row r="533" spans="2:5" ht="15" customHeight="1" x14ac:dyDescent="0.3">
      <c r="C533" s="3"/>
      <c r="D533" s="8">
        <v>2017</v>
      </c>
      <c r="E533" s="14">
        <f>Data!Q533</f>
        <v>2</v>
      </c>
    </row>
    <row r="534" spans="2:5" ht="15" customHeight="1" x14ac:dyDescent="0.3">
      <c r="C534" s="3"/>
      <c r="D534" s="8">
        <v>2018</v>
      </c>
      <c r="E534" s="14">
        <f>Data!Q534</f>
        <v>2</v>
      </c>
    </row>
    <row r="535" spans="2:5" ht="15" customHeight="1" x14ac:dyDescent="0.3">
      <c r="C535" s="3"/>
      <c r="D535" s="8">
        <v>2019</v>
      </c>
      <c r="E535" s="14">
        <f>Data!Q535</f>
        <v>2</v>
      </c>
    </row>
    <row r="536" spans="2:5" ht="15" customHeight="1" x14ac:dyDescent="0.3">
      <c r="C536" s="3"/>
      <c r="D536" s="8">
        <v>2020</v>
      </c>
      <c r="E536" s="14">
        <f>Data!Q536</f>
        <v>2</v>
      </c>
    </row>
    <row r="537" spans="2:5" ht="15" customHeight="1" x14ac:dyDescent="0.3">
      <c r="C537" s="3"/>
      <c r="D537" s="8">
        <v>2021</v>
      </c>
      <c r="E537" s="14">
        <f>Data!Q537</f>
        <v>2</v>
      </c>
    </row>
    <row r="538" spans="2:5" ht="15" customHeight="1" x14ac:dyDescent="0.3">
      <c r="C538" s="3"/>
      <c r="D538" s="8">
        <v>2022</v>
      </c>
      <c r="E538" s="14">
        <f>Data!Q538</f>
        <v>2</v>
      </c>
    </row>
    <row r="539" spans="2:5" ht="15" customHeight="1" x14ac:dyDescent="0.3">
      <c r="C539" s="3"/>
      <c r="D539" s="8">
        <v>2023</v>
      </c>
      <c r="E539" s="14">
        <f>Data!Q539</f>
        <v>2</v>
      </c>
    </row>
    <row r="540" spans="2:5" ht="15" customHeight="1" x14ac:dyDescent="0.3">
      <c r="C540" s="3"/>
      <c r="D540" s="8">
        <v>2024</v>
      </c>
      <c r="E540" s="14">
        <f>Data!Q540</f>
        <v>2</v>
      </c>
    </row>
    <row r="541" spans="2:5" ht="15" customHeight="1" x14ac:dyDescent="0.3">
      <c r="B541" s="8">
        <v>50</v>
      </c>
      <c r="C541" s="3" t="s">
        <v>39</v>
      </c>
      <c r="D541" s="8">
        <v>2014</v>
      </c>
      <c r="E541" s="14">
        <f>Data!Q541</f>
        <v>0</v>
      </c>
    </row>
    <row r="542" spans="2:5" ht="15" customHeight="1" x14ac:dyDescent="0.3">
      <c r="C542" s="3"/>
      <c r="D542" s="8">
        <v>2015</v>
      </c>
      <c r="E542" s="14">
        <f>Data!Q542</f>
        <v>4</v>
      </c>
    </row>
    <row r="543" spans="2:5" ht="15" customHeight="1" x14ac:dyDescent="0.3">
      <c r="C543" s="3"/>
      <c r="D543" s="8">
        <v>2016</v>
      </c>
      <c r="E543" s="14">
        <f>Data!Q543</f>
        <v>4</v>
      </c>
    </row>
    <row r="544" spans="2:5" ht="15" customHeight="1" x14ac:dyDescent="0.3">
      <c r="C544" s="3"/>
      <c r="D544" s="8">
        <v>2017</v>
      </c>
      <c r="E544" s="14">
        <f>Data!Q544</f>
        <v>4</v>
      </c>
    </row>
    <row r="545" spans="2:5" ht="15" customHeight="1" x14ac:dyDescent="0.3">
      <c r="C545" s="3"/>
      <c r="D545" s="8">
        <v>2018</v>
      </c>
      <c r="E545" s="14">
        <f>Data!Q545</f>
        <v>4</v>
      </c>
    </row>
    <row r="546" spans="2:5" ht="15" customHeight="1" x14ac:dyDescent="0.3">
      <c r="C546" s="3"/>
      <c r="D546" s="8">
        <v>2019</v>
      </c>
      <c r="E546" s="14">
        <f>Data!Q546</f>
        <v>4</v>
      </c>
    </row>
    <row r="547" spans="2:5" ht="15" customHeight="1" x14ac:dyDescent="0.3">
      <c r="C547" s="3"/>
      <c r="D547" s="8">
        <v>2020</v>
      </c>
      <c r="E547" s="14">
        <f>Data!Q547</f>
        <v>4</v>
      </c>
    </row>
    <row r="548" spans="2:5" ht="15" customHeight="1" x14ac:dyDescent="0.3">
      <c r="C548" s="3"/>
      <c r="D548" s="8">
        <v>2021</v>
      </c>
      <c r="E548" s="14">
        <f>Data!Q548</f>
        <v>4</v>
      </c>
    </row>
    <row r="549" spans="2:5" ht="15" customHeight="1" x14ac:dyDescent="0.3">
      <c r="C549" s="3"/>
      <c r="D549" s="8">
        <v>2022</v>
      </c>
      <c r="E549" s="14">
        <f>Data!Q549</f>
        <v>4</v>
      </c>
    </row>
    <row r="550" spans="2:5" ht="15" customHeight="1" x14ac:dyDescent="0.3">
      <c r="C550" s="3"/>
      <c r="D550" s="8">
        <v>2023</v>
      </c>
      <c r="E550" s="14">
        <f>Data!Q550</f>
        <v>4</v>
      </c>
    </row>
    <row r="551" spans="2:5" ht="15" customHeight="1" x14ac:dyDescent="0.3">
      <c r="C551" s="3"/>
      <c r="D551" s="8">
        <v>2024</v>
      </c>
      <c r="E551" s="14">
        <f>Data!Q551</f>
        <v>2</v>
      </c>
    </row>
    <row r="552" spans="2:5" ht="15" customHeight="1" x14ac:dyDescent="0.3">
      <c r="B552" s="8">
        <v>51</v>
      </c>
      <c r="C552" s="3" t="s">
        <v>48</v>
      </c>
      <c r="D552" s="8">
        <v>2014</v>
      </c>
      <c r="E552" s="14">
        <f>Data!Q552</f>
        <v>0</v>
      </c>
    </row>
    <row r="553" spans="2:5" ht="15" customHeight="1" x14ac:dyDescent="0.3">
      <c r="C553" s="3"/>
      <c r="D553" s="8">
        <v>2015</v>
      </c>
      <c r="E553" s="14">
        <f>Data!Q553</f>
        <v>0</v>
      </c>
    </row>
    <row r="554" spans="2:5" ht="15" customHeight="1" x14ac:dyDescent="0.3">
      <c r="C554" s="3"/>
      <c r="D554" s="8">
        <v>2016</v>
      </c>
      <c r="E554" s="14">
        <f>Data!Q554</f>
        <v>0</v>
      </c>
    </row>
    <row r="555" spans="2:5" ht="15" customHeight="1" x14ac:dyDescent="0.3">
      <c r="C555" s="3"/>
      <c r="D555" s="8">
        <v>2017</v>
      </c>
      <c r="E555" s="14">
        <f>Data!Q555</f>
        <v>0</v>
      </c>
    </row>
    <row r="556" spans="2:5" ht="15" customHeight="1" x14ac:dyDescent="0.3">
      <c r="C556" s="3"/>
      <c r="D556" s="8">
        <v>2018</v>
      </c>
      <c r="E556" s="14">
        <f>Data!Q556</f>
        <v>0</v>
      </c>
    </row>
    <row r="557" spans="2:5" ht="15" customHeight="1" x14ac:dyDescent="0.3">
      <c r="C557" s="3"/>
      <c r="D557" s="8">
        <v>2019</v>
      </c>
      <c r="E557" s="14">
        <f>Data!Q557</f>
        <v>0</v>
      </c>
    </row>
    <row r="558" spans="2:5" ht="15" customHeight="1" x14ac:dyDescent="0.3">
      <c r="C558" s="3"/>
      <c r="D558" s="8">
        <v>2020</v>
      </c>
      <c r="E558" s="14">
        <f>Data!Q558</f>
        <v>2</v>
      </c>
    </row>
    <row r="559" spans="2:5" ht="15" customHeight="1" x14ac:dyDescent="0.3">
      <c r="C559" s="3"/>
      <c r="D559" s="8">
        <v>2021</v>
      </c>
      <c r="E559" s="14">
        <f>Data!Q559</f>
        <v>2</v>
      </c>
    </row>
    <row r="560" spans="2:5" ht="15" customHeight="1" x14ac:dyDescent="0.3">
      <c r="C560" s="3"/>
      <c r="D560" s="8">
        <v>2022</v>
      </c>
      <c r="E560" s="14">
        <f>Data!Q560</f>
        <v>2</v>
      </c>
    </row>
    <row r="561" spans="2:5" ht="15" customHeight="1" x14ac:dyDescent="0.3">
      <c r="C561" s="3"/>
      <c r="D561" s="8">
        <v>2023</v>
      </c>
      <c r="E561" s="14">
        <f>Data!Q561</f>
        <v>2</v>
      </c>
    </row>
    <row r="562" spans="2:5" ht="15" customHeight="1" x14ac:dyDescent="0.3">
      <c r="C562" s="3"/>
      <c r="D562" s="8">
        <v>2024</v>
      </c>
      <c r="E562" s="14">
        <f>Data!Q562</f>
        <v>2</v>
      </c>
    </row>
    <row r="563" spans="2:5" ht="15" customHeight="1" x14ac:dyDescent="0.3">
      <c r="B563" s="8">
        <v>52</v>
      </c>
      <c r="C563" s="3" t="s">
        <v>37</v>
      </c>
      <c r="D563" s="8">
        <v>2014</v>
      </c>
      <c r="E563" s="14">
        <f>Data!Q563</f>
        <v>0</v>
      </c>
    </row>
    <row r="564" spans="2:5" ht="15" customHeight="1" x14ac:dyDescent="0.3">
      <c r="C564" s="3"/>
      <c r="D564" s="8">
        <v>2015</v>
      </c>
      <c r="E564" s="14">
        <f>Data!Q564</f>
        <v>0</v>
      </c>
    </row>
    <row r="565" spans="2:5" ht="15" customHeight="1" x14ac:dyDescent="0.3">
      <c r="C565" s="3"/>
      <c r="D565" s="8">
        <v>2016</v>
      </c>
      <c r="E565" s="14">
        <f>Data!Q565</f>
        <v>2</v>
      </c>
    </row>
    <row r="566" spans="2:5" ht="15" customHeight="1" x14ac:dyDescent="0.3">
      <c r="C566" s="3"/>
      <c r="D566" s="8">
        <v>2017</v>
      </c>
      <c r="E566" s="14">
        <f>Data!Q566</f>
        <v>2</v>
      </c>
    </row>
    <row r="567" spans="2:5" ht="15" customHeight="1" x14ac:dyDescent="0.3">
      <c r="C567" s="3"/>
      <c r="D567" s="8">
        <v>2018</v>
      </c>
      <c r="E567" s="14">
        <f>Data!Q567</f>
        <v>2</v>
      </c>
    </row>
    <row r="568" spans="2:5" ht="15" customHeight="1" x14ac:dyDescent="0.3">
      <c r="C568" s="3"/>
      <c r="D568" s="8">
        <v>2019</v>
      </c>
      <c r="E568" s="14">
        <f>Data!Q568</f>
        <v>3</v>
      </c>
    </row>
    <row r="569" spans="2:5" ht="15" customHeight="1" x14ac:dyDescent="0.3">
      <c r="C569" s="3"/>
      <c r="D569" s="8">
        <v>2020</v>
      </c>
      <c r="E569" s="14">
        <f>Data!Q569</f>
        <v>2</v>
      </c>
    </row>
    <row r="570" spans="2:5" ht="15" customHeight="1" x14ac:dyDescent="0.3">
      <c r="C570" s="3"/>
      <c r="D570" s="8">
        <v>2021</v>
      </c>
      <c r="E570" s="14">
        <f>Data!Q570</f>
        <v>2</v>
      </c>
    </row>
    <row r="571" spans="2:5" ht="15" customHeight="1" x14ac:dyDescent="0.3">
      <c r="C571" s="3"/>
      <c r="D571" s="8">
        <v>2022</v>
      </c>
      <c r="E571" s="14">
        <f>Data!Q571</f>
        <v>2</v>
      </c>
    </row>
    <row r="572" spans="2:5" ht="15" customHeight="1" x14ac:dyDescent="0.3">
      <c r="C572" s="3"/>
      <c r="D572" s="8">
        <v>2023</v>
      </c>
      <c r="E572" s="14">
        <f>Data!Q572</f>
        <v>2</v>
      </c>
    </row>
    <row r="573" spans="2:5" ht="15" customHeight="1" x14ac:dyDescent="0.3">
      <c r="C573" s="3"/>
      <c r="D573" s="8">
        <v>2024</v>
      </c>
      <c r="E573" s="14">
        <f>Data!Q573</f>
        <v>2</v>
      </c>
    </row>
    <row r="574" spans="2:5" ht="15" customHeight="1" x14ac:dyDescent="0.3">
      <c r="B574" s="8">
        <v>53</v>
      </c>
      <c r="C574" s="3" t="s">
        <v>43</v>
      </c>
      <c r="D574" s="8">
        <v>2014</v>
      </c>
      <c r="E574" s="14">
        <f>Data!Q574</f>
        <v>0</v>
      </c>
    </row>
    <row r="575" spans="2:5" ht="15" customHeight="1" x14ac:dyDescent="0.3">
      <c r="C575" s="3"/>
      <c r="D575" s="8">
        <v>2015</v>
      </c>
      <c r="E575" s="14">
        <f>Data!Q575</f>
        <v>0</v>
      </c>
    </row>
    <row r="576" spans="2:5" ht="15" customHeight="1" x14ac:dyDescent="0.3">
      <c r="C576" s="3"/>
      <c r="D576" s="8">
        <v>2016</v>
      </c>
      <c r="E576" s="14">
        <f>Data!Q576</f>
        <v>0</v>
      </c>
    </row>
    <row r="577" spans="2:5" ht="15" customHeight="1" x14ac:dyDescent="0.3">
      <c r="C577" s="3"/>
      <c r="D577" s="8">
        <v>2017</v>
      </c>
      <c r="E577" s="14">
        <f>Data!Q577</f>
        <v>3</v>
      </c>
    </row>
    <row r="578" spans="2:5" ht="15" customHeight="1" x14ac:dyDescent="0.3">
      <c r="C578" s="3"/>
      <c r="D578" s="8">
        <v>2018</v>
      </c>
      <c r="E578" s="14">
        <f>Data!Q578</f>
        <v>3</v>
      </c>
    </row>
    <row r="579" spans="2:5" ht="15" customHeight="1" x14ac:dyDescent="0.3">
      <c r="C579" s="3"/>
      <c r="D579" s="8">
        <v>2019</v>
      </c>
      <c r="E579" s="14">
        <f>Data!Q579</f>
        <v>3</v>
      </c>
    </row>
    <row r="580" spans="2:5" ht="15" customHeight="1" x14ac:dyDescent="0.3">
      <c r="C580" s="3"/>
      <c r="D580" s="8">
        <v>2020</v>
      </c>
      <c r="E580" s="14">
        <f>Data!Q580</f>
        <v>4</v>
      </c>
    </row>
    <row r="581" spans="2:5" ht="15" customHeight="1" x14ac:dyDescent="0.3">
      <c r="C581" s="3"/>
      <c r="D581" s="8">
        <v>2021</v>
      </c>
      <c r="E581" s="14">
        <f>Data!Q581</f>
        <v>5</v>
      </c>
    </row>
    <row r="582" spans="2:5" ht="15" customHeight="1" x14ac:dyDescent="0.3">
      <c r="C582" s="3"/>
      <c r="D582" s="8">
        <v>2022</v>
      </c>
      <c r="E582" s="14">
        <f>Data!Q582</f>
        <v>4</v>
      </c>
    </row>
    <row r="583" spans="2:5" ht="15" customHeight="1" x14ac:dyDescent="0.3">
      <c r="C583" s="3"/>
      <c r="D583" s="8">
        <v>2023</v>
      </c>
      <c r="E583" s="14">
        <f>Data!Q583</f>
        <v>4</v>
      </c>
    </row>
    <row r="584" spans="2:5" ht="15" customHeight="1" x14ac:dyDescent="0.3">
      <c r="C584" s="3"/>
      <c r="D584" s="8">
        <v>2024</v>
      </c>
      <c r="E584" s="14">
        <f>Data!Q584</f>
        <v>3</v>
      </c>
    </row>
    <row r="585" spans="2:5" ht="15" customHeight="1" x14ac:dyDescent="0.3">
      <c r="B585" s="8">
        <v>54</v>
      </c>
      <c r="C585" s="4" t="s">
        <v>150</v>
      </c>
      <c r="D585" s="8">
        <v>2014</v>
      </c>
      <c r="E585" s="14">
        <f>Data!Q585</f>
        <v>0</v>
      </c>
    </row>
    <row r="586" spans="2:5" ht="15" customHeight="1" x14ac:dyDescent="0.3">
      <c r="C586" s="4"/>
      <c r="D586" s="8">
        <v>2015</v>
      </c>
      <c r="E586" s="14">
        <f>Data!Q586</f>
        <v>0</v>
      </c>
    </row>
    <row r="587" spans="2:5" ht="15" customHeight="1" x14ac:dyDescent="0.3">
      <c r="C587" s="4"/>
      <c r="D587" s="8">
        <v>2016</v>
      </c>
      <c r="E587" s="14">
        <f>Data!Q587</f>
        <v>0</v>
      </c>
    </row>
    <row r="588" spans="2:5" ht="15" customHeight="1" x14ac:dyDescent="0.3">
      <c r="C588" s="4"/>
      <c r="D588" s="8">
        <v>2017</v>
      </c>
      <c r="E588" s="14">
        <f>Data!Q588</f>
        <v>0</v>
      </c>
    </row>
    <row r="589" spans="2:5" ht="15" customHeight="1" x14ac:dyDescent="0.3">
      <c r="C589" s="4"/>
      <c r="D589" s="8">
        <v>2018</v>
      </c>
      <c r="E589" s="14">
        <f>Data!Q589</f>
        <v>0</v>
      </c>
    </row>
    <row r="590" spans="2:5" ht="15" customHeight="1" x14ac:dyDescent="0.3">
      <c r="C590" s="4"/>
      <c r="D590" s="8">
        <v>2019</v>
      </c>
      <c r="E590" s="14">
        <f>Data!Q590</f>
        <v>0</v>
      </c>
    </row>
    <row r="591" spans="2:5" ht="15" customHeight="1" x14ac:dyDescent="0.3">
      <c r="C591" s="4"/>
      <c r="D591" s="8">
        <v>2020</v>
      </c>
      <c r="E591" s="14">
        <f>Data!Q591</f>
        <v>0</v>
      </c>
    </row>
    <row r="592" spans="2:5" ht="15" customHeight="1" x14ac:dyDescent="0.3">
      <c r="C592" s="4"/>
      <c r="D592" s="8">
        <v>2021</v>
      </c>
      <c r="E592" s="14">
        <f>Data!Q592</f>
        <v>0</v>
      </c>
    </row>
    <row r="593" spans="2:5" ht="15" customHeight="1" x14ac:dyDescent="0.3">
      <c r="C593" s="4"/>
      <c r="D593" s="8">
        <v>2022</v>
      </c>
      <c r="E593" s="14">
        <f>Data!Q593</f>
        <v>2</v>
      </c>
    </row>
    <row r="594" spans="2:5" ht="15" customHeight="1" x14ac:dyDescent="0.3">
      <c r="C594" s="4"/>
      <c r="D594" s="8">
        <v>2023</v>
      </c>
      <c r="E594" s="14">
        <f>Data!Q594</f>
        <v>2</v>
      </c>
    </row>
    <row r="595" spans="2:5" ht="15" customHeight="1" x14ac:dyDescent="0.3">
      <c r="C595" s="4"/>
      <c r="D595" s="8">
        <v>2024</v>
      </c>
      <c r="E595" s="14">
        <f>Data!Q595</f>
        <v>1</v>
      </c>
    </row>
    <row r="596" spans="2:5" ht="15" customHeight="1" x14ac:dyDescent="0.3">
      <c r="B596" s="8">
        <v>55</v>
      </c>
      <c r="C596" s="3" t="s">
        <v>40</v>
      </c>
      <c r="D596" s="8">
        <v>2014</v>
      </c>
      <c r="E596" s="14">
        <f>Data!Q596</f>
        <v>0</v>
      </c>
    </row>
    <row r="597" spans="2:5" ht="15" customHeight="1" x14ac:dyDescent="0.3">
      <c r="C597" s="3"/>
      <c r="D597" s="8">
        <v>2015</v>
      </c>
      <c r="E597" s="14">
        <f>Data!Q597</f>
        <v>1</v>
      </c>
    </row>
    <row r="598" spans="2:5" ht="15" customHeight="1" x14ac:dyDescent="0.3">
      <c r="C598" s="3"/>
      <c r="D598" s="8">
        <v>2016</v>
      </c>
      <c r="E598" s="14">
        <f>Data!Q598</f>
        <v>1</v>
      </c>
    </row>
    <row r="599" spans="2:5" ht="15" customHeight="1" x14ac:dyDescent="0.3">
      <c r="C599" s="3"/>
      <c r="D599" s="8">
        <v>2017</v>
      </c>
      <c r="E599" s="14">
        <f>Data!Q599</f>
        <v>2</v>
      </c>
    </row>
    <row r="600" spans="2:5" ht="15" customHeight="1" x14ac:dyDescent="0.3">
      <c r="C600" s="3"/>
      <c r="D600" s="8">
        <v>2018</v>
      </c>
      <c r="E600" s="14">
        <f>Data!Q600</f>
        <v>2</v>
      </c>
    </row>
    <row r="601" spans="2:5" ht="15" customHeight="1" x14ac:dyDescent="0.3">
      <c r="C601" s="3"/>
      <c r="D601" s="8">
        <v>2019</v>
      </c>
      <c r="E601" s="14">
        <f>Data!Q601</f>
        <v>2</v>
      </c>
    </row>
    <row r="602" spans="2:5" ht="15" customHeight="1" x14ac:dyDescent="0.3">
      <c r="C602" s="3"/>
      <c r="D602" s="8">
        <v>2020</v>
      </c>
      <c r="E602" s="14">
        <f>Data!Q602</f>
        <v>2</v>
      </c>
    </row>
    <row r="603" spans="2:5" ht="15" customHeight="1" x14ac:dyDescent="0.3">
      <c r="C603" s="3"/>
      <c r="D603" s="8">
        <v>2021</v>
      </c>
      <c r="E603" s="14">
        <f>Data!Q603</f>
        <v>2</v>
      </c>
    </row>
    <row r="604" spans="2:5" ht="15" customHeight="1" x14ac:dyDescent="0.3">
      <c r="C604" s="3"/>
      <c r="D604" s="8">
        <v>2022</v>
      </c>
      <c r="E604" s="14">
        <f>Data!Q604</f>
        <v>2</v>
      </c>
    </row>
    <row r="605" spans="2:5" ht="15" customHeight="1" x14ac:dyDescent="0.3">
      <c r="C605" s="3"/>
      <c r="D605" s="8">
        <v>2023</v>
      </c>
      <c r="E605" s="14">
        <f>Data!Q605</f>
        <v>2</v>
      </c>
    </row>
    <row r="606" spans="2:5" ht="15" customHeight="1" x14ac:dyDescent="0.3">
      <c r="C606" s="3"/>
      <c r="D606" s="8">
        <v>2024</v>
      </c>
      <c r="E606" s="14">
        <f>Data!Q606</f>
        <v>3</v>
      </c>
    </row>
    <row r="607" spans="2:5" ht="15" customHeight="1" x14ac:dyDescent="0.3">
      <c r="B607" s="8">
        <v>56</v>
      </c>
      <c r="C607" s="3" t="s">
        <v>47</v>
      </c>
      <c r="D607" s="8">
        <v>2014</v>
      </c>
      <c r="E607" s="14">
        <f>Data!Q607</f>
        <v>0</v>
      </c>
    </row>
    <row r="608" spans="2:5" ht="15" customHeight="1" x14ac:dyDescent="0.3">
      <c r="C608" s="3"/>
      <c r="D608" s="8">
        <v>2015</v>
      </c>
      <c r="E608" s="14">
        <f>Data!Q608</f>
        <v>2</v>
      </c>
    </row>
    <row r="609" spans="2:5" ht="15" customHeight="1" x14ac:dyDescent="0.3">
      <c r="C609" s="3"/>
      <c r="D609" s="8">
        <v>2016</v>
      </c>
      <c r="E609" s="14">
        <f>Data!Q609</f>
        <v>2</v>
      </c>
    </row>
    <row r="610" spans="2:5" ht="15" customHeight="1" x14ac:dyDescent="0.3">
      <c r="C610" s="3"/>
      <c r="D610" s="8">
        <v>2017</v>
      </c>
      <c r="E610" s="14">
        <f>Data!Q610</f>
        <v>2</v>
      </c>
    </row>
    <row r="611" spans="2:5" ht="15" customHeight="1" x14ac:dyDescent="0.3">
      <c r="C611" s="3"/>
      <c r="D611" s="8">
        <v>2018</v>
      </c>
      <c r="E611" s="14">
        <f>Data!Q611</f>
        <v>2</v>
      </c>
    </row>
    <row r="612" spans="2:5" ht="15" customHeight="1" x14ac:dyDescent="0.3">
      <c r="C612" s="3"/>
      <c r="D612" s="8">
        <v>2019</v>
      </c>
      <c r="E612" s="14">
        <f>Data!Q612</f>
        <v>2</v>
      </c>
    </row>
    <row r="613" spans="2:5" ht="15" customHeight="1" x14ac:dyDescent="0.3">
      <c r="C613" s="3"/>
      <c r="D613" s="8">
        <v>2020</v>
      </c>
      <c r="E613" s="14">
        <f>Data!Q613</f>
        <v>2</v>
      </c>
    </row>
    <row r="614" spans="2:5" ht="15" customHeight="1" x14ac:dyDescent="0.3">
      <c r="C614" s="3"/>
      <c r="D614" s="8">
        <v>2021</v>
      </c>
      <c r="E614" s="14">
        <f>Data!Q614</f>
        <v>2</v>
      </c>
    </row>
    <row r="615" spans="2:5" ht="15" customHeight="1" x14ac:dyDescent="0.3">
      <c r="C615" s="3"/>
      <c r="D615" s="8">
        <v>2022</v>
      </c>
      <c r="E615" s="14">
        <f>Data!Q615</f>
        <v>2</v>
      </c>
    </row>
    <row r="616" spans="2:5" ht="15" customHeight="1" x14ac:dyDescent="0.3">
      <c r="C616" s="3"/>
      <c r="D616" s="8">
        <v>2023</v>
      </c>
      <c r="E616" s="14">
        <f>Data!Q616</f>
        <v>2</v>
      </c>
    </row>
    <row r="617" spans="2:5" ht="15" customHeight="1" x14ac:dyDescent="0.3">
      <c r="C617" s="3"/>
      <c r="D617" s="8">
        <v>2024</v>
      </c>
      <c r="E617" s="14">
        <f>Data!Q617</f>
        <v>2</v>
      </c>
    </row>
    <row r="618" spans="2:5" ht="15" customHeight="1" x14ac:dyDescent="0.3">
      <c r="B618" s="8">
        <v>57</v>
      </c>
      <c r="C618" s="3" t="s">
        <v>41</v>
      </c>
      <c r="D618" s="8">
        <v>2014</v>
      </c>
      <c r="E618" s="14">
        <f>Data!Q618</f>
        <v>0</v>
      </c>
    </row>
    <row r="619" spans="2:5" ht="15" customHeight="1" x14ac:dyDescent="0.3">
      <c r="C619" s="3"/>
      <c r="D619" s="8">
        <v>2015</v>
      </c>
      <c r="E619" s="14">
        <f>Data!Q619</f>
        <v>0</v>
      </c>
    </row>
    <row r="620" spans="2:5" ht="15" customHeight="1" x14ac:dyDescent="0.3">
      <c r="C620" s="3"/>
      <c r="D620" s="8">
        <v>2016</v>
      </c>
      <c r="E620" s="14">
        <f>Data!Q620</f>
        <v>0</v>
      </c>
    </row>
    <row r="621" spans="2:5" ht="15" customHeight="1" x14ac:dyDescent="0.3">
      <c r="C621" s="3"/>
      <c r="D621" s="8">
        <v>2017</v>
      </c>
      <c r="E621" s="14">
        <f>Data!Q621</f>
        <v>0</v>
      </c>
    </row>
    <row r="622" spans="2:5" ht="15" customHeight="1" x14ac:dyDescent="0.3">
      <c r="C622" s="3"/>
      <c r="D622" s="8">
        <v>2018</v>
      </c>
      <c r="E622" s="14">
        <f>Data!Q622</f>
        <v>2</v>
      </c>
    </row>
    <row r="623" spans="2:5" ht="15" customHeight="1" x14ac:dyDescent="0.3">
      <c r="C623" s="3"/>
      <c r="D623" s="8">
        <v>2019</v>
      </c>
      <c r="E623" s="14">
        <f>Data!Q623</f>
        <v>2</v>
      </c>
    </row>
    <row r="624" spans="2:5" ht="15" customHeight="1" x14ac:dyDescent="0.3">
      <c r="C624" s="3"/>
      <c r="D624" s="8">
        <v>2020</v>
      </c>
      <c r="E624" s="14">
        <f>Data!Q624</f>
        <v>2</v>
      </c>
    </row>
    <row r="625" spans="1:5" ht="15" customHeight="1" x14ac:dyDescent="0.3">
      <c r="C625" s="3"/>
      <c r="D625" s="8">
        <v>2021</v>
      </c>
      <c r="E625" s="14">
        <f>Data!Q625</f>
        <v>2</v>
      </c>
    </row>
    <row r="626" spans="1:5" ht="15" customHeight="1" x14ac:dyDescent="0.3">
      <c r="C626" s="3"/>
      <c r="D626" s="8">
        <v>2022</v>
      </c>
      <c r="E626" s="14">
        <f>Data!Q626</f>
        <v>2</v>
      </c>
    </row>
    <row r="627" spans="1:5" ht="15" customHeight="1" x14ac:dyDescent="0.3">
      <c r="C627" s="3"/>
      <c r="D627" s="8">
        <v>2023</v>
      </c>
      <c r="E627" s="14">
        <f>Data!Q627</f>
        <v>2</v>
      </c>
    </row>
    <row r="628" spans="1:5" ht="15" customHeight="1" x14ac:dyDescent="0.3">
      <c r="C628" s="3"/>
      <c r="D628" s="8">
        <v>2024</v>
      </c>
      <c r="E628" s="14">
        <f>Data!Q628</f>
        <v>2</v>
      </c>
    </row>
    <row r="629" spans="1:5" ht="15" customHeight="1" x14ac:dyDescent="0.3">
      <c r="B629" s="8">
        <v>58</v>
      </c>
      <c r="C629" s="4" t="s">
        <v>49</v>
      </c>
      <c r="D629" s="8">
        <v>2014</v>
      </c>
      <c r="E629" s="14">
        <f>Data!Q629</f>
        <v>0</v>
      </c>
    </row>
    <row r="630" spans="1:5" ht="15" customHeight="1" x14ac:dyDescent="0.3">
      <c r="C630" s="4"/>
      <c r="D630" s="8">
        <v>2015</v>
      </c>
      <c r="E630" s="14">
        <f>Data!Q630</f>
        <v>0</v>
      </c>
    </row>
    <row r="631" spans="1:5" ht="15" customHeight="1" x14ac:dyDescent="0.3">
      <c r="C631" s="4"/>
      <c r="D631" s="8">
        <v>2016</v>
      </c>
      <c r="E631" s="14">
        <f>Data!Q631</f>
        <v>0</v>
      </c>
    </row>
    <row r="632" spans="1:5" ht="15" customHeight="1" x14ac:dyDescent="0.3">
      <c r="C632" s="4"/>
      <c r="D632" s="8">
        <v>2017</v>
      </c>
      <c r="E632" s="14">
        <f>Data!Q632</f>
        <v>0</v>
      </c>
    </row>
    <row r="633" spans="1:5" ht="15" customHeight="1" x14ac:dyDescent="0.3">
      <c r="C633" s="4"/>
      <c r="D633" s="8">
        <v>2018</v>
      </c>
      <c r="E633" s="14">
        <f>Data!Q633</f>
        <v>0</v>
      </c>
    </row>
    <row r="634" spans="1:5" ht="15" customHeight="1" x14ac:dyDescent="0.3">
      <c r="C634" s="4"/>
      <c r="D634" s="8">
        <v>2019</v>
      </c>
      <c r="E634" s="14">
        <f>Data!Q634</f>
        <v>0</v>
      </c>
    </row>
    <row r="635" spans="1:5" ht="15" customHeight="1" x14ac:dyDescent="0.3">
      <c r="C635" s="4"/>
      <c r="D635" s="8">
        <v>2020</v>
      </c>
      <c r="E635" s="14">
        <f>Data!Q635</f>
        <v>2</v>
      </c>
    </row>
    <row r="636" spans="1:5" ht="15" customHeight="1" x14ac:dyDescent="0.3">
      <c r="C636" s="4"/>
      <c r="D636" s="8">
        <v>2021</v>
      </c>
      <c r="E636" s="14">
        <f>Data!Q636</f>
        <v>0</v>
      </c>
    </row>
    <row r="637" spans="1:5" ht="15" customHeight="1" x14ac:dyDescent="0.3">
      <c r="C637" s="4"/>
      <c r="D637" s="8">
        <v>2022</v>
      </c>
      <c r="E637" s="14">
        <f>Data!Q637</f>
        <v>2</v>
      </c>
    </row>
    <row r="638" spans="1:5" ht="15" customHeight="1" x14ac:dyDescent="0.3">
      <c r="C638" s="4"/>
      <c r="D638" s="8">
        <v>2023</v>
      </c>
      <c r="E638" s="14">
        <f>Data!Q638</f>
        <v>2</v>
      </c>
    </row>
    <row r="639" spans="1:5" ht="15" customHeight="1" x14ac:dyDescent="0.3">
      <c r="C639" s="4"/>
      <c r="D639" s="8">
        <v>2024</v>
      </c>
      <c r="E639" s="14">
        <f>Data!Q639</f>
        <v>2</v>
      </c>
    </row>
    <row r="640" spans="1:5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Data!Q640</f>
        <v>0</v>
      </c>
    </row>
    <row r="641" spans="2:5" ht="15" customHeight="1" x14ac:dyDescent="0.3">
      <c r="C641" s="2"/>
      <c r="D641" s="8">
        <v>2015</v>
      </c>
      <c r="E641" s="14">
        <f>Data!Q641</f>
        <v>0</v>
      </c>
    </row>
    <row r="642" spans="2:5" ht="15" customHeight="1" x14ac:dyDescent="0.3">
      <c r="C642" s="2"/>
      <c r="D642" s="8">
        <v>2016</v>
      </c>
      <c r="E642" s="14">
        <f>Data!Q642</f>
        <v>0</v>
      </c>
    </row>
    <row r="643" spans="2:5" ht="15" customHeight="1" x14ac:dyDescent="0.3">
      <c r="C643" s="2"/>
      <c r="D643" s="8">
        <v>2017</v>
      </c>
      <c r="E643" s="14">
        <f>Data!Q643</f>
        <v>0</v>
      </c>
    </row>
    <row r="644" spans="2:5" ht="15" customHeight="1" x14ac:dyDescent="0.3">
      <c r="C644" s="2"/>
      <c r="D644" s="8">
        <v>2018</v>
      </c>
      <c r="E644" s="14">
        <f>Data!Q644</f>
        <v>0</v>
      </c>
    </row>
    <row r="645" spans="2:5" ht="15" customHeight="1" x14ac:dyDescent="0.3">
      <c r="C645" s="2"/>
      <c r="D645" s="8">
        <v>2019</v>
      </c>
      <c r="E645" s="14">
        <f>Data!Q645</f>
        <v>0</v>
      </c>
    </row>
    <row r="646" spans="2:5" ht="15" customHeight="1" x14ac:dyDescent="0.3">
      <c r="C646" s="2"/>
      <c r="D646" s="8">
        <v>2020</v>
      </c>
      <c r="E646" s="14">
        <f>Data!Q646</f>
        <v>2</v>
      </c>
    </row>
    <row r="647" spans="2:5" ht="15" customHeight="1" x14ac:dyDescent="0.3">
      <c r="C647" s="2"/>
      <c r="D647" s="8">
        <v>2021</v>
      </c>
      <c r="E647" s="14">
        <f>Data!Q647</f>
        <v>2</v>
      </c>
    </row>
    <row r="648" spans="2:5" ht="15" customHeight="1" x14ac:dyDescent="0.3">
      <c r="C648" s="2"/>
      <c r="D648" s="8">
        <v>2022</v>
      </c>
      <c r="E648" s="14">
        <f>Data!Q648</f>
        <v>2</v>
      </c>
    </row>
    <row r="649" spans="2:5" ht="15" customHeight="1" x14ac:dyDescent="0.3">
      <c r="C649" s="2"/>
      <c r="D649" s="8">
        <v>2023</v>
      </c>
      <c r="E649" s="14">
        <f>Data!Q649</f>
        <v>3</v>
      </c>
    </row>
    <row r="650" spans="2:5" ht="15" customHeight="1" x14ac:dyDescent="0.3">
      <c r="C650" s="2"/>
      <c r="D650" s="8">
        <v>2024</v>
      </c>
      <c r="E650" s="14">
        <f>Data!Q650</f>
        <v>3</v>
      </c>
    </row>
    <row r="651" spans="2:5" ht="15" customHeight="1" x14ac:dyDescent="0.3">
      <c r="B651" s="8">
        <v>60</v>
      </c>
      <c r="C651" s="2" t="s">
        <v>63</v>
      </c>
      <c r="D651" s="8">
        <v>2014</v>
      </c>
      <c r="E651" s="14">
        <f>Data!Q651</f>
        <v>0</v>
      </c>
    </row>
    <row r="652" spans="2:5" ht="15" customHeight="1" x14ac:dyDescent="0.3">
      <c r="C652" s="2"/>
      <c r="D652" s="8">
        <v>2015</v>
      </c>
      <c r="E652" s="14">
        <f>Data!Q652</f>
        <v>0</v>
      </c>
    </row>
    <row r="653" spans="2:5" ht="15" customHeight="1" x14ac:dyDescent="0.3">
      <c r="C653" s="2"/>
      <c r="D653" s="8">
        <v>2016</v>
      </c>
      <c r="E653" s="14">
        <f>Data!Q653</f>
        <v>0</v>
      </c>
    </row>
    <row r="654" spans="2:5" ht="15" customHeight="1" x14ac:dyDescent="0.3">
      <c r="C654" s="2"/>
      <c r="D654" s="8">
        <v>2017</v>
      </c>
      <c r="E654" s="14">
        <f>Data!Q654</f>
        <v>0</v>
      </c>
    </row>
    <row r="655" spans="2:5" ht="15" customHeight="1" x14ac:dyDescent="0.3">
      <c r="C655" s="2"/>
      <c r="D655" s="8">
        <v>2018</v>
      </c>
      <c r="E655" s="14">
        <f>Data!Q655</f>
        <v>0</v>
      </c>
    </row>
    <row r="656" spans="2:5" ht="15" customHeight="1" x14ac:dyDescent="0.3">
      <c r="C656" s="2"/>
      <c r="D656" s="8">
        <v>2019</v>
      </c>
      <c r="E656" s="14">
        <f>Data!Q656</f>
        <v>0</v>
      </c>
    </row>
    <row r="657" spans="2:5" ht="15" customHeight="1" x14ac:dyDescent="0.3">
      <c r="C657" s="2"/>
      <c r="D657" s="8">
        <v>2020</v>
      </c>
      <c r="E657" s="14">
        <f>Data!Q657</f>
        <v>0</v>
      </c>
    </row>
    <row r="658" spans="2:5" ht="15" customHeight="1" x14ac:dyDescent="0.3">
      <c r="C658" s="2"/>
      <c r="D658" s="8">
        <v>2021</v>
      </c>
      <c r="E658" s="14">
        <f>Data!Q658</f>
        <v>2</v>
      </c>
    </row>
    <row r="659" spans="2:5" ht="15" customHeight="1" x14ac:dyDescent="0.3">
      <c r="C659" s="2"/>
      <c r="D659" s="8">
        <v>2022</v>
      </c>
      <c r="E659" s="14">
        <f>Data!Q659</f>
        <v>2</v>
      </c>
    </row>
    <row r="660" spans="2:5" ht="15" customHeight="1" x14ac:dyDescent="0.3">
      <c r="C660" s="2"/>
      <c r="D660" s="8">
        <v>2023</v>
      </c>
      <c r="E660" s="14">
        <f>Data!Q660</f>
        <v>2</v>
      </c>
    </row>
    <row r="661" spans="2:5" ht="15" customHeight="1" x14ac:dyDescent="0.3">
      <c r="C661" s="2"/>
      <c r="D661" s="8">
        <v>2024</v>
      </c>
      <c r="E661" s="14">
        <f>Data!Q661</f>
        <v>2</v>
      </c>
    </row>
    <row r="662" spans="2:5" ht="15" customHeight="1" x14ac:dyDescent="0.3">
      <c r="B662" s="8">
        <v>61</v>
      </c>
      <c r="C662" s="2" t="s">
        <v>61</v>
      </c>
      <c r="D662" s="8">
        <v>2014</v>
      </c>
      <c r="E662" s="14">
        <f>Data!Q662</f>
        <v>0</v>
      </c>
    </row>
    <row r="663" spans="2:5" ht="15" customHeight="1" x14ac:dyDescent="0.3">
      <c r="C663" s="2"/>
      <c r="D663" s="8">
        <v>2015</v>
      </c>
      <c r="E663" s="14">
        <f>Data!Q663</f>
        <v>3</v>
      </c>
    </row>
    <row r="664" spans="2:5" ht="15" customHeight="1" x14ac:dyDescent="0.3">
      <c r="C664" s="2"/>
      <c r="D664" s="8">
        <v>2016</v>
      </c>
      <c r="E664" s="14">
        <f>Data!Q664</f>
        <v>3</v>
      </c>
    </row>
    <row r="665" spans="2:5" ht="15" customHeight="1" x14ac:dyDescent="0.3">
      <c r="C665" s="2"/>
      <c r="D665" s="8">
        <v>2017</v>
      </c>
      <c r="E665" s="14">
        <f>Data!Q665</f>
        <v>3</v>
      </c>
    </row>
    <row r="666" spans="2:5" ht="15" customHeight="1" x14ac:dyDescent="0.3">
      <c r="C666" s="2"/>
      <c r="D666" s="8">
        <v>2018</v>
      </c>
      <c r="E666" s="14">
        <f>Data!Q666</f>
        <v>3</v>
      </c>
    </row>
    <row r="667" spans="2:5" ht="15" customHeight="1" x14ac:dyDescent="0.3">
      <c r="C667" s="2"/>
      <c r="D667" s="8">
        <v>2019</v>
      </c>
      <c r="E667" s="14">
        <f>Data!Q667</f>
        <v>3</v>
      </c>
    </row>
    <row r="668" spans="2:5" ht="15" customHeight="1" x14ac:dyDescent="0.3">
      <c r="C668" s="2"/>
      <c r="D668" s="8">
        <v>2020</v>
      </c>
      <c r="E668" s="14">
        <f>Data!Q668</f>
        <v>3</v>
      </c>
    </row>
    <row r="669" spans="2:5" ht="15" customHeight="1" x14ac:dyDescent="0.3">
      <c r="C669" s="2"/>
      <c r="D669" s="8">
        <v>2021</v>
      </c>
      <c r="E669" s="14">
        <f>Data!Q669</f>
        <v>3</v>
      </c>
    </row>
    <row r="670" spans="2:5" ht="15" customHeight="1" x14ac:dyDescent="0.3">
      <c r="C670" s="2"/>
      <c r="D670" s="8">
        <v>2022</v>
      </c>
      <c r="E670" s="14">
        <f>Data!Q670</f>
        <v>2</v>
      </c>
    </row>
    <row r="671" spans="2:5" ht="15" customHeight="1" x14ac:dyDescent="0.3">
      <c r="C671" s="2"/>
      <c r="D671" s="8">
        <v>2023</v>
      </c>
      <c r="E671" s="14">
        <f>Data!Q671</f>
        <v>1</v>
      </c>
    </row>
    <row r="672" spans="2:5" ht="15" customHeight="1" x14ac:dyDescent="0.3">
      <c r="C672" s="2"/>
      <c r="D672" s="8">
        <v>2024</v>
      </c>
      <c r="E672" s="14">
        <f>Data!Q672</f>
        <v>2</v>
      </c>
    </row>
    <row r="673" spans="2:5" ht="15" customHeight="1" x14ac:dyDescent="0.3">
      <c r="B673" s="8">
        <v>62</v>
      </c>
      <c r="C673" s="2" t="s">
        <v>62</v>
      </c>
      <c r="D673" s="8">
        <v>2014</v>
      </c>
      <c r="E673" s="14">
        <f>Data!Q673</f>
        <v>0</v>
      </c>
    </row>
    <row r="674" spans="2:5" ht="15" customHeight="1" x14ac:dyDescent="0.3">
      <c r="C674" s="2"/>
      <c r="D674" s="8">
        <v>2015</v>
      </c>
      <c r="E674" s="14">
        <f>Data!Q674</f>
        <v>0</v>
      </c>
    </row>
    <row r="675" spans="2:5" ht="15" customHeight="1" x14ac:dyDescent="0.3">
      <c r="C675" s="2"/>
      <c r="D675" s="8">
        <v>2016</v>
      </c>
      <c r="E675" s="14">
        <f>Data!Q675</f>
        <v>0</v>
      </c>
    </row>
    <row r="676" spans="2:5" ht="15" customHeight="1" x14ac:dyDescent="0.3">
      <c r="C676" s="2"/>
      <c r="D676" s="8">
        <v>2017</v>
      </c>
      <c r="E676" s="14">
        <f>Data!Q676</f>
        <v>0</v>
      </c>
    </row>
    <row r="677" spans="2:5" ht="15" customHeight="1" x14ac:dyDescent="0.3">
      <c r="C677" s="2"/>
      <c r="D677" s="8">
        <v>2018</v>
      </c>
      <c r="E677" s="14">
        <f>Data!Q677</f>
        <v>0</v>
      </c>
    </row>
    <row r="678" spans="2:5" ht="15" customHeight="1" x14ac:dyDescent="0.3">
      <c r="C678" s="2"/>
      <c r="D678" s="8">
        <v>2019</v>
      </c>
      <c r="E678" s="14">
        <f>Data!Q678</f>
        <v>2</v>
      </c>
    </row>
    <row r="679" spans="2:5" ht="15" customHeight="1" x14ac:dyDescent="0.3">
      <c r="C679" s="2"/>
      <c r="D679" s="8">
        <v>2020</v>
      </c>
      <c r="E679" s="14">
        <f>Data!Q679</f>
        <v>2</v>
      </c>
    </row>
    <row r="680" spans="2:5" ht="15" customHeight="1" x14ac:dyDescent="0.3">
      <c r="C680" s="2"/>
      <c r="D680" s="8">
        <v>2021</v>
      </c>
      <c r="E680" s="14">
        <f>Data!Q680</f>
        <v>2</v>
      </c>
    </row>
    <row r="681" spans="2:5" ht="15" customHeight="1" x14ac:dyDescent="0.3">
      <c r="C681" s="2"/>
      <c r="D681" s="8">
        <v>2022</v>
      </c>
      <c r="E681" s="14">
        <f>Data!Q681</f>
        <v>2</v>
      </c>
    </row>
    <row r="682" spans="2:5" ht="15" customHeight="1" x14ac:dyDescent="0.3">
      <c r="C682" s="2"/>
      <c r="D682" s="8">
        <v>2023</v>
      </c>
      <c r="E682" s="14">
        <f>Data!Q682</f>
        <v>2</v>
      </c>
    </row>
    <row r="683" spans="2:5" ht="15" customHeight="1" x14ac:dyDescent="0.3">
      <c r="C683" s="2"/>
      <c r="D683" s="8">
        <v>2024</v>
      </c>
      <c r="E683" s="14">
        <f>Data!Q683</f>
        <v>2</v>
      </c>
    </row>
    <row r="684" spans="2:5" ht="15" customHeight="1" x14ac:dyDescent="0.3">
      <c r="B684" s="8">
        <v>63</v>
      </c>
      <c r="C684" s="2" t="s">
        <v>60</v>
      </c>
      <c r="D684" s="8">
        <v>2014</v>
      </c>
      <c r="E684" s="14">
        <f>Data!Q684</f>
        <v>0</v>
      </c>
    </row>
    <row r="685" spans="2:5" ht="15" customHeight="1" x14ac:dyDescent="0.3">
      <c r="C685" s="2"/>
      <c r="D685" s="8">
        <v>2015</v>
      </c>
      <c r="E685" s="14">
        <f>Data!Q685</f>
        <v>0</v>
      </c>
    </row>
    <row r="686" spans="2:5" ht="15" customHeight="1" x14ac:dyDescent="0.3">
      <c r="C686" s="2"/>
      <c r="D686" s="8">
        <v>2016</v>
      </c>
      <c r="E686" s="14">
        <f>Data!Q686</f>
        <v>1</v>
      </c>
    </row>
    <row r="687" spans="2:5" ht="15" customHeight="1" x14ac:dyDescent="0.3">
      <c r="C687" s="2"/>
      <c r="D687" s="8">
        <v>2017</v>
      </c>
      <c r="E687" s="14">
        <f>Data!Q687</f>
        <v>1</v>
      </c>
    </row>
    <row r="688" spans="2:5" ht="15" customHeight="1" x14ac:dyDescent="0.3">
      <c r="C688" s="2"/>
      <c r="D688" s="8">
        <v>2018</v>
      </c>
      <c r="E688" s="14">
        <f>Data!Q688</f>
        <v>1</v>
      </c>
    </row>
    <row r="689" spans="2:5" ht="15" customHeight="1" x14ac:dyDescent="0.3">
      <c r="C689" s="2"/>
      <c r="D689" s="8">
        <v>2019</v>
      </c>
      <c r="E689" s="14">
        <f>Data!Q689</f>
        <v>0</v>
      </c>
    </row>
    <row r="690" spans="2:5" ht="15" customHeight="1" x14ac:dyDescent="0.3">
      <c r="C690" s="2"/>
      <c r="D690" s="8">
        <v>2020</v>
      </c>
      <c r="E690" s="14">
        <f>Data!Q690</f>
        <v>1</v>
      </c>
    </row>
    <row r="691" spans="2:5" ht="15" customHeight="1" x14ac:dyDescent="0.3">
      <c r="C691" s="2"/>
      <c r="D691" s="8">
        <v>2021</v>
      </c>
      <c r="E691" s="14">
        <f>Data!Q691</f>
        <v>1</v>
      </c>
    </row>
    <row r="692" spans="2:5" ht="15" customHeight="1" x14ac:dyDescent="0.3">
      <c r="C692" s="2"/>
      <c r="D692" s="8">
        <v>2022</v>
      </c>
      <c r="E692" s="14">
        <f>Data!Q692</f>
        <v>1</v>
      </c>
    </row>
    <row r="693" spans="2:5" ht="15" customHeight="1" x14ac:dyDescent="0.3">
      <c r="C693" s="2"/>
      <c r="D693" s="8">
        <v>2023</v>
      </c>
      <c r="E693" s="14">
        <f>Data!Q693</f>
        <v>1</v>
      </c>
    </row>
    <row r="694" spans="2:5" ht="15" customHeight="1" x14ac:dyDescent="0.3">
      <c r="C694" s="2"/>
      <c r="D694" s="8">
        <v>2024</v>
      </c>
      <c r="E694" s="14">
        <f>Data!Q694</f>
        <v>1</v>
      </c>
    </row>
    <row r="695" spans="2:5" ht="15" customHeight="1" x14ac:dyDescent="0.3">
      <c r="B695" s="8">
        <v>64</v>
      </c>
      <c r="C695" s="1" t="s">
        <v>131</v>
      </c>
      <c r="D695" s="8">
        <v>2014</v>
      </c>
      <c r="E695" s="14">
        <f>Data!Q695</f>
        <v>0</v>
      </c>
    </row>
    <row r="696" spans="2:5" ht="15" customHeight="1" x14ac:dyDescent="0.3">
      <c r="C696" s="1"/>
      <c r="D696" s="8">
        <v>2015</v>
      </c>
      <c r="E696" s="14">
        <f>Data!Q696</f>
        <v>0</v>
      </c>
    </row>
    <row r="697" spans="2:5" ht="15" customHeight="1" x14ac:dyDescent="0.3">
      <c r="C697" s="1"/>
      <c r="D697" s="8">
        <v>2016</v>
      </c>
      <c r="E697" s="14">
        <f>Data!Q697</f>
        <v>0</v>
      </c>
    </row>
    <row r="698" spans="2:5" ht="15" customHeight="1" x14ac:dyDescent="0.3">
      <c r="C698" s="1"/>
      <c r="D698" s="8">
        <v>2017</v>
      </c>
      <c r="E698" s="14">
        <f>Data!Q698</f>
        <v>2</v>
      </c>
    </row>
    <row r="699" spans="2:5" ht="15" customHeight="1" x14ac:dyDescent="0.3">
      <c r="C699" s="1"/>
      <c r="D699" s="8">
        <v>2018</v>
      </c>
      <c r="E699" s="14">
        <f>Data!Q699</f>
        <v>2</v>
      </c>
    </row>
    <row r="700" spans="2:5" ht="15" customHeight="1" x14ac:dyDescent="0.3">
      <c r="C700" s="1"/>
      <c r="D700" s="8">
        <v>2019</v>
      </c>
      <c r="E700" s="14">
        <f>Data!Q700</f>
        <v>2</v>
      </c>
    </row>
    <row r="701" spans="2:5" ht="15" customHeight="1" x14ac:dyDescent="0.3">
      <c r="C701" s="1"/>
      <c r="D701" s="8">
        <v>2020</v>
      </c>
      <c r="E701" s="14">
        <f>Data!Q701</f>
        <v>2</v>
      </c>
    </row>
    <row r="702" spans="2:5" ht="15" customHeight="1" x14ac:dyDescent="0.3">
      <c r="C702" s="1"/>
      <c r="D702" s="8">
        <v>2021</v>
      </c>
      <c r="E702" s="14">
        <f>Data!Q702</f>
        <v>2</v>
      </c>
    </row>
    <row r="703" spans="2:5" ht="15" customHeight="1" x14ac:dyDescent="0.3">
      <c r="C703" s="1"/>
      <c r="D703" s="8">
        <v>2022</v>
      </c>
      <c r="E703" s="14">
        <f>Data!Q703</f>
        <v>2</v>
      </c>
    </row>
    <row r="704" spans="2:5" ht="15" customHeight="1" x14ac:dyDescent="0.3">
      <c r="C704" s="1"/>
      <c r="D704" s="8">
        <v>2023</v>
      </c>
      <c r="E704" s="14">
        <f>Data!Q704</f>
        <v>2</v>
      </c>
    </row>
    <row r="705" spans="2:5" ht="15" customHeight="1" x14ac:dyDescent="0.3">
      <c r="C705" s="1"/>
      <c r="D705" s="8">
        <v>2024</v>
      </c>
      <c r="E705" s="14">
        <f>Data!Q705</f>
        <v>2</v>
      </c>
    </row>
    <row r="706" spans="2:5" ht="15" customHeight="1" x14ac:dyDescent="0.3">
      <c r="B706" s="8">
        <v>65</v>
      </c>
      <c r="C706" s="2" t="s">
        <v>64</v>
      </c>
      <c r="D706" s="8">
        <v>2014</v>
      </c>
      <c r="E706" s="14">
        <f>Data!Q706</f>
        <v>0</v>
      </c>
    </row>
    <row r="707" spans="2:5" ht="15" customHeight="1" x14ac:dyDescent="0.3">
      <c r="C707" s="2"/>
      <c r="D707" s="8">
        <v>2015</v>
      </c>
      <c r="E707" s="14">
        <f>Data!Q707</f>
        <v>0</v>
      </c>
    </row>
    <row r="708" spans="2:5" ht="15" customHeight="1" x14ac:dyDescent="0.3">
      <c r="C708" s="2"/>
      <c r="D708" s="8">
        <v>2016</v>
      </c>
      <c r="E708" s="14">
        <f>Data!Q708</f>
        <v>0</v>
      </c>
    </row>
    <row r="709" spans="2:5" ht="15" customHeight="1" x14ac:dyDescent="0.3">
      <c r="C709" s="2"/>
      <c r="D709" s="8">
        <v>2017</v>
      </c>
      <c r="E709" s="14">
        <f>Data!Q709</f>
        <v>0</v>
      </c>
    </row>
    <row r="710" spans="2:5" ht="15" customHeight="1" x14ac:dyDescent="0.3">
      <c r="C710" s="2"/>
      <c r="D710" s="8">
        <v>2018</v>
      </c>
      <c r="E710" s="14">
        <f>Data!Q710</f>
        <v>0</v>
      </c>
    </row>
    <row r="711" spans="2:5" ht="15" customHeight="1" x14ac:dyDescent="0.3">
      <c r="C711" s="2"/>
      <c r="D711" s="8">
        <v>2019</v>
      </c>
      <c r="E711" s="14">
        <f>Data!Q711</f>
        <v>0</v>
      </c>
    </row>
    <row r="712" spans="2:5" ht="15" customHeight="1" x14ac:dyDescent="0.3">
      <c r="C712" s="2"/>
      <c r="D712" s="8">
        <v>2020</v>
      </c>
      <c r="E712" s="14">
        <f>Data!Q712</f>
        <v>0</v>
      </c>
    </row>
    <row r="713" spans="2:5" ht="15" customHeight="1" x14ac:dyDescent="0.3">
      <c r="C713" s="2"/>
      <c r="D713" s="8">
        <v>2021</v>
      </c>
      <c r="E713" s="14">
        <f>Data!Q713</f>
        <v>0</v>
      </c>
    </row>
    <row r="714" spans="2:5" ht="15" customHeight="1" x14ac:dyDescent="0.3">
      <c r="C714" s="2"/>
      <c r="D714" s="8">
        <v>2022</v>
      </c>
      <c r="E714" s="14">
        <f>Data!Q714</f>
        <v>0</v>
      </c>
    </row>
    <row r="715" spans="2:5" ht="15" customHeight="1" x14ac:dyDescent="0.3">
      <c r="C715" s="2"/>
      <c r="D715" s="8">
        <v>2023</v>
      </c>
      <c r="E715" s="14">
        <f>Data!Q715</f>
        <v>2</v>
      </c>
    </row>
    <row r="716" spans="2:5" ht="15" customHeight="1" x14ac:dyDescent="0.3">
      <c r="C716" s="2"/>
      <c r="D716" s="8">
        <v>2024</v>
      </c>
      <c r="E716" s="14">
        <f>Data!Q716</f>
        <v>2</v>
      </c>
    </row>
    <row r="717" spans="2:5" ht="15" customHeight="1" x14ac:dyDescent="0.3">
      <c r="B717" s="8">
        <v>66</v>
      </c>
      <c r="C717" s="2" t="s">
        <v>67</v>
      </c>
      <c r="D717" s="8">
        <v>2014</v>
      </c>
      <c r="E717" s="14">
        <f>Data!Q717</f>
        <v>0</v>
      </c>
    </row>
    <row r="718" spans="2:5" ht="15" customHeight="1" x14ac:dyDescent="0.3">
      <c r="C718" s="2"/>
      <c r="D718" s="8">
        <v>2015</v>
      </c>
      <c r="E718" s="14">
        <f>Data!Q718</f>
        <v>2</v>
      </c>
    </row>
    <row r="719" spans="2:5" ht="15" customHeight="1" x14ac:dyDescent="0.3">
      <c r="C719" s="2"/>
      <c r="D719" s="8">
        <v>2016</v>
      </c>
      <c r="E719" s="14">
        <f>Data!Q719</f>
        <v>3</v>
      </c>
    </row>
    <row r="720" spans="2:5" ht="15" customHeight="1" x14ac:dyDescent="0.3">
      <c r="C720" s="2"/>
      <c r="D720" s="8">
        <v>2017</v>
      </c>
      <c r="E720" s="14">
        <f>Data!Q720</f>
        <v>3</v>
      </c>
    </row>
    <row r="721" spans="2:5" ht="15" customHeight="1" x14ac:dyDescent="0.3">
      <c r="C721" s="2"/>
      <c r="D721" s="8">
        <v>2018</v>
      </c>
      <c r="E721" s="14">
        <f>Data!Q721</f>
        <v>3</v>
      </c>
    </row>
    <row r="722" spans="2:5" ht="15" customHeight="1" x14ac:dyDescent="0.3">
      <c r="C722" s="2"/>
      <c r="D722" s="8">
        <v>2019</v>
      </c>
      <c r="E722" s="14">
        <f>Data!Q722</f>
        <v>3</v>
      </c>
    </row>
    <row r="723" spans="2:5" ht="15" customHeight="1" x14ac:dyDescent="0.3">
      <c r="C723" s="2"/>
      <c r="D723" s="8">
        <v>2020</v>
      </c>
      <c r="E723" s="14">
        <f>Data!Q723</f>
        <v>3</v>
      </c>
    </row>
    <row r="724" spans="2:5" ht="15" customHeight="1" x14ac:dyDescent="0.3">
      <c r="C724" s="2"/>
      <c r="D724" s="8">
        <v>2021</v>
      </c>
      <c r="E724" s="14">
        <f>Data!Q724</f>
        <v>3</v>
      </c>
    </row>
    <row r="725" spans="2:5" ht="15" customHeight="1" x14ac:dyDescent="0.3">
      <c r="C725" s="2"/>
      <c r="D725" s="8">
        <v>2022</v>
      </c>
      <c r="E725" s="14">
        <f>Data!Q725</f>
        <v>3</v>
      </c>
    </row>
    <row r="726" spans="2:5" ht="15" customHeight="1" x14ac:dyDescent="0.3">
      <c r="C726" s="2"/>
      <c r="D726" s="8">
        <v>2023</v>
      </c>
      <c r="E726" s="14">
        <f>Data!Q726</f>
        <v>3</v>
      </c>
    </row>
    <row r="727" spans="2:5" ht="15" customHeight="1" x14ac:dyDescent="0.3">
      <c r="C727" s="2"/>
      <c r="D727" s="8">
        <v>2024</v>
      </c>
      <c r="E727" s="14">
        <f>Data!Q727</f>
        <v>0</v>
      </c>
    </row>
    <row r="728" spans="2:5" ht="15" customHeight="1" x14ac:dyDescent="0.3">
      <c r="B728" s="8">
        <v>67</v>
      </c>
      <c r="C728" s="2" t="s">
        <v>68</v>
      </c>
      <c r="D728" s="8">
        <v>2014</v>
      </c>
      <c r="E728" s="14">
        <f>Data!Q728</f>
        <v>0</v>
      </c>
    </row>
    <row r="729" spans="2:5" ht="15" customHeight="1" x14ac:dyDescent="0.3">
      <c r="C729" s="2"/>
      <c r="D729" s="8">
        <v>2015</v>
      </c>
      <c r="E729" s="14">
        <f>Data!Q729</f>
        <v>0</v>
      </c>
    </row>
    <row r="730" spans="2:5" ht="15" customHeight="1" x14ac:dyDescent="0.3">
      <c r="C730" s="2"/>
      <c r="D730" s="8">
        <v>2016</v>
      </c>
      <c r="E730" s="14">
        <f>Data!Q730</f>
        <v>2</v>
      </c>
    </row>
    <row r="731" spans="2:5" ht="15" customHeight="1" x14ac:dyDescent="0.3">
      <c r="C731" s="2"/>
      <c r="D731" s="8">
        <v>2017</v>
      </c>
      <c r="E731" s="14">
        <f>Data!Q731</f>
        <v>2</v>
      </c>
    </row>
    <row r="732" spans="2:5" ht="15" customHeight="1" x14ac:dyDescent="0.3">
      <c r="C732" s="2"/>
      <c r="D732" s="8">
        <v>2018</v>
      </c>
      <c r="E732" s="14">
        <f>Data!Q732</f>
        <v>0</v>
      </c>
    </row>
    <row r="733" spans="2:5" ht="15" customHeight="1" x14ac:dyDescent="0.3">
      <c r="C733" s="2"/>
      <c r="D733" s="8">
        <v>2019</v>
      </c>
      <c r="E733" s="14">
        <f>Data!Q733</f>
        <v>2</v>
      </c>
    </row>
    <row r="734" spans="2:5" ht="15" customHeight="1" x14ac:dyDescent="0.3">
      <c r="C734" s="2"/>
      <c r="D734" s="8">
        <v>2020</v>
      </c>
      <c r="E734" s="14">
        <f>Data!Q734</f>
        <v>2</v>
      </c>
    </row>
    <row r="735" spans="2:5" ht="15" customHeight="1" x14ac:dyDescent="0.3">
      <c r="C735" s="2"/>
      <c r="D735" s="8">
        <v>2021</v>
      </c>
      <c r="E735" s="14">
        <f>Data!Q735</f>
        <v>2</v>
      </c>
    </row>
    <row r="736" spans="2:5" ht="15" customHeight="1" x14ac:dyDescent="0.3">
      <c r="C736" s="2"/>
      <c r="D736" s="8">
        <v>2022</v>
      </c>
      <c r="E736" s="14">
        <f>Data!Q736</f>
        <v>2</v>
      </c>
    </row>
    <row r="737" spans="2:5" ht="15" customHeight="1" x14ac:dyDescent="0.3">
      <c r="C737" s="2"/>
      <c r="D737" s="8">
        <v>2023</v>
      </c>
      <c r="E737" s="14">
        <f>Data!Q737</f>
        <v>2</v>
      </c>
    </row>
    <row r="738" spans="2:5" ht="15" customHeight="1" x14ac:dyDescent="0.3">
      <c r="C738" s="2"/>
      <c r="D738" s="8">
        <v>2024</v>
      </c>
      <c r="E738" s="14">
        <f>Data!Q738</f>
        <v>2</v>
      </c>
    </row>
    <row r="739" spans="2:5" ht="15" customHeight="1" x14ac:dyDescent="0.3">
      <c r="B739" s="8">
        <v>68</v>
      </c>
      <c r="C739" s="2" t="s">
        <v>69</v>
      </c>
      <c r="D739" s="8">
        <v>2014</v>
      </c>
      <c r="E739" s="14">
        <f>Data!Q739</f>
        <v>0</v>
      </c>
    </row>
    <row r="740" spans="2:5" ht="15" customHeight="1" x14ac:dyDescent="0.3">
      <c r="C740" s="2"/>
      <c r="D740" s="8">
        <v>2015</v>
      </c>
      <c r="E740" s="14">
        <f>Data!Q740</f>
        <v>2</v>
      </c>
    </row>
    <row r="741" spans="2:5" ht="15" customHeight="1" x14ac:dyDescent="0.3">
      <c r="C741" s="2"/>
      <c r="D741" s="8">
        <v>2016</v>
      </c>
      <c r="E741" s="14">
        <f>Data!Q741</f>
        <v>2</v>
      </c>
    </row>
    <row r="742" spans="2:5" ht="15" customHeight="1" x14ac:dyDescent="0.3">
      <c r="C742" s="2"/>
      <c r="D742" s="8">
        <v>2017</v>
      </c>
      <c r="E742" s="14">
        <f>Data!Q742</f>
        <v>2</v>
      </c>
    </row>
    <row r="743" spans="2:5" ht="15" customHeight="1" x14ac:dyDescent="0.3">
      <c r="C743" s="2"/>
      <c r="D743" s="8">
        <v>2018</v>
      </c>
      <c r="E743" s="14">
        <f>Data!Q743</f>
        <v>2</v>
      </c>
    </row>
    <row r="744" spans="2:5" ht="15" customHeight="1" x14ac:dyDescent="0.3">
      <c r="C744" s="2"/>
      <c r="D744" s="8">
        <v>2019</v>
      </c>
      <c r="E744" s="14">
        <f>Data!Q744</f>
        <v>3</v>
      </c>
    </row>
    <row r="745" spans="2:5" ht="15" customHeight="1" x14ac:dyDescent="0.3">
      <c r="C745" s="2"/>
      <c r="D745" s="8">
        <v>2020</v>
      </c>
      <c r="E745" s="14">
        <f>Data!Q745</f>
        <v>3</v>
      </c>
    </row>
    <row r="746" spans="2:5" ht="15" customHeight="1" x14ac:dyDescent="0.3">
      <c r="C746" s="2"/>
      <c r="D746" s="8">
        <v>2021</v>
      </c>
      <c r="E746" s="14">
        <f>Data!Q746</f>
        <v>3</v>
      </c>
    </row>
    <row r="747" spans="2:5" ht="15" customHeight="1" x14ac:dyDescent="0.3">
      <c r="C747" s="2"/>
      <c r="D747" s="8">
        <v>2022</v>
      </c>
      <c r="E747" s="14">
        <f>Data!Q747</f>
        <v>3</v>
      </c>
    </row>
    <row r="748" spans="2:5" ht="15" customHeight="1" x14ac:dyDescent="0.3">
      <c r="C748" s="2"/>
      <c r="D748" s="8">
        <v>2023</v>
      </c>
      <c r="E748" s="14">
        <f>Data!Q748</f>
        <v>2</v>
      </c>
    </row>
    <row r="749" spans="2:5" ht="15" customHeight="1" x14ac:dyDescent="0.3">
      <c r="C749" s="2"/>
      <c r="D749" s="8">
        <v>2024</v>
      </c>
      <c r="E749" s="14">
        <f>Data!Q749</f>
        <v>2</v>
      </c>
    </row>
    <row r="750" spans="2:5" ht="15" customHeight="1" x14ac:dyDescent="0.3">
      <c r="B750" s="8">
        <v>69</v>
      </c>
      <c r="C750" s="2" t="s">
        <v>70</v>
      </c>
      <c r="D750" s="8">
        <v>2014</v>
      </c>
      <c r="E750" s="14">
        <f>Data!Q750</f>
        <v>0</v>
      </c>
    </row>
    <row r="751" spans="2:5" ht="15" customHeight="1" x14ac:dyDescent="0.3">
      <c r="C751" s="2"/>
      <c r="D751" s="8">
        <v>2015</v>
      </c>
      <c r="E751" s="14">
        <f>Data!Q751</f>
        <v>0</v>
      </c>
    </row>
    <row r="752" spans="2:5" ht="15" customHeight="1" x14ac:dyDescent="0.3">
      <c r="C752" s="2"/>
      <c r="D752" s="8">
        <v>2016</v>
      </c>
      <c r="E752" s="14">
        <f>Data!Q752</f>
        <v>0</v>
      </c>
    </row>
    <row r="753" spans="2:5" ht="15" customHeight="1" x14ac:dyDescent="0.3">
      <c r="C753" s="2"/>
      <c r="D753" s="8">
        <v>2017</v>
      </c>
      <c r="E753" s="14">
        <f>Data!Q753</f>
        <v>0</v>
      </c>
    </row>
    <row r="754" spans="2:5" ht="15" customHeight="1" x14ac:dyDescent="0.3">
      <c r="C754" s="2"/>
      <c r="D754" s="8">
        <v>2018</v>
      </c>
      <c r="E754" s="14">
        <f>Data!Q754</f>
        <v>2</v>
      </c>
    </row>
    <row r="755" spans="2:5" ht="15" customHeight="1" x14ac:dyDescent="0.3">
      <c r="C755" s="2"/>
      <c r="D755" s="8">
        <v>2019</v>
      </c>
      <c r="E755" s="14">
        <f>Data!Q755</f>
        <v>2</v>
      </c>
    </row>
    <row r="756" spans="2:5" ht="15" customHeight="1" x14ac:dyDescent="0.3">
      <c r="C756" s="2"/>
      <c r="D756" s="8">
        <v>2020</v>
      </c>
      <c r="E756" s="14">
        <f>Data!Q756</f>
        <v>2</v>
      </c>
    </row>
    <row r="757" spans="2:5" ht="15" customHeight="1" x14ac:dyDescent="0.3">
      <c r="C757" s="2"/>
      <c r="D757" s="8">
        <v>2021</v>
      </c>
      <c r="E757" s="14">
        <f>Data!Q757</f>
        <v>2</v>
      </c>
    </row>
    <row r="758" spans="2:5" ht="15" customHeight="1" x14ac:dyDescent="0.3">
      <c r="C758" s="2"/>
      <c r="D758" s="8">
        <v>2022</v>
      </c>
      <c r="E758" s="14">
        <f>Data!Q758</f>
        <v>2</v>
      </c>
    </row>
    <row r="759" spans="2:5" ht="15" customHeight="1" x14ac:dyDescent="0.3">
      <c r="C759" s="2"/>
      <c r="D759" s="8">
        <v>2023</v>
      </c>
      <c r="E759" s="14">
        <f>Data!Q759</f>
        <v>2</v>
      </c>
    </row>
    <row r="760" spans="2:5" ht="15" customHeight="1" x14ac:dyDescent="0.3">
      <c r="C760" s="2"/>
      <c r="D760" s="8">
        <v>2024</v>
      </c>
      <c r="E760" s="14">
        <f>Data!Q760</f>
        <v>2</v>
      </c>
    </row>
    <row r="761" spans="2:5" ht="15" customHeight="1" x14ac:dyDescent="0.3">
      <c r="B761" s="8">
        <v>70</v>
      </c>
      <c r="C761" s="2" t="s">
        <v>71</v>
      </c>
      <c r="D761" s="8">
        <v>2014</v>
      </c>
      <c r="E761" s="14">
        <f>Data!Q761</f>
        <v>0</v>
      </c>
    </row>
    <row r="762" spans="2:5" ht="15" customHeight="1" x14ac:dyDescent="0.3">
      <c r="C762" s="2"/>
      <c r="D762" s="8">
        <v>2015</v>
      </c>
      <c r="E762" s="14">
        <f>Data!Q762</f>
        <v>2</v>
      </c>
    </row>
    <row r="763" spans="2:5" ht="15" customHeight="1" x14ac:dyDescent="0.3">
      <c r="C763" s="2"/>
      <c r="D763" s="8">
        <v>2016</v>
      </c>
      <c r="E763" s="14">
        <f>Data!Q763</f>
        <v>3</v>
      </c>
    </row>
    <row r="764" spans="2:5" ht="15" customHeight="1" x14ac:dyDescent="0.3">
      <c r="C764" s="2"/>
      <c r="D764" s="8">
        <v>2017</v>
      </c>
      <c r="E764" s="14">
        <f>Data!Q764</f>
        <v>3</v>
      </c>
    </row>
    <row r="765" spans="2:5" ht="15" customHeight="1" x14ac:dyDescent="0.3">
      <c r="C765" s="2"/>
      <c r="D765" s="8">
        <v>2018</v>
      </c>
      <c r="E765" s="14">
        <f>Data!Q765</f>
        <v>4</v>
      </c>
    </row>
    <row r="766" spans="2:5" ht="15" customHeight="1" x14ac:dyDescent="0.3">
      <c r="C766" s="2"/>
      <c r="D766" s="8">
        <v>2019</v>
      </c>
      <c r="E766" s="14">
        <f>Data!Q766</f>
        <v>3</v>
      </c>
    </row>
    <row r="767" spans="2:5" ht="15" customHeight="1" x14ac:dyDescent="0.3">
      <c r="C767" s="2"/>
      <c r="D767" s="8">
        <v>2020</v>
      </c>
      <c r="E767" s="14">
        <f>Data!Q767</f>
        <v>3</v>
      </c>
    </row>
    <row r="768" spans="2:5" ht="15" customHeight="1" x14ac:dyDescent="0.3">
      <c r="C768" s="2"/>
      <c r="D768" s="8">
        <v>2021</v>
      </c>
      <c r="E768" s="14">
        <f>Data!Q768</f>
        <v>3</v>
      </c>
    </row>
    <row r="769" spans="2:5" ht="15" customHeight="1" x14ac:dyDescent="0.3">
      <c r="C769" s="2"/>
      <c r="D769" s="8">
        <v>2022</v>
      </c>
      <c r="E769" s="14">
        <f>Data!Q769</f>
        <v>3</v>
      </c>
    </row>
    <row r="770" spans="2:5" ht="15" customHeight="1" x14ac:dyDescent="0.3">
      <c r="C770" s="2"/>
      <c r="D770" s="8">
        <v>2023</v>
      </c>
      <c r="E770" s="14">
        <f>Data!Q770</f>
        <v>3</v>
      </c>
    </row>
    <row r="771" spans="2:5" ht="15" customHeight="1" x14ac:dyDescent="0.3">
      <c r="C771" s="2"/>
      <c r="D771" s="8">
        <v>2024</v>
      </c>
      <c r="E771" s="14">
        <f>Data!Q771</f>
        <v>2</v>
      </c>
    </row>
    <row r="772" spans="2:5" ht="15" customHeight="1" x14ac:dyDescent="0.3">
      <c r="B772" s="8">
        <v>71</v>
      </c>
      <c r="C772" s="2" t="s">
        <v>73</v>
      </c>
      <c r="D772" s="8">
        <v>2014</v>
      </c>
      <c r="E772" s="14">
        <f>Data!Q772</f>
        <v>0</v>
      </c>
    </row>
    <row r="773" spans="2:5" ht="15" customHeight="1" x14ac:dyDescent="0.3">
      <c r="C773" s="2"/>
      <c r="D773" s="8">
        <v>2015</v>
      </c>
      <c r="E773" s="14">
        <f>Data!Q773</f>
        <v>2</v>
      </c>
    </row>
    <row r="774" spans="2:5" ht="15" customHeight="1" x14ac:dyDescent="0.3">
      <c r="C774" s="2"/>
      <c r="D774" s="8">
        <v>2016</v>
      </c>
      <c r="E774" s="14">
        <f>Data!Q774</f>
        <v>2</v>
      </c>
    </row>
    <row r="775" spans="2:5" ht="15" customHeight="1" x14ac:dyDescent="0.3">
      <c r="C775" s="2"/>
      <c r="D775" s="8">
        <v>2017</v>
      </c>
      <c r="E775" s="14">
        <f>Data!Q775</f>
        <v>2</v>
      </c>
    </row>
    <row r="776" spans="2:5" ht="15" customHeight="1" x14ac:dyDescent="0.3">
      <c r="C776" s="2"/>
      <c r="D776" s="8">
        <v>2018</v>
      </c>
      <c r="E776" s="14">
        <f>Data!Q776</f>
        <v>2</v>
      </c>
    </row>
    <row r="777" spans="2:5" ht="15" customHeight="1" x14ac:dyDescent="0.3">
      <c r="C777" s="2"/>
      <c r="D777" s="8">
        <v>2019</v>
      </c>
      <c r="E777" s="14">
        <f>Data!Q777</f>
        <v>2</v>
      </c>
    </row>
    <row r="778" spans="2:5" ht="15" customHeight="1" x14ac:dyDescent="0.3">
      <c r="C778" s="2"/>
      <c r="D778" s="8">
        <v>2020</v>
      </c>
      <c r="E778" s="14">
        <f>Data!Q778</f>
        <v>2</v>
      </c>
    </row>
    <row r="779" spans="2:5" ht="15" customHeight="1" x14ac:dyDescent="0.3">
      <c r="C779" s="2"/>
      <c r="D779" s="8">
        <v>2021</v>
      </c>
      <c r="E779" s="14">
        <f>Data!Q779</f>
        <v>2</v>
      </c>
    </row>
    <row r="780" spans="2:5" ht="15" customHeight="1" x14ac:dyDescent="0.3">
      <c r="C780" s="2"/>
      <c r="D780" s="8">
        <v>2022</v>
      </c>
      <c r="E780" s="14">
        <f>Data!Q780</f>
        <v>2</v>
      </c>
    </row>
    <row r="781" spans="2:5" ht="15" customHeight="1" x14ac:dyDescent="0.3">
      <c r="C781" s="2"/>
      <c r="D781" s="8">
        <v>2023</v>
      </c>
      <c r="E781" s="14">
        <f>Data!Q781</f>
        <v>2</v>
      </c>
    </row>
    <row r="782" spans="2:5" ht="15" customHeight="1" x14ac:dyDescent="0.3">
      <c r="C782" s="2"/>
      <c r="D782" s="8">
        <v>2024</v>
      </c>
      <c r="E782" s="14">
        <f>Data!Q782</f>
        <v>2</v>
      </c>
    </row>
    <row r="783" spans="2:5" ht="15" customHeight="1" x14ac:dyDescent="0.3">
      <c r="B783" s="8">
        <v>72</v>
      </c>
      <c r="C783" s="2" t="s">
        <v>75</v>
      </c>
      <c r="D783" s="8">
        <v>2014</v>
      </c>
      <c r="E783" s="14">
        <f>Data!Q783</f>
        <v>0</v>
      </c>
    </row>
    <row r="784" spans="2:5" ht="15" customHeight="1" x14ac:dyDescent="0.3">
      <c r="C784" s="2"/>
      <c r="D784" s="8">
        <v>2015</v>
      </c>
      <c r="E784" s="14">
        <f>Data!Q784</f>
        <v>2</v>
      </c>
    </row>
    <row r="785" spans="2:5" ht="15" customHeight="1" x14ac:dyDescent="0.3">
      <c r="C785" s="2"/>
      <c r="D785" s="8">
        <v>2016</v>
      </c>
      <c r="E785" s="14">
        <f>Data!Q785</f>
        <v>2</v>
      </c>
    </row>
    <row r="786" spans="2:5" ht="15" customHeight="1" x14ac:dyDescent="0.3">
      <c r="C786" s="2"/>
      <c r="D786" s="8">
        <v>2017</v>
      </c>
      <c r="E786" s="14">
        <f>Data!Q786</f>
        <v>2</v>
      </c>
    </row>
    <row r="787" spans="2:5" ht="15" customHeight="1" x14ac:dyDescent="0.3">
      <c r="C787" s="2"/>
      <c r="D787" s="8">
        <v>2018</v>
      </c>
      <c r="E787" s="14">
        <f>Data!Q787</f>
        <v>2</v>
      </c>
    </row>
    <row r="788" spans="2:5" ht="15" customHeight="1" x14ac:dyDescent="0.3">
      <c r="C788" s="2"/>
      <c r="D788" s="8">
        <v>2019</v>
      </c>
      <c r="E788" s="14">
        <f>Data!Q788</f>
        <v>2</v>
      </c>
    </row>
    <row r="789" spans="2:5" ht="15" customHeight="1" x14ac:dyDescent="0.3">
      <c r="C789" s="2"/>
      <c r="D789" s="8">
        <v>2020</v>
      </c>
      <c r="E789" s="14">
        <f>Data!Q789</f>
        <v>2</v>
      </c>
    </row>
    <row r="790" spans="2:5" ht="15" customHeight="1" x14ac:dyDescent="0.3">
      <c r="C790" s="2"/>
      <c r="D790" s="8">
        <v>2021</v>
      </c>
      <c r="E790" s="14">
        <f>Data!Q790</f>
        <v>2</v>
      </c>
    </row>
    <row r="791" spans="2:5" ht="15" customHeight="1" x14ac:dyDescent="0.3">
      <c r="C791" s="2"/>
      <c r="D791" s="8">
        <v>2022</v>
      </c>
      <c r="E791" s="14">
        <f>Data!Q791</f>
        <v>2</v>
      </c>
    </row>
    <row r="792" spans="2:5" ht="15" customHeight="1" x14ac:dyDescent="0.3">
      <c r="C792" s="2"/>
      <c r="D792" s="8">
        <v>2023</v>
      </c>
      <c r="E792" s="14">
        <f>Data!Q792</f>
        <v>2</v>
      </c>
    </row>
    <row r="793" spans="2:5" ht="15" customHeight="1" x14ac:dyDescent="0.3">
      <c r="C793" s="2"/>
      <c r="D793" s="8">
        <v>2024</v>
      </c>
      <c r="E793" s="14">
        <f>Data!Q793</f>
        <v>2</v>
      </c>
    </row>
    <row r="794" spans="2:5" ht="15" customHeight="1" x14ac:dyDescent="0.3">
      <c r="B794" s="8">
        <v>73</v>
      </c>
      <c r="C794" s="2" t="s">
        <v>96</v>
      </c>
      <c r="D794" s="8">
        <v>2014</v>
      </c>
      <c r="E794" s="14">
        <f>Data!Q794</f>
        <v>0</v>
      </c>
    </row>
    <row r="795" spans="2:5" ht="15" customHeight="1" x14ac:dyDescent="0.3">
      <c r="C795" s="2"/>
      <c r="D795" s="8">
        <v>2015</v>
      </c>
      <c r="E795" s="14">
        <f>Data!Q795</f>
        <v>0</v>
      </c>
    </row>
    <row r="796" spans="2:5" ht="15" customHeight="1" x14ac:dyDescent="0.3">
      <c r="C796" s="2"/>
      <c r="D796" s="8">
        <v>2016</v>
      </c>
      <c r="E796" s="14">
        <f>Data!Q796</f>
        <v>0</v>
      </c>
    </row>
    <row r="797" spans="2:5" ht="15" customHeight="1" x14ac:dyDescent="0.3">
      <c r="C797" s="2"/>
      <c r="D797" s="8">
        <v>2017</v>
      </c>
      <c r="E797" s="14">
        <f>Data!Q797</f>
        <v>0</v>
      </c>
    </row>
    <row r="798" spans="2:5" ht="15" customHeight="1" x14ac:dyDescent="0.3">
      <c r="C798" s="2"/>
      <c r="D798" s="8">
        <v>2018</v>
      </c>
      <c r="E798" s="14">
        <f>Data!Q798</f>
        <v>0</v>
      </c>
    </row>
    <row r="799" spans="2:5" ht="15" customHeight="1" x14ac:dyDescent="0.3">
      <c r="C799" s="2"/>
      <c r="D799" s="8">
        <v>2019</v>
      </c>
      <c r="E799" s="14">
        <f>Data!Q799</f>
        <v>0</v>
      </c>
    </row>
    <row r="800" spans="2:5" ht="15" customHeight="1" x14ac:dyDescent="0.3">
      <c r="C800" s="2"/>
      <c r="D800" s="8">
        <v>2020</v>
      </c>
      <c r="E800" s="14">
        <f>Data!Q800</f>
        <v>1</v>
      </c>
    </row>
    <row r="801" spans="2:5" ht="15" customHeight="1" x14ac:dyDescent="0.3">
      <c r="C801" s="2"/>
      <c r="D801" s="8">
        <v>2021</v>
      </c>
      <c r="E801" s="14">
        <f>Data!Q801</f>
        <v>1</v>
      </c>
    </row>
    <row r="802" spans="2:5" ht="15" customHeight="1" x14ac:dyDescent="0.3">
      <c r="C802" s="2"/>
      <c r="D802" s="8">
        <v>2022</v>
      </c>
      <c r="E802" s="14">
        <f>Data!Q802</f>
        <v>1</v>
      </c>
    </row>
    <row r="803" spans="2:5" ht="15" customHeight="1" x14ac:dyDescent="0.3">
      <c r="C803" s="2"/>
      <c r="D803" s="8">
        <v>2023</v>
      </c>
      <c r="E803" s="14">
        <f>Data!Q803</f>
        <v>1</v>
      </c>
    </row>
    <row r="804" spans="2:5" ht="15" customHeight="1" x14ac:dyDescent="0.3">
      <c r="C804" s="2"/>
      <c r="D804" s="8">
        <v>2024</v>
      </c>
      <c r="E804" s="14">
        <f>Data!Q804</f>
        <v>1</v>
      </c>
    </row>
    <row r="805" spans="2:5" ht="15" customHeight="1" x14ac:dyDescent="0.3">
      <c r="B805" s="8">
        <v>74</v>
      </c>
      <c r="C805" s="2" t="s">
        <v>76</v>
      </c>
      <c r="D805" s="8">
        <v>2014</v>
      </c>
      <c r="E805" s="14">
        <f>Data!Q805</f>
        <v>0</v>
      </c>
    </row>
    <row r="806" spans="2:5" ht="15" customHeight="1" x14ac:dyDescent="0.3">
      <c r="C806" s="2"/>
      <c r="D806" s="8">
        <v>2015</v>
      </c>
      <c r="E806" s="14">
        <f>Data!Q806</f>
        <v>3</v>
      </c>
    </row>
    <row r="807" spans="2:5" ht="15" customHeight="1" x14ac:dyDescent="0.3">
      <c r="C807" s="2"/>
      <c r="D807" s="8">
        <v>2016</v>
      </c>
      <c r="E807" s="14">
        <f>Data!Q807</f>
        <v>3</v>
      </c>
    </row>
    <row r="808" spans="2:5" ht="15" customHeight="1" x14ac:dyDescent="0.3">
      <c r="C808" s="2"/>
      <c r="D808" s="8">
        <v>2017</v>
      </c>
      <c r="E808" s="14">
        <f>Data!Q808</f>
        <v>3</v>
      </c>
    </row>
    <row r="809" spans="2:5" ht="15" customHeight="1" x14ac:dyDescent="0.3">
      <c r="C809" s="2"/>
      <c r="D809" s="8">
        <v>2018</v>
      </c>
      <c r="E809" s="14">
        <f>Data!Q809</f>
        <v>3</v>
      </c>
    </row>
    <row r="810" spans="2:5" ht="15" customHeight="1" x14ac:dyDescent="0.3">
      <c r="C810" s="2"/>
      <c r="D810" s="8">
        <v>2019</v>
      </c>
      <c r="E810" s="14">
        <f>Data!Q810</f>
        <v>2</v>
      </c>
    </row>
    <row r="811" spans="2:5" ht="15" customHeight="1" x14ac:dyDescent="0.3">
      <c r="C811" s="2"/>
      <c r="D811" s="8">
        <v>2020</v>
      </c>
      <c r="E811" s="14">
        <f>Data!Q811</f>
        <v>2</v>
      </c>
    </row>
    <row r="812" spans="2:5" ht="15" customHeight="1" x14ac:dyDescent="0.3">
      <c r="C812" s="2"/>
      <c r="D812" s="8">
        <v>2021</v>
      </c>
      <c r="E812" s="14">
        <f>Data!Q812</f>
        <v>2</v>
      </c>
    </row>
    <row r="813" spans="2:5" ht="15" customHeight="1" x14ac:dyDescent="0.3">
      <c r="C813" s="2"/>
      <c r="D813" s="8">
        <v>2022</v>
      </c>
      <c r="E813" s="14">
        <f>Data!Q813</f>
        <v>2</v>
      </c>
    </row>
    <row r="814" spans="2:5" ht="15" customHeight="1" x14ac:dyDescent="0.3">
      <c r="C814" s="2"/>
      <c r="D814" s="8">
        <v>2023</v>
      </c>
      <c r="E814" s="14">
        <f>Data!Q814</f>
        <v>2</v>
      </c>
    </row>
    <row r="815" spans="2:5" ht="15" customHeight="1" x14ac:dyDescent="0.3">
      <c r="C815" s="2"/>
      <c r="D815" s="8">
        <v>2024</v>
      </c>
      <c r="E815" s="14">
        <f>Data!Q815</f>
        <v>2</v>
      </c>
    </row>
    <row r="816" spans="2:5" ht="15" customHeight="1" x14ac:dyDescent="0.3">
      <c r="B816" s="8">
        <v>75</v>
      </c>
      <c r="C816" s="1" t="s">
        <v>130</v>
      </c>
      <c r="D816" s="8">
        <v>2014</v>
      </c>
      <c r="E816" s="14">
        <f>Data!Q816</f>
        <v>0</v>
      </c>
    </row>
    <row r="817" spans="2:5" ht="15" customHeight="1" x14ac:dyDescent="0.3">
      <c r="C817" s="1"/>
      <c r="D817" s="8">
        <v>2015</v>
      </c>
      <c r="E817" s="14">
        <f>Data!Q817</f>
        <v>0</v>
      </c>
    </row>
    <row r="818" spans="2:5" ht="15" customHeight="1" x14ac:dyDescent="0.3">
      <c r="C818" s="1"/>
      <c r="D818" s="8">
        <v>2016</v>
      </c>
      <c r="E818" s="14">
        <f>Data!Q818</f>
        <v>0</v>
      </c>
    </row>
    <row r="819" spans="2:5" ht="15" customHeight="1" x14ac:dyDescent="0.3">
      <c r="C819" s="1"/>
      <c r="D819" s="8">
        <v>2017</v>
      </c>
      <c r="E819" s="14">
        <f>Data!Q819</f>
        <v>0</v>
      </c>
    </row>
    <row r="820" spans="2:5" ht="15" customHeight="1" x14ac:dyDescent="0.3">
      <c r="C820" s="1"/>
      <c r="D820" s="8">
        <v>2018</v>
      </c>
      <c r="E820" s="14">
        <f>Data!Q820</f>
        <v>0</v>
      </c>
    </row>
    <row r="821" spans="2:5" ht="15" customHeight="1" x14ac:dyDescent="0.3">
      <c r="C821" s="1"/>
      <c r="D821" s="8">
        <v>2019</v>
      </c>
      <c r="E821" s="14">
        <f>Data!Q821</f>
        <v>0</v>
      </c>
    </row>
    <row r="822" spans="2:5" ht="15" customHeight="1" x14ac:dyDescent="0.3">
      <c r="C822" s="1"/>
      <c r="D822" s="8">
        <v>2020</v>
      </c>
      <c r="E822" s="14">
        <f>Data!Q822</f>
        <v>0</v>
      </c>
    </row>
    <row r="823" spans="2:5" ht="15" customHeight="1" x14ac:dyDescent="0.3">
      <c r="C823" s="1"/>
      <c r="D823" s="8">
        <v>2021</v>
      </c>
      <c r="E823" s="14">
        <f>Data!Q823</f>
        <v>0</v>
      </c>
    </row>
    <row r="824" spans="2:5" ht="15" customHeight="1" x14ac:dyDescent="0.3">
      <c r="C824" s="1"/>
      <c r="D824" s="8">
        <v>2022</v>
      </c>
      <c r="E824" s="14">
        <f>Data!Q824</f>
        <v>0</v>
      </c>
    </row>
    <row r="825" spans="2:5" ht="15" customHeight="1" x14ac:dyDescent="0.3">
      <c r="C825" s="1"/>
      <c r="D825" s="8">
        <v>2023</v>
      </c>
      <c r="E825" s="14">
        <f>Data!Q825</f>
        <v>0</v>
      </c>
    </row>
    <row r="826" spans="2:5" ht="15" customHeight="1" x14ac:dyDescent="0.3">
      <c r="C826" s="1"/>
      <c r="D826" s="8">
        <v>2024</v>
      </c>
      <c r="E826" s="14">
        <f>Data!Q826</f>
        <v>0</v>
      </c>
    </row>
    <row r="827" spans="2:5" ht="15" customHeight="1" x14ac:dyDescent="0.3">
      <c r="B827" s="8">
        <v>76</v>
      </c>
      <c r="C827" s="2" t="s">
        <v>79</v>
      </c>
      <c r="D827" s="8">
        <v>2014</v>
      </c>
      <c r="E827" s="14">
        <f>Data!Q827</f>
        <v>0</v>
      </c>
    </row>
    <row r="828" spans="2:5" ht="15" customHeight="1" x14ac:dyDescent="0.3">
      <c r="C828" s="2"/>
      <c r="D828" s="8">
        <v>2015</v>
      </c>
      <c r="E828" s="14">
        <f>Data!Q828</f>
        <v>0</v>
      </c>
    </row>
    <row r="829" spans="2:5" ht="15" customHeight="1" x14ac:dyDescent="0.3">
      <c r="C829" s="2"/>
      <c r="D829" s="8">
        <v>2016</v>
      </c>
      <c r="E829" s="14">
        <f>Data!Q829</f>
        <v>0</v>
      </c>
    </row>
    <row r="830" spans="2:5" ht="15" customHeight="1" x14ac:dyDescent="0.3">
      <c r="C830" s="2"/>
      <c r="D830" s="8">
        <v>2017</v>
      </c>
      <c r="E830" s="14">
        <f>Data!Q830</f>
        <v>0</v>
      </c>
    </row>
    <row r="831" spans="2:5" ht="15" customHeight="1" x14ac:dyDescent="0.3">
      <c r="C831" s="2"/>
      <c r="D831" s="8">
        <v>2018</v>
      </c>
      <c r="E831" s="14">
        <f>Data!Q831</f>
        <v>0</v>
      </c>
    </row>
    <row r="832" spans="2:5" ht="15" customHeight="1" x14ac:dyDescent="0.3">
      <c r="C832" s="2"/>
      <c r="D832" s="8">
        <v>2019</v>
      </c>
      <c r="E832" s="14">
        <f>Data!Q832</f>
        <v>0</v>
      </c>
    </row>
    <row r="833" spans="2:5" ht="15" customHeight="1" x14ac:dyDescent="0.3">
      <c r="C833" s="2"/>
      <c r="D833" s="8">
        <v>2020</v>
      </c>
      <c r="E833" s="14">
        <f>Data!Q833</f>
        <v>2</v>
      </c>
    </row>
    <row r="834" spans="2:5" ht="15" customHeight="1" x14ac:dyDescent="0.3">
      <c r="C834" s="2"/>
      <c r="D834" s="8">
        <v>2021</v>
      </c>
      <c r="E834" s="14">
        <f>Data!Q834</f>
        <v>2</v>
      </c>
    </row>
    <row r="835" spans="2:5" ht="15" customHeight="1" x14ac:dyDescent="0.3">
      <c r="C835" s="2"/>
      <c r="D835" s="8">
        <v>2022</v>
      </c>
      <c r="E835" s="14">
        <f>Data!Q835</f>
        <v>2</v>
      </c>
    </row>
    <row r="836" spans="2:5" ht="15" customHeight="1" x14ac:dyDescent="0.3">
      <c r="C836" s="2"/>
      <c r="D836" s="8">
        <v>2023</v>
      </c>
      <c r="E836" s="14">
        <f>Data!Q836</f>
        <v>1</v>
      </c>
    </row>
    <row r="837" spans="2:5" ht="15" customHeight="1" x14ac:dyDescent="0.3">
      <c r="C837" s="2"/>
      <c r="D837" s="8">
        <v>2024</v>
      </c>
      <c r="E837" s="14">
        <f>Data!Q837</f>
        <v>2</v>
      </c>
    </row>
    <row r="838" spans="2:5" ht="15" customHeight="1" x14ac:dyDescent="0.3">
      <c r="B838" s="8">
        <v>77</v>
      </c>
      <c r="C838" s="2" t="s">
        <v>119</v>
      </c>
      <c r="D838" s="8">
        <v>2014</v>
      </c>
      <c r="E838" s="14">
        <f>Data!Q838</f>
        <v>0</v>
      </c>
    </row>
    <row r="839" spans="2:5" ht="15" customHeight="1" x14ac:dyDescent="0.3">
      <c r="C839" s="2"/>
      <c r="D839" s="8">
        <v>2015</v>
      </c>
      <c r="E839" s="14">
        <f>Data!Q839</f>
        <v>0</v>
      </c>
    </row>
    <row r="840" spans="2:5" ht="15" customHeight="1" x14ac:dyDescent="0.3">
      <c r="C840" s="2"/>
      <c r="D840" s="8">
        <v>2016</v>
      </c>
      <c r="E840" s="14">
        <f>Data!Q840</f>
        <v>0</v>
      </c>
    </row>
    <row r="841" spans="2:5" ht="15" customHeight="1" x14ac:dyDescent="0.3">
      <c r="C841" s="2"/>
      <c r="D841" s="8">
        <v>2017</v>
      </c>
      <c r="E841" s="14">
        <f>Data!Q841</f>
        <v>0</v>
      </c>
    </row>
    <row r="842" spans="2:5" ht="15" customHeight="1" x14ac:dyDescent="0.3">
      <c r="C842" s="2"/>
      <c r="D842" s="8">
        <v>2018</v>
      </c>
      <c r="E842" s="14">
        <f>Data!Q842</f>
        <v>0</v>
      </c>
    </row>
    <row r="843" spans="2:5" ht="15" customHeight="1" x14ac:dyDescent="0.3">
      <c r="C843" s="2"/>
      <c r="D843" s="8">
        <v>2019</v>
      </c>
      <c r="E843" s="14">
        <f>Data!Q843</f>
        <v>0</v>
      </c>
    </row>
    <row r="844" spans="2:5" ht="15" customHeight="1" x14ac:dyDescent="0.3">
      <c r="C844" s="2"/>
      <c r="D844" s="8">
        <v>2020</v>
      </c>
      <c r="E844" s="14">
        <f>Data!Q844</f>
        <v>0</v>
      </c>
    </row>
    <row r="845" spans="2:5" ht="15" customHeight="1" x14ac:dyDescent="0.3">
      <c r="C845" s="2"/>
      <c r="D845" s="8">
        <v>2021</v>
      </c>
      <c r="E845" s="14">
        <f>Data!Q845</f>
        <v>0</v>
      </c>
    </row>
    <row r="846" spans="2:5" ht="15" customHeight="1" x14ac:dyDescent="0.3">
      <c r="C846" s="2"/>
      <c r="D846" s="8">
        <v>2022</v>
      </c>
      <c r="E846" s="14">
        <f>Data!Q846</f>
        <v>2</v>
      </c>
    </row>
    <row r="847" spans="2:5" ht="15" customHeight="1" x14ac:dyDescent="0.3">
      <c r="C847" s="2"/>
      <c r="D847" s="8">
        <v>2023</v>
      </c>
      <c r="E847" s="14">
        <f>Data!Q847</f>
        <v>0</v>
      </c>
    </row>
    <row r="848" spans="2:5" ht="15" customHeight="1" x14ac:dyDescent="0.3">
      <c r="C848" s="2"/>
      <c r="D848" s="8">
        <v>2024</v>
      </c>
      <c r="E848" s="14">
        <f>Data!Q848</f>
        <v>2</v>
      </c>
    </row>
    <row r="849" spans="2:5" ht="15" customHeight="1" x14ac:dyDescent="0.3">
      <c r="B849" s="8">
        <v>78</v>
      </c>
      <c r="C849" s="2" t="s">
        <v>80</v>
      </c>
      <c r="D849" s="8">
        <v>2014</v>
      </c>
      <c r="E849" s="14">
        <f>Data!Q849</f>
        <v>0</v>
      </c>
    </row>
    <row r="850" spans="2:5" ht="15" customHeight="1" x14ac:dyDescent="0.3">
      <c r="C850" s="2"/>
      <c r="D850" s="8">
        <v>2015</v>
      </c>
      <c r="E850" s="14">
        <f>Data!Q850</f>
        <v>0</v>
      </c>
    </row>
    <row r="851" spans="2:5" ht="15" customHeight="1" x14ac:dyDescent="0.3">
      <c r="C851" s="2"/>
      <c r="D851" s="8">
        <v>2016</v>
      </c>
      <c r="E851" s="14">
        <f>Data!Q851</f>
        <v>0</v>
      </c>
    </row>
    <row r="852" spans="2:5" ht="15" customHeight="1" x14ac:dyDescent="0.3">
      <c r="C852" s="2"/>
      <c r="D852" s="8">
        <v>2017</v>
      </c>
      <c r="E852" s="14">
        <f>Data!Q852</f>
        <v>0</v>
      </c>
    </row>
    <row r="853" spans="2:5" ht="15" customHeight="1" x14ac:dyDescent="0.3">
      <c r="C853" s="2"/>
      <c r="D853" s="8">
        <v>2018</v>
      </c>
      <c r="E853" s="14">
        <f>Data!Q853</f>
        <v>2</v>
      </c>
    </row>
    <row r="854" spans="2:5" ht="15" customHeight="1" x14ac:dyDescent="0.3">
      <c r="C854" s="2"/>
      <c r="D854" s="8">
        <v>2019</v>
      </c>
      <c r="E854" s="14">
        <f>Data!Q854</f>
        <v>2</v>
      </c>
    </row>
    <row r="855" spans="2:5" ht="15" customHeight="1" x14ac:dyDescent="0.3">
      <c r="C855" s="2"/>
      <c r="D855" s="8">
        <v>2020</v>
      </c>
      <c r="E855" s="14">
        <f>Data!Q855</f>
        <v>2</v>
      </c>
    </row>
    <row r="856" spans="2:5" ht="15" customHeight="1" x14ac:dyDescent="0.3">
      <c r="C856" s="2"/>
      <c r="D856" s="8">
        <v>2021</v>
      </c>
      <c r="E856" s="14">
        <f>Data!Q856</f>
        <v>2</v>
      </c>
    </row>
    <row r="857" spans="2:5" ht="15" customHeight="1" x14ac:dyDescent="0.3">
      <c r="C857" s="2"/>
      <c r="D857" s="8">
        <v>2022</v>
      </c>
      <c r="E857" s="14">
        <f>Data!Q857</f>
        <v>2</v>
      </c>
    </row>
    <row r="858" spans="2:5" ht="15" customHeight="1" x14ac:dyDescent="0.3">
      <c r="C858" s="2"/>
      <c r="D858" s="8">
        <v>2023</v>
      </c>
      <c r="E858" s="14">
        <f>Data!Q858</f>
        <v>2</v>
      </c>
    </row>
    <row r="859" spans="2:5" ht="15" customHeight="1" x14ac:dyDescent="0.3">
      <c r="C859" s="2"/>
      <c r="D859" s="8">
        <v>2024</v>
      </c>
      <c r="E859" s="14">
        <f>Data!Q859</f>
        <v>2</v>
      </c>
    </row>
    <row r="860" spans="2:5" ht="15" customHeight="1" x14ac:dyDescent="0.3">
      <c r="B860" s="8">
        <v>79</v>
      </c>
      <c r="C860" s="2" t="s">
        <v>97</v>
      </c>
      <c r="D860" s="8">
        <v>2014</v>
      </c>
      <c r="E860" s="14">
        <f>Data!Q860</f>
        <v>0</v>
      </c>
    </row>
    <row r="861" spans="2:5" ht="15" customHeight="1" x14ac:dyDescent="0.3">
      <c r="C861" s="2"/>
      <c r="D861" s="8">
        <v>2015</v>
      </c>
      <c r="E861" s="14">
        <f>Data!Q861</f>
        <v>1</v>
      </c>
    </row>
    <row r="862" spans="2:5" ht="15" customHeight="1" x14ac:dyDescent="0.3">
      <c r="C862" s="2"/>
      <c r="D862" s="8">
        <v>2016</v>
      </c>
      <c r="E862" s="14">
        <f>Data!Q862</f>
        <v>1</v>
      </c>
    </row>
    <row r="863" spans="2:5" ht="15" customHeight="1" x14ac:dyDescent="0.3">
      <c r="C863" s="2"/>
      <c r="D863" s="8">
        <v>2017</v>
      </c>
      <c r="E863" s="14">
        <f>Data!Q863</f>
        <v>1</v>
      </c>
    </row>
    <row r="864" spans="2:5" ht="15" customHeight="1" x14ac:dyDescent="0.3">
      <c r="C864" s="2"/>
      <c r="D864" s="8">
        <v>2018</v>
      </c>
      <c r="E864" s="14">
        <f>Data!Q864</f>
        <v>4</v>
      </c>
    </row>
    <row r="865" spans="2:5" ht="15" customHeight="1" x14ac:dyDescent="0.3">
      <c r="C865" s="2"/>
      <c r="D865" s="8">
        <v>2019</v>
      </c>
      <c r="E865" s="14">
        <f>Data!Q865</f>
        <v>3</v>
      </c>
    </row>
    <row r="866" spans="2:5" ht="15" customHeight="1" x14ac:dyDescent="0.3">
      <c r="C866" s="2"/>
      <c r="D866" s="8">
        <v>2020</v>
      </c>
      <c r="E866" s="14">
        <f>Data!Q866</f>
        <v>3</v>
      </c>
    </row>
    <row r="867" spans="2:5" ht="15" customHeight="1" x14ac:dyDescent="0.3">
      <c r="C867" s="2"/>
      <c r="D867" s="8">
        <v>2021</v>
      </c>
      <c r="E867" s="14">
        <f>Data!Q867</f>
        <v>2</v>
      </c>
    </row>
    <row r="868" spans="2:5" ht="15" customHeight="1" x14ac:dyDescent="0.3">
      <c r="C868" s="2"/>
      <c r="D868" s="8">
        <v>2022</v>
      </c>
      <c r="E868" s="14">
        <f>Data!Q868</f>
        <v>3</v>
      </c>
    </row>
    <row r="869" spans="2:5" ht="15" customHeight="1" x14ac:dyDescent="0.3">
      <c r="C869" s="2"/>
      <c r="D869" s="8">
        <v>2023</v>
      </c>
      <c r="E869" s="14">
        <f>Data!Q869</f>
        <v>3</v>
      </c>
    </row>
    <row r="870" spans="2:5" ht="15" customHeight="1" x14ac:dyDescent="0.3">
      <c r="C870" s="2"/>
      <c r="D870" s="8">
        <v>2024</v>
      </c>
      <c r="E870" s="14">
        <f>Data!Q870</f>
        <v>3</v>
      </c>
    </row>
    <row r="871" spans="2:5" ht="15" customHeight="1" x14ac:dyDescent="0.3">
      <c r="B871" s="8">
        <v>80</v>
      </c>
      <c r="C871" s="2" t="s">
        <v>81</v>
      </c>
      <c r="D871" s="8">
        <v>2014</v>
      </c>
      <c r="E871" s="14">
        <f>Data!Q871</f>
        <v>0</v>
      </c>
    </row>
    <row r="872" spans="2:5" ht="15" customHeight="1" x14ac:dyDescent="0.3">
      <c r="C872" s="2"/>
      <c r="D872" s="8">
        <v>2015</v>
      </c>
      <c r="E872" s="14">
        <f>Data!Q872</f>
        <v>2</v>
      </c>
    </row>
    <row r="873" spans="2:5" ht="15" customHeight="1" x14ac:dyDescent="0.3">
      <c r="C873" s="2"/>
      <c r="D873" s="8">
        <v>2016</v>
      </c>
      <c r="E873" s="14">
        <f>Data!Q873</f>
        <v>2</v>
      </c>
    </row>
    <row r="874" spans="2:5" ht="15" customHeight="1" x14ac:dyDescent="0.3">
      <c r="C874" s="2"/>
      <c r="D874" s="8">
        <v>2017</v>
      </c>
      <c r="E874" s="14">
        <f>Data!Q874</f>
        <v>2</v>
      </c>
    </row>
    <row r="875" spans="2:5" ht="15" customHeight="1" x14ac:dyDescent="0.3">
      <c r="C875" s="2"/>
      <c r="D875" s="8">
        <v>2018</v>
      </c>
      <c r="E875" s="14">
        <f>Data!Q875</f>
        <v>2</v>
      </c>
    </row>
    <row r="876" spans="2:5" ht="15" customHeight="1" x14ac:dyDescent="0.3">
      <c r="C876" s="2"/>
      <c r="D876" s="8">
        <v>2019</v>
      </c>
      <c r="E876" s="14">
        <f>Data!Q876</f>
        <v>2</v>
      </c>
    </row>
    <row r="877" spans="2:5" ht="15" customHeight="1" x14ac:dyDescent="0.3">
      <c r="C877" s="2"/>
      <c r="D877" s="8">
        <v>2020</v>
      </c>
      <c r="E877" s="14">
        <f>Data!Q877</f>
        <v>2</v>
      </c>
    </row>
    <row r="878" spans="2:5" ht="15" customHeight="1" x14ac:dyDescent="0.3">
      <c r="C878" s="2"/>
      <c r="D878" s="8">
        <v>2021</v>
      </c>
      <c r="E878" s="14">
        <f>Data!Q878</f>
        <v>2</v>
      </c>
    </row>
    <row r="879" spans="2:5" ht="15" customHeight="1" x14ac:dyDescent="0.3">
      <c r="C879" s="2"/>
      <c r="D879" s="8">
        <v>2022</v>
      </c>
      <c r="E879" s="14">
        <f>Data!Q879</f>
        <v>2</v>
      </c>
    </row>
    <row r="880" spans="2:5" ht="15" customHeight="1" x14ac:dyDescent="0.3">
      <c r="C880" s="2"/>
      <c r="D880" s="8">
        <v>2023</v>
      </c>
      <c r="E880" s="14">
        <f>Data!Q880</f>
        <v>1</v>
      </c>
    </row>
    <row r="881" spans="2:5" ht="15" customHeight="1" x14ac:dyDescent="0.3">
      <c r="C881" s="2"/>
      <c r="D881" s="8">
        <v>2024</v>
      </c>
      <c r="E881" s="14">
        <f>Data!Q881</f>
        <v>2</v>
      </c>
    </row>
    <row r="882" spans="2:5" ht="15" customHeight="1" x14ac:dyDescent="0.3">
      <c r="B882" s="8">
        <v>81</v>
      </c>
      <c r="C882" s="2" t="s">
        <v>82</v>
      </c>
      <c r="D882" s="8">
        <v>2014</v>
      </c>
      <c r="E882" s="14">
        <f>Data!Q882</f>
        <v>0</v>
      </c>
    </row>
    <row r="883" spans="2:5" ht="15" customHeight="1" x14ac:dyDescent="0.3">
      <c r="C883" s="2"/>
      <c r="D883" s="8">
        <v>2015</v>
      </c>
      <c r="E883" s="14">
        <f>Data!Q883</f>
        <v>0</v>
      </c>
    </row>
    <row r="884" spans="2:5" ht="15" customHeight="1" x14ac:dyDescent="0.3">
      <c r="C884" s="2"/>
      <c r="D884" s="8">
        <v>2016</v>
      </c>
      <c r="E884" s="14">
        <f>Data!Q884</f>
        <v>0</v>
      </c>
    </row>
    <row r="885" spans="2:5" ht="15" customHeight="1" x14ac:dyDescent="0.3">
      <c r="C885" s="2"/>
      <c r="D885" s="8">
        <v>2017</v>
      </c>
      <c r="E885" s="14">
        <f>Data!Q885</f>
        <v>0</v>
      </c>
    </row>
    <row r="886" spans="2:5" ht="15" customHeight="1" x14ac:dyDescent="0.3">
      <c r="C886" s="2"/>
      <c r="D886" s="8">
        <v>2018</v>
      </c>
      <c r="E886" s="14">
        <f>Data!Q886</f>
        <v>0</v>
      </c>
    </row>
    <row r="887" spans="2:5" ht="15" customHeight="1" x14ac:dyDescent="0.3">
      <c r="C887" s="2"/>
      <c r="D887" s="8">
        <v>2019</v>
      </c>
      <c r="E887" s="14">
        <f>Data!Q887</f>
        <v>3</v>
      </c>
    </row>
    <row r="888" spans="2:5" ht="15" customHeight="1" x14ac:dyDescent="0.3">
      <c r="C888" s="2"/>
      <c r="D888" s="8">
        <v>2020</v>
      </c>
      <c r="E888" s="14">
        <f>Data!Q888</f>
        <v>3</v>
      </c>
    </row>
    <row r="889" spans="2:5" ht="15" customHeight="1" x14ac:dyDescent="0.3">
      <c r="C889" s="2"/>
      <c r="D889" s="8">
        <v>2021</v>
      </c>
      <c r="E889" s="14">
        <f>Data!Q889</f>
        <v>3</v>
      </c>
    </row>
    <row r="890" spans="2:5" ht="15" customHeight="1" x14ac:dyDescent="0.3">
      <c r="C890" s="2"/>
      <c r="D890" s="8">
        <v>2022</v>
      </c>
      <c r="E890" s="14">
        <f>Data!Q890</f>
        <v>3</v>
      </c>
    </row>
    <row r="891" spans="2:5" ht="15" customHeight="1" x14ac:dyDescent="0.3">
      <c r="C891" s="2"/>
      <c r="D891" s="8">
        <v>2023</v>
      </c>
      <c r="E891" s="14">
        <f>Data!Q891</f>
        <v>2</v>
      </c>
    </row>
    <row r="892" spans="2:5" ht="15" customHeight="1" x14ac:dyDescent="0.3">
      <c r="C892" s="2"/>
      <c r="D892" s="8">
        <v>2024</v>
      </c>
      <c r="E892" s="14">
        <f>Data!Q892</f>
        <v>2</v>
      </c>
    </row>
    <row r="893" spans="2:5" ht="15" customHeight="1" x14ac:dyDescent="0.3">
      <c r="B893" s="8">
        <v>82</v>
      </c>
      <c r="C893" s="2" t="s">
        <v>83</v>
      </c>
      <c r="D893" s="8">
        <v>2014</v>
      </c>
      <c r="E893" s="14">
        <f>Data!Q893</f>
        <v>0</v>
      </c>
    </row>
    <row r="894" spans="2:5" ht="15" customHeight="1" x14ac:dyDescent="0.3">
      <c r="C894" s="2"/>
      <c r="D894" s="8">
        <v>2015</v>
      </c>
      <c r="E894" s="14">
        <f>Data!Q894</f>
        <v>0</v>
      </c>
    </row>
    <row r="895" spans="2:5" ht="15" customHeight="1" x14ac:dyDescent="0.3">
      <c r="C895" s="2"/>
      <c r="D895" s="8">
        <v>2016</v>
      </c>
      <c r="E895" s="14">
        <f>Data!Q895</f>
        <v>0</v>
      </c>
    </row>
    <row r="896" spans="2:5" ht="15" customHeight="1" x14ac:dyDescent="0.3">
      <c r="C896" s="2"/>
      <c r="D896" s="8">
        <v>2017</v>
      </c>
      <c r="E896" s="14">
        <f>Data!Q896</f>
        <v>0</v>
      </c>
    </row>
    <row r="897" spans="2:5" ht="15" customHeight="1" x14ac:dyDescent="0.3">
      <c r="C897" s="2"/>
      <c r="D897" s="8">
        <v>2018</v>
      </c>
      <c r="E897" s="14">
        <f>Data!Q897</f>
        <v>0</v>
      </c>
    </row>
    <row r="898" spans="2:5" ht="15" customHeight="1" x14ac:dyDescent="0.3">
      <c r="C898" s="2"/>
      <c r="D898" s="8">
        <v>2019</v>
      </c>
      <c r="E898" s="14">
        <f>Data!Q898</f>
        <v>0</v>
      </c>
    </row>
    <row r="899" spans="2:5" ht="15" customHeight="1" x14ac:dyDescent="0.3">
      <c r="C899" s="2"/>
      <c r="D899" s="8">
        <v>2020</v>
      </c>
      <c r="E899" s="14">
        <f>Data!Q899</f>
        <v>0</v>
      </c>
    </row>
    <row r="900" spans="2:5" ht="15" customHeight="1" x14ac:dyDescent="0.3">
      <c r="C900" s="2"/>
      <c r="D900" s="8">
        <v>2021</v>
      </c>
      <c r="E900" s="14">
        <f>Data!Q900</f>
        <v>1</v>
      </c>
    </row>
    <row r="901" spans="2:5" ht="15" customHeight="1" x14ac:dyDescent="0.3">
      <c r="C901" s="2"/>
      <c r="D901" s="8">
        <v>2022</v>
      </c>
      <c r="E901" s="14">
        <f>Data!Q901</f>
        <v>2</v>
      </c>
    </row>
    <row r="902" spans="2:5" ht="15" customHeight="1" x14ac:dyDescent="0.3">
      <c r="C902" s="2"/>
      <c r="D902" s="8">
        <v>2023</v>
      </c>
      <c r="E902" s="14">
        <f>Data!Q902</f>
        <v>2</v>
      </c>
    </row>
    <row r="903" spans="2:5" ht="15" customHeight="1" x14ac:dyDescent="0.3">
      <c r="C903" s="2"/>
      <c r="D903" s="8">
        <v>2024</v>
      </c>
      <c r="E903" s="14">
        <f>Data!Q903</f>
        <v>2</v>
      </c>
    </row>
    <row r="904" spans="2:5" ht="15" customHeight="1" x14ac:dyDescent="0.3">
      <c r="B904" s="8">
        <v>83</v>
      </c>
      <c r="C904" s="2" t="s">
        <v>98</v>
      </c>
      <c r="D904" s="8">
        <v>2014</v>
      </c>
      <c r="E904" s="14">
        <f>Data!Q904</f>
        <v>0</v>
      </c>
    </row>
    <row r="905" spans="2:5" ht="15" customHeight="1" x14ac:dyDescent="0.3">
      <c r="C905" s="2"/>
      <c r="D905" s="8">
        <v>2015</v>
      </c>
      <c r="E905" s="14">
        <f>Data!Q905</f>
        <v>1</v>
      </c>
    </row>
    <row r="906" spans="2:5" ht="15" customHeight="1" x14ac:dyDescent="0.3">
      <c r="C906" s="2"/>
      <c r="D906" s="8">
        <v>2016</v>
      </c>
      <c r="E906" s="14">
        <f>Data!Q906</f>
        <v>1</v>
      </c>
    </row>
    <row r="907" spans="2:5" ht="15" customHeight="1" x14ac:dyDescent="0.3">
      <c r="C907" s="2"/>
      <c r="D907" s="8">
        <v>2017</v>
      </c>
      <c r="E907" s="14">
        <f>Data!Q907</f>
        <v>1</v>
      </c>
    </row>
    <row r="908" spans="2:5" ht="15" customHeight="1" x14ac:dyDescent="0.3">
      <c r="C908" s="2"/>
      <c r="D908" s="8">
        <v>2018</v>
      </c>
      <c r="E908" s="14">
        <f>Data!Q908</f>
        <v>1</v>
      </c>
    </row>
    <row r="909" spans="2:5" ht="15" customHeight="1" x14ac:dyDescent="0.3">
      <c r="C909" s="2"/>
      <c r="D909" s="8">
        <v>2019</v>
      </c>
      <c r="E909" s="14">
        <f>Data!Q909</f>
        <v>0</v>
      </c>
    </row>
    <row r="910" spans="2:5" ht="15" customHeight="1" x14ac:dyDescent="0.3">
      <c r="C910" s="2"/>
      <c r="D910" s="8">
        <v>2020</v>
      </c>
      <c r="E910" s="14">
        <f>Data!Q910</f>
        <v>2</v>
      </c>
    </row>
    <row r="911" spans="2:5" ht="15" customHeight="1" x14ac:dyDescent="0.3">
      <c r="C911" s="2"/>
      <c r="D911" s="8">
        <v>2021</v>
      </c>
      <c r="E911" s="14">
        <f>Data!Q911</f>
        <v>2</v>
      </c>
    </row>
    <row r="912" spans="2:5" ht="15" customHeight="1" x14ac:dyDescent="0.3">
      <c r="C912" s="2"/>
      <c r="D912" s="8">
        <v>2022</v>
      </c>
      <c r="E912" s="14">
        <f>Data!Q912</f>
        <v>3</v>
      </c>
    </row>
    <row r="913" spans="2:5" ht="15" customHeight="1" x14ac:dyDescent="0.3">
      <c r="C913" s="2"/>
      <c r="D913" s="8">
        <v>2023</v>
      </c>
      <c r="E913" s="14">
        <f>Data!Q913</f>
        <v>2</v>
      </c>
    </row>
    <row r="914" spans="2:5" ht="15" customHeight="1" x14ac:dyDescent="0.3">
      <c r="C914" s="2"/>
      <c r="D914" s="8">
        <v>2024</v>
      </c>
      <c r="E914" s="14">
        <f>Data!Q914</f>
        <v>0</v>
      </c>
    </row>
    <row r="915" spans="2:5" ht="15" customHeight="1" x14ac:dyDescent="0.3">
      <c r="B915" s="8">
        <v>84</v>
      </c>
      <c r="C915" s="2" t="s">
        <v>84</v>
      </c>
      <c r="D915" s="8">
        <v>2014</v>
      </c>
      <c r="E915" s="14">
        <f>Data!Q915</f>
        <v>0</v>
      </c>
    </row>
    <row r="916" spans="2:5" ht="15" customHeight="1" x14ac:dyDescent="0.3">
      <c r="C916" s="2"/>
      <c r="D916" s="8">
        <v>2015</v>
      </c>
      <c r="E916" s="14">
        <f>Data!Q916</f>
        <v>2</v>
      </c>
    </row>
    <row r="917" spans="2:5" ht="15" customHeight="1" x14ac:dyDescent="0.3">
      <c r="C917" s="2"/>
      <c r="D917" s="8">
        <v>2016</v>
      </c>
      <c r="E917" s="14">
        <f>Data!Q917</f>
        <v>2</v>
      </c>
    </row>
    <row r="918" spans="2:5" ht="15" customHeight="1" x14ac:dyDescent="0.3">
      <c r="C918" s="2"/>
      <c r="D918" s="8">
        <v>2017</v>
      </c>
      <c r="E918" s="14">
        <f>Data!Q918</f>
        <v>2</v>
      </c>
    </row>
    <row r="919" spans="2:5" ht="15" customHeight="1" x14ac:dyDescent="0.3">
      <c r="C919" s="2"/>
      <c r="D919" s="8">
        <v>2018</v>
      </c>
      <c r="E919" s="14">
        <f>Data!Q919</f>
        <v>2</v>
      </c>
    </row>
    <row r="920" spans="2:5" ht="15" customHeight="1" x14ac:dyDescent="0.3">
      <c r="C920" s="2"/>
      <c r="D920" s="8">
        <v>2019</v>
      </c>
      <c r="E920" s="14">
        <f>Data!Q920</f>
        <v>2</v>
      </c>
    </row>
    <row r="921" spans="2:5" ht="15" customHeight="1" x14ac:dyDescent="0.3">
      <c r="C921" s="2"/>
      <c r="D921" s="8">
        <v>2020</v>
      </c>
      <c r="E921" s="14">
        <f>Data!Q921</f>
        <v>2</v>
      </c>
    </row>
    <row r="922" spans="2:5" ht="15" customHeight="1" x14ac:dyDescent="0.3">
      <c r="C922" s="2"/>
      <c r="D922" s="8">
        <v>2021</v>
      </c>
      <c r="E922" s="14">
        <f>Data!Q922</f>
        <v>2</v>
      </c>
    </row>
    <row r="923" spans="2:5" ht="15" customHeight="1" x14ac:dyDescent="0.3">
      <c r="C923" s="2"/>
      <c r="D923" s="8">
        <v>2022</v>
      </c>
      <c r="E923" s="14">
        <f>Data!Q923</f>
        <v>2</v>
      </c>
    </row>
    <row r="924" spans="2:5" ht="15" customHeight="1" x14ac:dyDescent="0.3">
      <c r="C924" s="2"/>
      <c r="D924" s="8">
        <v>2023</v>
      </c>
      <c r="E924" s="14">
        <f>Data!Q924</f>
        <v>2</v>
      </c>
    </row>
    <row r="925" spans="2:5" ht="15" customHeight="1" x14ac:dyDescent="0.3">
      <c r="C925" s="2"/>
      <c r="D925" s="8">
        <v>2024</v>
      </c>
      <c r="E925" s="14">
        <f>Data!Q925</f>
        <v>2</v>
      </c>
    </row>
    <row r="926" spans="2:5" ht="15" customHeight="1" x14ac:dyDescent="0.3">
      <c r="B926" s="8">
        <v>85</v>
      </c>
      <c r="C926" s="2" t="s">
        <v>99</v>
      </c>
      <c r="D926" s="8">
        <v>2014</v>
      </c>
      <c r="E926" s="14">
        <f>Data!Q926</f>
        <v>0</v>
      </c>
    </row>
    <row r="927" spans="2:5" ht="15" customHeight="1" x14ac:dyDescent="0.3">
      <c r="C927" s="2"/>
      <c r="D927" s="8">
        <v>2015</v>
      </c>
      <c r="E927" s="14">
        <f>Data!Q927</f>
        <v>1</v>
      </c>
    </row>
    <row r="928" spans="2:5" ht="15" customHeight="1" x14ac:dyDescent="0.3">
      <c r="C928" s="2"/>
      <c r="D928" s="8">
        <v>2016</v>
      </c>
      <c r="E928" s="14">
        <f>Data!Q928</f>
        <v>1</v>
      </c>
    </row>
    <row r="929" spans="2:5" ht="15" customHeight="1" x14ac:dyDescent="0.3">
      <c r="C929" s="2"/>
      <c r="D929" s="8">
        <v>2017</v>
      </c>
      <c r="E929" s="14">
        <f>Data!Q929</f>
        <v>1</v>
      </c>
    </row>
    <row r="930" spans="2:5" ht="15" customHeight="1" x14ac:dyDescent="0.3">
      <c r="C930" s="2"/>
      <c r="D930" s="8">
        <v>2018</v>
      </c>
      <c r="E930" s="14">
        <f>Data!Q930</f>
        <v>1</v>
      </c>
    </row>
    <row r="931" spans="2:5" ht="15" customHeight="1" x14ac:dyDescent="0.3">
      <c r="C931" s="2"/>
      <c r="D931" s="8">
        <v>2019</v>
      </c>
      <c r="E931" s="14">
        <f>Data!Q931</f>
        <v>1</v>
      </c>
    </row>
    <row r="932" spans="2:5" ht="15" customHeight="1" x14ac:dyDescent="0.3">
      <c r="C932" s="2"/>
      <c r="D932" s="8">
        <v>2020</v>
      </c>
      <c r="E932" s="14">
        <f>Data!Q932</f>
        <v>2</v>
      </c>
    </row>
    <row r="933" spans="2:5" ht="15" customHeight="1" x14ac:dyDescent="0.3">
      <c r="C933" s="2"/>
      <c r="D933" s="8">
        <v>2021</v>
      </c>
      <c r="E933" s="14">
        <f>Data!Q933</f>
        <v>2</v>
      </c>
    </row>
    <row r="934" spans="2:5" ht="15" customHeight="1" x14ac:dyDescent="0.3">
      <c r="C934" s="2"/>
      <c r="D934" s="8">
        <v>2022</v>
      </c>
      <c r="E934" s="14">
        <f>Data!Q934</f>
        <v>2</v>
      </c>
    </row>
    <row r="935" spans="2:5" ht="15" customHeight="1" x14ac:dyDescent="0.3">
      <c r="C935" s="2"/>
      <c r="D935" s="8">
        <v>2023</v>
      </c>
      <c r="E935" s="14">
        <f>Data!Q935</f>
        <v>2</v>
      </c>
    </row>
    <row r="936" spans="2:5" ht="15" customHeight="1" x14ac:dyDescent="0.3">
      <c r="C936" s="2"/>
      <c r="D936" s="8">
        <v>2024</v>
      </c>
      <c r="E936" s="14">
        <f>Data!Q936</f>
        <v>2</v>
      </c>
    </row>
    <row r="937" spans="2:5" ht="15" customHeight="1" x14ac:dyDescent="0.3">
      <c r="B937" s="8">
        <v>86</v>
      </c>
      <c r="C937" s="1" t="s">
        <v>132</v>
      </c>
      <c r="D937" s="8">
        <v>2014</v>
      </c>
      <c r="E937" s="14">
        <f>Data!Q937</f>
        <v>0</v>
      </c>
    </row>
    <row r="938" spans="2:5" ht="15" customHeight="1" x14ac:dyDescent="0.3">
      <c r="C938" s="1"/>
      <c r="D938" s="8">
        <v>2015</v>
      </c>
      <c r="E938" s="14">
        <f>Data!Q938</f>
        <v>0</v>
      </c>
    </row>
    <row r="939" spans="2:5" ht="15" customHeight="1" x14ac:dyDescent="0.3">
      <c r="C939" s="1"/>
      <c r="D939" s="8">
        <v>2016</v>
      </c>
      <c r="E939" s="14">
        <f>Data!Q939</f>
        <v>0</v>
      </c>
    </row>
    <row r="940" spans="2:5" ht="15" customHeight="1" x14ac:dyDescent="0.3">
      <c r="C940" s="1"/>
      <c r="D940" s="8">
        <v>2017</v>
      </c>
      <c r="E940" s="14">
        <f>Data!Q940</f>
        <v>2</v>
      </c>
    </row>
    <row r="941" spans="2:5" ht="15" customHeight="1" x14ac:dyDescent="0.3">
      <c r="C941" s="1"/>
      <c r="D941" s="8">
        <v>2018</v>
      </c>
      <c r="E941" s="14">
        <f>Data!Q941</f>
        <v>0</v>
      </c>
    </row>
    <row r="942" spans="2:5" ht="15" customHeight="1" x14ac:dyDescent="0.3">
      <c r="C942" s="1"/>
      <c r="D942" s="8">
        <v>2019</v>
      </c>
      <c r="E942" s="14">
        <f>Data!Q942</f>
        <v>1</v>
      </c>
    </row>
    <row r="943" spans="2:5" ht="15" customHeight="1" x14ac:dyDescent="0.3">
      <c r="C943" s="1"/>
      <c r="D943" s="8">
        <v>2020</v>
      </c>
      <c r="E943" s="14">
        <f>Data!Q943</f>
        <v>2</v>
      </c>
    </row>
    <row r="944" spans="2:5" ht="15" customHeight="1" x14ac:dyDescent="0.3">
      <c r="C944" s="1"/>
      <c r="D944" s="8">
        <v>2021</v>
      </c>
      <c r="E944" s="14">
        <f>Data!Q944</f>
        <v>2</v>
      </c>
    </row>
    <row r="945" spans="2:5" ht="15" customHeight="1" x14ac:dyDescent="0.3">
      <c r="C945" s="1"/>
      <c r="D945" s="8">
        <v>2022</v>
      </c>
      <c r="E945" s="14">
        <f>Data!Q945</f>
        <v>2</v>
      </c>
    </row>
    <row r="946" spans="2:5" ht="15" customHeight="1" x14ac:dyDescent="0.3">
      <c r="C946" s="1"/>
      <c r="D946" s="8">
        <v>2023</v>
      </c>
      <c r="E946" s="14">
        <f>Data!Q946</f>
        <v>2</v>
      </c>
    </row>
    <row r="947" spans="2:5" ht="15" customHeight="1" x14ac:dyDescent="0.3">
      <c r="C947" s="1"/>
      <c r="D947" s="8">
        <v>2024</v>
      </c>
      <c r="E947" s="14">
        <f>Data!Q947</f>
        <v>2</v>
      </c>
    </row>
    <row r="948" spans="2:5" ht="15" customHeight="1" x14ac:dyDescent="0.3">
      <c r="B948" s="8">
        <v>87</v>
      </c>
      <c r="C948" s="4" t="s">
        <v>129</v>
      </c>
      <c r="D948" s="8">
        <v>2014</v>
      </c>
      <c r="E948" s="14">
        <f>Data!Q948</f>
        <v>0</v>
      </c>
    </row>
    <row r="949" spans="2:5" ht="15" customHeight="1" x14ac:dyDescent="0.3">
      <c r="C949" s="4"/>
      <c r="D949" s="8">
        <v>2015</v>
      </c>
      <c r="E949" s="14">
        <f>Data!Q949</f>
        <v>0</v>
      </c>
    </row>
    <row r="950" spans="2:5" ht="15" customHeight="1" x14ac:dyDescent="0.3">
      <c r="C950" s="4"/>
      <c r="D950" s="8">
        <v>2016</v>
      </c>
      <c r="E950" s="14">
        <f>Data!Q950</f>
        <v>0</v>
      </c>
    </row>
    <row r="951" spans="2:5" ht="15" customHeight="1" x14ac:dyDescent="0.3">
      <c r="C951" s="4"/>
      <c r="D951" s="8">
        <v>2017</v>
      </c>
      <c r="E951" s="14">
        <f>Data!Q951</f>
        <v>0</v>
      </c>
    </row>
    <row r="952" spans="2:5" ht="15" customHeight="1" x14ac:dyDescent="0.3">
      <c r="C952" s="4"/>
      <c r="D952" s="8">
        <v>2018</v>
      </c>
      <c r="E952" s="14">
        <f>Data!Q952</f>
        <v>0</v>
      </c>
    </row>
    <row r="953" spans="2:5" ht="15" customHeight="1" x14ac:dyDescent="0.3">
      <c r="C953" s="4"/>
      <c r="D953" s="8">
        <v>2019</v>
      </c>
      <c r="E953" s="14">
        <f>Data!Q953</f>
        <v>0</v>
      </c>
    </row>
    <row r="954" spans="2:5" ht="15" customHeight="1" x14ac:dyDescent="0.3">
      <c r="C954" s="4"/>
      <c r="D954" s="8">
        <v>2020</v>
      </c>
      <c r="E954" s="14">
        <f>Data!Q954</f>
        <v>0</v>
      </c>
    </row>
    <row r="955" spans="2:5" ht="15" customHeight="1" x14ac:dyDescent="0.3">
      <c r="C955" s="4"/>
      <c r="D955" s="8">
        <v>2021</v>
      </c>
      <c r="E955" s="14">
        <f>Data!Q955</f>
        <v>0</v>
      </c>
    </row>
    <row r="956" spans="2:5" ht="15" customHeight="1" x14ac:dyDescent="0.3">
      <c r="C956" s="4"/>
      <c r="D956" s="8">
        <v>2022</v>
      </c>
      <c r="E956" s="14">
        <f>Data!Q956</f>
        <v>0</v>
      </c>
    </row>
    <row r="957" spans="2:5" ht="15" customHeight="1" x14ac:dyDescent="0.3">
      <c r="C957" s="4"/>
      <c r="D957" s="8">
        <v>2023</v>
      </c>
      <c r="E957" s="14">
        <f>Data!Q957</f>
        <v>0</v>
      </c>
    </row>
    <row r="958" spans="2:5" ht="15" customHeight="1" x14ac:dyDescent="0.3">
      <c r="C958" s="4"/>
      <c r="D958" s="8">
        <v>2024</v>
      </c>
      <c r="E958" s="14">
        <f>Data!Q958</f>
        <v>0</v>
      </c>
    </row>
    <row r="959" spans="2:5" ht="15" customHeight="1" x14ac:dyDescent="0.3">
      <c r="B959" s="8">
        <v>88</v>
      </c>
      <c r="C959" s="2" t="s">
        <v>100</v>
      </c>
      <c r="D959" s="8">
        <v>2014</v>
      </c>
      <c r="E959" s="14">
        <f>Data!Q959</f>
        <v>0</v>
      </c>
    </row>
    <row r="960" spans="2:5" ht="15" customHeight="1" x14ac:dyDescent="0.3">
      <c r="C960" s="2"/>
      <c r="D960" s="8">
        <v>2015</v>
      </c>
      <c r="E960" s="14">
        <f>Data!Q960</f>
        <v>0</v>
      </c>
    </row>
    <row r="961" spans="2:5" ht="15" customHeight="1" x14ac:dyDescent="0.3">
      <c r="C961" s="2"/>
      <c r="D961" s="8">
        <v>2016</v>
      </c>
      <c r="E961" s="14">
        <f>Data!Q961</f>
        <v>0</v>
      </c>
    </row>
    <row r="962" spans="2:5" ht="15" customHeight="1" x14ac:dyDescent="0.3">
      <c r="C962" s="2"/>
      <c r="D962" s="8">
        <v>2017</v>
      </c>
      <c r="E962" s="14">
        <f>Data!Q962</f>
        <v>0</v>
      </c>
    </row>
    <row r="963" spans="2:5" ht="15" customHeight="1" x14ac:dyDescent="0.3">
      <c r="C963" s="2"/>
      <c r="D963" s="8">
        <v>2018</v>
      </c>
      <c r="E963" s="14">
        <f>Data!Q963</f>
        <v>0</v>
      </c>
    </row>
    <row r="964" spans="2:5" ht="15" customHeight="1" x14ac:dyDescent="0.3">
      <c r="C964" s="2"/>
      <c r="D964" s="8">
        <v>2019</v>
      </c>
      <c r="E964" s="14">
        <f>Data!Q964</f>
        <v>0</v>
      </c>
    </row>
    <row r="965" spans="2:5" ht="15" customHeight="1" x14ac:dyDescent="0.3">
      <c r="C965" s="2"/>
      <c r="D965" s="8">
        <v>2020</v>
      </c>
      <c r="E965" s="14">
        <f>Data!Q965</f>
        <v>0</v>
      </c>
    </row>
    <row r="966" spans="2:5" ht="15" customHeight="1" x14ac:dyDescent="0.3">
      <c r="C966" s="2"/>
      <c r="D966" s="8">
        <v>2021</v>
      </c>
      <c r="E966" s="14">
        <f>Data!Q966</f>
        <v>0</v>
      </c>
    </row>
    <row r="967" spans="2:5" ht="15" customHeight="1" x14ac:dyDescent="0.3">
      <c r="C967" s="2"/>
      <c r="D967" s="8">
        <v>2022</v>
      </c>
      <c r="E967" s="14">
        <f>Data!Q967</f>
        <v>0</v>
      </c>
    </row>
    <row r="968" spans="2:5" ht="15" customHeight="1" x14ac:dyDescent="0.3">
      <c r="C968" s="2"/>
      <c r="D968" s="8">
        <v>2023</v>
      </c>
      <c r="E968" s="14">
        <f>Data!Q968</f>
        <v>0</v>
      </c>
    </row>
    <row r="969" spans="2:5" ht="15" customHeight="1" x14ac:dyDescent="0.3">
      <c r="C969" s="2"/>
      <c r="D969" s="8">
        <v>2024</v>
      </c>
      <c r="E969" s="14">
        <f>Data!Q969</f>
        <v>0</v>
      </c>
    </row>
    <row r="970" spans="2:5" ht="15" customHeight="1" x14ac:dyDescent="0.3">
      <c r="B970" s="8">
        <v>89</v>
      </c>
      <c r="C970" s="2" t="s">
        <v>101</v>
      </c>
      <c r="D970" s="8">
        <v>2014</v>
      </c>
      <c r="E970" s="14">
        <f>Data!Q970</f>
        <v>0</v>
      </c>
    </row>
    <row r="971" spans="2:5" ht="15" customHeight="1" x14ac:dyDescent="0.3">
      <c r="C971" s="2"/>
      <c r="D971" s="8">
        <v>2015</v>
      </c>
      <c r="E971" s="14">
        <f>Data!Q971</f>
        <v>2</v>
      </c>
    </row>
    <row r="972" spans="2:5" ht="15" customHeight="1" x14ac:dyDescent="0.3">
      <c r="C972" s="2"/>
      <c r="D972" s="8">
        <v>2016</v>
      </c>
      <c r="E972" s="14">
        <f>Data!Q972</f>
        <v>3</v>
      </c>
    </row>
    <row r="973" spans="2:5" ht="15" customHeight="1" x14ac:dyDescent="0.3">
      <c r="C973" s="2"/>
      <c r="D973" s="8">
        <v>2017</v>
      </c>
      <c r="E973" s="14">
        <f>Data!Q973</f>
        <v>3</v>
      </c>
    </row>
    <row r="974" spans="2:5" ht="15" customHeight="1" x14ac:dyDescent="0.3">
      <c r="C974" s="2"/>
      <c r="D974" s="8">
        <v>2018</v>
      </c>
      <c r="E974" s="14">
        <f>Data!Q974</f>
        <v>3</v>
      </c>
    </row>
    <row r="975" spans="2:5" ht="15" customHeight="1" x14ac:dyDescent="0.3">
      <c r="C975" s="2"/>
      <c r="D975" s="8">
        <v>2019</v>
      </c>
      <c r="E975" s="14">
        <f>Data!Q975</f>
        <v>2</v>
      </c>
    </row>
    <row r="976" spans="2:5" ht="15" customHeight="1" x14ac:dyDescent="0.3">
      <c r="C976" s="2"/>
      <c r="D976" s="8">
        <v>2020</v>
      </c>
      <c r="E976" s="14">
        <f>Data!Q976</f>
        <v>2</v>
      </c>
    </row>
    <row r="977" spans="2:5" ht="15" customHeight="1" x14ac:dyDescent="0.3">
      <c r="C977" s="2"/>
      <c r="D977" s="8">
        <v>2021</v>
      </c>
      <c r="E977" s="14">
        <f>Data!Q977</f>
        <v>2</v>
      </c>
    </row>
    <row r="978" spans="2:5" ht="15" customHeight="1" x14ac:dyDescent="0.3">
      <c r="C978" s="2"/>
      <c r="D978" s="8">
        <v>2022</v>
      </c>
      <c r="E978" s="14">
        <f>Data!Q978</f>
        <v>2</v>
      </c>
    </row>
    <row r="979" spans="2:5" ht="15" customHeight="1" x14ac:dyDescent="0.3">
      <c r="C979" s="2"/>
      <c r="D979" s="8">
        <v>2023</v>
      </c>
      <c r="E979" s="14">
        <f>Data!Q979</f>
        <v>2</v>
      </c>
    </row>
    <row r="980" spans="2:5" ht="15" customHeight="1" x14ac:dyDescent="0.3">
      <c r="C980" s="2"/>
      <c r="D980" s="8">
        <v>2024</v>
      </c>
      <c r="E980" s="14">
        <f>Data!Q980</f>
        <v>2</v>
      </c>
    </row>
    <row r="981" spans="2:5" ht="15" customHeight="1" x14ac:dyDescent="0.3">
      <c r="B981" s="8">
        <v>90</v>
      </c>
      <c r="C981" s="2" t="s">
        <v>93</v>
      </c>
      <c r="D981" s="8">
        <v>2014</v>
      </c>
      <c r="E981" s="14">
        <f>Data!Q981</f>
        <v>0</v>
      </c>
    </row>
    <row r="982" spans="2:5" ht="15" customHeight="1" x14ac:dyDescent="0.3">
      <c r="C982" s="2"/>
      <c r="D982" s="8">
        <v>2015</v>
      </c>
      <c r="E982" s="14">
        <f>Data!Q982</f>
        <v>1</v>
      </c>
    </row>
    <row r="983" spans="2:5" ht="15" customHeight="1" x14ac:dyDescent="0.3">
      <c r="C983" s="2"/>
      <c r="D983" s="8">
        <v>2016</v>
      </c>
      <c r="E983" s="14">
        <f>Data!Q983</f>
        <v>1</v>
      </c>
    </row>
    <row r="984" spans="2:5" ht="15" customHeight="1" x14ac:dyDescent="0.3">
      <c r="C984" s="2"/>
      <c r="D984" s="8">
        <v>2017</v>
      </c>
      <c r="E984" s="14">
        <f>Data!Q984</f>
        <v>2</v>
      </c>
    </row>
    <row r="985" spans="2:5" ht="15" customHeight="1" x14ac:dyDescent="0.3">
      <c r="C985" s="2"/>
      <c r="D985" s="8">
        <v>2018</v>
      </c>
      <c r="E985" s="14">
        <f>Data!Q985</f>
        <v>2</v>
      </c>
    </row>
    <row r="986" spans="2:5" ht="15" customHeight="1" x14ac:dyDescent="0.3">
      <c r="C986" s="2"/>
      <c r="D986" s="8">
        <v>2019</v>
      </c>
      <c r="E986" s="14">
        <f>Data!Q986</f>
        <v>2</v>
      </c>
    </row>
    <row r="987" spans="2:5" ht="15" customHeight="1" x14ac:dyDescent="0.3">
      <c r="C987" s="2"/>
      <c r="D987" s="8">
        <v>2020</v>
      </c>
      <c r="E987" s="14">
        <f>Data!Q987</f>
        <v>2</v>
      </c>
    </row>
    <row r="988" spans="2:5" ht="15" customHeight="1" x14ac:dyDescent="0.3">
      <c r="C988" s="2"/>
      <c r="D988" s="8">
        <v>2021</v>
      </c>
      <c r="E988" s="14">
        <f>Data!Q988</f>
        <v>1</v>
      </c>
    </row>
    <row r="989" spans="2:5" ht="15" customHeight="1" x14ac:dyDescent="0.3">
      <c r="C989" s="2"/>
      <c r="D989" s="8">
        <v>2022</v>
      </c>
      <c r="E989" s="14">
        <f>Data!Q989</f>
        <v>2</v>
      </c>
    </row>
    <row r="990" spans="2:5" ht="15" customHeight="1" x14ac:dyDescent="0.3">
      <c r="C990" s="2"/>
      <c r="D990" s="8">
        <v>2023</v>
      </c>
      <c r="E990" s="14">
        <f>Data!Q990</f>
        <v>2</v>
      </c>
    </row>
    <row r="991" spans="2:5" ht="15" customHeight="1" x14ac:dyDescent="0.3">
      <c r="C991" s="2"/>
      <c r="D991" s="8">
        <v>2024</v>
      </c>
      <c r="E991" s="14">
        <f>Data!Q991</f>
        <v>1</v>
      </c>
    </row>
    <row r="992" spans="2:5" ht="15" customHeight="1" x14ac:dyDescent="0.3">
      <c r="B992" s="8">
        <v>91</v>
      </c>
      <c r="C992" s="2" t="s">
        <v>88</v>
      </c>
      <c r="D992" s="8">
        <v>2014</v>
      </c>
      <c r="E992" s="14">
        <f>Data!Q992</f>
        <v>0</v>
      </c>
    </row>
    <row r="993" spans="2:5" ht="15" customHeight="1" x14ac:dyDescent="0.3">
      <c r="C993" s="2"/>
      <c r="D993" s="8">
        <v>2015</v>
      </c>
      <c r="E993" s="14">
        <f>Data!Q993</f>
        <v>2</v>
      </c>
    </row>
    <row r="994" spans="2:5" ht="15" customHeight="1" x14ac:dyDescent="0.3">
      <c r="C994" s="2"/>
      <c r="D994" s="8">
        <v>2016</v>
      </c>
      <c r="E994" s="14">
        <f>Data!Q994</f>
        <v>3</v>
      </c>
    </row>
    <row r="995" spans="2:5" ht="15" customHeight="1" x14ac:dyDescent="0.3">
      <c r="C995" s="2"/>
      <c r="D995" s="8">
        <v>2017</v>
      </c>
      <c r="E995" s="14">
        <f>Data!Q995</f>
        <v>3</v>
      </c>
    </row>
    <row r="996" spans="2:5" ht="15" customHeight="1" x14ac:dyDescent="0.3">
      <c r="C996" s="2"/>
      <c r="D996" s="8">
        <v>2018</v>
      </c>
      <c r="E996" s="14">
        <f>Data!Q996</f>
        <v>3</v>
      </c>
    </row>
    <row r="997" spans="2:5" ht="15" customHeight="1" x14ac:dyDescent="0.3">
      <c r="C997" s="2"/>
      <c r="D997" s="8">
        <v>2019</v>
      </c>
      <c r="E997" s="14">
        <f>Data!Q997</f>
        <v>2</v>
      </c>
    </row>
    <row r="998" spans="2:5" ht="15" customHeight="1" x14ac:dyDescent="0.3">
      <c r="C998" s="2"/>
      <c r="D998" s="8">
        <v>2020</v>
      </c>
      <c r="E998" s="14">
        <f>Data!Q998</f>
        <v>2</v>
      </c>
    </row>
    <row r="999" spans="2:5" ht="15" customHeight="1" x14ac:dyDescent="0.3">
      <c r="C999" s="2"/>
      <c r="D999" s="8">
        <v>2021</v>
      </c>
      <c r="E999" s="14">
        <f>Data!Q999</f>
        <v>2</v>
      </c>
    </row>
    <row r="1000" spans="2:5" ht="15" customHeight="1" x14ac:dyDescent="0.3">
      <c r="C1000" s="2"/>
      <c r="D1000" s="8">
        <v>2022</v>
      </c>
      <c r="E1000" s="14">
        <f>Data!Q1000</f>
        <v>2</v>
      </c>
    </row>
    <row r="1001" spans="2:5" ht="15" customHeight="1" x14ac:dyDescent="0.3">
      <c r="C1001" s="2"/>
      <c r="D1001" s="8">
        <v>2023</v>
      </c>
      <c r="E1001" s="14">
        <f>Data!Q1001</f>
        <v>2</v>
      </c>
    </row>
    <row r="1002" spans="2:5" ht="15" customHeight="1" x14ac:dyDescent="0.3">
      <c r="C1002" s="2"/>
      <c r="D1002" s="8">
        <v>2024</v>
      </c>
      <c r="E1002" s="14">
        <f>Data!Q1002</f>
        <v>2</v>
      </c>
    </row>
    <row r="1003" spans="2:5" ht="15" customHeight="1" x14ac:dyDescent="0.3">
      <c r="B1003" s="8">
        <v>92</v>
      </c>
      <c r="C1003" s="2" t="s">
        <v>94</v>
      </c>
      <c r="D1003" s="8">
        <v>2014</v>
      </c>
      <c r="E1003" s="14">
        <f>Data!Q1003</f>
        <v>0</v>
      </c>
    </row>
    <row r="1004" spans="2:5" ht="15" customHeight="1" x14ac:dyDescent="0.3">
      <c r="C1004" s="2"/>
      <c r="D1004" s="8">
        <v>2015</v>
      </c>
      <c r="E1004" s="14">
        <f>Data!Q1004</f>
        <v>2</v>
      </c>
    </row>
    <row r="1005" spans="2:5" ht="15" customHeight="1" x14ac:dyDescent="0.3">
      <c r="C1005" s="2"/>
      <c r="D1005" s="8">
        <v>2016</v>
      </c>
      <c r="E1005" s="14">
        <f>Data!Q1005</f>
        <v>2</v>
      </c>
    </row>
    <row r="1006" spans="2:5" ht="15" customHeight="1" x14ac:dyDescent="0.3">
      <c r="C1006" s="2"/>
      <c r="D1006" s="8">
        <v>2017</v>
      </c>
      <c r="E1006" s="14">
        <f>Data!Q1006</f>
        <v>2</v>
      </c>
    </row>
    <row r="1007" spans="2:5" ht="15" customHeight="1" x14ac:dyDescent="0.3">
      <c r="C1007" s="2"/>
      <c r="D1007" s="8">
        <v>2018</v>
      </c>
      <c r="E1007" s="14">
        <f>Data!Q1007</f>
        <v>2</v>
      </c>
    </row>
    <row r="1008" spans="2:5" ht="15" customHeight="1" x14ac:dyDescent="0.3">
      <c r="C1008" s="2"/>
      <c r="D1008" s="8">
        <v>2019</v>
      </c>
      <c r="E1008" s="14">
        <f>Data!Q1008</f>
        <v>2</v>
      </c>
    </row>
    <row r="1009" spans="2:5" ht="15" customHeight="1" x14ac:dyDescent="0.3">
      <c r="C1009" s="2"/>
      <c r="D1009" s="8">
        <v>2020</v>
      </c>
      <c r="E1009" s="14">
        <f>Data!Q1009</f>
        <v>2</v>
      </c>
    </row>
    <row r="1010" spans="2:5" ht="15" customHeight="1" x14ac:dyDescent="0.3">
      <c r="C1010" s="2"/>
      <c r="D1010" s="8">
        <v>2021</v>
      </c>
      <c r="E1010" s="14">
        <f>Data!Q1010</f>
        <v>2</v>
      </c>
    </row>
    <row r="1011" spans="2:5" ht="15" customHeight="1" x14ac:dyDescent="0.3">
      <c r="C1011" s="2"/>
      <c r="D1011" s="8">
        <v>2022</v>
      </c>
      <c r="E1011" s="14">
        <f>Data!Q1011</f>
        <v>2</v>
      </c>
    </row>
    <row r="1012" spans="2:5" ht="15" customHeight="1" x14ac:dyDescent="0.3">
      <c r="C1012" s="2"/>
      <c r="D1012" s="8">
        <v>2023</v>
      </c>
      <c r="E1012" s="14">
        <f>Data!Q1012</f>
        <v>2</v>
      </c>
    </row>
    <row r="1013" spans="2:5" ht="15" customHeight="1" x14ac:dyDescent="0.3">
      <c r="C1013" s="2"/>
      <c r="D1013" s="8">
        <v>2024</v>
      </c>
      <c r="E1013" s="14">
        <f>Data!Q1013</f>
        <v>2</v>
      </c>
    </row>
    <row r="1014" spans="2:5" ht="15" customHeight="1" x14ac:dyDescent="0.3">
      <c r="B1014" s="8">
        <v>93</v>
      </c>
      <c r="C1014" s="2" t="s">
        <v>102</v>
      </c>
      <c r="D1014" s="8">
        <v>2014</v>
      </c>
      <c r="E1014" s="14">
        <f>Data!Q1014</f>
        <v>0</v>
      </c>
    </row>
    <row r="1015" spans="2:5" ht="15" customHeight="1" x14ac:dyDescent="0.3">
      <c r="C1015" s="2"/>
      <c r="D1015" s="8">
        <v>2015</v>
      </c>
      <c r="E1015" s="14">
        <f>Data!Q1015</f>
        <v>1</v>
      </c>
    </row>
    <row r="1016" spans="2:5" ht="15" customHeight="1" x14ac:dyDescent="0.3">
      <c r="C1016" s="2"/>
      <c r="D1016" s="8">
        <v>2016</v>
      </c>
      <c r="E1016" s="14">
        <f>Data!Q1016</f>
        <v>2</v>
      </c>
    </row>
    <row r="1017" spans="2:5" ht="15" customHeight="1" x14ac:dyDescent="0.3">
      <c r="C1017" s="2"/>
      <c r="D1017" s="8">
        <v>2017</v>
      </c>
      <c r="E1017" s="14">
        <f>Data!Q1017</f>
        <v>2</v>
      </c>
    </row>
    <row r="1018" spans="2:5" ht="15" customHeight="1" x14ac:dyDescent="0.3">
      <c r="C1018" s="2"/>
      <c r="D1018" s="8">
        <v>2018</v>
      </c>
      <c r="E1018" s="14">
        <f>Data!Q1018</f>
        <v>1</v>
      </c>
    </row>
    <row r="1019" spans="2:5" ht="15" customHeight="1" x14ac:dyDescent="0.3">
      <c r="C1019" s="2"/>
      <c r="D1019" s="8">
        <v>2019</v>
      </c>
      <c r="E1019" s="14">
        <f>Data!Q1019</f>
        <v>2</v>
      </c>
    </row>
    <row r="1020" spans="2:5" ht="15" customHeight="1" x14ac:dyDescent="0.3">
      <c r="C1020" s="2"/>
      <c r="D1020" s="8">
        <v>2020</v>
      </c>
      <c r="E1020" s="14">
        <f>Data!Q1020</f>
        <v>2</v>
      </c>
    </row>
    <row r="1021" spans="2:5" ht="15" customHeight="1" x14ac:dyDescent="0.3">
      <c r="C1021" s="2"/>
      <c r="D1021" s="8">
        <v>2021</v>
      </c>
      <c r="E1021" s="14">
        <f>Data!Q1021</f>
        <v>2</v>
      </c>
    </row>
    <row r="1022" spans="2:5" ht="15" customHeight="1" x14ac:dyDescent="0.3">
      <c r="C1022" s="2"/>
      <c r="D1022" s="8">
        <v>2022</v>
      </c>
      <c r="E1022" s="14">
        <f>Data!Q1022</f>
        <v>2</v>
      </c>
    </row>
    <row r="1023" spans="2:5" ht="15" customHeight="1" x14ac:dyDescent="0.3">
      <c r="C1023" s="2"/>
      <c r="D1023" s="8">
        <v>2023</v>
      </c>
      <c r="E1023" s="14">
        <f>Data!Q1023</f>
        <v>2</v>
      </c>
    </row>
    <row r="1024" spans="2:5" ht="15" customHeight="1" x14ac:dyDescent="0.3">
      <c r="C1024" s="2"/>
      <c r="D1024" s="8">
        <v>2024</v>
      </c>
      <c r="E1024" s="14">
        <f>Data!Q1024</f>
        <v>2</v>
      </c>
    </row>
    <row r="1025" spans="2:5" ht="15" customHeight="1" x14ac:dyDescent="0.3">
      <c r="B1025" s="8">
        <v>94</v>
      </c>
      <c r="C1025" s="2" t="s">
        <v>114</v>
      </c>
      <c r="D1025" s="8">
        <v>2014</v>
      </c>
      <c r="E1025" s="14">
        <f>Data!Q1025</f>
        <v>0</v>
      </c>
    </row>
    <row r="1026" spans="2:5" ht="15" customHeight="1" x14ac:dyDescent="0.3">
      <c r="C1026" s="2"/>
      <c r="D1026" s="8">
        <v>2015</v>
      </c>
      <c r="E1026" s="14">
        <f>Data!Q1026</f>
        <v>2</v>
      </c>
    </row>
    <row r="1027" spans="2:5" ht="15" customHeight="1" x14ac:dyDescent="0.3">
      <c r="C1027" s="2"/>
      <c r="D1027" s="8">
        <v>2016</v>
      </c>
      <c r="E1027" s="14">
        <f>Data!Q1027</f>
        <v>2</v>
      </c>
    </row>
    <row r="1028" spans="2:5" ht="15" customHeight="1" x14ac:dyDescent="0.3">
      <c r="C1028" s="2"/>
      <c r="D1028" s="8">
        <v>2017</v>
      </c>
      <c r="E1028" s="14">
        <f>Data!Q1028</f>
        <v>2</v>
      </c>
    </row>
    <row r="1029" spans="2:5" ht="15" customHeight="1" x14ac:dyDescent="0.3">
      <c r="C1029" s="2"/>
      <c r="D1029" s="8">
        <v>2018</v>
      </c>
      <c r="E1029" s="14">
        <f>Data!Q1029</f>
        <v>2</v>
      </c>
    </row>
    <row r="1030" spans="2:5" ht="15" customHeight="1" x14ac:dyDescent="0.3">
      <c r="C1030" s="2"/>
      <c r="D1030" s="8">
        <v>2019</v>
      </c>
      <c r="E1030" s="14">
        <f>Data!Q1030</f>
        <v>2</v>
      </c>
    </row>
    <row r="1031" spans="2:5" ht="15" customHeight="1" x14ac:dyDescent="0.3">
      <c r="C1031" s="2"/>
      <c r="D1031" s="8">
        <v>2020</v>
      </c>
      <c r="E1031" s="14">
        <f>Data!Q1031</f>
        <v>2</v>
      </c>
    </row>
    <row r="1032" spans="2:5" ht="15" customHeight="1" x14ac:dyDescent="0.3">
      <c r="C1032" s="2"/>
      <c r="D1032" s="8">
        <v>2021</v>
      </c>
      <c r="E1032" s="14">
        <f>Data!Q1032</f>
        <v>2</v>
      </c>
    </row>
    <row r="1033" spans="2:5" ht="15" customHeight="1" x14ac:dyDescent="0.3">
      <c r="C1033" s="2"/>
      <c r="D1033" s="8">
        <v>2022</v>
      </c>
      <c r="E1033" s="14">
        <f>Data!Q1033</f>
        <v>2</v>
      </c>
    </row>
    <row r="1034" spans="2:5" ht="15" customHeight="1" x14ac:dyDescent="0.3">
      <c r="C1034" s="2"/>
      <c r="D1034" s="8">
        <v>2023</v>
      </c>
      <c r="E1034" s="14">
        <f>Data!Q1034</f>
        <v>2</v>
      </c>
    </row>
    <row r="1035" spans="2:5" ht="15" customHeight="1" x14ac:dyDescent="0.3">
      <c r="C1035" s="2"/>
      <c r="D1035" s="8">
        <v>2024</v>
      </c>
      <c r="E1035" s="14">
        <f>Data!Q1035</f>
        <v>2</v>
      </c>
    </row>
    <row r="1036" spans="2:5" ht="15" customHeight="1" x14ac:dyDescent="0.3">
      <c r="B1036" s="8">
        <v>95</v>
      </c>
      <c r="C1036" s="2" t="s">
        <v>115</v>
      </c>
      <c r="D1036" s="8">
        <v>2014</v>
      </c>
      <c r="E1036" s="14">
        <f>Data!Q1036</f>
        <v>0</v>
      </c>
    </row>
    <row r="1037" spans="2:5" ht="15" customHeight="1" x14ac:dyDescent="0.3">
      <c r="C1037" s="2"/>
      <c r="D1037" s="8">
        <v>2015</v>
      </c>
      <c r="E1037" s="14">
        <f>Data!Q1037</f>
        <v>0</v>
      </c>
    </row>
    <row r="1038" spans="2:5" ht="15" customHeight="1" x14ac:dyDescent="0.3">
      <c r="C1038" s="2"/>
      <c r="D1038" s="8">
        <v>2016</v>
      </c>
      <c r="E1038" s="14">
        <f>Data!Q1038</f>
        <v>0</v>
      </c>
    </row>
    <row r="1039" spans="2:5" ht="15" customHeight="1" x14ac:dyDescent="0.3">
      <c r="C1039" s="2"/>
      <c r="D1039" s="8">
        <v>2017</v>
      </c>
      <c r="E1039" s="14">
        <f>Data!Q1039</f>
        <v>0</v>
      </c>
    </row>
    <row r="1040" spans="2:5" ht="15" customHeight="1" x14ac:dyDescent="0.3">
      <c r="C1040" s="2"/>
      <c r="D1040" s="8">
        <v>2018</v>
      </c>
      <c r="E1040" s="14">
        <f>Data!Q1040</f>
        <v>0</v>
      </c>
    </row>
    <row r="1041" spans="2:5" ht="15" customHeight="1" x14ac:dyDescent="0.3">
      <c r="C1041" s="2"/>
      <c r="D1041" s="8">
        <v>2019</v>
      </c>
      <c r="E1041" s="14">
        <f>Data!Q1041</f>
        <v>1</v>
      </c>
    </row>
    <row r="1042" spans="2:5" ht="15" customHeight="1" x14ac:dyDescent="0.3">
      <c r="C1042" s="2"/>
      <c r="D1042" s="8">
        <v>2020</v>
      </c>
      <c r="E1042" s="14">
        <f>Data!Q1042</f>
        <v>1</v>
      </c>
    </row>
    <row r="1043" spans="2:5" ht="15" customHeight="1" x14ac:dyDescent="0.3">
      <c r="C1043" s="2"/>
      <c r="D1043" s="8">
        <v>2021</v>
      </c>
      <c r="E1043" s="14">
        <f>Data!Q1043</f>
        <v>1</v>
      </c>
    </row>
    <row r="1044" spans="2:5" ht="15" customHeight="1" x14ac:dyDescent="0.3">
      <c r="C1044" s="2"/>
      <c r="D1044" s="8">
        <v>2022</v>
      </c>
      <c r="E1044" s="14">
        <f>Data!Q1044</f>
        <v>1</v>
      </c>
    </row>
    <row r="1045" spans="2:5" ht="15" customHeight="1" x14ac:dyDescent="0.3">
      <c r="C1045" s="2"/>
      <c r="D1045" s="8">
        <v>2023</v>
      </c>
      <c r="E1045" s="14">
        <f>Data!Q1045</f>
        <v>1</v>
      </c>
    </row>
    <row r="1046" spans="2:5" ht="15" customHeight="1" x14ac:dyDescent="0.3">
      <c r="C1046" s="2"/>
      <c r="D1046" s="8">
        <v>2024</v>
      </c>
      <c r="E1046" s="14">
        <f>Data!Q1046</f>
        <v>2</v>
      </c>
    </row>
    <row r="1047" spans="2:5" ht="15" customHeight="1" x14ac:dyDescent="0.3">
      <c r="B1047" s="8">
        <v>96</v>
      </c>
      <c r="C1047" s="2" t="s">
        <v>116</v>
      </c>
      <c r="D1047" s="8">
        <v>2014</v>
      </c>
      <c r="E1047" s="14">
        <f>Data!Q1047</f>
        <v>0</v>
      </c>
    </row>
    <row r="1048" spans="2:5" ht="15" customHeight="1" x14ac:dyDescent="0.3">
      <c r="C1048" s="2"/>
      <c r="D1048" s="8">
        <v>2015</v>
      </c>
      <c r="E1048" s="14">
        <f>Data!Q1048</f>
        <v>0</v>
      </c>
    </row>
    <row r="1049" spans="2:5" ht="15" customHeight="1" x14ac:dyDescent="0.3">
      <c r="C1049" s="2"/>
      <c r="D1049" s="8">
        <v>2016</v>
      </c>
      <c r="E1049" s="14">
        <f>Data!Q1049</f>
        <v>0</v>
      </c>
    </row>
    <row r="1050" spans="2:5" ht="15" customHeight="1" x14ac:dyDescent="0.3">
      <c r="C1050" s="2"/>
      <c r="D1050" s="8">
        <v>2017</v>
      </c>
      <c r="E1050" s="14">
        <f>Data!Q1050</f>
        <v>3</v>
      </c>
    </row>
    <row r="1051" spans="2:5" ht="15" customHeight="1" x14ac:dyDescent="0.3">
      <c r="C1051" s="2"/>
      <c r="D1051" s="8">
        <v>2018</v>
      </c>
      <c r="E1051" s="14">
        <f>Data!Q1051</f>
        <v>3</v>
      </c>
    </row>
    <row r="1052" spans="2:5" ht="15" customHeight="1" x14ac:dyDescent="0.3">
      <c r="C1052" s="2"/>
      <c r="D1052" s="8">
        <v>2019</v>
      </c>
      <c r="E1052" s="14">
        <f>Data!Q1052</f>
        <v>3</v>
      </c>
    </row>
    <row r="1053" spans="2:5" ht="15" customHeight="1" x14ac:dyDescent="0.3">
      <c r="C1053" s="2"/>
      <c r="D1053" s="8">
        <v>2020</v>
      </c>
      <c r="E1053" s="14">
        <f>Data!Q1053</f>
        <v>2</v>
      </c>
    </row>
    <row r="1054" spans="2:5" ht="15" customHeight="1" x14ac:dyDescent="0.3">
      <c r="C1054" s="2"/>
      <c r="D1054" s="8">
        <v>2021</v>
      </c>
      <c r="E1054" s="14">
        <f>Data!Q1054</f>
        <v>2</v>
      </c>
    </row>
    <row r="1055" spans="2:5" ht="15" customHeight="1" x14ac:dyDescent="0.3">
      <c r="C1055" s="2"/>
      <c r="D1055" s="8">
        <v>2022</v>
      </c>
      <c r="E1055" s="14">
        <f>Data!Q1055</f>
        <v>2</v>
      </c>
    </row>
    <row r="1056" spans="2:5" ht="15" customHeight="1" x14ac:dyDescent="0.3">
      <c r="C1056" s="2"/>
      <c r="D1056" s="8">
        <v>2023</v>
      </c>
      <c r="E1056" s="14">
        <f>Data!Q1056</f>
        <v>2</v>
      </c>
    </row>
    <row r="1057" spans="2:5" ht="15" customHeight="1" x14ac:dyDescent="0.3">
      <c r="C1057" s="2"/>
      <c r="D1057" s="8">
        <v>2024</v>
      </c>
      <c r="E1057" s="14">
        <f>Data!Q1057</f>
        <v>2</v>
      </c>
    </row>
    <row r="1058" spans="2:5" ht="15" customHeight="1" x14ac:dyDescent="0.3">
      <c r="B1058" s="8">
        <v>97</v>
      </c>
      <c r="C1058" s="2" t="s">
        <v>117</v>
      </c>
      <c r="D1058" s="8">
        <v>2014</v>
      </c>
      <c r="E1058" s="14">
        <f>Data!Q1058</f>
        <v>0</v>
      </c>
    </row>
    <row r="1059" spans="2:5" ht="15" customHeight="1" x14ac:dyDescent="0.3">
      <c r="C1059" s="2"/>
      <c r="D1059" s="8">
        <v>2015</v>
      </c>
      <c r="E1059" s="14">
        <f>Data!Q1059</f>
        <v>0</v>
      </c>
    </row>
    <row r="1060" spans="2:5" ht="15" customHeight="1" x14ac:dyDescent="0.3">
      <c r="C1060" s="2"/>
      <c r="D1060" s="8">
        <v>2016</v>
      </c>
      <c r="E1060" s="14">
        <f>Data!Q1060</f>
        <v>0</v>
      </c>
    </row>
    <row r="1061" spans="2:5" ht="15" customHeight="1" x14ac:dyDescent="0.3">
      <c r="C1061" s="2"/>
      <c r="D1061" s="8">
        <v>2017</v>
      </c>
      <c r="E1061" s="14">
        <f>Data!Q1061</f>
        <v>0</v>
      </c>
    </row>
    <row r="1062" spans="2:5" ht="15" customHeight="1" x14ac:dyDescent="0.3">
      <c r="C1062" s="2"/>
      <c r="D1062" s="8">
        <v>2018</v>
      </c>
      <c r="E1062" s="14">
        <f>Data!Q1062</f>
        <v>3</v>
      </c>
    </row>
    <row r="1063" spans="2:5" ht="15" customHeight="1" x14ac:dyDescent="0.3">
      <c r="C1063" s="2"/>
      <c r="D1063" s="8">
        <v>2019</v>
      </c>
      <c r="E1063" s="14">
        <f>Data!Q1063</f>
        <v>2</v>
      </c>
    </row>
    <row r="1064" spans="2:5" ht="15" customHeight="1" x14ac:dyDescent="0.3">
      <c r="C1064" s="2"/>
      <c r="D1064" s="8">
        <v>2020</v>
      </c>
      <c r="E1064" s="14">
        <f>Data!Q1064</f>
        <v>2</v>
      </c>
    </row>
    <row r="1065" spans="2:5" ht="15" customHeight="1" x14ac:dyDescent="0.3">
      <c r="C1065" s="2"/>
      <c r="D1065" s="8">
        <v>2021</v>
      </c>
      <c r="E1065" s="14">
        <f>Data!Q1065</f>
        <v>2</v>
      </c>
    </row>
    <row r="1066" spans="2:5" ht="15" customHeight="1" x14ac:dyDescent="0.3">
      <c r="C1066" s="2"/>
      <c r="D1066" s="8">
        <v>2022</v>
      </c>
      <c r="E1066" s="14">
        <f>Data!Q1066</f>
        <v>2</v>
      </c>
    </row>
    <row r="1067" spans="2:5" ht="15" customHeight="1" x14ac:dyDescent="0.3">
      <c r="C1067" s="2"/>
      <c r="D1067" s="8">
        <v>2023</v>
      </c>
      <c r="E1067" s="14">
        <f>Data!Q1067</f>
        <v>2</v>
      </c>
    </row>
    <row r="1068" spans="2:5" ht="15" customHeight="1" x14ac:dyDescent="0.3">
      <c r="C1068" s="2"/>
      <c r="D1068" s="8">
        <v>2024</v>
      </c>
      <c r="E1068" s="14">
        <f>Data!Q1068</f>
        <v>2</v>
      </c>
    </row>
    <row r="1069" spans="2:5" ht="15" customHeight="1" x14ac:dyDescent="0.3">
      <c r="B1069" s="8">
        <v>98</v>
      </c>
      <c r="C1069" s="2" t="s">
        <v>103</v>
      </c>
      <c r="D1069" s="8">
        <v>2014</v>
      </c>
      <c r="E1069" s="14">
        <f>Data!Q1069</f>
        <v>0</v>
      </c>
    </row>
    <row r="1070" spans="2:5" ht="15" customHeight="1" x14ac:dyDescent="0.3">
      <c r="C1070" s="2"/>
      <c r="D1070" s="8">
        <v>2015</v>
      </c>
      <c r="E1070" s="14">
        <f>Data!Q1070</f>
        <v>0</v>
      </c>
    </row>
    <row r="1071" spans="2:5" ht="15" customHeight="1" x14ac:dyDescent="0.3">
      <c r="C1071" s="2"/>
      <c r="D1071" s="8">
        <v>2016</v>
      </c>
      <c r="E1071" s="14">
        <f>Data!Q1071</f>
        <v>0</v>
      </c>
    </row>
    <row r="1072" spans="2:5" ht="15" customHeight="1" x14ac:dyDescent="0.3">
      <c r="C1072" s="2"/>
      <c r="D1072" s="8">
        <v>2017</v>
      </c>
      <c r="E1072" s="14">
        <f>Data!Q1072</f>
        <v>0</v>
      </c>
    </row>
    <row r="1073" spans="2:5" ht="15" customHeight="1" x14ac:dyDescent="0.3">
      <c r="C1073" s="2"/>
      <c r="D1073" s="8">
        <v>2018</v>
      </c>
      <c r="E1073" s="14">
        <f>Data!Q1073</f>
        <v>2</v>
      </c>
    </row>
    <row r="1074" spans="2:5" ht="15" customHeight="1" x14ac:dyDescent="0.3">
      <c r="C1074" s="2"/>
      <c r="D1074" s="8">
        <v>2019</v>
      </c>
      <c r="E1074" s="14">
        <f>Data!Q1074</f>
        <v>2</v>
      </c>
    </row>
    <row r="1075" spans="2:5" ht="15" customHeight="1" x14ac:dyDescent="0.3">
      <c r="C1075" s="2"/>
      <c r="D1075" s="8">
        <v>2020</v>
      </c>
      <c r="E1075" s="14">
        <f>Data!Q1075</f>
        <v>1</v>
      </c>
    </row>
    <row r="1076" spans="2:5" ht="15" customHeight="1" x14ac:dyDescent="0.3">
      <c r="C1076" s="2"/>
      <c r="D1076" s="8">
        <v>2021</v>
      </c>
      <c r="E1076" s="14">
        <f>Data!Q1076</f>
        <v>1</v>
      </c>
    </row>
    <row r="1077" spans="2:5" ht="15" customHeight="1" x14ac:dyDescent="0.3">
      <c r="C1077" s="2"/>
      <c r="D1077" s="8">
        <v>2022</v>
      </c>
      <c r="E1077" s="14">
        <f>Data!Q1077</f>
        <v>1</v>
      </c>
    </row>
    <row r="1078" spans="2:5" ht="15" customHeight="1" x14ac:dyDescent="0.3">
      <c r="C1078" s="2"/>
      <c r="D1078" s="8">
        <v>2023</v>
      </c>
      <c r="E1078" s="14">
        <f>Data!Q1078</f>
        <v>2</v>
      </c>
    </row>
    <row r="1079" spans="2:5" ht="15" customHeight="1" x14ac:dyDescent="0.3">
      <c r="C1079" s="2"/>
      <c r="D1079" s="8">
        <v>2024</v>
      </c>
      <c r="E1079" s="14">
        <f>Data!Q1079</f>
        <v>2</v>
      </c>
    </row>
    <row r="1080" spans="2:5" ht="15" customHeight="1" x14ac:dyDescent="0.3">
      <c r="B1080" s="8">
        <v>99</v>
      </c>
      <c r="C1080" s="2" t="s">
        <v>118</v>
      </c>
      <c r="D1080" s="8">
        <v>2014</v>
      </c>
      <c r="E1080" s="14">
        <f>Data!Q1080</f>
        <v>0</v>
      </c>
    </row>
    <row r="1081" spans="2:5" ht="15" customHeight="1" x14ac:dyDescent="0.3">
      <c r="C1081" s="2"/>
      <c r="D1081" s="8">
        <v>2015</v>
      </c>
      <c r="E1081" s="14">
        <f>Data!Q1081</f>
        <v>0</v>
      </c>
    </row>
    <row r="1082" spans="2:5" ht="15" customHeight="1" x14ac:dyDescent="0.3">
      <c r="C1082" s="2"/>
      <c r="D1082" s="8">
        <v>2016</v>
      </c>
      <c r="E1082" s="14">
        <f>Data!Q1082</f>
        <v>0</v>
      </c>
    </row>
    <row r="1083" spans="2:5" ht="15" customHeight="1" x14ac:dyDescent="0.3">
      <c r="C1083" s="2"/>
      <c r="D1083" s="8">
        <v>2017</v>
      </c>
      <c r="E1083" s="14">
        <f>Data!Q1083</f>
        <v>0</v>
      </c>
    </row>
    <row r="1084" spans="2:5" ht="15" customHeight="1" x14ac:dyDescent="0.3">
      <c r="C1084" s="2"/>
      <c r="D1084" s="8">
        <v>2018</v>
      </c>
      <c r="E1084" s="14">
        <f>Data!Q1084</f>
        <v>0</v>
      </c>
    </row>
    <row r="1085" spans="2:5" ht="15" customHeight="1" x14ac:dyDescent="0.3">
      <c r="C1085" s="2"/>
      <c r="D1085" s="8">
        <v>2019</v>
      </c>
      <c r="E1085" s="14">
        <f>Data!Q1085</f>
        <v>0</v>
      </c>
    </row>
    <row r="1086" spans="2:5" ht="15" customHeight="1" x14ac:dyDescent="0.3">
      <c r="C1086" s="2"/>
      <c r="D1086" s="8">
        <v>2020</v>
      </c>
      <c r="E1086" s="14">
        <f>Data!Q1086</f>
        <v>0</v>
      </c>
    </row>
    <row r="1087" spans="2:5" ht="15" customHeight="1" x14ac:dyDescent="0.3">
      <c r="C1087" s="2"/>
      <c r="D1087" s="8">
        <v>2021</v>
      </c>
      <c r="E1087" s="14">
        <f>Data!Q1087</f>
        <v>0</v>
      </c>
    </row>
    <row r="1088" spans="2:5" ht="15" customHeight="1" x14ac:dyDescent="0.3">
      <c r="C1088" s="2"/>
      <c r="D1088" s="8">
        <v>2022</v>
      </c>
      <c r="E1088" s="14">
        <f>Data!Q1088</f>
        <v>2</v>
      </c>
    </row>
    <row r="1089" spans="2:5" ht="15" customHeight="1" x14ac:dyDescent="0.3">
      <c r="C1089" s="2"/>
      <c r="D1089" s="8">
        <v>2023</v>
      </c>
      <c r="E1089" s="14">
        <f>Data!Q1089</f>
        <v>2</v>
      </c>
    </row>
    <row r="1090" spans="2:5" ht="15" customHeight="1" x14ac:dyDescent="0.3">
      <c r="C1090" s="2"/>
      <c r="D1090" s="8">
        <v>2024</v>
      </c>
      <c r="E1090" s="14">
        <f>Data!Q1090</f>
        <v>2</v>
      </c>
    </row>
    <row r="1091" spans="2:5" ht="15" customHeight="1" x14ac:dyDescent="0.3">
      <c r="B1091" s="8">
        <v>100</v>
      </c>
      <c r="C1091" s="2" t="s">
        <v>104</v>
      </c>
      <c r="D1091" s="8">
        <v>2014</v>
      </c>
      <c r="E1091" s="14">
        <f>Data!Q1091</f>
        <v>0</v>
      </c>
    </row>
    <row r="1092" spans="2:5" ht="15" customHeight="1" x14ac:dyDescent="0.3">
      <c r="C1092" s="2"/>
      <c r="D1092" s="8">
        <v>2015</v>
      </c>
      <c r="E1092" s="14">
        <f>Data!Q1092</f>
        <v>2</v>
      </c>
    </row>
    <row r="1093" spans="2:5" ht="15" customHeight="1" x14ac:dyDescent="0.3">
      <c r="C1093" s="2"/>
      <c r="D1093" s="8">
        <v>2016</v>
      </c>
      <c r="E1093" s="14">
        <f>Data!Q1093</f>
        <v>2</v>
      </c>
    </row>
    <row r="1094" spans="2:5" ht="15" customHeight="1" x14ac:dyDescent="0.3">
      <c r="C1094" s="2"/>
      <c r="D1094" s="8">
        <v>2017</v>
      </c>
      <c r="E1094" s="14">
        <f>Data!Q1094</f>
        <v>2</v>
      </c>
    </row>
    <row r="1095" spans="2:5" ht="15" customHeight="1" x14ac:dyDescent="0.3">
      <c r="C1095" s="2"/>
      <c r="D1095" s="8">
        <v>2018</v>
      </c>
      <c r="E1095" s="14">
        <f>Data!Q1095</f>
        <v>2</v>
      </c>
    </row>
    <row r="1096" spans="2:5" ht="15" customHeight="1" x14ac:dyDescent="0.3">
      <c r="C1096" s="2"/>
      <c r="D1096" s="8">
        <v>2019</v>
      </c>
      <c r="E1096" s="14">
        <f>Data!Q1096</f>
        <v>2</v>
      </c>
    </row>
    <row r="1097" spans="2:5" ht="15" customHeight="1" x14ac:dyDescent="0.3">
      <c r="C1097" s="2"/>
      <c r="D1097" s="8">
        <v>2020</v>
      </c>
      <c r="E1097" s="14">
        <f>Data!Q1097</f>
        <v>2</v>
      </c>
    </row>
    <row r="1098" spans="2:5" ht="15" customHeight="1" x14ac:dyDescent="0.3">
      <c r="C1098" s="2"/>
      <c r="D1098" s="8">
        <v>2021</v>
      </c>
      <c r="E1098" s="14">
        <f>Data!Q1098</f>
        <v>2</v>
      </c>
    </row>
    <row r="1099" spans="2:5" ht="15" customHeight="1" x14ac:dyDescent="0.3">
      <c r="C1099" s="2"/>
      <c r="D1099" s="8">
        <v>2022</v>
      </c>
      <c r="E1099" s="14">
        <f>Data!Q1099</f>
        <v>2</v>
      </c>
    </row>
    <row r="1100" spans="2:5" ht="15" customHeight="1" x14ac:dyDescent="0.3">
      <c r="C1100" s="2"/>
      <c r="D1100" s="8">
        <v>2023</v>
      </c>
      <c r="E1100" s="14">
        <f>Data!Q1100</f>
        <v>2</v>
      </c>
    </row>
    <row r="1101" spans="2:5" ht="15" customHeight="1" x14ac:dyDescent="0.3">
      <c r="C1101" s="2"/>
      <c r="D1101" s="8">
        <v>2024</v>
      </c>
      <c r="E1101" s="14">
        <f>Data!Q1101</f>
        <v>2</v>
      </c>
    </row>
    <row r="1102" spans="2:5" ht="15" customHeight="1" x14ac:dyDescent="0.3">
      <c r="B1102" s="8">
        <v>101</v>
      </c>
      <c r="C1102" s="2" t="s">
        <v>120</v>
      </c>
      <c r="D1102" s="8">
        <v>2014</v>
      </c>
      <c r="E1102" s="14">
        <f>Data!Q1102</f>
        <v>0</v>
      </c>
    </row>
    <row r="1103" spans="2:5" ht="15" customHeight="1" x14ac:dyDescent="0.3">
      <c r="C1103" s="2"/>
      <c r="D1103" s="8">
        <v>2015</v>
      </c>
      <c r="E1103" s="14">
        <f>Data!Q1103</f>
        <v>2</v>
      </c>
    </row>
    <row r="1104" spans="2:5" ht="15" customHeight="1" x14ac:dyDescent="0.3">
      <c r="C1104" s="2"/>
      <c r="D1104" s="8">
        <v>2016</v>
      </c>
      <c r="E1104" s="14">
        <f>Data!Q1104</f>
        <v>2</v>
      </c>
    </row>
    <row r="1105" spans="2:5" ht="15" customHeight="1" x14ac:dyDescent="0.3">
      <c r="C1105" s="2"/>
      <c r="D1105" s="8">
        <v>2017</v>
      </c>
      <c r="E1105" s="14">
        <f>Data!Q1105</f>
        <v>2</v>
      </c>
    </row>
    <row r="1106" spans="2:5" ht="15" customHeight="1" x14ac:dyDescent="0.3">
      <c r="C1106" s="2"/>
      <c r="D1106" s="8">
        <v>2018</v>
      </c>
      <c r="E1106" s="14">
        <f>Data!Q1106</f>
        <v>2</v>
      </c>
    </row>
    <row r="1107" spans="2:5" ht="15" customHeight="1" x14ac:dyDescent="0.3">
      <c r="C1107" s="2"/>
      <c r="D1107" s="8">
        <v>2019</v>
      </c>
      <c r="E1107" s="14">
        <f>Data!Q1107</f>
        <v>2</v>
      </c>
    </row>
    <row r="1108" spans="2:5" ht="15" customHeight="1" x14ac:dyDescent="0.3">
      <c r="C1108" s="2"/>
      <c r="D1108" s="8">
        <v>2020</v>
      </c>
      <c r="E1108" s="14">
        <f>Data!Q1108</f>
        <v>2</v>
      </c>
    </row>
    <row r="1109" spans="2:5" ht="15" customHeight="1" x14ac:dyDescent="0.3">
      <c r="C1109" s="2"/>
      <c r="D1109" s="8">
        <v>2021</v>
      </c>
      <c r="E1109" s="14">
        <f>Data!Q1109</f>
        <v>2</v>
      </c>
    </row>
    <row r="1110" spans="2:5" ht="15" customHeight="1" x14ac:dyDescent="0.3">
      <c r="C1110" s="2"/>
      <c r="D1110" s="8">
        <v>2022</v>
      </c>
      <c r="E1110" s="14">
        <f>Data!Q1110</f>
        <v>2</v>
      </c>
    </row>
    <row r="1111" spans="2:5" ht="15" customHeight="1" x14ac:dyDescent="0.3">
      <c r="C1111" s="2"/>
      <c r="D1111" s="8">
        <v>2023</v>
      </c>
      <c r="E1111" s="14">
        <f>Data!Q1111</f>
        <v>2</v>
      </c>
    </row>
    <row r="1112" spans="2:5" ht="15" customHeight="1" x14ac:dyDescent="0.3">
      <c r="C1112" s="2"/>
      <c r="D1112" s="8">
        <v>2024</v>
      </c>
      <c r="E1112" s="14">
        <f>Data!Q1112</f>
        <v>2</v>
      </c>
    </row>
    <row r="1113" spans="2:5" ht="15" customHeight="1" x14ac:dyDescent="0.3">
      <c r="B1113" s="8">
        <v>102</v>
      </c>
      <c r="C1113" s="1" t="s">
        <v>134</v>
      </c>
      <c r="D1113" s="8">
        <v>2014</v>
      </c>
      <c r="E1113" s="14">
        <f>Data!Q1113</f>
        <v>0</v>
      </c>
    </row>
    <row r="1114" spans="2:5" ht="15" customHeight="1" x14ac:dyDescent="0.3">
      <c r="C1114" s="1"/>
      <c r="D1114" s="8">
        <v>2015</v>
      </c>
      <c r="E1114" s="14">
        <f>Data!Q1114</f>
        <v>0</v>
      </c>
    </row>
    <row r="1115" spans="2:5" ht="15" customHeight="1" x14ac:dyDescent="0.3">
      <c r="C1115" s="1"/>
      <c r="D1115" s="8">
        <v>2016</v>
      </c>
      <c r="E1115" s="14">
        <f>Data!Q1115</f>
        <v>2</v>
      </c>
    </row>
    <row r="1116" spans="2:5" ht="15" customHeight="1" x14ac:dyDescent="0.3">
      <c r="C1116" s="1"/>
      <c r="D1116" s="8">
        <v>2017</v>
      </c>
      <c r="E1116" s="14">
        <f>Data!Q1116</f>
        <v>2</v>
      </c>
    </row>
    <row r="1117" spans="2:5" ht="15" customHeight="1" x14ac:dyDescent="0.3">
      <c r="C1117" s="1"/>
      <c r="D1117" s="8">
        <v>2018</v>
      </c>
      <c r="E1117" s="14">
        <f>Data!Q1117</f>
        <v>2</v>
      </c>
    </row>
    <row r="1118" spans="2:5" ht="15" customHeight="1" x14ac:dyDescent="0.3">
      <c r="C1118" s="1"/>
      <c r="D1118" s="8">
        <v>2019</v>
      </c>
      <c r="E1118" s="14">
        <f>Data!Q1118</f>
        <v>2</v>
      </c>
    </row>
    <row r="1119" spans="2:5" ht="15" customHeight="1" x14ac:dyDescent="0.3">
      <c r="C1119" s="1"/>
      <c r="D1119" s="8">
        <v>2020</v>
      </c>
      <c r="E1119" s="14">
        <f>Data!Q1119</f>
        <v>2</v>
      </c>
    </row>
    <row r="1120" spans="2:5" ht="15" customHeight="1" x14ac:dyDescent="0.3">
      <c r="C1120" s="1"/>
      <c r="D1120" s="8">
        <v>2021</v>
      </c>
      <c r="E1120" s="14">
        <f>Data!Q1120</f>
        <v>2</v>
      </c>
    </row>
    <row r="1121" spans="2:5" ht="15" customHeight="1" x14ac:dyDescent="0.3">
      <c r="C1121" s="1"/>
      <c r="D1121" s="8">
        <v>2022</v>
      </c>
      <c r="E1121" s="14">
        <f>Data!Q1121</f>
        <v>2</v>
      </c>
    </row>
    <row r="1122" spans="2:5" ht="15" customHeight="1" x14ac:dyDescent="0.3">
      <c r="C1122" s="1"/>
      <c r="D1122" s="8">
        <v>2023</v>
      </c>
      <c r="E1122" s="14">
        <f>Data!Q1122</f>
        <v>2</v>
      </c>
    </row>
    <row r="1123" spans="2:5" ht="15" customHeight="1" x14ac:dyDescent="0.3">
      <c r="C1123" s="1"/>
      <c r="D1123" s="8">
        <v>2024</v>
      </c>
      <c r="E1123" s="14">
        <f>Data!Q1123</f>
        <v>2</v>
      </c>
    </row>
    <row r="1124" spans="2:5" ht="15" customHeight="1" x14ac:dyDescent="0.3">
      <c r="B1124" s="8">
        <v>103</v>
      </c>
      <c r="C1124" s="2" t="s">
        <v>122</v>
      </c>
      <c r="D1124" s="8">
        <v>2014</v>
      </c>
      <c r="E1124" s="14">
        <f>Data!Q1124</f>
        <v>0</v>
      </c>
    </row>
    <row r="1125" spans="2:5" ht="15" customHeight="1" x14ac:dyDescent="0.3">
      <c r="C1125" s="2"/>
      <c r="D1125" s="8">
        <v>2015</v>
      </c>
      <c r="E1125" s="14">
        <f>Data!Q1125</f>
        <v>2</v>
      </c>
    </row>
    <row r="1126" spans="2:5" ht="15" customHeight="1" x14ac:dyDescent="0.3">
      <c r="C1126" s="2"/>
      <c r="D1126" s="8">
        <v>2016</v>
      </c>
      <c r="E1126" s="14">
        <f>Data!Q1126</f>
        <v>2</v>
      </c>
    </row>
    <row r="1127" spans="2:5" ht="15" customHeight="1" x14ac:dyDescent="0.3">
      <c r="C1127" s="2"/>
      <c r="D1127" s="8">
        <v>2017</v>
      </c>
      <c r="E1127" s="14">
        <f>Data!Q1127</f>
        <v>1</v>
      </c>
    </row>
    <row r="1128" spans="2:5" ht="15" customHeight="1" x14ac:dyDescent="0.3">
      <c r="C1128" s="2"/>
      <c r="D1128" s="8">
        <v>2018</v>
      </c>
      <c r="E1128" s="14">
        <f>Data!Q1128</f>
        <v>0</v>
      </c>
    </row>
    <row r="1129" spans="2:5" ht="15" customHeight="1" x14ac:dyDescent="0.3">
      <c r="C1129" s="2"/>
      <c r="D1129" s="8">
        <v>2019</v>
      </c>
      <c r="E1129" s="14">
        <f>Data!Q1129</f>
        <v>2</v>
      </c>
    </row>
    <row r="1130" spans="2:5" ht="15" customHeight="1" x14ac:dyDescent="0.3">
      <c r="C1130" s="2"/>
      <c r="D1130" s="8">
        <v>2020</v>
      </c>
      <c r="E1130" s="14">
        <f>Data!Q1130</f>
        <v>2</v>
      </c>
    </row>
    <row r="1131" spans="2:5" ht="15" customHeight="1" x14ac:dyDescent="0.3">
      <c r="C1131" s="2"/>
      <c r="D1131" s="8">
        <v>2021</v>
      </c>
      <c r="E1131" s="14">
        <f>Data!Q1131</f>
        <v>2</v>
      </c>
    </row>
    <row r="1132" spans="2:5" ht="15" customHeight="1" x14ac:dyDescent="0.3">
      <c r="C1132" s="2"/>
      <c r="D1132" s="8">
        <v>2022</v>
      </c>
      <c r="E1132" s="14">
        <f>Data!Q1132</f>
        <v>2</v>
      </c>
    </row>
    <row r="1133" spans="2:5" ht="15" customHeight="1" x14ac:dyDescent="0.3">
      <c r="C1133" s="2"/>
      <c r="D1133" s="8">
        <v>2023</v>
      </c>
      <c r="E1133" s="14">
        <f>Data!Q1133</f>
        <v>2</v>
      </c>
    </row>
    <row r="1134" spans="2:5" ht="15" customHeight="1" x14ac:dyDescent="0.3">
      <c r="C1134" s="2"/>
      <c r="D1134" s="8">
        <v>2024</v>
      </c>
      <c r="E1134" s="14">
        <f>Data!Q1134</f>
        <v>2</v>
      </c>
    </row>
    <row r="1135" spans="2:5" ht="15" customHeight="1" x14ac:dyDescent="0.3">
      <c r="B1135" s="8">
        <v>104</v>
      </c>
      <c r="C1135" s="2" t="s">
        <v>123</v>
      </c>
      <c r="D1135" s="8">
        <v>2014</v>
      </c>
      <c r="E1135" s="14">
        <f>Data!Q1135</f>
        <v>0</v>
      </c>
    </row>
    <row r="1136" spans="2:5" ht="15" customHeight="1" x14ac:dyDescent="0.3">
      <c r="C1136" s="2"/>
      <c r="D1136" s="8">
        <v>2015</v>
      </c>
      <c r="E1136" s="14">
        <f>Data!Q1136</f>
        <v>2</v>
      </c>
    </row>
    <row r="1137" spans="2:5" ht="15" customHeight="1" x14ac:dyDescent="0.3">
      <c r="C1137" s="2"/>
      <c r="D1137" s="8">
        <v>2016</v>
      </c>
      <c r="E1137" s="14">
        <f>Data!Q1137</f>
        <v>2</v>
      </c>
    </row>
    <row r="1138" spans="2:5" ht="15" customHeight="1" x14ac:dyDescent="0.3">
      <c r="C1138" s="2"/>
      <c r="D1138" s="8">
        <v>2017</v>
      </c>
      <c r="E1138" s="14">
        <f>Data!Q1138</f>
        <v>2</v>
      </c>
    </row>
    <row r="1139" spans="2:5" ht="15" customHeight="1" x14ac:dyDescent="0.3">
      <c r="C1139" s="2"/>
      <c r="D1139" s="8">
        <v>2018</v>
      </c>
      <c r="E1139" s="14">
        <f>Data!Q1139</f>
        <v>2</v>
      </c>
    </row>
    <row r="1140" spans="2:5" ht="15" customHeight="1" x14ac:dyDescent="0.3">
      <c r="C1140" s="2"/>
      <c r="D1140" s="8">
        <v>2019</v>
      </c>
      <c r="E1140" s="14">
        <f>Data!Q1140</f>
        <v>2</v>
      </c>
    </row>
    <row r="1141" spans="2:5" ht="15" customHeight="1" x14ac:dyDescent="0.3">
      <c r="C1141" s="2"/>
      <c r="D1141" s="8">
        <v>2020</v>
      </c>
      <c r="E1141" s="14">
        <f>Data!Q1141</f>
        <v>2</v>
      </c>
    </row>
    <row r="1142" spans="2:5" ht="15" customHeight="1" x14ac:dyDescent="0.3">
      <c r="C1142" s="2"/>
      <c r="D1142" s="8">
        <v>2021</v>
      </c>
      <c r="E1142" s="14">
        <f>Data!Q1142</f>
        <v>2</v>
      </c>
    </row>
    <row r="1143" spans="2:5" ht="15" customHeight="1" x14ac:dyDescent="0.3">
      <c r="C1143" s="2"/>
      <c r="D1143" s="8">
        <v>2022</v>
      </c>
      <c r="E1143" s="14">
        <f>Data!Q1143</f>
        <v>2</v>
      </c>
    </row>
    <row r="1144" spans="2:5" ht="15" customHeight="1" x14ac:dyDescent="0.3">
      <c r="C1144" s="2"/>
      <c r="D1144" s="8">
        <v>2023</v>
      </c>
      <c r="E1144" s="14">
        <f>Data!Q1144</f>
        <v>2</v>
      </c>
    </row>
    <row r="1145" spans="2:5" ht="15" customHeight="1" x14ac:dyDescent="0.3">
      <c r="C1145" s="2"/>
      <c r="D1145" s="8">
        <v>2024</v>
      </c>
      <c r="E1145" s="14">
        <f>Data!Q1145</f>
        <v>2</v>
      </c>
    </row>
    <row r="1146" spans="2:5" ht="15" customHeight="1" x14ac:dyDescent="0.3">
      <c r="B1146" s="8">
        <v>105</v>
      </c>
      <c r="C1146" s="1" t="s">
        <v>135</v>
      </c>
      <c r="D1146" s="8">
        <v>2014</v>
      </c>
      <c r="E1146" s="14">
        <f>Data!Q1146</f>
        <v>0</v>
      </c>
    </row>
    <row r="1147" spans="2:5" ht="15" customHeight="1" x14ac:dyDescent="0.3">
      <c r="C1147" s="1"/>
      <c r="D1147" s="8">
        <v>2015</v>
      </c>
      <c r="E1147" s="14">
        <f>Data!Q1147</f>
        <v>0</v>
      </c>
    </row>
    <row r="1148" spans="2:5" ht="15" customHeight="1" x14ac:dyDescent="0.3">
      <c r="C1148" s="1"/>
      <c r="D1148" s="8">
        <v>2016</v>
      </c>
      <c r="E1148" s="14">
        <f>Data!Q1148</f>
        <v>0</v>
      </c>
    </row>
    <row r="1149" spans="2:5" ht="15" customHeight="1" x14ac:dyDescent="0.3">
      <c r="C1149" s="1"/>
      <c r="D1149" s="8">
        <v>2017</v>
      </c>
      <c r="E1149" s="14">
        <f>Data!Q1149</f>
        <v>0</v>
      </c>
    </row>
    <row r="1150" spans="2:5" ht="15" customHeight="1" x14ac:dyDescent="0.3">
      <c r="C1150" s="1"/>
      <c r="D1150" s="8">
        <v>2018</v>
      </c>
      <c r="E1150" s="14">
        <f>Data!Q1150</f>
        <v>2</v>
      </c>
    </row>
    <row r="1151" spans="2:5" ht="15" customHeight="1" x14ac:dyDescent="0.3">
      <c r="C1151" s="1"/>
      <c r="D1151" s="8">
        <v>2019</v>
      </c>
      <c r="E1151" s="14">
        <f>Data!Q1151</f>
        <v>2</v>
      </c>
    </row>
    <row r="1152" spans="2:5" ht="15" customHeight="1" x14ac:dyDescent="0.3">
      <c r="C1152" s="1"/>
      <c r="D1152" s="8">
        <v>2020</v>
      </c>
      <c r="E1152" s="14">
        <f>Data!Q1152</f>
        <v>2</v>
      </c>
    </row>
    <row r="1153" spans="2:5" ht="15" customHeight="1" x14ac:dyDescent="0.3">
      <c r="C1153" s="1"/>
      <c r="D1153" s="8">
        <v>2021</v>
      </c>
      <c r="E1153" s="14">
        <f>Data!Q1153</f>
        <v>2</v>
      </c>
    </row>
    <row r="1154" spans="2:5" ht="15" customHeight="1" x14ac:dyDescent="0.3">
      <c r="C1154" s="1"/>
      <c r="D1154" s="8">
        <v>2022</v>
      </c>
      <c r="E1154" s="14">
        <f>Data!Q1154</f>
        <v>2</v>
      </c>
    </row>
    <row r="1155" spans="2:5" ht="15" customHeight="1" x14ac:dyDescent="0.3">
      <c r="C1155" s="1"/>
      <c r="D1155" s="8">
        <v>2023</v>
      </c>
      <c r="E1155" s="14">
        <f>Data!Q1155</f>
        <v>2</v>
      </c>
    </row>
    <row r="1156" spans="2:5" ht="15" customHeight="1" x14ac:dyDescent="0.3">
      <c r="C1156" s="1"/>
      <c r="D1156" s="8">
        <v>2024</v>
      </c>
      <c r="E1156" s="14">
        <f>Data!Q1156</f>
        <v>2</v>
      </c>
    </row>
    <row r="1157" spans="2:5" ht="15" customHeight="1" x14ac:dyDescent="0.3">
      <c r="B1157" s="8">
        <v>106</v>
      </c>
      <c r="C1157" s="2" t="s">
        <v>124</v>
      </c>
      <c r="D1157" s="8">
        <v>2014</v>
      </c>
      <c r="E1157" s="14">
        <f>Data!Q1157</f>
        <v>0</v>
      </c>
    </row>
    <row r="1158" spans="2:5" ht="15" customHeight="1" x14ac:dyDescent="0.3">
      <c r="C1158" s="2"/>
      <c r="D1158" s="8">
        <v>2015</v>
      </c>
      <c r="E1158" s="14">
        <f>Data!Q1158</f>
        <v>0</v>
      </c>
    </row>
    <row r="1159" spans="2:5" ht="15" customHeight="1" x14ac:dyDescent="0.3">
      <c r="C1159" s="2"/>
      <c r="D1159" s="8">
        <v>2016</v>
      </c>
      <c r="E1159" s="14">
        <f>Data!Q1159</f>
        <v>0</v>
      </c>
    </row>
    <row r="1160" spans="2:5" ht="15" customHeight="1" x14ac:dyDescent="0.3">
      <c r="C1160" s="2"/>
      <c r="D1160" s="8">
        <v>2017</v>
      </c>
      <c r="E1160" s="14">
        <f>Data!Q1160</f>
        <v>0</v>
      </c>
    </row>
    <row r="1161" spans="2:5" ht="15" customHeight="1" x14ac:dyDescent="0.3">
      <c r="C1161" s="2"/>
      <c r="D1161" s="8">
        <v>2018</v>
      </c>
      <c r="E1161" s="14">
        <f>Data!Q1161</f>
        <v>2</v>
      </c>
    </row>
    <row r="1162" spans="2:5" ht="15" customHeight="1" x14ac:dyDescent="0.3">
      <c r="C1162" s="2"/>
      <c r="D1162" s="8">
        <v>2019</v>
      </c>
      <c r="E1162" s="14">
        <f>Data!Q1162</f>
        <v>2</v>
      </c>
    </row>
    <row r="1163" spans="2:5" ht="15" customHeight="1" x14ac:dyDescent="0.3">
      <c r="C1163" s="2"/>
      <c r="D1163" s="8">
        <v>2020</v>
      </c>
      <c r="E1163" s="14">
        <f>Data!Q1163</f>
        <v>1</v>
      </c>
    </row>
    <row r="1164" spans="2:5" ht="15" customHeight="1" x14ac:dyDescent="0.3">
      <c r="C1164" s="2"/>
      <c r="D1164" s="8">
        <v>2021</v>
      </c>
      <c r="E1164" s="14">
        <f>Data!Q1164</f>
        <v>2</v>
      </c>
    </row>
    <row r="1165" spans="2:5" ht="15" customHeight="1" x14ac:dyDescent="0.3">
      <c r="C1165" s="2"/>
      <c r="D1165" s="8">
        <v>2022</v>
      </c>
      <c r="E1165" s="14">
        <f>Data!Q1165</f>
        <v>2</v>
      </c>
    </row>
    <row r="1166" spans="2:5" ht="15" customHeight="1" x14ac:dyDescent="0.3">
      <c r="C1166" s="2"/>
      <c r="D1166" s="8">
        <v>2023</v>
      </c>
      <c r="E1166" s="14">
        <f>Data!Q1166</f>
        <v>2</v>
      </c>
    </row>
    <row r="1167" spans="2:5" ht="15" customHeight="1" x14ac:dyDescent="0.3">
      <c r="C1167" s="2"/>
      <c r="D1167" s="8">
        <v>2024</v>
      </c>
      <c r="E1167" s="14">
        <f>Data!Q1167</f>
        <v>2</v>
      </c>
    </row>
    <row r="1168" spans="2:5" ht="15" customHeight="1" x14ac:dyDescent="0.3">
      <c r="B1168" s="8">
        <v>107</v>
      </c>
      <c r="C1168" s="2" t="s">
        <v>105</v>
      </c>
      <c r="D1168" s="8">
        <v>2014</v>
      </c>
      <c r="E1168" s="14">
        <f>Data!Q1168</f>
        <v>0</v>
      </c>
    </row>
    <row r="1169" spans="2:5" ht="15" customHeight="1" x14ac:dyDescent="0.3">
      <c r="C1169" s="2"/>
      <c r="D1169" s="8">
        <v>2015</v>
      </c>
      <c r="E1169" s="14">
        <f>Data!Q1169</f>
        <v>0</v>
      </c>
    </row>
    <row r="1170" spans="2:5" ht="15" customHeight="1" x14ac:dyDescent="0.3">
      <c r="C1170" s="2"/>
      <c r="D1170" s="8">
        <v>2016</v>
      </c>
      <c r="E1170" s="14">
        <f>Data!Q1170</f>
        <v>0</v>
      </c>
    </row>
    <row r="1171" spans="2:5" ht="15" customHeight="1" x14ac:dyDescent="0.3">
      <c r="C1171" s="2"/>
      <c r="D1171" s="8">
        <v>2017</v>
      </c>
      <c r="E1171" s="14">
        <f>Data!Q1171</f>
        <v>0</v>
      </c>
    </row>
    <row r="1172" spans="2:5" ht="15" customHeight="1" x14ac:dyDescent="0.3">
      <c r="C1172" s="2"/>
      <c r="D1172" s="8">
        <v>2018</v>
      </c>
      <c r="E1172" s="14">
        <f>Data!Q1172</f>
        <v>0</v>
      </c>
    </row>
    <row r="1173" spans="2:5" ht="15" customHeight="1" x14ac:dyDescent="0.3">
      <c r="C1173" s="2"/>
      <c r="D1173" s="8">
        <v>2019</v>
      </c>
      <c r="E1173" s="14">
        <f>Data!Q1173</f>
        <v>2</v>
      </c>
    </row>
    <row r="1174" spans="2:5" ht="15" customHeight="1" x14ac:dyDescent="0.3">
      <c r="C1174" s="2"/>
      <c r="D1174" s="8">
        <v>2020</v>
      </c>
      <c r="E1174" s="14">
        <f>Data!Q1174</f>
        <v>2</v>
      </c>
    </row>
    <row r="1175" spans="2:5" ht="15" customHeight="1" x14ac:dyDescent="0.3">
      <c r="C1175" s="2"/>
      <c r="D1175" s="8">
        <v>2021</v>
      </c>
      <c r="E1175" s="14">
        <f>Data!Q1175</f>
        <v>2</v>
      </c>
    </row>
    <row r="1176" spans="2:5" ht="15" customHeight="1" x14ac:dyDescent="0.3">
      <c r="C1176" s="2"/>
      <c r="D1176" s="8">
        <v>2022</v>
      </c>
      <c r="E1176" s="14">
        <f>Data!Q1176</f>
        <v>2</v>
      </c>
    </row>
    <row r="1177" spans="2:5" ht="15" customHeight="1" x14ac:dyDescent="0.3">
      <c r="C1177" s="2"/>
      <c r="D1177" s="8">
        <v>2023</v>
      </c>
      <c r="E1177" s="14">
        <f>Data!Q1177</f>
        <v>2</v>
      </c>
    </row>
    <row r="1178" spans="2:5" ht="15" customHeight="1" x14ac:dyDescent="0.3">
      <c r="C1178" s="2"/>
      <c r="D1178" s="8">
        <v>2024</v>
      </c>
      <c r="E1178" s="14">
        <f>Data!Q1178</f>
        <v>2</v>
      </c>
    </row>
    <row r="1179" spans="2:5" ht="15" customHeight="1" x14ac:dyDescent="0.3">
      <c r="B1179" s="8">
        <v>108</v>
      </c>
      <c r="C1179" s="1" t="s">
        <v>125</v>
      </c>
      <c r="D1179" s="8">
        <v>2014</v>
      </c>
      <c r="E1179" s="14">
        <f>Data!Q1179</f>
        <v>0</v>
      </c>
    </row>
    <row r="1180" spans="2:5" ht="15" customHeight="1" x14ac:dyDescent="0.3">
      <c r="C1180" s="1"/>
      <c r="D1180" s="8">
        <v>2015</v>
      </c>
      <c r="E1180" s="14">
        <f>Data!Q1180</f>
        <v>2</v>
      </c>
    </row>
    <row r="1181" spans="2:5" ht="15" customHeight="1" x14ac:dyDescent="0.3">
      <c r="C1181" s="1"/>
      <c r="D1181" s="8">
        <v>2016</v>
      </c>
      <c r="E1181" s="14">
        <f>Data!Q1181</f>
        <v>1</v>
      </c>
    </row>
    <row r="1182" spans="2:5" ht="15" customHeight="1" x14ac:dyDescent="0.3">
      <c r="C1182" s="1"/>
      <c r="D1182" s="8">
        <v>2017</v>
      </c>
      <c r="E1182" s="14">
        <f>Data!Q1182</f>
        <v>0</v>
      </c>
    </row>
    <row r="1183" spans="2:5" ht="15" customHeight="1" x14ac:dyDescent="0.3">
      <c r="C1183" s="1"/>
      <c r="D1183" s="8">
        <v>2018</v>
      </c>
      <c r="E1183" s="14">
        <f>Data!Q1183</f>
        <v>3</v>
      </c>
    </row>
    <row r="1184" spans="2:5" ht="15" customHeight="1" x14ac:dyDescent="0.3">
      <c r="C1184" s="1"/>
      <c r="D1184" s="8">
        <v>2019</v>
      </c>
      <c r="E1184" s="14">
        <f>Data!Q1184</f>
        <v>0</v>
      </c>
    </row>
    <row r="1185" spans="2:5" ht="15" customHeight="1" x14ac:dyDescent="0.3">
      <c r="C1185" s="1"/>
      <c r="D1185" s="8">
        <v>2020</v>
      </c>
      <c r="E1185" s="14">
        <f>Data!Q1185</f>
        <v>3</v>
      </c>
    </row>
    <row r="1186" spans="2:5" ht="15" customHeight="1" x14ac:dyDescent="0.3">
      <c r="C1186" s="1"/>
      <c r="D1186" s="8">
        <v>2021</v>
      </c>
      <c r="E1186" s="14">
        <f>Data!Q1186</f>
        <v>2</v>
      </c>
    </row>
    <row r="1187" spans="2:5" ht="15" customHeight="1" x14ac:dyDescent="0.3">
      <c r="C1187" s="1"/>
      <c r="D1187" s="8">
        <v>2022</v>
      </c>
      <c r="E1187" s="14">
        <f>Data!Q1187</f>
        <v>2</v>
      </c>
    </row>
    <row r="1188" spans="2:5" ht="15" customHeight="1" x14ac:dyDescent="0.3">
      <c r="C1188" s="1"/>
      <c r="D1188" s="8">
        <v>2023</v>
      </c>
      <c r="E1188" s="14">
        <f>Data!Q1188</f>
        <v>2</v>
      </c>
    </row>
    <row r="1189" spans="2:5" ht="15" customHeight="1" x14ac:dyDescent="0.3">
      <c r="C1189" s="1"/>
      <c r="D1189" s="8">
        <v>2024</v>
      </c>
      <c r="E1189" s="14">
        <f>Data!Q1189</f>
        <v>2</v>
      </c>
    </row>
    <row r="1190" spans="2:5" ht="15" customHeight="1" x14ac:dyDescent="0.3">
      <c r="B1190" s="8">
        <v>109</v>
      </c>
      <c r="C1190" s="2" t="s">
        <v>106</v>
      </c>
      <c r="D1190" s="8">
        <v>2014</v>
      </c>
      <c r="E1190" s="14">
        <f>Data!Q1190</f>
        <v>0</v>
      </c>
    </row>
    <row r="1191" spans="2:5" ht="15" customHeight="1" x14ac:dyDescent="0.3">
      <c r="C1191" s="2"/>
      <c r="D1191" s="8">
        <v>2015</v>
      </c>
      <c r="E1191" s="14">
        <f>Data!Q1191</f>
        <v>2</v>
      </c>
    </row>
    <row r="1192" spans="2:5" ht="15" customHeight="1" x14ac:dyDescent="0.3">
      <c r="C1192" s="2"/>
      <c r="D1192" s="8">
        <v>2016</v>
      </c>
      <c r="E1192" s="14">
        <f>Data!Q1192</f>
        <v>2</v>
      </c>
    </row>
    <row r="1193" spans="2:5" ht="15" customHeight="1" x14ac:dyDescent="0.3">
      <c r="C1193" s="2"/>
      <c r="D1193" s="8">
        <v>2017</v>
      </c>
      <c r="E1193" s="14">
        <f>Data!Q1193</f>
        <v>3</v>
      </c>
    </row>
    <row r="1194" spans="2:5" ht="15" customHeight="1" x14ac:dyDescent="0.3">
      <c r="C1194" s="2"/>
      <c r="D1194" s="8">
        <v>2018</v>
      </c>
      <c r="E1194" s="14">
        <f>Data!Q1194</f>
        <v>3</v>
      </c>
    </row>
    <row r="1195" spans="2:5" ht="15" customHeight="1" x14ac:dyDescent="0.3">
      <c r="C1195" s="2"/>
      <c r="D1195" s="8">
        <v>2019</v>
      </c>
      <c r="E1195" s="14">
        <f>Data!Q1195</f>
        <v>3</v>
      </c>
    </row>
    <row r="1196" spans="2:5" ht="15" customHeight="1" x14ac:dyDescent="0.3">
      <c r="C1196" s="2"/>
      <c r="D1196" s="8">
        <v>2020</v>
      </c>
      <c r="E1196" s="14">
        <f>Data!Q1196</f>
        <v>3</v>
      </c>
    </row>
    <row r="1197" spans="2:5" ht="15" customHeight="1" x14ac:dyDescent="0.3">
      <c r="C1197" s="2"/>
      <c r="D1197" s="8">
        <v>2021</v>
      </c>
      <c r="E1197" s="14">
        <f>Data!Q1197</f>
        <v>3</v>
      </c>
    </row>
    <row r="1198" spans="2:5" ht="15" customHeight="1" x14ac:dyDescent="0.3">
      <c r="C1198" s="2"/>
      <c r="D1198" s="8">
        <v>2022</v>
      </c>
      <c r="E1198" s="14">
        <f>Data!Q1198</f>
        <v>3</v>
      </c>
    </row>
    <row r="1199" spans="2:5" ht="15" customHeight="1" x14ac:dyDescent="0.3">
      <c r="C1199" s="2"/>
      <c r="D1199" s="8">
        <v>2023</v>
      </c>
      <c r="E1199" s="14">
        <f>Data!Q1199</f>
        <v>3</v>
      </c>
    </row>
    <row r="1200" spans="2:5" ht="15" customHeight="1" x14ac:dyDescent="0.3">
      <c r="C1200" s="2"/>
      <c r="D1200" s="8">
        <v>2024</v>
      </c>
      <c r="E1200" s="14">
        <f>Data!Q1200</f>
        <v>3</v>
      </c>
    </row>
    <row r="1201" spans="2:5" ht="15" customHeight="1" x14ac:dyDescent="0.3">
      <c r="B1201" s="8">
        <v>110</v>
      </c>
      <c r="C1201" s="2" t="s">
        <v>66</v>
      </c>
      <c r="D1201" s="8">
        <v>2014</v>
      </c>
      <c r="E1201" s="14">
        <f>Data!Q1201</f>
        <v>0</v>
      </c>
    </row>
    <row r="1202" spans="2:5" ht="15" customHeight="1" x14ac:dyDescent="0.3">
      <c r="C1202" s="2"/>
      <c r="D1202" s="8">
        <v>2015</v>
      </c>
      <c r="E1202" s="14">
        <f>Data!Q1202</f>
        <v>0</v>
      </c>
    </row>
    <row r="1203" spans="2:5" ht="15" customHeight="1" x14ac:dyDescent="0.3">
      <c r="C1203" s="2"/>
      <c r="D1203" s="8">
        <v>2016</v>
      </c>
      <c r="E1203" s="14">
        <f>Data!Q1203</f>
        <v>2</v>
      </c>
    </row>
    <row r="1204" spans="2:5" ht="15" customHeight="1" x14ac:dyDescent="0.3">
      <c r="C1204" s="2"/>
      <c r="D1204" s="8">
        <v>2017</v>
      </c>
      <c r="E1204" s="14">
        <f>Data!Q1204</f>
        <v>2</v>
      </c>
    </row>
    <row r="1205" spans="2:5" ht="15" customHeight="1" x14ac:dyDescent="0.3">
      <c r="C1205" s="2"/>
      <c r="D1205" s="8">
        <v>2018</v>
      </c>
      <c r="E1205" s="14">
        <f>Data!Q1205</f>
        <v>2</v>
      </c>
    </row>
    <row r="1206" spans="2:5" ht="15" customHeight="1" x14ac:dyDescent="0.3">
      <c r="C1206" s="2"/>
      <c r="D1206" s="8">
        <v>2019</v>
      </c>
      <c r="E1206" s="14">
        <f>Data!Q1206</f>
        <v>2</v>
      </c>
    </row>
    <row r="1207" spans="2:5" ht="15" customHeight="1" x14ac:dyDescent="0.3">
      <c r="C1207" s="2"/>
      <c r="D1207" s="8">
        <v>2020</v>
      </c>
      <c r="E1207" s="14">
        <f>Data!Q1207</f>
        <v>2</v>
      </c>
    </row>
    <row r="1208" spans="2:5" ht="15" customHeight="1" x14ac:dyDescent="0.3">
      <c r="C1208" s="2"/>
      <c r="D1208" s="8">
        <v>2021</v>
      </c>
      <c r="E1208" s="14">
        <f>Data!Q1208</f>
        <v>2</v>
      </c>
    </row>
    <row r="1209" spans="2:5" ht="15" customHeight="1" x14ac:dyDescent="0.3">
      <c r="C1209" s="2"/>
      <c r="D1209" s="8">
        <v>2022</v>
      </c>
      <c r="E1209" s="14">
        <f>Data!Q1209</f>
        <v>3</v>
      </c>
    </row>
    <row r="1210" spans="2:5" ht="15" customHeight="1" x14ac:dyDescent="0.3">
      <c r="C1210" s="2"/>
      <c r="D1210" s="8">
        <v>2023</v>
      </c>
      <c r="E1210" s="14">
        <f>Data!Q1210</f>
        <v>2</v>
      </c>
    </row>
    <row r="1211" spans="2:5" ht="15" customHeight="1" x14ac:dyDescent="0.3">
      <c r="C1211" s="2"/>
      <c r="D1211" s="8">
        <v>2024</v>
      </c>
      <c r="E1211" s="14">
        <f>Data!Q1211</f>
        <v>2</v>
      </c>
    </row>
    <row r="1212" spans="2:5" ht="15" customHeight="1" x14ac:dyDescent="0.3">
      <c r="B1212" s="8">
        <v>111</v>
      </c>
      <c r="C1212" s="2" t="s">
        <v>74</v>
      </c>
      <c r="D1212" s="8">
        <v>2014</v>
      </c>
      <c r="E1212" s="14">
        <f>Data!Q1212</f>
        <v>0</v>
      </c>
    </row>
    <row r="1213" spans="2:5" ht="15" customHeight="1" x14ac:dyDescent="0.3">
      <c r="C1213" s="2"/>
      <c r="D1213" s="8">
        <v>2015</v>
      </c>
      <c r="E1213" s="14">
        <f>Data!Q1213</f>
        <v>2</v>
      </c>
    </row>
    <row r="1214" spans="2:5" ht="15" customHeight="1" x14ac:dyDescent="0.3">
      <c r="C1214" s="2"/>
      <c r="D1214" s="8">
        <v>2016</v>
      </c>
      <c r="E1214" s="14">
        <f>Data!Q1214</f>
        <v>2</v>
      </c>
    </row>
    <row r="1215" spans="2:5" ht="15" customHeight="1" x14ac:dyDescent="0.3">
      <c r="C1215" s="2"/>
      <c r="D1215" s="8">
        <v>2017</v>
      </c>
      <c r="E1215" s="14">
        <f>Data!Q1215</f>
        <v>2</v>
      </c>
    </row>
    <row r="1216" spans="2:5" ht="15" customHeight="1" x14ac:dyDescent="0.3">
      <c r="C1216" s="2"/>
      <c r="D1216" s="8">
        <v>2018</v>
      </c>
      <c r="E1216" s="14">
        <f>Data!Q1216</f>
        <v>2</v>
      </c>
    </row>
    <row r="1217" spans="2:5" ht="15" customHeight="1" x14ac:dyDescent="0.3">
      <c r="C1217" s="2"/>
      <c r="D1217" s="8">
        <v>2019</v>
      </c>
      <c r="E1217" s="14">
        <f>Data!Q1217</f>
        <v>2</v>
      </c>
    </row>
    <row r="1218" spans="2:5" ht="15" customHeight="1" x14ac:dyDescent="0.3">
      <c r="C1218" s="2"/>
      <c r="D1218" s="8">
        <v>2020</v>
      </c>
      <c r="E1218" s="14">
        <f>Data!Q1218</f>
        <v>1</v>
      </c>
    </row>
    <row r="1219" spans="2:5" ht="15" customHeight="1" x14ac:dyDescent="0.3">
      <c r="C1219" s="2"/>
      <c r="D1219" s="8">
        <v>2021</v>
      </c>
      <c r="E1219" s="14">
        <f>Data!Q1219</f>
        <v>1</v>
      </c>
    </row>
    <row r="1220" spans="2:5" ht="15" customHeight="1" x14ac:dyDescent="0.3">
      <c r="C1220" s="2"/>
      <c r="D1220" s="8">
        <v>2022</v>
      </c>
      <c r="E1220" s="14">
        <f>Data!Q1220</f>
        <v>2</v>
      </c>
    </row>
    <row r="1221" spans="2:5" ht="15" customHeight="1" x14ac:dyDescent="0.3">
      <c r="C1221" s="2"/>
      <c r="D1221" s="8">
        <v>2023</v>
      </c>
      <c r="E1221" s="14">
        <f>Data!Q1221</f>
        <v>2</v>
      </c>
    </row>
    <row r="1222" spans="2:5" ht="15" customHeight="1" x14ac:dyDescent="0.3">
      <c r="C1222" s="2"/>
      <c r="D1222" s="8">
        <v>2024</v>
      </c>
      <c r="E1222" s="14">
        <f>Data!Q1222</f>
        <v>1</v>
      </c>
    </row>
    <row r="1223" spans="2:5" ht="15" customHeight="1" x14ac:dyDescent="0.3">
      <c r="B1223" s="8">
        <v>112</v>
      </c>
      <c r="C1223" s="2" t="s">
        <v>91</v>
      </c>
      <c r="D1223" s="8">
        <v>2014</v>
      </c>
      <c r="E1223" s="14">
        <f>Data!Q1223</f>
        <v>0</v>
      </c>
    </row>
    <row r="1224" spans="2:5" ht="15" customHeight="1" x14ac:dyDescent="0.3">
      <c r="C1224" s="2"/>
      <c r="D1224" s="8">
        <v>2015</v>
      </c>
      <c r="E1224" s="14">
        <f>Data!Q1224</f>
        <v>0</v>
      </c>
    </row>
    <row r="1225" spans="2:5" ht="15" customHeight="1" x14ac:dyDescent="0.3">
      <c r="C1225" s="2"/>
      <c r="D1225" s="8">
        <v>2016</v>
      </c>
      <c r="E1225" s="14">
        <f>Data!Q1225</f>
        <v>2</v>
      </c>
    </row>
    <row r="1226" spans="2:5" ht="15" customHeight="1" x14ac:dyDescent="0.3">
      <c r="C1226" s="2"/>
      <c r="D1226" s="8">
        <v>2017</v>
      </c>
      <c r="E1226" s="14">
        <f>Data!Q1226</f>
        <v>2</v>
      </c>
    </row>
    <row r="1227" spans="2:5" ht="15" customHeight="1" x14ac:dyDescent="0.3">
      <c r="C1227" s="2"/>
      <c r="D1227" s="8">
        <v>2018</v>
      </c>
      <c r="E1227" s="14">
        <f>Data!Q1227</f>
        <v>2</v>
      </c>
    </row>
    <row r="1228" spans="2:5" ht="15" customHeight="1" x14ac:dyDescent="0.3">
      <c r="C1228" s="2"/>
      <c r="D1228" s="8">
        <v>2019</v>
      </c>
      <c r="E1228" s="14">
        <f>Data!Q1228</f>
        <v>2</v>
      </c>
    </row>
    <row r="1229" spans="2:5" ht="15" customHeight="1" x14ac:dyDescent="0.3">
      <c r="C1229" s="2"/>
      <c r="D1229" s="8">
        <v>2020</v>
      </c>
      <c r="E1229" s="14">
        <f>Data!Q1229</f>
        <v>2</v>
      </c>
    </row>
    <row r="1230" spans="2:5" ht="15" customHeight="1" x14ac:dyDescent="0.3">
      <c r="C1230" s="2"/>
      <c r="D1230" s="8">
        <v>2021</v>
      </c>
      <c r="E1230" s="14">
        <f>Data!Q1230</f>
        <v>2</v>
      </c>
    </row>
    <row r="1231" spans="2:5" ht="15" customHeight="1" x14ac:dyDescent="0.3">
      <c r="C1231" s="2"/>
      <c r="D1231" s="8">
        <v>2022</v>
      </c>
      <c r="E1231" s="14">
        <f>Data!Q1231</f>
        <v>2</v>
      </c>
    </row>
    <row r="1232" spans="2:5" ht="15" customHeight="1" x14ac:dyDescent="0.3">
      <c r="C1232" s="2"/>
      <c r="D1232" s="8">
        <v>2023</v>
      </c>
      <c r="E1232" s="14">
        <f>Data!Q1232</f>
        <v>2</v>
      </c>
    </row>
    <row r="1233" spans="2:5" ht="15" customHeight="1" x14ac:dyDescent="0.3">
      <c r="C1233" s="2"/>
      <c r="D1233" s="8">
        <v>2024</v>
      </c>
      <c r="E1233" s="14">
        <f>Data!Q1233</f>
        <v>2</v>
      </c>
    </row>
    <row r="1234" spans="2:5" ht="15" customHeight="1" x14ac:dyDescent="0.3">
      <c r="B1234" s="8">
        <v>113</v>
      </c>
      <c r="C1234" s="2" t="s">
        <v>90</v>
      </c>
      <c r="D1234" s="8">
        <v>2014</v>
      </c>
      <c r="E1234" s="14">
        <f>Data!Q1234</f>
        <v>0</v>
      </c>
    </row>
    <row r="1235" spans="2:5" ht="15" customHeight="1" x14ac:dyDescent="0.3">
      <c r="C1235" s="2"/>
      <c r="D1235" s="8">
        <v>2015</v>
      </c>
      <c r="E1235" s="14">
        <f>Data!Q1235</f>
        <v>0</v>
      </c>
    </row>
    <row r="1236" spans="2:5" ht="15" customHeight="1" x14ac:dyDescent="0.3">
      <c r="C1236" s="2"/>
      <c r="D1236" s="8">
        <v>2016</v>
      </c>
      <c r="E1236" s="14">
        <f>Data!Q1236</f>
        <v>0</v>
      </c>
    </row>
    <row r="1237" spans="2:5" ht="15" customHeight="1" x14ac:dyDescent="0.3">
      <c r="C1237" s="2"/>
      <c r="D1237" s="8">
        <v>2017</v>
      </c>
      <c r="E1237" s="14">
        <f>Data!Q1237</f>
        <v>0</v>
      </c>
    </row>
    <row r="1238" spans="2:5" ht="15" customHeight="1" x14ac:dyDescent="0.3">
      <c r="C1238" s="2"/>
      <c r="D1238" s="8">
        <v>2018</v>
      </c>
      <c r="E1238" s="14">
        <f>Data!Q1238</f>
        <v>0</v>
      </c>
    </row>
    <row r="1239" spans="2:5" ht="15" customHeight="1" x14ac:dyDescent="0.3">
      <c r="C1239" s="2"/>
      <c r="D1239" s="8">
        <v>2019</v>
      </c>
      <c r="E1239" s="14">
        <f>Data!Q1239</f>
        <v>2</v>
      </c>
    </row>
    <row r="1240" spans="2:5" ht="15" customHeight="1" x14ac:dyDescent="0.3">
      <c r="C1240" s="2"/>
      <c r="D1240" s="8">
        <v>2020</v>
      </c>
      <c r="E1240" s="14">
        <f>Data!Q1240</f>
        <v>2</v>
      </c>
    </row>
    <row r="1241" spans="2:5" ht="15" customHeight="1" x14ac:dyDescent="0.3">
      <c r="C1241" s="2"/>
      <c r="D1241" s="8">
        <v>2021</v>
      </c>
      <c r="E1241" s="14">
        <f>Data!Q1241</f>
        <v>2</v>
      </c>
    </row>
    <row r="1242" spans="2:5" ht="15" customHeight="1" x14ac:dyDescent="0.3">
      <c r="C1242" s="2"/>
      <c r="D1242" s="8">
        <v>2022</v>
      </c>
      <c r="E1242" s="14">
        <f>Data!Q1242</f>
        <v>1</v>
      </c>
    </row>
    <row r="1243" spans="2:5" ht="15" customHeight="1" x14ac:dyDescent="0.3">
      <c r="C1243" s="2"/>
      <c r="D1243" s="8">
        <v>2023</v>
      </c>
      <c r="E1243" s="14">
        <f>Data!Q1243</f>
        <v>2</v>
      </c>
    </row>
    <row r="1244" spans="2:5" ht="15" customHeight="1" x14ac:dyDescent="0.3">
      <c r="C1244" s="2"/>
      <c r="D1244" s="8">
        <v>2024</v>
      </c>
      <c r="E1244" s="14">
        <f>Data!Q1244</f>
        <v>2</v>
      </c>
    </row>
    <row r="1245" spans="2:5" ht="15" customHeight="1" x14ac:dyDescent="0.3">
      <c r="B1245" s="8">
        <v>114</v>
      </c>
      <c r="C1245" s="2" t="s">
        <v>107</v>
      </c>
      <c r="D1245" s="8">
        <v>2014</v>
      </c>
      <c r="E1245" s="14">
        <f>Data!Q1245</f>
        <v>0</v>
      </c>
    </row>
    <row r="1246" spans="2:5" ht="15" customHeight="1" x14ac:dyDescent="0.3">
      <c r="C1246" s="2"/>
      <c r="D1246" s="8">
        <v>2015</v>
      </c>
      <c r="E1246" s="14">
        <f>Data!Q1246</f>
        <v>2</v>
      </c>
    </row>
    <row r="1247" spans="2:5" ht="15" customHeight="1" x14ac:dyDescent="0.3">
      <c r="C1247" s="2"/>
      <c r="D1247" s="8">
        <v>2016</v>
      </c>
      <c r="E1247" s="14">
        <f>Data!Q1247</f>
        <v>2</v>
      </c>
    </row>
    <row r="1248" spans="2:5" ht="15" customHeight="1" x14ac:dyDescent="0.3">
      <c r="C1248" s="2"/>
      <c r="D1248" s="8">
        <v>2017</v>
      </c>
      <c r="E1248" s="14">
        <f>Data!Q1248</f>
        <v>2</v>
      </c>
    </row>
    <row r="1249" spans="2:5" ht="15" customHeight="1" x14ac:dyDescent="0.3">
      <c r="C1249" s="2"/>
      <c r="D1249" s="8">
        <v>2018</v>
      </c>
      <c r="E1249" s="14">
        <f>Data!Q1249</f>
        <v>2</v>
      </c>
    </row>
    <row r="1250" spans="2:5" ht="15" customHeight="1" x14ac:dyDescent="0.3">
      <c r="C1250" s="2"/>
      <c r="D1250" s="8">
        <v>2019</v>
      </c>
      <c r="E1250" s="14">
        <f>Data!Q1250</f>
        <v>2</v>
      </c>
    </row>
    <row r="1251" spans="2:5" ht="15" customHeight="1" x14ac:dyDescent="0.3">
      <c r="C1251" s="2"/>
      <c r="D1251" s="8">
        <v>2020</v>
      </c>
      <c r="E1251" s="14">
        <f>Data!Q1251</f>
        <v>2</v>
      </c>
    </row>
    <row r="1252" spans="2:5" ht="15" customHeight="1" x14ac:dyDescent="0.3">
      <c r="C1252" s="2"/>
      <c r="D1252" s="8">
        <v>2021</v>
      </c>
      <c r="E1252" s="14">
        <f>Data!Q1252</f>
        <v>2</v>
      </c>
    </row>
    <row r="1253" spans="2:5" ht="15" customHeight="1" x14ac:dyDescent="0.3">
      <c r="C1253" s="2"/>
      <c r="D1253" s="8">
        <v>2022</v>
      </c>
      <c r="E1253" s="14">
        <f>Data!Q1253</f>
        <v>1</v>
      </c>
    </row>
    <row r="1254" spans="2:5" ht="15" customHeight="1" x14ac:dyDescent="0.3">
      <c r="C1254" s="2"/>
      <c r="D1254" s="8">
        <v>2023</v>
      </c>
      <c r="E1254" s="14">
        <f>Data!Q1254</f>
        <v>1</v>
      </c>
    </row>
    <row r="1255" spans="2:5" ht="15" customHeight="1" x14ac:dyDescent="0.3">
      <c r="C1255" s="2"/>
      <c r="D1255" s="8">
        <v>2024</v>
      </c>
      <c r="E1255" s="14">
        <f>Data!Q1255</f>
        <v>2</v>
      </c>
    </row>
    <row r="1256" spans="2:5" ht="15" customHeight="1" x14ac:dyDescent="0.3">
      <c r="B1256" s="8">
        <v>115</v>
      </c>
      <c r="C1256" s="1" t="s">
        <v>128</v>
      </c>
      <c r="D1256" s="8">
        <v>2014</v>
      </c>
      <c r="E1256" s="14">
        <f>Data!Q1256</f>
        <v>0</v>
      </c>
    </row>
    <row r="1257" spans="2:5" ht="15" customHeight="1" x14ac:dyDescent="0.3">
      <c r="C1257" s="1"/>
      <c r="D1257" s="8">
        <v>2015</v>
      </c>
      <c r="E1257" s="14">
        <f>Data!Q1257</f>
        <v>0</v>
      </c>
    </row>
    <row r="1258" spans="2:5" ht="15" customHeight="1" x14ac:dyDescent="0.3">
      <c r="C1258" s="1"/>
      <c r="D1258" s="8">
        <v>2016</v>
      </c>
      <c r="E1258" s="14">
        <f>Data!Q1258</f>
        <v>0</v>
      </c>
    </row>
    <row r="1259" spans="2:5" ht="15" customHeight="1" x14ac:dyDescent="0.3">
      <c r="C1259" s="1"/>
      <c r="D1259" s="8">
        <v>2017</v>
      </c>
      <c r="E1259" s="14">
        <f>Data!Q1259</f>
        <v>0</v>
      </c>
    </row>
    <row r="1260" spans="2:5" ht="15" customHeight="1" x14ac:dyDescent="0.3">
      <c r="C1260" s="1"/>
      <c r="D1260" s="8">
        <v>2018</v>
      </c>
      <c r="E1260" s="14">
        <f>Data!Q1260</f>
        <v>0</v>
      </c>
    </row>
    <row r="1261" spans="2:5" ht="15" customHeight="1" x14ac:dyDescent="0.3">
      <c r="C1261" s="1"/>
      <c r="D1261" s="8">
        <v>2019</v>
      </c>
      <c r="E1261" s="14">
        <f>Data!Q1261</f>
        <v>0</v>
      </c>
    </row>
    <row r="1262" spans="2:5" ht="15" customHeight="1" x14ac:dyDescent="0.3">
      <c r="C1262" s="1"/>
      <c r="D1262" s="8">
        <v>2020</v>
      </c>
      <c r="E1262" s="14">
        <f>Data!Q1262</f>
        <v>0</v>
      </c>
    </row>
    <row r="1263" spans="2:5" ht="15" customHeight="1" x14ac:dyDescent="0.3">
      <c r="C1263" s="1"/>
      <c r="D1263" s="8">
        <v>2021</v>
      </c>
      <c r="E1263" s="14">
        <f>Data!Q1263</f>
        <v>0</v>
      </c>
    </row>
    <row r="1264" spans="2:5" ht="15" customHeight="1" x14ac:dyDescent="0.3">
      <c r="C1264" s="1"/>
      <c r="D1264" s="8">
        <v>2022</v>
      </c>
      <c r="E1264" s="14">
        <f>Data!Q1264</f>
        <v>2</v>
      </c>
    </row>
    <row r="1265" spans="2:5" ht="15" customHeight="1" x14ac:dyDescent="0.3">
      <c r="C1265" s="1"/>
      <c r="D1265" s="8">
        <v>2023</v>
      </c>
      <c r="E1265" s="14">
        <f>Data!Q1265</f>
        <v>2</v>
      </c>
    </row>
    <row r="1266" spans="2:5" ht="15" customHeight="1" x14ac:dyDescent="0.3">
      <c r="C1266" s="1"/>
      <c r="D1266" s="8">
        <v>2024</v>
      </c>
      <c r="E1266" s="14">
        <f>Data!Q1266</f>
        <v>2</v>
      </c>
    </row>
    <row r="1267" spans="2:5" ht="15" customHeight="1" x14ac:dyDescent="0.3">
      <c r="B1267" s="8">
        <v>116</v>
      </c>
      <c r="C1267" s="1" t="s">
        <v>127</v>
      </c>
      <c r="D1267" s="8">
        <v>2014</v>
      </c>
      <c r="E1267" s="14">
        <f>Data!Q1267</f>
        <v>0</v>
      </c>
    </row>
    <row r="1268" spans="2:5" ht="15" customHeight="1" x14ac:dyDescent="0.3">
      <c r="C1268" s="1"/>
      <c r="D1268" s="8">
        <v>2015</v>
      </c>
      <c r="E1268" s="14">
        <f>Data!Q1268</f>
        <v>2</v>
      </c>
    </row>
    <row r="1269" spans="2:5" ht="15" customHeight="1" x14ac:dyDescent="0.3">
      <c r="C1269" s="1"/>
      <c r="D1269" s="8">
        <v>2016</v>
      </c>
      <c r="E1269" s="14">
        <f>Data!Q1269</f>
        <v>2</v>
      </c>
    </row>
    <row r="1270" spans="2:5" ht="15" customHeight="1" x14ac:dyDescent="0.3">
      <c r="C1270" s="1"/>
      <c r="D1270" s="8">
        <v>2017</v>
      </c>
      <c r="E1270" s="14">
        <f>Data!Q1270</f>
        <v>2</v>
      </c>
    </row>
    <row r="1271" spans="2:5" ht="15" customHeight="1" x14ac:dyDescent="0.3">
      <c r="C1271" s="1"/>
      <c r="D1271" s="8">
        <v>2018</v>
      </c>
      <c r="E1271" s="14">
        <f>Data!Q1271</f>
        <v>2</v>
      </c>
    </row>
    <row r="1272" spans="2:5" ht="15" customHeight="1" x14ac:dyDescent="0.3">
      <c r="C1272" s="1"/>
      <c r="D1272" s="8">
        <v>2019</v>
      </c>
      <c r="E1272" s="14">
        <f>Data!Q1272</f>
        <v>2</v>
      </c>
    </row>
    <row r="1273" spans="2:5" ht="15" customHeight="1" x14ac:dyDescent="0.3">
      <c r="C1273" s="1"/>
      <c r="D1273" s="8">
        <v>2020</v>
      </c>
      <c r="E1273" s="14">
        <f>Data!Q1273</f>
        <v>2</v>
      </c>
    </row>
    <row r="1274" spans="2:5" ht="15" customHeight="1" x14ac:dyDescent="0.3">
      <c r="C1274" s="1"/>
      <c r="D1274" s="8">
        <v>2021</v>
      </c>
      <c r="E1274" s="14">
        <f>Data!Q1274</f>
        <v>2</v>
      </c>
    </row>
    <row r="1275" spans="2:5" ht="15" customHeight="1" x14ac:dyDescent="0.3">
      <c r="C1275" s="1"/>
      <c r="D1275" s="8">
        <v>2022</v>
      </c>
      <c r="E1275" s="14">
        <f>Data!Q1275</f>
        <v>2</v>
      </c>
    </row>
    <row r="1276" spans="2:5" ht="15" customHeight="1" x14ac:dyDescent="0.3">
      <c r="C1276" s="1"/>
      <c r="D1276" s="8">
        <v>2023</v>
      </c>
      <c r="E1276" s="14">
        <f>Data!Q1276</f>
        <v>2</v>
      </c>
    </row>
    <row r="1277" spans="2:5" ht="15" customHeight="1" x14ac:dyDescent="0.3">
      <c r="C1277" s="1"/>
      <c r="D1277" s="8">
        <v>2024</v>
      </c>
      <c r="E1277" s="14">
        <f>Data!Q1277</f>
        <v>2</v>
      </c>
    </row>
    <row r="1278" spans="2:5" ht="15" customHeight="1" x14ac:dyDescent="0.3">
      <c r="B1278" s="8">
        <v>117</v>
      </c>
      <c r="C1278" s="2" t="s">
        <v>65</v>
      </c>
      <c r="D1278" s="8">
        <v>2014</v>
      </c>
      <c r="E1278" s="14">
        <f>Data!Q1278</f>
        <v>0</v>
      </c>
    </row>
    <row r="1279" spans="2:5" ht="15" customHeight="1" x14ac:dyDescent="0.3">
      <c r="C1279" s="2"/>
      <c r="D1279" s="8">
        <v>2015</v>
      </c>
      <c r="E1279" s="14">
        <f>Data!Q1279</f>
        <v>1</v>
      </c>
    </row>
    <row r="1280" spans="2:5" ht="15" customHeight="1" x14ac:dyDescent="0.3">
      <c r="C1280" s="2"/>
      <c r="D1280" s="8">
        <v>2016</v>
      </c>
      <c r="E1280" s="14">
        <f>Data!Q1280</f>
        <v>2</v>
      </c>
    </row>
    <row r="1281" spans="2:5" ht="15" customHeight="1" x14ac:dyDescent="0.3">
      <c r="C1281" s="2"/>
      <c r="D1281" s="8">
        <v>2017</v>
      </c>
      <c r="E1281" s="14">
        <f>Data!Q1281</f>
        <v>2</v>
      </c>
    </row>
    <row r="1282" spans="2:5" ht="15" customHeight="1" x14ac:dyDescent="0.3">
      <c r="C1282" s="2"/>
      <c r="D1282" s="8">
        <v>2018</v>
      </c>
      <c r="E1282" s="14">
        <f>Data!Q1282</f>
        <v>2</v>
      </c>
    </row>
    <row r="1283" spans="2:5" ht="15" customHeight="1" x14ac:dyDescent="0.3">
      <c r="C1283" s="2"/>
      <c r="D1283" s="8">
        <v>2019</v>
      </c>
      <c r="E1283" s="14">
        <f>Data!Q1283</f>
        <v>2</v>
      </c>
    </row>
    <row r="1284" spans="2:5" ht="15" customHeight="1" x14ac:dyDescent="0.3">
      <c r="C1284" s="2"/>
      <c r="D1284" s="8">
        <v>2020</v>
      </c>
      <c r="E1284" s="14">
        <f>Data!Q1284</f>
        <v>2</v>
      </c>
    </row>
    <row r="1285" spans="2:5" ht="15" customHeight="1" x14ac:dyDescent="0.3">
      <c r="C1285" s="2"/>
      <c r="D1285" s="8">
        <v>2021</v>
      </c>
      <c r="E1285" s="14">
        <f>Data!Q1285</f>
        <v>2</v>
      </c>
    </row>
    <row r="1286" spans="2:5" ht="15" customHeight="1" x14ac:dyDescent="0.3">
      <c r="C1286" s="2"/>
      <c r="D1286" s="8">
        <v>2022</v>
      </c>
      <c r="E1286" s="14">
        <f>Data!Q1286</f>
        <v>2</v>
      </c>
    </row>
    <row r="1287" spans="2:5" ht="15" customHeight="1" x14ac:dyDescent="0.3">
      <c r="C1287" s="2"/>
      <c r="D1287" s="8">
        <v>2023</v>
      </c>
      <c r="E1287" s="14">
        <f>Data!Q1287</f>
        <v>2</v>
      </c>
    </row>
    <row r="1288" spans="2:5" ht="15" customHeight="1" x14ac:dyDescent="0.3">
      <c r="C1288" s="2"/>
      <c r="D1288" s="8">
        <v>2024</v>
      </c>
      <c r="E1288" s="14">
        <f>Data!Q1288</f>
        <v>2</v>
      </c>
    </row>
    <row r="1289" spans="2:5" ht="15" customHeight="1" x14ac:dyDescent="0.3">
      <c r="B1289" s="8">
        <v>118</v>
      </c>
      <c r="C1289" s="3" t="s">
        <v>89</v>
      </c>
      <c r="D1289" s="8">
        <v>2014</v>
      </c>
      <c r="E1289" s="14">
        <f>Data!Q1289</f>
        <v>0</v>
      </c>
    </row>
    <row r="1290" spans="2:5" ht="15" customHeight="1" x14ac:dyDescent="0.3">
      <c r="C1290" s="3"/>
      <c r="D1290" s="8">
        <v>2015</v>
      </c>
      <c r="E1290" s="14">
        <f>Data!Q1290</f>
        <v>0</v>
      </c>
    </row>
    <row r="1291" spans="2:5" ht="15" customHeight="1" x14ac:dyDescent="0.3">
      <c r="C1291" s="3"/>
      <c r="D1291" s="8">
        <v>2016</v>
      </c>
      <c r="E1291" s="14">
        <f>Data!Q1291</f>
        <v>0</v>
      </c>
    </row>
    <row r="1292" spans="2:5" ht="15" customHeight="1" x14ac:dyDescent="0.3">
      <c r="C1292" s="3"/>
      <c r="D1292" s="8">
        <v>2017</v>
      </c>
      <c r="E1292" s="14">
        <f>Data!Q1292</f>
        <v>0</v>
      </c>
    </row>
    <row r="1293" spans="2:5" ht="15" customHeight="1" x14ac:dyDescent="0.3">
      <c r="C1293" s="3"/>
      <c r="D1293" s="8">
        <v>2018</v>
      </c>
      <c r="E1293" s="14">
        <f>Data!Q1293</f>
        <v>0</v>
      </c>
    </row>
    <row r="1294" spans="2:5" ht="15" customHeight="1" x14ac:dyDescent="0.3">
      <c r="C1294" s="3"/>
      <c r="D1294" s="8">
        <v>2019</v>
      </c>
      <c r="E1294" s="14">
        <f>Data!Q1294</f>
        <v>2</v>
      </c>
    </row>
    <row r="1295" spans="2:5" ht="15" customHeight="1" x14ac:dyDescent="0.3">
      <c r="C1295" s="3"/>
      <c r="D1295" s="8">
        <v>2020</v>
      </c>
      <c r="E1295" s="14">
        <f>Data!Q1295</f>
        <v>2</v>
      </c>
    </row>
    <row r="1296" spans="2:5" ht="15" customHeight="1" x14ac:dyDescent="0.3">
      <c r="C1296" s="3"/>
      <c r="D1296" s="8">
        <v>2021</v>
      </c>
      <c r="E1296" s="14">
        <f>Data!Q1296</f>
        <v>2</v>
      </c>
    </row>
    <row r="1297" spans="2:5" ht="15" customHeight="1" x14ac:dyDescent="0.3">
      <c r="C1297" s="3"/>
      <c r="D1297" s="8">
        <v>2022</v>
      </c>
      <c r="E1297" s="14">
        <f>Data!Q1297</f>
        <v>2</v>
      </c>
    </row>
    <row r="1298" spans="2:5" ht="15" customHeight="1" x14ac:dyDescent="0.3">
      <c r="C1298" s="3"/>
      <c r="D1298" s="8">
        <v>2023</v>
      </c>
      <c r="E1298" s="14">
        <f>Data!Q1298</f>
        <v>2</v>
      </c>
    </row>
    <row r="1299" spans="2:5" ht="15" customHeight="1" x14ac:dyDescent="0.3">
      <c r="C1299" s="3"/>
      <c r="D1299" s="8">
        <v>2024</v>
      </c>
      <c r="E1299" s="14">
        <f>Data!Q1299</f>
        <v>2</v>
      </c>
    </row>
    <row r="1300" spans="2:5" ht="15" customHeight="1" x14ac:dyDescent="0.3">
      <c r="B1300" s="8">
        <v>119</v>
      </c>
      <c r="C1300" s="2" t="s">
        <v>72</v>
      </c>
      <c r="D1300" s="8">
        <v>2014</v>
      </c>
      <c r="E1300" s="14">
        <f>Data!Q1300</f>
        <v>0</v>
      </c>
    </row>
    <row r="1301" spans="2:5" ht="15" customHeight="1" x14ac:dyDescent="0.3">
      <c r="C1301" s="2"/>
      <c r="D1301" s="8">
        <v>2015</v>
      </c>
      <c r="E1301" s="14">
        <f>Data!Q1301</f>
        <v>0</v>
      </c>
    </row>
    <row r="1302" spans="2:5" ht="15" customHeight="1" x14ac:dyDescent="0.3">
      <c r="C1302" s="2"/>
      <c r="D1302" s="8">
        <v>2016</v>
      </c>
      <c r="E1302" s="14">
        <f>Data!Q1302</f>
        <v>1</v>
      </c>
    </row>
    <row r="1303" spans="2:5" ht="15" customHeight="1" x14ac:dyDescent="0.3">
      <c r="C1303" s="2"/>
      <c r="D1303" s="8">
        <v>2017</v>
      </c>
      <c r="E1303" s="14">
        <f>Data!Q1303</f>
        <v>1</v>
      </c>
    </row>
    <row r="1304" spans="2:5" ht="15" customHeight="1" x14ac:dyDescent="0.3">
      <c r="C1304" s="2"/>
      <c r="D1304" s="8">
        <v>2018</v>
      </c>
      <c r="E1304" s="14">
        <f>Data!Q1304</f>
        <v>2</v>
      </c>
    </row>
    <row r="1305" spans="2:5" ht="15" customHeight="1" x14ac:dyDescent="0.3">
      <c r="C1305" s="2"/>
      <c r="D1305" s="8">
        <v>2019</v>
      </c>
      <c r="E1305" s="14">
        <f>Data!Q1305</f>
        <v>2</v>
      </c>
    </row>
    <row r="1306" spans="2:5" ht="15" customHeight="1" x14ac:dyDescent="0.3">
      <c r="C1306" s="2"/>
      <c r="D1306" s="8">
        <v>2020</v>
      </c>
      <c r="E1306" s="14">
        <f>Data!Q1306</f>
        <v>2</v>
      </c>
    </row>
    <row r="1307" spans="2:5" ht="15" customHeight="1" x14ac:dyDescent="0.3">
      <c r="C1307" s="2"/>
      <c r="D1307" s="8">
        <v>2021</v>
      </c>
      <c r="E1307" s="14">
        <f>Data!Q1307</f>
        <v>2</v>
      </c>
    </row>
    <row r="1308" spans="2:5" ht="15" customHeight="1" x14ac:dyDescent="0.3">
      <c r="C1308" s="2"/>
      <c r="D1308" s="8">
        <v>2022</v>
      </c>
      <c r="E1308" s="14">
        <f>Data!Q1308</f>
        <v>1</v>
      </c>
    </row>
    <row r="1309" spans="2:5" ht="15" customHeight="1" x14ac:dyDescent="0.3">
      <c r="C1309" s="2"/>
      <c r="D1309" s="8">
        <v>2023</v>
      </c>
      <c r="E1309" s="14">
        <f>Data!Q1309</f>
        <v>2</v>
      </c>
    </row>
    <row r="1310" spans="2:5" ht="15" customHeight="1" x14ac:dyDescent="0.3">
      <c r="C1310" s="2"/>
      <c r="D1310" s="8">
        <v>2024</v>
      </c>
      <c r="E1310" s="14">
        <f>Data!Q1310</f>
        <v>0</v>
      </c>
    </row>
    <row r="1311" spans="2:5" ht="15" customHeight="1" x14ac:dyDescent="0.3">
      <c r="B1311" s="8">
        <v>120</v>
      </c>
      <c r="C1311" s="2" t="s">
        <v>108</v>
      </c>
      <c r="D1311" s="8">
        <v>2014</v>
      </c>
      <c r="E1311" s="14">
        <f>Data!Q1311</f>
        <v>0</v>
      </c>
    </row>
    <row r="1312" spans="2:5" ht="15" customHeight="1" x14ac:dyDescent="0.3">
      <c r="C1312" s="2"/>
      <c r="D1312" s="8">
        <v>2015</v>
      </c>
      <c r="E1312" s="14">
        <f>Data!Q1312</f>
        <v>2</v>
      </c>
    </row>
    <row r="1313" spans="2:5" ht="15" customHeight="1" x14ac:dyDescent="0.3">
      <c r="C1313" s="2"/>
      <c r="D1313" s="8">
        <v>2016</v>
      </c>
      <c r="E1313" s="14">
        <f>Data!Q1313</f>
        <v>2</v>
      </c>
    </row>
    <row r="1314" spans="2:5" ht="15" customHeight="1" x14ac:dyDescent="0.3">
      <c r="C1314" s="2"/>
      <c r="D1314" s="8">
        <v>2017</v>
      </c>
      <c r="E1314" s="14">
        <f>Data!Q1314</f>
        <v>2</v>
      </c>
    </row>
    <row r="1315" spans="2:5" ht="15" customHeight="1" x14ac:dyDescent="0.3">
      <c r="C1315" s="2"/>
      <c r="D1315" s="8">
        <v>2018</v>
      </c>
      <c r="E1315" s="14">
        <f>Data!Q1315</f>
        <v>2</v>
      </c>
    </row>
    <row r="1316" spans="2:5" ht="15" customHeight="1" x14ac:dyDescent="0.3">
      <c r="C1316" s="2"/>
      <c r="D1316" s="8">
        <v>2019</v>
      </c>
      <c r="E1316" s="14">
        <f>Data!Q1316</f>
        <v>2</v>
      </c>
    </row>
    <row r="1317" spans="2:5" ht="15" customHeight="1" x14ac:dyDescent="0.3">
      <c r="C1317" s="2"/>
      <c r="D1317" s="8">
        <v>2020</v>
      </c>
      <c r="E1317" s="14">
        <f>Data!Q1317</f>
        <v>2</v>
      </c>
    </row>
    <row r="1318" spans="2:5" ht="15" customHeight="1" x14ac:dyDescent="0.3">
      <c r="C1318" s="2"/>
      <c r="D1318" s="8">
        <v>2021</v>
      </c>
      <c r="E1318" s="14">
        <f>Data!Q1318</f>
        <v>2</v>
      </c>
    </row>
    <row r="1319" spans="2:5" ht="15" customHeight="1" x14ac:dyDescent="0.3">
      <c r="C1319" s="2"/>
      <c r="D1319" s="8">
        <v>2022</v>
      </c>
      <c r="E1319" s="14">
        <f>Data!Q1319</f>
        <v>2</v>
      </c>
    </row>
    <row r="1320" spans="2:5" ht="15" customHeight="1" x14ac:dyDescent="0.3">
      <c r="C1320" s="2"/>
      <c r="D1320" s="8">
        <v>2023</v>
      </c>
      <c r="E1320" s="14">
        <f>Data!Q1320</f>
        <v>1</v>
      </c>
    </row>
    <row r="1321" spans="2:5" ht="15" customHeight="1" x14ac:dyDescent="0.3">
      <c r="C1321" s="2"/>
      <c r="D1321" s="8">
        <v>2024</v>
      </c>
      <c r="E1321" s="14">
        <f>Data!Q1321</f>
        <v>3</v>
      </c>
    </row>
    <row r="1322" spans="2:5" ht="15" customHeight="1" x14ac:dyDescent="0.3">
      <c r="B1322" s="8">
        <v>121</v>
      </c>
      <c r="C1322" s="2" t="s">
        <v>77</v>
      </c>
      <c r="D1322" s="8">
        <v>2014</v>
      </c>
      <c r="E1322" s="14">
        <f>Data!Q1322</f>
        <v>0</v>
      </c>
    </row>
    <row r="1323" spans="2:5" ht="15" customHeight="1" x14ac:dyDescent="0.3">
      <c r="C1323" s="2"/>
      <c r="D1323" s="8">
        <v>2015</v>
      </c>
      <c r="E1323" s="14">
        <f>Data!Q1323</f>
        <v>2</v>
      </c>
    </row>
    <row r="1324" spans="2:5" ht="15" customHeight="1" x14ac:dyDescent="0.3">
      <c r="C1324" s="2"/>
      <c r="D1324" s="8">
        <v>2016</v>
      </c>
      <c r="E1324" s="14">
        <f>Data!Q1324</f>
        <v>2</v>
      </c>
    </row>
    <row r="1325" spans="2:5" ht="15" customHeight="1" x14ac:dyDescent="0.3">
      <c r="C1325" s="2"/>
      <c r="D1325" s="8">
        <v>2017</v>
      </c>
      <c r="E1325" s="14">
        <f>Data!Q1325</f>
        <v>2</v>
      </c>
    </row>
    <row r="1326" spans="2:5" ht="15" customHeight="1" x14ac:dyDescent="0.3">
      <c r="C1326" s="2"/>
      <c r="D1326" s="8">
        <v>2018</v>
      </c>
      <c r="E1326" s="14">
        <f>Data!Q1326</f>
        <v>2</v>
      </c>
    </row>
    <row r="1327" spans="2:5" ht="15" customHeight="1" x14ac:dyDescent="0.3">
      <c r="C1327" s="2"/>
      <c r="D1327" s="8">
        <v>2019</v>
      </c>
      <c r="E1327" s="14">
        <f>Data!Q1327</f>
        <v>2</v>
      </c>
    </row>
    <row r="1328" spans="2:5" ht="15" customHeight="1" x14ac:dyDescent="0.3">
      <c r="C1328" s="2"/>
      <c r="D1328" s="8">
        <v>2020</v>
      </c>
      <c r="E1328" s="14">
        <f>Data!Q1328</f>
        <v>2</v>
      </c>
    </row>
    <row r="1329" spans="2:5" ht="15" customHeight="1" x14ac:dyDescent="0.3">
      <c r="C1329" s="2"/>
      <c r="D1329" s="8">
        <v>2021</v>
      </c>
      <c r="E1329" s="14">
        <f>Data!Q1329</f>
        <v>2</v>
      </c>
    </row>
    <row r="1330" spans="2:5" ht="15" customHeight="1" x14ac:dyDescent="0.3">
      <c r="C1330" s="2"/>
      <c r="D1330" s="8">
        <v>2022</v>
      </c>
      <c r="E1330" s="14">
        <f>Data!Q1330</f>
        <v>2</v>
      </c>
    </row>
    <row r="1331" spans="2:5" ht="15" customHeight="1" x14ac:dyDescent="0.3">
      <c r="C1331" s="2"/>
      <c r="D1331" s="8">
        <v>2023</v>
      </c>
      <c r="E1331" s="14">
        <f>Data!Q1331</f>
        <v>3</v>
      </c>
    </row>
    <row r="1332" spans="2:5" ht="15" customHeight="1" x14ac:dyDescent="0.3">
      <c r="C1332" s="2"/>
      <c r="D1332" s="8">
        <v>2024</v>
      </c>
      <c r="E1332" s="14">
        <f>Data!Q1332</f>
        <v>3</v>
      </c>
    </row>
    <row r="1333" spans="2:5" ht="15" customHeight="1" x14ac:dyDescent="0.3">
      <c r="B1333" s="8">
        <v>122</v>
      </c>
      <c r="C1333" s="2" t="s">
        <v>109</v>
      </c>
      <c r="D1333" s="8">
        <v>2014</v>
      </c>
      <c r="E1333" s="14">
        <f>Data!Q1333</f>
        <v>0</v>
      </c>
    </row>
    <row r="1334" spans="2:5" ht="15" customHeight="1" x14ac:dyDescent="0.3">
      <c r="C1334" s="2"/>
      <c r="D1334" s="8">
        <v>2015</v>
      </c>
      <c r="E1334" s="14">
        <f>Data!Q1334</f>
        <v>0</v>
      </c>
    </row>
    <row r="1335" spans="2:5" ht="15" customHeight="1" x14ac:dyDescent="0.3">
      <c r="C1335" s="2"/>
      <c r="D1335" s="8">
        <v>2016</v>
      </c>
      <c r="E1335" s="14">
        <f>Data!Q1335</f>
        <v>0</v>
      </c>
    </row>
    <row r="1336" spans="2:5" ht="15" customHeight="1" x14ac:dyDescent="0.3">
      <c r="C1336" s="2"/>
      <c r="D1336" s="8">
        <v>2017</v>
      </c>
      <c r="E1336" s="14">
        <f>Data!Q1336</f>
        <v>0</v>
      </c>
    </row>
    <row r="1337" spans="2:5" ht="15" customHeight="1" x14ac:dyDescent="0.3">
      <c r="C1337" s="2"/>
      <c r="D1337" s="8">
        <v>2018</v>
      </c>
      <c r="E1337" s="14">
        <f>Data!Q1337</f>
        <v>0</v>
      </c>
    </row>
    <row r="1338" spans="2:5" ht="15" customHeight="1" x14ac:dyDescent="0.3">
      <c r="C1338" s="2"/>
      <c r="D1338" s="8">
        <v>2019</v>
      </c>
      <c r="E1338" s="14">
        <f>Data!Q1338</f>
        <v>0</v>
      </c>
    </row>
    <row r="1339" spans="2:5" ht="15" customHeight="1" x14ac:dyDescent="0.3">
      <c r="C1339" s="2"/>
      <c r="D1339" s="8">
        <v>2020</v>
      </c>
      <c r="E1339" s="14">
        <f>Data!Q1339</f>
        <v>0</v>
      </c>
    </row>
    <row r="1340" spans="2:5" ht="15" customHeight="1" x14ac:dyDescent="0.3">
      <c r="C1340" s="2"/>
      <c r="D1340" s="8">
        <v>2021</v>
      </c>
      <c r="E1340" s="14">
        <f>Data!Q1340</f>
        <v>0</v>
      </c>
    </row>
    <row r="1341" spans="2:5" ht="15" customHeight="1" x14ac:dyDescent="0.3">
      <c r="C1341" s="2"/>
      <c r="D1341" s="8">
        <v>2022</v>
      </c>
      <c r="E1341" s="14">
        <f>Data!Q1341</f>
        <v>0</v>
      </c>
    </row>
    <row r="1342" spans="2:5" ht="15" customHeight="1" x14ac:dyDescent="0.3">
      <c r="C1342" s="2"/>
      <c r="D1342" s="8">
        <v>2023</v>
      </c>
      <c r="E1342" s="14">
        <f>Data!Q1342</f>
        <v>0</v>
      </c>
    </row>
    <row r="1343" spans="2:5" ht="15" customHeight="1" x14ac:dyDescent="0.3">
      <c r="C1343" s="2"/>
      <c r="D1343" s="8">
        <v>2024</v>
      </c>
      <c r="E1343" s="14">
        <f>Data!Q1343</f>
        <v>0</v>
      </c>
    </row>
    <row r="1344" spans="2:5" ht="15" customHeight="1" x14ac:dyDescent="0.3">
      <c r="B1344" s="8">
        <v>123</v>
      </c>
      <c r="C1344" s="2" t="s">
        <v>78</v>
      </c>
      <c r="D1344" s="8">
        <v>2014</v>
      </c>
      <c r="E1344" s="14">
        <f>Data!Q1344</f>
        <v>0</v>
      </c>
    </row>
    <row r="1345" spans="2:5" ht="15" customHeight="1" x14ac:dyDescent="0.3">
      <c r="C1345" s="2"/>
      <c r="D1345" s="8">
        <v>2015</v>
      </c>
      <c r="E1345" s="14">
        <f>Data!Q1345</f>
        <v>0</v>
      </c>
    </row>
    <row r="1346" spans="2:5" ht="15" customHeight="1" x14ac:dyDescent="0.3">
      <c r="C1346" s="2"/>
      <c r="D1346" s="8">
        <v>2016</v>
      </c>
      <c r="E1346" s="14">
        <f>Data!Q1346</f>
        <v>0</v>
      </c>
    </row>
    <row r="1347" spans="2:5" ht="15" customHeight="1" x14ac:dyDescent="0.3">
      <c r="C1347" s="2"/>
      <c r="D1347" s="8">
        <v>2017</v>
      </c>
      <c r="E1347" s="14">
        <f>Data!Q1347</f>
        <v>0</v>
      </c>
    </row>
    <row r="1348" spans="2:5" ht="15" customHeight="1" x14ac:dyDescent="0.3">
      <c r="C1348" s="2"/>
      <c r="D1348" s="8">
        <v>2018</v>
      </c>
      <c r="E1348" s="14">
        <f>Data!Q1348</f>
        <v>0</v>
      </c>
    </row>
    <row r="1349" spans="2:5" ht="15" customHeight="1" x14ac:dyDescent="0.3">
      <c r="C1349" s="2"/>
      <c r="D1349" s="8">
        <v>2019</v>
      </c>
      <c r="E1349" s="14">
        <f>Data!Q1349</f>
        <v>2</v>
      </c>
    </row>
    <row r="1350" spans="2:5" ht="15" customHeight="1" x14ac:dyDescent="0.3">
      <c r="C1350" s="2"/>
      <c r="D1350" s="8">
        <v>2020</v>
      </c>
      <c r="E1350" s="14">
        <f>Data!Q1350</f>
        <v>2</v>
      </c>
    </row>
    <row r="1351" spans="2:5" ht="15" customHeight="1" x14ac:dyDescent="0.3">
      <c r="C1351" s="2"/>
      <c r="D1351" s="8">
        <v>2021</v>
      </c>
      <c r="E1351" s="14">
        <f>Data!Q1351</f>
        <v>2</v>
      </c>
    </row>
    <row r="1352" spans="2:5" ht="15" customHeight="1" x14ac:dyDescent="0.3">
      <c r="C1352" s="2"/>
      <c r="D1352" s="8">
        <v>2022</v>
      </c>
      <c r="E1352" s="14">
        <f>Data!Q1352</f>
        <v>2</v>
      </c>
    </row>
    <row r="1353" spans="2:5" ht="15" customHeight="1" x14ac:dyDescent="0.3">
      <c r="C1353" s="2"/>
      <c r="D1353" s="8">
        <v>2023</v>
      </c>
      <c r="E1353" s="14">
        <f>Data!Q1353</f>
        <v>1</v>
      </c>
    </row>
    <row r="1354" spans="2:5" ht="15" customHeight="1" x14ac:dyDescent="0.3">
      <c r="C1354" s="2"/>
      <c r="D1354" s="8">
        <v>2024</v>
      </c>
      <c r="E1354" s="14">
        <f>Data!Q1354</f>
        <v>2</v>
      </c>
    </row>
    <row r="1355" spans="2:5" ht="15" customHeight="1" x14ac:dyDescent="0.3">
      <c r="B1355" s="8">
        <v>124</v>
      </c>
      <c r="C1355" s="2" t="s">
        <v>110</v>
      </c>
      <c r="D1355" s="8">
        <v>2014</v>
      </c>
      <c r="E1355" s="14">
        <f>Data!Q1355</f>
        <v>0</v>
      </c>
    </row>
    <row r="1356" spans="2:5" ht="15" customHeight="1" x14ac:dyDescent="0.3">
      <c r="C1356" s="2"/>
      <c r="D1356" s="8">
        <v>2015</v>
      </c>
      <c r="E1356" s="14">
        <f>Data!Q1356</f>
        <v>3</v>
      </c>
    </row>
    <row r="1357" spans="2:5" ht="15" customHeight="1" x14ac:dyDescent="0.3">
      <c r="C1357" s="2"/>
      <c r="D1357" s="8">
        <v>2016</v>
      </c>
      <c r="E1357" s="14">
        <f>Data!Q1357</f>
        <v>2</v>
      </c>
    </row>
    <row r="1358" spans="2:5" ht="15" customHeight="1" x14ac:dyDescent="0.3">
      <c r="C1358" s="2"/>
      <c r="D1358" s="8">
        <v>2017</v>
      </c>
      <c r="E1358" s="14">
        <f>Data!Q1358</f>
        <v>2</v>
      </c>
    </row>
    <row r="1359" spans="2:5" ht="15" customHeight="1" x14ac:dyDescent="0.3">
      <c r="C1359" s="2"/>
      <c r="D1359" s="8">
        <v>2018</v>
      </c>
      <c r="E1359" s="14">
        <f>Data!Q1359</f>
        <v>2</v>
      </c>
    </row>
    <row r="1360" spans="2:5" ht="15" customHeight="1" x14ac:dyDescent="0.3">
      <c r="C1360" s="2"/>
      <c r="D1360" s="8">
        <v>2019</v>
      </c>
      <c r="E1360" s="14">
        <f>Data!Q1360</f>
        <v>2</v>
      </c>
    </row>
    <row r="1361" spans="2:5" ht="15" customHeight="1" x14ac:dyDescent="0.3">
      <c r="C1361" s="2"/>
      <c r="D1361" s="8">
        <v>2020</v>
      </c>
      <c r="E1361" s="14">
        <f>Data!Q1361</f>
        <v>2</v>
      </c>
    </row>
    <row r="1362" spans="2:5" ht="15" customHeight="1" x14ac:dyDescent="0.3">
      <c r="C1362" s="2"/>
      <c r="D1362" s="8">
        <v>2021</v>
      </c>
      <c r="E1362" s="14">
        <f>Data!Q1362</f>
        <v>1</v>
      </c>
    </row>
    <row r="1363" spans="2:5" ht="15" customHeight="1" x14ac:dyDescent="0.3">
      <c r="C1363" s="2"/>
      <c r="D1363" s="8">
        <v>2022</v>
      </c>
      <c r="E1363" s="14">
        <f>Data!Q1363</f>
        <v>2</v>
      </c>
    </row>
    <row r="1364" spans="2:5" ht="15" customHeight="1" x14ac:dyDescent="0.3">
      <c r="C1364" s="2"/>
      <c r="D1364" s="8">
        <v>2023</v>
      </c>
      <c r="E1364" s="14">
        <f>Data!Q1364</f>
        <v>2</v>
      </c>
    </row>
    <row r="1365" spans="2:5" ht="15" customHeight="1" x14ac:dyDescent="0.3">
      <c r="C1365" s="2"/>
      <c r="D1365" s="8">
        <v>2024</v>
      </c>
      <c r="E1365" s="14">
        <f>Data!Q1365</f>
        <v>2</v>
      </c>
    </row>
    <row r="1366" spans="2:5" ht="15" customHeight="1" x14ac:dyDescent="0.3">
      <c r="B1366" s="8">
        <v>125</v>
      </c>
      <c r="C1366" s="2" t="s">
        <v>111</v>
      </c>
      <c r="D1366" s="8">
        <v>2014</v>
      </c>
      <c r="E1366" s="14">
        <f>Data!Q1366</f>
        <v>0</v>
      </c>
    </row>
    <row r="1367" spans="2:5" ht="15" customHeight="1" x14ac:dyDescent="0.3">
      <c r="C1367" s="2"/>
      <c r="D1367" s="8">
        <v>2015</v>
      </c>
      <c r="E1367" s="14">
        <f>Data!Q1367</f>
        <v>0</v>
      </c>
    </row>
    <row r="1368" spans="2:5" ht="15" customHeight="1" x14ac:dyDescent="0.3">
      <c r="C1368" s="2"/>
      <c r="D1368" s="8">
        <v>2016</v>
      </c>
      <c r="E1368" s="14">
        <f>Data!Q1368</f>
        <v>0</v>
      </c>
    </row>
    <row r="1369" spans="2:5" ht="15" customHeight="1" x14ac:dyDescent="0.3">
      <c r="C1369" s="2"/>
      <c r="D1369" s="8">
        <v>2017</v>
      </c>
      <c r="E1369" s="14">
        <f>Data!Q1369</f>
        <v>0</v>
      </c>
    </row>
    <row r="1370" spans="2:5" ht="15" customHeight="1" x14ac:dyDescent="0.3">
      <c r="C1370" s="2"/>
      <c r="D1370" s="8">
        <v>2018</v>
      </c>
      <c r="E1370" s="14">
        <f>Data!Q1370</f>
        <v>0</v>
      </c>
    </row>
    <row r="1371" spans="2:5" ht="15" customHeight="1" x14ac:dyDescent="0.3">
      <c r="C1371" s="2"/>
      <c r="D1371" s="8">
        <v>2019</v>
      </c>
      <c r="E1371" s="14">
        <f>Data!Q1371</f>
        <v>0</v>
      </c>
    </row>
    <row r="1372" spans="2:5" ht="15" customHeight="1" x14ac:dyDescent="0.3">
      <c r="C1372" s="2"/>
      <c r="D1372" s="8">
        <v>2020</v>
      </c>
      <c r="E1372" s="14">
        <f>Data!Q1372</f>
        <v>0</v>
      </c>
    </row>
    <row r="1373" spans="2:5" ht="15" customHeight="1" x14ac:dyDescent="0.3">
      <c r="C1373" s="2"/>
      <c r="D1373" s="8">
        <v>2021</v>
      </c>
      <c r="E1373" s="14">
        <f>Data!Q1373</f>
        <v>0</v>
      </c>
    </row>
    <row r="1374" spans="2:5" ht="15" customHeight="1" x14ac:dyDescent="0.3">
      <c r="C1374" s="2"/>
      <c r="D1374" s="8">
        <v>2022</v>
      </c>
      <c r="E1374" s="14">
        <f>Data!Q1374</f>
        <v>0</v>
      </c>
    </row>
    <row r="1375" spans="2:5" ht="15" customHeight="1" x14ac:dyDescent="0.3">
      <c r="C1375" s="2"/>
      <c r="D1375" s="8">
        <v>2023</v>
      </c>
      <c r="E1375" s="14">
        <f>Data!Q1375</f>
        <v>0</v>
      </c>
    </row>
    <row r="1376" spans="2:5" ht="15" customHeight="1" x14ac:dyDescent="0.3">
      <c r="C1376" s="2"/>
      <c r="D1376" s="8">
        <v>2024</v>
      </c>
      <c r="E1376" s="14">
        <f>Data!Q1376</f>
        <v>0</v>
      </c>
    </row>
    <row r="1377" spans="2:5" ht="15" customHeight="1" x14ac:dyDescent="0.3">
      <c r="B1377" s="8">
        <v>126</v>
      </c>
      <c r="C1377" s="2" t="s">
        <v>86</v>
      </c>
      <c r="D1377" s="8">
        <v>2014</v>
      </c>
      <c r="E1377" s="14">
        <f>Data!Q1377</f>
        <v>0</v>
      </c>
    </row>
    <row r="1378" spans="2:5" ht="15" customHeight="1" x14ac:dyDescent="0.3">
      <c r="C1378" s="2"/>
      <c r="D1378" s="8">
        <v>2015</v>
      </c>
      <c r="E1378" s="14">
        <f>Data!Q1378</f>
        <v>0</v>
      </c>
    </row>
    <row r="1379" spans="2:5" ht="15" customHeight="1" x14ac:dyDescent="0.3">
      <c r="C1379" s="2"/>
      <c r="D1379" s="8">
        <v>2016</v>
      </c>
      <c r="E1379" s="14">
        <f>Data!Q1379</f>
        <v>2</v>
      </c>
    </row>
    <row r="1380" spans="2:5" ht="15" customHeight="1" x14ac:dyDescent="0.3">
      <c r="C1380" s="2"/>
      <c r="D1380" s="8">
        <v>2017</v>
      </c>
      <c r="E1380" s="14">
        <f>Data!Q1380</f>
        <v>2</v>
      </c>
    </row>
    <row r="1381" spans="2:5" ht="15" customHeight="1" x14ac:dyDescent="0.3">
      <c r="C1381" s="2"/>
      <c r="D1381" s="8">
        <v>2018</v>
      </c>
      <c r="E1381" s="14">
        <f>Data!Q1381</f>
        <v>2</v>
      </c>
    </row>
    <row r="1382" spans="2:5" ht="15" customHeight="1" x14ac:dyDescent="0.3">
      <c r="C1382" s="2"/>
      <c r="D1382" s="8">
        <v>2019</v>
      </c>
      <c r="E1382" s="14">
        <f>Data!Q1382</f>
        <v>2</v>
      </c>
    </row>
    <row r="1383" spans="2:5" ht="15" customHeight="1" x14ac:dyDescent="0.3">
      <c r="C1383" s="2"/>
      <c r="D1383" s="8">
        <v>2020</v>
      </c>
      <c r="E1383" s="14">
        <f>Data!Q1383</f>
        <v>2</v>
      </c>
    </row>
    <row r="1384" spans="2:5" ht="15" customHeight="1" x14ac:dyDescent="0.3">
      <c r="C1384" s="2"/>
      <c r="D1384" s="8">
        <v>2021</v>
      </c>
      <c r="E1384" s="14">
        <f>Data!Q1384</f>
        <v>2</v>
      </c>
    </row>
    <row r="1385" spans="2:5" ht="15" customHeight="1" x14ac:dyDescent="0.3">
      <c r="C1385" s="2"/>
      <c r="D1385" s="8">
        <v>2022</v>
      </c>
      <c r="E1385" s="14">
        <f>Data!Q1385</f>
        <v>2</v>
      </c>
    </row>
    <row r="1386" spans="2:5" ht="15" customHeight="1" x14ac:dyDescent="0.3">
      <c r="C1386" s="2"/>
      <c r="D1386" s="8">
        <v>2023</v>
      </c>
      <c r="E1386" s="14">
        <f>Data!Q1386</f>
        <v>3</v>
      </c>
    </row>
    <row r="1387" spans="2:5" ht="15" customHeight="1" x14ac:dyDescent="0.3">
      <c r="C1387" s="2"/>
      <c r="D1387" s="8">
        <v>2024</v>
      </c>
      <c r="E1387" s="14">
        <f>Data!Q1387</f>
        <v>3</v>
      </c>
    </row>
    <row r="1388" spans="2:5" ht="15" customHeight="1" x14ac:dyDescent="0.3">
      <c r="B1388" s="8">
        <v>127</v>
      </c>
      <c r="C1388" s="2" t="s">
        <v>112</v>
      </c>
      <c r="D1388" s="8">
        <v>2014</v>
      </c>
      <c r="E1388" s="14">
        <f>Data!Q1388</f>
        <v>0</v>
      </c>
    </row>
    <row r="1389" spans="2:5" ht="15" customHeight="1" x14ac:dyDescent="0.3">
      <c r="C1389" s="2"/>
      <c r="D1389" s="8">
        <v>2015</v>
      </c>
      <c r="E1389" s="14">
        <f>Data!Q1389</f>
        <v>0</v>
      </c>
    </row>
    <row r="1390" spans="2:5" ht="15" customHeight="1" x14ac:dyDescent="0.3">
      <c r="C1390" s="2"/>
      <c r="D1390" s="8">
        <v>2016</v>
      </c>
      <c r="E1390" s="14">
        <f>Data!Q1390</f>
        <v>0</v>
      </c>
    </row>
    <row r="1391" spans="2:5" ht="15" customHeight="1" x14ac:dyDescent="0.3">
      <c r="C1391" s="2"/>
      <c r="D1391" s="8">
        <v>2017</v>
      </c>
      <c r="E1391" s="14">
        <f>Data!Q1391</f>
        <v>2</v>
      </c>
    </row>
    <row r="1392" spans="2:5" ht="15" customHeight="1" x14ac:dyDescent="0.3">
      <c r="C1392" s="2"/>
      <c r="D1392" s="8">
        <v>2018</v>
      </c>
      <c r="E1392" s="14">
        <f>Data!Q1392</f>
        <v>2</v>
      </c>
    </row>
    <row r="1393" spans="2:5" ht="15" customHeight="1" x14ac:dyDescent="0.3">
      <c r="C1393" s="2"/>
      <c r="D1393" s="8">
        <v>2019</v>
      </c>
      <c r="E1393" s="14">
        <f>Data!Q1393</f>
        <v>2</v>
      </c>
    </row>
    <row r="1394" spans="2:5" ht="15" customHeight="1" x14ac:dyDescent="0.3">
      <c r="C1394" s="2"/>
      <c r="D1394" s="8">
        <v>2020</v>
      </c>
      <c r="E1394" s="14">
        <f>Data!Q1394</f>
        <v>2</v>
      </c>
    </row>
    <row r="1395" spans="2:5" ht="15" customHeight="1" x14ac:dyDescent="0.3">
      <c r="C1395" s="2"/>
      <c r="D1395" s="8">
        <v>2021</v>
      </c>
      <c r="E1395" s="14">
        <f>Data!Q1395</f>
        <v>2</v>
      </c>
    </row>
    <row r="1396" spans="2:5" ht="15" customHeight="1" x14ac:dyDescent="0.3">
      <c r="C1396" s="2"/>
      <c r="D1396" s="8">
        <v>2022</v>
      </c>
      <c r="E1396" s="14">
        <f>Data!Q1396</f>
        <v>2</v>
      </c>
    </row>
    <row r="1397" spans="2:5" ht="15" customHeight="1" x14ac:dyDescent="0.3">
      <c r="C1397" s="2"/>
      <c r="D1397" s="8">
        <v>2023</v>
      </c>
      <c r="E1397" s="14">
        <f>Data!Q1397</f>
        <v>2</v>
      </c>
    </row>
    <row r="1398" spans="2:5" ht="15" customHeight="1" x14ac:dyDescent="0.3">
      <c r="C1398" s="2"/>
      <c r="D1398" s="8">
        <v>2024</v>
      </c>
      <c r="E1398" s="14">
        <f>Data!Q1398</f>
        <v>2</v>
      </c>
    </row>
    <row r="1399" spans="2:5" ht="15" customHeight="1" x14ac:dyDescent="0.3">
      <c r="B1399" s="8">
        <v>128</v>
      </c>
      <c r="C1399" s="2" t="s">
        <v>92</v>
      </c>
      <c r="D1399" s="8">
        <v>2014</v>
      </c>
      <c r="E1399" s="14">
        <f>Data!Q1399</f>
        <v>0</v>
      </c>
    </row>
    <row r="1400" spans="2:5" ht="15" customHeight="1" x14ac:dyDescent="0.3">
      <c r="C1400" s="2"/>
      <c r="D1400" s="8">
        <v>2015</v>
      </c>
      <c r="E1400" s="14">
        <f>Data!Q1400</f>
        <v>0</v>
      </c>
    </row>
    <row r="1401" spans="2:5" ht="15" customHeight="1" x14ac:dyDescent="0.3">
      <c r="C1401" s="2"/>
      <c r="D1401" s="8">
        <v>2016</v>
      </c>
      <c r="E1401" s="14">
        <f>Data!Q1401</f>
        <v>0</v>
      </c>
    </row>
    <row r="1402" spans="2:5" ht="15" customHeight="1" x14ac:dyDescent="0.3">
      <c r="C1402" s="2"/>
      <c r="D1402" s="8">
        <v>2017</v>
      </c>
      <c r="E1402" s="14">
        <f>Data!Q1402</f>
        <v>0</v>
      </c>
    </row>
    <row r="1403" spans="2:5" ht="15" customHeight="1" x14ac:dyDescent="0.3">
      <c r="C1403" s="2"/>
      <c r="D1403" s="8">
        <v>2018</v>
      </c>
      <c r="E1403" s="14">
        <f>Data!Q1403</f>
        <v>0</v>
      </c>
    </row>
    <row r="1404" spans="2:5" ht="15" customHeight="1" x14ac:dyDescent="0.3">
      <c r="C1404" s="2"/>
      <c r="D1404" s="8">
        <v>2019</v>
      </c>
      <c r="E1404" s="14">
        <f>Data!Q1404</f>
        <v>2</v>
      </c>
    </row>
    <row r="1405" spans="2:5" ht="15" customHeight="1" x14ac:dyDescent="0.3">
      <c r="C1405" s="2"/>
      <c r="D1405" s="8">
        <v>2020</v>
      </c>
      <c r="E1405" s="14">
        <f>Data!Q1405</f>
        <v>2</v>
      </c>
    </row>
    <row r="1406" spans="2:5" ht="15" customHeight="1" x14ac:dyDescent="0.3">
      <c r="C1406" s="2"/>
      <c r="D1406" s="8">
        <v>2021</v>
      </c>
      <c r="E1406" s="14">
        <f>Data!Q1406</f>
        <v>2</v>
      </c>
    </row>
    <row r="1407" spans="2:5" ht="15" customHeight="1" x14ac:dyDescent="0.3">
      <c r="C1407" s="2"/>
      <c r="D1407" s="8">
        <v>2022</v>
      </c>
      <c r="E1407" s="14">
        <f>Data!Q1407</f>
        <v>2</v>
      </c>
    </row>
    <row r="1408" spans="2:5" ht="15" customHeight="1" x14ac:dyDescent="0.3">
      <c r="C1408" s="2"/>
      <c r="D1408" s="8">
        <v>2023</v>
      </c>
      <c r="E1408" s="14">
        <f>Data!Q1408</f>
        <v>2</v>
      </c>
    </row>
    <row r="1409" spans="2:5" ht="15" customHeight="1" x14ac:dyDescent="0.3">
      <c r="C1409" s="2"/>
      <c r="D1409" s="8">
        <v>2024</v>
      </c>
      <c r="E1409" s="14">
        <f>Data!Q1409</f>
        <v>2</v>
      </c>
    </row>
    <row r="1410" spans="2:5" ht="15" customHeight="1" x14ac:dyDescent="0.3">
      <c r="B1410" s="8">
        <v>129</v>
      </c>
      <c r="C1410" s="2" t="s">
        <v>87</v>
      </c>
      <c r="D1410" s="8">
        <v>2014</v>
      </c>
      <c r="E1410" s="14">
        <f>Data!Q1410</f>
        <v>0</v>
      </c>
    </row>
    <row r="1411" spans="2:5" ht="15" customHeight="1" x14ac:dyDescent="0.3">
      <c r="C1411" s="2"/>
      <c r="D1411" s="8">
        <v>2015</v>
      </c>
      <c r="E1411" s="14">
        <f>Data!Q1411</f>
        <v>0</v>
      </c>
    </row>
    <row r="1412" spans="2:5" ht="15" customHeight="1" x14ac:dyDescent="0.3">
      <c r="C1412" s="2"/>
      <c r="D1412" s="8">
        <v>2016</v>
      </c>
      <c r="E1412" s="14">
        <f>Data!Q1412</f>
        <v>2</v>
      </c>
    </row>
    <row r="1413" spans="2:5" ht="15" customHeight="1" x14ac:dyDescent="0.3">
      <c r="C1413" s="2"/>
      <c r="D1413" s="8">
        <v>2017</v>
      </c>
      <c r="E1413" s="14">
        <f>Data!Q1413</f>
        <v>2</v>
      </c>
    </row>
    <row r="1414" spans="2:5" ht="15" customHeight="1" x14ac:dyDescent="0.3">
      <c r="C1414" s="2"/>
      <c r="D1414" s="8">
        <v>2018</v>
      </c>
      <c r="E1414" s="14">
        <f>Data!Q1414</f>
        <v>2</v>
      </c>
    </row>
    <row r="1415" spans="2:5" ht="15" customHeight="1" x14ac:dyDescent="0.3">
      <c r="C1415" s="2"/>
      <c r="D1415" s="8">
        <v>2019</v>
      </c>
      <c r="E1415" s="14">
        <f>Data!Q1415</f>
        <v>2</v>
      </c>
    </row>
    <row r="1416" spans="2:5" ht="15" customHeight="1" x14ac:dyDescent="0.3">
      <c r="C1416" s="2"/>
      <c r="D1416" s="8">
        <v>2020</v>
      </c>
      <c r="E1416" s="14">
        <f>Data!Q1416</f>
        <v>2</v>
      </c>
    </row>
    <row r="1417" spans="2:5" ht="15" customHeight="1" x14ac:dyDescent="0.3">
      <c r="C1417" s="2"/>
      <c r="D1417" s="8">
        <v>2021</v>
      </c>
      <c r="E1417" s="14">
        <f>Data!Q1417</f>
        <v>1</v>
      </c>
    </row>
    <row r="1418" spans="2:5" ht="15" customHeight="1" x14ac:dyDescent="0.3">
      <c r="C1418" s="2"/>
      <c r="D1418" s="8">
        <v>2022</v>
      </c>
      <c r="E1418" s="14">
        <f>Data!Q1418</f>
        <v>2</v>
      </c>
    </row>
    <row r="1419" spans="2:5" ht="15" customHeight="1" x14ac:dyDescent="0.3">
      <c r="C1419" s="2"/>
      <c r="D1419" s="8">
        <v>2023</v>
      </c>
      <c r="E1419" s="14">
        <f>Data!Q1419</f>
        <v>2</v>
      </c>
    </row>
    <row r="1420" spans="2:5" ht="15" customHeight="1" x14ac:dyDescent="0.3">
      <c r="C1420" s="2"/>
      <c r="D1420" s="8">
        <v>2024</v>
      </c>
      <c r="E1420" s="14">
        <f>Data!Q1420</f>
        <v>1</v>
      </c>
    </row>
    <row r="1421" spans="2:5" ht="15" customHeight="1" x14ac:dyDescent="0.3">
      <c r="B1421" s="8">
        <v>130</v>
      </c>
      <c r="C1421" s="2" t="s">
        <v>113</v>
      </c>
      <c r="D1421" s="8">
        <v>2014</v>
      </c>
      <c r="E1421" s="14">
        <f>Data!Q1421</f>
        <v>0</v>
      </c>
    </row>
    <row r="1422" spans="2:5" ht="15" customHeight="1" x14ac:dyDescent="0.3">
      <c r="C1422" s="2"/>
      <c r="D1422" s="8">
        <v>2015</v>
      </c>
      <c r="E1422" s="14">
        <f>Data!Q1422</f>
        <v>0</v>
      </c>
    </row>
    <row r="1423" spans="2:5" ht="15" customHeight="1" x14ac:dyDescent="0.3">
      <c r="C1423" s="2"/>
      <c r="D1423" s="8">
        <v>2016</v>
      </c>
      <c r="E1423" s="14">
        <f>Data!Q1423</f>
        <v>0</v>
      </c>
    </row>
    <row r="1424" spans="2:5" ht="15" customHeight="1" x14ac:dyDescent="0.3">
      <c r="C1424" s="2"/>
      <c r="D1424" s="8">
        <v>2017</v>
      </c>
      <c r="E1424" s="14">
        <f>Data!Q1424</f>
        <v>0</v>
      </c>
    </row>
    <row r="1425" spans="2:5" ht="15" customHeight="1" x14ac:dyDescent="0.3">
      <c r="C1425" s="2"/>
      <c r="D1425" s="8">
        <v>2018</v>
      </c>
      <c r="E1425" s="14">
        <f>Data!Q1425</f>
        <v>0</v>
      </c>
    </row>
    <row r="1426" spans="2:5" ht="15" customHeight="1" x14ac:dyDescent="0.3">
      <c r="C1426" s="2"/>
      <c r="D1426" s="8">
        <v>2019</v>
      </c>
      <c r="E1426" s="14">
        <f>Data!Q1426</f>
        <v>0</v>
      </c>
    </row>
    <row r="1427" spans="2:5" ht="15" customHeight="1" x14ac:dyDescent="0.3">
      <c r="C1427" s="2"/>
      <c r="D1427" s="8">
        <v>2020</v>
      </c>
      <c r="E1427" s="14">
        <f>Data!Q1427</f>
        <v>2</v>
      </c>
    </row>
    <row r="1428" spans="2:5" ht="15" customHeight="1" x14ac:dyDescent="0.3">
      <c r="C1428" s="2"/>
      <c r="D1428" s="8">
        <v>2021</v>
      </c>
      <c r="E1428" s="14">
        <f>Data!Q1428</f>
        <v>2</v>
      </c>
    </row>
    <row r="1429" spans="2:5" ht="15" customHeight="1" x14ac:dyDescent="0.3">
      <c r="C1429" s="2"/>
      <c r="D1429" s="8">
        <v>2022</v>
      </c>
      <c r="E1429" s="14">
        <f>Data!Q1429</f>
        <v>2</v>
      </c>
    </row>
    <row r="1430" spans="2:5" ht="15" customHeight="1" x14ac:dyDescent="0.3">
      <c r="C1430" s="2"/>
      <c r="D1430" s="8">
        <v>2023</v>
      </c>
      <c r="E1430" s="14">
        <f>Data!Q1430</f>
        <v>2</v>
      </c>
    </row>
    <row r="1431" spans="2:5" ht="15" customHeight="1" x14ac:dyDescent="0.3">
      <c r="C1431" s="2"/>
      <c r="D1431" s="8">
        <v>2024</v>
      </c>
      <c r="E1431" s="14">
        <f>Data!Q1431</f>
        <v>2</v>
      </c>
    </row>
    <row r="1432" spans="2:5" ht="15" customHeight="1" x14ac:dyDescent="0.3">
      <c r="B1432" s="8">
        <v>131</v>
      </c>
      <c r="C1432" s="2" t="s">
        <v>121</v>
      </c>
      <c r="D1432" s="8">
        <v>2014</v>
      </c>
      <c r="E1432" s="14">
        <f>Data!Q1432</f>
        <v>0</v>
      </c>
    </row>
    <row r="1433" spans="2:5" ht="15" customHeight="1" x14ac:dyDescent="0.3">
      <c r="C1433" s="2"/>
      <c r="D1433" s="8">
        <v>2015</v>
      </c>
      <c r="E1433" s="14">
        <f>Data!Q1433</f>
        <v>0</v>
      </c>
    </row>
    <row r="1434" spans="2:5" ht="15" customHeight="1" x14ac:dyDescent="0.3">
      <c r="C1434" s="2"/>
      <c r="D1434" s="8">
        <v>2016</v>
      </c>
      <c r="E1434" s="14">
        <f>Data!Q1434</f>
        <v>2</v>
      </c>
    </row>
    <row r="1435" spans="2:5" ht="15" customHeight="1" x14ac:dyDescent="0.3">
      <c r="C1435" s="2"/>
      <c r="D1435" s="8">
        <v>2017</v>
      </c>
      <c r="E1435" s="14">
        <f>Data!Q1435</f>
        <v>2</v>
      </c>
    </row>
    <row r="1436" spans="2:5" ht="15" customHeight="1" x14ac:dyDescent="0.3">
      <c r="C1436" s="2"/>
      <c r="D1436" s="8">
        <v>2018</v>
      </c>
      <c r="E1436" s="14">
        <f>Data!Q1436</f>
        <v>2</v>
      </c>
    </row>
    <row r="1437" spans="2:5" ht="15" customHeight="1" x14ac:dyDescent="0.3">
      <c r="C1437" s="2"/>
      <c r="D1437" s="8">
        <v>2019</v>
      </c>
      <c r="E1437" s="14">
        <f>Data!Q1437</f>
        <v>2</v>
      </c>
    </row>
    <row r="1438" spans="2:5" ht="15" customHeight="1" x14ac:dyDescent="0.3">
      <c r="C1438" s="2"/>
      <c r="D1438" s="8">
        <v>2020</v>
      </c>
      <c r="E1438" s="14">
        <f>Data!Q1438</f>
        <v>2</v>
      </c>
    </row>
    <row r="1439" spans="2:5" ht="15" customHeight="1" x14ac:dyDescent="0.3">
      <c r="C1439" s="2"/>
      <c r="D1439" s="8">
        <v>2021</v>
      </c>
      <c r="E1439" s="14">
        <f>Data!Q1439</f>
        <v>2</v>
      </c>
    </row>
    <row r="1440" spans="2:5" ht="15" customHeight="1" x14ac:dyDescent="0.3">
      <c r="C1440" s="2"/>
      <c r="D1440" s="8">
        <v>2022</v>
      </c>
      <c r="E1440" s="14">
        <f>Data!Q1440</f>
        <v>2</v>
      </c>
    </row>
    <row r="1441" spans="2:5" ht="15" customHeight="1" x14ac:dyDescent="0.3">
      <c r="C1441" s="2"/>
      <c r="D1441" s="8">
        <v>2023</v>
      </c>
      <c r="E1441" s="14">
        <f>Data!Q1441</f>
        <v>2</v>
      </c>
    </row>
    <row r="1442" spans="2:5" ht="15" customHeight="1" x14ac:dyDescent="0.3">
      <c r="C1442" s="2"/>
      <c r="D1442" s="8">
        <v>2024</v>
      </c>
      <c r="E1442" s="14">
        <f>Data!Q1442</f>
        <v>2</v>
      </c>
    </row>
    <row r="1443" spans="2:5" ht="15" customHeight="1" x14ac:dyDescent="0.3">
      <c r="B1443" s="8">
        <v>132</v>
      </c>
      <c r="C1443" s="2" t="s">
        <v>85</v>
      </c>
      <c r="D1443" s="8">
        <v>2014</v>
      </c>
      <c r="E1443" s="14">
        <f>Data!Q1443</f>
        <v>0</v>
      </c>
    </row>
    <row r="1444" spans="2:5" ht="15" customHeight="1" x14ac:dyDescent="0.3">
      <c r="C1444" s="2"/>
      <c r="D1444" s="8">
        <v>2015</v>
      </c>
      <c r="E1444" s="14">
        <f>Data!Q1444</f>
        <v>0</v>
      </c>
    </row>
    <row r="1445" spans="2:5" ht="15" customHeight="1" x14ac:dyDescent="0.3">
      <c r="C1445" s="2"/>
      <c r="D1445" s="8">
        <v>2016</v>
      </c>
      <c r="E1445" s="14">
        <f>Data!Q1445</f>
        <v>0</v>
      </c>
    </row>
    <row r="1446" spans="2:5" ht="15" customHeight="1" x14ac:dyDescent="0.3">
      <c r="C1446" s="2"/>
      <c r="D1446" s="8">
        <v>2017</v>
      </c>
      <c r="E1446" s="14">
        <f>Data!Q1446</f>
        <v>2</v>
      </c>
    </row>
    <row r="1447" spans="2:5" ht="15" customHeight="1" x14ac:dyDescent="0.3">
      <c r="C1447" s="2"/>
      <c r="D1447" s="8">
        <v>2018</v>
      </c>
      <c r="E1447" s="14">
        <f>Data!Q1447</f>
        <v>2</v>
      </c>
    </row>
    <row r="1448" spans="2:5" ht="15" customHeight="1" x14ac:dyDescent="0.3">
      <c r="C1448" s="2"/>
      <c r="D1448" s="8">
        <v>2019</v>
      </c>
      <c r="E1448" s="14">
        <f>Data!Q1448</f>
        <v>2</v>
      </c>
    </row>
    <row r="1449" spans="2:5" ht="15" customHeight="1" x14ac:dyDescent="0.3">
      <c r="C1449" s="2"/>
      <c r="D1449" s="8">
        <v>2020</v>
      </c>
      <c r="E1449" s="14">
        <f>Data!Q1449</f>
        <v>2</v>
      </c>
    </row>
    <row r="1450" spans="2:5" ht="15" customHeight="1" x14ac:dyDescent="0.3">
      <c r="C1450" s="2"/>
      <c r="D1450" s="8">
        <v>2021</v>
      </c>
      <c r="E1450" s="14">
        <f>Data!Q1450</f>
        <v>2</v>
      </c>
    </row>
    <row r="1451" spans="2:5" ht="15" customHeight="1" x14ac:dyDescent="0.3">
      <c r="C1451" s="2"/>
      <c r="D1451" s="8">
        <v>2022</v>
      </c>
      <c r="E1451" s="14">
        <f>Data!Q1451</f>
        <v>2</v>
      </c>
    </row>
    <row r="1452" spans="2:5" ht="15" customHeight="1" x14ac:dyDescent="0.3">
      <c r="C1452" s="2"/>
      <c r="D1452" s="8">
        <v>2023</v>
      </c>
      <c r="E1452" s="14">
        <f>Data!Q1452</f>
        <v>2</v>
      </c>
    </row>
    <row r="1453" spans="2:5" ht="15" customHeight="1" x14ac:dyDescent="0.3">
      <c r="C1453" s="2"/>
      <c r="D1453" s="8">
        <v>2024</v>
      </c>
      <c r="E1453" s="14">
        <f>Data!Q1453</f>
        <v>2</v>
      </c>
    </row>
    <row r="1454" spans="2:5" ht="15" customHeight="1" x14ac:dyDescent="0.3">
      <c r="B1454" s="8">
        <v>133</v>
      </c>
      <c r="C1454" s="1" t="s">
        <v>126</v>
      </c>
      <c r="D1454" s="8">
        <v>2014</v>
      </c>
      <c r="E1454" s="14">
        <f>Data!Q1454</f>
        <v>0</v>
      </c>
    </row>
    <row r="1455" spans="2:5" ht="15" customHeight="1" x14ac:dyDescent="0.3">
      <c r="C1455" s="1"/>
      <c r="D1455" s="8">
        <v>2015</v>
      </c>
      <c r="E1455" s="14">
        <f>Data!Q1455</f>
        <v>2</v>
      </c>
    </row>
    <row r="1456" spans="2:5" ht="15" customHeight="1" x14ac:dyDescent="0.3">
      <c r="C1456" s="1"/>
      <c r="D1456" s="8">
        <v>2016</v>
      </c>
      <c r="E1456" s="14">
        <f>Data!Q1456</f>
        <v>2</v>
      </c>
    </row>
    <row r="1457" spans="2:5" ht="15" customHeight="1" x14ac:dyDescent="0.3">
      <c r="C1457" s="1"/>
      <c r="D1457" s="8">
        <v>2017</v>
      </c>
      <c r="E1457" s="14">
        <f>Data!Q1457</f>
        <v>2</v>
      </c>
    </row>
    <row r="1458" spans="2:5" ht="15" customHeight="1" x14ac:dyDescent="0.3">
      <c r="C1458" s="1"/>
      <c r="D1458" s="8">
        <v>2018</v>
      </c>
      <c r="E1458" s="14">
        <f>Data!Q1458</f>
        <v>2</v>
      </c>
    </row>
    <row r="1459" spans="2:5" ht="15" customHeight="1" x14ac:dyDescent="0.3">
      <c r="C1459" s="1"/>
      <c r="D1459" s="8">
        <v>2019</v>
      </c>
      <c r="E1459" s="14">
        <f>Data!Q1459</f>
        <v>2</v>
      </c>
    </row>
    <row r="1460" spans="2:5" ht="15" customHeight="1" x14ac:dyDescent="0.3">
      <c r="C1460" s="1"/>
      <c r="D1460" s="8">
        <v>2020</v>
      </c>
      <c r="E1460" s="14">
        <f>Data!Q1460</f>
        <v>2</v>
      </c>
    </row>
    <row r="1461" spans="2:5" ht="15" customHeight="1" x14ac:dyDescent="0.3">
      <c r="C1461" s="1"/>
      <c r="D1461" s="8">
        <v>2021</v>
      </c>
      <c r="E1461" s="14">
        <f>Data!Q1461</f>
        <v>2</v>
      </c>
    </row>
    <row r="1462" spans="2:5" ht="15" customHeight="1" x14ac:dyDescent="0.3">
      <c r="C1462" s="1"/>
      <c r="D1462" s="8">
        <v>2022</v>
      </c>
      <c r="E1462" s="14">
        <f>Data!Q1462</f>
        <v>2</v>
      </c>
    </row>
    <row r="1463" spans="2:5" ht="15" customHeight="1" x14ac:dyDescent="0.3">
      <c r="C1463" s="1"/>
      <c r="D1463" s="8">
        <v>2023</v>
      </c>
      <c r="E1463" s="14">
        <f>Data!Q1463</f>
        <v>2</v>
      </c>
    </row>
    <row r="1464" spans="2:5" ht="15" customHeight="1" x14ac:dyDescent="0.3">
      <c r="C1464" s="1"/>
      <c r="D1464" s="8">
        <v>2024</v>
      </c>
      <c r="E1464" s="14">
        <f>Data!Q1464</f>
        <v>2</v>
      </c>
    </row>
    <row r="1465" spans="2:5" ht="15" customHeight="1" x14ac:dyDescent="0.3">
      <c r="B1465" s="8">
        <v>134</v>
      </c>
      <c r="C1465" s="2" t="s">
        <v>95</v>
      </c>
      <c r="D1465" s="8">
        <v>2014</v>
      </c>
      <c r="E1465" s="14">
        <f>Data!Q1465</f>
        <v>0</v>
      </c>
    </row>
    <row r="1466" spans="2:5" ht="15" customHeight="1" x14ac:dyDescent="0.3">
      <c r="C1466" s="2"/>
      <c r="D1466" s="8">
        <v>2015</v>
      </c>
      <c r="E1466" s="14">
        <f>Data!Q1466</f>
        <v>0</v>
      </c>
    </row>
    <row r="1467" spans="2:5" ht="15" customHeight="1" x14ac:dyDescent="0.3">
      <c r="C1467" s="2"/>
      <c r="D1467" s="8">
        <v>2016</v>
      </c>
      <c r="E1467" s="14">
        <f>Data!Q1467</f>
        <v>0</v>
      </c>
    </row>
    <row r="1468" spans="2:5" ht="15" customHeight="1" x14ac:dyDescent="0.3">
      <c r="C1468" s="2"/>
      <c r="D1468" s="8">
        <v>2017</v>
      </c>
      <c r="E1468" s="14">
        <f>Data!Q1468</f>
        <v>0</v>
      </c>
    </row>
    <row r="1469" spans="2:5" ht="15" customHeight="1" x14ac:dyDescent="0.3">
      <c r="C1469" s="2"/>
      <c r="D1469" s="8">
        <v>2018</v>
      </c>
      <c r="E1469" s="14">
        <f>Data!Q1469</f>
        <v>0</v>
      </c>
    </row>
    <row r="1470" spans="2:5" ht="15" customHeight="1" x14ac:dyDescent="0.3">
      <c r="C1470" s="2"/>
      <c r="D1470" s="8">
        <v>2019</v>
      </c>
      <c r="E1470" s="14">
        <f>Data!Q1470</f>
        <v>0</v>
      </c>
    </row>
    <row r="1471" spans="2:5" ht="15" customHeight="1" x14ac:dyDescent="0.3">
      <c r="C1471" s="2"/>
      <c r="D1471" s="8">
        <v>2020</v>
      </c>
      <c r="E1471" s="14">
        <f>Data!Q1471</f>
        <v>0</v>
      </c>
    </row>
    <row r="1472" spans="2:5" ht="15" customHeight="1" x14ac:dyDescent="0.3">
      <c r="C1472" s="2"/>
      <c r="D1472" s="8">
        <v>2021</v>
      </c>
      <c r="E1472" s="14">
        <f>Data!Q1472</f>
        <v>3</v>
      </c>
    </row>
    <row r="1473" spans="1:5" ht="15" customHeight="1" x14ac:dyDescent="0.3">
      <c r="C1473" s="2"/>
      <c r="D1473" s="8">
        <v>2022</v>
      </c>
      <c r="E1473" s="14">
        <f>Data!Q1473</f>
        <v>5</v>
      </c>
    </row>
    <row r="1474" spans="1:5" ht="15" customHeight="1" x14ac:dyDescent="0.3">
      <c r="C1474" s="2"/>
      <c r="D1474" s="8">
        <v>2023</v>
      </c>
      <c r="E1474" s="14">
        <f>Data!Q1474</f>
        <v>5</v>
      </c>
    </row>
    <row r="1475" spans="1:5" ht="15" customHeight="1" x14ac:dyDescent="0.3">
      <c r="C1475" s="2"/>
      <c r="D1475" s="8">
        <v>2024</v>
      </c>
      <c r="E1475" s="14">
        <f>Data!Q1475</f>
        <v>3</v>
      </c>
    </row>
    <row r="1476" spans="1:5" ht="15" customHeight="1" x14ac:dyDescent="0.3">
      <c r="B1476" s="8">
        <v>135</v>
      </c>
      <c r="C1476" s="1" t="s">
        <v>133</v>
      </c>
      <c r="D1476" s="8">
        <v>2014</v>
      </c>
      <c r="E1476" s="14">
        <f>Data!Q1476</f>
        <v>0</v>
      </c>
    </row>
    <row r="1477" spans="1:5" ht="15" customHeight="1" x14ac:dyDescent="0.3">
      <c r="C1477" s="1"/>
      <c r="D1477" s="8">
        <v>2015</v>
      </c>
      <c r="E1477" s="14">
        <f>Data!Q1477</f>
        <v>0</v>
      </c>
    </row>
    <row r="1478" spans="1:5" ht="15" customHeight="1" x14ac:dyDescent="0.3">
      <c r="C1478" s="1"/>
      <c r="D1478" s="8">
        <v>2016</v>
      </c>
      <c r="E1478" s="14">
        <f>Data!Q1478</f>
        <v>0</v>
      </c>
    </row>
    <row r="1479" spans="1:5" ht="15" customHeight="1" x14ac:dyDescent="0.3">
      <c r="C1479" s="1"/>
      <c r="D1479" s="8">
        <v>2017</v>
      </c>
      <c r="E1479" s="14">
        <f>Data!Q1479</f>
        <v>0</v>
      </c>
    </row>
    <row r="1480" spans="1:5" ht="15" customHeight="1" x14ac:dyDescent="0.3">
      <c r="C1480" s="1"/>
      <c r="D1480" s="8">
        <v>2018</v>
      </c>
      <c r="E1480" s="14">
        <f>Data!Q1480</f>
        <v>0</v>
      </c>
    </row>
    <row r="1481" spans="1:5" ht="15" customHeight="1" x14ac:dyDescent="0.3">
      <c r="C1481" s="1"/>
      <c r="D1481" s="8">
        <v>2019</v>
      </c>
      <c r="E1481" s="14">
        <f>Data!Q1481</f>
        <v>0</v>
      </c>
    </row>
    <row r="1482" spans="1:5" ht="15" customHeight="1" x14ac:dyDescent="0.3">
      <c r="C1482" s="1"/>
      <c r="D1482" s="8">
        <v>2020</v>
      </c>
      <c r="E1482" s="14">
        <f>Data!Q1482</f>
        <v>0</v>
      </c>
    </row>
    <row r="1483" spans="1:5" ht="15" customHeight="1" x14ac:dyDescent="0.3">
      <c r="C1483" s="1"/>
      <c r="D1483" s="8">
        <v>2021</v>
      </c>
      <c r="E1483" s="14">
        <f>Data!Q1483</f>
        <v>3</v>
      </c>
    </row>
    <row r="1484" spans="1:5" ht="15" customHeight="1" x14ac:dyDescent="0.3">
      <c r="C1484" s="1"/>
      <c r="D1484" s="8">
        <v>2022</v>
      </c>
      <c r="E1484" s="14">
        <f>Data!Q1484</f>
        <v>2</v>
      </c>
    </row>
    <row r="1485" spans="1:5" ht="15" customHeight="1" x14ac:dyDescent="0.3">
      <c r="C1485" s="1"/>
      <c r="D1485" s="8">
        <v>2023</v>
      </c>
      <c r="E1485" s="14">
        <f>Data!Q1485</f>
        <v>2</v>
      </c>
    </row>
    <row r="1486" spans="1:5" ht="15" customHeight="1" x14ac:dyDescent="0.3">
      <c r="C1486" s="1"/>
      <c r="D1486" s="8">
        <v>2024</v>
      </c>
      <c r="E1486" s="14">
        <f>Data!Q1486</f>
        <v>2</v>
      </c>
    </row>
    <row r="1487" spans="1:5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Data!Q1487</f>
        <v>0</v>
      </c>
    </row>
    <row r="1488" spans="1:5" ht="15" customHeight="1" x14ac:dyDescent="0.3">
      <c r="C1488" s="1"/>
      <c r="D1488" s="8">
        <v>2015</v>
      </c>
      <c r="E1488" s="14">
        <f>Data!Q1488</f>
        <v>0</v>
      </c>
    </row>
    <row r="1489" spans="2:5" ht="15" customHeight="1" x14ac:dyDescent="0.3">
      <c r="C1489" s="1"/>
      <c r="D1489" s="8">
        <v>2016</v>
      </c>
      <c r="E1489" s="14">
        <f>Data!Q1489</f>
        <v>0</v>
      </c>
    </row>
    <row r="1490" spans="2:5" ht="15" customHeight="1" x14ac:dyDescent="0.3">
      <c r="C1490" s="1"/>
      <c r="D1490" s="8">
        <v>2017</v>
      </c>
      <c r="E1490" s="14">
        <f>Data!Q1490</f>
        <v>0</v>
      </c>
    </row>
    <row r="1491" spans="2:5" ht="15" customHeight="1" x14ac:dyDescent="0.3">
      <c r="C1491" s="1"/>
      <c r="D1491" s="8">
        <v>2018</v>
      </c>
      <c r="E1491" s="14">
        <f>Data!Q1491</f>
        <v>0</v>
      </c>
    </row>
    <row r="1492" spans="2:5" ht="15" customHeight="1" x14ac:dyDescent="0.3">
      <c r="C1492" s="1"/>
      <c r="D1492" s="8">
        <v>2019</v>
      </c>
      <c r="E1492" s="14">
        <f>Data!Q1492</f>
        <v>0</v>
      </c>
    </row>
    <row r="1493" spans="2:5" ht="15" customHeight="1" x14ac:dyDescent="0.3">
      <c r="C1493" s="1"/>
      <c r="D1493" s="8">
        <v>2020</v>
      </c>
      <c r="E1493" s="14">
        <f>Data!Q1493</f>
        <v>0</v>
      </c>
    </row>
    <row r="1494" spans="2:5" ht="15" customHeight="1" x14ac:dyDescent="0.3">
      <c r="C1494" s="1"/>
      <c r="D1494" s="8">
        <v>2021</v>
      </c>
      <c r="E1494" s="14">
        <f>Data!Q1494</f>
        <v>0</v>
      </c>
    </row>
    <row r="1495" spans="2:5" ht="15" customHeight="1" x14ac:dyDescent="0.3">
      <c r="C1495" s="1"/>
      <c r="D1495" s="8">
        <v>2022</v>
      </c>
      <c r="E1495" s="14">
        <f>Data!Q1495</f>
        <v>1</v>
      </c>
    </row>
    <row r="1496" spans="2:5" ht="15" customHeight="1" x14ac:dyDescent="0.3">
      <c r="C1496" s="1"/>
      <c r="D1496" s="8">
        <v>2023</v>
      </c>
      <c r="E1496" s="14">
        <f>Data!Q1496</f>
        <v>1</v>
      </c>
    </row>
    <row r="1497" spans="2:5" ht="15" customHeight="1" x14ac:dyDescent="0.3">
      <c r="C1497" s="1"/>
      <c r="D1497" s="8">
        <v>2024</v>
      </c>
      <c r="E1497" s="14">
        <f>Data!Q1497</f>
        <v>1</v>
      </c>
    </row>
    <row r="1498" spans="2:5" ht="15" customHeight="1" x14ac:dyDescent="0.3">
      <c r="B1498" s="8">
        <v>137</v>
      </c>
      <c r="C1498" s="1" t="s">
        <v>136</v>
      </c>
      <c r="D1498" s="8">
        <v>2014</v>
      </c>
      <c r="E1498" s="14">
        <f>Data!Q1498</f>
        <v>0</v>
      </c>
    </row>
    <row r="1499" spans="2:5" ht="15" customHeight="1" x14ac:dyDescent="0.3">
      <c r="C1499" s="1"/>
      <c r="D1499" s="8">
        <v>2015</v>
      </c>
      <c r="E1499" s="14">
        <f>Data!Q1499</f>
        <v>0</v>
      </c>
    </row>
    <row r="1500" spans="2:5" ht="15" customHeight="1" x14ac:dyDescent="0.3">
      <c r="C1500" s="1"/>
      <c r="D1500" s="8">
        <v>2016</v>
      </c>
      <c r="E1500" s="14">
        <f>Data!Q1500</f>
        <v>0</v>
      </c>
    </row>
    <row r="1501" spans="2:5" ht="15" customHeight="1" x14ac:dyDescent="0.3">
      <c r="C1501" s="1"/>
      <c r="D1501" s="8">
        <v>2017</v>
      </c>
      <c r="E1501" s="14">
        <f>Data!Q1501</f>
        <v>1</v>
      </c>
    </row>
    <row r="1502" spans="2:5" ht="15" customHeight="1" x14ac:dyDescent="0.3">
      <c r="C1502" s="1"/>
      <c r="D1502" s="8">
        <v>2018</v>
      </c>
      <c r="E1502" s="14">
        <f>Data!Q1502</f>
        <v>1</v>
      </c>
    </row>
    <row r="1503" spans="2:5" ht="15" customHeight="1" x14ac:dyDescent="0.3">
      <c r="C1503" s="1"/>
      <c r="D1503" s="8">
        <v>2019</v>
      </c>
      <c r="E1503" s="14">
        <f>Data!Q1503</f>
        <v>1</v>
      </c>
    </row>
    <row r="1504" spans="2:5" ht="15" customHeight="1" x14ac:dyDescent="0.3">
      <c r="C1504" s="1"/>
      <c r="D1504" s="8">
        <v>2020</v>
      </c>
      <c r="E1504" s="14">
        <f>Data!Q1504</f>
        <v>1</v>
      </c>
    </row>
    <row r="1505" spans="2:5" ht="15" customHeight="1" x14ac:dyDescent="0.3">
      <c r="C1505" s="1"/>
      <c r="D1505" s="8">
        <v>2021</v>
      </c>
      <c r="E1505" s="14">
        <f>Data!Q1505</f>
        <v>1</v>
      </c>
    </row>
    <row r="1506" spans="2:5" ht="15" customHeight="1" x14ac:dyDescent="0.3">
      <c r="C1506" s="1"/>
      <c r="D1506" s="8">
        <v>2022</v>
      </c>
      <c r="E1506" s="14">
        <f>Data!Q1506</f>
        <v>1</v>
      </c>
    </row>
    <row r="1507" spans="2:5" ht="15" customHeight="1" x14ac:dyDescent="0.3">
      <c r="C1507" s="1"/>
      <c r="D1507" s="8">
        <v>2023</v>
      </c>
      <c r="E1507" s="14">
        <f>Data!Q1507</f>
        <v>1</v>
      </c>
    </row>
    <row r="1508" spans="2:5" ht="15" customHeight="1" x14ac:dyDescent="0.3">
      <c r="C1508" s="1"/>
      <c r="D1508" s="8">
        <v>2024</v>
      </c>
      <c r="E1508" s="14">
        <f>Data!Q1508</f>
        <v>1</v>
      </c>
    </row>
    <row r="1509" spans="2:5" ht="15" customHeight="1" x14ac:dyDescent="0.3">
      <c r="B1509" s="8">
        <v>138</v>
      </c>
      <c r="C1509" s="1" t="s">
        <v>143</v>
      </c>
      <c r="D1509" s="8">
        <v>2014</v>
      </c>
      <c r="E1509" s="14">
        <f>Data!Q1509</f>
        <v>0</v>
      </c>
    </row>
    <row r="1510" spans="2:5" ht="15" customHeight="1" x14ac:dyDescent="0.3">
      <c r="C1510" s="1"/>
      <c r="D1510" s="8">
        <v>2015</v>
      </c>
      <c r="E1510" s="14">
        <f>Data!Q1510</f>
        <v>0</v>
      </c>
    </row>
    <row r="1511" spans="2:5" ht="15" customHeight="1" x14ac:dyDescent="0.3">
      <c r="C1511" s="1"/>
      <c r="D1511" s="8">
        <v>2016</v>
      </c>
      <c r="E1511" s="14">
        <f>Data!Q1511</f>
        <v>0</v>
      </c>
    </row>
    <row r="1512" spans="2:5" ht="15" customHeight="1" x14ac:dyDescent="0.3">
      <c r="C1512" s="1"/>
      <c r="D1512" s="8">
        <v>2017</v>
      </c>
      <c r="E1512" s="14">
        <f>Data!Q1512</f>
        <v>0</v>
      </c>
    </row>
    <row r="1513" spans="2:5" ht="15" customHeight="1" x14ac:dyDescent="0.3">
      <c r="C1513" s="1"/>
      <c r="D1513" s="8">
        <v>2018</v>
      </c>
      <c r="E1513" s="14">
        <f>Data!Q1513</f>
        <v>0</v>
      </c>
    </row>
    <row r="1514" spans="2:5" ht="15" customHeight="1" x14ac:dyDescent="0.3">
      <c r="C1514" s="1"/>
      <c r="D1514" s="8">
        <v>2019</v>
      </c>
      <c r="E1514" s="14">
        <f>Data!Q1514</f>
        <v>0</v>
      </c>
    </row>
    <row r="1515" spans="2:5" ht="15" customHeight="1" x14ac:dyDescent="0.3">
      <c r="C1515" s="1"/>
      <c r="D1515" s="8">
        <v>2020</v>
      </c>
      <c r="E1515" s="14">
        <f>Data!Q1515</f>
        <v>0</v>
      </c>
    </row>
    <row r="1516" spans="2:5" ht="15" customHeight="1" x14ac:dyDescent="0.3">
      <c r="C1516" s="1"/>
      <c r="D1516" s="8">
        <v>2021</v>
      </c>
      <c r="E1516" s="14">
        <f>Data!Q1516</f>
        <v>0</v>
      </c>
    </row>
    <row r="1517" spans="2:5" ht="15" customHeight="1" x14ac:dyDescent="0.3">
      <c r="C1517" s="1"/>
      <c r="D1517" s="8">
        <v>2022</v>
      </c>
      <c r="E1517" s="14">
        <f>Data!Q1517</f>
        <v>0</v>
      </c>
    </row>
    <row r="1518" spans="2:5" ht="15" customHeight="1" x14ac:dyDescent="0.3">
      <c r="C1518" s="1"/>
      <c r="D1518" s="8">
        <v>2023</v>
      </c>
      <c r="E1518" s="14">
        <f>Data!Q1518</f>
        <v>0</v>
      </c>
    </row>
    <row r="1519" spans="2:5" ht="15" customHeight="1" x14ac:dyDescent="0.3">
      <c r="C1519" s="1"/>
      <c r="D1519" s="8">
        <v>2024</v>
      </c>
      <c r="E1519" s="14">
        <f>Data!Q1519</f>
        <v>2</v>
      </c>
    </row>
    <row r="1520" spans="2:5" ht="15" customHeight="1" x14ac:dyDescent="0.3">
      <c r="B1520" s="8">
        <v>139</v>
      </c>
      <c r="C1520" s="1" t="s">
        <v>137</v>
      </c>
      <c r="D1520" s="8">
        <v>2014</v>
      </c>
      <c r="E1520" s="14">
        <f>Data!Q1520</f>
        <v>0</v>
      </c>
    </row>
    <row r="1521" spans="2:5" ht="15" customHeight="1" x14ac:dyDescent="0.3">
      <c r="C1521" s="1"/>
      <c r="D1521" s="8">
        <v>2015</v>
      </c>
      <c r="E1521" s="14">
        <f>Data!Q1521</f>
        <v>0</v>
      </c>
    </row>
    <row r="1522" spans="2:5" ht="15" customHeight="1" x14ac:dyDescent="0.3">
      <c r="C1522" s="1"/>
      <c r="D1522" s="8">
        <v>2016</v>
      </c>
      <c r="E1522" s="14">
        <f>Data!Q1522</f>
        <v>1</v>
      </c>
    </row>
    <row r="1523" spans="2:5" ht="15" customHeight="1" x14ac:dyDescent="0.3">
      <c r="C1523" s="1"/>
      <c r="D1523" s="8">
        <v>2017</v>
      </c>
      <c r="E1523" s="14">
        <f>Data!Q1523</f>
        <v>1</v>
      </c>
    </row>
    <row r="1524" spans="2:5" ht="15" customHeight="1" x14ac:dyDescent="0.3">
      <c r="C1524" s="1"/>
      <c r="D1524" s="8">
        <v>2018</v>
      </c>
      <c r="E1524" s="14">
        <f>Data!Q1524</f>
        <v>1</v>
      </c>
    </row>
    <row r="1525" spans="2:5" ht="15" customHeight="1" x14ac:dyDescent="0.3">
      <c r="C1525" s="1"/>
      <c r="D1525" s="8">
        <v>2019</v>
      </c>
      <c r="E1525" s="14">
        <f>Data!Q1525</f>
        <v>1</v>
      </c>
    </row>
    <row r="1526" spans="2:5" ht="15" customHeight="1" x14ac:dyDescent="0.3">
      <c r="C1526" s="1"/>
      <c r="D1526" s="8">
        <v>2020</v>
      </c>
      <c r="E1526" s="14">
        <f>Data!Q1526</f>
        <v>1</v>
      </c>
    </row>
    <row r="1527" spans="2:5" ht="15" customHeight="1" x14ac:dyDescent="0.3">
      <c r="C1527" s="1"/>
      <c r="D1527" s="8">
        <v>2021</v>
      </c>
      <c r="E1527" s="14">
        <f>Data!Q1527</f>
        <v>2</v>
      </c>
    </row>
    <row r="1528" spans="2:5" ht="15" customHeight="1" x14ac:dyDescent="0.3">
      <c r="C1528" s="1"/>
      <c r="D1528" s="8">
        <v>2022</v>
      </c>
      <c r="E1528" s="14">
        <f>Data!Q1528</f>
        <v>3</v>
      </c>
    </row>
    <row r="1529" spans="2:5" ht="15" customHeight="1" x14ac:dyDescent="0.3">
      <c r="C1529" s="1"/>
      <c r="D1529" s="8">
        <v>2023</v>
      </c>
      <c r="E1529" s="14">
        <f>Data!Q1529</f>
        <v>3</v>
      </c>
    </row>
    <row r="1530" spans="2:5" ht="15" customHeight="1" x14ac:dyDescent="0.3">
      <c r="C1530" s="1"/>
      <c r="D1530" s="8">
        <v>2024</v>
      </c>
      <c r="E1530" s="14">
        <f>Data!Q1530</f>
        <v>3</v>
      </c>
    </row>
    <row r="1531" spans="2:5" ht="15" customHeight="1" x14ac:dyDescent="0.3">
      <c r="B1531" s="8">
        <v>140</v>
      </c>
      <c r="C1531" s="1" t="s">
        <v>139</v>
      </c>
      <c r="D1531" s="8">
        <v>2014</v>
      </c>
      <c r="E1531" s="14">
        <f>Data!Q1531</f>
        <v>0</v>
      </c>
    </row>
    <row r="1532" spans="2:5" ht="15" customHeight="1" x14ac:dyDescent="0.3">
      <c r="C1532" s="1"/>
      <c r="D1532" s="8">
        <v>2015</v>
      </c>
      <c r="E1532" s="14">
        <f>Data!Q1532</f>
        <v>1</v>
      </c>
    </row>
    <row r="1533" spans="2:5" ht="15" customHeight="1" x14ac:dyDescent="0.3">
      <c r="C1533" s="1"/>
      <c r="D1533" s="8">
        <v>2016</v>
      </c>
      <c r="E1533" s="14">
        <f>Data!Q1533</f>
        <v>1</v>
      </c>
    </row>
    <row r="1534" spans="2:5" ht="15" customHeight="1" x14ac:dyDescent="0.3">
      <c r="C1534" s="1"/>
      <c r="D1534" s="8">
        <v>2017</v>
      </c>
      <c r="E1534" s="14">
        <f>Data!Q1534</f>
        <v>1</v>
      </c>
    </row>
    <row r="1535" spans="2:5" ht="15" customHeight="1" x14ac:dyDescent="0.3">
      <c r="C1535" s="1"/>
      <c r="D1535" s="8">
        <v>2018</v>
      </c>
      <c r="E1535" s="14">
        <f>Data!Q1535</f>
        <v>1</v>
      </c>
    </row>
    <row r="1536" spans="2:5" ht="15" customHeight="1" x14ac:dyDescent="0.3">
      <c r="C1536" s="1"/>
      <c r="D1536" s="8">
        <v>2019</v>
      </c>
      <c r="E1536" s="14">
        <f>Data!Q1536</f>
        <v>1</v>
      </c>
    </row>
    <row r="1537" spans="2:5" ht="15" customHeight="1" x14ac:dyDescent="0.3">
      <c r="C1537" s="1"/>
      <c r="D1537" s="8">
        <v>2020</v>
      </c>
      <c r="E1537" s="14">
        <f>Data!Q1537</f>
        <v>1</v>
      </c>
    </row>
    <row r="1538" spans="2:5" ht="15" customHeight="1" x14ac:dyDescent="0.3">
      <c r="C1538" s="1"/>
      <c r="D1538" s="8">
        <v>2021</v>
      </c>
      <c r="E1538" s="14">
        <f>Data!Q1538</f>
        <v>1</v>
      </c>
    </row>
    <row r="1539" spans="2:5" ht="15" customHeight="1" x14ac:dyDescent="0.3">
      <c r="C1539" s="1"/>
      <c r="D1539" s="8">
        <v>2022</v>
      </c>
      <c r="E1539" s="14">
        <f>Data!Q1539</f>
        <v>1</v>
      </c>
    </row>
    <row r="1540" spans="2:5" ht="15" customHeight="1" x14ac:dyDescent="0.3">
      <c r="C1540" s="1"/>
      <c r="D1540" s="8">
        <v>2023</v>
      </c>
      <c r="E1540" s="14">
        <f>Data!Q1540</f>
        <v>1</v>
      </c>
    </row>
    <row r="1541" spans="2:5" ht="15" customHeight="1" x14ac:dyDescent="0.3">
      <c r="C1541" s="1"/>
      <c r="D1541" s="8">
        <v>2024</v>
      </c>
      <c r="E1541" s="14">
        <f>Data!Q1541</f>
        <v>0</v>
      </c>
    </row>
    <row r="1542" spans="2:5" ht="15" customHeight="1" x14ac:dyDescent="0.3">
      <c r="B1542" s="8">
        <v>141</v>
      </c>
      <c r="C1542" s="1" t="s">
        <v>140</v>
      </c>
      <c r="D1542" s="8">
        <v>2014</v>
      </c>
      <c r="E1542" s="14">
        <f>Data!Q1542</f>
        <v>0</v>
      </c>
    </row>
    <row r="1543" spans="2:5" ht="15" customHeight="1" x14ac:dyDescent="0.3">
      <c r="C1543" s="1"/>
      <c r="D1543" s="8">
        <v>2015</v>
      </c>
      <c r="E1543" s="14">
        <f>Data!Q1543</f>
        <v>1</v>
      </c>
    </row>
    <row r="1544" spans="2:5" ht="15" customHeight="1" x14ac:dyDescent="0.3">
      <c r="C1544" s="1"/>
      <c r="D1544" s="8">
        <v>2016</v>
      </c>
      <c r="E1544" s="14">
        <f>Data!Q1544</f>
        <v>2</v>
      </c>
    </row>
    <row r="1545" spans="2:5" ht="15" customHeight="1" x14ac:dyDescent="0.3">
      <c r="C1545" s="1"/>
      <c r="D1545" s="8">
        <v>2017</v>
      </c>
      <c r="E1545" s="14">
        <f>Data!Q1545</f>
        <v>0</v>
      </c>
    </row>
    <row r="1546" spans="2:5" ht="15" customHeight="1" x14ac:dyDescent="0.3">
      <c r="C1546" s="1"/>
      <c r="D1546" s="8">
        <v>2018</v>
      </c>
      <c r="E1546" s="14">
        <f>Data!Q1546</f>
        <v>2</v>
      </c>
    </row>
    <row r="1547" spans="2:5" ht="15" customHeight="1" x14ac:dyDescent="0.3">
      <c r="C1547" s="1"/>
      <c r="D1547" s="8">
        <v>2019</v>
      </c>
      <c r="E1547" s="14">
        <f>Data!Q1547</f>
        <v>1</v>
      </c>
    </row>
    <row r="1548" spans="2:5" ht="15" customHeight="1" x14ac:dyDescent="0.3">
      <c r="C1548" s="1"/>
      <c r="D1548" s="8">
        <v>2020</v>
      </c>
      <c r="E1548" s="14">
        <f>Data!Q1548</f>
        <v>2</v>
      </c>
    </row>
    <row r="1549" spans="2:5" ht="15" customHeight="1" x14ac:dyDescent="0.3">
      <c r="C1549" s="1"/>
      <c r="D1549" s="8">
        <v>2021</v>
      </c>
      <c r="E1549" s="14">
        <f>Data!Q1549</f>
        <v>2</v>
      </c>
    </row>
    <row r="1550" spans="2:5" ht="15" customHeight="1" x14ac:dyDescent="0.3">
      <c r="C1550" s="1"/>
      <c r="D1550" s="8">
        <v>2022</v>
      </c>
      <c r="E1550" s="14">
        <f>Data!Q1550</f>
        <v>2</v>
      </c>
    </row>
    <row r="1551" spans="2:5" ht="15" customHeight="1" x14ac:dyDescent="0.3">
      <c r="C1551" s="1"/>
      <c r="D1551" s="8">
        <v>2023</v>
      </c>
      <c r="E1551" s="14">
        <f>Data!Q1551</f>
        <v>2</v>
      </c>
    </row>
    <row r="1552" spans="2:5" ht="15" customHeight="1" x14ac:dyDescent="0.3">
      <c r="C1552" s="1"/>
      <c r="D1552" s="8">
        <v>2024</v>
      </c>
      <c r="E1552" s="14">
        <f>Data!Q1552</f>
        <v>2</v>
      </c>
    </row>
    <row r="1553" spans="2:5" ht="15" customHeight="1" x14ac:dyDescent="0.3">
      <c r="B1553" s="8">
        <v>142</v>
      </c>
      <c r="C1553" s="1" t="s">
        <v>138</v>
      </c>
      <c r="D1553" s="8">
        <v>2014</v>
      </c>
      <c r="E1553" s="14">
        <f>Data!Q1553</f>
        <v>0</v>
      </c>
    </row>
    <row r="1554" spans="2:5" ht="15" customHeight="1" x14ac:dyDescent="0.3">
      <c r="C1554" s="1"/>
      <c r="D1554" s="8">
        <v>2015</v>
      </c>
      <c r="E1554" s="14">
        <f>Data!Q1554</f>
        <v>0</v>
      </c>
    </row>
    <row r="1555" spans="2:5" ht="15" customHeight="1" x14ac:dyDescent="0.3">
      <c r="C1555" s="1"/>
      <c r="D1555" s="8">
        <v>2016</v>
      </c>
      <c r="E1555" s="14">
        <f>Data!Q1555</f>
        <v>0</v>
      </c>
    </row>
    <row r="1556" spans="2:5" ht="15" customHeight="1" x14ac:dyDescent="0.3">
      <c r="C1556" s="1"/>
      <c r="D1556" s="8">
        <v>2017</v>
      </c>
      <c r="E1556" s="14">
        <f>Data!Q1556</f>
        <v>0</v>
      </c>
    </row>
    <row r="1557" spans="2:5" ht="15" customHeight="1" x14ac:dyDescent="0.3">
      <c r="C1557" s="1"/>
      <c r="D1557" s="8">
        <v>2018</v>
      </c>
      <c r="E1557" s="14">
        <f>Data!Q1557</f>
        <v>0</v>
      </c>
    </row>
    <row r="1558" spans="2:5" ht="15" customHeight="1" x14ac:dyDescent="0.3">
      <c r="C1558" s="1"/>
      <c r="D1558" s="8">
        <v>2019</v>
      </c>
      <c r="E1558" s="14">
        <f>Data!Q1558</f>
        <v>1</v>
      </c>
    </row>
    <row r="1559" spans="2:5" ht="15" customHeight="1" x14ac:dyDescent="0.3">
      <c r="C1559" s="1"/>
      <c r="D1559" s="8">
        <v>2020</v>
      </c>
      <c r="E1559" s="14">
        <f>Data!Q1559</f>
        <v>1</v>
      </c>
    </row>
    <row r="1560" spans="2:5" ht="15" customHeight="1" x14ac:dyDescent="0.3">
      <c r="C1560" s="1"/>
      <c r="D1560" s="8">
        <v>2021</v>
      </c>
      <c r="E1560" s="14">
        <f>Data!Q1560</f>
        <v>1</v>
      </c>
    </row>
    <row r="1561" spans="2:5" ht="15" customHeight="1" x14ac:dyDescent="0.3">
      <c r="C1561" s="1"/>
      <c r="D1561" s="8">
        <v>2022</v>
      </c>
      <c r="E1561" s="14">
        <f>Data!Q1561</f>
        <v>1</v>
      </c>
    </row>
    <row r="1562" spans="2:5" ht="15" customHeight="1" x14ac:dyDescent="0.3">
      <c r="C1562" s="1"/>
      <c r="D1562" s="8">
        <v>2023</v>
      </c>
      <c r="E1562" s="14">
        <f>Data!Q1562</f>
        <v>1</v>
      </c>
    </row>
    <row r="1563" spans="2:5" ht="15" customHeight="1" x14ac:dyDescent="0.3">
      <c r="C1563" s="1"/>
      <c r="D1563" s="8">
        <v>2024</v>
      </c>
      <c r="E1563" s="14">
        <f>Data!Q1563</f>
        <v>2</v>
      </c>
    </row>
    <row r="1564" spans="2:5" ht="15" customHeight="1" x14ac:dyDescent="0.3">
      <c r="B1564" s="8">
        <v>143</v>
      </c>
      <c r="C1564" s="1" t="s">
        <v>144</v>
      </c>
      <c r="D1564" s="8">
        <v>2014</v>
      </c>
      <c r="E1564" s="14">
        <f>Data!Q1564</f>
        <v>0</v>
      </c>
    </row>
    <row r="1565" spans="2:5" ht="15" customHeight="1" x14ac:dyDescent="0.3">
      <c r="C1565" s="1"/>
      <c r="D1565" s="8">
        <v>2015</v>
      </c>
      <c r="E1565" s="14">
        <f>Data!Q1565</f>
        <v>0</v>
      </c>
    </row>
    <row r="1566" spans="2:5" ht="15" customHeight="1" x14ac:dyDescent="0.3">
      <c r="C1566" s="1"/>
      <c r="D1566" s="8">
        <v>2016</v>
      </c>
      <c r="E1566" s="14">
        <f>Data!Q1566</f>
        <v>0</v>
      </c>
    </row>
    <row r="1567" spans="2:5" ht="15" customHeight="1" x14ac:dyDescent="0.3">
      <c r="C1567" s="1"/>
      <c r="D1567" s="8">
        <v>2017</v>
      </c>
      <c r="E1567" s="14">
        <f>Data!Q1567</f>
        <v>0</v>
      </c>
    </row>
    <row r="1568" spans="2:5" ht="15" customHeight="1" x14ac:dyDescent="0.3">
      <c r="C1568" s="1"/>
      <c r="D1568" s="8">
        <v>2018</v>
      </c>
      <c r="E1568" s="14">
        <f>Data!Q1568</f>
        <v>0</v>
      </c>
    </row>
    <row r="1569" spans="2:5" ht="15" customHeight="1" x14ac:dyDescent="0.3">
      <c r="C1569" s="1"/>
      <c r="D1569" s="8">
        <v>2019</v>
      </c>
      <c r="E1569" s="14">
        <f>Data!Q1569</f>
        <v>0</v>
      </c>
    </row>
    <row r="1570" spans="2:5" ht="15" customHeight="1" x14ac:dyDescent="0.3">
      <c r="C1570" s="1"/>
      <c r="D1570" s="8">
        <v>2020</v>
      </c>
      <c r="E1570" s="14">
        <f>Data!Q1570</f>
        <v>0</v>
      </c>
    </row>
    <row r="1571" spans="2:5" ht="15" customHeight="1" x14ac:dyDescent="0.3">
      <c r="C1571" s="1"/>
      <c r="D1571" s="8">
        <v>2021</v>
      </c>
      <c r="E1571" s="14">
        <f>Data!Q1571</f>
        <v>0</v>
      </c>
    </row>
    <row r="1572" spans="2:5" ht="15" customHeight="1" x14ac:dyDescent="0.3">
      <c r="C1572" s="1"/>
      <c r="D1572" s="8">
        <v>2022</v>
      </c>
      <c r="E1572" s="14">
        <f>Data!Q1572</f>
        <v>0</v>
      </c>
    </row>
    <row r="1573" spans="2:5" ht="15" customHeight="1" x14ac:dyDescent="0.3">
      <c r="C1573" s="1"/>
      <c r="D1573" s="8">
        <v>2023</v>
      </c>
      <c r="E1573" s="14">
        <f>Data!Q1573</f>
        <v>0</v>
      </c>
    </row>
    <row r="1574" spans="2:5" ht="15" customHeight="1" x14ac:dyDescent="0.3">
      <c r="C1574" s="1"/>
      <c r="D1574" s="8">
        <v>2024</v>
      </c>
      <c r="E1574" s="14">
        <f>Data!Q1574</f>
        <v>0</v>
      </c>
    </row>
    <row r="1575" spans="2:5" ht="15" customHeight="1" x14ac:dyDescent="0.3">
      <c r="B1575" s="8">
        <v>144</v>
      </c>
      <c r="C1575" s="1" t="s">
        <v>141</v>
      </c>
      <c r="D1575" s="8">
        <v>2014</v>
      </c>
      <c r="E1575" s="14">
        <f>Data!Q1575</f>
        <v>0</v>
      </c>
    </row>
    <row r="1576" spans="2:5" ht="15" customHeight="1" x14ac:dyDescent="0.3">
      <c r="C1576" s="1"/>
      <c r="D1576" s="8">
        <v>2015</v>
      </c>
      <c r="E1576" s="14">
        <f>Data!Q1576</f>
        <v>0</v>
      </c>
    </row>
    <row r="1577" spans="2:5" ht="15" customHeight="1" x14ac:dyDescent="0.3">
      <c r="C1577" s="1"/>
      <c r="D1577" s="8">
        <v>2016</v>
      </c>
      <c r="E1577" s="14">
        <f>Data!Q1577</f>
        <v>0</v>
      </c>
    </row>
    <row r="1578" spans="2:5" ht="15" customHeight="1" x14ac:dyDescent="0.3">
      <c r="C1578" s="1"/>
      <c r="D1578" s="8">
        <v>2017</v>
      </c>
      <c r="E1578" s="14">
        <f>Data!Q1578</f>
        <v>0</v>
      </c>
    </row>
    <row r="1579" spans="2:5" ht="15" customHeight="1" x14ac:dyDescent="0.3">
      <c r="C1579" s="1"/>
      <c r="D1579" s="8">
        <v>2018</v>
      </c>
      <c r="E1579" s="14">
        <f>Data!Q1579</f>
        <v>1</v>
      </c>
    </row>
    <row r="1580" spans="2:5" ht="15" customHeight="1" x14ac:dyDescent="0.3">
      <c r="C1580" s="1"/>
      <c r="D1580" s="8">
        <v>2019</v>
      </c>
      <c r="E1580" s="14">
        <f>Data!Q1580</f>
        <v>1</v>
      </c>
    </row>
    <row r="1581" spans="2:5" ht="15" customHeight="1" x14ac:dyDescent="0.3">
      <c r="C1581" s="1"/>
      <c r="D1581" s="8">
        <v>2020</v>
      </c>
      <c r="E1581" s="14">
        <f>Data!Q1581</f>
        <v>1</v>
      </c>
    </row>
    <row r="1582" spans="2:5" ht="15" customHeight="1" x14ac:dyDescent="0.3">
      <c r="C1582" s="1"/>
      <c r="D1582" s="8">
        <v>2021</v>
      </c>
      <c r="E1582" s="14">
        <f>Data!Q1582</f>
        <v>0</v>
      </c>
    </row>
    <row r="1583" spans="2:5" ht="15" customHeight="1" x14ac:dyDescent="0.3">
      <c r="C1583" s="1"/>
      <c r="D1583" s="8">
        <v>2022</v>
      </c>
      <c r="E1583" s="14">
        <f>Data!Q1583</f>
        <v>0</v>
      </c>
    </row>
    <row r="1584" spans="2:5" ht="15" customHeight="1" x14ac:dyDescent="0.3">
      <c r="C1584" s="1"/>
      <c r="D1584" s="8">
        <v>2023</v>
      </c>
      <c r="E1584" s="14">
        <f>Data!Q1584</f>
        <v>0</v>
      </c>
    </row>
    <row r="1585" spans="1:5" ht="15" customHeight="1" x14ac:dyDescent="0.3">
      <c r="C1585" s="1"/>
      <c r="D1585" s="8">
        <v>2024</v>
      </c>
      <c r="E1585" s="14">
        <f>Data!Q1585</f>
        <v>0</v>
      </c>
    </row>
    <row r="1586" spans="1:5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Data!Q1586</f>
        <v>0</v>
      </c>
    </row>
    <row r="1587" spans="1:5" ht="15" customHeight="1" x14ac:dyDescent="0.3">
      <c r="C1587" s="4"/>
      <c r="D1587" s="8">
        <v>2015</v>
      </c>
      <c r="E1587" s="14">
        <f>Data!Q1587</f>
        <v>0</v>
      </c>
    </row>
    <row r="1588" spans="1:5" ht="15" customHeight="1" x14ac:dyDescent="0.3">
      <c r="C1588" s="4"/>
      <c r="D1588" s="8">
        <v>2016</v>
      </c>
      <c r="E1588" s="14">
        <f>Data!Q1588</f>
        <v>0</v>
      </c>
    </row>
    <row r="1589" spans="1:5" ht="15" customHeight="1" x14ac:dyDescent="0.3">
      <c r="C1589" s="4"/>
      <c r="D1589" s="8">
        <v>2017</v>
      </c>
      <c r="E1589" s="14">
        <f>Data!Q1589</f>
        <v>0</v>
      </c>
    </row>
    <row r="1590" spans="1:5" ht="15" customHeight="1" x14ac:dyDescent="0.3">
      <c r="C1590" s="4"/>
      <c r="D1590" s="8">
        <v>2018</v>
      </c>
      <c r="E1590" s="14">
        <f>Data!Q1590</f>
        <v>0</v>
      </c>
    </row>
    <row r="1591" spans="1:5" ht="15" customHeight="1" x14ac:dyDescent="0.3">
      <c r="C1591" s="4"/>
      <c r="D1591" s="8">
        <v>2019</v>
      </c>
      <c r="E1591" s="14">
        <f>Data!Q1591</f>
        <v>0</v>
      </c>
    </row>
    <row r="1592" spans="1:5" ht="15" customHeight="1" x14ac:dyDescent="0.3">
      <c r="C1592" s="4"/>
      <c r="D1592" s="8">
        <v>2020</v>
      </c>
      <c r="E1592" s="14">
        <f>Data!Q1592</f>
        <v>0</v>
      </c>
    </row>
    <row r="1593" spans="1:5" ht="15" customHeight="1" x14ac:dyDescent="0.3">
      <c r="C1593" s="4"/>
      <c r="D1593" s="8">
        <v>2021</v>
      </c>
      <c r="E1593" s="14">
        <f>Data!Q1593</f>
        <v>0</v>
      </c>
    </row>
    <row r="1594" spans="1:5" ht="15" customHeight="1" x14ac:dyDescent="0.3">
      <c r="C1594" s="4"/>
      <c r="D1594" s="8">
        <v>2022</v>
      </c>
      <c r="E1594" s="14">
        <f>Data!Q1594</f>
        <v>0</v>
      </c>
    </row>
    <row r="1595" spans="1:5" ht="15" customHeight="1" x14ac:dyDescent="0.3">
      <c r="C1595" s="4"/>
      <c r="D1595" s="8">
        <v>2023</v>
      </c>
      <c r="E1595" s="14">
        <f>Data!Q1595</f>
        <v>0</v>
      </c>
    </row>
    <row r="1596" spans="1:5" ht="15" customHeight="1" x14ac:dyDescent="0.3">
      <c r="C1596" s="4"/>
      <c r="D1596" s="8">
        <v>2024</v>
      </c>
      <c r="E1596" s="14">
        <f>Data!Q1596</f>
        <v>0</v>
      </c>
    </row>
    <row r="1597" spans="1:5" ht="15" customHeight="1" x14ac:dyDescent="0.3">
      <c r="B1597" s="8">
        <v>146</v>
      </c>
      <c r="C1597" s="4" t="s">
        <v>146</v>
      </c>
      <c r="D1597" s="8">
        <v>2014</v>
      </c>
      <c r="E1597" s="14">
        <f>Data!Q1597</f>
        <v>0</v>
      </c>
    </row>
    <row r="1598" spans="1:5" ht="15" customHeight="1" x14ac:dyDescent="0.3">
      <c r="C1598" s="4"/>
      <c r="D1598" s="8">
        <v>2015</v>
      </c>
      <c r="E1598" s="14">
        <f>Data!Q1598</f>
        <v>0</v>
      </c>
    </row>
    <row r="1599" spans="1:5" ht="15" customHeight="1" x14ac:dyDescent="0.3">
      <c r="C1599" s="4"/>
      <c r="D1599" s="8">
        <v>2016</v>
      </c>
      <c r="E1599" s="14">
        <f>Data!Q1599</f>
        <v>0</v>
      </c>
    </row>
    <row r="1600" spans="1:5" ht="15" customHeight="1" x14ac:dyDescent="0.3">
      <c r="C1600" s="4"/>
      <c r="D1600" s="8">
        <v>2017</v>
      </c>
      <c r="E1600" s="14">
        <f>Data!Q1600</f>
        <v>0</v>
      </c>
    </row>
    <row r="1601" spans="1:5" ht="15" customHeight="1" x14ac:dyDescent="0.3">
      <c r="C1601" s="4"/>
      <c r="D1601" s="8">
        <v>2018</v>
      </c>
      <c r="E1601" s="14">
        <f>Data!Q1601</f>
        <v>0</v>
      </c>
    </row>
    <row r="1602" spans="1:5" ht="15" customHeight="1" x14ac:dyDescent="0.3">
      <c r="C1602" s="4"/>
      <c r="D1602" s="8">
        <v>2019</v>
      </c>
      <c r="E1602" s="14">
        <f>Data!Q1602</f>
        <v>0</v>
      </c>
    </row>
    <row r="1603" spans="1:5" ht="15" customHeight="1" x14ac:dyDescent="0.3">
      <c r="C1603" s="4"/>
      <c r="D1603" s="8">
        <v>2020</v>
      </c>
      <c r="E1603" s="14">
        <f>Data!Q1603</f>
        <v>0</v>
      </c>
    </row>
    <row r="1604" spans="1:5" ht="15" customHeight="1" x14ac:dyDescent="0.3">
      <c r="C1604" s="4"/>
      <c r="D1604" s="8">
        <v>2021</v>
      </c>
      <c r="E1604" s="14">
        <f>Data!Q1604</f>
        <v>0</v>
      </c>
    </row>
    <row r="1605" spans="1:5" ht="15" customHeight="1" x14ac:dyDescent="0.3">
      <c r="C1605" s="4"/>
      <c r="D1605" s="8">
        <v>2022</v>
      </c>
      <c r="E1605" s="14">
        <f>Data!Q1605</f>
        <v>0</v>
      </c>
    </row>
    <row r="1606" spans="1:5" ht="15" customHeight="1" x14ac:dyDescent="0.3">
      <c r="C1606" s="4"/>
      <c r="D1606" s="8">
        <v>2023</v>
      </c>
      <c r="E1606" s="14">
        <f>Data!Q1606</f>
        <v>0</v>
      </c>
    </row>
    <row r="1607" spans="1:5" ht="15" customHeight="1" x14ac:dyDescent="0.3">
      <c r="C1607" s="4"/>
      <c r="D1607" s="8">
        <v>2024</v>
      </c>
      <c r="E1607" s="14">
        <f>Data!Q1607</f>
        <v>0</v>
      </c>
    </row>
    <row r="1608" spans="1:5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Data!Q1608</f>
        <v>0</v>
      </c>
    </row>
    <row r="1609" spans="1:5" ht="15" customHeight="1" x14ac:dyDescent="0.3">
      <c r="C1609" s="4"/>
      <c r="D1609" s="8">
        <v>2015</v>
      </c>
      <c r="E1609" s="14">
        <f>Data!Q1609</f>
        <v>0</v>
      </c>
    </row>
    <row r="1610" spans="1:5" ht="15" customHeight="1" x14ac:dyDescent="0.3">
      <c r="C1610" s="4"/>
      <c r="D1610" s="8">
        <v>2016</v>
      </c>
      <c r="E1610" s="14">
        <f>Data!Q1610</f>
        <v>0</v>
      </c>
    </row>
    <row r="1611" spans="1:5" ht="15" customHeight="1" x14ac:dyDescent="0.3">
      <c r="C1611" s="4"/>
      <c r="D1611" s="8">
        <v>2017</v>
      </c>
      <c r="E1611" s="14">
        <f>Data!Q1611</f>
        <v>0</v>
      </c>
    </row>
    <row r="1612" spans="1:5" ht="15" customHeight="1" x14ac:dyDescent="0.3">
      <c r="C1612" s="4"/>
      <c r="D1612" s="8">
        <v>2018</v>
      </c>
      <c r="E1612" s="14">
        <f>Data!Q1612</f>
        <v>0</v>
      </c>
    </row>
    <row r="1613" spans="1:5" ht="15" customHeight="1" x14ac:dyDescent="0.3">
      <c r="C1613" s="4"/>
      <c r="D1613" s="8">
        <v>2019</v>
      </c>
      <c r="E1613" s="14">
        <f>Data!Q1613</f>
        <v>0</v>
      </c>
    </row>
    <row r="1614" spans="1:5" ht="15" customHeight="1" x14ac:dyDescent="0.3">
      <c r="C1614" s="4"/>
      <c r="D1614" s="8">
        <v>2020</v>
      </c>
      <c r="E1614" s="14">
        <f>Data!Q1614</f>
        <v>0</v>
      </c>
    </row>
    <row r="1615" spans="1:5" ht="15" customHeight="1" x14ac:dyDescent="0.3">
      <c r="C1615" s="4"/>
      <c r="D1615" s="8">
        <v>2021</v>
      </c>
      <c r="E1615" s="14">
        <f>Data!Q1615</f>
        <v>0</v>
      </c>
    </row>
    <row r="1616" spans="1:5" ht="15" customHeight="1" x14ac:dyDescent="0.3">
      <c r="C1616" s="4"/>
      <c r="D1616" s="8">
        <v>2022</v>
      </c>
      <c r="E1616" s="14">
        <f>Data!Q1616</f>
        <v>0</v>
      </c>
    </row>
    <row r="1617" spans="2:5" ht="15" customHeight="1" x14ac:dyDescent="0.3">
      <c r="C1617" s="4"/>
      <c r="D1617" s="8">
        <v>2023</v>
      </c>
      <c r="E1617" s="14">
        <f>Data!Q1617</f>
        <v>0</v>
      </c>
    </row>
    <row r="1618" spans="2:5" ht="15" customHeight="1" x14ac:dyDescent="0.3">
      <c r="C1618" s="4"/>
      <c r="D1618" s="8">
        <v>2024</v>
      </c>
      <c r="E1618" s="14">
        <f>Data!Q1618</f>
        <v>0</v>
      </c>
    </row>
    <row r="1619" spans="2:5" ht="15" customHeight="1" x14ac:dyDescent="0.3">
      <c r="B1619" s="8">
        <v>148</v>
      </c>
      <c r="C1619" s="4" t="s">
        <v>148</v>
      </c>
      <c r="D1619" s="8">
        <v>2014</v>
      </c>
      <c r="E1619" s="14">
        <f>Data!Q1619</f>
        <v>0</v>
      </c>
    </row>
    <row r="1620" spans="2:5" ht="15" customHeight="1" x14ac:dyDescent="0.3">
      <c r="C1620" s="5"/>
      <c r="D1620" s="8">
        <v>2015</v>
      </c>
      <c r="E1620" s="14">
        <f>Data!Q1620</f>
        <v>0</v>
      </c>
    </row>
    <row r="1621" spans="2:5" ht="15" customHeight="1" x14ac:dyDescent="0.3">
      <c r="C1621" s="5"/>
      <c r="D1621" s="8">
        <v>2016</v>
      </c>
      <c r="E1621" s="14">
        <f>Data!Q1621</f>
        <v>0</v>
      </c>
    </row>
    <row r="1622" spans="2:5" ht="15" customHeight="1" x14ac:dyDescent="0.3">
      <c r="C1622" s="5"/>
      <c r="D1622" s="8">
        <v>2017</v>
      </c>
      <c r="E1622" s="14">
        <f>Data!Q1622</f>
        <v>0</v>
      </c>
    </row>
    <row r="1623" spans="2:5" ht="15" customHeight="1" x14ac:dyDescent="0.3">
      <c r="C1623" s="5"/>
      <c r="D1623" s="8">
        <v>2018</v>
      </c>
      <c r="E1623" s="14">
        <f>Data!Q1623</f>
        <v>0</v>
      </c>
    </row>
    <row r="1624" spans="2:5" ht="15" customHeight="1" x14ac:dyDescent="0.3">
      <c r="C1624" s="5"/>
      <c r="D1624" s="8">
        <v>2019</v>
      </c>
      <c r="E1624" s="14">
        <f>Data!Q1624</f>
        <v>0</v>
      </c>
    </row>
    <row r="1625" spans="2:5" ht="15" customHeight="1" x14ac:dyDescent="0.3">
      <c r="C1625" s="5"/>
      <c r="D1625" s="8">
        <v>2020</v>
      </c>
      <c r="E1625" s="14">
        <f>Data!Q1625</f>
        <v>0</v>
      </c>
    </row>
    <row r="1626" spans="2:5" ht="15" customHeight="1" x14ac:dyDescent="0.3">
      <c r="C1626" s="5"/>
      <c r="D1626" s="8">
        <v>2021</v>
      </c>
      <c r="E1626" s="14">
        <f>Data!Q1626</f>
        <v>0</v>
      </c>
    </row>
    <row r="1627" spans="2:5" ht="15" customHeight="1" x14ac:dyDescent="0.3">
      <c r="C1627" s="5"/>
      <c r="D1627" s="8">
        <v>2022</v>
      </c>
      <c r="E1627" s="14">
        <f>Data!Q1627</f>
        <v>0</v>
      </c>
    </row>
    <row r="1628" spans="2:5" ht="15" customHeight="1" x14ac:dyDescent="0.3">
      <c r="C1628" s="5"/>
      <c r="D1628" s="8">
        <v>2023</v>
      </c>
      <c r="E1628" s="14">
        <f>Data!Q1628</f>
        <v>0</v>
      </c>
    </row>
    <row r="1629" spans="2:5" ht="15" customHeight="1" x14ac:dyDescent="0.3">
      <c r="C1629" s="5"/>
      <c r="D1629" s="8">
        <v>2024</v>
      </c>
      <c r="E1629" s="14">
        <f>Data!Q1629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B9C-E245-416F-92C5-45F9F8B3E7B6}">
  <dimension ref="A1:E1629"/>
  <sheetViews>
    <sheetView workbookViewId="0">
      <selection activeCell="E2" sqref="E2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47.6640625" style="14" bestFit="1" customWidth="1"/>
    <col min="6" max="7" width="12.109375" bestFit="1" customWidth="1"/>
    <col min="8" max="8" width="11.5546875" bestFit="1" customWidth="1"/>
    <col min="9" max="9" width="11" bestFit="1" customWidth="1"/>
    <col min="10" max="10" width="28.109375" bestFit="1" customWidth="1"/>
    <col min="11" max="11" width="23.33203125" bestFit="1" customWidth="1"/>
    <col min="12" max="12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9" t="s">
        <v>210</v>
      </c>
    </row>
    <row r="2" spans="1:5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03">
        <f>Data!U2</f>
        <v>0</v>
      </c>
    </row>
    <row r="3" spans="1:5" ht="15" customHeight="1" x14ac:dyDescent="0.3">
      <c r="C3" s="3"/>
      <c r="D3" s="8">
        <v>2015</v>
      </c>
      <c r="E3" s="103">
        <f>Data!U3</f>
        <v>0</v>
      </c>
    </row>
    <row r="4" spans="1:5" ht="15" customHeight="1" x14ac:dyDescent="0.3">
      <c r="C4" s="3"/>
      <c r="D4" s="8">
        <v>2016</v>
      </c>
      <c r="E4" s="103">
        <f>Data!U4</f>
        <v>0</v>
      </c>
    </row>
    <row r="5" spans="1:5" ht="15" customHeight="1" x14ac:dyDescent="0.3">
      <c r="C5" s="3"/>
      <c r="D5" s="8">
        <v>2017</v>
      </c>
      <c r="E5" s="103">
        <f>Data!U5</f>
        <v>0</v>
      </c>
    </row>
    <row r="6" spans="1:5" ht="15" customHeight="1" x14ac:dyDescent="0.3">
      <c r="C6" s="3"/>
      <c r="D6" s="8">
        <v>2018</v>
      </c>
      <c r="E6" s="103">
        <f>Data!U6</f>
        <v>0</v>
      </c>
    </row>
    <row r="7" spans="1:5" ht="15" customHeight="1" x14ac:dyDescent="0.3">
      <c r="C7" s="3"/>
      <c r="D7" s="8">
        <v>2019</v>
      </c>
      <c r="E7" s="103">
        <f>Data!U7</f>
        <v>0</v>
      </c>
    </row>
    <row r="8" spans="1:5" ht="15" customHeight="1" x14ac:dyDescent="0.3">
      <c r="C8" s="3"/>
      <c r="D8" s="8">
        <v>2020</v>
      </c>
      <c r="E8" s="103">
        <f>Data!U8</f>
        <v>0</v>
      </c>
    </row>
    <row r="9" spans="1:5" ht="15" customHeight="1" x14ac:dyDescent="0.3">
      <c r="C9" s="3"/>
      <c r="D9" s="8">
        <v>2021</v>
      </c>
      <c r="E9" s="103">
        <f>Data!U9</f>
        <v>0</v>
      </c>
    </row>
    <row r="10" spans="1:5" ht="15" customHeight="1" x14ac:dyDescent="0.3">
      <c r="C10" s="3"/>
      <c r="D10" s="8">
        <v>2022</v>
      </c>
      <c r="E10" s="103">
        <f>Data!U10</f>
        <v>0</v>
      </c>
    </row>
    <row r="11" spans="1:5" ht="15" customHeight="1" x14ac:dyDescent="0.3">
      <c r="C11" s="3"/>
      <c r="D11" s="8">
        <v>2023</v>
      </c>
      <c r="E11" s="103">
        <f>Data!U11</f>
        <v>0</v>
      </c>
    </row>
    <row r="12" spans="1:5" ht="15" customHeight="1" x14ac:dyDescent="0.3">
      <c r="C12" s="3"/>
      <c r="D12" s="8">
        <v>2024</v>
      </c>
      <c r="E12" s="103">
        <f>Data!U12</f>
        <v>0</v>
      </c>
    </row>
    <row r="13" spans="1:5" ht="15" customHeight="1" x14ac:dyDescent="0.3">
      <c r="B13" s="8">
        <v>2</v>
      </c>
      <c r="C13" s="3" t="s">
        <v>2</v>
      </c>
      <c r="D13" s="8">
        <v>2014</v>
      </c>
      <c r="E13" s="103">
        <f>Data!U13</f>
        <v>0</v>
      </c>
    </row>
    <row r="14" spans="1:5" ht="15" customHeight="1" x14ac:dyDescent="0.3">
      <c r="C14" s="3"/>
      <c r="D14" s="8">
        <v>2015</v>
      </c>
      <c r="E14" s="103">
        <f>Data!U14</f>
        <v>0</v>
      </c>
    </row>
    <row r="15" spans="1:5" ht="15" customHeight="1" x14ac:dyDescent="0.3">
      <c r="C15" s="3"/>
      <c r="D15" s="8">
        <v>2016</v>
      </c>
      <c r="E15" s="103">
        <f>Data!U15</f>
        <v>0</v>
      </c>
    </row>
    <row r="16" spans="1:5" ht="15" customHeight="1" x14ac:dyDescent="0.3">
      <c r="C16" s="3"/>
      <c r="D16" s="8">
        <v>2017</v>
      </c>
      <c r="E16" s="103">
        <f>Data!U16</f>
        <v>0</v>
      </c>
    </row>
    <row r="17" spans="2:5" ht="15" customHeight="1" x14ac:dyDescent="0.3">
      <c r="C17" s="3"/>
      <c r="D17" s="8">
        <v>2018</v>
      </c>
      <c r="E17" s="103">
        <f>Data!U17</f>
        <v>0</v>
      </c>
    </row>
    <row r="18" spans="2:5" ht="15" customHeight="1" x14ac:dyDescent="0.3">
      <c r="C18" s="3"/>
      <c r="D18" s="8">
        <v>2019</v>
      </c>
      <c r="E18" s="103">
        <f>Data!U18</f>
        <v>0</v>
      </c>
    </row>
    <row r="19" spans="2:5" ht="15" customHeight="1" x14ac:dyDescent="0.3">
      <c r="C19" s="3"/>
      <c r="D19" s="8">
        <v>2020</v>
      </c>
      <c r="E19" s="103">
        <f>Data!U19</f>
        <v>0</v>
      </c>
    </row>
    <row r="20" spans="2:5" ht="15" customHeight="1" x14ac:dyDescent="0.3">
      <c r="C20" s="3"/>
      <c r="D20" s="8">
        <v>2021</v>
      </c>
      <c r="E20" s="103">
        <f>Data!U20</f>
        <v>0</v>
      </c>
    </row>
    <row r="21" spans="2:5" ht="15" customHeight="1" x14ac:dyDescent="0.3">
      <c r="C21" s="3"/>
      <c r="D21" s="8">
        <v>2022</v>
      </c>
      <c r="E21" s="103">
        <f>Data!U21</f>
        <v>0</v>
      </c>
    </row>
    <row r="22" spans="2:5" ht="15" customHeight="1" x14ac:dyDescent="0.3">
      <c r="C22" s="3"/>
      <c r="D22" s="8">
        <v>2023</v>
      </c>
      <c r="E22" s="103">
        <f>Data!U22</f>
        <v>0</v>
      </c>
    </row>
    <row r="23" spans="2:5" ht="15" customHeight="1" x14ac:dyDescent="0.3">
      <c r="C23" s="3"/>
      <c r="D23" s="8">
        <v>2024</v>
      </c>
      <c r="E23" s="103">
        <f>Data!U23</f>
        <v>0</v>
      </c>
    </row>
    <row r="24" spans="2:5" ht="15" customHeight="1" x14ac:dyDescent="0.3">
      <c r="B24" s="8">
        <v>3</v>
      </c>
      <c r="C24" s="3" t="s">
        <v>3</v>
      </c>
      <c r="D24" s="8">
        <v>2014</v>
      </c>
      <c r="E24" s="103">
        <f>Data!U24</f>
        <v>0</v>
      </c>
    </row>
    <row r="25" spans="2:5" ht="15" customHeight="1" x14ac:dyDescent="0.3">
      <c r="C25" s="3"/>
      <c r="D25" s="8">
        <v>2015</v>
      </c>
      <c r="E25" s="103">
        <f>Data!U25</f>
        <v>0</v>
      </c>
    </row>
    <row r="26" spans="2:5" ht="15" customHeight="1" x14ac:dyDescent="0.3">
      <c r="C26" s="3"/>
      <c r="D26" s="8">
        <v>2016</v>
      </c>
      <c r="E26" s="103">
        <f>Data!U26</f>
        <v>0</v>
      </c>
    </row>
    <row r="27" spans="2:5" ht="15" customHeight="1" x14ac:dyDescent="0.3">
      <c r="C27" s="3"/>
      <c r="D27" s="8">
        <v>2017</v>
      </c>
      <c r="E27" s="103">
        <f>Data!U27</f>
        <v>0</v>
      </c>
    </row>
    <row r="28" spans="2:5" ht="15" customHeight="1" x14ac:dyDescent="0.3">
      <c r="C28" s="3"/>
      <c r="D28" s="8">
        <v>2018</v>
      </c>
      <c r="E28" s="103">
        <f>Data!U28</f>
        <v>0</v>
      </c>
    </row>
    <row r="29" spans="2:5" ht="15" customHeight="1" x14ac:dyDescent="0.3">
      <c r="C29" s="3"/>
      <c r="D29" s="8">
        <v>2019</v>
      </c>
      <c r="E29" s="103">
        <f>Data!U29</f>
        <v>0</v>
      </c>
    </row>
    <row r="30" spans="2:5" ht="15" customHeight="1" x14ac:dyDescent="0.3">
      <c r="C30" s="3"/>
      <c r="D30" s="8">
        <v>2020</v>
      </c>
      <c r="E30" s="103">
        <f>Data!U30</f>
        <v>0</v>
      </c>
    </row>
    <row r="31" spans="2:5" ht="15" customHeight="1" x14ac:dyDescent="0.3">
      <c r="C31" s="3"/>
      <c r="D31" s="8">
        <v>2021</v>
      </c>
      <c r="E31" s="103">
        <f>Data!U31</f>
        <v>0</v>
      </c>
    </row>
    <row r="32" spans="2:5" ht="15" customHeight="1" x14ac:dyDescent="0.3">
      <c r="C32" s="3"/>
      <c r="D32" s="8">
        <v>2022</v>
      </c>
      <c r="E32" s="103">
        <f>Data!U32</f>
        <v>0</v>
      </c>
    </row>
    <row r="33" spans="2:5" ht="15" customHeight="1" x14ac:dyDescent="0.3">
      <c r="C33" s="3"/>
      <c r="D33" s="8">
        <v>2023</v>
      </c>
      <c r="E33" s="103">
        <f>Data!U33</f>
        <v>0</v>
      </c>
    </row>
    <row r="34" spans="2:5" ht="15" customHeight="1" x14ac:dyDescent="0.3">
      <c r="C34" s="3"/>
      <c r="D34" s="8">
        <v>2024</v>
      </c>
      <c r="E34" s="103">
        <f>Data!U34</f>
        <v>0</v>
      </c>
    </row>
    <row r="35" spans="2:5" ht="15" customHeight="1" x14ac:dyDescent="0.3">
      <c r="B35" s="8">
        <v>4</v>
      </c>
      <c r="C35" s="4" t="s">
        <v>56</v>
      </c>
      <c r="D35" s="8">
        <v>2014</v>
      </c>
      <c r="E35" s="103">
        <f>Data!U35</f>
        <v>0</v>
      </c>
    </row>
    <row r="36" spans="2:5" ht="15" customHeight="1" x14ac:dyDescent="0.3">
      <c r="C36" s="4"/>
      <c r="D36" s="8">
        <v>2015</v>
      </c>
      <c r="E36" s="103">
        <f>Data!U36</f>
        <v>0</v>
      </c>
    </row>
    <row r="37" spans="2:5" ht="15" customHeight="1" x14ac:dyDescent="0.3">
      <c r="C37" s="4"/>
      <c r="D37" s="8">
        <v>2016</v>
      </c>
      <c r="E37" s="103">
        <f>Data!U37</f>
        <v>0</v>
      </c>
    </row>
    <row r="38" spans="2:5" ht="15" customHeight="1" x14ac:dyDescent="0.3">
      <c r="C38" s="4"/>
      <c r="D38" s="8">
        <v>2017</v>
      </c>
      <c r="E38" s="103">
        <f>Data!U38</f>
        <v>0</v>
      </c>
    </row>
    <row r="39" spans="2:5" ht="15" customHeight="1" x14ac:dyDescent="0.3">
      <c r="C39" s="4"/>
      <c r="D39" s="8">
        <v>2018</v>
      </c>
      <c r="E39" s="103">
        <f>Data!U39</f>
        <v>0</v>
      </c>
    </row>
    <row r="40" spans="2:5" ht="15" customHeight="1" x14ac:dyDescent="0.3">
      <c r="C40" s="4"/>
      <c r="D40" s="8">
        <v>2019</v>
      </c>
      <c r="E40" s="103">
        <f>Data!U40</f>
        <v>0</v>
      </c>
    </row>
    <row r="41" spans="2:5" ht="15" customHeight="1" x14ac:dyDescent="0.3">
      <c r="C41" s="4"/>
      <c r="D41" s="8">
        <v>2020</v>
      </c>
      <c r="E41" s="103">
        <f>Data!U41</f>
        <v>0</v>
      </c>
    </row>
    <row r="42" spans="2:5" ht="15" customHeight="1" x14ac:dyDescent="0.3">
      <c r="C42" s="4"/>
      <c r="D42" s="8">
        <v>2021</v>
      </c>
      <c r="E42" s="103">
        <f>Data!U42</f>
        <v>0</v>
      </c>
    </row>
    <row r="43" spans="2:5" ht="15" customHeight="1" x14ac:dyDescent="0.3">
      <c r="C43" s="4"/>
      <c r="D43" s="8">
        <v>2022</v>
      </c>
      <c r="E43" s="103">
        <f>Data!U43</f>
        <v>0</v>
      </c>
    </row>
    <row r="44" spans="2:5" ht="15" customHeight="1" x14ac:dyDescent="0.3">
      <c r="C44" s="4"/>
      <c r="D44" s="8">
        <v>2023</v>
      </c>
      <c r="E44" s="103">
        <f>Data!U44</f>
        <v>0</v>
      </c>
    </row>
    <row r="45" spans="2:5" ht="15" customHeight="1" x14ac:dyDescent="0.3">
      <c r="C45" s="4"/>
      <c r="D45" s="8">
        <v>2024</v>
      </c>
      <c r="E45" s="103">
        <f>Data!U45</f>
        <v>0</v>
      </c>
    </row>
    <row r="46" spans="2:5" ht="15" customHeight="1" x14ac:dyDescent="0.3">
      <c r="B46" s="8">
        <v>5</v>
      </c>
      <c r="C46" s="3" t="s">
        <v>20</v>
      </c>
      <c r="D46" s="8">
        <v>2014</v>
      </c>
      <c r="E46" s="103">
        <f>Data!U46</f>
        <v>0</v>
      </c>
    </row>
    <row r="47" spans="2:5" ht="15" customHeight="1" x14ac:dyDescent="0.3">
      <c r="C47" s="3"/>
      <c r="D47" s="8">
        <v>2015</v>
      </c>
      <c r="E47" s="103">
        <f>Data!U47</f>
        <v>0</v>
      </c>
    </row>
    <row r="48" spans="2:5" ht="15" customHeight="1" x14ac:dyDescent="0.3">
      <c r="C48" s="3"/>
      <c r="D48" s="8">
        <v>2016</v>
      </c>
      <c r="E48" s="103">
        <f>Data!U48</f>
        <v>0</v>
      </c>
    </row>
    <row r="49" spans="2:5" ht="15" customHeight="1" x14ac:dyDescent="0.3">
      <c r="C49" s="3"/>
      <c r="D49" s="8">
        <v>2017</v>
      </c>
      <c r="E49" s="103">
        <f>Data!U49</f>
        <v>0</v>
      </c>
    </row>
    <row r="50" spans="2:5" ht="15" customHeight="1" x14ac:dyDescent="0.3">
      <c r="C50" s="3"/>
      <c r="D50" s="8">
        <v>2018</v>
      </c>
      <c r="E50" s="103">
        <f>Data!U50</f>
        <v>0</v>
      </c>
    </row>
    <row r="51" spans="2:5" ht="15" customHeight="1" x14ac:dyDescent="0.3">
      <c r="C51" s="3"/>
      <c r="D51" s="8">
        <v>2019</v>
      </c>
      <c r="E51" s="103">
        <f>Data!U51</f>
        <v>0</v>
      </c>
    </row>
    <row r="52" spans="2:5" ht="15" customHeight="1" x14ac:dyDescent="0.3">
      <c r="C52" s="3"/>
      <c r="D52" s="8">
        <v>2020</v>
      </c>
      <c r="E52" s="103">
        <f>Data!U52</f>
        <v>0</v>
      </c>
    </row>
    <row r="53" spans="2:5" ht="15" customHeight="1" x14ac:dyDescent="0.3">
      <c r="C53" s="3"/>
      <c r="D53" s="8">
        <v>2021</v>
      </c>
      <c r="E53" s="103">
        <f>Data!U53</f>
        <v>0</v>
      </c>
    </row>
    <row r="54" spans="2:5" ht="15" customHeight="1" x14ac:dyDescent="0.3">
      <c r="C54" s="3"/>
      <c r="D54" s="8">
        <v>2022</v>
      </c>
      <c r="E54" s="103">
        <f>Data!U54</f>
        <v>0</v>
      </c>
    </row>
    <row r="55" spans="2:5" ht="15" customHeight="1" x14ac:dyDescent="0.3">
      <c r="C55" s="3"/>
      <c r="D55" s="8">
        <v>2023</v>
      </c>
      <c r="E55" s="103">
        <f>Data!U55</f>
        <v>0</v>
      </c>
    </row>
    <row r="56" spans="2:5" ht="15" customHeight="1" x14ac:dyDescent="0.3">
      <c r="C56" s="3"/>
      <c r="D56" s="8">
        <v>2024</v>
      </c>
      <c r="E56" s="103">
        <f>Data!U56</f>
        <v>0</v>
      </c>
    </row>
    <row r="57" spans="2:5" ht="15" customHeight="1" x14ac:dyDescent="0.3">
      <c r="B57" s="8">
        <v>6</v>
      </c>
      <c r="C57" s="3" t="s">
        <v>21</v>
      </c>
      <c r="D57" s="8">
        <v>2014</v>
      </c>
      <c r="E57" s="103">
        <f>Data!U57</f>
        <v>0</v>
      </c>
    </row>
    <row r="58" spans="2:5" ht="15" customHeight="1" x14ac:dyDescent="0.3">
      <c r="C58" s="3"/>
      <c r="D58" s="8">
        <v>2015</v>
      </c>
      <c r="E58" s="103">
        <f>Data!U58</f>
        <v>0</v>
      </c>
    </row>
    <row r="59" spans="2:5" ht="15" customHeight="1" x14ac:dyDescent="0.3">
      <c r="C59" s="3"/>
      <c r="D59" s="8">
        <v>2016</v>
      </c>
      <c r="E59" s="103">
        <f>Data!U59</f>
        <v>0</v>
      </c>
    </row>
    <row r="60" spans="2:5" ht="15" customHeight="1" x14ac:dyDescent="0.3">
      <c r="C60" s="3"/>
      <c r="D60" s="8">
        <v>2017</v>
      </c>
      <c r="E60" s="103">
        <f>Data!U60</f>
        <v>0</v>
      </c>
    </row>
    <row r="61" spans="2:5" ht="15" customHeight="1" x14ac:dyDescent="0.3">
      <c r="C61" s="3"/>
      <c r="D61" s="8">
        <v>2018</v>
      </c>
      <c r="E61" s="103">
        <f>Data!U61</f>
        <v>0</v>
      </c>
    </row>
    <row r="62" spans="2:5" ht="15" customHeight="1" x14ac:dyDescent="0.3">
      <c r="C62" s="3"/>
      <c r="D62" s="8">
        <v>2019</v>
      </c>
      <c r="E62" s="103">
        <f>Data!U62</f>
        <v>0</v>
      </c>
    </row>
    <row r="63" spans="2:5" ht="15" customHeight="1" x14ac:dyDescent="0.3">
      <c r="C63" s="3"/>
      <c r="D63" s="8">
        <v>2020</v>
      </c>
      <c r="E63" s="103">
        <f>Data!U63</f>
        <v>0</v>
      </c>
    </row>
    <row r="64" spans="2:5" ht="15" customHeight="1" x14ac:dyDescent="0.3">
      <c r="C64" s="3"/>
      <c r="D64" s="8">
        <v>2021</v>
      </c>
      <c r="E64" s="103">
        <f>Data!U64</f>
        <v>0</v>
      </c>
    </row>
    <row r="65" spans="2:5" ht="15" customHeight="1" x14ac:dyDescent="0.3">
      <c r="C65" s="3"/>
      <c r="D65" s="8">
        <v>2022</v>
      </c>
      <c r="E65" s="103">
        <f>Data!U65</f>
        <v>0</v>
      </c>
    </row>
    <row r="66" spans="2:5" ht="15" customHeight="1" x14ac:dyDescent="0.3">
      <c r="C66" s="3"/>
      <c r="D66" s="8">
        <v>2023</v>
      </c>
      <c r="E66" s="103">
        <f>Data!U66</f>
        <v>0</v>
      </c>
    </row>
    <row r="67" spans="2:5" ht="15" customHeight="1" x14ac:dyDescent="0.3">
      <c r="C67" s="3"/>
      <c r="D67" s="8">
        <v>2024</v>
      </c>
      <c r="E67" s="103">
        <f>Data!U67</f>
        <v>0</v>
      </c>
    </row>
    <row r="68" spans="2:5" ht="15" customHeight="1" x14ac:dyDescent="0.3">
      <c r="B68" s="8">
        <v>7</v>
      </c>
      <c r="C68" s="3" t="s">
        <v>19</v>
      </c>
      <c r="D68" s="8">
        <v>2014</v>
      </c>
      <c r="E68" s="103">
        <f>Data!U68</f>
        <v>0</v>
      </c>
    </row>
    <row r="69" spans="2:5" ht="15" customHeight="1" x14ac:dyDescent="0.3">
      <c r="C69" s="3"/>
      <c r="D69" s="8">
        <v>2015</v>
      </c>
      <c r="E69" s="103">
        <f>Data!U69</f>
        <v>0</v>
      </c>
    </row>
    <row r="70" spans="2:5" ht="15" customHeight="1" x14ac:dyDescent="0.3">
      <c r="C70" s="3"/>
      <c r="D70" s="8">
        <v>2016</v>
      </c>
      <c r="E70" s="103">
        <f>Data!U70</f>
        <v>0</v>
      </c>
    </row>
    <row r="71" spans="2:5" ht="15" customHeight="1" x14ac:dyDescent="0.3">
      <c r="C71" s="3"/>
      <c r="D71" s="8">
        <v>2017</v>
      </c>
      <c r="E71" s="103">
        <f>Data!U71</f>
        <v>0</v>
      </c>
    </row>
    <row r="72" spans="2:5" ht="15" customHeight="1" x14ac:dyDescent="0.3">
      <c r="C72" s="3"/>
      <c r="D72" s="8">
        <v>2018</v>
      </c>
      <c r="E72" s="103">
        <f>Data!U72</f>
        <v>0</v>
      </c>
    </row>
    <row r="73" spans="2:5" ht="15" customHeight="1" x14ac:dyDescent="0.3">
      <c r="C73" s="3"/>
      <c r="D73" s="8">
        <v>2019</v>
      </c>
      <c r="E73" s="103">
        <f>Data!U73</f>
        <v>0</v>
      </c>
    </row>
    <row r="74" spans="2:5" ht="15" customHeight="1" x14ac:dyDescent="0.3">
      <c r="C74" s="3"/>
      <c r="D74" s="8">
        <v>2020</v>
      </c>
      <c r="E74" s="103">
        <f>Data!U74</f>
        <v>0</v>
      </c>
    </row>
    <row r="75" spans="2:5" ht="15" customHeight="1" x14ac:dyDescent="0.3">
      <c r="C75" s="3"/>
      <c r="D75" s="8">
        <v>2021</v>
      </c>
      <c r="E75" s="103">
        <f>Data!U75</f>
        <v>0</v>
      </c>
    </row>
    <row r="76" spans="2:5" ht="15" customHeight="1" x14ac:dyDescent="0.3">
      <c r="C76" s="3"/>
      <c r="D76" s="8">
        <v>2022</v>
      </c>
      <c r="E76" s="103">
        <f>Data!U76</f>
        <v>0</v>
      </c>
    </row>
    <row r="77" spans="2:5" ht="15" customHeight="1" x14ac:dyDescent="0.3">
      <c r="C77" s="3"/>
      <c r="D77" s="8">
        <v>2023</v>
      </c>
      <c r="E77" s="103">
        <f>Data!U77</f>
        <v>0</v>
      </c>
    </row>
    <row r="78" spans="2:5" ht="15" customHeight="1" x14ac:dyDescent="0.3">
      <c r="C78" s="3"/>
      <c r="D78" s="8">
        <v>2024</v>
      </c>
      <c r="E78" s="103">
        <f>Data!U78</f>
        <v>0</v>
      </c>
    </row>
    <row r="79" spans="2:5" ht="15" customHeight="1" x14ac:dyDescent="0.3">
      <c r="B79" s="8">
        <v>8</v>
      </c>
      <c r="C79" s="3" t="s">
        <v>8</v>
      </c>
      <c r="D79" s="8">
        <v>2014</v>
      </c>
      <c r="E79" s="103">
        <f>Data!U79</f>
        <v>0</v>
      </c>
    </row>
    <row r="80" spans="2:5" ht="15" customHeight="1" x14ac:dyDescent="0.3">
      <c r="C80" s="3"/>
      <c r="D80" s="8">
        <v>2015</v>
      </c>
      <c r="E80" s="103">
        <f>Data!U80</f>
        <v>0</v>
      </c>
    </row>
    <row r="81" spans="2:5" ht="15" customHeight="1" x14ac:dyDescent="0.3">
      <c r="C81" s="3"/>
      <c r="D81" s="8">
        <v>2016</v>
      </c>
      <c r="E81" s="103">
        <f>Data!U81</f>
        <v>0</v>
      </c>
    </row>
    <row r="82" spans="2:5" ht="15" customHeight="1" x14ac:dyDescent="0.3">
      <c r="C82" s="3"/>
      <c r="D82" s="8">
        <v>2017</v>
      </c>
      <c r="E82" s="103">
        <f>Data!U82</f>
        <v>0</v>
      </c>
    </row>
    <row r="83" spans="2:5" ht="15" customHeight="1" x14ac:dyDescent="0.3">
      <c r="C83" s="3"/>
      <c r="D83" s="8">
        <v>2018</v>
      </c>
      <c r="E83" s="103">
        <f>Data!U83</f>
        <v>0</v>
      </c>
    </row>
    <row r="84" spans="2:5" ht="15" customHeight="1" x14ac:dyDescent="0.3">
      <c r="C84" s="3"/>
      <c r="D84" s="8">
        <v>2019</v>
      </c>
      <c r="E84" s="103">
        <f>Data!U84</f>
        <v>0</v>
      </c>
    </row>
    <row r="85" spans="2:5" ht="15" customHeight="1" x14ac:dyDescent="0.3">
      <c r="C85" s="3"/>
      <c r="D85" s="8">
        <v>2020</v>
      </c>
      <c r="E85" s="103">
        <f>Data!U85</f>
        <v>0</v>
      </c>
    </row>
    <row r="86" spans="2:5" ht="15" customHeight="1" x14ac:dyDescent="0.3">
      <c r="C86" s="3"/>
      <c r="D86" s="8">
        <v>2021</v>
      </c>
      <c r="E86" s="103">
        <f>Data!U86</f>
        <v>0</v>
      </c>
    </row>
    <row r="87" spans="2:5" ht="15" customHeight="1" x14ac:dyDescent="0.3">
      <c r="C87" s="3"/>
      <c r="D87" s="8">
        <v>2022</v>
      </c>
      <c r="E87" s="103">
        <f>Data!U87</f>
        <v>0</v>
      </c>
    </row>
    <row r="88" spans="2:5" ht="15" customHeight="1" x14ac:dyDescent="0.3">
      <c r="C88" s="3"/>
      <c r="D88" s="8">
        <v>2023</v>
      </c>
      <c r="E88" s="103">
        <f>Data!U88</f>
        <v>0</v>
      </c>
    </row>
    <row r="89" spans="2:5" ht="15" customHeight="1" x14ac:dyDescent="0.3">
      <c r="C89" s="3"/>
      <c r="D89" s="8">
        <v>2024</v>
      </c>
      <c r="E89" s="103">
        <f>Data!U89</f>
        <v>0</v>
      </c>
    </row>
    <row r="90" spans="2:5" ht="15" customHeight="1" x14ac:dyDescent="0.3">
      <c r="B90" s="8">
        <v>9</v>
      </c>
      <c r="C90" s="3" t="s">
        <v>11</v>
      </c>
      <c r="D90" s="8">
        <v>2014</v>
      </c>
      <c r="E90" s="103">
        <f>Data!U90</f>
        <v>0</v>
      </c>
    </row>
    <row r="91" spans="2:5" ht="15" customHeight="1" x14ac:dyDescent="0.3">
      <c r="C91" s="3"/>
      <c r="D91" s="8">
        <v>2015</v>
      </c>
      <c r="E91" s="103">
        <f>Data!U91</f>
        <v>1.0000000000000001E-5</v>
      </c>
    </row>
    <row r="92" spans="2:5" ht="15" customHeight="1" x14ac:dyDescent="0.3">
      <c r="C92" s="3"/>
      <c r="D92" s="8">
        <v>2016</v>
      </c>
      <c r="E92" s="103">
        <f>Data!U92</f>
        <v>1.0000000000000001E-5</v>
      </c>
    </row>
    <row r="93" spans="2:5" ht="15" customHeight="1" x14ac:dyDescent="0.3">
      <c r="C93" s="3"/>
      <c r="D93" s="8">
        <v>2017</v>
      </c>
      <c r="E93" s="103">
        <f>Data!U93</f>
        <v>1.0000000000000001E-5</v>
      </c>
    </row>
    <row r="94" spans="2:5" ht="15" customHeight="1" x14ac:dyDescent="0.3">
      <c r="C94" s="3"/>
      <c r="D94" s="8">
        <v>2018</v>
      </c>
      <c r="E94" s="103">
        <f>Data!U94</f>
        <v>1.0000000000000001E-5</v>
      </c>
    </row>
    <row r="95" spans="2:5" ht="15" customHeight="1" x14ac:dyDescent="0.3">
      <c r="C95" s="3"/>
      <c r="D95" s="8">
        <v>2019</v>
      </c>
      <c r="E95" s="103">
        <f>Data!U95</f>
        <v>1.0000000000000001E-5</v>
      </c>
    </row>
    <row r="96" spans="2:5" ht="15" customHeight="1" x14ac:dyDescent="0.3">
      <c r="C96" s="3"/>
      <c r="D96" s="8">
        <v>2020</v>
      </c>
      <c r="E96" s="103">
        <f>Data!U96</f>
        <v>1.0000000000000001E-5</v>
      </c>
    </row>
    <row r="97" spans="2:5" ht="15" customHeight="1" x14ac:dyDescent="0.3">
      <c r="C97" s="3"/>
      <c r="D97" s="8">
        <v>2021</v>
      </c>
      <c r="E97" s="103">
        <f>Data!U97</f>
        <v>1.0000000000000001E-5</v>
      </c>
    </row>
    <row r="98" spans="2:5" ht="15" customHeight="1" x14ac:dyDescent="0.3">
      <c r="C98" s="3"/>
      <c r="D98" s="8">
        <v>2022</v>
      </c>
      <c r="E98" s="103">
        <f>Data!U98</f>
        <v>1.0000000000000001E-5</v>
      </c>
    </row>
    <row r="99" spans="2:5" ht="15" customHeight="1" x14ac:dyDescent="0.3">
      <c r="C99" s="3"/>
      <c r="D99" s="8">
        <v>2023</v>
      </c>
      <c r="E99" s="103">
        <f>Data!U99</f>
        <v>1.0000000000000001E-5</v>
      </c>
    </row>
    <row r="100" spans="2:5" ht="15" customHeight="1" x14ac:dyDescent="0.3">
      <c r="C100" s="3"/>
      <c r="D100" s="8">
        <v>2024</v>
      </c>
      <c r="E100" s="103">
        <f>Data!U100</f>
        <v>1.0000000000000001E-5</v>
      </c>
    </row>
    <row r="101" spans="2:5" ht="15" customHeight="1" x14ac:dyDescent="0.3">
      <c r="B101" s="8">
        <v>10</v>
      </c>
      <c r="C101" s="3" t="s">
        <v>13</v>
      </c>
      <c r="D101" s="8">
        <v>2014</v>
      </c>
      <c r="E101" s="103">
        <f>Data!U101</f>
        <v>0</v>
      </c>
    </row>
    <row r="102" spans="2:5" ht="15" customHeight="1" x14ac:dyDescent="0.3">
      <c r="C102" s="3"/>
      <c r="D102" s="8">
        <v>2015</v>
      </c>
      <c r="E102" s="103">
        <f>Data!U102</f>
        <v>0</v>
      </c>
    </row>
    <row r="103" spans="2:5" ht="15" customHeight="1" x14ac:dyDescent="0.3">
      <c r="C103" s="3"/>
      <c r="D103" s="8">
        <v>2016</v>
      </c>
      <c r="E103" s="103">
        <f>Data!U103</f>
        <v>0</v>
      </c>
    </row>
    <row r="104" spans="2:5" ht="15" customHeight="1" x14ac:dyDescent="0.3">
      <c r="C104" s="3"/>
      <c r="D104" s="8">
        <v>2017</v>
      </c>
      <c r="E104" s="103">
        <f>Data!U104</f>
        <v>0</v>
      </c>
    </row>
    <row r="105" spans="2:5" ht="15" customHeight="1" x14ac:dyDescent="0.3">
      <c r="C105" s="3"/>
      <c r="D105" s="8">
        <v>2018</v>
      </c>
      <c r="E105" s="103">
        <f>Data!U105</f>
        <v>0</v>
      </c>
    </row>
    <row r="106" spans="2:5" ht="15" customHeight="1" x14ac:dyDescent="0.3">
      <c r="C106" s="3"/>
      <c r="D106" s="8">
        <v>2019</v>
      </c>
      <c r="E106" s="103">
        <f>Data!U106</f>
        <v>0</v>
      </c>
    </row>
    <row r="107" spans="2:5" ht="15" customHeight="1" x14ac:dyDescent="0.3">
      <c r="C107" s="3"/>
      <c r="D107" s="8">
        <v>2020</v>
      </c>
      <c r="E107" s="103">
        <f>Data!U107</f>
        <v>0</v>
      </c>
    </row>
    <row r="108" spans="2:5" ht="15" customHeight="1" x14ac:dyDescent="0.3">
      <c r="C108" s="3"/>
      <c r="D108" s="8">
        <v>2021</v>
      </c>
      <c r="E108" s="103">
        <f>Data!U108</f>
        <v>0</v>
      </c>
    </row>
    <row r="109" spans="2:5" ht="15" customHeight="1" x14ac:dyDescent="0.3">
      <c r="C109" s="3"/>
      <c r="D109" s="8">
        <v>2022</v>
      </c>
      <c r="E109" s="103">
        <f>Data!U109</f>
        <v>0</v>
      </c>
    </row>
    <row r="110" spans="2:5" ht="15" customHeight="1" x14ac:dyDescent="0.3">
      <c r="C110" s="3"/>
      <c r="D110" s="8">
        <v>2023</v>
      </c>
      <c r="E110" s="103">
        <f>Data!U110</f>
        <v>0</v>
      </c>
    </row>
    <row r="111" spans="2:5" ht="15" customHeight="1" x14ac:dyDescent="0.3">
      <c r="C111" s="3"/>
      <c r="D111" s="8">
        <v>2024</v>
      </c>
      <c r="E111" s="103">
        <f>Data!U111</f>
        <v>0</v>
      </c>
    </row>
    <row r="112" spans="2:5" ht="15" customHeight="1" x14ac:dyDescent="0.3">
      <c r="B112" s="8">
        <v>11</v>
      </c>
      <c r="C112" s="3" t="s">
        <v>23</v>
      </c>
      <c r="D112" s="8">
        <v>2014</v>
      </c>
      <c r="E112" s="103">
        <f>Data!U112</f>
        <v>0</v>
      </c>
    </row>
    <row r="113" spans="2:5" ht="15" customHeight="1" x14ac:dyDescent="0.3">
      <c r="C113" s="3"/>
      <c r="D113" s="8">
        <v>2015</v>
      </c>
      <c r="E113" s="103">
        <f>Data!U113</f>
        <v>0</v>
      </c>
    </row>
    <row r="114" spans="2:5" ht="15" customHeight="1" x14ac:dyDescent="0.3">
      <c r="C114" s="3"/>
      <c r="D114" s="8">
        <v>2016</v>
      </c>
      <c r="E114" s="103">
        <f>Data!U114</f>
        <v>0</v>
      </c>
    </row>
    <row r="115" spans="2:5" ht="15" customHeight="1" x14ac:dyDescent="0.3">
      <c r="C115" s="3"/>
      <c r="D115" s="8">
        <v>2017</v>
      </c>
      <c r="E115" s="103">
        <f>Data!U115</f>
        <v>0</v>
      </c>
    </row>
    <row r="116" spans="2:5" ht="15" customHeight="1" x14ac:dyDescent="0.3">
      <c r="C116" s="3"/>
      <c r="D116" s="8">
        <v>2018</v>
      </c>
      <c r="E116" s="103">
        <f>Data!U116</f>
        <v>0</v>
      </c>
    </row>
    <row r="117" spans="2:5" ht="15" customHeight="1" x14ac:dyDescent="0.3">
      <c r="C117" s="3"/>
      <c r="D117" s="8">
        <v>2019</v>
      </c>
      <c r="E117" s="103">
        <f>Data!U117</f>
        <v>0</v>
      </c>
    </row>
    <row r="118" spans="2:5" ht="15" customHeight="1" x14ac:dyDescent="0.3">
      <c r="C118" s="3"/>
      <c r="D118" s="8">
        <v>2020</v>
      </c>
      <c r="E118" s="103">
        <f>Data!U118</f>
        <v>0</v>
      </c>
    </row>
    <row r="119" spans="2:5" ht="15" customHeight="1" x14ac:dyDescent="0.3">
      <c r="C119" s="3"/>
      <c r="D119" s="8">
        <v>2021</v>
      </c>
      <c r="E119" s="103">
        <f>Data!U119</f>
        <v>0</v>
      </c>
    </row>
    <row r="120" spans="2:5" ht="15" customHeight="1" x14ac:dyDescent="0.3">
      <c r="C120" s="3"/>
      <c r="D120" s="8">
        <v>2022</v>
      </c>
      <c r="E120" s="103">
        <f>Data!U120</f>
        <v>0</v>
      </c>
    </row>
    <row r="121" spans="2:5" ht="15" customHeight="1" x14ac:dyDescent="0.3">
      <c r="C121" s="3"/>
      <c r="D121" s="8">
        <v>2023</v>
      </c>
      <c r="E121" s="103">
        <f>Data!U121</f>
        <v>0</v>
      </c>
    </row>
    <row r="122" spans="2:5" ht="15" customHeight="1" x14ac:dyDescent="0.3">
      <c r="C122" s="3"/>
      <c r="D122" s="8">
        <v>2024</v>
      </c>
      <c r="E122" s="103">
        <f>Data!U122</f>
        <v>0</v>
      </c>
    </row>
    <row r="123" spans="2:5" ht="15" customHeight="1" x14ac:dyDescent="0.3">
      <c r="B123" s="8">
        <v>12</v>
      </c>
      <c r="C123" s="3" t="s">
        <v>24</v>
      </c>
      <c r="D123" s="8">
        <v>2014</v>
      </c>
      <c r="E123" s="103">
        <f>Data!U123</f>
        <v>0</v>
      </c>
    </row>
    <row r="124" spans="2:5" ht="15" customHeight="1" x14ac:dyDescent="0.3">
      <c r="C124" s="3"/>
      <c r="D124" s="8">
        <v>2015</v>
      </c>
      <c r="E124" s="103">
        <f>Data!U124</f>
        <v>0</v>
      </c>
    </row>
    <row r="125" spans="2:5" ht="15" customHeight="1" x14ac:dyDescent="0.3">
      <c r="C125" s="3"/>
      <c r="D125" s="8">
        <v>2016</v>
      </c>
      <c r="E125" s="103">
        <f>Data!U125</f>
        <v>0</v>
      </c>
    </row>
    <row r="126" spans="2:5" ht="15" customHeight="1" x14ac:dyDescent="0.3">
      <c r="C126" s="3"/>
      <c r="D126" s="8">
        <v>2017</v>
      </c>
      <c r="E126" s="103">
        <f>Data!U126</f>
        <v>0</v>
      </c>
    </row>
    <row r="127" spans="2:5" ht="15" customHeight="1" x14ac:dyDescent="0.3">
      <c r="C127" s="3"/>
      <c r="D127" s="8">
        <v>2018</v>
      </c>
      <c r="E127" s="103">
        <f>Data!U127</f>
        <v>0</v>
      </c>
    </row>
    <row r="128" spans="2:5" ht="15" customHeight="1" x14ac:dyDescent="0.3">
      <c r="C128" s="3"/>
      <c r="D128" s="8">
        <v>2019</v>
      </c>
      <c r="E128" s="103">
        <f>Data!U128</f>
        <v>0</v>
      </c>
    </row>
    <row r="129" spans="2:5" ht="15" customHeight="1" x14ac:dyDescent="0.3">
      <c r="C129" s="3"/>
      <c r="D129" s="8">
        <v>2020</v>
      </c>
      <c r="E129" s="103">
        <f>Data!U129</f>
        <v>0</v>
      </c>
    </row>
    <row r="130" spans="2:5" ht="15" customHeight="1" x14ac:dyDescent="0.3">
      <c r="C130" s="3"/>
      <c r="D130" s="8">
        <v>2021</v>
      </c>
      <c r="E130" s="103">
        <f>Data!U130</f>
        <v>0</v>
      </c>
    </row>
    <row r="131" spans="2:5" ht="15" customHeight="1" x14ac:dyDescent="0.3">
      <c r="C131" s="3"/>
      <c r="D131" s="8">
        <v>2022</v>
      </c>
      <c r="E131" s="103">
        <f>Data!U131</f>
        <v>0</v>
      </c>
    </row>
    <row r="132" spans="2:5" ht="15" customHeight="1" x14ac:dyDescent="0.3">
      <c r="C132" s="3"/>
      <c r="D132" s="8">
        <v>2023</v>
      </c>
      <c r="E132" s="103">
        <f>Data!U132</f>
        <v>0</v>
      </c>
    </row>
    <row r="133" spans="2:5" ht="15" customHeight="1" x14ac:dyDescent="0.3">
      <c r="C133" s="3"/>
      <c r="D133" s="8">
        <v>2024</v>
      </c>
      <c r="E133" s="103">
        <f>Data!U133</f>
        <v>0</v>
      </c>
    </row>
    <row r="134" spans="2:5" ht="15" customHeight="1" x14ac:dyDescent="0.3">
      <c r="B134" s="8">
        <v>13</v>
      </c>
      <c r="C134" s="3" t="s">
        <v>18</v>
      </c>
      <c r="D134" s="8">
        <v>2014</v>
      </c>
      <c r="E134" s="103">
        <f>Data!U134</f>
        <v>0</v>
      </c>
    </row>
    <row r="135" spans="2:5" ht="15" customHeight="1" x14ac:dyDescent="0.3">
      <c r="C135" s="3"/>
      <c r="D135" s="8">
        <v>2015</v>
      </c>
      <c r="E135" s="103">
        <f>Data!U135</f>
        <v>0</v>
      </c>
    </row>
    <row r="136" spans="2:5" ht="15" customHeight="1" x14ac:dyDescent="0.3">
      <c r="C136" s="3"/>
      <c r="D136" s="8">
        <v>2016</v>
      </c>
      <c r="E136" s="103">
        <f>Data!U136</f>
        <v>0</v>
      </c>
    </row>
    <row r="137" spans="2:5" ht="15" customHeight="1" x14ac:dyDescent="0.3">
      <c r="C137" s="3"/>
      <c r="D137" s="8">
        <v>2017</v>
      </c>
      <c r="E137" s="103">
        <f>Data!U137</f>
        <v>0</v>
      </c>
    </row>
    <row r="138" spans="2:5" ht="15" customHeight="1" x14ac:dyDescent="0.3">
      <c r="C138" s="3"/>
      <c r="D138" s="8">
        <v>2018</v>
      </c>
      <c r="E138" s="103">
        <f>Data!U138</f>
        <v>0</v>
      </c>
    </row>
    <row r="139" spans="2:5" ht="15" customHeight="1" x14ac:dyDescent="0.3">
      <c r="C139" s="3"/>
      <c r="D139" s="8">
        <v>2019</v>
      </c>
      <c r="E139" s="103">
        <f>Data!U139</f>
        <v>0</v>
      </c>
    </row>
    <row r="140" spans="2:5" ht="15" customHeight="1" x14ac:dyDescent="0.3">
      <c r="C140" s="3"/>
      <c r="D140" s="8">
        <v>2020</v>
      </c>
      <c r="E140" s="103">
        <f>Data!U140</f>
        <v>0</v>
      </c>
    </row>
    <row r="141" spans="2:5" ht="15" customHeight="1" x14ac:dyDescent="0.3">
      <c r="C141" s="3"/>
      <c r="D141" s="8">
        <v>2021</v>
      </c>
      <c r="E141" s="103">
        <f>Data!U141</f>
        <v>0</v>
      </c>
    </row>
    <row r="142" spans="2:5" ht="15" customHeight="1" x14ac:dyDescent="0.3">
      <c r="C142" s="3"/>
      <c r="D142" s="8">
        <v>2022</v>
      </c>
      <c r="E142" s="103">
        <f>Data!U142</f>
        <v>0</v>
      </c>
    </row>
    <row r="143" spans="2:5" ht="15" customHeight="1" x14ac:dyDescent="0.3">
      <c r="C143" s="3"/>
      <c r="D143" s="8">
        <v>2023</v>
      </c>
      <c r="E143" s="103">
        <f>Data!U143</f>
        <v>0</v>
      </c>
    </row>
    <row r="144" spans="2:5" ht="15" customHeight="1" x14ac:dyDescent="0.3">
      <c r="C144" s="3"/>
      <c r="D144" s="8">
        <v>2024</v>
      </c>
      <c r="E144" s="103">
        <f>Data!U144</f>
        <v>0</v>
      </c>
    </row>
    <row r="145" spans="2:5" ht="15" customHeight="1" x14ac:dyDescent="0.3">
      <c r="B145" s="8">
        <v>14</v>
      </c>
      <c r="C145" s="4" t="s">
        <v>57</v>
      </c>
      <c r="D145" s="8">
        <v>2014</v>
      </c>
      <c r="E145" s="103">
        <f>Data!U145</f>
        <v>0</v>
      </c>
    </row>
    <row r="146" spans="2:5" ht="15" customHeight="1" x14ac:dyDescent="0.3">
      <c r="C146" s="4"/>
      <c r="D146" s="8">
        <v>2015</v>
      </c>
      <c r="E146" s="103">
        <f>Data!U146</f>
        <v>0</v>
      </c>
    </row>
    <row r="147" spans="2:5" ht="15" customHeight="1" x14ac:dyDescent="0.3">
      <c r="C147" s="4"/>
      <c r="D147" s="8">
        <v>2016</v>
      </c>
      <c r="E147" s="103">
        <f>Data!U147</f>
        <v>0</v>
      </c>
    </row>
    <row r="148" spans="2:5" ht="15" customHeight="1" x14ac:dyDescent="0.3">
      <c r="C148" s="4"/>
      <c r="D148" s="8">
        <v>2017</v>
      </c>
      <c r="E148" s="103">
        <f>Data!U148</f>
        <v>0</v>
      </c>
    </row>
    <row r="149" spans="2:5" ht="15" customHeight="1" x14ac:dyDescent="0.3">
      <c r="C149" s="4"/>
      <c r="D149" s="8">
        <v>2018</v>
      </c>
      <c r="E149" s="103">
        <f>Data!U149</f>
        <v>0</v>
      </c>
    </row>
    <row r="150" spans="2:5" ht="15" customHeight="1" x14ac:dyDescent="0.3">
      <c r="C150" s="4"/>
      <c r="D150" s="8">
        <v>2019</v>
      </c>
      <c r="E150" s="103">
        <f>Data!U150</f>
        <v>0</v>
      </c>
    </row>
    <row r="151" spans="2:5" ht="15" customHeight="1" x14ac:dyDescent="0.3">
      <c r="C151" s="4"/>
      <c r="D151" s="8">
        <v>2020</v>
      </c>
      <c r="E151" s="103">
        <f>Data!U151</f>
        <v>0</v>
      </c>
    </row>
    <row r="152" spans="2:5" ht="15" customHeight="1" x14ac:dyDescent="0.3">
      <c r="C152" s="4"/>
      <c r="D152" s="8">
        <v>2021</v>
      </c>
      <c r="E152" s="103">
        <f>Data!U152</f>
        <v>0</v>
      </c>
    </row>
    <row r="153" spans="2:5" ht="15" customHeight="1" x14ac:dyDescent="0.3">
      <c r="C153" s="4"/>
      <c r="D153" s="8">
        <v>2022</v>
      </c>
      <c r="E153" s="103">
        <f>Data!U153</f>
        <v>0</v>
      </c>
    </row>
    <row r="154" spans="2:5" ht="15" customHeight="1" x14ac:dyDescent="0.3">
      <c r="C154" s="4"/>
      <c r="D154" s="8">
        <v>2023</v>
      </c>
      <c r="E154" s="103">
        <f>Data!U154</f>
        <v>0</v>
      </c>
    </row>
    <row r="155" spans="2:5" ht="15" customHeight="1" x14ac:dyDescent="0.3">
      <c r="C155" s="4"/>
      <c r="D155" s="8">
        <v>2024</v>
      </c>
      <c r="E155" s="103">
        <f>Data!U155</f>
        <v>0</v>
      </c>
    </row>
    <row r="156" spans="2:5" ht="15" customHeight="1" x14ac:dyDescent="0.3">
      <c r="B156" s="8">
        <v>15</v>
      </c>
      <c r="C156" s="3" t="s">
        <v>25</v>
      </c>
      <c r="D156" s="8">
        <v>2014</v>
      </c>
      <c r="E156" s="103">
        <f>Data!U156</f>
        <v>0</v>
      </c>
    </row>
    <row r="157" spans="2:5" ht="15" customHeight="1" x14ac:dyDescent="0.3">
      <c r="C157" s="3"/>
      <c r="D157" s="8">
        <v>2015</v>
      </c>
      <c r="E157" s="103">
        <f>Data!U157</f>
        <v>0</v>
      </c>
    </row>
    <row r="158" spans="2:5" ht="15" customHeight="1" x14ac:dyDescent="0.3">
      <c r="C158" s="3"/>
      <c r="D158" s="8">
        <v>2016</v>
      </c>
      <c r="E158" s="103">
        <f>Data!U158</f>
        <v>0</v>
      </c>
    </row>
    <row r="159" spans="2:5" ht="15" customHeight="1" x14ac:dyDescent="0.3">
      <c r="C159" s="3"/>
      <c r="D159" s="8">
        <v>2017</v>
      </c>
      <c r="E159" s="103">
        <f>Data!U159</f>
        <v>0</v>
      </c>
    </row>
    <row r="160" spans="2:5" ht="15" customHeight="1" x14ac:dyDescent="0.3">
      <c r="C160" s="3"/>
      <c r="D160" s="8">
        <v>2018</v>
      </c>
      <c r="E160" s="103">
        <f>Data!U160</f>
        <v>0</v>
      </c>
    </row>
    <row r="161" spans="2:5" ht="15" customHeight="1" x14ac:dyDescent="0.3">
      <c r="C161" s="3"/>
      <c r="D161" s="8">
        <v>2019</v>
      </c>
      <c r="E161" s="103">
        <f>Data!U161</f>
        <v>0</v>
      </c>
    </row>
    <row r="162" spans="2:5" ht="15" customHeight="1" x14ac:dyDescent="0.3">
      <c r="C162" s="3"/>
      <c r="D162" s="8">
        <v>2020</v>
      </c>
      <c r="E162" s="103">
        <f>Data!U162</f>
        <v>0</v>
      </c>
    </row>
    <row r="163" spans="2:5" ht="15" customHeight="1" x14ac:dyDescent="0.3">
      <c r="C163" s="3"/>
      <c r="D163" s="8">
        <v>2021</v>
      </c>
      <c r="E163" s="103">
        <f>Data!U163</f>
        <v>0</v>
      </c>
    </row>
    <row r="164" spans="2:5" ht="15" customHeight="1" x14ac:dyDescent="0.3">
      <c r="C164" s="3"/>
      <c r="D164" s="8">
        <v>2022</v>
      </c>
      <c r="E164" s="103">
        <f>Data!U164</f>
        <v>0</v>
      </c>
    </row>
    <row r="165" spans="2:5" ht="15" customHeight="1" x14ac:dyDescent="0.3">
      <c r="C165" s="3"/>
      <c r="D165" s="8">
        <v>2023</v>
      </c>
      <c r="E165" s="103">
        <f>Data!U165</f>
        <v>0</v>
      </c>
    </row>
    <row r="166" spans="2:5" ht="15" customHeight="1" x14ac:dyDescent="0.3">
      <c r="C166" s="3"/>
      <c r="D166" s="8">
        <v>2024</v>
      </c>
      <c r="E166" s="103">
        <f>Data!U166</f>
        <v>0</v>
      </c>
    </row>
    <row r="167" spans="2:5" ht="15" customHeight="1" x14ac:dyDescent="0.3">
      <c r="B167" s="8">
        <v>16</v>
      </c>
      <c r="C167" s="3" t="s">
        <v>44</v>
      </c>
      <c r="D167" s="8">
        <v>2014</v>
      </c>
      <c r="E167" s="103">
        <f>Data!U167</f>
        <v>0</v>
      </c>
    </row>
    <row r="168" spans="2:5" ht="15" customHeight="1" x14ac:dyDescent="0.3">
      <c r="C168" s="3"/>
      <c r="D168" s="8">
        <v>2015</v>
      </c>
      <c r="E168" s="103">
        <f>Data!U168</f>
        <v>0</v>
      </c>
    </row>
    <row r="169" spans="2:5" ht="15" customHeight="1" x14ac:dyDescent="0.3">
      <c r="C169" s="3"/>
      <c r="D169" s="8">
        <v>2016</v>
      </c>
      <c r="E169" s="103">
        <f>Data!U169</f>
        <v>0</v>
      </c>
    </row>
    <row r="170" spans="2:5" ht="15" customHeight="1" x14ac:dyDescent="0.3">
      <c r="C170" s="3"/>
      <c r="D170" s="8">
        <v>2017</v>
      </c>
      <c r="E170" s="103">
        <f>Data!U170</f>
        <v>0</v>
      </c>
    </row>
    <row r="171" spans="2:5" ht="15" customHeight="1" x14ac:dyDescent="0.3">
      <c r="C171" s="3"/>
      <c r="D171" s="8">
        <v>2018</v>
      </c>
      <c r="E171" s="103">
        <f>Data!U171</f>
        <v>0</v>
      </c>
    </row>
    <row r="172" spans="2:5" ht="15" customHeight="1" x14ac:dyDescent="0.3">
      <c r="C172" s="3"/>
      <c r="D172" s="8">
        <v>2019</v>
      </c>
      <c r="E172" s="103">
        <f>Data!U172</f>
        <v>0</v>
      </c>
    </row>
    <row r="173" spans="2:5" ht="15" customHeight="1" x14ac:dyDescent="0.3">
      <c r="C173" s="3"/>
      <c r="D173" s="8">
        <v>2020</v>
      </c>
      <c r="E173" s="103">
        <f>Data!U173</f>
        <v>0</v>
      </c>
    </row>
    <row r="174" spans="2:5" ht="15" customHeight="1" x14ac:dyDescent="0.3">
      <c r="C174" s="3"/>
      <c r="D174" s="8">
        <v>2021</v>
      </c>
      <c r="E174" s="103">
        <f>Data!U174</f>
        <v>0</v>
      </c>
    </row>
    <row r="175" spans="2:5" ht="15" customHeight="1" x14ac:dyDescent="0.3">
      <c r="C175" s="3"/>
      <c r="D175" s="8">
        <v>2022</v>
      </c>
      <c r="E175" s="103">
        <f>Data!U175</f>
        <v>0</v>
      </c>
    </row>
    <row r="176" spans="2:5" ht="15" customHeight="1" x14ac:dyDescent="0.3">
      <c r="C176" s="3"/>
      <c r="D176" s="8">
        <v>2023</v>
      </c>
      <c r="E176" s="103">
        <f>Data!U176</f>
        <v>0</v>
      </c>
    </row>
    <row r="177" spans="2:5" ht="15" customHeight="1" x14ac:dyDescent="0.3">
      <c r="C177" s="3"/>
      <c r="D177" s="8">
        <v>2024</v>
      </c>
      <c r="E177" s="103">
        <f>Data!U177</f>
        <v>0</v>
      </c>
    </row>
    <row r="178" spans="2:5" ht="15" customHeight="1" x14ac:dyDescent="0.3">
      <c r="B178" s="8">
        <v>17</v>
      </c>
      <c r="C178" s="3" t="s">
        <v>22</v>
      </c>
      <c r="D178" s="8">
        <v>2014</v>
      </c>
      <c r="E178" s="103">
        <f>Data!U178</f>
        <v>0</v>
      </c>
    </row>
    <row r="179" spans="2:5" ht="15" customHeight="1" x14ac:dyDescent="0.3">
      <c r="C179" s="3"/>
      <c r="D179" s="8">
        <v>2015</v>
      </c>
      <c r="E179" s="103">
        <f>Data!U179</f>
        <v>0</v>
      </c>
    </row>
    <row r="180" spans="2:5" ht="15" customHeight="1" x14ac:dyDescent="0.3">
      <c r="C180" s="3"/>
      <c r="D180" s="8">
        <v>2016</v>
      </c>
      <c r="E180" s="103">
        <f>Data!U180</f>
        <v>0</v>
      </c>
    </row>
    <row r="181" spans="2:5" ht="15" customHeight="1" x14ac:dyDescent="0.3">
      <c r="C181" s="3"/>
      <c r="D181" s="8">
        <v>2017</v>
      </c>
      <c r="E181" s="103">
        <f>Data!U181</f>
        <v>0</v>
      </c>
    </row>
    <row r="182" spans="2:5" ht="15" customHeight="1" x14ac:dyDescent="0.3">
      <c r="C182" s="3"/>
      <c r="D182" s="8">
        <v>2018</v>
      </c>
      <c r="E182" s="103">
        <f>Data!U182</f>
        <v>0</v>
      </c>
    </row>
    <row r="183" spans="2:5" ht="15" customHeight="1" x14ac:dyDescent="0.3">
      <c r="C183" s="3"/>
      <c r="D183" s="8">
        <v>2019</v>
      </c>
      <c r="E183" s="103">
        <f>Data!U183</f>
        <v>0</v>
      </c>
    </row>
    <row r="184" spans="2:5" ht="15" customHeight="1" x14ac:dyDescent="0.3">
      <c r="C184" s="3"/>
      <c r="D184" s="8">
        <v>2020</v>
      </c>
      <c r="E184" s="103">
        <f>Data!U184</f>
        <v>0</v>
      </c>
    </row>
    <row r="185" spans="2:5" ht="15" customHeight="1" x14ac:dyDescent="0.3">
      <c r="C185" s="3"/>
      <c r="D185" s="8">
        <v>2021</v>
      </c>
      <c r="E185" s="103">
        <f>Data!U185</f>
        <v>0</v>
      </c>
    </row>
    <row r="186" spans="2:5" ht="15" customHeight="1" x14ac:dyDescent="0.3">
      <c r="C186" s="3"/>
      <c r="D186" s="8">
        <v>2022</v>
      </c>
      <c r="E186" s="103">
        <f>Data!U186</f>
        <v>0</v>
      </c>
    </row>
    <row r="187" spans="2:5" ht="15" customHeight="1" x14ac:dyDescent="0.3">
      <c r="C187" s="3"/>
      <c r="D187" s="8">
        <v>2023</v>
      </c>
      <c r="E187" s="103">
        <f>Data!U187</f>
        <v>0</v>
      </c>
    </row>
    <row r="188" spans="2:5" ht="15" customHeight="1" x14ac:dyDescent="0.3">
      <c r="C188" s="3"/>
      <c r="D188" s="8">
        <v>2024</v>
      </c>
      <c r="E188" s="103">
        <f>Data!U188</f>
        <v>0</v>
      </c>
    </row>
    <row r="189" spans="2:5" ht="15" customHeight="1" x14ac:dyDescent="0.3">
      <c r="B189" s="8">
        <v>18</v>
      </c>
      <c r="C189" s="3" t="s">
        <v>45</v>
      </c>
      <c r="D189" s="8">
        <v>2014</v>
      </c>
      <c r="E189" s="103">
        <f>Data!U189</f>
        <v>0</v>
      </c>
    </row>
    <row r="190" spans="2:5" ht="15" customHeight="1" x14ac:dyDescent="0.3">
      <c r="C190" s="3"/>
      <c r="D190" s="8">
        <v>2015</v>
      </c>
      <c r="E190" s="103">
        <f>Data!U190</f>
        <v>0</v>
      </c>
    </row>
    <row r="191" spans="2:5" ht="15" customHeight="1" x14ac:dyDescent="0.3">
      <c r="C191" s="3"/>
      <c r="D191" s="8">
        <v>2016</v>
      </c>
      <c r="E191" s="103">
        <f>Data!U191</f>
        <v>0</v>
      </c>
    </row>
    <row r="192" spans="2:5" ht="15" customHeight="1" x14ac:dyDescent="0.3">
      <c r="C192" s="3"/>
      <c r="D192" s="8">
        <v>2017</v>
      </c>
      <c r="E192" s="103">
        <f>Data!U192</f>
        <v>0</v>
      </c>
    </row>
    <row r="193" spans="2:5" ht="15" customHeight="1" x14ac:dyDescent="0.3">
      <c r="C193" s="3"/>
      <c r="D193" s="8">
        <v>2018</v>
      </c>
      <c r="E193" s="103">
        <f>Data!U193</f>
        <v>0</v>
      </c>
    </row>
    <row r="194" spans="2:5" ht="15" customHeight="1" x14ac:dyDescent="0.3">
      <c r="C194" s="3"/>
      <c r="D194" s="8">
        <v>2019</v>
      </c>
      <c r="E194" s="103">
        <f>Data!U194</f>
        <v>0</v>
      </c>
    </row>
    <row r="195" spans="2:5" ht="15" customHeight="1" x14ac:dyDescent="0.3">
      <c r="C195" s="3"/>
      <c r="D195" s="8">
        <v>2020</v>
      </c>
      <c r="E195" s="103">
        <f>Data!U195</f>
        <v>0</v>
      </c>
    </row>
    <row r="196" spans="2:5" ht="15" customHeight="1" x14ac:dyDescent="0.3">
      <c r="C196" s="3"/>
      <c r="D196" s="8">
        <v>2021</v>
      </c>
      <c r="E196" s="103">
        <f>Data!U196</f>
        <v>0</v>
      </c>
    </row>
    <row r="197" spans="2:5" ht="15" customHeight="1" x14ac:dyDescent="0.3">
      <c r="C197" s="3"/>
      <c r="D197" s="8">
        <v>2022</v>
      </c>
      <c r="E197" s="103">
        <f>Data!U197</f>
        <v>0</v>
      </c>
    </row>
    <row r="198" spans="2:5" ht="15" customHeight="1" x14ac:dyDescent="0.3">
      <c r="C198" s="3"/>
      <c r="D198" s="8">
        <v>2023</v>
      </c>
      <c r="E198" s="103">
        <f>Data!U198</f>
        <v>0</v>
      </c>
    </row>
    <row r="199" spans="2:5" ht="15" customHeight="1" x14ac:dyDescent="0.3">
      <c r="C199" s="3"/>
      <c r="D199" s="8">
        <v>2024</v>
      </c>
      <c r="E199" s="103">
        <f>Data!U199</f>
        <v>0</v>
      </c>
    </row>
    <row r="200" spans="2:5" ht="15" customHeight="1" x14ac:dyDescent="0.3">
      <c r="B200" s="8">
        <v>19</v>
      </c>
      <c r="C200" s="3" t="s">
        <v>46</v>
      </c>
      <c r="D200" s="8">
        <v>2014</v>
      </c>
      <c r="E200" s="103">
        <f>Data!U200</f>
        <v>0</v>
      </c>
    </row>
    <row r="201" spans="2:5" ht="15" customHeight="1" x14ac:dyDescent="0.3">
      <c r="C201" s="3"/>
      <c r="D201" s="8">
        <v>2015</v>
      </c>
      <c r="E201" s="103">
        <f>Data!U201</f>
        <v>0</v>
      </c>
    </row>
    <row r="202" spans="2:5" ht="15" customHeight="1" x14ac:dyDescent="0.3">
      <c r="C202" s="3"/>
      <c r="D202" s="8">
        <v>2016</v>
      </c>
      <c r="E202" s="103">
        <f>Data!U202</f>
        <v>0</v>
      </c>
    </row>
    <row r="203" spans="2:5" ht="15" customHeight="1" x14ac:dyDescent="0.3">
      <c r="C203" s="3"/>
      <c r="D203" s="8">
        <v>2017</v>
      </c>
      <c r="E203" s="103">
        <f>Data!U203</f>
        <v>0</v>
      </c>
    </row>
    <row r="204" spans="2:5" ht="15" customHeight="1" x14ac:dyDescent="0.3">
      <c r="C204" s="3"/>
      <c r="D204" s="8">
        <v>2018</v>
      </c>
      <c r="E204" s="103">
        <f>Data!U204</f>
        <v>0</v>
      </c>
    </row>
    <row r="205" spans="2:5" ht="15" customHeight="1" x14ac:dyDescent="0.3">
      <c r="C205" s="3"/>
      <c r="D205" s="8">
        <v>2019</v>
      </c>
      <c r="E205" s="103">
        <f>Data!U205</f>
        <v>0</v>
      </c>
    </row>
    <row r="206" spans="2:5" ht="15" customHeight="1" x14ac:dyDescent="0.3">
      <c r="C206" s="3"/>
      <c r="D206" s="8">
        <v>2020</v>
      </c>
      <c r="E206" s="103">
        <f>Data!U206</f>
        <v>0</v>
      </c>
    </row>
    <row r="207" spans="2:5" ht="15" customHeight="1" x14ac:dyDescent="0.3">
      <c r="C207" s="3"/>
      <c r="D207" s="8">
        <v>2021</v>
      </c>
      <c r="E207" s="103">
        <f>Data!U207</f>
        <v>0</v>
      </c>
    </row>
    <row r="208" spans="2:5" ht="15" customHeight="1" x14ac:dyDescent="0.3">
      <c r="C208" s="3"/>
      <c r="D208" s="8">
        <v>2022</v>
      </c>
      <c r="E208" s="103">
        <f>Data!U208</f>
        <v>0</v>
      </c>
    </row>
    <row r="209" spans="2:5" ht="15" customHeight="1" x14ac:dyDescent="0.3">
      <c r="C209" s="3"/>
      <c r="D209" s="8">
        <v>2023</v>
      </c>
      <c r="E209" s="103">
        <f>Data!U209</f>
        <v>0</v>
      </c>
    </row>
    <row r="210" spans="2:5" ht="15" customHeight="1" x14ac:dyDescent="0.3">
      <c r="C210" s="3"/>
      <c r="D210" s="8">
        <v>2024</v>
      </c>
      <c r="E210" s="103">
        <f>Data!U210</f>
        <v>0</v>
      </c>
    </row>
    <row r="211" spans="2:5" ht="15" customHeight="1" x14ac:dyDescent="0.3">
      <c r="B211" s="8">
        <v>20</v>
      </c>
      <c r="C211" s="3" t="s">
        <v>27</v>
      </c>
      <c r="D211" s="8">
        <v>2014</v>
      </c>
      <c r="E211" s="103">
        <f>Data!U211</f>
        <v>0</v>
      </c>
    </row>
    <row r="212" spans="2:5" ht="15" customHeight="1" x14ac:dyDescent="0.3">
      <c r="C212" s="3"/>
      <c r="D212" s="8">
        <v>2015</v>
      </c>
      <c r="E212" s="103">
        <f>Data!U212</f>
        <v>0</v>
      </c>
    </row>
    <row r="213" spans="2:5" ht="15" customHeight="1" x14ac:dyDescent="0.3">
      <c r="C213" s="3"/>
      <c r="D213" s="8">
        <v>2016</v>
      </c>
      <c r="E213" s="103">
        <f>Data!U213</f>
        <v>0</v>
      </c>
    </row>
    <row r="214" spans="2:5" ht="15" customHeight="1" x14ac:dyDescent="0.3">
      <c r="C214" s="3"/>
      <c r="D214" s="8">
        <v>2017</v>
      </c>
      <c r="E214" s="103">
        <f>Data!U214</f>
        <v>0</v>
      </c>
    </row>
    <row r="215" spans="2:5" ht="15" customHeight="1" x14ac:dyDescent="0.3">
      <c r="C215" s="3"/>
      <c r="D215" s="8">
        <v>2018</v>
      </c>
      <c r="E215" s="103">
        <f>Data!U215</f>
        <v>0</v>
      </c>
    </row>
    <row r="216" spans="2:5" ht="15" customHeight="1" x14ac:dyDescent="0.3">
      <c r="C216" s="3"/>
      <c r="D216" s="8">
        <v>2019</v>
      </c>
      <c r="E216" s="103">
        <f>Data!U216</f>
        <v>0</v>
      </c>
    </row>
    <row r="217" spans="2:5" ht="15" customHeight="1" x14ac:dyDescent="0.3">
      <c r="C217" s="3"/>
      <c r="D217" s="8">
        <v>2020</v>
      </c>
      <c r="E217" s="103">
        <f>Data!U217</f>
        <v>0</v>
      </c>
    </row>
    <row r="218" spans="2:5" ht="15" customHeight="1" x14ac:dyDescent="0.3">
      <c r="C218" s="3"/>
      <c r="D218" s="8">
        <v>2021</v>
      </c>
      <c r="E218" s="103">
        <f>Data!U218</f>
        <v>0</v>
      </c>
    </row>
    <row r="219" spans="2:5" ht="15" customHeight="1" x14ac:dyDescent="0.3">
      <c r="C219" s="3"/>
      <c r="D219" s="8">
        <v>2022</v>
      </c>
      <c r="E219" s="103">
        <f>Data!U219</f>
        <v>0</v>
      </c>
    </row>
    <row r="220" spans="2:5" ht="15" customHeight="1" x14ac:dyDescent="0.3">
      <c r="C220" s="3"/>
      <c r="D220" s="8">
        <v>2023</v>
      </c>
      <c r="E220" s="103">
        <f>Data!U220</f>
        <v>0</v>
      </c>
    </row>
    <row r="221" spans="2:5" ht="15" customHeight="1" x14ac:dyDescent="0.3">
      <c r="C221" s="3"/>
      <c r="D221" s="8">
        <v>2024</v>
      </c>
      <c r="E221" s="103">
        <f>Data!U221</f>
        <v>0</v>
      </c>
    </row>
    <row r="222" spans="2:5" ht="15" customHeight="1" x14ac:dyDescent="0.3">
      <c r="B222" s="8">
        <v>21</v>
      </c>
      <c r="C222" s="4" t="s">
        <v>52</v>
      </c>
      <c r="D222" s="8">
        <v>2014</v>
      </c>
      <c r="E222" s="103">
        <f>Data!U222</f>
        <v>0</v>
      </c>
    </row>
    <row r="223" spans="2:5" ht="15" customHeight="1" x14ac:dyDescent="0.3">
      <c r="C223" s="4"/>
      <c r="D223" s="8">
        <v>2015</v>
      </c>
      <c r="E223" s="103">
        <f>Data!U223</f>
        <v>0</v>
      </c>
    </row>
    <row r="224" spans="2:5" ht="15" customHeight="1" x14ac:dyDescent="0.3">
      <c r="C224" s="4"/>
      <c r="D224" s="8">
        <v>2016</v>
      </c>
      <c r="E224" s="103">
        <f>Data!U224</f>
        <v>0</v>
      </c>
    </row>
    <row r="225" spans="2:5" ht="15" customHeight="1" x14ac:dyDescent="0.3">
      <c r="C225" s="4"/>
      <c r="D225" s="8">
        <v>2017</v>
      </c>
      <c r="E225" s="103">
        <f>Data!U225</f>
        <v>0</v>
      </c>
    </row>
    <row r="226" spans="2:5" ht="15" customHeight="1" x14ac:dyDescent="0.3">
      <c r="C226" s="4"/>
      <c r="D226" s="8">
        <v>2018</v>
      </c>
      <c r="E226" s="103">
        <f>Data!U226</f>
        <v>0</v>
      </c>
    </row>
    <row r="227" spans="2:5" ht="15" customHeight="1" x14ac:dyDescent="0.3">
      <c r="C227" s="4"/>
      <c r="D227" s="8">
        <v>2019</v>
      </c>
      <c r="E227" s="103">
        <f>Data!U227</f>
        <v>0</v>
      </c>
    </row>
    <row r="228" spans="2:5" ht="15" customHeight="1" x14ac:dyDescent="0.3">
      <c r="C228" s="4"/>
      <c r="D228" s="8">
        <v>2020</v>
      </c>
      <c r="E228" s="103">
        <f>Data!U228</f>
        <v>0</v>
      </c>
    </row>
    <row r="229" spans="2:5" ht="15" customHeight="1" x14ac:dyDescent="0.3">
      <c r="C229" s="4"/>
      <c r="D229" s="8">
        <v>2021</v>
      </c>
      <c r="E229" s="103">
        <f>Data!U229</f>
        <v>0</v>
      </c>
    </row>
    <row r="230" spans="2:5" ht="15" customHeight="1" x14ac:dyDescent="0.3">
      <c r="C230" s="4"/>
      <c r="D230" s="8">
        <v>2022</v>
      </c>
      <c r="E230" s="103">
        <f>Data!U230</f>
        <v>0</v>
      </c>
    </row>
    <row r="231" spans="2:5" ht="15" customHeight="1" x14ac:dyDescent="0.3">
      <c r="C231" s="4"/>
      <c r="D231" s="8">
        <v>2023</v>
      </c>
      <c r="E231" s="103">
        <f>Data!U231</f>
        <v>0</v>
      </c>
    </row>
    <row r="232" spans="2:5" ht="15" customHeight="1" x14ac:dyDescent="0.3">
      <c r="C232" s="4"/>
      <c r="D232" s="8">
        <v>2024</v>
      </c>
      <c r="E232" s="103">
        <f>Data!U232</f>
        <v>0</v>
      </c>
    </row>
    <row r="233" spans="2:5" ht="15" customHeight="1" x14ac:dyDescent="0.3">
      <c r="B233" s="8">
        <v>22</v>
      </c>
      <c r="C233" s="4" t="s">
        <v>53</v>
      </c>
      <c r="D233" s="8">
        <v>2014</v>
      </c>
      <c r="E233" s="103">
        <f>Data!U233</f>
        <v>0</v>
      </c>
    </row>
    <row r="234" spans="2:5" ht="15" customHeight="1" x14ac:dyDescent="0.3">
      <c r="C234" s="4"/>
      <c r="D234" s="8">
        <v>2015</v>
      </c>
      <c r="E234" s="103">
        <f>Data!U234</f>
        <v>0</v>
      </c>
    </row>
    <row r="235" spans="2:5" ht="15" customHeight="1" x14ac:dyDescent="0.3">
      <c r="C235" s="4"/>
      <c r="D235" s="8">
        <v>2016</v>
      </c>
      <c r="E235" s="103">
        <f>Data!U235</f>
        <v>0</v>
      </c>
    </row>
    <row r="236" spans="2:5" ht="15" customHeight="1" x14ac:dyDescent="0.3">
      <c r="C236" s="4"/>
      <c r="D236" s="8">
        <v>2017</v>
      </c>
      <c r="E236" s="103">
        <f>Data!U236</f>
        <v>0</v>
      </c>
    </row>
    <row r="237" spans="2:5" ht="15" customHeight="1" x14ac:dyDescent="0.3">
      <c r="C237" s="4"/>
      <c r="D237" s="8">
        <v>2018</v>
      </c>
      <c r="E237" s="103">
        <f>Data!U237</f>
        <v>0</v>
      </c>
    </row>
    <row r="238" spans="2:5" ht="15" customHeight="1" x14ac:dyDescent="0.3">
      <c r="C238" s="4"/>
      <c r="D238" s="8">
        <v>2019</v>
      </c>
      <c r="E238" s="103">
        <f>Data!U238</f>
        <v>0</v>
      </c>
    </row>
    <row r="239" spans="2:5" ht="15" customHeight="1" x14ac:dyDescent="0.3">
      <c r="C239" s="4"/>
      <c r="D239" s="8">
        <v>2020</v>
      </c>
      <c r="E239" s="103">
        <f>Data!U239</f>
        <v>0</v>
      </c>
    </row>
    <row r="240" spans="2:5" ht="15" customHeight="1" x14ac:dyDescent="0.3">
      <c r="C240" s="4"/>
      <c r="D240" s="8">
        <v>2021</v>
      </c>
      <c r="E240" s="103">
        <f>Data!U240</f>
        <v>0</v>
      </c>
    </row>
    <row r="241" spans="2:5" ht="15" customHeight="1" x14ac:dyDescent="0.3">
      <c r="C241" s="4"/>
      <c r="D241" s="8">
        <v>2022</v>
      </c>
      <c r="E241" s="103">
        <f>Data!U241</f>
        <v>0</v>
      </c>
    </row>
    <row r="242" spans="2:5" ht="15" customHeight="1" x14ac:dyDescent="0.3">
      <c r="C242" s="4"/>
      <c r="D242" s="8">
        <v>2023</v>
      </c>
      <c r="E242" s="103">
        <f>Data!U242</f>
        <v>0</v>
      </c>
    </row>
    <row r="243" spans="2:5" ht="15" customHeight="1" x14ac:dyDescent="0.3">
      <c r="C243" s="4"/>
      <c r="D243" s="8">
        <v>2024</v>
      </c>
      <c r="E243" s="103">
        <f>Data!U243</f>
        <v>0</v>
      </c>
    </row>
    <row r="244" spans="2:5" ht="15" customHeight="1" x14ac:dyDescent="0.3">
      <c r="B244" s="8">
        <v>23</v>
      </c>
      <c r="C244" s="4" t="s">
        <v>51</v>
      </c>
      <c r="D244" s="8">
        <v>2014</v>
      </c>
      <c r="E244" s="103">
        <f>Data!U244</f>
        <v>0</v>
      </c>
    </row>
    <row r="245" spans="2:5" ht="15" customHeight="1" x14ac:dyDescent="0.3">
      <c r="C245" s="4"/>
      <c r="D245" s="8">
        <v>2015</v>
      </c>
      <c r="E245" s="103">
        <f>Data!U245</f>
        <v>6.5000000000000002E-2</v>
      </c>
    </row>
    <row r="246" spans="2:5" ht="15" customHeight="1" x14ac:dyDescent="0.3">
      <c r="C246" s="4"/>
      <c r="D246" s="8">
        <v>2016</v>
      </c>
      <c r="E246" s="103">
        <f>Data!U246</f>
        <v>6.5000000000000002E-2</v>
      </c>
    </row>
    <row r="247" spans="2:5" ht="15" customHeight="1" x14ac:dyDescent="0.3">
      <c r="C247" s="4"/>
      <c r="D247" s="8">
        <v>2017</v>
      </c>
      <c r="E247" s="103">
        <f>Data!U247</f>
        <v>3.9E-2</v>
      </c>
    </row>
    <row r="248" spans="2:5" ht="15" customHeight="1" x14ac:dyDescent="0.3">
      <c r="C248" s="4"/>
      <c r="D248" s="8">
        <v>2018</v>
      </c>
      <c r="E248" s="103">
        <f>Data!U248</f>
        <v>3.9E-2</v>
      </c>
    </row>
    <row r="249" spans="2:5" ht="15" customHeight="1" x14ac:dyDescent="0.3">
      <c r="C249" s="4"/>
      <c r="D249" s="8">
        <v>2019</v>
      </c>
      <c r="E249" s="103">
        <f>Data!U249</f>
        <v>3.9E-2</v>
      </c>
    </row>
    <row r="250" spans="2:5" ht="15" customHeight="1" x14ac:dyDescent="0.3">
      <c r="C250" s="4"/>
      <c r="D250" s="8">
        <v>2020</v>
      </c>
      <c r="E250" s="103">
        <f>Data!U250</f>
        <v>3.9E-2</v>
      </c>
    </row>
    <row r="251" spans="2:5" ht="15" customHeight="1" x14ac:dyDescent="0.3">
      <c r="C251" s="4"/>
      <c r="D251" s="8">
        <v>2021</v>
      </c>
      <c r="E251" s="103">
        <f>Data!U251</f>
        <v>0.04</v>
      </c>
    </row>
    <row r="252" spans="2:5" ht="15" customHeight="1" x14ac:dyDescent="0.3">
      <c r="C252" s="4"/>
      <c r="D252" s="8">
        <v>2022</v>
      </c>
      <c r="E252" s="103">
        <f>Data!U252</f>
        <v>0.01</v>
      </c>
    </row>
    <row r="253" spans="2:5" ht="15" customHeight="1" x14ac:dyDescent="0.3">
      <c r="C253" s="4"/>
      <c r="D253" s="8">
        <v>2023</v>
      </c>
      <c r="E253" s="103">
        <f>Data!U253</f>
        <v>0.01</v>
      </c>
    </row>
    <row r="254" spans="2:5" ht="15" customHeight="1" x14ac:dyDescent="0.3">
      <c r="C254" s="4"/>
      <c r="D254" s="8">
        <v>2024</v>
      </c>
      <c r="E254" s="103">
        <f>Data!U254</f>
        <v>0</v>
      </c>
    </row>
    <row r="255" spans="2:5" ht="15" customHeight="1" x14ac:dyDescent="0.3">
      <c r="B255" s="8">
        <v>24</v>
      </c>
      <c r="C255" s="4" t="s">
        <v>50</v>
      </c>
      <c r="D255" s="8">
        <v>2014</v>
      </c>
      <c r="E255" s="103">
        <f>Data!U255</f>
        <v>0</v>
      </c>
    </row>
    <row r="256" spans="2:5" ht="15" customHeight="1" x14ac:dyDescent="0.3">
      <c r="C256" s="4"/>
      <c r="D256" s="8">
        <v>2015</v>
      </c>
      <c r="E256" s="103">
        <f>Data!U256</f>
        <v>0</v>
      </c>
    </row>
    <row r="257" spans="2:5" ht="15" customHeight="1" x14ac:dyDescent="0.3">
      <c r="C257" s="4"/>
      <c r="D257" s="8">
        <v>2016</v>
      </c>
      <c r="E257" s="103">
        <f>Data!U257</f>
        <v>0</v>
      </c>
    </row>
    <row r="258" spans="2:5" ht="15" customHeight="1" x14ac:dyDescent="0.3">
      <c r="C258" s="4"/>
      <c r="D258" s="8">
        <v>2017</v>
      </c>
      <c r="E258" s="103">
        <f>Data!U258</f>
        <v>0</v>
      </c>
    </row>
    <row r="259" spans="2:5" ht="15" customHeight="1" x14ac:dyDescent="0.3">
      <c r="C259" s="4"/>
      <c r="D259" s="8">
        <v>2018</v>
      </c>
      <c r="E259" s="103">
        <f>Data!U259</f>
        <v>0</v>
      </c>
    </row>
    <row r="260" spans="2:5" ht="15" customHeight="1" x14ac:dyDescent="0.3">
      <c r="C260" s="4"/>
      <c r="D260" s="8">
        <v>2019</v>
      </c>
      <c r="E260" s="103">
        <f>Data!U260</f>
        <v>0</v>
      </c>
    </row>
    <row r="261" spans="2:5" ht="15" customHeight="1" x14ac:dyDescent="0.3">
      <c r="C261" s="4"/>
      <c r="D261" s="8">
        <v>2020</v>
      </c>
      <c r="E261" s="103">
        <f>Data!U261</f>
        <v>0</v>
      </c>
    </row>
    <row r="262" spans="2:5" ht="15" customHeight="1" x14ac:dyDescent="0.3">
      <c r="C262" s="4"/>
      <c r="D262" s="8">
        <v>2021</v>
      </c>
      <c r="E262" s="103">
        <f>Data!U262</f>
        <v>0</v>
      </c>
    </row>
    <row r="263" spans="2:5" ht="15" customHeight="1" x14ac:dyDescent="0.3">
      <c r="C263" s="4"/>
      <c r="D263" s="8">
        <v>2022</v>
      </c>
      <c r="E263" s="103">
        <f>Data!U263</f>
        <v>0</v>
      </c>
    </row>
    <row r="264" spans="2:5" ht="15" customHeight="1" x14ac:dyDescent="0.3">
      <c r="C264" s="4"/>
      <c r="D264" s="8">
        <v>2023</v>
      </c>
      <c r="E264" s="103">
        <f>Data!U264</f>
        <v>0</v>
      </c>
    </row>
    <row r="265" spans="2:5" ht="15" customHeight="1" x14ac:dyDescent="0.3">
      <c r="C265" s="4"/>
      <c r="D265" s="8">
        <v>2024</v>
      </c>
      <c r="E265" s="103">
        <f>Data!U265</f>
        <v>0</v>
      </c>
    </row>
    <row r="266" spans="2:5" ht="15" customHeight="1" x14ac:dyDescent="0.3">
      <c r="B266" s="8">
        <v>25</v>
      </c>
      <c r="C266" s="3" t="s">
        <v>28</v>
      </c>
      <c r="D266" s="8">
        <v>2014</v>
      </c>
      <c r="E266" s="103">
        <f>Data!U266</f>
        <v>0</v>
      </c>
    </row>
    <row r="267" spans="2:5" ht="15" customHeight="1" x14ac:dyDescent="0.3">
      <c r="C267" s="3"/>
      <c r="D267" s="8">
        <v>2015</v>
      </c>
      <c r="E267" s="103">
        <f>Data!U267</f>
        <v>0</v>
      </c>
    </row>
    <row r="268" spans="2:5" ht="15" customHeight="1" x14ac:dyDescent="0.3">
      <c r="C268" s="3"/>
      <c r="D268" s="8">
        <v>2016</v>
      </c>
      <c r="E268" s="103">
        <f>Data!U268</f>
        <v>0</v>
      </c>
    </row>
    <row r="269" spans="2:5" ht="15" customHeight="1" x14ac:dyDescent="0.3">
      <c r="C269" s="3"/>
      <c r="D269" s="8">
        <v>2017</v>
      </c>
      <c r="E269" s="103">
        <f>Data!U269</f>
        <v>0</v>
      </c>
    </row>
    <row r="270" spans="2:5" ht="15" customHeight="1" x14ac:dyDescent="0.3">
      <c r="C270" s="3"/>
      <c r="D270" s="8">
        <v>2018</v>
      </c>
      <c r="E270" s="103">
        <f>Data!U270</f>
        <v>0</v>
      </c>
    </row>
    <row r="271" spans="2:5" ht="15" customHeight="1" x14ac:dyDescent="0.3">
      <c r="C271" s="3"/>
      <c r="D271" s="8">
        <v>2019</v>
      </c>
      <c r="E271" s="103">
        <f>Data!U271</f>
        <v>0</v>
      </c>
    </row>
    <row r="272" spans="2:5" ht="15" customHeight="1" x14ac:dyDescent="0.3">
      <c r="C272" s="3"/>
      <c r="D272" s="8">
        <v>2020</v>
      </c>
      <c r="E272" s="103">
        <f>Data!U272</f>
        <v>0</v>
      </c>
    </row>
    <row r="273" spans="2:5" ht="15" customHeight="1" x14ac:dyDescent="0.3">
      <c r="C273" s="3"/>
      <c r="D273" s="8">
        <v>2021</v>
      </c>
      <c r="E273" s="103">
        <f>Data!U273</f>
        <v>0</v>
      </c>
    </row>
    <row r="274" spans="2:5" ht="15" customHeight="1" x14ac:dyDescent="0.3">
      <c r="C274" s="3"/>
      <c r="D274" s="8">
        <v>2022</v>
      </c>
      <c r="E274" s="103">
        <f>Data!U274</f>
        <v>0</v>
      </c>
    </row>
    <row r="275" spans="2:5" ht="15" customHeight="1" x14ac:dyDescent="0.3">
      <c r="C275" s="3"/>
      <c r="D275" s="8">
        <v>2023</v>
      </c>
      <c r="E275" s="103">
        <f>Data!U275</f>
        <v>0</v>
      </c>
    </row>
    <row r="276" spans="2:5" ht="15" customHeight="1" x14ac:dyDescent="0.3">
      <c r="C276" s="3"/>
      <c r="D276" s="8">
        <v>2024</v>
      </c>
      <c r="E276" s="103">
        <f>Data!U276</f>
        <v>0</v>
      </c>
    </row>
    <row r="277" spans="2:5" ht="15" customHeight="1" x14ac:dyDescent="0.3">
      <c r="B277" s="8">
        <v>26</v>
      </c>
      <c r="C277" s="3" t="s">
        <v>42</v>
      </c>
      <c r="D277" s="8">
        <v>2014</v>
      </c>
      <c r="E277" s="103">
        <f>Data!U277</f>
        <v>0</v>
      </c>
    </row>
    <row r="278" spans="2:5" ht="15" customHeight="1" x14ac:dyDescent="0.3">
      <c r="C278" s="3"/>
      <c r="D278" s="8">
        <v>2015</v>
      </c>
      <c r="E278" s="103">
        <f>Data!U278</f>
        <v>0</v>
      </c>
    </row>
    <row r="279" spans="2:5" ht="15" customHeight="1" x14ac:dyDescent="0.3">
      <c r="C279" s="3"/>
      <c r="D279" s="8">
        <v>2016</v>
      </c>
      <c r="E279" s="103">
        <f>Data!U279</f>
        <v>0</v>
      </c>
    </row>
    <row r="280" spans="2:5" ht="15" customHeight="1" x14ac:dyDescent="0.3">
      <c r="C280" s="3"/>
      <c r="D280" s="8">
        <v>2017</v>
      </c>
      <c r="E280" s="103">
        <f>Data!U280</f>
        <v>0</v>
      </c>
    </row>
    <row r="281" spans="2:5" ht="15" customHeight="1" x14ac:dyDescent="0.3">
      <c r="C281" s="3"/>
      <c r="D281" s="8">
        <v>2018</v>
      </c>
      <c r="E281" s="103">
        <f>Data!U281</f>
        <v>0</v>
      </c>
    </row>
    <row r="282" spans="2:5" ht="15" customHeight="1" x14ac:dyDescent="0.3">
      <c r="C282" s="3"/>
      <c r="D282" s="8">
        <v>2019</v>
      </c>
      <c r="E282" s="103">
        <f>Data!U282</f>
        <v>0</v>
      </c>
    </row>
    <row r="283" spans="2:5" ht="15" customHeight="1" x14ac:dyDescent="0.3">
      <c r="C283" s="3"/>
      <c r="D283" s="8">
        <v>2020</v>
      </c>
      <c r="E283" s="103">
        <f>Data!U283</f>
        <v>0</v>
      </c>
    </row>
    <row r="284" spans="2:5" ht="15" customHeight="1" x14ac:dyDescent="0.3">
      <c r="C284" s="3"/>
      <c r="D284" s="8">
        <v>2021</v>
      </c>
      <c r="E284" s="103">
        <f>Data!U284</f>
        <v>0</v>
      </c>
    </row>
    <row r="285" spans="2:5" ht="15" customHeight="1" x14ac:dyDescent="0.3">
      <c r="C285" s="3"/>
      <c r="D285" s="8">
        <v>2022</v>
      </c>
      <c r="E285" s="103">
        <f>Data!U285</f>
        <v>0</v>
      </c>
    </row>
    <row r="286" spans="2:5" ht="15" customHeight="1" x14ac:dyDescent="0.3">
      <c r="C286" s="3"/>
      <c r="D286" s="8">
        <v>2023</v>
      </c>
      <c r="E286" s="103">
        <f>Data!U286</f>
        <v>0</v>
      </c>
    </row>
    <row r="287" spans="2:5" ht="15" customHeight="1" x14ac:dyDescent="0.3">
      <c r="C287" s="3"/>
      <c r="D287" s="8">
        <v>2024</v>
      </c>
      <c r="E287" s="103">
        <f>Data!U287</f>
        <v>0</v>
      </c>
    </row>
    <row r="288" spans="2:5" ht="15" customHeight="1" x14ac:dyDescent="0.3">
      <c r="B288" s="8">
        <v>27</v>
      </c>
      <c r="C288" s="3" t="s">
        <v>29</v>
      </c>
      <c r="D288" s="8">
        <v>2014</v>
      </c>
      <c r="E288" s="103">
        <f>Data!U288</f>
        <v>0</v>
      </c>
    </row>
    <row r="289" spans="2:5" ht="15" customHeight="1" x14ac:dyDescent="0.3">
      <c r="C289" s="3"/>
      <c r="D289" s="8">
        <v>2015</v>
      </c>
      <c r="E289" s="103">
        <f>Data!U289</f>
        <v>0</v>
      </c>
    </row>
    <row r="290" spans="2:5" ht="15" customHeight="1" x14ac:dyDescent="0.3">
      <c r="C290" s="3"/>
      <c r="D290" s="8">
        <v>2016</v>
      </c>
      <c r="E290" s="103">
        <f>Data!U290</f>
        <v>0</v>
      </c>
    </row>
    <row r="291" spans="2:5" ht="15" customHeight="1" x14ac:dyDescent="0.3">
      <c r="C291" s="3"/>
      <c r="D291" s="8">
        <v>2017</v>
      </c>
      <c r="E291" s="103">
        <f>Data!U291</f>
        <v>0</v>
      </c>
    </row>
    <row r="292" spans="2:5" ht="15" customHeight="1" x14ac:dyDescent="0.3">
      <c r="C292" s="3"/>
      <c r="D292" s="8">
        <v>2018</v>
      </c>
      <c r="E292" s="103">
        <f>Data!U292</f>
        <v>0</v>
      </c>
    </row>
    <row r="293" spans="2:5" ht="15" customHeight="1" x14ac:dyDescent="0.3">
      <c r="C293" s="3"/>
      <c r="D293" s="8">
        <v>2019</v>
      </c>
      <c r="E293" s="103">
        <f>Data!U293</f>
        <v>0</v>
      </c>
    </row>
    <row r="294" spans="2:5" ht="15" customHeight="1" x14ac:dyDescent="0.3">
      <c r="C294" s="3"/>
      <c r="D294" s="8">
        <v>2020</v>
      </c>
      <c r="E294" s="103">
        <f>Data!U294</f>
        <v>0</v>
      </c>
    </row>
    <row r="295" spans="2:5" ht="15" customHeight="1" x14ac:dyDescent="0.3">
      <c r="C295" s="3"/>
      <c r="D295" s="8">
        <v>2021</v>
      </c>
      <c r="E295" s="103">
        <f>Data!U295</f>
        <v>0</v>
      </c>
    </row>
    <row r="296" spans="2:5" ht="15" customHeight="1" x14ac:dyDescent="0.3">
      <c r="C296" s="3"/>
      <c r="D296" s="8">
        <v>2022</v>
      </c>
      <c r="E296" s="103">
        <f>Data!U296</f>
        <v>0</v>
      </c>
    </row>
    <row r="297" spans="2:5" ht="15" customHeight="1" x14ac:dyDescent="0.3">
      <c r="C297" s="3"/>
      <c r="D297" s="8">
        <v>2023</v>
      </c>
      <c r="E297" s="103">
        <f>Data!U297</f>
        <v>0</v>
      </c>
    </row>
    <row r="298" spans="2:5" ht="15" customHeight="1" x14ac:dyDescent="0.3">
      <c r="C298" s="3"/>
      <c r="D298" s="8">
        <v>2024</v>
      </c>
      <c r="E298" s="103">
        <f>Data!U298</f>
        <v>0</v>
      </c>
    </row>
    <row r="299" spans="2:5" ht="15" customHeight="1" x14ac:dyDescent="0.3">
      <c r="B299" s="8">
        <v>28</v>
      </c>
      <c r="C299" s="4" t="s">
        <v>149</v>
      </c>
      <c r="D299" s="8">
        <v>2014</v>
      </c>
      <c r="E299" s="103">
        <f>Data!U299</f>
        <v>0</v>
      </c>
    </row>
    <row r="300" spans="2:5" ht="15" customHeight="1" x14ac:dyDescent="0.3">
      <c r="C300" s="4"/>
      <c r="D300" s="8">
        <v>2015</v>
      </c>
      <c r="E300" s="103">
        <f>Data!U300</f>
        <v>0</v>
      </c>
    </row>
    <row r="301" spans="2:5" ht="15" customHeight="1" x14ac:dyDescent="0.3">
      <c r="C301" s="4"/>
      <c r="D301" s="8">
        <v>2016</v>
      </c>
      <c r="E301" s="103">
        <f>Data!U301</f>
        <v>0</v>
      </c>
    </row>
    <row r="302" spans="2:5" ht="15" customHeight="1" x14ac:dyDescent="0.3">
      <c r="C302" s="4"/>
      <c r="D302" s="8">
        <v>2017</v>
      </c>
      <c r="E302" s="103">
        <f>Data!U302</f>
        <v>0</v>
      </c>
    </row>
    <row r="303" spans="2:5" ht="15" customHeight="1" x14ac:dyDescent="0.3">
      <c r="C303" s="4"/>
      <c r="D303" s="8">
        <v>2018</v>
      </c>
      <c r="E303" s="103">
        <f>Data!U303</f>
        <v>0</v>
      </c>
    </row>
    <row r="304" spans="2:5" ht="15" customHeight="1" x14ac:dyDescent="0.3">
      <c r="C304" s="4"/>
      <c r="D304" s="8">
        <v>2019</v>
      </c>
      <c r="E304" s="103">
        <f>Data!U304</f>
        <v>0</v>
      </c>
    </row>
    <row r="305" spans="2:5" ht="15" customHeight="1" x14ac:dyDescent="0.3">
      <c r="C305" s="4"/>
      <c r="D305" s="8">
        <v>2020</v>
      </c>
      <c r="E305" s="103">
        <f>Data!U305</f>
        <v>0</v>
      </c>
    </row>
    <row r="306" spans="2:5" ht="15" customHeight="1" x14ac:dyDescent="0.3">
      <c r="C306" s="4"/>
      <c r="D306" s="8">
        <v>2021</v>
      </c>
      <c r="E306" s="103">
        <f>Data!U306</f>
        <v>0</v>
      </c>
    </row>
    <row r="307" spans="2:5" ht="15" customHeight="1" x14ac:dyDescent="0.3">
      <c r="C307" s="4"/>
      <c r="D307" s="8">
        <v>2022</v>
      </c>
      <c r="E307" s="103">
        <f>Data!U307</f>
        <v>0</v>
      </c>
    </row>
    <row r="308" spans="2:5" ht="15" customHeight="1" x14ac:dyDescent="0.3">
      <c r="C308" s="4"/>
      <c r="D308" s="8">
        <v>2023</v>
      </c>
      <c r="E308" s="103">
        <f>Data!U308</f>
        <v>0</v>
      </c>
    </row>
    <row r="309" spans="2:5" ht="15" customHeight="1" x14ac:dyDescent="0.3">
      <c r="C309" s="4"/>
      <c r="D309" s="8">
        <v>2024</v>
      </c>
      <c r="E309" s="103">
        <f>Data!U309</f>
        <v>0</v>
      </c>
    </row>
    <row r="310" spans="2:5" ht="15" customHeight="1" x14ac:dyDescent="0.3">
      <c r="B310" s="8">
        <v>29</v>
      </c>
      <c r="C310" s="4" t="s">
        <v>55</v>
      </c>
      <c r="D310" s="8">
        <v>2014</v>
      </c>
      <c r="E310" s="103">
        <f>Data!U310</f>
        <v>0</v>
      </c>
    </row>
    <row r="311" spans="2:5" ht="15" customHeight="1" x14ac:dyDescent="0.3">
      <c r="C311" s="4"/>
      <c r="D311" s="8">
        <v>2015</v>
      </c>
      <c r="E311" s="103">
        <f>Data!U311</f>
        <v>0</v>
      </c>
    </row>
    <row r="312" spans="2:5" ht="15" customHeight="1" x14ac:dyDescent="0.3">
      <c r="C312" s="4"/>
      <c r="D312" s="8">
        <v>2016</v>
      </c>
      <c r="E312" s="103">
        <f>Data!U312</f>
        <v>0</v>
      </c>
    </row>
    <row r="313" spans="2:5" ht="15" customHeight="1" x14ac:dyDescent="0.3">
      <c r="C313" s="4"/>
      <c r="D313" s="8">
        <v>2017</v>
      </c>
      <c r="E313" s="103">
        <f>Data!U313</f>
        <v>0</v>
      </c>
    </row>
    <row r="314" spans="2:5" ht="15" customHeight="1" x14ac:dyDescent="0.3">
      <c r="C314" s="4"/>
      <c r="D314" s="8">
        <v>2018</v>
      </c>
      <c r="E314" s="103">
        <f>Data!U314</f>
        <v>0</v>
      </c>
    </row>
    <row r="315" spans="2:5" ht="15" customHeight="1" x14ac:dyDescent="0.3">
      <c r="C315" s="4"/>
      <c r="D315" s="8">
        <v>2019</v>
      </c>
      <c r="E315" s="103">
        <f>Data!U315</f>
        <v>0</v>
      </c>
    </row>
    <row r="316" spans="2:5" ht="15" customHeight="1" x14ac:dyDescent="0.3">
      <c r="C316" s="4"/>
      <c r="D316" s="8">
        <v>2020</v>
      </c>
      <c r="E316" s="103">
        <f>Data!U316</f>
        <v>0</v>
      </c>
    </row>
    <row r="317" spans="2:5" ht="15" customHeight="1" x14ac:dyDescent="0.3">
      <c r="C317" s="4"/>
      <c r="D317" s="8">
        <v>2021</v>
      </c>
      <c r="E317" s="103">
        <f>Data!U317</f>
        <v>0</v>
      </c>
    </row>
    <row r="318" spans="2:5" ht="15" customHeight="1" x14ac:dyDescent="0.3">
      <c r="C318" s="4"/>
      <c r="D318" s="8">
        <v>2022</v>
      </c>
      <c r="E318" s="103">
        <f>Data!U318</f>
        <v>0</v>
      </c>
    </row>
    <row r="319" spans="2:5" ht="15" customHeight="1" x14ac:dyDescent="0.3">
      <c r="C319" s="4"/>
      <c r="D319" s="8">
        <v>2023</v>
      </c>
      <c r="E319" s="103">
        <f>Data!U319</f>
        <v>0</v>
      </c>
    </row>
    <row r="320" spans="2:5" ht="15" customHeight="1" x14ac:dyDescent="0.3">
      <c r="C320" s="4"/>
      <c r="D320" s="8">
        <v>2024</v>
      </c>
      <c r="E320" s="103">
        <f>Data!U320</f>
        <v>0</v>
      </c>
    </row>
    <row r="321" spans="2:5" ht="15" customHeight="1" x14ac:dyDescent="0.3">
      <c r="B321" s="8">
        <v>30</v>
      </c>
      <c r="C321" s="3" t="s">
        <v>5</v>
      </c>
      <c r="D321" s="8">
        <v>2014</v>
      </c>
      <c r="E321" s="103">
        <f>Data!U321</f>
        <v>0</v>
      </c>
    </row>
    <row r="322" spans="2:5" ht="15" customHeight="1" x14ac:dyDescent="0.3">
      <c r="C322" s="3"/>
      <c r="D322" s="8">
        <v>2015</v>
      </c>
      <c r="E322" s="103">
        <f>Data!U322</f>
        <v>0</v>
      </c>
    </row>
    <row r="323" spans="2:5" ht="15" customHeight="1" x14ac:dyDescent="0.3">
      <c r="C323" s="3"/>
      <c r="D323" s="8">
        <v>2016</v>
      </c>
      <c r="E323" s="103">
        <f>Data!U323</f>
        <v>0</v>
      </c>
    </row>
    <row r="324" spans="2:5" ht="15" customHeight="1" x14ac:dyDescent="0.3">
      <c r="C324" s="3"/>
      <c r="D324" s="8">
        <v>2017</v>
      </c>
      <c r="E324" s="103">
        <f>Data!U324</f>
        <v>0</v>
      </c>
    </row>
    <row r="325" spans="2:5" ht="15" customHeight="1" x14ac:dyDescent="0.3">
      <c r="C325" s="3"/>
      <c r="D325" s="8">
        <v>2018</v>
      </c>
      <c r="E325" s="103">
        <f>Data!U325</f>
        <v>0</v>
      </c>
    </row>
    <row r="326" spans="2:5" ht="15" customHeight="1" x14ac:dyDescent="0.3">
      <c r="C326" s="3"/>
      <c r="D326" s="8">
        <v>2019</v>
      </c>
      <c r="E326" s="103">
        <f>Data!U326</f>
        <v>0</v>
      </c>
    </row>
    <row r="327" spans="2:5" ht="15" customHeight="1" x14ac:dyDescent="0.3">
      <c r="C327" s="3"/>
      <c r="D327" s="8">
        <v>2020</v>
      </c>
      <c r="E327" s="103">
        <f>Data!U327</f>
        <v>0</v>
      </c>
    </row>
    <row r="328" spans="2:5" ht="15" customHeight="1" x14ac:dyDescent="0.3">
      <c r="C328" s="3"/>
      <c r="D328" s="8">
        <v>2021</v>
      </c>
      <c r="E328" s="103">
        <f>Data!U328</f>
        <v>0</v>
      </c>
    </row>
    <row r="329" spans="2:5" ht="15" customHeight="1" x14ac:dyDescent="0.3">
      <c r="C329" s="3"/>
      <c r="D329" s="8">
        <v>2022</v>
      </c>
      <c r="E329" s="103">
        <f>Data!U329</f>
        <v>0</v>
      </c>
    </row>
    <row r="330" spans="2:5" ht="15" customHeight="1" x14ac:dyDescent="0.3">
      <c r="C330" s="3"/>
      <c r="D330" s="8">
        <v>2023</v>
      </c>
      <c r="E330" s="103">
        <f>Data!U330</f>
        <v>0</v>
      </c>
    </row>
    <row r="331" spans="2:5" ht="15" customHeight="1" x14ac:dyDescent="0.3">
      <c r="C331" s="3"/>
      <c r="D331" s="8">
        <v>2024</v>
      </c>
      <c r="E331" s="103">
        <f>Data!U331</f>
        <v>0</v>
      </c>
    </row>
    <row r="332" spans="2:5" ht="15" customHeight="1" x14ac:dyDescent="0.3">
      <c r="B332" s="8">
        <v>31</v>
      </c>
      <c r="C332" s="3" t="s">
        <v>6</v>
      </c>
      <c r="D332" s="8">
        <v>2014</v>
      </c>
      <c r="E332" s="103">
        <f>Data!U332</f>
        <v>0</v>
      </c>
    </row>
    <row r="333" spans="2:5" ht="15" customHeight="1" x14ac:dyDescent="0.3">
      <c r="C333" s="3"/>
      <c r="D333" s="8">
        <v>2015</v>
      </c>
      <c r="E333" s="103">
        <f>Data!U333</f>
        <v>0</v>
      </c>
    </row>
    <row r="334" spans="2:5" ht="15" customHeight="1" x14ac:dyDescent="0.3">
      <c r="C334" s="3"/>
      <c r="D334" s="8">
        <v>2016</v>
      </c>
      <c r="E334" s="103">
        <f>Data!U334</f>
        <v>0</v>
      </c>
    </row>
    <row r="335" spans="2:5" ht="15" customHeight="1" x14ac:dyDescent="0.3">
      <c r="C335" s="3"/>
      <c r="D335" s="8">
        <v>2017</v>
      </c>
      <c r="E335" s="103">
        <f>Data!U335</f>
        <v>0</v>
      </c>
    </row>
    <row r="336" spans="2:5" ht="15" customHeight="1" x14ac:dyDescent="0.3">
      <c r="C336" s="3"/>
      <c r="D336" s="8">
        <v>2018</v>
      </c>
      <c r="E336" s="103">
        <f>Data!U336</f>
        <v>0</v>
      </c>
    </row>
    <row r="337" spans="2:5" ht="15" customHeight="1" x14ac:dyDescent="0.3">
      <c r="C337" s="3"/>
      <c r="D337" s="8">
        <v>2019</v>
      </c>
      <c r="E337" s="103">
        <f>Data!U337</f>
        <v>0</v>
      </c>
    </row>
    <row r="338" spans="2:5" ht="15" customHeight="1" x14ac:dyDescent="0.3">
      <c r="C338" s="3"/>
      <c r="D338" s="8">
        <v>2020</v>
      </c>
      <c r="E338" s="103">
        <f>Data!U338</f>
        <v>0</v>
      </c>
    </row>
    <row r="339" spans="2:5" ht="15" customHeight="1" x14ac:dyDescent="0.3">
      <c r="C339" s="3"/>
      <c r="D339" s="8">
        <v>2021</v>
      </c>
      <c r="E339" s="103">
        <f>Data!U339</f>
        <v>0</v>
      </c>
    </row>
    <row r="340" spans="2:5" ht="15" customHeight="1" x14ac:dyDescent="0.3">
      <c r="C340" s="3"/>
      <c r="D340" s="8">
        <v>2022</v>
      </c>
      <c r="E340" s="103">
        <f>Data!U340</f>
        <v>0</v>
      </c>
    </row>
    <row r="341" spans="2:5" ht="15" customHeight="1" x14ac:dyDescent="0.3">
      <c r="C341" s="3"/>
      <c r="D341" s="8">
        <v>2023</v>
      </c>
      <c r="E341" s="103">
        <f>Data!U341</f>
        <v>0</v>
      </c>
    </row>
    <row r="342" spans="2:5" ht="15" customHeight="1" x14ac:dyDescent="0.3">
      <c r="C342" s="3"/>
      <c r="D342" s="8">
        <v>2024</v>
      </c>
      <c r="E342" s="103">
        <f>Data!U342</f>
        <v>0</v>
      </c>
    </row>
    <row r="343" spans="2:5" ht="15" customHeight="1" x14ac:dyDescent="0.3">
      <c r="B343" s="8">
        <v>32</v>
      </c>
      <c r="C343" s="3" t="s">
        <v>7</v>
      </c>
      <c r="D343" s="8">
        <v>2014</v>
      </c>
      <c r="E343" s="103">
        <f>Data!U343</f>
        <v>0</v>
      </c>
    </row>
    <row r="344" spans="2:5" ht="15" customHeight="1" x14ac:dyDescent="0.3">
      <c r="C344" s="3"/>
      <c r="D344" s="8">
        <v>2015</v>
      </c>
      <c r="E344" s="103">
        <f>Data!U344</f>
        <v>0</v>
      </c>
    </row>
    <row r="345" spans="2:5" ht="15" customHeight="1" x14ac:dyDescent="0.3">
      <c r="C345" s="3"/>
      <c r="D345" s="8">
        <v>2016</v>
      </c>
      <c r="E345" s="103">
        <f>Data!U345</f>
        <v>0</v>
      </c>
    </row>
    <row r="346" spans="2:5" ht="15" customHeight="1" x14ac:dyDescent="0.3">
      <c r="C346" s="3"/>
      <c r="D346" s="8">
        <v>2017</v>
      </c>
      <c r="E346" s="103">
        <f>Data!U346</f>
        <v>0</v>
      </c>
    </row>
    <row r="347" spans="2:5" ht="15" customHeight="1" x14ac:dyDescent="0.3">
      <c r="C347" s="3"/>
      <c r="D347" s="8">
        <v>2018</v>
      </c>
      <c r="E347" s="103">
        <f>Data!U347</f>
        <v>0</v>
      </c>
    </row>
    <row r="348" spans="2:5" ht="15" customHeight="1" x14ac:dyDescent="0.3">
      <c r="C348" s="3"/>
      <c r="D348" s="8">
        <v>2019</v>
      </c>
      <c r="E348" s="103">
        <f>Data!U348</f>
        <v>0</v>
      </c>
    </row>
    <row r="349" spans="2:5" ht="15" customHeight="1" x14ac:dyDescent="0.3">
      <c r="C349" s="3"/>
      <c r="D349" s="8">
        <v>2020</v>
      </c>
      <c r="E349" s="103">
        <f>Data!U349</f>
        <v>0</v>
      </c>
    </row>
    <row r="350" spans="2:5" ht="15" customHeight="1" x14ac:dyDescent="0.3">
      <c r="C350" s="3"/>
      <c r="D350" s="8">
        <v>2021</v>
      </c>
      <c r="E350" s="103">
        <f>Data!U350</f>
        <v>0</v>
      </c>
    </row>
    <row r="351" spans="2:5" ht="15" customHeight="1" x14ac:dyDescent="0.3">
      <c r="C351" s="3"/>
      <c r="D351" s="8">
        <v>2022</v>
      </c>
      <c r="E351" s="103">
        <f>Data!U351</f>
        <v>0</v>
      </c>
    </row>
    <row r="352" spans="2:5" ht="15" customHeight="1" x14ac:dyDescent="0.3">
      <c r="C352" s="3"/>
      <c r="D352" s="8">
        <v>2023</v>
      </c>
      <c r="E352" s="103">
        <f>Data!U352</f>
        <v>0</v>
      </c>
    </row>
    <row r="353" spans="2:5" ht="15" customHeight="1" x14ac:dyDescent="0.3">
      <c r="C353" s="3"/>
      <c r="D353" s="8">
        <v>2024</v>
      </c>
      <c r="E353" s="103">
        <f>Data!U353</f>
        <v>0</v>
      </c>
    </row>
    <row r="354" spans="2:5" ht="15" customHeight="1" x14ac:dyDescent="0.3">
      <c r="B354" s="8">
        <v>33</v>
      </c>
      <c r="C354" s="3" t="s">
        <v>30</v>
      </c>
      <c r="D354" s="8">
        <v>2014</v>
      </c>
      <c r="E354" s="103">
        <f>Data!U354</f>
        <v>0</v>
      </c>
    </row>
    <row r="355" spans="2:5" ht="15" customHeight="1" x14ac:dyDescent="0.3">
      <c r="C355" s="3"/>
      <c r="D355" s="8">
        <v>2015</v>
      </c>
      <c r="E355" s="103">
        <f>Data!U355</f>
        <v>0</v>
      </c>
    </row>
    <row r="356" spans="2:5" ht="15" customHeight="1" x14ac:dyDescent="0.3">
      <c r="C356" s="3"/>
      <c r="D356" s="8">
        <v>2016</v>
      </c>
      <c r="E356" s="103">
        <f>Data!U356</f>
        <v>0</v>
      </c>
    </row>
    <row r="357" spans="2:5" ht="15" customHeight="1" x14ac:dyDescent="0.3">
      <c r="C357" s="3"/>
      <c r="D357" s="8">
        <v>2017</v>
      </c>
      <c r="E357" s="103">
        <f>Data!U357</f>
        <v>0</v>
      </c>
    </row>
    <row r="358" spans="2:5" ht="15" customHeight="1" x14ac:dyDescent="0.3">
      <c r="C358" s="3"/>
      <c r="D358" s="8">
        <v>2018</v>
      </c>
      <c r="E358" s="103">
        <f>Data!U358</f>
        <v>0</v>
      </c>
    </row>
    <row r="359" spans="2:5" ht="15" customHeight="1" x14ac:dyDescent="0.3">
      <c r="C359" s="3"/>
      <c r="D359" s="8">
        <v>2019</v>
      </c>
      <c r="E359" s="103">
        <f>Data!U359</f>
        <v>0</v>
      </c>
    </row>
    <row r="360" spans="2:5" ht="15" customHeight="1" x14ac:dyDescent="0.3">
      <c r="C360" s="3"/>
      <c r="D360" s="8">
        <v>2020</v>
      </c>
      <c r="E360" s="103">
        <f>Data!U360</f>
        <v>0</v>
      </c>
    </row>
    <row r="361" spans="2:5" ht="15" customHeight="1" x14ac:dyDescent="0.3">
      <c r="C361" s="3"/>
      <c r="D361" s="8">
        <v>2021</v>
      </c>
      <c r="E361" s="103">
        <f>Data!U361</f>
        <v>0</v>
      </c>
    </row>
    <row r="362" spans="2:5" ht="15" customHeight="1" x14ac:dyDescent="0.3">
      <c r="C362" s="3"/>
      <c r="D362" s="8">
        <v>2022</v>
      </c>
      <c r="E362" s="103">
        <f>Data!U362</f>
        <v>0</v>
      </c>
    </row>
    <row r="363" spans="2:5" ht="15" customHeight="1" x14ac:dyDescent="0.3">
      <c r="C363" s="3"/>
      <c r="D363" s="8">
        <v>2023</v>
      </c>
      <c r="E363" s="103">
        <f>Data!U363</f>
        <v>0</v>
      </c>
    </row>
    <row r="364" spans="2:5" ht="15" customHeight="1" x14ac:dyDescent="0.3">
      <c r="C364" s="3"/>
      <c r="D364" s="8">
        <v>2024</v>
      </c>
      <c r="E364" s="103">
        <f>Data!U364</f>
        <v>0</v>
      </c>
    </row>
    <row r="365" spans="2:5" ht="15" customHeight="1" x14ac:dyDescent="0.3">
      <c r="B365" s="8">
        <v>34</v>
      </c>
      <c r="C365" s="3" t="s">
        <v>9</v>
      </c>
      <c r="D365" s="8">
        <v>2014</v>
      </c>
      <c r="E365" s="103">
        <f>Data!U365</f>
        <v>0</v>
      </c>
    </row>
    <row r="366" spans="2:5" ht="15" customHeight="1" x14ac:dyDescent="0.3">
      <c r="C366" s="3"/>
      <c r="D366" s="8">
        <v>2015</v>
      </c>
      <c r="E366" s="103">
        <f>Data!U366</f>
        <v>0</v>
      </c>
    </row>
    <row r="367" spans="2:5" ht="15" customHeight="1" x14ac:dyDescent="0.3">
      <c r="C367" s="3"/>
      <c r="D367" s="8">
        <v>2016</v>
      </c>
      <c r="E367" s="103">
        <f>Data!U367</f>
        <v>0</v>
      </c>
    </row>
    <row r="368" spans="2:5" ht="15" customHeight="1" x14ac:dyDescent="0.3">
      <c r="C368" s="3"/>
      <c r="D368" s="8">
        <v>2017</v>
      </c>
      <c r="E368" s="103">
        <f>Data!U368</f>
        <v>0</v>
      </c>
    </row>
    <row r="369" spans="2:5" ht="15" customHeight="1" x14ac:dyDescent="0.3">
      <c r="C369" s="3"/>
      <c r="D369" s="8">
        <v>2018</v>
      </c>
      <c r="E369" s="103">
        <f>Data!U369</f>
        <v>0</v>
      </c>
    </row>
    <row r="370" spans="2:5" ht="15" customHeight="1" x14ac:dyDescent="0.3">
      <c r="C370" s="3"/>
      <c r="D370" s="8">
        <v>2019</v>
      </c>
      <c r="E370" s="103">
        <f>Data!U370</f>
        <v>0</v>
      </c>
    </row>
    <row r="371" spans="2:5" ht="15" customHeight="1" x14ac:dyDescent="0.3">
      <c r="C371" s="3"/>
      <c r="D371" s="8">
        <v>2020</v>
      </c>
      <c r="E371" s="103">
        <f>Data!U371</f>
        <v>0</v>
      </c>
    </row>
    <row r="372" spans="2:5" ht="15" customHeight="1" x14ac:dyDescent="0.3">
      <c r="C372" s="3"/>
      <c r="D372" s="8">
        <v>2021</v>
      </c>
      <c r="E372" s="103">
        <f>Data!U372</f>
        <v>0</v>
      </c>
    </row>
    <row r="373" spans="2:5" ht="15" customHeight="1" x14ac:dyDescent="0.3">
      <c r="C373" s="3"/>
      <c r="D373" s="8">
        <v>2022</v>
      </c>
      <c r="E373" s="103">
        <f>Data!U373</f>
        <v>0</v>
      </c>
    </row>
    <row r="374" spans="2:5" ht="15" customHeight="1" x14ac:dyDescent="0.3">
      <c r="C374" s="3"/>
      <c r="D374" s="8">
        <v>2023</v>
      </c>
      <c r="E374" s="103">
        <f>Data!U374</f>
        <v>0</v>
      </c>
    </row>
    <row r="375" spans="2:5" ht="15" customHeight="1" x14ac:dyDescent="0.3">
      <c r="C375" s="3"/>
      <c r="D375" s="8">
        <v>2024</v>
      </c>
      <c r="E375" s="103">
        <f>Data!U375</f>
        <v>0</v>
      </c>
    </row>
    <row r="376" spans="2:5" ht="15" customHeight="1" x14ac:dyDescent="0.3">
      <c r="B376" s="8">
        <v>35</v>
      </c>
      <c r="C376" s="3" t="s">
        <v>31</v>
      </c>
      <c r="D376" s="8">
        <v>2014</v>
      </c>
      <c r="E376" s="103">
        <f>Data!U376</f>
        <v>0</v>
      </c>
    </row>
    <row r="377" spans="2:5" ht="15" customHeight="1" x14ac:dyDescent="0.3">
      <c r="C377" s="3"/>
      <c r="D377" s="8">
        <v>2015</v>
      </c>
      <c r="E377" s="103">
        <f>Data!U377</f>
        <v>0</v>
      </c>
    </row>
    <row r="378" spans="2:5" ht="15" customHeight="1" x14ac:dyDescent="0.3">
      <c r="C378" s="3"/>
      <c r="D378" s="8">
        <v>2016</v>
      </c>
      <c r="E378" s="103">
        <f>Data!U378</f>
        <v>0</v>
      </c>
    </row>
    <row r="379" spans="2:5" ht="15" customHeight="1" x14ac:dyDescent="0.3">
      <c r="C379" s="3"/>
      <c r="D379" s="8">
        <v>2017</v>
      </c>
      <c r="E379" s="103">
        <f>Data!U379</f>
        <v>0</v>
      </c>
    </row>
    <row r="380" spans="2:5" ht="15" customHeight="1" x14ac:dyDescent="0.3">
      <c r="C380" s="3"/>
      <c r="D380" s="8">
        <v>2018</v>
      </c>
      <c r="E380" s="103">
        <f>Data!U380</f>
        <v>0</v>
      </c>
    </row>
    <row r="381" spans="2:5" ht="15" customHeight="1" x14ac:dyDescent="0.3">
      <c r="C381" s="3"/>
      <c r="D381" s="8">
        <v>2019</v>
      </c>
      <c r="E381" s="103">
        <f>Data!U381</f>
        <v>0</v>
      </c>
    </row>
    <row r="382" spans="2:5" ht="15" customHeight="1" x14ac:dyDescent="0.3">
      <c r="C382" s="3"/>
      <c r="D382" s="8">
        <v>2020</v>
      </c>
      <c r="E382" s="103">
        <f>Data!U382</f>
        <v>0</v>
      </c>
    </row>
    <row r="383" spans="2:5" ht="15" customHeight="1" x14ac:dyDescent="0.3">
      <c r="C383" s="3"/>
      <c r="D383" s="8">
        <v>2021</v>
      </c>
      <c r="E383" s="103">
        <f>Data!U383</f>
        <v>0</v>
      </c>
    </row>
    <row r="384" spans="2:5" ht="15" customHeight="1" x14ac:dyDescent="0.3">
      <c r="C384" s="3"/>
      <c r="D384" s="8">
        <v>2022</v>
      </c>
      <c r="E384" s="103">
        <f>Data!U384</f>
        <v>0</v>
      </c>
    </row>
    <row r="385" spans="2:5" ht="15" customHeight="1" x14ac:dyDescent="0.3">
      <c r="C385" s="3"/>
      <c r="D385" s="8">
        <v>2023</v>
      </c>
      <c r="E385" s="103">
        <f>Data!U385</f>
        <v>0</v>
      </c>
    </row>
    <row r="386" spans="2:5" ht="15" customHeight="1" x14ac:dyDescent="0.3">
      <c r="C386" s="3"/>
      <c r="D386" s="8">
        <v>2024</v>
      </c>
      <c r="E386" s="103">
        <f>Data!U386</f>
        <v>0</v>
      </c>
    </row>
    <row r="387" spans="2:5" ht="15" customHeight="1" x14ac:dyDescent="0.3">
      <c r="B387" s="8">
        <v>36</v>
      </c>
      <c r="C387" s="4" t="s">
        <v>54</v>
      </c>
      <c r="D387" s="8">
        <v>2014</v>
      </c>
      <c r="E387" s="103">
        <f>Data!U387</f>
        <v>0</v>
      </c>
    </row>
    <row r="388" spans="2:5" ht="15" customHeight="1" x14ac:dyDescent="0.3">
      <c r="C388" s="4"/>
      <c r="D388" s="8">
        <v>2015</v>
      </c>
      <c r="E388" s="103">
        <f>Data!U388</f>
        <v>0</v>
      </c>
    </row>
    <row r="389" spans="2:5" ht="15" customHeight="1" x14ac:dyDescent="0.3">
      <c r="C389" s="4"/>
      <c r="D389" s="8">
        <v>2016</v>
      </c>
      <c r="E389" s="103">
        <f>Data!U389</f>
        <v>0</v>
      </c>
    </row>
    <row r="390" spans="2:5" ht="15" customHeight="1" x14ac:dyDescent="0.3">
      <c r="C390" s="4"/>
      <c r="D390" s="8">
        <v>2017</v>
      </c>
      <c r="E390" s="103">
        <f>Data!U390</f>
        <v>0</v>
      </c>
    </row>
    <row r="391" spans="2:5" ht="15" customHeight="1" x14ac:dyDescent="0.3">
      <c r="C391" s="4"/>
      <c r="D391" s="8">
        <v>2018</v>
      </c>
      <c r="E391" s="103">
        <f>Data!U391</f>
        <v>0</v>
      </c>
    </row>
    <row r="392" spans="2:5" ht="15" customHeight="1" x14ac:dyDescent="0.3">
      <c r="C392" s="4"/>
      <c r="D392" s="8">
        <v>2019</v>
      </c>
      <c r="E392" s="103">
        <f>Data!U392</f>
        <v>0</v>
      </c>
    </row>
    <row r="393" spans="2:5" ht="15" customHeight="1" x14ac:dyDescent="0.3">
      <c r="C393" s="4"/>
      <c r="D393" s="8">
        <v>2020</v>
      </c>
      <c r="E393" s="103">
        <f>Data!U393</f>
        <v>0</v>
      </c>
    </row>
    <row r="394" spans="2:5" ht="15" customHeight="1" x14ac:dyDescent="0.3">
      <c r="C394" s="4"/>
      <c r="D394" s="8">
        <v>2021</v>
      </c>
      <c r="E394" s="103">
        <f>Data!U394</f>
        <v>0</v>
      </c>
    </row>
    <row r="395" spans="2:5" ht="15" customHeight="1" x14ac:dyDescent="0.3">
      <c r="C395" s="4"/>
      <c r="D395" s="8">
        <v>2022</v>
      </c>
      <c r="E395" s="103">
        <f>Data!U395</f>
        <v>0</v>
      </c>
    </row>
    <row r="396" spans="2:5" ht="15" customHeight="1" x14ac:dyDescent="0.3">
      <c r="C396" s="4"/>
      <c r="D396" s="8">
        <v>2023</v>
      </c>
      <c r="E396" s="103">
        <f>Data!U396</f>
        <v>0</v>
      </c>
    </row>
    <row r="397" spans="2:5" ht="15" customHeight="1" x14ac:dyDescent="0.3">
      <c r="C397" s="4"/>
      <c r="D397" s="8">
        <v>2024</v>
      </c>
      <c r="E397" s="103">
        <f>Data!U397</f>
        <v>0</v>
      </c>
    </row>
    <row r="398" spans="2:5" ht="15" customHeight="1" x14ac:dyDescent="0.3">
      <c r="B398" s="8">
        <v>37</v>
      </c>
      <c r="C398" s="3" t="s">
        <v>10</v>
      </c>
      <c r="D398" s="8">
        <v>2014</v>
      </c>
      <c r="E398" s="103">
        <f>Data!U398</f>
        <v>0</v>
      </c>
    </row>
    <row r="399" spans="2:5" ht="15" customHeight="1" x14ac:dyDescent="0.3">
      <c r="C399" s="3"/>
      <c r="D399" s="8">
        <v>2015</v>
      </c>
      <c r="E399" s="103">
        <f>Data!U399</f>
        <v>0</v>
      </c>
    </row>
    <row r="400" spans="2:5" ht="15" customHeight="1" x14ac:dyDescent="0.3">
      <c r="C400" s="3"/>
      <c r="D400" s="8">
        <v>2016</v>
      </c>
      <c r="E400" s="103">
        <f>Data!U400</f>
        <v>0</v>
      </c>
    </row>
    <row r="401" spans="2:5" ht="15" customHeight="1" x14ac:dyDescent="0.3">
      <c r="C401" s="3"/>
      <c r="D401" s="8">
        <v>2017</v>
      </c>
      <c r="E401" s="103">
        <f>Data!U401</f>
        <v>0</v>
      </c>
    </row>
    <row r="402" spans="2:5" ht="15" customHeight="1" x14ac:dyDescent="0.3">
      <c r="C402" s="3"/>
      <c r="D402" s="8">
        <v>2018</v>
      </c>
      <c r="E402" s="103">
        <f>Data!U402</f>
        <v>0</v>
      </c>
    </row>
    <row r="403" spans="2:5" ht="15" customHeight="1" x14ac:dyDescent="0.3">
      <c r="C403" s="3"/>
      <c r="D403" s="8">
        <v>2019</v>
      </c>
      <c r="E403" s="103">
        <f>Data!U403</f>
        <v>0</v>
      </c>
    </row>
    <row r="404" spans="2:5" ht="15" customHeight="1" x14ac:dyDescent="0.3">
      <c r="C404" s="3"/>
      <c r="D404" s="8">
        <v>2020</v>
      </c>
      <c r="E404" s="103">
        <f>Data!U404</f>
        <v>0</v>
      </c>
    </row>
    <row r="405" spans="2:5" ht="15" customHeight="1" x14ac:dyDescent="0.3">
      <c r="C405" s="3"/>
      <c r="D405" s="8">
        <v>2021</v>
      </c>
      <c r="E405" s="103">
        <f>Data!U405</f>
        <v>0</v>
      </c>
    </row>
    <row r="406" spans="2:5" ht="15" customHeight="1" x14ac:dyDescent="0.3">
      <c r="C406" s="3"/>
      <c r="D406" s="8">
        <v>2022</v>
      </c>
      <c r="E406" s="103">
        <f>Data!U406</f>
        <v>0</v>
      </c>
    </row>
    <row r="407" spans="2:5" ht="15" customHeight="1" x14ac:dyDescent="0.3">
      <c r="C407" s="3"/>
      <c r="D407" s="8">
        <v>2023</v>
      </c>
      <c r="E407" s="103">
        <f>Data!U407</f>
        <v>0</v>
      </c>
    </row>
    <row r="408" spans="2:5" ht="15" customHeight="1" x14ac:dyDescent="0.3">
      <c r="C408" s="3"/>
      <c r="D408" s="8">
        <v>2024</v>
      </c>
      <c r="E408" s="103">
        <f>Data!U408</f>
        <v>0</v>
      </c>
    </row>
    <row r="409" spans="2:5" ht="15" customHeight="1" x14ac:dyDescent="0.3">
      <c r="B409" s="8">
        <v>38</v>
      </c>
      <c r="C409" s="3" t="s">
        <v>32</v>
      </c>
      <c r="D409" s="8">
        <v>2014</v>
      </c>
      <c r="E409" s="103">
        <f>Data!U409</f>
        <v>0</v>
      </c>
    </row>
    <row r="410" spans="2:5" ht="15" customHeight="1" x14ac:dyDescent="0.3">
      <c r="C410" s="3"/>
      <c r="D410" s="8">
        <v>2015</v>
      </c>
      <c r="E410" s="103">
        <f>Data!U410</f>
        <v>0</v>
      </c>
    </row>
    <row r="411" spans="2:5" ht="15" customHeight="1" x14ac:dyDescent="0.3">
      <c r="C411" s="3"/>
      <c r="D411" s="8">
        <v>2016</v>
      </c>
      <c r="E411" s="103">
        <f>Data!U411</f>
        <v>0</v>
      </c>
    </row>
    <row r="412" spans="2:5" ht="15" customHeight="1" x14ac:dyDescent="0.3">
      <c r="C412" s="3"/>
      <c r="D412" s="8">
        <v>2017</v>
      </c>
      <c r="E412" s="103">
        <f>Data!U412</f>
        <v>0</v>
      </c>
    </row>
    <row r="413" spans="2:5" ht="15" customHeight="1" x14ac:dyDescent="0.3">
      <c r="C413" s="3"/>
      <c r="D413" s="8">
        <v>2018</v>
      </c>
      <c r="E413" s="103">
        <f>Data!U413</f>
        <v>0</v>
      </c>
    </row>
    <row r="414" spans="2:5" ht="15" customHeight="1" x14ac:dyDescent="0.3">
      <c r="C414" s="3"/>
      <c r="D414" s="8">
        <v>2019</v>
      </c>
      <c r="E414" s="103">
        <f>Data!U414</f>
        <v>0</v>
      </c>
    </row>
    <row r="415" spans="2:5" ht="15" customHeight="1" x14ac:dyDescent="0.3">
      <c r="C415" s="3"/>
      <c r="D415" s="8">
        <v>2020</v>
      </c>
      <c r="E415" s="103">
        <f>Data!U415</f>
        <v>0</v>
      </c>
    </row>
    <row r="416" spans="2:5" ht="15" customHeight="1" x14ac:dyDescent="0.3">
      <c r="C416" s="3"/>
      <c r="D416" s="8">
        <v>2021</v>
      </c>
      <c r="E416" s="103">
        <f>Data!U416</f>
        <v>0</v>
      </c>
    </row>
    <row r="417" spans="2:5" ht="15" customHeight="1" x14ac:dyDescent="0.3">
      <c r="C417" s="3"/>
      <c r="D417" s="8">
        <v>2022</v>
      </c>
      <c r="E417" s="103">
        <f>Data!U417</f>
        <v>0</v>
      </c>
    </row>
    <row r="418" spans="2:5" ht="15" customHeight="1" x14ac:dyDescent="0.3">
      <c r="C418" s="3"/>
      <c r="D418" s="8">
        <v>2023</v>
      </c>
      <c r="E418" s="103">
        <f>Data!U418</f>
        <v>0</v>
      </c>
    </row>
    <row r="419" spans="2:5" ht="15" customHeight="1" x14ac:dyDescent="0.3">
      <c r="C419" s="3"/>
      <c r="D419" s="8">
        <v>2024</v>
      </c>
      <c r="E419" s="103">
        <f>Data!U419</f>
        <v>0</v>
      </c>
    </row>
    <row r="420" spans="2:5" ht="15" customHeight="1" x14ac:dyDescent="0.3">
      <c r="B420" s="8">
        <v>39</v>
      </c>
      <c r="C420" s="3" t="s">
        <v>33</v>
      </c>
      <c r="D420" s="8">
        <v>2014</v>
      </c>
      <c r="E420" s="103">
        <f>Data!U420</f>
        <v>0</v>
      </c>
    </row>
    <row r="421" spans="2:5" ht="15" customHeight="1" x14ac:dyDescent="0.3">
      <c r="C421" s="3"/>
      <c r="D421" s="8">
        <v>2015</v>
      </c>
      <c r="E421" s="103">
        <f>Data!U421</f>
        <v>0</v>
      </c>
    </row>
    <row r="422" spans="2:5" ht="15" customHeight="1" x14ac:dyDescent="0.3">
      <c r="C422" s="3"/>
      <c r="D422" s="8">
        <v>2016</v>
      </c>
      <c r="E422" s="103">
        <f>Data!U422</f>
        <v>0</v>
      </c>
    </row>
    <row r="423" spans="2:5" ht="15" customHeight="1" x14ac:dyDescent="0.3">
      <c r="C423" s="3"/>
      <c r="D423" s="8">
        <v>2017</v>
      </c>
      <c r="E423" s="103">
        <f>Data!U423</f>
        <v>0</v>
      </c>
    </row>
    <row r="424" spans="2:5" ht="15" customHeight="1" x14ac:dyDescent="0.3">
      <c r="C424" s="3"/>
      <c r="D424" s="8">
        <v>2018</v>
      </c>
      <c r="E424" s="103">
        <f>Data!U424</f>
        <v>0</v>
      </c>
    </row>
    <row r="425" spans="2:5" ht="15" customHeight="1" x14ac:dyDescent="0.3">
      <c r="C425" s="3"/>
      <c r="D425" s="8">
        <v>2019</v>
      </c>
      <c r="E425" s="103">
        <f>Data!U425</f>
        <v>0</v>
      </c>
    </row>
    <row r="426" spans="2:5" ht="15" customHeight="1" x14ac:dyDescent="0.3">
      <c r="C426" s="3"/>
      <c r="D426" s="8">
        <v>2020</v>
      </c>
      <c r="E426" s="103">
        <f>Data!U426</f>
        <v>0</v>
      </c>
    </row>
    <row r="427" spans="2:5" ht="15" customHeight="1" x14ac:dyDescent="0.3">
      <c r="C427" s="3"/>
      <c r="D427" s="8">
        <v>2021</v>
      </c>
      <c r="E427" s="103">
        <f>Data!U427</f>
        <v>0</v>
      </c>
    </row>
    <row r="428" spans="2:5" ht="15" customHeight="1" x14ac:dyDescent="0.3">
      <c r="C428" s="3"/>
      <c r="D428" s="8">
        <v>2022</v>
      </c>
      <c r="E428" s="103">
        <f>Data!U428</f>
        <v>0</v>
      </c>
    </row>
    <row r="429" spans="2:5" ht="15" customHeight="1" x14ac:dyDescent="0.3">
      <c r="C429" s="3"/>
      <c r="D429" s="8">
        <v>2023</v>
      </c>
      <c r="E429" s="103">
        <f>Data!U429</f>
        <v>0</v>
      </c>
    </row>
    <row r="430" spans="2:5" ht="15" customHeight="1" x14ac:dyDescent="0.3">
      <c r="C430" s="3"/>
      <c r="D430" s="8">
        <v>2024</v>
      </c>
      <c r="E430" s="103">
        <f>Data!U430</f>
        <v>0</v>
      </c>
    </row>
    <row r="431" spans="2:5" ht="15" customHeight="1" x14ac:dyDescent="0.3">
      <c r="B431" s="8">
        <v>40</v>
      </c>
      <c r="C431" s="3" t="s">
        <v>12</v>
      </c>
      <c r="D431" s="8">
        <v>2014</v>
      </c>
      <c r="E431" s="103">
        <f>Data!U431</f>
        <v>0</v>
      </c>
    </row>
    <row r="432" spans="2:5" ht="15" customHeight="1" x14ac:dyDescent="0.3">
      <c r="C432" s="3"/>
      <c r="D432" s="8">
        <v>2015</v>
      </c>
      <c r="E432" s="103">
        <f>Data!U432</f>
        <v>0</v>
      </c>
    </row>
    <row r="433" spans="2:5" ht="15" customHeight="1" x14ac:dyDescent="0.3">
      <c r="C433" s="3"/>
      <c r="D433" s="8">
        <v>2016</v>
      </c>
      <c r="E433" s="103">
        <f>Data!U433</f>
        <v>0</v>
      </c>
    </row>
    <row r="434" spans="2:5" ht="15" customHeight="1" x14ac:dyDescent="0.3">
      <c r="C434" s="3"/>
      <c r="D434" s="8">
        <v>2017</v>
      </c>
      <c r="E434" s="103">
        <f>Data!U434</f>
        <v>0</v>
      </c>
    </row>
    <row r="435" spans="2:5" ht="15" customHeight="1" x14ac:dyDescent="0.3">
      <c r="C435" s="3"/>
      <c r="D435" s="8">
        <v>2018</v>
      </c>
      <c r="E435" s="103">
        <f>Data!U435</f>
        <v>0</v>
      </c>
    </row>
    <row r="436" spans="2:5" ht="15" customHeight="1" x14ac:dyDescent="0.3">
      <c r="C436" s="3"/>
      <c r="D436" s="8">
        <v>2019</v>
      </c>
      <c r="E436" s="103">
        <f>Data!U436</f>
        <v>0</v>
      </c>
    </row>
    <row r="437" spans="2:5" ht="15" customHeight="1" x14ac:dyDescent="0.3">
      <c r="C437" s="3"/>
      <c r="D437" s="8">
        <v>2020</v>
      </c>
      <c r="E437" s="103">
        <f>Data!U437</f>
        <v>0</v>
      </c>
    </row>
    <row r="438" spans="2:5" ht="15" customHeight="1" x14ac:dyDescent="0.3">
      <c r="C438" s="3"/>
      <c r="D438" s="8">
        <v>2021</v>
      </c>
      <c r="E438" s="103">
        <f>Data!U438</f>
        <v>0</v>
      </c>
    </row>
    <row r="439" spans="2:5" ht="15" customHeight="1" x14ac:dyDescent="0.3">
      <c r="C439" s="3"/>
      <c r="D439" s="8">
        <v>2022</v>
      </c>
      <c r="E439" s="103">
        <f>Data!U439</f>
        <v>0</v>
      </c>
    </row>
    <row r="440" spans="2:5" ht="15" customHeight="1" x14ac:dyDescent="0.3">
      <c r="C440" s="3"/>
      <c r="D440" s="8">
        <v>2023</v>
      </c>
      <c r="E440" s="103">
        <f>Data!U440</f>
        <v>0</v>
      </c>
    </row>
    <row r="441" spans="2:5" ht="15" customHeight="1" x14ac:dyDescent="0.3">
      <c r="C441" s="3"/>
      <c r="D441" s="8">
        <v>2024</v>
      </c>
      <c r="E441" s="103">
        <f>Data!U441</f>
        <v>0</v>
      </c>
    </row>
    <row r="442" spans="2:5" ht="15" customHeight="1" x14ac:dyDescent="0.3">
      <c r="B442" s="8">
        <v>41</v>
      </c>
      <c r="C442" s="3" t="s">
        <v>34</v>
      </c>
      <c r="D442" s="8">
        <v>2014</v>
      </c>
      <c r="E442" s="103">
        <f>Data!U442</f>
        <v>0</v>
      </c>
    </row>
    <row r="443" spans="2:5" ht="15" customHeight="1" x14ac:dyDescent="0.3">
      <c r="C443" s="3"/>
      <c r="D443" s="8">
        <v>2015</v>
      </c>
      <c r="E443" s="103">
        <f>Data!U443</f>
        <v>0</v>
      </c>
    </row>
    <row r="444" spans="2:5" ht="15" customHeight="1" x14ac:dyDescent="0.3">
      <c r="C444" s="3"/>
      <c r="D444" s="8">
        <v>2016</v>
      </c>
      <c r="E444" s="103">
        <f>Data!U444</f>
        <v>0</v>
      </c>
    </row>
    <row r="445" spans="2:5" ht="15" customHeight="1" x14ac:dyDescent="0.3">
      <c r="C445" s="3"/>
      <c r="D445" s="8">
        <v>2017</v>
      </c>
      <c r="E445" s="103">
        <f>Data!U445</f>
        <v>0</v>
      </c>
    </row>
    <row r="446" spans="2:5" ht="15" customHeight="1" x14ac:dyDescent="0.3">
      <c r="C446" s="3"/>
      <c r="D446" s="8">
        <v>2018</v>
      </c>
      <c r="E446" s="103">
        <f>Data!U446</f>
        <v>0</v>
      </c>
    </row>
    <row r="447" spans="2:5" ht="15" customHeight="1" x14ac:dyDescent="0.3">
      <c r="C447" s="3"/>
      <c r="D447" s="8">
        <v>2019</v>
      </c>
      <c r="E447" s="103">
        <f>Data!U447</f>
        <v>0</v>
      </c>
    </row>
    <row r="448" spans="2:5" ht="15" customHeight="1" x14ac:dyDescent="0.3">
      <c r="C448" s="3"/>
      <c r="D448" s="8">
        <v>2020</v>
      </c>
      <c r="E448" s="103">
        <f>Data!U448</f>
        <v>0</v>
      </c>
    </row>
    <row r="449" spans="2:5" ht="15" customHeight="1" x14ac:dyDescent="0.3">
      <c r="C449" s="3"/>
      <c r="D449" s="8">
        <v>2021</v>
      </c>
      <c r="E449" s="103">
        <f>Data!U449</f>
        <v>0</v>
      </c>
    </row>
    <row r="450" spans="2:5" ht="15" customHeight="1" x14ac:dyDescent="0.3">
      <c r="C450" s="3"/>
      <c r="D450" s="8">
        <v>2022</v>
      </c>
      <c r="E450" s="103">
        <f>Data!U450</f>
        <v>0</v>
      </c>
    </row>
    <row r="451" spans="2:5" ht="15" customHeight="1" x14ac:dyDescent="0.3">
      <c r="C451" s="3"/>
      <c r="D451" s="8">
        <v>2023</v>
      </c>
      <c r="E451" s="103">
        <f>Data!U451</f>
        <v>0</v>
      </c>
    </row>
    <row r="452" spans="2:5" ht="15" customHeight="1" x14ac:dyDescent="0.3">
      <c r="C452" s="3"/>
      <c r="D452" s="8">
        <v>2024</v>
      </c>
      <c r="E452" s="103">
        <f>Data!U452</f>
        <v>0</v>
      </c>
    </row>
    <row r="453" spans="2:5" ht="15" customHeight="1" x14ac:dyDescent="0.3">
      <c r="B453" s="8">
        <v>42</v>
      </c>
      <c r="C453" s="3" t="s">
        <v>14</v>
      </c>
      <c r="D453" s="8">
        <v>2014</v>
      </c>
      <c r="E453" s="103">
        <f>Data!U453</f>
        <v>0</v>
      </c>
    </row>
    <row r="454" spans="2:5" ht="15" customHeight="1" x14ac:dyDescent="0.3">
      <c r="C454" s="3"/>
      <c r="D454" s="8">
        <v>2015</v>
      </c>
      <c r="E454" s="103">
        <f>Data!U454</f>
        <v>0</v>
      </c>
    </row>
    <row r="455" spans="2:5" ht="15" customHeight="1" x14ac:dyDescent="0.3">
      <c r="C455" s="3"/>
      <c r="D455" s="8">
        <v>2016</v>
      </c>
      <c r="E455" s="103">
        <f>Data!U455</f>
        <v>0</v>
      </c>
    </row>
    <row r="456" spans="2:5" ht="15" customHeight="1" x14ac:dyDescent="0.3">
      <c r="C456" s="3"/>
      <c r="D456" s="8">
        <v>2017</v>
      </c>
      <c r="E456" s="103">
        <f>Data!U456</f>
        <v>0</v>
      </c>
    </row>
    <row r="457" spans="2:5" ht="15" customHeight="1" x14ac:dyDescent="0.3">
      <c r="C457" s="3"/>
      <c r="D457" s="8">
        <v>2018</v>
      </c>
      <c r="E457" s="103">
        <f>Data!U457</f>
        <v>0</v>
      </c>
    </row>
    <row r="458" spans="2:5" ht="15" customHeight="1" x14ac:dyDescent="0.3">
      <c r="C458" s="3"/>
      <c r="D458" s="8">
        <v>2019</v>
      </c>
      <c r="E458" s="103">
        <f>Data!U458</f>
        <v>0</v>
      </c>
    </row>
    <row r="459" spans="2:5" ht="15" customHeight="1" x14ac:dyDescent="0.3">
      <c r="C459" s="3"/>
      <c r="D459" s="8">
        <v>2020</v>
      </c>
      <c r="E459" s="103">
        <f>Data!U459</f>
        <v>0</v>
      </c>
    </row>
    <row r="460" spans="2:5" ht="15" customHeight="1" x14ac:dyDescent="0.3">
      <c r="C460" s="3"/>
      <c r="D460" s="8">
        <v>2021</v>
      </c>
      <c r="E460" s="103">
        <f>Data!U460</f>
        <v>0</v>
      </c>
    </row>
    <row r="461" spans="2:5" ht="15" customHeight="1" x14ac:dyDescent="0.3">
      <c r="C461" s="3"/>
      <c r="D461" s="8">
        <v>2022</v>
      </c>
      <c r="E461" s="103">
        <f>Data!U461</f>
        <v>0</v>
      </c>
    </row>
    <row r="462" spans="2:5" ht="15" customHeight="1" x14ac:dyDescent="0.3">
      <c r="C462" s="3"/>
      <c r="D462" s="8">
        <v>2023</v>
      </c>
      <c r="E462" s="103">
        <f>Data!U462</f>
        <v>0</v>
      </c>
    </row>
    <row r="463" spans="2:5" ht="15" customHeight="1" x14ac:dyDescent="0.3">
      <c r="C463" s="3"/>
      <c r="D463" s="8">
        <v>2024</v>
      </c>
      <c r="E463" s="103">
        <f>Data!U463</f>
        <v>0</v>
      </c>
    </row>
    <row r="464" spans="2:5" ht="15" customHeight="1" x14ac:dyDescent="0.3">
      <c r="B464" s="8">
        <v>43</v>
      </c>
      <c r="C464" s="3" t="s">
        <v>15</v>
      </c>
      <c r="D464" s="8">
        <v>2014</v>
      </c>
      <c r="E464" s="103">
        <f>Data!U464</f>
        <v>0</v>
      </c>
    </row>
    <row r="465" spans="2:5" ht="15" customHeight="1" x14ac:dyDescent="0.3">
      <c r="C465" s="3"/>
      <c r="D465" s="8">
        <v>2015</v>
      </c>
      <c r="E465" s="103">
        <f>Data!U465</f>
        <v>0</v>
      </c>
    </row>
    <row r="466" spans="2:5" ht="15" customHeight="1" x14ac:dyDescent="0.3">
      <c r="C466" s="3"/>
      <c r="D466" s="8">
        <v>2016</v>
      </c>
      <c r="E466" s="103">
        <f>Data!U466</f>
        <v>0</v>
      </c>
    </row>
    <row r="467" spans="2:5" ht="15" customHeight="1" x14ac:dyDescent="0.3">
      <c r="C467" s="3"/>
      <c r="D467" s="8">
        <v>2017</v>
      </c>
      <c r="E467" s="103">
        <f>Data!U467</f>
        <v>0</v>
      </c>
    </row>
    <row r="468" spans="2:5" ht="15" customHeight="1" x14ac:dyDescent="0.3">
      <c r="C468" s="3"/>
      <c r="D468" s="8">
        <v>2018</v>
      </c>
      <c r="E468" s="103">
        <f>Data!U468</f>
        <v>0</v>
      </c>
    </row>
    <row r="469" spans="2:5" ht="15" customHeight="1" x14ac:dyDescent="0.3">
      <c r="C469" s="3"/>
      <c r="D469" s="8">
        <v>2019</v>
      </c>
      <c r="E469" s="103">
        <f>Data!U469</f>
        <v>0</v>
      </c>
    </row>
    <row r="470" spans="2:5" ht="15" customHeight="1" x14ac:dyDescent="0.3">
      <c r="C470" s="3"/>
      <c r="D470" s="8">
        <v>2020</v>
      </c>
      <c r="E470" s="103">
        <f>Data!U470</f>
        <v>0</v>
      </c>
    </row>
    <row r="471" spans="2:5" ht="15" customHeight="1" x14ac:dyDescent="0.3">
      <c r="C471" s="3"/>
      <c r="D471" s="8">
        <v>2021</v>
      </c>
      <c r="E471" s="103">
        <f>Data!U471</f>
        <v>0</v>
      </c>
    </row>
    <row r="472" spans="2:5" ht="15" customHeight="1" x14ac:dyDescent="0.3">
      <c r="C472" s="3"/>
      <c r="D472" s="8">
        <v>2022</v>
      </c>
      <c r="E472" s="103">
        <f>Data!U472</f>
        <v>0</v>
      </c>
    </row>
    <row r="473" spans="2:5" ht="15" customHeight="1" x14ac:dyDescent="0.3">
      <c r="C473" s="3"/>
      <c r="D473" s="8">
        <v>2023</v>
      </c>
      <c r="E473" s="103">
        <f>Data!U473</f>
        <v>0</v>
      </c>
    </row>
    <row r="474" spans="2:5" ht="15" customHeight="1" x14ac:dyDescent="0.3">
      <c r="C474" s="3"/>
      <c r="D474" s="8">
        <v>2024</v>
      </c>
      <c r="E474" s="103">
        <f>Data!U474</f>
        <v>0</v>
      </c>
    </row>
    <row r="475" spans="2:5" ht="15" customHeight="1" x14ac:dyDescent="0.3">
      <c r="B475" s="8">
        <v>44</v>
      </c>
      <c r="C475" s="3" t="s">
        <v>35</v>
      </c>
      <c r="D475" s="8">
        <v>2014</v>
      </c>
      <c r="E475" s="103">
        <f>Data!U475</f>
        <v>0</v>
      </c>
    </row>
    <row r="476" spans="2:5" ht="15" customHeight="1" x14ac:dyDescent="0.3">
      <c r="C476" s="3"/>
      <c r="D476" s="8">
        <v>2015</v>
      </c>
      <c r="E476" s="103">
        <f>Data!U476</f>
        <v>0</v>
      </c>
    </row>
    <row r="477" spans="2:5" ht="15" customHeight="1" x14ac:dyDescent="0.3">
      <c r="C477" s="3"/>
      <c r="D477" s="8">
        <v>2016</v>
      </c>
      <c r="E477" s="103">
        <f>Data!U477</f>
        <v>0</v>
      </c>
    </row>
    <row r="478" spans="2:5" ht="15" customHeight="1" x14ac:dyDescent="0.3">
      <c r="C478" s="3"/>
      <c r="D478" s="8">
        <v>2017</v>
      </c>
      <c r="E478" s="103">
        <f>Data!U478</f>
        <v>0</v>
      </c>
    </row>
    <row r="479" spans="2:5" ht="15" customHeight="1" x14ac:dyDescent="0.3">
      <c r="C479" s="3"/>
      <c r="D479" s="8">
        <v>2018</v>
      </c>
      <c r="E479" s="103">
        <f>Data!U479</f>
        <v>0</v>
      </c>
    </row>
    <row r="480" spans="2:5" ht="15" customHeight="1" x14ac:dyDescent="0.3">
      <c r="C480" s="3"/>
      <c r="D480" s="8">
        <v>2019</v>
      </c>
      <c r="E480" s="103">
        <f>Data!U480</f>
        <v>0</v>
      </c>
    </row>
    <row r="481" spans="2:5" ht="15" customHeight="1" x14ac:dyDescent="0.3">
      <c r="C481" s="3"/>
      <c r="D481" s="8">
        <v>2020</v>
      </c>
      <c r="E481" s="103">
        <f>Data!U481</f>
        <v>0</v>
      </c>
    </row>
    <row r="482" spans="2:5" ht="15" customHeight="1" x14ac:dyDescent="0.3">
      <c r="C482" s="3"/>
      <c r="D482" s="8">
        <v>2021</v>
      </c>
      <c r="E482" s="103">
        <f>Data!U482</f>
        <v>0</v>
      </c>
    </row>
    <row r="483" spans="2:5" ht="15" customHeight="1" x14ac:dyDescent="0.3">
      <c r="C483" s="3"/>
      <c r="D483" s="8">
        <v>2022</v>
      </c>
      <c r="E483" s="103">
        <f>Data!U483</f>
        <v>0</v>
      </c>
    </row>
    <row r="484" spans="2:5" ht="15" customHeight="1" x14ac:dyDescent="0.3">
      <c r="C484" s="3"/>
      <c r="D484" s="8">
        <v>2023</v>
      </c>
      <c r="E484" s="103">
        <f>Data!U484</f>
        <v>0</v>
      </c>
    </row>
    <row r="485" spans="2:5" ht="15" customHeight="1" x14ac:dyDescent="0.3">
      <c r="C485" s="3"/>
      <c r="D485" s="8">
        <v>2024</v>
      </c>
      <c r="E485" s="103">
        <f>Data!U485</f>
        <v>0</v>
      </c>
    </row>
    <row r="486" spans="2:5" ht="15" customHeight="1" x14ac:dyDescent="0.3">
      <c r="B486" s="8">
        <v>45</v>
      </c>
      <c r="C486" s="3" t="s">
        <v>36</v>
      </c>
      <c r="D486" s="8">
        <v>2014</v>
      </c>
      <c r="E486" s="103">
        <f>Data!U486</f>
        <v>0</v>
      </c>
    </row>
    <row r="487" spans="2:5" ht="15" customHeight="1" x14ac:dyDescent="0.3">
      <c r="C487" s="3"/>
      <c r="D487" s="8">
        <v>2015</v>
      </c>
      <c r="E487" s="103">
        <f>Data!U487</f>
        <v>0</v>
      </c>
    </row>
    <row r="488" spans="2:5" ht="15" customHeight="1" x14ac:dyDescent="0.3">
      <c r="C488" s="3"/>
      <c r="D488" s="8">
        <v>2016</v>
      </c>
      <c r="E488" s="103">
        <f>Data!U488</f>
        <v>0</v>
      </c>
    </row>
    <row r="489" spans="2:5" ht="15" customHeight="1" x14ac:dyDescent="0.3">
      <c r="C489" s="3"/>
      <c r="D489" s="8">
        <v>2017</v>
      </c>
      <c r="E489" s="103">
        <f>Data!U489</f>
        <v>0</v>
      </c>
    </row>
    <row r="490" spans="2:5" ht="15" customHeight="1" x14ac:dyDescent="0.3">
      <c r="C490" s="3"/>
      <c r="D490" s="8">
        <v>2018</v>
      </c>
      <c r="E490" s="103">
        <f>Data!U490</f>
        <v>0</v>
      </c>
    </row>
    <row r="491" spans="2:5" ht="15" customHeight="1" x14ac:dyDescent="0.3">
      <c r="C491" s="3"/>
      <c r="D491" s="8">
        <v>2019</v>
      </c>
      <c r="E491" s="103">
        <f>Data!U491</f>
        <v>0</v>
      </c>
    </row>
    <row r="492" spans="2:5" ht="15" customHeight="1" x14ac:dyDescent="0.3">
      <c r="C492" s="3"/>
      <c r="D492" s="8">
        <v>2020</v>
      </c>
      <c r="E492" s="103">
        <f>Data!U492</f>
        <v>0</v>
      </c>
    </row>
    <row r="493" spans="2:5" ht="15" customHeight="1" x14ac:dyDescent="0.3">
      <c r="C493" s="3"/>
      <c r="D493" s="8">
        <v>2021</v>
      </c>
      <c r="E493" s="103">
        <f>Data!U493</f>
        <v>0</v>
      </c>
    </row>
    <row r="494" spans="2:5" ht="15" customHeight="1" x14ac:dyDescent="0.3">
      <c r="C494" s="3"/>
      <c r="D494" s="8">
        <v>2022</v>
      </c>
      <c r="E494" s="103">
        <f>Data!U494</f>
        <v>0</v>
      </c>
    </row>
    <row r="495" spans="2:5" ht="15" customHeight="1" x14ac:dyDescent="0.3">
      <c r="C495" s="3"/>
      <c r="D495" s="8">
        <v>2023</v>
      </c>
      <c r="E495" s="103">
        <f>Data!U495</f>
        <v>0</v>
      </c>
    </row>
    <row r="496" spans="2:5" ht="15" customHeight="1" x14ac:dyDescent="0.3">
      <c r="C496" s="3"/>
      <c r="D496" s="8">
        <v>2024</v>
      </c>
      <c r="E496" s="103">
        <f>Data!U496</f>
        <v>0</v>
      </c>
    </row>
    <row r="497" spans="2:5" ht="15" customHeight="1" x14ac:dyDescent="0.3">
      <c r="B497" s="8">
        <v>46</v>
      </c>
      <c r="C497" s="3" t="s">
        <v>16</v>
      </c>
      <c r="D497" s="8">
        <v>2014</v>
      </c>
      <c r="E497" s="103">
        <f>Data!U497</f>
        <v>0</v>
      </c>
    </row>
    <row r="498" spans="2:5" ht="15" customHeight="1" x14ac:dyDescent="0.3">
      <c r="C498" s="3"/>
      <c r="D498" s="8">
        <v>2015</v>
      </c>
      <c r="E498" s="103">
        <f>Data!U498</f>
        <v>0</v>
      </c>
    </row>
    <row r="499" spans="2:5" ht="15" customHeight="1" x14ac:dyDescent="0.3">
      <c r="C499" s="3"/>
      <c r="D499" s="8">
        <v>2016</v>
      </c>
      <c r="E499" s="103">
        <f>Data!U499</f>
        <v>0</v>
      </c>
    </row>
    <row r="500" spans="2:5" ht="15" customHeight="1" x14ac:dyDescent="0.3">
      <c r="C500" s="3"/>
      <c r="D500" s="8">
        <v>2017</v>
      </c>
      <c r="E500" s="103">
        <f>Data!U500</f>
        <v>0</v>
      </c>
    </row>
    <row r="501" spans="2:5" ht="15" customHeight="1" x14ac:dyDescent="0.3">
      <c r="C501" s="3"/>
      <c r="D501" s="8">
        <v>2018</v>
      </c>
      <c r="E501" s="103">
        <f>Data!U501</f>
        <v>0</v>
      </c>
    </row>
    <row r="502" spans="2:5" ht="15" customHeight="1" x14ac:dyDescent="0.3">
      <c r="C502" s="3"/>
      <c r="D502" s="8">
        <v>2019</v>
      </c>
      <c r="E502" s="103">
        <f>Data!U502</f>
        <v>0</v>
      </c>
    </row>
    <row r="503" spans="2:5" ht="15" customHeight="1" x14ac:dyDescent="0.3">
      <c r="C503" s="3"/>
      <c r="D503" s="8">
        <v>2020</v>
      </c>
      <c r="E503" s="103">
        <f>Data!U503</f>
        <v>0</v>
      </c>
    </row>
    <row r="504" spans="2:5" ht="15" customHeight="1" x14ac:dyDescent="0.3">
      <c r="C504" s="3"/>
      <c r="D504" s="8">
        <v>2021</v>
      </c>
      <c r="E504" s="103">
        <f>Data!U504</f>
        <v>0</v>
      </c>
    </row>
    <row r="505" spans="2:5" ht="15" customHeight="1" x14ac:dyDescent="0.3">
      <c r="C505" s="3"/>
      <c r="D505" s="8">
        <v>2022</v>
      </c>
      <c r="E505" s="103">
        <f>Data!U505</f>
        <v>0</v>
      </c>
    </row>
    <row r="506" spans="2:5" ht="15" customHeight="1" x14ac:dyDescent="0.3">
      <c r="C506" s="3"/>
      <c r="D506" s="8">
        <v>2023</v>
      </c>
      <c r="E506" s="103">
        <f>Data!U506</f>
        <v>0</v>
      </c>
    </row>
    <row r="507" spans="2:5" ht="15" customHeight="1" x14ac:dyDescent="0.3">
      <c r="C507" s="3"/>
      <c r="D507" s="8">
        <v>2024</v>
      </c>
      <c r="E507" s="103">
        <f>Data!U507</f>
        <v>0</v>
      </c>
    </row>
    <row r="508" spans="2:5" ht="15" customHeight="1" x14ac:dyDescent="0.3">
      <c r="B508" s="8">
        <v>47</v>
      </c>
      <c r="C508" s="3" t="s">
        <v>17</v>
      </c>
      <c r="D508" s="8">
        <v>2014</v>
      </c>
      <c r="E508" s="103">
        <f>Data!U508</f>
        <v>0</v>
      </c>
    </row>
    <row r="509" spans="2:5" ht="15" customHeight="1" x14ac:dyDescent="0.3">
      <c r="C509" s="3"/>
      <c r="D509" s="8">
        <v>2015</v>
      </c>
      <c r="E509" s="103">
        <f>Data!U509</f>
        <v>0</v>
      </c>
    </row>
    <row r="510" spans="2:5" ht="15" customHeight="1" x14ac:dyDescent="0.3">
      <c r="C510" s="3"/>
      <c r="D510" s="8">
        <v>2016</v>
      </c>
      <c r="E510" s="103">
        <f>Data!U510</f>
        <v>0</v>
      </c>
    </row>
    <row r="511" spans="2:5" ht="15" customHeight="1" x14ac:dyDescent="0.3">
      <c r="C511" s="3"/>
      <c r="D511" s="8">
        <v>2017</v>
      </c>
      <c r="E511" s="103">
        <f>Data!U511</f>
        <v>0</v>
      </c>
    </row>
    <row r="512" spans="2:5" ht="15" customHeight="1" x14ac:dyDescent="0.3">
      <c r="C512" s="3"/>
      <c r="D512" s="8">
        <v>2018</v>
      </c>
      <c r="E512" s="103">
        <f>Data!U512</f>
        <v>0</v>
      </c>
    </row>
    <row r="513" spans="2:5" ht="15" customHeight="1" x14ac:dyDescent="0.3">
      <c r="C513" s="3"/>
      <c r="D513" s="8">
        <v>2019</v>
      </c>
      <c r="E513" s="103">
        <f>Data!U513</f>
        <v>0</v>
      </c>
    </row>
    <row r="514" spans="2:5" ht="15" customHeight="1" x14ac:dyDescent="0.3">
      <c r="C514" s="3"/>
      <c r="D514" s="8">
        <v>2020</v>
      </c>
      <c r="E514" s="103">
        <f>Data!U514</f>
        <v>0</v>
      </c>
    </row>
    <row r="515" spans="2:5" ht="15" customHeight="1" x14ac:dyDescent="0.3">
      <c r="C515" s="3"/>
      <c r="D515" s="8">
        <v>2021</v>
      </c>
      <c r="E515" s="103">
        <f>Data!U515</f>
        <v>0</v>
      </c>
    </row>
    <row r="516" spans="2:5" ht="15" customHeight="1" x14ac:dyDescent="0.3">
      <c r="C516" s="3"/>
      <c r="D516" s="8">
        <v>2022</v>
      </c>
      <c r="E516" s="103">
        <f>Data!U516</f>
        <v>0</v>
      </c>
    </row>
    <row r="517" spans="2:5" ht="15" customHeight="1" x14ac:dyDescent="0.3">
      <c r="C517" s="3"/>
      <c r="D517" s="8">
        <v>2023</v>
      </c>
      <c r="E517" s="103">
        <f>Data!U517</f>
        <v>0</v>
      </c>
    </row>
    <row r="518" spans="2:5" ht="15" customHeight="1" x14ac:dyDescent="0.3">
      <c r="C518" s="3"/>
      <c r="D518" s="8">
        <v>2024</v>
      </c>
      <c r="E518" s="103">
        <f>Data!U518</f>
        <v>0</v>
      </c>
    </row>
    <row r="519" spans="2:5" ht="15" customHeight="1" x14ac:dyDescent="0.3">
      <c r="B519" s="8">
        <v>48</v>
      </c>
      <c r="C519" s="3" t="s">
        <v>26</v>
      </c>
      <c r="D519" s="8">
        <v>2014</v>
      </c>
      <c r="E519" s="103">
        <f>Data!U519</f>
        <v>0</v>
      </c>
    </row>
    <row r="520" spans="2:5" ht="15" customHeight="1" x14ac:dyDescent="0.3">
      <c r="C520" s="3"/>
      <c r="D520" s="8">
        <v>2015</v>
      </c>
      <c r="E520" s="103">
        <f>Data!U520</f>
        <v>0</v>
      </c>
    </row>
    <row r="521" spans="2:5" ht="15" customHeight="1" x14ac:dyDescent="0.3">
      <c r="C521" s="3"/>
      <c r="D521" s="8">
        <v>2016</v>
      </c>
      <c r="E521" s="103">
        <f>Data!U521</f>
        <v>0</v>
      </c>
    </row>
    <row r="522" spans="2:5" ht="15" customHeight="1" x14ac:dyDescent="0.3">
      <c r="C522" s="3"/>
      <c r="D522" s="8">
        <v>2017</v>
      </c>
      <c r="E522" s="103">
        <f>Data!U522</f>
        <v>0</v>
      </c>
    </row>
    <row r="523" spans="2:5" ht="15" customHeight="1" x14ac:dyDescent="0.3">
      <c r="C523" s="3"/>
      <c r="D523" s="8">
        <v>2018</v>
      </c>
      <c r="E523" s="103">
        <f>Data!U523</f>
        <v>0</v>
      </c>
    </row>
    <row r="524" spans="2:5" ht="15" customHeight="1" x14ac:dyDescent="0.3">
      <c r="C524" s="3"/>
      <c r="D524" s="8">
        <v>2019</v>
      </c>
      <c r="E524" s="103">
        <f>Data!U524</f>
        <v>0</v>
      </c>
    </row>
    <row r="525" spans="2:5" ht="15" customHeight="1" x14ac:dyDescent="0.3">
      <c r="C525" s="3"/>
      <c r="D525" s="8">
        <v>2020</v>
      </c>
      <c r="E525" s="103">
        <f>Data!U525</f>
        <v>0</v>
      </c>
    </row>
    <row r="526" spans="2:5" ht="15" customHeight="1" x14ac:dyDescent="0.3">
      <c r="C526" s="3"/>
      <c r="D526" s="8">
        <v>2021</v>
      </c>
      <c r="E526" s="103">
        <f>Data!U526</f>
        <v>0</v>
      </c>
    </row>
    <row r="527" spans="2:5" ht="15" customHeight="1" x14ac:dyDescent="0.3">
      <c r="C527" s="3"/>
      <c r="D527" s="8">
        <v>2022</v>
      </c>
      <c r="E527" s="103">
        <f>Data!U527</f>
        <v>0</v>
      </c>
    </row>
    <row r="528" spans="2:5" ht="15" customHeight="1" x14ac:dyDescent="0.3">
      <c r="C528" s="3"/>
      <c r="D528" s="8">
        <v>2023</v>
      </c>
      <c r="E528" s="103">
        <f>Data!U528</f>
        <v>0</v>
      </c>
    </row>
    <row r="529" spans="2:5" ht="15" customHeight="1" x14ac:dyDescent="0.3">
      <c r="C529" s="3"/>
      <c r="D529" s="8">
        <v>2024</v>
      </c>
      <c r="E529" s="103">
        <f>Data!U529</f>
        <v>0</v>
      </c>
    </row>
    <row r="530" spans="2:5" ht="15" customHeight="1" x14ac:dyDescent="0.3">
      <c r="B530" s="8">
        <v>49</v>
      </c>
      <c r="C530" s="3" t="s">
        <v>38</v>
      </c>
      <c r="D530" s="8">
        <v>2014</v>
      </c>
      <c r="E530" s="103">
        <f>Data!U530</f>
        <v>0</v>
      </c>
    </row>
    <row r="531" spans="2:5" ht="15" customHeight="1" x14ac:dyDescent="0.3">
      <c r="C531" s="3"/>
      <c r="D531" s="8">
        <v>2015</v>
      </c>
      <c r="E531" s="103">
        <f>Data!U531</f>
        <v>0</v>
      </c>
    </row>
    <row r="532" spans="2:5" ht="15" customHeight="1" x14ac:dyDescent="0.3">
      <c r="C532" s="3"/>
      <c r="D532" s="8">
        <v>2016</v>
      </c>
      <c r="E532" s="103">
        <f>Data!U532</f>
        <v>0</v>
      </c>
    </row>
    <row r="533" spans="2:5" ht="15" customHeight="1" x14ac:dyDescent="0.3">
      <c r="C533" s="3"/>
      <c r="D533" s="8">
        <v>2017</v>
      </c>
      <c r="E533" s="103">
        <f>Data!U533</f>
        <v>0</v>
      </c>
    </row>
    <row r="534" spans="2:5" ht="15" customHeight="1" x14ac:dyDescent="0.3">
      <c r="C534" s="3"/>
      <c r="D534" s="8">
        <v>2018</v>
      </c>
      <c r="E534" s="103">
        <f>Data!U534</f>
        <v>0</v>
      </c>
    </row>
    <row r="535" spans="2:5" ht="15" customHeight="1" x14ac:dyDescent="0.3">
      <c r="C535" s="3"/>
      <c r="D535" s="8">
        <v>2019</v>
      </c>
      <c r="E535" s="103">
        <f>Data!U535</f>
        <v>0</v>
      </c>
    </row>
    <row r="536" spans="2:5" ht="15" customHeight="1" x14ac:dyDescent="0.3">
      <c r="C536" s="3"/>
      <c r="D536" s="8">
        <v>2020</v>
      </c>
      <c r="E536" s="103">
        <f>Data!U536</f>
        <v>0</v>
      </c>
    </row>
    <row r="537" spans="2:5" ht="15" customHeight="1" x14ac:dyDescent="0.3">
      <c r="C537" s="3"/>
      <c r="D537" s="8">
        <v>2021</v>
      </c>
      <c r="E537" s="103">
        <f>Data!U537</f>
        <v>0</v>
      </c>
    </row>
    <row r="538" spans="2:5" ht="15" customHeight="1" x14ac:dyDescent="0.3">
      <c r="C538" s="3"/>
      <c r="D538" s="8">
        <v>2022</v>
      </c>
      <c r="E538" s="103">
        <f>Data!U538</f>
        <v>0</v>
      </c>
    </row>
    <row r="539" spans="2:5" ht="15" customHeight="1" x14ac:dyDescent="0.3">
      <c r="C539" s="3"/>
      <c r="D539" s="8">
        <v>2023</v>
      </c>
      <c r="E539" s="103">
        <f>Data!U539</f>
        <v>0</v>
      </c>
    </row>
    <row r="540" spans="2:5" ht="15" customHeight="1" x14ac:dyDescent="0.3">
      <c r="C540" s="3"/>
      <c r="D540" s="8">
        <v>2024</v>
      </c>
      <c r="E540" s="103">
        <f>Data!U540</f>
        <v>0</v>
      </c>
    </row>
    <row r="541" spans="2:5" ht="15" customHeight="1" x14ac:dyDescent="0.3">
      <c r="B541" s="8">
        <v>50</v>
      </c>
      <c r="C541" s="3" t="s">
        <v>39</v>
      </c>
      <c r="D541" s="8">
        <v>2014</v>
      </c>
      <c r="E541" s="103">
        <f>Data!U541</f>
        <v>0</v>
      </c>
    </row>
    <row r="542" spans="2:5" ht="15" customHeight="1" x14ac:dyDescent="0.3">
      <c r="C542" s="3"/>
      <c r="D542" s="8">
        <v>2015</v>
      </c>
      <c r="E542" s="103">
        <f>Data!U542</f>
        <v>0</v>
      </c>
    </row>
    <row r="543" spans="2:5" ht="15" customHeight="1" x14ac:dyDescent="0.3">
      <c r="C543" s="3"/>
      <c r="D543" s="8">
        <v>2016</v>
      </c>
      <c r="E543" s="103">
        <f>Data!U543</f>
        <v>0</v>
      </c>
    </row>
    <row r="544" spans="2:5" ht="15" customHeight="1" x14ac:dyDescent="0.3">
      <c r="C544" s="3"/>
      <c r="D544" s="8">
        <v>2017</v>
      </c>
      <c r="E544" s="103">
        <f>Data!U544</f>
        <v>0</v>
      </c>
    </row>
    <row r="545" spans="2:5" ht="15" customHeight="1" x14ac:dyDescent="0.3">
      <c r="C545" s="3"/>
      <c r="D545" s="8">
        <v>2018</v>
      </c>
      <c r="E545" s="103">
        <f>Data!U545</f>
        <v>0</v>
      </c>
    </row>
    <row r="546" spans="2:5" ht="15" customHeight="1" x14ac:dyDescent="0.3">
      <c r="C546" s="3"/>
      <c r="D546" s="8">
        <v>2019</v>
      </c>
      <c r="E546" s="103">
        <f>Data!U546</f>
        <v>0</v>
      </c>
    </row>
    <row r="547" spans="2:5" ht="15" customHeight="1" x14ac:dyDescent="0.3">
      <c r="C547" s="3"/>
      <c r="D547" s="8">
        <v>2020</v>
      </c>
      <c r="E547" s="103">
        <f>Data!U547</f>
        <v>0</v>
      </c>
    </row>
    <row r="548" spans="2:5" ht="15" customHeight="1" x14ac:dyDescent="0.3">
      <c r="C548" s="3"/>
      <c r="D548" s="8">
        <v>2021</v>
      </c>
      <c r="E548" s="103">
        <f>Data!U548</f>
        <v>0</v>
      </c>
    </row>
    <row r="549" spans="2:5" ht="15" customHeight="1" x14ac:dyDescent="0.3">
      <c r="C549" s="3"/>
      <c r="D549" s="8">
        <v>2022</v>
      </c>
      <c r="E549" s="103">
        <f>Data!U549</f>
        <v>0</v>
      </c>
    </row>
    <row r="550" spans="2:5" ht="15" customHeight="1" x14ac:dyDescent="0.3">
      <c r="C550" s="3"/>
      <c r="D550" s="8">
        <v>2023</v>
      </c>
      <c r="E550" s="103">
        <f>Data!U550</f>
        <v>0</v>
      </c>
    </row>
    <row r="551" spans="2:5" ht="15" customHeight="1" x14ac:dyDescent="0.3">
      <c r="C551" s="3"/>
      <c r="D551" s="8">
        <v>2024</v>
      </c>
      <c r="E551" s="103">
        <f>Data!U551</f>
        <v>0</v>
      </c>
    </row>
    <row r="552" spans="2:5" ht="15" customHeight="1" x14ac:dyDescent="0.3">
      <c r="B552" s="8">
        <v>51</v>
      </c>
      <c r="C552" s="3" t="s">
        <v>48</v>
      </c>
      <c r="D552" s="8">
        <v>2014</v>
      </c>
      <c r="E552" s="103">
        <f>Data!U552</f>
        <v>0</v>
      </c>
    </row>
    <row r="553" spans="2:5" ht="15" customHeight="1" x14ac:dyDescent="0.3">
      <c r="C553" s="3"/>
      <c r="D553" s="8">
        <v>2015</v>
      </c>
      <c r="E553" s="103">
        <f>Data!U553</f>
        <v>0</v>
      </c>
    </row>
    <row r="554" spans="2:5" ht="15" customHeight="1" x14ac:dyDescent="0.3">
      <c r="C554" s="3"/>
      <c r="D554" s="8">
        <v>2016</v>
      </c>
      <c r="E554" s="103">
        <f>Data!U554</f>
        <v>0</v>
      </c>
    </row>
    <row r="555" spans="2:5" ht="15" customHeight="1" x14ac:dyDescent="0.3">
      <c r="C555" s="3"/>
      <c r="D555" s="8">
        <v>2017</v>
      </c>
      <c r="E555" s="103">
        <f>Data!U555</f>
        <v>0</v>
      </c>
    </row>
    <row r="556" spans="2:5" ht="15" customHeight="1" x14ac:dyDescent="0.3">
      <c r="C556" s="3"/>
      <c r="D556" s="8">
        <v>2018</v>
      </c>
      <c r="E556" s="103">
        <f>Data!U556</f>
        <v>0</v>
      </c>
    </row>
    <row r="557" spans="2:5" ht="15" customHeight="1" x14ac:dyDescent="0.3">
      <c r="C557" s="3"/>
      <c r="D557" s="8">
        <v>2019</v>
      </c>
      <c r="E557" s="103">
        <f>Data!U557</f>
        <v>0</v>
      </c>
    </row>
    <row r="558" spans="2:5" ht="15" customHeight="1" x14ac:dyDescent="0.3">
      <c r="C558" s="3"/>
      <c r="D558" s="8">
        <v>2020</v>
      </c>
      <c r="E558" s="103">
        <f>Data!U558</f>
        <v>0</v>
      </c>
    </row>
    <row r="559" spans="2:5" ht="15" customHeight="1" x14ac:dyDescent="0.3">
      <c r="C559" s="3"/>
      <c r="D559" s="8">
        <v>2021</v>
      </c>
      <c r="E559" s="103">
        <f>Data!U559</f>
        <v>0</v>
      </c>
    </row>
    <row r="560" spans="2:5" ht="15" customHeight="1" x14ac:dyDescent="0.3">
      <c r="C560" s="3"/>
      <c r="D560" s="8">
        <v>2022</v>
      </c>
      <c r="E560" s="103">
        <f>Data!U560</f>
        <v>0</v>
      </c>
    </row>
    <row r="561" spans="2:5" ht="15" customHeight="1" x14ac:dyDescent="0.3">
      <c r="C561" s="3"/>
      <c r="D561" s="8">
        <v>2023</v>
      </c>
      <c r="E561" s="103">
        <f>Data!U561</f>
        <v>0</v>
      </c>
    </row>
    <row r="562" spans="2:5" ht="15" customHeight="1" x14ac:dyDescent="0.3">
      <c r="C562" s="3"/>
      <c r="D562" s="8">
        <v>2024</v>
      </c>
      <c r="E562" s="103">
        <f>Data!U562</f>
        <v>0</v>
      </c>
    </row>
    <row r="563" spans="2:5" ht="15" customHeight="1" x14ac:dyDescent="0.3">
      <c r="B563" s="8">
        <v>52</v>
      </c>
      <c r="C563" s="3" t="s">
        <v>37</v>
      </c>
      <c r="D563" s="8">
        <v>2014</v>
      </c>
      <c r="E563" s="103">
        <f>Data!U563</f>
        <v>0</v>
      </c>
    </row>
    <row r="564" spans="2:5" ht="15" customHeight="1" x14ac:dyDescent="0.3">
      <c r="C564" s="3"/>
      <c r="D564" s="8">
        <v>2015</v>
      </c>
      <c r="E564" s="103">
        <f>Data!U564</f>
        <v>0</v>
      </c>
    </row>
    <row r="565" spans="2:5" ht="15" customHeight="1" x14ac:dyDescent="0.3">
      <c r="C565" s="3"/>
      <c r="D565" s="8">
        <v>2016</v>
      </c>
      <c r="E565" s="103">
        <f>Data!U565</f>
        <v>0</v>
      </c>
    </row>
    <row r="566" spans="2:5" ht="15" customHeight="1" x14ac:dyDescent="0.3">
      <c r="C566" s="3"/>
      <c r="D566" s="8">
        <v>2017</v>
      </c>
      <c r="E566" s="103">
        <f>Data!U566</f>
        <v>0</v>
      </c>
    </row>
    <row r="567" spans="2:5" ht="15" customHeight="1" x14ac:dyDescent="0.3">
      <c r="C567" s="3"/>
      <c r="D567" s="8">
        <v>2018</v>
      </c>
      <c r="E567" s="103">
        <f>Data!U567</f>
        <v>0</v>
      </c>
    </row>
    <row r="568" spans="2:5" ht="15" customHeight="1" x14ac:dyDescent="0.3">
      <c r="C568" s="3"/>
      <c r="D568" s="8">
        <v>2019</v>
      </c>
      <c r="E568" s="103">
        <f>Data!U568</f>
        <v>0</v>
      </c>
    </row>
    <row r="569" spans="2:5" ht="15" customHeight="1" x14ac:dyDescent="0.3">
      <c r="C569" s="3"/>
      <c r="D569" s="8">
        <v>2020</v>
      </c>
      <c r="E569" s="103">
        <f>Data!U569</f>
        <v>0</v>
      </c>
    </row>
    <row r="570" spans="2:5" ht="15" customHeight="1" x14ac:dyDescent="0.3">
      <c r="C570" s="3"/>
      <c r="D570" s="8">
        <v>2021</v>
      </c>
      <c r="E570" s="103">
        <f>Data!U570</f>
        <v>0</v>
      </c>
    </row>
    <row r="571" spans="2:5" ht="15" customHeight="1" x14ac:dyDescent="0.3">
      <c r="C571" s="3"/>
      <c r="D571" s="8">
        <v>2022</v>
      </c>
      <c r="E571" s="103">
        <f>Data!U571</f>
        <v>0</v>
      </c>
    </row>
    <row r="572" spans="2:5" ht="15" customHeight="1" x14ac:dyDescent="0.3">
      <c r="C572" s="3"/>
      <c r="D572" s="8">
        <v>2023</v>
      </c>
      <c r="E572" s="103">
        <f>Data!U572</f>
        <v>0</v>
      </c>
    </row>
    <row r="573" spans="2:5" ht="15" customHeight="1" x14ac:dyDescent="0.3">
      <c r="C573" s="3"/>
      <c r="D573" s="8">
        <v>2024</v>
      </c>
      <c r="E573" s="103">
        <f>Data!U573</f>
        <v>0</v>
      </c>
    </row>
    <row r="574" spans="2:5" ht="15" customHeight="1" x14ac:dyDescent="0.3">
      <c r="B574" s="8">
        <v>53</v>
      </c>
      <c r="C574" s="3" t="s">
        <v>43</v>
      </c>
      <c r="D574" s="8">
        <v>2014</v>
      </c>
      <c r="E574" s="103">
        <f>Data!U574</f>
        <v>0</v>
      </c>
    </row>
    <row r="575" spans="2:5" ht="15" customHeight="1" x14ac:dyDescent="0.3">
      <c r="C575" s="3"/>
      <c r="D575" s="8">
        <v>2015</v>
      </c>
      <c r="E575" s="103">
        <f>Data!U575</f>
        <v>0</v>
      </c>
    </row>
    <row r="576" spans="2:5" ht="15" customHeight="1" x14ac:dyDescent="0.3">
      <c r="C576" s="3"/>
      <c r="D576" s="8">
        <v>2016</v>
      </c>
      <c r="E576" s="103">
        <f>Data!U576</f>
        <v>0</v>
      </c>
    </row>
    <row r="577" spans="2:5" ht="15" customHeight="1" x14ac:dyDescent="0.3">
      <c r="C577" s="3"/>
      <c r="D577" s="8">
        <v>2017</v>
      </c>
      <c r="E577" s="103">
        <f>Data!U577</f>
        <v>0</v>
      </c>
    </row>
    <row r="578" spans="2:5" ht="15" customHeight="1" x14ac:dyDescent="0.3">
      <c r="C578" s="3"/>
      <c r="D578" s="8">
        <v>2018</v>
      </c>
      <c r="E578" s="103">
        <f>Data!U578</f>
        <v>0</v>
      </c>
    </row>
    <row r="579" spans="2:5" ht="15" customHeight="1" x14ac:dyDescent="0.3">
      <c r="C579" s="3"/>
      <c r="D579" s="8">
        <v>2019</v>
      </c>
      <c r="E579" s="103">
        <f>Data!U579</f>
        <v>0</v>
      </c>
    </row>
    <row r="580" spans="2:5" ht="15" customHeight="1" x14ac:dyDescent="0.3">
      <c r="C580" s="3"/>
      <c r="D580" s="8">
        <v>2020</v>
      </c>
      <c r="E580" s="103">
        <f>Data!U580</f>
        <v>0</v>
      </c>
    </row>
    <row r="581" spans="2:5" ht="15" customHeight="1" x14ac:dyDescent="0.3">
      <c r="C581" s="3"/>
      <c r="D581" s="8">
        <v>2021</v>
      </c>
      <c r="E581" s="103">
        <f>Data!U581</f>
        <v>0</v>
      </c>
    </row>
    <row r="582" spans="2:5" ht="15" customHeight="1" x14ac:dyDescent="0.3">
      <c r="C582" s="3"/>
      <c r="D582" s="8">
        <v>2022</v>
      </c>
      <c r="E582" s="103">
        <f>Data!U582</f>
        <v>0</v>
      </c>
    </row>
    <row r="583" spans="2:5" ht="15" customHeight="1" x14ac:dyDescent="0.3">
      <c r="C583" s="3"/>
      <c r="D583" s="8">
        <v>2023</v>
      </c>
      <c r="E583" s="103">
        <f>Data!U583</f>
        <v>0</v>
      </c>
    </row>
    <row r="584" spans="2:5" ht="15" customHeight="1" x14ac:dyDescent="0.3">
      <c r="C584" s="3"/>
      <c r="D584" s="8">
        <v>2024</v>
      </c>
      <c r="E584" s="103">
        <f>Data!U584</f>
        <v>0</v>
      </c>
    </row>
    <row r="585" spans="2:5" ht="15" customHeight="1" x14ac:dyDescent="0.3">
      <c r="B585" s="8">
        <v>54</v>
      </c>
      <c r="C585" s="4" t="s">
        <v>150</v>
      </c>
      <c r="D585" s="8">
        <v>2014</v>
      </c>
      <c r="E585" s="103">
        <f>Data!U585</f>
        <v>0</v>
      </c>
    </row>
    <row r="586" spans="2:5" ht="15" customHeight="1" x14ac:dyDescent="0.3">
      <c r="C586" s="4"/>
      <c r="D586" s="8">
        <v>2015</v>
      </c>
      <c r="E586" s="103">
        <f>Data!U586</f>
        <v>0</v>
      </c>
    </row>
    <row r="587" spans="2:5" ht="15" customHeight="1" x14ac:dyDescent="0.3">
      <c r="C587" s="4"/>
      <c r="D587" s="8">
        <v>2016</v>
      </c>
      <c r="E587" s="103">
        <f>Data!U587</f>
        <v>0</v>
      </c>
    </row>
    <row r="588" spans="2:5" ht="15" customHeight="1" x14ac:dyDescent="0.3">
      <c r="C588" s="4"/>
      <c r="D588" s="8">
        <v>2017</v>
      </c>
      <c r="E588" s="103">
        <f>Data!U588</f>
        <v>0</v>
      </c>
    </row>
    <row r="589" spans="2:5" ht="15" customHeight="1" x14ac:dyDescent="0.3">
      <c r="C589" s="4"/>
      <c r="D589" s="8">
        <v>2018</v>
      </c>
      <c r="E589" s="103">
        <f>Data!U589</f>
        <v>0</v>
      </c>
    </row>
    <row r="590" spans="2:5" ht="15" customHeight="1" x14ac:dyDescent="0.3">
      <c r="C590" s="4"/>
      <c r="D590" s="8">
        <v>2019</v>
      </c>
      <c r="E590" s="103">
        <f>Data!U590</f>
        <v>0</v>
      </c>
    </row>
    <row r="591" spans="2:5" ht="15" customHeight="1" x14ac:dyDescent="0.3">
      <c r="C591" s="4"/>
      <c r="D591" s="8">
        <v>2020</v>
      </c>
      <c r="E591" s="103">
        <f>Data!U591</f>
        <v>0</v>
      </c>
    </row>
    <row r="592" spans="2:5" ht="15" customHeight="1" x14ac:dyDescent="0.3">
      <c r="C592" s="4"/>
      <c r="D592" s="8">
        <v>2021</v>
      </c>
      <c r="E592" s="103">
        <f>Data!U592</f>
        <v>0</v>
      </c>
    </row>
    <row r="593" spans="2:5" ht="15" customHeight="1" x14ac:dyDescent="0.3">
      <c r="C593" s="4"/>
      <c r="D593" s="8">
        <v>2022</v>
      </c>
      <c r="E593" s="103">
        <f>Data!U593</f>
        <v>0</v>
      </c>
    </row>
    <row r="594" spans="2:5" ht="15" customHeight="1" x14ac:dyDescent="0.3">
      <c r="C594" s="4"/>
      <c r="D594" s="8">
        <v>2023</v>
      </c>
      <c r="E594" s="103">
        <f>Data!U594</f>
        <v>0</v>
      </c>
    </row>
    <row r="595" spans="2:5" ht="15" customHeight="1" x14ac:dyDescent="0.3">
      <c r="C595" s="4"/>
      <c r="D595" s="8">
        <v>2024</v>
      </c>
      <c r="E595" s="103">
        <f>Data!U595</f>
        <v>0</v>
      </c>
    </row>
    <row r="596" spans="2:5" ht="15" customHeight="1" x14ac:dyDescent="0.3">
      <c r="B596" s="8">
        <v>55</v>
      </c>
      <c r="C596" s="3" t="s">
        <v>40</v>
      </c>
      <c r="D596" s="8">
        <v>2014</v>
      </c>
      <c r="E596" s="103">
        <f>Data!U596</f>
        <v>0</v>
      </c>
    </row>
    <row r="597" spans="2:5" ht="15" customHeight="1" x14ac:dyDescent="0.3">
      <c r="C597" s="3"/>
      <c r="D597" s="8">
        <v>2015</v>
      </c>
      <c r="E597" s="103">
        <f>Data!U597</f>
        <v>0</v>
      </c>
    </row>
    <row r="598" spans="2:5" ht="15" customHeight="1" x14ac:dyDescent="0.3">
      <c r="C598" s="3"/>
      <c r="D598" s="8">
        <v>2016</v>
      </c>
      <c r="E598" s="103">
        <f>Data!U598</f>
        <v>0</v>
      </c>
    </row>
    <row r="599" spans="2:5" ht="15" customHeight="1" x14ac:dyDescent="0.3">
      <c r="C599" s="3"/>
      <c r="D599" s="8">
        <v>2017</v>
      </c>
      <c r="E599" s="103">
        <f>Data!U599</f>
        <v>0</v>
      </c>
    </row>
    <row r="600" spans="2:5" ht="15" customHeight="1" x14ac:dyDescent="0.3">
      <c r="C600" s="3"/>
      <c r="D600" s="8">
        <v>2018</v>
      </c>
      <c r="E600" s="103">
        <f>Data!U600</f>
        <v>0</v>
      </c>
    </row>
    <row r="601" spans="2:5" ht="15" customHeight="1" x14ac:dyDescent="0.3">
      <c r="C601" s="3"/>
      <c r="D601" s="8">
        <v>2019</v>
      </c>
      <c r="E601" s="103">
        <f>Data!U601</f>
        <v>0</v>
      </c>
    </row>
    <row r="602" spans="2:5" ht="15" customHeight="1" x14ac:dyDescent="0.3">
      <c r="C602" s="3"/>
      <c r="D602" s="8">
        <v>2020</v>
      </c>
      <c r="E602" s="103">
        <f>Data!U602</f>
        <v>0</v>
      </c>
    </row>
    <row r="603" spans="2:5" ht="15" customHeight="1" x14ac:dyDescent="0.3">
      <c r="C603" s="3"/>
      <c r="D603" s="8">
        <v>2021</v>
      </c>
      <c r="E603" s="103">
        <f>Data!U603</f>
        <v>0</v>
      </c>
    </row>
    <row r="604" spans="2:5" ht="15" customHeight="1" x14ac:dyDescent="0.3">
      <c r="C604" s="3"/>
      <c r="D604" s="8">
        <v>2022</v>
      </c>
      <c r="E604" s="103">
        <f>Data!U604</f>
        <v>0</v>
      </c>
    </row>
    <row r="605" spans="2:5" ht="15" customHeight="1" x14ac:dyDescent="0.3">
      <c r="C605" s="3"/>
      <c r="D605" s="8">
        <v>2023</v>
      </c>
      <c r="E605" s="103">
        <f>Data!U605</f>
        <v>0</v>
      </c>
    </row>
    <row r="606" spans="2:5" ht="15" customHeight="1" x14ac:dyDescent="0.3">
      <c r="C606" s="3"/>
      <c r="D606" s="8">
        <v>2024</v>
      </c>
      <c r="E606" s="103">
        <f>Data!U606</f>
        <v>0</v>
      </c>
    </row>
    <row r="607" spans="2:5" ht="15" customHeight="1" x14ac:dyDescent="0.3">
      <c r="B607" s="8">
        <v>56</v>
      </c>
      <c r="C607" s="3" t="s">
        <v>47</v>
      </c>
      <c r="D607" s="8">
        <v>2014</v>
      </c>
      <c r="E607" s="103">
        <f>Data!U607</f>
        <v>0</v>
      </c>
    </row>
    <row r="608" spans="2:5" ht="15" customHeight="1" x14ac:dyDescent="0.3">
      <c r="C608" s="3"/>
      <c r="D608" s="8">
        <v>2015</v>
      </c>
      <c r="E608" s="103">
        <f>Data!U608</f>
        <v>0</v>
      </c>
    </row>
    <row r="609" spans="2:5" ht="15" customHeight="1" x14ac:dyDescent="0.3">
      <c r="C609" s="3"/>
      <c r="D609" s="8">
        <v>2016</v>
      </c>
      <c r="E609" s="103">
        <f>Data!U609</f>
        <v>0</v>
      </c>
    </row>
    <row r="610" spans="2:5" ht="15" customHeight="1" x14ac:dyDescent="0.3">
      <c r="C610" s="3"/>
      <c r="D610" s="8">
        <v>2017</v>
      </c>
      <c r="E610" s="103">
        <f>Data!U610</f>
        <v>0</v>
      </c>
    </row>
    <row r="611" spans="2:5" ht="15" customHeight="1" x14ac:dyDescent="0.3">
      <c r="C611" s="3"/>
      <c r="D611" s="8">
        <v>2018</v>
      </c>
      <c r="E611" s="103">
        <f>Data!U611</f>
        <v>0</v>
      </c>
    </row>
    <row r="612" spans="2:5" ht="15" customHeight="1" x14ac:dyDescent="0.3">
      <c r="C612" s="3"/>
      <c r="D612" s="8">
        <v>2019</v>
      </c>
      <c r="E612" s="103">
        <f>Data!U612</f>
        <v>0</v>
      </c>
    </row>
    <row r="613" spans="2:5" ht="15" customHeight="1" x14ac:dyDescent="0.3">
      <c r="C613" s="3"/>
      <c r="D613" s="8">
        <v>2020</v>
      </c>
      <c r="E613" s="103">
        <f>Data!U613</f>
        <v>0</v>
      </c>
    </row>
    <row r="614" spans="2:5" ht="15" customHeight="1" x14ac:dyDescent="0.3">
      <c r="C614" s="3"/>
      <c r="D614" s="8">
        <v>2021</v>
      </c>
      <c r="E614" s="103">
        <f>Data!U614</f>
        <v>0</v>
      </c>
    </row>
    <row r="615" spans="2:5" ht="15" customHeight="1" x14ac:dyDescent="0.3">
      <c r="C615" s="3"/>
      <c r="D615" s="8">
        <v>2022</v>
      </c>
      <c r="E615" s="103">
        <f>Data!U615</f>
        <v>0</v>
      </c>
    </row>
    <row r="616" spans="2:5" ht="15" customHeight="1" x14ac:dyDescent="0.3">
      <c r="C616" s="3"/>
      <c r="D616" s="8">
        <v>2023</v>
      </c>
      <c r="E616" s="103">
        <f>Data!U616</f>
        <v>0</v>
      </c>
    </row>
    <row r="617" spans="2:5" ht="15" customHeight="1" x14ac:dyDescent="0.3">
      <c r="C617" s="3"/>
      <c r="D617" s="8">
        <v>2024</v>
      </c>
      <c r="E617" s="103">
        <f>Data!U617</f>
        <v>0</v>
      </c>
    </row>
    <row r="618" spans="2:5" ht="15" customHeight="1" x14ac:dyDescent="0.3">
      <c r="B618" s="8">
        <v>57</v>
      </c>
      <c r="C618" s="3" t="s">
        <v>41</v>
      </c>
      <c r="D618" s="8">
        <v>2014</v>
      </c>
      <c r="E618" s="103">
        <f>Data!U618</f>
        <v>0</v>
      </c>
    </row>
    <row r="619" spans="2:5" ht="15" customHeight="1" x14ac:dyDescent="0.3">
      <c r="C619" s="3"/>
      <c r="D619" s="8">
        <v>2015</v>
      </c>
      <c r="E619" s="103">
        <f>Data!U619</f>
        <v>0</v>
      </c>
    </row>
    <row r="620" spans="2:5" ht="15" customHeight="1" x14ac:dyDescent="0.3">
      <c r="C620" s="3"/>
      <c r="D620" s="8">
        <v>2016</v>
      </c>
      <c r="E620" s="103">
        <f>Data!U620</f>
        <v>0</v>
      </c>
    </row>
    <row r="621" spans="2:5" ht="15" customHeight="1" x14ac:dyDescent="0.3">
      <c r="C621" s="3"/>
      <c r="D621" s="8">
        <v>2017</v>
      </c>
      <c r="E621" s="103">
        <f>Data!U621</f>
        <v>0</v>
      </c>
    </row>
    <row r="622" spans="2:5" ht="15" customHeight="1" x14ac:dyDescent="0.3">
      <c r="C622" s="3"/>
      <c r="D622" s="8">
        <v>2018</v>
      </c>
      <c r="E622" s="103">
        <f>Data!U622</f>
        <v>0</v>
      </c>
    </row>
    <row r="623" spans="2:5" ht="15" customHeight="1" x14ac:dyDescent="0.3">
      <c r="C623" s="3"/>
      <c r="D623" s="8">
        <v>2019</v>
      </c>
      <c r="E623" s="103">
        <f>Data!U623</f>
        <v>0</v>
      </c>
    </row>
    <row r="624" spans="2:5" ht="15" customHeight="1" x14ac:dyDescent="0.3">
      <c r="C624" s="3"/>
      <c r="D624" s="8">
        <v>2020</v>
      </c>
      <c r="E624" s="103">
        <f>Data!U624</f>
        <v>0</v>
      </c>
    </row>
    <row r="625" spans="1:5" ht="15" customHeight="1" x14ac:dyDescent="0.3">
      <c r="C625" s="3"/>
      <c r="D625" s="8">
        <v>2021</v>
      </c>
      <c r="E625" s="103">
        <f>Data!U625</f>
        <v>0</v>
      </c>
    </row>
    <row r="626" spans="1:5" ht="15" customHeight="1" x14ac:dyDescent="0.3">
      <c r="C626" s="3"/>
      <c r="D626" s="8">
        <v>2022</v>
      </c>
      <c r="E626" s="103">
        <f>Data!U626</f>
        <v>0</v>
      </c>
    </row>
    <row r="627" spans="1:5" ht="15" customHeight="1" x14ac:dyDescent="0.3">
      <c r="C627" s="3"/>
      <c r="D627" s="8">
        <v>2023</v>
      </c>
      <c r="E627" s="103">
        <f>Data!U627</f>
        <v>0</v>
      </c>
    </row>
    <row r="628" spans="1:5" ht="15" customHeight="1" x14ac:dyDescent="0.3">
      <c r="C628" s="3"/>
      <c r="D628" s="8">
        <v>2024</v>
      </c>
      <c r="E628" s="103">
        <f>Data!U628</f>
        <v>0</v>
      </c>
    </row>
    <row r="629" spans="1:5" ht="15" customHeight="1" x14ac:dyDescent="0.3">
      <c r="B629" s="8">
        <v>58</v>
      </c>
      <c r="C629" s="4" t="s">
        <v>49</v>
      </c>
      <c r="D629" s="8">
        <v>2014</v>
      </c>
      <c r="E629" s="103">
        <f>Data!U629</f>
        <v>0</v>
      </c>
    </row>
    <row r="630" spans="1:5" ht="15" customHeight="1" x14ac:dyDescent="0.3">
      <c r="C630" s="4"/>
      <c r="D630" s="8">
        <v>2015</v>
      </c>
      <c r="E630" s="103">
        <f>Data!U630</f>
        <v>0</v>
      </c>
    </row>
    <row r="631" spans="1:5" ht="15" customHeight="1" x14ac:dyDescent="0.3">
      <c r="C631" s="4"/>
      <c r="D631" s="8">
        <v>2016</v>
      </c>
      <c r="E631" s="103">
        <f>Data!U631</f>
        <v>0</v>
      </c>
    </row>
    <row r="632" spans="1:5" ht="15" customHeight="1" x14ac:dyDescent="0.3">
      <c r="C632" s="4"/>
      <c r="D632" s="8">
        <v>2017</v>
      </c>
      <c r="E632" s="103">
        <f>Data!U632</f>
        <v>0</v>
      </c>
    </row>
    <row r="633" spans="1:5" ht="15" customHeight="1" x14ac:dyDescent="0.3">
      <c r="C633" s="4"/>
      <c r="D633" s="8">
        <v>2018</v>
      </c>
      <c r="E633" s="103">
        <f>Data!U633</f>
        <v>0</v>
      </c>
    </row>
    <row r="634" spans="1:5" ht="15" customHeight="1" x14ac:dyDescent="0.3">
      <c r="C634" s="4"/>
      <c r="D634" s="8">
        <v>2019</v>
      </c>
      <c r="E634" s="103">
        <f>Data!U634</f>
        <v>0</v>
      </c>
    </row>
    <row r="635" spans="1:5" ht="15" customHeight="1" x14ac:dyDescent="0.3">
      <c r="C635" s="4"/>
      <c r="D635" s="8">
        <v>2020</v>
      </c>
      <c r="E635" s="103">
        <f>Data!U635</f>
        <v>0</v>
      </c>
    </row>
    <row r="636" spans="1:5" ht="15" customHeight="1" x14ac:dyDescent="0.3">
      <c r="C636" s="4"/>
      <c r="D636" s="8">
        <v>2021</v>
      </c>
      <c r="E636" s="103">
        <f>Data!U636</f>
        <v>0</v>
      </c>
    </row>
    <row r="637" spans="1:5" ht="15" customHeight="1" x14ac:dyDescent="0.3">
      <c r="C637" s="4"/>
      <c r="D637" s="8">
        <v>2022</v>
      </c>
      <c r="E637" s="103">
        <f>Data!U637</f>
        <v>0</v>
      </c>
    </row>
    <row r="638" spans="1:5" ht="15" customHeight="1" x14ac:dyDescent="0.3">
      <c r="C638" s="4"/>
      <c r="D638" s="8">
        <v>2023</v>
      </c>
      <c r="E638" s="103">
        <f>Data!U638</f>
        <v>0</v>
      </c>
    </row>
    <row r="639" spans="1:5" ht="15" customHeight="1" x14ac:dyDescent="0.3">
      <c r="C639" s="4"/>
      <c r="D639" s="8">
        <v>2024</v>
      </c>
      <c r="E639" s="103">
        <f>Data!U639</f>
        <v>0</v>
      </c>
    </row>
    <row r="640" spans="1:5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03">
        <f>Data!U640</f>
        <v>0</v>
      </c>
    </row>
    <row r="641" spans="2:5" ht="15" customHeight="1" x14ac:dyDescent="0.3">
      <c r="C641" s="2"/>
      <c r="D641" s="8">
        <v>2015</v>
      </c>
      <c r="E641" s="103">
        <f>Data!U641</f>
        <v>0</v>
      </c>
    </row>
    <row r="642" spans="2:5" ht="15" customHeight="1" x14ac:dyDescent="0.3">
      <c r="C642" s="2"/>
      <c r="D642" s="8">
        <v>2016</v>
      </c>
      <c r="E642" s="103">
        <f>Data!U642</f>
        <v>0</v>
      </c>
    </row>
    <row r="643" spans="2:5" ht="15" customHeight="1" x14ac:dyDescent="0.3">
      <c r="C643" s="2"/>
      <c r="D643" s="8">
        <v>2017</v>
      </c>
      <c r="E643" s="103">
        <f>Data!U643</f>
        <v>0</v>
      </c>
    </row>
    <row r="644" spans="2:5" ht="15" customHeight="1" x14ac:dyDescent="0.3">
      <c r="C644" s="2"/>
      <c r="D644" s="8">
        <v>2018</v>
      </c>
      <c r="E644" s="103">
        <f>Data!U644</f>
        <v>0</v>
      </c>
    </row>
    <row r="645" spans="2:5" ht="15" customHeight="1" x14ac:dyDescent="0.3">
      <c r="C645" s="2"/>
      <c r="D645" s="8">
        <v>2019</v>
      </c>
      <c r="E645" s="103">
        <f>Data!U645</f>
        <v>0</v>
      </c>
    </row>
    <row r="646" spans="2:5" ht="15" customHeight="1" x14ac:dyDescent="0.3">
      <c r="C646" s="2"/>
      <c r="D646" s="8">
        <v>2020</v>
      </c>
      <c r="E646" s="103">
        <f>Data!U646</f>
        <v>0</v>
      </c>
    </row>
    <row r="647" spans="2:5" ht="15" customHeight="1" x14ac:dyDescent="0.3">
      <c r="C647" s="2"/>
      <c r="D647" s="8">
        <v>2021</v>
      </c>
      <c r="E647" s="103">
        <f>Data!U647</f>
        <v>0</v>
      </c>
    </row>
    <row r="648" spans="2:5" ht="15" customHeight="1" x14ac:dyDescent="0.3">
      <c r="C648" s="2"/>
      <c r="D648" s="8">
        <v>2022</v>
      </c>
      <c r="E648" s="103">
        <f>Data!U648</f>
        <v>0</v>
      </c>
    </row>
    <row r="649" spans="2:5" ht="15" customHeight="1" x14ac:dyDescent="0.3">
      <c r="C649" s="2"/>
      <c r="D649" s="8">
        <v>2023</v>
      </c>
      <c r="E649" s="103">
        <f>Data!U649</f>
        <v>0</v>
      </c>
    </row>
    <row r="650" spans="2:5" ht="15" customHeight="1" x14ac:dyDescent="0.3">
      <c r="C650" s="2"/>
      <c r="D650" s="8">
        <v>2024</v>
      </c>
      <c r="E650" s="103">
        <f>Data!U650</f>
        <v>0</v>
      </c>
    </row>
    <row r="651" spans="2:5" ht="15" customHeight="1" x14ac:dyDescent="0.3">
      <c r="B651" s="8">
        <v>60</v>
      </c>
      <c r="C651" s="2" t="s">
        <v>63</v>
      </c>
      <c r="D651" s="8">
        <v>2014</v>
      </c>
      <c r="E651" s="103">
        <f>Data!U651</f>
        <v>0</v>
      </c>
    </row>
    <row r="652" spans="2:5" ht="15" customHeight="1" x14ac:dyDescent="0.3">
      <c r="C652" s="2"/>
      <c r="D652" s="8">
        <v>2015</v>
      </c>
      <c r="E652" s="103">
        <f>Data!U652</f>
        <v>0</v>
      </c>
    </row>
    <row r="653" spans="2:5" ht="15" customHeight="1" x14ac:dyDescent="0.3">
      <c r="C653" s="2"/>
      <c r="D653" s="8">
        <v>2016</v>
      </c>
      <c r="E653" s="103">
        <f>Data!U653</f>
        <v>0</v>
      </c>
    </row>
    <row r="654" spans="2:5" ht="15" customHeight="1" x14ac:dyDescent="0.3">
      <c r="C654" s="2"/>
      <c r="D654" s="8">
        <v>2017</v>
      </c>
      <c r="E654" s="103">
        <f>Data!U654</f>
        <v>0</v>
      </c>
    </row>
    <row r="655" spans="2:5" ht="15" customHeight="1" x14ac:dyDescent="0.3">
      <c r="C655" s="2"/>
      <c r="D655" s="8">
        <v>2018</v>
      </c>
      <c r="E655" s="103">
        <f>Data!U655</f>
        <v>0</v>
      </c>
    </row>
    <row r="656" spans="2:5" ht="15" customHeight="1" x14ac:dyDescent="0.3">
      <c r="C656" s="2"/>
      <c r="D656" s="8">
        <v>2019</v>
      </c>
      <c r="E656" s="103">
        <f>Data!U656</f>
        <v>0</v>
      </c>
    </row>
    <row r="657" spans="2:5" ht="15" customHeight="1" x14ac:dyDescent="0.3">
      <c r="C657" s="2"/>
      <c r="D657" s="8">
        <v>2020</v>
      </c>
      <c r="E657" s="103">
        <f>Data!U657</f>
        <v>0</v>
      </c>
    </row>
    <row r="658" spans="2:5" ht="15" customHeight="1" x14ac:dyDescent="0.3">
      <c r="C658" s="2"/>
      <c r="D658" s="8">
        <v>2021</v>
      </c>
      <c r="E658" s="103">
        <f>Data!U658</f>
        <v>0</v>
      </c>
    </row>
    <row r="659" spans="2:5" ht="15" customHeight="1" x14ac:dyDescent="0.3">
      <c r="C659" s="2"/>
      <c r="D659" s="8">
        <v>2022</v>
      </c>
      <c r="E659" s="103">
        <f>Data!U659</f>
        <v>0</v>
      </c>
    </row>
    <row r="660" spans="2:5" ht="15" customHeight="1" x14ac:dyDescent="0.3">
      <c r="C660" s="2"/>
      <c r="D660" s="8">
        <v>2023</v>
      </c>
      <c r="E660" s="103">
        <f>Data!U660</f>
        <v>0</v>
      </c>
    </row>
    <row r="661" spans="2:5" ht="15" customHeight="1" x14ac:dyDescent="0.3">
      <c r="C661" s="2"/>
      <c r="D661" s="8">
        <v>2024</v>
      </c>
      <c r="E661" s="103">
        <f>Data!U661</f>
        <v>0</v>
      </c>
    </row>
    <row r="662" spans="2:5" ht="15" customHeight="1" x14ac:dyDescent="0.3">
      <c r="B662" s="8">
        <v>61</v>
      </c>
      <c r="C662" s="2" t="s">
        <v>61</v>
      </c>
      <c r="D662" s="8">
        <v>2014</v>
      </c>
      <c r="E662" s="103">
        <f>Data!U662</f>
        <v>0</v>
      </c>
    </row>
    <row r="663" spans="2:5" ht="15" customHeight="1" x14ac:dyDescent="0.3">
      <c r="C663" s="2"/>
      <c r="D663" s="8">
        <v>2015</v>
      </c>
      <c r="E663" s="103">
        <f>Data!U663</f>
        <v>0</v>
      </c>
    </row>
    <row r="664" spans="2:5" ht="15" customHeight="1" x14ac:dyDescent="0.3">
      <c r="C664" s="2"/>
      <c r="D664" s="8">
        <v>2016</v>
      </c>
      <c r="E664" s="103">
        <f>Data!U664</f>
        <v>0</v>
      </c>
    </row>
    <row r="665" spans="2:5" ht="15" customHeight="1" x14ac:dyDescent="0.3">
      <c r="C665" s="2"/>
      <c r="D665" s="8">
        <v>2017</v>
      </c>
      <c r="E665" s="103">
        <f>Data!U665</f>
        <v>0</v>
      </c>
    </row>
    <row r="666" spans="2:5" ht="15" customHeight="1" x14ac:dyDescent="0.3">
      <c r="C666" s="2"/>
      <c r="D666" s="8">
        <v>2018</v>
      </c>
      <c r="E666" s="103">
        <f>Data!U666</f>
        <v>0</v>
      </c>
    </row>
    <row r="667" spans="2:5" ht="15" customHeight="1" x14ac:dyDescent="0.3">
      <c r="C667" s="2"/>
      <c r="D667" s="8">
        <v>2019</v>
      </c>
      <c r="E667" s="103">
        <f>Data!U667</f>
        <v>0</v>
      </c>
    </row>
    <row r="668" spans="2:5" ht="15" customHeight="1" x14ac:dyDescent="0.3">
      <c r="C668" s="2"/>
      <c r="D668" s="8">
        <v>2020</v>
      </c>
      <c r="E668" s="103">
        <f>Data!U668</f>
        <v>0</v>
      </c>
    </row>
    <row r="669" spans="2:5" ht="15" customHeight="1" x14ac:dyDescent="0.3">
      <c r="C669" s="2"/>
      <c r="D669" s="8">
        <v>2021</v>
      </c>
      <c r="E669" s="103">
        <f>Data!U669</f>
        <v>0</v>
      </c>
    </row>
    <row r="670" spans="2:5" ht="15" customHeight="1" x14ac:dyDescent="0.3">
      <c r="C670" s="2"/>
      <c r="D670" s="8">
        <v>2022</v>
      </c>
      <c r="E670" s="103">
        <f>Data!U670</f>
        <v>0</v>
      </c>
    </row>
    <row r="671" spans="2:5" ht="15" customHeight="1" x14ac:dyDescent="0.3">
      <c r="C671" s="2"/>
      <c r="D671" s="8">
        <v>2023</v>
      </c>
      <c r="E671" s="103">
        <f>Data!U671</f>
        <v>0</v>
      </c>
    </row>
    <row r="672" spans="2:5" ht="15" customHeight="1" x14ac:dyDescent="0.3">
      <c r="C672" s="2"/>
      <c r="D672" s="8">
        <v>2024</v>
      </c>
      <c r="E672" s="103">
        <f>Data!U672</f>
        <v>0</v>
      </c>
    </row>
    <row r="673" spans="2:5" ht="15" customHeight="1" x14ac:dyDescent="0.3">
      <c r="B673" s="8">
        <v>62</v>
      </c>
      <c r="C673" s="2" t="s">
        <v>62</v>
      </c>
      <c r="D673" s="8">
        <v>2014</v>
      </c>
      <c r="E673" s="103">
        <f>Data!U673</f>
        <v>0</v>
      </c>
    </row>
    <row r="674" spans="2:5" ht="15" customHeight="1" x14ac:dyDescent="0.3">
      <c r="C674" s="2"/>
      <c r="D674" s="8">
        <v>2015</v>
      </c>
      <c r="E674" s="103">
        <f>Data!U674</f>
        <v>0</v>
      </c>
    </row>
    <row r="675" spans="2:5" ht="15" customHeight="1" x14ac:dyDescent="0.3">
      <c r="C675" s="2"/>
      <c r="D675" s="8">
        <v>2016</v>
      </c>
      <c r="E675" s="103">
        <f>Data!U675</f>
        <v>0</v>
      </c>
    </row>
    <row r="676" spans="2:5" ht="15" customHeight="1" x14ac:dyDescent="0.3">
      <c r="C676" s="2"/>
      <c r="D676" s="8">
        <v>2017</v>
      </c>
      <c r="E676" s="103">
        <f>Data!U676</f>
        <v>0</v>
      </c>
    </row>
    <row r="677" spans="2:5" ht="15" customHeight="1" x14ac:dyDescent="0.3">
      <c r="C677" s="2"/>
      <c r="D677" s="8">
        <v>2018</v>
      </c>
      <c r="E677" s="103">
        <f>Data!U677</f>
        <v>0</v>
      </c>
    </row>
    <row r="678" spans="2:5" ht="15" customHeight="1" x14ac:dyDescent="0.3">
      <c r="C678" s="2"/>
      <c r="D678" s="8">
        <v>2019</v>
      </c>
      <c r="E678" s="103">
        <f>Data!U678</f>
        <v>0</v>
      </c>
    </row>
    <row r="679" spans="2:5" ht="15" customHeight="1" x14ac:dyDescent="0.3">
      <c r="C679" s="2"/>
      <c r="D679" s="8">
        <v>2020</v>
      </c>
      <c r="E679" s="103">
        <f>Data!U679</f>
        <v>0</v>
      </c>
    </row>
    <row r="680" spans="2:5" ht="15" customHeight="1" x14ac:dyDescent="0.3">
      <c r="C680" s="2"/>
      <c r="D680" s="8">
        <v>2021</v>
      </c>
      <c r="E680" s="103">
        <f>Data!U680</f>
        <v>0</v>
      </c>
    </row>
    <row r="681" spans="2:5" ht="15" customHeight="1" x14ac:dyDescent="0.3">
      <c r="C681" s="2"/>
      <c r="D681" s="8">
        <v>2022</v>
      </c>
      <c r="E681" s="103">
        <f>Data!U681</f>
        <v>0</v>
      </c>
    </row>
    <row r="682" spans="2:5" ht="15" customHeight="1" x14ac:dyDescent="0.3">
      <c r="C682" s="2"/>
      <c r="D682" s="8">
        <v>2023</v>
      </c>
      <c r="E682" s="103">
        <f>Data!U682</f>
        <v>0</v>
      </c>
    </row>
    <row r="683" spans="2:5" ht="15" customHeight="1" x14ac:dyDescent="0.3">
      <c r="C683" s="2"/>
      <c r="D683" s="8">
        <v>2024</v>
      </c>
      <c r="E683" s="103">
        <f>Data!U683</f>
        <v>0</v>
      </c>
    </row>
    <row r="684" spans="2:5" ht="15" customHeight="1" x14ac:dyDescent="0.3">
      <c r="B684" s="8">
        <v>63</v>
      </c>
      <c r="C684" s="2" t="s">
        <v>60</v>
      </c>
      <c r="D684" s="8">
        <v>2014</v>
      </c>
      <c r="E684" s="103">
        <f>Data!U684</f>
        <v>0</v>
      </c>
    </row>
    <row r="685" spans="2:5" ht="15" customHeight="1" x14ac:dyDescent="0.3">
      <c r="C685" s="2"/>
      <c r="D685" s="8">
        <v>2015</v>
      </c>
      <c r="E685" s="103">
        <f>Data!U685</f>
        <v>0</v>
      </c>
    </row>
    <row r="686" spans="2:5" ht="15" customHeight="1" x14ac:dyDescent="0.3">
      <c r="C686" s="2"/>
      <c r="D686" s="8">
        <v>2016</v>
      </c>
      <c r="E686" s="103">
        <f>Data!U686</f>
        <v>0</v>
      </c>
    </row>
    <row r="687" spans="2:5" ht="15" customHeight="1" x14ac:dyDescent="0.3">
      <c r="C687" s="2"/>
      <c r="D687" s="8">
        <v>2017</v>
      </c>
      <c r="E687" s="103">
        <f>Data!U687</f>
        <v>0</v>
      </c>
    </row>
    <row r="688" spans="2:5" ht="15" customHeight="1" x14ac:dyDescent="0.3">
      <c r="C688" s="2"/>
      <c r="D688" s="8">
        <v>2018</v>
      </c>
      <c r="E688" s="103">
        <f>Data!U688</f>
        <v>0</v>
      </c>
    </row>
    <row r="689" spans="2:5" ht="15" customHeight="1" x14ac:dyDescent="0.3">
      <c r="C689" s="2"/>
      <c r="D689" s="8">
        <v>2019</v>
      </c>
      <c r="E689" s="103">
        <f>Data!U689</f>
        <v>0</v>
      </c>
    </row>
    <row r="690" spans="2:5" ht="15" customHeight="1" x14ac:dyDescent="0.3">
      <c r="C690" s="2"/>
      <c r="D690" s="8">
        <v>2020</v>
      </c>
      <c r="E690" s="103">
        <f>Data!U690</f>
        <v>0</v>
      </c>
    </row>
    <row r="691" spans="2:5" ht="15" customHeight="1" x14ac:dyDescent="0.3">
      <c r="C691" s="2"/>
      <c r="D691" s="8">
        <v>2021</v>
      </c>
      <c r="E691" s="103">
        <f>Data!U691</f>
        <v>0</v>
      </c>
    </row>
    <row r="692" spans="2:5" ht="15" customHeight="1" x14ac:dyDescent="0.3">
      <c r="C692" s="2"/>
      <c r="D692" s="8">
        <v>2022</v>
      </c>
      <c r="E692" s="103">
        <f>Data!U692</f>
        <v>0</v>
      </c>
    </row>
    <row r="693" spans="2:5" ht="15" customHeight="1" x14ac:dyDescent="0.3">
      <c r="C693" s="2"/>
      <c r="D693" s="8">
        <v>2023</v>
      </c>
      <c r="E693" s="103">
        <f>Data!U693</f>
        <v>0</v>
      </c>
    </row>
    <row r="694" spans="2:5" ht="15" customHeight="1" x14ac:dyDescent="0.3">
      <c r="C694" s="2"/>
      <c r="D694" s="8">
        <v>2024</v>
      </c>
      <c r="E694" s="103">
        <f>Data!U694</f>
        <v>0</v>
      </c>
    </row>
    <row r="695" spans="2:5" ht="15" customHeight="1" x14ac:dyDescent="0.3">
      <c r="B695" s="8">
        <v>64</v>
      </c>
      <c r="C695" s="1" t="s">
        <v>131</v>
      </c>
      <c r="D695" s="8">
        <v>2014</v>
      </c>
      <c r="E695" s="103">
        <f>Data!U695</f>
        <v>0</v>
      </c>
    </row>
    <row r="696" spans="2:5" ht="15" customHeight="1" x14ac:dyDescent="0.3">
      <c r="C696" s="1"/>
      <c r="D696" s="8">
        <v>2015</v>
      </c>
      <c r="E696" s="103">
        <f>Data!U696</f>
        <v>0</v>
      </c>
    </row>
    <row r="697" spans="2:5" ht="15" customHeight="1" x14ac:dyDescent="0.3">
      <c r="C697" s="1"/>
      <c r="D697" s="8">
        <v>2016</v>
      </c>
      <c r="E697" s="103">
        <f>Data!U697</f>
        <v>0</v>
      </c>
    </row>
    <row r="698" spans="2:5" ht="15" customHeight="1" x14ac:dyDescent="0.3">
      <c r="C698" s="1"/>
      <c r="D698" s="8">
        <v>2017</v>
      </c>
      <c r="E698" s="103">
        <f>Data!U698</f>
        <v>0</v>
      </c>
    </row>
    <row r="699" spans="2:5" ht="15" customHeight="1" x14ac:dyDescent="0.3">
      <c r="C699" s="1"/>
      <c r="D699" s="8">
        <v>2018</v>
      </c>
      <c r="E699" s="103">
        <f>Data!U699</f>
        <v>0</v>
      </c>
    </row>
    <row r="700" spans="2:5" ht="15" customHeight="1" x14ac:dyDescent="0.3">
      <c r="C700" s="1"/>
      <c r="D700" s="8">
        <v>2019</v>
      </c>
      <c r="E700" s="103">
        <f>Data!U700</f>
        <v>0</v>
      </c>
    </row>
    <row r="701" spans="2:5" ht="15" customHeight="1" x14ac:dyDescent="0.3">
      <c r="C701" s="1"/>
      <c r="D701" s="8">
        <v>2020</v>
      </c>
      <c r="E701" s="103">
        <f>Data!U701</f>
        <v>0</v>
      </c>
    </row>
    <row r="702" spans="2:5" ht="15" customHeight="1" x14ac:dyDescent="0.3">
      <c r="C702" s="1"/>
      <c r="D702" s="8">
        <v>2021</v>
      </c>
      <c r="E702" s="103">
        <f>Data!U702</f>
        <v>0</v>
      </c>
    </row>
    <row r="703" spans="2:5" ht="15" customHeight="1" x14ac:dyDescent="0.3">
      <c r="C703" s="1"/>
      <c r="D703" s="8">
        <v>2022</v>
      </c>
      <c r="E703" s="103">
        <f>Data!U703</f>
        <v>0</v>
      </c>
    </row>
    <row r="704" spans="2:5" ht="15" customHeight="1" x14ac:dyDescent="0.3">
      <c r="C704" s="1"/>
      <c r="D704" s="8">
        <v>2023</v>
      </c>
      <c r="E704" s="103">
        <f>Data!U704</f>
        <v>0</v>
      </c>
    </row>
    <row r="705" spans="2:5" ht="15" customHeight="1" x14ac:dyDescent="0.3">
      <c r="C705" s="1"/>
      <c r="D705" s="8">
        <v>2024</v>
      </c>
      <c r="E705" s="103">
        <f>Data!U705</f>
        <v>0</v>
      </c>
    </row>
    <row r="706" spans="2:5" ht="15" customHeight="1" x14ac:dyDescent="0.3">
      <c r="B706" s="8">
        <v>65</v>
      </c>
      <c r="C706" s="2" t="s">
        <v>64</v>
      </c>
      <c r="D706" s="8">
        <v>2014</v>
      </c>
      <c r="E706" s="103">
        <f>Data!U706</f>
        <v>0</v>
      </c>
    </row>
    <row r="707" spans="2:5" ht="15" customHeight="1" x14ac:dyDescent="0.3">
      <c r="C707" s="2"/>
      <c r="D707" s="8">
        <v>2015</v>
      </c>
      <c r="E707" s="103">
        <f>Data!U707</f>
        <v>0</v>
      </c>
    </row>
    <row r="708" spans="2:5" ht="15" customHeight="1" x14ac:dyDescent="0.3">
      <c r="C708" s="2"/>
      <c r="D708" s="8">
        <v>2016</v>
      </c>
      <c r="E708" s="103">
        <f>Data!U708</f>
        <v>0</v>
      </c>
    </row>
    <row r="709" spans="2:5" ht="15" customHeight="1" x14ac:dyDescent="0.3">
      <c r="C709" s="2"/>
      <c r="D709" s="8">
        <v>2017</v>
      </c>
      <c r="E709" s="103">
        <f>Data!U709</f>
        <v>0</v>
      </c>
    </row>
    <row r="710" spans="2:5" ht="15" customHeight="1" x14ac:dyDescent="0.3">
      <c r="C710" s="2"/>
      <c r="D710" s="8">
        <v>2018</v>
      </c>
      <c r="E710" s="103">
        <f>Data!U710</f>
        <v>0</v>
      </c>
    </row>
    <row r="711" spans="2:5" ht="15" customHeight="1" x14ac:dyDescent="0.3">
      <c r="C711" s="2"/>
      <c r="D711" s="8">
        <v>2019</v>
      </c>
      <c r="E711" s="103">
        <f>Data!U711</f>
        <v>0</v>
      </c>
    </row>
    <row r="712" spans="2:5" ht="15" customHeight="1" x14ac:dyDescent="0.3">
      <c r="C712" s="2"/>
      <c r="D712" s="8">
        <v>2020</v>
      </c>
      <c r="E712" s="103">
        <f>Data!U712</f>
        <v>0</v>
      </c>
    </row>
    <row r="713" spans="2:5" ht="15" customHeight="1" x14ac:dyDescent="0.3">
      <c r="C713" s="2"/>
      <c r="D713" s="8">
        <v>2021</v>
      </c>
      <c r="E713" s="103">
        <f>Data!U713</f>
        <v>0</v>
      </c>
    </row>
    <row r="714" spans="2:5" ht="15" customHeight="1" x14ac:dyDescent="0.3">
      <c r="C714" s="2"/>
      <c r="D714" s="8">
        <v>2022</v>
      </c>
      <c r="E714" s="103">
        <f>Data!U714</f>
        <v>0</v>
      </c>
    </row>
    <row r="715" spans="2:5" ht="15" customHeight="1" x14ac:dyDescent="0.3">
      <c r="C715" s="2"/>
      <c r="D715" s="8">
        <v>2023</v>
      </c>
      <c r="E715" s="103">
        <f>Data!U715</f>
        <v>0</v>
      </c>
    </row>
    <row r="716" spans="2:5" ht="15" customHeight="1" x14ac:dyDescent="0.3">
      <c r="C716" s="2"/>
      <c r="D716" s="8">
        <v>2024</v>
      </c>
      <c r="E716" s="103">
        <f>Data!U716</f>
        <v>0</v>
      </c>
    </row>
    <row r="717" spans="2:5" ht="15" customHeight="1" x14ac:dyDescent="0.3">
      <c r="B717" s="8">
        <v>66</v>
      </c>
      <c r="C717" s="2" t="s">
        <v>67</v>
      </c>
      <c r="D717" s="8">
        <v>2014</v>
      </c>
      <c r="E717" s="103">
        <f>Data!U717</f>
        <v>0</v>
      </c>
    </row>
    <row r="718" spans="2:5" ht="15" customHeight="1" x14ac:dyDescent="0.3">
      <c r="C718" s="2"/>
      <c r="D718" s="8">
        <v>2015</v>
      </c>
      <c r="E718" s="103">
        <f>Data!U718</f>
        <v>0</v>
      </c>
    </row>
    <row r="719" spans="2:5" ht="15" customHeight="1" x14ac:dyDescent="0.3">
      <c r="C719" s="2"/>
      <c r="D719" s="8">
        <v>2016</v>
      </c>
      <c r="E719" s="103">
        <f>Data!U719</f>
        <v>0</v>
      </c>
    </row>
    <row r="720" spans="2:5" ht="15" customHeight="1" x14ac:dyDescent="0.3">
      <c r="C720" s="2"/>
      <c r="D720" s="8">
        <v>2017</v>
      </c>
      <c r="E720" s="103">
        <f>Data!U720</f>
        <v>0</v>
      </c>
    </row>
    <row r="721" spans="2:5" ht="15" customHeight="1" x14ac:dyDescent="0.3">
      <c r="C721" s="2"/>
      <c r="D721" s="8">
        <v>2018</v>
      </c>
      <c r="E721" s="103">
        <f>Data!U721</f>
        <v>0</v>
      </c>
    </row>
    <row r="722" spans="2:5" ht="15" customHeight="1" x14ac:dyDescent="0.3">
      <c r="C722" s="2"/>
      <c r="D722" s="8">
        <v>2019</v>
      </c>
      <c r="E722" s="103">
        <f>Data!U722</f>
        <v>0</v>
      </c>
    </row>
    <row r="723" spans="2:5" ht="15" customHeight="1" x14ac:dyDescent="0.3">
      <c r="C723" s="2"/>
      <c r="D723" s="8">
        <v>2020</v>
      </c>
      <c r="E723" s="103">
        <f>Data!U723</f>
        <v>0</v>
      </c>
    </row>
    <row r="724" spans="2:5" ht="15" customHeight="1" x14ac:dyDescent="0.3">
      <c r="C724" s="2"/>
      <c r="D724" s="8">
        <v>2021</v>
      </c>
      <c r="E724" s="103">
        <f>Data!U724</f>
        <v>0</v>
      </c>
    </row>
    <row r="725" spans="2:5" ht="15" customHeight="1" x14ac:dyDescent="0.3">
      <c r="C725" s="2"/>
      <c r="D725" s="8">
        <v>2022</v>
      </c>
      <c r="E725" s="103">
        <f>Data!U725</f>
        <v>0</v>
      </c>
    </row>
    <row r="726" spans="2:5" ht="15" customHeight="1" x14ac:dyDescent="0.3">
      <c r="C726" s="2"/>
      <c r="D726" s="8">
        <v>2023</v>
      </c>
      <c r="E726" s="103">
        <f>Data!U726</f>
        <v>0</v>
      </c>
    </row>
    <row r="727" spans="2:5" ht="15" customHeight="1" x14ac:dyDescent="0.3">
      <c r="C727" s="2"/>
      <c r="D727" s="8">
        <v>2024</v>
      </c>
      <c r="E727" s="103">
        <f>Data!U727</f>
        <v>0</v>
      </c>
    </row>
    <row r="728" spans="2:5" ht="15" customHeight="1" x14ac:dyDescent="0.3">
      <c r="B728" s="8">
        <v>67</v>
      </c>
      <c r="C728" s="2" t="s">
        <v>68</v>
      </c>
      <c r="D728" s="8">
        <v>2014</v>
      </c>
      <c r="E728" s="103">
        <f>Data!U728</f>
        <v>0</v>
      </c>
    </row>
    <row r="729" spans="2:5" ht="15" customHeight="1" x14ac:dyDescent="0.3">
      <c r="C729" s="2"/>
      <c r="D729" s="8">
        <v>2015</v>
      </c>
      <c r="E729" s="103">
        <f>Data!U729</f>
        <v>0</v>
      </c>
    </row>
    <row r="730" spans="2:5" ht="15" customHeight="1" x14ac:dyDescent="0.3">
      <c r="C730" s="2"/>
      <c r="D730" s="8">
        <v>2016</v>
      </c>
      <c r="E730" s="103">
        <f>Data!U730</f>
        <v>0.04</v>
      </c>
    </row>
    <row r="731" spans="2:5" ht="15" customHeight="1" x14ac:dyDescent="0.3">
      <c r="C731" s="2"/>
      <c r="D731" s="8">
        <v>2017</v>
      </c>
      <c r="E731" s="103">
        <f>Data!U731</f>
        <v>0.04</v>
      </c>
    </row>
    <row r="732" spans="2:5" ht="15" customHeight="1" x14ac:dyDescent="0.3">
      <c r="C732" s="2"/>
      <c r="D732" s="8">
        <v>2018</v>
      </c>
      <c r="E732" s="103">
        <f>Data!U732</f>
        <v>0</v>
      </c>
    </row>
    <row r="733" spans="2:5" ht="15" customHeight="1" x14ac:dyDescent="0.3">
      <c r="C733" s="2"/>
      <c r="D733" s="8">
        <v>2019</v>
      </c>
      <c r="E733" s="103">
        <f>Data!U733</f>
        <v>0.04</v>
      </c>
    </row>
    <row r="734" spans="2:5" ht="15" customHeight="1" x14ac:dyDescent="0.3">
      <c r="C734" s="2"/>
      <c r="D734" s="8">
        <v>2020</v>
      </c>
      <c r="E734" s="103">
        <f>Data!U734</f>
        <v>0.04</v>
      </c>
    </row>
    <row r="735" spans="2:5" ht="15" customHeight="1" x14ac:dyDescent="0.3">
      <c r="C735" s="2"/>
      <c r="D735" s="8">
        <v>2021</v>
      </c>
      <c r="E735" s="103">
        <f>Data!U735</f>
        <v>0.04</v>
      </c>
    </row>
    <row r="736" spans="2:5" ht="15" customHeight="1" x14ac:dyDescent="0.3">
      <c r="C736" s="2"/>
      <c r="D736" s="8">
        <v>2022</v>
      </c>
      <c r="E736" s="103">
        <f>Data!U736</f>
        <v>0.04</v>
      </c>
    </row>
    <row r="737" spans="2:5" ht="15" customHeight="1" x14ac:dyDescent="0.3">
      <c r="C737" s="2"/>
      <c r="D737" s="8">
        <v>2023</v>
      </c>
      <c r="E737" s="103">
        <f>Data!U737</f>
        <v>0.04</v>
      </c>
    </row>
    <row r="738" spans="2:5" ht="15" customHeight="1" x14ac:dyDescent="0.3">
      <c r="C738" s="2"/>
      <c r="D738" s="8">
        <v>2024</v>
      </c>
      <c r="E738" s="103">
        <f>Data!U738</f>
        <v>0.04</v>
      </c>
    </row>
    <row r="739" spans="2:5" ht="15" customHeight="1" x14ac:dyDescent="0.3">
      <c r="B739" s="8">
        <v>68</v>
      </c>
      <c r="C739" s="2" t="s">
        <v>69</v>
      </c>
      <c r="D739" s="8">
        <v>2014</v>
      </c>
      <c r="E739" s="103">
        <f>Data!U739</f>
        <v>0</v>
      </c>
    </row>
    <row r="740" spans="2:5" ht="15" customHeight="1" x14ac:dyDescent="0.3">
      <c r="C740" s="2"/>
      <c r="D740" s="8">
        <v>2015</v>
      </c>
      <c r="E740" s="103">
        <f>Data!U740</f>
        <v>0</v>
      </c>
    </row>
    <row r="741" spans="2:5" ht="15" customHeight="1" x14ac:dyDescent="0.3">
      <c r="C741" s="2"/>
      <c r="D741" s="8">
        <v>2016</v>
      </c>
      <c r="E741" s="103">
        <f>Data!U741</f>
        <v>0</v>
      </c>
    </row>
    <row r="742" spans="2:5" ht="15" customHeight="1" x14ac:dyDescent="0.3">
      <c r="C742" s="2"/>
      <c r="D742" s="8">
        <v>2017</v>
      </c>
      <c r="E742" s="103">
        <f>Data!U742</f>
        <v>0</v>
      </c>
    </row>
    <row r="743" spans="2:5" ht="15" customHeight="1" x14ac:dyDescent="0.3">
      <c r="C743" s="2"/>
      <c r="D743" s="8">
        <v>2018</v>
      </c>
      <c r="E743" s="103">
        <f>Data!U743</f>
        <v>0</v>
      </c>
    </row>
    <row r="744" spans="2:5" ht="15" customHeight="1" x14ac:dyDescent="0.3">
      <c r="C744" s="2"/>
      <c r="D744" s="8">
        <v>2019</v>
      </c>
      <c r="E744" s="103">
        <f>Data!U744</f>
        <v>0</v>
      </c>
    </row>
    <row r="745" spans="2:5" ht="15" customHeight="1" x14ac:dyDescent="0.3">
      <c r="C745" s="2"/>
      <c r="D745" s="8">
        <v>2020</v>
      </c>
      <c r="E745" s="103">
        <f>Data!U745</f>
        <v>0</v>
      </c>
    </row>
    <row r="746" spans="2:5" ht="15" customHeight="1" x14ac:dyDescent="0.3">
      <c r="C746" s="2"/>
      <c r="D746" s="8">
        <v>2021</v>
      </c>
      <c r="E746" s="103">
        <f>Data!U746</f>
        <v>0</v>
      </c>
    </row>
    <row r="747" spans="2:5" ht="15" customHeight="1" x14ac:dyDescent="0.3">
      <c r="C747" s="2"/>
      <c r="D747" s="8">
        <v>2022</v>
      </c>
      <c r="E747" s="103">
        <f>Data!U747</f>
        <v>0</v>
      </c>
    </row>
    <row r="748" spans="2:5" ht="15" customHeight="1" x14ac:dyDescent="0.3">
      <c r="C748" s="2"/>
      <c r="D748" s="8">
        <v>2023</v>
      </c>
      <c r="E748" s="103">
        <f>Data!U748</f>
        <v>0</v>
      </c>
    </row>
    <row r="749" spans="2:5" ht="15" customHeight="1" x14ac:dyDescent="0.3">
      <c r="C749" s="2"/>
      <c r="D749" s="8">
        <v>2024</v>
      </c>
      <c r="E749" s="103">
        <f>Data!U749</f>
        <v>0</v>
      </c>
    </row>
    <row r="750" spans="2:5" ht="15" customHeight="1" x14ac:dyDescent="0.3">
      <c r="B750" s="8">
        <v>69</v>
      </c>
      <c r="C750" s="2" t="s">
        <v>70</v>
      </c>
      <c r="D750" s="8">
        <v>2014</v>
      </c>
      <c r="E750" s="103">
        <f>Data!U750</f>
        <v>0</v>
      </c>
    </row>
    <row r="751" spans="2:5" ht="15" customHeight="1" x14ac:dyDescent="0.3">
      <c r="C751" s="2"/>
      <c r="D751" s="8">
        <v>2015</v>
      </c>
      <c r="E751" s="103">
        <f>Data!U751</f>
        <v>0</v>
      </c>
    </row>
    <row r="752" spans="2:5" ht="15" customHeight="1" x14ac:dyDescent="0.3">
      <c r="C752" s="2"/>
      <c r="D752" s="8">
        <v>2016</v>
      </c>
      <c r="E752" s="103">
        <f>Data!U752</f>
        <v>0</v>
      </c>
    </row>
    <row r="753" spans="2:5" ht="15" customHeight="1" x14ac:dyDescent="0.3">
      <c r="C753" s="2"/>
      <c r="D753" s="8">
        <v>2017</v>
      </c>
      <c r="E753" s="103">
        <f>Data!U753</f>
        <v>0</v>
      </c>
    </row>
    <row r="754" spans="2:5" ht="15" customHeight="1" x14ac:dyDescent="0.3">
      <c r="C754" s="2"/>
      <c r="D754" s="8">
        <v>2018</v>
      </c>
      <c r="E754" s="103">
        <f>Data!U754</f>
        <v>0</v>
      </c>
    </row>
    <row r="755" spans="2:5" ht="15" customHeight="1" x14ac:dyDescent="0.3">
      <c r="C755" s="2"/>
      <c r="D755" s="8">
        <v>2019</v>
      </c>
      <c r="E755" s="103">
        <f>Data!U755</f>
        <v>0</v>
      </c>
    </row>
    <row r="756" spans="2:5" ht="15" customHeight="1" x14ac:dyDescent="0.3">
      <c r="C756" s="2"/>
      <c r="D756" s="8">
        <v>2020</v>
      </c>
      <c r="E756" s="103">
        <f>Data!U756</f>
        <v>0</v>
      </c>
    </row>
    <row r="757" spans="2:5" ht="15" customHeight="1" x14ac:dyDescent="0.3">
      <c r="C757" s="2"/>
      <c r="D757" s="8">
        <v>2021</v>
      </c>
      <c r="E757" s="103">
        <f>Data!U757</f>
        <v>0</v>
      </c>
    </row>
    <row r="758" spans="2:5" ht="15" customHeight="1" x14ac:dyDescent="0.3">
      <c r="C758" s="2"/>
      <c r="D758" s="8">
        <v>2022</v>
      </c>
      <c r="E758" s="103">
        <f>Data!U758</f>
        <v>0</v>
      </c>
    </row>
    <row r="759" spans="2:5" ht="15" customHeight="1" x14ac:dyDescent="0.3">
      <c r="C759" s="2"/>
      <c r="D759" s="8">
        <v>2023</v>
      </c>
      <c r="E759" s="103">
        <f>Data!U759</f>
        <v>0</v>
      </c>
    </row>
    <row r="760" spans="2:5" ht="15" customHeight="1" x14ac:dyDescent="0.3">
      <c r="C760" s="2"/>
      <c r="D760" s="8">
        <v>2024</v>
      </c>
      <c r="E760" s="103">
        <f>Data!U760</f>
        <v>0</v>
      </c>
    </row>
    <row r="761" spans="2:5" ht="15" customHeight="1" x14ac:dyDescent="0.3">
      <c r="B761" s="8">
        <v>70</v>
      </c>
      <c r="C761" s="2" t="s">
        <v>71</v>
      </c>
      <c r="D761" s="8">
        <v>2014</v>
      </c>
      <c r="E761" s="103">
        <f>Data!U761</f>
        <v>0</v>
      </c>
    </row>
    <row r="762" spans="2:5" ht="15" customHeight="1" x14ac:dyDescent="0.3">
      <c r="C762" s="2"/>
      <c r="D762" s="8">
        <v>2015</v>
      </c>
      <c r="E762" s="103">
        <f>Data!U762</f>
        <v>6.7999999999999996E-3</v>
      </c>
    </row>
    <row r="763" spans="2:5" ht="15" customHeight="1" x14ac:dyDescent="0.3">
      <c r="C763" s="2"/>
      <c r="D763" s="8">
        <v>2016</v>
      </c>
      <c r="E763" s="103">
        <f>Data!U763</f>
        <v>6.7999999999999996E-3</v>
      </c>
    </row>
    <row r="764" spans="2:5" ht="15" customHeight="1" x14ac:dyDescent="0.3">
      <c r="C764" s="2"/>
      <c r="D764" s="8">
        <v>2017</v>
      </c>
      <c r="E764" s="103">
        <f>Data!U764</f>
        <v>6.7999999999999996E-3</v>
      </c>
    </row>
    <row r="765" spans="2:5" ht="15" customHeight="1" x14ac:dyDescent="0.3">
      <c r="C765" s="2"/>
      <c r="D765" s="8">
        <v>2018</v>
      </c>
      <c r="E765" s="103">
        <f>Data!U765</f>
        <v>6.7999999999999996E-3</v>
      </c>
    </row>
    <row r="766" spans="2:5" ht="15" customHeight="1" x14ac:dyDescent="0.3">
      <c r="C766" s="2"/>
      <c r="D766" s="8">
        <v>2019</v>
      </c>
      <c r="E766" s="103">
        <f>Data!U766</f>
        <v>6.7999999999999996E-3</v>
      </c>
    </row>
    <row r="767" spans="2:5" ht="15" customHeight="1" x14ac:dyDescent="0.3">
      <c r="C767" s="2"/>
      <c r="D767" s="8">
        <v>2020</v>
      </c>
      <c r="E767" s="103">
        <f>Data!U767</f>
        <v>6.7999999999999996E-3</v>
      </c>
    </row>
    <row r="768" spans="2:5" ht="15" customHeight="1" x14ac:dyDescent="0.3">
      <c r="C768" s="2"/>
      <c r="D768" s="8">
        <v>2021</v>
      </c>
      <c r="E768" s="103">
        <f>Data!U768</f>
        <v>6.7999999999999996E-3</v>
      </c>
    </row>
    <row r="769" spans="2:5" ht="15" customHeight="1" x14ac:dyDescent="0.3">
      <c r="C769" s="2"/>
      <c r="D769" s="8">
        <v>2022</v>
      </c>
      <c r="E769" s="103">
        <f>Data!U769</f>
        <v>6.7999999999999996E-3</v>
      </c>
    </row>
    <row r="770" spans="2:5" ht="15" customHeight="1" x14ac:dyDescent="0.3">
      <c r="C770" s="2"/>
      <c r="D770" s="8">
        <v>2023</v>
      </c>
      <c r="E770" s="103">
        <f>Data!U770</f>
        <v>6.7999999999999996E-3</v>
      </c>
    </row>
    <row r="771" spans="2:5" ht="15" customHeight="1" x14ac:dyDescent="0.3">
      <c r="C771" s="2"/>
      <c r="D771" s="8">
        <v>2024</v>
      </c>
      <c r="E771" s="103">
        <f>Data!U771</f>
        <v>6.7999999999999996E-3</v>
      </c>
    </row>
    <row r="772" spans="2:5" ht="15" customHeight="1" x14ac:dyDescent="0.3">
      <c r="B772" s="8">
        <v>71</v>
      </c>
      <c r="C772" s="2" t="s">
        <v>73</v>
      </c>
      <c r="D772" s="8">
        <v>2014</v>
      </c>
      <c r="E772" s="103">
        <f>Data!U772</f>
        <v>0</v>
      </c>
    </row>
    <row r="773" spans="2:5" ht="15" customHeight="1" x14ac:dyDescent="0.3">
      <c r="C773" s="2"/>
      <c r="D773" s="8">
        <v>2015</v>
      </c>
      <c r="E773" s="103">
        <f>Data!U773</f>
        <v>0.32219999999999999</v>
      </c>
    </row>
    <row r="774" spans="2:5" ht="15" customHeight="1" x14ac:dyDescent="0.3">
      <c r="C774" s="2"/>
      <c r="D774" s="8">
        <v>2016</v>
      </c>
      <c r="E774" s="103">
        <f>Data!U774</f>
        <v>0.32219999999999999</v>
      </c>
    </row>
    <row r="775" spans="2:5" ht="15" customHeight="1" x14ac:dyDescent="0.3">
      <c r="C775" s="2"/>
      <c r="D775" s="8">
        <v>2017</v>
      </c>
      <c r="E775" s="103">
        <f>Data!U775</f>
        <v>0.36709999999999998</v>
      </c>
    </row>
    <row r="776" spans="2:5" ht="15" customHeight="1" x14ac:dyDescent="0.3">
      <c r="C776" s="2"/>
      <c r="D776" s="8">
        <v>2018</v>
      </c>
      <c r="E776" s="103">
        <f>Data!U776</f>
        <v>0.36709999999999998</v>
      </c>
    </row>
    <row r="777" spans="2:5" ht="15" customHeight="1" x14ac:dyDescent="0.3">
      <c r="C777" s="2"/>
      <c r="D777" s="8">
        <v>2019</v>
      </c>
      <c r="E777" s="103">
        <f>Data!U777</f>
        <v>0.36709999999999998</v>
      </c>
    </row>
    <row r="778" spans="2:5" ht="15" customHeight="1" x14ac:dyDescent="0.3">
      <c r="C778" s="2"/>
      <c r="D778" s="8">
        <v>2020</v>
      </c>
      <c r="E778" s="103">
        <f>Data!U778</f>
        <v>0.36709999999999998</v>
      </c>
    </row>
    <row r="779" spans="2:5" ht="15" customHeight="1" x14ac:dyDescent="0.3">
      <c r="C779" s="2"/>
      <c r="D779" s="8">
        <v>2021</v>
      </c>
      <c r="E779" s="103">
        <f>Data!U779</f>
        <v>0.36709999999999998</v>
      </c>
    </row>
    <row r="780" spans="2:5" ht="15" customHeight="1" x14ac:dyDescent="0.3">
      <c r="C780" s="2"/>
      <c r="D780" s="8">
        <v>2022</v>
      </c>
      <c r="E780" s="103">
        <f>Data!U780</f>
        <v>0.36709999999999998</v>
      </c>
    </row>
    <row r="781" spans="2:5" ht="15" customHeight="1" x14ac:dyDescent="0.3">
      <c r="C781" s="2"/>
      <c r="D781" s="8">
        <v>2023</v>
      </c>
      <c r="E781" s="103">
        <f>Data!U781</f>
        <v>0.36709999999999998</v>
      </c>
    </row>
    <row r="782" spans="2:5" ht="15" customHeight="1" x14ac:dyDescent="0.3">
      <c r="C782" s="2"/>
      <c r="D782" s="8">
        <v>2024</v>
      </c>
      <c r="E782" s="103">
        <f>Data!U782</f>
        <v>0.36709999999999998</v>
      </c>
    </row>
    <row r="783" spans="2:5" ht="15" customHeight="1" x14ac:dyDescent="0.3">
      <c r="B783" s="8">
        <v>72</v>
      </c>
      <c r="C783" s="2" t="s">
        <v>75</v>
      </c>
      <c r="D783" s="8">
        <v>2014</v>
      </c>
      <c r="E783" s="103">
        <f>Data!U783</f>
        <v>0</v>
      </c>
    </row>
    <row r="784" spans="2:5" ht="15" customHeight="1" x14ac:dyDescent="0.3">
      <c r="C784" s="2"/>
      <c r="D784" s="8">
        <v>2015</v>
      </c>
      <c r="E784" s="103">
        <f>Data!U784</f>
        <v>0</v>
      </c>
    </row>
    <row r="785" spans="2:5" ht="15" customHeight="1" x14ac:dyDescent="0.3">
      <c r="C785" s="2"/>
      <c r="D785" s="8">
        <v>2016</v>
      </c>
      <c r="E785" s="103">
        <f>Data!U785</f>
        <v>0</v>
      </c>
    </row>
    <row r="786" spans="2:5" ht="15" customHeight="1" x14ac:dyDescent="0.3">
      <c r="C786" s="2"/>
      <c r="D786" s="8">
        <v>2017</v>
      </c>
      <c r="E786" s="103">
        <f>Data!U786</f>
        <v>0</v>
      </c>
    </row>
    <row r="787" spans="2:5" ht="15" customHeight="1" x14ac:dyDescent="0.3">
      <c r="C787" s="2"/>
      <c r="D787" s="8">
        <v>2018</v>
      </c>
      <c r="E787" s="103">
        <f>Data!U787</f>
        <v>0</v>
      </c>
    </row>
    <row r="788" spans="2:5" ht="15" customHeight="1" x14ac:dyDescent="0.3">
      <c r="C788" s="2"/>
      <c r="D788" s="8">
        <v>2019</v>
      </c>
      <c r="E788" s="103">
        <f>Data!U788</f>
        <v>0</v>
      </c>
    </row>
    <row r="789" spans="2:5" ht="15" customHeight="1" x14ac:dyDescent="0.3">
      <c r="C789" s="2"/>
      <c r="D789" s="8">
        <v>2020</v>
      </c>
      <c r="E789" s="103">
        <f>Data!U789</f>
        <v>0</v>
      </c>
    </row>
    <row r="790" spans="2:5" ht="15" customHeight="1" x14ac:dyDescent="0.3">
      <c r="C790" s="2"/>
      <c r="D790" s="8">
        <v>2021</v>
      </c>
      <c r="E790" s="103">
        <f>Data!U790</f>
        <v>0</v>
      </c>
    </row>
    <row r="791" spans="2:5" ht="15" customHeight="1" x14ac:dyDescent="0.3">
      <c r="C791" s="2"/>
      <c r="D791" s="8">
        <v>2022</v>
      </c>
      <c r="E791" s="103">
        <f>Data!U791</f>
        <v>0</v>
      </c>
    </row>
    <row r="792" spans="2:5" ht="15" customHeight="1" x14ac:dyDescent="0.3">
      <c r="C792" s="2"/>
      <c r="D792" s="8">
        <v>2023</v>
      </c>
      <c r="E792" s="103">
        <f>Data!U792</f>
        <v>0</v>
      </c>
    </row>
    <row r="793" spans="2:5" ht="15" customHeight="1" x14ac:dyDescent="0.3">
      <c r="C793" s="2"/>
      <c r="D793" s="8">
        <v>2024</v>
      </c>
      <c r="E793" s="103">
        <f>Data!U793</f>
        <v>0</v>
      </c>
    </row>
    <row r="794" spans="2:5" ht="15" customHeight="1" x14ac:dyDescent="0.3">
      <c r="B794" s="8">
        <v>73</v>
      </c>
      <c r="C794" s="2" t="s">
        <v>96</v>
      </c>
      <c r="D794" s="8">
        <v>2014</v>
      </c>
      <c r="E794" s="103">
        <f>Data!U794</f>
        <v>0</v>
      </c>
    </row>
    <row r="795" spans="2:5" ht="15" customHeight="1" x14ac:dyDescent="0.3">
      <c r="C795" s="2"/>
      <c r="D795" s="8">
        <v>2015</v>
      </c>
      <c r="E795" s="103">
        <f>Data!U795</f>
        <v>0</v>
      </c>
    </row>
    <row r="796" spans="2:5" ht="15" customHeight="1" x14ac:dyDescent="0.3">
      <c r="C796" s="2"/>
      <c r="D796" s="8">
        <v>2016</v>
      </c>
      <c r="E796" s="103">
        <f>Data!U796</f>
        <v>0</v>
      </c>
    </row>
    <row r="797" spans="2:5" ht="15" customHeight="1" x14ac:dyDescent="0.3">
      <c r="C797" s="2"/>
      <c r="D797" s="8">
        <v>2017</v>
      </c>
      <c r="E797" s="103">
        <f>Data!U797</f>
        <v>0</v>
      </c>
    </row>
    <row r="798" spans="2:5" ht="15" customHeight="1" x14ac:dyDescent="0.3">
      <c r="C798" s="2"/>
      <c r="D798" s="8">
        <v>2018</v>
      </c>
      <c r="E798" s="103">
        <f>Data!U798</f>
        <v>0</v>
      </c>
    </row>
    <row r="799" spans="2:5" ht="15" customHeight="1" x14ac:dyDescent="0.3">
      <c r="C799" s="2"/>
      <c r="D799" s="8">
        <v>2019</v>
      </c>
      <c r="E799" s="103">
        <f>Data!U799</f>
        <v>0</v>
      </c>
    </row>
    <row r="800" spans="2:5" ht="15" customHeight="1" x14ac:dyDescent="0.3">
      <c r="C800" s="2"/>
      <c r="D800" s="8">
        <v>2020</v>
      </c>
      <c r="E800" s="103">
        <f>Data!U800</f>
        <v>0</v>
      </c>
    </row>
    <row r="801" spans="2:5" ht="15" customHeight="1" x14ac:dyDescent="0.3">
      <c r="C801" s="2"/>
      <c r="D801" s="8">
        <v>2021</v>
      </c>
      <c r="E801" s="103">
        <f>Data!U801</f>
        <v>0</v>
      </c>
    </row>
    <row r="802" spans="2:5" ht="15" customHeight="1" x14ac:dyDescent="0.3">
      <c r="C802" s="2"/>
      <c r="D802" s="8">
        <v>2022</v>
      </c>
      <c r="E802" s="103">
        <f>Data!U802</f>
        <v>0</v>
      </c>
    </row>
    <row r="803" spans="2:5" ht="15" customHeight="1" x14ac:dyDescent="0.3">
      <c r="C803" s="2"/>
      <c r="D803" s="8">
        <v>2023</v>
      </c>
      <c r="E803" s="103">
        <f>Data!U803</f>
        <v>0</v>
      </c>
    </row>
    <row r="804" spans="2:5" ht="15" customHeight="1" x14ac:dyDescent="0.3">
      <c r="C804" s="2"/>
      <c r="D804" s="8">
        <v>2024</v>
      </c>
      <c r="E804" s="103">
        <f>Data!U804</f>
        <v>0</v>
      </c>
    </row>
    <row r="805" spans="2:5" ht="15" customHeight="1" x14ac:dyDescent="0.3">
      <c r="B805" s="8">
        <v>74</v>
      </c>
      <c r="C805" s="2" t="s">
        <v>76</v>
      </c>
      <c r="D805" s="8">
        <v>2014</v>
      </c>
      <c r="E805" s="103">
        <f>Data!U805</f>
        <v>0</v>
      </c>
    </row>
    <row r="806" spans="2:5" ht="15" customHeight="1" x14ac:dyDescent="0.3">
      <c r="C806" s="2"/>
      <c r="D806" s="8">
        <v>2015</v>
      </c>
      <c r="E806" s="103">
        <f>Data!U806</f>
        <v>0.33</v>
      </c>
    </row>
    <row r="807" spans="2:5" ht="15" customHeight="1" x14ac:dyDescent="0.3">
      <c r="C807" s="2"/>
      <c r="D807" s="8">
        <v>2016</v>
      </c>
      <c r="E807" s="103">
        <f>Data!U807</f>
        <v>0.33</v>
      </c>
    </row>
    <row r="808" spans="2:5" ht="15" customHeight="1" x14ac:dyDescent="0.3">
      <c r="C808" s="2"/>
      <c r="D808" s="8">
        <v>2017</v>
      </c>
      <c r="E808" s="103">
        <f>Data!U808</f>
        <v>0.33</v>
      </c>
    </row>
    <row r="809" spans="2:5" ht="15" customHeight="1" x14ac:dyDescent="0.3">
      <c r="C809" s="2"/>
      <c r="D809" s="8">
        <v>2018</v>
      </c>
      <c r="E809" s="103">
        <f>Data!U809</f>
        <v>0.33</v>
      </c>
    </row>
    <row r="810" spans="2:5" ht="15" customHeight="1" x14ac:dyDescent="0.3">
      <c r="C810" s="2"/>
      <c r="D810" s="8">
        <v>2019</v>
      </c>
      <c r="E810" s="103">
        <f>Data!U810</f>
        <v>0.33</v>
      </c>
    </row>
    <row r="811" spans="2:5" ht="15" customHeight="1" x14ac:dyDescent="0.3">
      <c r="C811" s="2"/>
      <c r="D811" s="8">
        <v>2020</v>
      </c>
      <c r="E811" s="103">
        <f>Data!U811</f>
        <v>0.33</v>
      </c>
    </row>
    <row r="812" spans="2:5" ht="15" customHeight="1" x14ac:dyDescent="0.3">
      <c r="C812" s="2"/>
      <c r="D812" s="8">
        <v>2021</v>
      </c>
      <c r="E812" s="103">
        <f>Data!U812</f>
        <v>0.33</v>
      </c>
    </row>
    <row r="813" spans="2:5" ht="15" customHeight="1" x14ac:dyDescent="0.3">
      <c r="C813" s="2"/>
      <c r="D813" s="8">
        <v>2022</v>
      </c>
      <c r="E813" s="103">
        <f>Data!U813</f>
        <v>0.33</v>
      </c>
    </row>
    <row r="814" spans="2:5" ht="15" customHeight="1" x14ac:dyDescent="0.3">
      <c r="C814" s="2"/>
      <c r="D814" s="8">
        <v>2023</v>
      </c>
      <c r="E814" s="103">
        <f>Data!U814</f>
        <v>0.33</v>
      </c>
    </row>
    <row r="815" spans="2:5" ht="15" customHeight="1" x14ac:dyDescent="0.3">
      <c r="C815" s="2"/>
      <c r="D815" s="8">
        <v>2024</v>
      </c>
      <c r="E815" s="103">
        <f>Data!U815</f>
        <v>0.33</v>
      </c>
    </row>
    <row r="816" spans="2:5" ht="15" customHeight="1" x14ac:dyDescent="0.3">
      <c r="B816" s="8">
        <v>75</v>
      </c>
      <c r="C816" s="1" t="s">
        <v>130</v>
      </c>
      <c r="D816" s="8">
        <v>2014</v>
      </c>
      <c r="E816" s="103">
        <f>Data!U816</f>
        <v>0</v>
      </c>
    </row>
    <row r="817" spans="2:5" ht="15" customHeight="1" x14ac:dyDescent="0.3">
      <c r="C817" s="1"/>
      <c r="D817" s="8">
        <v>2015</v>
      </c>
      <c r="E817" s="103">
        <f>Data!U817</f>
        <v>0</v>
      </c>
    </row>
    <row r="818" spans="2:5" ht="15" customHeight="1" x14ac:dyDescent="0.3">
      <c r="C818" s="1"/>
      <c r="D818" s="8">
        <v>2016</v>
      </c>
      <c r="E818" s="103">
        <f>Data!U818</f>
        <v>0</v>
      </c>
    </row>
    <row r="819" spans="2:5" ht="15" customHeight="1" x14ac:dyDescent="0.3">
      <c r="C819" s="1"/>
      <c r="D819" s="8">
        <v>2017</v>
      </c>
      <c r="E819" s="103">
        <f>Data!U819</f>
        <v>0</v>
      </c>
    </row>
    <row r="820" spans="2:5" ht="15" customHeight="1" x14ac:dyDescent="0.3">
      <c r="C820" s="1"/>
      <c r="D820" s="8">
        <v>2018</v>
      </c>
      <c r="E820" s="103">
        <f>Data!U820</f>
        <v>0</v>
      </c>
    </row>
    <row r="821" spans="2:5" ht="15" customHeight="1" x14ac:dyDescent="0.3">
      <c r="C821" s="1"/>
      <c r="D821" s="8">
        <v>2019</v>
      </c>
      <c r="E821" s="103">
        <f>Data!U821</f>
        <v>0</v>
      </c>
    </row>
    <row r="822" spans="2:5" ht="15" customHeight="1" x14ac:dyDescent="0.3">
      <c r="C822" s="1"/>
      <c r="D822" s="8">
        <v>2020</v>
      </c>
      <c r="E822" s="103">
        <f>Data!U822</f>
        <v>0</v>
      </c>
    </row>
    <row r="823" spans="2:5" ht="15" customHeight="1" x14ac:dyDescent="0.3">
      <c r="C823" s="1"/>
      <c r="D823" s="8">
        <v>2021</v>
      </c>
      <c r="E823" s="103">
        <f>Data!U823</f>
        <v>0</v>
      </c>
    </row>
    <row r="824" spans="2:5" ht="15" customHeight="1" x14ac:dyDescent="0.3">
      <c r="C824" s="1"/>
      <c r="D824" s="8">
        <v>2022</v>
      </c>
      <c r="E824" s="103">
        <f>Data!U824</f>
        <v>0</v>
      </c>
    </row>
    <row r="825" spans="2:5" ht="15" customHeight="1" x14ac:dyDescent="0.3">
      <c r="C825" s="1"/>
      <c r="D825" s="8">
        <v>2023</v>
      </c>
      <c r="E825" s="103">
        <f>Data!U825</f>
        <v>0</v>
      </c>
    </row>
    <row r="826" spans="2:5" ht="15" customHeight="1" x14ac:dyDescent="0.3">
      <c r="C826" s="1"/>
      <c r="D826" s="8">
        <v>2024</v>
      </c>
      <c r="E826" s="103">
        <f>Data!U826</f>
        <v>0</v>
      </c>
    </row>
    <row r="827" spans="2:5" ht="15" customHeight="1" x14ac:dyDescent="0.3">
      <c r="B827" s="8">
        <v>76</v>
      </c>
      <c r="C827" s="2" t="s">
        <v>79</v>
      </c>
      <c r="D827" s="8">
        <v>2014</v>
      </c>
      <c r="E827" s="103">
        <f>Data!U827</f>
        <v>0</v>
      </c>
    </row>
    <row r="828" spans="2:5" ht="15" customHeight="1" x14ac:dyDescent="0.3">
      <c r="C828" s="2"/>
      <c r="D828" s="8">
        <v>2015</v>
      </c>
      <c r="E828" s="103">
        <f>Data!U828</f>
        <v>0</v>
      </c>
    </row>
    <row r="829" spans="2:5" ht="15" customHeight="1" x14ac:dyDescent="0.3">
      <c r="C829" s="2"/>
      <c r="D829" s="8">
        <v>2016</v>
      </c>
      <c r="E829" s="103">
        <f>Data!U829</f>
        <v>0</v>
      </c>
    </row>
    <row r="830" spans="2:5" ht="15" customHeight="1" x14ac:dyDescent="0.3">
      <c r="C830" s="2"/>
      <c r="D830" s="8">
        <v>2017</v>
      </c>
      <c r="E830" s="103">
        <f>Data!U830</f>
        <v>0</v>
      </c>
    </row>
    <row r="831" spans="2:5" ht="15" customHeight="1" x14ac:dyDescent="0.3">
      <c r="C831" s="2"/>
      <c r="D831" s="8">
        <v>2018</v>
      </c>
      <c r="E831" s="103">
        <f>Data!U831</f>
        <v>0</v>
      </c>
    </row>
    <row r="832" spans="2:5" ht="15" customHeight="1" x14ac:dyDescent="0.3">
      <c r="C832" s="2"/>
      <c r="D832" s="8">
        <v>2019</v>
      </c>
      <c r="E832" s="103">
        <f>Data!U832</f>
        <v>0</v>
      </c>
    </row>
    <row r="833" spans="2:5" ht="15" customHeight="1" x14ac:dyDescent="0.3">
      <c r="C833" s="2"/>
      <c r="D833" s="8">
        <v>2020</v>
      </c>
      <c r="E833" s="103">
        <f>Data!U833</f>
        <v>0</v>
      </c>
    </row>
    <row r="834" spans="2:5" ht="15" customHeight="1" x14ac:dyDescent="0.3">
      <c r="C834" s="2"/>
      <c r="D834" s="8">
        <v>2021</v>
      </c>
      <c r="E834" s="103">
        <f>Data!U834</f>
        <v>0</v>
      </c>
    </row>
    <row r="835" spans="2:5" ht="15" customHeight="1" x14ac:dyDescent="0.3">
      <c r="C835" s="2"/>
      <c r="D835" s="8">
        <v>2022</v>
      </c>
      <c r="E835" s="103">
        <f>Data!U835</f>
        <v>0</v>
      </c>
    </row>
    <row r="836" spans="2:5" ht="15" customHeight="1" x14ac:dyDescent="0.3">
      <c r="C836" s="2"/>
      <c r="D836" s="8">
        <v>2023</v>
      </c>
      <c r="E836" s="103">
        <f>Data!U836</f>
        <v>0</v>
      </c>
    </row>
    <row r="837" spans="2:5" ht="15" customHeight="1" x14ac:dyDescent="0.3">
      <c r="C837" s="2"/>
      <c r="D837" s="8">
        <v>2024</v>
      </c>
      <c r="E837" s="103">
        <f>Data!U837</f>
        <v>0</v>
      </c>
    </row>
    <row r="838" spans="2:5" ht="15" customHeight="1" x14ac:dyDescent="0.3">
      <c r="B838" s="8">
        <v>77</v>
      </c>
      <c r="C838" s="2" t="s">
        <v>119</v>
      </c>
      <c r="D838" s="8">
        <v>2014</v>
      </c>
      <c r="E838" s="103">
        <f>Data!U838</f>
        <v>0</v>
      </c>
    </row>
    <row r="839" spans="2:5" ht="15" customHeight="1" x14ac:dyDescent="0.3">
      <c r="C839" s="2"/>
      <c r="D839" s="8">
        <v>2015</v>
      </c>
      <c r="E839" s="103">
        <f>Data!U839</f>
        <v>0</v>
      </c>
    </row>
    <row r="840" spans="2:5" ht="15" customHeight="1" x14ac:dyDescent="0.3">
      <c r="C840" s="2"/>
      <c r="D840" s="8">
        <v>2016</v>
      </c>
      <c r="E840" s="103">
        <f>Data!U840</f>
        <v>0</v>
      </c>
    </row>
    <row r="841" spans="2:5" ht="15" customHeight="1" x14ac:dyDescent="0.3">
      <c r="C841" s="2"/>
      <c r="D841" s="8">
        <v>2017</v>
      </c>
      <c r="E841" s="103">
        <f>Data!U841</f>
        <v>0</v>
      </c>
    </row>
    <row r="842" spans="2:5" ht="15" customHeight="1" x14ac:dyDescent="0.3">
      <c r="C842" s="2"/>
      <c r="D842" s="8">
        <v>2018</v>
      </c>
      <c r="E842" s="103">
        <f>Data!U842</f>
        <v>0</v>
      </c>
    </row>
    <row r="843" spans="2:5" ht="15" customHeight="1" x14ac:dyDescent="0.3">
      <c r="C843" s="2"/>
      <c r="D843" s="8">
        <v>2019</v>
      </c>
      <c r="E843" s="103">
        <f>Data!U843</f>
        <v>5.67E-2</v>
      </c>
    </row>
    <row r="844" spans="2:5" ht="15" customHeight="1" x14ac:dyDescent="0.3">
      <c r="C844" s="2"/>
      <c r="D844" s="8">
        <v>2020</v>
      </c>
      <c r="E844" s="103">
        <f>Data!U844</f>
        <v>5.67E-2</v>
      </c>
    </row>
    <row r="845" spans="2:5" ht="15" customHeight="1" x14ac:dyDescent="0.3">
      <c r="C845" s="2"/>
      <c r="D845" s="8">
        <v>2021</v>
      </c>
      <c r="E845" s="103">
        <f>Data!U845</f>
        <v>5.67E-2</v>
      </c>
    </row>
    <row r="846" spans="2:5" ht="15" customHeight="1" x14ac:dyDescent="0.3">
      <c r="C846" s="2"/>
      <c r="D846" s="8">
        <v>2022</v>
      </c>
      <c r="E846" s="103">
        <f>Data!U846</f>
        <v>3.9600000000000003E-2</v>
      </c>
    </row>
    <row r="847" spans="2:5" ht="15" customHeight="1" x14ac:dyDescent="0.3">
      <c r="C847" s="2"/>
      <c r="D847" s="8">
        <v>2023</v>
      </c>
      <c r="E847" s="103">
        <f>Data!U847</f>
        <v>0.40639999999999998</v>
      </c>
    </row>
    <row r="848" spans="2:5" ht="15" customHeight="1" x14ac:dyDescent="0.3">
      <c r="C848" s="2"/>
      <c r="D848" s="8">
        <v>2024</v>
      </c>
      <c r="E848" s="103">
        <f>Data!U848</f>
        <v>0.49509999999999998</v>
      </c>
    </row>
    <row r="849" spans="2:5" ht="15" customHeight="1" x14ac:dyDescent="0.3">
      <c r="B849" s="8">
        <v>78</v>
      </c>
      <c r="C849" s="2" t="s">
        <v>80</v>
      </c>
      <c r="D849" s="8">
        <v>2014</v>
      </c>
      <c r="E849" s="103">
        <f>Data!U849</f>
        <v>0</v>
      </c>
    </row>
    <row r="850" spans="2:5" ht="15" customHeight="1" x14ac:dyDescent="0.3">
      <c r="C850" s="2"/>
      <c r="D850" s="8">
        <v>2015</v>
      </c>
      <c r="E850" s="103">
        <f>Data!U850</f>
        <v>0</v>
      </c>
    </row>
    <row r="851" spans="2:5" ht="15" customHeight="1" x14ac:dyDescent="0.3">
      <c r="C851" s="2"/>
      <c r="D851" s="8">
        <v>2016</v>
      </c>
      <c r="E851" s="103">
        <f>Data!U851</f>
        <v>0</v>
      </c>
    </row>
    <row r="852" spans="2:5" ht="15" customHeight="1" x14ac:dyDescent="0.3">
      <c r="C852" s="2"/>
      <c r="D852" s="8">
        <v>2017</v>
      </c>
      <c r="E852" s="103">
        <f>Data!U852</f>
        <v>0</v>
      </c>
    </row>
    <row r="853" spans="2:5" ht="15" customHeight="1" x14ac:dyDescent="0.3">
      <c r="C853" s="2"/>
      <c r="D853" s="8">
        <v>2018</v>
      </c>
      <c r="E853" s="103">
        <f>Data!U853</f>
        <v>0</v>
      </c>
    </row>
    <row r="854" spans="2:5" ht="15" customHeight="1" x14ac:dyDescent="0.3">
      <c r="C854" s="2"/>
      <c r="D854" s="8">
        <v>2019</v>
      </c>
      <c r="E854" s="103">
        <f>Data!U854</f>
        <v>0</v>
      </c>
    </row>
    <row r="855" spans="2:5" ht="15" customHeight="1" x14ac:dyDescent="0.3">
      <c r="C855" s="2"/>
      <c r="D855" s="8">
        <v>2020</v>
      </c>
      <c r="E855" s="103">
        <f>Data!U855</f>
        <v>0</v>
      </c>
    </row>
    <row r="856" spans="2:5" ht="15" customHeight="1" x14ac:dyDescent="0.3">
      <c r="C856" s="2"/>
      <c r="D856" s="8">
        <v>2021</v>
      </c>
      <c r="E856" s="103">
        <f>Data!U856</f>
        <v>0</v>
      </c>
    </row>
    <row r="857" spans="2:5" ht="15" customHeight="1" x14ac:dyDescent="0.3">
      <c r="C857" s="2"/>
      <c r="D857" s="8">
        <v>2022</v>
      </c>
      <c r="E857" s="103">
        <f>Data!U857</f>
        <v>0</v>
      </c>
    </row>
    <row r="858" spans="2:5" ht="15" customHeight="1" x14ac:dyDescent="0.3">
      <c r="C858" s="2"/>
      <c r="D858" s="8">
        <v>2023</v>
      </c>
      <c r="E858" s="103">
        <f>Data!U858</f>
        <v>0</v>
      </c>
    </row>
    <row r="859" spans="2:5" ht="15" customHeight="1" x14ac:dyDescent="0.3">
      <c r="C859" s="2"/>
      <c r="D859" s="8">
        <v>2024</v>
      </c>
      <c r="E859" s="103">
        <f>Data!U859</f>
        <v>0</v>
      </c>
    </row>
    <row r="860" spans="2:5" ht="15" customHeight="1" x14ac:dyDescent="0.3">
      <c r="B860" s="8">
        <v>79</v>
      </c>
      <c r="C860" s="2" t="s">
        <v>97</v>
      </c>
      <c r="D860" s="8">
        <v>2014</v>
      </c>
      <c r="E860" s="103">
        <f>Data!U860</f>
        <v>0</v>
      </c>
    </row>
    <row r="861" spans="2:5" ht="15" customHeight="1" x14ac:dyDescent="0.3">
      <c r="C861" s="2"/>
      <c r="D861" s="8">
        <v>2015</v>
      </c>
      <c r="E861" s="103">
        <f>Data!U861</f>
        <v>0</v>
      </c>
    </row>
    <row r="862" spans="2:5" ht="15" customHeight="1" x14ac:dyDescent="0.3">
      <c r="C862" s="2"/>
      <c r="D862" s="8">
        <v>2016</v>
      </c>
      <c r="E862" s="103">
        <f>Data!U862</f>
        <v>0</v>
      </c>
    </row>
    <row r="863" spans="2:5" ht="15" customHeight="1" x14ac:dyDescent="0.3">
      <c r="C863" s="2"/>
      <c r="D863" s="8">
        <v>2017</v>
      </c>
      <c r="E863" s="103">
        <f>Data!U863</f>
        <v>0</v>
      </c>
    </row>
    <row r="864" spans="2:5" ht="15" customHeight="1" x14ac:dyDescent="0.3">
      <c r="C864" s="2"/>
      <c r="D864" s="8">
        <v>2018</v>
      </c>
      <c r="E864" s="103">
        <f>Data!U864</f>
        <v>0</v>
      </c>
    </row>
    <row r="865" spans="2:5" ht="15" customHeight="1" x14ac:dyDescent="0.3">
      <c r="C865" s="2"/>
      <c r="D865" s="8">
        <v>2019</v>
      </c>
      <c r="E865" s="103">
        <f>Data!U865</f>
        <v>0</v>
      </c>
    </row>
    <row r="866" spans="2:5" ht="15" customHeight="1" x14ac:dyDescent="0.3">
      <c r="C866" s="2"/>
      <c r="D866" s="8">
        <v>2020</v>
      </c>
      <c r="E866" s="103">
        <f>Data!U866</f>
        <v>0</v>
      </c>
    </row>
    <row r="867" spans="2:5" ht="15" customHeight="1" x14ac:dyDescent="0.3">
      <c r="C867" s="2"/>
      <c r="D867" s="8">
        <v>2021</v>
      </c>
      <c r="E867" s="103">
        <f>Data!U867</f>
        <v>0</v>
      </c>
    </row>
    <row r="868" spans="2:5" ht="15" customHeight="1" x14ac:dyDescent="0.3">
      <c r="C868" s="2"/>
      <c r="D868" s="8">
        <v>2022</v>
      </c>
      <c r="E868" s="103">
        <f>Data!U868</f>
        <v>0</v>
      </c>
    </row>
    <row r="869" spans="2:5" ht="15" customHeight="1" x14ac:dyDescent="0.3">
      <c r="C869" s="2"/>
      <c r="D869" s="8">
        <v>2023</v>
      </c>
      <c r="E869" s="103">
        <f>Data!U869</f>
        <v>0</v>
      </c>
    </row>
    <row r="870" spans="2:5" ht="15" customHeight="1" x14ac:dyDescent="0.3">
      <c r="C870" s="2"/>
      <c r="D870" s="8">
        <v>2024</v>
      </c>
      <c r="E870" s="103">
        <f>Data!U870</f>
        <v>0</v>
      </c>
    </row>
    <row r="871" spans="2:5" ht="15" customHeight="1" x14ac:dyDescent="0.3">
      <c r="B871" s="8">
        <v>80</v>
      </c>
      <c r="C871" s="2" t="s">
        <v>81</v>
      </c>
      <c r="D871" s="8">
        <v>2014</v>
      </c>
      <c r="E871" s="103">
        <f>Data!U871</f>
        <v>0</v>
      </c>
    </row>
    <row r="872" spans="2:5" ht="15" customHeight="1" x14ac:dyDescent="0.3">
      <c r="C872" s="2"/>
      <c r="D872" s="8">
        <v>2015</v>
      </c>
      <c r="E872" s="103">
        <f>Data!U872</f>
        <v>0</v>
      </c>
    </row>
    <row r="873" spans="2:5" ht="15" customHeight="1" x14ac:dyDescent="0.3">
      <c r="C873" s="2"/>
      <c r="D873" s="8">
        <v>2016</v>
      </c>
      <c r="E873" s="103">
        <f>Data!U873</f>
        <v>0</v>
      </c>
    </row>
    <row r="874" spans="2:5" ht="15" customHeight="1" x14ac:dyDescent="0.3">
      <c r="C874" s="2"/>
      <c r="D874" s="8">
        <v>2017</v>
      </c>
      <c r="E874" s="103">
        <f>Data!U874</f>
        <v>0</v>
      </c>
    </row>
    <row r="875" spans="2:5" ht="15" customHeight="1" x14ac:dyDescent="0.3">
      <c r="C875" s="2"/>
      <c r="D875" s="8">
        <v>2018</v>
      </c>
      <c r="E875" s="103">
        <f>Data!U875</f>
        <v>0</v>
      </c>
    </row>
    <row r="876" spans="2:5" ht="15" customHeight="1" x14ac:dyDescent="0.3">
      <c r="C876" s="2"/>
      <c r="D876" s="8">
        <v>2019</v>
      </c>
      <c r="E876" s="103">
        <f>Data!U876</f>
        <v>0</v>
      </c>
    </row>
    <row r="877" spans="2:5" ht="15" customHeight="1" x14ac:dyDescent="0.3">
      <c r="C877" s="2"/>
      <c r="D877" s="8">
        <v>2020</v>
      </c>
      <c r="E877" s="103">
        <f>Data!U877</f>
        <v>0</v>
      </c>
    </row>
    <row r="878" spans="2:5" ht="15" customHeight="1" x14ac:dyDescent="0.3">
      <c r="C878" s="2"/>
      <c r="D878" s="8">
        <v>2021</v>
      </c>
      <c r="E878" s="103">
        <f>Data!U878</f>
        <v>0</v>
      </c>
    </row>
    <row r="879" spans="2:5" ht="15" customHeight="1" x14ac:dyDescent="0.3">
      <c r="C879" s="2"/>
      <c r="D879" s="8">
        <v>2022</v>
      </c>
      <c r="E879" s="103">
        <f>Data!U879</f>
        <v>0</v>
      </c>
    </row>
    <row r="880" spans="2:5" ht="15" customHeight="1" x14ac:dyDescent="0.3">
      <c r="C880" s="2"/>
      <c r="D880" s="8">
        <v>2023</v>
      </c>
      <c r="E880" s="103">
        <f>Data!U880</f>
        <v>0</v>
      </c>
    </row>
    <row r="881" spans="2:5" ht="15" customHeight="1" x14ac:dyDescent="0.3">
      <c r="C881" s="2"/>
      <c r="D881" s="8">
        <v>2024</v>
      </c>
      <c r="E881" s="103">
        <f>Data!U881</f>
        <v>0</v>
      </c>
    </row>
    <row r="882" spans="2:5" ht="15" customHeight="1" x14ac:dyDescent="0.3">
      <c r="B882" s="8">
        <v>81</v>
      </c>
      <c r="C882" s="2" t="s">
        <v>82</v>
      </c>
      <c r="D882" s="8">
        <v>2014</v>
      </c>
      <c r="E882" s="103">
        <f>Data!U882</f>
        <v>0</v>
      </c>
    </row>
    <row r="883" spans="2:5" ht="15" customHeight="1" x14ac:dyDescent="0.3">
      <c r="C883" s="2"/>
      <c r="D883" s="8">
        <v>2015</v>
      </c>
      <c r="E883" s="103">
        <f>Data!U883</f>
        <v>0</v>
      </c>
    </row>
    <row r="884" spans="2:5" ht="15" customHeight="1" x14ac:dyDescent="0.3">
      <c r="C884" s="2"/>
      <c r="D884" s="8">
        <v>2016</v>
      </c>
      <c r="E884" s="103">
        <f>Data!U884</f>
        <v>0</v>
      </c>
    </row>
    <row r="885" spans="2:5" ht="15" customHeight="1" x14ac:dyDescent="0.3">
      <c r="C885" s="2"/>
      <c r="D885" s="8">
        <v>2017</v>
      </c>
      <c r="E885" s="103">
        <f>Data!U885</f>
        <v>0</v>
      </c>
    </row>
    <row r="886" spans="2:5" ht="15" customHeight="1" x14ac:dyDescent="0.3">
      <c r="C886" s="2"/>
      <c r="D886" s="8">
        <v>2018</v>
      </c>
      <c r="E886" s="103">
        <f>Data!U886</f>
        <v>0</v>
      </c>
    </row>
    <row r="887" spans="2:5" ht="15" customHeight="1" x14ac:dyDescent="0.3">
      <c r="C887" s="2"/>
      <c r="D887" s="8">
        <v>2019</v>
      </c>
      <c r="E887" s="103">
        <f>Data!U887</f>
        <v>0</v>
      </c>
    </row>
    <row r="888" spans="2:5" ht="15" customHeight="1" x14ac:dyDescent="0.3">
      <c r="C888" s="2"/>
      <c r="D888" s="8">
        <v>2020</v>
      </c>
      <c r="E888" s="103">
        <f>Data!U888</f>
        <v>0</v>
      </c>
    </row>
    <row r="889" spans="2:5" ht="15" customHeight="1" x14ac:dyDescent="0.3">
      <c r="C889" s="2"/>
      <c r="D889" s="8">
        <v>2021</v>
      </c>
      <c r="E889" s="103">
        <f>Data!U889</f>
        <v>0</v>
      </c>
    </row>
    <row r="890" spans="2:5" ht="15" customHeight="1" x14ac:dyDescent="0.3">
      <c r="C890" s="2"/>
      <c r="D890" s="8">
        <v>2022</v>
      </c>
      <c r="E890" s="103">
        <f>Data!U890</f>
        <v>0</v>
      </c>
    </row>
    <row r="891" spans="2:5" ht="15" customHeight="1" x14ac:dyDescent="0.3">
      <c r="C891" s="2"/>
      <c r="D891" s="8">
        <v>2023</v>
      </c>
      <c r="E891" s="103">
        <f>Data!U891</f>
        <v>0</v>
      </c>
    </row>
    <row r="892" spans="2:5" ht="15" customHeight="1" x14ac:dyDescent="0.3">
      <c r="C892" s="2"/>
      <c r="D892" s="8">
        <v>2024</v>
      </c>
      <c r="E892" s="103">
        <f>Data!U892</f>
        <v>0</v>
      </c>
    </row>
    <row r="893" spans="2:5" ht="15" customHeight="1" x14ac:dyDescent="0.3">
      <c r="B893" s="8">
        <v>82</v>
      </c>
      <c r="C893" s="2" t="s">
        <v>83</v>
      </c>
      <c r="D893" s="8">
        <v>2014</v>
      </c>
      <c r="E893" s="103">
        <f>Data!U893</f>
        <v>0</v>
      </c>
    </row>
    <row r="894" spans="2:5" ht="15" customHeight="1" x14ac:dyDescent="0.3">
      <c r="C894" s="2"/>
      <c r="D894" s="8">
        <v>2015</v>
      </c>
      <c r="E894" s="103">
        <f>Data!U894</f>
        <v>0</v>
      </c>
    </row>
    <row r="895" spans="2:5" ht="15" customHeight="1" x14ac:dyDescent="0.3">
      <c r="C895" s="2"/>
      <c r="D895" s="8">
        <v>2016</v>
      </c>
      <c r="E895" s="103">
        <f>Data!U895</f>
        <v>0</v>
      </c>
    </row>
    <row r="896" spans="2:5" ht="15" customHeight="1" x14ac:dyDescent="0.3">
      <c r="C896" s="2"/>
      <c r="D896" s="8">
        <v>2017</v>
      </c>
      <c r="E896" s="103">
        <f>Data!U896</f>
        <v>0</v>
      </c>
    </row>
    <row r="897" spans="2:5" ht="15" customHeight="1" x14ac:dyDescent="0.3">
      <c r="C897" s="2"/>
      <c r="D897" s="8">
        <v>2018</v>
      </c>
      <c r="E897" s="103">
        <f>Data!U897</f>
        <v>0</v>
      </c>
    </row>
    <row r="898" spans="2:5" ht="15" customHeight="1" x14ac:dyDescent="0.3">
      <c r="C898" s="2"/>
      <c r="D898" s="8">
        <v>2019</v>
      </c>
      <c r="E898" s="103">
        <f>Data!U898</f>
        <v>0</v>
      </c>
    </row>
    <row r="899" spans="2:5" ht="15" customHeight="1" x14ac:dyDescent="0.3">
      <c r="C899" s="2"/>
      <c r="D899" s="8">
        <v>2020</v>
      </c>
      <c r="E899" s="103">
        <f>Data!U899</f>
        <v>0</v>
      </c>
    </row>
    <row r="900" spans="2:5" ht="15" customHeight="1" x14ac:dyDescent="0.3">
      <c r="C900" s="2"/>
      <c r="D900" s="8">
        <v>2021</v>
      </c>
      <c r="E900" s="103">
        <f>Data!U900</f>
        <v>0</v>
      </c>
    </row>
    <row r="901" spans="2:5" ht="15" customHeight="1" x14ac:dyDescent="0.3">
      <c r="C901" s="2"/>
      <c r="D901" s="8">
        <v>2022</v>
      </c>
      <c r="E901" s="103">
        <f>Data!U901</f>
        <v>0</v>
      </c>
    </row>
    <row r="902" spans="2:5" ht="15" customHeight="1" x14ac:dyDescent="0.3">
      <c r="C902" s="2"/>
      <c r="D902" s="8">
        <v>2023</v>
      </c>
      <c r="E902" s="103">
        <f>Data!U902</f>
        <v>0</v>
      </c>
    </row>
    <row r="903" spans="2:5" ht="15" customHeight="1" x14ac:dyDescent="0.3">
      <c r="C903" s="2"/>
      <c r="D903" s="8">
        <v>2024</v>
      </c>
      <c r="E903" s="103">
        <f>Data!U903</f>
        <v>0</v>
      </c>
    </row>
    <row r="904" spans="2:5" ht="15" customHeight="1" x14ac:dyDescent="0.3">
      <c r="B904" s="8">
        <v>83</v>
      </c>
      <c r="C904" s="2" t="s">
        <v>98</v>
      </c>
      <c r="D904" s="8">
        <v>2014</v>
      </c>
      <c r="E904" s="103">
        <f>Data!U904</f>
        <v>0</v>
      </c>
    </row>
    <row r="905" spans="2:5" ht="15" customHeight="1" x14ac:dyDescent="0.3">
      <c r="C905" s="2"/>
      <c r="D905" s="8">
        <v>2015</v>
      </c>
      <c r="E905" s="103">
        <f>Data!U905</f>
        <v>0</v>
      </c>
    </row>
    <row r="906" spans="2:5" ht="15" customHeight="1" x14ac:dyDescent="0.3">
      <c r="C906" s="2"/>
      <c r="D906" s="8">
        <v>2016</v>
      </c>
      <c r="E906" s="103">
        <f>Data!U906</f>
        <v>0</v>
      </c>
    </row>
    <row r="907" spans="2:5" ht="15" customHeight="1" x14ac:dyDescent="0.3">
      <c r="C907" s="2"/>
      <c r="D907" s="8">
        <v>2017</v>
      </c>
      <c r="E907" s="103">
        <f>Data!U907</f>
        <v>0</v>
      </c>
    </row>
    <row r="908" spans="2:5" ht="15" customHeight="1" x14ac:dyDescent="0.3">
      <c r="C908" s="2"/>
      <c r="D908" s="8">
        <v>2018</v>
      </c>
      <c r="E908" s="103">
        <f>Data!U908</f>
        <v>0</v>
      </c>
    </row>
    <row r="909" spans="2:5" ht="15" customHeight="1" x14ac:dyDescent="0.3">
      <c r="C909" s="2"/>
      <c r="D909" s="8">
        <v>2019</v>
      </c>
      <c r="E909" s="103">
        <f>Data!U909</f>
        <v>0</v>
      </c>
    </row>
    <row r="910" spans="2:5" ht="15" customHeight="1" x14ac:dyDescent="0.3">
      <c r="C910" s="2"/>
      <c r="D910" s="8">
        <v>2020</v>
      </c>
      <c r="E910" s="103">
        <f>Data!U910</f>
        <v>0</v>
      </c>
    </row>
    <row r="911" spans="2:5" ht="15" customHeight="1" x14ac:dyDescent="0.3">
      <c r="C911" s="2"/>
      <c r="D911" s="8">
        <v>2021</v>
      </c>
      <c r="E911" s="103">
        <f>Data!U911</f>
        <v>0</v>
      </c>
    </row>
    <row r="912" spans="2:5" ht="15" customHeight="1" x14ac:dyDescent="0.3">
      <c r="C912" s="2"/>
      <c r="D912" s="8">
        <v>2022</v>
      </c>
      <c r="E912" s="103">
        <f>Data!U912</f>
        <v>0</v>
      </c>
    </row>
    <row r="913" spans="2:5" ht="15" customHeight="1" x14ac:dyDescent="0.3">
      <c r="C913" s="2"/>
      <c r="D913" s="8">
        <v>2023</v>
      </c>
      <c r="E913" s="103">
        <f>Data!U913</f>
        <v>0</v>
      </c>
    </row>
    <row r="914" spans="2:5" ht="15" customHeight="1" x14ac:dyDescent="0.3">
      <c r="C914" s="2"/>
      <c r="D914" s="8">
        <v>2024</v>
      </c>
      <c r="E914" s="103">
        <f>Data!U914</f>
        <v>0</v>
      </c>
    </row>
    <row r="915" spans="2:5" ht="15" customHeight="1" x14ac:dyDescent="0.3">
      <c r="B915" s="8">
        <v>84</v>
      </c>
      <c r="C915" s="2" t="s">
        <v>84</v>
      </c>
      <c r="D915" s="8">
        <v>2014</v>
      </c>
      <c r="E915" s="103">
        <f>Data!U915</f>
        <v>0</v>
      </c>
    </row>
    <row r="916" spans="2:5" ht="15" customHeight="1" x14ac:dyDescent="0.3">
      <c r="C916" s="2"/>
      <c r="D916" s="8">
        <v>2015</v>
      </c>
      <c r="E916" s="103">
        <f>Data!U916</f>
        <v>0</v>
      </c>
    </row>
    <row r="917" spans="2:5" ht="15" customHeight="1" x14ac:dyDescent="0.3">
      <c r="C917" s="2"/>
      <c r="D917" s="8">
        <v>2016</v>
      </c>
      <c r="E917" s="103">
        <f>Data!U917</f>
        <v>0</v>
      </c>
    </row>
    <row r="918" spans="2:5" ht="15" customHeight="1" x14ac:dyDescent="0.3">
      <c r="C918" s="2"/>
      <c r="D918" s="8">
        <v>2017</v>
      </c>
      <c r="E918" s="103">
        <f>Data!U918</f>
        <v>0</v>
      </c>
    </row>
    <row r="919" spans="2:5" ht="15" customHeight="1" x14ac:dyDescent="0.3">
      <c r="C919" s="2"/>
      <c r="D919" s="8">
        <v>2018</v>
      </c>
      <c r="E919" s="103">
        <f>Data!U919</f>
        <v>0</v>
      </c>
    </row>
    <row r="920" spans="2:5" ht="15" customHeight="1" x14ac:dyDescent="0.3">
      <c r="C920" s="2"/>
      <c r="D920" s="8">
        <v>2019</v>
      </c>
      <c r="E920" s="103">
        <f>Data!U920</f>
        <v>0</v>
      </c>
    </row>
    <row r="921" spans="2:5" ht="15" customHeight="1" x14ac:dyDescent="0.3">
      <c r="C921" s="2"/>
      <c r="D921" s="8">
        <v>2020</v>
      </c>
      <c r="E921" s="103">
        <f>Data!U921</f>
        <v>0</v>
      </c>
    </row>
    <row r="922" spans="2:5" ht="15" customHeight="1" x14ac:dyDescent="0.3">
      <c r="C922" s="2"/>
      <c r="D922" s="8">
        <v>2021</v>
      </c>
      <c r="E922" s="103">
        <f>Data!U922</f>
        <v>0</v>
      </c>
    </row>
    <row r="923" spans="2:5" ht="15" customHeight="1" x14ac:dyDescent="0.3">
      <c r="C923" s="2"/>
      <c r="D923" s="8">
        <v>2022</v>
      </c>
      <c r="E923" s="103">
        <f>Data!U923</f>
        <v>0</v>
      </c>
    </row>
    <row r="924" spans="2:5" ht="15" customHeight="1" x14ac:dyDescent="0.3">
      <c r="C924" s="2"/>
      <c r="D924" s="8">
        <v>2023</v>
      </c>
      <c r="E924" s="103">
        <f>Data!U924</f>
        <v>0</v>
      </c>
    </row>
    <row r="925" spans="2:5" ht="15" customHeight="1" x14ac:dyDescent="0.3">
      <c r="C925" s="2"/>
      <c r="D925" s="8">
        <v>2024</v>
      </c>
      <c r="E925" s="103">
        <f>Data!U925</f>
        <v>0</v>
      </c>
    </row>
    <row r="926" spans="2:5" ht="15" customHeight="1" x14ac:dyDescent="0.3">
      <c r="B926" s="8">
        <v>85</v>
      </c>
      <c r="C926" s="2" t="s">
        <v>99</v>
      </c>
      <c r="D926" s="8">
        <v>2014</v>
      </c>
      <c r="E926" s="103">
        <f>Data!U926</f>
        <v>0</v>
      </c>
    </row>
    <row r="927" spans="2:5" ht="15" customHeight="1" x14ac:dyDescent="0.3">
      <c r="C927" s="2"/>
      <c r="D927" s="8">
        <v>2015</v>
      </c>
      <c r="E927" s="103">
        <f>Data!U927</f>
        <v>0</v>
      </c>
    </row>
    <row r="928" spans="2:5" ht="15" customHeight="1" x14ac:dyDescent="0.3">
      <c r="C928" s="2"/>
      <c r="D928" s="8">
        <v>2016</v>
      </c>
      <c r="E928" s="103">
        <f>Data!U928</f>
        <v>0</v>
      </c>
    </row>
    <row r="929" spans="2:5" ht="15" customHeight="1" x14ac:dyDescent="0.3">
      <c r="C929" s="2"/>
      <c r="D929" s="8">
        <v>2017</v>
      </c>
      <c r="E929" s="103">
        <f>Data!U929</f>
        <v>0</v>
      </c>
    </row>
    <row r="930" spans="2:5" ht="15" customHeight="1" x14ac:dyDescent="0.3">
      <c r="C930" s="2"/>
      <c r="D930" s="8">
        <v>2018</v>
      </c>
      <c r="E930" s="103">
        <f>Data!U930</f>
        <v>0</v>
      </c>
    </row>
    <row r="931" spans="2:5" ht="15" customHeight="1" x14ac:dyDescent="0.3">
      <c r="C931" s="2"/>
      <c r="D931" s="8">
        <v>2019</v>
      </c>
      <c r="E931" s="103">
        <f>Data!U931</f>
        <v>0</v>
      </c>
    </row>
    <row r="932" spans="2:5" ht="15" customHeight="1" x14ac:dyDescent="0.3">
      <c r="C932" s="2"/>
      <c r="D932" s="8">
        <v>2020</v>
      </c>
      <c r="E932" s="103">
        <f>Data!U932</f>
        <v>0</v>
      </c>
    </row>
    <row r="933" spans="2:5" ht="15" customHeight="1" x14ac:dyDescent="0.3">
      <c r="C933" s="2"/>
      <c r="D933" s="8">
        <v>2021</v>
      </c>
      <c r="E933" s="103">
        <f>Data!U933</f>
        <v>0</v>
      </c>
    </row>
    <row r="934" spans="2:5" ht="15" customHeight="1" x14ac:dyDescent="0.3">
      <c r="C934" s="2"/>
      <c r="D934" s="8">
        <v>2022</v>
      </c>
      <c r="E934" s="103">
        <f>Data!U934</f>
        <v>0</v>
      </c>
    </row>
    <row r="935" spans="2:5" ht="15" customHeight="1" x14ac:dyDescent="0.3">
      <c r="C935" s="2"/>
      <c r="D935" s="8">
        <v>2023</v>
      </c>
      <c r="E935" s="103">
        <f>Data!U935</f>
        <v>0</v>
      </c>
    </row>
    <row r="936" spans="2:5" ht="15" customHeight="1" x14ac:dyDescent="0.3">
      <c r="C936" s="2"/>
      <c r="D936" s="8">
        <v>2024</v>
      </c>
      <c r="E936" s="103">
        <f>Data!U936</f>
        <v>0</v>
      </c>
    </row>
    <row r="937" spans="2:5" ht="15" customHeight="1" x14ac:dyDescent="0.3">
      <c r="B937" s="8">
        <v>86</v>
      </c>
      <c r="C937" s="1" t="s">
        <v>132</v>
      </c>
      <c r="D937" s="8">
        <v>2014</v>
      </c>
      <c r="E937" s="103">
        <f>Data!U937</f>
        <v>0</v>
      </c>
    </row>
    <row r="938" spans="2:5" ht="15" customHeight="1" x14ac:dyDescent="0.3">
      <c r="C938" s="1"/>
      <c r="D938" s="8">
        <v>2015</v>
      </c>
      <c r="E938" s="103">
        <f>Data!U938</f>
        <v>0</v>
      </c>
    </row>
    <row r="939" spans="2:5" ht="15" customHeight="1" x14ac:dyDescent="0.3">
      <c r="C939" s="1"/>
      <c r="D939" s="8">
        <v>2016</v>
      </c>
      <c r="E939" s="103">
        <f>Data!U939</f>
        <v>0</v>
      </c>
    </row>
    <row r="940" spans="2:5" ht="15" customHeight="1" x14ac:dyDescent="0.3">
      <c r="C940" s="1"/>
      <c r="D940" s="8">
        <v>2017</v>
      </c>
      <c r="E940" s="103">
        <f>Data!U940</f>
        <v>0</v>
      </c>
    </row>
    <row r="941" spans="2:5" ht="15" customHeight="1" x14ac:dyDescent="0.3">
      <c r="C941" s="1"/>
      <c r="D941" s="8">
        <v>2018</v>
      </c>
      <c r="E941" s="103">
        <f>Data!U941</f>
        <v>0</v>
      </c>
    </row>
    <row r="942" spans="2:5" ht="15" customHeight="1" x14ac:dyDescent="0.3">
      <c r="C942" s="1"/>
      <c r="D942" s="8">
        <v>2019</v>
      </c>
      <c r="E942" s="103">
        <f>Data!U942</f>
        <v>0</v>
      </c>
    </row>
    <row r="943" spans="2:5" ht="15" customHeight="1" x14ac:dyDescent="0.3">
      <c r="C943" s="1"/>
      <c r="D943" s="8">
        <v>2020</v>
      </c>
      <c r="E943" s="103">
        <f>Data!U943</f>
        <v>0</v>
      </c>
    </row>
    <row r="944" spans="2:5" ht="15" customHeight="1" x14ac:dyDescent="0.3">
      <c r="C944" s="1"/>
      <c r="D944" s="8">
        <v>2021</v>
      </c>
      <c r="E944" s="103">
        <f>Data!U944</f>
        <v>0</v>
      </c>
    </row>
    <row r="945" spans="2:5" ht="15" customHeight="1" x14ac:dyDescent="0.3">
      <c r="C945" s="1"/>
      <c r="D945" s="8">
        <v>2022</v>
      </c>
      <c r="E945" s="103">
        <f>Data!U945</f>
        <v>0</v>
      </c>
    </row>
    <row r="946" spans="2:5" ht="15" customHeight="1" x14ac:dyDescent="0.3">
      <c r="C946" s="1"/>
      <c r="D946" s="8">
        <v>2023</v>
      </c>
      <c r="E946" s="103">
        <f>Data!U946</f>
        <v>0</v>
      </c>
    </row>
    <row r="947" spans="2:5" ht="15" customHeight="1" x14ac:dyDescent="0.3">
      <c r="C947" s="1"/>
      <c r="D947" s="8">
        <v>2024</v>
      </c>
      <c r="E947" s="103">
        <f>Data!U947</f>
        <v>0</v>
      </c>
    </row>
    <row r="948" spans="2:5" ht="15" customHeight="1" x14ac:dyDescent="0.3">
      <c r="B948" s="8">
        <v>87</v>
      </c>
      <c r="C948" s="4" t="s">
        <v>129</v>
      </c>
      <c r="D948" s="8">
        <v>2014</v>
      </c>
      <c r="E948" s="103">
        <f>Data!U948</f>
        <v>0</v>
      </c>
    </row>
    <row r="949" spans="2:5" ht="15" customHeight="1" x14ac:dyDescent="0.3">
      <c r="C949" s="4"/>
      <c r="D949" s="8">
        <v>2015</v>
      </c>
      <c r="E949" s="103">
        <f>Data!U949</f>
        <v>0</v>
      </c>
    </row>
    <row r="950" spans="2:5" ht="15" customHeight="1" x14ac:dyDescent="0.3">
      <c r="C950" s="4"/>
      <c r="D950" s="8">
        <v>2016</v>
      </c>
      <c r="E950" s="103">
        <f>Data!U950</f>
        <v>0</v>
      </c>
    </row>
    <row r="951" spans="2:5" ht="15" customHeight="1" x14ac:dyDescent="0.3">
      <c r="C951" s="4"/>
      <c r="D951" s="8">
        <v>2017</v>
      </c>
      <c r="E951" s="103">
        <f>Data!U951</f>
        <v>0</v>
      </c>
    </row>
    <row r="952" spans="2:5" ht="15" customHeight="1" x14ac:dyDescent="0.3">
      <c r="C952" s="4"/>
      <c r="D952" s="8">
        <v>2018</v>
      </c>
      <c r="E952" s="103">
        <f>Data!U952</f>
        <v>0</v>
      </c>
    </row>
    <row r="953" spans="2:5" ht="15" customHeight="1" x14ac:dyDescent="0.3">
      <c r="C953" s="4"/>
      <c r="D953" s="8">
        <v>2019</v>
      </c>
      <c r="E953" s="103">
        <f>Data!U953</f>
        <v>0</v>
      </c>
    </row>
    <row r="954" spans="2:5" ht="15" customHeight="1" x14ac:dyDescent="0.3">
      <c r="C954" s="4"/>
      <c r="D954" s="8">
        <v>2020</v>
      </c>
      <c r="E954" s="103">
        <f>Data!U954</f>
        <v>0</v>
      </c>
    </row>
    <row r="955" spans="2:5" ht="15" customHeight="1" x14ac:dyDescent="0.3">
      <c r="C955" s="4"/>
      <c r="D955" s="8">
        <v>2021</v>
      </c>
      <c r="E955" s="103">
        <f>Data!U955</f>
        <v>0</v>
      </c>
    </row>
    <row r="956" spans="2:5" ht="15" customHeight="1" x14ac:dyDescent="0.3">
      <c r="C956" s="4"/>
      <c r="D956" s="8">
        <v>2022</v>
      </c>
      <c r="E956" s="103">
        <f>Data!U956</f>
        <v>0</v>
      </c>
    </row>
    <row r="957" spans="2:5" ht="15" customHeight="1" x14ac:dyDescent="0.3">
      <c r="C957" s="4"/>
      <c r="D957" s="8">
        <v>2023</v>
      </c>
      <c r="E957" s="103">
        <f>Data!U957</f>
        <v>0</v>
      </c>
    </row>
    <row r="958" spans="2:5" ht="15" customHeight="1" x14ac:dyDescent="0.3">
      <c r="C958" s="4"/>
      <c r="D958" s="8">
        <v>2024</v>
      </c>
      <c r="E958" s="103">
        <f>Data!U958</f>
        <v>0</v>
      </c>
    </row>
    <row r="959" spans="2:5" ht="15" customHeight="1" x14ac:dyDescent="0.3">
      <c r="B959" s="8">
        <v>88</v>
      </c>
      <c r="C959" s="2" t="s">
        <v>100</v>
      </c>
      <c r="D959" s="8">
        <v>2014</v>
      </c>
      <c r="E959" s="103">
        <f>Data!U959</f>
        <v>0</v>
      </c>
    </row>
    <row r="960" spans="2:5" ht="15" customHeight="1" x14ac:dyDescent="0.3">
      <c r="C960" s="2"/>
      <c r="D960" s="8">
        <v>2015</v>
      </c>
      <c r="E960" s="103">
        <f>Data!U960</f>
        <v>0</v>
      </c>
    </row>
    <row r="961" spans="2:5" ht="15" customHeight="1" x14ac:dyDescent="0.3">
      <c r="C961" s="2"/>
      <c r="D961" s="8">
        <v>2016</v>
      </c>
      <c r="E961" s="103">
        <f>Data!U961</f>
        <v>0</v>
      </c>
    </row>
    <row r="962" spans="2:5" ht="15" customHeight="1" x14ac:dyDescent="0.3">
      <c r="C962" s="2"/>
      <c r="D962" s="8">
        <v>2017</v>
      </c>
      <c r="E962" s="103">
        <f>Data!U962</f>
        <v>0</v>
      </c>
    </row>
    <row r="963" spans="2:5" ht="15" customHeight="1" x14ac:dyDescent="0.3">
      <c r="C963" s="2"/>
      <c r="D963" s="8">
        <v>2018</v>
      </c>
      <c r="E963" s="103">
        <f>Data!U963</f>
        <v>0</v>
      </c>
    </row>
    <row r="964" spans="2:5" ht="15" customHeight="1" x14ac:dyDescent="0.3">
      <c r="C964" s="2"/>
      <c r="D964" s="8">
        <v>2019</v>
      </c>
      <c r="E964" s="103">
        <f>Data!U964</f>
        <v>0</v>
      </c>
    </row>
    <row r="965" spans="2:5" ht="15" customHeight="1" x14ac:dyDescent="0.3">
      <c r="C965" s="2"/>
      <c r="D965" s="8">
        <v>2020</v>
      </c>
      <c r="E965" s="103">
        <f>Data!U965</f>
        <v>0</v>
      </c>
    </row>
    <row r="966" spans="2:5" ht="15" customHeight="1" x14ac:dyDescent="0.3">
      <c r="C966" s="2"/>
      <c r="D966" s="8">
        <v>2021</v>
      </c>
      <c r="E966" s="103">
        <f>Data!U966</f>
        <v>0</v>
      </c>
    </row>
    <row r="967" spans="2:5" ht="15" customHeight="1" x14ac:dyDescent="0.3">
      <c r="C967" s="2"/>
      <c r="D967" s="8">
        <v>2022</v>
      </c>
      <c r="E967" s="103">
        <f>Data!U967</f>
        <v>0</v>
      </c>
    </row>
    <row r="968" spans="2:5" ht="15" customHeight="1" x14ac:dyDescent="0.3">
      <c r="C968" s="2"/>
      <c r="D968" s="8">
        <v>2023</v>
      </c>
      <c r="E968" s="103">
        <f>Data!U968</f>
        <v>0</v>
      </c>
    </row>
    <row r="969" spans="2:5" ht="15" customHeight="1" x14ac:dyDescent="0.3">
      <c r="C969" s="2"/>
      <c r="D969" s="8">
        <v>2024</v>
      </c>
      <c r="E969" s="103">
        <f>Data!U969</f>
        <v>0</v>
      </c>
    </row>
    <row r="970" spans="2:5" ht="15" customHeight="1" x14ac:dyDescent="0.3">
      <c r="B970" s="8">
        <v>89</v>
      </c>
      <c r="C970" s="2" t="s">
        <v>101</v>
      </c>
      <c r="D970" s="8">
        <v>2014</v>
      </c>
      <c r="E970" s="103">
        <f>Data!U970</f>
        <v>0</v>
      </c>
    </row>
    <row r="971" spans="2:5" ht="15" customHeight="1" x14ac:dyDescent="0.3">
      <c r="C971" s="2"/>
      <c r="D971" s="8">
        <v>2015</v>
      </c>
      <c r="E971" s="103">
        <f>Data!U971</f>
        <v>0</v>
      </c>
    </row>
    <row r="972" spans="2:5" ht="15" customHeight="1" x14ac:dyDescent="0.3">
      <c r="C972" s="2"/>
      <c r="D972" s="8">
        <v>2016</v>
      </c>
      <c r="E972" s="103">
        <f>Data!U972</f>
        <v>0</v>
      </c>
    </row>
    <row r="973" spans="2:5" ht="15" customHeight="1" x14ac:dyDescent="0.3">
      <c r="C973" s="2"/>
      <c r="D973" s="8">
        <v>2017</v>
      </c>
      <c r="E973" s="103">
        <f>Data!U973</f>
        <v>0</v>
      </c>
    </row>
    <row r="974" spans="2:5" ht="15" customHeight="1" x14ac:dyDescent="0.3">
      <c r="C974" s="2"/>
      <c r="D974" s="8">
        <v>2018</v>
      </c>
      <c r="E974" s="103">
        <f>Data!U974</f>
        <v>0</v>
      </c>
    </row>
    <row r="975" spans="2:5" ht="15" customHeight="1" x14ac:dyDescent="0.3">
      <c r="C975" s="2"/>
      <c r="D975" s="8">
        <v>2019</v>
      </c>
      <c r="E975" s="103">
        <f>Data!U975</f>
        <v>0</v>
      </c>
    </row>
    <row r="976" spans="2:5" ht="15" customHeight="1" x14ac:dyDescent="0.3">
      <c r="C976" s="2"/>
      <c r="D976" s="8">
        <v>2020</v>
      </c>
      <c r="E976" s="103">
        <f>Data!U976</f>
        <v>0</v>
      </c>
    </row>
    <row r="977" spans="2:5" ht="15" customHeight="1" x14ac:dyDescent="0.3">
      <c r="C977" s="2"/>
      <c r="D977" s="8">
        <v>2021</v>
      </c>
      <c r="E977" s="103">
        <f>Data!U977</f>
        <v>0</v>
      </c>
    </row>
    <row r="978" spans="2:5" ht="15" customHeight="1" x14ac:dyDescent="0.3">
      <c r="C978" s="2"/>
      <c r="D978" s="8">
        <v>2022</v>
      </c>
      <c r="E978" s="103">
        <f>Data!U978</f>
        <v>0</v>
      </c>
    </row>
    <row r="979" spans="2:5" ht="15" customHeight="1" x14ac:dyDescent="0.3">
      <c r="C979" s="2"/>
      <c r="D979" s="8">
        <v>2023</v>
      </c>
      <c r="E979" s="103">
        <f>Data!U979</f>
        <v>0</v>
      </c>
    </row>
    <row r="980" spans="2:5" ht="15" customHeight="1" x14ac:dyDescent="0.3">
      <c r="C980" s="2"/>
      <c r="D980" s="8">
        <v>2024</v>
      </c>
      <c r="E980" s="103">
        <f>Data!U980</f>
        <v>0</v>
      </c>
    </row>
    <row r="981" spans="2:5" ht="15" customHeight="1" x14ac:dyDescent="0.3">
      <c r="B981" s="8">
        <v>90</v>
      </c>
      <c r="C981" s="2" t="s">
        <v>93</v>
      </c>
      <c r="D981" s="8">
        <v>2014</v>
      </c>
      <c r="E981" s="103">
        <f>Data!U981</f>
        <v>0</v>
      </c>
    </row>
    <row r="982" spans="2:5" ht="15" customHeight="1" x14ac:dyDescent="0.3">
      <c r="C982" s="2"/>
      <c r="D982" s="8">
        <v>2015</v>
      </c>
      <c r="E982" s="103">
        <f>Data!U982</f>
        <v>0.125</v>
      </c>
    </row>
    <row r="983" spans="2:5" ht="15" customHeight="1" x14ac:dyDescent="0.3">
      <c r="C983" s="2"/>
      <c r="D983" s="8">
        <v>2016</v>
      </c>
      <c r="E983" s="103">
        <f>Data!U983</f>
        <v>0.125</v>
      </c>
    </row>
    <row r="984" spans="2:5" ht="15" customHeight="1" x14ac:dyDescent="0.3">
      <c r="C984" s="2"/>
      <c r="D984" s="8">
        <v>2017</v>
      </c>
      <c r="E984" s="103">
        <f>Data!U984</f>
        <v>0.125</v>
      </c>
    </row>
    <row r="985" spans="2:5" ht="15" customHeight="1" x14ac:dyDescent="0.3">
      <c r="C985" s="2"/>
      <c r="D985" s="8">
        <v>2018</v>
      </c>
      <c r="E985" s="103">
        <f>Data!U985</f>
        <v>0.125</v>
      </c>
    </row>
    <row r="986" spans="2:5" ht="15" customHeight="1" x14ac:dyDescent="0.3">
      <c r="C986" s="2"/>
      <c r="D986" s="8">
        <v>2019</v>
      </c>
      <c r="E986" s="103">
        <f>Data!U986</f>
        <v>0.125</v>
      </c>
    </row>
    <row r="987" spans="2:5" ht="15" customHeight="1" x14ac:dyDescent="0.3">
      <c r="C987" s="2"/>
      <c r="D987" s="8">
        <v>2020</v>
      </c>
      <c r="E987" s="103">
        <f>Data!U987</f>
        <v>8.2500000000000004E-2</v>
      </c>
    </row>
    <row r="988" spans="2:5" ht="15" customHeight="1" x14ac:dyDescent="0.3">
      <c r="C988" s="2"/>
      <c r="D988" s="8">
        <v>2021</v>
      </c>
      <c r="E988" s="103">
        <f>Data!U988</f>
        <v>8.2500000000000004E-2</v>
      </c>
    </row>
    <row r="989" spans="2:5" ht="15" customHeight="1" x14ac:dyDescent="0.3">
      <c r="C989" s="2"/>
      <c r="D989" s="8">
        <v>2022</v>
      </c>
      <c r="E989" s="103">
        <f>Data!U989</f>
        <v>2.75E-2</v>
      </c>
    </row>
    <row r="990" spans="2:5" ht="15" customHeight="1" x14ac:dyDescent="0.3">
      <c r="C990" s="2"/>
      <c r="D990" s="8">
        <v>2023</v>
      </c>
      <c r="E990" s="103">
        <f>Data!U990</f>
        <v>5.0000000000000001E-3</v>
      </c>
    </row>
    <row r="991" spans="2:5" ht="15" customHeight="1" x14ac:dyDescent="0.3">
      <c r="C991" s="2"/>
      <c r="D991" s="8">
        <v>2024</v>
      </c>
      <c r="E991" s="103">
        <f>Data!U991</f>
        <v>1E-4</v>
      </c>
    </row>
    <row r="992" spans="2:5" ht="15" customHeight="1" x14ac:dyDescent="0.3">
      <c r="B992" s="8">
        <v>91</v>
      </c>
      <c r="C992" s="2" t="s">
        <v>88</v>
      </c>
      <c r="D992" s="8">
        <v>2014</v>
      </c>
      <c r="E992" s="103">
        <f>Data!U992</f>
        <v>0</v>
      </c>
    </row>
    <row r="993" spans="2:5" ht="15" customHeight="1" x14ac:dyDescent="0.3">
      <c r="C993" s="2"/>
      <c r="D993" s="8">
        <v>2015</v>
      </c>
      <c r="E993" s="103">
        <f>Data!U993</f>
        <v>0</v>
      </c>
    </row>
    <row r="994" spans="2:5" ht="15" customHeight="1" x14ac:dyDescent="0.3">
      <c r="C994" s="2"/>
      <c r="D994" s="8">
        <v>2016</v>
      </c>
      <c r="E994" s="103">
        <f>Data!U994</f>
        <v>0</v>
      </c>
    </row>
    <row r="995" spans="2:5" ht="15" customHeight="1" x14ac:dyDescent="0.3">
      <c r="C995" s="2"/>
      <c r="D995" s="8">
        <v>2017</v>
      </c>
      <c r="E995" s="103">
        <f>Data!U995</f>
        <v>0</v>
      </c>
    </row>
    <row r="996" spans="2:5" ht="15" customHeight="1" x14ac:dyDescent="0.3">
      <c r="C996" s="2"/>
      <c r="D996" s="8">
        <v>2018</v>
      </c>
      <c r="E996" s="103">
        <f>Data!U996</f>
        <v>0</v>
      </c>
    </row>
    <row r="997" spans="2:5" ht="15" customHeight="1" x14ac:dyDescent="0.3">
      <c r="C997" s="2"/>
      <c r="D997" s="8">
        <v>2019</v>
      </c>
      <c r="E997" s="103">
        <f>Data!U997</f>
        <v>0</v>
      </c>
    </row>
    <row r="998" spans="2:5" ht="15" customHeight="1" x14ac:dyDescent="0.3">
      <c r="C998" s="2"/>
      <c r="D998" s="8">
        <v>2020</v>
      </c>
      <c r="E998" s="103">
        <f>Data!U998</f>
        <v>0</v>
      </c>
    </row>
    <row r="999" spans="2:5" ht="15" customHeight="1" x14ac:dyDescent="0.3">
      <c r="C999" s="2"/>
      <c r="D999" s="8">
        <v>2021</v>
      </c>
      <c r="E999" s="103">
        <f>Data!U999</f>
        <v>0</v>
      </c>
    </row>
    <row r="1000" spans="2:5" ht="15" customHeight="1" x14ac:dyDescent="0.3">
      <c r="C1000" s="2"/>
      <c r="D1000" s="8">
        <v>2022</v>
      </c>
      <c r="E1000" s="103">
        <f>Data!U1000</f>
        <v>0</v>
      </c>
    </row>
    <row r="1001" spans="2:5" ht="15" customHeight="1" x14ac:dyDescent="0.3">
      <c r="C1001" s="2"/>
      <c r="D1001" s="8">
        <v>2023</v>
      </c>
      <c r="E1001" s="103">
        <f>Data!U1001</f>
        <v>0</v>
      </c>
    </row>
    <row r="1002" spans="2:5" ht="15" customHeight="1" x14ac:dyDescent="0.3">
      <c r="C1002" s="2"/>
      <c r="D1002" s="8">
        <v>2024</v>
      </c>
      <c r="E1002" s="103">
        <f>Data!U1002</f>
        <v>0</v>
      </c>
    </row>
    <row r="1003" spans="2:5" ht="15" customHeight="1" x14ac:dyDescent="0.3">
      <c r="B1003" s="8">
        <v>92</v>
      </c>
      <c r="C1003" s="2" t="s">
        <v>94</v>
      </c>
      <c r="D1003" s="8">
        <v>2014</v>
      </c>
      <c r="E1003" s="103">
        <f>Data!U1003</f>
        <v>0</v>
      </c>
    </row>
    <row r="1004" spans="2:5" ht="15" customHeight="1" x14ac:dyDescent="0.3">
      <c r="C1004" s="2"/>
      <c r="D1004" s="8">
        <v>2015</v>
      </c>
      <c r="E1004" s="103">
        <f>Data!U1004</f>
        <v>0</v>
      </c>
    </row>
    <row r="1005" spans="2:5" ht="15" customHeight="1" x14ac:dyDescent="0.3">
      <c r="C1005" s="2"/>
      <c r="D1005" s="8">
        <v>2016</v>
      </c>
      <c r="E1005" s="103">
        <f>Data!U1005</f>
        <v>0</v>
      </c>
    </row>
    <row r="1006" spans="2:5" ht="15" customHeight="1" x14ac:dyDescent="0.3">
      <c r="C1006" s="2"/>
      <c r="D1006" s="8">
        <v>2017</v>
      </c>
      <c r="E1006" s="103">
        <f>Data!U1006</f>
        <v>0</v>
      </c>
    </row>
    <row r="1007" spans="2:5" ht="15" customHeight="1" x14ac:dyDescent="0.3">
      <c r="C1007" s="2"/>
      <c r="D1007" s="8">
        <v>2018</v>
      </c>
      <c r="E1007" s="103">
        <f>Data!U1007</f>
        <v>0</v>
      </c>
    </row>
    <row r="1008" spans="2:5" ht="15" customHeight="1" x14ac:dyDescent="0.3">
      <c r="C1008" s="2"/>
      <c r="D1008" s="8">
        <v>2019</v>
      </c>
      <c r="E1008" s="103">
        <f>Data!U1008</f>
        <v>0</v>
      </c>
    </row>
    <row r="1009" spans="2:5" ht="15" customHeight="1" x14ac:dyDescent="0.3">
      <c r="C1009" s="2"/>
      <c r="D1009" s="8">
        <v>2020</v>
      </c>
      <c r="E1009" s="103">
        <f>Data!U1009</f>
        <v>0</v>
      </c>
    </row>
    <row r="1010" spans="2:5" ht="15" customHeight="1" x14ac:dyDescent="0.3">
      <c r="C1010" s="2"/>
      <c r="D1010" s="8">
        <v>2021</v>
      </c>
      <c r="E1010" s="103">
        <f>Data!U1010</f>
        <v>0</v>
      </c>
    </row>
    <row r="1011" spans="2:5" ht="15" customHeight="1" x14ac:dyDescent="0.3">
      <c r="C1011" s="2"/>
      <c r="D1011" s="8">
        <v>2022</v>
      </c>
      <c r="E1011" s="103">
        <f>Data!U1011</f>
        <v>0</v>
      </c>
    </row>
    <row r="1012" spans="2:5" ht="15" customHeight="1" x14ac:dyDescent="0.3">
      <c r="C1012" s="2"/>
      <c r="D1012" s="8">
        <v>2023</v>
      </c>
      <c r="E1012" s="103">
        <f>Data!U1012</f>
        <v>0</v>
      </c>
    </row>
    <row r="1013" spans="2:5" ht="15" customHeight="1" x14ac:dyDescent="0.3">
      <c r="C1013" s="2"/>
      <c r="D1013" s="8">
        <v>2024</v>
      </c>
      <c r="E1013" s="103">
        <f>Data!U1013</f>
        <v>0</v>
      </c>
    </row>
    <row r="1014" spans="2:5" ht="15" customHeight="1" x14ac:dyDescent="0.3">
      <c r="B1014" s="8">
        <v>93</v>
      </c>
      <c r="C1014" s="2" t="s">
        <v>102</v>
      </c>
      <c r="D1014" s="8">
        <v>2014</v>
      </c>
      <c r="E1014" s="103">
        <f>Data!U1014</f>
        <v>0</v>
      </c>
    </row>
    <row r="1015" spans="2:5" ht="15" customHeight="1" x14ac:dyDescent="0.3">
      <c r="C1015" s="2"/>
      <c r="D1015" s="8">
        <v>2015</v>
      </c>
      <c r="E1015" s="103">
        <f>Data!U1015</f>
        <v>0</v>
      </c>
    </row>
    <row r="1016" spans="2:5" ht="15" customHeight="1" x14ac:dyDescent="0.3">
      <c r="C1016" s="2"/>
      <c r="D1016" s="8">
        <v>2016</v>
      </c>
      <c r="E1016" s="103">
        <f>Data!U1016</f>
        <v>0</v>
      </c>
    </row>
    <row r="1017" spans="2:5" ht="15" customHeight="1" x14ac:dyDescent="0.3">
      <c r="C1017" s="2"/>
      <c r="D1017" s="8">
        <v>2017</v>
      </c>
      <c r="E1017" s="103">
        <f>Data!U1017</f>
        <v>0</v>
      </c>
    </row>
    <row r="1018" spans="2:5" ht="15" customHeight="1" x14ac:dyDescent="0.3">
      <c r="C1018" s="2"/>
      <c r="D1018" s="8">
        <v>2018</v>
      </c>
      <c r="E1018" s="103">
        <f>Data!U1018</f>
        <v>0</v>
      </c>
    </row>
    <row r="1019" spans="2:5" ht="15" customHeight="1" x14ac:dyDescent="0.3">
      <c r="C1019" s="2"/>
      <c r="D1019" s="8">
        <v>2019</v>
      </c>
      <c r="E1019" s="103">
        <f>Data!U1019</f>
        <v>0</v>
      </c>
    </row>
    <row r="1020" spans="2:5" ht="15" customHeight="1" x14ac:dyDescent="0.3">
      <c r="C1020" s="2"/>
      <c r="D1020" s="8">
        <v>2020</v>
      </c>
      <c r="E1020" s="103">
        <f>Data!U1020</f>
        <v>0</v>
      </c>
    </row>
    <row r="1021" spans="2:5" ht="15" customHeight="1" x14ac:dyDescent="0.3">
      <c r="C1021" s="2"/>
      <c r="D1021" s="8">
        <v>2021</v>
      </c>
      <c r="E1021" s="103">
        <f>Data!U1021</f>
        <v>0</v>
      </c>
    </row>
    <row r="1022" spans="2:5" ht="15" customHeight="1" x14ac:dyDescent="0.3">
      <c r="C1022" s="2"/>
      <c r="D1022" s="8">
        <v>2022</v>
      </c>
      <c r="E1022" s="103">
        <f>Data!U1022</f>
        <v>0</v>
      </c>
    </row>
    <row r="1023" spans="2:5" ht="15" customHeight="1" x14ac:dyDescent="0.3">
      <c r="C1023" s="2"/>
      <c r="D1023" s="8">
        <v>2023</v>
      </c>
      <c r="E1023" s="103">
        <f>Data!U1023</f>
        <v>0</v>
      </c>
    </row>
    <row r="1024" spans="2:5" ht="15" customHeight="1" x14ac:dyDescent="0.3">
      <c r="C1024" s="2"/>
      <c r="D1024" s="8">
        <v>2024</v>
      </c>
      <c r="E1024" s="103">
        <f>Data!U1024</f>
        <v>0</v>
      </c>
    </row>
    <row r="1025" spans="2:5" ht="15" customHeight="1" x14ac:dyDescent="0.3">
      <c r="B1025" s="8">
        <v>94</v>
      </c>
      <c r="C1025" s="2" t="s">
        <v>114</v>
      </c>
      <c r="D1025" s="8">
        <v>2014</v>
      </c>
      <c r="E1025" s="103">
        <f>Data!U1025</f>
        <v>0</v>
      </c>
    </row>
    <row r="1026" spans="2:5" ht="15" customHeight="1" x14ac:dyDescent="0.3">
      <c r="C1026" s="2"/>
      <c r="D1026" s="8">
        <v>2015</v>
      </c>
      <c r="E1026" s="103">
        <f>Data!U1026</f>
        <v>0</v>
      </c>
    </row>
    <row r="1027" spans="2:5" ht="15" customHeight="1" x14ac:dyDescent="0.3">
      <c r="C1027" s="2"/>
      <c r="D1027" s="8">
        <v>2016</v>
      </c>
      <c r="E1027" s="103">
        <f>Data!U1027</f>
        <v>0</v>
      </c>
    </row>
    <row r="1028" spans="2:5" ht="15" customHeight="1" x14ac:dyDescent="0.3">
      <c r="C1028" s="2"/>
      <c r="D1028" s="8">
        <v>2017</v>
      </c>
      <c r="E1028" s="103">
        <f>Data!U1028</f>
        <v>0</v>
      </c>
    </row>
    <row r="1029" spans="2:5" ht="15" customHeight="1" x14ac:dyDescent="0.3">
      <c r="C1029" s="2"/>
      <c r="D1029" s="8">
        <v>2018</v>
      </c>
      <c r="E1029" s="103">
        <f>Data!U1029</f>
        <v>0</v>
      </c>
    </row>
    <row r="1030" spans="2:5" ht="15" customHeight="1" x14ac:dyDescent="0.3">
      <c r="C1030" s="2"/>
      <c r="D1030" s="8">
        <v>2019</v>
      </c>
      <c r="E1030" s="103">
        <f>Data!U1030</f>
        <v>0</v>
      </c>
    </row>
    <row r="1031" spans="2:5" ht="15" customHeight="1" x14ac:dyDescent="0.3">
      <c r="C1031" s="2"/>
      <c r="D1031" s="8">
        <v>2020</v>
      </c>
      <c r="E1031" s="103">
        <f>Data!U1031</f>
        <v>0</v>
      </c>
    </row>
    <row r="1032" spans="2:5" ht="15" customHeight="1" x14ac:dyDescent="0.3">
      <c r="C1032" s="2"/>
      <c r="D1032" s="8">
        <v>2021</v>
      </c>
      <c r="E1032" s="103">
        <f>Data!U1032</f>
        <v>0</v>
      </c>
    </row>
    <row r="1033" spans="2:5" ht="15" customHeight="1" x14ac:dyDescent="0.3">
      <c r="C1033" s="2"/>
      <c r="D1033" s="8">
        <v>2022</v>
      </c>
      <c r="E1033" s="103">
        <f>Data!U1033</f>
        <v>0</v>
      </c>
    </row>
    <row r="1034" spans="2:5" ht="15" customHeight="1" x14ac:dyDescent="0.3">
      <c r="C1034" s="2"/>
      <c r="D1034" s="8">
        <v>2023</v>
      </c>
      <c r="E1034" s="103">
        <f>Data!U1034</f>
        <v>0</v>
      </c>
    </row>
    <row r="1035" spans="2:5" ht="15" customHeight="1" x14ac:dyDescent="0.3">
      <c r="C1035" s="2"/>
      <c r="D1035" s="8">
        <v>2024</v>
      </c>
      <c r="E1035" s="103">
        <f>Data!U1035</f>
        <v>0</v>
      </c>
    </row>
    <row r="1036" spans="2:5" ht="15" customHeight="1" x14ac:dyDescent="0.3">
      <c r="B1036" s="8">
        <v>95</v>
      </c>
      <c r="C1036" s="2" t="s">
        <v>115</v>
      </c>
      <c r="D1036" s="8">
        <v>2014</v>
      </c>
      <c r="E1036" s="103">
        <f>Data!U1036</f>
        <v>0</v>
      </c>
    </row>
    <row r="1037" spans="2:5" ht="15" customHeight="1" x14ac:dyDescent="0.3">
      <c r="C1037" s="2"/>
      <c r="D1037" s="8">
        <v>2015</v>
      </c>
      <c r="E1037" s="103">
        <f>Data!U1037</f>
        <v>0</v>
      </c>
    </row>
    <row r="1038" spans="2:5" ht="15" customHeight="1" x14ac:dyDescent="0.3">
      <c r="C1038" s="2"/>
      <c r="D1038" s="8">
        <v>2016</v>
      </c>
      <c r="E1038" s="103">
        <f>Data!U1038</f>
        <v>0</v>
      </c>
    </row>
    <row r="1039" spans="2:5" ht="15" customHeight="1" x14ac:dyDescent="0.3">
      <c r="C1039" s="2"/>
      <c r="D1039" s="8">
        <v>2017</v>
      </c>
      <c r="E1039" s="103">
        <f>Data!U1039</f>
        <v>0</v>
      </c>
    </row>
    <row r="1040" spans="2:5" ht="15" customHeight="1" x14ac:dyDescent="0.3">
      <c r="C1040" s="2"/>
      <c r="D1040" s="8">
        <v>2018</v>
      </c>
      <c r="E1040" s="103">
        <f>Data!U1040</f>
        <v>0</v>
      </c>
    </row>
    <row r="1041" spans="2:5" ht="15" customHeight="1" x14ac:dyDescent="0.3">
      <c r="C1041" s="2"/>
      <c r="D1041" s="8">
        <v>2019</v>
      </c>
      <c r="E1041" s="103">
        <f>Data!U1041</f>
        <v>0</v>
      </c>
    </row>
    <row r="1042" spans="2:5" ht="15" customHeight="1" x14ac:dyDescent="0.3">
      <c r="C1042" s="2"/>
      <c r="D1042" s="8">
        <v>2020</v>
      </c>
      <c r="E1042" s="103">
        <f>Data!U1042</f>
        <v>0</v>
      </c>
    </row>
    <row r="1043" spans="2:5" ht="15" customHeight="1" x14ac:dyDescent="0.3">
      <c r="C1043" s="2"/>
      <c r="D1043" s="8">
        <v>2021</v>
      </c>
      <c r="E1043" s="103">
        <f>Data!U1043</f>
        <v>0</v>
      </c>
    </row>
    <row r="1044" spans="2:5" ht="15" customHeight="1" x14ac:dyDescent="0.3">
      <c r="C1044" s="2"/>
      <c r="D1044" s="8">
        <v>2022</v>
      </c>
      <c r="E1044" s="103">
        <f>Data!U1044</f>
        <v>0</v>
      </c>
    </row>
    <row r="1045" spans="2:5" ht="15" customHeight="1" x14ac:dyDescent="0.3">
      <c r="C1045" s="2"/>
      <c r="D1045" s="8">
        <v>2023</v>
      </c>
      <c r="E1045" s="103">
        <f>Data!U1045</f>
        <v>0</v>
      </c>
    </row>
    <row r="1046" spans="2:5" ht="15" customHeight="1" x14ac:dyDescent="0.3">
      <c r="C1046" s="2"/>
      <c r="D1046" s="8">
        <v>2024</v>
      </c>
      <c r="E1046" s="103">
        <f>Data!U1046</f>
        <v>0</v>
      </c>
    </row>
    <row r="1047" spans="2:5" ht="15" customHeight="1" x14ac:dyDescent="0.3">
      <c r="B1047" s="8">
        <v>96</v>
      </c>
      <c r="C1047" s="2" t="s">
        <v>116</v>
      </c>
      <c r="D1047" s="8">
        <v>2014</v>
      </c>
      <c r="E1047" s="103">
        <f>Data!U1047</f>
        <v>0</v>
      </c>
    </row>
    <row r="1048" spans="2:5" ht="15" customHeight="1" x14ac:dyDescent="0.3">
      <c r="C1048" s="2"/>
      <c r="D1048" s="8">
        <v>2015</v>
      </c>
      <c r="E1048" s="103">
        <f>Data!U1048</f>
        <v>0</v>
      </c>
    </row>
    <row r="1049" spans="2:5" ht="15" customHeight="1" x14ac:dyDescent="0.3">
      <c r="C1049" s="2"/>
      <c r="D1049" s="8">
        <v>2016</v>
      </c>
      <c r="E1049" s="103">
        <f>Data!U1049</f>
        <v>0.46860000000000002</v>
      </c>
    </row>
    <row r="1050" spans="2:5" ht="15" customHeight="1" x14ac:dyDescent="0.3">
      <c r="C1050" s="2"/>
      <c r="D1050" s="8">
        <v>2017</v>
      </c>
      <c r="E1050" s="103">
        <f>Data!U1050</f>
        <v>0.46860000000000002</v>
      </c>
    </row>
    <row r="1051" spans="2:5" ht="15" customHeight="1" x14ac:dyDescent="0.3">
      <c r="C1051" s="2"/>
      <c r="D1051" s="8">
        <v>2018</v>
      </c>
      <c r="E1051" s="103">
        <f>Data!U1051</f>
        <v>0.46860000000000002</v>
      </c>
    </row>
    <row r="1052" spans="2:5" ht="15" customHeight="1" x14ac:dyDescent="0.3">
      <c r="C1052" s="2"/>
      <c r="D1052" s="8">
        <v>2019</v>
      </c>
      <c r="E1052" s="103">
        <f>Data!U1052</f>
        <v>0.46860000000000002</v>
      </c>
    </row>
    <row r="1053" spans="2:5" ht="15" customHeight="1" x14ac:dyDescent="0.3">
      <c r="C1053" s="2"/>
      <c r="D1053" s="8">
        <v>2020</v>
      </c>
      <c r="E1053" s="103">
        <f>Data!U1053</f>
        <v>0.50170000000000003</v>
      </c>
    </row>
    <row r="1054" spans="2:5" ht="15" customHeight="1" x14ac:dyDescent="0.3">
      <c r="C1054" s="2"/>
      <c r="D1054" s="8">
        <v>2021</v>
      </c>
      <c r="E1054" s="103">
        <f>Data!U1054</f>
        <v>0.50680000000000003</v>
      </c>
    </row>
    <row r="1055" spans="2:5" ht="15" customHeight="1" x14ac:dyDescent="0.3">
      <c r="C1055" s="2"/>
      <c r="D1055" s="8">
        <v>2022</v>
      </c>
      <c r="E1055" s="103">
        <f>Data!U1055</f>
        <v>0.50680000000000003</v>
      </c>
    </row>
    <row r="1056" spans="2:5" ht="15" customHeight="1" x14ac:dyDescent="0.3">
      <c r="C1056" s="2"/>
      <c r="D1056" s="8">
        <v>2023</v>
      </c>
      <c r="E1056" s="103">
        <f>Data!U1056</f>
        <v>0.50680000000000003</v>
      </c>
    </row>
    <row r="1057" spans="2:5" ht="15" customHeight="1" x14ac:dyDescent="0.3">
      <c r="C1057" s="2"/>
      <c r="D1057" s="8">
        <v>2024</v>
      </c>
      <c r="E1057" s="103">
        <f>Data!U1057</f>
        <v>0.50680000000000003</v>
      </c>
    </row>
    <row r="1058" spans="2:5" ht="15" customHeight="1" x14ac:dyDescent="0.3">
      <c r="B1058" s="8">
        <v>97</v>
      </c>
      <c r="C1058" s="2" t="s">
        <v>117</v>
      </c>
      <c r="D1058" s="8">
        <v>2014</v>
      </c>
      <c r="E1058" s="103">
        <f>Data!U1058</f>
        <v>0</v>
      </c>
    </row>
    <row r="1059" spans="2:5" ht="15" customHeight="1" x14ac:dyDescent="0.3">
      <c r="C1059" s="2"/>
      <c r="D1059" s="8">
        <v>2015</v>
      </c>
      <c r="E1059" s="103">
        <f>Data!U1059</f>
        <v>0</v>
      </c>
    </row>
    <row r="1060" spans="2:5" ht="15" customHeight="1" x14ac:dyDescent="0.3">
      <c r="C1060" s="2"/>
      <c r="D1060" s="8">
        <v>2016</v>
      </c>
      <c r="E1060" s="103">
        <f>Data!U1060</f>
        <v>0</v>
      </c>
    </row>
    <row r="1061" spans="2:5" ht="15" customHeight="1" x14ac:dyDescent="0.3">
      <c r="C1061" s="2"/>
      <c r="D1061" s="8">
        <v>2017</v>
      </c>
      <c r="E1061" s="103">
        <f>Data!U1061</f>
        <v>0</v>
      </c>
    </row>
    <row r="1062" spans="2:5" ht="15" customHeight="1" x14ac:dyDescent="0.3">
      <c r="C1062" s="2"/>
      <c r="D1062" s="8">
        <v>2018</v>
      </c>
      <c r="E1062" s="103">
        <f>Data!U1062</f>
        <v>0</v>
      </c>
    </row>
    <row r="1063" spans="2:5" ht="15" customHeight="1" x14ac:dyDescent="0.3">
      <c r="C1063" s="2"/>
      <c r="D1063" s="8">
        <v>2019</v>
      </c>
      <c r="E1063" s="103">
        <f>Data!U1063</f>
        <v>0</v>
      </c>
    </row>
    <row r="1064" spans="2:5" ht="15" customHeight="1" x14ac:dyDescent="0.3">
      <c r="C1064" s="2"/>
      <c r="D1064" s="8">
        <v>2020</v>
      </c>
      <c r="E1064" s="103">
        <f>Data!U1064</f>
        <v>0</v>
      </c>
    </row>
    <row r="1065" spans="2:5" ht="15" customHeight="1" x14ac:dyDescent="0.3">
      <c r="C1065" s="2"/>
      <c r="D1065" s="8">
        <v>2021</v>
      </c>
      <c r="E1065" s="103">
        <f>Data!U1065</f>
        <v>0</v>
      </c>
    </row>
    <row r="1066" spans="2:5" ht="15" customHeight="1" x14ac:dyDescent="0.3">
      <c r="C1066" s="2"/>
      <c r="D1066" s="8">
        <v>2022</v>
      </c>
      <c r="E1066" s="103">
        <f>Data!U1066</f>
        <v>0</v>
      </c>
    </row>
    <row r="1067" spans="2:5" ht="15" customHeight="1" x14ac:dyDescent="0.3">
      <c r="C1067" s="2"/>
      <c r="D1067" s="8">
        <v>2023</v>
      </c>
      <c r="E1067" s="103">
        <f>Data!U1067</f>
        <v>0</v>
      </c>
    </row>
    <row r="1068" spans="2:5" ht="15" customHeight="1" x14ac:dyDescent="0.3">
      <c r="C1068" s="2"/>
      <c r="D1068" s="8">
        <v>2024</v>
      </c>
      <c r="E1068" s="103">
        <f>Data!U1068</f>
        <v>0</v>
      </c>
    </row>
    <row r="1069" spans="2:5" ht="15" customHeight="1" x14ac:dyDescent="0.3">
      <c r="B1069" s="8">
        <v>98</v>
      </c>
      <c r="C1069" s="2" t="s">
        <v>103</v>
      </c>
      <c r="D1069" s="8">
        <v>2014</v>
      </c>
      <c r="E1069" s="103">
        <f>Data!U1069</f>
        <v>0</v>
      </c>
    </row>
    <row r="1070" spans="2:5" ht="15" customHeight="1" x14ac:dyDescent="0.3">
      <c r="C1070" s="2"/>
      <c r="D1070" s="8">
        <v>2015</v>
      </c>
      <c r="E1070" s="103">
        <f>Data!U1070</f>
        <v>0</v>
      </c>
    </row>
    <row r="1071" spans="2:5" ht="15" customHeight="1" x14ac:dyDescent="0.3">
      <c r="C1071" s="2"/>
      <c r="D1071" s="8">
        <v>2016</v>
      </c>
      <c r="E1071" s="103">
        <f>Data!U1071</f>
        <v>0</v>
      </c>
    </row>
    <row r="1072" spans="2:5" ht="15" customHeight="1" x14ac:dyDescent="0.3">
      <c r="C1072" s="2"/>
      <c r="D1072" s="8">
        <v>2017</v>
      </c>
      <c r="E1072" s="103">
        <f>Data!U1072</f>
        <v>0</v>
      </c>
    </row>
    <row r="1073" spans="2:5" ht="15" customHeight="1" x14ac:dyDescent="0.3">
      <c r="C1073" s="2"/>
      <c r="D1073" s="8">
        <v>2018</v>
      </c>
      <c r="E1073" s="103">
        <f>Data!U1073</f>
        <v>0</v>
      </c>
    </row>
    <row r="1074" spans="2:5" ht="15" customHeight="1" x14ac:dyDescent="0.3">
      <c r="C1074" s="2"/>
      <c r="D1074" s="8">
        <v>2019</v>
      </c>
      <c r="E1074" s="103">
        <f>Data!U1074</f>
        <v>0</v>
      </c>
    </row>
    <row r="1075" spans="2:5" ht="15" customHeight="1" x14ac:dyDescent="0.3">
      <c r="C1075" s="2"/>
      <c r="D1075" s="8">
        <v>2020</v>
      </c>
      <c r="E1075" s="103">
        <f>Data!U1075</f>
        <v>0.39960000000000001</v>
      </c>
    </row>
    <row r="1076" spans="2:5" ht="15" customHeight="1" x14ac:dyDescent="0.3">
      <c r="C1076" s="2"/>
      <c r="D1076" s="8">
        <v>2021</v>
      </c>
      <c r="E1076" s="103">
        <f>Data!U1076</f>
        <v>0.39960000000000001</v>
      </c>
    </row>
    <row r="1077" spans="2:5" ht="15" customHeight="1" x14ac:dyDescent="0.3">
      <c r="C1077" s="2"/>
      <c r="D1077" s="8">
        <v>2022</v>
      </c>
      <c r="E1077" s="103">
        <f>Data!U1077</f>
        <v>0.39960000000000001</v>
      </c>
    </row>
    <row r="1078" spans="2:5" ht="15" customHeight="1" x14ac:dyDescent="0.3">
      <c r="C1078" s="2"/>
      <c r="D1078" s="8">
        <v>2023</v>
      </c>
      <c r="E1078" s="103">
        <f>Data!U1078</f>
        <v>0.39960000000000001</v>
      </c>
    </row>
    <row r="1079" spans="2:5" ht="15" customHeight="1" x14ac:dyDescent="0.3">
      <c r="C1079" s="2"/>
      <c r="D1079" s="8">
        <v>2024</v>
      </c>
      <c r="E1079" s="103">
        <f>Data!U1079</f>
        <v>0.41689999999999999</v>
      </c>
    </row>
    <row r="1080" spans="2:5" ht="15" customHeight="1" x14ac:dyDescent="0.3">
      <c r="B1080" s="8">
        <v>99</v>
      </c>
      <c r="C1080" s="2" t="s">
        <v>118</v>
      </c>
      <c r="D1080" s="8">
        <v>2014</v>
      </c>
      <c r="E1080" s="103">
        <f>Data!U1080</f>
        <v>0</v>
      </c>
    </row>
    <row r="1081" spans="2:5" ht="15" customHeight="1" x14ac:dyDescent="0.3">
      <c r="C1081" s="2"/>
      <c r="D1081" s="8">
        <v>2015</v>
      </c>
      <c r="E1081" s="103">
        <f>Data!U1081</f>
        <v>0</v>
      </c>
    </row>
    <row r="1082" spans="2:5" ht="15" customHeight="1" x14ac:dyDescent="0.3">
      <c r="C1082" s="2"/>
      <c r="D1082" s="8">
        <v>2016</v>
      </c>
      <c r="E1082" s="103">
        <f>Data!U1082</f>
        <v>0</v>
      </c>
    </row>
    <row r="1083" spans="2:5" ht="15" customHeight="1" x14ac:dyDescent="0.3">
      <c r="C1083" s="2"/>
      <c r="D1083" s="8">
        <v>2017</v>
      </c>
      <c r="E1083" s="103">
        <f>Data!U1083</f>
        <v>0</v>
      </c>
    </row>
    <row r="1084" spans="2:5" ht="15" customHeight="1" x14ac:dyDescent="0.3">
      <c r="C1084" s="2"/>
      <c r="D1084" s="8">
        <v>2018</v>
      </c>
      <c r="E1084" s="103">
        <f>Data!U1084</f>
        <v>0</v>
      </c>
    </row>
    <row r="1085" spans="2:5" ht="15" customHeight="1" x14ac:dyDescent="0.3">
      <c r="C1085" s="2"/>
      <c r="D1085" s="8">
        <v>2019</v>
      </c>
      <c r="E1085" s="103">
        <f>Data!U1085</f>
        <v>0</v>
      </c>
    </row>
    <row r="1086" spans="2:5" ht="15" customHeight="1" x14ac:dyDescent="0.3">
      <c r="C1086" s="2"/>
      <c r="D1086" s="8">
        <v>2020</v>
      </c>
      <c r="E1086" s="103">
        <f>Data!U1086</f>
        <v>0</v>
      </c>
    </row>
    <row r="1087" spans="2:5" ht="15" customHeight="1" x14ac:dyDescent="0.3">
      <c r="C1087" s="2"/>
      <c r="D1087" s="8">
        <v>2021</v>
      </c>
      <c r="E1087" s="103">
        <f>Data!U1087</f>
        <v>0</v>
      </c>
    </row>
    <row r="1088" spans="2:5" ht="15" customHeight="1" x14ac:dyDescent="0.3">
      <c r="C1088" s="2"/>
      <c r="D1088" s="8">
        <v>2022</v>
      </c>
      <c r="E1088" s="103">
        <f>Data!U1088</f>
        <v>0</v>
      </c>
    </row>
    <row r="1089" spans="2:5" ht="15" customHeight="1" x14ac:dyDescent="0.3">
      <c r="C1089" s="2"/>
      <c r="D1089" s="8">
        <v>2023</v>
      </c>
      <c r="E1089" s="103">
        <f>Data!U1089</f>
        <v>0</v>
      </c>
    </row>
    <row r="1090" spans="2:5" ht="15" customHeight="1" x14ac:dyDescent="0.3">
      <c r="C1090" s="2"/>
      <c r="D1090" s="8">
        <v>2024</v>
      </c>
      <c r="E1090" s="103">
        <f>Data!U1090</f>
        <v>0</v>
      </c>
    </row>
    <row r="1091" spans="2:5" ht="15" customHeight="1" x14ac:dyDescent="0.3">
      <c r="B1091" s="8">
        <v>100</v>
      </c>
      <c r="C1091" s="2" t="s">
        <v>104</v>
      </c>
      <c r="D1091" s="8">
        <v>2014</v>
      </c>
      <c r="E1091" s="103">
        <f>Data!U1091</f>
        <v>0</v>
      </c>
    </row>
    <row r="1092" spans="2:5" ht="15" customHeight="1" x14ac:dyDescent="0.3">
      <c r="C1092" s="2"/>
      <c r="D1092" s="8">
        <v>2015</v>
      </c>
      <c r="E1092" s="103">
        <f>Data!U1092</f>
        <v>0</v>
      </c>
    </row>
    <row r="1093" spans="2:5" ht="15" customHeight="1" x14ac:dyDescent="0.3">
      <c r="C1093" s="2"/>
      <c r="D1093" s="8">
        <v>2016</v>
      </c>
      <c r="E1093" s="103">
        <f>Data!U1093</f>
        <v>0</v>
      </c>
    </row>
    <row r="1094" spans="2:5" ht="15" customHeight="1" x14ac:dyDescent="0.3">
      <c r="C1094" s="2"/>
      <c r="D1094" s="8">
        <v>2017</v>
      </c>
      <c r="E1094" s="103">
        <f>Data!U1094</f>
        <v>0</v>
      </c>
    </row>
    <row r="1095" spans="2:5" ht="15" customHeight="1" x14ac:dyDescent="0.3">
      <c r="C1095" s="2"/>
      <c r="D1095" s="8">
        <v>2018</v>
      </c>
      <c r="E1095" s="103">
        <f>Data!U1095</f>
        <v>0</v>
      </c>
    </row>
    <row r="1096" spans="2:5" ht="15" customHeight="1" x14ac:dyDescent="0.3">
      <c r="C1096" s="2"/>
      <c r="D1096" s="8">
        <v>2019</v>
      </c>
      <c r="E1096" s="103">
        <f>Data!U1096</f>
        <v>0</v>
      </c>
    </row>
    <row r="1097" spans="2:5" ht="15" customHeight="1" x14ac:dyDescent="0.3">
      <c r="C1097" s="2"/>
      <c r="D1097" s="8">
        <v>2020</v>
      </c>
      <c r="E1097" s="103">
        <f>Data!U1097</f>
        <v>0</v>
      </c>
    </row>
    <row r="1098" spans="2:5" ht="15" customHeight="1" x14ac:dyDescent="0.3">
      <c r="C1098" s="2"/>
      <c r="D1098" s="8">
        <v>2021</v>
      </c>
      <c r="E1098" s="103">
        <f>Data!U1098</f>
        <v>0</v>
      </c>
    </row>
    <row r="1099" spans="2:5" ht="15" customHeight="1" x14ac:dyDescent="0.3">
      <c r="C1099" s="2"/>
      <c r="D1099" s="8">
        <v>2022</v>
      </c>
      <c r="E1099" s="103">
        <f>Data!U1099</f>
        <v>0</v>
      </c>
    </row>
    <row r="1100" spans="2:5" ht="15" customHeight="1" x14ac:dyDescent="0.3">
      <c r="C1100" s="2"/>
      <c r="D1100" s="8">
        <v>2023</v>
      </c>
      <c r="E1100" s="103">
        <f>Data!U1100</f>
        <v>0</v>
      </c>
    </row>
    <row r="1101" spans="2:5" ht="15" customHeight="1" x14ac:dyDescent="0.3">
      <c r="C1101" s="2"/>
      <c r="D1101" s="8">
        <v>2024</v>
      </c>
      <c r="E1101" s="103">
        <f>Data!U1101</f>
        <v>0</v>
      </c>
    </row>
    <row r="1102" spans="2:5" ht="15" customHeight="1" x14ac:dyDescent="0.3">
      <c r="B1102" s="8">
        <v>101</v>
      </c>
      <c r="C1102" s="2" t="s">
        <v>120</v>
      </c>
      <c r="D1102" s="8">
        <v>2014</v>
      </c>
      <c r="E1102" s="103">
        <f>Data!U1102</f>
        <v>0</v>
      </c>
    </row>
    <row r="1103" spans="2:5" ht="15" customHeight="1" x14ac:dyDescent="0.3">
      <c r="C1103" s="2"/>
      <c r="D1103" s="8">
        <v>2015</v>
      </c>
      <c r="E1103" s="103">
        <f>Data!U1103</f>
        <v>0</v>
      </c>
    </row>
    <row r="1104" spans="2:5" ht="15" customHeight="1" x14ac:dyDescent="0.3">
      <c r="C1104" s="2"/>
      <c r="D1104" s="8">
        <v>2016</v>
      </c>
      <c r="E1104" s="103">
        <f>Data!U1104</f>
        <v>0</v>
      </c>
    </row>
    <row r="1105" spans="2:5" ht="15" customHeight="1" x14ac:dyDescent="0.3">
      <c r="C1105" s="2"/>
      <c r="D1105" s="8">
        <v>2017</v>
      </c>
      <c r="E1105" s="103">
        <f>Data!U1105</f>
        <v>0</v>
      </c>
    </row>
    <row r="1106" spans="2:5" ht="15" customHeight="1" x14ac:dyDescent="0.3">
      <c r="C1106" s="2"/>
      <c r="D1106" s="8">
        <v>2018</v>
      </c>
      <c r="E1106" s="103">
        <f>Data!U1106</f>
        <v>0</v>
      </c>
    </row>
    <row r="1107" spans="2:5" ht="15" customHeight="1" x14ac:dyDescent="0.3">
      <c r="C1107" s="2"/>
      <c r="D1107" s="8">
        <v>2019</v>
      </c>
      <c r="E1107" s="103">
        <f>Data!U1107</f>
        <v>0</v>
      </c>
    </row>
    <row r="1108" spans="2:5" ht="15" customHeight="1" x14ac:dyDescent="0.3">
      <c r="C1108" s="2"/>
      <c r="D1108" s="8">
        <v>2020</v>
      </c>
      <c r="E1108" s="103">
        <f>Data!U1108</f>
        <v>0</v>
      </c>
    </row>
    <row r="1109" spans="2:5" ht="15" customHeight="1" x14ac:dyDescent="0.3">
      <c r="C1109" s="2"/>
      <c r="D1109" s="8">
        <v>2021</v>
      </c>
      <c r="E1109" s="103">
        <f>Data!U1109</f>
        <v>0</v>
      </c>
    </row>
    <row r="1110" spans="2:5" ht="15" customHeight="1" x14ac:dyDescent="0.3">
      <c r="C1110" s="2"/>
      <c r="D1110" s="8">
        <v>2022</v>
      </c>
      <c r="E1110" s="103">
        <f>Data!U1110</f>
        <v>0</v>
      </c>
    </row>
    <row r="1111" spans="2:5" ht="15" customHeight="1" x14ac:dyDescent="0.3">
      <c r="C1111" s="2"/>
      <c r="D1111" s="8">
        <v>2023</v>
      </c>
      <c r="E1111" s="103">
        <f>Data!U1111</f>
        <v>0</v>
      </c>
    </row>
    <row r="1112" spans="2:5" ht="15" customHeight="1" x14ac:dyDescent="0.3">
      <c r="C1112" s="2"/>
      <c r="D1112" s="8">
        <v>2024</v>
      </c>
      <c r="E1112" s="103">
        <f>Data!U1112</f>
        <v>0</v>
      </c>
    </row>
    <row r="1113" spans="2:5" ht="15" customHeight="1" x14ac:dyDescent="0.3">
      <c r="B1113" s="8">
        <v>102</v>
      </c>
      <c r="C1113" s="1" t="s">
        <v>134</v>
      </c>
      <c r="D1113" s="8">
        <v>2014</v>
      </c>
      <c r="E1113" s="103">
        <f>Data!U1113</f>
        <v>0</v>
      </c>
    </row>
    <row r="1114" spans="2:5" ht="15" customHeight="1" x14ac:dyDescent="0.3">
      <c r="C1114" s="1"/>
      <c r="D1114" s="8">
        <v>2015</v>
      </c>
      <c r="E1114" s="103">
        <f>Data!U1114</f>
        <v>0</v>
      </c>
    </row>
    <row r="1115" spans="2:5" ht="15" customHeight="1" x14ac:dyDescent="0.3">
      <c r="C1115" s="1"/>
      <c r="D1115" s="8">
        <v>2016</v>
      </c>
      <c r="E1115" s="103">
        <f>Data!U1115</f>
        <v>0.9</v>
      </c>
    </row>
    <row r="1116" spans="2:5" ht="15" customHeight="1" x14ac:dyDescent="0.3">
      <c r="C1116" s="1"/>
      <c r="D1116" s="8">
        <v>2017</v>
      </c>
      <c r="E1116" s="103">
        <f>Data!U1116</f>
        <v>0.9</v>
      </c>
    </row>
    <row r="1117" spans="2:5" ht="15" customHeight="1" x14ac:dyDescent="0.3">
      <c r="C1117" s="1"/>
      <c r="D1117" s="8">
        <v>2018</v>
      </c>
      <c r="E1117" s="103">
        <f>Data!U1117</f>
        <v>0.9</v>
      </c>
    </row>
    <row r="1118" spans="2:5" ht="15" customHeight="1" x14ac:dyDescent="0.3">
      <c r="C1118" s="1"/>
      <c r="D1118" s="8">
        <v>2019</v>
      </c>
      <c r="E1118" s="103">
        <f>Data!U1118</f>
        <v>0.9</v>
      </c>
    </row>
    <row r="1119" spans="2:5" ht="15" customHeight="1" x14ac:dyDescent="0.3">
      <c r="C1119" s="1"/>
      <c r="D1119" s="8">
        <v>2020</v>
      </c>
      <c r="E1119" s="103">
        <f>Data!U1119</f>
        <v>0.9</v>
      </c>
    </row>
    <row r="1120" spans="2:5" ht="15" customHeight="1" x14ac:dyDescent="0.3">
      <c r="C1120" s="1"/>
      <c r="D1120" s="8">
        <v>2021</v>
      </c>
      <c r="E1120" s="103">
        <f>Data!U1120</f>
        <v>1</v>
      </c>
    </row>
    <row r="1121" spans="2:5" ht="15" customHeight="1" x14ac:dyDescent="0.3">
      <c r="C1121" s="1"/>
      <c r="D1121" s="8">
        <v>2022</v>
      </c>
      <c r="E1121" s="103">
        <f>Data!U1121</f>
        <v>1</v>
      </c>
    </row>
    <row r="1122" spans="2:5" ht="15" customHeight="1" x14ac:dyDescent="0.3">
      <c r="C1122" s="1"/>
      <c r="D1122" s="8">
        <v>2023</v>
      </c>
      <c r="E1122" s="103">
        <f>Data!U1122</f>
        <v>1</v>
      </c>
    </row>
    <row r="1123" spans="2:5" ht="15" customHeight="1" x14ac:dyDescent="0.3">
      <c r="C1123" s="1"/>
      <c r="D1123" s="8">
        <v>2024</v>
      </c>
      <c r="E1123" s="103">
        <f>Data!U1123</f>
        <v>1</v>
      </c>
    </row>
    <row r="1124" spans="2:5" ht="15" customHeight="1" x14ac:dyDescent="0.3">
      <c r="B1124" s="8">
        <v>103</v>
      </c>
      <c r="C1124" s="2" t="s">
        <v>122</v>
      </c>
      <c r="D1124" s="8">
        <v>2014</v>
      </c>
      <c r="E1124" s="103">
        <f>Data!U1124</f>
        <v>0</v>
      </c>
    </row>
    <row r="1125" spans="2:5" ht="15" customHeight="1" x14ac:dyDescent="0.3">
      <c r="C1125" s="2"/>
      <c r="D1125" s="8">
        <v>2015</v>
      </c>
      <c r="E1125" s="103">
        <f>Data!U1125</f>
        <v>0</v>
      </c>
    </row>
    <row r="1126" spans="2:5" ht="15" customHeight="1" x14ac:dyDescent="0.3">
      <c r="C1126" s="2"/>
      <c r="D1126" s="8">
        <v>2016</v>
      </c>
      <c r="E1126" s="103">
        <f>Data!U1126</f>
        <v>0</v>
      </c>
    </row>
    <row r="1127" spans="2:5" ht="15" customHeight="1" x14ac:dyDescent="0.3">
      <c r="C1127" s="2"/>
      <c r="D1127" s="8">
        <v>2017</v>
      </c>
      <c r="E1127" s="103">
        <f>Data!U1127</f>
        <v>0</v>
      </c>
    </row>
    <row r="1128" spans="2:5" ht="15" customHeight="1" x14ac:dyDescent="0.3">
      <c r="C1128" s="2"/>
      <c r="D1128" s="8">
        <v>2018</v>
      </c>
      <c r="E1128" s="103">
        <f>Data!U1128</f>
        <v>0</v>
      </c>
    </row>
    <row r="1129" spans="2:5" ht="15" customHeight="1" x14ac:dyDescent="0.3">
      <c r="C1129" s="2"/>
      <c r="D1129" s="8">
        <v>2019</v>
      </c>
      <c r="E1129" s="103">
        <f>Data!U1129</f>
        <v>0</v>
      </c>
    </row>
    <row r="1130" spans="2:5" ht="15" customHeight="1" x14ac:dyDescent="0.3">
      <c r="C1130" s="2"/>
      <c r="D1130" s="8">
        <v>2020</v>
      </c>
      <c r="E1130" s="103">
        <f>Data!U1130</f>
        <v>0</v>
      </c>
    </row>
    <row r="1131" spans="2:5" ht="15" customHeight="1" x14ac:dyDescent="0.3">
      <c r="C1131" s="2"/>
      <c r="D1131" s="8">
        <v>2021</v>
      </c>
      <c r="E1131" s="103">
        <f>Data!U1131</f>
        <v>0</v>
      </c>
    </row>
    <row r="1132" spans="2:5" ht="15" customHeight="1" x14ac:dyDescent="0.3">
      <c r="C1132" s="2"/>
      <c r="D1132" s="8">
        <v>2022</v>
      </c>
      <c r="E1132" s="103">
        <f>Data!U1132</f>
        <v>0</v>
      </c>
    </row>
    <row r="1133" spans="2:5" ht="15" customHeight="1" x14ac:dyDescent="0.3">
      <c r="C1133" s="2"/>
      <c r="D1133" s="8">
        <v>2023</v>
      </c>
      <c r="E1133" s="103">
        <f>Data!U1133</f>
        <v>0</v>
      </c>
    </row>
    <row r="1134" spans="2:5" ht="15" customHeight="1" x14ac:dyDescent="0.3">
      <c r="C1134" s="2"/>
      <c r="D1134" s="8">
        <v>2024</v>
      </c>
      <c r="E1134" s="103">
        <f>Data!U1134</f>
        <v>0</v>
      </c>
    </row>
    <row r="1135" spans="2:5" ht="15" customHeight="1" x14ac:dyDescent="0.3">
      <c r="B1135" s="8">
        <v>104</v>
      </c>
      <c r="C1135" s="2" t="s">
        <v>123</v>
      </c>
      <c r="D1135" s="8">
        <v>2014</v>
      </c>
      <c r="E1135" s="103">
        <f>Data!U1135</f>
        <v>0</v>
      </c>
    </row>
    <row r="1136" spans="2:5" ht="15" customHeight="1" x14ac:dyDescent="0.3">
      <c r="C1136" s="2"/>
      <c r="D1136" s="8">
        <v>2015</v>
      </c>
      <c r="E1136" s="103">
        <f>Data!U1136</f>
        <v>0</v>
      </c>
    </row>
    <row r="1137" spans="2:5" ht="15" customHeight="1" x14ac:dyDescent="0.3">
      <c r="C1137" s="2"/>
      <c r="D1137" s="8">
        <v>2016</v>
      </c>
      <c r="E1137" s="103">
        <f>Data!U1137</f>
        <v>0</v>
      </c>
    </row>
    <row r="1138" spans="2:5" ht="15" customHeight="1" x14ac:dyDescent="0.3">
      <c r="C1138" s="2"/>
      <c r="D1138" s="8">
        <v>2017</v>
      </c>
      <c r="E1138" s="103">
        <f>Data!U1138</f>
        <v>0</v>
      </c>
    </row>
    <row r="1139" spans="2:5" ht="15" customHeight="1" x14ac:dyDescent="0.3">
      <c r="C1139" s="2"/>
      <c r="D1139" s="8">
        <v>2018</v>
      </c>
      <c r="E1139" s="103">
        <f>Data!U1139</f>
        <v>0</v>
      </c>
    </row>
    <row r="1140" spans="2:5" ht="15" customHeight="1" x14ac:dyDescent="0.3">
      <c r="C1140" s="2"/>
      <c r="D1140" s="8">
        <v>2019</v>
      </c>
      <c r="E1140" s="103">
        <f>Data!U1140</f>
        <v>0</v>
      </c>
    </row>
    <row r="1141" spans="2:5" ht="15" customHeight="1" x14ac:dyDescent="0.3">
      <c r="C1141" s="2"/>
      <c r="D1141" s="8">
        <v>2020</v>
      </c>
      <c r="E1141" s="103">
        <f>Data!U1141</f>
        <v>0</v>
      </c>
    </row>
    <row r="1142" spans="2:5" ht="15" customHeight="1" x14ac:dyDescent="0.3">
      <c r="C1142" s="2"/>
      <c r="D1142" s="8">
        <v>2021</v>
      </c>
      <c r="E1142" s="103">
        <f>Data!U1142</f>
        <v>0</v>
      </c>
    </row>
    <row r="1143" spans="2:5" ht="15" customHeight="1" x14ac:dyDescent="0.3">
      <c r="C1143" s="2"/>
      <c r="D1143" s="8">
        <v>2022</v>
      </c>
      <c r="E1143" s="103">
        <f>Data!U1143</f>
        <v>0</v>
      </c>
    </row>
    <row r="1144" spans="2:5" ht="15" customHeight="1" x14ac:dyDescent="0.3">
      <c r="C1144" s="2"/>
      <c r="D1144" s="8">
        <v>2023</v>
      </c>
      <c r="E1144" s="103">
        <f>Data!U1144</f>
        <v>0</v>
      </c>
    </row>
    <row r="1145" spans="2:5" ht="15" customHeight="1" x14ac:dyDescent="0.3">
      <c r="C1145" s="2"/>
      <c r="D1145" s="8">
        <v>2024</v>
      </c>
      <c r="E1145" s="103">
        <f>Data!U1145</f>
        <v>0</v>
      </c>
    </row>
    <row r="1146" spans="2:5" ht="15" customHeight="1" x14ac:dyDescent="0.3">
      <c r="B1146" s="8">
        <v>105</v>
      </c>
      <c r="C1146" s="1" t="s">
        <v>135</v>
      </c>
      <c r="D1146" s="8">
        <v>2014</v>
      </c>
      <c r="E1146" s="103">
        <f>Data!U1146</f>
        <v>0</v>
      </c>
    </row>
    <row r="1147" spans="2:5" ht="15" customHeight="1" x14ac:dyDescent="0.3">
      <c r="C1147" s="1"/>
      <c r="D1147" s="8">
        <v>2015</v>
      </c>
      <c r="E1147" s="103">
        <f>Data!U1147</f>
        <v>0</v>
      </c>
    </row>
    <row r="1148" spans="2:5" ht="15" customHeight="1" x14ac:dyDescent="0.3">
      <c r="C1148" s="1"/>
      <c r="D1148" s="8">
        <v>2016</v>
      </c>
      <c r="E1148" s="103">
        <f>Data!U1148</f>
        <v>0</v>
      </c>
    </row>
    <row r="1149" spans="2:5" ht="15" customHeight="1" x14ac:dyDescent="0.3">
      <c r="C1149" s="1"/>
      <c r="D1149" s="8">
        <v>2017</v>
      </c>
      <c r="E1149" s="103">
        <f>Data!U1149</f>
        <v>0</v>
      </c>
    </row>
    <row r="1150" spans="2:5" ht="15" customHeight="1" x14ac:dyDescent="0.3">
      <c r="C1150" s="1"/>
      <c r="D1150" s="8">
        <v>2018</v>
      </c>
      <c r="E1150" s="103">
        <f>Data!U1150</f>
        <v>0</v>
      </c>
    </row>
    <row r="1151" spans="2:5" ht="15" customHeight="1" x14ac:dyDescent="0.3">
      <c r="C1151" s="1"/>
      <c r="D1151" s="8">
        <v>2019</v>
      </c>
      <c r="E1151" s="103">
        <f>Data!U1151</f>
        <v>2.5000000000000001E-2</v>
      </c>
    </row>
    <row r="1152" spans="2:5" ht="15" customHeight="1" x14ac:dyDescent="0.3">
      <c r="C1152" s="1"/>
      <c r="D1152" s="8">
        <v>2020</v>
      </c>
      <c r="E1152" s="103">
        <f>Data!U1152</f>
        <v>2.5000000000000001E-2</v>
      </c>
    </row>
    <row r="1153" spans="2:5" ht="15" customHeight="1" x14ac:dyDescent="0.3">
      <c r="C1153" s="1"/>
      <c r="D1153" s="8">
        <v>2021</v>
      </c>
      <c r="E1153" s="103">
        <f>Data!U1153</f>
        <v>2.5000000000000001E-2</v>
      </c>
    </row>
    <row r="1154" spans="2:5" ht="15" customHeight="1" x14ac:dyDescent="0.3">
      <c r="C1154" s="1"/>
      <c r="D1154" s="8">
        <v>2022</v>
      </c>
      <c r="E1154" s="103">
        <f>Data!U1154</f>
        <v>2.5000000000000001E-2</v>
      </c>
    </row>
    <row r="1155" spans="2:5" ht="15" customHeight="1" x14ac:dyDescent="0.3">
      <c r="C1155" s="1"/>
      <c r="D1155" s="8">
        <v>2023</v>
      </c>
      <c r="E1155" s="103">
        <f>Data!U1155</f>
        <v>2.5000000000000001E-2</v>
      </c>
    </row>
    <row r="1156" spans="2:5" ht="15" customHeight="1" x14ac:dyDescent="0.3">
      <c r="C1156" s="1"/>
      <c r="D1156" s="8">
        <v>2024</v>
      </c>
      <c r="E1156" s="103">
        <f>Data!U1156</f>
        <v>9.5200000000000007E-2</v>
      </c>
    </row>
    <row r="1157" spans="2:5" ht="15" customHeight="1" x14ac:dyDescent="0.3">
      <c r="B1157" s="8">
        <v>106</v>
      </c>
      <c r="C1157" s="2" t="s">
        <v>124</v>
      </c>
      <c r="D1157" s="8">
        <v>2014</v>
      </c>
      <c r="E1157" s="103">
        <f>Data!U1157</f>
        <v>0</v>
      </c>
    </row>
    <row r="1158" spans="2:5" ht="15" customHeight="1" x14ac:dyDescent="0.3">
      <c r="C1158" s="2"/>
      <c r="D1158" s="8">
        <v>2015</v>
      </c>
      <c r="E1158" s="103">
        <f>Data!U1158</f>
        <v>0</v>
      </c>
    </row>
    <row r="1159" spans="2:5" ht="15" customHeight="1" x14ac:dyDescent="0.3">
      <c r="C1159" s="2"/>
      <c r="D1159" s="8">
        <v>2016</v>
      </c>
      <c r="E1159" s="103">
        <f>Data!U1159</f>
        <v>0</v>
      </c>
    </row>
    <row r="1160" spans="2:5" ht="15" customHeight="1" x14ac:dyDescent="0.3">
      <c r="C1160" s="2"/>
      <c r="D1160" s="8">
        <v>2017</v>
      </c>
      <c r="E1160" s="103">
        <f>Data!U1160</f>
        <v>0</v>
      </c>
    </row>
    <row r="1161" spans="2:5" ht="15" customHeight="1" x14ac:dyDescent="0.3">
      <c r="C1161" s="2"/>
      <c r="D1161" s="8">
        <v>2018</v>
      </c>
      <c r="E1161" s="103">
        <f>Data!U1161</f>
        <v>0</v>
      </c>
    </row>
    <row r="1162" spans="2:5" ht="15" customHeight="1" x14ac:dyDescent="0.3">
      <c r="C1162" s="2"/>
      <c r="D1162" s="8">
        <v>2019</v>
      </c>
      <c r="E1162" s="103">
        <f>Data!U1162</f>
        <v>0</v>
      </c>
    </row>
    <row r="1163" spans="2:5" ht="15" customHeight="1" x14ac:dyDescent="0.3">
      <c r="C1163" s="2"/>
      <c r="D1163" s="8">
        <v>2020</v>
      </c>
      <c r="E1163" s="103">
        <f>Data!U1163</f>
        <v>0</v>
      </c>
    </row>
    <row r="1164" spans="2:5" ht="15" customHeight="1" x14ac:dyDescent="0.3">
      <c r="C1164" s="2"/>
      <c r="D1164" s="8">
        <v>2021</v>
      </c>
      <c r="E1164" s="103">
        <f>Data!U1164</f>
        <v>0</v>
      </c>
    </row>
    <row r="1165" spans="2:5" ht="15" customHeight="1" x14ac:dyDescent="0.3">
      <c r="C1165" s="2"/>
      <c r="D1165" s="8">
        <v>2022</v>
      </c>
      <c r="E1165" s="103">
        <f>Data!U1165</f>
        <v>0</v>
      </c>
    </row>
    <row r="1166" spans="2:5" ht="15" customHeight="1" x14ac:dyDescent="0.3">
      <c r="C1166" s="2"/>
      <c r="D1166" s="8">
        <v>2023</v>
      </c>
      <c r="E1166" s="103">
        <f>Data!U1166</f>
        <v>0</v>
      </c>
    </row>
    <row r="1167" spans="2:5" ht="15" customHeight="1" x14ac:dyDescent="0.3">
      <c r="C1167" s="2"/>
      <c r="D1167" s="8">
        <v>2024</v>
      </c>
      <c r="E1167" s="103">
        <f>Data!U1167</f>
        <v>0</v>
      </c>
    </row>
    <row r="1168" spans="2:5" ht="15" customHeight="1" x14ac:dyDescent="0.3">
      <c r="B1168" s="8">
        <v>107</v>
      </c>
      <c r="C1168" s="2" t="s">
        <v>105</v>
      </c>
      <c r="D1168" s="8">
        <v>2014</v>
      </c>
      <c r="E1168" s="103">
        <f>Data!U1168</f>
        <v>0</v>
      </c>
    </row>
    <row r="1169" spans="2:5" ht="15" customHeight="1" x14ac:dyDescent="0.3">
      <c r="C1169" s="2"/>
      <c r="D1169" s="8">
        <v>2015</v>
      </c>
      <c r="E1169" s="103">
        <f>Data!U1169</f>
        <v>0</v>
      </c>
    </row>
    <row r="1170" spans="2:5" ht="15" customHeight="1" x14ac:dyDescent="0.3">
      <c r="C1170" s="2"/>
      <c r="D1170" s="8">
        <v>2016</v>
      </c>
      <c r="E1170" s="103">
        <f>Data!U1170</f>
        <v>0</v>
      </c>
    </row>
    <row r="1171" spans="2:5" ht="15" customHeight="1" x14ac:dyDescent="0.3">
      <c r="C1171" s="2"/>
      <c r="D1171" s="8">
        <v>2017</v>
      </c>
      <c r="E1171" s="103">
        <f>Data!U1171</f>
        <v>0</v>
      </c>
    </row>
    <row r="1172" spans="2:5" ht="15" customHeight="1" x14ac:dyDescent="0.3">
      <c r="C1172" s="2"/>
      <c r="D1172" s="8">
        <v>2018</v>
      </c>
      <c r="E1172" s="103">
        <f>Data!U1172</f>
        <v>0</v>
      </c>
    </row>
    <row r="1173" spans="2:5" ht="15" customHeight="1" x14ac:dyDescent="0.3">
      <c r="C1173" s="2"/>
      <c r="D1173" s="8">
        <v>2019</v>
      </c>
      <c r="E1173" s="103">
        <f>Data!U1173</f>
        <v>7.7499999999999999E-2</v>
      </c>
    </row>
    <row r="1174" spans="2:5" ht="15" customHeight="1" x14ac:dyDescent="0.3">
      <c r="C1174" s="2"/>
      <c r="D1174" s="8">
        <v>2020</v>
      </c>
      <c r="E1174" s="103">
        <f>Data!U1174</f>
        <v>7.7499999999999999E-2</v>
      </c>
    </row>
    <row r="1175" spans="2:5" ht="15" customHeight="1" x14ac:dyDescent="0.3">
      <c r="C1175" s="2"/>
      <c r="D1175" s="8">
        <v>2021</v>
      </c>
      <c r="E1175" s="103">
        <f>Data!U1175</f>
        <v>7.7499999999999999E-2</v>
      </c>
    </row>
    <row r="1176" spans="2:5" ht="15" customHeight="1" x14ac:dyDescent="0.3">
      <c r="C1176" s="2"/>
      <c r="D1176" s="8">
        <v>2022</v>
      </c>
      <c r="E1176" s="103">
        <f>Data!U1176</f>
        <v>7.7499999999999999E-2</v>
      </c>
    </row>
    <row r="1177" spans="2:5" ht="15" customHeight="1" x14ac:dyDescent="0.3">
      <c r="C1177" s="2"/>
      <c r="D1177" s="8">
        <v>2023</v>
      </c>
      <c r="E1177" s="103">
        <f>Data!U1177</f>
        <v>7.7499999999999999E-2</v>
      </c>
    </row>
    <row r="1178" spans="2:5" ht="15" customHeight="1" x14ac:dyDescent="0.3">
      <c r="C1178" s="2"/>
      <c r="D1178" s="8">
        <v>2024</v>
      </c>
      <c r="E1178" s="103">
        <f>Data!U1178</f>
        <v>7.7499999999999999E-2</v>
      </c>
    </row>
    <row r="1179" spans="2:5" ht="15" customHeight="1" x14ac:dyDescent="0.3">
      <c r="B1179" s="8">
        <v>108</v>
      </c>
      <c r="C1179" s="1" t="s">
        <v>125</v>
      </c>
      <c r="D1179" s="8">
        <v>2014</v>
      </c>
      <c r="E1179" s="103">
        <f>Data!U1179</f>
        <v>0</v>
      </c>
    </row>
    <row r="1180" spans="2:5" ht="15" customHeight="1" x14ac:dyDescent="0.3">
      <c r="C1180" s="1"/>
      <c r="D1180" s="8">
        <v>2015</v>
      </c>
      <c r="E1180" s="103">
        <f>Data!U1180</f>
        <v>0</v>
      </c>
    </row>
    <row r="1181" spans="2:5" ht="15" customHeight="1" x14ac:dyDescent="0.3">
      <c r="C1181" s="1"/>
      <c r="D1181" s="8">
        <v>2016</v>
      </c>
      <c r="E1181" s="103">
        <f>Data!U1181</f>
        <v>0</v>
      </c>
    </row>
    <row r="1182" spans="2:5" ht="15" customHeight="1" x14ac:dyDescent="0.3">
      <c r="C1182" s="1"/>
      <c r="D1182" s="8">
        <v>2017</v>
      </c>
      <c r="E1182" s="103">
        <f>Data!U1182</f>
        <v>0</v>
      </c>
    </row>
    <row r="1183" spans="2:5" ht="15" customHeight="1" x14ac:dyDescent="0.3">
      <c r="C1183" s="1"/>
      <c r="D1183" s="8">
        <v>2018</v>
      </c>
      <c r="E1183" s="103">
        <f>Data!U1183</f>
        <v>0</v>
      </c>
    </row>
    <row r="1184" spans="2:5" ht="15" customHeight="1" x14ac:dyDescent="0.3">
      <c r="C1184" s="1"/>
      <c r="D1184" s="8">
        <v>2019</v>
      </c>
      <c r="E1184" s="103">
        <f>Data!U1184</f>
        <v>0</v>
      </c>
    </row>
    <row r="1185" spans="2:5" ht="15" customHeight="1" x14ac:dyDescent="0.3">
      <c r="C1185" s="1"/>
      <c r="D1185" s="8">
        <v>2020</v>
      </c>
      <c r="E1185" s="103">
        <f>Data!U1185</f>
        <v>0</v>
      </c>
    </row>
    <row r="1186" spans="2:5" ht="15" customHeight="1" x14ac:dyDescent="0.3">
      <c r="C1186" s="1"/>
      <c r="D1186" s="8">
        <v>2021</v>
      </c>
      <c r="E1186" s="103">
        <f>Data!U1186</f>
        <v>0</v>
      </c>
    </row>
    <row r="1187" spans="2:5" ht="15" customHeight="1" x14ac:dyDescent="0.3">
      <c r="C1187" s="1"/>
      <c r="D1187" s="8">
        <v>2022</v>
      </c>
      <c r="E1187" s="103">
        <f>Data!U1187</f>
        <v>0</v>
      </c>
    </row>
    <row r="1188" spans="2:5" ht="15" customHeight="1" x14ac:dyDescent="0.3">
      <c r="C1188" s="1"/>
      <c r="D1188" s="8">
        <v>2023</v>
      </c>
      <c r="E1188" s="103">
        <f>Data!U1188</f>
        <v>0</v>
      </c>
    </row>
    <row r="1189" spans="2:5" ht="15" customHeight="1" x14ac:dyDescent="0.3">
      <c r="C1189" s="1"/>
      <c r="D1189" s="8">
        <v>2024</v>
      </c>
      <c r="E1189" s="103">
        <f>Data!U1189</f>
        <v>0</v>
      </c>
    </row>
    <row r="1190" spans="2:5" ht="15" customHeight="1" x14ac:dyDescent="0.3">
      <c r="B1190" s="8">
        <v>109</v>
      </c>
      <c r="C1190" s="2" t="s">
        <v>106</v>
      </c>
      <c r="D1190" s="8">
        <v>2014</v>
      </c>
      <c r="E1190" s="103">
        <f>Data!U1190</f>
        <v>0</v>
      </c>
    </row>
    <row r="1191" spans="2:5" ht="15" customHeight="1" x14ac:dyDescent="0.3">
      <c r="C1191" s="2"/>
      <c r="D1191" s="8">
        <v>2015</v>
      </c>
      <c r="E1191" s="103">
        <f>Data!U1191</f>
        <v>0</v>
      </c>
    </row>
    <row r="1192" spans="2:5" ht="15" customHeight="1" x14ac:dyDescent="0.3">
      <c r="C1192" s="2"/>
      <c r="D1192" s="8">
        <v>2016</v>
      </c>
      <c r="E1192" s="103">
        <f>Data!U1192</f>
        <v>0</v>
      </c>
    </row>
    <row r="1193" spans="2:5" ht="15" customHeight="1" x14ac:dyDescent="0.3">
      <c r="C1193" s="2"/>
      <c r="D1193" s="8">
        <v>2017</v>
      </c>
      <c r="E1193" s="103">
        <f>Data!U1193</f>
        <v>0</v>
      </c>
    </row>
    <row r="1194" spans="2:5" ht="15" customHeight="1" x14ac:dyDescent="0.3">
      <c r="C1194" s="2"/>
      <c r="D1194" s="8">
        <v>2018</v>
      </c>
      <c r="E1194" s="103">
        <f>Data!U1194</f>
        <v>0</v>
      </c>
    </row>
    <row r="1195" spans="2:5" ht="15" customHeight="1" x14ac:dyDescent="0.3">
      <c r="C1195" s="2"/>
      <c r="D1195" s="8">
        <v>2019</v>
      </c>
      <c r="E1195" s="103">
        <f>Data!U1195</f>
        <v>0</v>
      </c>
    </row>
    <row r="1196" spans="2:5" ht="15" customHeight="1" x14ac:dyDescent="0.3">
      <c r="C1196" s="2"/>
      <c r="D1196" s="8">
        <v>2020</v>
      </c>
      <c r="E1196" s="103">
        <f>Data!U1196</f>
        <v>0</v>
      </c>
    </row>
    <row r="1197" spans="2:5" ht="15" customHeight="1" x14ac:dyDescent="0.3">
      <c r="C1197" s="2"/>
      <c r="D1197" s="8">
        <v>2021</v>
      </c>
      <c r="E1197" s="103">
        <f>Data!U1197</f>
        <v>0</v>
      </c>
    </row>
    <row r="1198" spans="2:5" ht="15" customHeight="1" x14ac:dyDescent="0.3">
      <c r="C1198" s="2"/>
      <c r="D1198" s="8">
        <v>2022</v>
      </c>
      <c r="E1198" s="103">
        <f>Data!U1198</f>
        <v>0</v>
      </c>
    </row>
    <row r="1199" spans="2:5" ht="15" customHeight="1" x14ac:dyDescent="0.3">
      <c r="C1199" s="2"/>
      <c r="D1199" s="8">
        <v>2023</v>
      </c>
      <c r="E1199" s="103">
        <f>Data!U1199</f>
        <v>0</v>
      </c>
    </row>
    <row r="1200" spans="2:5" ht="15" customHeight="1" x14ac:dyDescent="0.3">
      <c r="C1200" s="2"/>
      <c r="D1200" s="8">
        <v>2024</v>
      </c>
      <c r="E1200" s="103">
        <f>Data!U1200</f>
        <v>0</v>
      </c>
    </row>
    <row r="1201" spans="2:5" ht="15" customHeight="1" x14ac:dyDescent="0.3">
      <c r="B1201" s="8">
        <v>110</v>
      </c>
      <c r="C1201" s="2" t="s">
        <v>66</v>
      </c>
      <c r="D1201" s="8">
        <v>2014</v>
      </c>
      <c r="E1201" s="103">
        <f>Data!U1201</f>
        <v>0</v>
      </c>
    </row>
    <row r="1202" spans="2:5" ht="15" customHeight="1" x14ac:dyDescent="0.3">
      <c r="C1202" s="2"/>
      <c r="D1202" s="8">
        <v>2015</v>
      </c>
      <c r="E1202" s="103">
        <f>Data!U1202</f>
        <v>0</v>
      </c>
    </row>
    <row r="1203" spans="2:5" ht="15" customHeight="1" x14ac:dyDescent="0.3">
      <c r="C1203" s="2"/>
      <c r="D1203" s="8">
        <v>2016</v>
      </c>
      <c r="E1203" s="103">
        <f>Data!U1203</f>
        <v>0</v>
      </c>
    </row>
    <row r="1204" spans="2:5" ht="15" customHeight="1" x14ac:dyDescent="0.3">
      <c r="C1204" s="2"/>
      <c r="D1204" s="8">
        <v>2017</v>
      </c>
      <c r="E1204" s="103">
        <f>Data!U1204</f>
        <v>0</v>
      </c>
    </row>
    <row r="1205" spans="2:5" ht="15" customHeight="1" x14ac:dyDescent="0.3">
      <c r="C1205" s="2"/>
      <c r="D1205" s="8">
        <v>2018</v>
      </c>
      <c r="E1205" s="103">
        <f>Data!U1205</f>
        <v>0</v>
      </c>
    </row>
    <row r="1206" spans="2:5" ht="15" customHeight="1" x14ac:dyDescent="0.3">
      <c r="C1206" s="2"/>
      <c r="D1206" s="8">
        <v>2019</v>
      </c>
      <c r="E1206" s="103">
        <f>Data!U1206</f>
        <v>0</v>
      </c>
    </row>
    <row r="1207" spans="2:5" ht="15" customHeight="1" x14ac:dyDescent="0.3">
      <c r="C1207" s="2"/>
      <c r="D1207" s="8">
        <v>2020</v>
      </c>
      <c r="E1207" s="103">
        <f>Data!U1207</f>
        <v>0</v>
      </c>
    </row>
    <row r="1208" spans="2:5" ht="15" customHeight="1" x14ac:dyDescent="0.3">
      <c r="C1208" s="2"/>
      <c r="D1208" s="8">
        <v>2021</v>
      </c>
      <c r="E1208" s="103">
        <f>Data!U1208</f>
        <v>0</v>
      </c>
    </row>
    <row r="1209" spans="2:5" ht="15" customHeight="1" x14ac:dyDescent="0.3">
      <c r="C1209" s="2"/>
      <c r="D1209" s="8">
        <v>2022</v>
      </c>
      <c r="E1209" s="103">
        <f>Data!U1209</f>
        <v>0</v>
      </c>
    </row>
    <row r="1210" spans="2:5" ht="15" customHeight="1" x14ac:dyDescent="0.3">
      <c r="C1210" s="2"/>
      <c r="D1210" s="8">
        <v>2023</v>
      </c>
      <c r="E1210" s="103">
        <f>Data!U1210</f>
        <v>0</v>
      </c>
    </row>
    <row r="1211" spans="2:5" ht="15" customHeight="1" x14ac:dyDescent="0.3">
      <c r="C1211" s="2"/>
      <c r="D1211" s="8">
        <v>2024</v>
      </c>
      <c r="E1211" s="103">
        <f>Data!U1211</f>
        <v>0</v>
      </c>
    </row>
    <row r="1212" spans="2:5" ht="15" customHeight="1" x14ac:dyDescent="0.3">
      <c r="B1212" s="8">
        <v>111</v>
      </c>
      <c r="C1212" s="2" t="s">
        <v>74</v>
      </c>
      <c r="D1212" s="8">
        <v>2014</v>
      </c>
      <c r="E1212" s="103">
        <f>Data!U1212</f>
        <v>0</v>
      </c>
    </row>
    <row r="1213" spans="2:5" ht="15" customHeight="1" x14ac:dyDescent="0.3">
      <c r="C1213" s="2"/>
      <c r="D1213" s="8">
        <v>2015</v>
      </c>
      <c r="E1213" s="103">
        <f>Data!U1213</f>
        <v>0</v>
      </c>
    </row>
    <row r="1214" spans="2:5" ht="15" customHeight="1" x14ac:dyDescent="0.3">
      <c r="C1214" s="2"/>
      <c r="D1214" s="8">
        <v>2016</v>
      </c>
      <c r="E1214" s="103">
        <f>Data!U1214</f>
        <v>0</v>
      </c>
    </row>
    <row r="1215" spans="2:5" ht="15" customHeight="1" x14ac:dyDescent="0.3">
      <c r="C1215" s="2"/>
      <c r="D1215" s="8">
        <v>2017</v>
      </c>
      <c r="E1215" s="103">
        <f>Data!U1215</f>
        <v>0</v>
      </c>
    </row>
    <row r="1216" spans="2:5" ht="15" customHeight="1" x14ac:dyDescent="0.3">
      <c r="C1216" s="2"/>
      <c r="D1216" s="8">
        <v>2018</v>
      </c>
      <c r="E1216" s="103">
        <f>Data!U1216</f>
        <v>0</v>
      </c>
    </row>
    <row r="1217" spans="2:5" ht="15" customHeight="1" x14ac:dyDescent="0.3">
      <c r="C1217" s="2"/>
      <c r="D1217" s="8">
        <v>2019</v>
      </c>
      <c r="E1217" s="103">
        <f>Data!U1217</f>
        <v>0</v>
      </c>
    </row>
    <row r="1218" spans="2:5" ht="15" customHeight="1" x14ac:dyDescent="0.3">
      <c r="C1218" s="2"/>
      <c r="D1218" s="8">
        <v>2020</v>
      </c>
      <c r="E1218" s="103">
        <f>Data!U1218</f>
        <v>0</v>
      </c>
    </row>
    <row r="1219" spans="2:5" ht="15" customHeight="1" x14ac:dyDescent="0.3">
      <c r="C1219" s="2"/>
      <c r="D1219" s="8">
        <v>2021</v>
      </c>
      <c r="E1219" s="103">
        <f>Data!U1219</f>
        <v>0</v>
      </c>
    </row>
    <row r="1220" spans="2:5" ht="15" customHeight="1" x14ac:dyDescent="0.3">
      <c r="C1220" s="2"/>
      <c r="D1220" s="8">
        <v>2022</v>
      </c>
      <c r="E1220" s="103">
        <f>Data!U1220</f>
        <v>0</v>
      </c>
    </row>
    <row r="1221" spans="2:5" ht="15" customHeight="1" x14ac:dyDescent="0.3">
      <c r="C1221" s="2"/>
      <c r="D1221" s="8">
        <v>2023</v>
      </c>
      <c r="E1221" s="103">
        <f>Data!U1221</f>
        <v>0</v>
      </c>
    </row>
    <row r="1222" spans="2:5" ht="15" customHeight="1" x14ac:dyDescent="0.3">
      <c r="C1222" s="2"/>
      <c r="D1222" s="8">
        <v>2024</v>
      </c>
      <c r="E1222" s="103">
        <f>Data!U1222</f>
        <v>0</v>
      </c>
    </row>
    <row r="1223" spans="2:5" ht="15" customHeight="1" x14ac:dyDescent="0.3">
      <c r="B1223" s="8">
        <v>112</v>
      </c>
      <c r="C1223" s="2" t="s">
        <v>91</v>
      </c>
      <c r="D1223" s="8">
        <v>2014</v>
      </c>
      <c r="E1223" s="103">
        <f>Data!U1223</f>
        <v>0</v>
      </c>
    </row>
    <row r="1224" spans="2:5" ht="15" customHeight="1" x14ac:dyDescent="0.3">
      <c r="C1224" s="2"/>
      <c r="D1224" s="8">
        <v>2015</v>
      </c>
      <c r="E1224" s="103">
        <f>Data!U1224</f>
        <v>0</v>
      </c>
    </row>
    <row r="1225" spans="2:5" ht="15" customHeight="1" x14ac:dyDescent="0.3">
      <c r="C1225" s="2"/>
      <c r="D1225" s="8">
        <v>2016</v>
      </c>
      <c r="E1225" s="103">
        <f>Data!U1225</f>
        <v>0</v>
      </c>
    </row>
    <row r="1226" spans="2:5" ht="15" customHeight="1" x14ac:dyDescent="0.3">
      <c r="C1226" s="2"/>
      <c r="D1226" s="8">
        <v>2017</v>
      </c>
      <c r="E1226" s="103">
        <f>Data!U1226</f>
        <v>0</v>
      </c>
    </row>
    <row r="1227" spans="2:5" ht="15" customHeight="1" x14ac:dyDescent="0.3">
      <c r="C1227" s="2"/>
      <c r="D1227" s="8">
        <v>2018</v>
      </c>
      <c r="E1227" s="103">
        <f>Data!U1227</f>
        <v>0</v>
      </c>
    </row>
    <row r="1228" spans="2:5" ht="15" customHeight="1" x14ac:dyDescent="0.3">
      <c r="C1228" s="2"/>
      <c r="D1228" s="8">
        <v>2019</v>
      </c>
      <c r="E1228" s="103">
        <f>Data!U1228</f>
        <v>0</v>
      </c>
    </row>
    <row r="1229" spans="2:5" ht="15" customHeight="1" x14ac:dyDescent="0.3">
      <c r="C1229" s="2"/>
      <c r="D1229" s="8">
        <v>2020</v>
      </c>
      <c r="E1229" s="103">
        <f>Data!U1229</f>
        <v>0</v>
      </c>
    </row>
    <row r="1230" spans="2:5" ht="15" customHeight="1" x14ac:dyDescent="0.3">
      <c r="C1230" s="2"/>
      <c r="D1230" s="8">
        <v>2021</v>
      </c>
      <c r="E1230" s="103">
        <f>Data!U1230</f>
        <v>0</v>
      </c>
    </row>
    <row r="1231" spans="2:5" ht="15" customHeight="1" x14ac:dyDescent="0.3">
      <c r="C1231" s="2"/>
      <c r="D1231" s="8">
        <v>2022</v>
      </c>
      <c r="E1231" s="103">
        <f>Data!U1231</f>
        <v>0</v>
      </c>
    </row>
    <row r="1232" spans="2:5" ht="15" customHeight="1" x14ac:dyDescent="0.3">
      <c r="C1232" s="2"/>
      <c r="D1232" s="8">
        <v>2023</v>
      </c>
      <c r="E1232" s="103">
        <f>Data!U1232</f>
        <v>0</v>
      </c>
    </row>
    <row r="1233" spans="2:5" ht="15" customHeight="1" x14ac:dyDescent="0.3">
      <c r="C1233" s="2"/>
      <c r="D1233" s="8">
        <v>2024</v>
      </c>
      <c r="E1233" s="103">
        <f>Data!U1233</f>
        <v>0</v>
      </c>
    </row>
    <row r="1234" spans="2:5" ht="15" customHeight="1" x14ac:dyDescent="0.3">
      <c r="B1234" s="8">
        <v>113</v>
      </c>
      <c r="C1234" s="2" t="s">
        <v>90</v>
      </c>
      <c r="D1234" s="8">
        <v>2014</v>
      </c>
      <c r="E1234" s="103">
        <f>Data!U1234</f>
        <v>0</v>
      </c>
    </row>
    <row r="1235" spans="2:5" ht="15" customHeight="1" x14ac:dyDescent="0.3">
      <c r="C1235" s="2"/>
      <c r="D1235" s="8">
        <v>2015</v>
      </c>
      <c r="E1235" s="103">
        <f>Data!U1235</f>
        <v>0</v>
      </c>
    </row>
    <row r="1236" spans="2:5" ht="15" customHeight="1" x14ac:dyDescent="0.3">
      <c r="C1236" s="2"/>
      <c r="D1236" s="8">
        <v>2016</v>
      </c>
      <c r="E1236" s="103">
        <f>Data!U1236</f>
        <v>0</v>
      </c>
    </row>
    <row r="1237" spans="2:5" ht="15" customHeight="1" x14ac:dyDescent="0.3">
      <c r="C1237" s="2"/>
      <c r="D1237" s="8">
        <v>2017</v>
      </c>
      <c r="E1237" s="103">
        <f>Data!U1237</f>
        <v>0</v>
      </c>
    </row>
    <row r="1238" spans="2:5" ht="15" customHeight="1" x14ac:dyDescent="0.3">
      <c r="C1238" s="2"/>
      <c r="D1238" s="8">
        <v>2018</v>
      </c>
      <c r="E1238" s="103">
        <f>Data!U1238</f>
        <v>0</v>
      </c>
    </row>
    <row r="1239" spans="2:5" ht="15" customHeight="1" x14ac:dyDescent="0.3">
      <c r="C1239" s="2"/>
      <c r="D1239" s="8">
        <v>2019</v>
      </c>
      <c r="E1239" s="103">
        <f>Data!U1239</f>
        <v>0.05</v>
      </c>
    </row>
    <row r="1240" spans="2:5" ht="15" customHeight="1" x14ac:dyDescent="0.3">
      <c r="C1240" s="2"/>
      <c r="D1240" s="8">
        <v>2020</v>
      </c>
      <c r="E1240" s="103">
        <f>Data!U1240</f>
        <v>0.05</v>
      </c>
    </row>
    <row r="1241" spans="2:5" ht="15" customHeight="1" x14ac:dyDescent="0.3">
      <c r="C1241" s="2"/>
      <c r="D1241" s="8">
        <v>2021</v>
      </c>
      <c r="E1241" s="103">
        <f>Data!U1241</f>
        <v>0.05</v>
      </c>
    </row>
    <row r="1242" spans="2:5" ht="15" customHeight="1" x14ac:dyDescent="0.3">
      <c r="C1242" s="2"/>
      <c r="D1242" s="8">
        <v>2022</v>
      </c>
      <c r="E1242" s="103">
        <f>Data!U1242</f>
        <v>0</v>
      </c>
    </row>
    <row r="1243" spans="2:5" ht="15" customHeight="1" x14ac:dyDescent="0.3">
      <c r="C1243" s="2"/>
      <c r="D1243" s="8">
        <v>2023</v>
      </c>
      <c r="E1243" s="103">
        <f>Data!U1243</f>
        <v>0</v>
      </c>
    </row>
    <row r="1244" spans="2:5" ht="15" customHeight="1" x14ac:dyDescent="0.3">
      <c r="C1244" s="2"/>
      <c r="D1244" s="8">
        <v>2024</v>
      </c>
      <c r="E1244" s="103">
        <f>Data!U1244</f>
        <v>0</v>
      </c>
    </row>
    <row r="1245" spans="2:5" ht="15" customHeight="1" x14ac:dyDescent="0.3">
      <c r="B1245" s="8">
        <v>114</v>
      </c>
      <c r="C1245" s="2" t="s">
        <v>107</v>
      </c>
      <c r="D1245" s="8">
        <v>2014</v>
      </c>
      <c r="E1245" s="103">
        <f>Data!U1245</f>
        <v>0</v>
      </c>
    </row>
    <row r="1246" spans="2:5" ht="15" customHeight="1" x14ac:dyDescent="0.3">
      <c r="C1246" s="2"/>
      <c r="D1246" s="8">
        <v>2015</v>
      </c>
      <c r="E1246" s="103">
        <f>Data!U1246</f>
        <v>0.23</v>
      </c>
    </row>
    <row r="1247" spans="2:5" ht="15" customHeight="1" x14ac:dyDescent="0.3">
      <c r="C1247" s="2"/>
      <c r="D1247" s="8">
        <v>2016</v>
      </c>
      <c r="E1247" s="103">
        <f>Data!U1247</f>
        <v>0.23</v>
      </c>
    </row>
    <row r="1248" spans="2:5" ht="15" customHeight="1" x14ac:dyDescent="0.3">
      <c r="C1248" s="2"/>
      <c r="D1248" s="8">
        <v>2017</v>
      </c>
      <c r="E1248" s="103">
        <f>Data!U1248</f>
        <v>0.23</v>
      </c>
    </row>
    <row r="1249" spans="2:5" ht="15" customHeight="1" x14ac:dyDescent="0.3">
      <c r="C1249" s="2"/>
      <c r="D1249" s="8">
        <v>2018</v>
      </c>
      <c r="E1249" s="103">
        <f>Data!U1249</f>
        <v>0.23</v>
      </c>
    </row>
    <row r="1250" spans="2:5" ht="15" customHeight="1" x14ac:dyDescent="0.3">
      <c r="C1250" s="2"/>
      <c r="D1250" s="8">
        <v>2019</v>
      </c>
      <c r="E1250" s="103">
        <f>Data!U1250</f>
        <v>0.23</v>
      </c>
    </row>
    <row r="1251" spans="2:5" ht="15" customHeight="1" x14ac:dyDescent="0.3">
      <c r="C1251" s="2"/>
      <c r="D1251" s="8">
        <v>2020</v>
      </c>
      <c r="E1251" s="103">
        <f>Data!U1251</f>
        <v>0.23</v>
      </c>
    </row>
    <row r="1252" spans="2:5" ht="15" customHeight="1" x14ac:dyDescent="0.3">
      <c r="C1252" s="2"/>
      <c r="D1252" s="8">
        <v>2021</v>
      </c>
      <c r="E1252" s="103">
        <f>Data!U1252</f>
        <v>0</v>
      </c>
    </row>
    <row r="1253" spans="2:5" ht="15" customHeight="1" x14ac:dyDescent="0.3">
      <c r="C1253" s="2"/>
      <c r="D1253" s="8">
        <v>2022</v>
      </c>
      <c r="E1253" s="103">
        <f>Data!U1253</f>
        <v>0</v>
      </c>
    </row>
    <row r="1254" spans="2:5" ht="15" customHeight="1" x14ac:dyDescent="0.3">
      <c r="C1254" s="2"/>
      <c r="D1254" s="8">
        <v>2023</v>
      </c>
      <c r="E1254" s="103">
        <f>Data!U1254</f>
        <v>0</v>
      </c>
    </row>
    <row r="1255" spans="2:5" ht="15" customHeight="1" x14ac:dyDescent="0.3">
      <c r="C1255" s="2"/>
      <c r="D1255" s="8">
        <v>2024</v>
      </c>
      <c r="E1255" s="103">
        <f>Data!U1255</f>
        <v>0</v>
      </c>
    </row>
    <row r="1256" spans="2:5" ht="15" customHeight="1" x14ac:dyDescent="0.3">
      <c r="B1256" s="8">
        <v>115</v>
      </c>
      <c r="C1256" s="1" t="s">
        <v>128</v>
      </c>
      <c r="D1256" s="8">
        <v>2014</v>
      </c>
      <c r="E1256" s="103">
        <f>Data!U1256</f>
        <v>0</v>
      </c>
    </row>
    <row r="1257" spans="2:5" ht="15" customHeight="1" x14ac:dyDescent="0.3">
      <c r="C1257" s="1"/>
      <c r="D1257" s="8">
        <v>2015</v>
      </c>
      <c r="E1257" s="103">
        <f>Data!U1257</f>
        <v>0</v>
      </c>
    </row>
    <row r="1258" spans="2:5" ht="15" customHeight="1" x14ac:dyDescent="0.3">
      <c r="C1258" s="1"/>
      <c r="D1258" s="8">
        <v>2016</v>
      </c>
      <c r="E1258" s="103">
        <f>Data!U1258</f>
        <v>0</v>
      </c>
    </row>
    <row r="1259" spans="2:5" ht="15" customHeight="1" x14ac:dyDescent="0.3">
      <c r="C1259" s="1"/>
      <c r="D1259" s="8">
        <v>2017</v>
      </c>
      <c r="E1259" s="103">
        <f>Data!U1259</f>
        <v>0</v>
      </c>
    </row>
    <row r="1260" spans="2:5" ht="15" customHeight="1" x14ac:dyDescent="0.3">
      <c r="C1260" s="1"/>
      <c r="D1260" s="8">
        <v>2018</v>
      </c>
      <c r="E1260" s="103">
        <f>Data!U1260</f>
        <v>0</v>
      </c>
    </row>
    <row r="1261" spans="2:5" ht="15" customHeight="1" x14ac:dyDescent="0.3">
      <c r="C1261" s="1"/>
      <c r="D1261" s="8">
        <v>2019</v>
      </c>
      <c r="E1261" s="103">
        <f>Data!U1261</f>
        <v>0</v>
      </c>
    </row>
    <row r="1262" spans="2:5" ht="15" customHeight="1" x14ac:dyDescent="0.3">
      <c r="C1262" s="1"/>
      <c r="D1262" s="8">
        <v>2020</v>
      </c>
      <c r="E1262" s="103">
        <f>Data!U1262</f>
        <v>0</v>
      </c>
    </row>
    <row r="1263" spans="2:5" ht="15" customHeight="1" x14ac:dyDescent="0.3">
      <c r="C1263" s="1"/>
      <c r="D1263" s="8">
        <v>2021</v>
      </c>
      <c r="E1263" s="103">
        <f>Data!U1263</f>
        <v>0</v>
      </c>
    </row>
    <row r="1264" spans="2:5" ht="15" customHeight="1" x14ac:dyDescent="0.3">
      <c r="C1264" s="1"/>
      <c r="D1264" s="8">
        <v>2022</v>
      </c>
      <c r="E1264" s="103">
        <f>Data!U1264</f>
        <v>0.42309999999999998</v>
      </c>
    </row>
    <row r="1265" spans="2:5" ht="15" customHeight="1" x14ac:dyDescent="0.3">
      <c r="C1265" s="1"/>
      <c r="D1265" s="8">
        <v>2023</v>
      </c>
      <c r="E1265" s="103">
        <f>Data!U1265</f>
        <v>0.42309999999999998</v>
      </c>
    </row>
    <row r="1266" spans="2:5" ht="15" customHeight="1" x14ac:dyDescent="0.3">
      <c r="C1266" s="1"/>
      <c r="D1266" s="8">
        <v>2024</v>
      </c>
      <c r="E1266" s="103">
        <f>Data!U1266</f>
        <v>0.42309999999999998</v>
      </c>
    </row>
    <row r="1267" spans="2:5" ht="15" customHeight="1" x14ac:dyDescent="0.3">
      <c r="B1267" s="8">
        <v>116</v>
      </c>
      <c r="C1267" s="1" t="s">
        <v>127</v>
      </c>
      <c r="D1267" s="8">
        <v>2014</v>
      </c>
      <c r="E1267" s="103">
        <f>Data!U1267</f>
        <v>0</v>
      </c>
    </row>
    <row r="1268" spans="2:5" ht="15" customHeight="1" x14ac:dyDescent="0.3">
      <c r="C1268" s="1"/>
      <c r="D1268" s="8">
        <v>2015</v>
      </c>
      <c r="E1268" s="103">
        <f>Data!U1268</f>
        <v>0.25</v>
      </c>
    </row>
    <row r="1269" spans="2:5" ht="15" customHeight="1" x14ac:dyDescent="0.3">
      <c r="C1269" s="1"/>
      <c r="D1269" s="8">
        <v>2016</v>
      </c>
      <c r="E1269" s="103">
        <f>Data!U1269</f>
        <v>0.25</v>
      </c>
    </row>
    <row r="1270" spans="2:5" ht="15" customHeight="1" x14ac:dyDescent="0.3">
      <c r="C1270" s="1"/>
      <c r="D1270" s="8">
        <v>2017</v>
      </c>
      <c r="E1270" s="103">
        <f>Data!U1270</f>
        <v>0.25</v>
      </c>
    </row>
    <row r="1271" spans="2:5" ht="15" customHeight="1" x14ac:dyDescent="0.3">
      <c r="C1271" s="1"/>
      <c r="D1271" s="8">
        <v>2018</v>
      </c>
      <c r="E1271" s="103">
        <f>Data!U1271</f>
        <v>0.25</v>
      </c>
    </row>
    <row r="1272" spans="2:5" ht="15" customHeight="1" x14ac:dyDescent="0.3">
      <c r="C1272" s="1"/>
      <c r="D1272" s="8">
        <v>2019</v>
      </c>
      <c r="E1272" s="103">
        <f>Data!U1272</f>
        <v>0.25</v>
      </c>
    </row>
    <row r="1273" spans="2:5" ht="15" customHeight="1" x14ac:dyDescent="0.3">
      <c r="C1273" s="1"/>
      <c r="D1273" s="8">
        <v>2020</v>
      </c>
      <c r="E1273" s="103">
        <f>Data!U1273</f>
        <v>0.25</v>
      </c>
    </row>
    <row r="1274" spans="2:5" ht="15" customHeight="1" x14ac:dyDescent="0.3">
      <c r="C1274" s="1"/>
      <c r="D1274" s="8">
        <v>2021</v>
      </c>
      <c r="E1274" s="103">
        <f>Data!U1274</f>
        <v>0.25</v>
      </c>
    </row>
    <row r="1275" spans="2:5" ht="15" customHeight="1" x14ac:dyDescent="0.3">
      <c r="C1275" s="1"/>
      <c r="D1275" s="8">
        <v>2022</v>
      </c>
      <c r="E1275" s="103">
        <f>Data!U1275</f>
        <v>0.25</v>
      </c>
    </row>
    <row r="1276" spans="2:5" ht="15" customHeight="1" x14ac:dyDescent="0.3">
      <c r="C1276" s="1"/>
      <c r="D1276" s="8">
        <v>2023</v>
      </c>
      <c r="E1276" s="103">
        <f>Data!U1276</f>
        <v>0.25</v>
      </c>
    </row>
    <row r="1277" spans="2:5" ht="15" customHeight="1" x14ac:dyDescent="0.3">
      <c r="C1277" s="1"/>
      <c r="D1277" s="8">
        <v>2024</v>
      </c>
      <c r="E1277" s="103">
        <f>Data!U1277</f>
        <v>0.25</v>
      </c>
    </row>
    <row r="1278" spans="2:5" ht="15" customHeight="1" x14ac:dyDescent="0.3">
      <c r="B1278" s="8">
        <v>117</v>
      </c>
      <c r="C1278" s="2" t="s">
        <v>65</v>
      </c>
      <c r="D1278" s="8">
        <v>2014</v>
      </c>
      <c r="E1278" s="103">
        <f>Data!U1278</f>
        <v>0</v>
      </c>
    </row>
    <row r="1279" spans="2:5" ht="15" customHeight="1" x14ac:dyDescent="0.3">
      <c r="C1279" s="2"/>
      <c r="D1279" s="8">
        <v>2015</v>
      </c>
      <c r="E1279" s="103">
        <f>Data!U1279</f>
        <v>0</v>
      </c>
    </row>
    <row r="1280" spans="2:5" ht="15" customHeight="1" x14ac:dyDescent="0.3">
      <c r="C1280" s="2"/>
      <c r="D1280" s="8">
        <v>2016</v>
      </c>
      <c r="E1280" s="103">
        <f>Data!U1280</f>
        <v>0</v>
      </c>
    </row>
    <row r="1281" spans="2:5" ht="15" customHeight="1" x14ac:dyDescent="0.3">
      <c r="C1281" s="2"/>
      <c r="D1281" s="8">
        <v>2017</v>
      </c>
      <c r="E1281" s="103">
        <f>Data!U1281</f>
        <v>0</v>
      </c>
    </row>
    <row r="1282" spans="2:5" ht="15" customHeight="1" x14ac:dyDescent="0.3">
      <c r="C1282" s="2"/>
      <c r="D1282" s="8">
        <v>2018</v>
      </c>
      <c r="E1282" s="103">
        <f>Data!U1282</f>
        <v>0</v>
      </c>
    </row>
    <row r="1283" spans="2:5" ht="15" customHeight="1" x14ac:dyDescent="0.3">
      <c r="C1283" s="2"/>
      <c r="D1283" s="8">
        <v>2019</v>
      </c>
      <c r="E1283" s="103">
        <f>Data!U1283</f>
        <v>0</v>
      </c>
    </row>
    <row r="1284" spans="2:5" ht="15" customHeight="1" x14ac:dyDescent="0.3">
      <c r="C1284" s="2"/>
      <c r="D1284" s="8">
        <v>2020</v>
      </c>
      <c r="E1284" s="103">
        <f>Data!U1284</f>
        <v>0</v>
      </c>
    </row>
    <row r="1285" spans="2:5" ht="15" customHeight="1" x14ac:dyDescent="0.3">
      <c r="C1285" s="2"/>
      <c r="D1285" s="8">
        <v>2021</v>
      </c>
      <c r="E1285" s="103">
        <f>Data!U1285</f>
        <v>0</v>
      </c>
    </row>
    <row r="1286" spans="2:5" ht="15" customHeight="1" x14ac:dyDescent="0.3">
      <c r="C1286" s="2"/>
      <c r="D1286" s="8">
        <v>2022</v>
      </c>
      <c r="E1286" s="103">
        <f>Data!U1286</f>
        <v>0</v>
      </c>
    </row>
    <row r="1287" spans="2:5" ht="15" customHeight="1" x14ac:dyDescent="0.3">
      <c r="C1287" s="2"/>
      <c r="D1287" s="8">
        <v>2023</v>
      </c>
      <c r="E1287" s="103">
        <f>Data!U1287</f>
        <v>0</v>
      </c>
    </row>
    <row r="1288" spans="2:5" ht="15" customHeight="1" x14ac:dyDescent="0.3">
      <c r="C1288" s="2"/>
      <c r="D1288" s="8">
        <v>2024</v>
      </c>
      <c r="E1288" s="103">
        <f>Data!U1288</f>
        <v>0</v>
      </c>
    </row>
    <row r="1289" spans="2:5" ht="15" customHeight="1" x14ac:dyDescent="0.3">
      <c r="B1289" s="8">
        <v>118</v>
      </c>
      <c r="C1289" s="3" t="s">
        <v>89</v>
      </c>
      <c r="D1289" s="8">
        <v>2014</v>
      </c>
      <c r="E1289" s="103">
        <f>Data!U1289</f>
        <v>0</v>
      </c>
    </row>
    <row r="1290" spans="2:5" ht="15" customHeight="1" x14ac:dyDescent="0.3">
      <c r="C1290" s="3"/>
      <c r="D1290" s="8">
        <v>2015</v>
      </c>
      <c r="E1290" s="103">
        <f>Data!U1290</f>
        <v>0</v>
      </c>
    </row>
    <row r="1291" spans="2:5" ht="15" customHeight="1" x14ac:dyDescent="0.3">
      <c r="C1291" s="3"/>
      <c r="D1291" s="8">
        <v>2016</v>
      </c>
      <c r="E1291" s="103">
        <f>Data!U1291</f>
        <v>0</v>
      </c>
    </row>
    <row r="1292" spans="2:5" ht="15" customHeight="1" x14ac:dyDescent="0.3">
      <c r="C1292" s="3"/>
      <c r="D1292" s="8">
        <v>2017</v>
      </c>
      <c r="E1292" s="103">
        <f>Data!U1292</f>
        <v>0</v>
      </c>
    </row>
    <row r="1293" spans="2:5" ht="15" customHeight="1" x14ac:dyDescent="0.3">
      <c r="C1293" s="3"/>
      <c r="D1293" s="8">
        <v>2018</v>
      </c>
      <c r="E1293" s="103">
        <f>Data!U1293</f>
        <v>0</v>
      </c>
    </row>
    <row r="1294" spans="2:5" ht="15" customHeight="1" x14ac:dyDescent="0.3">
      <c r="C1294" s="3"/>
      <c r="D1294" s="8">
        <v>2019</v>
      </c>
      <c r="E1294" s="103">
        <f>Data!U1294</f>
        <v>0</v>
      </c>
    </row>
    <row r="1295" spans="2:5" ht="15" customHeight="1" x14ac:dyDescent="0.3">
      <c r="C1295" s="3"/>
      <c r="D1295" s="8">
        <v>2020</v>
      </c>
      <c r="E1295" s="103">
        <f>Data!U1295</f>
        <v>0</v>
      </c>
    </row>
    <row r="1296" spans="2:5" ht="15" customHeight="1" x14ac:dyDescent="0.3">
      <c r="C1296" s="3"/>
      <c r="D1296" s="8">
        <v>2021</v>
      </c>
      <c r="E1296" s="103">
        <f>Data!U1296</f>
        <v>0</v>
      </c>
    </row>
    <row r="1297" spans="2:5" ht="15" customHeight="1" x14ac:dyDescent="0.3">
      <c r="C1297" s="3"/>
      <c r="D1297" s="8">
        <v>2022</v>
      </c>
      <c r="E1297" s="103">
        <f>Data!U1297</f>
        <v>0</v>
      </c>
    </row>
    <row r="1298" spans="2:5" ht="15" customHeight="1" x14ac:dyDescent="0.3">
      <c r="C1298" s="3"/>
      <c r="D1298" s="8">
        <v>2023</v>
      </c>
      <c r="E1298" s="103">
        <f>Data!U1298</f>
        <v>0</v>
      </c>
    </row>
    <row r="1299" spans="2:5" ht="15" customHeight="1" x14ac:dyDescent="0.3">
      <c r="C1299" s="3"/>
      <c r="D1299" s="8">
        <v>2024</v>
      </c>
      <c r="E1299" s="103">
        <f>Data!U1299</f>
        <v>0</v>
      </c>
    </row>
    <row r="1300" spans="2:5" ht="15" customHeight="1" x14ac:dyDescent="0.3">
      <c r="B1300" s="8">
        <v>119</v>
      </c>
      <c r="C1300" s="2" t="s">
        <v>72</v>
      </c>
      <c r="D1300" s="8">
        <v>2014</v>
      </c>
      <c r="E1300" s="103">
        <f>Data!U1300</f>
        <v>0</v>
      </c>
    </row>
    <row r="1301" spans="2:5" ht="15" customHeight="1" x14ac:dyDescent="0.3">
      <c r="C1301" s="2"/>
      <c r="D1301" s="8">
        <v>2015</v>
      </c>
      <c r="E1301" s="103">
        <f>Data!U1301</f>
        <v>0</v>
      </c>
    </row>
    <row r="1302" spans="2:5" ht="15" customHeight="1" x14ac:dyDescent="0.3">
      <c r="C1302" s="2"/>
      <c r="D1302" s="8">
        <v>2016</v>
      </c>
      <c r="E1302" s="103">
        <f>Data!U1302</f>
        <v>0</v>
      </c>
    </row>
    <row r="1303" spans="2:5" ht="15" customHeight="1" x14ac:dyDescent="0.3">
      <c r="C1303" s="2"/>
      <c r="D1303" s="8">
        <v>2017</v>
      </c>
      <c r="E1303" s="103">
        <f>Data!U1303</f>
        <v>0</v>
      </c>
    </row>
    <row r="1304" spans="2:5" ht="15" customHeight="1" x14ac:dyDescent="0.3">
      <c r="C1304" s="2"/>
      <c r="D1304" s="8">
        <v>2018</v>
      </c>
      <c r="E1304" s="103">
        <f>Data!U1304</f>
        <v>0</v>
      </c>
    </row>
    <row r="1305" spans="2:5" ht="15" customHeight="1" x14ac:dyDescent="0.3">
      <c r="C1305" s="2"/>
      <c r="D1305" s="8">
        <v>2019</v>
      </c>
      <c r="E1305" s="103">
        <f>Data!U1305</f>
        <v>0</v>
      </c>
    </row>
    <row r="1306" spans="2:5" ht="15" customHeight="1" x14ac:dyDescent="0.3">
      <c r="C1306" s="2"/>
      <c r="D1306" s="8">
        <v>2020</v>
      </c>
      <c r="E1306" s="103">
        <f>Data!U1306</f>
        <v>0</v>
      </c>
    </row>
    <row r="1307" spans="2:5" ht="15" customHeight="1" x14ac:dyDescent="0.3">
      <c r="C1307" s="2"/>
      <c r="D1307" s="8">
        <v>2021</v>
      </c>
      <c r="E1307" s="103">
        <f>Data!U1307</f>
        <v>0</v>
      </c>
    </row>
    <row r="1308" spans="2:5" ht="15" customHeight="1" x14ac:dyDescent="0.3">
      <c r="C1308" s="2"/>
      <c r="D1308" s="8">
        <v>2022</v>
      </c>
      <c r="E1308" s="103">
        <f>Data!U1308</f>
        <v>0</v>
      </c>
    </row>
    <row r="1309" spans="2:5" ht="15" customHeight="1" x14ac:dyDescent="0.3">
      <c r="C1309" s="2"/>
      <c r="D1309" s="8">
        <v>2023</v>
      </c>
      <c r="E1309" s="103">
        <f>Data!U1309</f>
        <v>0</v>
      </c>
    </row>
    <row r="1310" spans="2:5" ht="15" customHeight="1" x14ac:dyDescent="0.3">
      <c r="C1310" s="2"/>
      <c r="D1310" s="8">
        <v>2024</v>
      </c>
      <c r="E1310" s="103">
        <f>Data!U1310</f>
        <v>0</v>
      </c>
    </row>
    <row r="1311" spans="2:5" ht="15" customHeight="1" x14ac:dyDescent="0.3">
      <c r="B1311" s="8">
        <v>120</v>
      </c>
      <c r="C1311" s="2" t="s">
        <v>108</v>
      </c>
      <c r="D1311" s="8">
        <v>2014</v>
      </c>
      <c r="E1311" s="103">
        <f>Data!U1311</f>
        <v>0</v>
      </c>
    </row>
    <row r="1312" spans="2:5" ht="15" customHeight="1" x14ac:dyDescent="0.3">
      <c r="C1312" s="2"/>
      <c r="D1312" s="8">
        <v>2015</v>
      </c>
      <c r="E1312" s="103">
        <f>Data!U1312</f>
        <v>0</v>
      </c>
    </row>
    <row r="1313" spans="2:5" ht="15" customHeight="1" x14ac:dyDescent="0.3">
      <c r="C1313" s="2"/>
      <c r="D1313" s="8">
        <v>2016</v>
      </c>
      <c r="E1313" s="103">
        <f>Data!U1313</f>
        <v>0</v>
      </c>
    </row>
    <row r="1314" spans="2:5" ht="15" customHeight="1" x14ac:dyDescent="0.3">
      <c r="C1314" s="2"/>
      <c r="D1314" s="8">
        <v>2017</v>
      </c>
      <c r="E1314" s="103">
        <f>Data!U1314</f>
        <v>0</v>
      </c>
    </row>
    <row r="1315" spans="2:5" ht="15" customHeight="1" x14ac:dyDescent="0.3">
      <c r="C1315" s="2"/>
      <c r="D1315" s="8">
        <v>2018</v>
      </c>
      <c r="E1315" s="103">
        <f>Data!U1315</f>
        <v>0</v>
      </c>
    </row>
    <row r="1316" spans="2:5" ht="15" customHeight="1" x14ac:dyDescent="0.3">
      <c r="C1316" s="2"/>
      <c r="D1316" s="8">
        <v>2019</v>
      </c>
      <c r="E1316" s="103">
        <f>Data!U1316</f>
        <v>0</v>
      </c>
    </row>
    <row r="1317" spans="2:5" ht="15" customHeight="1" x14ac:dyDescent="0.3">
      <c r="C1317" s="2"/>
      <c r="D1317" s="8">
        <v>2020</v>
      </c>
      <c r="E1317" s="103">
        <f>Data!U1317</f>
        <v>0</v>
      </c>
    </row>
    <row r="1318" spans="2:5" ht="15" customHeight="1" x14ac:dyDescent="0.3">
      <c r="C1318" s="2"/>
      <c r="D1318" s="8">
        <v>2021</v>
      </c>
      <c r="E1318" s="103">
        <f>Data!U1318</f>
        <v>0</v>
      </c>
    </row>
    <row r="1319" spans="2:5" ht="15" customHeight="1" x14ac:dyDescent="0.3">
      <c r="C1319" s="2"/>
      <c r="D1319" s="8">
        <v>2022</v>
      </c>
      <c r="E1319" s="103">
        <f>Data!U1319</f>
        <v>0</v>
      </c>
    </row>
    <row r="1320" spans="2:5" ht="15" customHeight="1" x14ac:dyDescent="0.3">
      <c r="C1320" s="2"/>
      <c r="D1320" s="8">
        <v>2023</v>
      </c>
      <c r="E1320" s="103">
        <f>Data!U1320</f>
        <v>0</v>
      </c>
    </row>
    <row r="1321" spans="2:5" ht="15" customHeight="1" x14ac:dyDescent="0.3">
      <c r="C1321" s="2"/>
      <c r="D1321" s="8">
        <v>2024</v>
      </c>
      <c r="E1321" s="103">
        <f>Data!U1321</f>
        <v>0</v>
      </c>
    </row>
    <row r="1322" spans="2:5" ht="15" customHeight="1" x14ac:dyDescent="0.3">
      <c r="B1322" s="8">
        <v>121</v>
      </c>
      <c r="C1322" s="2" t="s">
        <v>77</v>
      </c>
      <c r="D1322" s="8">
        <v>2014</v>
      </c>
      <c r="E1322" s="103">
        <f>Data!U1322</f>
        <v>0</v>
      </c>
    </row>
    <row r="1323" spans="2:5" ht="15" customHeight="1" x14ac:dyDescent="0.3">
      <c r="C1323" s="2"/>
      <c r="D1323" s="8">
        <v>2015</v>
      </c>
      <c r="E1323" s="103">
        <f>Data!U1323</f>
        <v>0</v>
      </c>
    </row>
    <row r="1324" spans="2:5" ht="15" customHeight="1" x14ac:dyDescent="0.3">
      <c r="C1324" s="2"/>
      <c r="D1324" s="8">
        <v>2016</v>
      </c>
      <c r="E1324" s="103">
        <f>Data!U1324</f>
        <v>0</v>
      </c>
    </row>
    <row r="1325" spans="2:5" ht="15" customHeight="1" x14ac:dyDescent="0.3">
      <c r="C1325" s="2"/>
      <c r="D1325" s="8">
        <v>2017</v>
      </c>
      <c r="E1325" s="103">
        <f>Data!U1325</f>
        <v>0</v>
      </c>
    </row>
    <row r="1326" spans="2:5" ht="15" customHeight="1" x14ac:dyDescent="0.3">
      <c r="C1326" s="2"/>
      <c r="D1326" s="8">
        <v>2018</v>
      </c>
      <c r="E1326" s="103">
        <f>Data!U1326</f>
        <v>0</v>
      </c>
    </row>
    <row r="1327" spans="2:5" ht="15" customHeight="1" x14ac:dyDescent="0.3">
      <c r="C1327" s="2"/>
      <c r="D1327" s="8">
        <v>2019</v>
      </c>
      <c r="E1327" s="103">
        <f>Data!U1327</f>
        <v>0</v>
      </c>
    </row>
    <row r="1328" spans="2:5" ht="15" customHeight="1" x14ac:dyDescent="0.3">
      <c r="C1328" s="2"/>
      <c r="D1328" s="8">
        <v>2020</v>
      </c>
      <c r="E1328" s="103">
        <f>Data!U1328</f>
        <v>0</v>
      </c>
    </row>
    <row r="1329" spans="2:5" ht="15" customHeight="1" x14ac:dyDescent="0.3">
      <c r="C1329" s="2"/>
      <c r="D1329" s="8">
        <v>2021</v>
      </c>
      <c r="E1329" s="103">
        <f>Data!U1329</f>
        <v>0</v>
      </c>
    </row>
    <row r="1330" spans="2:5" ht="15" customHeight="1" x14ac:dyDescent="0.3">
      <c r="C1330" s="2"/>
      <c r="D1330" s="8">
        <v>2022</v>
      </c>
      <c r="E1330" s="103">
        <f>Data!U1330</f>
        <v>0</v>
      </c>
    </row>
    <row r="1331" spans="2:5" ht="15" customHeight="1" x14ac:dyDescent="0.3">
      <c r="C1331" s="2"/>
      <c r="D1331" s="8">
        <v>2023</v>
      </c>
      <c r="E1331" s="103">
        <f>Data!U1331</f>
        <v>0</v>
      </c>
    </row>
    <row r="1332" spans="2:5" ht="15" customHeight="1" x14ac:dyDescent="0.3">
      <c r="C1332" s="2"/>
      <c r="D1332" s="8">
        <v>2024</v>
      </c>
      <c r="E1332" s="103">
        <f>Data!U1332</f>
        <v>0</v>
      </c>
    </row>
    <row r="1333" spans="2:5" ht="15" customHeight="1" x14ac:dyDescent="0.3">
      <c r="B1333" s="8">
        <v>122</v>
      </c>
      <c r="C1333" s="2" t="s">
        <v>109</v>
      </c>
      <c r="D1333" s="8">
        <v>2014</v>
      </c>
      <c r="E1333" s="103">
        <f>Data!U1333</f>
        <v>0</v>
      </c>
    </row>
    <row r="1334" spans="2:5" ht="15" customHeight="1" x14ac:dyDescent="0.3">
      <c r="C1334" s="2"/>
      <c r="D1334" s="8">
        <v>2015</v>
      </c>
      <c r="E1334" s="103">
        <f>Data!U1334</f>
        <v>0</v>
      </c>
    </row>
    <row r="1335" spans="2:5" ht="15" customHeight="1" x14ac:dyDescent="0.3">
      <c r="C1335" s="2"/>
      <c r="D1335" s="8">
        <v>2016</v>
      </c>
      <c r="E1335" s="103">
        <f>Data!U1335</f>
        <v>0</v>
      </c>
    </row>
    <row r="1336" spans="2:5" ht="15" customHeight="1" x14ac:dyDescent="0.3">
      <c r="C1336" s="2"/>
      <c r="D1336" s="8">
        <v>2017</v>
      </c>
      <c r="E1336" s="103">
        <f>Data!U1336</f>
        <v>0</v>
      </c>
    </row>
    <row r="1337" spans="2:5" ht="15" customHeight="1" x14ac:dyDescent="0.3">
      <c r="C1337" s="2"/>
      <c r="D1337" s="8">
        <v>2018</v>
      </c>
      <c r="E1337" s="103">
        <f>Data!U1337</f>
        <v>0</v>
      </c>
    </row>
    <row r="1338" spans="2:5" ht="15" customHeight="1" x14ac:dyDescent="0.3">
      <c r="C1338" s="2"/>
      <c r="D1338" s="8">
        <v>2019</v>
      </c>
      <c r="E1338" s="103">
        <f>Data!U1338</f>
        <v>0</v>
      </c>
    </row>
    <row r="1339" spans="2:5" ht="15" customHeight="1" x14ac:dyDescent="0.3">
      <c r="C1339" s="2"/>
      <c r="D1339" s="8">
        <v>2020</v>
      </c>
      <c r="E1339" s="103">
        <f>Data!U1339</f>
        <v>0</v>
      </c>
    </row>
    <row r="1340" spans="2:5" ht="15" customHeight="1" x14ac:dyDescent="0.3">
      <c r="C1340" s="2"/>
      <c r="D1340" s="8">
        <v>2021</v>
      </c>
      <c r="E1340" s="103">
        <f>Data!U1340</f>
        <v>0</v>
      </c>
    </row>
    <row r="1341" spans="2:5" ht="15" customHeight="1" x14ac:dyDescent="0.3">
      <c r="C1341" s="2"/>
      <c r="D1341" s="8">
        <v>2022</v>
      </c>
      <c r="E1341" s="103">
        <f>Data!U1341</f>
        <v>0</v>
      </c>
    </row>
    <row r="1342" spans="2:5" ht="15" customHeight="1" x14ac:dyDescent="0.3">
      <c r="C1342" s="2"/>
      <c r="D1342" s="8">
        <v>2023</v>
      </c>
      <c r="E1342" s="103">
        <f>Data!U1342</f>
        <v>0</v>
      </c>
    </row>
    <row r="1343" spans="2:5" ht="15" customHeight="1" x14ac:dyDescent="0.3">
      <c r="C1343" s="2"/>
      <c r="D1343" s="8">
        <v>2024</v>
      </c>
      <c r="E1343" s="103">
        <f>Data!U1343</f>
        <v>0</v>
      </c>
    </row>
    <row r="1344" spans="2:5" ht="15" customHeight="1" x14ac:dyDescent="0.3">
      <c r="B1344" s="8">
        <v>123</v>
      </c>
      <c r="C1344" s="2" t="s">
        <v>78</v>
      </c>
      <c r="D1344" s="8">
        <v>2014</v>
      </c>
      <c r="E1344" s="103">
        <f>Data!U1344</f>
        <v>0</v>
      </c>
    </row>
    <row r="1345" spans="2:5" ht="15" customHeight="1" x14ac:dyDescent="0.3">
      <c r="C1345" s="2"/>
      <c r="D1345" s="8">
        <v>2015</v>
      </c>
      <c r="E1345" s="103">
        <f>Data!U1345</f>
        <v>0</v>
      </c>
    </row>
    <row r="1346" spans="2:5" ht="15" customHeight="1" x14ac:dyDescent="0.3">
      <c r="C1346" s="2"/>
      <c r="D1346" s="8">
        <v>2016</v>
      </c>
      <c r="E1346" s="103">
        <f>Data!U1346</f>
        <v>0</v>
      </c>
    </row>
    <row r="1347" spans="2:5" ht="15" customHeight="1" x14ac:dyDescent="0.3">
      <c r="C1347" s="2"/>
      <c r="D1347" s="8">
        <v>2017</v>
      </c>
      <c r="E1347" s="103">
        <f>Data!U1347</f>
        <v>0</v>
      </c>
    </row>
    <row r="1348" spans="2:5" ht="15" customHeight="1" x14ac:dyDescent="0.3">
      <c r="C1348" s="2"/>
      <c r="D1348" s="8">
        <v>2018</v>
      </c>
      <c r="E1348" s="103">
        <f>Data!U1348</f>
        <v>0</v>
      </c>
    </row>
    <row r="1349" spans="2:5" ht="15" customHeight="1" x14ac:dyDescent="0.3">
      <c r="C1349" s="2"/>
      <c r="D1349" s="8">
        <v>2019</v>
      </c>
      <c r="E1349" s="103">
        <f>Data!U1349</f>
        <v>0</v>
      </c>
    </row>
    <row r="1350" spans="2:5" ht="15" customHeight="1" x14ac:dyDescent="0.3">
      <c r="C1350" s="2"/>
      <c r="D1350" s="8">
        <v>2020</v>
      </c>
      <c r="E1350" s="103">
        <f>Data!U1350</f>
        <v>0</v>
      </c>
    </row>
    <row r="1351" spans="2:5" ht="15" customHeight="1" x14ac:dyDescent="0.3">
      <c r="C1351" s="2"/>
      <c r="D1351" s="8">
        <v>2021</v>
      </c>
      <c r="E1351" s="103">
        <f>Data!U1351</f>
        <v>0</v>
      </c>
    </row>
    <row r="1352" spans="2:5" ht="15" customHeight="1" x14ac:dyDescent="0.3">
      <c r="C1352" s="2"/>
      <c r="D1352" s="8">
        <v>2022</v>
      </c>
      <c r="E1352" s="103">
        <f>Data!U1352</f>
        <v>0</v>
      </c>
    </row>
    <row r="1353" spans="2:5" ht="15" customHeight="1" x14ac:dyDescent="0.3">
      <c r="C1353" s="2"/>
      <c r="D1353" s="8">
        <v>2023</v>
      </c>
      <c r="E1353" s="103">
        <f>Data!U1353</f>
        <v>0</v>
      </c>
    </row>
    <row r="1354" spans="2:5" ht="15" customHeight="1" x14ac:dyDescent="0.3">
      <c r="C1354" s="2"/>
      <c r="D1354" s="8">
        <v>2024</v>
      </c>
      <c r="E1354" s="103">
        <f>Data!U1354</f>
        <v>0</v>
      </c>
    </row>
    <row r="1355" spans="2:5" ht="15" customHeight="1" x14ac:dyDescent="0.3">
      <c r="B1355" s="8">
        <v>124</v>
      </c>
      <c r="C1355" s="2" t="s">
        <v>110</v>
      </c>
      <c r="D1355" s="8">
        <v>2014</v>
      </c>
      <c r="E1355" s="103">
        <f>Data!U1355</f>
        <v>0</v>
      </c>
    </row>
    <row r="1356" spans="2:5" ht="15" customHeight="1" x14ac:dyDescent="0.3">
      <c r="C1356" s="2"/>
      <c r="D1356" s="8">
        <v>2015</v>
      </c>
      <c r="E1356" s="103">
        <f>Data!U1356</f>
        <v>0</v>
      </c>
    </row>
    <row r="1357" spans="2:5" ht="15" customHeight="1" x14ac:dyDescent="0.3">
      <c r="C1357" s="2"/>
      <c r="D1357" s="8">
        <v>2016</v>
      </c>
      <c r="E1357" s="103">
        <f>Data!U1357</f>
        <v>0</v>
      </c>
    </row>
    <row r="1358" spans="2:5" ht="15" customHeight="1" x14ac:dyDescent="0.3">
      <c r="C1358" s="2"/>
      <c r="D1358" s="8">
        <v>2017</v>
      </c>
      <c r="E1358" s="103">
        <f>Data!U1358</f>
        <v>0</v>
      </c>
    </row>
    <row r="1359" spans="2:5" ht="15" customHeight="1" x14ac:dyDescent="0.3">
      <c r="C1359" s="2"/>
      <c r="D1359" s="8">
        <v>2018</v>
      </c>
      <c r="E1359" s="103">
        <f>Data!U1359</f>
        <v>0</v>
      </c>
    </row>
    <row r="1360" spans="2:5" ht="15" customHeight="1" x14ac:dyDescent="0.3">
      <c r="C1360" s="2"/>
      <c r="D1360" s="8">
        <v>2019</v>
      </c>
      <c r="E1360" s="103">
        <f>Data!U1360</f>
        <v>0</v>
      </c>
    </row>
    <row r="1361" spans="2:5" ht="15" customHeight="1" x14ac:dyDescent="0.3">
      <c r="C1361" s="2"/>
      <c r="D1361" s="8">
        <v>2020</v>
      </c>
      <c r="E1361" s="103">
        <f>Data!U1361</f>
        <v>0</v>
      </c>
    </row>
    <row r="1362" spans="2:5" ht="15" customHeight="1" x14ac:dyDescent="0.3">
      <c r="C1362" s="2"/>
      <c r="D1362" s="8">
        <v>2021</v>
      </c>
      <c r="E1362" s="103">
        <f>Data!U1362</f>
        <v>0</v>
      </c>
    </row>
    <row r="1363" spans="2:5" ht="15" customHeight="1" x14ac:dyDescent="0.3">
      <c r="C1363" s="2"/>
      <c r="D1363" s="8">
        <v>2022</v>
      </c>
      <c r="E1363" s="103">
        <f>Data!U1363</f>
        <v>0</v>
      </c>
    </row>
    <row r="1364" spans="2:5" ht="15" customHeight="1" x14ac:dyDescent="0.3">
      <c r="C1364" s="2"/>
      <c r="D1364" s="8">
        <v>2023</v>
      </c>
      <c r="E1364" s="103">
        <f>Data!U1364</f>
        <v>0</v>
      </c>
    </row>
    <row r="1365" spans="2:5" ht="15" customHeight="1" x14ac:dyDescent="0.3">
      <c r="C1365" s="2"/>
      <c r="D1365" s="8">
        <v>2024</v>
      </c>
      <c r="E1365" s="103">
        <f>Data!U1365</f>
        <v>0</v>
      </c>
    </row>
    <row r="1366" spans="2:5" ht="15" customHeight="1" x14ac:dyDescent="0.3">
      <c r="B1366" s="8">
        <v>125</v>
      </c>
      <c r="C1366" s="2" t="s">
        <v>111</v>
      </c>
      <c r="D1366" s="8">
        <v>2014</v>
      </c>
      <c r="E1366" s="103">
        <f>Data!U1366</f>
        <v>0</v>
      </c>
    </row>
    <row r="1367" spans="2:5" ht="15" customHeight="1" x14ac:dyDescent="0.3">
      <c r="C1367" s="2"/>
      <c r="D1367" s="8">
        <v>2015</v>
      </c>
      <c r="E1367" s="103">
        <f>Data!U1367</f>
        <v>0</v>
      </c>
    </row>
    <row r="1368" spans="2:5" ht="15" customHeight="1" x14ac:dyDescent="0.3">
      <c r="C1368" s="2"/>
      <c r="D1368" s="8">
        <v>2016</v>
      </c>
      <c r="E1368" s="103">
        <f>Data!U1368</f>
        <v>0</v>
      </c>
    </row>
    <row r="1369" spans="2:5" ht="15" customHeight="1" x14ac:dyDescent="0.3">
      <c r="C1369" s="2"/>
      <c r="D1369" s="8">
        <v>2017</v>
      </c>
      <c r="E1369" s="103">
        <f>Data!U1369</f>
        <v>0</v>
      </c>
    </row>
    <row r="1370" spans="2:5" ht="15" customHeight="1" x14ac:dyDescent="0.3">
      <c r="C1370" s="2"/>
      <c r="D1370" s="8">
        <v>2018</v>
      </c>
      <c r="E1370" s="103">
        <f>Data!U1370</f>
        <v>0</v>
      </c>
    </row>
    <row r="1371" spans="2:5" ht="15" customHeight="1" x14ac:dyDescent="0.3">
      <c r="C1371" s="2"/>
      <c r="D1371" s="8">
        <v>2019</v>
      </c>
      <c r="E1371" s="103">
        <f>Data!U1371</f>
        <v>0</v>
      </c>
    </row>
    <row r="1372" spans="2:5" ht="15" customHeight="1" x14ac:dyDescent="0.3">
      <c r="C1372" s="2"/>
      <c r="D1372" s="8">
        <v>2020</v>
      </c>
      <c r="E1372" s="103">
        <f>Data!U1372</f>
        <v>0</v>
      </c>
    </row>
    <row r="1373" spans="2:5" ht="15" customHeight="1" x14ac:dyDescent="0.3">
      <c r="C1373" s="2"/>
      <c r="D1373" s="8">
        <v>2021</v>
      </c>
      <c r="E1373" s="103">
        <f>Data!U1373</f>
        <v>0</v>
      </c>
    </row>
    <row r="1374" spans="2:5" ht="15" customHeight="1" x14ac:dyDescent="0.3">
      <c r="C1374" s="2"/>
      <c r="D1374" s="8">
        <v>2022</v>
      </c>
      <c r="E1374" s="103">
        <f>Data!U1374</f>
        <v>0</v>
      </c>
    </row>
    <row r="1375" spans="2:5" ht="15" customHeight="1" x14ac:dyDescent="0.3">
      <c r="C1375" s="2"/>
      <c r="D1375" s="8">
        <v>2023</v>
      </c>
      <c r="E1375" s="103">
        <f>Data!U1375</f>
        <v>0</v>
      </c>
    </row>
    <row r="1376" spans="2:5" ht="15" customHeight="1" x14ac:dyDescent="0.3">
      <c r="C1376" s="2"/>
      <c r="D1376" s="8">
        <v>2024</v>
      </c>
      <c r="E1376" s="103">
        <f>Data!U1376</f>
        <v>0</v>
      </c>
    </row>
    <row r="1377" spans="2:5" ht="15" customHeight="1" x14ac:dyDescent="0.3">
      <c r="B1377" s="8">
        <v>126</v>
      </c>
      <c r="C1377" s="2" t="s">
        <v>86</v>
      </c>
      <c r="D1377" s="8">
        <v>2014</v>
      </c>
      <c r="E1377" s="103">
        <f>Data!U1377</f>
        <v>0</v>
      </c>
    </row>
    <row r="1378" spans="2:5" ht="15" customHeight="1" x14ac:dyDescent="0.3">
      <c r="C1378" s="2"/>
      <c r="D1378" s="8">
        <v>2015</v>
      </c>
      <c r="E1378" s="103">
        <f>Data!U1378</f>
        <v>0</v>
      </c>
    </row>
    <row r="1379" spans="2:5" ht="15" customHeight="1" x14ac:dyDescent="0.3">
      <c r="C1379" s="2"/>
      <c r="D1379" s="8">
        <v>2016</v>
      </c>
      <c r="E1379" s="103">
        <f>Data!U1379</f>
        <v>0</v>
      </c>
    </row>
    <row r="1380" spans="2:5" ht="15" customHeight="1" x14ac:dyDescent="0.3">
      <c r="C1380" s="2"/>
      <c r="D1380" s="8">
        <v>2017</v>
      </c>
      <c r="E1380" s="103">
        <f>Data!U1380</f>
        <v>0</v>
      </c>
    </row>
    <row r="1381" spans="2:5" ht="15" customHeight="1" x14ac:dyDescent="0.3">
      <c r="C1381" s="2"/>
      <c r="D1381" s="8">
        <v>2018</v>
      </c>
      <c r="E1381" s="103">
        <f>Data!U1381</f>
        <v>0</v>
      </c>
    </row>
    <row r="1382" spans="2:5" ht="15" customHeight="1" x14ac:dyDescent="0.3">
      <c r="C1382" s="2"/>
      <c r="D1382" s="8">
        <v>2019</v>
      </c>
      <c r="E1382" s="103">
        <f>Data!U1382</f>
        <v>0</v>
      </c>
    </row>
    <row r="1383" spans="2:5" ht="15" customHeight="1" x14ac:dyDescent="0.3">
      <c r="C1383" s="2"/>
      <c r="D1383" s="8">
        <v>2020</v>
      </c>
      <c r="E1383" s="103">
        <f>Data!U1383</f>
        <v>0</v>
      </c>
    </row>
    <row r="1384" spans="2:5" ht="15" customHeight="1" x14ac:dyDescent="0.3">
      <c r="C1384" s="2"/>
      <c r="D1384" s="8">
        <v>2021</v>
      </c>
      <c r="E1384" s="103">
        <f>Data!U1384</f>
        <v>0</v>
      </c>
    </row>
    <row r="1385" spans="2:5" ht="15" customHeight="1" x14ac:dyDescent="0.3">
      <c r="C1385" s="2"/>
      <c r="D1385" s="8">
        <v>2022</v>
      </c>
      <c r="E1385" s="103">
        <f>Data!U1385</f>
        <v>0</v>
      </c>
    </row>
    <row r="1386" spans="2:5" ht="15" customHeight="1" x14ac:dyDescent="0.3">
      <c r="C1386" s="2"/>
      <c r="D1386" s="8">
        <v>2023</v>
      </c>
      <c r="E1386" s="103">
        <f>Data!U1386</f>
        <v>0</v>
      </c>
    </row>
    <row r="1387" spans="2:5" ht="15" customHeight="1" x14ac:dyDescent="0.3">
      <c r="C1387" s="2"/>
      <c r="D1387" s="8">
        <v>2024</v>
      </c>
      <c r="E1387" s="103">
        <f>Data!U1387</f>
        <v>0</v>
      </c>
    </row>
    <row r="1388" spans="2:5" ht="15" customHeight="1" x14ac:dyDescent="0.3">
      <c r="B1388" s="8">
        <v>127</v>
      </c>
      <c r="C1388" s="2" t="s">
        <v>112</v>
      </c>
      <c r="D1388" s="8">
        <v>2014</v>
      </c>
      <c r="E1388" s="103">
        <f>Data!U1388</f>
        <v>0</v>
      </c>
    </row>
    <row r="1389" spans="2:5" ht="15" customHeight="1" x14ac:dyDescent="0.3">
      <c r="C1389" s="2"/>
      <c r="D1389" s="8">
        <v>2015</v>
      </c>
      <c r="E1389" s="103">
        <f>Data!U1389</f>
        <v>0</v>
      </c>
    </row>
    <row r="1390" spans="2:5" ht="15" customHeight="1" x14ac:dyDescent="0.3">
      <c r="C1390" s="2"/>
      <c r="D1390" s="8">
        <v>2016</v>
      </c>
      <c r="E1390" s="103">
        <f>Data!U1390</f>
        <v>0</v>
      </c>
    </row>
    <row r="1391" spans="2:5" ht="15" customHeight="1" x14ac:dyDescent="0.3">
      <c r="C1391" s="2"/>
      <c r="D1391" s="8">
        <v>2017</v>
      </c>
      <c r="E1391" s="103">
        <f>Data!U1391</f>
        <v>0.1028</v>
      </c>
    </row>
    <row r="1392" spans="2:5" ht="15" customHeight="1" x14ac:dyDescent="0.3">
      <c r="C1392" s="2"/>
      <c r="D1392" s="8">
        <v>2018</v>
      </c>
      <c r="E1392" s="103">
        <f>Data!U1392</f>
        <v>7.1599999999999997E-2</v>
      </c>
    </row>
    <row r="1393" spans="2:5" ht="15" customHeight="1" x14ac:dyDescent="0.3">
      <c r="C1393" s="2"/>
      <c r="D1393" s="8">
        <v>2019</v>
      </c>
      <c r="E1393" s="103">
        <f>Data!U1393</f>
        <v>7.1599999999999997E-2</v>
      </c>
    </row>
    <row r="1394" spans="2:5" ht="15" customHeight="1" x14ac:dyDescent="0.3">
      <c r="C1394" s="2"/>
      <c r="D1394" s="8">
        <v>2020</v>
      </c>
      <c r="E1394" s="103">
        <f>Data!U1394</f>
        <v>7.1599999999999997E-2</v>
      </c>
    </row>
    <row r="1395" spans="2:5" ht="15" customHeight="1" x14ac:dyDescent="0.3">
      <c r="C1395" s="2"/>
      <c r="D1395" s="8">
        <v>2021</v>
      </c>
      <c r="E1395" s="103">
        <f>Data!U1395</f>
        <v>7.1599999999999997E-2</v>
      </c>
    </row>
    <row r="1396" spans="2:5" ht="15" customHeight="1" x14ac:dyDescent="0.3">
      <c r="C1396" s="2"/>
      <c r="D1396" s="8">
        <v>2022</v>
      </c>
      <c r="E1396" s="103">
        <f>Data!U1396</f>
        <v>5.6399999999999999E-2</v>
      </c>
    </row>
    <row r="1397" spans="2:5" ht="15" customHeight="1" x14ac:dyDescent="0.3">
      <c r="C1397" s="2"/>
      <c r="D1397" s="8">
        <v>2023</v>
      </c>
      <c r="E1397" s="103">
        <f>Data!U1397</f>
        <v>5.6399999999999999E-2</v>
      </c>
    </row>
    <row r="1398" spans="2:5" ht="15" customHeight="1" x14ac:dyDescent="0.3">
      <c r="C1398" s="2"/>
      <c r="D1398" s="8">
        <v>2024</v>
      </c>
      <c r="E1398" s="103">
        <f>Data!U1398</f>
        <v>5.6399999999999999E-2</v>
      </c>
    </row>
    <row r="1399" spans="2:5" ht="15" customHeight="1" x14ac:dyDescent="0.3">
      <c r="B1399" s="8">
        <v>128</v>
      </c>
      <c r="C1399" s="2" t="s">
        <v>92</v>
      </c>
      <c r="D1399" s="8">
        <v>2014</v>
      </c>
      <c r="E1399" s="103">
        <f>Data!U1399</f>
        <v>0</v>
      </c>
    </row>
    <row r="1400" spans="2:5" ht="15" customHeight="1" x14ac:dyDescent="0.3">
      <c r="C1400" s="2"/>
      <c r="D1400" s="8">
        <v>2015</v>
      </c>
      <c r="E1400" s="103">
        <f>Data!U1400</f>
        <v>0</v>
      </c>
    </row>
    <row r="1401" spans="2:5" ht="15" customHeight="1" x14ac:dyDescent="0.3">
      <c r="C1401" s="2"/>
      <c r="D1401" s="8">
        <v>2016</v>
      </c>
      <c r="E1401" s="103">
        <f>Data!U1401</f>
        <v>0</v>
      </c>
    </row>
    <row r="1402" spans="2:5" ht="15" customHeight="1" x14ac:dyDescent="0.3">
      <c r="C1402" s="2"/>
      <c r="D1402" s="8">
        <v>2017</v>
      </c>
      <c r="E1402" s="103">
        <f>Data!U1402</f>
        <v>0</v>
      </c>
    </row>
    <row r="1403" spans="2:5" ht="15" customHeight="1" x14ac:dyDescent="0.3">
      <c r="C1403" s="2"/>
      <c r="D1403" s="8">
        <v>2018</v>
      </c>
      <c r="E1403" s="103">
        <f>Data!U1403</f>
        <v>0</v>
      </c>
    </row>
    <row r="1404" spans="2:5" ht="15" customHeight="1" x14ac:dyDescent="0.3">
      <c r="C1404" s="2"/>
      <c r="D1404" s="8">
        <v>2019</v>
      </c>
      <c r="E1404" s="103">
        <f>Data!U1404</f>
        <v>0</v>
      </c>
    </row>
    <row r="1405" spans="2:5" ht="15" customHeight="1" x14ac:dyDescent="0.3">
      <c r="C1405" s="2"/>
      <c r="D1405" s="8">
        <v>2020</v>
      </c>
      <c r="E1405" s="103">
        <f>Data!U1405</f>
        <v>0</v>
      </c>
    </row>
    <row r="1406" spans="2:5" ht="15" customHeight="1" x14ac:dyDescent="0.3">
      <c r="C1406" s="2"/>
      <c r="D1406" s="8">
        <v>2021</v>
      </c>
      <c r="E1406" s="103">
        <f>Data!U1406</f>
        <v>0</v>
      </c>
    </row>
    <row r="1407" spans="2:5" ht="15" customHeight="1" x14ac:dyDescent="0.3">
      <c r="C1407" s="2"/>
      <c r="D1407" s="8">
        <v>2022</v>
      </c>
      <c r="E1407" s="103">
        <f>Data!U1407</f>
        <v>0</v>
      </c>
    </row>
    <row r="1408" spans="2:5" ht="15" customHeight="1" x14ac:dyDescent="0.3">
      <c r="C1408" s="2"/>
      <c r="D1408" s="8">
        <v>2023</v>
      </c>
      <c r="E1408" s="103">
        <f>Data!U1408</f>
        <v>0</v>
      </c>
    </row>
    <row r="1409" spans="2:5" ht="15" customHeight="1" x14ac:dyDescent="0.3">
      <c r="C1409" s="2"/>
      <c r="D1409" s="8">
        <v>2024</v>
      </c>
      <c r="E1409" s="103">
        <f>Data!U1409</f>
        <v>0</v>
      </c>
    </row>
    <row r="1410" spans="2:5" ht="15" customHeight="1" x14ac:dyDescent="0.3">
      <c r="B1410" s="8">
        <v>129</v>
      </c>
      <c r="C1410" s="2" t="s">
        <v>87</v>
      </c>
      <c r="D1410" s="8">
        <v>2014</v>
      </c>
      <c r="E1410" s="103">
        <f>Data!U1410</f>
        <v>0</v>
      </c>
    </row>
    <row r="1411" spans="2:5" ht="15" customHeight="1" x14ac:dyDescent="0.3">
      <c r="C1411" s="2"/>
      <c r="D1411" s="8">
        <v>2015</v>
      </c>
      <c r="E1411" s="103">
        <f>Data!U1411</f>
        <v>0</v>
      </c>
    </row>
    <row r="1412" spans="2:5" ht="15" customHeight="1" x14ac:dyDescent="0.3">
      <c r="C1412" s="2"/>
      <c r="D1412" s="8">
        <v>2016</v>
      </c>
      <c r="E1412" s="103">
        <f>Data!U1412</f>
        <v>0</v>
      </c>
    </row>
    <row r="1413" spans="2:5" ht="15" customHeight="1" x14ac:dyDescent="0.3">
      <c r="C1413" s="2"/>
      <c r="D1413" s="8">
        <v>2017</v>
      </c>
      <c r="E1413" s="103">
        <f>Data!U1413</f>
        <v>0</v>
      </c>
    </row>
    <row r="1414" spans="2:5" ht="15" customHeight="1" x14ac:dyDescent="0.3">
      <c r="C1414" s="2"/>
      <c r="D1414" s="8">
        <v>2018</v>
      </c>
      <c r="E1414" s="103">
        <f>Data!U1414</f>
        <v>0</v>
      </c>
    </row>
    <row r="1415" spans="2:5" ht="15" customHeight="1" x14ac:dyDescent="0.3">
      <c r="C1415" s="2"/>
      <c r="D1415" s="8">
        <v>2019</v>
      </c>
      <c r="E1415" s="103">
        <f>Data!U1415</f>
        <v>0</v>
      </c>
    </row>
    <row r="1416" spans="2:5" ht="15" customHeight="1" x14ac:dyDescent="0.3">
      <c r="C1416" s="2"/>
      <c r="D1416" s="8">
        <v>2020</v>
      </c>
      <c r="E1416" s="103">
        <f>Data!U1416</f>
        <v>0</v>
      </c>
    </row>
    <row r="1417" spans="2:5" ht="15" customHeight="1" x14ac:dyDescent="0.3">
      <c r="C1417" s="2"/>
      <c r="D1417" s="8">
        <v>2021</v>
      </c>
      <c r="E1417" s="103">
        <f>Data!U1417</f>
        <v>0</v>
      </c>
    </row>
    <row r="1418" spans="2:5" ht="15" customHeight="1" x14ac:dyDescent="0.3">
      <c r="C1418" s="2"/>
      <c r="D1418" s="8">
        <v>2022</v>
      </c>
      <c r="E1418" s="103">
        <f>Data!U1418</f>
        <v>0</v>
      </c>
    </row>
    <row r="1419" spans="2:5" ht="15" customHeight="1" x14ac:dyDescent="0.3">
      <c r="C1419" s="2"/>
      <c r="D1419" s="8">
        <v>2023</v>
      </c>
      <c r="E1419" s="103">
        <f>Data!U1419</f>
        <v>0</v>
      </c>
    </row>
    <row r="1420" spans="2:5" ht="15" customHeight="1" x14ac:dyDescent="0.3">
      <c r="C1420" s="2"/>
      <c r="D1420" s="8">
        <v>2024</v>
      </c>
      <c r="E1420" s="103">
        <f>Data!U1420</f>
        <v>0</v>
      </c>
    </row>
    <row r="1421" spans="2:5" ht="15" customHeight="1" x14ac:dyDescent="0.3">
      <c r="B1421" s="8">
        <v>130</v>
      </c>
      <c r="C1421" s="2" t="s">
        <v>113</v>
      </c>
      <c r="D1421" s="8">
        <v>2014</v>
      </c>
      <c r="E1421" s="103">
        <f>Data!U1421</f>
        <v>0</v>
      </c>
    </row>
    <row r="1422" spans="2:5" ht="15" customHeight="1" x14ac:dyDescent="0.3">
      <c r="C1422" s="2"/>
      <c r="D1422" s="8">
        <v>2015</v>
      </c>
      <c r="E1422" s="103">
        <f>Data!U1422</f>
        <v>0</v>
      </c>
    </row>
    <row r="1423" spans="2:5" ht="15" customHeight="1" x14ac:dyDescent="0.3">
      <c r="C1423" s="2"/>
      <c r="D1423" s="8">
        <v>2016</v>
      </c>
      <c r="E1423" s="103">
        <f>Data!U1423</f>
        <v>0</v>
      </c>
    </row>
    <row r="1424" spans="2:5" ht="15" customHeight="1" x14ac:dyDescent="0.3">
      <c r="C1424" s="2"/>
      <c r="D1424" s="8">
        <v>2017</v>
      </c>
      <c r="E1424" s="103">
        <f>Data!U1424</f>
        <v>0</v>
      </c>
    </row>
    <row r="1425" spans="2:5" ht="15" customHeight="1" x14ac:dyDescent="0.3">
      <c r="C1425" s="2"/>
      <c r="D1425" s="8">
        <v>2018</v>
      </c>
      <c r="E1425" s="103">
        <f>Data!U1425</f>
        <v>0</v>
      </c>
    </row>
    <row r="1426" spans="2:5" ht="15" customHeight="1" x14ac:dyDescent="0.3">
      <c r="C1426" s="2"/>
      <c r="D1426" s="8">
        <v>2019</v>
      </c>
      <c r="E1426" s="103">
        <f>Data!U1426</f>
        <v>0</v>
      </c>
    </row>
    <row r="1427" spans="2:5" ht="15" customHeight="1" x14ac:dyDescent="0.3">
      <c r="C1427" s="2"/>
      <c r="D1427" s="8">
        <v>2020</v>
      </c>
      <c r="E1427" s="103">
        <f>Data!U1427</f>
        <v>0</v>
      </c>
    </row>
    <row r="1428" spans="2:5" ht="15" customHeight="1" x14ac:dyDescent="0.3">
      <c r="C1428" s="2"/>
      <c r="D1428" s="8">
        <v>2021</v>
      </c>
      <c r="E1428" s="103">
        <f>Data!U1428</f>
        <v>0</v>
      </c>
    </row>
    <row r="1429" spans="2:5" ht="15" customHeight="1" x14ac:dyDescent="0.3">
      <c r="C1429" s="2"/>
      <c r="D1429" s="8">
        <v>2022</v>
      </c>
      <c r="E1429" s="103">
        <f>Data!U1429</f>
        <v>0</v>
      </c>
    </row>
    <row r="1430" spans="2:5" ht="15" customHeight="1" x14ac:dyDescent="0.3">
      <c r="C1430" s="2"/>
      <c r="D1430" s="8">
        <v>2023</v>
      </c>
      <c r="E1430" s="103">
        <f>Data!U1430</f>
        <v>0</v>
      </c>
    </row>
    <row r="1431" spans="2:5" ht="15" customHeight="1" x14ac:dyDescent="0.3">
      <c r="C1431" s="2"/>
      <c r="D1431" s="8">
        <v>2024</v>
      </c>
      <c r="E1431" s="103">
        <f>Data!U1431</f>
        <v>0</v>
      </c>
    </row>
    <row r="1432" spans="2:5" ht="15" customHeight="1" x14ac:dyDescent="0.3">
      <c r="B1432" s="8">
        <v>131</v>
      </c>
      <c r="C1432" s="2" t="s">
        <v>121</v>
      </c>
      <c r="D1432" s="8">
        <v>2014</v>
      </c>
      <c r="E1432" s="103">
        <f>Data!U1432</f>
        <v>0</v>
      </c>
    </row>
    <row r="1433" spans="2:5" ht="15" customHeight="1" x14ac:dyDescent="0.3">
      <c r="C1433" s="2"/>
      <c r="D1433" s="8">
        <v>2015</v>
      </c>
      <c r="E1433" s="103">
        <f>Data!U1433</f>
        <v>0</v>
      </c>
    </row>
    <row r="1434" spans="2:5" ht="15" customHeight="1" x14ac:dyDescent="0.3">
      <c r="C1434" s="2"/>
      <c r="D1434" s="8">
        <v>2016</v>
      </c>
      <c r="E1434" s="103">
        <f>Data!U1434</f>
        <v>0</v>
      </c>
    </row>
    <row r="1435" spans="2:5" ht="15" customHeight="1" x14ac:dyDescent="0.3">
      <c r="C1435" s="2"/>
      <c r="D1435" s="8">
        <v>2017</v>
      </c>
      <c r="E1435" s="103">
        <f>Data!U1435</f>
        <v>0</v>
      </c>
    </row>
    <row r="1436" spans="2:5" ht="15" customHeight="1" x14ac:dyDescent="0.3">
      <c r="C1436" s="2"/>
      <c r="D1436" s="8">
        <v>2018</v>
      </c>
      <c r="E1436" s="103">
        <f>Data!U1436</f>
        <v>0</v>
      </c>
    </row>
    <row r="1437" spans="2:5" ht="15" customHeight="1" x14ac:dyDescent="0.3">
      <c r="C1437" s="2"/>
      <c r="D1437" s="8">
        <v>2019</v>
      </c>
      <c r="E1437" s="103">
        <f>Data!U1437</f>
        <v>0</v>
      </c>
    </row>
    <row r="1438" spans="2:5" ht="15" customHeight="1" x14ac:dyDescent="0.3">
      <c r="C1438" s="2"/>
      <c r="D1438" s="8">
        <v>2020</v>
      </c>
      <c r="E1438" s="103">
        <f>Data!U1438</f>
        <v>0</v>
      </c>
    </row>
    <row r="1439" spans="2:5" ht="15" customHeight="1" x14ac:dyDescent="0.3">
      <c r="C1439" s="2"/>
      <c r="D1439" s="8">
        <v>2021</v>
      </c>
      <c r="E1439" s="103">
        <f>Data!U1439</f>
        <v>0</v>
      </c>
    </row>
    <row r="1440" spans="2:5" ht="15" customHeight="1" x14ac:dyDescent="0.3">
      <c r="C1440" s="2"/>
      <c r="D1440" s="8">
        <v>2022</v>
      </c>
      <c r="E1440" s="103">
        <f>Data!U1440</f>
        <v>0</v>
      </c>
    </row>
    <row r="1441" spans="2:5" ht="15" customHeight="1" x14ac:dyDescent="0.3">
      <c r="C1441" s="2"/>
      <c r="D1441" s="8">
        <v>2023</v>
      </c>
      <c r="E1441" s="103">
        <f>Data!U1441</f>
        <v>0</v>
      </c>
    </row>
    <row r="1442" spans="2:5" ht="15" customHeight="1" x14ac:dyDescent="0.3">
      <c r="C1442" s="2"/>
      <c r="D1442" s="8">
        <v>2024</v>
      </c>
      <c r="E1442" s="103">
        <f>Data!U1442</f>
        <v>0</v>
      </c>
    </row>
    <row r="1443" spans="2:5" ht="15" customHeight="1" x14ac:dyDescent="0.3">
      <c r="B1443" s="8">
        <v>132</v>
      </c>
      <c r="C1443" s="2" t="s">
        <v>85</v>
      </c>
      <c r="D1443" s="8">
        <v>2014</v>
      </c>
      <c r="E1443" s="103">
        <f>Data!U1443</f>
        <v>0</v>
      </c>
    </row>
    <row r="1444" spans="2:5" ht="15" customHeight="1" x14ac:dyDescent="0.3">
      <c r="C1444" s="2"/>
      <c r="D1444" s="8">
        <v>2015</v>
      </c>
      <c r="E1444" s="103">
        <f>Data!U1444</f>
        <v>0</v>
      </c>
    </row>
    <row r="1445" spans="2:5" ht="15" customHeight="1" x14ac:dyDescent="0.3">
      <c r="C1445" s="2"/>
      <c r="D1445" s="8">
        <v>2016</v>
      </c>
      <c r="E1445" s="103">
        <f>Data!U1445</f>
        <v>0</v>
      </c>
    </row>
    <row r="1446" spans="2:5" ht="15" customHeight="1" x14ac:dyDescent="0.3">
      <c r="C1446" s="2"/>
      <c r="D1446" s="8">
        <v>2017</v>
      </c>
      <c r="E1446" s="103">
        <f>Data!U1446</f>
        <v>0</v>
      </c>
    </row>
    <row r="1447" spans="2:5" ht="15" customHeight="1" x14ac:dyDescent="0.3">
      <c r="C1447" s="2"/>
      <c r="D1447" s="8">
        <v>2018</v>
      </c>
      <c r="E1447" s="103">
        <f>Data!U1447</f>
        <v>0</v>
      </c>
    </row>
    <row r="1448" spans="2:5" ht="15" customHeight="1" x14ac:dyDescent="0.3">
      <c r="C1448" s="2"/>
      <c r="D1448" s="8">
        <v>2019</v>
      </c>
      <c r="E1448" s="103">
        <f>Data!U1448</f>
        <v>0</v>
      </c>
    </row>
    <row r="1449" spans="2:5" ht="15" customHeight="1" x14ac:dyDescent="0.3">
      <c r="C1449" s="2"/>
      <c r="D1449" s="8">
        <v>2020</v>
      </c>
      <c r="E1449" s="103">
        <f>Data!U1449</f>
        <v>0</v>
      </c>
    </row>
    <row r="1450" spans="2:5" ht="15" customHeight="1" x14ac:dyDescent="0.3">
      <c r="C1450" s="2"/>
      <c r="D1450" s="8">
        <v>2021</v>
      </c>
      <c r="E1450" s="103">
        <f>Data!U1450</f>
        <v>0</v>
      </c>
    </row>
    <row r="1451" spans="2:5" ht="15" customHeight="1" x14ac:dyDescent="0.3">
      <c r="C1451" s="2"/>
      <c r="D1451" s="8">
        <v>2022</v>
      </c>
      <c r="E1451" s="103">
        <f>Data!U1451</f>
        <v>0</v>
      </c>
    </row>
    <row r="1452" spans="2:5" ht="15" customHeight="1" x14ac:dyDescent="0.3">
      <c r="C1452" s="2"/>
      <c r="D1452" s="8">
        <v>2023</v>
      </c>
      <c r="E1452" s="103">
        <f>Data!U1452</f>
        <v>0</v>
      </c>
    </row>
    <row r="1453" spans="2:5" ht="15" customHeight="1" x14ac:dyDescent="0.3">
      <c r="C1453" s="2"/>
      <c r="D1453" s="8">
        <v>2024</v>
      </c>
      <c r="E1453" s="103">
        <f>Data!U1453</f>
        <v>0</v>
      </c>
    </row>
    <row r="1454" spans="2:5" ht="15" customHeight="1" x14ac:dyDescent="0.3">
      <c r="B1454" s="8">
        <v>133</v>
      </c>
      <c r="C1454" s="1" t="s">
        <v>126</v>
      </c>
      <c r="D1454" s="8">
        <v>2014</v>
      </c>
      <c r="E1454" s="103">
        <f>Data!U1454</f>
        <v>0</v>
      </c>
    </row>
    <row r="1455" spans="2:5" ht="15" customHeight="1" x14ac:dyDescent="0.3">
      <c r="C1455" s="1"/>
      <c r="D1455" s="8">
        <v>2015</v>
      </c>
      <c r="E1455" s="103">
        <f>Data!U1455</f>
        <v>0</v>
      </c>
    </row>
    <row r="1456" spans="2:5" ht="15" customHeight="1" x14ac:dyDescent="0.3">
      <c r="C1456" s="1"/>
      <c r="D1456" s="8">
        <v>2016</v>
      </c>
      <c r="E1456" s="103">
        <f>Data!U1456</f>
        <v>0</v>
      </c>
    </row>
    <row r="1457" spans="2:5" ht="15" customHeight="1" x14ac:dyDescent="0.3">
      <c r="C1457" s="1"/>
      <c r="D1457" s="8">
        <v>2017</v>
      </c>
      <c r="E1457" s="103">
        <f>Data!U1457</f>
        <v>0</v>
      </c>
    </row>
    <row r="1458" spans="2:5" ht="15" customHeight="1" x14ac:dyDescent="0.3">
      <c r="C1458" s="1"/>
      <c r="D1458" s="8">
        <v>2018</v>
      </c>
      <c r="E1458" s="103">
        <f>Data!U1458</f>
        <v>0</v>
      </c>
    </row>
    <row r="1459" spans="2:5" ht="15" customHeight="1" x14ac:dyDescent="0.3">
      <c r="C1459" s="1"/>
      <c r="D1459" s="8">
        <v>2019</v>
      </c>
      <c r="E1459" s="103">
        <f>Data!U1459</f>
        <v>0</v>
      </c>
    </row>
    <row r="1460" spans="2:5" ht="15" customHeight="1" x14ac:dyDescent="0.3">
      <c r="C1460" s="1"/>
      <c r="D1460" s="8">
        <v>2020</v>
      </c>
      <c r="E1460" s="103">
        <f>Data!U1460</f>
        <v>0</v>
      </c>
    </row>
    <row r="1461" spans="2:5" ht="15" customHeight="1" x14ac:dyDescent="0.3">
      <c r="C1461" s="1"/>
      <c r="D1461" s="8">
        <v>2021</v>
      </c>
      <c r="E1461" s="103">
        <f>Data!U1461</f>
        <v>0</v>
      </c>
    </row>
    <row r="1462" spans="2:5" ht="15" customHeight="1" x14ac:dyDescent="0.3">
      <c r="C1462" s="1"/>
      <c r="D1462" s="8">
        <v>2022</v>
      </c>
      <c r="E1462" s="103">
        <f>Data!U1462</f>
        <v>0</v>
      </c>
    </row>
    <row r="1463" spans="2:5" ht="15" customHeight="1" x14ac:dyDescent="0.3">
      <c r="C1463" s="1"/>
      <c r="D1463" s="8">
        <v>2023</v>
      </c>
      <c r="E1463" s="103">
        <f>Data!U1463</f>
        <v>0</v>
      </c>
    </row>
    <row r="1464" spans="2:5" ht="15" customHeight="1" x14ac:dyDescent="0.3">
      <c r="C1464" s="1"/>
      <c r="D1464" s="8">
        <v>2024</v>
      </c>
      <c r="E1464" s="103">
        <f>Data!U1464</f>
        <v>0</v>
      </c>
    </row>
    <row r="1465" spans="2:5" ht="15" customHeight="1" x14ac:dyDescent="0.3">
      <c r="B1465" s="8">
        <v>134</v>
      </c>
      <c r="C1465" s="2" t="s">
        <v>95</v>
      </c>
      <c r="D1465" s="8">
        <v>2014</v>
      </c>
      <c r="E1465" s="103">
        <f>Data!U1465</f>
        <v>0</v>
      </c>
    </row>
    <row r="1466" spans="2:5" ht="15" customHeight="1" x14ac:dyDescent="0.3">
      <c r="C1466" s="2"/>
      <c r="D1466" s="8">
        <v>2015</v>
      </c>
      <c r="E1466" s="103">
        <f>Data!U1466</f>
        <v>0</v>
      </c>
    </row>
    <row r="1467" spans="2:5" ht="15" customHeight="1" x14ac:dyDescent="0.3">
      <c r="C1467" s="2"/>
      <c r="D1467" s="8">
        <v>2016</v>
      </c>
      <c r="E1467" s="103">
        <f>Data!U1467</f>
        <v>0</v>
      </c>
    </row>
    <row r="1468" spans="2:5" ht="15" customHeight="1" x14ac:dyDescent="0.3">
      <c r="C1468" s="2"/>
      <c r="D1468" s="8">
        <v>2017</v>
      </c>
      <c r="E1468" s="103">
        <f>Data!U1468</f>
        <v>0</v>
      </c>
    </row>
    <row r="1469" spans="2:5" ht="15" customHeight="1" x14ac:dyDescent="0.3">
      <c r="C1469" s="2"/>
      <c r="D1469" s="8">
        <v>2018</v>
      </c>
      <c r="E1469" s="103">
        <f>Data!U1469</f>
        <v>0</v>
      </c>
    </row>
    <row r="1470" spans="2:5" ht="15" customHeight="1" x14ac:dyDescent="0.3">
      <c r="C1470" s="2"/>
      <c r="D1470" s="8">
        <v>2019</v>
      </c>
      <c r="E1470" s="103">
        <f>Data!U1470</f>
        <v>0</v>
      </c>
    </row>
    <row r="1471" spans="2:5" ht="15" customHeight="1" x14ac:dyDescent="0.3">
      <c r="C1471" s="2"/>
      <c r="D1471" s="8">
        <v>2020</v>
      </c>
      <c r="E1471" s="103">
        <f>Data!U1471</f>
        <v>0</v>
      </c>
    </row>
    <row r="1472" spans="2:5" ht="15" customHeight="1" x14ac:dyDescent="0.3">
      <c r="C1472" s="2"/>
      <c r="D1472" s="8">
        <v>2021</v>
      </c>
      <c r="E1472" s="103">
        <f>Data!U1472</f>
        <v>0</v>
      </c>
    </row>
    <row r="1473" spans="1:5" ht="15" customHeight="1" x14ac:dyDescent="0.3">
      <c r="C1473" s="2"/>
      <c r="D1473" s="8">
        <v>2022</v>
      </c>
      <c r="E1473" s="103">
        <f>Data!U1473</f>
        <v>0</v>
      </c>
    </row>
    <row r="1474" spans="1:5" ht="15" customHeight="1" x14ac:dyDescent="0.3">
      <c r="C1474" s="2"/>
      <c r="D1474" s="8">
        <v>2023</v>
      </c>
      <c r="E1474" s="103">
        <f>Data!U1474</f>
        <v>0</v>
      </c>
    </row>
    <row r="1475" spans="1:5" ht="15" customHeight="1" x14ac:dyDescent="0.3">
      <c r="C1475" s="2"/>
      <c r="D1475" s="8">
        <v>2024</v>
      </c>
      <c r="E1475" s="103">
        <f>Data!U1475</f>
        <v>0</v>
      </c>
    </row>
    <row r="1476" spans="1:5" ht="15" customHeight="1" x14ac:dyDescent="0.3">
      <c r="B1476" s="8">
        <v>135</v>
      </c>
      <c r="C1476" s="1" t="s">
        <v>133</v>
      </c>
      <c r="D1476" s="8">
        <v>2014</v>
      </c>
      <c r="E1476" s="103">
        <f>Data!U1476</f>
        <v>0</v>
      </c>
    </row>
    <row r="1477" spans="1:5" ht="15" customHeight="1" x14ac:dyDescent="0.3">
      <c r="C1477" s="1"/>
      <c r="D1477" s="8">
        <v>2015</v>
      </c>
      <c r="E1477" s="103">
        <f>Data!U1477</f>
        <v>0</v>
      </c>
    </row>
    <row r="1478" spans="1:5" ht="15" customHeight="1" x14ac:dyDescent="0.3">
      <c r="C1478" s="1"/>
      <c r="D1478" s="8">
        <v>2016</v>
      </c>
      <c r="E1478" s="103">
        <f>Data!U1478</f>
        <v>0</v>
      </c>
    </row>
    <row r="1479" spans="1:5" ht="15" customHeight="1" x14ac:dyDescent="0.3">
      <c r="C1479" s="1"/>
      <c r="D1479" s="8">
        <v>2017</v>
      </c>
      <c r="E1479" s="103">
        <f>Data!U1479</f>
        <v>0</v>
      </c>
    </row>
    <row r="1480" spans="1:5" ht="15" customHeight="1" x14ac:dyDescent="0.3">
      <c r="C1480" s="1"/>
      <c r="D1480" s="8">
        <v>2018</v>
      </c>
      <c r="E1480" s="103">
        <f>Data!U1480</f>
        <v>0</v>
      </c>
    </row>
    <row r="1481" spans="1:5" ht="15" customHeight="1" x14ac:dyDescent="0.3">
      <c r="C1481" s="1"/>
      <c r="D1481" s="8">
        <v>2019</v>
      </c>
      <c r="E1481" s="103">
        <f>Data!U1481</f>
        <v>0</v>
      </c>
    </row>
    <row r="1482" spans="1:5" ht="15" customHeight="1" x14ac:dyDescent="0.3">
      <c r="C1482" s="1"/>
      <c r="D1482" s="8">
        <v>2020</v>
      </c>
      <c r="E1482" s="103">
        <f>Data!U1482</f>
        <v>0</v>
      </c>
    </row>
    <row r="1483" spans="1:5" ht="15" customHeight="1" x14ac:dyDescent="0.3">
      <c r="C1483" s="1"/>
      <c r="D1483" s="8">
        <v>2021</v>
      </c>
      <c r="E1483" s="103">
        <f>Data!U1483</f>
        <v>0</v>
      </c>
    </row>
    <row r="1484" spans="1:5" ht="15" customHeight="1" x14ac:dyDescent="0.3">
      <c r="C1484" s="1"/>
      <c r="D1484" s="8">
        <v>2022</v>
      </c>
      <c r="E1484" s="103">
        <f>Data!U1484</f>
        <v>0</v>
      </c>
    </row>
    <row r="1485" spans="1:5" ht="15" customHeight="1" x14ac:dyDescent="0.3">
      <c r="C1485" s="1"/>
      <c r="D1485" s="8">
        <v>2023</v>
      </c>
      <c r="E1485" s="103">
        <f>Data!U1485</f>
        <v>0</v>
      </c>
    </row>
    <row r="1486" spans="1:5" ht="15" customHeight="1" x14ac:dyDescent="0.3">
      <c r="C1486" s="1"/>
      <c r="D1486" s="8">
        <v>2024</v>
      </c>
      <c r="E1486" s="103">
        <f>Data!U1486</f>
        <v>0</v>
      </c>
    </row>
    <row r="1487" spans="1:5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03">
        <f>Data!U1487</f>
        <v>0</v>
      </c>
    </row>
    <row r="1488" spans="1:5" ht="15" customHeight="1" x14ac:dyDescent="0.3">
      <c r="C1488" s="1"/>
      <c r="D1488" s="8">
        <v>2015</v>
      </c>
      <c r="E1488" s="103">
        <f>Data!U1488</f>
        <v>0</v>
      </c>
    </row>
    <row r="1489" spans="2:5" ht="15" customHeight="1" x14ac:dyDescent="0.3">
      <c r="C1489" s="1"/>
      <c r="D1489" s="8">
        <v>2016</v>
      </c>
      <c r="E1489" s="103">
        <f>Data!U1489</f>
        <v>0</v>
      </c>
    </row>
    <row r="1490" spans="2:5" ht="15" customHeight="1" x14ac:dyDescent="0.3">
      <c r="C1490" s="1"/>
      <c r="D1490" s="8">
        <v>2017</v>
      </c>
      <c r="E1490" s="103">
        <f>Data!U1490</f>
        <v>0</v>
      </c>
    </row>
    <row r="1491" spans="2:5" ht="15" customHeight="1" x14ac:dyDescent="0.3">
      <c r="C1491" s="1"/>
      <c r="D1491" s="8">
        <v>2018</v>
      </c>
      <c r="E1491" s="103">
        <f>Data!U1491</f>
        <v>0</v>
      </c>
    </row>
    <row r="1492" spans="2:5" ht="15" customHeight="1" x14ac:dyDescent="0.3">
      <c r="C1492" s="1"/>
      <c r="D1492" s="8">
        <v>2019</v>
      </c>
      <c r="E1492" s="103">
        <f>Data!U1492</f>
        <v>0</v>
      </c>
    </row>
    <row r="1493" spans="2:5" ht="15" customHeight="1" x14ac:dyDescent="0.3">
      <c r="C1493" s="1"/>
      <c r="D1493" s="8">
        <v>2020</v>
      </c>
      <c r="E1493" s="103">
        <f>Data!U1493</f>
        <v>0</v>
      </c>
    </row>
    <row r="1494" spans="2:5" ht="15" customHeight="1" x14ac:dyDescent="0.3">
      <c r="C1494" s="1"/>
      <c r="D1494" s="8">
        <v>2021</v>
      </c>
      <c r="E1494" s="103">
        <f>Data!U1494</f>
        <v>0</v>
      </c>
    </row>
    <row r="1495" spans="2:5" ht="15" customHeight="1" x14ac:dyDescent="0.3">
      <c r="C1495" s="1"/>
      <c r="D1495" s="8">
        <v>2022</v>
      </c>
      <c r="E1495" s="103">
        <f>Data!U1495</f>
        <v>0</v>
      </c>
    </row>
    <row r="1496" spans="2:5" ht="15" customHeight="1" x14ac:dyDescent="0.3">
      <c r="C1496" s="1"/>
      <c r="D1496" s="8">
        <v>2023</v>
      </c>
      <c r="E1496" s="103">
        <f>Data!U1496</f>
        <v>0</v>
      </c>
    </row>
    <row r="1497" spans="2:5" ht="15" customHeight="1" x14ac:dyDescent="0.3">
      <c r="C1497" s="1"/>
      <c r="D1497" s="8">
        <v>2024</v>
      </c>
      <c r="E1497" s="103">
        <f>Data!U1497</f>
        <v>0</v>
      </c>
    </row>
    <row r="1498" spans="2:5" ht="15" customHeight="1" x14ac:dyDescent="0.3">
      <c r="B1498" s="8">
        <v>137</v>
      </c>
      <c r="C1498" s="1" t="s">
        <v>136</v>
      </c>
      <c r="D1498" s="8">
        <v>2014</v>
      </c>
      <c r="E1498" s="103">
        <f>Data!U1498</f>
        <v>0</v>
      </c>
    </row>
    <row r="1499" spans="2:5" ht="15" customHeight="1" x14ac:dyDescent="0.3">
      <c r="C1499" s="1"/>
      <c r="D1499" s="8">
        <v>2015</v>
      </c>
      <c r="E1499" s="103">
        <f>Data!U1499</f>
        <v>0</v>
      </c>
    </row>
    <row r="1500" spans="2:5" ht="15" customHeight="1" x14ac:dyDescent="0.3">
      <c r="C1500" s="1"/>
      <c r="D1500" s="8">
        <v>2016</v>
      </c>
      <c r="E1500" s="103">
        <f>Data!U1500</f>
        <v>0</v>
      </c>
    </row>
    <row r="1501" spans="2:5" ht="15" customHeight="1" x14ac:dyDescent="0.3">
      <c r="C1501" s="1"/>
      <c r="D1501" s="8">
        <v>2017</v>
      </c>
      <c r="E1501" s="103">
        <f>Data!U1501</f>
        <v>0</v>
      </c>
    </row>
    <row r="1502" spans="2:5" ht="15" customHeight="1" x14ac:dyDescent="0.3">
      <c r="C1502" s="1"/>
      <c r="D1502" s="8">
        <v>2018</v>
      </c>
      <c r="E1502" s="103">
        <f>Data!U1502</f>
        <v>0</v>
      </c>
    </row>
    <row r="1503" spans="2:5" ht="15" customHeight="1" x14ac:dyDescent="0.3">
      <c r="C1503" s="1"/>
      <c r="D1503" s="8">
        <v>2019</v>
      </c>
      <c r="E1503" s="103">
        <f>Data!U1503</f>
        <v>0</v>
      </c>
    </row>
    <row r="1504" spans="2:5" ht="15" customHeight="1" x14ac:dyDescent="0.3">
      <c r="C1504" s="1"/>
      <c r="D1504" s="8">
        <v>2020</v>
      </c>
      <c r="E1504" s="103">
        <f>Data!U1504</f>
        <v>0</v>
      </c>
    </row>
    <row r="1505" spans="2:5" ht="15" customHeight="1" x14ac:dyDescent="0.3">
      <c r="C1505" s="1"/>
      <c r="D1505" s="8">
        <v>2021</v>
      </c>
      <c r="E1505" s="103">
        <f>Data!U1505</f>
        <v>0</v>
      </c>
    </row>
    <row r="1506" spans="2:5" ht="15" customHeight="1" x14ac:dyDescent="0.3">
      <c r="C1506" s="1"/>
      <c r="D1506" s="8">
        <v>2022</v>
      </c>
      <c r="E1506" s="103">
        <f>Data!U1506</f>
        <v>0</v>
      </c>
    </row>
    <row r="1507" spans="2:5" ht="15" customHeight="1" x14ac:dyDescent="0.3">
      <c r="C1507" s="1"/>
      <c r="D1507" s="8">
        <v>2023</v>
      </c>
      <c r="E1507" s="103">
        <f>Data!U1507</f>
        <v>0</v>
      </c>
    </row>
    <row r="1508" spans="2:5" ht="15" customHeight="1" x14ac:dyDescent="0.3">
      <c r="C1508" s="1"/>
      <c r="D1508" s="8">
        <v>2024</v>
      </c>
      <c r="E1508" s="103">
        <f>Data!U1508</f>
        <v>0</v>
      </c>
    </row>
    <row r="1509" spans="2:5" ht="15" customHeight="1" x14ac:dyDescent="0.3">
      <c r="B1509" s="8">
        <v>138</v>
      </c>
      <c r="C1509" s="1" t="s">
        <v>143</v>
      </c>
      <c r="D1509" s="8">
        <v>2014</v>
      </c>
      <c r="E1509" s="103">
        <f>Data!U1509</f>
        <v>0</v>
      </c>
    </row>
    <row r="1510" spans="2:5" ht="15" customHeight="1" x14ac:dyDescent="0.3">
      <c r="C1510" s="1"/>
      <c r="D1510" s="8">
        <v>2015</v>
      </c>
      <c r="E1510" s="103">
        <f>Data!U1510</f>
        <v>0</v>
      </c>
    </row>
    <row r="1511" spans="2:5" ht="15" customHeight="1" x14ac:dyDescent="0.3">
      <c r="C1511" s="1"/>
      <c r="D1511" s="8">
        <v>2016</v>
      </c>
      <c r="E1511" s="103">
        <f>Data!U1511</f>
        <v>0</v>
      </c>
    </row>
    <row r="1512" spans="2:5" ht="15" customHeight="1" x14ac:dyDescent="0.3">
      <c r="C1512" s="1"/>
      <c r="D1512" s="8">
        <v>2017</v>
      </c>
      <c r="E1512" s="103">
        <f>Data!U1512</f>
        <v>0</v>
      </c>
    </row>
    <row r="1513" spans="2:5" ht="15" customHeight="1" x14ac:dyDescent="0.3">
      <c r="C1513" s="1"/>
      <c r="D1513" s="8">
        <v>2018</v>
      </c>
      <c r="E1513" s="103">
        <f>Data!U1513</f>
        <v>0</v>
      </c>
    </row>
    <row r="1514" spans="2:5" ht="15" customHeight="1" x14ac:dyDescent="0.3">
      <c r="C1514" s="1"/>
      <c r="D1514" s="8">
        <v>2019</v>
      </c>
      <c r="E1514" s="103">
        <f>Data!U1514</f>
        <v>0</v>
      </c>
    </row>
    <row r="1515" spans="2:5" ht="15" customHeight="1" x14ac:dyDescent="0.3">
      <c r="C1515" s="1"/>
      <c r="D1515" s="8">
        <v>2020</v>
      </c>
      <c r="E1515" s="103">
        <f>Data!U1515</f>
        <v>0</v>
      </c>
    </row>
    <row r="1516" spans="2:5" ht="15" customHeight="1" x14ac:dyDescent="0.3">
      <c r="C1516" s="1"/>
      <c r="D1516" s="8">
        <v>2021</v>
      </c>
      <c r="E1516" s="103">
        <f>Data!U1516</f>
        <v>0</v>
      </c>
    </row>
    <row r="1517" spans="2:5" ht="15" customHeight="1" x14ac:dyDescent="0.3">
      <c r="C1517" s="1"/>
      <c r="D1517" s="8">
        <v>2022</v>
      </c>
      <c r="E1517" s="103">
        <f>Data!U1517</f>
        <v>0</v>
      </c>
    </row>
    <row r="1518" spans="2:5" ht="15" customHeight="1" x14ac:dyDescent="0.3">
      <c r="C1518" s="1"/>
      <c r="D1518" s="8">
        <v>2023</v>
      </c>
      <c r="E1518" s="103">
        <f>Data!U1518</f>
        <v>0</v>
      </c>
    </row>
    <row r="1519" spans="2:5" ht="15" customHeight="1" x14ac:dyDescent="0.3">
      <c r="C1519" s="1"/>
      <c r="D1519" s="8">
        <v>2024</v>
      </c>
      <c r="E1519" s="103">
        <f>Data!U1519</f>
        <v>0</v>
      </c>
    </row>
    <row r="1520" spans="2:5" ht="15" customHeight="1" x14ac:dyDescent="0.3">
      <c r="B1520" s="8">
        <v>139</v>
      </c>
      <c r="C1520" s="1" t="s">
        <v>137</v>
      </c>
      <c r="D1520" s="8">
        <v>2014</v>
      </c>
      <c r="E1520" s="103">
        <f>Data!U1520</f>
        <v>0</v>
      </c>
    </row>
    <row r="1521" spans="2:5" ht="15" customHeight="1" x14ac:dyDescent="0.3">
      <c r="C1521" s="1"/>
      <c r="D1521" s="8">
        <v>2015</v>
      </c>
      <c r="E1521" s="103">
        <f>Data!U1521</f>
        <v>0</v>
      </c>
    </row>
    <row r="1522" spans="2:5" ht="15" customHeight="1" x14ac:dyDescent="0.3">
      <c r="C1522" s="1"/>
      <c r="D1522" s="8">
        <v>2016</v>
      </c>
      <c r="E1522" s="103">
        <f>Data!U1522</f>
        <v>0</v>
      </c>
    </row>
    <row r="1523" spans="2:5" ht="15" customHeight="1" x14ac:dyDescent="0.3">
      <c r="C1523" s="1"/>
      <c r="D1523" s="8">
        <v>2017</v>
      </c>
      <c r="E1523" s="103">
        <f>Data!U1523</f>
        <v>0</v>
      </c>
    </row>
    <row r="1524" spans="2:5" ht="15" customHeight="1" x14ac:dyDescent="0.3">
      <c r="C1524" s="1"/>
      <c r="D1524" s="8">
        <v>2018</v>
      </c>
      <c r="E1524" s="103">
        <f>Data!U1524</f>
        <v>0</v>
      </c>
    </row>
    <row r="1525" spans="2:5" ht="15" customHeight="1" x14ac:dyDescent="0.3">
      <c r="C1525" s="1"/>
      <c r="D1525" s="8">
        <v>2019</v>
      </c>
      <c r="E1525" s="103">
        <f>Data!U1525</f>
        <v>0</v>
      </c>
    </row>
    <row r="1526" spans="2:5" ht="15" customHeight="1" x14ac:dyDescent="0.3">
      <c r="C1526" s="1"/>
      <c r="D1526" s="8">
        <v>2020</v>
      </c>
      <c r="E1526" s="103">
        <f>Data!U1526</f>
        <v>0</v>
      </c>
    </row>
    <row r="1527" spans="2:5" ht="15" customHeight="1" x14ac:dyDescent="0.3">
      <c r="C1527" s="1"/>
      <c r="D1527" s="8">
        <v>2021</v>
      </c>
      <c r="E1527" s="103">
        <f>Data!U1527</f>
        <v>0</v>
      </c>
    </row>
    <row r="1528" spans="2:5" ht="15" customHeight="1" x14ac:dyDescent="0.3">
      <c r="C1528" s="1"/>
      <c r="D1528" s="8">
        <v>2022</v>
      </c>
      <c r="E1528" s="103">
        <f>Data!U1528</f>
        <v>0</v>
      </c>
    </row>
    <row r="1529" spans="2:5" ht="15" customHeight="1" x14ac:dyDescent="0.3">
      <c r="C1529" s="1"/>
      <c r="D1529" s="8">
        <v>2023</v>
      </c>
      <c r="E1529" s="103">
        <f>Data!U1529</f>
        <v>0</v>
      </c>
    </row>
    <row r="1530" spans="2:5" ht="15" customHeight="1" x14ac:dyDescent="0.3">
      <c r="C1530" s="1"/>
      <c r="D1530" s="8">
        <v>2024</v>
      </c>
      <c r="E1530" s="103">
        <f>Data!U1530</f>
        <v>0</v>
      </c>
    </row>
    <row r="1531" spans="2:5" ht="15" customHeight="1" x14ac:dyDescent="0.3">
      <c r="B1531" s="8">
        <v>140</v>
      </c>
      <c r="C1531" s="1" t="s">
        <v>139</v>
      </c>
      <c r="D1531" s="8">
        <v>2014</v>
      </c>
      <c r="E1531" s="103">
        <f>Data!U1531</f>
        <v>0</v>
      </c>
    </row>
    <row r="1532" spans="2:5" ht="15" customHeight="1" x14ac:dyDescent="0.3">
      <c r="C1532" s="1"/>
      <c r="D1532" s="8">
        <v>2015</v>
      </c>
      <c r="E1532" s="103">
        <f>Data!U1532</f>
        <v>0</v>
      </c>
    </row>
    <row r="1533" spans="2:5" ht="15" customHeight="1" x14ac:dyDescent="0.3">
      <c r="C1533" s="1"/>
      <c r="D1533" s="8">
        <v>2016</v>
      </c>
      <c r="E1533" s="103">
        <f>Data!U1533</f>
        <v>0</v>
      </c>
    </row>
    <row r="1534" spans="2:5" ht="15" customHeight="1" x14ac:dyDescent="0.3">
      <c r="C1534" s="1"/>
      <c r="D1534" s="8">
        <v>2017</v>
      </c>
      <c r="E1534" s="103">
        <f>Data!U1534</f>
        <v>0</v>
      </c>
    </row>
    <row r="1535" spans="2:5" ht="15" customHeight="1" x14ac:dyDescent="0.3">
      <c r="C1535" s="1"/>
      <c r="D1535" s="8">
        <v>2018</v>
      </c>
      <c r="E1535" s="103">
        <f>Data!U1535</f>
        <v>0</v>
      </c>
    </row>
    <row r="1536" spans="2:5" ht="15" customHeight="1" x14ac:dyDescent="0.3">
      <c r="C1536" s="1"/>
      <c r="D1536" s="8">
        <v>2019</v>
      </c>
      <c r="E1536" s="103">
        <f>Data!U1536</f>
        <v>0</v>
      </c>
    </row>
    <row r="1537" spans="2:5" ht="15" customHeight="1" x14ac:dyDescent="0.3">
      <c r="C1537" s="1"/>
      <c r="D1537" s="8">
        <v>2020</v>
      </c>
      <c r="E1537" s="103">
        <f>Data!U1537</f>
        <v>0</v>
      </c>
    </row>
    <row r="1538" spans="2:5" ht="15" customHeight="1" x14ac:dyDescent="0.3">
      <c r="C1538" s="1"/>
      <c r="D1538" s="8">
        <v>2021</v>
      </c>
      <c r="E1538" s="103">
        <f>Data!U1538</f>
        <v>0</v>
      </c>
    </row>
    <row r="1539" spans="2:5" ht="15" customHeight="1" x14ac:dyDescent="0.3">
      <c r="C1539" s="1"/>
      <c r="D1539" s="8">
        <v>2022</v>
      </c>
      <c r="E1539" s="103">
        <f>Data!U1539</f>
        <v>0</v>
      </c>
    </row>
    <row r="1540" spans="2:5" ht="15" customHeight="1" x14ac:dyDescent="0.3">
      <c r="C1540" s="1"/>
      <c r="D1540" s="8">
        <v>2023</v>
      </c>
      <c r="E1540" s="103">
        <f>Data!U1540</f>
        <v>0</v>
      </c>
    </row>
    <row r="1541" spans="2:5" ht="15" customHeight="1" x14ac:dyDescent="0.3">
      <c r="C1541" s="1"/>
      <c r="D1541" s="8">
        <v>2024</v>
      </c>
      <c r="E1541" s="103">
        <f>Data!U1541</f>
        <v>0</v>
      </c>
    </row>
    <row r="1542" spans="2:5" ht="15" customHeight="1" x14ac:dyDescent="0.3">
      <c r="B1542" s="8">
        <v>141</v>
      </c>
      <c r="C1542" s="1" t="s">
        <v>140</v>
      </c>
      <c r="D1542" s="8">
        <v>2014</v>
      </c>
      <c r="E1542" s="103">
        <f>Data!U1542</f>
        <v>0</v>
      </c>
    </row>
    <row r="1543" spans="2:5" ht="15" customHeight="1" x14ac:dyDescent="0.3">
      <c r="C1543" s="1"/>
      <c r="D1543" s="8">
        <v>2015</v>
      </c>
      <c r="E1543" s="103">
        <f>Data!U1543</f>
        <v>0</v>
      </c>
    </row>
    <row r="1544" spans="2:5" ht="15" customHeight="1" x14ac:dyDescent="0.3">
      <c r="C1544" s="1"/>
      <c r="D1544" s="8">
        <v>2016</v>
      </c>
      <c r="E1544" s="103">
        <f>Data!U1544</f>
        <v>0</v>
      </c>
    </row>
    <row r="1545" spans="2:5" ht="15" customHeight="1" x14ac:dyDescent="0.3">
      <c r="C1545" s="1"/>
      <c r="D1545" s="8">
        <v>2017</v>
      </c>
      <c r="E1545" s="103">
        <f>Data!U1545</f>
        <v>0</v>
      </c>
    </row>
    <row r="1546" spans="2:5" ht="15" customHeight="1" x14ac:dyDescent="0.3">
      <c r="C1546" s="1"/>
      <c r="D1546" s="8">
        <v>2018</v>
      </c>
      <c r="E1546" s="103">
        <f>Data!U1546</f>
        <v>0</v>
      </c>
    </row>
    <row r="1547" spans="2:5" ht="15" customHeight="1" x14ac:dyDescent="0.3">
      <c r="C1547" s="1"/>
      <c r="D1547" s="8">
        <v>2019</v>
      </c>
      <c r="E1547" s="103">
        <f>Data!U1547</f>
        <v>0</v>
      </c>
    </row>
    <row r="1548" spans="2:5" ht="15" customHeight="1" x14ac:dyDescent="0.3">
      <c r="C1548" s="1"/>
      <c r="D1548" s="8">
        <v>2020</v>
      </c>
      <c r="E1548" s="103">
        <f>Data!U1548</f>
        <v>0</v>
      </c>
    </row>
    <row r="1549" spans="2:5" ht="15" customHeight="1" x14ac:dyDescent="0.3">
      <c r="C1549" s="1"/>
      <c r="D1549" s="8">
        <v>2021</v>
      </c>
      <c r="E1549" s="103">
        <f>Data!U1549</f>
        <v>0</v>
      </c>
    </row>
    <row r="1550" spans="2:5" ht="15" customHeight="1" x14ac:dyDescent="0.3">
      <c r="C1550" s="1"/>
      <c r="D1550" s="8">
        <v>2022</v>
      </c>
      <c r="E1550" s="103">
        <f>Data!U1550</f>
        <v>0</v>
      </c>
    </row>
    <row r="1551" spans="2:5" ht="15" customHeight="1" x14ac:dyDescent="0.3">
      <c r="C1551" s="1"/>
      <c r="D1551" s="8">
        <v>2023</v>
      </c>
      <c r="E1551" s="103">
        <f>Data!U1551</f>
        <v>0</v>
      </c>
    </row>
    <row r="1552" spans="2:5" ht="15" customHeight="1" x14ac:dyDescent="0.3">
      <c r="C1552" s="1"/>
      <c r="D1552" s="8">
        <v>2024</v>
      </c>
      <c r="E1552" s="103">
        <f>Data!U1552</f>
        <v>0</v>
      </c>
    </row>
    <row r="1553" spans="2:5" ht="15" customHeight="1" x14ac:dyDescent="0.3">
      <c r="B1553" s="8">
        <v>142</v>
      </c>
      <c r="C1553" s="1" t="s">
        <v>138</v>
      </c>
      <c r="D1553" s="8">
        <v>2014</v>
      </c>
      <c r="E1553" s="103">
        <f>Data!U1553</f>
        <v>0</v>
      </c>
    </row>
    <row r="1554" spans="2:5" ht="15" customHeight="1" x14ac:dyDescent="0.3">
      <c r="C1554" s="1"/>
      <c r="D1554" s="8">
        <v>2015</v>
      </c>
      <c r="E1554" s="103">
        <f>Data!U1554</f>
        <v>0</v>
      </c>
    </row>
    <row r="1555" spans="2:5" ht="15" customHeight="1" x14ac:dyDescent="0.3">
      <c r="C1555" s="1"/>
      <c r="D1555" s="8">
        <v>2016</v>
      </c>
      <c r="E1555" s="103">
        <f>Data!U1555</f>
        <v>0</v>
      </c>
    </row>
    <row r="1556" spans="2:5" ht="15" customHeight="1" x14ac:dyDescent="0.3">
      <c r="C1556" s="1"/>
      <c r="D1556" s="8">
        <v>2017</v>
      </c>
      <c r="E1556" s="103">
        <f>Data!U1556</f>
        <v>0</v>
      </c>
    </row>
    <row r="1557" spans="2:5" ht="15" customHeight="1" x14ac:dyDescent="0.3">
      <c r="C1557" s="1"/>
      <c r="D1557" s="8">
        <v>2018</v>
      </c>
      <c r="E1557" s="103">
        <f>Data!U1557</f>
        <v>0</v>
      </c>
    </row>
    <row r="1558" spans="2:5" ht="15" customHeight="1" x14ac:dyDescent="0.3">
      <c r="C1558" s="1"/>
      <c r="D1558" s="8">
        <v>2019</v>
      </c>
      <c r="E1558" s="103">
        <f>Data!U1558</f>
        <v>0</v>
      </c>
    </row>
    <row r="1559" spans="2:5" ht="15" customHeight="1" x14ac:dyDescent="0.3">
      <c r="C1559" s="1"/>
      <c r="D1559" s="8">
        <v>2020</v>
      </c>
      <c r="E1559" s="103">
        <f>Data!U1559</f>
        <v>0</v>
      </c>
    </row>
    <row r="1560" spans="2:5" ht="15" customHeight="1" x14ac:dyDescent="0.3">
      <c r="C1560" s="1"/>
      <c r="D1560" s="8">
        <v>2021</v>
      </c>
      <c r="E1560" s="103">
        <f>Data!U1560</f>
        <v>0</v>
      </c>
    </row>
    <row r="1561" spans="2:5" ht="15" customHeight="1" x14ac:dyDescent="0.3">
      <c r="C1561" s="1"/>
      <c r="D1561" s="8">
        <v>2022</v>
      </c>
      <c r="E1561" s="103">
        <f>Data!U1561</f>
        <v>0</v>
      </c>
    </row>
    <row r="1562" spans="2:5" ht="15" customHeight="1" x14ac:dyDescent="0.3">
      <c r="C1562" s="1"/>
      <c r="D1562" s="8">
        <v>2023</v>
      </c>
      <c r="E1562" s="103">
        <f>Data!U1562</f>
        <v>0</v>
      </c>
    </row>
    <row r="1563" spans="2:5" ht="15" customHeight="1" x14ac:dyDescent="0.3">
      <c r="C1563" s="1"/>
      <c r="D1563" s="8">
        <v>2024</v>
      </c>
      <c r="E1563" s="103">
        <f>Data!U1563</f>
        <v>0</v>
      </c>
    </row>
    <row r="1564" spans="2:5" ht="15" customHeight="1" x14ac:dyDescent="0.3">
      <c r="B1564" s="8">
        <v>143</v>
      </c>
      <c r="C1564" s="1" t="s">
        <v>144</v>
      </c>
      <c r="D1564" s="8">
        <v>2014</v>
      </c>
      <c r="E1564" s="103">
        <f>Data!U1564</f>
        <v>0</v>
      </c>
    </row>
    <row r="1565" spans="2:5" ht="15" customHeight="1" x14ac:dyDescent="0.3">
      <c r="C1565" s="1"/>
      <c r="D1565" s="8">
        <v>2015</v>
      </c>
      <c r="E1565" s="103">
        <f>Data!U1565</f>
        <v>0</v>
      </c>
    </row>
    <row r="1566" spans="2:5" ht="15" customHeight="1" x14ac:dyDescent="0.3">
      <c r="C1566" s="1"/>
      <c r="D1566" s="8">
        <v>2016</v>
      </c>
      <c r="E1566" s="103">
        <f>Data!U1566</f>
        <v>0</v>
      </c>
    </row>
    <row r="1567" spans="2:5" ht="15" customHeight="1" x14ac:dyDescent="0.3">
      <c r="C1567" s="1"/>
      <c r="D1567" s="8">
        <v>2017</v>
      </c>
      <c r="E1567" s="103">
        <f>Data!U1567</f>
        <v>0</v>
      </c>
    </row>
    <row r="1568" spans="2:5" ht="15" customHeight="1" x14ac:dyDescent="0.3">
      <c r="C1568" s="1"/>
      <c r="D1568" s="8">
        <v>2018</v>
      </c>
      <c r="E1568" s="103">
        <f>Data!U1568</f>
        <v>0</v>
      </c>
    </row>
    <row r="1569" spans="2:5" ht="15" customHeight="1" x14ac:dyDescent="0.3">
      <c r="C1569" s="1"/>
      <c r="D1569" s="8">
        <v>2019</v>
      </c>
      <c r="E1569" s="103">
        <f>Data!U1569</f>
        <v>0</v>
      </c>
    </row>
    <row r="1570" spans="2:5" ht="15" customHeight="1" x14ac:dyDescent="0.3">
      <c r="C1570" s="1"/>
      <c r="D1570" s="8">
        <v>2020</v>
      </c>
      <c r="E1570" s="103">
        <f>Data!U1570</f>
        <v>0</v>
      </c>
    </row>
    <row r="1571" spans="2:5" ht="15" customHeight="1" x14ac:dyDescent="0.3">
      <c r="C1571" s="1"/>
      <c r="D1571" s="8">
        <v>2021</v>
      </c>
      <c r="E1571" s="103">
        <f>Data!U1571</f>
        <v>0</v>
      </c>
    </row>
    <row r="1572" spans="2:5" ht="15" customHeight="1" x14ac:dyDescent="0.3">
      <c r="C1572" s="1"/>
      <c r="D1572" s="8">
        <v>2022</v>
      </c>
      <c r="E1572" s="103">
        <f>Data!U1572</f>
        <v>0</v>
      </c>
    </row>
    <row r="1573" spans="2:5" ht="15" customHeight="1" x14ac:dyDescent="0.3">
      <c r="C1573" s="1"/>
      <c r="D1573" s="8">
        <v>2023</v>
      </c>
      <c r="E1573" s="103">
        <f>Data!U1573</f>
        <v>0</v>
      </c>
    </row>
    <row r="1574" spans="2:5" ht="15" customHeight="1" x14ac:dyDescent="0.3">
      <c r="C1574" s="1"/>
      <c r="D1574" s="8">
        <v>2024</v>
      </c>
      <c r="E1574" s="103">
        <f>Data!U1574</f>
        <v>0</v>
      </c>
    </row>
    <row r="1575" spans="2:5" ht="15" customHeight="1" x14ac:dyDescent="0.3">
      <c r="B1575" s="8">
        <v>144</v>
      </c>
      <c r="C1575" s="1" t="s">
        <v>141</v>
      </c>
      <c r="D1575" s="8">
        <v>2014</v>
      </c>
      <c r="E1575" s="103">
        <f>Data!U1575</f>
        <v>0</v>
      </c>
    </row>
    <row r="1576" spans="2:5" ht="15" customHeight="1" x14ac:dyDescent="0.3">
      <c r="C1576" s="1"/>
      <c r="D1576" s="8">
        <v>2015</v>
      </c>
      <c r="E1576" s="103">
        <f>Data!U1576</f>
        <v>0</v>
      </c>
    </row>
    <row r="1577" spans="2:5" ht="15" customHeight="1" x14ac:dyDescent="0.3">
      <c r="C1577" s="1"/>
      <c r="D1577" s="8">
        <v>2016</v>
      </c>
      <c r="E1577" s="103">
        <f>Data!U1577</f>
        <v>0</v>
      </c>
    </row>
    <row r="1578" spans="2:5" ht="15" customHeight="1" x14ac:dyDescent="0.3">
      <c r="C1578" s="1"/>
      <c r="D1578" s="8">
        <v>2017</v>
      </c>
      <c r="E1578" s="103">
        <f>Data!U1578</f>
        <v>0</v>
      </c>
    </row>
    <row r="1579" spans="2:5" ht="15" customHeight="1" x14ac:dyDescent="0.3">
      <c r="C1579" s="1"/>
      <c r="D1579" s="8">
        <v>2018</v>
      </c>
      <c r="E1579" s="103">
        <f>Data!U1579</f>
        <v>0</v>
      </c>
    </row>
    <row r="1580" spans="2:5" ht="15" customHeight="1" x14ac:dyDescent="0.3">
      <c r="C1580" s="1"/>
      <c r="D1580" s="8">
        <v>2019</v>
      </c>
      <c r="E1580" s="103">
        <f>Data!U1580</f>
        <v>0</v>
      </c>
    </row>
    <row r="1581" spans="2:5" ht="15" customHeight="1" x14ac:dyDescent="0.3">
      <c r="C1581" s="1"/>
      <c r="D1581" s="8">
        <v>2020</v>
      </c>
      <c r="E1581" s="103">
        <f>Data!U1581</f>
        <v>0</v>
      </c>
    </row>
    <row r="1582" spans="2:5" ht="15" customHeight="1" x14ac:dyDescent="0.3">
      <c r="C1582" s="1"/>
      <c r="D1582" s="8">
        <v>2021</v>
      </c>
      <c r="E1582" s="103">
        <f>Data!U1582</f>
        <v>0</v>
      </c>
    </row>
    <row r="1583" spans="2:5" ht="15" customHeight="1" x14ac:dyDescent="0.3">
      <c r="C1583" s="1"/>
      <c r="D1583" s="8">
        <v>2022</v>
      </c>
      <c r="E1583" s="103">
        <f>Data!U1583</f>
        <v>0</v>
      </c>
    </row>
    <row r="1584" spans="2:5" ht="15" customHeight="1" x14ac:dyDescent="0.3">
      <c r="C1584" s="1"/>
      <c r="D1584" s="8">
        <v>2023</v>
      </c>
      <c r="E1584" s="103">
        <f>Data!U1584</f>
        <v>0</v>
      </c>
    </row>
    <row r="1585" spans="1:5" ht="15" customHeight="1" x14ac:dyDescent="0.3">
      <c r="C1585" s="1"/>
      <c r="D1585" s="8">
        <v>2024</v>
      </c>
      <c r="E1585" s="103">
        <f>Data!U1585</f>
        <v>0</v>
      </c>
    </row>
    <row r="1586" spans="1:5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03">
        <f>Data!U1586</f>
        <v>0</v>
      </c>
    </row>
    <row r="1587" spans="1:5" ht="15" customHeight="1" x14ac:dyDescent="0.3">
      <c r="C1587" s="4"/>
      <c r="D1587" s="8">
        <v>2015</v>
      </c>
      <c r="E1587" s="103">
        <f>Data!U1587</f>
        <v>0</v>
      </c>
    </row>
    <row r="1588" spans="1:5" ht="15" customHeight="1" x14ac:dyDescent="0.3">
      <c r="C1588" s="4"/>
      <c r="D1588" s="8">
        <v>2016</v>
      </c>
      <c r="E1588" s="103">
        <f>Data!U1588</f>
        <v>0</v>
      </c>
    </row>
    <row r="1589" spans="1:5" ht="15" customHeight="1" x14ac:dyDescent="0.3">
      <c r="C1589" s="4"/>
      <c r="D1589" s="8">
        <v>2017</v>
      </c>
      <c r="E1589" s="103">
        <f>Data!U1589</f>
        <v>0</v>
      </c>
    </row>
    <row r="1590" spans="1:5" ht="15" customHeight="1" x14ac:dyDescent="0.3">
      <c r="C1590" s="4"/>
      <c r="D1590" s="8">
        <v>2018</v>
      </c>
      <c r="E1590" s="103">
        <f>Data!U1590</f>
        <v>0</v>
      </c>
    </row>
    <row r="1591" spans="1:5" ht="15" customHeight="1" x14ac:dyDescent="0.3">
      <c r="C1591" s="4"/>
      <c r="D1591" s="8">
        <v>2019</v>
      </c>
      <c r="E1591" s="103">
        <f>Data!U1591</f>
        <v>0</v>
      </c>
    </row>
    <row r="1592" spans="1:5" ht="15" customHeight="1" x14ac:dyDescent="0.3">
      <c r="C1592" s="4"/>
      <c r="D1592" s="8">
        <v>2020</v>
      </c>
      <c r="E1592" s="103">
        <f>Data!U1592</f>
        <v>0</v>
      </c>
    </row>
    <row r="1593" spans="1:5" ht="15" customHeight="1" x14ac:dyDescent="0.3">
      <c r="C1593" s="4"/>
      <c r="D1593" s="8">
        <v>2021</v>
      </c>
      <c r="E1593" s="103">
        <f>Data!U1593</f>
        <v>0</v>
      </c>
    </row>
    <row r="1594" spans="1:5" ht="15" customHeight="1" x14ac:dyDescent="0.3">
      <c r="C1594" s="4"/>
      <c r="D1594" s="8">
        <v>2022</v>
      </c>
      <c r="E1594" s="103">
        <f>Data!U1594</f>
        <v>0</v>
      </c>
    </row>
    <row r="1595" spans="1:5" ht="15" customHeight="1" x14ac:dyDescent="0.3">
      <c r="C1595" s="4"/>
      <c r="D1595" s="8">
        <v>2023</v>
      </c>
      <c r="E1595" s="103">
        <f>Data!U1595</f>
        <v>0</v>
      </c>
    </row>
    <row r="1596" spans="1:5" ht="15" customHeight="1" x14ac:dyDescent="0.3">
      <c r="C1596" s="4"/>
      <c r="D1596" s="8">
        <v>2024</v>
      </c>
      <c r="E1596" s="103">
        <f>Data!U1596</f>
        <v>0</v>
      </c>
    </row>
    <row r="1597" spans="1:5" ht="15" customHeight="1" x14ac:dyDescent="0.3">
      <c r="B1597" s="8">
        <v>146</v>
      </c>
      <c r="C1597" s="4" t="s">
        <v>146</v>
      </c>
      <c r="D1597" s="8">
        <v>2014</v>
      </c>
      <c r="E1597" s="103">
        <f>Data!U1597</f>
        <v>0</v>
      </c>
    </row>
    <row r="1598" spans="1:5" ht="15" customHeight="1" x14ac:dyDescent="0.3">
      <c r="C1598" s="4"/>
      <c r="D1598" s="8">
        <v>2015</v>
      </c>
      <c r="E1598" s="103">
        <f>Data!U1598</f>
        <v>0</v>
      </c>
    </row>
    <row r="1599" spans="1:5" ht="15" customHeight="1" x14ac:dyDescent="0.3">
      <c r="C1599" s="4"/>
      <c r="D1599" s="8">
        <v>2016</v>
      </c>
      <c r="E1599" s="103">
        <f>Data!U1599</f>
        <v>0</v>
      </c>
    </row>
    <row r="1600" spans="1:5" ht="15" customHeight="1" x14ac:dyDescent="0.3">
      <c r="C1600" s="4"/>
      <c r="D1600" s="8">
        <v>2017</v>
      </c>
      <c r="E1600" s="103">
        <f>Data!U1600</f>
        <v>0</v>
      </c>
    </row>
    <row r="1601" spans="1:5" ht="15" customHeight="1" x14ac:dyDescent="0.3">
      <c r="C1601" s="4"/>
      <c r="D1601" s="8">
        <v>2018</v>
      </c>
      <c r="E1601" s="103">
        <f>Data!U1601</f>
        <v>0</v>
      </c>
    </row>
    <row r="1602" spans="1:5" ht="15" customHeight="1" x14ac:dyDescent="0.3">
      <c r="C1602" s="4"/>
      <c r="D1602" s="8">
        <v>2019</v>
      </c>
      <c r="E1602" s="103">
        <f>Data!U1602</f>
        <v>0</v>
      </c>
    </row>
    <row r="1603" spans="1:5" ht="15" customHeight="1" x14ac:dyDescent="0.3">
      <c r="C1603" s="4"/>
      <c r="D1603" s="8">
        <v>2020</v>
      </c>
      <c r="E1603" s="103">
        <f>Data!U1603</f>
        <v>0</v>
      </c>
    </row>
    <row r="1604" spans="1:5" ht="15" customHeight="1" x14ac:dyDescent="0.3">
      <c r="C1604" s="4"/>
      <c r="D1604" s="8">
        <v>2021</v>
      </c>
      <c r="E1604" s="103">
        <f>Data!U1604</f>
        <v>0</v>
      </c>
    </row>
    <row r="1605" spans="1:5" ht="15" customHeight="1" x14ac:dyDescent="0.3">
      <c r="C1605" s="4"/>
      <c r="D1605" s="8">
        <v>2022</v>
      </c>
      <c r="E1605" s="103">
        <f>Data!U1605</f>
        <v>0</v>
      </c>
    </row>
    <row r="1606" spans="1:5" ht="15" customHeight="1" x14ac:dyDescent="0.3">
      <c r="C1606" s="4"/>
      <c r="D1606" s="8">
        <v>2023</v>
      </c>
      <c r="E1606" s="103">
        <f>Data!U1606</f>
        <v>0</v>
      </c>
    </row>
    <row r="1607" spans="1:5" ht="15" customHeight="1" x14ac:dyDescent="0.3">
      <c r="C1607" s="4"/>
      <c r="D1607" s="8">
        <v>2024</v>
      </c>
      <c r="E1607" s="103">
        <f>Data!U1607</f>
        <v>0</v>
      </c>
    </row>
    <row r="1608" spans="1:5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03">
        <f>Data!U1608</f>
        <v>0</v>
      </c>
    </row>
    <row r="1609" spans="1:5" ht="15" customHeight="1" x14ac:dyDescent="0.3">
      <c r="C1609" s="4"/>
      <c r="D1609" s="8">
        <v>2015</v>
      </c>
      <c r="E1609" s="103">
        <f>Data!U1609</f>
        <v>0</v>
      </c>
    </row>
    <row r="1610" spans="1:5" ht="15" customHeight="1" x14ac:dyDescent="0.3">
      <c r="C1610" s="4"/>
      <c r="D1610" s="8">
        <v>2016</v>
      </c>
      <c r="E1610" s="103">
        <f>Data!U1610</f>
        <v>0</v>
      </c>
    </row>
    <row r="1611" spans="1:5" ht="15" customHeight="1" x14ac:dyDescent="0.3">
      <c r="C1611" s="4"/>
      <c r="D1611" s="8">
        <v>2017</v>
      </c>
      <c r="E1611" s="103">
        <f>Data!U1611</f>
        <v>0</v>
      </c>
    </row>
    <row r="1612" spans="1:5" ht="15" customHeight="1" x14ac:dyDescent="0.3">
      <c r="C1612" s="4"/>
      <c r="D1612" s="8">
        <v>2018</v>
      </c>
      <c r="E1612" s="103">
        <f>Data!U1612</f>
        <v>0</v>
      </c>
    </row>
    <row r="1613" spans="1:5" ht="15" customHeight="1" x14ac:dyDescent="0.3">
      <c r="C1613" s="4"/>
      <c r="D1613" s="8">
        <v>2019</v>
      </c>
      <c r="E1613" s="103">
        <f>Data!U1613</f>
        <v>0</v>
      </c>
    </row>
    <row r="1614" spans="1:5" ht="15" customHeight="1" x14ac:dyDescent="0.3">
      <c r="C1614" s="4"/>
      <c r="D1614" s="8">
        <v>2020</v>
      </c>
      <c r="E1614" s="103">
        <f>Data!U1614</f>
        <v>0</v>
      </c>
    </row>
    <row r="1615" spans="1:5" ht="15" customHeight="1" x14ac:dyDescent="0.3">
      <c r="C1615" s="4"/>
      <c r="D1615" s="8">
        <v>2021</v>
      </c>
      <c r="E1615" s="103">
        <f>Data!U1615</f>
        <v>0</v>
      </c>
    </row>
    <row r="1616" spans="1:5" ht="15" customHeight="1" x14ac:dyDescent="0.3">
      <c r="C1616" s="4"/>
      <c r="D1616" s="8">
        <v>2022</v>
      </c>
      <c r="E1616" s="103">
        <f>Data!U1616</f>
        <v>0</v>
      </c>
    </row>
    <row r="1617" spans="2:5" ht="15" customHeight="1" x14ac:dyDescent="0.3">
      <c r="C1617" s="4"/>
      <c r="D1617" s="8">
        <v>2023</v>
      </c>
      <c r="E1617" s="103">
        <f>Data!U1617</f>
        <v>0</v>
      </c>
    </row>
    <row r="1618" spans="2:5" ht="15" customHeight="1" x14ac:dyDescent="0.3">
      <c r="C1618" s="4"/>
      <c r="D1618" s="8">
        <v>2024</v>
      </c>
      <c r="E1618" s="103">
        <f>Data!U1618</f>
        <v>0</v>
      </c>
    </row>
    <row r="1619" spans="2:5" ht="15" customHeight="1" x14ac:dyDescent="0.3">
      <c r="B1619" s="8">
        <v>148</v>
      </c>
      <c r="C1619" s="4" t="s">
        <v>148</v>
      </c>
      <c r="D1619" s="8">
        <v>2014</v>
      </c>
      <c r="E1619" s="103">
        <f>Data!U1619</f>
        <v>0</v>
      </c>
    </row>
    <row r="1620" spans="2:5" ht="15" customHeight="1" x14ac:dyDescent="0.3">
      <c r="C1620" s="5"/>
      <c r="D1620" s="8">
        <v>2015</v>
      </c>
      <c r="E1620" s="103">
        <f>Data!U1620</f>
        <v>0</v>
      </c>
    </row>
    <row r="1621" spans="2:5" ht="15" customHeight="1" x14ac:dyDescent="0.3">
      <c r="C1621" s="5"/>
      <c r="D1621" s="8">
        <v>2016</v>
      </c>
      <c r="E1621" s="103">
        <f>Data!U1621</f>
        <v>0</v>
      </c>
    </row>
    <row r="1622" spans="2:5" ht="15" customHeight="1" x14ac:dyDescent="0.3">
      <c r="C1622" s="5"/>
      <c r="D1622" s="8">
        <v>2017</v>
      </c>
      <c r="E1622" s="103">
        <f>Data!U1622</f>
        <v>0</v>
      </c>
    </row>
    <row r="1623" spans="2:5" ht="15" customHeight="1" x14ac:dyDescent="0.3">
      <c r="C1623" s="5"/>
      <c r="D1623" s="8">
        <v>2018</v>
      </c>
      <c r="E1623" s="103">
        <f>Data!U1623</f>
        <v>0</v>
      </c>
    </row>
    <row r="1624" spans="2:5" ht="15" customHeight="1" x14ac:dyDescent="0.3">
      <c r="C1624" s="5"/>
      <c r="D1624" s="8">
        <v>2019</v>
      </c>
      <c r="E1624" s="103">
        <f>Data!U1624</f>
        <v>0</v>
      </c>
    </row>
    <row r="1625" spans="2:5" ht="15" customHeight="1" x14ac:dyDescent="0.3">
      <c r="C1625" s="5"/>
      <c r="D1625" s="8">
        <v>2020</v>
      </c>
      <c r="E1625" s="103">
        <f>Data!U1625</f>
        <v>0</v>
      </c>
    </row>
    <row r="1626" spans="2:5" ht="15" customHeight="1" x14ac:dyDescent="0.3">
      <c r="C1626" s="5"/>
      <c r="D1626" s="8">
        <v>2021</v>
      </c>
      <c r="E1626" s="103">
        <f>Data!U1626</f>
        <v>0</v>
      </c>
    </row>
    <row r="1627" spans="2:5" ht="15" customHeight="1" x14ac:dyDescent="0.3">
      <c r="C1627" s="5"/>
      <c r="D1627" s="8">
        <v>2022</v>
      </c>
      <c r="E1627" s="103">
        <f>Data!U1627</f>
        <v>0</v>
      </c>
    </row>
    <row r="1628" spans="2:5" ht="15" customHeight="1" x14ac:dyDescent="0.3">
      <c r="C1628" s="5"/>
      <c r="D1628" s="8">
        <v>2023</v>
      </c>
      <c r="E1628" s="103">
        <f>Data!U1628</f>
        <v>0</v>
      </c>
    </row>
    <row r="1629" spans="2:5" ht="15" customHeight="1" x14ac:dyDescent="0.3">
      <c r="C1629" s="5"/>
      <c r="D1629" s="8">
        <v>2024</v>
      </c>
      <c r="E1629" s="103">
        <f>Data!U1629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6883-CD7C-4033-9408-C570FAA50728}">
  <sheetPr codeName="Sheet12"/>
  <dimension ref="A1:E1629"/>
  <sheetViews>
    <sheetView workbookViewId="0">
      <selection activeCell="E2" sqref="E2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24.6640625" style="14" bestFit="1" customWidth="1"/>
    <col min="6" max="7" width="12.109375" bestFit="1" customWidth="1"/>
    <col min="8" max="8" width="11.5546875" bestFit="1" customWidth="1"/>
    <col min="9" max="9" width="11" bestFit="1" customWidth="1"/>
    <col min="10" max="10" width="28.109375" bestFit="1" customWidth="1"/>
    <col min="11" max="11" width="23.33203125" bestFit="1" customWidth="1"/>
    <col min="12" max="12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167</v>
      </c>
    </row>
    <row r="2" spans="1:5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Data!R2</f>
        <v>0</v>
      </c>
    </row>
    <row r="3" spans="1:5" ht="15" customHeight="1" x14ac:dyDescent="0.3">
      <c r="C3" s="3"/>
      <c r="D3" s="8">
        <v>2015</v>
      </c>
      <c r="E3" s="14">
        <f>Data!R3</f>
        <v>0</v>
      </c>
    </row>
    <row r="4" spans="1:5" ht="15" customHeight="1" x14ac:dyDescent="0.3">
      <c r="C4" s="3"/>
      <c r="D4" s="8">
        <v>2016</v>
      </c>
      <c r="E4" s="14">
        <f>Data!R4</f>
        <v>0</v>
      </c>
    </row>
    <row r="5" spans="1:5" ht="15" customHeight="1" x14ac:dyDescent="0.3">
      <c r="C5" s="3"/>
      <c r="D5" s="8">
        <v>2017</v>
      </c>
      <c r="E5" s="14">
        <f>Data!R5</f>
        <v>0</v>
      </c>
    </row>
    <row r="6" spans="1:5" ht="15" customHeight="1" x14ac:dyDescent="0.3">
      <c r="C6" s="3"/>
      <c r="D6" s="8">
        <v>2018</v>
      </c>
      <c r="E6" s="14">
        <f>Data!R6</f>
        <v>0</v>
      </c>
    </row>
    <row r="7" spans="1:5" ht="15" customHeight="1" x14ac:dyDescent="0.3">
      <c r="C7" s="3"/>
      <c r="D7" s="8">
        <v>2019</v>
      </c>
      <c r="E7" s="14">
        <f>Data!R7</f>
        <v>0</v>
      </c>
    </row>
    <row r="8" spans="1:5" ht="15" customHeight="1" x14ac:dyDescent="0.3">
      <c r="C8" s="3"/>
      <c r="D8" s="8">
        <v>2020</v>
      </c>
      <c r="E8" s="14">
        <f>Data!R8</f>
        <v>0</v>
      </c>
    </row>
    <row r="9" spans="1:5" ht="15" customHeight="1" x14ac:dyDescent="0.3">
      <c r="C9" s="3"/>
      <c r="D9" s="8">
        <v>2021</v>
      </c>
      <c r="E9" s="14">
        <f>Data!R9</f>
        <v>0</v>
      </c>
    </row>
    <row r="10" spans="1:5" ht="15" customHeight="1" x14ac:dyDescent="0.3">
      <c r="C10" s="3"/>
      <c r="D10" s="8">
        <v>2022</v>
      </c>
      <c r="E10" s="14">
        <f>Data!R10</f>
        <v>0</v>
      </c>
    </row>
    <row r="11" spans="1:5" ht="15" customHeight="1" x14ac:dyDescent="0.3">
      <c r="C11" s="3"/>
      <c r="D11" s="8">
        <v>2023</v>
      </c>
      <c r="E11" s="14">
        <f>Data!R11</f>
        <v>0</v>
      </c>
    </row>
    <row r="12" spans="1:5" ht="15" customHeight="1" x14ac:dyDescent="0.3">
      <c r="C12" s="3"/>
      <c r="D12" s="8">
        <v>2024</v>
      </c>
      <c r="E12" s="14">
        <f>Data!R12</f>
        <v>0</v>
      </c>
    </row>
    <row r="13" spans="1:5" ht="15" customHeight="1" x14ac:dyDescent="0.3">
      <c r="B13" s="8">
        <v>2</v>
      </c>
      <c r="C13" s="3" t="s">
        <v>2</v>
      </c>
      <c r="D13" s="8">
        <v>2014</v>
      </c>
      <c r="E13" s="14">
        <f>Data!R13</f>
        <v>0</v>
      </c>
    </row>
    <row r="14" spans="1:5" ht="15" customHeight="1" x14ac:dyDescent="0.3">
      <c r="C14" s="3"/>
      <c r="D14" s="8">
        <v>2015</v>
      </c>
      <c r="E14" s="14">
        <f>Data!R14</f>
        <v>4</v>
      </c>
    </row>
    <row r="15" spans="1:5" ht="15" customHeight="1" x14ac:dyDescent="0.3">
      <c r="C15" s="3"/>
      <c r="D15" s="8">
        <v>2016</v>
      </c>
      <c r="E15" s="14">
        <f>Data!R15</f>
        <v>4</v>
      </c>
    </row>
    <row r="16" spans="1:5" ht="15" customHeight="1" x14ac:dyDescent="0.3">
      <c r="C16" s="3"/>
      <c r="D16" s="8">
        <v>2017</v>
      </c>
      <c r="E16" s="14">
        <f>Data!R16</f>
        <v>4</v>
      </c>
    </row>
    <row r="17" spans="2:5" ht="15" customHeight="1" x14ac:dyDescent="0.3">
      <c r="C17" s="3"/>
      <c r="D17" s="8">
        <v>2018</v>
      </c>
      <c r="E17" s="14">
        <f>Data!R17</f>
        <v>4</v>
      </c>
    </row>
    <row r="18" spans="2:5" ht="15" customHeight="1" x14ac:dyDescent="0.3">
      <c r="C18" s="3"/>
      <c r="D18" s="8">
        <v>2019</v>
      </c>
      <c r="E18" s="14">
        <f>Data!R18</f>
        <v>4</v>
      </c>
    </row>
    <row r="19" spans="2:5" ht="15" customHeight="1" x14ac:dyDescent="0.3">
      <c r="C19" s="3"/>
      <c r="D19" s="8">
        <v>2020</v>
      </c>
      <c r="E19" s="14">
        <f>Data!R19</f>
        <v>4</v>
      </c>
    </row>
    <row r="20" spans="2:5" ht="15" customHeight="1" x14ac:dyDescent="0.3">
      <c r="C20" s="3"/>
      <c r="D20" s="8">
        <v>2021</v>
      </c>
      <c r="E20" s="14">
        <f>Data!R20</f>
        <v>3</v>
      </c>
    </row>
    <row r="21" spans="2:5" ht="15" customHeight="1" x14ac:dyDescent="0.3">
      <c r="C21" s="3"/>
      <c r="D21" s="8">
        <v>2022</v>
      </c>
      <c r="E21" s="14">
        <f>Data!R21</f>
        <v>3</v>
      </c>
    </row>
    <row r="22" spans="2:5" ht="15" customHeight="1" x14ac:dyDescent="0.3">
      <c r="C22" s="3"/>
      <c r="D22" s="8">
        <v>2023</v>
      </c>
      <c r="E22" s="14">
        <f>Data!R22</f>
        <v>4</v>
      </c>
    </row>
    <row r="23" spans="2:5" ht="15" customHeight="1" x14ac:dyDescent="0.3">
      <c r="C23" s="3"/>
      <c r="D23" s="8">
        <v>2024</v>
      </c>
      <c r="E23" s="14">
        <f>Data!R23</f>
        <v>3</v>
      </c>
    </row>
    <row r="24" spans="2:5" ht="15" customHeight="1" x14ac:dyDescent="0.3">
      <c r="B24" s="8">
        <v>3</v>
      </c>
      <c r="C24" s="3" t="s">
        <v>3</v>
      </c>
      <c r="D24" s="8">
        <v>2014</v>
      </c>
      <c r="E24" s="14">
        <f>Data!R24</f>
        <v>0</v>
      </c>
    </row>
    <row r="25" spans="2:5" ht="15" customHeight="1" x14ac:dyDescent="0.3">
      <c r="C25" s="3"/>
      <c r="D25" s="8">
        <v>2015</v>
      </c>
      <c r="E25" s="14">
        <f>Data!R25</f>
        <v>3</v>
      </c>
    </row>
    <row r="26" spans="2:5" ht="15" customHeight="1" x14ac:dyDescent="0.3">
      <c r="C26" s="3"/>
      <c r="D26" s="8">
        <v>2016</v>
      </c>
      <c r="E26" s="14">
        <f>Data!R26</f>
        <v>3</v>
      </c>
    </row>
    <row r="27" spans="2:5" ht="15" customHeight="1" x14ac:dyDescent="0.3">
      <c r="C27" s="3"/>
      <c r="D27" s="8">
        <v>2017</v>
      </c>
      <c r="E27" s="14">
        <f>Data!R27</f>
        <v>4</v>
      </c>
    </row>
    <row r="28" spans="2:5" ht="15" customHeight="1" x14ac:dyDescent="0.3">
      <c r="C28" s="3"/>
      <c r="D28" s="8">
        <v>2018</v>
      </c>
      <c r="E28" s="14">
        <f>Data!R28</f>
        <v>3</v>
      </c>
    </row>
    <row r="29" spans="2:5" ht="15" customHeight="1" x14ac:dyDescent="0.3">
      <c r="C29" s="3"/>
      <c r="D29" s="8">
        <v>2019</v>
      </c>
      <c r="E29" s="14">
        <f>Data!R29</f>
        <v>3</v>
      </c>
    </row>
    <row r="30" spans="2:5" ht="15" customHeight="1" x14ac:dyDescent="0.3">
      <c r="C30" s="3"/>
      <c r="D30" s="8">
        <v>2020</v>
      </c>
      <c r="E30" s="14">
        <f>Data!R30</f>
        <v>3</v>
      </c>
    </row>
    <row r="31" spans="2:5" ht="15" customHeight="1" x14ac:dyDescent="0.3">
      <c r="C31" s="3"/>
      <c r="D31" s="8">
        <v>2021</v>
      </c>
      <c r="E31" s="14">
        <f>Data!R31</f>
        <v>4</v>
      </c>
    </row>
    <row r="32" spans="2:5" ht="15" customHeight="1" x14ac:dyDescent="0.3">
      <c r="C32" s="3"/>
      <c r="D32" s="8">
        <v>2022</v>
      </c>
      <c r="E32" s="14">
        <f>Data!R32</f>
        <v>3</v>
      </c>
    </row>
    <row r="33" spans="2:5" ht="15" customHeight="1" x14ac:dyDescent="0.3">
      <c r="C33" s="3"/>
      <c r="D33" s="8">
        <v>2023</v>
      </c>
      <c r="E33" s="14">
        <f>Data!R33</f>
        <v>4</v>
      </c>
    </row>
    <row r="34" spans="2:5" ht="15" customHeight="1" x14ac:dyDescent="0.3">
      <c r="C34" s="3"/>
      <c r="D34" s="8">
        <v>2024</v>
      </c>
      <c r="E34" s="14">
        <f>Data!R34</f>
        <v>4</v>
      </c>
    </row>
    <row r="35" spans="2:5" ht="15" customHeight="1" x14ac:dyDescent="0.3">
      <c r="B35" s="8">
        <v>4</v>
      </c>
      <c r="C35" s="4" t="s">
        <v>56</v>
      </c>
      <c r="D35" s="8">
        <v>2014</v>
      </c>
      <c r="E35" s="14">
        <f>Data!R35</f>
        <v>0</v>
      </c>
    </row>
    <row r="36" spans="2:5" ht="15" customHeight="1" x14ac:dyDescent="0.3">
      <c r="C36" s="4"/>
      <c r="D36" s="8">
        <v>2015</v>
      </c>
      <c r="E36" s="14">
        <f>Data!R36</f>
        <v>0</v>
      </c>
    </row>
    <row r="37" spans="2:5" ht="15" customHeight="1" x14ac:dyDescent="0.3">
      <c r="C37" s="4"/>
      <c r="D37" s="8">
        <v>2016</v>
      </c>
      <c r="E37" s="14">
        <f>Data!R37</f>
        <v>0</v>
      </c>
    </row>
    <row r="38" spans="2:5" ht="15" customHeight="1" x14ac:dyDescent="0.3">
      <c r="C38" s="4"/>
      <c r="D38" s="8">
        <v>2017</v>
      </c>
      <c r="E38" s="14">
        <f>Data!R38</f>
        <v>0</v>
      </c>
    </row>
    <row r="39" spans="2:5" ht="15" customHeight="1" x14ac:dyDescent="0.3">
      <c r="C39" s="4"/>
      <c r="D39" s="8">
        <v>2018</v>
      </c>
      <c r="E39" s="14">
        <f>Data!R39</f>
        <v>0</v>
      </c>
    </row>
    <row r="40" spans="2:5" ht="15" customHeight="1" x14ac:dyDescent="0.3">
      <c r="C40" s="4"/>
      <c r="D40" s="8">
        <v>2019</v>
      </c>
      <c r="E40" s="14">
        <f>Data!R40</f>
        <v>0</v>
      </c>
    </row>
    <row r="41" spans="2:5" ht="15" customHeight="1" x14ac:dyDescent="0.3">
      <c r="C41" s="4"/>
      <c r="D41" s="8">
        <v>2020</v>
      </c>
      <c r="E41" s="14">
        <f>Data!R41</f>
        <v>0</v>
      </c>
    </row>
    <row r="42" spans="2:5" ht="15" customHeight="1" x14ac:dyDescent="0.3">
      <c r="C42" s="4"/>
      <c r="D42" s="8">
        <v>2021</v>
      </c>
      <c r="E42" s="14">
        <f>Data!R42</f>
        <v>0</v>
      </c>
    </row>
    <row r="43" spans="2:5" ht="15" customHeight="1" x14ac:dyDescent="0.3">
      <c r="C43" s="4"/>
      <c r="D43" s="8">
        <v>2022</v>
      </c>
      <c r="E43" s="14">
        <f>Data!R43</f>
        <v>0</v>
      </c>
    </row>
    <row r="44" spans="2:5" ht="15" customHeight="1" x14ac:dyDescent="0.3">
      <c r="C44" s="4"/>
      <c r="D44" s="8">
        <v>2023</v>
      </c>
      <c r="E44" s="14">
        <f>Data!R44</f>
        <v>3</v>
      </c>
    </row>
    <row r="45" spans="2:5" ht="15" customHeight="1" x14ac:dyDescent="0.3">
      <c r="C45" s="4"/>
      <c r="D45" s="8">
        <v>2024</v>
      </c>
      <c r="E45" s="14">
        <f>Data!R45</f>
        <v>3</v>
      </c>
    </row>
    <row r="46" spans="2:5" ht="15" customHeight="1" x14ac:dyDescent="0.3">
      <c r="B46" s="8">
        <v>5</v>
      </c>
      <c r="C46" s="3" t="s">
        <v>20</v>
      </c>
      <c r="D46" s="8">
        <v>2014</v>
      </c>
      <c r="E46" s="14">
        <f>Data!R46</f>
        <v>0</v>
      </c>
    </row>
    <row r="47" spans="2:5" ht="15" customHeight="1" x14ac:dyDescent="0.3">
      <c r="C47" s="3"/>
      <c r="D47" s="8">
        <v>2015</v>
      </c>
      <c r="E47" s="14">
        <f>Data!R47</f>
        <v>0</v>
      </c>
    </row>
    <row r="48" spans="2:5" ht="15" customHeight="1" x14ac:dyDescent="0.3">
      <c r="C48" s="3"/>
      <c r="D48" s="8">
        <v>2016</v>
      </c>
      <c r="E48" s="14">
        <f>Data!R48</f>
        <v>0</v>
      </c>
    </row>
    <row r="49" spans="2:5" ht="15" customHeight="1" x14ac:dyDescent="0.3">
      <c r="C49" s="3"/>
      <c r="D49" s="8">
        <v>2017</v>
      </c>
      <c r="E49" s="14">
        <f>Data!R49</f>
        <v>5</v>
      </c>
    </row>
    <row r="50" spans="2:5" ht="15" customHeight="1" x14ac:dyDescent="0.3">
      <c r="C50" s="3"/>
      <c r="D50" s="8">
        <v>2018</v>
      </c>
      <c r="E50" s="14">
        <f>Data!R50</f>
        <v>5</v>
      </c>
    </row>
    <row r="51" spans="2:5" ht="15" customHeight="1" x14ac:dyDescent="0.3">
      <c r="C51" s="3"/>
      <c r="D51" s="8">
        <v>2019</v>
      </c>
      <c r="E51" s="14">
        <f>Data!R51</f>
        <v>6</v>
      </c>
    </row>
    <row r="52" spans="2:5" ht="15" customHeight="1" x14ac:dyDescent="0.3">
      <c r="C52" s="3"/>
      <c r="D52" s="8">
        <v>2020</v>
      </c>
      <c r="E52" s="14">
        <f>Data!R52</f>
        <v>4</v>
      </c>
    </row>
    <row r="53" spans="2:5" ht="15" customHeight="1" x14ac:dyDescent="0.3">
      <c r="C53" s="3"/>
      <c r="D53" s="8">
        <v>2021</v>
      </c>
      <c r="E53" s="14">
        <f>Data!R53</f>
        <v>6</v>
      </c>
    </row>
    <row r="54" spans="2:5" ht="15" customHeight="1" x14ac:dyDescent="0.3">
      <c r="C54" s="3"/>
      <c r="D54" s="8">
        <v>2022</v>
      </c>
      <c r="E54" s="14">
        <f>Data!R54</f>
        <v>5</v>
      </c>
    </row>
    <row r="55" spans="2:5" ht="15" customHeight="1" x14ac:dyDescent="0.3">
      <c r="C55" s="3"/>
      <c r="D55" s="8">
        <v>2023</v>
      </c>
      <c r="E55" s="14">
        <f>Data!R55</f>
        <v>5</v>
      </c>
    </row>
    <row r="56" spans="2:5" ht="15" customHeight="1" x14ac:dyDescent="0.3">
      <c r="C56" s="3"/>
      <c r="D56" s="8">
        <v>2024</v>
      </c>
      <c r="E56" s="14">
        <f>Data!R56</f>
        <v>0</v>
      </c>
    </row>
    <row r="57" spans="2:5" ht="15" customHeight="1" x14ac:dyDescent="0.3">
      <c r="B57" s="8">
        <v>6</v>
      </c>
      <c r="C57" s="3" t="s">
        <v>21</v>
      </c>
      <c r="D57" s="8">
        <v>2014</v>
      </c>
      <c r="E57" s="14">
        <f>Data!R57</f>
        <v>0</v>
      </c>
    </row>
    <row r="58" spans="2:5" ht="15" customHeight="1" x14ac:dyDescent="0.3">
      <c r="C58" s="3"/>
      <c r="D58" s="8">
        <v>2015</v>
      </c>
      <c r="E58" s="14">
        <f>Data!R58</f>
        <v>0</v>
      </c>
    </row>
    <row r="59" spans="2:5" ht="15" customHeight="1" x14ac:dyDescent="0.3">
      <c r="C59" s="3"/>
      <c r="D59" s="8">
        <v>2016</v>
      </c>
      <c r="E59" s="14">
        <f>Data!R59</f>
        <v>0</v>
      </c>
    </row>
    <row r="60" spans="2:5" ht="15" customHeight="1" x14ac:dyDescent="0.3">
      <c r="C60" s="3"/>
      <c r="D60" s="8">
        <v>2017</v>
      </c>
      <c r="E60" s="14">
        <f>Data!R60</f>
        <v>4</v>
      </c>
    </row>
    <row r="61" spans="2:5" ht="15" customHeight="1" x14ac:dyDescent="0.3">
      <c r="C61" s="3"/>
      <c r="D61" s="8">
        <v>2018</v>
      </c>
      <c r="E61" s="14">
        <f>Data!R61</f>
        <v>4</v>
      </c>
    </row>
    <row r="62" spans="2:5" ht="15" customHeight="1" x14ac:dyDescent="0.3">
      <c r="C62" s="3"/>
      <c r="D62" s="8">
        <v>2019</v>
      </c>
      <c r="E62" s="14">
        <f>Data!R62</f>
        <v>4</v>
      </c>
    </row>
    <row r="63" spans="2:5" ht="15" customHeight="1" x14ac:dyDescent="0.3">
      <c r="C63" s="3"/>
      <c r="D63" s="8">
        <v>2020</v>
      </c>
      <c r="E63" s="14">
        <f>Data!R63</f>
        <v>4</v>
      </c>
    </row>
    <row r="64" spans="2:5" ht="15" customHeight="1" x14ac:dyDescent="0.3">
      <c r="C64" s="3"/>
      <c r="D64" s="8">
        <v>2021</v>
      </c>
      <c r="E64" s="14">
        <f>Data!R64</f>
        <v>4</v>
      </c>
    </row>
    <row r="65" spans="2:5" ht="15" customHeight="1" x14ac:dyDescent="0.3">
      <c r="C65" s="3"/>
      <c r="D65" s="8">
        <v>2022</v>
      </c>
      <c r="E65" s="14">
        <f>Data!R65</f>
        <v>4</v>
      </c>
    </row>
    <row r="66" spans="2:5" ht="15" customHeight="1" x14ac:dyDescent="0.3">
      <c r="C66" s="3"/>
      <c r="D66" s="8">
        <v>2023</v>
      </c>
      <c r="E66" s="14">
        <f>Data!R66</f>
        <v>4</v>
      </c>
    </row>
    <row r="67" spans="2:5" ht="15" customHeight="1" x14ac:dyDescent="0.3">
      <c r="C67" s="3"/>
      <c r="D67" s="8">
        <v>2024</v>
      </c>
      <c r="E67" s="14">
        <f>Data!R67</f>
        <v>3</v>
      </c>
    </row>
    <row r="68" spans="2:5" ht="15" customHeight="1" x14ac:dyDescent="0.3">
      <c r="B68" s="8">
        <v>7</v>
      </c>
      <c r="C68" s="3" t="s">
        <v>19</v>
      </c>
      <c r="D68" s="8">
        <v>2014</v>
      </c>
      <c r="E68" s="14">
        <f>Data!R68</f>
        <v>0</v>
      </c>
    </row>
    <row r="69" spans="2:5" ht="15" customHeight="1" x14ac:dyDescent="0.3">
      <c r="C69" s="3"/>
      <c r="D69" s="8">
        <v>2015</v>
      </c>
      <c r="E69" s="14">
        <f>Data!R69</f>
        <v>4</v>
      </c>
    </row>
    <row r="70" spans="2:5" ht="15" customHeight="1" x14ac:dyDescent="0.3">
      <c r="C70" s="3"/>
      <c r="D70" s="8">
        <v>2016</v>
      </c>
      <c r="E70" s="14">
        <f>Data!R70</f>
        <v>4</v>
      </c>
    </row>
    <row r="71" spans="2:5" ht="15" customHeight="1" x14ac:dyDescent="0.3">
      <c r="C71" s="3"/>
      <c r="D71" s="8">
        <v>2017</v>
      </c>
      <c r="E71" s="14">
        <f>Data!R71</f>
        <v>4</v>
      </c>
    </row>
    <row r="72" spans="2:5" ht="15" customHeight="1" x14ac:dyDescent="0.3">
      <c r="C72" s="3"/>
      <c r="D72" s="8">
        <v>2018</v>
      </c>
      <c r="E72" s="14">
        <f>Data!R72</f>
        <v>4</v>
      </c>
    </row>
    <row r="73" spans="2:5" ht="15" customHeight="1" x14ac:dyDescent="0.3">
      <c r="C73" s="3"/>
      <c r="D73" s="8">
        <v>2019</v>
      </c>
      <c r="E73" s="14">
        <f>Data!R73</f>
        <v>4</v>
      </c>
    </row>
    <row r="74" spans="2:5" ht="15" customHeight="1" x14ac:dyDescent="0.3">
      <c r="C74" s="3"/>
      <c r="D74" s="8">
        <v>2020</v>
      </c>
      <c r="E74" s="14">
        <f>Data!R74</f>
        <v>4</v>
      </c>
    </row>
    <row r="75" spans="2:5" ht="15" customHeight="1" x14ac:dyDescent="0.3">
      <c r="C75" s="3"/>
      <c r="D75" s="8">
        <v>2021</v>
      </c>
      <c r="E75" s="14">
        <f>Data!R75</f>
        <v>4</v>
      </c>
    </row>
    <row r="76" spans="2:5" ht="15" customHeight="1" x14ac:dyDescent="0.3">
      <c r="C76" s="3"/>
      <c r="D76" s="8">
        <v>2022</v>
      </c>
      <c r="E76" s="14">
        <f>Data!R76</f>
        <v>4</v>
      </c>
    </row>
    <row r="77" spans="2:5" ht="15" customHeight="1" x14ac:dyDescent="0.3">
      <c r="C77" s="3"/>
      <c r="D77" s="8">
        <v>2023</v>
      </c>
      <c r="E77" s="14">
        <f>Data!R77</f>
        <v>4</v>
      </c>
    </row>
    <row r="78" spans="2:5" ht="15" customHeight="1" x14ac:dyDescent="0.3">
      <c r="C78" s="3"/>
      <c r="D78" s="8">
        <v>2024</v>
      </c>
      <c r="E78" s="14">
        <f>Data!R78</f>
        <v>4</v>
      </c>
    </row>
    <row r="79" spans="2:5" ht="15" customHeight="1" x14ac:dyDescent="0.3">
      <c r="B79" s="8">
        <v>8</v>
      </c>
      <c r="C79" s="3" t="s">
        <v>8</v>
      </c>
      <c r="D79" s="8">
        <v>2014</v>
      </c>
      <c r="E79" s="14">
        <f>Data!R79</f>
        <v>0</v>
      </c>
    </row>
    <row r="80" spans="2:5" ht="15" customHeight="1" x14ac:dyDescent="0.3">
      <c r="C80" s="3"/>
      <c r="D80" s="8">
        <v>2015</v>
      </c>
      <c r="E80" s="14">
        <f>Data!R80</f>
        <v>4</v>
      </c>
    </row>
    <row r="81" spans="2:5" ht="15" customHeight="1" x14ac:dyDescent="0.3">
      <c r="C81" s="3"/>
      <c r="D81" s="8">
        <v>2016</v>
      </c>
      <c r="E81" s="14">
        <f>Data!R81</f>
        <v>3</v>
      </c>
    </row>
    <row r="82" spans="2:5" ht="15" customHeight="1" x14ac:dyDescent="0.3">
      <c r="C82" s="3"/>
      <c r="D82" s="8">
        <v>2017</v>
      </c>
      <c r="E82" s="14">
        <f>Data!R82</f>
        <v>4</v>
      </c>
    </row>
    <row r="83" spans="2:5" ht="15" customHeight="1" x14ac:dyDescent="0.3">
      <c r="C83" s="3"/>
      <c r="D83" s="8">
        <v>2018</v>
      </c>
      <c r="E83" s="14">
        <f>Data!R83</f>
        <v>4</v>
      </c>
    </row>
    <row r="84" spans="2:5" ht="15" customHeight="1" x14ac:dyDescent="0.3">
      <c r="C84" s="3"/>
      <c r="D84" s="8">
        <v>2019</v>
      </c>
      <c r="E84" s="14">
        <f>Data!R84</f>
        <v>4</v>
      </c>
    </row>
    <row r="85" spans="2:5" ht="15" customHeight="1" x14ac:dyDescent="0.3">
      <c r="C85" s="3"/>
      <c r="D85" s="8">
        <v>2020</v>
      </c>
      <c r="E85" s="14">
        <f>Data!R85</f>
        <v>4</v>
      </c>
    </row>
    <row r="86" spans="2:5" ht="15" customHeight="1" x14ac:dyDescent="0.3">
      <c r="C86" s="3"/>
      <c r="D86" s="8">
        <v>2021</v>
      </c>
      <c r="E86" s="14">
        <f>Data!R86</f>
        <v>4</v>
      </c>
    </row>
    <row r="87" spans="2:5" ht="15" customHeight="1" x14ac:dyDescent="0.3">
      <c r="C87" s="3"/>
      <c r="D87" s="8">
        <v>2022</v>
      </c>
      <c r="E87" s="14">
        <f>Data!R87</f>
        <v>4</v>
      </c>
    </row>
    <row r="88" spans="2:5" ht="15" customHeight="1" x14ac:dyDescent="0.3">
      <c r="C88" s="3"/>
      <c r="D88" s="8">
        <v>2023</v>
      </c>
      <c r="E88" s="14">
        <f>Data!R88</f>
        <v>4</v>
      </c>
    </row>
    <row r="89" spans="2:5" ht="15" customHeight="1" x14ac:dyDescent="0.3">
      <c r="C89" s="3"/>
      <c r="D89" s="8">
        <v>2024</v>
      </c>
      <c r="E89" s="14">
        <f>Data!R89</f>
        <v>4</v>
      </c>
    </row>
    <row r="90" spans="2:5" ht="15" customHeight="1" x14ac:dyDescent="0.3">
      <c r="B90" s="8">
        <v>9</v>
      </c>
      <c r="C90" s="3" t="s">
        <v>11</v>
      </c>
      <c r="D90" s="8">
        <v>2014</v>
      </c>
      <c r="E90" s="14">
        <f>Data!R90</f>
        <v>0</v>
      </c>
    </row>
    <row r="91" spans="2:5" ht="15" customHeight="1" x14ac:dyDescent="0.3">
      <c r="C91" s="3"/>
      <c r="D91" s="8">
        <v>2015</v>
      </c>
      <c r="E91" s="14">
        <f>Data!R91</f>
        <v>4</v>
      </c>
    </row>
    <row r="92" spans="2:5" ht="15" customHeight="1" x14ac:dyDescent="0.3">
      <c r="C92" s="3"/>
      <c r="D92" s="8">
        <v>2016</v>
      </c>
      <c r="E92" s="14">
        <f>Data!R92</f>
        <v>4</v>
      </c>
    </row>
    <row r="93" spans="2:5" ht="15" customHeight="1" x14ac:dyDescent="0.3">
      <c r="C93" s="3"/>
      <c r="D93" s="8">
        <v>2017</v>
      </c>
      <c r="E93" s="14">
        <f>Data!R93</f>
        <v>4</v>
      </c>
    </row>
    <row r="94" spans="2:5" ht="15" customHeight="1" x14ac:dyDescent="0.3">
      <c r="C94" s="3"/>
      <c r="D94" s="8">
        <v>2018</v>
      </c>
      <c r="E94" s="14">
        <f>Data!R94</f>
        <v>4</v>
      </c>
    </row>
    <row r="95" spans="2:5" ht="15" customHeight="1" x14ac:dyDescent="0.3">
      <c r="C95" s="3"/>
      <c r="D95" s="8">
        <v>2019</v>
      </c>
      <c r="E95" s="14">
        <f>Data!R95</f>
        <v>4</v>
      </c>
    </row>
    <row r="96" spans="2:5" ht="15" customHeight="1" x14ac:dyDescent="0.3">
      <c r="C96" s="3"/>
      <c r="D96" s="8">
        <v>2020</v>
      </c>
      <c r="E96" s="14">
        <f>Data!R96</f>
        <v>4</v>
      </c>
    </row>
    <row r="97" spans="2:5" ht="15" customHeight="1" x14ac:dyDescent="0.3">
      <c r="C97" s="3"/>
      <c r="D97" s="8">
        <v>2021</v>
      </c>
      <c r="E97" s="14">
        <f>Data!R97</f>
        <v>3</v>
      </c>
    </row>
    <row r="98" spans="2:5" ht="15" customHeight="1" x14ac:dyDescent="0.3">
      <c r="C98" s="3"/>
      <c r="D98" s="8">
        <v>2022</v>
      </c>
      <c r="E98" s="14">
        <f>Data!R98</f>
        <v>3</v>
      </c>
    </row>
    <row r="99" spans="2:5" ht="15" customHeight="1" x14ac:dyDescent="0.3">
      <c r="C99" s="3"/>
      <c r="D99" s="8">
        <v>2023</v>
      </c>
      <c r="E99" s="14">
        <f>Data!R99</f>
        <v>3</v>
      </c>
    </row>
    <row r="100" spans="2:5" ht="15" customHeight="1" x14ac:dyDescent="0.3">
      <c r="C100" s="3"/>
      <c r="D100" s="8">
        <v>2024</v>
      </c>
      <c r="E100" s="14">
        <f>Data!R100</f>
        <v>3</v>
      </c>
    </row>
    <row r="101" spans="2:5" ht="15" customHeight="1" x14ac:dyDescent="0.3">
      <c r="B101" s="8">
        <v>10</v>
      </c>
      <c r="C101" s="3" t="s">
        <v>13</v>
      </c>
      <c r="D101" s="8">
        <v>2014</v>
      </c>
      <c r="E101" s="14">
        <f>Data!R101</f>
        <v>0</v>
      </c>
    </row>
    <row r="102" spans="2:5" ht="15" customHeight="1" x14ac:dyDescent="0.3">
      <c r="C102" s="3"/>
      <c r="D102" s="8">
        <v>2015</v>
      </c>
      <c r="E102" s="14">
        <f>Data!R102</f>
        <v>4</v>
      </c>
    </row>
    <row r="103" spans="2:5" ht="15" customHeight="1" x14ac:dyDescent="0.3">
      <c r="C103" s="3"/>
      <c r="D103" s="8">
        <v>2016</v>
      </c>
      <c r="E103" s="14">
        <f>Data!R103</f>
        <v>3</v>
      </c>
    </row>
    <row r="104" spans="2:5" ht="15" customHeight="1" x14ac:dyDescent="0.3">
      <c r="C104" s="3"/>
      <c r="D104" s="8">
        <v>2017</v>
      </c>
      <c r="E104" s="14">
        <f>Data!R104</f>
        <v>3</v>
      </c>
    </row>
    <row r="105" spans="2:5" ht="15" customHeight="1" x14ac:dyDescent="0.3">
      <c r="C105" s="3"/>
      <c r="D105" s="8">
        <v>2018</v>
      </c>
      <c r="E105" s="14">
        <f>Data!R105</f>
        <v>3</v>
      </c>
    </row>
    <row r="106" spans="2:5" ht="15" customHeight="1" x14ac:dyDescent="0.3">
      <c r="C106" s="3"/>
      <c r="D106" s="8">
        <v>2019</v>
      </c>
      <c r="E106" s="14">
        <f>Data!R106</f>
        <v>3</v>
      </c>
    </row>
    <row r="107" spans="2:5" ht="15" customHeight="1" x14ac:dyDescent="0.3">
      <c r="C107" s="3"/>
      <c r="D107" s="8">
        <v>2020</v>
      </c>
      <c r="E107" s="14">
        <f>Data!R107</f>
        <v>3</v>
      </c>
    </row>
    <row r="108" spans="2:5" ht="15" customHeight="1" x14ac:dyDescent="0.3">
      <c r="C108" s="3"/>
      <c r="D108" s="8">
        <v>2021</v>
      </c>
      <c r="E108" s="14">
        <f>Data!R108</f>
        <v>3</v>
      </c>
    </row>
    <row r="109" spans="2:5" ht="15" customHeight="1" x14ac:dyDescent="0.3">
      <c r="C109" s="3"/>
      <c r="D109" s="8">
        <v>2022</v>
      </c>
      <c r="E109" s="14">
        <f>Data!R109</f>
        <v>3</v>
      </c>
    </row>
    <row r="110" spans="2:5" ht="15" customHeight="1" x14ac:dyDescent="0.3">
      <c r="C110" s="3"/>
      <c r="D110" s="8">
        <v>2023</v>
      </c>
      <c r="E110" s="14">
        <f>Data!R110</f>
        <v>3</v>
      </c>
    </row>
    <row r="111" spans="2:5" ht="15" customHeight="1" x14ac:dyDescent="0.3">
      <c r="C111" s="3"/>
      <c r="D111" s="8">
        <v>2024</v>
      </c>
      <c r="E111" s="14">
        <f>Data!R111</f>
        <v>4</v>
      </c>
    </row>
    <row r="112" spans="2:5" ht="15" customHeight="1" x14ac:dyDescent="0.3">
      <c r="B112" s="8">
        <v>11</v>
      </c>
      <c r="C112" s="3" t="s">
        <v>23</v>
      </c>
      <c r="D112" s="8">
        <v>2014</v>
      </c>
      <c r="E112" s="14">
        <f>Data!R112</f>
        <v>0</v>
      </c>
    </row>
    <row r="113" spans="2:5" ht="15" customHeight="1" x14ac:dyDescent="0.3">
      <c r="C113" s="3"/>
      <c r="D113" s="8">
        <v>2015</v>
      </c>
      <c r="E113" s="14">
        <f>Data!R113</f>
        <v>0</v>
      </c>
    </row>
    <row r="114" spans="2:5" ht="15" customHeight="1" x14ac:dyDescent="0.3">
      <c r="C114" s="3"/>
      <c r="D114" s="8">
        <v>2016</v>
      </c>
      <c r="E114" s="14">
        <f>Data!R114</f>
        <v>0</v>
      </c>
    </row>
    <row r="115" spans="2:5" ht="15" customHeight="1" x14ac:dyDescent="0.3">
      <c r="C115" s="3"/>
      <c r="D115" s="8">
        <v>2017</v>
      </c>
      <c r="E115" s="14">
        <f>Data!R115</f>
        <v>0</v>
      </c>
    </row>
    <row r="116" spans="2:5" ht="15" customHeight="1" x14ac:dyDescent="0.3">
      <c r="C116" s="3"/>
      <c r="D116" s="8">
        <v>2018</v>
      </c>
      <c r="E116" s="14">
        <f>Data!R116</f>
        <v>0</v>
      </c>
    </row>
    <row r="117" spans="2:5" ht="15" customHeight="1" x14ac:dyDescent="0.3">
      <c r="C117" s="3"/>
      <c r="D117" s="8">
        <v>2019</v>
      </c>
      <c r="E117" s="14">
        <f>Data!R117</f>
        <v>0</v>
      </c>
    </row>
    <row r="118" spans="2:5" ht="15" customHeight="1" x14ac:dyDescent="0.3">
      <c r="C118" s="3"/>
      <c r="D118" s="8">
        <v>2020</v>
      </c>
      <c r="E118" s="14">
        <f>Data!R118</f>
        <v>1</v>
      </c>
    </row>
    <row r="119" spans="2:5" ht="15" customHeight="1" x14ac:dyDescent="0.3">
      <c r="C119" s="3"/>
      <c r="D119" s="8">
        <v>2021</v>
      </c>
      <c r="E119" s="14">
        <f>Data!R119</f>
        <v>3</v>
      </c>
    </row>
    <row r="120" spans="2:5" ht="15" customHeight="1" x14ac:dyDescent="0.3">
      <c r="C120" s="3"/>
      <c r="D120" s="8">
        <v>2022</v>
      </c>
      <c r="E120" s="14">
        <f>Data!R120</f>
        <v>4</v>
      </c>
    </row>
    <row r="121" spans="2:5" ht="15" customHeight="1" x14ac:dyDescent="0.3">
      <c r="C121" s="3"/>
      <c r="D121" s="8">
        <v>2023</v>
      </c>
      <c r="E121" s="14">
        <f>Data!R121</f>
        <v>5</v>
      </c>
    </row>
    <row r="122" spans="2:5" ht="15" customHeight="1" x14ac:dyDescent="0.3">
      <c r="C122" s="3"/>
      <c r="D122" s="8">
        <v>2024</v>
      </c>
      <c r="E122" s="14">
        <f>Data!R122</f>
        <v>0</v>
      </c>
    </row>
    <row r="123" spans="2:5" ht="15" customHeight="1" x14ac:dyDescent="0.3">
      <c r="B123" s="8">
        <v>12</v>
      </c>
      <c r="C123" s="3" t="s">
        <v>24</v>
      </c>
      <c r="D123" s="8">
        <v>2014</v>
      </c>
      <c r="E123" s="14">
        <f>Data!R123</f>
        <v>0</v>
      </c>
    </row>
    <row r="124" spans="2:5" ht="15" customHeight="1" x14ac:dyDescent="0.3">
      <c r="C124" s="3"/>
      <c r="D124" s="8">
        <v>2015</v>
      </c>
      <c r="E124" s="14">
        <f>Data!R124</f>
        <v>5</v>
      </c>
    </row>
    <row r="125" spans="2:5" ht="15" customHeight="1" x14ac:dyDescent="0.3">
      <c r="C125" s="3"/>
      <c r="D125" s="8">
        <v>2016</v>
      </c>
      <c r="E125" s="14">
        <f>Data!R125</f>
        <v>4</v>
      </c>
    </row>
    <row r="126" spans="2:5" ht="15" customHeight="1" x14ac:dyDescent="0.3">
      <c r="C126" s="3"/>
      <c r="D126" s="8">
        <v>2017</v>
      </c>
      <c r="E126" s="14">
        <f>Data!R126</f>
        <v>3</v>
      </c>
    </row>
    <row r="127" spans="2:5" ht="15" customHeight="1" x14ac:dyDescent="0.3">
      <c r="C127" s="3"/>
      <c r="D127" s="8">
        <v>2018</v>
      </c>
      <c r="E127" s="14">
        <f>Data!R127</f>
        <v>3</v>
      </c>
    </row>
    <row r="128" spans="2:5" ht="15" customHeight="1" x14ac:dyDescent="0.3">
      <c r="C128" s="3"/>
      <c r="D128" s="8">
        <v>2019</v>
      </c>
      <c r="E128" s="14">
        <f>Data!R128</f>
        <v>4</v>
      </c>
    </row>
    <row r="129" spans="2:5" ht="15" customHeight="1" x14ac:dyDescent="0.3">
      <c r="C129" s="3"/>
      <c r="D129" s="8">
        <v>2020</v>
      </c>
      <c r="E129" s="14">
        <f>Data!R129</f>
        <v>5</v>
      </c>
    </row>
    <row r="130" spans="2:5" ht="15" customHeight="1" x14ac:dyDescent="0.3">
      <c r="C130" s="3"/>
      <c r="D130" s="8">
        <v>2021</v>
      </c>
      <c r="E130" s="14">
        <f>Data!R130</f>
        <v>7</v>
      </c>
    </row>
    <row r="131" spans="2:5" ht="15" customHeight="1" x14ac:dyDescent="0.3">
      <c r="C131" s="3"/>
      <c r="D131" s="8">
        <v>2022</v>
      </c>
      <c r="E131" s="14">
        <f>Data!R131</f>
        <v>4</v>
      </c>
    </row>
    <row r="132" spans="2:5" ht="15" customHeight="1" x14ac:dyDescent="0.3">
      <c r="C132" s="3"/>
      <c r="D132" s="8">
        <v>2023</v>
      </c>
      <c r="E132" s="14">
        <f>Data!R132</f>
        <v>5</v>
      </c>
    </row>
    <row r="133" spans="2:5" ht="15" customHeight="1" x14ac:dyDescent="0.3">
      <c r="C133" s="3"/>
      <c r="D133" s="8">
        <v>2024</v>
      </c>
      <c r="E133" s="14">
        <f>Data!R133</f>
        <v>6</v>
      </c>
    </row>
    <row r="134" spans="2:5" ht="15" customHeight="1" x14ac:dyDescent="0.3">
      <c r="B134" s="8">
        <v>13</v>
      </c>
      <c r="C134" s="3" t="s">
        <v>18</v>
      </c>
      <c r="D134" s="8">
        <v>2014</v>
      </c>
      <c r="E134" s="14">
        <f>Data!R134</f>
        <v>0</v>
      </c>
    </row>
    <row r="135" spans="2:5" ht="15" customHeight="1" x14ac:dyDescent="0.3">
      <c r="C135" s="3"/>
      <c r="D135" s="8">
        <v>2015</v>
      </c>
      <c r="E135" s="14">
        <f>Data!R135</f>
        <v>6</v>
      </c>
    </row>
    <row r="136" spans="2:5" ht="15" customHeight="1" x14ac:dyDescent="0.3">
      <c r="C136" s="3"/>
      <c r="D136" s="8">
        <v>2016</v>
      </c>
      <c r="E136" s="14">
        <f>Data!R136</f>
        <v>4</v>
      </c>
    </row>
    <row r="137" spans="2:5" ht="15" customHeight="1" x14ac:dyDescent="0.3">
      <c r="C137" s="3"/>
      <c r="D137" s="8">
        <v>2017</v>
      </c>
      <c r="E137" s="14">
        <f>Data!R137</f>
        <v>4</v>
      </c>
    </row>
    <row r="138" spans="2:5" ht="15" customHeight="1" x14ac:dyDescent="0.3">
      <c r="C138" s="3"/>
      <c r="D138" s="8">
        <v>2018</v>
      </c>
      <c r="E138" s="14">
        <f>Data!R138</f>
        <v>4</v>
      </c>
    </row>
    <row r="139" spans="2:5" ht="15" customHeight="1" x14ac:dyDescent="0.3">
      <c r="C139" s="3"/>
      <c r="D139" s="8">
        <v>2019</v>
      </c>
      <c r="E139" s="14">
        <f>Data!R139</f>
        <v>4</v>
      </c>
    </row>
    <row r="140" spans="2:5" ht="15" customHeight="1" x14ac:dyDescent="0.3">
      <c r="C140" s="3"/>
      <c r="D140" s="8">
        <v>2020</v>
      </c>
      <c r="E140" s="14">
        <f>Data!R140</f>
        <v>4</v>
      </c>
    </row>
    <row r="141" spans="2:5" ht="15" customHeight="1" x14ac:dyDescent="0.3">
      <c r="C141" s="3"/>
      <c r="D141" s="8">
        <v>2021</v>
      </c>
      <c r="E141" s="14">
        <f>Data!R141</f>
        <v>4</v>
      </c>
    </row>
    <row r="142" spans="2:5" ht="15" customHeight="1" x14ac:dyDescent="0.3">
      <c r="C142" s="3"/>
      <c r="D142" s="8">
        <v>2022</v>
      </c>
      <c r="E142" s="14">
        <f>Data!R142</f>
        <v>4</v>
      </c>
    </row>
    <row r="143" spans="2:5" ht="15" customHeight="1" x14ac:dyDescent="0.3">
      <c r="C143" s="3"/>
      <c r="D143" s="8">
        <v>2023</v>
      </c>
      <c r="E143" s="14">
        <f>Data!R143</f>
        <v>4</v>
      </c>
    </row>
    <row r="144" spans="2:5" ht="15" customHeight="1" x14ac:dyDescent="0.3">
      <c r="C144" s="3"/>
      <c r="D144" s="8">
        <v>2024</v>
      </c>
      <c r="E144" s="14">
        <f>Data!R144</f>
        <v>4</v>
      </c>
    </row>
    <row r="145" spans="2:5" ht="15" customHeight="1" x14ac:dyDescent="0.3">
      <c r="B145" s="8">
        <v>14</v>
      </c>
      <c r="C145" s="4" t="s">
        <v>57</v>
      </c>
      <c r="D145" s="8">
        <v>2014</v>
      </c>
      <c r="E145" s="14">
        <f>Data!R145</f>
        <v>0</v>
      </c>
    </row>
    <row r="146" spans="2:5" ht="15" customHeight="1" x14ac:dyDescent="0.3">
      <c r="C146" s="4"/>
      <c r="D146" s="8">
        <v>2015</v>
      </c>
      <c r="E146" s="14">
        <f>Data!R146</f>
        <v>0</v>
      </c>
    </row>
    <row r="147" spans="2:5" ht="15" customHeight="1" x14ac:dyDescent="0.3">
      <c r="C147" s="4"/>
      <c r="D147" s="8">
        <v>2016</v>
      </c>
      <c r="E147" s="14">
        <f>Data!R147</f>
        <v>0</v>
      </c>
    </row>
    <row r="148" spans="2:5" ht="15" customHeight="1" x14ac:dyDescent="0.3">
      <c r="C148" s="4"/>
      <c r="D148" s="8">
        <v>2017</v>
      </c>
      <c r="E148" s="14">
        <f>Data!R148</f>
        <v>0</v>
      </c>
    </row>
    <row r="149" spans="2:5" ht="15" customHeight="1" x14ac:dyDescent="0.3">
      <c r="C149" s="4"/>
      <c r="D149" s="8">
        <v>2018</v>
      </c>
      <c r="E149" s="14">
        <f>Data!R149</f>
        <v>0</v>
      </c>
    </row>
    <row r="150" spans="2:5" ht="15" customHeight="1" x14ac:dyDescent="0.3">
      <c r="C150" s="4"/>
      <c r="D150" s="8">
        <v>2019</v>
      </c>
      <c r="E150" s="14">
        <f>Data!R150</f>
        <v>0</v>
      </c>
    </row>
    <row r="151" spans="2:5" ht="15" customHeight="1" x14ac:dyDescent="0.3">
      <c r="C151" s="4"/>
      <c r="D151" s="8">
        <v>2020</v>
      </c>
      <c r="E151" s="14">
        <f>Data!R151</f>
        <v>0</v>
      </c>
    </row>
    <row r="152" spans="2:5" ht="15" customHeight="1" x14ac:dyDescent="0.3">
      <c r="C152" s="4"/>
      <c r="D152" s="8">
        <v>2021</v>
      </c>
      <c r="E152" s="14">
        <f>Data!R152</f>
        <v>0</v>
      </c>
    </row>
    <row r="153" spans="2:5" ht="15" customHeight="1" x14ac:dyDescent="0.3">
      <c r="C153" s="4"/>
      <c r="D153" s="8">
        <v>2022</v>
      </c>
      <c r="E153" s="14">
        <f>Data!R153</f>
        <v>0</v>
      </c>
    </row>
    <row r="154" spans="2:5" ht="15" customHeight="1" x14ac:dyDescent="0.3">
      <c r="C154" s="4"/>
      <c r="D154" s="8">
        <v>2023</v>
      </c>
      <c r="E154" s="14">
        <f>Data!R154</f>
        <v>0</v>
      </c>
    </row>
    <row r="155" spans="2:5" ht="15" customHeight="1" x14ac:dyDescent="0.3">
      <c r="C155" s="4"/>
      <c r="D155" s="8">
        <v>2024</v>
      </c>
      <c r="E155" s="14">
        <f>Data!R155</f>
        <v>3</v>
      </c>
    </row>
    <row r="156" spans="2:5" ht="15" customHeight="1" x14ac:dyDescent="0.3">
      <c r="B156" s="8">
        <v>15</v>
      </c>
      <c r="C156" s="3" t="s">
        <v>25</v>
      </c>
      <c r="D156" s="8">
        <v>2014</v>
      </c>
      <c r="E156" s="14">
        <f>Data!R156</f>
        <v>0</v>
      </c>
    </row>
    <row r="157" spans="2:5" ht="15" customHeight="1" x14ac:dyDescent="0.3">
      <c r="C157" s="3"/>
      <c r="D157" s="8">
        <v>2015</v>
      </c>
      <c r="E157" s="14">
        <f>Data!R157</f>
        <v>0</v>
      </c>
    </row>
    <row r="158" spans="2:5" ht="15" customHeight="1" x14ac:dyDescent="0.3">
      <c r="C158" s="3"/>
      <c r="D158" s="8">
        <v>2016</v>
      </c>
      <c r="E158" s="14">
        <f>Data!R158</f>
        <v>0</v>
      </c>
    </row>
    <row r="159" spans="2:5" ht="15" customHeight="1" x14ac:dyDescent="0.3">
      <c r="C159" s="3"/>
      <c r="D159" s="8">
        <v>2017</v>
      </c>
      <c r="E159" s="14">
        <f>Data!R159</f>
        <v>0</v>
      </c>
    </row>
    <row r="160" spans="2:5" ht="15" customHeight="1" x14ac:dyDescent="0.3">
      <c r="C160" s="3"/>
      <c r="D160" s="8">
        <v>2018</v>
      </c>
      <c r="E160" s="14">
        <f>Data!R160</f>
        <v>3</v>
      </c>
    </row>
    <row r="161" spans="2:5" ht="15" customHeight="1" x14ac:dyDescent="0.3">
      <c r="C161" s="3"/>
      <c r="D161" s="8">
        <v>2019</v>
      </c>
      <c r="E161" s="14">
        <f>Data!R161</f>
        <v>3</v>
      </c>
    </row>
    <row r="162" spans="2:5" ht="15" customHeight="1" x14ac:dyDescent="0.3">
      <c r="C162" s="3"/>
      <c r="D162" s="8">
        <v>2020</v>
      </c>
      <c r="E162" s="14">
        <f>Data!R162</f>
        <v>3</v>
      </c>
    </row>
    <row r="163" spans="2:5" ht="15" customHeight="1" x14ac:dyDescent="0.3">
      <c r="C163" s="3"/>
      <c r="D163" s="8">
        <v>2021</v>
      </c>
      <c r="E163" s="14">
        <f>Data!R163</f>
        <v>2</v>
      </c>
    </row>
    <row r="164" spans="2:5" ht="15" customHeight="1" x14ac:dyDescent="0.3">
      <c r="C164" s="3"/>
      <c r="D164" s="8">
        <v>2022</v>
      </c>
      <c r="E164" s="14">
        <f>Data!R164</f>
        <v>3</v>
      </c>
    </row>
    <row r="165" spans="2:5" ht="15" customHeight="1" x14ac:dyDescent="0.3">
      <c r="C165" s="3"/>
      <c r="D165" s="8">
        <v>2023</v>
      </c>
      <c r="E165" s="14">
        <f>Data!R165</f>
        <v>3</v>
      </c>
    </row>
    <row r="166" spans="2:5" ht="15" customHeight="1" x14ac:dyDescent="0.3">
      <c r="C166" s="3"/>
      <c r="D166" s="8">
        <v>2024</v>
      </c>
      <c r="E166" s="14">
        <f>Data!R166</f>
        <v>3</v>
      </c>
    </row>
    <row r="167" spans="2:5" ht="15" customHeight="1" x14ac:dyDescent="0.3">
      <c r="B167" s="8">
        <v>16</v>
      </c>
      <c r="C167" s="3" t="s">
        <v>44</v>
      </c>
      <c r="D167" s="8">
        <v>2014</v>
      </c>
      <c r="E167" s="14">
        <f>Data!R167</f>
        <v>0</v>
      </c>
    </row>
    <row r="168" spans="2:5" ht="15" customHeight="1" x14ac:dyDescent="0.3">
      <c r="C168" s="3"/>
      <c r="D168" s="8">
        <v>2015</v>
      </c>
      <c r="E168" s="14">
        <f>Data!R168</f>
        <v>3</v>
      </c>
    </row>
    <row r="169" spans="2:5" ht="15" customHeight="1" x14ac:dyDescent="0.3">
      <c r="C169" s="3"/>
      <c r="D169" s="8">
        <v>2016</v>
      </c>
      <c r="E169" s="14">
        <f>Data!R169</f>
        <v>2</v>
      </c>
    </row>
    <row r="170" spans="2:5" ht="15" customHeight="1" x14ac:dyDescent="0.3">
      <c r="C170" s="3"/>
      <c r="D170" s="8">
        <v>2017</v>
      </c>
      <c r="E170" s="14">
        <f>Data!R170</f>
        <v>3</v>
      </c>
    </row>
    <row r="171" spans="2:5" ht="15" customHeight="1" x14ac:dyDescent="0.3">
      <c r="C171" s="3"/>
      <c r="D171" s="8">
        <v>2018</v>
      </c>
      <c r="E171" s="14">
        <f>Data!R171</f>
        <v>4</v>
      </c>
    </row>
    <row r="172" spans="2:5" ht="15" customHeight="1" x14ac:dyDescent="0.3">
      <c r="C172" s="3"/>
      <c r="D172" s="8">
        <v>2019</v>
      </c>
      <c r="E172" s="14">
        <f>Data!R172</f>
        <v>4</v>
      </c>
    </row>
    <row r="173" spans="2:5" ht="15" customHeight="1" x14ac:dyDescent="0.3">
      <c r="C173" s="3"/>
      <c r="D173" s="8">
        <v>2020</v>
      </c>
      <c r="E173" s="14">
        <f>Data!R173</f>
        <v>4</v>
      </c>
    </row>
    <row r="174" spans="2:5" ht="15" customHeight="1" x14ac:dyDescent="0.3">
      <c r="C174" s="3"/>
      <c r="D174" s="8">
        <v>2021</v>
      </c>
      <c r="E174" s="14">
        <f>Data!R174</f>
        <v>4</v>
      </c>
    </row>
    <row r="175" spans="2:5" ht="15" customHeight="1" x14ac:dyDescent="0.3">
      <c r="C175" s="3"/>
      <c r="D175" s="8">
        <v>2022</v>
      </c>
      <c r="E175" s="14">
        <f>Data!R175</f>
        <v>4</v>
      </c>
    </row>
    <row r="176" spans="2:5" ht="15" customHeight="1" x14ac:dyDescent="0.3">
      <c r="C176" s="3"/>
      <c r="D176" s="8">
        <v>2023</v>
      </c>
      <c r="E176" s="14">
        <f>Data!R176</f>
        <v>4</v>
      </c>
    </row>
    <row r="177" spans="2:5" ht="15" customHeight="1" x14ac:dyDescent="0.3">
      <c r="C177" s="3"/>
      <c r="D177" s="8">
        <v>2024</v>
      </c>
      <c r="E177" s="14">
        <f>Data!R177</f>
        <v>4</v>
      </c>
    </row>
    <row r="178" spans="2:5" ht="15" customHeight="1" x14ac:dyDescent="0.3">
      <c r="B178" s="8">
        <v>17</v>
      </c>
      <c r="C178" s="3" t="s">
        <v>22</v>
      </c>
      <c r="D178" s="8">
        <v>2014</v>
      </c>
      <c r="E178" s="14">
        <f>Data!R178</f>
        <v>0</v>
      </c>
    </row>
    <row r="179" spans="2:5" ht="15" customHeight="1" x14ac:dyDescent="0.3">
      <c r="C179" s="3"/>
      <c r="D179" s="8">
        <v>2015</v>
      </c>
      <c r="E179" s="14">
        <f>Data!R179</f>
        <v>0</v>
      </c>
    </row>
    <row r="180" spans="2:5" ht="15" customHeight="1" x14ac:dyDescent="0.3">
      <c r="C180" s="3"/>
      <c r="D180" s="8">
        <v>2016</v>
      </c>
      <c r="E180" s="14">
        <f>Data!R180</f>
        <v>0</v>
      </c>
    </row>
    <row r="181" spans="2:5" ht="15" customHeight="1" x14ac:dyDescent="0.3">
      <c r="C181" s="3"/>
      <c r="D181" s="8">
        <v>2017</v>
      </c>
      <c r="E181" s="14">
        <f>Data!R181</f>
        <v>0</v>
      </c>
    </row>
    <row r="182" spans="2:5" ht="15" customHeight="1" x14ac:dyDescent="0.3">
      <c r="C182" s="3"/>
      <c r="D182" s="8">
        <v>2018</v>
      </c>
      <c r="E182" s="14">
        <f>Data!R182</f>
        <v>0</v>
      </c>
    </row>
    <row r="183" spans="2:5" ht="15" customHeight="1" x14ac:dyDescent="0.3">
      <c r="C183" s="3"/>
      <c r="D183" s="8">
        <v>2019</v>
      </c>
      <c r="E183" s="14">
        <f>Data!R183</f>
        <v>0</v>
      </c>
    </row>
    <row r="184" spans="2:5" ht="15" customHeight="1" x14ac:dyDescent="0.3">
      <c r="C184" s="3"/>
      <c r="D184" s="8">
        <v>2020</v>
      </c>
      <c r="E184" s="14">
        <f>Data!R184</f>
        <v>3</v>
      </c>
    </row>
    <row r="185" spans="2:5" ht="15" customHeight="1" x14ac:dyDescent="0.3">
      <c r="C185" s="3"/>
      <c r="D185" s="8">
        <v>2021</v>
      </c>
      <c r="E185" s="14">
        <f>Data!R185</f>
        <v>3</v>
      </c>
    </row>
    <row r="186" spans="2:5" ht="15" customHeight="1" x14ac:dyDescent="0.3">
      <c r="C186" s="3"/>
      <c r="D186" s="8">
        <v>2022</v>
      </c>
      <c r="E186" s="14">
        <f>Data!R186</f>
        <v>3</v>
      </c>
    </row>
    <row r="187" spans="2:5" ht="15" customHeight="1" x14ac:dyDescent="0.3">
      <c r="C187" s="3"/>
      <c r="D187" s="8">
        <v>2023</v>
      </c>
      <c r="E187" s="14">
        <f>Data!R187</f>
        <v>3</v>
      </c>
    </row>
    <row r="188" spans="2:5" ht="15" customHeight="1" x14ac:dyDescent="0.3">
      <c r="C188" s="3"/>
      <c r="D188" s="8">
        <v>2024</v>
      </c>
      <c r="E188" s="14">
        <f>Data!R188</f>
        <v>3</v>
      </c>
    </row>
    <row r="189" spans="2:5" ht="15" customHeight="1" x14ac:dyDescent="0.3">
      <c r="B189" s="8">
        <v>18</v>
      </c>
      <c r="C189" s="3" t="s">
        <v>45</v>
      </c>
      <c r="D189" s="8">
        <v>2014</v>
      </c>
      <c r="E189" s="14">
        <f>Data!R189</f>
        <v>0</v>
      </c>
    </row>
    <row r="190" spans="2:5" ht="15" customHeight="1" x14ac:dyDescent="0.3">
      <c r="C190" s="3"/>
      <c r="D190" s="8">
        <v>2015</v>
      </c>
      <c r="E190" s="14">
        <f>Data!R190</f>
        <v>3</v>
      </c>
    </row>
    <row r="191" spans="2:5" ht="15" customHeight="1" x14ac:dyDescent="0.3">
      <c r="C191" s="3"/>
      <c r="D191" s="8">
        <v>2016</v>
      </c>
      <c r="E191" s="14">
        <f>Data!R191</f>
        <v>4</v>
      </c>
    </row>
    <row r="192" spans="2:5" ht="15" customHeight="1" x14ac:dyDescent="0.3">
      <c r="C192" s="3"/>
      <c r="D192" s="8">
        <v>2017</v>
      </c>
      <c r="E192" s="14">
        <f>Data!R192</f>
        <v>4</v>
      </c>
    </row>
    <row r="193" spans="2:5" ht="15" customHeight="1" x14ac:dyDescent="0.3">
      <c r="C193" s="3"/>
      <c r="D193" s="8">
        <v>2018</v>
      </c>
      <c r="E193" s="14">
        <f>Data!R193</f>
        <v>4</v>
      </c>
    </row>
    <row r="194" spans="2:5" ht="15" customHeight="1" x14ac:dyDescent="0.3">
      <c r="C194" s="3"/>
      <c r="D194" s="8">
        <v>2019</v>
      </c>
      <c r="E194" s="14">
        <f>Data!R194</f>
        <v>4</v>
      </c>
    </row>
    <row r="195" spans="2:5" ht="15" customHeight="1" x14ac:dyDescent="0.3">
      <c r="C195" s="3"/>
      <c r="D195" s="8">
        <v>2020</v>
      </c>
      <c r="E195" s="14">
        <f>Data!R195</f>
        <v>3</v>
      </c>
    </row>
    <row r="196" spans="2:5" ht="15" customHeight="1" x14ac:dyDescent="0.3">
      <c r="C196" s="3"/>
      <c r="D196" s="8">
        <v>2021</v>
      </c>
      <c r="E196" s="14">
        <f>Data!R196</f>
        <v>3</v>
      </c>
    </row>
    <row r="197" spans="2:5" ht="15" customHeight="1" x14ac:dyDescent="0.3">
      <c r="C197" s="3"/>
      <c r="D197" s="8">
        <v>2022</v>
      </c>
      <c r="E197" s="14">
        <f>Data!R197</f>
        <v>3</v>
      </c>
    </row>
    <row r="198" spans="2:5" ht="15" customHeight="1" x14ac:dyDescent="0.3">
      <c r="C198" s="3"/>
      <c r="D198" s="8">
        <v>2023</v>
      </c>
      <c r="E198" s="14">
        <f>Data!R198</f>
        <v>3</v>
      </c>
    </row>
    <row r="199" spans="2:5" ht="15" customHeight="1" x14ac:dyDescent="0.3">
      <c r="C199" s="3"/>
      <c r="D199" s="8">
        <v>2024</v>
      </c>
      <c r="E199" s="14">
        <f>Data!R199</f>
        <v>2</v>
      </c>
    </row>
    <row r="200" spans="2:5" ht="15" customHeight="1" x14ac:dyDescent="0.3">
      <c r="B200" s="8">
        <v>19</v>
      </c>
      <c r="C200" s="3" t="s">
        <v>46</v>
      </c>
      <c r="D200" s="8">
        <v>2014</v>
      </c>
      <c r="E200" s="14">
        <f>Data!R200</f>
        <v>0</v>
      </c>
    </row>
    <row r="201" spans="2:5" ht="15" customHeight="1" x14ac:dyDescent="0.3">
      <c r="C201" s="3"/>
      <c r="D201" s="8">
        <v>2015</v>
      </c>
      <c r="E201" s="14">
        <f>Data!R201</f>
        <v>5</v>
      </c>
    </row>
    <row r="202" spans="2:5" ht="15" customHeight="1" x14ac:dyDescent="0.3">
      <c r="C202" s="3"/>
      <c r="D202" s="8">
        <v>2016</v>
      </c>
      <c r="E202" s="14">
        <f>Data!R202</f>
        <v>6</v>
      </c>
    </row>
    <row r="203" spans="2:5" ht="15" customHeight="1" x14ac:dyDescent="0.3">
      <c r="C203" s="3"/>
      <c r="D203" s="8">
        <v>2017</v>
      </c>
      <c r="E203" s="14">
        <f>Data!R203</f>
        <v>6</v>
      </c>
    </row>
    <row r="204" spans="2:5" ht="15" customHeight="1" x14ac:dyDescent="0.3">
      <c r="C204" s="3"/>
      <c r="D204" s="8">
        <v>2018</v>
      </c>
      <c r="E204" s="14">
        <f>Data!R204</f>
        <v>6</v>
      </c>
    </row>
    <row r="205" spans="2:5" ht="15" customHeight="1" x14ac:dyDescent="0.3">
      <c r="C205" s="3"/>
      <c r="D205" s="8">
        <v>2019</v>
      </c>
      <c r="E205" s="14">
        <f>Data!R205</f>
        <v>5</v>
      </c>
    </row>
    <row r="206" spans="2:5" ht="15" customHeight="1" x14ac:dyDescent="0.3">
      <c r="C206" s="3"/>
      <c r="D206" s="8">
        <v>2020</v>
      </c>
      <c r="E206" s="14">
        <f>Data!R206</f>
        <v>5</v>
      </c>
    </row>
    <row r="207" spans="2:5" ht="15" customHeight="1" x14ac:dyDescent="0.3">
      <c r="C207" s="3"/>
      <c r="D207" s="8">
        <v>2021</v>
      </c>
      <c r="E207" s="14">
        <f>Data!R207</f>
        <v>5</v>
      </c>
    </row>
    <row r="208" spans="2:5" ht="15" customHeight="1" x14ac:dyDescent="0.3">
      <c r="C208" s="3"/>
      <c r="D208" s="8">
        <v>2022</v>
      </c>
      <c r="E208" s="14">
        <f>Data!R208</f>
        <v>5</v>
      </c>
    </row>
    <row r="209" spans="2:5" ht="15" customHeight="1" x14ac:dyDescent="0.3">
      <c r="C209" s="3"/>
      <c r="D209" s="8">
        <v>2023</v>
      </c>
      <c r="E209" s="14">
        <f>Data!R209</f>
        <v>6</v>
      </c>
    </row>
    <row r="210" spans="2:5" ht="15" customHeight="1" x14ac:dyDescent="0.3">
      <c r="C210" s="3"/>
      <c r="D210" s="8">
        <v>2024</v>
      </c>
      <c r="E210" s="14">
        <f>Data!R210</f>
        <v>6</v>
      </c>
    </row>
    <row r="211" spans="2:5" ht="15" customHeight="1" x14ac:dyDescent="0.3">
      <c r="B211" s="8">
        <v>20</v>
      </c>
      <c r="C211" s="3" t="s">
        <v>27</v>
      </c>
      <c r="D211" s="8">
        <v>2014</v>
      </c>
      <c r="E211" s="14">
        <f>Data!R211</f>
        <v>0</v>
      </c>
    </row>
    <row r="212" spans="2:5" ht="15" customHeight="1" x14ac:dyDescent="0.3">
      <c r="C212" s="3"/>
      <c r="D212" s="8">
        <v>2015</v>
      </c>
      <c r="E212" s="14">
        <f>Data!R212</f>
        <v>0</v>
      </c>
    </row>
    <row r="213" spans="2:5" ht="15" customHeight="1" x14ac:dyDescent="0.3">
      <c r="C213" s="3"/>
      <c r="D213" s="8">
        <v>2016</v>
      </c>
      <c r="E213" s="14">
        <f>Data!R213</f>
        <v>0</v>
      </c>
    </row>
    <row r="214" spans="2:5" ht="15" customHeight="1" x14ac:dyDescent="0.3">
      <c r="C214" s="3"/>
      <c r="D214" s="8">
        <v>2017</v>
      </c>
      <c r="E214" s="14">
        <f>Data!R214</f>
        <v>0</v>
      </c>
    </row>
    <row r="215" spans="2:5" ht="15" customHeight="1" x14ac:dyDescent="0.3">
      <c r="C215" s="3"/>
      <c r="D215" s="8">
        <v>2018</v>
      </c>
      <c r="E215" s="14">
        <f>Data!R215</f>
        <v>4</v>
      </c>
    </row>
    <row r="216" spans="2:5" ht="15" customHeight="1" x14ac:dyDescent="0.3">
      <c r="C216" s="3"/>
      <c r="D216" s="8">
        <v>2019</v>
      </c>
      <c r="E216" s="14">
        <f>Data!R216</f>
        <v>4</v>
      </c>
    </row>
    <row r="217" spans="2:5" ht="15" customHeight="1" x14ac:dyDescent="0.3">
      <c r="C217" s="3"/>
      <c r="D217" s="8">
        <v>2020</v>
      </c>
      <c r="E217" s="14">
        <f>Data!R217</f>
        <v>4</v>
      </c>
    </row>
    <row r="218" spans="2:5" ht="15" customHeight="1" x14ac:dyDescent="0.3">
      <c r="C218" s="3"/>
      <c r="D218" s="8">
        <v>2021</v>
      </c>
      <c r="E218" s="14">
        <f>Data!R218</f>
        <v>4</v>
      </c>
    </row>
    <row r="219" spans="2:5" ht="15" customHeight="1" x14ac:dyDescent="0.3">
      <c r="C219" s="3"/>
      <c r="D219" s="8">
        <v>2022</v>
      </c>
      <c r="E219" s="14">
        <f>Data!R219</f>
        <v>4</v>
      </c>
    </row>
    <row r="220" spans="2:5" ht="15" customHeight="1" x14ac:dyDescent="0.3">
      <c r="C220" s="3"/>
      <c r="D220" s="8">
        <v>2023</v>
      </c>
      <c r="E220" s="14">
        <f>Data!R220</f>
        <v>4</v>
      </c>
    </row>
    <row r="221" spans="2:5" ht="15" customHeight="1" x14ac:dyDescent="0.3">
      <c r="C221" s="3"/>
      <c r="D221" s="8">
        <v>2024</v>
      </c>
      <c r="E221" s="14">
        <f>Data!R221</f>
        <v>4</v>
      </c>
    </row>
    <row r="222" spans="2:5" ht="15" customHeight="1" x14ac:dyDescent="0.3">
      <c r="B222" s="8">
        <v>21</v>
      </c>
      <c r="C222" s="4" t="s">
        <v>52</v>
      </c>
      <c r="D222" s="8">
        <v>2014</v>
      </c>
      <c r="E222" s="14">
        <f>Data!R222</f>
        <v>0</v>
      </c>
    </row>
    <row r="223" spans="2:5" ht="15" customHeight="1" x14ac:dyDescent="0.3">
      <c r="C223" s="4"/>
      <c r="D223" s="8">
        <v>2015</v>
      </c>
      <c r="E223" s="14">
        <f>Data!R223</f>
        <v>4</v>
      </c>
    </row>
    <row r="224" spans="2:5" ht="15" customHeight="1" x14ac:dyDescent="0.3">
      <c r="C224" s="4"/>
      <c r="D224" s="8">
        <v>2016</v>
      </c>
      <c r="E224" s="14">
        <f>Data!R224</f>
        <v>4</v>
      </c>
    </row>
    <row r="225" spans="2:5" ht="15" customHeight="1" x14ac:dyDescent="0.3">
      <c r="C225" s="4"/>
      <c r="D225" s="8">
        <v>2017</v>
      </c>
      <c r="E225" s="14">
        <f>Data!R225</f>
        <v>5</v>
      </c>
    </row>
    <row r="226" spans="2:5" ht="15" customHeight="1" x14ac:dyDescent="0.3">
      <c r="C226" s="4"/>
      <c r="D226" s="8">
        <v>2018</v>
      </c>
      <c r="E226" s="14">
        <f>Data!R226</f>
        <v>5</v>
      </c>
    </row>
    <row r="227" spans="2:5" ht="15" customHeight="1" x14ac:dyDescent="0.3">
      <c r="C227" s="4"/>
      <c r="D227" s="8">
        <v>2019</v>
      </c>
      <c r="E227" s="14">
        <f>Data!R227</f>
        <v>5</v>
      </c>
    </row>
    <row r="228" spans="2:5" ht="15" customHeight="1" x14ac:dyDescent="0.3">
      <c r="C228" s="4"/>
      <c r="D228" s="8">
        <v>2020</v>
      </c>
      <c r="E228" s="14">
        <f>Data!R228</f>
        <v>5</v>
      </c>
    </row>
    <row r="229" spans="2:5" ht="15" customHeight="1" x14ac:dyDescent="0.3">
      <c r="C229" s="4"/>
      <c r="D229" s="8">
        <v>2021</v>
      </c>
      <c r="E229" s="14">
        <f>Data!R229</f>
        <v>5</v>
      </c>
    </row>
    <row r="230" spans="2:5" ht="15" customHeight="1" x14ac:dyDescent="0.3">
      <c r="C230" s="4"/>
      <c r="D230" s="8">
        <v>2022</v>
      </c>
      <c r="E230" s="14">
        <f>Data!R230</f>
        <v>5</v>
      </c>
    </row>
    <row r="231" spans="2:5" ht="15" customHeight="1" x14ac:dyDescent="0.3">
      <c r="C231" s="4"/>
      <c r="D231" s="8">
        <v>2023</v>
      </c>
      <c r="E231" s="14">
        <f>Data!R231</f>
        <v>6</v>
      </c>
    </row>
    <row r="232" spans="2:5" ht="15" customHeight="1" x14ac:dyDescent="0.3">
      <c r="C232" s="4"/>
      <c r="D232" s="8">
        <v>2024</v>
      </c>
      <c r="E232" s="14">
        <f>Data!R232</f>
        <v>3</v>
      </c>
    </row>
    <row r="233" spans="2:5" ht="15" customHeight="1" x14ac:dyDescent="0.3">
      <c r="B233" s="8">
        <v>22</v>
      </c>
      <c r="C233" s="4" t="s">
        <v>53</v>
      </c>
      <c r="D233" s="8">
        <v>2014</v>
      </c>
      <c r="E233" s="14">
        <f>Data!R233</f>
        <v>0</v>
      </c>
    </row>
    <row r="234" spans="2:5" ht="15" customHeight="1" x14ac:dyDescent="0.3">
      <c r="C234" s="4"/>
      <c r="D234" s="8">
        <v>2015</v>
      </c>
      <c r="E234" s="14">
        <f>Data!R234</f>
        <v>0</v>
      </c>
    </row>
    <row r="235" spans="2:5" ht="15" customHeight="1" x14ac:dyDescent="0.3">
      <c r="C235" s="4"/>
      <c r="D235" s="8">
        <v>2016</v>
      </c>
      <c r="E235" s="14">
        <f>Data!R235</f>
        <v>0</v>
      </c>
    </row>
    <row r="236" spans="2:5" ht="15" customHeight="1" x14ac:dyDescent="0.3">
      <c r="C236" s="4"/>
      <c r="D236" s="8">
        <v>2017</v>
      </c>
      <c r="E236" s="14">
        <f>Data!R236</f>
        <v>4</v>
      </c>
    </row>
    <row r="237" spans="2:5" ht="15" customHeight="1" x14ac:dyDescent="0.3">
      <c r="C237" s="4"/>
      <c r="D237" s="8">
        <v>2018</v>
      </c>
      <c r="E237" s="14">
        <f>Data!R237</f>
        <v>2</v>
      </c>
    </row>
    <row r="238" spans="2:5" ht="15" customHeight="1" x14ac:dyDescent="0.3">
      <c r="C238" s="4"/>
      <c r="D238" s="8">
        <v>2019</v>
      </c>
      <c r="E238" s="14">
        <f>Data!R238</f>
        <v>2</v>
      </c>
    </row>
    <row r="239" spans="2:5" ht="15" customHeight="1" x14ac:dyDescent="0.3">
      <c r="C239" s="4"/>
      <c r="D239" s="8">
        <v>2020</v>
      </c>
      <c r="E239" s="14">
        <f>Data!R239</f>
        <v>2</v>
      </c>
    </row>
    <row r="240" spans="2:5" ht="15" customHeight="1" x14ac:dyDescent="0.3">
      <c r="C240" s="4"/>
      <c r="D240" s="8">
        <v>2021</v>
      </c>
      <c r="E240" s="14">
        <f>Data!R240</f>
        <v>2</v>
      </c>
    </row>
    <row r="241" spans="2:5" ht="15" customHeight="1" x14ac:dyDescent="0.3">
      <c r="C241" s="4"/>
      <c r="D241" s="8">
        <v>2022</v>
      </c>
      <c r="E241" s="14">
        <f>Data!R241</f>
        <v>2</v>
      </c>
    </row>
    <row r="242" spans="2:5" ht="15" customHeight="1" x14ac:dyDescent="0.3">
      <c r="C242" s="4"/>
      <c r="D242" s="8">
        <v>2023</v>
      </c>
      <c r="E242" s="14">
        <f>Data!R242</f>
        <v>3</v>
      </c>
    </row>
    <row r="243" spans="2:5" ht="15" customHeight="1" x14ac:dyDescent="0.3">
      <c r="C243" s="4"/>
      <c r="D243" s="8">
        <v>2024</v>
      </c>
      <c r="E243" s="14">
        <f>Data!R243</f>
        <v>2</v>
      </c>
    </row>
    <row r="244" spans="2:5" ht="15" customHeight="1" x14ac:dyDescent="0.3">
      <c r="B244" s="8">
        <v>23</v>
      </c>
      <c r="C244" s="4" t="s">
        <v>51</v>
      </c>
      <c r="D244" s="8">
        <v>2014</v>
      </c>
      <c r="E244" s="14">
        <f>Data!R244</f>
        <v>0</v>
      </c>
    </row>
    <row r="245" spans="2:5" ht="15" customHeight="1" x14ac:dyDescent="0.3">
      <c r="C245" s="4"/>
      <c r="D245" s="8">
        <v>2015</v>
      </c>
      <c r="E245" s="14">
        <f>Data!R245</f>
        <v>4</v>
      </c>
    </row>
    <row r="246" spans="2:5" ht="15" customHeight="1" x14ac:dyDescent="0.3">
      <c r="C246" s="4"/>
      <c r="D246" s="8">
        <v>2016</v>
      </c>
      <c r="E246" s="14">
        <f>Data!R246</f>
        <v>4</v>
      </c>
    </row>
    <row r="247" spans="2:5" ht="15" customHeight="1" x14ac:dyDescent="0.3">
      <c r="C247" s="4"/>
      <c r="D247" s="8">
        <v>2017</v>
      </c>
      <c r="E247" s="14">
        <f>Data!R247</f>
        <v>4</v>
      </c>
    </row>
    <row r="248" spans="2:5" ht="15" customHeight="1" x14ac:dyDescent="0.3">
      <c r="C248" s="4"/>
      <c r="D248" s="8">
        <v>2018</v>
      </c>
      <c r="E248" s="14">
        <f>Data!R248</f>
        <v>4</v>
      </c>
    </row>
    <row r="249" spans="2:5" ht="15" customHeight="1" x14ac:dyDescent="0.3">
      <c r="C249" s="4"/>
      <c r="D249" s="8">
        <v>2019</v>
      </c>
      <c r="E249" s="14">
        <f>Data!R249</f>
        <v>4</v>
      </c>
    </row>
    <row r="250" spans="2:5" ht="15" customHeight="1" x14ac:dyDescent="0.3">
      <c r="C250" s="4"/>
      <c r="D250" s="8">
        <v>2020</v>
      </c>
      <c r="E250" s="14">
        <f>Data!R250</f>
        <v>4</v>
      </c>
    </row>
    <row r="251" spans="2:5" ht="15" customHeight="1" x14ac:dyDescent="0.3">
      <c r="C251" s="4"/>
      <c r="D251" s="8">
        <v>2021</v>
      </c>
      <c r="E251" s="14">
        <f>Data!R251</f>
        <v>4</v>
      </c>
    </row>
    <row r="252" spans="2:5" ht="15" customHeight="1" x14ac:dyDescent="0.3">
      <c r="C252" s="4"/>
      <c r="D252" s="8">
        <v>2022</v>
      </c>
      <c r="E252" s="14">
        <f>Data!R252</f>
        <v>4</v>
      </c>
    </row>
    <row r="253" spans="2:5" ht="15" customHeight="1" x14ac:dyDescent="0.3">
      <c r="C253" s="4"/>
      <c r="D253" s="8">
        <v>2023</v>
      </c>
      <c r="E253" s="14">
        <f>Data!R253</f>
        <v>4</v>
      </c>
    </row>
    <row r="254" spans="2:5" ht="15" customHeight="1" x14ac:dyDescent="0.3">
      <c r="C254" s="4"/>
      <c r="D254" s="8">
        <v>2024</v>
      </c>
      <c r="E254" s="14">
        <f>Data!R254</f>
        <v>3</v>
      </c>
    </row>
    <row r="255" spans="2:5" ht="15" customHeight="1" x14ac:dyDescent="0.3">
      <c r="B255" s="8">
        <v>24</v>
      </c>
      <c r="C255" s="4" t="s">
        <v>50</v>
      </c>
      <c r="D255" s="8">
        <v>2014</v>
      </c>
      <c r="E255" s="14">
        <f>Data!R255</f>
        <v>0</v>
      </c>
    </row>
    <row r="256" spans="2:5" ht="15" customHeight="1" x14ac:dyDescent="0.3">
      <c r="C256" s="4"/>
      <c r="D256" s="8">
        <v>2015</v>
      </c>
      <c r="E256" s="14">
        <f>Data!R256</f>
        <v>3</v>
      </c>
    </row>
    <row r="257" spans="2:5" ht="15" customHeight="1" x14ac:dyDescent="0.3">
      <c r="C257" s="4"/>
      <c r="D257" s="8">
        <v>2016</v>
      </c>
      <c r="E257" s="14">
        <f>Data!R257</f>
        <v>3</v>
      </c>
    </row>
    <row r="258" spans="2:5" ht="15" customHeight="1" x14ac:dyDescent="0.3">
      <c r="C258" s="4"/>
      <c r="D258" s="8">
        <v>2017</v>
      </c>
      <c r="E258" s="14">
        <f>Data!R258</f>
        <v>4</v>
      </c>
    </row>
    <row r="259" spans="2:5" ht="15" customHeight="1" x14ac:dyDescent="0.3">
      <c r="C259" s="4"/>
      <c r="D259" s="8">
        <v>2018</v>
      </c>
      <c r="E259" s="14">
        <f>Data!R259</f>
        <v>3</v>
      </c>
    </row>
    <row r="260" spans="2:5" ht="15" customHeight="1" x14ac:dyDescent="0.3">
      <c r="C260" s="4"/>
      <c r="D260" s="8">
        <v>2019</v>
      </c>
      <c r="E260" s="14">
        <f>Data!R260</f>
        <v>3</v>
      </c>
    </row>
    <row r="261" spans="2:5" ht="15" customHeight="1" x14ac:dyDescent="0.3">
      <c r="C261" s="4"/>
      <c r="D261" s="8">
        <v>2020</v>
      </c>
      <c r="E261" s="14">
        <f>Data!R261</f>
        <v>4</v>
      </c>
    </row>
    <row r="262" spans="2:5" ht="15" customHeight="1" x14ac:dyDescent="0.3">
      <c r="C262" s="4"/>
      <c r="D262" s="8">
        <v>2021</v>
      </c>
      <c r="E262" s="14">
        <f>Data!R262</f>
        <v>4</v>
      </c>
    </row>
    <row r="263" spans="2:5" ht="15" customHeight="1" x14ac:dyDescent="0.3">
      <c r="C263" s="4"/>
      <c r="D263" s="8">
        <v>2022</v>
      </c>
      <c r="E263" s="14">
        <f>Data!R263</f>
        <v>3</v>
      </c>
    </row>
    <row r="264" spans="2:5" ht="15" customHeight="1" x14ac:dyDescent="0.3">
      <c r="C264" s="4"/>
      <c r="D264" s="8">
        <v>2023</v>
      </c>
      <c r="E264" s="14">
        <f>Data!R264</f>
        <v>3</v>
      </c>
    </row>
    <row r="265" spans="2:5" ht="15" customHeight="1" x14ac:dyDescent="0.3">
      <c r="C265" s="4"/>
      <c r="D265" s="8">
        <v>2024</v>
      </c>
      <c r="E265" s="14">
        <f>Data!R265</f>
        <v>3</v>
      </c>
    </row>
    <row r="266" spans="2:5" ht="15" customHeight="1" x14ac:dyDescent="0.3">
      <c r="B266" s="8">
        <v>25</v>
      </c>
      <c r="C266" s="3" t="s">
        <v>28</v>
      </c>
      <c r="D266" s="8">
        <v>2014</v>
      </c>
      <c r="E266" s="14">
        <f>Data!R266</f>
        <v>0</v>
      </c>
    </row>
    <row r="267" spans="2:5" ht="15" customHeight="1" x14ac:dyDescent="0.3">
      <c r="C267" s="3"/>
      <c r="D267" s="8">
        <v>2015</v>
      </c>
      <c r="E267" s="14">
        <f>Data!R267</f>
        <v>4</v>
      </c>
    </row>
    <row r="268" spans="2:5" ht="15" customHeight="1" x14ac:dyDescent="0.3">
      <c r="C268" s="3"/>
      <c r="D268" s="8">
        <v>2016</v>
      </c>
      <c r="E268" s="14">
        <f>Data!R268</f>
        <v>4</v>
      </c>
    </row>
    <row r="269" spans="2:5" ht="15" customHeight="1" x14ac:dyDescent="0.3">
      <c r="C269" s="3"/>
      <c r="D269" s="8">
        <v>2017</v>
      </c>
      <c r="E269" s="14">
        <f>Data!R269</f>
        <v>4</v>
      </c>
    </row>
    <row r="270" spans="2:5" ht="15" customHeight="1" x14ac:dyDescent="0.3">
      <c r="C270" s="3"/>
      <c r="D270" s="8">
        <v>2018</v>
      </c>
      <c r="E270" s="14">
        <f>Data!R270</f>
        <v>4</v>
      </c>
    </row>
    <row r="271" spans="2:5" ht="15" customHeight="1" x14ac:dyDescent="0.3">
      <c r="C271" s="3"/>
      <c r="D271" s="8">
        <v>2019</v>
      </c>
      <c r="E271" s="14">
        <f>Data!R271</f>
        <v>6</v>
      </c>
    </row>
    <row r="272" spans="2:5" ht="15" customHeight="1" x14ac:dyDescent="0.3">
      <c r="C272" s="3"/>
      <c r="D272" s="8">
        <v>2020</v>
      </c>
      <c r="E272" s="14">
        <f>Data!R272</f>
        <v>4</v>
      </c>
    </row>
    <row r="273" spans="2:5" ht="15" customHeight="1" x14ac:dyDescent="0.3">
      <c r="C273" s="3"/>
      <c r="D273" s="8">
        <v>2021</v>
      </c>
      <c r="E273" s="14">
        <f>Data!R273</f>
        <v>4</v>
      </c>
    </row>
    <row r="274" spans="2:5" ht="15" customHeight="1" x14ac:dyDescent="0.3">
      <c r="C274" s="3"/>
      <c r="D274" s="8">
        <v>2022</v>
      </c>
      <c r="E274" s="14">
        <f>Data!R274</f>
        <v>4</v>
      </c>
    </row>
    <row r="275" spans="2:5" ht="15" customHeight="1" x14ac:dyDescent="0.3">
      <c r="C275" s="3"/>
      <c r="D275" s="8">
        <v>2023</v>
      </c>
      <c r="E275" s="14">
        <f>Data!R275</f>
        <v>3</v>
      </c>
    </row>
    <row r="276" spans="2:5" ht="15" customHeight="1" x14ac:dyDescent="0.3">
      <c r="C276" s="3"/>
      <c r="D276" s="8">
        <v>2024</v>
      </c>
      <c r="E276" s="14">
        <f>Data!R276</f>
        <v>3</v>
      </c>
    </row>
    <row r="277" spans="2:5" ht="15" customHeight="1" x14ac:dyDescent="0.3">
      <c r="B277" s="8">
        <v>26</v>
      </c>
      <c r="C277" s="3" t="s">
        <v>42</v>
      </c>
      <c r="D277" s="8">
        <v>2014</v>
      </c>
      <c r="E277" s="14">
        <f>Data!R277</f>
        <v>0</v>
      </c>
    </row>
    <row r="278" spans="2:5" ht="15" customHeight="1" x14ac:dyDescent="0.3">
      <c r="C278" s="3"/>
      <c r="D278" s="8">
        <v>2015</v>
      </c>
      <c r="E278" s="14">
        <f>Data!R278</f>
        <v>0</v>
      </c>
    </row>
    <row r="279" spans="2:5" ht="15" customHeight="1" x14ac:dyDescent="0.3">
      <c r="C279" s="3"/>
      <c r="D279" s="8">
        <v>2016</v>
      </c>
      <c r="E279" s="14">
        <f>Data!R279</f>
        <v>0</v>
      </c>
    </row>
    <row r="280" spans="2:5" ht="15" customHeight="1" x14ac:dyDescent="0.3">
      <c r="C280" s="3"/>
      <c r="D280" s="8">
        <v>2017</v>
      </c>
      <c r="E280" s="14">
        <f>Data!R280</f>
        <v>0</v>
      </c>
    </row>
    <row r="281" spans="2:5" ht="15" customHeight="1" x14ac:dyDescent="0.3">
      <c r="C281" s="3"/>
      <c r="D281" s="8">
        <v>2018</v>
      </c>
      <c r="E281" s="14">
        <f>Data!R281</f>
        <v>0</v>
      </c>
    </row>
    <row r="282" spans="2:5" ht="15" customHeight="1" x14ac:dyDescent="0.3">
      <c r="C282" s="3"/>
      <c r="D282" s="8">
        <v>2019</v>
      </c>
      <c r="E282" s="14">
        <f>Data!R282</f>
        <v>0</v>
      </c>
    </row>
    <row r="283" spans="2:5" ht="15" customHeight="1" x14ac:dyDescent="0.3">
      <c r="C283" s="3"/>
      <c r="D283" s="8">
        <v>2020</v>
      </c>
      <c r="E283" s="14">
        <f>Data!R283</f>
        <v>0</v>
      </c>
    </row>
    <row r="284" spans="2:5" ht="15" customHeight="1" x14ac:dyDescent="0.3">
      <c r="C284" s="3"/>
      <c r="D284" s="8">
        <v>2021</v>
      </c>
      <c r="E284" s="14">
        <f>Data!R284</f>
        <v>0</v>
      </c>
    </row>
    <row r="285" spans="2:5" ht="15" customHeight="1" x14ac:dyDescent="0.3">
      <c r="C285" s="3"/>
      <c r="D285" s="8">
        <v>2022</v>
      </c>
      <c r="E285" s="14">
        <f>Data!R285</f>
        <v>0</v>
      </c>
    </row>
    <row r="286" spans="2:5" ht="15" customHeight="1" x14ac:dyDescent="0.3">
      <c r="C286" s="3"/>
      <c r="D286" s="8">
        <v>2023</v>
      </c>
      <c r="E286" s="14">
        <f>Data!R286</f>
        <v>4</v>
      </c>
    </row>
    <row r="287" spans="2:5" ht="15" customHeight="1" x14ac:dyDescent="0.3">
      <c r="C287" s="3"/>
      <c r="D287" s="8">
        <v>2024</v>
      </c>
      <c r="E287" s="14">
        <f>Data!R287</f>
        <v>3</v>
      </c>
    </row>
    <row r="288" spans="2:5" ht="15" customHeight="1" x14ac:dyDescent="0.3">
      <c r="B288" s="8">
        <v>27</v>
      </c>
      <c r="C288" s="3" t="s">
        <v>29</v>
      </c>
      <c r="D288" s="8">
        <v>2014</v>
      </c>
      <c r="E288" s="14">
        <f>Data!R288</f>
        <v>0</v>
      </c>
    </row>
    <row r="289" spans="2:5" ht="15" customHeight="1" x14ac:dyDescent="0.3">
      <c r="C289" s="3"/>
      <c r="D289" s="8">
        <v>2015</v>
      </c>
      <c r="E289" s="14">
        <f>Data!R289</f>
        <v>4</v>
      </c>
    </row>
    <row r="290" spans="2:5" ht="15" customHeight="1" x14ac:dyDescent="0.3">
      <c r="C290" s="3"/>
      <c r="D290" s="8">
        <v>2016</v>
      </c>
      <c r="E290" s="14">
        <f>Data!R290</f>
        <v>4</v>
      </c>
    </row>
    <row r="291" spans="2:5" ht="15" customHeight="1" x14ac:dyDescent="0.3">
      <c r="C291" s="3"/>
      <c r="D291" s="8">
        <v>2017</v>
      </c>
      <c r="E291" s="14">
        <f>Data!R291</f>
        <v>4</v>
      </c>
    </row>
    <row r="292" spans="2:5" ht="15" customHeight="1" x14ac:dyDescent="0.3">
      <c r="C292" s="3"/>
      <c r="D292" s="8">
        <v>2018</v>
      </c>
      <c r="E292" s="14">
        <f>Data!R292</f>
        <v>4</v>
      </c>
    </row>
    <row r="293" spans="2:5" ht="15" customHeight="1" x14ac:dyDescent="0.3">
      <c r="C293" s="3"/>
      <c r="D293" s="8">
        <v>2019</v>
      </c>
      <c r="E293" s="14">
        <f>Data!R293</f>
        <v>3</v>
      </c>
    </row>
    <row r="294" spans="2:5" ht="15" customHeight="1" x14ac:dyDescent="0.3">
      <c r="C294" s="3"/>
      <c r="D294" s="8">
        <v>2020</v>
      </c>
      <c r="E294" s="14">
        <f>Data!R294</f>
        <v>3</v>
      </c>
    </row>
    <row r="295" spans="2:5" ht="15" customHeight="1" x14ac:dyDescent="0.3">
      <c r="C295" s="3"/>
      <c r="D295" s="8">
        <v>2021</v>
      </c>
      <c r="E295" s="14">
        <f>Data!R295</f>
        <v>3</v>
      </c>
    </row>
    <row r="296" spans="2:5" ht="15" customHeight="1" x14ac:dyDescent="0.3">
      <c r="C296" s="3"/>
      <c r="D296" s="8">
        <v>2022</v>
      </c>
      <c r="E296" s="14">
        <f>Data!R296</f>
        <v>3</v>
      </c>
    </row>
    <row r="297" spans="2:5" ht="15" customHeight="1" x14ac:dyDescent="0.3">
      <c r="C297" s="3"/>
      <c r="D297" s="8">
        <v>2023</v>
      </c>
      <c r="E297" s="14">
        <f>Data!R297</f>
        <v>3</v>
      </c>
    </row>
    <row r="298" spans="2:5" ht="15" customHeight="1" x14ac:dyDescent="0.3">
      <c r="C298" s="3"/>
      <c r="D298" s="8">
        <v>2024</v>
      </c>
      <c r="E298" s="14">
        <f>Data!R298</f>
        <v>3</v>
      </c>
    </row>
    <row r="299" spans="2:5" ht="15" customHeight="1" x14ac:dyDescent="0.3">
      <c r="B299" s="8">
        <v>28</v>
      </c>
      <c r="C299" s="4" t="s">
        <v>149</v>
      </c>
      <c r="D299" s="8">
        <v>2014</v>
      </c>
      <c r="E299" s="14">
        <f>Data!R299</f>
        <v>0</v>
      </c>
    </row>
    <row r="300" spans="2:5" ht="15" customHeight="1" x14ac:dyDescent="0.3">
      <c r="C300" s="4"/>
      <c r="D300" s="8">
        <v>2015</v>
      </c>
      <c r="E300" s="14">
        <f>Data!R300</f>
        <v>0</v>
      </c>
    </row>
    <row r="301" spans="2:5" ht="15" customHeight="1" x14ac:dyDescent="0.3">
      <c r="C301" s="4"/>
      <c r="D301" s="8">
        <v>2016</v>
      </c>
      <c r="E301" s="14">
        <f>Data!R301</f>
        <v>0</v>
      </c>
    </row>
    <row r="302" spans="2:5" ht="15" customHeight="1" x14ac:dyDescent="0.3">
      <c r="C302" s="4"/>
      <c r="D302" s="8">
        <v>2017</v>
      </c>
      <c r="E302" s="14">
        <f>Data!R302</f>
        <v>0</v>
      </c>
    </row>
    <row r="303" spans="2:5" ht="15" customHeight="1" x14ac:dyDescent="0.3">
      <c r="C303" s="4"/>
      <c r="D303" s="8">
        <v>2018</v>
      </c>
      <c r="E303" s="14">
        <f>Data!R303</f>
        <v>0</v>
      </c>
    </row>
    <row r="304" spans="2:5" ht="15" customHeight="1" x14ac:dyDescent="0.3">
      <c r="C304" s="4"/>
      <c r="D304" s="8">
        <v>2019</v>
      </c>
      <c r="E304" s="14">
        <f>Data!R304</f>
        <v>3</v>
      </c>
    </row>
    <row r="305" spans="2:5" ht="15" customHeight="1" x14ac:dyDescent="0.3">
      <c r="C305" s="4"/>
      <c r="D305" s="8">
        <v>2020</v>
      </c>
      <c r="E305" s="14">
        <f>Data!R305</f>
        <v>3</v>
      </c>
    </row>
    <row r="306" spans="2:5" ht="15" customHeight="1" x14ac:dyDescent="0.3">
      <c r="C306" s="4"/>
      <c r="D306" s="8">
        <v>2021</v>
      </c>
      <c r="E306" s="14">
        <f>Data!R306</f>
        <v>3</v>
      </c>
    </row>
    <row r="307" spans="2:5" ht="15" customHeight="1" x14ac:dyDescent="0.3">
      <c r="C307" s="4"/>
      <c r="D307" s="8">
        <v>2022</v>
      </c>
      <c r="E307" s="14">
        <f>Data!R307</f>
        <v>3</v>
      </c>
    </row>
    <row r="308" spans="2:5" ht="15" customHeight="1" x14ac:dyDescent="0.3">
      <c r="C308" s="4"/>
      <c r="D308" s="8">
        <v>2023</v>
      </c>
      <c r="E308" s="14">
        <f>Data!R308</f>
        <v>3</v>
      </c>
    </row>
    <row r="309" spans="2:5" ht="15" customHeight="1" x14ac:dyDescent="0.3">
      <c r="C309" s="4"/>
      <c r="D309" s="8">
        <v>2024</v>
      </c>
      <c r="E309" s="14">
        <f>Data!R309</f>
        <v>3</v>
      </c>
    </row>
    <row r="310" spans="2:5" ht="15" customHeight="1" x14ac:dyDescent="0.3">
      <c r="B310" s="8">
        <v>29</v>
      </c>
      <c r="C310" s="4" t="s">
        <v>55</v>
      </c>
      <c r="D310" s="8">
        <v>2014</v>
      </c>
      <c r="E310" s="14">
        <f>Data!R310</f>
        <v>0</v>
      </c>
    </row>
    <row r="311" spans="2:5" ht="15" customHeight="1" x14ac:dyDescent="0.3">
      <c r="C311" s="4"/>
      <c r="D311" s="8">
        <v>2015</v>
      </c>
      <c r="E311" s="14">
        <f>Data!R311</f>
        <v>4</v>
      </c>
    </row>
    <row r="312" spans="2:5" ht="15" customHeight="1" x14ac:dyDescent="0.3">
      <c r="C312" s="4"/>
      <c r="D312" s="8">
        <v>2016</v>
      </c>
      <c r="E312" s="14">
        <f>Data!R312</f>
        <v>4</v>
      </c>
    </row>
    <row r="313" spans="2:5" ht="15" customHeight="1" x14ac:dyDescent="0.3">
      <c r="C313" s="4"/>
      <c r="D313" s="8">
        <v>2017</v>
      </c>
      <c r="E313" s="14">
        <f>Data!R313</f>
        <v>4</v>
      </c>
    </row>
    <row r="314" spans="2:5" ht="15" customHeight="1" x14ac:dyDescent="0.3">
      <c r="C314" s="4"/>
      <c r="D314" s="8">
        <v>2018</v>
      </c>
      <c r="E314" s="14">
        <f>Data!R314</f>
        <v>4</v>
      </c>
    </row>
    <row r="315" spans="2:5" ht="15" customHeight="1" x14ac:dyDescent="0.3">
      <c r="C315" s="4"/>
      <c r="D315" s="8">
        <v>2019</v>
      </c>
      <c r="E315" s="14">
        <f>Data!R315</f>
        <v>4</v>
      </c>
    </row>
    <row r="316" spans="2:5" ht="15" customHeight="1" x14ac:dyDescent="0.3">
      <c r="C316" s="4"/>
      <c r="D316" s="8">
        <v>2020</v>
      </c>
      <c r="E316" s="14">
        <f>Data!R316</f>
        <v>3</v>
      </c>
    </row>
    <row r="317" spans="2:5" ht="15" customHeight="1" x14ac:dyDescent="0.3">
      <c r="C317" s="4"/>
      <c r="D317" s="8">
        <v>2021</v>
      </c>
      <c r="E317" s="14">
        <f>Data!R317</f>
        <v>3</v>
      </c>
    </row>
    <row r="318" spans="2:5" ht="15" customHeight="1" x14ac:dyDescent="0.3">
      <c r="C318" s="4"/>
      <c r="D318" s="8">
        <v>2022</v>
      </c>
      <c r="E318" s="14">
        <f>Data!R318</f>
        <v>4</v>
      </c>
    </row>
    <row r="319" spans="2:5" ht="15" customHeight="1" x14ac:dyDescent="0.3">
      <c r="C319" s="4"/>
      <c r="D319" s="8">
        <v>2023</v>
      </c>
      <c r="E319" s="14">
        <f>Data!R319</f>
        <v>3</v>
      </c>
    </row>
    <row r="320" spans="2:5" ht="15" customHeight="1" x14ac:dyDescent="0.3">
      <c r="C320" s="4"/>
      <c r="D320" s="8">
        <v>2024</v>
      </c>
      <c r="E320" s="14">
        <f>Data!R320</f>
        <v>4</v>
      </c>
    </row>
    <row r="321" spans="2:5" ht="15" customHeight="1" x14ac:dyDescent="0.3">
      <c r="B321" s="8">
        <v>30</v>
      </c>
      <c r="C321" s="3" t="s">
        <v>5</v>
      </c>
      <c r="D321" s="8">
        <v>2014</v>
      </c>
      <c r="E321" s="14">
        <f>Data!R321</f>
        <v>0</v>
      </c>
    </row>
    <row r="322" spans="2:5" ht="15" customHeight="1" x14ac:dyDescent="0.3">
      <c r="C322" s="3"/>
      <c r="D322" s="8">
        <v>2015</v>
      </c>
      <c r="E322" s="14">
        <f>Data!R322</f>
        <v>0</v>
      </c>
    </row>
    <row r="323" spans="2:5" ht="15" customHeight="1" x14ac:dyDescent="0.3">
      <c r="C323" s="3"/>
      <c r="D323" s="8">
        <v>2016</v>
      </c>
      <c r="E323" s="14">
        <f>Data!R323</f>
        <v>0</v>
      </c>
    </row>
    <row r="324" spans="2:5" ht="15" customHeight="1" x14ac:dyDescent="0.3">
      <c r="C324" s="3"/>
      <c r="D324" s="8">
        <v>2017</v>
      </c>
      <c r="E324" s="14">
        <f>Data!R324</f>
        <v>0</v>
      </c>
    </row>
    <row r="325" spans="2:5" ht="15" customHeight="1" x14ac:dyDescent="0.3">
      <c r="C325" s="3"/>
      <c r="D325" s="8">
        <v>2018</v>
      </c>
      <c r="E325" s="14">
        <f>Data!R325</f>
        <v>4</v>
      </c>
    </row>
    <row r="326" spans="2:5" ht="15" customHeight="1" x14ac:dyDescent="0.3">
      <c r="C326" s="3"/>
      <c r="D326" s="8">
        <v>2019</v>
      </c>
      <c r="E326" s="14">
        <f>Data!R326</f>
        <v>4</v>
      </c>
    </row>
    <row r="327" spans="2:5" ht="15" customHeight="1" x14ac:dyDescent="0.3">
      <c r="C327" s="3"/>
      <c r="D327" s="8">
        <v>2020</v>
      </c>
      <c r="E327" s="14">
        <f>Data!R327</f>
        <v>3</v>
      </c>
    </row>
    <row r="328" spans="2:5" ht="15" customHeight="1" x14ac:dyDescent="0.3">
      <c r="C328" s="3"/>
      <c r="D328" s="8">
        <v>2021</v>
      </c>
      <c r="E328" s="14">
        <f>Data!R328</f>
        <v>3</v>
      </c>
    </row>
    <row r="329" spans="2:5" ht="15" customHeight="1" x14ac:dyDescent="0.3">
      <c r="C329" s="3"/>
      <c r="D329" s="8">
        <v>2022</v>
      </c>
      <c r="E329" s="14">
        <f>Data!R329</f>
        <v>3</v>
      </c>
    </row>
    <row r="330" spans="2:5" ht="15" customHeight="1" x14ac:dyDescent="0.3">
      <c r="C330" s="3"/>
      <c r="D330" s="8">
        <v>2023</v>
      </c>
      <c r="E330" s="14">
        <f>Data!R330</f>
        <v>2</v>
      </c>
    </row>
    <row r="331" spans="2:5" ht="15" customHeight="1" x14ac:dyDescent="0.3">
      <c r="C331" s="3"/>
      <c r="D331" s="8">
        <v>2024</v>
      </c>
      <c r="E331" s="14">
        <f>Data!R331</f>
        <v>3</v>
      </c>
    </row>
    <row r="332" spans="2:5" ht="15" customHeight="1" x14ac:dyDescent="0.3">
      <c r="B332" s="8">
        <v>31</v>
      </c>
      <c r="C332" s="3" t="s">
        <v>6</v>
      </c>
      <c r="D332" s="8">
        <v>2014</v>
      </c>
      <c r="E332" s="14">
        <f>Data!R332</f>
        <v>0</v>
      </c>
    </row>
    <row r="333" spans="2:5" ht="15" customHeight="1" x14ac:dyDescent="0.3">
      <c r="C333" s="3"/>
      <c r="D333" s="8">
        <v>2015</v>
      </c>
      <c r="E333" s="14">
        <f>Data!R333</f>
        <v>0</v>
      </c>
    </row>
    <row r="334" spans="2:5" ht="15" customHeight="1" x14ac:dyDescent="0.3">
      <c r="C334" s="3"/>
      <c r="D334" s="8">
        <v>2016</v>
      </c>
      <c r="E334" s="14">
        <f>Data!R334</f>
        <v>0</v>
      </c>
    </row>
    <row r="335" spans="2:5" ht="15" customHeight="1" x14ac:dyDescent="0.3">
      <c r="C335" s="3"/>
      <c r="D335" s="8">
        <v>2017</v>
      </c>
      <c r="E335" s="14">
        <f>Data!R335</f>
        <v>0</v>
      </c>
    </row>
    <row r="336" spans="2:5" ht="15" customHeight="1" x14ac:dyDescent="0.3">
      <c r="C336" s="3"/>
      <c r="D336" s="8">
        <v>2018</v>
      </c>
      <c r="E336" s="14">
        <f>Data!R336</f>
        <v>0</v>
      </c>
    </row>
    <row r="337" spans="2:5" ht="15" customHeight="1" x14ac:dyDescent="0.3">
      <c r="C337" s="3"/>
      <c r="D337" s="8">
        <v>2019</v>
      </c>
      <c r="E337" s="14">
        <f>Data!R337</f>
        <v>0</v>
      </c>
    </row>
    <row r="338" spans="2:5" ht="15" customHeight="1" x14ac:dyDescent="0.3">
      <c r="C338" s="3"/>
      <c r="D338" s="8">
        <v>2020</v>
      </c>
      <c r="E338" s="14">
        <f>Data!R338</f>
        <v>3</v>
      </c>
    </row>
    <row r="339" spans="2:5" ht="15" customHeight="1" x14ac:dyDescent="0.3">
      <c r="C339" s="3"/>
      <c r="D339" s="8">
        <v>2021</v>
      </c>
      <c r="E339" s="14">
        <f>Data!R339</f>
        <v>3</v>
      </c>
    </row>
    <row r="340" spans="2:5" ht="15" customHeight="1" x14ac:dyDescent="0.3">
      <c r="C340" s="3"/>
      <c r="D340" s="8">
        <v>2022</v>
      </c>
      <c r="E340" s="14">
        <f>Data!R340</f>
        <v>3</v>
      </c>
    </row>
    <row r="341" spans="2:5" ht="15" customHeight="1" x14ac:dyDescent="0.3">
      <c r="C341" s="3"/>
      <c r="D341" s="8">
        <v>2023</v>
      </c>
      <c r="E341" s="14">
        <f>Data!R341</f>
        <v>4</v>
      </c>
    </row>
    <row r="342" spans="2:5" ht="15" customHeight="1" x14ac:dyDescent="0.3">
      <c r="C342" s="3"/>
      <c r="D342" s="8">
        <v>2024</v>
      </c>
      <c r="E342" s="14">
        <f>Data!R342</f>
        <v>4</v>
      </c>
    </row>
    <row r="343" spans="2:5" ht="15" customHeight="1" x14ac:dyDescent="0.3">
      <c r="B343" s="8">
        <v>32</v>
      </c>
      <c r="C343" s="3" t="s">
        <v>7</v>
      </c>
      <c r="D343" s="8">
        <v>2014</v>
      </c>
      <c r="E343" s="14">
        <f>Data!R343</f>
        <v>0</v>
      </c>
    </row>
    <row r="344" spans="2:5" ht="15" customHeight="1" x14ac:dyDescent="0.3">
      <c r="C344" s="3"/>
      <c r="D344" s="8">
        <v>2015</v>
      </c>
      <c r="E344" s="14">
        <f>Data!R344</f>
        <v>0</v>
      </c>
    </row>
    <row r="345" spans="2:5" ht="15" customHeight="1" x14ac:dyDescent="0.3">
      <c r="C345" s="3"/>
      <c r="D345" s="8">
        <v>2016</v>
      </c>
      <c r="E345" s="14">
        <f>Data!R345</f>
        <v>0</v>
      </c>
    </row>
    <row r="346" spans="2:5" ht="15" customHeight="1" x14ac:dyDescent="0.3">
      <c r="C346" s="3"/>
      <c r="D346" s="8">
        <v>2017</v>
      </c>
      <c r="E346" s="14">
        <f>Data!R346</f>
        <v>4</v>
      </c>
    </row>
    <row r="347" spans="2:5" ht="15" customHeight="1" x14ac:dyDescent="0.3">
      <c r="C347" s="3"/>
      <c r="D347" s="8">
        <v>2018</v>
      </c>
      <c r="E347" s="14">
        <f>Data!R347</f>
        <v>4</v>
      </c>
    </row>
    <row r="348" spans="2:5" ht="15" customHeight="1" x14ac:dyDescent="0.3">
      <c r="C348" s="3"/>
      <c r="D348" s="8">
        <v>2019</v>
      </c>
      <c r="E348" s="14">
        <f>Data!R348</f>
        <v>4</v>
      </c>
    </row>
    <row r="349" spans="2:5" ht="15" customHeight="1" x14ac:dyDescent="0.3">
      <c r="C349" s="3"/>
      <c r="D349" s="8">
        <v>2020</v>
      </c>
      <c r="E349" s="14">
        <f>Data!R349</f>
        <v>4</v>
      </c>
    </row>
    <row r="350" spans="2:5" ht="15" customHeight="1" x14ac:dyDescent="0.3">
      <c r="C350" s="3"/>
      <c r="D350" s="8">
        <v>2021</v>
      </c>
      <c r="E350" s="14">
        <f>Data!R350</f>
        <v>4</v>
      </c>
    </row>
    <row r="351" spans="2:5" ht="15" customHeight="1" x14ac:dyDescent="0.3">
      <c r="C351" s="3"/>
      <c r="D351" s="8">
        <v>2022</v>
      </c>
      <c r="E351" s="14">
        <f>Data!R351</f>
        <v>4</v>
      </c>
    </row>
    <row r="352" spans="2:5" ht="15" customHeight="1" x14ac:dyDescent="0.3">
      <c r="C352" s="3"/>
      <c r="D352" s="8">
        <v>2023</v>
      </c>
      <c r="E352" s="14">
        <f>Data!R352</f>
        <v>4</v>
      </c>
    </row>
    <row r="353" spans="2:5" ht="15" customHeight="1" x14ac:dyDescent="0.3">
      <c r="C353" s="3"/>
      <c r="D353" s="8">
        <v>2024</v>
      </c>
      <c r="E353" s="14">
        <f>Data!R353</f>
        <v>4</v>
      </c>
    </row>
    <row r="354" spans="2:5" ht="15" customHeight="1" x14ac:dyDescent="0.3">
      <c r="B354" s="8">
        <v>33</v>
      </c>
      <c r="C354" s="3" t="s">
        <v>30</v>
      </c>
      <c r="D354" s="8">
        <v>2014</v>
      </c>
      <c r="E354" s="14">
        <f>Data!R354</f>
        <v>0</v>
      </c>
    </row>
    <row r="355" spans="2:5" ht="15" customHeight="1" x14ac:dyDescent="0.3">
      <c r="C355" s="3"/>
      <c r="D355" s="8">
        <v>2015</v>
      </c>
      <c r="E355" s="14">
        <f>Data!R355</f>
        <v>0</v>
      </c>
    </row>
    <row r="356" spans="2:5" ht="15" customHeight="1" x14ac:dyDescent="0.3">
      <c r="C356" s="3"/>
      <c r="D356" s="8">
        <v>2016</v>
      </c>
      <c r="E356" s="14">
        <f>Data!R356</f>
        <v>0</v>
      </c>
    </row>
    <row r="357" spans="2:5" ht="15" customHeight="1" x14ac:dyDescent="0.3">
      <c r="C357" s="3"/>
      <c r="D357" s="8">
        <v>2017</v>
      </c>
      <c r="E357" s="14">
        <f>Data!R357</f>
        <v>2</v>
      </c>
    </row>
    <row r="358" spans="2:5" ht="15" customHeight="1" x14ac:dyDescent="0.3">
      <c r="C358" s="3"/>
      <c r="D358" s="8">
        <v>2018</v>
      </c>
      <c r="E358" s="14">
        <f>Data!R358</f>
        <v>3</v>
      </c>
    </row>
    <row r="359" spans="2:5" ht="15" customHeight="1" x14ac:dyDescent="0.3">
      <c r="C359" s="3"/>
      <c r="D359" s="8">
        <v>2019</v>
      </c>
      <c r="E359" s="14">
        <f>Data!R359</f>
        <v>3</v>
      </c>
    </row>
    <row r="360" spans="2:5" ht="15" customHeight="1" x14ac:dyDescent="0.3">
      <c r="C360" s="3"/>
      <c r="D360" s="8">
        <v>2020</v>
      </c>
      <c r="E360" s="14">
        <f>Data!R360</f>
        <v>3</v>
      </c>
    </row>
    <row r="361" spans="2:5" ht="15" customHeight="1" x14ac:dyDescent="0.3">
      <c r="C361" s="3"/>
      <c r="D361" s="8">
        <v>2021</v>
      </c>
      <c r="E361" s="14">
        <f>Data!R361</f>
        <v>3</v>
      </c>
    </row>
    <row r="362" spans="2:5" ht="15" customHeight="1" x14ac:dyDescent="0.3">
      <c r="C362" s="3"/>
      <c r="D362" s="8">
        <v>2022</v>
      </c>
      <c r="E362" s="14">
        <f>Data!R362</f>
        <v>3</v>
      </c>
    </row>
    <row r="363" spans="2:5" ht="15" customHeight="1" x14ac:dyDescent="0.3">
      <c r="C363" s="3"/>
      <c r="D363" s="8">
        <v>2023</v>
      </c>
      <c r="E363" s="14">
        <f>Data!R363</f>
        <v>3</v>
      </c>
    </row>
    <row r="364" spans="2:5" ht="15" customHeight="1" x14ac:dyDescent="0.3">
      <c r="C364" s="3"/>
      <c r="D364" s="8">
        <v>2024</v>
      </c>
      <c r="E364" s="14">
        <f>Data!R364</f>
        <v>3</v>
      </c>
    </row>
    <row r="365" spans="2:5" ht="15" customHeight="1" x14ac:dyDescent="0.3">
      <c r="B365" s="8">
        <v>34</v>
      </c>
      <c r="C365" s="3" t="s">
        <v>9</v>
      </c>
      <c r="D365" s="8">
        <v>2014</v>
      </c>
      <c r="E365" s="14">
        <f>Data!R365</f>
        <v>0</v>
      </c>
    </row>
    <row r="366" spans="2:5" ht="15" customHeight="1" x14ac:dyDescent="0.3">
      <c r="C366" s="3"/>
      <c r="D366" s="8">
        <v>2015</v>
      </c>
      <c r="E366" s="14">
        <f>Data!R366</f>
        <v>5</v>
      </c>
    </row>
    <row r="367" spans="2:5" ht="15" customHeight="1" x14ac:dyDescent="0.3">
      <c r="C367" s="3"/>
      <c r="D367" s="8">
        <v>2016</v>
      </c>
      <c r="E367" s="14">
        <f>Data!R367</f>
        <v>5</v>
      </c>
    </row>
    <row r="368" spans="2:5" ht="15" customHeight="1" x14ac:dyDescent="0.3">
      <c r="C368" s="3"/>
      <c r="D368" s="8">
        <v>2017</v>
      </c>
      <c r="E368" s="14">
        <f>Data!R368</f>
        <v>4</v>
      </c>
    </row>
    <row r="369" spans="2:5" ht="15" customHeight="1" x14ac:dyDescent="0.3">
      <c r="C369" s="3"/>
      <c r="D369" s="8">
        <v>2018</v>
      </c>
      <c r="E369" s="14">
        <f>Data!R369</f>
        <v>5</v>
      </c>
    </row>
    <row r="370" spans="2:5" ht="15" customHeight="1" x14ac:dyDescent="0.3">
      <c r="C370" s="3"/>
      <c r="D370" s="8">
        <v>2019</v>
      </c>
      <c r="E370" s="14">
        <f>Data!R370</f>
        <v>5</v>
      </c>
    </row>
    <row r="371" spans="2:5" ht="15" customHeight="1" x14ac:dyDescent="0.3">
      <c r="C371" s="3"/>
      <c r="D371" s="8">
        <v>2020</v>
      </c>
      <c r="E371" s="14">
        <f>Data!R371</f>
        <v>5</v>
      </c>
    </row>
    <row r="372" spans="2:5" ht="15" customHeight="1" x14ac:dyDescent="0.3">
      <c r="C372" s="3"/>
      <c r="D372" s="8">
        <v>2021</v>
      </c>
      <c r="E372" s="14">
        <f>Data!R372</f>
        <v>5</v>
      </c>
    </row>
    <row r="373" spans="2:5" ht="15" customHeight="1" x14ac:dyDescent="0.3">
      <c r="C373" s="3"/>
      <c r="D373" s="8">
        <v>2022</v>
      </c>
      <c r="E373" s="14">
        <f>Data!R373</f>
        <v>0</v>
      </c>
    </row>
    <row r="374" spans="2:5" ht="15" customHeight="1" x14ac:dyDescent="0.3">
      <c r="C374" s="3"/>
      <c r="D374" s="8">
        <v>2023</v>
      </c>
      <c r="E374" s="14">
        <f>Data!R374</f>
        <v>5</v>
      </c>
    </row>
    <row r="375" spans="2:5" ht="15" customHeight="1" x14ac:dyDescent="0.3">
      <c r="C375" s="3"/>
      <c r="D375" s="8">
        <v>2024</v>
      </c>
      <c r="E375" s="14">
        <f>Data!R375</f>
        <v>3</v>
      </c>
    </row>
    <row r="376" spans="2:5" ht="15" customHeight="1" x14ac:dyDescent="0.3">
      <c r="B376" s="8">
        <v>35</v>
      </c>
      <c r="C376" s="3" t="s">
        <v>31</v>
      </c>
      <c r="D376" s="8">
        <v>2014</v>
      </c>
      <c r="E376" s="14">
        <f>Data!R376</f>
        <v>0</v>
      </c>
    </row>
    <row r="377" spans="2:5" ht="15" customHeight="1" x14ac:dyDescent="0.3">
      <c r="C377" s="3"/>
      <c r="D377" s="8">
        <v>2015</v>
      </c>
      <c r="E377" s="14">
        <f>Data!R377</f>
        <v>0</v>
      </c>
    </row>
    <row r="378" spans="2:5" ht="15" customHeight="1" x14ac:dyDescent="0.3">
      <c r="C378" s="3"/>
      <c r="D378" s="8">
        <v>2016</v>
      </c>
      <c r="E378" s="14">
        <f>Data!R378</f>
        <v>0</v>
      </c>
    </row>
    <row r="379" spans="2:5" ht="15" customHeight="1" x14ac:dyDescent="0.3">
      <c r="C379" s="3"/>
      <c r="D379" s="8">
        <v>2017</v>
      </c>
      <c r="E379" s="14">
        <f>Data!R379</f>
        <v>0</v>
      </c>
    </row>
    <row r="380" spans="2:5" ht="15" customHeight="1" x14ac:dyDescent="0.3">
      <c r="C380" s="3"/>
      <c r="D380" s="8">
        <v>2018</v>
      </c>
      <c r="E380" s="14">
        <f>Data!R380</f>
        <v>0</v>
      </c>
    </row>
    <row r="381" spans="2:5" ht="15" customHeight="1" x14ac:dyDescent="0.3">
      <c r="C381" s="3"/>
      <c r="D381" s="8">
        <v>2019</v>
      </c>
      <c r="E381" s="14">
        <f>Data!R381</f>
        <v>0</v>
      </c>
    </row>
    <row r="382" spans="2:5" ht="15" customHeight="1" x14ac:dyDescent="0.3">
      <c r="C382" s="3"/>
      <c r="D382" s="8">
        <v>2020</v>
      </c>
      <c r="E382" s="14">
        <f>Data!R382</f>
        <v>0</v>
      </c>
    </row>
    <row r="383" spans="2:5" ht="15" customHeight="1" x14ac:dyDescent="0.3">
      <c r="C383" s="3"/>
      <c r="D383" s="8">
        <v>2021</v>
      </c>
      <c r="E383" s="14">
        <f>Data!R383</f>
        <v>4</v>
      </c>
    </row>
    <row r="384" spans="2:5" ht="15" customHeight="1" x14ac:dyDescent="0.3">
      <c r="C384" s="3"/>
      <c r="D384" s="8">
        <v>2022</v>
      </c>
      <c r="E384" s="14">
        <f>Data!R384</f>
        <v>4</v>
      </c>
    </row>
    <row r="385" spans="2:5" ht="15" customHeight="1" x14ac:dyDescent="0.3">
      <c r="C385" s="3"/>
      <c r="D385" s="8">
        <v>2023</v>
      </c>
      <c r="E385" s="14">
        <f>Data!R385</f>
        <v>4</v>
      </c>
    </row>
    <row r="386" spans="2:5" ht="15" customHeight="1" x14ac:dyDescent="0.3">
      <c r="C386" s="3"/>
      <c r="D386" s="8">
        <v>2024</v>
      </c>
      <c r="E386" s="14">
        <f>Data!R386</f>
        <v>4</v>
      </c>
    </row>
    <row r="387" spans="2:5" ht="15" customHeight="1" x14ac:dyDescent="0.3">
      <c r="B387" s="8">
        <v>36</v>
      </c>
      <c r="C387" s="4" t="s">
        <v>54</v>
      </c>
      <c r="D387" s="8">
        <v>2014</v>
      </c>
      <c r="E387" s="14">
        <f>Data!R387</f>
        <v>0</v>
      </c>
    </row>
    <row r="388" spans="2:5" ht="15" customHeight="1" x14ac:dyDescent="0.3">
      <c r="C388" s="4"/>
      <c r="D388" s="8">
        <v>2015</v>
      </c>
      <c r="E388" s="14">
        <f>Data!R388</f>
        <v>0</v>
      </c>
    </row>
    <row r="389" spans="2:5" ht="15" customHeight="1" x14ac:dyDescent="0.3">
      <c r="C389" s="4"/>
      <c r="D389" s="8">
        <v>2016</v>
      </c>
      <c r="E389" s="14">
        <f>Data!R389</f>
        <v>0</v>
      </c>
    </row>
    <row r="390" spans="2:5" ht="15" customHeight="1" x14ac:dyDescent="0.3">
      <c r="C390" s="4"/>
      <c r="D390" s="8">
        <v>2017</v>
      </c>
      <c r="E390" s="14">
        <f>Data!R390</f>
        <v>3</v>
      </c>
    </row>
    <row r="391" spans="2:5" ht="15" customHeight="1" x14ac:dyDescent="0.3">
      <c r="C391" s="4"/>
      <c r="D391" s="8">
        <v>2018</v>
      </c>
      <c r="E391" s="14">
        <f>Data!R391</f>
        <v>3</v>
      </c>
    </row>
    <row r="392" spans="2:5" ht="15" customHeight="1" x14ac:dyDescent="0.3">
      <c r="C392" s="4"/>
      <c r="D392" s="8">
        <v>2019</v>
      </c>
      <c r="E392" s="14">
        <f>Data!R392</f>
        <v>3</v>
      </c>
    </row>
    <row r="393" spans="2:5" ht="15" customHeight="1" x14ac:dyDescent="0.3">
      <c r="C393" s="4"/>
      <c r="D393" s="8">
        <v>2020</v>
      </c>
      <c r="E393" s="14">
        <f>Data!R393</f>
        <v>3</v>
      </c>
    </row>
    <row r="394" spans="2:5" ht="15" customHeight="1" x14ac:dyDescent="0.3">
      <c r="C394" s="4"/>
      <c r="D394" s="8">
        <v>2021</v>
      </c>
      <c r="E394" s="14">
        <f>Data!R394</f>
        <v>3</v>
      </c>
    </row>
    <row r="395" spans="2:5" ht="15" customHeight="1" x14ac:dyDescent="0.3">
      <c r="C395" s="4"/>
      <c r="D395" s="8">
        <v>2022</v>
      </c>
      <c r="E395" s="14">
        <f>Data!R395</f>
        <v>3</v>
      </c>
    </row>
    <row r="396" spans="2:5" ht="15" customHeight="1" x14ac:dyDescent="0.3">
      <c r="C396" s="4"/>
      <c r="D396" s="8">
        <v>2023</v>
      </c>
      <c r="E396" s="14">
        <f>Data!R396</f>
        <v>3</v>
      </c>
    </row>
    <row r="397" spans="2:5" ht="15" customHeight="1" x14ac:dyDescent="0.3">
      <c r="C397" s="4"/>
      <c r="D397" s="8">
        <v>2024</v>
      </c>
      <c r="E397" s="14">
        <f>Data!R397</f>
        <v>0</v>
      </c>
    </row>
    <row r="398" spans="2:5" ht="15" customHeight="1" x14ac:dyDescent="0.3">
      <c r="B398" s="8">
        <v>37</v>
      </c>
      <c r="C398" s="3" t="s">
        <v>10</v>
      </c>
      <c r="D398" s="8">
        <v>2014</v>
      </c>
      <c r="E398" s="14">
        <f>Data!R398</f>
        <v>0</v>
      </c>
    </row>
    <row r="399" spans="2:5" ht="15" customHeight="1" x14ac:dyDescent="0.3">
      <c r="C399" s="3"/>
      <c r="D399" s="8">
        <v>2015</v>
      </c>
      <c r="E399" s="14">
        <f>Data!R399</f>
        <v>0</v>
      </c>
    </row>
    <row r="400" spans="2:5" ht="15" customHeight="1" x14ac:dyDescent="0.3">
      <c r="C400" s="3"/>
      <c r="D400" s="8">
        <v>2016</v>
      </c>
      <c r="E400" s="14">
        <f>Data!R400</f>
        <v>0</v>
      </c>
    </row>
    <row r="401" spans="2:5" ht="15" customHeight="1" x14ac:dyDescent="0.3">
      <c r="C401" s="3"/>
      <c r="D401" s="8">
        <v>2017</v>
      </c>
      <c r="E401" s="14">
        <f>Data!R401</f>
        <v>0</v>
      </c>
    </row>
    <row r="402" spans="2:5" ht="15" customHeight="1" x14ac:dyDescent="0.3">
      <c r="C402" s="3"/>
      <c r="D402" s="8">
        <v>2018</v>
      </c>
      <c r="E402" s="14">
        <f>Data!R402</f>
        <v>4</v>
      </c>
    </row>
    <row r="403" spans="2:5" ht="15" customHeight="1" x14ac:dyDescent="0.3">
      <c r="C403" s="3"/>
      <c r="D403" s="8">
        <v>2019</v>
      </c>
      <c r="E403" s="14">
        <f>Data!R403</f>
        <v>3</v>
      </c>
    </row>
    <row r="404" spans="2:5" ht="15" customHeight="1" x14ac:dyDescent="0.3">
      <c r="C404" s="3"/>
      <c r="D404" s="8">
        <v>2020</v>
      </c>
      <c r="E404" s="14">
        <f>Data!R404</f>
        <v>0</v>
      </c>
    </row>
    <row r="405" spans="2:5" ht="15" customHeight="1" x14ac:dyDescent="0.3">
      <c r="C405" s="3"/>
      <c r="D405" s="8">
        <v>2021</v>
      </c>
      <c r="E405" s="14">
        <f>Data!R405</f>
        <v>3</v>
      </c>
    </row>
    <row r="406" spans="2:5" ht="15" customHeight="1" x14ac:dyDescent="0.3">
      <c r="C406" s="3"/>
      <c r="D406" s="8">
        <v>2022</v>
      </c>
      <c r="E406" s="14">
        <f>Data!R406</f>
        <v>3</v>
      </c>
    </row>
    <row r="407" spans="2:5" ht="15" customHeight="1" x14ac:dyDescent="0.3">
      <c r="C407" s="3"/>
      <c r="D407" s="8">
        <v>2023</v>
      </c>
      <c r="E407" s="14">
        <f>Data!R407</f>
        <v>3</v>
      </c>
    </row>
    <row r="408" spans="2:5" ht="15" customHeight="1" x14ac:dyDescent="0.3">
      <c r="C408" s="3"/>
      <c r="D408" s="8">
        <v>2024</v>
      </c>
      <c r="E408" s="14">
        <f>Data!R408</f>
        <v>3</v>
      </c>
    </row>
    <row r="409" spans="2:5" ht="15" customHeight="1" x14ac:dyDescent="0.3">
      <c r="B409" s="8">
        <v>38</v>
      </c>
      <c r="C409" s="3" t="s">
        <v>32</v>
      </c>
      <c r="D409" s="8">
        <v>2014</v>
      </c>
      <c r="E409" s="14">
        <f>Data!R409</f>
        <v>0</v>
      </c>
    </row>
    <row r="410" spans="2:5" ht="15" customHeight="1" x14ac:dyDescent="0.3">
      <c r="C410" s="3"/>
      <c r="D410" s="8">
        <v>2015</v>
      </c>
      <c r="E410" s="14">
        <f>Data!R410</f>
        <v>0</v>
      </c>
    </row>
    <row r="411" spans="2:5" ht="15" customHeight="1" x14ac:dyDescent="0.3">
      <c r="C411" s="3"/>
      <c r="D411" s="8">
        <v>2016</v>
      </c>
      <c r="E411" s="14">
        <f>Data!R411</f>
        <v>0</v>
      </c>
    </row>
    <row r="412" spans="2:5" ht="15" customHeight="1" x14ac:dyDescent="0.3">
      <c r="C412" s="3"/>
      <c r="D412" s="8">
        <v>2017</v>
      </c>
      <c r="E412" s="14">
        <f>Data!R412</f>
        <v>0</v>
      </c>
    </row>
    <row r="413" spans="2:5" ht="15" customHeight="1" x14ac:dyDescent="0.3">
      <c r="C413" s="3"/>
      <c r="D413" s="8">
        <v>2018</v>
      </c>
      <c r="E413" s="14">
        <f>Data!R413</f>
        <v>4</v>
      </c>
    </row>
    <row r="414" spans="2:5" ht="15" customHeight="1" x14ac:dyDescent="0.3">
      <c r="C414" s="3"/>
      <c r="D414" s="8">
        <v>2019</v>
      </c>
      <c r="E414" s="14">
        <f>Data!R414</f>
        <v>3</v>
      </c>
    </row>
    <row r="415" spans="2:5" ht="15" customHeight="1" x14ac:dyDescent="0.3">
      <c r="C415" s="3"/>
      <c r="D415" s="8">
        <v>2020</v>
      </c>
      <c r="E415" s="14">
        <f>Data!R415</f>
        <v>3</v>
      </c>
    </row>
    <row r="416" spans="2:5" ht="15" customHeight="1" x14ac:dyDescent="0.3">
      <c r="C416" s="3"/>
      <c r="D416" s="8">
        <v>2021</v>
      </c>
      <c r="E416" s="14">
        <f>Data!R416</f>
        <v>4</v>
      </c>
    </row>
    <row r="417" spans="2:5" ht="15" customHeight="1" x14ac:dyDescent="0.3">
      <c r="C417" s="3"/>
      <c r="D417" s="8">
        <v>2022</v>
      </c>
      <c r="E417" s="14">
        <f>Data!R417</f>
        <v>4</v>
      </c>
    </row>
    <row r="418" spans="2:5" ht="15" customHeight="1" x14ac:dyDescent="0.3">
      <c r="C418" s="3"/>
      <c r="D418" s="8">
        <v>2023</v>
      </c>
      <c r="E418" s="14">
        <f>Data!R418</f>
        <v>3</v>
      </c>
    </row>
    <row r="419" spans="2:5" ht="15" customHeight="1" x14ac:dyDescent="0.3">
      <c r="C419" s="3"/>
      <c r="D419" s="8">
        <v>2024</v>
      </c>
      <c r="E419" s="14">
        <f>Data!R419</f>
        <v>4</v>
      </c>
    </row>
    <row r="420" spans="2:5" ht="15" customHeight="1" x14ac:dyDescent="0.3">
      <c r="B420" s="8">
        <v>39</v>
      </c>
      <c r="C420" s="3" t="s">
        <v>33</v>
      </c>
      <c r="D420" s="8">
        <v>2014</v>
      </c>
      <c r="E420" s="14">
        <f>Data!R420</f>
        <v>0</v>
      </c>
    </row>
    <row r="421" spans="2:5" ht="15" customHeight="1" x14ac:dyDescent="0.3">
      <c r="C421" s="3"/>
      <c r="D421" s="8">
        <v>2015</v>
      </c>
      <c r="E421" s="14">
        <f>Data!R421</f>
        <v>4</v>
      </c>
    </row>
    <row r="422" spans="2:5" ht="15" customHeight="1" x14ac:dyDescent="0.3">
      <c r="C422" s="3"/>
      <c r="D422" s="8">
        <v>2016</v>
      </c>
      <c r="E422" s="14">
        <f>Data!R422</f>
        <v>4</v>
      </c>
    </row>
    <row r="423" spans="2:5" ht="15" customHeight="1" x14ac:dyDescent="0.3">
      <c r="C423" s="3"/>
      <c r="D423" s="8">
        <v>2017</v>
      </c>
      <c r="E423" s="14">
        <f>Data!R423</f>
        <v>5</v>
      </c>
    </row>
    <row r="424" spans="2:5" ht="15" customHeight="1" x14ac:dyDescent="0.3">
      <c r="C424" s="3"/>
      <c r="D424" s="8">
        <v>2018</v>
      </c>
      <c r="E424" s="14">
        <f>Data!R424</f>
        <v>4</v>
      </c>
    </row>
    <row r="425" spans="2:5" ht="15" customHeight="1" x14ac:dyDescent="0.3">
      <c r="C425" s="3"/>
      <c r="D425" s="8">
        <v>2019</v>
      </c>
      <c r="E425" s="14">
        <f>Data!R425</f>
        <v>3</v>
      </c>
    </row>
    <row r="426" spans="2:5" ht="15" customHeight="1" x14ac:dyDescent="0.3">
      <c r="C426" s="3"/>
      <c r="D426" s="8">
        <v>2020</v>
      </c>
      <c r="E426" s="14">
        <f>Data!R426</f>
        <v>3</v>
      </c>
    </row>
    <row r="427" spans="2:5" ht="15" customHeight="1" x14ac:dyDescent="0.3">
      <c r="C427" s="3"/>
      <c r="D427" s="8">
        <v>2021</v>
      </c>
      <c r="E427" s="14">
        <f>Data!R427</f>
        <v>2</v>
      </c>
    </row>
    <row r="428" spans="2:5" ht="15" customHeight="1" x14ac:dyDescent="0.3">
      <c r="C428" s="3"/>
      <c r="D428" s="8">
        <v>2022</v>
      </c>
      <c r="E428" s="14">
        <f>Data!R428</f>
        <v>3</v>
      </c>
    </row>
    <row r="429" spans="2:5" ht="15" customHeight="1" x14ac:dyDescent="0.3">
      <c r="C429" s="3"/>
      <c r="D429" s="8">
        <v>2023</v>
      </c>
      <c r="E429" s="14">
        <f>Data!R429</f>
        <v>4</v>
      </c>
    </row>
    <row r="430" spans="2:5" ht="15" customHeight="1" x14ac:dyDescent="0.3">
      <c r="C430" s="3"/>
      <c r="D430" s="8">
        <v>2024</v>
      </c>
      <c r="E430" s="14">
        <f>Data!R430</f>
        <v>4</v>
      </c>
    </row>
    <row r="431" spans="2:5" ht="15" customHeight="1" x14ac:dyDescent="0.3">
      <c r="B431" s="8">
        <v>40</v>
      </c>
      <c r="C431" s="3" t="s">
        <v>12</v>
      </c>
      <c r="D431" s="8">
        <v>2014</v>
      </c>
      <c r="E431" s="14">
        <f>Data!R431</f>
        <v>0</v>
      </c>
    </row>
    <row r="432" spans="2:5" ht="15" customHeight="1" x14ac:dyDescent="0.3">
      <c r="C432" s="3"/>
      <c r="D432" s="8">
        <v>2015</v>
      </c>
      <c r="E432" s="14">
        <f>Data!R432</f>
        <v>0</v>
      </c>
    </row>
    <row r="433" spans="2:5" ht="15" customHeight="1" x14ac:dyDescent="0.3">
      <c r="C433" s="3"/>
      <c r="D433" s="8">
        <v>2016</v>
      </c>
      <c r="E433" s="14">
        <f>Data!R433</f>
        <v>0</v>
      </c>
    </row>
    <row r="434" spans="2:5" ht="15" customHeight="1" x14ac:dyDescent="0.3">
      <c r="C434" s="3"/>
      <c r="D434" s="8">
        <v>2017</v>
      </c>
      <c r="E434" s="14">
        <f>Data!R434</f>
        <v>0</v>
      </c>
    </row>
    <row r="435" spans="2:5" ht="15" customHeight="1" x14ac:dyDescent="0.3">
      <c r="C435" s="3"/>
      <c r="D435" s="8">
        <v>2018</v>
      </c>
      <c r="E435" s="14">
        <f>Data!R435</f>
        <v>0</v>
      </c>
    </row>
    <row r="436" spans="2:5" ht="15" customHeight="1" x14ac:dyDescent="0.3">
      <c r="C436" s="3"/>
      <c r="D436" s="8">
        <v>2019</v>
      </c>
      <c r="E436" s="14">
        <f>Data!R436</f>
        <v>3</v>
      </c>
    </row>
    <row r="437" spans="2:5" ht="15" customHeight="1" x14ac:dyDescent="0.3">
      <c r="C437" s="3"/>
      <c r="D437" s="8">
        <v>2020</v>
      </c>
      <c r="E437" s="14">
        <f>Data!R437</f>
        <v>4</v>
      </c>
    </row>
    <row r="438" spans="2:5" ht="15" customHeight="1" x14ac:dyDescent="0.3">
      <c r="C438" s="3"/>
      <c r="D438" s="8">
        <v>2021</v>
      </c>
      <c r="E438" s="14">
        <f>Data!R438</f>
        <v>4</v>
      </c>
    </row>
    <row r="439" spans="2:5" ht="15" customHeight="1" x14ac:dyDescent="0.3">
      <c r="C439" s="3"/>
      <c r="D439" s="8">
        <v>2022</v>
      </c>
      <c r="E439" s="14">
        <f>Data!R439</f>
        <v>4</v>
      </c>
    </row>
    <row r="440" spans="2:5" ht="15" customHeight="1" x14ac:dyDescent="0.3">
      <c r="C440" s="3"/>
      <c r="D440" s="8">
        <v>2023</v>
      </c>
      <c r="E440" s="14">
        <f>Data!R440</f>
        <v>4</v>
      </c>
    </row>
    <row r="441" spans="2:5" ht="15" customHeight="1" x14ac:dyDescent="0.3">
      <c r="C441" s="3"/>
      <c r="D441" s="8">
        <v>2024</v>
      </c>
      <c r="E441" s="14">
        <f>Data!R441</f>
        <v>4</v>
      </c>
    </row>
    <row r="442" spans="2:5" ht="15" customHeight="1" x14ac:dyDescent="0.3">
      <c r="B442" s="8">
        <v>41</v>
      </c>
      <c r="C442" s="3" t="s">
        <v>34</v>
      </c>
      <c r="D442" s="8">
        <v>2014</v>
      </c>
      <c r="E442" s="14">
        <f>Data!R442</f>
        <v>0</v>
      </c>
    </row>
    <row r="443" spans="2:5" ht="15" customHeight="1" x14ac:dyDescent="0.3">
      <c r="C443" s="3"/>
      <c r="D443" s="8">
        <v>2015</v>
      </c>
      <c r="E443" s="14">
        <f>Data!R443</f>
        <v>0</v>
      </c>
    </row>
    <row r="444" spans="2:5" ht="15" customHeight="1" x14ac:dyDescent="0.3">
      <c r="C444" s="3"/>
      <c r="D444" s="8">
        <v>2016</v>
      </c>
      <c r="E444" s="14">
        <f>Data!R444</f>
        <v>0</v>
      </c>
    </row>
    <row r="445" spans="2:5" ht="15" customHeight="1" x14ac:dyDescent="0.3">
      <c r="C445" s="3"/>
      <c r="D445" s="8">
        <v>2017</v>
      </c>
      <c r="E445" s="14">
        <f>Data!R445</f>
        <v>0</v>
      </c>
    </row>
    <row r="446" spans="2:5" ht="15" customHeight="1" x14ac:dyDescent="0.3">
      <c r="C446" s="3"/>
      <c r="D446" s="8">
        <v>2018</v>
      </c>
      <c r="E446" s="14">
        <f>Data!R446</f>
        <v>0</v>
      </c>
    </row>
    <row r="447" spans="2:5" ht="15" customHeight="1" x14ac:dyDescent="0.3">
      <c r="C447" s="3"/>
      <c r="D447" s="8">
        <v>2019</v>
      </c>
      <c r="E447" s="14">
        <f>Data!R447</f>
        <v>6</v>
      </c>
    </row>
    <row r="448" spans="2:5" ht="15" customHeight="1" x14ac:dyDescent="0.3">
      <c r="C448" s="3"/>
      <c r="D448" s="8">
        <v>2020</v>
      </c>
      <c r="E448" s="14">
        <f>Data!R448</f>
        <v>6</v>
      </c>
    </row>
    <row r="449" spans="2:5" ht="15" customHeight="1" x14ac:dyDescent="0.3">
      <c r="C449" s="3"/>
      <c r="D449" s="8">
        <v>2021</v>
      </c>
      <c r="E449" s="14">
        <f>Data!R449</f>
        <v>6</v>
      </c>
    </row>
    <row r="450" spans="2:5" ht="15" customHeight="1" x14ac:dyDescent="0.3">
      <c r="C450" s="3"/>
      <c r="D450" s="8">
        <v>2022</v>
      </c>
      <c r="E450" s="14">
        <f>Data!R450</f>
        <v>8</v>
      </c>
    </row>
    <row r="451" spans="2:5" ht="15" customHeight="1" x14ac:dyDescent="0.3">
      <c r="C451" s="3"/>
      <c r="D451" s="8">
        <v>2023</v>
      </c>
      <c r="E451" s="14">
        <f>Data!R451</f>
        <v>7</v>
      </c>
    </row>
    <row r="452" spans="2:5" ht="15" customHeight="1" x14ac:dyDescent="0.3">
      <c r="C452" s="3"/>
      <c r="D452" s="8">
        <v>2024</v>
      </c>
      <c r="E452" s="14">
        <f>Data!R452</f>
        <v>5</v>
      </c>
    </row>
    <row r="453" spans="2:5" ht="15" customHeight="1" x14ac:dyDescent="0.3">
      <c r="B453" s="8">
        <v>42</v>
      </c>
      <c r="C453" s="3" t="s">
        <v>14</v>
      </c>
      <c r="D453" s="8">
        <v>2014</v>
      </c>
      <c r="E453" s="14">
        <f>Data!R453</f>
        <v>0</v>
      </c>
    </row>
    <row r="454" spans="2:5" ht="15" customHeight="1" x14ac:dyDescent="0.3">
      <c r="C454" s="3"/>
      <c r="D454" s="8">
        <v>2015</v>
      </c>
      <c r="E454" s="14">
        <f>Data!R454</f>
        <v>4</v>
      </c>
    </row>
    <row r="455" spans="2:5" ht="15" customHeight="1" x14ac:dyDescent="0.3">
      <c r="C455" s="3"/>
      <c r="D455" s="8">
        <v>2016</v>
      </c>
      <c r="E455" s="14">
        <f>Data!R455</f>
        <v>4</v>
      </c>
    </row>
    <row r="456" spans="2:5" ht="15" customHeight="1" x14ac:dyDescent="0.3">
      <c r="C456" s="3"/>
      <c r="D456" s="8">
        <v>2017</v>
      </c>
      <c r="E456" s="14">
        <f>Data!R456</f>
        <v>3</v>
      </c>
    </row>
    <row r="457" spans="2:5" ht="15" customHeight="1" x14ac:dyDescent="0.3">
      <c r="C457" s="3"/>
      <c r="D457" s="8">
        <v>2018</v>
      </c>
      <c r="E457" s="14">
        <f>Data!R457</f>
        <v>4</v>
      </c>
    </row>
    <row r="458" spans="2:5" ht="15" customHeight="1" x14ac:dyDescent="0.3">
      <c r="C458" s="3"/>
      <c r="D458" s="8">
        <v>2019</v>
      </c>
      <c r="E458" s="14">
        <f>Data!R458</f>
        <v>4</v>
      </c>
    </row>
    <row r="459" spans="2:5" ht="15" customHeight="1" x14ac:dyDescent="0.3">
      <c r="C459" s="3"/>
      <c r="D459" s="8">
        <v>2020</v>
      </c>
      <c r="E459" s="14">
        <f>Data!R459</f>
        <v>4</v>
      </c>
    </row>
    <row r="460" spans="2:5" ht="15" customHeight="1" x14ac:dyDescent="0.3">
      <c r="C460" s="3"/>
      <c r="D460" s="8">
        <v>2021</v>
      </c>
      <c r="E460" s="14">
        <f>Data!R460</f>
        <v>4</v>
      </c>
    </row>
    <row r="461" spans="2:5" ht="15" customHeight="1" x14ac:dyDescent="0.3">
      <c r="C461" s="3"/>
      <c r="D461" s="8">
        <v>2022</v>
      </c>
      <c r="E461" s="14">
        <f>Data!R461</f>
        <v>4</v>
      </c>
    </row>
    <row r="462" spans="2:5" ht="15" customHeight="1" x14ac:dyDescent="0.3">
      <c r="C462" s="3"/>
      <c r="D462" s="8">
        <v>2023</v>
      </c>
      <c r="E462" s="14">
        <f>Data!R462</f>
        <v>4</v>
      </c>
    </row>
    <row r="463" spans="2:5" ht="15" customHeight="1" x14ac:dyDescent="0.3">
      <c r="C463" s="3"/>
      <c r="D463" s="8">
        <v>2024</v>
      </c>
      <c r="E463" s="14">
        <f>Data!R463</f>
        <v>3</v>
      </c>
    </row>
    <row r="464" spans="2:5" ht="15" customHeight="1" x14ac:dyDescent="0.3">
      <c r="B464" s="8">
        <v>43</v>
      </c>
      <c r="C464" s="3" t="s">
        <v>15</v>
      </c>
      <c r="D464" s="8">
        <v>2014</v>
      </c>
      <c r="E464" s="14">
        <f>Data!R464</f>
        <v>0</v>
      </c>
    </row>
    <row r="465" spans="2:5" ht="15" customHeight="1" x14ac:dyDescent="0.3">
      <c r="C465" s="3"/>
      <c r="D465" s="8">
        <v>2015</v>
      </c>
      <c r="E465" s="14">
        <f>Data!R465</f>
        <v>4</v>
      </c>
    </row>
    <row r="466" spans="2:5" ht="15" customHeight="1" x14ac:dyDescent="0.3">
      <c r="C466" s="3"/>
      <c r="D466" s="8">
        <v>2016</v>
      </c>
      <c r="E466" s="14">
        <f>Data!R466</f>
        <v>4</v>
      </c>
    </row>
    <row r="467" spans="2:5" ht="15" customHeight="1" x14ac:dyDescent="0.3">
      <c r="C467" s="3"/>
      <c r="D467" s="8">
        <v>2017</v>
      </c>
      <c r="E467" s="14">
        <f>Data!R467</f>
        <v>3</v>
      </c>
    </row>
    <row r="468" spans="2:5" ht="15" customHeight="1" x14ac:dyDescent="0.3">
      <c r="C468" s="3"/>
      <c r="D468" s="8">
        <v>2018</v>
      </c>
      <c r="E468" s="14">
        <f>Data!R468</f>
        <v>3</v>
      </c>
    </row>
    <row r="469" spans="2:5" ht="15" customHeight="1" x14ac:dyDescent="0.3">
      <c r="C469" s="3"/>
      <c r="D469" s="8">
        <v>2019</v>
      </c>
      <c r="E469" s="14">
        <f>Data!R469</f>
        <v>3</v>
      </c>
    </row>
    <row r="470" spans="2:5" ht="15" customHeight="1" x14ac:dyDescent="0.3">
      <c r="C470" s="3"/>
      <c r="D470" s="8">
        <v>2020</v>
      </c>
      <c r="E470" s="14">
        <f>Data!R470</f>
        <v>3</v>
      </c>
    </row>
    <row r="471" spans="2:5" ht="15" customHeight="1" x14ac:dyDescent="0.3">
      <c r="C471" s="3"/>
      <c r="D471" s="8">
        <v>2021</v>
      </c>
      <c r="E471" s="14">
        <f>Data!R471</f>
        <v>3</v>
      </c>
    </row>
    <row r="472" spans="2:5" ht="15" customHeight="1" x14ac:dyDescent="0.3">
      <c r="C472" s="3"/>
      <c r="D472" s="8">
        <v>2022</v>
      </c>
      <c r="E472" s="14">
        <f>Data!R472</f>
        <v>3</v>
      </c>
    </row>
    <row r="473" spans="2:5" ht="15" customHeight="1" x14ac:dyDescent="0.3">
      <c r="C473" s="3"/>
      <c r="D473" s="8">
        <v>2023</v>
      </c>
      <c r="E473" s="14">
        <f>Data!R473</f>
        <v>3</v>
      </c>
    </row>
    <row r="474" spans="2:5" ht="15" customHeight="1" x14ac:dyDescent="0.3">
      <c r="C474" s="3"/>
      <c r="D474" s="8">
        <v>2024</v>
      </c>
      <c r="E474" s="14">
        <f>Data!R474</f>
        <v>3</v>
      </c>
    </row>
    <row r="475" spans="2:5" ht="15" customHeight="1" x14ac:dyDescent="0.3">
      <c r="B475" s="8">
        <v>44</v>
      </c>
      <c r="C475" s="3" t="s">
        <v>35</v>
      </c>
      <c r="D475" s="8">
        <v>2014</v>
      </c>
      <c r="E475" s="14">
        <f>Data!R475</f>
        <v>0</v>
      </c>
    </row>
    <row r="476" spans="2:5" ht="15" customHeight="1" x14ac:dyDescent="0.3">
      <c r="C476" s="3"/>
      <c r="D476" s="8">
        <v>2015</v>
      </c>
      <c r="E476" s="14">
        <f>Data!R476</f>
        <v>6</v>
      </c>
    </row>
    <row r="477" spans="2:5" ht="15" customHeight="1" x14ac:dyDescent="0.3">
      <c r="C477" s="3"/>
      <c r="D477" s="8">
        <v>2016</v>
      </c>
      <c r="E477" s="14">
        <f>Data!R477</f>
        <v>7</v>
      </c>
    </row>
    <row r="478" spans="2:5" ht="15" customHeight="1" x14ac:dyDescent="0.3">
      <c r="C478" s="3"/>
      <c r="D478" s="8">
        <v>2017</v>
      </c>
      <c r="E478" s="14">
        <f>Data!R478</f>
        <v>5</v>
      </c>
    </row>
    <row r="479" spans="2:5" ht="15" customHeight="1" x14ac:dyDescent="0.3">
      <c r="C479" s="3"/>
      <c r="D479" s="8">
        <v>2018</v>
      </c>
      <c r="E479" s="14">
        <f>Data!R479</f>
        <v>4</v>
      </c>
    </row>
    <row r="480" spans="2:5" ht="15" customHeight="1" x14ac:dyDescent="0.3">
      <c r="C480" s="3"/>
      <c r="D480" s="8">
        <v>2019</v>
      </c>
      <c r="E480" s="14">
        <f>Data!R480</f>
        <v>3</v>
      </c>
    </row>
    <row r="481" spans="2:5" ht="15" customHeight="1" x14ac:dyDescent="0.3">
      <c r="C481" s="3"/>
      <c r="D481" s="8">
        <v>2020</v>
      </c>
      <c r="E481" s="14">
        <f>Data!R481</f>
        <v>3</v>
      </c>
    </row>
    <row r="482" spans="2:5" ht="15" customHeight="1" x14ac:dyDescent="0.3">
      <c r="C482" s="3"/>
      <c r="D482" s="8">
        <v>2021</v>
      </c>
      <c r="E482" s="14">
        <f>Data!R482</f>
        <v>3</v>
      </c>
    </row>
    <row r="483" spans="2:5" ht="15" customHeight="1" x14ac:dyDescent="0.3">
      <c r="C483" s="3"/>
      <c r="D483" s="8">
        <v>2022</v>
      </c>
      <c r="E483" s="14">
        <f>Data!R483</f>
        <v>3</v>
      </c>
    </row>
    <row r="484" spans="2:5" ht="15" customHeight="1" x14ac:dyDescent="0.3">
      <c r="C484" s="3"/>
      <c r="D484" s="8">
        <v>2023</v>
      </c>
      <c r="E484" s="14">
        <f>Data!R484</f>
        <v>3</v>
      </c>
    </row>
    <row r="485" spans="2:5" ht="15" customHeight="1" x14ac:dyDescent="0.3">
      <c r="C485" s="3"/>
      <c r="D485" s="8">
        <v>2024</v>
      </c>
      <c r="E485" s="14">
        <f>Data!R485</f>
        <v>3</v>
      </c>
    </row>
    <row r="486" spans="2:5" ht="15" customHeight="1" x14ac:dyDescent="0.3">
      <c r="B486" s="8">
        <v>45</v>
      </c>
      <c r="C486" s="3" t="s">
        <v>36</v>
      </c>
      <c r="D486" s="8">
        <v>2014</v>
      </c>
      <c r="E486" s="14">
        <f>Data!R486</f>
        <v>0</v>
      </c>
    </row>
    <row r="487" spans="2:5" ht="15" customHeight="1" x14ac:dyDescent="0.3">
      <c r="C487" s="3"/>
      <c r="D487" s="8">
        <v>2015</v>
      </c>
      <c r="E487" s="14">
        <f>Data!R487</f>
        <v>0</v>
      </c>
    </row>
    <row r="488" spans="2:5" ht="15" customHeight="1" x14ac:dyDescent="0.3">
      <c r="C488" s="3"/>
      <c r="D488" s="8">
        <v>2016</v>
      </c>
      <c r="E488" s="14">
        <f>Data!R488</f>
        <v>0</v>
      </c>
    </row>
    <row r="489" spans="2:5" ht="15" customHeight="1" x14ac:dyDescent="0.3">
      <c r="C489" s="3"/>
      <c r="D489" s="8">
        <v>2017</v>
      </c>
      <c r="E489" s="14">
        <f>Data!R489</f>
        <v>0</v>
      </c>
    </row>
    <row r="490" spans="2:5" ht="15" customHeight="1" x14ac:dyDescent="0.3">
      <c r="C490" s="3"/>
      <c r="D490" s="8">
        <v>2018</v>
      </c>
      <c r="E490" s="14">
        <f>Data!R490</f>
        <v>0</v>
      </c>
    </row>
    <row r="491" spans="2:5" ht="15" customHeight="1" x14ac:dyDescent="0.3">
      <c r="C491" s="3"/>
      <c r="D491" s="8">
        <v>2019</v>
      </c>
      <c r="E491" s="14">
        <f>Data!R491</f>
        <v>4</v>
      </c>
    </row>
    <row r="492" spans="2:5" ht="15" customHeight="1" x14ac:dyDescent="0.3">
      <c r="C492" s="3"/>
      <c r="D492" s="8">
        <v>2020</v>
      </c>
      <c r="E492" s="14">
        <f>Data!R492</f>
        <v>3</v>
      </c>
    </row>
    <row r="493" spans="2:5" ht="15" customHeight="1" x14ac:dyDescent="0.3">
      <c r="C493" s="3"/>
      <c r="D493" s="8">
        <v>2021</v>
      </c>
      <c r="E493" s="14">
        <f>Data!R493</f>
        <v>3</v>
      </c>
    </row>
    <row r="494" spans="2:5" ht="15" customHeight="1" x14ac:dyDescent="0.3">
      <c r="C494" s="3"/>
      <c r="D494" s="8">
        <v>2022</v>
      </c>
      <c r="E494" s="14">
        <f>Data!R494</f>
        <v>3</v>
      </c>
    </row>
    <row r="495" spans="2:5" ht="15" customHeight="1" x14ac:dyDescent="0.3">
      <c r="C495" s="3"/>
      <c r="D495" s="8">
        <v>2023</v>
      </c>
      <c r="E495" s="14">
        <f>Data!R495</f>
        <v>3</v>
      </c>
    </row>
    <row r="496" spans="2:5" ht="15" customHeight="1" x14ac:dyDescent="0.3">
      <c r="C496" s="3"/>
      <c r="D496" s="8">
        <v>2024</v>
      </c>
      <c r="E496" s="14">
        <f>Data!R496</f>
        <v>3</v>
      </c>
    </row>
    <row r="497" spans="2:5" ht="15" customHeight="1" x14ac:dyDescent="0.3">
      <c r="B497" s="8">
        <v>46</v>
      </c>
      <c r="C497" s="3" t="s">
        <v>16</v>
      </c>
      <c r="D497" s="8">
        <v>2014</v>
      </c>
      <c r="E497" s="14">
        <f>Data!R497</f>
        <v>0</v>
      </c>
    </row>
    <row r="498" spans="2:5" ht="15" customHeight="1" x14ac:dyDescent="0.3">
      <c r="C498" s="3"/>
      <c r="D498" s="8">
        <v>2015</v>
      </c>
      <c r="E498" s="14">
        <f>Data!R498</f>
        <v>0</v>
      </c>
    </row>
    <row r="499" spans="2:5" ht="15" customHeight="1" x14ac:dyDescent="0.3">
      <c r="C499" s="3"/>
      <c r="D499" s="8">
        <v>2016</v>
      </c>
      <c r="E499" s="14">
        <f>Data!R499</f>
        <v>0</v>
      </c>
    </row>
    <row r="500" spans="2:5" ht="15" customHeight="1" x14ac:dyDescent="0.3">
      <c r="C500" s="3"/>
      <c r="D500" s="8">
        <v>2017</v>
      </c>
      <c r="E500" s="14">
        <f>Data!R500</f>
        <v>4</v>
      </c>
    </row>
    <row r="501" spans="2:5" ht="15" customHeight="1" x14ac:dyDescent="0.3">
      <c r="C501" s="3"/>
      <c r="D501" s="8">
        <v>2018</v>
      </c>
      <c r="E501" s="14">
        <f>Data!R501</f>
        <v>4</v>
      </c>
    </row>
    <row r="502" spans="2:5" ht="15" customHeight="1" x14ac:dyDescent="0.3">
      <c r="C502" s="3"/>
      <c r="D502" s="8">
        <v>2019</v>
      </c>
      <c r="E502" s="14">
        <f>Data!R502</f>
        <v>4</v>
      </c>
    </row>
    <row r="503" spans="2:5" ht="15" customHeight="1" x14ac:dyDescent="0.3">
      <c r="C503" s="3"/>
      <c r="D503" s="8">
        <v>2020</v>
      </c>
      <c r="E503" s="14">
        <f>Data!R503</f>
        <v>3</v>
      </c>
    </row>
    <row r="504" spans="2:5" ht="15" customHeight="1" x14ac:dyDescent="0.3">
      <c r="C504" s="3"/>
      <c r="D504" s="8">
        <v>2021</v>
      </c>
      <c r="E504" s="14">
        <f>Data!R504</f>
        <v>3</v>
      </c>
    </row>
    <row r="505" spans="2:5" ht="15" customHeight="1" x14ac:dyDescent="0.3">
      <c r="C505" s="3"/>
      <c r="D505" s="8">
        <v>2022</v>
      </c>
      <c r="E505" s="14">
        <f>Data!R505</f>
        <v>3</v>
      </c>
    </row>
    <row r="506" spans="2:5" ht="15" customHeight="1" x14ac:dyDescent="0.3">
      <c r="C506" s="3"/>
      <c r="D506" s="8">
        <v>2023</v>
      </c>
      <c r="E506" s="14">
        <f>Data!R506</f>
        <v>3</v>
      </c>
    </row>
    <row r="507" spans="2:5" ht="15" customHeight="1" x14ac:dyDescent="0.3">
      <c r="C507" s="3"/>
      <c r="D507" s="8">
        <v>2024</v>
      </c>
      <c r="E507" s="14">
        <f>Data!R507</f>
        <v>3</v>
      </c>
    </row>
    <row r="508" spans="2:5" ht="15" customHeight="1" x14ac:dyDescent="0.3">
      <c r="B508" s="8">
        <v>47</v>
      </c>
      <c r="C508" s="3" t="s">
        <v>17</v>
      </c>
      <c r="D508" s="8">
        <v>2014</v>
      </c>
      <c r="E508" s="14">
        <f>Data!R508</f>
        <v>0</v>
      </c>
    </row>
    <row r="509" spans="2:5" ht="15" customHeight="1" x14ac:dyDescent="0.3">
      <c r="C509" s="3"/>
      <c r="D509" s="8">
        <v>2015</v>
      </c>
      <c r="E509" s="14">
        <f>Data!R509</f>
        <v>0</v>
      </c>
    </row>
    <row r="510" spans="2:5" ht="15" customHeight="1" x14ac:dyDescent="0.3">
      <c r="C510" s="3"/>
      <c r="D510" s="8">
        <v>2016</v>
      </c>
      <c r="E510" s="14">
        <f>Data!R510</f>
        <v>0</v>
      </c>
    </row>
    <row r="511" spans="2:5" ht="15" customHeight="1" x14ac:dyDescent="0.3">
      <c r="C511" s="3"/>
      <c r="D511" s="8">
        <v>2017</v>
      </c>
      <c r="E511" s="14">
        <f>Data!R511</f>
        <v>0</v>
      </c>
    </row>
    <row r="512" spans="2:5" ht="15" customHeight="1" x14ac:dyDescent="0.3">
      <c r="C512" s="3"/>
      <c r="D512" s="8">
        <v>2018</v>
      </c>
      <c r="E512" s="14">
        <f>Data!R512</f>
        <v>0</v>
      </c>
    </row>
    <row r="513" spans="2:5" ht="15" customHeight="1" x14ac:dyDescent="0.3">
      <c r="C513" s="3"/>
      <c r="D513" s="8">
        <v>2019</v>
      </c>
      <c r="E513" s="14">
        <f>Data!R513</f>
        <v>0</v>
      </c>
    </row>
    <row r="514" spans="2:5" ht="15" customHeight="1" x14ac:dyDescent="0.3">
      <c r="C514" s="3"/>
      <c r="D514" s="8">
        <v>2020</v>
      </c>
      <c r="E514" s="14">
        <f>Data!R514</f>
        <v>3</v>
      </c>
    </row>
    <row r="515" spans="2:5" ht="15" customHeight="1" x14ac:dyDescent="0.3">
      <c r="C515" s="3"/>
      <c r="D515" s="8">
        <v>2021</v>
      </c>
      <c r="E515" s="14">
        <f>Data!R515</f>
        <v>3</v>
      </c>
    </row>
    <row r="516" spans="2:5" ht="15" customHeight="1" x14ac:dyDescent="0.3">
      <c r="C516" s="3"/>
      <c r="D516" s="8">
        <v>2022</v>
      </c>
      <c r="E516" s="14">
        <f>Data!R516</f>
        <v>3</v>
      </c>
    </row>
    <row r="517" spans="2:5" ht="15" customHeight="1" x14ac:dyDescent="0.3">
      <c r="C517" s="3"/>
      <c r="D517" s="8">
        <v>2023</v>
      </c>
      <c r="E517" s="14">
        <f>Data!R517</f>
        <v>2</v>
      </c>
    </row>
    <row r="518" spans="2:5" ht="15" customHeight="1" x14ac:dyDescent="0.3">
      <c r="C518" s="3"/>
      <c r="D518" s="8">
        <v>2024</v>
      </c>
      <c r="E518" s="14">
        <f>Data!R518</f>
        <v>3</v>
      </c>
    </row>
    <row r="519" spans="2:5" ht="15" customHeight="1" x14ac:dyDescent="0.3">
      <c r="B519" s="8">
        <v>48</v>
      </c>
      <c r="C519" s="3" t="s">
        <v>26</v>
      </c>
      <c r="D519" s="8">
        <v>2014</v>
      </c>
      <c r="E519" s="14">
        <f>Data!R519</f>
        <v>0</v>
      </c>
    </row>
    <row r="520" spans="2:5" ht="15" customHeight="1" x14ac:dyDescent="0.3">
      <c r="C520" s="3"/>
      <c r="D520" s="8">
        <v>2015</v>
      </c>
      <c r="E520" s="14">
        <f>Data!R520</f>
        <v>4</v>
      </c>
    </row>
    <row r="521" spans="2:5" ht="15" customHeight="1" x14ac:dyDescent="0.3">
      <c r="C521" s="3"/>
      <c r="D521" s="8">
        <v>2016</v>
      </c>
      <c r="E521" s="14">
        <f>Data!R521</f>
        <v>4</v>
      </c>
    </row>
    <row r="522" spans="2:5" ht="15" customHeight="1" x14ac:dyDescent="0.3">
      <c r="C522" s="3"/>
      <c r="D522" s="8">
        <v>2017</v>
      </c>
      <c r="E522" s="14">
        <f>Data!R522</f>
        <v>4</v>
      </c>
    </row>
    <row r="523" spans="2:5" ht="15" customHeight="1" x14ac:dyDescent="0.3">
      <c r="C523" s="3"/>
      <c r="D523" s="8">
        <v>2018</v>
      </c>
      <c r="E523" s="14">
        <f>Data!R523</f>
        <v>4</v>
      </c>
    </row>
    <row r="524" spans="2:5" ht="15" customHeight="1" x14ac:dyDescent="0.3">
      <c r="C524" s="3"/>
      <c r="D524" s="8">
        <v>2019</v>
      </c>
      <c r="E524" s="14">
        <f>Data!R524</f>
        <v>5</v>
      </c>
    </row>
    <row r="525" spans="2:5" ht="15" customHeight="1" x14ac:dyDescent="0.3">
      <c r="C525" s="3"/>
      <c r="D525" s="8">
        <v>2020</v>
      </c>
      <c r="E525" s="14">
        <f>Data!R525</f>
        <v>6</v>
      </c>
    </row>
    <row r="526" spans="2:5" ht="15" customHeight="1" x14ac:dyDescent="0.3">
      <c r="C526" s="3"/>
      <c r="D526" s="8">
        <v>2021</v>
      </c>
      <c r="E526" s="14">
        <f>Data!R526</f>
        <v>6</v>
      </c>
    </row>
    <row r="527" spans="2:5" ht="15" customHeight="1" x14ac:dyDescent="0.3">
      <c r="C527" s="3"/>
      <c r="D527" s="8">
        <v>2022</v>
      </c>
      <c r="E527" s="14">
        <f>Data!R527</f>
        <v>6</v>
      </c>
    </row>
    <row r="528" spans="2:5" ht="15" customHeight="1" x14ac:dyDescent="0.3">
      <c r="C528" s="3"/>
      <c r="D528" s="8">
        <v>2023</v>
      </c>
      <c r="E528" s="14">
        <f>Data!R528</f>
        <v>6</v>
      </c>
    </row>
    <row r="529" spans="2:5" ht="15" customHeight="1" x14ac:dyDescent="0.3">
      <c r="C529" s="3"/>
      <c r="D529" s="8">
        <v>2024</v>
      </c>
      <c r="E529" s="14">
        <f>Data!R529</f>
        <v>6</v>
      </c>
    </row>
    <row r="530" spans="2:5" ht="15" customHeight="1" x14ac:dyDescent="0.3">
      <c r="B530" s="8">
        <v>49</v>
      </c>
      <c r="C530" s="3" t="s">
        <v>38</v>
      </c>
      <c r="D530" s="8">
        <v>2014</v>
      </c>
      <c r="E530" s="14">
        <f>Data!R530</f>
        <v>0</v>
      </c>
    </row>
    <row r="531" spans="2:5" ht="15" customHeight="1" x14ac:dyDescent="0.3">
      <c r="C531" s="3"/>
      <c r="D531" s="8">
        <v>2015</v>
      </c>
      <c r="E531" s="14">
        <f>Data!R531</f>
        <v>0</v>
      </c>
    </row>
    <row r="532" spans="2:5" ht="15" customHeight="1" x14ac:dyDescent="0.3">
      <c r="C532" s="3"/>
      <c r="D532" s="8">
        <v>2016</v>
      </c>
      <c r="E532" s="14">
        <f>Data!R532</f>
        <v>0</v>
      </c>
    </row>
    <row r="533" spans="2:5" ht="15" customHeight="1" x14ac:dyDescent="0.3">
      <c r="C533" s="3"/>
      <c r="D533" s="8">
        <v>2017</v>
      </c>
      <c r="E533" s="14">
        <f>Data!R533</f>
        <v>3</v>
      </c>
    </row>
    <row r="534" spans="2:5" ht="15" customHeight="1" x14ac:dyDescent="0.3">
      <c r="C534" s="3"/>
      <c r="D534" s="8">
        <v>2018</v>
      </c>
      <c r="E534" s="14">
        <f>Data!R534</f>
        <v>3</v>
      </c>
    </row>
    <row r="535" spans="2:5" ht="15" customHeight="1" x14ac:dyDescent="0.3">
      <c r="C535" s="3"/>
      <c r="D535" s="8">
        <v>2019</v>
      </c>
      <c r="E535" s="14">
        <f>Data!R535</f>
        <v>3</v>
      </c>
    </row>
    <row r="536" spans="2:5" ht="15" customHeight="1" x14ac:dyDescent="0.3">
      <c r="C536" s="3"/>
      <c r="D536" s="8">
        <v>2020</v>
      </c>
      <c r="E536" s="14">
        <f>Data!R536</f>
        <v>3</v>
      </c>
    </row>
    <row r="537" spans="2:5" ht="15" customHeight="1" x14ac:dyDescent="0.3">
      <c r="C537" s="3"/>
      <c r="D537" s="8">
        <v>2021</v>
      </c>
      <c r="E537" s="14">
        <f>Data!R537</f>
        <v>3</v>
      </c>
    </row>
    <row r="538" spans="2:5" ht="15" customHeight="1" x14ac:dyDescent="0.3">
      <c r="C538" s="3"/>
      <c r="D538" s="8">
        <v>2022</v>
      </c>
      <c r="E538" s="14">
        <f>Data!R538</f>
        <v>3</v>
      </c>
    </row>
    <row r="539" spans="2:5" ht="15" customHeight="1" x14ac:dyDescent="0.3">
      <c r="C539" s="3"/>
      <c r="D539" s="8">
        <v>2023</v>
      </c>
      <c r="E539" s="14">
        <f>Data!R539</f>
        <v>3</v>
      </c>
    </row>
    <row r="540" spans="2:5" ht="15" customHeight="1" x14ac:dyDescent="0.3">
      <c r="C540" s="3"/>
      <c r="D540" s="8">
        <v>2024</v>
      </c>
      <c r="E540" s="14">
        <f>Data!R540</f>
        <v>3</v>
      </c>
    </row>
    <row r="541" spans="2:5" ht="15" customHeight="1" x14ac:dyDescent="0.3">
      <c r="B541" s="8">
        <v>50</v>
      </c>
      <c r="C541" s="3" t="s">
        <v>39</v>
      </c>
      <c r="D541" s="8">
        <v>2014</v>
      </c>
      <c r="E541" s="14">
        <f>Data!R541</f>
        <v>0</v>
      </c>
    </row>
    <row r="542" spans="2:5" ht="15" customHeight="1" x14ac:dyDescent="0.3">
      <c r="C542" s="3"/>
      <c r="D542" s="8">
        <v>2015</v>
      </c>
      <c r="E542" s="14">
        <f>Data!R542</f>
        <v>8</v>
      </c>
    </row>
    <row r="543" spans="2:5" ht="15" customHeight="1" x14ac:dyDescent="0.3">
      <c r="C543" s="3"/>
      <c r="D543" s="8">
        <v>2016</v>
      </c>
      <c r="E543" s="14">
        <f>Data!R543</f>
        <v>8</v>
      </c>
    </row>
    <row r="544" spans="2:5" ht="15" customHeight="1" x14ac:dyDescent="0.3">
      <c r="C544" s="3"/>
      <c r="D544" s="8">
        <v>2017</v>
      </c>
      <c r="E544" s="14">
        <f>Data!R544</f>
        <v>8</v>
      </c>
    </row>
    <row r="545" spans="2:5" ht="15" customHeight="1" x14ac:dyDescent="0.3">
      <c r="C545" s="3"/>
      <c r="D545" s="8">
        <v>2018</v>
      </c>
      <c r="E545" s="14">
        <f>Data!R545</f>
        <v>8</v>
      </c>
    </row>
    <row r="546" spans="2:5" ht="15" customHeight="1" x14ac:dyDescent="0.3">
      <c r="C546" s="3"/>
      <c r="D546" s="8">
        <v>2019</v>
      </c>
      <c r="E546" s="14">
        <f>Data!R546</f>
        <v>8</v>
      </c>
    </row>
    <row r="547" spans="2:5" ht="15" customHeight="1" x14ac:dyDescent="0.3">
      <c r="C547" s="3"/>
      <c r="D547" s="8">
        <v>2020</v>
      </c>
      <c r="E547" s="14">
        <f>Data!R547</f>
        <v>7</v>
      </c>
    </row>
    <row r="548" spans="2:5" ht="15" customHeight="1" x14ac:dyDescent="0.3">
      <c r="C548" s="3"/>
      <c r="D548" s="8">
        <v>2021</v>
      </c>
      <c r="E548" s="14">
        <f>Data!R548</f>
        <v>7</v>
      </c>
    </row>
    <row r="549" spans="2:5" ht="15" customHeight="1" x14ac:dyDescent="0.3">
      <c r="C549" s="3"/>
      <c r="D549" s="8">
        <v>2022</v>
      </c>
      <c r="E549" s="14">
        <f>Data!R549</f>
        <v>8</v>
      </c>
    </row>
    <row r="550" spans="2:5" ht="15" customHeight="1" x14ac:dyDescent="0.3">
      <c r="C550" s="3"/>
      <c r="D550" s="8">
        <v>2023</v>
      </c>
      <c r="E550" s="14">
        <f>Data!R550</f>
        <v>8</v>
      </c>
    </row>
    <row r="551" spans="2:5" ht="15" customHeight="1" x14ac:dyDescent="0.3">
      <c r="C551" s="3"/>
      <c r="D551" s="8">
        <v>2024</v>
      </c>
      <c r="E551" s="14">
        <f>Data!R551</f>
        <v>4</v>
      </c>
    </row>
    <row r="552" spans="2:5" ht="15" customHeight="1" x14ac:dyDescent="0.3">
      <c r="B552" s="8">
        <v>51</v>
      </c>
      <c r="C552" s="3" t="s">
        <v>48</v>
      </c>
      <c r="D552" s="8">
        <v>2014</v>
      </c>
      <c r="E552" s="14">
        <f>Data!R552</f>
        <v>0</v>
      </c>
    </row>
    <row r="553" spans="2:5" ht="15" customHeight="1" x14ac:dyDescent="0.3">
      <c r="C553" s="3"/>
      <c r="D553" s="8">
        <v>2015</v>
      </c>
      <c r="E553" s="14">
        <f>Data!R553</f>
        <v>0</v>
      </c>
    </row>
    <row r="554" spans="2:5" ht="15" customHeight="1" x14ac:dyDescent="0.3">
      <c r="C554" s="3"/>
      <c r="D554" s="8">
        <v>2016</v>
      </c>
      <c r="E554" s="14">
        <f>Data!R554</f>
        <v>0</v>
      </c>
    </row>
    <row r="555" spans="2:5" ht="15" customHeight="1" x14ac:dyDescent="0.3">
      <c r="C555" s="3"/>
      <c r="D555" s="8">
        <v>2017</v>
      </c>
      <c r="E555" s="14">
        <f>Data!R555</f>
        <v>0</v>
      </c>
    </row>
    <row r="556" spans="2:5" ht="15" customHeight="1" x14ac:dyDescent="0.3">
      <c r="C556" s="3"/>
      <c r="D556" s="8">
        <v>2018</v>
      </c>
      <c r="E556" s="14">
        <f>Data!R556</f>
        <v>0</v>
      </c>
    </row>
    <row r="557" spans="2:5" ht="15" customHeight="1" x14ac:dyDescent="0.3">
      <c r="C557" s="3"/>
      <c r="D557" s="8">
        <v>2019</v>
      </c>
      <c r="E557" s="14">
        <f>Data!R557</f>
        <v>0</v>
      </c>
    </row>
    <row r="558" spans="2:5" ht="15" customHeight="1" x14ac:dyDescent="0.3">
      <c r="C558" s="3"/>
      <c r="D558" s="8">
        <v>2020</v>
      </c>
      <c r="E558" s="14">
        <f>Data!R558</f>
        <v>4</v>
      </c>
    </row>
    <row r="559" spans="2:5" ht="15" customHeight="1" x14ac:dyDescent="0.3">
      <c r="C559" s="3"/>
      <c r="D559" s="8">
        <v>2021</v>
      </c>
      <c r="E559" s="14">
        <f>Data!R559</f>
        <v>4</v>
      </c>
    </row>
    <row r="560" spans="2:5" ht="15" customHeight="1" x14ac:dyDescent="0.3">
      <c r="C560" s="3"/>
      <c r="D560" s="8">
        <v>2022</v>
      </c>
      <c r="E560" s="14">
        <f>Data!R560</f>
        <v>4</v>
      </c>
    </row>
    <row r="561" spans="2:5" ht="15" customHeight="1" x14ac:dyDescent="0.3">
      <c r="C561" s="3"/>
      <c r="D561" s="8">
        <v>2023</v>
      </c>
      <c r="E561" s="14">
        <f>Data!R561</f>
        <v>4</v>
      </c>
    </row>
    <row r="562" spans="2:5" ht="15" customHeight="1" x14ac:dyDescent="0.3">
      <c r="C562" s="3"/>
      <c r="D562" s="8">
        <v>2024</v>
      </c>
      <c r="E562" s="14">
        <f>Data!R562</f>
        <v>3</v>
      </c>
    </row>
    <row r="563" spans="2:5" ht="15" customHeight="1" x14ac:dyDescent="0.3">
      <c r="B563" s="8">
        <v>52</v>
      </c>
      <c r="C563" s="3" t="s">
        <v>37</v>
      </c>
      <c r="D563" s="8">
        <v>2014</v>
      </c>
      <c r="E563" s="14">
        <f>Data!R563</f>
        <v>0</v>
      </c>
    </row>
    <row r="564" spans="2:5" ht="15" customHeight="1" x14ac:dyDescent="0.3">
      <c r="C564" s="3"/>
      <c r="D564" s="8">
        <v>2015</v>
      </c>
      <c r="E564" s="14">
        <f>Data!R564</f>
        <v>0</v>
      </c>
    </row>
    <row r="565" spans="2:5" ht="15" customHeight="1" x14ac:dyDescent="0.3">
      <c r="C565" s="3"/>
      <c r="D565" s="8">
        <v>2016</v>
      </c>
      <c r="E565" s="14">
        <f>Data!R565</f>
        <v>3</v>
      </c>
    </row>
    <row r="566" spans="2:5" ht="15" customHeight="1" x14ac:dyDescent="0.3">
      <c r="C566" s="3"/>
      <c r="D566" s="8">
        <v>2017</v>
      </c>
      <c r="E566" s="14">
        <f>Data!R566</f>
        <v>4</v>
      </c>
    </row>
    <row r="567" spans="2:5" ht="15" customHeight="1" x14ac:dyDescent="0.3">
      <c r="C567" s="3"/>
      <c r="D567" s="8">
        <v>2018</v>
      </c>
      <c r="E567" s="14">
        <f>Data!R567</f>
        <v>4</v>
      </c>
    </row>
    <row r="568" spans="2:5" ht="15" customHeight="1" x14ac:dyDescent="0.3">
      <c r="C568" s="3"/>
      <c r="D568" s="8">
        <v>2019</v>
      </c>
      <c r="E568" s="14">
        <f>Data!R568</f>
        <v>5</v>
      </c>
    </row>
    <row r="569" spans="2:5" ht="15" customHeight="1" x14ac:dyDescent="0.3">
      <c r="C569" s="3"/>
      <c r="D569" s="8">
        <v>2020</v>
      </c>
      <c r="E569" s="14">
        <f>Data!R569</f>
        <v>4</v>
      </c>
    </row>
    <row r="570" spans="2:5" ht="15" customHeight="1" x14ac:dyDescent="0.3">
      <c r="C570" s="3"/>
      <c r="D570" s="8">
        <v>2021</v>
      </c>
      <c r="E570" s="14">
        <f>Data!R570</f>
        <v>4</v>
      </c>
    </row>
    <row r="571" spans="2:5" ht="15" customHeight="1" x14ac:dyDescent="0.3">
      <c r="C571" s="3"/>
      <c r="D571" s="8">
        <v>2022</v>
      </c>
      <c r="E571" s="14">
        <f>Data!R571</f>
        <v>3</v>
      </c>
    </row>
    <row r="572" spans="2:5" ht="15" customHeight="1" x14ac:dyDescent="0.3">
      <c r="C572" s="3"/>
      <c r="D572" s="8">
        <v>2023</v>
      </c>
      <c r="E572" s="14">
        <f>Data!R572</f>
        <v>3</v>
      </c>
    </row>
    <row r="573" spans="2:5" ht="15" customHeight="1" x14ac:dyDescent="0.3">
      <c r="C573" s="3"/>
      <c r="D573" s="8">
        <v>2024</v>
      </c>
      <c r="E573" s="14">
        <f>Data!R573</f>
        <v>3</v>
      </c>
    </row>
    <row r="574" spans="2:5" ht="15" customHeight="1" x14ac:dyDescent="0.3">
      <c r="B574" s="8">
        <v>53</v>
      </c>
      <c r="C574" s="3" t="s">
        <v>43</v>
      </c>
      <c r="D574" s="8">
        <v>2014</v>
      </c>
      <c r="E574" s="14">
        <f>Data!R574</f>
        <v>0</v>
      </c>
    </row>
    <row r="575" spans="2:5" ht="15" customHeight="1" x14ac:dyDescent="0.3">
      <c r="C575" s="3"/>
      <c r="D575" s="8">
        <v>2015</v>
      </c>
      <c r="E575" s="14">
        <f>Data!R575</f>
        <v>0</v>
      </c>
    </row>
    <row r="576" spans="2:5" ht="15" customHeight="1" x14ac:dyDescent="0.3">
      <c r="C576" s="3"/>
      <c r="D576" s="8">
        <v>2016</v>
      </c>
      <c r="E576" s="14">
        <f>Data!R576</f>
        <v>0</v>
      </c>
    </row>
    <row r="577" spans="2:5" ht="15" customHeight="1" x14ac:dyDescent="0.3">
      <c r="C577" s="3"/>
      <c r="D577" s="8">
        <v>2017</v>
      </c>
      <c r="E577" s="14">
        <f>Data!R577</f>
        <v>6</v>
      </c>
    </row>
    <row r="578" spans="2:5" ht="15" customHeight="1" x14ac:dyDescent="0.3">
      <c r="C578" s="3"/>
      <c r="D578" s="8">
        <v>2018</v>
      </c>
      <c r="E578" s="14">
        <f>Data!R578</f>
        <v>6</v>
      </c>
    </row>
    <row r="579" spans="2:5" ht="15" customHeight="1" x14ac:dyDescent="0.3">
      <c r="C579" s="3"/>
      <c r="D579" s="8">
        <v>2019</v>
      </c>
      <c r="E579" s="14">
        <f>Data!R579</f>
        <v>6</v>
      </c>
    </row>
    <row r="580" spans="2:5" ht="15" customHeight="1" x14ac:dyDescent="0.3">
      <c r="C580" s="3"/>
      <c r="D580" s="8">
        <v>2020</v>
      </c>
      <c r="E580" s="14">
        <f>Data!R580</f>
        <v>7</v>
      </c>
    </row>
    <row r="581" spans="2:5" ht="15" customHeight="1" x14ac:dyDescent="0.3">
      <c r="C581" s="3"/>
      <c r="D581" s="8">
        <v>2021</v>
      </c>
      <c r="E581" s="14">
        <f>Data!R581</f>
        <v>8</v>
      </c>
    </row>
    <row r="582" spans="2:5" ht="15" customHeight="1" x14ac:dyDescent="0.3">
      <c r="C582" s="3"/>
      <c r="D582" s="8">
        <v>2022</v>
      </c>
      <c r="E582" s="14">
        <f>Data!R582</f>
        <v>7</v>
      </c>
    </row>
    <row r="583" spans="2:5" ht="15" customHeight="1" x14ac:dyDescent="0.3">
      <c r="C583" s="3"/>
      <c r="D583" s="8">
        <v>2023</v>
      </c>
      <c r="E583" s="14">
        <f>Data!R583</f>
        <v>7</v>
      </c>
    </row>
    <row r="584" spans="2:5" ht="15" customHeight="1" x14ac:dyDescent="0.3">
      <c r="C584" s="3"/>
      <c r="D584" s="8">
        <v>2024</v>
      </c>
      <c r="E584" s="14">
        <f>Data!R584</f>
        <v>6</v>
      </c>
    </row>
    <row r="585" spans="2:5" ht="15" customHeight="1" x14ac:dyDescent="0.3">
      <c r="B585" s="8">
        <v>54</v>
      </c>
      <c r="C585" s="4" t="s">
        <v>150</v>
      </c>
      <c r="D585" s="8">
        <v>2014</v>
      </c>
      <c r="E585" s="14">
        <f>Data!R585</f>
        <v>0</v>
      </c>
    </row>
    <row r="586" spans="2:5" ht="15" customHeight="1" x14ac:dyDescent="0.3">
      <c r="C586" s="4"/>
      <c r="D586" s="8">
        <v>2015</v>
      </c>
      <c r="E586" s="14">
        <f>Data!R586</f>
        <v>0</v>
      </c>
    </row>
    <row r="587" spans="2:5" ht="15" customHeight="1" x14ac:dyDescent="0.3">
      <c r="C587" s="4"/>
      <c r="D587" s="8">
        <v>2016</v>
      </c>
      <c r="E587" s="14">
        <f>Data!R587</f>
        <v>0</v>
      </c>
    </row>
    <row r="588" spans="2:5" ht="15" customHeight="1" x14ac:dyDescent="0.3">
      <c r="C588" s="4"/>
      <c r="D588" s="8">
        <v>2017</v>
      </c>
      <c r="E588" s="14">
        <f>Data!R588</f>
        <v>0</v>
      </c>
    </row>
    <row r="589" spans="2:5" ht="15" customHeight="1" x14ac:dyDescent="0.3">
      <c r="C589" s="4"/>
      <c r="D589" s="8">
        <v>2018</v>
      </c>
      <c r="E589" s="14">
        <f>Data!R589</f>
        <v>0</v>
      </c>
    </row>
    <row r="590" spans="2:5" ht="15" customHeight="1" x14ac:dyDescent="0.3">
      <c r="C590" s="4"/>
      <c r="D590" s="8">
        <v>2019</v>
      </c>
      <c r="E590" s="14">
        <f>Data!R590</f>
        <v>0</v>
      </c>
    </row>
    <row r="591" spans="2:5" ht="15" customHeight="1" x14ac:dyDescent="0.3">
      <c r="C591" s="4"/>
      <c r="D591" s="8">
        <v>2020</v>
      </c>
      <c r="E591" s="14">
        <f>Data!R591</f>
        <v>0</v>
      </c>
    </row>
    <row r="592" spans="2:5" ht="15" customHeight="1" x14ac:dyDescent="0.3">
      <c r="C592" s="4"/>
      <c r="D592" s="8">
        <v>2021</v>
      </c>
      <c r="E592" s="14">
        <f>Data!R592</f>
        <v>0</v>
      </c>
    </row>
    <row r="593" spans="2:5" ht="15" customHeight="1" x14ac:dyDescent="0.3">
      <c r="C593" s="4"/>
      <c r="D593" s="8">
        <v>2022</v>
      </c>
      <c r="E593" s="14">
        <f>Data!R593</f>
        <v>3</v>
      </c>
    </row>
    <row r="594" spans="2:5" ht="15" customHeight="1" x14ac:dyDescent="0.3">
      <c r="C594" s="4"/>
      <c r="D594" s="8">
        <v>2023</v>
      </c>
      <c r="E594" s="14">
        <f>Data!R594</f>
        <v>3</v>
      </c>
    </row>
    <row r="595" spans="2:5" ht="15" customHeight="1" x14ac:dyDescent="0.3">
      <c r="C595" s="4"/>
      <c r="D595" s="8">
        <v>2024</v>
      </c>
      <c r="E595" s="14">
        <f>Data!R595</f>
        <v>2</v>
      </c>
    </row>
    <row r="596" spans="2:5" ht="15" customHeight="1" x14ac:dyDescent="0.3">
      <c r="B596" s="8">
        <v>55</v>
      </c>
      <c r="C596" s="3" t="s">
        <v>40</v>
      </c>
      <c r="D596" s="8">
        <v>2014</v>
      </c>
      <c r="E596" s="14">
        <f>Data!R596</f>
        <v>0</v>
      </c>
    </row>
    <row r="597" spans="2:5" ht="15" customHeight="1" x14ac:dyDescent="0.3">
      <c r="C597" s="3"/>
      <c r="D597" s="8">
        <v>2015</v>
      </c>
      <c r="E597" s="14">
        <f>Data!R597</f>
        <v>3</v>
      </c>
    </row>
    <row r="598" spans="2:5" ht="15" customHeight="1" x14ac:dyDescent="0.3">
      <c r="C598" s="3"/>
      <c r="D598" s="8">
        <v>2016</v>
      </c>
      <c r="E598" s="14">
        <f>Data!R598</f>
        <v>3</v>
      </c>
    </row>
    <row r="599" spans="2:5" ht="15" customHeight="1" x14ac:dyDescent="0.3">
      <c r="C599" s="3"/>
      <c r="D599" s="8">
        <v>2017</v>
      </c>
      <c r="E599" s="14">
        <f>Data!R599</f>
        <v>3</v>
      </c>
    </row>
    <row r="600" spans="2:5" ht="15" customHeight="1" x14ac:dyDescent="0.3">
      <c r="C600" s="3"/>
      <c r="D600" s="8">
        <v>2018</v>
      </c>
      <c r="E600" s="14">
        <f>Data!R600</f>
        <v>4</v>
      </c>
    </row>
    <row r="601" spans="2:5" ht="15" customHeight="1" x14ac:dyDescent="0.3">
      <c r="C601" s="3"/>
      <c r="D601" s="8">
        <v>2019</v>
      </c>
      <c r="E601" s="14">
        <f>Data!R601</f>
        <v>4</v>
      </c>
    </row>
    <row r="602" spans="2:5" ht="15" customHeight="1" x14ac:dyDescent="0.3">
      <c r="C602" s="3"/>
      <c r="D602" s="8">
        <v>2020</v>
      </c>
      <c r="E602" s="14">
        <f>Data!R602</f>
        <v>4</v>
      </c>
    </row>
    <row r="603" spans="2:5" ht="15" customHeight="1" x14ac:dyDescent="0.3">
      <c r="C603" s="3"/>
      <c r="D603" s="8">
        <v>2021</v>
      </c>
      <c r="E603" s="14">
        <f>Data!R603</f>
        <v>4</v>
      </c>
    </row>
    <row r="604" spans="2:5" ht="15" customHeight="1" x14ac:dyDescent="0.3">
      <c r="C604" s="3"/>
      <c r="D604" s="8">
        <v>2022</v>
      </c>
      <c r="E604" s="14">
        <f>Data!R604</f>
        <v>4</v>
      </c>
    </row>
    <row r="605" spans="2:5" ht="15" customHeight="1" x14ac:dyDescent="0.3">
      <c r="C605" s="3"/>
      <c r="D605" s="8">
        <v>2023</v>
      </c>
      <c r="E605" s="14">
        <f>Data!R605</f>
        <v>3</v>
      </c>
    </row>
    <row r="606" spans="2:5" ht="15" customHeight="1" x14ac:dyDescent="0.3">
      <c r="C606" s="3"/>
      <c r="D606" s="8">
        <v>2024</v>
      </c>
      <c r="E606" s="14">
        <f>Data!R606</f>
        <v>6</v>
      </c>
    </row>
    <row r="607" spans="2:5" ht="15" customHeight="1" x14ac:dyDescent="0.3">
      <c r="B607" s="8">
        <v>56</v>
      </c>
      <c r="C607" s="3" t="s">
        <v>47</v>
      </c>
      <c r="D607" s="8">
        <v>2014</v>
      </c>
      <c r="E607" s="14">
        <f>Data!R607</f>
        <v>0</v>
      </c>
    </row>
    <row r="608" spans="2:5" ht="15" customHeight="1" x14ac:dyDescent="0.3">
      <c r="C608" s="3"/>
      <c r="D608" s="8">
        <v>2015</v>
      </c>
      <c r="E608" s="14">
        <f>Data!R608</f>
        <v>4</v>
      </c>
    </row>
    <row r="609" spans="2:5" ht="15" customHeight="1" x14ac:dyDescent="0.3">
      <c r="C609" s="3"/>
      <c r="D609" s="8">
        <v>2016</v>
      </c>
      <c r="E609" s="14">
        <f>Data!R609</f>
        <v>4</v>
      </c>
    </row>
    <row r="610" spans="2:5" ht="15" customHeight="1" x14ac:dyDescent="0.3">
      <c r="C610" s="3"/>
      <c r="D610" s="8">
        <v>2017</v>
      </c>
      <c r="E610" s="14">
        <f>Data!R610</f>
        <v>4</v>
      </c>
    </row>
    <row r="611" spans="2:5" ht="15" customHeight="1" x14ac:dyDescent="0.3">
      <c r="C611" s="3"/>
      <c r="D611" s="8">
        <v>2018</v>
      </c>
      <c r="E611" s="14">
        <f>Data!R611</f>
        <v>4</v>
      </c>
    </row>
    <row r="612" spans="2:5" ht="15" customHeight="1" x14ac:dyDescent="0.3">
      <c r="C612" s="3"/>
      <c r="D612" s="8">
        <v>2019</v>
      </c>
      <c r="E612" s="14">
        <f>Data!R612</f>
        <v>4</v>
      </c>
    </row>
    <row r="613" spans="2:5" ht="15" customHeight="1" x14ac:dyDescent="0.3">
      <c r="C613" s="3"/>
      <c r="D613" s="8">
        <v>2020</v>
      </c>
      <c r="E613" s="14">
        <f>Data!R613</f>
        <v>4</v>
      </c>
    </row>
    <row r="614" spans="2:5" ht="15" customHeight="1" x14ac:dyDescent="0.3">
      <c r="C614" s="3"/>
      <c r="D614" s="8">
        <v>2021</v>
      </c>
      <c r="E614" s="14">
        <f>Data!R614</f>
        <v>3</v>
      </c>
    </row>
    <row r="615" spans="2:5" ht="15" customHeight="1" x14ac:dyDescent="0.3">
      <c r="C615" s="3"/>
      <c r="D615" s="8">
        <v>2022</v>
      </c>
      <c r="E615" s="14">
        <f>Data!R615</f>
        <v>4</v>
      </c>
    </row>
    <row r="616" spans="2:5" ht="15" customHeight="1" x14ac:dyDescent="0.3">
      <c r="C616" s="3"/>
      <c r="D616" s="8">
        <v>2023</v>
      </c>
      <c r="E616" s="14">
        <f>Data!R616</f>
        <v>4</v>
      </c>
    </row>
    <row r="617" spans="2:5" ht="15" customHeight="1" x14ac:dyDescent="0.3">
      <c r="C617" s="3"/>
      <c r="D617" s="8">
        <v>2024</v>
      </c>
      <c r="E617" s="14">
        <f>Data!R617</f>
        <v>4</v>
      </c>
    </row>
    <row r="618" spans="2:5" ht="15" customHeight="1" x14ac:dyDescent="0.3">
      <c r="B618" s="8">
        <v>57</v>
      </c>
      <c r="C618" s="3" t="s">
        <v>41</v>
      </c>
      <c r="D618" s="8">
        <v>2014</v>
      </c>
      <c r="E618" s="14">
        <f>Data!R618</f>
        <v>0</v>
      </c>
    </row>
    <row r="619" spans="2:5" ht="15" customHeight="1" x14ac:dyDescent="0.3">
      <c r="C619" s="3"/>
      <c r="D619" s="8">
        <v>2015</v>
      </c>
      <c r="E619" s="14">
        <f>Data!R619</f>
        <v>0</v>
      </c>
    </row>
    <row r="620" spans="2:5" ht="15" customHeight="1" x14ac:dyDescent="0.3">
      <c r="C620" s="3"/>
      <c r="D620" s="8">
        <v>2016</v>
      </c>
      <c r="E620" s="14">
        <f>Data!R620</f>
        <v>0</v>
      </c>
    </row>
    <row r="621" spans="2:5" ht="15" customHeight="1" x14ac:dyDescent="0.3">
      <c r="C621" s="3"/>
      <c r="D621" s="8">
        <v>2017</v>
      </c>
      <c r="E621" s="14">
        <f>Data!R621</f>
        <v>0</v>
      </c>
    </row>
    <row r="622" spans="2:5" ht="15" customHeight="1" x14ac:dyDescent="0.3">
      <c r="C622" s="3"/>
      <c r="D622" s="8">
        <v>2018</v>
      </c>
      <c r="E622" s="14">
        <f>Data!R622</f>
        <v>3</v>
      </c>
    </row>
    <row r="623" spans="2:5" ht="15" customHeight="1" x14ac:dyDescent="0.3">
      <c r="C623" s="3"/>
      <c r="D623" s="8">
        <v>2019</v>
      </c>
      <c r="E623" s="14">
        <f>Data!R623</f>
        <v>3</v>
      </c>
    </row>
    <row r="624" spans="2:5" ht="15" customHeight="1" x14ac:dyDescent="0.3">
      <c r="C624" s="3"/>
      <c r="D624" s="8">
        <v>2020</v>
      </c>
      <c r="E624" s="14">
        <f>Data!R624</f>
        <v>3</v>
      </c>
    </row>
    <row r="625" spans="1:5" ht="15" customHeight="1" x14ac:dyDescent="0.3">
      <c r="C625" s="3"/>
      <c r="D625" s="8">
        <v>2021</v>
      </c>
      <c r="E625" s="14">
        <f>Data!R625</f>
        <v>3</v>
      </c>
    </row>
    <row r="626" spans="1:5" ht="15" customHeight="1" x14ac:dyDescent="0.3">
      <c r="C626" s="3"/>
      <c r="D626" s="8">
        <v>2022</v>
      </c>
      <c r="E626" s="14">
        <f>Data!R626</f>
        <v>3</v>
      </c>
    </row>
    <row r="627" spans="1:5" ht="15" customHeight="1" x14ac:dyDescent="0.3">
      <c r="C627" s="3"/>
      <c r="D627" s="8">
        <v>2023</v>
      </c>
      <c r="E627" s="14">
        <f>Data!R627</f>
        <v>3</v>
      </c>
    </row>
    <row r="628" spans="1:5" ht="15" customHeight="1" x14ac:dyDescent="0.3">
      <c r="C628" s="3"/>
      <c r="D628" s="8">
        <v>2024</v>
      </c>
      <c r="E628" s="14">
        <f>Data!R628</f>
        <v>3</v>
      </c>
    </row>
    <row r="629" spans="1:5" ht="15" customHeight="1" x14ac:dyDescent="0.3">
      <c r="B629" s="8">
        <v>58</v>
      </c>
      <c r="C629" s="4" t="s">
        <v>49</v>
      </c>
      <c r="D629" s="8">
        <v>2014</v>
      </c>
      <c r="E629" s="14">
        <f>Data!R629</f>
        <v>0</v>
      </c>
    </row>
    <row r="630" spans="1:5" ht="15" customHeight="1" x14ac:dyDescent="0.3">
      <c r="C630" s="4"/>
      <c r="D630" s="8">
        <v>2015</v>
      </c>
      <c r="E630" s="14">
        <f>Data!R630</f>
        <v>0</v>
      </c>
    </row>
    <row r="631" spans="1:5" ht="15" customHeight="1" x14ac:dyDescent="0.3">
      <c r="C631" s="4"/>
      <c r="D631" s="8">
        <v>2016</v>
      </c>
      <c r="E631" s="14">
        <f>Data!R631</f>
        <v>0</v>
      </c>
    </row>
    <row r="632" spans="1:5" ht="15" customHeight="1" x14ac:dyDescent="0.3">
      <c r="C632" s="4"/>
      <c r="D632" s="8">
        <v>2017</v>
      </c>
      <c r="E632" s="14">
        <f>Data!R632</f>
        <v>0</v>
      </c>
    </row>
    <row r="633" spans="1:5" ht="15" customHeight="1" x14ac:dyDescent="0.3">
      <c r="C633" s="4"/>
      <c r="D633" s="8">
        <v>2018</v>
      </c>
      <c r="E633" s="14">
        <f>Data!R633</f>
        <v>0</v>
      </c>
    </row>
    <row r="634" spans="1:5" ht="15" customHeight="1" x14ac:dyDescent="0.3">
      <c r="C634" s="4"/>
      <c r="D634" s="8">
        <v>2019</v>
      </c>
      <c r="E634" s="14">
        <f>Data!R634</f>
        <v>0</v>
      </c>
    </row>
    <row r="635" spans="1:5" ht="15" customHeight="1" x14ac:dyDescent="0.3">
      <c r="C635" s="4"/>
      <c r="D635" s="8">
        <v>2020</v>
      </c>
      <c r="E635" s="14">
        <f>Data!R635</f>
        <v>4</v>
      </c>
    </row>
    <row r="636" spans="1:5" ht="15" customHeight="1" x14ac:dyDescent="0.3">
      <c r="C636" s="4"/>
      <c r="D636" s="8">
        <v>2021</v>
      </c>
      <c r="E636" s="14">
        <f>Data!R636</f>
        <v>2</v>
      </c>
    </row>
    <row r="637" spans="1:5" ht="15" customHeight="1" x14ac:dyDescent="0.3">
      <c r="C637" s="4"/>
      <c r="D637" s="8">
        <v>2022</v>
      </c>
      <c r="E637" s="14">
        <f>Data!R637</f>
        <v>4</v>
      </c>
    </row>
    <row r="638" spans="1:5" ht="15" customHeight="1" x14ac:dyDescent="0.3">
      <c r="C638" s="4"/>
      <c r="D638" s="8">
        <v>2023</v>
      </c>
      <c r="E638" s="14">
        <f>Data!R638</f>
        <v>5</v>
      </c>
    </row>
    <row r="639" spans="1:5" ht="15" customHeight="1" x14ac:dyDescent="0.3">
      <c r="C639" s="4"/>
      <c r="D639" s="8">
        <v>2024</v>
      </c>
      <c r="E639" s="14">
        <f>Data!R639</f>
        <v>4</v>
      </c>
    </row>
    <row r="640" spans="1:5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Data!R640</f>
        <v>0</v>
      </c>
    </row>
    <row r="641" spans="2:5" ht="15" customHeight="1" x14ac:dyDescent="0.3">
      <c r="C641" s="2"/>
      <c r="D641" s="8">
        <v>2015</v>
      </c>
      <c r="E641" s="14">
        <f>Data!R641</f>
        <v>0</v>
      </c>
    </row>
    <row r="642" spans="2:5" ht="15" customHeight="1" x14ac:dyDescent="0.3">
      <c r="C642" s="2"/>
      <c r="D642" s="8">
        <v>2016</v>
      </c>
      <c r="E642" s="14">
        <f>Data!R642</f>
        <v>0</v>
      </c>
    </row>
    <row r="643" spans="2:5" ht="15" customHeight="1" x14ac:dyDescent="0.3">
      <c r="C643" s="2"/>
      <c r="D643" s="8">
        <v>2017</v>
      </c>
      <c r="E643" s="14">
        <f>Data!R643</f>
        <v>0</v>
      </c>
    </row>
    <row r="644" spans="2:5" ht="15" customHeight="1" x14ac:dyDescent="0.3">
      <c r="C644" s="2"/>
      <c r="D644" s="8">
        <v>2018</v>
      </c>
      <c r="E644" s="14">
        <f>Data!R644</f>
        <v>0</v>
      </c>
    </row>
    <row r="645" spans="2:5" ht="15" customHeight="1" x14ac:dyDescent="0.3">
      <c r="C645" s="2"/>
      <c r="D645" s="8">
        <v>2019</v>
      </c>
      <c r="E645" s="14">
        <f>Data!R645</f>
        <v>0</v>
      </c>
    </row>
    <row r="646" spans="2:5" ht="15" customHeight="1" x14ac:dyDescent="0.3">
      <c r="C646" s="2"/>
      <c r="D646" s="8">
        <v>2020</v>
      </c>
      <c r="E646" s="14">
        <f>Data!R646</f>
        <v>3</v>
      </c>
    </row>
    <row r="647" spans="2:5" ht="15" customHeight="1" x14ac:dyDescent="0.3">
      <c r="C647" s="2"/>
      <c r="D647" s="8">
        <v>2021</v>
      </c>
      <c r="E647" s="14">
        <f>Data!R647</f>
        <v>3</v>
      </c>
    </row>
    <row r="648" spans="2:5" ht="15" customHeight="1" x14ac:dyDescent="0.3">
      <c r="C648" s="2"/>
      <c r="D648" s="8">
        <v>2022</v>
      </c>
      <c r="E648" s="14">
        <f>Data!R648</f>
        <v>3</v>
      </c>
    </row>
    <row r="649" spans="2:5" ht="15" customHeight="1" x14ac:dyDescent="0.3">
      <c r="C649" s="2"/>
      <c r="D649" s="8">
        <v>2023</v>
      </c>
      <c r="E649" s="14">
        <f>Data!R649</f>
        <v>4</v>
      </c>
    </row>
    <row r="650" spans="2:5" ht="15" customHeight="1" x14ac:dyDescent="0.3">
      <c r="C650" s="2"/>
      <c r="D650" s="8">
        <v>2024</v>
      </c>
      <c r="E650" s="14">
        <f>Data!R650</f>
        <v>4</v>
      </c>
    </row>
    <row r="651" spans="2:5" ht="15" customHeight="1" x14ac:dyDescent="0.3">
      <c r="B651" s="8">
        <v>60</v>
      </c>
      <c r="C651" s="2" t="s">
        <v>63</v>
      </c>
      <c r="D651" s="8">
        <v>2014</v>
      </c>
      <c r="E651" s="14">
        <f>Data!R651</f>
        <v>0</v>
      </c>
    </row>
    <row r="652" spans="2:5" ht="15" customHeight="1" x14ac:dyDescent="0.3">
      <c r="C652" s="2"/>
      <c r="D652" s="8">
        <v>2015</v>
      </c>
      <c r="E652" s="14">
        <f>Data!R652</f>
        <v>0</v>
      </c>
    </row>
    <row r="653" spans="2:5" ht="15" customHeight="1" x14ac:dyDescent="0.3">
      <c r="C653" s="2"/>
      <c r="D653" s="8">
        <v>2016</v>
      </c>
      <c r="E653" s="14">
        <f>Data!R653</f>
        <v>0</v>
      </c>
    </row>
    <row r="654" spans="2:5" ht="15" customHeight="1" x14ac:dyDescent="0.3">
      <c r="C654" s="2"/>
      <c r="D654" s="8">
        <v>2017</v>
      </c>
      <c r="E654" s="14">
        <f>Data!R654</f>
        <v>0</v>
      </c>
    </row>
    <row r="655" spans="2:5" ht="15" customHeight="1" x14ac:dyDescent="0.3">
      <c r="C655" s="2"/>
      <c r="D655" s="8">
        <v>2018</v>
      </c>
      <c r="E655" s="14">
        <f>Data!R655</f>
        <v>0</v>
      </c>
    </row>
    <row r="656" spans="2:5" ht="15" customHeight="1" x14ac:dyDescent="0.3">
      <c r="C656" s="2"/>
      <c r="D656" s="8">
        <v>2019</v>
      </c>
      <c r="E656" s="14">
        <f>Data!R656</f>
        <v>0</v>
      </c>
    </row>
    <row r="657" spans="2:5" ht="15" customHeight="1" x14ac:dyDescent="0.3">
      <c r="C657" s="2"/>
      <c r="D657" s="8">
        <v>2020</v>
      </c>
      <c r="E657" s="14">
        <f>Data!R657</f>
        <v>0</v>
      </c>
    </row>
    <row r="658" spans="2:5" ht="15" customHeight="1" x14ac:dyDescent="0.3">
      <c r="C658" s="2"/>
      <c r="D658" s="8">
        <v>2021</v>
      </c>
      <c r="E658" s="14">
        <f>Data!R658</f>
        <v>4</v>
      </c>
    </row>
    <row r="659" spans="2:5" ht="15" customHeight="1" x14ac:dyDescent="0.3">
      <c r="C659" s="2"/>
      <c r="D659" s="8">
        <v>2022</v>
      </c>
      <c r="E659" s="14">
        <f>Data!R659</f>
        <v>4</v>
      </c>
    </row>
    <row r="660" spans="2:5" ht="15" customHeight="1" x14ac:dyDescent="0.3">
      <c r="C660" s="2"/>
      <c r="D660" s="8">
        <v>2023</v>
      </c>
      <c r="E660" s="14">
        <f>Data!R660</f>
        <v>4</v>
      </c>
    </row>
    <row r="661" spans="2:5" ht="15" customHeight="1" x14ac:dyDescent="0.3">
      <c r="C661" s="2"/>
      <c r="D661" s="8">
        <v>2024</v>
      </c>
      <c r="E661" s="14">
        <f>Data!R661</f>
        <v>4</v>
      </c>
    </row>
    <row r="662" spans="2:5" ht="15" customHeight="1" x14ac:dyDescent="0.3">
      <c r="B662" s="8">
        <v>61</v>
      </c>
      <c r="C662" s="2" t="s">
        <v>61</v>
      </c>
      <c r="D662" s="8">
        <v>2014</v>
      </c>
      <c r="E662" s="14">
        <f>Data!R662</f>
        <v>0</v>
      </c>
    </row>
    <row r="663" spans="2:5" ht="15" customHeight="1" x14ac:dyDescent="0.3">
      <c r="C663" s="2"/>
      <c r="D663" s="8">
        <v>2015</v>
      </c>
      <c r="E663" s="14">
        <f>Data!R663</f>
        <v>5</v>
      </c>
    </row>
    <row r="664" spans="2:5" ht="15" customHeight="1" x14ac:dyDescent="0.3">
      <c r="C664" s="2"/>
      <c r="D664" s="8">
        <v>2016</v>
      </c>
      <c r="E664" s="14">
        <f>Data!R664</f>
        <v>5</v>
      </c>
    </row>
    <row r="665" spans="2:5" ht="15" customHeight="1" x14ac:dyDescent="0.3">
      <c r="C665" s="2"/>
      <c r="D665" s="8">
        <v>2017</v>
      </c>
      <c r="E665" s="14">
        <f>Data!R665</f>
        <v>4</v>
      </c>
    </row>
    <row r="666" spans="2:5" ht="15" customHeight="1" x14ac:dyDescent="0.3">
      <c r="C666" s="2"/>
      <c r="D666" s="8">
        <v>2018</v>
      </c>
      <c r="E666" s="14">
        <f>Data!R666</f>
        <v>5</v>
      </c>
    </row>
    <row r="667" spans="2:5" ht="15" customHeight="1" x14ac:dyDescent="0.3">
      <c r="C667" s="2"/>
      <c r="D667" s="8">
        <v>2019</v>
      </c>
      <c r="E667" s="14">
        <f>Data!R667</f>
        <v>4</v>
      </c>
    </row>
    <row r="668" spans="2:5" ht="15" customHeight="1" x14ac:dyDescent="0.3">
      <c r="C668" s="2"/>
      <c r="D668" s="8">
        <v>2020</v>
      </c>
      <c r="E668" s="14">
        <f>Data!R668</f>
        <v>4</v>
      </c>
    </row>
    <row r="669" spans="2:5" ht="15" customHeight="1" x14ac:dyDescent="0.3">
      <c r="C669" s="2"/>
      <c r="D669" s="8">
        <v>2021</v>
      </c>
      <c r="E669" s="14">
        <f>Data!R669</f>
        <v>5</v>
      </c>
    </row>
    <row r="670" spans="2:5" ht="15" customHeight="1" x14ac:dyDescent="0.3">
      <c r="C670" s="2"/>
      <c r="D670" s="8">
        <v>2022</v>
      </c>
      <c r="E670" s="14">
        <f>Data!R670</f>
        <v>4</v>
      </c>
    </row>
    <row r="671" spans="2:5" ht="15" customHeight="1" x14ac:dyDescent="0.3">
      <c r="C671" s="2"/>
      <c r="D671" s="8">
        <v>2023</v>
      </c>
      <c r="E671" s="14">
        <f>Data!R671</f>
        <v>3</v>
      </c>
    </row>
    <row r="672" spans="2:5" ht="15" customHeight="1" x14ac:dyDescent="0.3">
      <c r="C672" s="2"/>
      <c r="D672" s="8">
        <v>2024</v>
      </c>
      <c r="E672" s="14">
        <f>Data!R672</f>
        <v>3</v>
      </c>
    </row>
    <row r="673" spans="2:5" ht="15" customHeight="1" x14ac:dyDescent="0.3">
      <c r="B673" s="8">
        <v>62</v>
      </c>
      <c r="C673" s="2" t="s">
        <v>62</v>
      </c>
      <c r="D673" s="8">
        <v>2014</v>
      </c>
      <c r="E673" s="14">
        <f>Data!R673</f>
        <v>0</v>
      </c>
    </row>
    <row r="674" spans="2:5" ht="15" customHeight="1" x14ac:dyDescent="0.3">
      <c r="C674" s="2"/>
      <c r="D674" s="8">
        <v>2015</v>
      </c>
      <c r="E674" s="14">
        <f>Data!R674</f>
        <v>0</v>
      </c>
    </row>
    <row r="675" spans="2:5" ht="15" customHeight="1" x14ac:dyDescent="0.3">
      <c r="C675" s="2"/>
      <c r="D675" s="8">
        <v>2016</v>
      </c>
      <c r="E675" s="14">
        <f>Data!R675</f>
        <v>0</v>
      </c>
    </row>
    <row r="676" spans="2:5" ht="15" customHeight="1" x14ac:dyDescent="0.3">
      <c r="C676" s="2"/>
      <c r="D676" s="8">
        <v>2017</v>
      </c>
      <c r="E676" s="14">
        <f>Data!R676</f>
        <v>0</v>
      </c>
    </row>
    <row r="677" spans="2:5" ht="15" customHeight="1" x14ac:dyDescent="0.3">
      <c r="C677" s="2"/>
      <c r="D677" s="8">
        <v>2018</v>
      </c>
      <c r="E677" s="14">
        <f>Data!R677</f>
        <v>0</v>
      </c>
    </row>
    <row r="678" spans="2:5" ht="15" customHeight="1" x14ac:dyDescent="0.3">
      <c r="C678" s="2"/>
      <c r="D678" s="8">
        <v>2019</v>
      </c>
      <c r="E678" s="14">
        <f>Data!R678</f>
        <v>4</v>
      </c>
    </row>
    <row r="679" spans="2:5" ht="15" customHeight="1" x14ac:dyDescent="0.3">
      <c r="C679" s="2"/>
      <c r="D679" s="8">
        <v>2020</v>
      </c>
      <c r="E679" s="14">
        <f>Data!R679</f>
        <v>4</v>
      </c>
    </row>
    <row r="680" spans="2:5" ht="15" customHeight="1" x14ac:dyDescent="0.3">
      <c r="C680" s="2"/>
      <c r="D680" s="8">
        <v>2021</v>
      </c>
      <c r="E680" s="14">
        <f>Data!R680</f>
        <v>4</v>
      </c>
    </row>
    <row r="681" spans="2:5" ht="15" customHeight="1" x14ac:dyDescent="0.3">
      <c r="C681" s="2"/>
      <c r="D681" s="8">
        <v>2022</v>
      </c>
      <c r="E681" s="14">
        <f>Data!R681</f>
        <v>4</v>
      </c>
    </row>
    <row r="682" spans="2:5" ht="15" customHeight="1" x14ac:dyDescent="0.3">
      <c r="C682" s="2"/>
      <c r="D682" s="8">
        <v>2023</v>
      </c>
      <c r="E682" s="14">
        <f>Data!R682</f>
        <v>4</v>
      </c>
    </row>
    <row r="683" spans="2:5" ht="15" customHeight="1" x14ac:dyDescent="0.3">
      <c r="C683" s="2"/>
      <c r="D683" s="8">
        <v>2024</v>
      </c>
      <c r="E683" s="14">
        <f>Data!R683</f>
        <v>4</v>
      </c>
    </row>
    <row r="684" spans="2:5" ht="15" customHeight="1" x14ac:dyDescent="0.3">
      <c r="B684" s="8">
        <v>63</v>
      </c>
      <c r="C684" s="2" t="s">
        <v>60</v>
      </c>
      <c r="D684" s="8">
        <v>2014</v>
      </c>
      <c r="E684" s="14">
        <f>Data!R684</f>
        <v>0</v>
      </c>
    </row>
    <row r="685" spans="2:5" ht="15" customHeight="1" x14ac:dyDescent="0.3">
      <c r="C685" s="2"/>
      <c r="D685" s="8">
        <v>2015</v>
      </c>
      <c r="E685" s="14">
        <f>Data!R685</f>
        <v>4</v>
      </c>
    </row>
    <row r="686" spans="2:5" ht="15" customHeight="1" x14ac:dyDescent="0.3">
      <c r="C686" s="2"/>
      <c r="D686" s="8">
        <v>2016</v>
      </c>
      <c r="E686" s="14">
        <f>Data!R686</f>
        <v>4</v>
      </c>
    </row>
    <row r="687" spans="2:5" ht="15" customHeight="1" x14ac:dyDescent="0.3">
      <c r="C687" s="2"/>
      <c r="D687" s="8">
        <v>2017</v>
      </c>
      <c r="E687" s="14">
        <f>Data!R687</f>
        <v>4</v>
      </c>
    </row>
    <row r="688" spans="2:5" ht="15" customHeight="1" x14ac:dyDescent="0.3">
      <c r="C688" s="2"/>
      <c r="D688" s="8">
        <v>2018</v>
      </c>
      <c r="E688" s="14">
        <f>Data!R688</f>
        <v>4</v>
      </c>
    </row>
    <row r="689" spans="2:5" ht="15" customHeight="1" x14ac:dyDescent="0.3">
      <c r="C689" s="2"/>
      <c r="D689" s="8">
        <v>2019</v>
      </c>
      <c r="E689" s="14">
        <f>Data!R689</f>
        <v>2</v>
      </c>
    </row>
    <row r="690" spans="2:5" ht="15" customHeight="1" x14ac:dyDescent="0.3">
      <c r="C690" s="2"/>
      <c r="D690" s="8">
        <v>2020</v>
      </c>
      <c r="E690" s="14">
        <f>Data!R690</f>
        <v>3</v>
      </c>
    </row>
    <row r="691" spans="2:5" ht="15" customHeight="1" x14ac:dyDescent="0.3">
      <c r="C691" s="2"/>
      <c r="D691" s="8">
        <v>2021</v>
      </c>
      <c r="E691" s="14">
        <f>Data!R691</f>
        <v>3</v>
      </c>
    </row>
    <row r="692" spans="2:5" ht="15" customHeight="1" x14ac:dyDescent="0.3">
      <c r="C692" s="2"/>
      <c r="D692" s="8">
        <v>2022</v>
      </c>
      <c r="E692" s="14">
        <f>Data!R692</f>
        <v>3</v>
      </c>
    </row>
    <row r="693" spans="2:5" ht="15" customHeight="1" x14ac:dyDescent="0.3">
      <c r="C693" s="2"/>
      <c r="D693" s="8">
        <v>2023</v>
      </c>
      <c r="E693" s="14">
        <f>Data!R693</f>
        <v>3</v>
      </c>
    </row>
    <row r="694" spans="2:5" ht="15" customHeight="1" x14ac:dyDescent="0.3">
      <c r="C694" s="2"/>
      <c r="D694" s="8">
        <v>2024</v>
      </c>
      <c r="E694" s="14">
        <f>Data!R694</f>
        <v>3</v>
      </c>
    </row>
    <row r="695" spans="2:5" ht="15" customHeight="1" x14ac:dyDescent="0.3">
      <c r="B695" s="8">
        <v>64</v>
      </c>
      <c r="C695" s="1" t="s">
        <v>131</v>
      </c>
      <c r="D695" s="8">
        <v>2014</v>
      </c>
      <c r="E695" s="14">
        <f>Data!R695</f>
        <v>0</v>
      </c>
    </row>
    <row r="696" spans="2:5" ht="15" customHeight="1" x14ac:dyDescent="0.3">
      <c r="C696" s="1"/>
      <c r="D696" s="8">
        <v>2015</v>
      </c>
      <c r="E696" s="14">
        <f>Data!R696</f>
        <v>0</v>
      </c>
    </row>
    <row r="697" spans="2:5" ht="15" customHeight="1" x14ac:dyDescent="0.3">
      <c r="C697" s="1"/>
      <c r="D697" s="8">
        <v>2016</v>
      </c>
      <c r="E697" s="14">
        <f>Data!R697</f>
        <v>0</v>
      </c>
    </row>
    <row r="698" spans="2:5" ht="15" customHeight="1" x14ac:dyDescent="0.3">
      <c r="C698" s="1"/>
      <c r="D698" s="8">
        <v>2017</v>
      </c>
      <c r="E698" s="14">
        <f>Data!R698</f>
        <v>3</v>
      </c>
    </row>
    <row r="699" spans="2:5" ht="15" customHeight="1" x14ac:dyDescent="0.3">
      <c r="C699" s="1"/>
      <c r="D699" s="8">
        <v>2018</v>
      </c>
      <c r="E699" s="14">
        <f>Data!R699</f>
        <v>3</v>
      </c>
    </row>
    <row r="700" spans="2:5" ht="15" customHeight="1" x14ac:dyDescent="0.3">
      <c r="C700" s="1"/>
      <c r="D700" s="8">
        <v>2019</v>
      </c>
      <c r="E700" s="14">
        <f>Data!R700</f>
        <v>3</v>
      </c>
    </row>
    <row r="701" spans="2:5" ht="15" customHeight="1" x14ac:dyDescent="0.3">
      <c r="C701" s="1"/>
      <c r="D701" s="8">
        <v>2020</v>
      </c>
      <c r="E701" s="14">
        <f>Data!R701</f>
        <v>4</v>
      </c>
    </row>
    <row r="702" spans="2:5" ht="15" customHeight="1" x14ac:dyDescent="0.3">
      <c r="C702" s="1"/>
      <c r="D702" s="8">
        <v>2021</v>
      </c>
      <c r="E702" s="14">
        <f>Data!R702</f>
        <v>4</v>
      </c>
    </row>
    <row r="703" spans="2:5" ht="15" customHeight="1" x14ac:dyDescent="0.3">
      <c r="C703" s="1"/>
      <c r="D703" s="8">
        <v>2022</v>
      </c>
      <c r="E703" s="14">
        <f>Data!R703</f>
        <v>4</v>
      </c>
    </row>
    <row r="704" spans="2:5" ht="15" customHeight="1" x14ac:dyDescent="0.3">
      <c r="C704" s="1"/>
      <c r="D704" s="8">
        <v>2023</v>
      </c>
      <c r="E704" s="14">
        <f>Data!R704</f>
        <v>3</v>
      </c>
    </row>
    <row r="705" spans="2:5" ht="15" customHeight="1" x14ac:dyDescent="0.3">
      <c r="C705" s="1"/>
      <c r="D705" s="8">
        <v>2024</v>
      </c>
      <c r="E705" s="14">
        <f>Data!R705</f>
        <v>3</v>
      </c>
    </row>
    <row r="706" spans="2:5" ht="15" customHeight="1" x14ac:dyDescent="0.3">
      <c r="B706" s="8">
        <v>65</v>
      </c>
      <c r="C706" s="2" t="s">
        <v>64</v>
      </c>
      <c r="D706" s="8">
        <v>2014</v>
      </c>
      <c r="E706" s="14">
        <f>Data!R706</f>
        <v>0</v>
      </c>
    </row>
    <row r="707" spans="2:5" ht="15" customHeight="1" x14ac:dyDescent="0.3">
      <c r="C707" s="2"/>
      <c r="D707" s="8">
        <v>2015</v>
      </c>
      <c r="E707" s="14">
        <f>Data!R707</f>
        <v>0</v>
      </c>
    </row>
    <row r="708" spans="2:5" ht="15" customHeight="1" x14ac:dyDescent="0.3">
      <c r="C708" s="2"/>
      <c r="D708" s="8">
        <v>2016</v>
      </c>
      <c r="E708" s="14">
        <f>Data!R708</f>
        <v>0</v>
      </c>
    </row>
    <row r="709" spans="2:5" ht="15" customHeight="1" x14ac:dyDescent="0.3">
      <c r="C709" s="2"/>
      <c r="D709" s="8">
        <v>2017</v>
      </c>
      <c r="E709" s="14">
        <f>Data!R709</f>
        <v>0</v>
      </c>
    </row>
    <row r="710" spans="2:5" ht="15" customHeight="1" x14ac:dyDescent="0.3">
      <c r="C710" s="2"/>
      <c r="D710" s="8">
        <v>2018</v>
      </c>
      <c r="E710" s="14">
        <f>Data!R710</f>
        <v>0</v>
      </c>
    </row>
    <row r="711" spans="2:5" ht="15" customHeight="1" x14ac:dyDescent="0.3">
      <c r="C711" s="2"/>
      <c r="D711" s="8">
        <v>2019</v>
      </c>
      <c r="E711" s="14">
        <f>Data!R711</f>
        <v>0</v>
      </c>
    </row>
    <row r="712" spans="2:5" ht="15" customHeight="1" x14ac:dyDescent="0.3">
      <c r="C712" s="2"/>
      <c r="D712" s="8">
        <v>2020</v>
      </c>
      <c r="E712" s="14">
        <f>Data!R712</f>
        <v>0</v>
      </c>
    </row>
    <row r="713" spans="2:5" ht="15" customHeight="1" x14ac:dyDescent="0.3">
      <c r="C713" s="2"/>
      <c r="D713" s="8">
        <v>2021</v>
      </c>
      <c r="E713" s="14">
        <f>Data!R713</f>
        <v>0</v>
      </c>
    </row>
    <row r="714" spans="2:5" ht="15" customHeight="1" x14ac:dyDescent="0.3">
      <c r="C714" s="2"/>
      <c r="D714" s="8">
        <v>2022</v>
      </c>
      <c r="E714" s="14">
        <f>Data!R714</f>
        <v>0</v>
      </c>
    </row>
    <row r="715" spans="2:5" ht="15" customHeight="1" x14ac:dyDescent="0.3">
      <c r="C715" s="2"/>
      <c r="D715" s="8">
        <v>2023</v>
      </c>
      <c r="E715" s="14">
        <f>Data!R715</f>
        <v>4</v>
      </c>
    </row>
    <row r="716" spans="2:5" ht="15" customHeight="1" x14ac:dyDescent="0.3">
      <c r="C716" s="2"/>
      <c r="D716" s="8">
        <v>2024</v>
      </c>
      <c r="E716" s="14">
        <f>Data!R716</f>
        <v>4</v>
      </c>
    </row>
    <row r="717" spans="2:5" ht="15" customHeight="1" x14ac:dyDescent="0.3">
      <c r="B717" s="8">
        <v>66</v>
      </c>
      <c r="C717" s="2" t="s">
        <v>67</v>
      </c>
      <c r="D717" s="8">
        <v>2014</v>
      </c>
      <c r="E717" s="14">
        <f>Data!R717</f>
        <v>0</v>
      </c>
    </row>
    <row r="718" spans="2:5" ht="15" customHeight="1" x14ac:dyDescent="0.3">
      <c r="C718" s="2"/>
      <c r="D718" s="8">
        <v>2015</v>
      </c>
      <c r="E718" s="14">
        <f>Data!R718</f>
        <v>4</v>
      </c>
    </row>
    <row r="719" spans="2:5" ht="15" customHeight="1" x14ac:dyDescent="0.3">
      <c r="C719" s="2"/>
      <c r="D719" s="8">
        <v>2016</v>
      </c>
      <c r="E719" s="14">
        <f>Data!R719</f>
        <v>5</v>
      </c>
    </row>
    <row r="720" spans="2:5" ht="15" customHeight="1" x14ac:dyDescent="0.3">
      <c r="C720" s="2"/>
      <c r="D720" s="8">
        <v>2017</v>
      </c>
      <c r="E720" s="14">
        <f>Data!R720</f>
        <v>5</v>
      </c>
    </row>
    <row r="721" spans="2:5" ht="15" customHeight="1" x14ac:dyDescent="0.3">
      <c r="C721" s="2"/>
      <c r="D721" s="8">
        <v>2018</v>
      </c>
      <c r="E721" s="14">
        <f>Data!R721</f>
        <v>5</v>
      </c>
    </row>
    <row r="722" spans="2:5" ht="15" customHeight="1" x14ac:dyDescent="0.3">
      <c r="C722" s="2"/>
      <c r="D722" s="8">
        <v>2019</v>
      </c>
      <c r="E722" s="14">
        <f>Data!R722</f>
        <v>5</v>
      </c>
    </row>
    <row r="723" spans="2:5" ht="15" customHeight="1" x14ac:dyDescent="0.3">
      <c r="C723" s="2"/>
      <c r="D723" s="8">
        <v>2020</v>
      </c>
      <c r="E723" s="14">
        <f>Data!R723</f>
        <v>5</v>
      </c>
    </row>
    <row r="724" spans="2:5" ht="15" customHeight="1" x14ac:dyDescent="0.3">
      <c r="C724" s="2"/>
      <c r="D724" s="8">
        <v>2021</v>
      </c>
      <c r="E724" s="14">
        <f>Data!R724</f>
        <v>5</v>
      </c>
    </row>
    <row r="725" spans="2:5" ht="15" customHeight="1" x14ac:dyDescent="0.3">
      <c r="C725" s="2"/>
      <c r="D725" s="8">
        <v>2022</v>
      </c>
      <c r="E725" s="14">
        <f>Data!R725</f>
        <v>4</v>
      </c>
    </row>
    <row r="726" spans="2:5" ht="15" customHeight="1" x14ac:dyDescent="0.3">
      <c r="C726" s="2"/>
      <c r="D726" s="8">
        <v>2023</v>
      </c>
      <c r="E726" s="14">
        <f>Data!R726</f>
        <v>5</v>
      </c>
    </row>
    <row r="727" spans="2:5" ht="15" customHeight="1" x14ac:dyDescent="0.3">
      <c r="C727" s="2"/>
      <c r="D727" s="8">
        <v>2024</v>
      </c>
      <c r="E727" s="14">
        <f>Data!R727</f>
        <v>0</v>
      </c>
    </row>
    <row r="728" spans="2:5" ht="15" customHeight="1" x14ac:dyDescent="0.3">
      <c r="B728" s="8">
        <v>67</v>
      </c>
      <c r="C728" s="2" t="s">
        <v>68</v>
      </c>
      <c r="D728" s="8">
        <v>2014</v>
      </c>
      <c r="E728" s="14">
        <f>Data!R728</f>
        <v>0</v>
      </c>
    </row>
    <row r="729" spans="2:5" ht="15" customHeight="1" x14ac:dyDescent="0.3">
      <c r="C729" s="2"/>
      <c r="D729" s="8">
        <v>2015</v>
      </c>
      <c r="E729" s="14">
        <f>Data!R729</f>
        <v>0</v>
      </c>
    </row>
    <row r="730" spans="2:5" ht="15" customHeight="1" x14ac:dyDescent="0.3">
      <c r="C730" s="2"/>
      <c r="D730" s="8">
        <v>2016</v>
      </c>
      <c r="E730" s="14">
        <f>Data!R730</f>
        <v>4</v>
      </c>
    </row>
    <row r="731" spans="2:5" ht="15" customHeight="1" x14ac:dyDescent="0.3">
      <c r="C731" s="2"/>
      <c r="D731" s="8">
        <v>2017</v>
      </c>
      <c r="E731" s="14">
        <f>Data!R731</f>
        <v>4</v>
      </c>
    </row>
    <row r="732" spans="2:5" ht="15" customHeight="1" x14ac:dyDescent="0.3">
      <c r="C732" s="2"/>
      <c r="D732" s="8">
        <v>2018</v>
      </c>
      <c r="E732" s="14">
        <f>Data!R732</f>
        <v>0</v>
      </c>
    </row>
    <row r="733" spans="2:5" ht="15" customHeight="1" x14ac:dyDescent="0.3">
      <c r="C733" s="2"/>
      <c r="D733" s="8">
        <v>2019</v>
      </c>
      <c r="E733" s="14">
        <f>Data!R733</f>
        <v>4</v>
      </c>
    </row>
    <row r="734" spans="2:5" ht="15" customHeight="1" x14ac:dyDescent="0.3">
      <c r="C734" s="2"/>
      <c r="D734" s="8">
        <v>2020</v>
      </c>
      <c r="E734" s="14">
        <f>Data!R734</f>
        <v>4</v>
      </c>
    </row>
    <row r="735" spans="2:5" ht="15" customHeight="1" x14ac:dyDescent="0.3">
      <c r="C735" s="2"/>
      <c r="D735" s="8">
        <v>2021</v>
      </c>
      <c r="E735" s="14">
        <f>Data!R735</f>
        <v>4</v>
      </c>
    </row>
    <row r="736" spans="2:5" ht="15" customHeight="1" x14ac:dyDescent="0.3">
      <c r="C736" s="2"/>
      <c r="D736" s="8">
        <v>2022</v>
      </c>
      <c r="E736" s="14">
        <f>Data!R736</f>
        <v>4</v>
      </c>
    </row>
    <row r="737" spans="2:5" ht="15" customHeight="1" x14ac:dyDescent="0.3">
      <c r="C737" s="2"/>
      <c r="D737" s="8">
        <v>2023</v>
      </c>
      <c r="E737" s="14">
        <f>Data!R737</f>
        <v>4</v>
      </c>
    </row>
    <row r="738" spans="2:5" ht="15" customHeight="1" x14ac:dyDescent="0.3">
      <c r="C738" s="2"/>
      <c r="D738" s="8">
        <v>2024</v>
      </c>
      <c r="E738" s="14">
        <f>Data!R738</f>
        <v>3</v>
      </c>
    </row>
    <row r="739" spans="2:5" ht="15" customHeight="1" x14ac:dyDescent="0.3">
      <c r="B739" s="8">
        <v>68</v>
      </c>
      <c r="C739" s="2" t="s">
        <v>69</v>
      </c>
      <c r="D739" s="8">
        <v>2014</v>
      </c>
      <c r="E739" s="14">
        <f>Data!R739</f>
        <v>0</v>
      </c>
    </row>
    <row r="740" spans="2:5" ht="15" customHeight="1" x14ac:dyDescent="0.3">
      <c r="C740" s="2"/>
      <c r="D740" s="8">
        <v>2015</v>
      </c>
      <c r="E740" s="14">
        <f>Data!R740</f>
        <v>4</v>
      </c>
    </row>
    <row r="741" spans="2:5" ht="15" customHeight="1" x14ac:dyDescent="0.3">
      <c r="C741" s="2"/>
      <c r="D741" s="8">
        <v>2016</v>
      </c>
      <c r="E741" s="14">
        <f>Data!R741</f>
        <v>4</v>
      </c>
    </row>
    <row r="742" spans="2:5" ht="15" customHeight="1" x14ac:dyDescent="0.3">
      <c r="C742" s="2"/>
      <c r="D742" s="8">
        <v>2017</v>
      </c>
      <c r="E742" s="14">
        <f>Data!R742</f>
        <v>5</v>
      </c>
    </row>
    <row r="743" spans="2:5" ht="15" customHeight="1" x14ac:dyDescent="0.3">
      <c r="C743" s="2"/>
      <c r="D743" s="8">
        <v>2018</v>
      </c>
      <c r="E743" s="14">
        <f>Data!R743</f>
        <v>4</v>
      </c>
    </row>
    <row r="744" spans="2:5" ht="15" customHeight="1" x14ac:dyDescent="0.3">
      <c r="C744" s="2"/>
      <c r="D744" s="8">
        <v>2019</v>
      </c>
      <c r="E744" s="14">
        <f>Data!R744</f>
        <v>4</v>
      </c>
    </row>
    <row r="745" spans="2:5" ht="15" customHeight="1" x14ac:dyDescent="0.3">
      <c r="C745" s="2"/>
      <c r="D745" s="8">
        <v>2020</v>
      </c>
      <c r="E745" s="14">
        <f>Data!R745</f>
        <v>4</v>
      </c>
    </row>
    <row r="746" spans="2:5" ht="15" customHeight="1" x14ac:dyDescent="0.3">
      <c r="C746" s="2"/>
      <c r="D746" s="8">
        <v>2021</v>
      </c>
      <c r="E746" s="14">
        <f>Data!R746</f>
        <v>4</v>
      </c>
    </row>
    <row r="747" spans="2:5" ht="15" customHeight="1" x14ac:dyDescent="0.3">
      <c r="C747" s="2"/>
      <c r="D747" s="8">
        <v>2022</v>
      </c>
      <c r="E747" s="14">
        <f>Data!R747</f>
        <v>4</v>
      </c>
    </row>
    <row r="748" spans="2:5" ht="15" customHeight="1" x14ac:dyDescent="0.3">
      <c r="C748" s="2"/>
      <c r="D748" s="8">
        <v>2023</v>
      </c>
      <c r="E748" s="14">
        <f>Data!R748</f>
        <v>4</v>
      </c>
    </row>
    <row r="749" spans="2:5" ht="15" customHeight="1" x14ac:dyDescent="0.3">
      <c r="C749" s="2"/>
      <c r="D749" s="8">
        <v>2024</v>
      </c>
      <c r="E749" s="14">
        <f>Data!R749</f>
        <v>4</v>
      </c>
    </row>
    <row r="750" spans="2:5" ht="15" customHeight="1" x14ac:dyDescent="0.3">
      <c r="B750" s="8">
        <v>69</v>
      </c>
      <c r="C750" s="2" t="s">
        <v>70</v>
      </c>
      <c r="D750" s="8">
        <v>2014</v>
      </c>
      <c r="E750" s="14">
        <f>Data!R750</f>
        <v>0</v>
      </c>
    </row>
    <row r="751" spans="2:5" ht="15" customHeight="1" x14ac:dyDescent="0.3">
      <c r="C751" s="2"/>
      <c r="D751" s="8">
        <v>2015</v>
      </c>
      <c r="E751" s="14">
        <f>Data!R751</f>
        <v>0</v>
      </c>
    </row>
    <row r="752" spans="2:5" ht="15" customHeight="1" x14ac:dyDescent="0.3">
      <c r="C752" s="2"/>
      <c r="D752" s="8">
        <v>2016</v>
      </c>
      <c r="E752" s="14">
        <f>Data!R752</f>
        <v>0</v>
      </c>
    </row>
    <row r="753" spans="2:5" ht="15" customHeight="1" x14ac:dyDescent="0.3">
      <c r="C753" s="2"/>
      <c r="D753" s="8">
        <v>2017</v>
      </c>
      <c r="E753" s="14">
        <f>Data!R753</f>
        <v>0</v>
      </c>
    </row>
    <row r="754" spans="2:5" ht="15" customHeight="1" x14ac:dyDescent="0.3">
      <c r="C754" s="2"/>
      <c r="D754" s="8">
        <v>2018</v>
      </c>
      <c r="E754" s="14">
        <f>Data!R754</f>
        <v>3</v>
      </c>
    </row>
    <row r="755" spans="2:5" ht="15" customHeight="1" x14ac:dyDescent="0.3">
      <c r="C755" s="2"/>
      <c r="D755" s="8">
        <v>2019</v>
      </c>
      <c r="E755" s="14">
        <f>Data!R755</f>
        <v>3</v>
      </c>
    </row>
    <row r="756" spans="2:5" ht="15" customHeight="1" x14ac:dyDescent="0.3">
      <c r="C756" s="2"/>
      <c r="D756" s="8">
        <v>2020</v>
      </c>
      <c r="E756" s="14">
        <f>Data!R756</f>
        <v>3</v>
      </c>
    </row>
    <row r="757" spans="2:5" ht="15" customHeight="1" x14ac:dyDescent="0.3">
      <c r="C757" s="2"/>
      <c r="D757" s="8">
        <v>2021</v>
      </c>
      <c r="E757" s="14">
        <f>Data!R757</f>
        <v>3</v>
      </c>
    </row>
    <row r="758" spans="2:5" ht="15" customHeight="1" x14ac:dyDescent="0.3">
      <c r="C758" s="2"/>
      <c r="D758" s="8">
        <v>2022</v>
      </c>
      <c r="E758" s="14">
        <f>Data!R758</f>
        <v>3</v>
      </c>
    </row>
    <row r="759" spans="2:5" ht="15" customHeight="1" x14ac:dyDescent="0.3">
      <c r="C759" s="2"/>
      <c r="D759" s="8">
        <v>2023</v>
      </c>
      <c r="E759" s="14">
        <f>Data!R759</f>
        <v>3</v>
      </c>
    </row>
    <row r="760" spans="2:5" ht="15" customHeight="1" x14ac:dyDescent="0.3">
      <c r="C760" s="2"/>
      <c r="D760" s="8">
        <v>2024</v>
      </c>
      <c r="E760" s="14">
        <f>Data!R760</f>
        <v>3</v>
      </c>
    </row>
    <row r="761" spans="2:5" ht="15" customHeight="1" x14ac:dyDescent="0.3">
      <c r="B761" s="8">
        <v>70</v>
      </c>
      <c r="C761" s="2" t="s">
        <v>71</v>
      </c>
      <c r="D761" s="8">
        <v>2014</v>
      </c>
      <c r="E761" s="14">
        <f>Data!R761</f>
        <v>0</v>
      </c>
    </row>
    <row r="762" spans="2:5" ht="15" customHeight="1" x14ac:dyDescent="0.3">
      <c r="C762" s="2"/>
      <c r="D762" s="8">
        <v>2015</v>
      </c>
      <c r="E762" s="14">
        <f>Data!R762</f>
        <v>4</v>
      </c>
    </row>
    <row r="763" spans="2:5" ht="15" customHeight="1" x14ac:dyDescent="0.3">
      <c r="C763" s="2"/>
      <c r="D763" s="8">
        <v>2016</v>
      </c>
      <c r="E763" s="14">
        <f>Data!R763</f>
        <v>6</v>
      </c>
    </row>
    <row r="764" spans="2:5" ht="15" customHeight="1" x14ac:dyDescent="0.3">
      <c r="C764" s="2"/>
      <c r="D764" s="8">
        <v>2017</v>
      </c>
      <c r="E764" s="14">
        <f>Data!R764</f>
        <v>6</v>
      </c>
    </row>
    <row r="765" spans="2:5" ht="15" customHeight="1" x14ac:dyDescent="0.3">
      <c r="C765" s="2"/>
      <c r="D765" s="8">
        <v>2018</v>
      </c>
      <c r="E765" s="14">
        <f>Data!R765</f>
        <v>7</v>
      </c>
    </row>
    <row r="766" spans="2:5" ht="15" customHeight="1" x14ac:dyDescent="0.3">
      <c r="C766" s="2"/>
      <c r="D766" s="8">
        <v>2019</v>
      </c>
      <c r="E766" s="14">
        <f>Data!R766</f>
        <v>5</v>
      </c>
    </row>
    <row r="767" spans="2:5" ht="15" customHeight="1" x14ac:dyDescent="0.3">
      <c r="C767" s="2"/>
      <c r="D767" s="8">
        <v>2020</v>
      </c>
      <c r="E767" s="14">
        <f>Data!R767</f>
        <v>5</v>
      </c>
    </row>
    <row r="768" spans="2:5" ht="15" customHeight="1" x14ac:dyDescent="0.3">
      <c r="C768" s="2"/>
      <c r="D768" s="8">
        <v>2021</v>
      </c>
      <c r="E768" s="14">
        <f>Data!R768</f>
        <v>5</v>
      </c>
    </row>
    <row r="769" spans="2:5" ht="15" customHeight="1" x14ac:dyDescent="0.3">
      <c r="C769" s="2"/>
      <c r="D769" s="8">
        <v>2022</v>
      </c>
      <c r="E769" s="14">
        <f>Data!R769</f>
        <v>5</v>
      </c>
    </row>
    <row r="770" spans="2:5" ht="15" customHeight="1" x14ac:dyDescent="0.3">
      <c r="C770" s="2"/>
      <c r="D770" s="8">
        <v>2023</v>
      </c>
      <c r="E770" s="14">
        <f>Data!R770</f>
        <v>5</v>
      </c>
    </row>
    <row r="771" spans="2:5" ht="15" customHeight="1" x14ac:dyDescent="0.3">
      <c r="C771" s="2"/>
      <c r="D771" s="8">
        <v>2024</v>
      </c>
      <c r="E771" s="14">
        <f>Data!R771</f>
        <v>4</v>
      </c>
    </row>
    <row r="772" spans="2:5" ht="15" customHeight="1" x14ac:dyDescent="0.3">
      <c r="B772" s="8">
        <v>71</v>
      </c>
      <c r="C772" s="2" t="s">
        <v>73</v>
      </c>
      <c r="D772" s="8">
        <v>2014</v>
      </c>
      <c r="E772" s="14">
        <f>Data!R772</f>
        <v>0</v>
      </c>
    </row>
    <row r="773" spans="2:5" ht="15" customHeight="1" x14ac:dyDescent="0.3">
      <c r="C773" s="2"/>
      <c r="D773" s="8">
        <v>2015</v>
      </c>
      <c r="E773" s="14">
        <f>Data!R773</f>
        <v>4</v>
      </c>
    </row>
    <row r="774" spans="2:5" ht="15" customHeight="1" x14ac:dyDescent="0.3">
      <c r="C774" s="2"/>
      <c r="D774" s="8">
        <v>2016</v>
      </c>
      <c r="E774" s="14">
        <f>Data!R774</f>
        <v>4</v>
      </c>
    </row>
    <row r="775" spans="2:5" ht="15" customHeight="1" x14ac:dyDescent="0.3">
      <c r="C775" s="2"/>
      <c r="D775" s="8">
        <v>2017</v>
      </c>
      <c r="E775" s="14">
        <f>Data!R775</f>
        <v>4</v>
      </c>
    </row>
    <row r="776" spans="2:5" ht="15" customHeight="1" x14ac:dyDescent="0.3">
      <c r="C776" s="2"/>
      <c r="D776" s="8">
        <v>2018</v>
      </c>
      <c r="E776" s="14">
        <f>Data!R776</f>
        <v>4</v>
      </c>
    </row>
    <row r="777" spans="2:5" ht="15" customHeight="1" x14ac:dyDescent="0.3">
      <c r="C777" s="2"/>
      <c r="D777" s="8">
        <v>2019</v>
      </c>
      <c r="E777" s="14">
        <f>Data!R777</f>
        <v>4</v>
      </c>
    </row>
    <row r="778" spans="2:5" ht="15" customHeight="1" x14ac:dyDescent="0.3">
      <c r="C778" s="2"/>
      <c r="D778" s="8">
        <v>2020</v>
      </c>
      <c r="E778" s="14">
        <f>Data!R778</f>
        <v>4</v>
      </c>
    </row>
    <row r="779" spans="2:5" ht="15" customHeight="1" x14ac:dyDescent="0.3">
      <c r="C779" s="2"/>
      <c r="D779" s="8">
        <v>2021</v>
      </c>
      <c r="E779" s="14">
        <f>Data!R779</f>
        <v>4</v>
      </c>
    </row>
    <row r="780" spans="2:5" ht="15" customHeight="1" x14ac:dyDescent="0.3">
      <c r="C780" s="2"/>
      <c r="D780" s="8">
        <v>2022</v>
      </c>
      <c r="E780" s="14">
        <f>Data!R780</f>
        <v>4</v>
      </c>
    </row>
    <row r="781" spans="2:5" ht="15" customHeight="1" x14ac:dyDescent="0.3">
      <c r="C781" s="2"/>
      <c r="D781" s="8">
        <v>2023</v>
      </c>
      <c r="E781" s="14">
        <f>Data!R781</f>
        <v>4</v>
      </c>
    </row>
    <row r="782" spans="2:5" ht="15" customHeight="1" x14ac:dyDescent="0.3">
      <c r="C782" s="2"/>
      <c r="D782" s="8">
        <v>2024</v>
      </c>
      <c r="E782" s="14">
        <f>Data!R782</f>
        <v>4</v>
      </c>
    </row>
    <row r="783" spans="2:5" ht="15" customHeight="1" x14ac:dyDescent="0.3">
      <c r="B783" s="8">
        <v>72</v>
      </c>
      <c r="C783" s="2" t="s">
        <v>75</v>
      </c>
      <c r="D783" s="8">
        <v>2014</v>
      </c>
      <c r="E783" s="14">
        <f>Data!R783</f>
        <v>0</v>
      </c>
    </row>
    <row r="784" spans="2:5" ht="15" customHeight="1" x14ac:dyDescent="0.3">
      <c r="C784" s="2"/>
      <c r="D784" s="8">
        <v>2015</v>
      </c>
      <c r="E784" s="14">
        <f>Data!R784</f>
        <v>4</v>
      </c>
    </row>
    <row r="785" spans="2:5" ht="15" customHeight="1" x14ac:dyDescent="0.3">
      <c r="C785" s="2"/>
      <c r="D785" s="8">
        <v>2016</v>
      </c>
      <c r="E785" s="14">
        <f>Data!R785</f>
        <v>4</v>
      </c>
    </row>
    <row r="786" spans="2:5" ht="15" customHeight="1" x14ac:dyDescent="0.3">
      <c r="C786" s="2"/>
      <c r="D786" s="8">
        <v>2017</v>
      </c>
      <c r="E786" s="14">
        <f>Data!R786</f>
        <v>4</v>
      </c>
    </row>
    <row r="787" spans="2:5" ht="15" customHeight="1" x14ac:dyDescent="0.3">
      <c r="C787" s="2"/>
      <c r="D787" s="8">
        <v>2018</v>
      </c>
      <c r="E787" s="14">
        <f>Data!R787</f>
        <v>4</v>
      </c>
    </row>
    <row r="788" spans="2:5" ht="15" customHeight="1" x14ac:dyDescent="0.3">
      <c r="C788" s="2"/>
      <c r="D788" s="8">
        <v>2019</v>
      </c>
      <c r="E788" s="14">
        <f>Data!R788</f>
        <v>4</v>
      </c>
    </row>
    <row r="789" spans="2:5" ht="15" customHeight="1" x14ac:dyDescent="0.3">
      <c r="C789" s="2"/>
      <c r="D789" s="8">
        <v>2020</v>
      </c>
      <c r="E789" s="14">
        <f>Data!R789</f>
        <v>4</v>
      </c>
    </row>
    <row r="790" spans="2:5" ht="15" customHeight="1" x14ac:dyDescent="0.3">
      <c r="C790" s="2"/>
      <c r="D790" s="8">
        <v>2021</v>
      </c>
      <c r="E790" s="14">
        <f>Data!R790</f>
        <v>4</v>
      </c>
    </row>
    <row r="791" spans="2:5" ht="15" customHeight="1" x14ac:dyDescent="0.3">
      <c r="C791" s="2"/>
      <c r="D791" s="8">
        <v>2022</v>
      </c>
      <c r="E791" s="14">
        <f>Data!R791</f>
        <v>4</v>
      </c>
    </row>
    <row r="792" spans="2:5" ht="15" customHeight="1" x14ac:dyDescent="0.3">
      <c r="C792" s="2"/>
      <c r="D792" s="8">
        <v>2023</v>
      </c>
      <c r="E792" s="14">
        <f>Data!R792</f>
        <v>4</v>
      </c>
    </row>
    <row r="793" spans="2:5" ht="15" customHeight="1" x14ac:dyDescent="0.3">
      <c r="C793" s="2"/>
      <c r="D793" s="8">
        <v>2024</v>
      </c>
      <c r="E793" s="14">
        <f>Data!R793</f>
        <v>3</v>
      </c>
    </row>
    <row r="794" spans="2:5" ht="15" customHeight="1" x14ac:dyDescent="0.3">
      <c r="B794" s="8">
        <v>73</v>
      </c>
      <c r="C794" s="2" t="s">
        <v>96</v>
      </c>
      <c r="D794" s="8">
        <v>2014</v>
      </c>
      <c r="E794" s="14">
        <f>Data!R794</f>
        <v>0</v>
      </c>
    </row>
    <row r="795" spans="2:5" ht="15" customHeight="1" x14ac:dyDescent="0.3">
      <c r="C795" s="2"/>
      <c r="D795" s="8">
        <v>2015</v>
      </c>
      <c r="E795" s="14">
        <f>Data!R795</f>
        <v>0</v>
      </c>
    </row>
    <row r="796" spans="2:5" ht="15" customHeight="1" x14ac:dyDescent="0.3">
      <c r="C796" s="2"/>
      <c r="D796" s="8">
        <v>2016</v>
      </c>
      <c r="E796" s="14">
        <f>Data!R796</f>
        <v>0</v>
      </c>
    </row>
    <row r="797" spans="2:5" ht="15" customHeight="1" x14ac:dyDescent="0.3">
      <c r="C797" s="2"/>
      <c r="D797" s="8">
        <v>2017</v>
      </c>
      <c r="E797" s="14">
        <f>Data!R797</f>
        <v>0</v>
      </c>
    </row>
    <row r="798" spans="2:5" ht="15" customHeight="1" x14ac:dyDescent="0.3">
      <c r="C798" s="2"/>
      <c r="D798" s="8">
        <v>2018</v>
      </c>
      <c r="E798" s="14">
        <f>Data!R798</f>
        <v>0</v>
      </c>
    </row>
    <row r="799" spans="2:5" ht="15" customHeight="1" x14ac:dyDescent="0.3">
      <c r="C799" s="2"/>
      <c r="D799" s="8">
        <v>2019</v>
      </c>
      <c r="E799" s="14">
        <f>Data!R799</f>
        <v>0</v>
      </c>
    </row>
    <row r="800" spans="2:5" ht="15" customHeight="1" x14ac:dyDescent="0.3">
      <c r="C800" s="2"/>
      <c r="D800" s="8">
        <v>2020</v>
      </c>
      <c r="E800" s="14">
        <f>Data!R800</f>
        <v>3</v>
      </c>
    </row>
    <row r="801" spans="2:5" ht="15" customHeight="1" x14ac:dyDescent="0.3">
      <c r="C801" s="2"/>
      <c r="D801" s="8">
        <v>2021</v>
      </c>
      <c r="E801" s="14">
        <f>Data!R801</f>
        <v>3</v>
      </c>
    </row>
    <row r="802" spans="2:5" ht="15" customHeight="1" x14ac:dyDescent="0.3">
      <c r="C802" s="2"/>
      <c r="D802" s="8">
        <v>2022</v>
      </c>
      <c r="E802" s="14">
        <f>Data!R802</f>
        <v>3</v>
      </c>
    </row>
    <row r="803" spans="2:5" ht="15" customHeight="1" x14ac:dyDescent="0.3">
      <c r="C803" s="2"/>
      <c r="D803" s="8">
        <v>2023</v>
      </c>
      <c r="E803" s="14">
        <f>Data!R803</f>
        <v>3</v>
      </c>
    </row>
    <row r="804" spans="2:5" ht="15" customHeight="1" x14ac:dyDescent="0.3">
      <c r="C804" s="2"/>
      <c r="D804" s="8">
        <v>2024</v>
      </c>
      <c r="E804" s="14">
        <f>Data!R804</f>
        <v>3</v>
      </c>
    </row>
    <row r="805" spans="2:5" ht="15" customHeight="1" x14ac:dyDescent="0.3">
      <c r="B805" s="8">
        <v>74</v>
      </c>
      <c r="C805" s="2" t="s">
        <v>76</v>
      </c>
      <c r="D805" s="8">
        <v>2014</v>
      </c>
      <c r="E805" s="14">
        <f>Data!R805</f>
        <v>0</v>
      </c>
    </row>
    <row r="806" spans="2:5" ht="15" customHeight="1" x14ac:dyDescent="0.3">
      <c r="C806" s="2"/>
      <c r="D806" s="8">
        <v>2015</v>
      </c>
      <c r="E806" s="14">
        <f>Data!R806</f>
        <v>5</v>
      </c>
    </row>
    <row r="807" spans="2:5" ht="15" customHeight="1" x14ac:dyDescent="0.3">
      <c r="C807" s="2"/>
      <c r="D807" s="8">
        <v>2016</v>
      </c>
      <c r="E807" s="14">
        <f>Data!R807</f>
        <v>5</v>
      </c>
    </row>
    <row r="808" spans="2:5" ht="15" customHeight="1" x14ac:dyDescent="0.3">
      <c r="C808" s="2"/>
      <c r="D808" s="8">
        <v>2017</v>
      </c>
      <c r="E808" s="14">
        <f>Data!R808</f>
        <v>4</v>
      </c>
    </row>
    <row r="809" spans="2:5" ht="15" customHeight="1" x14ac:dyDescent="0.3">
      <c r="C809" s="2"/>
      <c r="D809" s="8">
        <v>2018</v>
      </c>
      <c r="E809" s="14">
        <f>Data!R809</f>
        <v>5</v>
      </c>
    </row>
    <row r="810" spans="2:5" ht="15" customHeight="1" x14ac:dyDescent="0.3">
      <c r="C810" s="2"/>
      <c r="D810" s="8">
        <v>2019</v>
      </c>
      <c r="E810" s="14">
        <f>Data!R810</f>
        <v>4</v>
      </c>
    </row>
    <row r="811" spans="2:5" ht="15" customHeight="1" x14ac:dyDescent="0.3">
      <c r="C811" s="2"/>
      <c r="D811" s="8">
        <v>2020</v>
      </c>
      <c r="E811" s="14">
        <f>Data!R811</f>
        <v>4</v>
      </c>
    </row>
    <row r="812" spans="2:5" ht="15" customHeight="1" x14ac:dyDescent="0.3">
      <c r="C812" s="2"/>
      <c r="D812" s="8">
        <v>2021</v>
      </c>
      <c r="E812" s="14">
        <f>Data!R812</f>
        <v>4</v>
      </c>
    </row>
    <row r="813" spans="2:5" ht="15" customHeight="1" x14ac:dyDescent="0.3">
      <c r="C813" s="2"/>
      <c r="D813" s="8">
        <v>2022</v>
      </c>
      <c r="E813" s="14">
        <f>Data!R813</f>
        <v>4</v>
      </c>
    </row>
    <row r="814" spans="2:5" ht="15" customHeight="1" x14ac:dyDescent="0.3">
      <c r="C814" s="2"/>
      <c r="D814" s="8">
        <v>2023</v>
      </c>
      <c r="E814" s="14">
        <f>Data!R814</f>
        <v>4</v>
      </c>
    </row>
    <row r="815" spans="2:5" ht="15" customHeight="1" x14ac:dyDescent="0.3">
      <c r="C815" s="2"/>
      <c r="D815" s="8">
        <v>2024</v>
      </c>
      <c r="E815" s="14">
        <f>Data!R815</f>
        <v>4</v>
      </c>
    </row>
    <row r="816" spans="2:5" ht="15" customHeight="1" x14ac:dyDescent="0.3">
      <c r="B816" s="8">
        <v>75</v>
      </c>
      <c r="C816" s="1" t="s">
        <v>130</v>
      </c>
      <c r="D816" s="8">
        <v>2014</v>
      </c>
      <c r="E816" s="14">
        <f>Data!R816</f>
        <v>0</v>
      </c>
    </row>
    <row r="817" spans="2:5" ht="15" customHeight="1" x14ac:dyDescent="0.3">
      <c r="C817" s="1"/>
      <c r="D817" s="8">
        <v>2015</v>
      </c>
      <c r="E817" s="14">
        <f>Data!R817</f>
        <v>0</v>
      </c>
    </row>
    <row r="818" spans="2:5" ht="15" customHeight="1" x14ac:dyDescent="0.3">
      <c r="C818" s="1"/>
      <c r="D818" s="8">
        <v>2016</v>
      </c>
      <c r="E818" s="14">
        <f>Data!R818</f>
        <v>0</v>
      </c>
    </row>
    <row r="819" spans="2:5" ht="15" customHeight="1" x14ac:dyDescent="0.3">
      <c r="C819" s="1"/>
      <c r="D819" s="8">
        <v>2017</v>
      </c>
      <c r="E819" s="14">
        <f>Data!R819</f>
        <v>0</v>
      </c>
    </row>
    <row r="820" spans="2:5" ht="15" customHeight="1" x14ac:dyDescent="0.3">
      <c r="C820" s="1"/>
      <c r="D820" s="8">
        <v>2018</v>
      </c>
      <c r="E820" s="14">
        <f>Data!R820</f>
        <v>0</v>
      </c>
    </row>
    <row r="821" spans="2:5" ht="15" customHeight="1" x14ac:dyDescent="0.3">
      <c r="C821" s="1"/>
      <c r="D821" s="8">
        <v>2019</v>
      </c>
      <c r="E821" s="14">
        <f>Data!R821</f>
        <v>0</v>
      </c>
    </row>
    <row r="822" spans="2:5" ht="15" customHeight="1" x14ac:dyDescent="0.3">
      <c r="C822" s="1"/>
      <c r="D822" s="8">
        <v>2020</v>
      </c>
      <c r="E822" s="14">
        <f>Data!R822</f>
        <v>0</v>
      </c>
    </row>
    <row r="823" spans="2:5" ht="15" customHeight="1" x14ac:dyDescent="0.3">
      <c r="C823" s="1"/>
      <c r="D823" s="8">
        <v>2021</v>
      </c>
      <c r="E823" s="14">
        <f>Data!R823</f>
        <v>0</v>
      </c>
    </row>
    <row r="824" spans="2:5" ht="15" customHeight="1" x14ac:dyDescent="0.3">
      <c r="C824" s="1"/>
      <c r="D824" s="8">
        <v>2022</v>
      </c>
      <c r="E824" s="14">
        <f>Data!R824</f>
        <v>0</v>
      </c>
    </row>
    <row r="825" spans="2:5" ht="15" customHeight="1" x14ac:dyDescent="0.3">
      <c r="C825" s="1"/>
      <c r="D825" s="8">
        <v>2023</v>
      </c>
      <c r="E825" s="14">
        <f>Data!R825</f>
        <v>0</v>
      </c>
    </row>
    <row r="826" spans="2:5" ht="15" customHeight="1" x14ac:dyDescent="0.3">
      <c r="C826" s="1"/>
      <c r="D826" s="8">
        <v>2024</v>
      </c>
      <c r="E826" s="14">
        <f>Data!R826</f>
        <v>0</v>
      </c>
    </row>
    <row r="827" spans="2:5" ht="15" customHeight="1" x14ac:dyDescent="0.3">
      <c r="B827" s="8">
        <v>76</v>
      </c>
      <c r="C827" s="2" t="s">
        <v>79</v>
      </c>
      <c r="D827" s="8">
        <v>2014</v>
      </c>
      <c r="E827" s="14">
        <f>Data!R827</f>
        <v>0</v>
      </c>
    </row>
    <row r="828" spans="2:5" ht="15" customHeight="1" x14ac:dyDescent="0.3">
      <c r="C828" s="2"/>
      <c r="D828" s="8">
        <v>2015</v>
      </c>
      <c r="E828" s="14">
        <f>Data!R828</f>
        <v>0</v>
      </c>
    </row>
    <row r="829" spans="2:5" ht="15" customHeight="1" x14ac:dyDescent="0.3">
      <c r="C829" s="2"/>
      <c r="D829" s="8">
        <v>2016</v>
      </c>
      <c r="E829" s="14">
        <f>Data!R829</f>
        <v>0</v>
      </c>
    </row>
    <row r="830" spans="2:5" ht="15" customHeight="1" x14ac:dyDescent="0.3">
      <c r="C830" s="2"/>
      <c r="D830" s="8">
        <v>2017</v>
      </c>
      <c r="E830" s="14">
        <f>Data!R830</f>
        <v>0</v>
      </c>
    </row>
    <row r="831" spans="2:5" ht="15" customHeight="1" x14ac:dyDescent="0.3">
      <c r="C831" s="2"/>
      <c r="D831" s="8">
        <v>2018</v>
      </c>
      <c r="E831" s="14">
        <f>Data!R831</f>
        <v>0</v>
      </c>
    </row>
    <row r="832" spans="2:5" ht="15" customHeight="1" x14ac:dyDescent="0.3">
      <c r="C832" s="2"/>
      <c r="D832" s="8">
        <v>2019</v>
      </c>
      <c r="E832" s="14">
        <f>Data!R832</f>
        <v>0</v>
      </c>
    </row>
    <row r="833" spans="2:5" ht="15" customHeight="1" x14ac:dyDescent="0.3">
      <c r="C833" s="2"/>
      <c r="D833" s="8">
        <v>2020</v>
      </c>
      <c r="E833" s="14">
        <f>Data!R833</f>
        <v>4</v>
      </c>
    </row>
    <row r="834" spans="2:5" ht="15" customHeight="1" x14ac:dyDescent="0.3">
      <c r="C834" s="2"/>
      <c r="D834" s="8">
        <v>2021</v>
      </c>
      <c r="E834" s="14">
        <f>Data!R834</f>
        <v>4</v>
      </c>
    </row>
    <row r="835" spans="2:5" ht="15" customHeight="1" x14ac:dyDescent="0.3">
      <c r="C835" s="2"/>
      <c r="D835" s="8">
        <v>2022</v>
      </c>
      <c r="E835" s="14">
        <f>Data!R835</f>
        <v>4</v>
      </c>
    </row>
    <row r="836" spans="2:5" ht="15" customHeight="1" x14ac:dyDescent="0.3">
      <c r="C836" s="2"/>
      <c r="D836" s="8">
        <v>2023</v>
      </c>
      <c r="E836" s="14">
        <f>Data!R836</f>
        <v>3</v>
      </c>
    </row>
    <row r="837" spans="2:5" ht="15" customHeight="1" x14ac:dyDescent="0.3">
      <c r="C837" s="2"/>
      <c r="D837" s="8">
        <v>2024</v>
      </c>
      <c r="E837" s="14">
        <f>Data!R837</f>
        <v>4</v>
      </c>
    </row>
    <row r="838" spans="2:5" ht="15" customHeight="1" x14ac:dyDescent="0.3">
      <c r="B838" s="8">
        <v>77</v>
      </c>
      <c r="C838" s="2" t="s">
        <v>119</v>
      </c>
      <c r="D838" s="8">
        <v>2014</v>
      </c>
      <c r="E838" s="14">
        <f>Data!R838</f>
        <v>0</v>
      </c>
    </row>
    <row r="839" spans="2:5" ht="15" customHeight="1" x14ac:dyDescent="0.3">
      <c r="C839" s="2"/>
      <c r="D839" s="8">
        <v>2015</v>
      </c>
      <c r="E839" s="14">
        <f>Data!R839</f>
        <v>0</v>
      </c>
    </row>
    <row r="840" spans="2:5" ht="15" customHeight="1" x14ac:dyDescent="0.3">
      <c r="C840" s="2"/>
      <c r="D840" s="8">
        <v>2016</v>
      </c>
      <c r="E840" s="14">
        <f>Data!R840</f>
        <v>0</v>
      </c>
    </row>
    <row r="841" spans="2:5" ht="15" customHeight="1" x14ac:dyDescent="0.3">
      <c r="C841" s="2"/>
      <c r="D841" s="8">
        <v>2017</v>
      </c>
      <c r="E841" s="14">
        <f>Data!R841</f>
        <v>0</v>
      </c>
    </row>
    <row r="842" spans="2:5" ht="15" customHeight="1" x14ac:dyDescent="0.3">
      <c r="C842" s="2"/>
      <c r="D842" s="8">
        <v>2018</v>
      </c>
      <c r="E842" s="14">
        <f>Data!R842</f>
        <v>0</v>
      </c>
    </row>
    <row r="843" spans="2:5" ht="15" customHeight="1" x14ac:dyDescent="0.3">
      <c r="C843" s="2"/>
      <c r="D843" s="8">
        <v>2019</v>
      </c>
      <c r="E843" s="14">
        <f>Data!R843</f>
        <v>4</v>
      </c>
    </row>
    <row r="844" spans="2:5" ht="15" customHeight="1" x14ac:dyDescent="0.3">
      <c r="C844" s="2"/>
      <c r="D844" s="8">
        <v>2020</v>
      </c>
      <c r="E844" s="14">
        <f>Data!R844</f>
        <v>4</v>
      </c>
    </row>
    <row r="845" spans="2:5" ht="15" customHeight="1" x14ac:dyDescent="0.3">
      <c r="C845" s="2"/>
      <c r="D845" s="8">
        <v>2021</v>
      </c>
      <c r="E845" s="14">
        <f>Data!R845</f>
        <v>3</v>
      </c>
    </row>
    <row r="846" spans="2:5" ht="15" customHeight="1" x14ac:dyDescent="0.3">
      <c r="C846" s="2"/>
      <c r="D846" s="8">
        <v>2022</v>
      </c>
      <c r="E846" s="14">
        <f>Data!R846</f>
        <v>3</v>
      </c>
    </row>
    <row r="847" spans="2:5" ht="15" customHeight="1" x14ac:dyDescent="0.3">
      <c r="C847" s="2"/>
      <c r="D847" s="8">
        <v>2023</v>
      </c>
      <c r="E847" s="14">
        <f>Data!R847</f>
        <v>3</v>
      </c>
    </row>
    <row r="848" spans="2:5" ht="15" customHeight="1" x14ac:dyDescent="0.3">
      <c r="C848" s="2"/>
      <c r="D848" s="8">
        <v>2024</v>
      </c>
      <c r="E848" s="14">
        <f>Data!R848</f>
        <v>3</v>
      </c>
    </row>
    <row r="849" spans="2:5" ht="15" customHeight="1" x14ac:dyDescent="0.3">
      <c r="B849" s="8">
        <v>78</v>
      </c>
      <c r="C849" s="2" t="s">
        <v>80</v>
      </c>
      <c r="D849" s="8">
        <v>2014</v>
      </c>
      <c r="E849" s="14">
        <f>Data!R849</f>
        <v>0</v>
      </c>
    </row>
    <row r="850" spans="2:5" ht="15" customHeight="1" x14ac:dyDescent="0.3">
      <c r="C850" s="2"/>
      <c r="D850" s="8">
        <v>2015</v>
      </c>
      <c r="E850" s="14">
        <f>Data!R850</f>
        <v>0</v>
      </c>
    </row>
    <row r="851" spans="2:5" ht="15" customHeight="1" x14ac:dyDescent="0.3">
      <c r="C851" s="2"/>
      <c r="D851" s="8">
        <v>2016</v>
      </c>
      <c r="E851" s="14">
        <f>Data!R851</f>
        <v>0</v>
      </c>
    </row>
    <row r="852" spans="2:5" ht="15" customHeight="1" x14ac:dyDescent="0.3">
      <c r="C852" s="2"/>
      <c r="D852" s="8">
        <v>2017</v>
      </c>
      <c r="E852" s="14">
        <f>Data!R852</f>
        <v>0</v>
      </c>
    </row>
    <row r="853" spans="2:5" ht="15" customHeight="1" x14ac:dyDescent="0.3">
      <c r="C853" s="2"/>
      <c r="D853" s="8">
        <v>2018</v>
      </c>
      <c r="E853" s="14">
        <f>Data!R853</f>
        <v>3</v>
      </c>
    </row>
    <row r="854" spans="2:5" ht="15" customHeight="1" x14ac:dyDescent="0.3">
      <c r="C854" s="2"/>
      <c r="D854" s="8">
        <v>2019</v>
      </c>
      <c r="E854" s="14">
        <f>Data!R854</f>
        <v>3</v>
      </c>
    </row>
    <row r="855" spans="2:5" ht="15" customHeight="1" x14ac:dyDescent="0.3">
      <c r="C855" s="2"/>
      <c r="D855" s="8">
        <v>2020</v>
      </c>
      <c r="E855" s="14">
        <f>Data!R855</f>
        <v>3</v>
      </c>
    </row>
    <row r="856" spans="2:5" ht="15" customHeight="1" x14ac:dyDescent="0.3">
      <c r="C856" s="2"/>
      <c r="D856" s="8">
        <v>2021</v>
      </c>
      <c r="E856" s="14">
        <f>Data!R856</f>
        <v>3</v>
      </c>
    </row>
    <row r="857" spans="2:5" ht="15" customHeight="1" x14ac:dyDescent="0.3">
      <c r="C857" s="2"/>
      <c r="D857" s="8">
        <v>2022</v>
      </c>
      <c r="E857" s="14">
        <f>Data!R857</f>
        <v>3</v>
      </c>
    </row>
    <row r="858" spans="2:5" ht="15" customHeight="1" x14ac:dyDescent="0.3">
      <c r="C858" s="2"/>
      <c r="D858" s="8">
        <v>2023</v>
      </c>
      <c r="E858" s="14">
        <f>Data!R858</f>
        <v>3</v>
      </c>
    </row>
    <row r="859" spans="2:5" ht="15" customHeight="1" x14ac:dyDescent="0.3">
      <c r="C859" s="2"/>
      <c r="D859" s="8">
        <v>2024</v>
      </c>
      <c r="E859" s="14">
        <f>Data!R859</f>
        <v>3</v>
      </c>
    </row>
    <row r="860" spans="2:5" ht="15" customHeight="1" x14ac:dyDescent="0.3">
      <c r="B860" s="8">
        <v>79</v>
      </c>
      <c r="C860" s="2" t="s">
        <v>97</v>
      </c>
      <c r="D860" s="8">
        <v>2014</v>
      </c>
      <c r="E860" s="14">
        <f>Data!R860</f>
        <v>0</v>
      </c>
    </row>
    <row r="861" spans="2:5" ht="15" customHeight="1" x14ac:dyDescent="0.3">
      <c r="C861" s="2"/>
      <c r="D861" s="8">
        <v>2015</v>
      </c>
      <c r="E861" s="14">
        <f>Data!R861</f>
        <v>3</v>
      </c>
    </row>
    <row r="862" spans="2:5" ht="15" customHeight="1" x14ac:dyDescent="0.3">
      <c r="C862" s="2"/>
      <c r="D862" s="8">
        <v>2016</v>
      </c>
      <c r="E862" s="14">
        <f>Data!R862</f>
        <v>3</v>
      </c>
    </row>
    <row r="863" spans="2:5" ht="15" customHeight="1" x14ac:dyDescent="0.3">
      <c r="C863" s="2"/>
      <c r="D863" s="8">
        <v>2017</v>
      </c>
      <c r="E863" s="14">
        <f>Data!R863</f>
        <v>3</v>
      </c>
    </row>
    <row r="864" spans="2:5" ht="15" customHeight="1" x14ac:dyDescent="0.3">
      <c r="C864" s="2"/>
      <c r="D864" s="8">
        <v>2018</v>
      </c>
      <c r="E864" s="14">
        <f>Data!R864</f>
        <v>7</v>
      </c>
    </row>
    <row r="865" spans="2:5" ht="15" customHeight="1" x14ac:dyDescent="0.3">
      <c r="C865" s="2"/>
      <c r="D865" s="8">
        <v>2019</v>
      </c>
      <c r="E865" s="14">
        <f>Data!R865</f>
        <v>6</v>
      </c>
    </row>
    <row r="866" spans="2:5" ht="15" customHeight="1" x14ac:dyDescent="0.3">
      <c r="C866" s="2"/>
      <c r="D866" s="8">
        <v>2020</v>
      </c>
      <c r="E866" s="14">
        <f>Data!R866</f>
        <v>6</v>
      </c>
    </row>
    <row r="867" spans="2:5" ht="15" customHeight="1" x14ac:dyDescent="0.3">
      <c r="C867" s="2"/>
      <c r="D867" s="8">
        <v>2021</v>
      </c>
      <c r="E867" s="14">
        <f>Data!R867</f>
        <v>5</v>
      </c>
    </row>
    <row r="868" spans="2:5" ht="15" customHeight="1" x14ac:dyDescent="0.3">
      <c r="C868" s="2"/>
      <c r="D868" s="8">
        <v>2022</v>
      </c>
      <c r="E868" s="14">
        <f>Data!R868</f>
        <v>6</v>
      </c>
    </row>
    <row r="869" spans="2:5" ht="15" customHeight="1" x14ac:dyDescent="0.3">
      <c r="C869" s="2"/>
      <c r="D869" s="8">
        <v>2023</v>
      </c>
      <c r="E869" s="14">
        <f>Data!R869</f>
        <v>6</v>
      </c>
    </row>
    <row r="870" spans="2:5" ht="15" customHeight="1" x14ac:dyDescent="0.3">
      <c r="C870" s="2"/>
      <c r="D870" s="8">
        <v>2024</v>
      </c>
      <c r="E870" s="14">
        <f>Data!R870</f>
        <v>5</v>
      </c>
    </row>
    <row r="871" spans="2:5" ht="15" customHeight="1" x14ac:dyDescent="0.3">
      <c r="B871" s="8">
        <v>80</v>
      </c>
      <c r="C871" s="2" t="s">
        <v>81</v>
      </c>
      <c r="D871" s="8">
        <v>2014</v>
      </c>
      <c r="E871" s="14">
        <f>Data!R871</f>
        <v>0</v>
      </c>
    </row>
    <row r="872" spans="2:5" ht="15" customHeight="1" x14ac:dyDescent="0.3">
      <c r="C872" s="2"/>
      <c r="D872" s="8">
        <v>2015</v>
      </c>
      <c r="E872" s="14">
        <f>Data!R872</f>
        <v>3</v>
      </c>
    </row>
    <row r="873" spans="2:5" ht="15" customHeight="1" x14ac:dyDescent="0.3">
      <c r="C873" s="2"/>
      <c r="D873" s="8">
        <v>2016</v>
      </c>
      <c r="E873" s="14">
        <f>Data!R873</f>
        <v>3</v>
      </c>
    </row>
    <row r="874" spans="2:5" ht="15" customHeight="1" x14ac:dyDescent="0.3">
      <c r="C874" s="2"/>
      <c r="D874" s="8">
        <v>2017</v>
      </c>
      <c r="E874" s="14">
        <f>Data!R874</f>
        <v>3</v>
      </c>
    </row>
    <row r="875" spans="2:5" ht="15" customHeight="1" x14ac:dyDescent="0.3">
      <c r="C875" s="2"/>
      <c r="D875" s="8">
        <v>2018</v>
      </c>
      <c r="E875" s="14">
        <f>Data!R875</f>
        <v>3</v>
      </c>
    </row>
    <row r="876" spans="2:5" ht="15" customHeight="1" x14ac:dyDescent="0.3">
      <c r="C876" s="2"/>
      <c r="D876" s="8">
        <v>2019</v>
      </c>
      <c r="E876" s="14">
        <f>Data!R876</f>
        <v>3</v>
      </c>
    </row>
    <row r="877" spans="2:5" ht="15" customHeight="1" x14ac:dyDescent="0.3">
      <c r="C877" s="2"/>
      <c r="D877" s="8">
        <v>2020</v>
      </c>
      <c r="E877" s="14">
        <f>Data!R877</f>
        <v>2</v>
      </c>
    </row>
    <row r="878" spans="2:5" ht="15" customHeight="1" x14ac:dyDescent="0.3">
      <c r="C878" s="2"/>
      <c r="D878" s="8">
        <v>2021</v>
      </c>
      <c r="E878" s="14">
        <f>Data!R878</f>
        <v>3</v>
      </c>
    </row>
    <row r="879" spans="2:5" ht="15" customHeight="1" x14ac:dyDescent="0.3">
      <c r="C879" s="2"/>
      <c r="D879" s="8">
        <v>2022</v>
      </c>
      <c r="E879" s="14">
        <f>Data!R879</f>
        <v>2</v>
      </c>
    </row>
    <row r="880" spans="2:5" ht="15" customHeight="1" x14ac:dyDescent="0.3">
      <c r="C880" s="2"/>
      <c r="D880" s="8">
        <v>2023</v>
      </c>
      <c r="E880" s="14">
        <f>Data!R880</f>
        <v>1</v>
      </c>
    </row>
    <row r="881" spans="2:5" ht="15" customHeight="1" x14ac:dyDescent="0.3">
      <c r="C881" s="2"/>
      <c r="D881" s="8">
        <v>2024</v>
      </c>
      <c r="E881" s="14">
        <f>Data!R881</f>
        <v>3</v>
      </c>
    </row>
    <row r="882" spans="2:5" ht="15" customHeight="1" x14ac:dyDescent="0.3">
      <c r="B882" s="8">
        <v>81</v>
      </c>
      <c r="C882" s="2" t="s">
        <v>82</v>
      </c>
      <c r="D882" s="8">
        <v>2014</v>
      </c>
      <c r="E882" s="14">
        <f>Data!R882</f>
        <v>0</v>
      </c>
    </row>
    <row r="883" spans="2:5" ht="15" customHeight="1" x14ac:dyDescent="0.3">
      <c r="C883" s="2"/>
      <c r="D883" s="8">
        <v>2015</v>
      </c>
      <c r="E883" s="14">
        <f>Data!R883</f>
        <v>0</v>
      </c>
    </row>
    <row r="884" spans="2:5" ht="15" customHeight="1" x14ac:dyDescent="0.3">
      <c r="C884" s="2"/>
      <c r="D884" s="8">
        <v>2016</v>
      </c>
      <c r="E884" s="14">
        <f>Data!R884</f>
        <v>0</v>
      </c>
    </row>
    <row r="885" spans="2:5" ht="15" customHeight="1" x14ac:dyDescent="0.3">
      <c r="C885" s="2"/>
      <c r="D885" s="8">
        <v>2017</v>
      </c>
      <c r="E885" s="14">
        <f>Data!R885</f>
        <v>0</v>
      </c>
    </row>
    <row r="886" spans="2:5" ht="15" customHeight="1" x14ac:dyDescent="0.3">
      <c r="C886" s="2"/>
      <c r="D886" s="8">
        <v>2018</v>
      </c>
      <c r="E886" s="14">
        <f>Data!R886</f>
        <v>0</v>
      </c>
    </row>
    <row r="887" spans="2:5" ht="15" customHeight="1" x14ac:dyDescent="0.3">
      <c r="C887" s="2"/>
      <c r="D887" s="8">
        <v>2019</v>
      </c>
      <c r="E887" s="14">
        <f>Data!R887</f>
        <v>4</v>
      </c>
    </row>
    <row r="888" spans="2:5" ht="15" customHeight="1" x14ac:dyDescent="0.3">
      <c r="C888" s="2"/>
      <c r="D888" s="8">
        <v>2020</v>
      </c>
      <c r="E888" s="14">
        <f>Data!R888</f>
        <v>4</v>
      </c>
    </row>
    <row r="889" spans="2:5" ht="15" customHeight="1" x14ac:dyDescent="0.3">
      <c r="C889" s="2"/>
      <c r="D889" s="8">
        <v>2021</v>
      </c>
      <c r="E889" s="14">
        <f>Data!R889</f>
        <v>4</v>
      </c>
    </row>
    <row r="890" spans="2:5" ht="15" customHeight="1" x14ac:dyDescent="0.3">
      <c r="C890" s="2"/>
      <c r="D890" s="8">
        <v>2022</v>
      </c>
      <c r="E890" s="14">
        <f>Data!R890</f>
        <v>4</v>
      </c>
    </row>
    <row r="891" spans="2:5" ht="15" customHeight="1" x14ac:dyDescent="0.3">
      <c r="C891" s="2"/>
      <c r="D891" s="8">
        <v>2023</v>
      </c>
      <c r="E891" s="14">
        <f>Data!R891</f>
        <v>3</v>
      </c>
    </row>
    <row r="892" spans="2:5" ht="15" customHeight="1" x14ac:dyDescent="0.3">
      <c r="C892" s="2"/>
      <c r="D892" s="8">
        <v>2024</v>
      </c>
      <c r="E892" s="14">
        <f>Data!R892</f>
        <v>3</v>
      </c>
    </row>
    <row r="893" spans="2:5" ht="15" customHeight="1" x14ac:dyDescent="0.3">
      <c r="B893" s="8">
        <v>82</v>
      </c>
      <c r="C893" s="2" t="s">
        <v>83</v>
      </c>
      <c r="D893" s="8">
        <v>2014</v>
      </c>
      <c r="E893" s="14">
        <f>Data!R893</f>
        <v>0</v>
      </c>
    </row>
    <row r="894" spans="2:5" ht="15" customHeight="1" x14ac:dyDescent="0.3">
      <c r="C894" s="2"/>
      <c r="D894" s="8">
        <v>2015</v>
      </c>
      <c r="E894" s="14">
        <f>Data!R894</f>
        <v>0</v>
      </c>
    </row>
    <row r="895" spans="2:5" ht="15" customHeight="1" x14ac:dyDescent="0.3">
      <c r="C895" s="2"/>
      <c r="D895" s="8">
        <v>2016</v>
      </c>
      <c r="E895" s="14">
        <f>Data!R895</f>
        <v>0</v>
      </c>
    </row>
    <row r="896" spans="2:5" ht="15" customHeight="1" x14ac:dyDescent="0.3">
      <c r="C896" s="2"/>
      <c r="D896" s="8">
        <v>2017</v>
      </c>
      <c r="E896" s="14">
        <f>Data!R896</f>
        <v>0</v>
      </c>
    </row>
    <row r="897" spans="2:5" ht="15" customHeight="1" x14ac:dyDescent="0.3">
      <c r="C897" s="2"/>
      <c r="D897" s="8">
        <v>2018</v>
      </c>
      <c r="E897" s="14">
        <f>Data!R897</f>
        <v>0</v>
      </c>
    </row>
    <row r="898" spans="2:5" ht="15" customHeight="1" x14ac:dyDescent="0.3">
      <c r="C898" s="2"/>
      <c r="D898" s="8">
        <v>2019</v>
      </c>
      <c r="E898" s="14">
        <f>Data!R898</f>
        <v>0</v>
      </c>
    </row>
    <row r="899" spans="2:5" ht="15" customHeight="1" x14ac:dyDescent="0.3">
      <c r="C899" s="2"/>
      <c r="D899" s="8">
        <v>2020</v>
      </c>
      <c r="E899" s="14">
        <f>Data!R899</f>
        <v>0</v>
      </c>
    </row>
    <row r="900" spans="2:5" ht="15" customHeight="1" x14ac:dyDescent="0.3">
      <c r="C900" s="2"/>
      <c r="D900" s="8">
        <v>2021</v>
      </c>
      <c r="E900" s="14">
        <f>Data!R900</f>
        <v>3</v>
      </c>
    </row>
    <row r="901" spans="2:5" ht="15" customHeight="1" x14ac:dyDescent="0.3">
      <c r="C901" s="2"/>
      <c r="D901" s="8">
        <v>2022</v>
      </c>
      <c r="E901" s="14">
        <f>Data!R901</f>
        <v>3</v>
      </c>
    </row>
    <row r="902" spans="2:5" ht="15" customHeight="1" x14ac:dyDescent="0.3">
      <c r="C902" s="2"/>
      <c r="D902" s="8">
        <v>2023</v>
      </c>
      <c r="E902" s="14">
        <f>Data!R902</f>
        <v>3</v>
      </c>
    </row>
    <row r="903" spans="2:5" ht="15" customHeight="1" x14ac:dyDescent="0.3">
      <c r="C903" s="2"/>
      <c r="D903" s="8">
        <v>2024</v>
      </c>
      <c r="E903" s="14">
        <f>Data!R903</f>
        <v>3</v>
      </c>
    </row>
    <row r="904" spans="2:5" ht="15" customHeight="1" x14ac:dyDescent="0.3">
      <c r="B904" s="8">
        <v>83</v>
      </c>
      <c r="C904" s="2" t="s">
        <v>98</v>
      </c>
      <c r="D904" s="8">
        <v>2014</v>
      </c>
      <c r="E904" s="14">
        <f>Data!R904</f>
        <v>0</v>
      </c>
    </row>
    <row r="905" spans="2:5" ht="15" customHeight="1" x14ac:dyDescent="0.3">
      <c r="C905" s="2"/>
      <c r="D905" s="8">
        <v>2015</v>
      </c>
      <c r="E905" s="14">
        <f>Data!R905</f>
        <v>5</v>
      </c>
    </row>
    <row r="906" spans="2:5" ht="15" customHeight="1" x14ac:dyDescent="0.3">
      <c r="C906" s="2"/>
      <c r="D906" s="8">
        <v>2016</v>
      </c>
      <c r="E906" s="14">
        <f>Data!R906</f>
        <v>4</v>
      </c>
    </row>
    <row r="907" spans="2:5" ht="15" customHeight="1" x14ac:dyDescent="0.3">
      <c r="C907" s="2"/>
      <c r="D907" s="8">
        <v>2017</v>
      </c>
      <c r="E907" s="14">
        <f>Data!R907</f>
        <v>4</v>
      </c>
    </row>
    <row r="908" spans="2:5" ht="15" customHeight="1" x14ac:dyDescent="0.3">
      <c r="C908" s="2"/>
      <c r="D908" s="8">
        <v>2018</v>
      </c>
      <c r="E908" s="14">
        <f>Data!R908</f>
        <v>4</v>
      </c>
    </row>
    <row r="909" spans="2:5" ht="15" customHeight="1" x14ac:dyDescent="0.3">
      <c r="C909" s="2"/>
      <c r="D909" s="8">
        <v>2019</v>
      </c>
      <c r="E909" s="14">
        <f>Data!R909</f>
        <v>5</v>
      </c>
    </row>
    <row r="910" spans="2:5" ht="15" customHeight="1" x14ac:dyDescent="0.3">
      <c r="C910" s="2"/>
      <c r="D910" s="8">
        <v>2020</v>
      </c>
      <c r="E910" s="14">
        <f>Data!R910</f>
        <v>5</v>
      </c>
    </row>
    <row r="911" spans="2:5" ht="15" customHeight="1" x14ac:dyDescent="0.3">
      <c r="C911" s="2"/>
      <c r="D911" s="8">
        <v>2021</v>
      </c>
      <c r="E911" s="14">
        <f>Data!R911</f>
        <v>5</v>
      </c>
    </row>
    <row r="912" spans="2:5" ht="15" customHeight="1" x14ac:dyDescent="0.3">
      <c r="C912" s="2"/>
      <c r="D912" s="8">
        <v>2022</v>
      </c>
      <c r="E912" s="14">
        <f>Data!R912</f>
        <v>5</v>
      </c>
    </row>
    <row r="913" spans="2:5" ht="15" customHeight="1" x14ac:dyDescent="0.3">
      <c r="C913" s="2"/>
      <c r="D913" s="8">
        <v>2023</v>
      </c>
      <c r="E913" s="14">
        <f>Data!R913</f>
        <v>3</v>
      </c>
    </row>
    <row r="914" spans="2:5" ht="15" customHeight="1" x14ac:dyDescent="0.3">
      <c r="C914" s="2"/>
      <c r="D914" s="8">
        <v>2024</v>
      </c>
      <c r="E914" s="14">
        <f>Data!R914</f>
        <v>2</v>
      </c>
    </row>
    <row r="915" spans="2:5" ht="15" customHeight="1" x14ac:dyDescent="0.3">
      <c r="B915" s="8">
        <v>84</v>
      </c>
      <c r="C915" s="2" t="s">
        <v>84</v>
      </c>
      <c r="D915" s="8">
        <v>2014</v>
      </c>
      <c r="E915" s="14">
        <f>Data!R915</f>
        <v>0</v>
      </c>
    </row>
    <row r="916" spans="2:5" ht="15" customHeight="1" x14ac:dyDescent="0.3">
      <c r="C916" s="2"/>
      <c r="D916" s="8">
        <v>2015</v>
      </c>
      <c r="E916" s="14">
        <f>Data!R916</f>
        <v>3</v>
      </c>
    </row>
    <row r="917" spans="2:5" ht="15" customHeight="1" x14ac:dyDescent="0.3">
      <c r="C917" s="2"/>
      <c r="D917" s="8">
        <v>2016</v>
      </c>
      <c r="E917" s="14">
        <f>Data!R917</f>
        <v>3</v>
      </c>
    </row>
    <row r="918" spans="2:5" ht="15" customHeight="1" x14ac:dyDescent="0.3">
      <c r="C918" s="2"/>
      <c r="D918" s="8">
        <v>2017</v>
      </c>
      <c r="E918" s="14">
        <f>Data!R918</f>
        <v>3</v>
      </c>
    </row>
    <row r="919" spans="2:5" ht="15" customHeight="1" x14ac:dyDescent="0.3">
      <c r="C919" s="2"/>
      <c r="D919" s="8">
        <v>2018</v>
      </c>
      <c r="E919" s="14">
        <f>Data!R919</f>
        <v>3</v>
      </c>
    </row>
    <row r="920" spans="2:5" ht="15" customHeight="1" x14ac:dyDescent="0.3">
      <c r="C920" s="2"/>
      <c r="D920" s="8">
        <v>2019</v>
      </c>
      <c r="E920" s="14">
        <f>Data!R920</f>
        <v>4</v>
      </c>
    </row>
    <row r="921" spans="2:5" ht="15" customHeight="1" x14ac:dyDescent="0.3">
      <c r="C921" s="2"/>
      <c r="D921" s="8">
        <v>2020</v>
      </c>
      <c r="E921" s="14">
        <f>Data!R921</f>
        <v>4</v>
      </c>
    </row>
    <row r="922" spans="2:5" ht="15" customHeight="1" x14ac:dyDescent="0.3">
      <c r="C922" s="2"/>
      <c r="D922" s="8">
        <v>2021</v>
      </c>
      <c r="E922" s="14">
        <f>Data!R922</f>
        <v>4</v>
      </c>
    </row>
    <row r="923" spans="2:5" ht="15" customHeight="1" x14ac:dyDescent="0.3">
      <c r="C923" s="2"/>
      <c r="D923" s="8">
        <v>2022</v>
      </c>
      <c r="E923" s="14">
        <f>Data!R923</f>
        <v>4</v>
      </c>
    </row>
    <row r="924" spans="2:5" ht="15" customHeight="1" x14ac:dyDescent="0.3">
      <c r="C924" s="2"/>
      <c r="D924" s="8">
        <v>2023</v>
      </c>
      <c r="E924" s="14">
        <f>Data!R924</f>
        <v>4</v>
      </c>
    </row>
    <row r="925" spans="2:5" ht="15" customHeight="1" x14ac:dyDescent="0.3">
      <c r="C925" s="2"/>
      <c r="D925" s="8">
        <v>2024</v>
      </c>
      <c r="E925" s="14">
        <f>Data!R925</f>
        <v>4</v>
      </c>
    </row>
    <row r="926" spans="2:5" ht="15" customHeight="1" x14ac:dyDescent="0.3">
      <c r="B926" s="8">
        <v>85</v>
      </c>
      <c r="C926" s="2" t="s">
        <v>99</v>
      </c>
      <c r="D926" s="8">
        <v>2014</v>
      </c>
      <c r="E926" s="14">
        <f>Data!R926</f>
        <v>0</v>
      </c>
    </row>
    <row r="927" spans="2:5" ht="15" customHeight="1" x14ac:dyDescent="0.3">
      <c r="C927" s="2"/>
      <c r="D927" s="8">
        <v>2015</v>
      </c>
      <c r="E927" s="14">
        <f>Data!R927</f>
        <v>4</v>
      </c>
    </row>
    <row r="928" spans="2:5" ht="15" customHeight="1" x14ac:dyDescent="0.3">
      <c r="C928" s="2"/>
      <c r="D928" s="8">
        <v>2016</v>
      </c>
      <c r="E928" s="14">
        <f>Data!R928</f>
        <v>4</v>
      </c>
    </row>
    <row r="929" spans="2:5" ht="15" customHeight="1" x14ac:dyDescent="0.3">
      <c r="C929" s="2"/>
      <c r="D929" s="8">
        <v>2017</v>
      </c>
      <c r="E929" s="14">
        <f>Data!R929</f>
        <v>3</v>
      </c>
    </row>
    <row r="930" spans="2:5" ht="15" customHeight="1" x14ac:dyDescent="0.3">
      <c r="C930" s="2"/>
      <c r="D930" s="8">
        <v>2018</v>
      </c>
      <c r="E930" s="14">
        <f>Data!R930</f>
        <v>3</v>
      </c>
    </row>
    <row r="931" spans="2:5" ht="15" customHeight="1" x14ac:dyDescent="0.3">
      <c r="C931" s="2"/>
      <c r="D931" s="8">
        <v>2019</v>
      </c>
      <c r="E931" s="14">
        <f>Data!R931</f>
        <v>3</v>
      </c>
    </row>
    <row r="932" spans="2:5" ht="15" customHeight="1" x14ac:dyDescent="0.3">
      <c r="C932" s="2"/>
      <c r="D932" s="8">
        <v>2020</v>
      </c>
      <c r="E932" s="14">
        <f>Data!R932</f>
        <v>4</v>
      </c>
    </row>
    <row r="933" spans="2:5" ht="15" customHeight="1" x14ac:dyDescent="0.3">
      <c r="C933" s="2"/>
      <c r="D933" s="8">
        <v>2021</v>
      </c>
      <c r="E933" s="14">
        <f>Data!R933</f>
        <v>4</v>
      </c>
    </row>
    <row r="934" spans="2:5" ht="15" customHeight="1" x14ac:dyDescent="0.3">
      <c r="C934" s="2"/>
      <c r="D934" s="8">
        <v>2022</v>
      </c>
      <c r="E934" s="14">
        <f>Data!R934</f>
        <v>4</v>
      </c>
    </row>
    <row r="935" spans="2:5" ht="15" customHeight="1" x14ac:dyDescent="0.3">
      <c r="C935" s="2"/>
      <c r="D935" s="8">
        <v>2023</v>
      </c>
      <c r="E935" s="14">
        <f>Data!R935</f>
        <v>3</v>
      </c>
    </row>
    <row r="936" spans="2:5" ht="15" customHeight="1" x14ac:dyDescent="0.3">
      <c r="C936" s="2"/>
      <c r="D936" s="8">
        <v>2024</v>
      </c>
      <c r="E936" s="14">
        <f>Data!R936</f>
        <v>4</v>
      </c>
    </row>
    <row r="937" spans="2:5" ht="15" customHeight="1" x14ac:dyDescent="0.3">
      <c r="B937" s="8">
        <v>86</v>
      </c>
      <c r="C937" s="1" t="s">
        <v>132</v>
      </c>
      <c r="D937" s="8">
        <v>2014</v>
      </c>
      <c r="E937" s="14">
        <f>Data!R937</f>
        <v>0</v>
      </c>
    </row>
    <row r="938" spans="2:5" ht="15" customHeight="1" x14ac:dyDescent="0.3">
      <c r="C938" s="1"/>
      <c r="D938" s="8">
        <v>2015</v>
      </c>
      <c r="E938" s="14">
        <f>Data!R938</f>
        <v>0</v>
      </c>
    </row>
    <row r="939" spans="2:5" ht="15" customHeight="1" x14ac:dyDescent="0.3">
      <c r="C939" s="1"/>
      <c r="D939" s="8">
        <v>2016</v>
      </c>
      <c r="E939" s="14">
        <f>Data!R939</f>
        <v>3</v>
      </c>
    </row>
    <row r="940" spans="2:5" ht="15" customHeight="1" x14ac:dyDescent="0.3">
      <c r="C940" s="1"/>
      <c r="D940" s="8">
        <v>2017</v>
      </c>
      <c r="E940" s="14">
        <f>Data!R940</f>
        <v>3</v>
      </c>
    </row>
    <row r="941" spans="2:5" ht="15" customHeight="1" x14ac:dyDescent="0.3">
      <c r="C941" s="1"/>
      <c r="D941" s="8">
        <v>2018</v>
      </c>
      <c r="E941" s="14">
        <f>Data!R941</f>
        <v>2</v>
      </c>
    </row>
    <row r="942" spans="2:5" ht="15" customHeight="1" x14ac:dyDescent="0.3">
      <c r="C942" s="1"/>
      <c r="D942" s="8">
        <v>2019</v>
      </c>
      <c r="E942" s="14">
        <f>Data!R942</f>
        <v>2</v>
      </c>
    </row>
    <row r="943" spans="2:5" ht="15" customHeight="1" x14ac:dyDescent="0.3">
      <c r="C943" s="1"/>
      <c r="D943" s="8">
        <v>2020</v>
      </c>
      <c r="E943" s="14">
        <f>Data!R943</f>
        <v>4</v>
      </c>
    </row>
    <row r="944" spans="2:5" ht="15" customHeight="1" x14ac:dyDescent="0.3">
      <c r="C944" s="1"/>
      <c r="D944" s="8">
        <v>2021</v>
      </c>
      <c r="E944" s="14">
        <f>Data!R944</f>
        <v>3</v>
      </c>
    </row>
    <row r="945" spans="2:5" ht="15" customHeight="1" x14ac:dyDescent="0.3">
      <c r="C945" s="1"/>
      <c r="D945" s="8">
        <v>2022</v>
      </c>
      <c r="E945" s="14">
        <f>Data!R945</f>
        <v>3</v>
      </c>
    </row>
    <row r="946" spans="2:5" ht="15" customHeight="1" x14ac:dyDescent="0.3">
      <c r="C946" s="1"/>
      <c r="D946" s="8">
        <v>2023</v>
      </c>
      <c r="E946" s="14">
        <f>Data!R946</f>
        <v>3</v>
      </c>
    </row>
    <row r="947" spans="2:5" ht="15" customHeight="1" x14ac:dyDescent="0.3">
      <c r="C947" s="1"/>
      <c r="D947" s="8">
        <v>2024</v>
      </c>
      <c r="E947" s="14">
        <f>Data!R947</f>
        <v>3</v>
      </c>
    </row>
    <row r="948" spans="2:5" ht="15" customHeight="1" x14ac:dyDescent="0.3">
      <c r="B948" s="8">
        <v>87</v>
      </c>
      <c r="C948" s="4" t="s">
        <v>129</v>
      </c>
      <c r="D948" s="8">
        <v>2014</v>
      </c>
      <c r="E948" s="14">
        <f>Data!R948</f>
        <v>0</v>
      </c>
    </row>
    <row r="949" spans="2:5" ht="15" customHeight="1" x14ac:dyDescent="0.3">
      <c r="C949" s="4"/>
      <c r="D949" s="8">
        <v>2015</v>
      </c>
      <c r="E949" s="14">
        <f>Data!R949</f>
        <v>0</v>
      </c>
    </row>
    <row r="950" spans="2:5" ht="15" customHeight="1" x14ac:dyDescent="0.3">
      <c r="C950" s="4"/>
      <c r="D950" s="8">
        <v>2016</v>
      </c>
      <c r="E950" s="14">
        <f>Data!R950</f>
        <v>0</v>
      </c>
    </row>
    <row r="951" spans="2:5" ht="15" customHeight="1" x14ac:dyDescent="0.3">
      <c r="C951" s="4"/>
      <c r="D951" s="8">
        <v>2017</v>
      </c>
      <c r="E951" s="14">
        <f>Data!R951</f>
        <v>0</v>
      </c>
    </row>
    <row r="952" spans="2:5" ht="15" customHeight="1" x14ac:dyDescent="0.3">
      <c r="C952" s="4"/>
      <c r="D952" s="8">
        <v>2018</v>
      </c>
      <c r="E952" s="14">
        <f>Data!R952</f>
        <v>0</v>
      </c>
    </row>
    <row r="953" spans="2:5" ht="15" customHeight="1" x14ac:dyDescent="0.3">
      <c r="C953" s="4"/>
      <c r="D953" s="8">
        <v>2019</v>
      </c>
      <c r="E953" s="14">
        <f>Data!R953</f>
        <v>0</v>
      </c>
    </row>
    <row r="954" spans="2:5" ht="15" customHeight="1" x14ac:dyDescent="0.3">
      <c r="C954" s="4"/>
      <c r="D954" s="8">
        <v>2020</v>
      </c>
      <c r="E954" s="14">
        <f>Data!R954</f>
        <v>0</v>
      </c>
    </row>
    <row r="955" spans="2:5" ht="15" customHeight="1" x14ac:dyDescent="0.3">
      <c r="C955" s="4"/>
      <c r="D955" s="8">
        <v>2021</v>
      </c>
      <c r="E955" s="14">
        <f>Data!R955</f>
        <v>0</v>
      </c>
    </row>
    <row r="956" spans="2:5" ht="15" customHeight="1" x14ac:dyDescent="0.3">
      <c r="C956" s="4"/>
      <c r="D956" s="8">
        <v>2022</v>
      </c>
      <c r="E956" s="14">
        <f>Data!R956</f>
        <v>0</v>
      </c>
    </row>
    <row r="957" spans="2:5" ht="15" customHeight="1" x14ac:dyDescent="0.3">
      <c r="C957" s="4"/>
      <c r="D957" s="8">
        <v>2023</v>
      </c>
      <c r="E957" s="14">
        <f>Data!R957</f>
        <v>0</v>
      </c>
    </row>
    <row r="958" spans="2:5" ht="15" customHeight="1" x14ac:dyDescent="0.3">
      <c r="C958" s="4"/>
      <c r="D958" s="8">
        <v>2024</v>
      </c>
      <c r="E958" s="14">
        <f>Data!R958</f>
        <v>0</v>
      </c>
    </row>
    <row r="959" spans="2:5" ht="15" customHeight="1" x14ac:dyDescent="0.3">
      <c r="B959" s="8">
        <v>88</v>
      </c>
      <c r="C959" s="2" t="s">
        <v>100</v>
      </c>
      <c r="D959" s="8">
        <v>2014</v>
      </c>
      <c r="E959" s="14">
        <f>Data!R959</f>
        <v>0</v>
      </c>
    </row>
    <row r="960" spans="2:5" ht="15" customHeight="1" x14ac:dyDescent="0.3">
      <c r="C960" s="2"/>
      <c r="D960" s="8">
        <v>2015</v>
      </c>
      <c r="E960" s="14">
        <f>Data!R960</f>
        <v>0</v>
      </c>
    </row>
    <row r="961" spans="2:5" ht="15" customHeight="1" x14ac:dyDescent="0.3">
      <c r="C961" s="2"/>
      <c r="D961" s="8">
        <v>2016</v>
      </c>
      <c r="E961" s="14">
        <f>Data!R961</f>
        <v>0</v>
      </c>
    </row>
    <row r="962" spans="2:5" ht="15" customHeight="1" x14ac:dyDescent="0.3">
      <c r="C962" s="2"/>
      <c r="D962" s="8">
        <v>2017</v>
      </c>
      <c r="E962" s="14">
        <f>Data!R962</f>
        <v>0</v>
      </c>
    </row>
    <row r="963" spans="2:5" ht="15" customHeight="1" x14ac:dyDescent="0.3">
      <c r="C963" s="2"/>
      <c r="D963" s="8">
        <v>2018</v>
      </c>
      <c r="E963" s="14">
        <f>Data!R963</f>
        <v>0</v>
      </c>
    </row>
    <row r="964" spans="2:5" ht="15" customHeight="1" x14ac:dyDescent="0.3">
      <c r="C964" s="2"/>
      <c r="D964" s="8">
        <v>2019</v>
      </c>
      <c r="E964" s="14">
        <f>Data!R964</f>
        <v>0</v>
      </c>
    </row>
    <row r="965" spans="2:5" ht="15" customHeight="1" x14ac:dyDescent="0.3">
      <c r="C965" s="2"/>
      <c r="D965" s="8">
        <v>2020</v>
      </c>
      <c r="E965" s="14">
        <f>Data!R965</f>
        <v>0</v>
      </c>
    </row>
    <row r="966" spans="2:5" ht="15" customHeight="1" x14ac:dyDescent="0.3">
      <c r="C966" s="2"/>
      <c r="D966" s="8">
        <v>2021</v>
      </c>
      <c r="E966" s="14">
        <f>Data!R966</f>
        <v>0</v>
      </c>
    </row>
    <row r="967" spans="2:5" ht="15" customHeight="1" x14ac:dyDescent="0.3">
      <c r="C967" s="2"/>
      <c r="D967" s="8">
        <v>2022</v>
      </c>
      <c r="E967" s="14">
        <f>Data!R967</f>
        <v>0</v>
      </c>
    </row>
    <row r="968" spans="2:5" ht="15" customHeight="1" x14ac:dyDescent="0.3">
      <c r="C968" s="2"/>
      <c r="D968" s="8">
        <v>2023</v>
      </c>
      <c r="E968" s="14">
        <f>Data!R968</f>
        <v>0</v>
      </c>
    </row>
    <row r="969" spans="2:5" ht="15" customHeight="1" x14ac:dyDescent="0.3">
      <c r="C969" s="2"/>
      <c r="D969" s="8">
        <v>2024</v>
      </c>
      <c r="E969" s="14">
        <f>Data!R969</f>
        <v>0</v>
      </c>
    </row>
    <row r="970" spans="2:5" ht="15" customHeight="1" x14ac:dyDescent="0.3">
      <c r="B970" s="8">
        <v>89</v>
      </c>
      <c r="C970" s="2" t="s">
        <v>101</v>
      </c>
      <c r="D970" s="8">
        <v>2014</v>
      </c>
      <c r="E970" s="14">
        <f>Data!R970</f>
        <v>0</v>
      </c>
    </row>
    <row r="971" spans="2:5" ht="15" customHeight="1" x14ac:dyDescent="0.3">
      <c r="C971" s="2"/>
      <c r="D971" s="8">
        <v>2015</v>
      </c>
      <c r="E971" s="14">
        <f>Data!R971</f>
        <v>3</v>
      </c>
    </row>
    <row r="972" spans="2:5" ht="15" customHeight="1" x14ac:dyDescent="0.3">
      <c r="C972" s="2"/>
      <c r="D972" s="8">
        <v>2016</v>
      </c>
      <c r="E972" s="14">
        <f>Data!R972</f>
        <v>4</v>
      </c>
    </row>
    <row r="973" spans="2:5" ht="15" customHeight="1" x14ac:dyDescent="0.3">
      <c r="C973" s="2"/>
      <c r="D973" s="8">
        <v>2017</v>
      </c>
      <c r="E973" s="14">
        <f>Data!R973</f>
        <v>4</v>
      </c>
    </row>
    <row r="974" spans="2:5" ht="15" customHeight="1" x14ac:dyDescent="0.3">
      <c r="C974" s="2"/>
      <c r="D974" s="8">
        <v>2018</v>
      </c>
      <c r="E974" s="14">
        <f>Data!R974</f>
        <v>4</v>
      </c>
    </row>
    <row r="975" spans="2:5" ht="15" customHeight="1" x14ac:dyDescent="0.3">
      <c r="C975" s="2"/>
      <c r="D975" s="8">
        <v>2019</v>
      </c>
      <c r="E975" s="14">
        <f>Data!R975</f>
        <v>3</v>
      </c>
    </row>
    <row r="976" spans="2:5" ht="15" customHeight="1" x14ac:dyDescent="0.3">
      <c r="C976" s="2"/>
      <c r="D976" s="8">
        <v>2020</v>
      </c>
      <c r="E976" s="14">
        <f>Data!R976</f>
        <v>3</v>
      </c>
    </row>
    <row r="977" spans="2:5" ht="15" customHeight="1" x14ac:dyDescent="0.3">
      <c r="C977" s="2"/>
      <c r="D977" s="8">
        <v>2021</v>
      </c>
      <c r="E977" s="14">
        <f>Data!R977</f>
        <v>3</v>
      </c>
    </row>
    <row r="978" spans="2:5" ht="15" customHeight="1" x14ac:dyDescent="0.3">
      <c r="C978" s="2"/>
      <c r="D978" s="8">
        <v>2022</v>
      </c>
      <c r="E978" s="14">
        <f>Data!R978</f>
        <v>3</v>
      </c>
    </row>
    <row r="979" spans="2:5" ht="15" customHeight="1" x14ac:dyDescent="0.3">
      <c r="C979" s="2"/>
      <c r="D979" s="8">
        <v>2023</v>
      </c>
      <c r="E979" s="14">
        <f>Data!R979</f>
        <v>3</v>
      </c>
    </row>
    <row r="980" spans="2:5" ht="15" customHeight="1" x14ac:dyDescent="0.3">
      <c r="C980" s="2"/>
      <c r="D980" s="8">
        <v>2024</v>
      </c>
      <c r="E980" s="14">
        <f>Data!R980</f>
        <v>3</v>
      </c>
    </row>
    <row r="981" spans="2:5" ht="15" customHeight="1" x14ac:dyDescent="0.3">
      <c r="B981" s="8">
        <v>90</v>
      </c>
      <c r="C981" s="2" t="s">
        <v>93</v>
      </c>
      <c r="D981" s="8">
        <v>2014</v>
      </c>
      <c r="E981" s="14">
        <f>Data!R981</f>
        <v>0</v>
      </c>
    </row>
    <row r="982" spans="2:5" ht="15" customHeight="1" x14ac:dyDescent="0.3">
      <c r="C982" s="2"/>
      <c r="D982" s="8">
        <v>2015</v>
      </c>
      <c r="E982" s="14">
        <f>Data!R982</f>
        <v>3</v>
      </c>
    </row>
    <row r="983" spans="2:5" ht="15" customHeight="1" x14ac:dyDescent="0.3">
      <c r="C983" s="2"/>
      <c r="D983" s="8">
        <v>2016</v>
      </c>
      <c r="E983" s="14">
        <f>Data!R983</f>
        <v>3</v>
      </c>
    </row>
    <row r="984" spans="2:5" ht="15" customHeight="1" x14ac:dyDescent="0.3">
      <c r="C984" s="2"/>
      <c r="D984" s="8">
        <v>2017</v>
      </c>
      <c r="E984" s="14">
        <f>Data!R984</f>
        <v>4</v>
      </c>
    </row>
    <row r="985" spans="2:5" ht="15" customHeight="1" x14ac:dyDescent="0.3">
      <c r="C985" s="2"/>
      <c r="D985" s="8">
        <v>2018</v>
      </c>
      <c r="E985" s="14">
        <f>Data!R985</f>
        <v>3</v>
      </c>
    </row>
    <row r="986" spans="2:5" ht="15" customHeight="1" x14ac:dyDescent="0.3">
      <c r="C986" s="2"/>
      <c r="D986" s="8">
        <v>2019</v>
      </c>
      <c r="E986" s="14">
        <f>Data!R986</f>
        <v>3</v>
      </c>
    </row>
    <row r="987" spans="2:5" ht="15" customHeight="1" x14ac:dyDescent="0.3">
      <c r="C987" s="2"/>
      <c r="D987" s="8">
        <v>2020</v>
      </c>
      <c r="E987" s="14">
        <f>Data!R987</f>
        <v>3</v>
      </c>
    </row>
    <row r="988" spans="2:5" ht="15" customHeight="1" x14ac:dyDescent="0.3">
      <c r="C988" s="2"/>
      <c r="D988" s="8">
        <v>2021</v>
      </c>
      <c r="E988" s="14">
        <f>Data!R988</f>
        <v>2</v>
      </c>
    </row>
    <row r="989" spans="2:5" ht="15" customHeight="1" x14ac:dyDescent="0.3">
      <c r="C989" s="2"/>
      <c r="D989" s="8">
        <v>2022</v>
      </c>
      <c r="E989" s="14">
        <f>Data!R989</f>
        <v>3</v>
      </c>
    </row>
    <row r="990" spans="2:5" ht="15" customHeight="1" x14ac:dyDescent="0.3">
      <c r="C990" s="2"/>
      <c r="D990" s="8">
        <v>2023</v>
      </c>
      <c r="E990" s="14">
        <f>Data!R990</f>
        <v>3</v>
      </c>
    </row>
    <row r="991" spans="2:5" ht="15" customHeight="1" x14ac:dyDescent="0.3">
      <c r="C991" s="2"/>
      <c r="D991" s="8">
        <v>2024</v>
      </c>
      <c r="E991" s="14">
        <f>Data!R991</f>
        <v>2</v>
      </c>
    </row>
    <row r="992" spans="2:5" ht="15" customHeight="1" x14ac:dyDescent="0.3">
      <c r="B992" s="8">
        <v>91</v>
      </c>
      <c r="C992" s="2" t="s">
        <v>88</v>
      </c>
      <c r="D992" s="8">
        <v>2014</v>
      </c>
      <c r="E992" s="14">
        <f>Data!R992</f>
        <v>0</v>
      </c>
    </row>
    <row r="993" spans="2:5" ht="15" customHeight="1" x14ac:dyDescent="0.3">
      <c r="C993" s="2"/>
      <c r="D993" s="8">
        <v>2015</v>
      </c>
      <c r="E993" s="14">
        <f>Data!R993</f>
        <v>4</v>
      </c>
    </row>
    <row r="994" spans="2:5" ht="15" customHeight="1" x14ac:dyDescent="0.3">
      <c r="C994" s="2"/>
      <c r="D994" s="8">
        <v>2016</v>
      </c>
      <c r="E994" s="14">
        <f>Data!R994</f>
        <v>4</v>
      </c>
    </row>
    <row r="995" spans="2:5" ht="15" customHeight="1" x14ac:dyDescent="0.3">
      <c r="C995" s="2"/>
      <c r="D995" s="8">
        <v>2017</v>
      </c>
      <c r="E995" s="14">
        <f>Data!R995</f>
        <v>4</v>
      </c>
    </row>
    <row r="996" spans="2:5" ht="15" customHeight="1" x14ac:dyDescent="0.3">
      <c r="C996" s="2"/>
      <c r="D996" s="8">
        <v>2018</v>
      </c>
      <c r="E996" s="14">
        <f>Data!R996</f>
        <v>4</v>
      </c>
    </row>
    <row r="997" spans="2:5" ht="15" customHeight="1" x14ac:dyDescent="0.3">
      <c r="C997" s="2"/>
      <c r="D997" s="8">
        <v>2019</v>
      </c>
      <c r="E997" s="14">
        <f>Data!R997</f>
        <v>4</v>
      </c>
    </row>
    <row r="998" spans="2:5" ht="15" customHeight="1" x14ac:dyDescent="0.3">
      <c r="C998" s="2"/>
      <c r="D998" s="8">
        <v>2020</v>
      </c>
      <c r="E998" s="14">
        <f>Data!R998</f>
        <v>4</v>
      </c>
    </row>
    <row r="999" spans="2:5" ht="15" customHeight="1" x14ac:dyDescent="0.3">
      <c r="C999" s="2"/>
      <c r="D999" s="8">
        <v>2021</v>
      </c>
      <c r="E999" s="14">
        <f>Data!R999</f>
        <v>4</v>
      </c>
    </row>
    <row r="1000" spans="2:5" ht="15" customHeight="1" x14ac:dyDescent="0.3">
      <c r="C1000" s="2"/>
      <c r="D1000" s="8">
        <v>2022</v>
      </c>
      <c r="E1000" s="14">
        <f>Data!R1000</f>
        <v>4</v>
      </c>
    </row>
    <row r="1001" spans="2:5" ht="15" customHeight="1" x14ac:dyDescent="0.3">
      <c r="C1001" s="2"/>
      <c r="D1001" s="8">
        <v>2023</v>
      </c>
      <c r="E1001" s="14">
        <f>Data!R1001</f>
        <v>4</v>
      </c>
    </row>
    <row r="1002" spans="2:5" ht="15" customHeight="1" x14ac:dyDescent="0.3">
      <c r="C1002" s="2"/>
      <c r="D1002" s="8">
        <v>2024</v>
      </c>
      <c r="E1002" s="14">
        <f>Data!R1002</f>
        <v>4</v>
      </c>
    </row>
    <row r="1003" spans="2:5" ht="15" customHeight="1" x14ac:dyDescent="0.3">
      <c r="B1003" s="8">
        <v>92</v>
      </c>
      <c r="C1003" s="2" t="s">
        <v>94</v>
      </c>
      <c r="D1003" s="8">
        <v>2014</v>
      </c>
      <c r="E1003" s="14">
        <f>Data!R1003</f>
        <v>0</v>
      </c>
    </row>
    <row r="1004" spans="2:5" ht="15" customHeight="1" x14ac:dyDescent="0.3">
      <c r="C1004" s="2"/>
      <c r="D1004" s="8">
        <v>2015</v>
      </c>
      <c r="E1004" s="14">
        <f>Data!R1004</f>
        <v>4</v>
      </c>
    </row>
    <row r="1005" spans="2:5" ht="15" customHeight="1" x14ac:dyDescent="0.3">
      <c r="C1005" s="2"/>
      <c r="D1005" s="8">
        <v>2016</v>
      </c>
      <c r="E1005" s="14">
        <f>Data!R1005</f>
        <v>4</v>
      </c>
    </row>
    <row r="1006" spans="2:5" ht="15" customHeight="1" x14ac:dyDescent="0.3">
      <c r="C1006" s="2"/>
      <c r="D1006" s="8">
        <v>2017</v>
      </c>
      <c r="E1006" s="14">
        <f>Data!R1006</f>
        <v>4</v>
      </c>
    </row>
    <row r="1007" spans="2:5" ht="15" customHeight="1" x14ac:dyDescent="0.3">
      <c r="C1007" s="2"/>
      <c r="D1007" s="8">
        <v>2018</v>
      </c>
      <c r="E1007" s="14">
        <f>Data!R1007</f>
        <v>4</v>
      </c>
    </row>
    <row r="1008" spans="2:5" ht="15" customHeight="1" x14ac:dyDescent="0.3">
      <c r="C1008" s="2"/>
      <c r="D1008" s="8">
        <v>2019</v>
      </c>
      <c r="E1008" s="14">
        <f>Data!R1008</f>
        <v>4</v>
      </c>
    </row>
    <row r="1009" spans="2:5" ht="15" customHeight="1" x14ac:dyDescent="0.3">
      <c r="C1009" s="2"/>
      <c r="D1009" s="8">
        <v>2020</v>
      </c>
      <c r="E1009" s="14">
        <f>Data!R1009</f>
        <v>4</v>
      </c>
    </row>
    <row r="1010" spans="2:5" ht="15" customHeight="1" x14ac:dyDescent="0.3">
      <c r="C1010" s="2"/>
      <c r="D1010" s="8">
        <v>2021</v>
      </c>
      <c r="E1010" s="14">
        <f>Data!R1010</f>
        <v>4</v>
      </c>
    </row>
    <row r="1011" spans="2:5" ht="15" customHeight="1" x14ac:dyDescent="0.3">
      <c r="C1011" s="2"/>
      <c r="D1011" s="8">
        <v>2022</v>
      </c>
      <c r="E1011" s="14">
        <f>Data!R1011</f>
        <v>4</v>
      </c>
    </row>
    <row r="1012" spans="2:5" ht="15" customHeight="1" x14ac:dyDescent="0.3">
      <c r="C1012" s="2"/>
      <c r="D1012" s="8">
        <v>2023</v>
      </c>
      <c r="E1012" s="14">
        <f>Data!R1012</f>
        <v>4</v>
      </c>
    </row>
    <row r="1013" spans="2:5" ht="15" customHeight="1" x14ac:dyDescent="0.3">
      <c r="C1013" s="2"/>
      <c r="D1013" s="8">
        <v>2024</v>
      </c>
      <c r="E1013" s="14">
        <f>Data!R1013</f>
        <v>4</v>
      </c>
    </row>
    <row r="1014" spans="2:5" ht="15" customHeight="1" x14ac:dyDescent="0.3">
      <c r="B1014" s="8">
        <v>93</v>
      </c>
      <c r="C1014" s="2" t="s">
        <v>102</v>
      </c>
      <c r="D1014" s="8">
        <v>2014</v>
      </c>
      <c r="E1014" s="14">
        <f>Data!R1014</f>
        <v>0</v>
      </c>
    </row>
    <row r="1015" spans="2:5" ht="15" customHeight="1" x14ac:dyDescent="0.3">
      <c r="C1015" s="2"/>
      <c r="D1015" s="8">
        <v>2015</v>
      </c>
      <c r="E1015" s="14">
        <f>Data!R1015</f>
        <v>3</v>
      </c>
    </row>
    <row r="1016" spans="2:5" ht="15" customHeight="1" x14ac:dyDescent="0.3">
      <c r="C1016" s="2"/>
      <c r="D1016" s="8">
        <v>2016</v>
      </c>
      <c r="E1016" s="14">
        <f>Data!R1016</f>
        <v>3</v>
      </c>
    </row>
    <row r="1017" spans="2:5" ht="15" customHeight="1" x14ac:dyDescent="0.3">
      <c r="C1017" s="2"/>
      <c r="D1017" s="8">
        <v>2017</v>
      </c>
      <c r="E1017" s="14">
        <f>Data!R1017</f>
        <v>4</v>
      </c>
    </row>
    <row r="1018" spans="2:5" ht="15" customHeight="1" x14ac:dyDescent="0.3">
      <c r="C1018" s="2"/>
      <c r="D1018" s="8">
        <v>2018</v>
      </c>
      <c r="E1018" s="14">
        <f>Data!R1018</f>
        <v>3</v>
      </c>
    </row>
    <row r="1019" spans="2:5" ht="15" customHeight="1" x14ac:dyDescent="0.3">
      <c r="C1019" s="2"/>
      <c r="D1019" s="8">
        <v>2019</v>
      </c>
      <c r="E1019" s="14">
        <f>Data!R1019</f>
        <v>4</v>
      </c>
    </row>
    <row r="1020" spans="2:5" ht="15" customHeight="1" x14ac:dyDescent="0.3">
      <c r="C1020" s="2"/>
      <c r="D1020" s="8">
        <v>2020</v>
      </c>
      <c r="E1020" s="14">
        <f>Data!R1020</f>
        <v>4</v>
      </c>
    </row>
    <row r="1021" spans="2:5" ht="15" customHeight="1" x14ac:dyDescent="0.3">
      <c r="C1021" s="2"/>
      <c r="D1021" s="8">
        <v>2021</v>
      </c>
      <c r="E1021" s="14">
        <f>Data!R1021</f>
        <v>3</v>
      </c>
    </row>
    <row r="1022" spans="2:5" ht="15" customHeight="1" x14ac:dyDescent="0.3">
      <c r="C1022" s="2"/>
      <c r="D1022" s="8">
        <v>2022</v>
      </c>
      <c r="E1022" s="14">
        <f>Data!R1022</f>
        <v>3</v>
      </c>
    </row>
    <row r="1023" spans="2:5" ht="15" customHeight="1" x14ac:dyDescent="0.3">
      <c r="C1023" s="2"/>
      <c r="D1023" s="8">
        <v>2023</v>
      </c>
      <c r="E1023" s="14">
        <f>Data!R1023</f>
        <v>4</v>
      </c>
    </row>
    <row r="1024" spans="2:5" ht="15" customHeight="1" x14ac:dyDescent="0.3">
      <c r="C1024" s="2"/>
      <c r="D1024" s="8">
        <v>2024</v>
      </c>
      <c r="E1024" s="14">
        <f>Data!R1024</f>
        <v>3</v>
      </c>
    </row>
    <row r="1025" spans="2:5" ht="15" customHeight="1" x14ac:dyDescent="0.3">
      <c r="B1025" s="8">
        <v>94</v>
      </c>
      <c r="C1025" s="2" t="s">
        <v>114</v>
      </c>
      <c r="D1025" s="8">
        <v>2014</v>
      </c>
      <c r="E1025" s="14">
        <f>Data!R1025</f>
        <v>0</v>
      </c>
    </row>
    <row r="1026" spans="2:5" ht="15" customHeight="1" x14ac:dyDescent="0.3">
      <c r="C1026" s="2"/>
      <c r="D1026" s="8">
        <v>2015</v>
      </c>
      <c r="E1026" s="14">
        <f>Data!R1026</f>
        <v>3</v>
      </c>
    </row>
    <row r="1027" spans="2:5" ht="15" customHeight="1" x14ac:dyDescent="0.3">
      <c r="C1027" s="2"/>
      <c r="D1027" s="8">
        <v>2016</v>
      </c>
      <c r="E1027" s="14">
        <f>Data!R1027</f>
        <v>3</v>
      </c>
    </row>
    <row r="1028" spans="2:5" ht="15" customHeight="1" x14ac:dyDescent="0.3">
      <c r="C1028" s="2"/>
      <c r="D1028" s="8">
        <v>2017</v>
      </c>
      <c r="E1028" s="14">
        <f>Data!R1028</f>
        <v>3</v>
      </c>
    </row>
    <row r="1029" spans="2:5" ht="15" customHeight="1" x14ac:dyDescent="0.3">
      <c r="C1029" s="2"/>
      <c r="D1029" s="8">
        <v>2018</v>
      </c>
      <c r="E1029" s="14">
        <f>Data!R1029</f>
        <v>3</v>
      </c>
    </row>
    <row r="1030" spans="2:5" ht="15" customHeight="1" x14ac:dyDescent="0.3">
      <c r="C1030" s="2"/>
      <c r="D1030" s="8">
        <v>2019</v>
      </c>
      <c r="E1030" s="14">
        <f>Data!R1030</f>
        <v>3</v>
      </c>
    </row>
    <row r="1031" spans="2:5" ht="15" customHeight="1" x14ac:dyDescent="0.3">
      <c r="C1031" s="2"/>
      <c r="D1031" s="8">
        <v>2020</v>
      </c>
      <c r="E1031" s="14">
        <f>Data!R1031</f>
        <v>3</v>
      </c>
    </row>
    <row r="1032" spans="2:5" ht="15" customHeight="1" x14ac:dyDescent="0.3">
      <c r="C1032" s="2"/>
      <c r="D1032" s="8">
        <v>2021</v>
      </c>
      <c r="E1032" s="14">
        <f>Data!R1032</f>
        <v>3</v>
      </c>
    </row>
    <row r="1033" spans="2:5" ht="15" customHeight="1" x14ac:dyDescent="0.3">
      <c r="C1033" s="2"/>
      <c r="D1033" s="8">
        <v>2022</v>
      </c>
      <c r="E1033" s="14">
        <f>Data!R1033</f>
        <v>3</v>
      </c>
    </row>
    <row r="1034" spans="2:5" ht="15" customHeight="1" x14ac:dyDescent="0.3">
      <c r="C1034" s="2"/>
      <c r="D1034" s="8">
        <v>2023</v>
      </c>
      <c r="E1034" s="14">
        <f>Data!R1034</f>
        <v>3</v>
      </c>
    </row>
    <row r="1035" spans="2:5" ht="15" customHeight="1" x14ac:dyDescent="0.3">
      <c r="C1035" s="2"/>
      <c r="D1035" s="8">
        <v>2024</v>
      </c>
      <c r="E1035" s="14">
        <f>Data!R1035</f>
        <v>3</v>
      </c>
    </row>
    <row r="1036" spans="2:5" ht="15" customHeight="1" x14ac:dyDescent="0.3">
      <c r="B1036" s="8">
        <v>95</v>
      </c>
      <c r="C1036" s="2" t="s">
        <v>115</v>
      </c>
      <c r="D1036" s="8">
        <v>2014</v>
      </c>
      <c r="E1036" s="14">
        <f>Data!R1036</f>
        <v>0</v>
      </c>
    </row>
    <row r="1037" spans="2:5" ht="15" customHeight="1" x14ac:dyDescent="0.3">
      <c r="C1037" s="2"/>
      <c r="D1037" s="8">
        <v>2015</v>
      </c>
      <c r="E1037" s="14">
        <f>Data!R1037</f>
        <v>0</v>
      </c>
    </row>
    <row r="1038" spans="2:5" ht="15" customHeight="1" x14ac:dyDescent="0.3">
      <c r="C1038" s="2"/>
      <c r="D1038" s="8">
        <v>2016</v>
      </c>
      <c r="E1038" s="14">
        <f>Data!R1038</f>
        <v>0</v>
      </c>
    </row>
    <row r="1039" spans="2:5" ht="15" customHeight="1" x14ac:dyDescent="0.3">
      <c r="C1039" s="2"/>
      <c r="D1039" s="8">
        <v>2017</v>
      </c>
      <c r="E1039" s="14">
        <f>Data!R1039</f>
        <v>0</v>
      </c>
    </row>
    <row r="1040" spans="2:5" ht="15" customHeight="1" x14ac:dyDescent="0.3">
      <c r="C1040" s="2"/>
      <c r="D1040" s="8">
        <v>2018</v>
      </c>
      <c r="E1040" s="14">
        <f>Data!R1040</f>
        <v>0</v>
      </c>
    </row>
    <row r="1041" spans="2:5" ht="15" customHeight="1" x14ac:dyDescent="0.3">
      <c r="C1041" s="2"/>
      <c r="D1041" s="8">
        <v>2019</v>
      </c>
      <c r="E1041" s="14">
        <f>Data!R1041</f>
        <v>2</v>
      </c>
    </row>
    <row r="1042" spans="2:5" ht="15" customHeight="1" x14ac:dyDescent="0.3">
      <c r="C1042" s="2"/>
      <c r="D1042" s="8">
        <v>2020</v>
      </c>
      <c r="E1042" s="14">
        <f>Data!R1042</f>
        <v>2</v>
      </c>
    </row>
    <row r="1043" spans="2:5" ht="15" customHeight="1" x14ac:dyDescent="0.3">
      <c r="C1043" s="2"/>
      <c r="D1043" s="8">
        <v>2021</v>
      </c>
      <c r="E1043" s="14">
        <f>Data!R1043</f>
        <v>2</v>
      </c>
    </row>
    <row r="1044" spans="2:5" ht="15" customHeight="1" x14ac:dyDescent="0.3">
      <c r="C1044" s="2"/>
      <c r="D1044" s="8">
        <v>2022</v>
      </c>
      <c r="E1044" s="14">
        <f>Data!R1044</f>
        <v>2</v>
      </c>
    </row>
    <row r="1045" spans="2:5" ht="15" customHeight="1" x14ac:dyDescent="0.3">
      <c r="C1045" s="2"/>
      <c r="D1045" s="8">
        <v>2023</v>
      </c>
      <c r="E1045" s="14">
        <f>Data!R1045</f>
        <v>2</v>
      </c>
    </row>
    <row r="1046" spans="2:5" ht="15" customHeight="1" x14ac:dyDescent="0.3">
      <c r="C1046" s="2"/>
      <c r="D1046" s="8">
        <v>2024</v>
      </c>
      <c r="E1046" s="14">
        <f>Data!R1046</f>
        <v>3</v>
      </c>
    </row>
    <row r="1047" spans="2:5" ht="15" customHeight="1" x14ac:dyDescent="0.3">
      <c r="B1047" s="8">
        <v>96</v>
      </c>
      <c r="C1047" s="2" t="s">
        <v>116</v>
      </c>
      <c r="D1047" s="8">
        <v>2014</v>
      </c>
      <c r="E1047" s="14">
        <f>Data!R1047</f>
        <v>0</v>
      </c>
    </row>
    <row r="1048" spans="2:5" ht="15" customHeight="1" x14ac:dyDescent="0.3">
      <c r="C1048" s="2"/>
      <c r="D1048" s="8">
        <v>2015</v>
      </c>
      <c r="E1048" s="14">
        <f>Data!R1048</f>
        <v>0</v>
      </c>
    </row>
    <row r="1049" spans="2:5" ht="15" customHeight="1" x14ac:dyDescent="0.3">
      <c r="C1049" s="2"/>
      <c r="D1049" s="8">
        <v>2016</v>
      </c>
      <c r="E1049" s="14">
        <f>Data!R1049</f>
        <v>4</v>
      </c>
    </row>
    <row r="1050" spans="2:5" ht="15" customHeight="1" x14ac:dyDescent="0.3">
      <c r="C1050" s="2"/>
      <c r="D1050" s="8">
        <v>2017</v>
      </c>
      <c r="E1050" s="14">
        <f>Data!R1050</f>
        <v>4</v>
      </c>
    </row>
    <row r="1051" spans="2:5" ht="15" customHeight="1" x14ac:dyDescent="0.3">
      <c r="C1051" s="2"/>
      <c r="D1051" s="8">
        <v>2018</v>
      </c>
      <c r="E1051" s="14">
        <f>Data!R1051</f>
        <v>4</v>
      </c>
    </row>
    <row r="1052" spans="2:5" ht="15" customHeight="1" x14ac:dyDescent="0.3">
      <c r="C1052" s="2"/>
      <c r="D1052" s="8">
        <v>2019</v>
      </c>
      <c r="E1052" s="14">
        <f>Data!R1052</f>
        <v>4</v>
      </c>
    </row>
    <row r="1053" spans="2:5" ht="15" customHeight="1" x14ac:dyDescent="0.3">
      <c r="C1053" s="2"/>
      <c r="D1053" s="8">
        <v>2020</v>
      </c>
      <c r="E1053" s="14">
        <f>Data!R1053</f>
        <v>3</v>
      </c>
    </row>
    <row r="1054" spans="2:5" ht="15" customHeight="1" x14ac:dyDescent="0.3">
      <c r="C1054" s="2"/>
      <c r="D1054" s="8">
        <v>2021</v>
      </c>
      <c r="E1054" s="14">
        <f>Data!R1054</f>
        <v>3</v>
      </c>
    </row>
    <row r="1055" spans="2:5" ht="15" customHeight="1" x14ac:dyDescent="0.3">
      <c r="C1055" s="2"/>
      <c r="D1055" s="8">
        <v>2022</v>
      </c>
      <c r="E1055" s="14">
        <f>Data!R1055</f>
        <v>3</v>
      </c>
    </row>
    <row r="1056" spans="2:5" ht="15" customHeight="1" x14ac:dyDescent="0.3">
      <c r="C1056" s="2"/>
      <c r="D1056" s="8">
        <v>2023</v>
      </c>
      <c r="E1056" s="14">
        <f>Data!R1056</f>
        <v>4</v>
      </c>
    </row>
    <row r="1057" spans="2:5" ht="15" customHeight="1" x14ac:dyDescent="0.3">
      <c r="C1057" s="2"/>
      <c r="D1057" s="8">
        <v>2024</v>
      </c>
      <c r="E1057" s="14">
        <f>Data!R1057</f>
        <v>4</v>
      </c>
    </row>
    <row r="1058" spans="2:5" ht="15" customHeight="1" x14ac:dyDescent="0.3">
      <c r="B1058" s="8">
        <v>97</v>
      </c>
      <c r="C1058" s="2" t="s">
        <v>117</v>
      </c>
      <c r="D1058" s="8">
        <v>2014</v>
      </c>
      <c r="E1058" s="14">
        <f>Data!R1058</f>
        <v>0</v>
      </c>
    </row>
    <row r="1059" spans="2:5" ht="15" customHeight="1" x14ac:dyDescent="0.3">
      <c r="C1059" s="2"/>
      <c r="D1059" s="8">
        <v>2015</v>
      </c>
      <c r="E1059" s="14">
        <f>Data!R1059</f>
        <v>0</v>
      </c>
    </row>
    <row r="1060" spans="2:5" ht="15" customHeight="1" x14ac:dyDescent="0.3">
      <c r="C1060" s="2"/>
      <c r="D1060" s="8">
        <v>2016</v>
      </c>
      <c r="E1060" s="14">
        <f>Data!R1060</f>
        <v>0</v>
      </c>
    </row>
    <row r="1061" spans="2:5" ht="15" customHeight="1" x14ac:dyDescent="0.3">
      <c r="C1061" s="2"/>
      <c r="D1061" s="8">
        <v>2017</v>
      </c>
      <c r="E1061" s="14">
        <f>Data!R1061</f>
        <v>0</v>
      </c>
    </row>
    <row r="1062" spans="2:5" ht="15" customHeight="1" x14ac:dyDescent="0.3">
      <c r="C1062" s="2"/>
      <c r="D1062" s="8">
        <v>2018</v>
      </c>
      <c r="E1062" s="14">
        <f>Data!R1062</f>
        <v>4</v>
      </c>
    </row>
    <row r="1063" spans="2:5" ht="15" customHeight="1" x14ac:dyDescent="0.3">
      <c r="C1063" s="2"/>
      <c r="D1063" s="8">
        <v>2019</v>
      </c>
      <c r="E1063" s="14">
        <f>Data!R1063</f>
        <v>4</v>
      </c>
    </row>
    <row r="1064" spans="2:5" ht="15" customHeight="1" x14ac:dyDescent="0.3">
      <c r="C1064" s="2"/>
      <c r="D1064" s="8">
        <v>2020</v>
      </c>
      <c r="E1064" s="14">
        <f>Data!R1064</f>
        <v>4</v>
      </c>
    </row>
    <row r="1065" spans="2:5" ht="15" customHeight="1" x14ac:dyDescent="0.3">
      <c r="C1065" s="2"/>
      <c r="D1065" s="8">
        <v>2021</v>
      </c>
      <c r="E1065" s="14">
        <f>Data!R1065</f>
        <v>4</v>
      </c>
    </row>
    <row r="1066" spans="2:5" ht="15" customHeight="1" x14ac:dyDescent="0.3">
      <c r="C1066" s="2"/>
      <c r="D1066" s="8">
        <v>2022</v>
      </c>
      <c r="E1066" s="14">
        <f>Data!R1066</f>
        <v>4</v>
      </c>
    </row>
    <row r="1067" spans="2:5" ht="15" customHeight="1" x14ac:dyDescent="0.3">
      <c r="C1067" s="2"/>
      <c r="D1067" s="8">
        <v>2023</v>
      </c>
      <c r="E1067" s="14">
        <f>Data!R1067</f>
        <v>4</v>
      </c>
    </row>
    <row r="1068" spans="2:5" ht="15" customHeight="1" x14ac:dyDescent="0.3">
      <c r="C1068" s="2"/>
      <c r="D1068" s="8">
        <v>2024</v>
      </c>
      <c r="E1068" s="14">
        <f>Data!R1068</f>
        <v>4</v>
      </c>
    </row>
    <row r="1069" spans="2:5" ht="15" customHeight="1" x14ac:dyDescent="0.3">
      <c r="B1069" s="8">
        <v>98</v>
      </c>
      <c r="C1069" s="2" t="s">
        <v>103</v>
      </c>
      <c r="D1069" s="8">
        <v>2014</v>
      </c>
      <c r="E1069" s="14">
        <f>Data!R1069</f>
        <v>0</v>
      </c>
    </row>
    <row r="1070" spans="2:5" ht="15" customHeight="1" x14ac:dyDescent="0.3">
      <c r="C1070" s="2"/>
      <c r="D1070" s="8">
        <v>2015</v>
      </c>
      <c r="E1070" s="14">
        <f>Data!R1070</f>
        <v>0</v>
      </c>
    </row>
    <row r="1071" spans="2:5" ht="15" customHeight="1" x14ac:dyDescent="0.3">
      <c r="C1071" s="2"/>
      <c r="D1071" s="8">
        <v>2016</v>
      </c>
      <c r="E1071" s="14">
        <f>Data!R1071</f>
        <v>0</v>
      </c>
    </row>
    <row r="1072" spans="2:5" ht="15" customHeight="1" x14ac:dyDescent="0.3">
      <c r="C1072" s="2"/>
      <c r="D1072" s="8">
        <v>2017</v>
      </c>
      <c r="E1072" s="14">
        <f>Data!R1072</f>
        <v>0</v>
      </c>
    </row>
    <row r="1073" spans="2:5" ht="15" customHeight="1" x14ac:dyDescent="0.3">
      <c r="C1073" s="2"/>
      <c r="D1073" s="8">
        <v>2018</v>
      </c>
      <c r="E1073" s="14">
        <f>Data!R1073</f>
        <v>3</v>
      </c>
    </row>
    <row r="1074" spans="2:5" ht="15" customHeight="1" x14ac:dyDescent="0.3">
      <c r="C1074" s="2"/>
      <c r="D1074" s="8">
        <v>2019</v>
      </c>
      <c r="E1074" s="14">
        <f>Data!R1074</f>
        <v>3</v>
      </c>
    </row>
    <row r="1075" spans="2:5" ht="15" customHeight="1" x14ac:dyDescent="0.3">
      <c r="C1075" s="2"/>
      <c r="D1075" s="8">
        <v>2020</v>
      </c>
      <c r="E1075" s="14">
        <f>Data!R1075</f>
        <v>2</v>
      </c>
    </row>
    <row r="1076" spans="2:5" ht="15" customHeight="1" x14ac:dyDescent="0.3">
      <c r="C1076" s="2"/>
      <c r="D1076" s="8">
        <v>2021</v>
      </c>
      <c r="E1076" s="14">
        <f>Data!R1076</f>
        <v>2</v>
      </c>
    </row>
    <row r="1077" spans="2:5" ht="15" customHeight="1" x14ac:dyDescent="0.3">
      <c r="C1077" s="2"/>
      <c r="D1077" s="8">
        <v>2022</v>
      </c>
      <c r="E1077" s="14">
        <f>Data!R1077</f>
        <v>2</v>
      </c>
    </row>
    <row r="1078" spans="2:5" ht="15" customHeight="1" x14ac:dyDescent="0.3">
      <c r="C1078" s="2"/>
      <c r="D1078" s="8">
        <v>2023</v>
      </c>
      <c r="E1078" s="14">
        <f>Data!R1078</f>
        <v>3</v>
      </c>
    </row>
    <row r="1079" spans="2:5" ht="15" customHeight="1" x14ac:dyDescent="0.3">
      <c r="C1079" s="2"/>
      <c r="D1079" s="8">
        <v>2024</v>
      </c>
      <c r="E1079" s="14">
        <f>Data!R1079</f>
        <v>3</v>
      </c>
    </row>
    <row r="1080" spans="2:5" ht="15" customHeight="1" x14ac:dyDescent="0.3">
      <c r="B1080" s="8">
        <v>99</v>
      </c>
      <c r="C1080" s="2" t="s">
        <v>118</v>
      </c>
      <c r="D1080" s="8">
        <v>2014</v>
      </c>
      <c r="E1080" s="14">
        <f>Data!R1080</f>
        <v>0</v>
      </c>
    </row>
    <row r="1081" spans="2:5" ht="15" customHeight="1" x14ac:dyDescent="0.3">
      <c r="C1081" s="2"/>
      <c r="D1081" s="8">
        <v>2015</v>
      </c>
      <c r="E1081" s="14">
        <f>Data!R1081</f>
        <v>0</v>
      </c>
    </row>
    <row r="1082" spans="2:5" ht="15" customHeight="1" x14ac:dyDescent="0.3">
      <c r="C1082" s="2"/>
      <c r="D1082" s="8">
        <v>2016</v>
      </c>
      <c r="E1082" s="14">
        <f>Data!R1082</f>
        <v>0</v>
      </c>
    </row>
    <row r="1083" spans="2:5" ht="15" customHeight="1" x14ac:dyDescent="0.3">
      <c r="C1083" s="2"/>
      <c r="D1083" s="8">
        <v>2017</v>
      </c>
      <c r="E1083" s="14">
        <f>Data!R1083</f>
        <v>0</v>
      </c>
    </row>
    <row r="1084" spans="2:5" ht="15" customHeight="1" x14ac:dyDescent="0.3">
      <c r="C1084" s="2"/>
      <c r="D1084" s="8">
        <v>2018</v>
      </c>
      <c r="E1084" s="14">
        <f>Data!R1084</f>
        <v>0</v>
      </c>
    </row>
    <row r="1085" spans="2:5" ht="15" customHeight="1" x14ac:dyDescent="0.3">
      <c r="C1085" s="2"/>
      <c r="D1085" s="8">
        <v>2019</v>
      </c>
      <c r="E1085" s="14">
        <f>Data!R1085</f>
        <v>0</v>
      </c>
    </row>
    <row r="1086" spans="2:5" ht="15" customHeight="1" x14ac:dyDescent="0.3">
      <c r="C1086" s="2"/>
      <c r="D1086" s="8">
        <v>2020</v>
      </c>
      <c r="E1086" s="14">
        <f>Data!R1086</f>
        <v>0</v>
      </c>
    </row>
    <row r="1087" spans="2:5" ht="15" customHeight="1" x14ac:dyDescent="0.3">
      <c r="C1087" s="2"/>
      <c r="D1087" s="8">
        <v>2021</v>
      </c>
      <c r="E1087" s="14">
        <f>Data!R1087</f>
        <v>0</v>
      </c>
    </row>
    <row r="1088" spans="2:5" ht="15" customHeight="1" x14ac:dyDescent="0.3">
      <c r="C1088" s="2"/>
      <c r="D1088" s="8">
        <v>2022</v>
      </c>
      <c r="E1088" s="14">
        <f>Data!R1088</f>
        <v>4</v>
      </c>
    </row>
    <row r="1089" spans="2:5" ht="15" customHeight="1" x14ac:dyDescent="0.3">
      <c r="C1089" s="2"/>
      <c r="D1089" s="8">
        <v>2023</v>
      </c>
      <c r="E1089" s="14">
        <f>Data!R1089</f>
        <v>4</v>
      </c>
    </row>
    <row r="1090" spans="2:5" ht="15" customHeight="1" x14ac:dyDescent="0.3">
      <c r="C1090" s="2"/>
      <c r="D1090" s="8">
        <v>2024</v>
      </c>
      <c r="E1090" s="14">
        <f>Data!R1090</f>
        <v>4</v>
      </c>
    </row>
    <row r="1091" spans="2:5" ht="15" customHeight="1" x14ac:dyDescent="0.3">
      <c r="B1091" s="8">
        <v>100</v>
      </c>
      <c r="C1091" s="2" t="s">
        <v>104</v>
      </c>
      <c r="D1091" s="8">
        <v>2014</v>
      </c>
      <c r="E1091" s="14">
        <f>Data!R1091</f>
        <v>0</v>
      </c>
    </row>
    <row r="1092" spans="2:5" ht="15" customHeight="1" x14ac:dyDescent="0.3">
      <c r="C1092" s="2"/>
      <c r="D1092" s="8">
        <v>2015</v>
      </c>
      <c r="E1092" s="14">
        <f>Data!R1092</f>
        <v>4</v>
      </c>
    </row>
    <row r="1093" spans="2:5" ht="15" customHeight="1" x14ac:dyDescent="0.3">
      <c r="C1093" s="2"/>
      <c r="D1093" s="8">
        <v>2016</v>
      </c>
      <c r="E1093" s="14">
        <f>Data!R1093</f>
        <v>4</v>
      </c>
    </row>
    <row r="1094" spans="2:5" ht="15" customHeight="1" x14ac:dyDescent="0.3">
      <c r="C1094" s="2"/>
      <c r="D1094" s="8">
        <v>2017</v>
      </c>
      <c r="E1094" s="14">
        <f>Data!R1094</f>
        <v>3</v>
      </c>
    </row>
    <row r="1095" spans="2:5" ht="15" customHeight="1" x14ac:dyDescent="0.3">
      <c r="C1095" s="2"/>
      <c r="D1095" s="8">
        <v>2018</v>
      </c>
      <c r="E1095" s="14">
        <f>Data!R1095</f>
        <v>3</v>
      </c>
    </row>
    <row r="1096" spans="2:5" ht="15" customHeight="1" x14ac:dyDescent="0.3">
      <c r="C1096" s="2"/>
      <c r="D1096" s="8">
        <v>2019</v>
      </c>
      <c r="E1096" s="14">
        <f>Data!R1096</f>
        <v>3</v>
      </c>
    </row>
    <row r="1097" spans="2:5" ht="15" customHeight="1" x14ac:dyDescent="0.3">
      <c r="C1097" s="2"/>
      <c r="D1097" s="8">
        <v>2020</v>
      </c>
      <c r="E1097" s="14">
        <f>Data!R1097</f>
        <v>3</v>
      </c>
    </row>
    <row r="1098" spans="2:5" ht="15" customHeight="1" x14ac:dyDescent="0.3">
      <c r="C1098" s="2"/>
      <c r="D1098" s="8">
        <v>2021</v>
      </c>
      <c r="E1098" s="14">
        <f>Data!R1098</f>
        <v>3</v>
      </c>
    </row>
    <row r="1099" spans="2:5" ht="15" customHeight="1" x14ac:dyDescent="0.3">
      <c r="C1099" s="2"/>
      <c r="D1099" s="8">
        <v>2022</v>
      </c>
      <c r="E1099" s="14">
        <f>Data!R1099</f>
        <v>3</v>
      </c>
    </row>
    <row r="1100" spans="2:5" ht="15" customHeight="1" x14ac:dyDescent="0.3">
      <c r="C1100" s="2"/>
      <c r="D1100" s="8">
        <v>2023</v>
      </c>
      <c r="E1100" s="14">
        <f>Data!R1100</f>
        <v>3</v>
      </c>
    </row>
    <row r="1101" spans="2:5" ht="15" customHeight="1" x14ac:dyDescent="0.3">
      <c r="C1101" s="2"/>
      <c r="D1101" s="8">
        <v>2024</v>
      </c>
      <c r="E1101" s="14">
        <f>Data!R1101</f>
        <v>3</v>
      </c>
    </row>
    <row r="1102" spans="2:5" ht="15" customHeight="1" x14ac:dyDescent="0.3">
      <c r="B1102" s="8">
        <v>101</v>
      </c>
      <c r="C1102" s="2" t="s">
        <v>120</v>
      </c>
      <c r="D1102" s="8">
        <v>2014</v>
      </c>
      <c r="E1102" s="14">
        <f>Data!R1102</f>
        <v>0</v>
      </c>
    </row>
    <row r="1103" spans="2:5" ht="15" customHeight="1" x14ac:dyDescent="0.3">
      <c r="C1103" s="2"/>
      <c r="D1103" s="8">
        <v>2015</v>
      </c>
      <c r="E1103" s="14">
        <f>Data!R1103</f>
        <v>4</v>
      </c>
    </row>
    <row r="1104" spans="2:5" ht="15" customHeight="1" x14ac:dyDescent="0.3">
      <c r="C1104" s="2"/>
      <c r="D1104" s="8">
        <v>2016</v>
      </c>
      <c r="E1104" s="14">
        <f>Data!R1104</f>
        <v>4</v>
      </c>
    </row>
    <row r="1105" spans="2:5" ht="15" customHeight="1" x14ac:dyDescent="0.3">
      <c r="C1105" s="2"/>
      <c r="D1105" s="8">
        <v>2017</v>
      </c>
      <c r="E1105" s="14">
        <f>Data!R1105</f>
        <v>4</v>
      </c>
    </row>
    <row r="1106" spans="2:5" ht="15" customHeight="1" x14ac:dyDescent="0.3">
      <c r="C1106" s="2"/>
      <c r="D1106" s="8">
        <v>2018</v>
      </c>
      <c r="E1106" s="14">
        <f>Data!R1106</f>
        <v>4</v>
      </c>
    </row>
    <row r="1107" spans="2:5" ht="15" customHeight="1" x14ac:dyDescent="0.3">
      <c r="C1107" s="2"/>
      <c r="D1107" s="8">
        <v>2019</v>
      </c>
      <c r="E1107" s="14">
        <f>Data!R1107</f>
        <v>4</v>
      </c>
    </row>
    <row r="1108" spans="2:5" ht="15" customHeight="1" x14ac:dyDescent="0.3">
      <c r="C1108" s="2"/>
      <c r="D1108" s="8">
        <v>2020</v>
      </c>
      <c r="E1108" s="14">
        <f>Data!R1108</f>
        <v>4</v>
      </c>
    </row>
    <row r="1109" spans="2:5" ht="15" customHeight="1" x14ac:dyDescent="0.3">
      <c r="C1109" s="2"/>
      <c r="D1109" s="8">
        <v>2021</v>
      </c>
      <c r="E1109" s="14">
        <f>Data!R1109</f>
        <v>5</v>
      </c>
    </row>
    <row r="1110" spans="2:5" ht="15" customHeight="1" x14ac:dyDescent="0.3">
      <c r="C1110" s="2"/>
      <c r="D1110" s="8">
        <v>2022</v>
      </c>
      <c r="E1110" s="14">
        <f>Data!R1110</f>
        <v>4</v>
      </c>
    </row>
    <row r="1111" spans="2:5" ht="15" customHeight="1" x14ac:dyDescent="0.3">
      <c r="C1111" s="2"/>
      <c r="D1111" s="8">
        <v>2023</v>
      </c>
      <c r="E1111" s="14">
        <f>Data!R1111</f>
        <v>4</v>
      </c>
    </row>
    <row r="1112" spans="2:5" ht="15" customHeight="1" x14ac:dyDescent="0.3">
      <c r="C1112" s="2"/>
      <c r="D1112" s="8">
        <v>2024</v>
      </c>
      <c r="E1112" s="14">
        <f>Data!R1112</f>
        <v>3</v>
      </c>
    </row>
    <row r="1113" spans="2:5" ht="15" customHeight="1" x14ac:dyDescent="0.3">
      <c r="B1113" s="8">
        <v>102</v>
      </c>
      <c r="C1113" s="1" t="s">
        <v>134</v>
      </c>
      <c r="D1113" s="8">
        <v>2014</v>
      </c>
      <c r="E1113" s="14">
        <f>Data!R1113</f>
        <v>0</v>
      </c>
    </row>
    <row r="1114" spans="2:5" ht="15" customHeight="1" x14ac:dyDescent="0.3">
      <c r="C1114" s="1"/>
      <c r="D1114" s="8">
        <v>2015</v>
      </c>
      <c r="E1114" s="14">
        <f>Data!R1114</f>
        <v>0</v>
      </c>
    </row>
    <row r="1115" spans="2:5" ht="15" customHeight="1" x14ac:dyDescent="0.3">
      <c r="C1115" s="1"/>
      <c r="D1115" s="8">
        <v>2016</v>
      </c>
      <c r="E1115" s="14">
        <f>Data!R1115</f>
        <v>4</v>
      </c>
    </row>
    <row r="1116" spans="2:5" ht="15" customHeight="1" x14ac:dyDescent="0.3">
      <c r="C1116" s="1"/>
      <c r="D1116" s="8">
        <v>2017</v>
      </c>
      <c r="E1116" s="14">
        <f>Data!R1116</f>
        <v>4</v>
      </c>
    </row>
    <row r="1117" spans="2:5" ht="15" customHeight="1" x14ac:dyDescent="0.3">
      <c r="C1117" s="1"/>
      <c r="D1117" s="8">
        <v>2018</v>
      </c>
      <c r="E1117" s="14">
        <f>Data!R1117</f>
        <v>4</v>
      </c>
    </row>
    <row r="1118" spans="2:5" ht="15" customHeight="1" x14ac:dyDescent="0.3">
      <c r="C1118" s="1"/>
      <c r="D1118" s="8">
        <v>2019</v>
      </c>
      <c r="E1118" s="14">
        <f>Data!R1118</f>
        <v>4</v>
      </c>
    </row>
    <row r="1119" spans="2:5" ht="15" customHeight="1" x14ac:dyDescent="0.3">
      <c r="C1119" s="1"/>
      <c r="D1119" s="8">
        <v>2020</v>
      </c>
      <c r="E1119" s="14">
        <f>Data!R1119</f>
        <v>4</v>
      </c>
    </row>
    <row r="1120" spans="2:5" ht="15" customHeight="1" x14ac:dyDescent="0.3">
      <c r="C1120" s="1"/>
      <c r="D1120" s="8">
        <v>2021</v>
      </c>
      <c r="E1120" s="14">
        <f>Data!R1120</f>
        <v>4</v>
      </c>
    </row>
    <row r="1121" spans="2:5" ht="15" customHeight="1" x14ac:dyDescent="0.3">
      <c r="C1121" s="1"/>
      <c r="D1121" s="8">
        <v>2022</v>
      </c>
      <c r="E1121" s="14">
        <f>Data!R1121</f>
        <v>4</v>
      </c>
    </row>
    <row r="1122" spans="2:5" ht="15" customHeight="1" x14ac:dyDescent="0.3">
      <c r="C1122" s="1"/>
      <c r="D1122" s="8">
        <v>2023</v>
      </c>
      <c r="E1122" s="14">
        <f>Data!R1122</f>
        <v>4</v>
      </c>
    </row>
    <row r="1123" spans="2:5" ht="15" customHeight="1" x14ac:dyDescent="0.3">
      <c r="C1123" s="1"/>
      <c r="D1123" s="8">
        <v>2024</v>
      </c>
      <c r="E1123" s="14">
        <f>Data!R1123</f>
        <v>3</v>
      </c>
    </row>
    <row r="1124" spans="2:5" ht="15" customHeight="1" x14ac:dyDescent="0.3">
      <c r="B1124" s="8">
        <v>103</v>
      </c>
      <c r="C1124" s="2" t="s">
        <v>122</v>
      </c>
      <c r="D1124" s="8">
        <v>2014</v>
      </c>
      <c r="E1124" s="14">
        <f>Data!R1124</f>
        <v>0</v>
      </c>
    </row>
    <row r="1125" spans="2:5" ht="15" customHeight="1" x14ac:dyDescent="0.3">
      <c r="C1125" s="2"/>
      <c r="D1125" s="8">
        <v>2015</v>
      </c>
      <c r="E1125" s="14">
        <f>Data!R1125</f>
        <v>4</v>
      </c>
    </row>
    <row r="1126" spans="2:5" ht="15" customHeight="1" x14ac:dyDescent="0.3">
      <c r="C1126" s="2"/>
      <c r="D1126" s="8">
        <v>2016</v>
      </c>
      <c r="E1126" s="14">
        <f>Data!R1126</f>
        <v>4</v>
      </c>
    </row>
    <row r="1127" spans="2:5" ht="15" customHeight="1" x14ac:dyDescent="0.3">
      <c r="C1127" s="2"/>
      <c r="D1127" s="8">
        <v>2017</v>
      </c>
      <c r="E1127" s="14">
        <f>Data!R1127</f>
        <v>3</v>
      </c>
    </row>
    <row r="1128" spans="2:5" ht="15" customHeight="1" x14ac:dyDescent="0.3">
      <c r="C1128" s="2"/>
      <c r="D1128" s="8">
        <v>2018</v>
      </c>
      <c r="E1128" s="14">
        <f>Data!R1128</f>
        <v>0</v>
      </c>
    </row>
    <row r="1129" spans="2:5" ht="15" customHeight="1" x14ac:dyDescent="0.3">
      <c r="C1129" s="2"/>
      <c r="D1129" s="8">
        <v>2019</v>
      </c>
      <c r="E1129" s="14">
        <f>Data!R1129</f>
        <v>3</v>
      </c>
    </row>
    <row r="1130" spans="2:5" ht="15" customHeight="1" x14ac:dyDescent="0.3">
      <c r="C1130" s="2"/>
      <c r="D1130" s="8">
        <v>2020</v>
      </c>
      <c r="E1130" s="14">
        <f>Data!R1130</f>
        <v>3</v>
      </c>
    </row>
    <row r="1131" spans="2:5" ht="15" customHeight="1" x14ac:dyDescent="0.3">
      <c r="C1131" s="2"/>
      <c r="D1131" s="8">
        <v>2021</v>
      </c>
      <c r="E1131" s="14">
        <f>Data!R1131</f>
        <v>3</v>
      </c>
    </row>
    <row r="1132" spans="2:5" ht="15" customHeight="1" x14ac:dyDescent="0.3">
      <c r="C1132" s="2"/>
      <c r="D1132" s="8">
        <v>2022</v>
      </c>
      <c r="E1132" s="14">
        <f>Data!R1132</f>
        <v>3</v>
      </c>
    </row>
    <row r="1133" spans="2:5" ht="15" customHeight="1" x14ac:dyDescent="0.3">
      <c r="C1133" s="2"/>
      <c r="D1133" s="8">
        <v>2023</v>
      </c>
      <c r="E1133" s="14">
        <f>Data!R1133</f>
        <v>3</v>
      </c>
    </row>
    <row r="1134" spans="2:5" ht="15" customHeight="1" x14ac:dyDescent="0.3">
      <c r="C1134" s="2"/>
      <c r="D1134" s="8">
        <v>2024</v>
      </c>
      <c r="E1134" s="14">
        <f>Data!R1134</f>
        <v>4</v>
      </c>
    </row>
    <row r="1135" spans="2:5" ht="15" customHeight="1" x14ac:dyDescent="0.3">
      <c r="B1135" s="8">
        <v>104</v>
      </c>
      <c r="C1135" s="2" t="s">
        <v>123</v>
      </c>
      <c r="D1135" s="8">
        <v>2014</v>
      </c>
      <c r="E1135" s="14">
        <f>Data!R1135</f>
        <v>0</v>
      </c>
    </row>
    <row r="1136" spans="2:5" ht="15" customHeight="1" x14ac:dyDescent="0.3">
      <c r="C1136" s="2"/>
      <c r="D1136" s="8">
        <v>2015</v>
      </c>
      <c r="E1136" s="14">
        <f>Data!R1136</f>
        <v>4</v>
      </c>
    </row>
    <row r="1137" spans="2:5" ht="15" customHeight="1" x14ac:dyDescent="0.3">
      <c r="C1137" s="2"/>
      <c r="D1137" s="8">
        <v>2016</v>
      </c>
      <c r="E1137" s="14">
        <f>Data!R1137</f>
        <v>4</v>
      </c>
    </row>
    <row r="1138" spans="2:5" ht="15" customHeight="1" x14ac:dyDescent="0.3">
      <c r="C1138" s="2"/>
      <c r="D1138" s="8">
        <v>2017</v>
      </c>
      <c r="E1138" s="14">
        <f>Data!R1138</f>
        <v>2</v>
      </c>
    </row>
    <row r="1139" spans="2:5" ht="15" customHeight="1" x14ac:dyDescent="0.3">
      <c r="C1139" s="2"/>
      <c r="D1139" s="8">
        <v>2018</v>
      </c>
      <c r="E1139" s="14">
        <f>Data!R1139</f>
        <v>2</v>
      </c>
    </row>
    <row r="1140" spans="2:5" ht="15" customHeight="1" x14ac:dyDescent="0.3">
      <c r="C1140" s="2"/>
      <c r="D1140" s="8">
        <v>2019</v>
      </c>
      <c r="E1140" s="14">
        <f>Data!R1140</f>
        <v>4</v>
      </c>
    </row>
    <row r="1141" spans="2:5" ht="15" customHeight="1" x14ac:dyDescent="0.3">
      <c r="C1141" s="2"/>
      <c r="D1141" s="8">
        <v>2020</v>
      </c>
      <c r="E1141" s="14">
        <f>Data!R1141</f>
        <v>4</v>
      </c>
    </row>
    <row r="1142" spans="2:5" ht="15" customHeight="1" x14ac:dyDescent="0.3">
      <c r="C1142" s="2"/>
      <c r="D1142" s="8">
        <v>2021</v>
      </c>
      <c r="E1142" s="14">
        <f>Data!R1142</f>
        <v>3</v>
      </c>
    </row>
    <row r="1143" spans="2:5" ht="15" customHeight="1" x14ac:dyDescent="0.3">
      <c r="C1143" s="2"/>
      <c r="D1143" s="8">
        <v>2022</v>
      </c>
      <c r="E1143" s="14">
        <f>Data!R1143</f>
        <v>3</v>
      </c>
    </row>
    <row r="1144" spans="2:5" ht="15" customHeight="1" x14ac:dyDescent="0.3">
      <c r="C1144" s="2"/>
      <c r="D1144" s="8">
        <v>2023</v>
      </c>
      <c r="E1144" s="14">
        <f>Data!R1144</f>
        <v>3</v>
      </c>
    </row>
    <row r="1145" spans="2:5" ht="15" customHeight="1" x14ac:dyDescent="0.3">
      <c r="C1145" s="2"/>
      <c r="D1145" s="8">
        <v>2024</v>
      </c>
      <c r="E1145" s="14">
        <f>Data!R1145</f>
        <v>3</v>
      </c>
    </row>
    <row r="1146" spans="2:5" ht="15" customHeight="1" x14ac:dyDescent="0.3">
      <c r="B1146" s="8">
        <v>105</v>
      </c>
      <c r="C1146" s="1" t="s">
        <v>135</v>
      </c>
      <c r="D1146" s="8">
        <v>2014</v>
      </c>
      <c r="E1146" s="14">
        <f>Data!R1146</f>
        <v>0</v>
      </c>
    </row>
    <row r="1147" spans="2:5" ht="15" customHeight="1" x14ac:dyDescent="0.3">
      <c r="C1147" s="1"/>
      <c r="D1147" s="8">
        <v>2015</v>
      </c>
      <c r="E1147" s="14">
        <f>Data!R1147</f>
        <v>0</v>
      </c>
    </row>
    <row r="1148" spans="2:5" ht="15" customHeight="1" x14ac:dyDescent="0.3">
      <c r="C1148" s="1"/>
      <c r="D1148" s="8">
        <v>2016</v>
      </c>
      <c r="E1148" s="14">
        <f>Data!R1148</f>
        <v>0</v>
      </c>
    </row>
    <row r="1149" spans="2:5" ht="15" customHeight="1" x14ac:dyDescent="0.3">
      <c r="C1149" s="1"/>
      <c r="D1149" s="8">
        <v>2017</v>
      </c>
      <c r="E1149" s="14">
        <f>Data!R1149</f>
        <v>1</v>
      </c>
    </row>
    <row r="1150" spans="2:5" ht="15" customHeight="1" x14ac:dyDescent="0.3">
      <c r="C1150" s="1"/>
      <c r="D1150" s="8">
        <v>2018</v>
      </c>
      <c r="E1150" s="14">
        <f>Data!R1150</f>
        <v>3</v>
      </c>
    </row>
    <row r="1151" spans="2:5" ht="15" customHeight="1" x14ac:dyDescent="0.3">
      <c r="C1151" s="1"/>
      <c r="D1151" s="8">
        <v>2019</v>
      </c>
      <c r="E1151" s="14">
        <f>Data!R1151</f>
        <v>3</v>
      </c>
    </row>
    <row r="1152" spans="2:5" ht="15" customHeight="1" x14ac:dyDescent="0.3">
      <c r="C1152" s="1"/>
      <c r="D1152" s="8">
        <v>2020</v>
      </c>
      <c r="E1152" s="14">
        <f>Data!R1152</f>
        <v>3</v>
      </c>
    </row>
    <row r="1153" spans="2:5" ht="15" customHeight="1" x14ac:dyDescent="0.3">
      <c r="C1153" s="1"/>
      <c r="D1153" s="8">
        <v>2021</v>
      </c>
      <c r="E1153" s="14">
        <f>Data!R1153</f>
        <v>3</v>
      </c>
    </row>
    <row r="1154" spans="2:5" ht="15" customHeight="1" x14ac:dyDescent="0.3">
      <c r="C1154" s="1"/>
      <c r="D1154" s="8">
        <v>2022</v>
      </c>
      <c r="E1154" s="14">
        <f>Data!R1154</f>
        <v>3</v>
      </c>
    </row>
    <row r="1155" spans="2:5" ht="15" customHeight="1" x14ac:dyDescent="0.3">
      <c r="C1155" s="1"/>
      <c r="D1155" s="8">
        <v>2023</v>
      </c>
      <c r="E1155" s="14">
        <f>Data!R1155</f>
        <v>3</v>
      </c>
    </row>
    <row r="1156" spans="2:5" ht="15" customHeight="1" x14ac:dyDescent="0.3">
      <c r="C1156" s="1"/>
      <c r="D1156" s="8">
        <v>2024</v>
      </c>
      <c r="E1156" s="14">
        <f>Data!R1156</f>
        <v>3</v>
      </c>
    </row>
    <row r="1157" spans="2:5" ht="15" customHeight="1" x14ac:dyDescent="0.3">
      <c r="B1157" s="8">
        <v>106</v>
      </c>
      <c r="C1157" s="2" t="s">
        <v>124</v>
      </c>
      <c r="D1157" s="8">
        <v>2014</v>
      </c>
      <c r="E1157" s="14">
        <f>Data!R1157</f>
        <v>0</v>
      </c>
    </row>
    <row r="1158" spans="2:5" ht="15" customHeight="1" x14ac:dyDescent="0.3">
      <c r="C1158" s="2"/>
      <c r="D1158" s="8">
        <v>2015</v>
      </c>
      <c r="E1158" s="14">
        <f>Data!R1158</f>
        <v>4</v>
      </c>
    </row>
    <row r="1159" spans="2:5" ht="15" customHeight="1" x14ac:dyDescent="0.3">
      <c r="C1159" s="2"/>
      <c r="D1159" s="8">
        <v>2016</v>
      </c>
      <c r="E1159" s="14">
        <f>Data!R1159</f>
        <v>4</v>
      </c>
    </row>
    <row r="1160" spans="2:5" ht="15" customHeight="1" x14ac:dyDescent="0.3">
      <c r="C1160" s="2"/>
      <c r="D1160" s="8">
        <v>2017</v>
      </c>
      <c r="E1160" s="14">
        <f>Data!R1160</f>
        <v>4</v>
      </c>
    </row>
    <row r="1161" spans="2:5" ht="15" customHeight="1" x14ac:dyDescent="0.3">
      <c r="C1161" s="2"/>
      <c r="D1161" s="8">
        <v>2018</v>
      </c>
      <c r="E1161" s="14">
        <f>Data!R1161</f>
        <v>4</v>
      </c>
    </row>
    <row r="1162" spans="2:5" ht="15" customHeight="1" x14ac:dyDescent="0.3">
      <c r="C1162" s="2"/>
      <c r="D1162" s="8">
        <v>2019</v>
      </c>
      <c r="E1162" s="14">
        <f>Data!R1162</f>
        <v>4</v>
      </c>
    </row>
    <row r="1163" spans="2:5" ht="15" customHeight="1" x14ac:dyDescent="0.3">
      <c r="C1163" s="2"/>
      <c r="D1163" s="8">
        <v>2020</v>
      </c>
      <c r="E1163" s="14">
        <f>Data!R1163</f>
        <v>3</v>
      </c>
    </row>
    <row r="1164" spans="2:5" ht="15" customHeight="1" x14ac:dyDescent="0.3">
      <c r="C1164" s="2"/>
      <c r="D1164" s="8">
        <v>2021</v>
      </c>
      <c r="E1164" s="14">
        <f>Data!R1164</f>
        <v>4</v>
      </c>
    </row>
    <row r="1165" spans="2:5" ht="15" customHeight="1" x14ac:dyDescent="0.3">
      <c r="C1165" s="2"/>
      <c r="D1165" s="8">
        <v>2022</v>
      </c>
      <c r="E1165" s="14">
        <f>Data!R1165</f>
        <v>4</v>
      </c>
    </row>
    <row r="1166" spans="2:5" ht="15" customHeight="1" x14ac:dyDescent="0.3">
      <c r="C1166" s="2"/>
      <c r="D1166" s="8">
        <v>2023</v>
      </c>
      <c r="E1166" s="14">
        <f>Data!R1166</f>
        <v>4</v>
      </c>
    </row>
    <row r="1167" spans="2:5" ht="15" customHeight="1" x14ac:dyDescent="0.3">
      <c r="C1167" s="2"/>
      <c r="D1167" s="8">
        <v>2024</v>
      </c>
      <c r="E1167" s="14">
        <f>Data!R1167</f>
        <v>4</v>
      </c>
    </row>
    <row r="1168" spans="2:5" ht="15" customHeight="1" x14ac:dyDescent="0.3">
      <c r="B1168" s="8">
        <v>107</v>
      </c>
      <c r="C1168" s="2" t="s">
        <v>105</v>
      </c>
      <c r="D1168" s="8">
        <v>2014</v>
      </c>
      <c r="E1168" s="14">
        <f>Data!R1168</f>
        <v>0</v>
      </c>
    </row>
    <row r="1169" spans="2:5" ht="15" customHeight="1" x14ac:dyDescent="0.3">
      <c r="C1169" s="2"/>
      <c r="D1169" s="8">
        <v>2015</v>
      </c>
      <c r="E1169" s="14">
        <f>Data!R1169</f>
        <v>0</v>
      </c>
    </row>
    <row r="1170" spans="2:5" ht="15" customHeight="1" x14ac:dyDescent="0.3">
      <c r="C1170" s="2"/>
      <c r="D1170" s="8">
        <v>2016</v>
      </c>
      <c r="E1170" s="14">
        <f>Data!R1170</f>
        <v>0</v>
      </c>
    </row>
    <row r="1171" spans="2:5" ht="15" customHeight="1" x14ac:dyDescent="0.3">
      <c r="C1171" s="2"/>
      <c r="D1171" s="8">
        <v>2017</v>
      </c>
      <c r="E1171" s="14">
        <f>Data!R1171</f>
        <v>0</v>
      </c>
    </row>
    <row r="1172" spans="2:5" ht="15" customHeight="1" x14ac:dyDescent="0.3">
      <c r="C1172" s="2"/>
      <c r="D1172" s="8">
        <v>2018</v>
      </c>
      <c r="E1172" s="14">
        <f>Data!R1172</f>
        <v>0</v>
      </c>
    </row>
    <row r="1173" spans="2:5" ht="15" customHeight="1" x14ac:dyDescent="0.3">
      <c r="C1173" s="2"/>
      <c r="D1173" s="8">
        <v>2019</v>
      </c>
      <c r="E1173" s="14">
        <f>Data!R1173</f>
        <v>4</v>
      </c>
    </row>
    <row r="1174" spans="2:5" ht="15" customHeight="1" x14ac:dyDescent="0.3">
      <c r="C1174" s="2"/>
      <c r="D1174" s="8">
        <v>2020</v>
      </c>
      <c r="E1174" s="14">
        <f>Data!R1174</f>
        <v>4</v>
      </c>
    </row>
    <row r="1175" spans="2:5" ht="15" customHeight="1" x14ac:dyDescent="0.3">
      <c r="C1175" s="2"/>
      <c r="D1175" s="8">
        <v>2021</v>
      </c>
      <c r="E1175" s="14">
        <f>Data!R1175</f>
        <v>4</v>
      </c>
    </row>
    <row r="1176" spans="2:5" ht="15" customHeight="1" x14ac:dyDescent="0.3">
      <c r="C1176" s="2"/>
      <c r="D1176" s="8">
        <v>2022</v>
      </c>
      <c r="E1176" s="14">
        <f>Data!R1176</f>
        <v>4</v>
      </c>
    </row>
    <row r="1177" spans="2:5" ht="15" customHeight="1" x14ac:dyDescent="0.3">
      <c r="C1177" s="2"/>
      <c r="D1177" s="8">
        <v>2023</v>
      </c>
      <c r="E1177" s="14">
        <f>Data!R1177</f>
        <v>4</v>
      </c>
    </row>
    <row r="1178" spans="2:5" ht="15" customHeight="1" x14ac:dyDescent="0.3">
      <c r="C1178" s="2"/>
      <c r="D1178" s="8">
        <v>2024</v>
      </c>
      <c r="E1178" s="14">
        <f>Data!R1178</f>
        <v>3</v>
      </c>
    </row>
    <row r="1179" spans="2:5" ht="15" customHeight="1" x14ac:dyDescent="0.3">
      <c r="B1179" s="8">
        <v>108</v>
      </c>
      <c r="C1179" s="1" t="s">
        <v>125</v>
      </c>
      <c r="D1179" s="8">
        <v>2014</v>
      </c>
      <c r="E1179" s="14">
        <f>Data!R1179</f>
        <v>0</v>
      </c>
    </row>
    <row r="1180" spans="2:5" ht="15" customHeight="1" x14ac:dyDescent="0.3">
      <c r="C1180" s="1"/>
      <c r="D1180" s="8">
        <v>2015</v>
      </c>
      <c r="E1180" s="14">
        <f>Data!R1180</f>
        <v>4</v>
      </c>
    </row>
    <row r="1181" spans="2:5" ht="15" customHeight="1" x14ac:dyDescent="0.3">
      <c r="C1181" s="1"/>
      <c r="D1181" s="8">
        <v>2016</v>
      </c>
      <c r="E1181" s="14">
        <f>Data!R1181</f>
        <v>3</v>
      </c>
    </row>
    <row r="1182" spans="2:5" ht="15" customHeight="1" x14ac:dyDescent="0.3">
      <c r="C1182" s="1"/>
      <c r="D1182" s="8">
        <v>2017</v>
      </c>
      <c r="E1182" s="14">
        <f>Data!R1182</f>
        <v>0</v>
      </c>
    </row>
    <row r="1183" spans="2:5" ht="15" customHeight="1" x14ac:dyDescent="0.3">
      <c r="C1183" s="1"/>
      <c r="D1183" s="8">
        <v>2018</v>
      </c>
      <c r="E1183" s="14">
        <f>Data!R1183</f>
        <v>4</v>
      </c>
    </row>
    <row r="1184" spans="2:5" ht="15" customHeight="1" x14ac:dyDescent="0.3">
      <c r="C1184" s="1"/>
      <c r="D1184" s="8">
        <v>2019</v>
      </c>
      <c r="E1184" s="14">
        <f>Data!R1184</f>
        <v>0</v>
      </c>
    </row>
    <row r="1185" spans="2:5" ht="15" customHeight="1" x14ac:dyDescent="0.3">
      <c r="C1185" s="1"/>
      <c r="D1185" s="8">
        <v>2020</v>
      </c>
      <c r="E1185" s="14">
        <f>Data!R1185</f>
        <v>4</v>
      </c>
    </row>
    <row r="1186" spans="2:5" ht="15" customHeight="1" x14ac:dyDescent="0.3">
      <c r="C1186" s="1"/>
      <c r="D1186" s="8">
        <v>2021</v>
      </c>
      <c r="E1186" s="14">
        <f>Data!R1186</f>
        <v>3</v>
      </c>
    </row>
    <row r="1187" spans="2:5" ht="15" customHeight="1" x14ac:dyDescent="0.3">
      <c r="C1187" s="1"/>
      <c r="D1187" s="8">
        <v>2022</v>
      </c>
      <c r="E1187" s="14">
        <f>Data!R1187</f>
        <v>3</v>
      </c>
    </row>
    <row r="1188" spans="2:5" ht="15" customHeight="1" x14ac:dyDescent="0.3">
      <c r="C1188" s="1"/>
      <c r="D1188" s="8">
        <v>2023</v>
      </c>
      <c r="E1188" s="14">
        <f>Data!R1188</f>
        <v>3</v>
      </c>
    </row>
    <row r="1189" spans="2:5" ht="15" customHeight="1" x14ac:dyDescent="0.3">
      <c r="C1189" s="1"/>
      <c r="D1189" s="8">
        <v>2024</v>
      </c>
      <c r="E1189" s="14">
        <f>Data!R1189</f>
        <v>3</v>
      </c>
    </row>
    <row r="1190" spans="2:5" ht="15" customHeight="1" x14ac:dyDescent="0.3">
      <c r="B1190" s="8">
        <v>109</v>
      </c>
      <c r="C1190" s="2" t="s">
        <v>106</v>
      </c>
      <c r="D1190" s="8">
        <v>2014</v>
      </c>
      <c r="E1190" s="14">
        <f>Data!R1190</f>
        <v>0</v>
      </c>
    </row>
    <row r="1191" spans="2:5" ht="15" customHeight="1" x14ac:dyDescent="0.3">
      <c r="C1191" s="2"/>
      <c r="D1191" s="8">
        <v>2015</v>
      </c>
      <c r="E1191" s="14">
        <f>Data!R1191</f>
        <v>5</v>
      </c>
    </row>
    <row r="1192" spans="2:5" ht="15" customHeight="1" x14ac:dyDescent="0.3">
      <c r="C1192" s="2"/>
      <c r="D1192" s="8">
        <v>2016</v>
      </c>
      <c r="E1192" s="14">
        <f>Data!R1192</f>
        <v>5</v>
      </c>
    </row>
    <row r="1193" spans="2:5" ht="15" customHeight="1" x14ac:dyDescent="0.3">
      <c r="C1193" s="2"/>
      <c r="D1193" s="8">
        <v>2017</v>
      </c>
      <c r="E1193" s="14">
        <f>Data!R1193</f>
        <v>6</v>
      </c>
    </row>
    <row r="1194" spans="2:5" ht="15" customHeight="1" x14ac:dyDescent="0.3">
      <c r="C1194" s="2"/>
      <c r="D1194" s="8">
        <v>2018</v>
      </c>
      <c r="E1194" s="14">
        <f>Data!R1194</f>
        <v>6</v>
      </c>
    </row>
    <row r="1195" spans="2:5" ht="15" customHeight="1" x14ac:dyDescent="0.3">
      <c r="C1195" s="2"/>
      <c r="D1195" s="8">
        <v>2019</v>
      </c>
      <c r="E1195" s="14">
        <f>Data!R1195</f>
        <v>6</v>
      </c>
    </row>
    <row r="1196" spans="2:5" ht="15" customHeight="1" x14ac:dyDescent="0.3">
      <c r="C1196" s="2"/>
      <c r="D1196" s="8">
        <v>2020</v>
      </c>
      <c r="E1196" s="14">
        <f>Data!R1196</f>
        <v>6</v>
      </c>
    </row>
    <row r="1197" spans="2:5" ht="15" customHeight="1" x14ac:dyDescent="0.3">
      <c r="C1197" s="2"/>
      <c r="D1197" s="8">
        <v>2021</v>
      </c>
      <c r="E1197" s="14">
        <f>Data!R1197</f>
        <v>6</v>
      </c>
    </row>
    <row r="1198" spans="2:5" ht="15" customHeight="1" x14ac:dyDescent="0.3">
      <c r="C1198" s="2"/>
      <c r="D1198" s="8">
        <v>2022</v>
      </c>
      <c r="E1198" s="14">
        <f>Data!R1198</f>
        <v>5</v>
      </c>
    </row>
    <row r="1199" spans="2:5" ht="15" customHeight="1" x14ac:dyDescent="0.3">
      <c r="C1199" s="2"/>
      <c r="D1199" s="8">
        <v>2023</v>
      </c>
      <c r="E1199" s="14">
        <f>Data!R1199</f>
        <v>5</v>
      </c>
    </row>
    <row r="1200" spans="2:5" ht="15" customHeight="1" x14ac:dyDescent="0.3">
      <c r="C1200" s="2"/>
      <c r="D1200" s="8">
        <v>2024</v>
      </c>
      <c r="E1200" s="14">
        <f>Data!R1200</f>
        <v>5</v>
      </c>
    </row>
    <row r="1201" spans="2:5" ht="15" customHeight="1" x14ac:dyDescent="0.3">
      <c r="B1201" s="8">
        <v>110</v>
      </c>
      <c r="C1201" s="2" t="s">
        <v>66</v>
      </c>
      <c r="D1201" s="8">
        <v>2014</v>
      </c>
      <c r="E1201" s="14">
        <f>Data!R1201</f>
        <v>0</v>
      </c>
    </row>
    <row r="1202" spans="2:5" ht="15" customHeight="1" x14ac:dyDescent="0.3">
      <c r="C1202" s="2"/>
      <c r="D1202" s="8">
        <v>2015</v>
      </c>
      <c r="E1202" s="14">
        <f>Data!R1202</f>
        <v>0</v>
      </c>
    </row>
    <row r="1203" spans="2:5" ht="15" customHeight="1" x14ac:dyDescent="0.3">
      <c r="C1203" s="2"/>
      <c r="D1203" s="8">
        <v>2016</v>
      </c>
      <c r="E1203" s="14">
        <f>Data!R1203</f>
        <v>4</v>
      </c>
    </row>
    <row r="1204" spans="2:5" ht="15" customHeight="1" x14ac:dyDescent="0.3">
      <c r="C1204" s="2"/>
      <c r="D1204" s="8">
        <v>2017</v>
      </c>
      <c r="E1204" s="14">
        <f>Data!R1204</f>
        <v>4</v>
      </c>
    </row>
    <row r="1205" spans="2:5" ht="15" customHeight="1" x14ac:dyDescent="0.3">
      <c r="C1205" s="2"/>
      <c r="D1205" s="8">
        <v>2018</v>
      </c>
      <c r="E1205" s="14">
        <f>Data!R1205</f>
        <v>4</v>
      </c>
    </row>
    <row r="1206" spans="2:5" ht="15" customHeight="1" x14ac:dyDescent="0.3">
      <c r="C1206" s="2"/>
      <c r="D1206" s="8">
        <v>2019</v>
      </c>
      <c r="E1206" s="14">
        <f>Data!R1206</f>
        <v>4</v>
      </c>
    </row>
    <row r="1207" spans="2:5" ht="15" customHeight="1" x14ac:dyDescent="0.3">
      <c r="C1207" s="2"/>
      <c r="D1207" s="8">
        <v>2020</v>
      </c>
      <c r="E1207" s="14">
        <f>Data!R1207</f>
        <v>4</v>
      </c>
    </row>
    <row r="1208" spans="2:5" ht="15" customHeight="1" x14ac:dyDescent="0.3">
      <c r="C1208" s="2"/>
      <c r="D1208" s="8">
        <v>2021</v>
      </c>
      <c r="E1208" s="14">
        <f>Data!R1208</f>
        <v>4</v>
      </c>
    </row>
    <row r="1209" spans="2:5" ht="15" customHeight="1" x14ac:dyDescent="0.3">
      <c r="C1209" s="2"/>
      <c r="D1209" s="8">
        <v>2022</v>
      </c>
      <c r="E1209" s="14">
        <f>Data!R1209</f>
        <v>5</v>
      </c>
    </row>
    <row r="1210" spans="2:5" ht="15" customHeight="1" x14ac:dyDescent="0.3">
      <c r="C1210" s="2"/>
      <c r="D1210" s="8">
        <v>2023</v>
      </c>
      <c r="E1210" s="14">
        <f>Data!R1210</f>
        <v>4</v>
      </c>
    </row>
    <row r="1211" spans="2:5" ht="15" customHeight="1" x14ac:dyDescent="0.3">
      <c r="C1211" s="2"/>
      <c r="D1211" s="8">
        <v>2024</v>
      </c>
      <c r="E1211" s="14">
        <f>Data!R1211</f>
        <v>4</v>
      </c>
    </row>
    <row r="1212" spans="2:5" ht="15" customHeight="1" x14ac:dyDescent="0.3">
      <c r="B1212" s="8">
        <v>111</v>
      </c>
      <c r="C1212" s="2" t="s">
        <v>74</v>
      </c>
      <c r="D1212" s="8">
        <v>2014</v>
      </c>
      <c r="E1212" s="14">
        <f>Data!R1212</f>
        <v>0</v>
      </c>
    </row>
    <row r="1213" spans="2:5" ht="15" customHeight="1" x14ac:dyDescent="0.3">
      <c r="C1213" s="2"/>
      <c r="D1213" s="8">
        <v>2015</v>
      </c>
      <c r="E1213" s="14">
        <f>Data!R1213</f>
        <v>3</v>
      </c>
    </row>
    <row r="1214" spans="2:5" ht="15" customHeight="1" x14ac:dyDescent="0.3">
      <c r="C1214" s="2"/>
      <c r="D1214" s="8">
        <v>2016</v>
      </c>
      <c r="E1214" s="14">
        <f>Data!R1214</f>
        <v>3</v>
      </c>
    </row>
    <row r="1215" spans="2:5" ht="15" customHeight="1" x14ac:dyDescent="0.3">
      <c r="C1215" s="2"/>
      <c r="D1215" s="8">
        <v>2017</v>
      </c>
      <c r="E1215" s="14">
        <f>Data!R1215</f>
        <v>2</v>
      </c>
    </row>
    <row r="1216" spans="2:5" ht="15" customHeight="1" x14ac:dyDescent="0.3">
      <c r="C1216" s="2"/>
      <c r="D1216" s="8">
        <v>2018</v>
      </c>
      <c r="E1216" s="14">
        <f>Data!R1216</f>
        <v>3</v>
      </c>
    </row>
    <row r="1217" spans="2:5" ht="15" customHeight="1" x14ac:dyDescent="0.3">
      <c r="C1217" s="2"/>
      <c r="D1217" s="8">
        <v>2019</v>
      </c>
      <c r="E1217" s="14">
        <f>Data!R1217</f>
        <v>3</v>
      </c>
    </row>
    <row r="1218" spans="2:5" ht="15" customHeight="1" x14ac:dyDescent="0.3">
      <c r="C1218" s="2"/>
      <c r="D1218" s="8">
        <v>2020</v>
      </c>
      <c r="E1218" s="14">
        <f>Data!R1218</f>
        <v>3</v>
      </c>
    </row>
    <row r="1219" spans="2:5" ht="15" customHeight="1" x14ac:dyDescent="0.3">
      <c r="C1219" s="2"/>
      <c r="D1219" s="8">
        <v>2021</v>
      </c>
      <c r="E1219" s="14">
        <f>Data!R1219</f>
        <v>2</v>
      </c>
    </row>
    <row r="1220" spans="2:5" ht="15" customHeight="1" x14ac:dyDescent="0.3">
      <c r="C1220" s="2"/>
      <c r="D1220" s="8">
        <v>2022</v>
      </c>
      <c r="E1220" s="14">
        <f>Data!R1220</f>
        <v>3</v>
      </c>
    </row>
    <row r="1221" spans="2:5" ht="15" customHeight="1" x14ac:dyDescent="0.3">
      <c r="C1221" s="2"/>
      <c r="D1221" s="8">
        <v>2023</v>
      </c>
      <c r="E1221" s="14">
        <f>Data!R1221</f>
        <v>3</v>
      </c>
    </row>
    <row r="1222" spans="2:5" ht="15" customHeight="1" x14ac:dyDescent="0.3">
      <c r="C1222" s="2"/>
      <c r="D1222" s="8">
        <v>2024</v>
      </c>
      <c r="E1222" s="14">
        <f>Data!R1222</f>
        <v>3</v>
      </c>
    </row>
    <row r="1223" spans="2:5" ht="15" customHeight="1" x14ac:dyDescent="0.3">
      <c r="B1223" s="8">
        <v>112</v>
      </c>
      <c r="C1223" s="2" t="s">
        <v>91</v>
      </c>
      <c r="D1223" s="8">
        <v>2014</v>
      </c>
      <c r="E1223" s="14">
        <f>Data!R1223</f>
        <v>0</v>
      </c>
    </row>
    <row r="1224" spans="2:5" ht="15" customHeight="1" x14ac:dyDescent="0.3">
      <c r="C1224" s="2"/>
      <c r="D1224" s="8">
        <v>2015</v>
      </c>
      <c r="E1224" s="14">
        <f>Data!R1224</f>
        <v>0</v>
      </c>
    </row>
    <row r="1225" spans="2:5" ht="15" customHeight="1" x14ac:dyDescent="0.3">
      <c r="C1225" s="2"/>
      <c r="D1225" s="8">
        <v>2016</v>
      </c>
      <c r="E1225" s="14">
        <f>Data!R1225</f>
        <v>3</v>
      </c>
    </row>
    <row r="1226" spans="2:5" ht="15" customHeight="1" x14ac:dyDescent="0.3">
      <c r="C1226" s="2"/>
      <c r="D1226" s="8">
        <v>2017</v>
      </c>
      <c r="E1226" s="14">
        <f>Data!R1226</f>
        <v>3</v>
      </c>
    </row>
    <row r="1227" spans="2:5" ht="15" customHeight="1" x14ac:dyDescent="0.3">
      <c r="C1227" s="2"/>
      <c r="D1227" s="8">
        <v>2018</v>
      </c>
      <c r="E1227" s="14">
        <f>Data!R1227</f>
        <v>3</v>
      </c>
    </row>
    <row r="1228" spans="2:5" ht="15" customHeight="1" x14ac:dyDescent="0.3">
      <c r="C1228" s="2"/>
      <c r="D1228" s="8">
        <v>2019</v>
      </c>
      <c r="E1228" s="14">
        <f>Data!R1228</f>
        <v>3</v>
      </c>
    </row>
    <row r="1229" spans="2:5" ht="15" customHeight="1" x14ac:dyDescent="0.3">
      <c r="C1229" s="2"/>
      <c r="D1229" s="8">
        <v>2020</v>
      </c>
      <c r="E1229" s="14">
        <f>Data!R1229</f>
        <v>3</v>
      </c>
    </row>
    <row r="1230" spans="2:5" ht="15" customHeight="1" x14ac:dyDescent="0.3">
      <c r="C1230" s="2"/>
      <c r="D1230" s="8">
        <v>2021</v>
      </c>
      <c r="E1230" s="14">
        <f>Data!R1230</f>
        <v>3</v>
      </c>
    </row>
    <row r="1231" spans="2:5" ht="15" customHeight="1" x14ac:dyDescent="0.3">
      <c r="C1231" s="2"/>
      <c r="D1231" s="8">
        <v>2022</v>
      </c>
      <c r="E1231" s="14">
        <f>Data!R1231</f>
        <v>3</v>
      </c>
    </row>
    <row r="1232" spans="2:5" ht="15" customHeight="1" x14ac:dyDescent="0.3">
      <c r="C1232" s="2"/>
      <c r="D1232" s="8">
        <v>2023</v>
      </c>
      <c r="E1232" s="14">
        <f>Data!R1232</f>
        <v>3</v>
      </c>
    </row>
    <row r="1233" spans="2:5" ht="15" customHeight="1" x14ac:dyDescent="0.3">
      <c r="C1233" s="2"/>
      <c r="D1233" s="8">
        <v>2024</v>
      </c>
      <c r="E1233" s="14">
        <f>Data!R1233</f>
        <v>3</v>
      </c>
    </row>
    <row r="1234" spans="2:5" ht="15" customHeight="1" x14ac:dyDescent="0.3">
      <c r="B1234" s="8">
        <v>113</v>
      </c>
      <c r="C1234" s="2" t="s">
        <v>90</v>
      </c>
      <c r="D1234" s="8">
        <v>2014</v>
      </c>
      <c r="E1234" s="14">
        <f>Data!R1234</f>
        <v>0</v>
      </c>
    </row>
    <row r="1235" spans="2:5" ht="15" customHeight="1" x14ac:dyDescent="0.3">
      <c r="C1235" s="2"/>
      <c r="D1235" s="8">
        <v>2015</v>
      </c>
      <c r="E1235" s="14">
        <f>Data!R1235</f>
        <v>0</v>
      </c>
    </row>
    <row r="1236" spans="2:5" ht="15" customHeight="1" x14ac:dyDescent="0.3">
      <c r="C1236" s="2"/>
      <c r="D1236" s="8">
        <v>2016</v>
      </c>
      <c r="E1236" s="14">
        <f>Data!R1236</f>
        <v>0</v>
      </c>
    </row>
    <row r="1237" spans="2:5" ht="15" customHeight="1" x14ac:dyDescent="0.3">
      <c r="C1237" s="2"/>
      <c r="D1237" s="8">
        <v>2017</v>
      </c>
      <c r="E1237" s="14">
        <f>Data!R1237</f>
        <v>0</v>
      </c>
    </row>
    <row r="1238" spans="2:5" ht="15" customHeight="1" x14ac:dyDescent="0.3">
      <c r="C1238" s="2"/>
      <c r="D1238" s="8">
        <v>2018</v>
      </c>
      <c r="E1238" s="14">
        <f>Data!R1238</f>
        <v>0</v>
      </c>
    </row>
    <row r="1239" spans="2:5" ht="15" customHeight="1" x14ac:dyDescent="0.3">
      <c r="C1239" s="2"/>
      <c r="D1239" s="8">
        <v>2019</v>
      </c>
      <c r="E1239" s="14">
        <f>Data!R1239</f>
        <v>4</v>
      </c>
    </row>
    <row r="1240" spans="2:5" ht="15" customHeight="1" x14ac:dyDescent="0.3">
      <c r="C1240" s="2"/>
      <c r="D1240" s="8">
        <v>2020</v>
      </c>
      <c r="E1240" s="14">
        <f>Data!R1240</f>
        <v>4</v>
      </c>
    </row>
    <row r="1241" spans="2:5" ht="15" customHeight="1" x14ac:dyDescent="0.3">
      <c r="C1241" s="2"/>
      <c r="D1241" s="8">
        <v>2021</v>
      </c>
      <c r="E1241" s="14">
        <f>Data!R1241</f>
        <v>4</v>
      </c>
    </row>
    <row r="1242" spans="2:5" ht="15" customHeight="1" x14ac:dyDescent="0.3">
      <c r="C1242" s="2"/>
      <c r="D1242" s="8">
        <v>2022</v>
      </c>
      <c r="E1242" s="14">
        <f>Data!R1242</f>
        <v>3</v>
      </c>
    </row>
    <row r="1243" spans="2:5" ht="15" customHeight="1" x14ac:dyDescent="0.3">
      <c r="C1243" s="2"/>
      <c r="D1243" s="8">
        <v>2023</v>
      </c>
      <c r="E1243" s="14">
        <f>Data!R1243</f>
        <v>3</v>
      </c>
    </row>
    <row r="1244" spans="2:5" ht="15" customHeight="1" x14ac:dyDescent="0.3">
      <c r="C1244" s="2"/>
      <c r="D1244" s="8">
        <v>2024</v>
      </c>
      <c r="E1244" s="14">
        <f>Data!R1244</f>
        <v>3</v>
      </c>
    </row>
    <row r="1245" spans="2:5" ht="15" customHeight="1" x14ac:dyDescent="0.3">
      <c r="B1245" s="8">
        <v>114</v>
      </c>
      <c r="C1245" s="2" t="s">
        <v>107</v>
      </c>
      <c r="D1245" s="8">
        <v>2014</v>
      </c>
      <c r="E1245" s="14">
        <f>Data!R1245</f>
        <v>0</v>
      </c>
    </row>
    <row r="1246" spans="2:5" ht="15" customHeight="1" x14ac:dyDescent="0.3">
      <c r="C1246" s="2"/>
      <c r="D1246" s="8">
        <v>2015</v>
      </c>
      <c r="E1246" s="14">
        <f>Data!R1246</f>
        <v>3</v>
      </c>
    </row>
    <row r="1247" spans="2:5" ht="15" customHeight="1" x14ac:dyDescent="0.3">
      <c r="C1247" s="2"/>
      <c r="D1247" s="8">
        <v>2016</v>
      </c>
      <c r="E1247" s="14">
        <f>Data!R1247</f>
        <v>3</v>
      </c>
    </row>
    <row r="1248" spans="2:5" ht="15" customHeight="1" x14ac:dyDescent="0.3">
      <c r="C1248" s="2"/>
      <c r="D1248" s="8">
        <v>2017</v>
      </c>
      <c r="E1248" s="14">
        <f>Data!R1248</f>
        <v>3</v>
      </c>
    </row>
    <row r="1249" spans="2:5" ht="15" customHeight="1" x14ac:dyDescent="0.3">
      <c r="C1249" s="2"/>
      <c r="D1249" s="8">
        <v>2018</v>
      </c>
      <c r="E1249" s="14">
        <f>Data!R1249</f>
        <v>3</v>
      </c>
    </row>
    <row r="1250" spans="2:5" ht="15" customHeight="1" x14ac:dyDescent="0.3">
      <c r="C1250" s="2"/>
      <c r="D1250" s="8">
        <v>2019</v>
      </c>
      <c r="E1250" s="14">
        <f>Data!R1250</f>
        <v>4</v>
      </c>
    </row>
    <row r="1251" spans="2:5" ht="15" customHeight="1" x14ac:dyDescent="0.3">
      <c r="C1251" s="2"/>
      <c r="D1251" s="8">
        <v>2020</v>
      </c>
      <c r="E1251" s="14">
        <f>Data!R1251</f>
        <v>4</v>
      </c>
    </row>
    <row r="1252" spans="2:5" ht="15" customHeight="1" x14ac:dyDescent="0.3">
      <c r="C1252" s="2"/>
      <c r="D1252" s="8">
        <v>2021</v>
      </c>
      <c r="E1252" s="14">
        <f>Data!R1252</f>
        <v>4</v>
      </c>
    </row>
    <row r="1253" spans="2:5" ht="15" customHeight="1" x14ac:dyDescent="0.3">
      <c r="C1253" s="2"/>
      <c r="D1253" s="8">
        <v>2022</v>
      </c>
      <c r="E1253" s="14">
        <f>Data!R1253</f>
        <v>3</v>
      </c>
    </row>
    <row r="1254" spans="2:5" ht="15" customHeight="1" x14ac:dyDescent="0.3">
      <c r="C1254" s="2"/>
      <c r="D1254" s="8">
        <v>2023</v>
      </c>
      <c r="E1254" s="14">
        <f>Data!R1254</f>
        <v>3</v>
      </c>
    </row>
    <row r="1255" spans="2:5" ht="15" customHeight="1" x14ac:dyDescent="0.3">
      <c r="C1255" s="2"/>
      <c r="D1255" s="8">
        <v>2024</v>
      </c>
      <c r="E1255" s="14">
        <f>Data!R1255</f>
        <v>4</v>
      </c>
    </row>
    <row r="1256" spans="2:5" ht="15" customHeight="1" x14ac:dyDescent="0.3">
      <c r="B1256" s="8">
        <v>115</v>
      </c>
      <c r="C1256" s="1" t="s">
        <v>128</v>
      </c>
      <c r="D1256" s="8">
        <v>2014</v>
      </c>
      <c r="E1256" s="14">
        <f>Data!R1256</f>
        <v>0</v>
      </c>
    </row>
    <row r="1257" spans="2:5" ht="15" customHeight="1" x14ac:dyDescent="0.3">
      <c r="C1257" s="1"/>
      <c r="D1257" s="8">
        <v>2015</v>
      </c>
      <c r="E1257" s="14">
        <f>Data!R1257</f>
        <v>0</v>
      </c>
    </row>
    <row r="1258" spans="2:5" ht="15" customHeight="1" x14ac:dyDescent="0.3">
      <c r="C1258" s="1"/>
      <c r="D1258" s="8">
        <v>2016</v>
      </c>
      <c r="E1258" s="14">
        <f>Data!R1258</f>
        <v>0</v>
      </c>
    </row>
    <row r="1259" spans="2:5" ht="15" customHeight="1" x14ac:dyDescent="0.3">
      <c r="C1259" s="1"/>
      <c r="D1259" s="8">
        <v>2017</v>
      </c>
      <c r="E1259" s="14">
        <f>Data!R1259</f>
        <v>0</v>
      </c>
    </row>
    <row r="1260" spans="2:5" ht="15" customHeight="1" x14ac:dyDescent="0.3">
      <c r="C1260" s="1"/>
      <c r="D1260" s="8">
        <v>2018</v>
      </c>
      <c r="E1260" s="14">
        <f>Data!R1260</f>
        <v>0</v>
      </c>
    </row>
    <row r="1261" spans="2:5" ht="15" customHeight="1" x14ac:dyDescent="0.3">
      <c r="C1261" s="1"/>
      <c r="D1261" s="8">
        <v>2019</v>
      </c>
      <c r="E1261" s="14">
        <f>Data!R1261</f>
        <v>0</v>
      </c>
    </row>
    <row r="1262" spans="2:5" ht="15" customHeight="1" x14ac:dyDescent="0.3">
      <c r="C1262" s="1"/>
      <c r="D1262" s="8">
        <v>2020</v>
      </c>
      <c r="E1262" s="14">
        <f>Data!R1262</f>
        <v>0</v>
      </c>
    </row>
    <row r="1263" spans="2:5" ht="15" customHeight="1" x14ac:dyDescent="0.3">
      <c r="C1263" s="1"/>
      <c r="D1263" s="8">
        <v>2021</v>
      </c>
      <c r="E1263" s="14">
        <f>Data!R1263</f>
        <v>0</v>
      </c>
    </row>
    <row r="1264" spans="2:5" ht="15" customHeight="1" x14ac:dyDescent="0.3">
      <c r="C1264" s="1"/>
      <c r="D1264" s="8">
        <v>2022</v>
      </c>
      <c r="E1264" s="14">
        <f>Data!R1264</f>
        <v>3</v>
      </c>
    </row>
    <row r="1265" spans="2:5" ht="15" customHeight="1" x14ac:dyDescent="0.3">
      <c r="C1265" s="1"/>
      <c r="D1265" s="8">
        <v>2023</v>
      </c>
      <c r="E1265" s="14">
        <f>Data!R1265</f>
        <v>3</v>
      </c>
    </row>
    <row r="1266" spans="2:5" ht="15" customHeight="1" x14ac:dyDescent="0.3">
      <c r="C1266" s="1"/>
      <c r="D1266" s="8">
        <v>2024</v>
      </c>
      <c r="E1266" s="14">
        <f>Data!R1266</f>
        <v>4</v>
      </c>
    </row>
    <row r="1267" spans="2:5" ht="15" customHeight="1" x14ac:dyDescent="0.3">
      <c r="B1267" s="8">
        <v>116</v>
      </c>
      <c r="C1267" s="1" t="s">
        <v>127</v>
      </c>
      <c r="D1267" s="8">
        <v>2014</v>
      </c>
      <c r="E1267" s="14">
        <f>Data!R1267</f>
        <v>0</v>
      </c>
    </row>
    <row r="1268" spans="2:5" ht="15" customHeight="1" x14ac:dyDescent="0.3">
      <c r="C1268" s="1"/>
      <c r="D1268" s="8">
        <v>2015</v>
      </c>
      <c r="E1268" s="14">
        <f>Data!R1268</f>
        <v>4</v>
      </c>
    </row>
    <row r="1269" spans="2:5" ht="15" customHeight="1" x14ac:dyDescent="0.3">
      <c r="C1269" s="1"/>
      <c r="D1269" s="8">
        <v>2016</v>
      </c>
      <c r="E1269" s="14">
        <f>Data!R1269</f>
        <v>4</v>
      </c>
    </row>
    <row r="1270" spans="2:5" ht="15" customHeight="1" x14ac:dyDescent="0.3">
      <c r="C1270" s="1"/>
      <c r="D1270" s="8">
        <v>2017</v>
      </c>
      <c r="E1270" s="14">
        <f>Data!R1270</f>
        <v>4</v>
      </c>
    </row>
    <row r="1271" spans="2:5" ht="15" customHeight="1" x14ac:dyDescent="0.3">
      <c r="C1271" s="1"/>
      <c r="D1271" s="8">
        <v>2018</v>
      </c>
      <c r="E1271" s="14">
        <f>Data!R1271</f>
        <v>4</v>
      </c>
    </row>
    <row r="1272" spans="2:5" ht="15" customHeight="1" x14ac:dyDescent="0.3">
      <c r="C1272" s="1"/>
      <c r="D1272" s="8">
        <v>2019</v>
      </c>
      <c r="E1272" s="14">
        <f>Data!R1272</f>
        <v>4</v>
      </c>
    </row>
    <row r="1273" spans="2:5" ht="15" customHeight="1" x14ac:dyDescent="0.3">
      <c r="C1273" s="1"/>
      <c r="D1273" s="8">
        <v>2020</v>
      </c>
      <c r="E1273" s="14">
        <f>Data!R1273</f>
        <v>4</v>
      </c>
    </row>
    <row r="1274" spans="2:5" ht="15" customHeight="1" x14ac:dyDescent="0.3">
      <c r="C1274" s="1"/>
      <c r="D1274" s="8">
        <v>2021</v>
      </c>
      <c r="E1274" s="14">
        <f>Data!R1274</f>
        <v>4</v>
      </c>
    </row>
    <row r="1275" spans="2:5" ht="15" customHeight="1" x14ac:dyDescent="0.3">
      <c r="C1275" s="1"/>
      <c r="D1275" s="8">
        <v>2022</v>
      </c>
      <c r="E1275" s="14">
        <f>Data!R1275</f>
        <v>4</v>
      </c>
    </row>
    <row r="1276" spans="2:5" ht="15" customHeight="1" x14ac:dyDescent="0.3">
      <c r="C1276" s="1"/>
      <c r="D1276" s="8">
        <v>2023</v>
      </c>
      <c r="E1276" s="14">
        <f>Data!R1276</f>
        <v>4</v>
      </c>
    </row>
    <row r="1277" spans="2:5" ht="15" customHeight="1" x14ac:dyDescent="0.3">
      <c r="C1277" s="1"/>
      <c r="D1277" s="8">
        <v>2024</v>
      </c>
      <c r="E1277" s="14">
        <f>Data!R1277</f>
        <v>4</v>
      </c>
    </row>
    <row r="1278" spans="2:5" ht="15" customHeight="1" x14ac:dyDescent="0.3">
      <c r="B1278" s="8">
        <v>117</v>
      </c>
      <c r="C1278" s="2" t="s">
        <v>65</v>
      </c>
      <c r="D1278" s="8">
        <v>2014</v>
      </c>
      <c r="E1278" s="14">
        <f>Data!R1278</f>
        <v>0</v>
      </c>
    </row>
    <row r="1279" spans="2:5" ht="15" customHeight="1" x14ac:dyDescent="0.3">
      <c r="C1279" s="2"/>
      <c r="D1279" s="8">
        <v>2015</v>
      </c>
      <c r="E1279" s="14">
        <f>Data!R1279</f>
        <v>2</v>
      </c>
    </row>
    <row r="1280" spans="2:5" ht="15" customHeight="1" x14ac:dyDescent="0.3">
      <c r="C1280" s="2"/>
      <c r="D1280" s="8">
        <v>2016</v>
      </c>
      <c r="E1280" s="14">
        <f>Data!R1280</f>
        <v>3</v>
      </c>
    </row>
    <row r="1281" spans="2:5" ht="15" customHeight="1" x14ac:dyDescent="0.3">
      <c r="C1281" s="2"/>
      <c r="D1281" s="8">
        <v>2017</v>
      </c>
      <c r="E1281" s="14">
        <f>Data!R1281</f>
        <v>3</v>
      </c>
    </row>
    <row r="1282" spans="2:5" ht="15" customHeight="1" x14ac:dyDescent="0.3">
      <c r="C1282" s="2"/>
      <c r="D1282" s="8">
        <v>2018</v>
      </c>
      <c r="E1282" s="14">
        <f>Data!R1282</f>
        <v>3</v>
      </c>
    </row>
    <row r="1283" spans="2:5" ht="15" customHeight="1" x14ac:dyDescent="0.3">
      <c r="C1283" s="2"/>
      <c r="D1283" s="8">
        <v>2019</v>
      </c>
      <c r="E1283" s="14">
        <f>Data!R1283</f>
        <v>3</v>
      </c>
    </row>
    <row r="1284" spans="2:5" ht="15" customHeight="1" x14ac:dyDescent="0.3">
      <c r="C1284" s="2"/>
      <c r="D1284" s="8">
        <v>2020</v>
      </c>
      <c r="E1284" s="14">
        <f>Data!R1284</f>
        <v>3</v>
      </c>
    </row>
    <row r="1285" spans="2:5" ht="15" customHeight="1" x14ac:dyDescent="0.3">
      <c r="C1285" s="2"/>
      <c r="D1285" s="8">
        <v>2021</v>
      </c>
      <c r="E1285" s="14">
        <f>Data!R1285</f>
        <v>3</v>
      </c>
    </row>
    <row r="1286" spans="2:5" ht="15" customHeight="1" x14ac:dyDescent="0.3">
      <c r="C1286" s="2"/>
      <c r="D1286" s="8">
        <v>2022</v>
      </c>
      <c r="E1286" s="14">
        <f>Data!R1286</f>
        <v>3</v>
      </c>
    </row>
    <row r="1287" spans="2:5" ht="15" customHeight="1" x14ac:dyDescent="0.3">
      <c r="C1287" s="2"/>
      <c r="D1287" s="8">
        <v>2023</v>
      </c>
      <c r="E1287" s="14">
        <f>Data!R1287</f>
        <v>4</v>
      </c>
    </row>
    <row r="1288" spans="2:5" ht="15" customHeight="1" x14ac:dyDescent="0.3">
      <c r="C1288" s="2"/>
      <c r="D1288" s="8">
        <v>2024</v>
      </c>
      <c r="E1288" s="14">
        <f>Data!R1288</f>
        <v>3</v>
      </c>
    </row>
    <row r="1289" spans="2:5" ht="15" customHeight="1" x14ac:dyDescent="0.3">
      <c r="B1289" s="8">
        <v>118</v>
      </c>
      <c r="C1289" s="3" t="s">
        <v>89</v>
      </c>
      <c r="D1289" s="8">
        <v>2014</v>
      </c>
      <c r="E1289" s="14">
        <f>Data!R1289</f>
        <v>0</v>
      </c>
    </row>
    <row r="1290" spans="2:5" ht="15" customHeight="1" x14ac:dyDescent="0.3">
      <c r="C1290" s="3"/>
      <c r="D1290" s="8">
        <v>2015</v>
      </c>
      <c r="E1290" s="14">
        <f>Data!R1290</f>
        <v>0</v>
      </c>
    </row>
    <row r="1291" spans="2:5" ht="15" customHeight="1" x14ac:dyDescent="0.3">
      <c r="C1291" s="3"/>
      <c r="D1291" s="8">
        <v>2016</v>
      </c>
      <c r="E1291" s="14">
        <f>Data!R1291</f>
        <v>0</v>
      </c>
    </row>
    <row r="1292" spans="2:5" ht="15" customHeight="1" x14ac:dyDescent="0.3">
      <c r="C1292" s="3"/>
      <c r="D1292" s="8">
        <v>2017</v>
      </c>
      <c r="E1292" s="14">
        <f>Data!R1292</f>
        <v>0</v>
      </c>
    </row>
    <row r="1293" spans="2:5" ht="15" customHeight="1" x14ac:dyDescent="0.3">
      <c r="C1293" s="3"/>
      <c r="D1293" s="8">
        <v>2018</v>
      </c>
      <c r="E1293" s="14">
        <f>Data!R1293</f>
        <v>0</v>
      </c>
    </row>
    <row r="1294" spans="2:5" ht="15" customHeight="1" x14ac:dyDescent="0.3">
      <c r="C1294" s="3"/>
      <c r="D1294" s="8">
        <v>2019</v>
      </c>
      <c r="E1294" s="14">
        <f>Data!R1294</f>
        <v>4</v>
      </c>
    </row>
    <row r="1295" spans="2:5" ht="15" customHeight="1" x14ac:dyDescent="0.3">
      <c r="C1295" s="3"/>
      <c r="D1295" s="8">
        <v>2020</v>
      </c>
      <c r="E1295" s="14">
        <f>Data!R1295</f>
        <v>4</v>
      </c>
    </row>
    <row r="1296" spans="2:5" ht="15" customHeight="1" x14ac:dyDescent="0.3">
      <c r="C1296" s="3"/>
      <c r="D1296" s="8">
        <v>2021</v>
      </c>
      <c r="E1296" s="14">
        <f>Data!R1296</f>
        <v>4</v>
      </c>
    </row>
    <row r="1297" spans="2:5" ht="15" customHeight="1" x14ac:dyDescent="0.3">
      <c r="C1297" s="3"/>
      <c r="D1297" s="8">
        <v>2022</v>
      </c>
      <c r="E1297" s="14">
        <f>Data!R1297</f>
        <v>4</v>
      </c>
    </row>
    <row r="1298" spans="2:5" ht="15" customHeight="1" x14ac:dyDescent="0.3">
      <c r="C1298" s="3"/>
      <c r="D1298" s="8">
        <v>2023</v>
      </c>
      <c r="E1298" s="14">
        <f>Data!R1298</f>
        <v>3</v>
      </c>
    </row>
    <row r="1299" spans="2:5" ht="15" customHeight="1" x14ac:dyDescent="0.3">
      <c r="C1299" s="3"/>
      <c r="D1299" s="8">
        <v>2024</v>
      </c>
      <c r="E1299" s="14">
        <f>Data!R1299</f>
        <v>4</v>
      </c>
    </row>
    <row r="1300" spans="2:5" ht="15" customHeight="1" x14ac:dyDescent="0.3">
      <c r="B1300" s="8">
        <v>119</v>
      </c>
      <c r="C1300" s="2" t="s">
        <v>72</v>
      </c>
      <c r="D1300" s="8">
        <v>2014</v>
      </c>
      <c r="E1300" s="14">
        <f>Data!R1300</f>
        <v>0</v>
      </c>
    </row>
    <row r="1301" spans="2:5" ht="15" customHeight="1" x14ac:dyDescent="0.3">
      <c r="C1301" s="2"/>
      <c r="D1301" s="8">
        <v>2015</v>
      </c>
      <c r="E1301" s="14">
        <f>Data!R1301</f>
        <v>0</v>
      </c>
    </row>
    <row r="1302" spans="2:5" ht="15" customHeight="1" x14ac:dyDescent="0.3">
      <c r="C1302" s="2"/>
      <c r="D1302" s="8">
        <v>2016</v>
      </c>
      <c r="E1302" s="14">
        <f>Data!R1302</f>
        <v>3</v>
      </c>
    </row>
    <row r="1303" spans="2:5" ht="15" customHeight="1" x14ac:dyDescent="0.3">
      <c r="C1303" s="2"/>
      <c r="D1303" s="8">
        <v>2017</v>
      </c>
      <c r="E1303" s="14">
        <f>Data!R1303</f>
        <v>1</v>
      </c>
    </row>
    <row r="1304" spans="2:5" ht="15" customHeight="1" x14ac:dyDescent="0.3">
      <c r="C1304" s="2"/>
      <c r="D1304" s="8">
        <v>2018</v>
      </c>
      <c r="E1304" s="14">
        <f>Data!R1304</f>
        <v>3</v>
      </c>
    </row>
    <row r="1305" spans="2:5" ht="15" customHeight="1" x14ac:dyDescent="0.3">
      <c r="C1305" s="2"/>
      <c r="D1305" s="8">
        <v>2019</v>
      </c>
      <c r="E1305" s="14">
        <f>Data!R1305</f>
        <v>3</v>
      </c>
    </row>
    <row r="1306" spans="2:5" ht="15" customHeight="1" x14ac:dyDescent="0.3">
      <c r="C1306" s="2"/>
      <c r="D1306" s="8">
        <v>2020</v>
      </c>
      <c r="E1306" s="14">
        <f>Data!R1306</f>
        <v>3</v>
      </c>
    </row>
    <row r="1307" spans="2:5" ht="15" customHeight="1" x14ac:dyDescent="0.3">
      <c r="C1307" s="2"/>
      <c r="D1307" s="8">
        <v>2021</v>
      </c>
      <c r="E1307" s="14">
        <f>Data!R1307</f>
        <v>3</v>
      </c>
    </row>
    <row r="1308" spans="2:5" ht="15" customHeight="1" x14ac:dyDescent="0.3">
      <c r="C1308" s="2"/>
      <c r="D1308" s="8">
        <v>2022</v>
      </c>
      <c r="E1308" s="14">
        <f>Data!R1308</f>
        <v>3</v>
      </c>
    </row>
    <row r="1309" spans="2:5" ht="15" customHeight="1" x14ac:dyDescent="0.3">
      <c r="C1309" s="2"/>
      <c r="D1309" s="8">
        <v>2023</v>
      </c>
      <c r="E1309" s="14">
        <f>Data!R1309</f>
        <v>4</v>
      </c>
    </row>
    <row r="1310" spans="2:5" ht="15" customHeight="1" x14ac:dyDescent="0.3">
      <c r="C1310" s="2"/>
      <c r="D1310" s="8">
        <v>2024</v>
      </c>
      <c r="E1310" s="14">
        <f>Data!R1310</f>
        <v>0</v>
      </c>
    </row>
    <row r="1311" spans="2:5" ht="15" customHeight="1" x14ac:dyDescent="0.3">
      <c r="B1311" s="8">
        <v>120</v>
      </c>
      <c r="C1311" s="2" t="s">
        <v>108</v>
      </c>
      <c r="D1311" s="8">
        <v>2014</v>
      </c>
      <c r="E1311" s="14">
        <f>Data!R1311</f>
        <v>0</v>
      </c>
    </row>
    <row r="1312" spans="2:5" ht="15" customHeight="1" x14ac:dyDescent="0.3">
      <c r="C1312" s="2"/>
      <c r="D1312" s="8">
        <v>2015</v>
      </c>
      <c r="E1312" s="14">
        <f>Data!R1312</f>
        <v>4</v>
      </c>
    </row>
    <row r="1313" spans="2:5" ht="15" customHeight="1" x14ac:dyDescent="0.3">
      <c r="C1313" s="2"/>
      <c r="D1313" s="8">
        <v>2016</v>
      </c>
      <c r="E1313" s="14">
        <f>Data!R1313</f>
        <v>4</v>
      </c>
    </row>
    <row r="1314" spans="2:5" ht="15" customHeight="1" x14ac:dyDescent="0.3">
      <c r="C1314" s="2"/>
      <c r="D1314" s="8">
        <v>2017</v>
      </c>
      <c r="E1314" s="14">
        <f>Data!R1314</f>
        <v>3</v>
      </c>
    </row>
    <row r="1315" spans="2:5" ht="15" customHeight="1" x14ac:dyDescent="0.3">
      <c r="C1315" s="2"/>
      <c r="D1315" s="8">
        <v>2018</v>
      </c>
      <c r="E1315" s="14">
        <f>Data!R1315</f>
        <v>3</v>
      </c>
    </row>
    <row r="1316" spans="2:5" ht="15" customHeight="1" x14ac:dyDescent="0.3">
      <c r="C1316" s="2"/>
      <c r="D1316" s="8">
        <v>2019</v>
      </c>
      <c r="E1316" s="14">
        <f>Data!R1316</f>
        <v>3</v>
      </c>
    </row>
    <row r="1317" spans="2:5" ht="15" customHeight="1" x14ac:dyDescent="0.3">
      <c r="C1317" s="2"/>
      <c r="D1317" s="8">
        <v>2020</v>
      </c>
      <c r="E1317" s="14">
        <f>Data!R1317</f>
        <v>3</v>
      </c>
    </row>
    <row r="1318" spans="2:5" ht="15" customHeight="1" x14ac:dyDescent="0.3">
      <c r="C1318" s="2"/>
      <c r="D1318" s="8">
        <v>2021</v>
      </c>
      <c r="E1318" s="14">
        <f>Data!R1318</f>
        <v>3</v>
      </c>
    </row>
    <row r="1319" spans="2:5" ht="15" customHeight="1" x14ac:dyDescent="0.3">
      <c r="C1319" s="2"/>
      <c r="D1319" s="8">
        <v>2022</v>
      </c>
      <c r="E1319" s="14">
        <f>Data!R1319</f>
        <v>3</v>
      </c>
    </row>
    <row r="1320" spans="2:5" ht="15" customHeight="1" x14ac:dyDescent="0.3">
      <c r="C1320" s="2"/>
      <c r="D1320" s="8">
        <v>2023</v>
      </c>
      <c r="E1320" s="14">
        <f>Data!R1320</f>
        <v>2</v>
      </c>
    </row>
    <row r="1321" spans="2:5" ht="15" customHeight="1" x14ac:dyDescent="0.3">
      <c r="C1321" s="2"/>
      <c r="D1321" s="8">
        <v>2024</v>
      </c>
      <c r="E1321" s="14">
        <f>Data!R1321</f>
        <v>4</v>
      </c>
    </row>
    <row r="1322" spans="2:5" ht="15" customHeight="1" x14ac:dyDescent="0.3">
      <c r="B1322" s="8">
        <v>121</v>
      </c>
      <c r="C1322" s="2" t="s">
        <v>77</v>
      </c>
      <c r="D1322" s="8">
        <v>2014</v>
      </c>
      <c r="E1322" s="14">
        <f>Data!R1322</f>
        <v>0</v>
      </c>
    </row>
    <row r="1323" spans="2:5" ht="15" customHeight="1" x14ac:dyDescent="0.3">
      <c r="C1323" s="2"/>
      <c r="D1323" s="8">
        <v>2015</v>
      </c>
      <c r="E1323" s="14">
        <f>Data!R1323</f>
        <v>4</v>
      </c>
    </row>
    <row r="1324" spans="2:5" ht="15" customHeight="1" x14ac:dyDescent="0.3">
      <c r="C1324" s="2"/>
      <c r="D1324" s="8">
        <v>2016</v>
      </c>
      <c r="E1324" s="14">
        <f>Data!R1324</f>
        <v>4</v>
      </c>
    </row>
    <row r="1325" spans="2:5" ht="15" customHeight="1" x14ac:dyDescent="0.3">
      <c r="C1325" s="2"/>
      <c r="D1325" s="8">
        <v>2017</v>
      </c>
      <c r="E1325" s="14">
        <f>Data!R1325</f>
        <v>4</v>
      </c>
    </row>
    <row r="1326" spans="2:5" ht="15" customHeight="1" x14ac:dyDescent="0.3">
      <c r="C1326" s="2"/>
      <c r="D1326" s="8">
        <v>2018</v>
      </c>
      <c r="E1326" s="14">
        <f>Data!R1326</f>
        <v>4</v>
      </c>
    </row>
    <row r="1327" spans="2:5" ht="15" customHeight="1" x14ac:dyDescent="0.3">
      <c r="C1327" s="2"/>
      <c r="D1327" s="8">
        <v>2019</v>
      </c>
      <c r="E1327" s="14">
        <f>Data!R1327</f>
        <v>4</v>
      </c>
    </row>
    <row r="1328" spans="2:5" ht="15" customHeight="1" x14ac:dyDescent="0.3">
      <c r="C1328" s="2"/>
      <c r="D1328" s="8">
        <v>2020</v>
      </c>
      <c r="E1328" s="14">
        <f>Data!R1328</f>
        <v>4</v>
      </c>
    </row>
    <row r="1329" spans="2:5" ht="15" customHeight="1" x14ac:dyDescent="0.3">
      <c r="C1329" s="2"/>
      <c r="D1329" s="8">
        <v>2021</v>
      </c>
      <c r="E1329" s="14">
        <f>Data!R1329</f>
        <v>4</v>
      </c>
    </row>
    <row r="1330" spans="2:5" ht="15" customHeight="1" x14ac:dyDescent="0.3">
      <c r="C1330" s="2"/>
      <c r="D1330" s="8">
        <v>2022</v>
      </c>
      <c r="E1330" s="14">
        <f>Data!R1330</f>
        <v>4</v>
      </c>
    </row>
    <row r="1331" spans="2:5" ht="15" customHeight="1" x14ac:dyDescent="0.3">
      <c r="C1331" s="2"/>
      <c r="D1331" s="8">
        <v>2023</v>
      </c>
      <c r="E1331" s="14">
        <f>Data!R1331</f>
        <v>5</v>
      </c>
    </row>
    <row r="1332" spans="2:5" ht="15" customHeight="1" x14ac:dyDescent="0.3">
      <c r="C1332" s="2"/>
      <c r="D1332" s="8">
        <v>2024</v>
      </c>
      <c r="E1332" s="14">
        <f>Data!R1332</f>
        <v>5</v>
      </c>
    </row>
    <row r="1333" spans="2:5" ht="15" customHeight="1" x14ac:dyDescent="0.3">
      <c r="B1333" s="8">
        <v>122</v>
      </c>
      <c r="C1333" s="2" t="s">
        <v>109</v>
      </c>
      <c r="D1333" s="8">
        <v>2014</v>
      </c>
      <c r="E1333" s="14">
        <f>Data!R1333</f>
        <v>0</v>
      </c>
    </row>
    <row r="1334" spans="2:5" ht="15" customHeight="1" x14ac:dyDescent="0.3">
      <c r="C1334" s="2"/>
      <c r="D1334" s="8">
        <v>2015</v>
      </c>
      <c r="E1334" s="14">
        <f>Data!R1334</f>
        <v>0</v>
      </c>
    </row>
    <row r="1335" spans="2:5" ht="15" customHeight="1" x14ac:dyDescent="0.3">
      <c r="C1335" s="2"/>
      <c r="D1335" s="8">
        <v>2016</v>
      </c>
      <c r="E1335" s="14">
        <f>Data!R1335</f>
        <v>0</v>
      </c>
    </row>
    <row r="1336" spans="2:5" ht="15" customHeight="1" x14ac:dyDescent="0.3">
      <c r="C1336" s="2"/>
      <c r="D1336" s="8">
        <v>2017</v>
      </c>
      <c r="E1336" s="14">
        <f>Data!R1336</f>
        <v>0</v>
      </c>
    </row>
    <row r="1337" spans="2:5" ht="15" customHeight="1" x14ac:dyDescent="0.3">
      <c r="C1337" s="2"/>
      <c r="D1337" s="8">
        <v>2018</v>
      </c>
      <c r="E1337" s="14">
        <f>Data!R1337</f>
        <v>0</v>
      </c>
    </row>
    <row r="1338" spans="2:5" ht="15" customHeight="1" x14ac:dyDescent="0.3">
      <c r="C1338" s="2"/>
      <c r="D1338" s="8">
        <v>2019</v>
      </c>
      <c r="E1338" s="14">
        <f>Data!R1338</f>
        <v>0</v>
      </c>
    </row>
    <row r="1339" spans="2:5" ht="15" customHeight="1" x14ac:dyDescent="0.3">
      <c r="C1339" s="2"/>
      <c r="D1339" s="8">
        <v>2020</v>
      </c>
      <c r="E1339" s="14">
        <f>Data!R1339</f>
        <v>0</v>
      </c>
    </row>
    <row r="1340" spans="2:5" ht="15" customHeight="1" x14ac:dyDescent="0.3">
      <c r="C1340" s="2"/>
      <c r="D1340" s="8">
        <v>2021</v>
      </c>
      <c r="E1340" s="14">
        <f>Data!R1340</f>
        <v>0</v>
      </c>
    </row>
    <row r="1341" spans="2:5" ht="15" customHeight="1" x14ac:dyDescent="0.3">
      <c r="C1341" s="2"/>
      <c r="D1341" s="8">
        <v>2022</v>
      </c>
      <c r="E1341" s="14">
        <f>Data!R1341</f>
        <v>0</v>
      </c>
    </row>
    <row r="1342" spans="2:5" ht="15" customHeight="1" x14ac:dyDescent="0.3">
      <c r="C1342" s="2"/>
      <c r="D1342" s="8">
        <v>2023</v>
      </c>
      <c r="E1342" s="14">
        <f>Data!R1342</f>
        <v>0</v>
      </c>
    </row>
    <row r="1343" spans="2:5" ht="15" customHeight="1" x14ac:dyDescent="0.3">
      <c r="C1343" s="2"/>
      <c r="D1343" s="8">
        <v>2024</v>
      </c>
      <c r="E1343" s="14">
        <f>Data!R1343</f>
        <v>0</v>
      </c>
    </row>
    <row r="1344" spans="2:5" ht="15" customHeight="1" x14ac:dyDescent="0.3">
      <c r="B1344" s="8">
        <v>123</v>
      </c>
      <c r="C1344" s="2" t="s">
        <v>78</v>
      </c>
      <c r="D1344" s="8">
        <v>2014</v>
      </c>
      <c r="E1344" s="14">
        <f>Data!R1344</f>
        <v>0</v>
      </c>
    </row>
    <row r="1345" spans="2:5" ht="15" customHeight="1" x14ac:dyDescent="0.3">
      <c r="C1345" s="2"/>
      <c r="D1345" s="8">
        <v>2015</v>
      </c>
      <c r="E1345" s="14">
        <f>Data!R1345</f>
        <v>0</v>
      </c>
    </row>
    <row r="1346" spans="2:5" ht="15" customHeight="1" x14ac:dyDescent="0.3">
      <c r="C1346" s="2"/>
      <c r="D1346" s="8">
        <v>2016</v>
      </c>
      <c r="E1346" s="14">
        <f>Data!R1346</f>
        <v>0</v>
      </c>
    </row>
    <row r="1347" spans="2:5" ht="15" customHeight="1" x14ac:dyDescent="0.3">
      <c r="C1347" s="2"/>
      <c r="D1347" s="8">
        <v>2017</v>
      </c>
      <c r="E1347" s="14">
        <f>Data!R1347</f>
        <v>0</v>
      </c>
    </row>
    <row r="1348" spans="2:5" ht="15" customHeight="1" x14ac:dyDescent="0.3">
      <c r="C1348" s="2"/>
      <c r="D1348" s="8">
        <v>2018</v>
      </c>
      <c r="E1348" s="14">
        <f>Data!R1348</f>
        <v>0</v>
      </c>
    </row>
    <row r="1349" spans="2:5" ht="15" customHeight="1" x14ac:dyDescent="0.3">
      <c r="C1349" s="2"/>
      <c r="D1349" s="8">
        <v>2019</v>
      </c>
      <c r="E1349" s="14">
        <f>Data!R1349</f>
        <v>3</v>
      </c>
    </row>
    <row r="1350" spans="2:5" ht="15" customHeight="1" x14ac:dyDescent="0.3">
      <c r="C1350" s="2"/>
      <c r="D1350" s="8">
        <v>2020</v>
      </c>
      <c r="E1350" s="14">
        <f>Data!R1350</f>
        <v>3</v>
      </c>
    </row>
    <row r="1351" spans="2:5" ht="15" customHeight="1" x14ac:dyDescent="0.3">
      <c r="C1351" s="2"/>
      <c r="D1351" s="8">
        <v>2021</v>
      </c>
      <c r="E1351" s="14">
        <f>Data!R1351</f>
        <v>3</v>
      </c>
    </row>
    <row r="1352" spans="2:5" ht="15" customHeight="1" x14ac:dyDescent="0.3">
      <c r="C1352" s="2"/>
      <c r="D1352" s="8">
        <v>2022</v>
      </c>
      <c r="E1352" s="14">
        <f>Data!R1352</f>
        <v>3</v>
      </c>
    </row>
    <row r="1353" spans="2:5" ht="15" customHeight="1" x14ac:dyDescent="0.3">
      <c r="C1353" s="2"/>
      <c r="D1353" s="8">
        <v>2023</v>
      </c>
      <c r="E1353" s="14">
        <f>Data!R1353</f>
        <v>2</v>
      </c>
    </row>
    <row r="1354" spans="2:5" ht="15" customHeight="1" x14ac:dyDescent="0.3">
      <c r="C1354" s="2"/>
      <c r="D1354" s="8">
        <v>2024</v>
      </c>
      <c r="E1354" s="14">
        <f>Data!R1354</f>
        <v>3</v>
      </c>
    </row>
    <row r="1355" spans="2:5" ht="15" customHeight="1" x14ac:dyDescent="0.3">
      <c r="B1355" s="8">
        <v>124</v>
      </c>
      <c r="C1355" s="2" t="s">
        <v>110</v>
      </c>
      <c r="D1355" s="8">
        <v>2014</v>
      </c>
      <c r="E1355" s="14">
        <f>Data!R1355</f>
        <v>0</v>
      </c>
    </row>
    <row r="1356" spans="2:5" ht="15" customHeight="1" x14ac:dyDescent="0.3">
      <c r="C1356" s="2"/>
      <c r="D1356" s="8">
        <v>2015</v>
      </c>
      <c r="E1356" s="14">
        <f>Data!R1356</f>
        <v>6</v>
      </c>
    </row>
    <row r="1357" spans="2:5" ht="15" customHeight="1" x14ac:dyDescent="0.3">
      <c r="C1357" s="2"/>
      <c r="D1357" s="8">
        <v>2016</v>
      </c>
      <c r="E1357" s="14">
        <f>Data!R1357</f>
        <v>4</v>
      </c>
    </row>
    <row r="1358" spans="2:5" ht="15" customHeight="1" x14ac:dyDescent="0.3">
      <c r="C1358" s="2"/>
      <c r="D1358" s="8">
        <v>2017</v>
      </c>
      <c r="E1358" s="14">
        <f>Data!R1358</f>
        <v>4</v>
      </c>
    </row>
    <row r="1359" spans="2:5" ht="15" customHeight="1" x14ac:dyDescent="0.3">
      <c r="C1359" s="2"/>
      <c r="D1359" s="8">
        <v>2018</v>
      </c>
      <c r="E1359" s="14">
        <f>Data!R1359</f>
        <v>4</v>
      </c>
    </row>
    <row r="1360" spans="2:5" ht="15" customHeight="1" x14ac:dyDescent="0.3">
      <c r="C1360" s="2"/>
      <c r="D1360" s="8">
        <v>2019</v>
      </c>
      <c r="E1360" s="14">
        <f>Data!R1360</f>
        <v>4</v>
      </c>
    </row>
    <row r="1361" spans="2:5" ht="15" customHeight="1" x14ac:dyDescent="0.3">
      <c r="C1361" s="2"/>
      <c r="D1361" s="8">
        <v>2020</v>
      </c>
      <c r="E1361" s="14">
        <f>Data!R1361</f>
        <v>4</v>
      </c>
    </row>
    <row r="1362" spans="2:5" ht="15" customHeight="1" x14ac:dyDescent="0.3">
      <c r="C1362" s="2"/>
      <c r="D1362" s="8">
        <v>2021</v>
      </c>
      <c r="E1362" s="14">
        <f>Data!R1362</f>
        <v>3</v>
      </c>
    </row>
    <row r="1363" spans="2:5" ht="15" customHeight="1" x14ac:dyDescent="0.3">
      <c r="C1363" s="2"/>
      <c r="D1363" s="8">
        <v>2022</v>
      </c>
      <c r="E1363" s="14">
        <f>Data!R1363</f>
        <v>4</v>
      </c>
    </row>
    <row r="1364" spans="2:5" ht="15" customHeight="1" x14ac:dyDescent="0.3">
      <c r="C1364" s="2"/>
      <c r="D1364" s="8">
        <v>2023</v>
      </c>
      <c r="E1364" s="14">
        <f>Data!R1364</f>
        <v>4</v>
      </c>
    </row>
    <row r="1365" spans="2:5" ht="15" customHeight="1" x14ac:dyDescent="0.3">
      <c r="C1365" s="2"/>
      <c r="D1365" s="8">
        <v>2024</v>
      </c>
      <c r="E1365" s="14">
        <f>Data!R1365</f>
        <v>3</v>
      </c>
    </row>
    <row r="1366" spans="2:5" ht="15" customHeight="1" x14ac:dyDescent="0.3">
      <c r="B1366" s="8">
        <v>125</v>
      </c>
      <c r="C1366" s="2" t="s">
        <v>111</v>
      </c>
      <c r="D1366" s="8">
        <v>2014</v>
      </c>
      <c r="E1366" s="14">
        <f>Data!R1366</f>
        <v>0</v>
      </c>
    </row>
    <row r="1367" spans="2:5" ht="15" customHeight="1" x14ac:dyDescent="0.3">
      <c r="C1367" s="2"/>
      <c r="D1367" s="8">
        <v>2015</v>
      </c>
      <c r="E1367" s="14">
        <f>Data!R1367</f>
        <v>0</v>
      </c>
    </row>
    <row r="1368" spans="2:5" ht="15" customHeight="1" x14ac:dyDescent="0.3">
      <c r="C1368" s="2"/>
      <c r="D1368" s="8">
        <v>2016</v>
      </c>
      <c r="E1368" s="14">
        <f>Data!R1368</f>
        <v>0</v>
      </c>
    </row>
    <row r="1369" spans="2:5" ht="15" customHeight="1" x14ac:dyDescent="0.3">
      <c r="C1369" s="2"/>
      <c r="D1369" s="8">
        <v>2017</v>
      </c>
      <c r="E1369" s="14">
        <f>Data!R1369</f>
        <v>0</v>
      </c>
    </row>
    <row r="1370" spans="2:5" ht="15" customHeight="1" x14ac:dyDescent="0.3">
      <c r="C1370" s="2"/>
      <c r="D1370" s="8">
        <v>2018</v>
      </c>
      <c r="E1370" s="14">
        <f>Data!R1370</f>
        <v>0</v>
      </c>
    </row>
    <row r="1371" spans="2:5" ht="15" customHeight="1" x14ac:dyDescent="0.3">
      <c r="C1371" s="2"/>
      <c r="D1371" s="8">
        <v>2019</v>
      </c>
      <c r="E1371" s="14">
        <f>Data!R1371</f>
        <v>0</v>
      </c>
    </row>
    <row r="1372" spans="2:5" ht="15" customHeight="1" x14ac:dyDescent="0.3">
      <c r="C1372" s="2"/>
      <c r="D1372" s="8">
        <v>2020</v>
      </c>
      <c r="E1372" s="14">
        <f>Data!R1372</f>
        <v>0</v>
      </c>
    </row>
    <row r="1373" spans="2:5" ht="15" customHeight="1" x14ac:dyDescent="0.3">
      <c r="C1373" s="2"/>
      <c r="D1373" s="8">
        <v>2021</v>
      </c>
      <c r="E1373" s="14">
        <f>Data!R1373</f>
        <v>0</v>
      </c>
    </row>
    <row r="1374" spans="2:5" ht="15" customHeight="1" x14ac:dyDescent="0.3">
      <c r="C1374" s="2"/>
      <c r="D1374" s="8">
        <v>2022</v>
      </c>
      <c r="E1374" s="14">
        <f>Data!R1374</f>
        <v>0</v>
      </c>
    </row>
    <row r="1375" spans="2:5" ht="15" customHeight="1" x14ac:dyDescent="0.3">
      <c r="C1375" s="2"/>
      <c r="D1375" s="8">
        <v>2023</v>
      </c>
      <c r="E1375" s="14">
        <f>Data!R1375</f>
        <v>0</v>
      </c>
    </row>
    <row r="1376" spans="2:5" ht="15" customHeight="1" x14ac:dyDescent="0.3">
      <c r="C1376" s="2"/>
      <c r="D1376" s="8">
        <v>2024</v>
      </c>
      <c r="E1376" s="14">
        <f>Data!R1376</f>
        <v>0</v>
      </c>
    </row>
    <row r="1377" spans="2:5" ht="15" customHeight="1" x14ac:dyDescent="0.3">
      <c r="B1377" s="8">
        <v>126</v>
      </c>
      <c r="C1377" s="2" t="s">
        <v>86</v>
      </c>
      <c r="D1377" s="8">
        <v>2014</v>
      </c>
      <c r="E1377" s="14">
        <f>Data!R1377</f>
        <v>0</v>
      </c>
    </row>
    <row r="1378" spans="2:5" ht="15" customHeight="1" x14ac:dyDescent="0.3">
      <c r="C1378" s="2"/>
      <c r="D1378" s="8">
        <v>2015</v>
      </c>
      <c r="E1378" s="14">
        <f>Data!R1378</f>
        <v>0</v>
      </c>
    </row>
    <row r="1379" spans="2:5" ht="15" customHeight="1" x14ac:dyDescent="0.3">
      <c r="C1379" s="2"/>
      <c r="D1379" s="8">
        <v>2016</v>
      </c>
      <c r="E1379" s="14">
        <f>Data!R1379</f>
        <v>3</v>
      </c>
    </row>
    <row r="1380" spans="2:5" ht="15" customHeight="1" x14ac:dyDescent="0.3">
      <c r="C1380" s="2"/>
      <c r="D1380" s="8">
        <v>2017</v>
      </c>
      <c r="E1380" s="14">
        <f>Data!R1380</f>
        <v>3</v>
      </c>
    </row>
    <row r="1381" spans="2:5" ht="15" customHeight="1" x14ac:dyDescent="0.3">
      <c r="C1381" s="2"/>
      <c r="D1381" s="8">
        <v>2018</v>
      </c>
      <c r="E1381" s="14">
        <f>Data!R1381</f>
        <v>3</v>
      </c>
    </row>
    <row r="1382" spans="2:5" ht="15" customHeight="1" x14ac:dyDescent="0.3">
      <c r="C1382" s="2"/>
      <c r="D1382" s="8">
        <v>2019</v>
      </c>
      <c r="E1382" s="14">
        <f>Data!R1382</f>
        <v>3</v>
      </c>
    </row>
    <row r="1383" spans="2:5" ht="15" customHeight="1" x14ac:dyDescent="0.3">
      <c r="C1383" s="2"/>
      <c r="D1383" s="8">
        <v>2020</v>
      </c>
      <c r="E1383" s="14">
        <f>Data!R1383</f>
        <v>3</v>
      </c>
    </row>
    <row r="1384" spans="2:5" ht="15" customHeight="1" x14ac:dyDescent="0.3">
      <c r="C1384" s="2"/>
      <c r="D1384" s="8">
        <v>2021</v>
      </c>
      <c r="E1384" s="14">
        <f>Data!R1384</f>
        <v>3</v>
      </c>
    </row>
    <row r="1385" spans="2:5" ht="15" customHeight="1" x14ac:dyDescent="0.3">
      <c r="C1385" s="2"/>
      <c r="D1385" s="8">
        <v>2022</v>
      </c>
      <c r="E1385" s="14">
        <f>Data!R1385</f>
        <v>3</v>
      </c>
    </row>
    <row r="1386" spans="2:5" ht="15" customHeight="1" x14ac:dyDescent="0.3">
      <c r="C1386" s="2"/>
      <c r="D1386" s="8">
        <v>2023</v>
      </c>
      <c r="E1386" s="14">
        <f>Data!R1386</f>
        <v>6</v>
      </c>
    </row>
    <row r="1387" spans="2:5" ht="15" customHeight="1" x14ac:dyDescent="0.3">
      <c r="C1387" s="2"/>
      <c r="D1387" s="8">
        <v>2024</v>
      </c>
      <c r="E1387" s="14">
        <f>Data!R1387</f>
        <v>6</v>
      </c>
    </row>
    <row r="1388" spans="2:5" ht="15" customHeight="1" x14ac:dyDescent="0.3">
      <c r="B1388" s="8">
        <v>127</v>
      </c>
      <c r="C1388" s="2" t="s">
        <v>112</v>
      </c>
      <c r="D1388" s="8">
        <v>2014</v>
      </c>
      <c r="E1388" s="14">
        <f>Data!R1388</f>
        <v>0</v>
      </c>
    </row>
    <row r="1389" spans="2:5" ht="15" customHeight="1" x14ac:dyDescent="0.3">
      <c r="C1389" s="2"/>
      <c r="D1389" s="8">
        <v>2015</v>
      </c>
      <c r="E1389" s="14">
        <f>Data!R1389</f>
        <v>0</v>
      </c>
    </row>
    <row r="1390" spans="2:5" ht="15" customHeight="1" x14ac:dyDescent="0.3">
      <c r="C1390" s="2"/>
      <c r="D1390" s="8">
        <v>2016</v>
      </c>
      <c r="E1390" s="14">
        <f>Data!R1390</f>
        <v>0</v>
      </c>
    </row>
    <row r="1391" spans="2:5" ht="15" customHeight="1" x14ac:dyDescent="0.3">
      <c r="C1391" s="2"/>
      <c r="D1391" s="8">
        <v>2017</v>
      </c>
      <c r="E1391" s="14">
        <f>Data!R1391</f>
        <v>4</v>
      </c>
    </row>
    <row r="1392" spans="2:5" ht="15" customHeight="1" x14ac:dyDescent="0.3">
      <c r="C1392" s="2"/>
      <c r="D1392" s="8">
        <v>2018</v>
      </c>
      <c r="E1392" s="14">
        <f>Data!R1392</f>
        <v>3</v>
      </c>
    </row>
    <row r="1393" spans="2:5" ht="15" customHeight="1" x14ac:dyDescent="0.3">
      <c r="C1393" s="2"/>
      <c r="D1393" s="8">
        <v>2019</v>
      </c>
      <c r="E1393" s="14">
        <f>Data!R1393</f>
        <v>3</v>
      </c>
    </row>
    <row r="1394" spans="2:5" ht="15" customHeight="1" x14ac:dyDescent="0.3">
      <c r="C1394" s="2"/>
      <c r="D1394" s="8">
        <v>2020</v>
      </c>
      <c r="E1394" s="14">
        <f>Data!R1394</f>
        <v>3</v>
      </c>
    </row>
    <row r="1395" spans="2:5" ht="15" customHeight="1" x14ac:dyDescent="0.3">
      <c r="C1395" s="2"/>
      <c r="D1395" s="8">
        <v>2021</v>
      </c>
      <c r="E1395" s="14">
        <f>Data!R1395</f>
        <v>3</v>
      </c>
    </row>
    <row r="1396" spans="2:5" ht="15" customHeight="1" x14ac:dyDescent="0.3">
      <c r="C1396" s="2"/>
      <c r="D1396" s="8">
        <v>2022</v>
      </c>
      <c r="E1396" s="14">
        <f>Data!R1396</f>
        <v>3</v>
      </c>
    </row>
    <row r="1397" spans="2:5" ht="15" customHeight="1" x14ac:dyDescent="0.3">
      <c r="C1397" s="2"/>
      <c r="D1397" s="8">
        <v>2023</v>
      </c>
      <c r="E1397" s="14">
        <f>Data!R1397</f>
        <v>4</v>
      </c>
    </row>
    <row r="1398" spans="2:5" ht="15" customHeight="1" x14ac:dyDescent="0.3">
      <c r="C1398" s="2"/>
      <c r="D1398" s="8">
        <v>2024</v>
      </c>
      <c r="E1398" s="14">
        <f>Data!R1398</f>
        <v>4</v>
      </c>
    </row>
    <row r="1399" spans="2:5" ht="15" customHeight="1" x14ac:dyDescent="0.3">
      <c r="B1399" s="8">
        <v>128</v>
      </c>
      <c r="C1399" s="2" t="s">
        <v>92</v>
      </c>
      <c r="D1399" s="8">
        <v>2014</v>
      </c>
      <c r="E1399" s="14">
        <f>Data!R1399</f>
        <v>0</v>
      </c>
    </row>
    <row r="1400" spans="2:5" ht="15" customHeight="1" x14ac:dyDescent="0.3">
      <c r="C1400" s="2"/>
      <c r="D1400" s="8">
        <v>2015</v>
      </c>
      <c r="E1400" s="14">
        <f>Data!R1400</f>
        <v>0</v>
      </c>
    </row>
    <row r="1401" spans="2:5" ht="15" customHeight="1" x14ac:dyDescent="0.3">
      <c r="C1401" s="2"/>
      <c r="D1401" s="8">
        <v>2016</v>
      </c>
      <c r="E1401" s="14">
        <f>Data!R1401</f>
        <v>0</v>
      </c>
    </row>
    <row r="1402" spans="2:5" ht="15" customHeight="1" x14ac:dyDescent="0.3">
      <c r="C1402" s="2"/>
      <c r="D1402" s="8">
        <v>2017</v>
      </c>
      <c r="E1402" s="14">
        <f>Data!R1402</f>
        <v>0</v>
      </c>
    </row>
    <row r="1403" spans="2:5" ht="15" customHeight="1" x14ac:dyDescent="0.3">
      <c r="C1403" s="2"/>
      <c r="D1403" s="8">
        <v>2018</v>
      </c>
      <c r="E1403" s="14">
        <f>Data!R1403</f>
        <v>0</v>
      </c>
    </row>
    <row r="1404" spans="2:5" ht="15" customHeight="1" x14ac:dyDescent="0.3">
      <c r="C1404" s="2"/>
      <c r="D1404" s="8">
        <v>2019</v>
      </c>
      <c r="E1404" s="14">
        <f>Data!R1404</f>
        <v>3</v>
      </c>
    </row>
    <row r="1405" spans="2:5" ht="15" customHeight="1" x14ac:dyDescent="0.3">
      <c r="C1405" s="2"/>
      <c r="D1405" s="8">
        <v>2020</v>
      </c>
      <c r="E1405" s="14">
        <f>Data!R1405</f>
        <v>3</v>
      </c>
    </row>
    <row r="1406" spans="2:5" ht="15" customHeight="1" x14ac:dyDescent="0.3">
      <c r="C1406" s="2"/>
      <c r="D1406" s="8">
        <v>2021</v>
      </c>
      <c r="E1406" s="14">
        <f>Data!R1406</f>
        <v>3</v>
      </c>
    </row>
    <row r="1407" spans="2:5" ht="15" customHeight="1" x14ac:dyDescent="0.3">
      <c r="C1407" s="2"/>
      <c r="D1407" s="8">
        <v>2022</v>
      </c>
      <c r="E1407" s="14">
        <f>Data!R1407</f>
        <v>3</v>
      </c>
    </row>
    <row r="1408" spans="2:5" ht="15" customHeight="1" x14ac:dyDescent="0.3">
      <c r="C1408" s="2"/>
      <c r="D1408" s="8">
        <v>2023</v>
      </c>
      <c r="E1408" s="14">
        <f>Data!R1408</f>
        <v>3</v>
      </c>
    </row>
    <row r="1409" spans="2:5" ht="15" customHeight="1" x14ac:dyDescent="0.3">
      <c r="C1409" s="2"/>
      <c r="D1409" s="8">
        <v>2024</v>
      </c>
      <c r="E1409" s="14">
        <f>Data!R1409</f>
        <v>3</v>
      </c>
    </row>
    <row r="1410" spans="2:5" ht="15" customHeight="1" x14ac:dyDescent="0.3">
      <c r="B1410" s="8">
        <v>129</v>
      </c>
      <c r="C1410" s="2" t="s">
        <v>87</v>
      </c>
      <c r="D1410" s="8">
        <v>2014</v>
      </c>
      <c r="E1410" s="14">
        <f>Data!R1410</f>
        <v>0</v>
      </c>
    </row>
    <row r="1411" spans="2:5" ht="15" customHeight="1" x14ac:dyDescent="0.3">
      <c r="C1411" s="2"/>
      <c r="D1411" s="8">
        <v>2015</v>
      </c>
      <c r="E1411" s="14">
        <f>Data!R1411</f>
        <v>0</v>
      </c>
    </row>
    <row r="1412" spans="2:5" ht="15" customHeight="1" x14ac:dyDescent="0.3">
      <c r="C1412" s="2"/>
      <c r="D1412" s="8">
        <v>2016</v>
      </c>
      <c r="E1412" s="14">
        <f>Data!R1412</f>
        <v>3</v>
      </c>
    </row>
    <row r="1413" spans="2:5" ht="15" customHeight="1" x14ac:dyDescent="0.3">
      <c r="C1413" s="2"/>
      <c r="D1413" s="8">
        <v>2017</v>
      </c>
      <c r="E1413" s="14">
        <f>Data!R1413</f>
        <v>3</v>
      </c>
    </row>
    <row r="1414" spans="2:5" ht="15" customHeight="1" x14ac:dyDescent="0.3">
      <c r="C1414" s="2"/>
      <c r="D1414" s="8">
        <v>2018</v>
      </c>
      <c r="E1414" s="14">
        <f>Data!R1414</f>
        <v>3</v>
      </c>
    </row>
    <row r="1415" spans="2:5" ht="15" customHeight="1" x14ac:dyDescent="0.3">
      <c r="C1415" s="2"/>
      <c r="D1415" s="8">
        <v>2019</v>
      </c>
      <c r="E1415" s="14">
        <f>Data!R1415</f>
        <v>3</v>
      </c>
    </row>
    <row r="1416" spans="2:5" ht="15" customHeight="1" x14ac:dyDescent="0.3">
      <c r="C1416" s="2"/>
      <c r="D1416" s="8">
        <v>2020</v>
      </c>
      <c r="E1416" s="14">
        <f>Data!R1416</f>
        <v>3</v>
      </c>
    </row>
    <row r="1417" spans="2:5" ht="15" customHeight="1" x14ac:dyDescent="0.3">
      <c r="C1417" s="2"/>
      <c r="D1417" s="8">
        <v>2021</v>
      </c>
      <c r="E1417" s="14">
        <f>Data!R1417</f>
        <v>2</v>
      </c>
    </row>
    <row r="1418" spans="2:5" ht="15" customHeight="1" x14ac:dyDescent="0.3">
      <c r="C1418" s="2"/>
      <c r="D1418" s="8">
        <v>2022</v>
      </c>
      <c r="E1418" s="14">
        <f>Data!R1418</f>
        <v>3</v>
      </c>
    </row>
    <row r="1419" spans="2:5" ht="15" customHeight="1" x14ac:dyDescent="0.3">
      <c r="C1419" s="2"/>
      <c r="D1419" s="8">
        <v>2023</v>
      </c>
      <c r="E1419" s="14">
        <f>Data!R1419</f>
        <v>3</v>
      </c>
    </row>
    <row r="1420" spans="2:5" ht="15" customHeight="1" x14ac:dyDescent="0.3">
      <c r="C1420" s="2"/>
      <c r="D1420" s="8">
        <v>2024</v>
      </c>
      <c r="E1420" s="14">
        <f>Data!R1420</f>
        <v>3</v>
      </c>
    </row>
    <row r="1421" spans="2:5" ht="15" customHeight="1" x14ac:dyDescent="0.3">
      <c r="B1421" s="8">
        <v>130</v>
      </c>
      <c r="C1421" s="2" t="s">
        <v>113</v>
      </c>
      <c r="D1421" s="8">
        <v>2014</v>
      </c>
      <c r="E1421" s="14">
        <f>Data!R1421</f>
        <v>0</v>
      </c>
    </row>
    <row r="1422" spans="2:5" ht="15" customHeight="1" x14ac:dyDescent="0.3">
      <c r="C1422" s="2"/>
      <c r="D1422" s="8">
        <v>2015</v>
      </c>
      <c r="E1422" s="14">
        <f>Data!R1422</f>
        <v>0</v>
      </c>
    </row>
    <row r="1423" spans="2:5" ht="15" customHeight="1" x14ac:dyDescent="0.3">
      <c r="C1423" s="2"/>
      <c r="D1423" s="8">
        <v>2016</v>
      </c>
      <c r="E1423" s="14">
        <f>Data!R1423</f>
        <v>0</v>
      </c>
    </row>
    <row r="1424" spans="2:5" ht="15" customHeight="1" x14ac:dyDescent="0.3">
      <c r="C1424" s="2"/>
      <c r="D1424" s="8">
        <v>2017</v>
      </c>
      <c r="E1424" s="14">
        <f>Data!R1424</f>
        <v>0</v>
      </c>
    </row>
    <row r="1425" spans="2:5" ht="15" customHeight="1" x14ac:dyDescent="0.3">
      <c r="C1425" s="2"/>
      <c r="D1425" s="8">
        <v>2018</v>
      </c>
      <c r="E1425" s="14">
        <f>Data!R1425</f>
        <v>0</v>
      </c>
    </row>
    <row r="1426" spans="2:5" ht="15" customHeight="1" x14ac:dyDescent="0.3">
      <c r="C1426" s="2"/>
      <c r="D1426" s="8">
        <v>2019</v>
      </c>
      <c r="E1426" s="14">
        <f>Data!R1426</f>
        <v>0</v>
      </c>
    </row>
    <row r="1427" spans="2:5" ht="15" customHeight="1" x14ac:dyDescent="0.3">
      <c r="C1427" s="2"/>
      <c r="D1427" s="8">
        <v>2020</v>
      </c>
      <c r="E1427" s="14">
        <f>Data!R1427</f>
        <v>3</v>
      </c>
    </row>
    <row r="1428" spans="2:5" ht="15" customHeight="1" x14ac:dyDescent="0.3">
      <c r="C1428" s="2"/>
      <c r="D1428" s="8">
        <v>2021</v>
      </c>
      <c r="E1428" s="14">
        <f>Data!R1428</f>
        <v>3</v>
      </c>
    </row>
    <row r="1429" spans="2:5" ht="15" customHeight="1" x14ac:dyDescent="0.3">
      <c r="C1429" s="2"/>
      <c r="D1429" s="8">
        <v>2022</v>
      </c>
      <c r="E1429" s="14">
        <f>Data!R1429</f>
        <v>3</v>
      </c>
    </row>
    <row r="1430" spans="2:5" ht="15" customHeight="1" x14ac:dyDescent="0.3">
      <c r="C1430" s="2"/>
      <c r="D1430" s="8">
        <v>2023</v>
      </c>
      <c r="E1430" s="14">
        <f>Data!R1430</f>
        <v>3</v>
      </c>
    </row>
    <row r="1431" spans="2:5" ht="15" customHeight="1" x14ac:dyDescent="0.3">
      <c r="C1431" s="2"/>
      <c r="D1431" s="8">
        <v>2024</v>
      </c>
      <c r="E1431" s="14">
        <f>Data!R1431</f>
        <v>3</v>
      </c>
    </row>
    <row r="1432" spans="2:5" ht="15" customHeight="1" x14ac:dyDescent="0.3">
      <c r="B1432" s="8">
        <v>131</v>
      </c>
      <c r="C1432" s="2" t="s">
        <v>121</v>
      </c>
      <c r="D1432" s="8">
        <v>2014</v>
      </c>
      <c r="E1432" s="14">
        <f>Data!R1432</f>
        <v>0</v>
      </c>
    </row>
    <row r="1433" spans="2:5" ht="15" customHeight="1" x14ac:dyDescent="0.3">
      <c r="C1433" s="2"/>
      <c r="D1433" s="8">
        <v>2015</v>
      </c>
      <c r="E1433" s="14">
        <f>Data!R1433</f>
        <v>0</v>
      </c>
    </row>
    <row r="1434" spans="2:5" ht="15" customHeight="1" x14ac:dyDescent="0.3">
      <c r="C1434" s="2"/>
      <c r="D1434" s="8">
        <v>2016</v>
      </c>
      <c r="E1434" s="14">
        <f>Data!R1434</f>
        <v>4</v>
      </c>
    </row>
    <row r="1435" spans="2:5" ht="15" customHeight="1" x14ac:dyDescent="0.3">
      <c r="C1435" s="2"/>
      <c r="D1435" s="8">
        <v>2017</v>
      </c>
      <c r="E1435" s="14">
        <f>Data!R1435</f>
        <v>4</v>
      </c>
    </row>
    <row r="1436" spans="2:5" ht="15" customHeight="1" x14ac:dyDescent="0.3">
      <c r="C1436" s="2"/>
      <c r="D1436" s="8">
        <v>2018</v>
      </c>
      <c r="E1436" s="14">
        <f>Data!R1436</f>
        <v>4</v>
      </c>
    </row>
    <row r="1437" spans="2:5" ht="15" customHeight="1" x14ac:dyDescent="0.3">
      <c r="C1437" s="2"/>
      <c r="D1437" s="8">
        <v>2019</v>
      </c>
      <c r="E1437" s="14">
        <f>Data!R1437</f>
        <v>4</v>
      </c>
    </row>
    <row r="1438" spans="2:5" ht="15" customHeight="1" x14ac:dyDescent="0.3">
      <c r="C1438" s="2"/>
      <c r="D1438" s="8">
        <v>2020</v>
      </c>
      <c r="E1438" s="14">
        <f>Data!R1438</f>
        <v>4</v>
      </c>
    </row>
    <row r="1439" spans="2:5" ht="15" customHeight="1" x14ac:dyDescent="0.3">
      <c r="C1439" s="2"/>
      <c r="D1439" s="8">
        <v>2021</v>
      </c>
      <c r="E1439" s="14">
        <f>Data!R1439</f>
        <v>4</v>
      </c>
    </row>
    <row r="1440" spans="2:5" ht="15" customHeight="1" x14ac:dyDescent="0.3">
      <c r="C1440" s="2"/>
      <c r="D1440" s="8">
        <v>2022</v>
      </c>
      <c r="E1440" s="14">
        <f>Data!R1440</f>
        <v>4</v>
      </c>
    </row>
    <row r="1441" spans="2:5" ht="15" customHeight="1" x14ac:dyDescent="0.3">
      <c r="C1441" s="2"/>
      <c r="D1441" s="8">
        <v>2023</v>
      </c>
      <c r="E1441" s="14">
        <f>Data!R1441</f>
        <v>4</v>
      </c>
    </row>
    <row r="1442" spans="2:5" ht="15" customHeight="1" x14ac:dyDescent="0.3">
      <c r="C1442" s="2"/>
      <c r="D1442" s="8">
        <v>2024</v>
      </c>
      <c r="E1442" s="14">
        <f>Data!R1442</f>
        <v>4</v>
      </c>
    </row>
    <row r="1443" spans="2:5" ht="15" customHeight="1" x14ac:dyDescent="0.3">
      <c r="B1443" s="8">
        <v>132</v>
      </c>
      <c r="C1443" s="2" t="s">
        <v>85</v>
      </c>
      <c r="D1443" s="8">
        <v>2014</v>
      </c>
      <c r="E1443" s="14">
        <f>Data!R1443</f>
        <v>0</v>
      </c>
    </row>
    <row r="1444" spans="2:5" ht="15" customHeight="1" x14ac:dyDescent="0.3">
      <c r="C1444" s="2"/>
      <c r="D1444" s="8">
        <v>2015</v>
      </c>
      <c r="E1444" s="14">
        <f>Data!R1444</f>
        <v>0</v>
      </c>
    </row>
    <row r="1445" spans="2:5" ht="15" customHeight="1" x14ac:dyDescent="0.3">
      <c r="C1445" s="2"/>
      <c r="D1445" s="8">
        <v>2016</v>
      </c>
      <c r="E1445" s="14">
        <f>Data!R1445</f>
        <v>0</v>
      </c>
    </row>
    <row r="1446" spans="2:5" ht="15" customHeight="1" x14ac:dyDescent="0.3">
      <c r="C1446" s="2"/>
      <c r="D1446" s="8">
        <v>2017</v>
      </c>
      <c r="E1446" s="14">
        <f>Data!R1446</f>
        <v>3</v>
      </c>
    </row>
    <row r="1447" spans="2:5" ht="15" customHeight="1" x14ac:dyDescent="0.3">
      <c r="C1447" s="2"/>
      <c r="D1447" s="8">
        <v>2018</v>
      </c>
      <c r="E1447" s="14">
        <f>Data!R1447</f>
        <v>3</v>
      </c>
    </row>
    <row r="1448" spans="2:5" ht="15" customHeight="1" x14ac:dyDescent="0.3">
      <c r="C1448" s="2"/>
      <c r="D1448" s="8">
        <v>2019</v>
      </c>
      <c r="E1448" s="14">
        <f>Data!R1448</f>
        <v>3</v>
      </c>
    </row>
    <row r="1449" spans="2:5" ht="15" customHeight="1" x14ac:dyDescent="0.3">
      <c r="C1449" s="2"/>
      <c r="D1449" s="8">
        <v>2020</v>
      </c>
      <c r="E1449" s="14">
        <f>Data!R1449</f>
        <v>3</v>
      </c>
    </row>
    <row r="1450" spans="2:5" ht="15" customHeight="1" x14ac:dyDescent="0.3">
      <c r="C1450" s="2"/>
      <c r="D1450" s="8">
        <v>2021</v>
      </c>
      <c r="E1450" s="14">
        <f>Data!R1450</f>
        <v>3</v>
      </c>
    </row>
    <row r="1451" spans="2:5" ht="15" customHeight="1" x14ac:dyDescent="0.3">
      <c r="C1451" s="2"/>
      <c r="D1451" s="8">
        <v>2022</v>
      </c>
      <c r="E1451" s="14">
        <f>Data!R1451</f>
        <v>3</v>
      </c>
    </row>
    <row r="1452" spans="2:5" ht="15" customHeight="1" x14ac:dyDescent="0.3">
      <c r="C1452" s="2"/>
      <c r="D1452" s="8">
        <v>2023</v>
      </c>
      <c r="E1452" s="14">
        <f>Data!R1452</f>
        <v>3</v>
      </c>
    </row>
    <row r="1453" spans="2:5" ht="15" customHeight="1" x14ac:dyDescent="0.3">
      <c r="C1453" s="2"/>
      <c r="D1453" s="8">
        <v>2024</v>
      </c>
      <c r="E1453" s="14">
        <f>Data!R1453</f>
        <v>3</v>
      </c>
    </row>
    <row r="1454" spans="2:5" ht="15" customHeight="1" x14ac:dyDescent="0.3">
      <c r="B1454" s="8">
        <v>133</v>
      </c>
      <c r="C1454" s="1" t="s">
        <v>126</v>
      </c>
      <c r="D1454" s="8">
        <v>2014</v>
      </c>
      <c r="E1454" s="14">
        <f>Data!R1454</f>
        <v>0</v>
      </c>
    </row>
    <row r="1455" spans="2:5" ht="15" customHeight="1" x14ac:dyDescent="0.3">
      <c r="C1455" s="1"/>
      <c r="D1455" s="8">
        <v>2015</v>
      </c>
      <c r="E1455" s="14">
        <f>Data!R1455</f>
        <v>3</v>
      </c>
    </row>
    <row r="1456" spans="2:5" ht="15" customHeight="1" x14ac:dyDescent="0.3">
      <c r="C1456" s="1"/>
      <c r="D1456" s="8">
        <v>2016</v>
      </c>
      <c r="E1456" s="14">
        <f>Data!R1456</f>
        <v>3</v>
      </c>
    </row>
    <row r="1457" spans="2:5" ht="15" customHeight="1" x14ac:dyDescent="0.3">
      <c r="C1457" s="1"/>
      <c r="D1457" s="8">
        <v>2017</v>
      </c>
      <c r="E1457" s="14">
        <f>Data!R1457</f>
        <v>3</v>
      </c>
    </row>
    <row r="1458" spans="2:5" ht="15" customHeight="1" x14ac:dyDescent="0.3">
      <c r="C1458" s="1"/>
      <c r="D1458" s="8">
        <v>2018</v>
      </c>
      <c r="E1458" s="14">
        <f>Data!R1458</f>
        <v>3</v>
      </c>
    </row>
    <row r="1459" spans="2:5" ht="15" customHeight="1" x14ac:dyDescent="0.3">
      <c r="C1459" s="1"/>
      <c r="D1459" s="8">
        <v>2019</v>
      </c>
      <c r="E1459" s="14">
        <f>Data!R1459</f>
        <v>3</v>
      </c>
    </row>
    <row r="1460" spans="2:5" ht="15" customHeight="1" x14ac:dyDescent="0.3">
      <c r="C1460" s="1"/>
      <c r="D1460" s="8">
        <v>2020</v>
      </c>
      <c r="E1460" s="14">
        <f>Data!R1460</f>
        <v>3</v>
      </c>
    </row>
    <row r="1461" spans="2:5" ht="15" customHeight="1" x14ac:dyDescent="0.3">
      <c r="C1461" s="1"/>
      <c r="D1461" s="8">
        <v>2021</v>
      </c>
      <c r="E1461" s="14">
        <f>Data!R1461</f>
        <v>3</v>
      </c>
    </row>
    <row r="1462" spans="2:5" ht="15" customHeight="1" x14ac:dyDescent="0.3">
      <c r="C1462" s="1"/>
      <c r="D1462" s="8">
        <v>2022</v>
      </c>
      <c r="E1462" s="14">
        <f>Data!R1462</f>
        <v>3</v>
      </c>
    </row>
    <row r="1463" spans="2:5" ht="15" customHeight="1" x14ac:dyDescent="0.3">
      <c r="C1463" s="1"/>
      <c r="D1463" s="8">
        <v>2023</v>
      </c>
      <c r="E1463" s="14">
        <f>Data!R1463</f>
        <v>3</v>
      </c>
    </row>
    <row r="1464" spans="2:5" ht="15" customHeight="1" x14ac:dyDescent="0.3">
      <c r="C1464" s="1"/>
      <c r="D1464" s="8">
        <v>2024</v>
      </c>
      <c r="E1464" s="14">
        <f>Data!R1464</f>
        <v>3</v>
      </c>
    </row>
    <row r="1465" spans="2:5" ht="15" customHeight="1" x14ac:dyDescent="0.3">
      <c r="B1465" s="8">
        <v>134</v>
      </c>
      <c r="C1465" s="2" t="s">
        <v>95</v>
      </c>
      <c r="D1465" s="8">
        <v>2014</v>
      </c>
      <c r="E1465" s="14">
        <f>Data!R1465</f>
        <v>0</v>
      </c>
    </row>
    <row r="1466" spans="2:5" ht="15" customHeight="1" x14ac:dyDescent="0.3">
      <c r="C1466" s="2"/>
      <c r="D1466" s="8">
        <v>2015</v>
      </c>
      <c r="E1466" s="14">
        <f>Data!R1466</f>
        <v>0</v>
      </c>
    </row>
    <row r="1467" spans="2:5" ht="15" customHeight="1" x14ac:dyDescent="0.3">
      <c r="C1467" s="2"/>
      <c r="D1467" s="8">
        <v>2016</v>
      </c>
      <c r="E1467" s="14">
        <f>Data!R1467</f>
        <v>0</v>
      </c>
    </row>
    <row r="1468" spans="2:5" ht="15" customHeight="1" x14ac:dyDescent="0.3">
      <c r="C1468" s="2"/>
      <c r="D1468" s="8">
        <v>2017</v>
      </c>
      <c r="E1468" s="14">
        <f>Data!R1468</f>
        <v>0</v>
      </c>
    </row>
    <row r="1469" spans="2:5" ht="15" customHeight="1" x14ac:dyDescent="0.3">
      <c r="C1469" s="2"/>
      <c r="D1469" s="8">
        <v>2018</v>
      </c>
      <c r="E1469" s="14">
        <f>Data!R1469</f>
        <v>0</v>
      </c>
    </row>
    <row r="1470" spans="2:5" ht="15" customHeight="1" x14ac:dyDescent="0.3">
      <c r="C1470" s="2"/>
      <c r="D1470" s="8">
        <v>2019</v>
      </c>
      <c r="E1470" s="14">
        <f>Data!R1470</f>
        <v>0</v>
      </c>
    </row>
    <row r="1471" spans="2:5" ht="15" customHeight="1" x14ac:dyDescent="0.3">
      <c r="C1471" s="2"/>
      <c r="D1471" s="8">
        <v>2020</v>
      </c>
      <c r="E1471" s="14">
        <f>Data!R1471</f>
        <v>0</v>
      </c>
    </row>
    <row r="1472" spans="2:5" ht="15" customHeight="1" x14ac:dyDescent="0.3">
      <c r="C1472" s="2"/>
      <c r="D1472" s="8">
        <v>2021</v>
      </c>
      <c r="E1472" s="14">
        <f>Data!R1472</f>
        <v>6</v>
      </c>
    </row>
    <row r="1473" spans="1:5" ht="15" customHeight="1" x14ac:dyDescent="0.3">
      <c r="C1473" s="2"/>
      <c r="D1473" s="8">
        <v>2022</v>
      </c>
      <c r="E1473" s="14">
        <f>Data!R1473</f>
        <v>8</v>
      </c>
    </row>
    <row r="1474" spans="1:5" ht="15" customHeight="1" x14ac:dyDescent="0.3">
      <c r="C1474" s="2"/>
      <c r="D1474" s="8">
        <v>2023</v>
      </c>
      <c r="E1474" s="14">
        <f>Data!R1474</f>
        <v>8</v>
      </c>
    </row>
    <row r="1475" spans="1:5" ht="15" customHeight="1" x14ac:dyDescent="0.3">
      <c r="C1475" s="2"/>
      <c r="D1475" s="8">
        <v>2024</v>
      </c>
      <c r="E1475" s="14">
        <f>Data!R1475</f>
        <v>6</v>
      </c>
    </row>
    <row r="1476" spans="1:5" ht="15" customHeight="1" x14ac:dyDescent="0.3">
      <c r="B1476" s="8">
        <v>135</v>
      </c>
      <c r="C1476" s="1" t="s">
        <v>133</v>
      </c>
      <c r="D1476" s="8">
        <v>2014</v>
      </c>
      <c r="E1476" s="14">
        <f>Data!R1476</f>
        <v>0</v>
      </c>
    </row>
    <row r="1477" spans="1:5" ht="15" customHeight="1" x14ac:dyDescent="0.3">
      <c r="C1477" s="1"/>
      <c r="D1477" s="8">
        <v>2015</v>
      </c>
      <c r="E1477" s="14">
        <f>Data!R1477</f>
        <v>0</v>
      </c>
    </row>
    <row r="1478" spans="1:5" ht="15" customHeight="1" x14ac:dyDescent="0.3">
      <c r="C1478" s="1"/>
      <c r="D1478" s="8">
        <v>2016</v>
      </c>
      <c r="E1478" s="14">
        <f>Data!R1478</f>
        <v>0</v>
      </c>
    </row>
    <row r="1479" spans="1:5" ht="15" customHeight="1" x14ac:dyDescent="0.3">
      <c r="C1479" s="1"/>
      <c r="D1479" s="8">
        <v>2017</v>
      </c>
      <c r="E1479" s="14">
        <f>Data!R1479</f>
        <v>0</v>
      </c>
    </row>
    <row r="1480" spans="1:5" ht="15" customHeight="1" x14ac:dyDescent="0.3">
      <c r="C1480" s="1"/>
      <c r="D1480" s="8">
        <v>2018</v>
      </c>
      <c r="E1480" s="14">
        <f>Data!R1480</f>
        <v>0</v>
      </c>
    </row>
    <row r="1481" spans="1:5" ht="15" customHeight="1" x14ac:dyDescent="0.3">
      <c r="C1481" s="1"/>
      <c r="D1481" s="8">
        <v>2019</v>
      </c>
      <c r="E1481" s="14">
        <f>Data!R1481</f>
        <v>0</v>
      </c>
    </row>
    <row r="1482" spans="1:5" ht="15" customHeight="1" x14ac:dyDescent="0.3">
      <c r="C1482" s="1"/>
      <c r="D1482" s="8">
        <v>2020</v>
      </c>
      <c r="E1482" s="14">
        <f>Data!R1482</f>
        <v>0</v>
      </c>
    </row>
    <row r="1483" spans="1:5" ht="15" customHeight="1" x14ac:dyDescent="0.3">
      <c r="C1483" s="1"/>
      <c r="D1483" s="8">
        <v>2021</v>
      </c>
      <c r="E1483" s="14">
        <f>Data!R1483</f>
        <v>4</v>
      </c>
    </row>
    <row r="1484" spans="1:5" ht="15" customHeight="1" x14ac:dyDescent="0.3">
      <c r="C1484" s="1"/>
      <c r="D1484" s="8">
        <v>2022</v>
      </c>
      <c r="E1484" s="14">
        <f>Data!R1484</f>
        <v>3</v>
      </c>
    </row>
    <row r="1485" spans="1:5" ht="15" customHeight="1" x14ac:dyDescent="0.3">
      <c r="C1485" s="1"/>
      <c r="D1485" s="8">
        <v>2023</v>
      </c>
      <c r="E1485" s="14">
        <f>Data!R1485</f>
        <v>3</v>
      </c>
    </row>
    <row r="1486" spans="1:5" ht="15" customHeight="1" x14ac:dyDescent="0.3">
      <c r="C1486" s="1"/>
      <c r="D1486" s="8">
        <v>2024</v>
      </c>
      <c r="E1486" s="14">
        <f>Data!R1486</f>
        <v>3</v>
      </c>
    </row>
    <row r="1487" spans="1:5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Data!R1487</f>
        <v>0</v>
      </c>
    </row>
    <row r="1488" spans="1:5" ht="15" customHeight="1" x14ac:dyDescent="0.3">
      <c r="C1488" s="1"/>
      <c r="D1488" s="8">
        <v>2015</v>
      </c>
      <c r="E1488" s="14">
        <f>Data!R1488</f>
        <v>0</v>
      </c>
    </row>
    <row r="1489" spans="2:5" ht="15" customHeight="1" x14ac:dyDescent="0.3">
      <c r="C1489" s="1"/>
      <c r="D1489" s="8">
        <v>2016</v>
      </c>
      <c r="E1489" s="14">
        <f>Data!R1489</f>
        <v>0</v>
      </c>
    </row>
    <row r="1490" spans="2:5" ht="15" customHeight="1" x14ac:dyDescent="0.3">
      <c r="C1490" s="1"/>
      <c r="D1490" s="8">
        <v>2017</v>
      </c>
      <c r="E1490" s="14">
        <f>Data!R1490</f>
        <v>0</v>
      </c>
    </row>
    <row r="1491" spans="2:5" ht="15" customHeight="1" x14ac:dyDescent="0.3">
      <c r="C1491" s="1"/>
      <c r="D1491" s="8">
        <v>2018</v>
      </c>
      <c r="E1491" s="14">
        <f>Data!R1491</f>
        <v>0</v>
      </c>
    </row>
    <row r="1492" spans="2:5" ht="15" customHeight="1" x14ac:dyDescent="0.3">
      <c r="C1492" s="1"/>
      <c r="D1492" s="8">
        <v>2019</v>
      </c>
      <c r="E1492" s="14">
        <f>Data!R1492</f>
        <v>0</v>
      </c>
    </row>
    <row r="1493" spans="2:5" ht="15" customHeight="1" x14ac:dyDescent="0.3">
      <c r="C1493" s="1"/>
      <c r="D1493" s="8">
        <v>2020</v>
      </c>
      <c r="E1493" s="14">
        <f>Data!R1493</f>
        <v>0</v>
      </c>
    </row>
    <row r="1494" spans="2:5" ht="15" customHeight="1" x14ac:dyDescent="0.3">
      <c r="C1494" s="1"/>
      <c r="D1494" s="8">
        <v>2021</v>
      </c>
      <c r="E1494" s="14">
        <f>Data!R1494</f>
        <v>0</v>
      </c>
    </row>
    <row r="1495" spans="2:5" ht="15" customHeight="1" x14ac:dyDescent="0.3">
      <c r="C1495" s="1"/>
      <c r="D1495" s="8">
        <v>2022</v>
      </c>
      <c r="E1495" s="14">
        <f>Data!R1495</f>
        <v>3</v>
      </c>
    </row>
    <row r="1496" spans="2:5" ht="15" customHeight="1" x14ac:dyDescent="0.3">
      <c r="C1496" s="1"/>
      <c r="D1496" s="8">
        <v>2023</v>
      </c>
      <c r="E1496" s="14">
        <f>Data!R1496</f>
        <v>4</v>
      </c>
    </row>
    <row r="1497" spans="2:5" ht="15" customHeight="1" x14ac:dyDescent="0.3">
      <c r="C1497" s="1"/>
      <c r="D1497" s="8">
        <v>2024</v>
      </c>
      <c r="E1497" s="14">
        <f>Data!R1497</f>
        <v>3</v>
      </c>
    </row>
    <row r="1498" spans="2:5" ht="15" customHeight="1" x14ac:dyDescent="0.3">
      <c r="B1498" s="8">
        <v>137</v>
      </c>
      <c r="C1498" s="1" t="s">
        <v>136</v>
      </c>
      <c r="D1498" s="8">
        <v>2014</v>
      </c>
      <c r="E1498" s="14">
        <f>Data!R1498</f>
        <v>0</v>
      </c>
    </row>
    <row r="1499" spans="2:5" ht="15" customHeight="1" x14ac:dyDescent="0.3">
      <c r="C1499" s="1"/>
      <c r="D1499" s="8">
        <v>2015</v>
      </c>
      <c r="E1499" s="14">
        <f>Data!R1499</f>
        <v>0</v>
      </c>
    </row>
    <row r="1500" spans="2:5" ht="15" customHeight="1" x14ac:dyDescent="0.3">
      <c r="C1500" s="1"/>
      <c r="D1500" s="8">
        <v>2016</v>
      </c>
      <c r="E1500" s="14">
        <f>Data!R1500</f>
        <v>0</v>
      </c>
    </row>
    <row r="1501" spans="2:5" ht="15" customHeight="1" x14ac:dyDescent="0.3">
      <c r="C1501" s="1"/>
      <c r="D1501" s="8">
        <v>2017</v>
      </c>
      <c r="E1501" s="14">
        <f>Data!R1501</f>
        <v>3</v>
      </c>
    </row>
    <row r="1502" spans="2:5" ht="15" customHeight="1" x14ac:dyDescent="0.3">
      <c r="C1502" s="1"/>
      <c r="D1502" s="8">
        <v>2018</v>
      </c>
      <c r="E1502" s="14">
        <f>Data!R1502</f>
        <v>3</v>
      </c>
    </row>
    <row r="1503" spans="2:5" ht="15" customHeight="1" x14ac:dyDescent="0.3">
      <c r="C1503" s="1"/>
      <c r="D1503" s="8">
        <v>2019</v>
      </c>
      <c r="E1503" s="14">
        <f>Data!R1503</f>
        <v>3</v>
      </c>
    </row>
    <row r="1504" spans="2:5" ht="15" customHeight="1" x14ac:dyDescent="0.3">
      <c r="C1504" s="1"/>
      <c r="D1504" s="8">
        <v>2020</v>
      </c>
      <c r="E1504" s="14">
        <f>Data!R1504</f>
        <v>3</v>
      </c>
    </row>
    <row r="1505" spans="2:5" ht="15" customHeight="1" x14ac:dyDescent="0.3">
      <c r="C1505" s="1"/>
      <c r="D1505" s="8">
        <v>2021</v>
      </c>
      <c r="E1505" s="14">
        <f>Data!R1505</f>
        <v>3</v>
      </c>
    </row>
    <row r="1506" spans="2:5" ht="15" customHeight="1" x14ac:dyDescent="0.3">
      <c r="C1506" s="1"/>
      <c r="D1506" s="8">
        <v>2022</v>
      </c>
      <c r="E1506" s="14">
        <f>Data!R1506</f>
        <v>3</v>
      </c>
    </row>
    <row r="1507" spans="2:5" ht="15" customHeight="1" x14ac:dyDescent="0.3">
      <c r="C1507" s="1"/>
      <c r="D1507" s="8">
        <v>2023</v>
      </c>
      <c r="E1507" s="14">
        <f>Data!R1507</f>
        <v>3</v>
      </c>
    </row>
    <row r="1508" spans="2:5" ht="15" customHeight="1" x14ac:dyDescent="0.3">
      <c r="C1508" s="1"/>
      <c r="D1508" s="8">
        <v>2024</v>
      </c>
      <c r="E1508" s="14">
        <f>Data!R1508</f>
        <v>3</v>
      </c>
    </row>
    <row r="1509" spans="2:5" ht="15" customHeight="1" x14ac:dyDescent="0.3">
      <c r="B1509" s="8">
        <v>138</v>
      </c>
      <c r="C1509" s="1" t="s">
        <v>143</v>
      </c>
      <c r="D1509" s="8">
        <v>2014</v>
      </c>
      <c r="E1509" s="14">
        <f>Data!R1509</f>
        <v>0</v>
      </c>
    </row>
    <row r="1510" spans="2:5" ht="15" customHeight="1" x14ac:dyDescent="0.3">
      <c r="C1510" s="1"/>
      <c r="D1510" s="8">
        <v>2015</v>
      </c>
      <c r="E1510" s="14">
        <f>Data!R1510</f>
        <v>0</v>
      </c>
    </row>
    <row r="1511" spans="2:5" ht="15" customHeight="1" x14ac:dyDescent="0.3">
      <c r="C1511" s="1"/>
      <c r="D1511" s="8">
        <v>2016</v>
      </c>
      <c r="E1511" s="14">
        <f>Data!R1511</f>
        <v>0</v>
      </c>
    </row>
    <row r="1512" spans="2:5" ht="15" customHeight="1" x14ac:dyDescent="0.3">
      <c r="C1512" s="1"/>
      <c r="D1512" s="8">
        <v>2017</v>
      </c>
      <c r="E1512" s="14">
        <f>Data!R1512</f>
        <v>0</v>
      </c>
    </row>
    <row r="1513" spans="2:5" ht="15" customHeight="1" x14ac:dyDescent="0.3">
      <c r="C1513" s="1"/>
      <c r="D1513" s="8">
        <v>2018</v>
      </c>
      <c r="E1513" s="14">
        <f>Data!R1513</f>
        <v>0</v>
      </c>
    </row>
    <row r="1514" spans="2:5" ht="15" customHeight="1" x14ac:dyDescent="0.3">
      <c r="C1514" s="1"/>
      <c r="D1514" s="8">
        <v>2019</v>
      </c>
      <c r="E1514" s="14">
        <f>Data!R1514</f>
        <v>0</v>
      </c>
    </row>
    <row r="1515" spans="2:5" ht="15" customHeight="1" x14ac:dyDescent="0.3">
      <c r="C1515" s="1"/>
      <c r="D1515" s="8">
        <v>2020</v>
      </c>
      <c r="E1515" s="14">
        <f>Data!R1515</f>
        <v>0</v>
      </c>
    </row>
    <row r="1516" spans="2:5" ht="15" customHeight="1" x14ac:dyDescent="0.3">
      <c r="C1516" s="1"/>
      <c r="D1516" s="8">
        <v>2021</v>
      </c>
      <c r="E1516" s="14">
        <f>Data!R1516</f>
        <v>0</v>
      </c>
    </row>
    <row r="1517" spans="2:5" ht="15" customHeight="1" x14ac:dyDescent="0.3">
      <c r="C1517" s="1"/>
      <c r="D1517" s="8">
        <v>2022</v>
      </c>
      <c r="E1517" s="14">
        <f>Data!R1517</f>
        <v>0</v>
      </c>
    </row>
    <row r="1518" spans="2:5" ht="15" customHeight="1" x14ac:dyDescent="0.3">
      <c r="C1518" s="1"/>
      <c r="D1518" s="8">
        <v>2023</v>
      </c>
      <c r="E1518" s="14">
        <f>Data!R1518</f>
        <v>0</v>
      </c>
    </row>
    <row r="1519" spans="2:5" ht="15" customHeight="1" x14ac:dyDescent="0.3">
      <c r="C1519" s="1"/>
      <c r="D1519" s="8">
        <v>2024</v>
      </c>
      <c r="E1519" s="14">
        <f>Data!R1519</f>
        <v>3</v>
      </c>
    </row>
    <row r="1520" spans="2:5" ht="15" customHeight="1" x14ac:dyDescent="0.3">
      <c r="B1520" s="8">
        <v>139</v>
      </c>
      <c r="C1520" s="1" t="s">
        <v>137</v>
      </c>
      <c r="D1520" s="8">
        <v>2014</v>
      </c>
      <c r="E1520" s="14">
        <f>Data!R1520</f>
        <v>0</v>
      </c>
    </row>
    <row r="1521" spans="2:5" ht="15" customHeight="1" x14ac:dyDescent="0.3">
      <c r="C1521" s="1"/>
      <c r="D1521" s="8">
        <v>2015</v>
      </c>
      <c r="E1521" s="14">
        <f>Data!R1521</f>
        <v>3</v>
      </c>
    </row>
    <row r="1522" spans="2:5" ht="15" customHeight="1" x14ac:dyDescent="0.3">
      <c r="C1522" s="1"/>
      <c r="D1522" s="8">
        <v>2016</v>
      </c>
      <c r="E1522" s="14">
        <f>Data!R1522</f>
        <v>4</v>
      </c>
    </row>
    <row r="1523" spans="2:5" ht="15" customHeight="1" x14ac:dyDescent="0.3">
      <c r="C1523" s="1"/>
      <c r="D1523" s="8">
        <v>2017</v>
      </c>
      <c r="E1523" s="14">
        <f>Data!R1523</f>
        <v>4</v>
      </c>
    </row>
    <row r="1524" spans="2:5" ht="15" customHeight="1" x14ac:dyDescent="0.3">
      <c r="C1524" s="1"/>
      <c r="D1524" s="8">
        <v>2018</v>
      </c>
      <c r="E1524" s="14">
        <f>Data!R1524</f>
        <v>4</v>
      </c>
    </row>
    <row r="1525" spans="2:5" ht="15" customHeight="1" x14ac:dyDescent="0.3">
      <c r="C1525" s="1"/>
      <c r="D1525" s="8">
        <v>2019</v>
      </c>
      <c r="E1525" s="14">
        <f>Data!R1525</f>
        <v>4</v>
      </c>
    </row>
    <row r="1526" spans="2:5" ht="15" customHeight="1" x14ac:dyDescent="0.3">
      <c r="C1526" s="1"/>
      <c r="D1526" s="8">
        <v>2020</v>
      </c>
      <c r="E1526" s="14">
        <f>Data!R1526</f>
        <v>4</v>
      </c>
    </row>
    <row r="1527" spans="2:5" ht="15" customHeight="1" x14ac:dyDescent="0.3">
      <c r="C1527" s="1"/>
      <c r="D1527" s="8">
        <v>2021</v>
      </c>
      <c r="E1527" s="14">
        <f>Data!R1527</f>
        <v>4</v>
      </c>
    </row>
    <row r="1528" spans="2:5" ht="15" customHeight="1" x14ac:dyDescent="0.3">
      <c r="C1528" s="1"/>
      <c r="D1528" s="8">
        <v>2022</v>
      </c>
      <c r="E1528" s="14">
        <f>Data!R1528</f>
        <v>5</v>
      </c>
    </row>
    <row r="1529" spans="2:5" ht="15" customHeight="1" x14ac:dyDescent="0.3">
      <c r="C1529" s="1"/>
      <c r="D1529" s="8">
        <v>2023</v>
      </c>
      <c r="E1529" s="14">
        <f>Data!R1529</f>
        <v>5</v>
      </c>
    </row>
    <row r="1530" spans="2:5" ht="15" customHeight="1" x14ac:dyDescent="0.3">
      <c r="C1530" s="1"/>
      <c r="D1530" s="8">
        <v>2024</v>
      </c>
      <c r="E1530" s="14">
        <f>Data!R1530</f>
        <v>3</v>
      </c>
    </row>
    <row r="1531" spans="2:5" ht="15" customHeight="1" x14ac:dyDescent="0.3">
      <c r="B1531" s="8">
        <v>140</v>
      </c>
      <c r="C1531" s="1" t="s">
        <v>139</v>
      </c>
      <c r="D1531" s="8">
        <v>2014</v>
      </c>
      <c r="E1531" s="14">
        <f>Data!R1531</f>
        <v>0</v>
      </c>
    </row>
    <row r="1532" spans="2:5" ht="15" customHeight="1" x14ac:dyDescent="0.3">
      <c r="C1532" s="1"/>
      <c r="D1532" s="8">
        <v>2015</v>
      </c>
      <c r="E1532" s="14">
        <f>Data!R1532</f>
        <v>5</v>
      </c>
    </row>
    <row r="1533" spans="2:5" ht="15" customHeight="1" x14ac:dyDescent="0.3">
      <c r="C1533" s="1"/>
      <c r="D1533" s="8">
        <v>2016</v>
      </c>
      <c r="E1533" s="14">
        <f>Data!R1533</f>
        <v>4</v>
      </c>
    </row>
    <row r="1534" spans="2:5" ht="15" customHeight="1" x14ac:dyDescent="0.3">
      <c r="C1534" s="1"/>
      <c r="D1534" s="8">
        <v>2017</v>
      </c>
      <c r="E1534" s="14">
        <f>Data!R1534</f>
        <v>4</v>
      </c>
    </row>
    <row r="1535" spans="2:5" ht="15" customHeight="1" x14ac:dyDescent="0.3">
      <c r="C1535" s="1"/>
      <c r="D1535" s="8">
        <v>2018</v>
      </c>
      <c r="E1535" s="14">
        <f>Data!R1535</f>
        <v>5</v>
      </c>
    </row>
    <row r="1536" spans="2:5" ht="15" customHeight="1" x14ac:dyDescent="0.3">
      <c r="C1536" s="1"/>
      <c r="D1536" s="8">
        <v>2019</v>
      </c>
      <c r="E1536" s="14">
        <f>Data!R1536</f>
        <v>5</v>
      </c>
    </row>
    <row r="1537" spans="2:5" ht="15" customHeight="1" x14ac:dyDescent="0.3">
      <c r="C1537" s="1"/>
      <c r="D1537" s="8">
        <v>2020</v>
      </c>
      <c r="E1537" s="14">
        <f>Data!R1537</f>
        <v>5</v>
      </c>
    </row>
    <row r="1538" spans="2:5" ht="15" customHeight="1" x14ac:dyDescent="0.3">
      <c r="C1538" s="1"/>
      <c r="D1538" s="8">
        <v>2021</v>
      </c>
      <c r="E1538" s="14">
        <f>Data!R1538</f>
        <v>5</v>
      </c>
    </row>
    <row r="1539" spans="2:5" ht="15" customHeight="1" x14ac:dyDescent="0.3">
      <c r="C1539" s="1"/>
      <c r="D1539" s="8">
        <v>2022</v>
      </c>
      <c r="E1539" s="14">
        <f>Data!R1539</f>
        <v>5</v>
      </c>
    </row>
    <row r="1540" spans="2:5" ht="15" customHeight="1" x14ac:dyDescent="0.3">
      <c r="C1540" s="1"/>
      <c r="D1540" s="8">
        <v>2023</v>
      </c>
      <c r="E1540" s="14">
        <f>Data!R1540</f>
        <v>5</v>
      </c>
    </row>
    <row r="1541" spans="2:5" ht="15" customHeight="1" x14ac:dyDescent="0.3">
      <c r="C1541" s="1"/>
      <c r="D1541" s="8">
        <v>2024</v>
      </c>
      <c r="E1541" s="14">
        <f>Data!R1541</f>
        <v>3</v>
      </c>
    </row>
    <row r="1542" spans="2:5" ht="15" customHeight="1" x14ac:dyDescent="0.3">
      <c r="B1542" s="8">
        <v>141</v>
      </c>
      <c r="C1542" s="1" t="s">
        <v>140</v>
      </c>
      <c r="D1542" s="8">
        <v>2014</v>
      </c>
      <c r="E1542" s="14">
        <f>Data!R1542</f>
        <v>0</v>
      </c>
    </row>
    <row r="1543" spans="2:5" ht="15" customHeight="1" x14ac:dyDescent="0.3">
      <c r="C1543" s="1"/>
      <c r="D1543" s="8">
        <v>2015</v>
      </c>
      <c r="E1543" s="14">
        <f>Data!R1543</f>
        <v>3</v>
      </c>
    </row>
    <row r="1544" spans="2:5" ht="15" customHeight="1" x14ac:dyDescent="0.3">
      <c r="C1544" s="1"/>
      <c r="D1544" s="8">
        <v>2016</v>
      </c>
      <c r="E1544" s="14">
        <f>Data!R1544</f>
        <v>4</v>
      </c>
    </row>
    <row r="1545" spans="2:5" ht="15" customHeight="1" x14ac:dyDescent="0.3">
      <c r="C1545" s="1"/>
      <c r="D1545" s="8">
        <v>2017</v>
      </c>
      <c r="E1545" s="14">
        <f>Data!R1545</f>
        <v>0</v>
      </c>
    </row>
    <row r="1546" spans="2:5" ht="15" customHeight="1" x14ac:dyDescent="0.3">
      <c r="C1546" s="1"/>
      <c r="D1546" s="8">
        <v>2018</v>
      </c>
      <c r="E1546" s="14">
        <f>Data!R1546</f>
        <v>4</v>
      </c>
    </row>
    <row r="1547" spans="2:5" ht="15" customHeight="1" x14ac:dyDescent="0.3">
      <c r="C1547" s="1"/>
      <c r="D1547" s="8">
        <v>2019</v>
      </c>
      <c r="E1547" s="14">
        <f>Data!R1547</f>
        <v>3</v>
      </c>
    </row>
    <row r="1548" spans="2:5" ht="15" customHeight="1" x14ac:dyDescent="0.3">
      <c r="C1548" s="1"/>
      <c r="D1548" s="8">
        <v>2020</v>
      </c>
      <c r="E1548" s="14">
        <f>Data!R1548</f>
        <v>4</v>
      </c>
    </row>
    <row r="1549" spans="2:5" ht="15" customHeight="1" x14ac:dyDescent="0.3">
      <c r="C1549" s="1"/>
      <c r="D1549" s="8">
        <v>2021</v>
      </c>
      <c r="E1549" s="14">
        <f>Data!R1549</f>
        <v>4</v>
      </c>
    </row>
    <row r="1550" spans="2:5" ht="15" customHeight="1" x14ac:dyDescent="0.3">
      <c r="C1550" s="1"/>
      <c r="D1550" s="8">
        <v>2022</v>
      </c>
      <c r="E1550" s="14">
        <f>Data!R1550</f>
        <v>4</v>
      </c>
    </row>
    <row r="1551" spans="2:5" ht="15" customHeight="1" x14ac:dyDescent="0.3">
      <c r="C1551" s="1"/>
      <c r="D1551" s="8">
        <v>2023</v>
      </c>
      <c r="E1551" s="14">
        <f>Data!R1551</f>
        <v>4</v>
      </c>
    </row>
    <row r="1552" spans="2:5" ht="15" customHeight="1" x14ac:dyDescent="0.3">
      <c r="C1552" s="1"/>
      <c r="D1552" s="8">
        <v>2024</v>
      </c>
      <c r="E1552" s="14">
        <f>Data!R1552</f>
        <v>4</v>
      </c>
    </row>
    <row r="1553" spans="2:5" ht="15" customHeight="1" x14ac:dyDescent="0.3">
      <c r="B1553" s="8">
        <v>142</v>
      </c>
      <c r="C1553" s="1" t="s">
        <v>138</v>
      </c>
      <c r="D1553" s="8">
        <v>2014</v>
      </c>
      <c r="E1553" s="14">
        <f>Data!R1553</f>
        <v>0</v>
      </c>
    </row>
    <row r="1554" spans="2:5" ht="15" customHeight="1" x14ac:dyDescent="0.3">
      <c r="C1554" s="1"/>
      <c r="D1554" s="8">
        <v>2015</v>
      </c>
      <c r="E1554" s="14">
        <f>Data!R1554</f>
        <v>0</v>
      </c>
    </row>
    <row r="1555" spans="2:5" ht="15" customHeight="1" x14ac:dyDescent="0.3">
      <c r="C1555" s="1"/>
      <c r="D1555" s="8">
        <v>2016</v>
      </c>
      <c r="E1555" s="14">
        <f>Data!R1555</f>
        <v>0</v>
      </c>
    </row>
    <row r="1556" spans="2:5" ht="15" customHeight="1" x14ac:dyDescent="0.3">
      <c r="C1556" s="1"/>
      <c r="D1556" s="8">
        <v>2017</v>
      </c>
      <c r="E1556" s="14">
        <f>Data!R1556</f>
        <v>3</v>
      </c>
    </row>
    <row r="1557" spans="2:5" ht="15" customHeight="1" x14ac:dyDescent="0.3">
      <c r="C1557" s="1"/>
      <c r="D1557" s="8">
        <v>2018</v>
      </c>
      <c r="E1557" s="14">
        <f>Data!R1557</f>
        <v>0</v>
      </c>
    </row>
    <row r="1558" spans="2:5" ht="15" customHeight="1" x14ac:dyDescent="0.3">
      <c r="C1558" s="1"/>
      <c r="D1558" s="8">
        <v>2019</v>
      </c>
      <c r="E1558" s="14">
        <f>Data!R1558</f>
        <v>4</v>
      </c>
    </row>
    <row r="1559" spans="2:5" ht="15" customHeight="1" x14ac:dyDescent="0.3">
      <c r="C1559" s="1"/>
      <c r="D1559" s="8">
        <v>2020</v>
      </c>
      <c r="E1559" s="14">
        <f>Data!R1559</f>
        <v>4</v>
      </c>
    </row>
    <row r="1560" spans="2:5" ht="15" customHeight="1" x14ac:dyDescent="0.3">
      <c r="C1560" s="1"/>
      <c r="D1560" s="8">
        <v>2021</v>
      </c>
      <c r="E1560" s="14">
        <f>Data!R1560</f>
        <v>4</v>
      </c>
    </row>
    <row r="1561" spans="2:5" ht="15" customHeight="1" x14ac:dyDescent="0.3">
      <c r="C1561" s="1"/>
      <c r="D1561" s="8">
        <v>2022</v>
      </c>
      <c r="E1561" s="14">
        <f>Data!R1561</f>
        <v>4</v>
      </c>
    </row>
    <row r="1562" spans="2:5" ht="15" customHeight="1" x14ac:dyDescent="0.3">
      <c r="C1562" s="1"/>
      <c r="D1562" s="8">
        <v>2023</v>
      </c>
      <c r="E1562" s="14">
        <f>Data!R1562</f>
        <v>4</v>
      </c>
    </row>
    <row r="1563" spans="2:5" ht="15" customHeight="1" x14ac:dyDescent="0.3">
      <c r="C1563" s="1"/>
      <c r="D1563" s="8">
        <v>2024</v>
      </c>
      <c r="E1563" s="14">
        <f>Data!R1563</f>
        <v>3</v>
      </c>
    </row>
    <row r="1564" spans="2:5" ht="15" customHeight="1" x14ac:dyDescent="0.3">
      <c r="B1564" s="8">
        <v>143</v>
      </c>
      <c r="C1564" s="1" t="s">
        <v>144</v>
      </c>
      <c r="D1564" s="8">
        <v>2014</v>
      </c>
      <c r="E1564" s="14">
        <f>Data!R1564</f>
        <v>0</v>
      </c>
    </row>
    <row r="1565" spans="2:5" ht="15" customHeight="1" x14ac:dyDescent="0.3">
      <c r="C1565" s="1"/>
      <c r="D1565" s="8">
        <v>2015</v>
      </c>
      <c r="E1565" s="14">
        <f>Data!R1565</f>
        <v>0</v>
      </c>
    </row>
    <row r="1566" spans="2:5" ht="15" customHeight="1" x14ac:dyDescent="0.3">
      <c r="C1566" s="1"/>
      <c r="D1566" s="8">
        <v>2016</v>
      </c>
      <c r="E1566" s="14">
        <f>Data!R1566</f>
        <v>0</v>
      </c>
    </row>
    <row r="1567" spans="2:5" ht="15" customHeight="1" x14ac:dyDescent="0.3">
      <c r="C1567" s="1"/>
      <c r="D1567" s="8">
        <v>2017</v>
      </c>
      <c r="E1567" s="14">
        <f>Data!R1567</f>
        <v>0</v>
      </c>
    </row>
    <row r="1568" spans="2:5" ht="15" customHeight="1" x14ac:dyDescent="0.3">
      <c r="C1568" s="1"/>
      <c r="D1568" s="8">
        <v>2018</v>
      </c>
      <c r="E1568" s="14">
        <f>Data!R1568</f>
        <v>0</v>
      </c>
    </row>
    <row r="1569" spans="2:5" ht="15" customHeight="1" x14ac:dyDescent="0.3">
      <c r="C1569" s="1"/>
      <c r="D1569" s="8">
        <v>2019</v>
      </c>
      <c r="E1569" s="14">
        <f>Data!R1569</f>
        <v>0</v>
      </c>
    </row>
    <row r="1570" spans="2:5" ht="15" customHeight="1" x14ac:dyDescent="0.3">
      <c r="C1570" s="1"/>
      <c r="D1570" s="8">
        <v>2020</v>
      </c>
      <c r="E1570" s="14">
        <f>Data!R1570</f>
        <v>0</v>
      </c>
    </row>
    <row r="1571" spans="2:5" ht="15" customHeight="1" x14ac:dyDescent="0.3">
      <c r="C1571" s="1"/>
      <c r="D1571" s="8">
        <v>2021</v>
      </c>
      <c r="E1571" s="14">
        <f>Data!R1571</f>
        <v>0</v>
      </c>
    </row>
    <row r="1572" spans="2:5" ht="15" customHeight="1" x14ac:dyDescent="0.3">
      <c r="C1572" s="1"/>
      <c r="D1572" s="8">
        <v>2022</v>
      </c>
      <c r="E1572" s="14">
        <f>Data!R1572</f>
        <v>0</v>
      </c>
    </row>
    <row r="1573" spans="2:5" ht="15" customHeight="1" x14ac:dyDescent="0.3">
      <c r="C1573" s="1"/>
      <c r="D1573" s="8">
        <v>2023</v>
      </c>
      <c r="E1573" s="14">
        <f>Data!R1573</f>
        <v>0</v>
      </c>
    </row>
    <row r="1574" spans="2:5" ht="15" customHeight="1" x14ac:dyDescent="0.3">
      <c r="C1574" s="1"/>
      <c r="D1574" s="8">
        <v>2024</v>
      </c>
      <c r="E1574" s="14">
        <f>Data!R1574</f>
        <v>0</v>
      </c>
    </row>
    <row r="1575" spans="2:5" ht="15" customHeight="1" x14ac:dyDescent="0.3">
      <c r="B1575" s="8">
        <v>144</v>
      </c>
      <c r="C1575" s="1" t="s">
        <v>141</v>
      </c>
      <c r="D1575" s="8">
        <v>2014</v>
      </c>
      <c r="E1575" s="14">
        <f>Data!R1575</f>
        <v>0</v>
      </c>
    </row>
    <row r="1576" spans="2:5" ht="15" customHeight="1" x14ac:dyDescent="0.3">
      <c r="C1576" s="1"/>
      <c r="D1576" s="8">
        <v>2015</v>
      </c>
      <c r="E1576" s="14">
        <f>Data!R1576</f>
        <v>0</v>
      </c>
    </row>
    <row r="1577" spans="2:5" ht="15" customHeight="1" x14ac:dyDescent="0.3">
      <c r="C1577" s="1"/>
      <c r="D1577" s="8">
        <v>2016</v>
      </c>
      <c r="E1577" s="14">
        <f>Data!R1577</f>
        <v>0</v>
      </c>
    </row>
    <row r="1578" spans="2:5" ht="15" customHeight="1" x14ac:dyDescent="0.3">
      <c r="C1578" s="1"/>
      <c r="D1578" s="8">
        <v>2017</v>
      </c>
      <c r="E1578" s="14">
        <f>Data!R1578</f>
        <v>0</v>
      </c>
    </row>
    <row r="1579" spans="2:5" ht="15" customHeight="1" x14ac:dyDescent="0.3">
      <c r="C1579" s="1"/>
      <c r="D1579" s="8">
        <v>2018</v>
      </c>
      <c r="E1579" s="14">
        <f>Data!R1579</f>
        <v>4</v>
      </c>
    </row>
    <row r="1580" spans="2:5" ht="15" customHeight="1" x14ac:dyDescent="0.3">
      <c r="C1580" s="1"/>
      <c r="D1580" s="8">
        <v>2019</v>
      </c>
      <c r="E1580" s="14">
        <f>Data!R1580</f>
        <v>4</v>
      </c>
    </row>
    <row r="1581" spans="2:5" ht="15" customHeight="1" x14ac:dyDescent="0.3">
      <c r="C1581" s="1"/>
      <c r="D1581" s="8">
        <v>2020</v>
      </c>
      <c r="E1581" s="14">
        <f>Data!R1581</f>
        <v>4</v>
      </c>
    </row>
    <row r="1582" spans="2:5" ht="15" customHeight="1" x14ac:dyDescent="0.3">
      <c r="C1582" s="1"/>
      <c r="D1582" s="8">
        <v>2021</v>
      </c>
      <c r="E1582" s="14">
        <f>Data!R1582</f>
        <v>4</v>
      </c>
    </row>
    <row r="1583" spans="2:5" ht="15" customHeight="1" x14ac:dyDescent="0.3">
      <c r="C1583" s="1"/>
      <c r="D1583" s="8">
        <v>2022</v>
      </c>
      <c r="E1583" s="14">
        <f>Data!R1583</f>
        <v>4</v>
      </c>
    </row>
    <row r="1584" spans="2:5" ht="15" customHeight="1" x14ac:dyDescent="0.3">
      <c r="C1584" s="1"/>
      <c r="D1584" s="8">
        <v>2023</v>
      </c>
      <c r="E1584" s="14">
        <f>Data!R1584</f>
        <v>4</v>
      </c>
    </row>
    <row r="1585" spans="1:5" ht="15" customHeight="1" x14ac:dyDescent="0.3">
      <c r="C1585" s="1"/>
      <c r="D1585" s="8">
        <v>2024</v>
      </c>
      <c r="E1585" s="14">
        <f>Data!R1585</f>
        <v>4</v>
      </c>
    </row>
    <row r="1586" spans="1:5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Data!R1586</f>
        <v>0</v>
      </c>
    </row>
    <row r="1587" spans="1:5" ht="15" customHeight="1" x14ac:dyDescent="0.3">
      <c r="C1587" s="4"/>
      <c r="D1587" s="8">
        <v>2015</v>
      </c>
      <c r="E1587" s="14">
        <f>Data!R1587</f>
        <v>4</v>
      </c>
    </row>
    <row r="1588" spans="1:5" ht="15" customHeight="1" x14ac:dyDescent="0.3">
      <c r="C1588" s="4"/>
      <c r="D1588" s="8">
        <v>2016</v>
      </c>
      <c r="E1588" s="14">
        <f>Data!R1588</f>
        <v>4</v>
      </c>
    </row>
    <row r="1589" spans="1:5" ht="15" customHeight="1" x14ac:dyDescent="0.3">
      <c r="C1589" s="4"/>
      <c r="D1589" s="8">
        <v>2017</v>
      </c>
      <c r="E1589" s="14">
        <f>Data!R1589</f>
        <v>4</v>
      </c>
    </row>
    <row r="1590" spans="1:5" ht="15" customHeight="1" x14ac:dyDescent="0.3">
      <c r="C1590" s="4"/>
      <c r="D1590" s="8">
        <v>2018</v>
      </c>
      <c r="E1590" s="14">
        <f>Data!R1590</f>
        <v>0</v>
      </c>
    </row>
    <row r="1591" spans="1:5" ht="15" customHeight="1" x14ac:dyDescent="0.3">
      <c r="C1591" s="4"/>
      <c r="D1591" s="8">
        <v>2019</v>
      </c>
      <c r="E1591" s="14">
        <f>Data!R1591</f>
        <v>0</v>
      </c>
    </row>
    <row r="1592" spans="1:5" ht="15" customHeight="1" x14ac:dyDescent="0.3">
      <c r="C1592" s="4"/>
      <c r="D1592" s="8">
        <v>2020</v>
      </c>
      <c r="E1592" s="14">
        <f>Data!R1592</f>
        <v>0</v>
      </c>
    </row>
    <row r="1593" spans="1:5" ht="15" customHeight="1" x14ac:dyDescent="0.3">
      <c r="C1593" s="4"/>
      <c r="D1593" s="8">
        <v>2021</v>
      </c>
      <c r="E1593" s="14">
        <f>Data!R1593</f>
        <v>0</v>
      </c>
    </row>
    <row r="1594" spans="1:5" ht="15" customHeight="1" x14ac:dyDescent="0.3">
      <c r="C1594" s="4"/>
      <c r="D1594" s="8">
        <v>2022</v>
      </c>
      <c r="E1594" s="14">
        <f>Data!R1594</f>
        <v>0</v>
      </c>
    </row>
    <row r="1595" spans="1:5" ht="15" customHeight="1" x14ac:dyDescent="0.3">
      <c r="C1595" s="4"/>
      <c r="D1595" s="8">
        <v>2023</v>
      </c>
      <c r="E1595" s="14">
        <f>Data!R1595</f>
        <v>0</v>
      </c>
    </row>
    <row r="1596" spans="1:5" ht="15" customHeight="1" x14ac:dyDescent="0.3">
      <c r="C1596" s="4"/>
      <c r="D1596" s="8">
        <v>2024</v>
      </c>
      <c r="E1596" s="14">
        <f>Data!R1596</f>
        <v>0</v>
      </c>
    </row>
    <row r="1597" spans="1:5" ht="15" customHeight="1" x14ac:dyDescent="0.3">
      <c r="B1597" s="8">
        <v>146</v>
      </c>
      <c r="C1597" s="4" t="s">
        <v>146</v>
      </c>
      <c r="D1597" s="8">
        <v>2014</v>
      </c>
      <c r="E1597" s="14">
        <f>Data!R1597</f>
        <v>0</v>
      </c>
    </row>
    <row r="1598" spans="1:5" ht="15" customHeight="1" x14ac:dyDescent="0.3">
      <c r="C1598" s="4"/>
      <c r="D1598" s="8">
        <v>2015</v>
      </c>
      <c r="E1598" s="14">
        <f>Data!R1598</f>
        <v>0</v>
      </c>
    </row>
    <row r="1599" spans="1:5" ht="15" customHeight="1" x14ac:dyDescent="0.3">
      <c r="C1599" s="4"/>
      <c r="D1599" s="8">
        <v>2016</v>
      </c>
      <c r="E1599" s="14">
        <f>Data!R1599</f>
        <v>0</v>
      </c>
    </row>
    <row r="1600" spans="1:5" ht="15" customHeight="1" x14ac:dyDescent="0.3">
      <c r="C1600" s="4"/>
      <c r="D1600" s="8">
        <v>2017</v>
      </c>
      <c r="E1600" s="14">
        <f>Data!R1600</f>
        <v>0</v>
      </c>
    </row>
    <row r="1601" spans="1:5" ht="15" customHeight="1" x14ac:dyDescent="0.3">
      <c r="C1601" s="4"/>
      <c r="D1601" s="8">
        <v>2018</v>
      </c>
      <c r="E1601" s="14">
        <f>Data!R1601</f>
        <v>0</v>
      </c>
    </row>
    <row r="1602" spans="1:5" ht="15" customHeight="1" x14ac:dyDescent="0.3">
      <c r="C1602" s="4"/>
      <c r="D1602" s="8">
        <v>2019</v>
      </c>
      <c r="E1602" s="14">
        <f>Data!R1602</f>
        <v>0</v>
      </c>
    </row>
    <row r="1603" spans="1:5" ht="15" customHeight="1" x14ac:dyDescent="0.3">
      <c r="C1603" s="4"/>
      <c r="D1603" s="8">
        <v>2020</v>
      </c>
      <c r="E1603" s="14">
        <f>Data!R1603</f>
        <v>0</v>
      </c>
    </row>
    <row r="1604" spans="1:5" ht="15" customHeight="1" x14ac:dyDescent="0.3">
      <c r="C1604" s="4"/>
      <c r="D1604" s="8">
        <v>2021</v>
      </c>
      <c r="E1604" s="14">
        <f>Data!R1604</f>
        <v>0</v>
      </c>
    </row>
    <row r="1605" spans="1:5" ht="15" customHeight="1" x14ac:dyDescent="0.3">
      <c r="C1605" s="4"/>
      <c r="D1605" s="8">
        <v>2022</v>
      </c>
      <c r="E1605" s="14">
        <f>Data!R1605</f>
        <v>0</v>
      </c>
    </row>
    <row r="1606" spans="1:5" ht="15" customHeight="1" x14ac:dyDescent="0.3">
      <c r="C1606" s="4"/>
      <c r="D1606" s="8">
        <v>2023</v>
      </c>
      <c r="E1606" s="14">
        <f>Data!R1606</f>
        <v>0</v>
      </c>
    </row>
    <row r="1607" spans="1:5" ht="15" customHeight="1" x14ac:dyDescent="0.3">
      <c r="C1607" s="4"/>
      <c r="D1607" s="8">
        <v>2024</v>
      </c>
      <c r="E1607" s="14">
        <f>Data!R1607</f>
        <v>0</v>
      </c>
    </row>
    <row r="1608" spans="1:5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Data!R1608</f>
        <v>0</v>
      </c>
    </row>
    <row r="1609" spans="1:5" ht="15" customHeight="1" x14ac:dyDescent="0.3">
      <c r="C1609" s="4"/>
      <c r="D1609" s="8">
        <v>2015</v>
      </c>
      <c r="E1609" s="14">
        <f>Data!R1609</f>
        <v>0</v>
      </c>
    </row>
    <row r="1610" spans="1:5" ht="15" customHeight="1" x14ac:dyDescent="0.3">
      <c r="C1610" s="4"/>
      <c r="D1610" s="8">
        <v>2016</v>
      </c>
      <c r="E1610" s="14">
        <f>Data!R1610</f>
        <v>0</v>
      </c>
    </row>
    <row r="1611" spans="1:5" ht="15" customHeight="1" x14ac:dyDescent="0.3">
      <c r="C1611" s="4"/>
      <c r="D1611" s="8">
        <v>2017</v>
      </c>
      <c r="E1611" s="14">
        <f>Data!R1611</f>
        <v>0</v>
      </c>
    </row>
    <row r="1612" spans="1:5" ht="15" customHeight="1" x14ac:dyDescent="0.3">
      <c r="C1612" s="4"/>
      <c r="D1612" s="8">
        <v>2018</v>
      </c>
      <c r="E1612" s="14">
        <f>Data!R1612</f>
        <v>0</v>
      </c>
    </row>
    <row r="1613" spans="1:5" ht="15" customHeight="1" x14ac:dyDescent="0.3">
      <c r="C1613" s="4"/>
      <c r="D1613" s="8">
        <v>2019</v>
      </c>
      <c r="E1613" s="14">
        <f>Data!R1613</f>
        <v>0</v>
      </c>
    </row>
    <row r="1614" spans="1:5" ht="15" customHeight="1" x14ac:dyDescent="0.3">
      <c r="C1614" s="4"/>
      <c r="D1614" s="8">
        <v>2020</v>
      </c>
      <c r="E1614" s="14">
        <f>Data!R1614</f>
        <v>0</v>
      </c>
    </row>
    <row r="1615" spans="1:5" ht="15" customHeight="1" x14ac:dyDescent="0.3">
      <c r="C1615" s="4"/>
      <c r="D1615" s="8">
        <v>2021</v>
      </c>
      <c r="E1615" s="14">
        <f>Data!R1615</f>
        <v>0</v>
      </c>
    </row>
    <row r="1616" spans="1:5" ht="15" customHeight="1" x14ac:dyDescent="0.3">
      <c r="C1616" s="4"/>
      <c r="D1616" s="8">
        <v>2022</v>
      </c>
      <c r="E1616" s="14">
        <f>Data!R1616</f>
        <v>0</v>
      </c>
    </row>
    <row r="1617" spans="2:5" ht="15" customHeight="1" x14ac:dyDescent="0.3">
      <c r="C1617" s="4"/>
      <c r="D1617" s="8">
        <v>2023</v>
      </c>
      <c r="E1617" s="14">
        <f>Data!R1617</f>
        <v>0</v>
      </c>
    </row>
    <row r="1618" spans="2:5" ht="15" customHeight="1" x14ac:dyDescent="0.3">
      <c r="C1618" s="4"/>
      <c r="D1618" s="8">
        <v>2024</v>
      </c>
      <c r="E1618" s="14">
        <f>Data!R1618</f>
        <v>0</v>
      </c>
    </row>
    <row r="1619" spans="2:5" ht="15" customHeight="1" x14ac:dyDescent="0.3">
      <c r="B1619" s="8">
        <v>148</v>
      </c>
      <c r="C1619" s="4" t="s">
        <v>148</v>
      </c>
      <c r="D1619" s="8">
        <v>2014</v>
      </c>
      <c r="E1619" s="14">
        <f>Data!R1619</f>
        <v>0</v>
      </c>
    </row>
    <row r="1620" spans="2:5" ht="15" customHeight="1" x14ac:dyDescent="0.3">
      <c r="C1620" s="5"/>
      <c r="D1620" s="8">
        <v>2015</v>
      </c>
      <c r="E1620" s="14">
        <f>Data!R1620</f>
        <v>0</v>
      </c>
    </row>
    <row r="1621" spans="2:5" ht="15" customHeight="1" x14ac:dyDescent="0.3">
      <c r="C1621" s="5"/>
      <c r="D1621" s="8">
        <v>2016</v>
      </c>
      <c r="E1621" s="14">
        <f>Data!R1621</f>
        <v>0</v>
      </c>
    </row>
    <row r="1622" spans="2:5" ht="15" customHeight="1" x14ac:dyDescent="0.3">
      <c r="C1622" s="5"/>
      <c r="D1622" s="8">
        <v>2017</v>
      </c>
      <c r="E1622" s="14">
        <f>Data!R1622</f>
        <v>0</v>
      </c>
    </row>
    <row r="1623" spans="2:5" ht="15" customHeight="1" x14ac:dyDescent="0.3">
      <c r="C1623" s="5"/>
      <c r="D1623" s="8">
        <v>2018</v>
      </c>
      <c r="E1623" s="14">
        <f>Data!R1623</f>
        <v>0</v>
      </c>
    </row>
    <row r="1624" spans="2:5" ht="15" customHeight="1" x14ac:dyDescent="0.3">
      <c r="C1624" s="5"/>
      <c r="D1624" s="8">
        <v>2019</v>
      </c>
      <c r="E1624" s="14">
        <f>Data!R1624</f>
        <v>0</v>
      </c>
    </row>
    <row r="1625" spans="2:5" ht="15" customHeight="1" x14ac:dyDescent="0.3">
      <c r="C1625" s="5"/>
      <c r="D1625" s="8">
        <v>2020</v>
      </c>
      <c r="E1625" s="14">
        <f>Data!R1625</f>
        <v>0</v>
      </c>
    </row>
    <row r="1626" spans="2:5" ht="15" customHeight="1" x14ac:dyDescent="0.3">
      <c r="C1626" s="5"/>
      <c r="D1626" s="8">
        <v>2021</v>
      </c>
      <c r="E1626" s="14">
        <f>Data!R1626</f>
        <v>0</v>
      </c>
    </row>
    <row r="1627" spans="2:5" ht="15" customHeight="1" x14ac:dyDescent="0.3">
      <c r="C1627" s="5"/>
      <c r="D1627" s="8">
        <v>2022</v>
      </c>
      <c r="E1627" s="14">
        <f>Data!R1627</f>
        <v>0</v>
      </c>
    </row>
    <row r="1628" spans="2:5" ht="15" customHeight="1" x14ac:dyDescent="0.3">
      <c r="C1628" s="5"/>
      <c r="D1628" s="8">
        <v>2023</v>
      </c>
      <c r="E1628" s="14">
        <f>Data!R1628</f>
        <v>0</v>
      </c>
    </row>
    <row r="1629" spans="2:5" ht="15" customHeight="1" x14ac:dyDescent="0.3">
      <c r="C1629" s="5"/>
      <c r="D1629" s="8">
        <v>2024</v>
      </c>
      <c r="E1629" s="14">
        <f>Data!R1629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DE24-8DBD-4B29-80F6-B49EDB50D7DE}">
  <dimension ref="A1:E1629"/>
  <sheetViews>
    <sheetView workbookViewId="0">
      <selection activeCell="E2" sqref="E2:E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47.6640625" style="14" bestFit="1" customWidth="1"/>
    <col min="6" max="7" width="12.109375" bestFit="1" customWidth="1"/>
    <col min="8" max="8" width="11.5546875" bestFit="1" customWidth="1"/>
    <col min="9" max="9" width="11" bestFit="1" customWidth="1"/>
    <col min="10" max="10" width="28.109375" bestFit="1" customWidth="1"/>
    <col min="11" max="11" width="23.33203125" bestFit="1" customWidth="1"/>
    <col min="12" max="12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6" t="s">
        <v>212</v>
      </c>
    </row>
    <row r="2" spans="1:5" ht="15" customHeight="1" x14ac:dyDescent="0.3">
      <c r="A2" t="s">
        <v>153</v>
      </c>
      <c r="B2" s="8">
        <v>1</v>
      </c>
      <c r="C2" s="56" t="s">
        <v>4</v>
      </c>
      <c r="D2" s="8">
        <v>2014</v>
      </c>
      <c r="E2" s="14">
        <f>Data!V2</f>
        <v>0</v>
      </c>
    </row>
    <row r="3" spans="1:5" ht="15" customHeight="1" x14ac:dyDescent="0.3">
      <c r="C3" s="56"/>
      <c r="D3" s="8">
        <v>2015</v>
      </c>
      <c r="E3" s="14">
        <f>Data!V3</f>
        <v>0</v>
      </c>
    </row>
    <row r="4" spans="1:5" ht="15" customHeight="1" x14ac:dyDescent="0.3">
      <c r="C4" s="56"/>
      <c r="D4" s="8">
        <v>2016</v>
      </c>
      <c r="E4" s="14">
        <f>Data!V4</f>
        <v>0</v>
      </c>
    </row>
    <row r="5" spans="1:5" ht="15" customHeight="1" x14ac:dyDescent="0.3">
      <c r="C5" s="56"/>
      <c r="D5" s="8">
        <v>2017</v>
      </c>
      <c r="E5" s="14">
        <f>Data!V5</f>
        <v>0</v>
      </c>
    </row>
    <row r="6" spans="1:5" ht="15" customHeight="1" x14ac:dyDescent="0.3">
      <c r="C6" s="56"/>
      <c r="D6" s="8">
        <v>2018</v>
      </c>
      <c r="E6" s="14">
        <f>Data!V6</f>
        <v>0</v>
      </c>
    </row>
    <row r="7" spans="1:5" ht="15" customHeight="1" x14ac:dyDescent="0.3">
      <c r="C7" s="56"/>
      <c r="D7" s="8">
        <v>2019</v>
      </c>
      <c r="E7" s="14">
        <f>Data!V7</f>
        <v>0</v>
      </c>
    </row>
    <row r="8" spans="1:5" ht="15" customHeight="1" x14ac:dyDescent="0.3">
      <c r="C8" s="56"/>
      <c r="D8" s="8">
        <v>2020</v>
      </c>
      <c r="E8" s="14">
        <f>Data!V8</f>
        <v>0</v>
      </c>
    </row>
    <row r="9" spans="1:5" ht="15" customHeight="1" x14ac:dyDescent="0.3">
      <c r="C9" s="56"/>
      <c r="D9" s="8">
        <v>2021</v>
      </c>
      <c r="E9" s="14">
        <f>Data!V9</f>
        <v>0</v>
      </c>
    </row>
    <row r="10" spans="1:5" ht="15" customHeight="1" x14ac:dyDescent="0.3">
      <c r="C10" s="56"/>
      <c r="D10" s="8">
        <v>2022</v>
      </c>
      <c r="E10" s="14">
        <f>Data!V10</f>
        <v>0</v>
      </c>
    </row>
    <row r="11" spans="1:5" ht="15" customHeight="1" x14ac:dyDescent="0.3">
      <c r="C11" s="56"/>
      <c r="D11" s="8">
        <v>2023</v>
      </c>
      <c r="E11" s="14">
        <f>Data!V11</f>
        <v>0</v>
      </c>
    </row>
    <row r="12" spans="1:5" ht="15" customHeight="1" x14ac:dyDescent="0.3">
      <c r="C12" s="56"/>
      <c r="D12" s="8">
        <v>2024</v>
      </c>
      <c r="E12" s="14">
        <f>Data!V12</f>
        <v>0</v>
      </c>
    </row>
    <row r="13" spans="1:5" ht="15" customHeight="1" x14ac:dyDescent="0.3">
      <c r="B13" s="8">
        <v>2</v>
      </c>
      <c r="C13" s="56" t="s">
        <v>2</v>
      </c>
      <c r="D13" s="8">
        <v>2014</v>
      </c>
      <c r="E13" s="14">
        <f>Data!V13</f>
        <v>0</v>
      </c>
    </row>
    <row r="14" spans="1:5" ht="15" customHeight="1" x14ac:dyDescent="0.3">
      <c r="C14" s="56"/>
      <c r="D14" s="8">
        <v>2015</v>
      </c>
      <c r="E14" s="14">
        <f>Data!V14</f>
        <v>0</v>
      </c>
    </row>
    <row r="15" spans="1:5" ht="15" customHeight="1" x14ac:dyDescent="0.3">
      <c r="C15" s="56"/>
      <c r="D15" s="8">
        <v>2016</v>
      </c>
      <c r="E15" s="14">
        <f>Data!V15</f>
        <v>0</v>
      </c>
    </row>
    <row r="16" spans="1:5" ht="15" customHeight="1" x14ac:dyDescent="0.3">
      <c r="C16" s="56"/>
      <c r="D16" s="8">
        <v>2017</v>
      </c>
      <c r="E16" s="14">
        <f>Data!V16</f>
        <v>0</v>
      </c>
    </row>
    <row r="17" spans="2:5" ht="15" customHeight="1" x14ac:dyDescent="0.3">
      <c r="C17" s="56"/>
      <c r="D17" s="8">
        <v>2018</v>
      </c>
      <c r="E17" s="14">
        <f>Data!V17</f>
        <v>0</v>
      </c>
    </row>
    <row r="18" spans="2:5" ht="15" customHeight="1" x14ac:dyDescent="0.3">
      <c r="C18" s="56"/>
      <c r="D18" s="8">
        <v>2019</v>
      </c>
      <c r="E18" s="14">
        <f>Data!V18</f>
        <v>0</v>
      </c>
    </row>
    <row r="19" spans="2:5" ht="15" customHeight="1" x14ac:dyDescent="0.3">
      <c r="C19" s="56"/>
      <c r="D19" s="8">
        <v>2020</v>
      </c>
      <c r="E19" s="14">
        <f>Data!V19</f>
        <v>0</v>
      </c>
    </row>
    <row r="20" spans="2:5" ht="15" customHeight="1" x14ac:dyDescent="0.3">
      <c r="C20" s="56"/>
      <c r="D20" s="8">
        <v>2021</v>
      </c>
      <c r="E20" s="14">
        <f>Data!V20</f>
        <v>0</v>
      </c>
    </row>
    <row r="21" spans="2:5" ht="15" customHeight="1" x14ac:dyDescent="0.3">
      <c r="C21" s="56"/>
      <c r="D21" s="8">
        <v>2022</v>
      </c>
      <c r="E21" s="14">
        <f>Data!V21</f>
        <v>0</v>
      </c>
    </row>
    <row r="22" spans="2:5" ht="15" customHeight="1" x14ac:dyDescent="0.3">
      <c r="C22" s="56"/>
      <c r="D22" s="8">
        <v>2023</v>
      </c>
      <c r="E22" s="14">
        <f>Data!V22</f>
        <v>0</v>
      </c>
    </row>
    <row r="23" spans="2:5" ht="15" customHeight="1" x14ac:dyDescent="0.3">
      <c r="C23" s="56"/>
      <c r="D23" s="8">
        <v>2024</v>
      </c>
      <c r="E23" s="14">
        <f>Data!V23</f>
        <v>0</v>
      </c>
    </row>
    <row r="24" spans="2:5" ht="15" customHeight="1" x14ac:dyDescent="0.3">
      <c r="B24" s="8">
        <v>3</v>
      </c>
      <c r="C24" s="56" t="s">
        <v>3</v>
      </c>
      <c r="D24" s="8">
        <v>2014</v>
      </c>
      <c r="E24" s="14">
        <f>Data!V24</f>
        <v>0</v>
      </c>
    </row>
    <row r="25" spans="2:5" ht="15" customHeight="1" x14ac:dyDescent="0.3">
      <c r="C25" s="56"/>
      <c r="D25" s="8">
        <v>2015</v>
      </c>
      <c r="E25" s="14">
        <f>Data!V25</f>
        <v>0</v>
      </c>
    </row>
    <row r="26" spans="2:5" ht="15" customHeight="1" x14ac:dyDescent="0.3">
      <c r="C26" s="56"/>
      <c r="D26" s="8">
        <v>2016</v>
      </c>
      <c r="E26" s="14">
        <f>Data!V26</f>
        <v>0</v>
      </c>
    </row>
    <row r="27" spans="2:5" ht="15" customHeight="1" x14ac:dyDescent="0.3">
      <c r="C27" s="56"/>
      <c r="D27" s="8">
        <v>2017</v>
      </c>
      <c r="E27" s="14">
        <f>Data!V27</f>
        <v>0</v>
      </c>
    </row>
    <row r="28" spans="2:5" ht="15" customHeight="1" x14ac:dyDescent="0.3">
      <c r="C28" s="56"/>
      <c r="D28" s="8">
        <v>2018</v>
      </c>
      <c r="E28" s="14">
        <f>Data!V28</f>
        <v>0</v>
      </c>
    </row>
    <row r="29" spans="2:5" ht="15" customHeight="1" x14ac:dyDescent="0.3">
      <c r="C29" s="56"/>
      <c r="D29" s="8">
        <v>2019</v>
      </c>
      <c r="E29" s="14">
        <f>Data!V29</f>
        <v>0</v>
      </c>
    </row>
    <row r="30" spans="2:5" ht="15" customHeight="1" x14ac:dyDescent="0.3">
      <c r="C30" s="56"/>
      <c r="D30" s="8">
        <v>2020</v>
      </c>
      <c r="E30" s="14">
        <f>Data!V30</f>
        <v>8</v>
      </c>
    </row>
    <row r="31" spans="2:5" ht="15" customHeight="1" x14ac:dyDescent="0.3">
      <c r="C31" s="56"/>
      <c r="D31" s="8">
        <v>2021</v>
      </c>
      <c r="E31" s="14">
        <f>Data!V31</f>
        <v>9</v>
      </c>
    </row>
    <row r="32" spans="2:5" ht="15" customHeight="1" x14ac:dyDescent="0.3">
      <c r="C32" s="56"/>
      <c r="D32" s="8">
        <v>2022</v>
      </c>
      <c r="E32" s="14">
        <f>Data!V32</f>
        <v>8</v>
      </c>
    </row>
    <row r="33" spans="2:5" ht="15" customHeight="1" x14ac:dyDescent="0.3">
      <c r="C33" s="56"/>
      <c r="D33" s="8">
        <v>2023</v>
      </c>
      <c r="E33" s="14">
        <f>Data!V33</f>
        <v>8</v>
      </c>
    </row>
    <row r="34" spans="2:5" ht="15" customHeight="1" x14ac:dyDescent="0.3">
      <c r="C34" s="56"/>
      <c r="D34" s="8">
        <v>2024</v>
      </c>
      <c r="E34" s="14">
        <f>Data!V34</f>
        <v>8</v>
      </c>
    </row>
    <row r="35" spans="2:5" ht="15" customHeight="1" x14ac:dyDescent="0.3">
      <c r="B35" s="8">
        <v>4</v>
      </c>
      <c r="C35" s="57" t="s">
        <v>56</v>
      </c>
      <c r="D35" s="8">
        <v>2014</v>
      </c>
      <c r="E35" s="14">
        <f>Data!V35</f>
        <v>0</v>
      </c>
    </row>
    <row r="36" spans="2:5" ht="15" customHeight="1" x14ac:dyDescent="0.3">
      <c r="C36" s="57"/>
      <c r="D36" s="8">
        <v>2015</v>
      </c>
      <c r="E36" s="14">
        <f>Data!V36</f>
        <v>0</v>
      </c>
    </row>
    <row r="37" spans="2:5" ht="15" customHeight="1" x14ac:dyDescent="0.3">
      <c r="C37" s="57"/>
      <c r="D37" s="8">
        <v>2016</v>
      </c>
      <c r="E37" s="14">
        <f>Data!V37</f>
        <v>0</v>
      </c>
    </row>
    <row r="38" spans="2:5" ht="15" customHeight="1" x14ac:dyDescent="0.3">
      <c r="C38" s="57"/>
      <c r="D38" s="8">
        <v>2017</v>
      </c>
      <c r="E38" s="14">
        <f>Data!V38</f>
        <v>0</v>
      </c>
    </row>
    <row r="39" spans="2:5" ht="15" customHeight="1" x14ac:dyDescent="0.3">
      <c r="C39" s="57"/>
      <c r="D39" s="8">
        <v>2018</v>
      </c>
      <c r="E39" s="14">
        <f>Data!V39</f>
        <v>0</v>
      </c>
    </row>
    <row r="40" spans="2:5" ht="15" customHeight="1" x14ac:dyDescent="0.3">
      <c r="C40" s="57"/>
      <c r="D40" s="8">
        <v>2019</v>
      </c>
      <c r="E40" s="14">
        <f>Data!V40</f>
        <v>0</v>
      </c>
    </row>
    <row r="41" spans="2:5" ht="15" customHeight="1" x14ac:dyDescent="0.3">
      <c r="C41" s="57"/>
      <c r="D41" s="8">
        <v>2020</v>
      </c>
      <c r="E41" s="14">
        <f>Data!V41</f>
        <v>0</v>
      </c>
    </row>
    <row r="42" spans="2:5" ht="15" customHeight="1" x14ac:dyDescent="0.3">
      <c r="C42" s="57"/>
      <c r="D42" s="8">
        <v>2021</v>
      </c>
      <c r="E42" s="14">
        <f>Data!V42</f>
        <v>0</v>
      </c>
    </row>
    <row r="43" spans="2:5" ht="15" customHeight="1" x14ac:dyDescent="0.3">
      <c r="C43" s="57"/>
      <c r="D43" s="8">
        <v>2022</v>
      </c>
      <c r="E43" s="14">
        <f>Data!V43</f>
        <v>0</v>
      </c>
    </row>
    <row r="44" spans="2:5" ht="15" customHeight="1" x14ac:dyDescent="0.3">
      <c r="C44" s="57"/>
      <c r="D44" s="8">
        <v>2023</v>
      </c>
      <c r="E44" s="14">
        <f>Data!V44</f>
        <v>0</v>
      </c>
    </row>
    <row r="45" spans="2:5" ht="15" customHeight="1" x14ac:dyDescent="0.3">
      <c r="C45" s="57"/>
      <c r="D45" s="8">
        <v>2024</v>
      </c>
      <c r="E45" s="14">
        <f>Data!V45</f>
        <v>0</v>
      </c>
    </row>
    <row r="46" spans="2:5" ht="15" customHeight="1" x14ac:dyDescent="0.3">
      <c r="B46" s="8">
        <v>5</v>
      </c>
      <c r="C46" s="56" t="s">
        <v>20</v>
      </c>
      <c r="D46" s="8">
        <v>2014</v>
      </c>
      <c r="E46" s="14">
        <f>Data!V46</f>
        <v>0</v>
      </c>
    </row>
    <row r="47" spans="2:5" ht="15" customHeight="1" x14ac:dyDescent="0.3">
      <c r="C47" s="56"/>
      <c r="D47" s="8">
        <v>2015</v>
      </c>
      <c r="E47" s="14">
        <f>Data!V47</f>
        <v>0</v>
      </c>
    </row>
    <row r="48" spans="2:5" ht="15" customHeight="1" x14ac:dyDescent="0.3">
      <c r="C48" s="56"/>
      <c r="D48" s="8">
        <v>2016</v>
      </c>
      <c r="E48" s="14">
        <f>Data!V48</f>
        <v>0</v>
      </c>
    </row>
    <row r="49" spans="2:5" ht="15" customHeight="1" x14ac:dyDescent="0.3">
      <c r="C49" s="56"/>
      <c r="D49" s="8">
        <v>2017</v>
      </c>
      <c r="E49" s="14">
        <f>Data!V49</f>
        <v>13</v>
      </c>
    </row>
    <row r="50" spans="2:5" ht="15" customHeight="1" x14ac:dyDescent="0.3">
      <c r="C50" s="56"/>
      <c r="D50" s="8">
        <v>2018</v>
      </c>
      <c r="E50" s="14">
        <f>Data!V50</f>
        <v>13</v>
      </c>
    </row>
    <row r="51" spans="2:5" ht="15" customHeight="1" x14ac:dyDescent="0.3">
      <c r="C51" s="56"/>
      <c r="D51" s="8">
        <v>2019</v>
      </c>
      <c r="E51" s="14">
        <f>Data!V51</f>
        <v>16</v>
      </c>
    </row>
    <row r="52" spans="2:5" ht="15" customHeight="1" x14ac:dyDescent="0.3">
      <c r="C52" s="56"/>
      <c r="D52" s="8">
        <v>2020</v>
      </c>
      <c r="E52" s="14">
        <f>Data!V52</f>
        <v>12</v>
      </c>
    </row>
    <row r="53" spans="2:5" ht="15" customHeight="1" x14ac:dyDescent="0.3">
      <c r="C53" s="56"/>
      <c r="D53" s="8">
        <v>2021</v>
      </c>
      <c r="E53" s="14">
        <f>Data!V53</f>
        <v>14</v>
      </c>
    </row>
    <row r="54" spans="2:5" ht="15" customHeight="1" x14ac:dyDescent="0.3">
      <c r="C54" s="56"/>
      <c r="D54" s="8">
        <v>2022</v>
      </c>
      <c r="E54" s="14">
        <f>Data!V54</f>
        <v>11</v>
      </c>
    </row>
    <row r="55" spans="2:5" ht="15" customHeight="1" x14ac:dyDescent="0.3">
      <c r="C55" s="56"/>
      <c r="D55" s="8">
        <v>2023</v>
      </c>
      <c r="E55" s="14">
        <f>Data!V55</f>
        <v>14</v>
      </c>
    </row>
    <row r="56" spans="2:5" ht="15" customHeight="1" x14ac:dyDescent="0.3">
      <c r="C56" s="56"/>
      <c r="D56" s="8">
        <v>2024</v>
      </c>
      <c r="E56" s="14">
        <f>Data!V56</f>
        <v>0</v>
      </c>
    </row>
    <row r="57" spans="2:5" ht="15" customHeight="1" x14ac:dyDescent="0.3">
      <c r="B57" s="8">
        <v>6</v>
      </c>
      <c r="C57" s="56" t="s">
        <v>21</v>
      </c>
      <c r="D57" s="8">
        <v>2014</v>
      </c>
      <c r="E57" s="14">
        <f>Data!V57</f>
        <v>0</v>
      </c>
    </row>
    <row r="58" spans="2:5" ht="15" customHeight="1" x14ac:dyDescent="0.3">
      <c r="C58" s="56"/>
      <c r="D58" s="8">
        <v>2015</v>
      </c>
      <c r="E58" s="14">
        <f>Data!V58</f>
        <v>0</v>
      </c>
    </row>
    <row r="59" spans="2:5" ht="15" customHeight="1" x14ac:dyDescent="0.3">
      <c r="C59" s="56"/>
      <c r="D59" s="8">
        <v>2016</v>
      </c>
      <c r="E59" s="14">
        <f>Data!V59</f>
        <v>0</v>
      </c>
    </row>
    <row r="60" spans="2:5" ht="15" customHeight="1" x14ac:dyDescent="0.3">
      <c r="C60" s="56"/>
      <c r="D60" s="8">
        <v>2017</v>
      </c>
      <c r="E60" s="14">
        <f>Data!V60</f>
        <v>12</v>
      </c>
    </row>
    <row r="61" spans="2:5" ht="15" customHeight="1" x14ac:dyDescent="0.3">
      <c r="C61" s="56"/>
      <c r="D61" s="8">
        <v>2018</v>
      </c>
      <c r="E61" s="14">
        <f>Data!V61</f>
        <v>12</v>
      </c>
    </row>
    <row r="62" spans="2:5" ht="15" customHeight="1" x14ac:dyDescent="0.3">
      <c r="C62" s="56"/>
      <c r="D62" s="8">
        <v>2019</v>
      </c>
      <c r="E62" s="14">
        <f>Data!V62</f>
        <v>12</v>
      </c>
    </row>
    <row r="63" spans="2:5" ht="15" customHeight="1" x14ac:dyDescent="0.3">
      <c r="C63" s="56"/>
      <c r="D63" s="8">
        <v>2020</v>
      </c>
      <c r="E63" s="14">
        <f>Data!V63</f>
        <v>12</v>
      </c>
    </row>
    <row r="64" spans="2:5" ht="15" customHeight="1" x14ac:dyDescent="0.3">
      <c r="C64" s="56"/>
      <c r="D64" s="8">
        <v>2021</v>
      </c>
      <c r="E64" s="14">
        <f>Data!V64</f>
        <v>12</v>
      </c>
    </row>
    <row r="65" spans="2:5" ht="15" customHeight="1" x14ac:dyDescent="0.3">
      <c r="C65" s="56"/>
      <c r="D65" s="8">
        <v>2022</v>
      </c>
      <c r="E65" s="14">
        <f>Data!V65</f>
        <v>12</v>
      </c>
    </row>
    <row r="66" spans="2:5" ht="15" customHeight="1" x14ac:dyDescent="0.3">
      <c r="C66" s="56"/>
      <c r="D66" s="8">
        <v>2023</v>
      </c>
      <c r="E66" s="14">
        <f>Data!V66</f>
        <v>12</v>
      </c>
    </row>
    <row r="67" spans="2:5" ht="15" customHeight="1" x14ac:dyDescent="0.3">
      <c r="C67" s="56"/>
      <c r="D67" s="8">
        <v>2024</v>
      </c>
      <c r="E67" s="14">
        <f>Data!V67</f>
        <v>7</v>
      </c>
    </row>
    <row r="68" spans="2:5" ht="15" customHeight="1" x14ac:dyDescent="0.3">
      <c r="B68" s="8">
        <v>7</v>
      </c>
      <c r="C68" s="56" t="s">
        <v>19</v>
      </c>
      <c r="D68" s="8">
        <v>2014</v>
      </c>
      <c r="E68" s="14">
        <f>Data!V68</f>
        <v>0</v>
      </c>
    </row>
    <row r="69" spans="2:5" ht="15" customHeight="1" x14ac:dyDescent="0.3">
      <c r="C69" s="56"/>
      <c r="D69" s="8">
        <v>2015</v>
      </c>
      <c r="E69" s="14">
        <f>Data!V69</f>
        <v>0</v>
      </c>
    </row>
    <row r="70" spans="2:5" ht="15" customHeight="1" x14ac:dyDescent="0.3">
      <c r="C70" s="56"/>
      <c r="D70" s="8">
        <v>2016</v>
      </c>
      <c r="E70" s="14">
        <f>Data!V70</f>
        <v>0</v>
      </c>
    </row>
    <row r="71" spans="2:5" ht="15" customHeight="1" x14ac:dyDescent="0.3">
      <c r="C71" s="56"/>
      <c r="D71" s="8">
        <v>2017</v>
      </c>
      <c r="E71" s="14">
        <f>Data!V71</f>
        <v>0</v>
      </c>
    </row>
    <row r="72" spans="2:5" ht="15" customHeight="1" x14ac:dyDescent="0.3">
      <c r="C72" s="56"/>
      <c r="D72" s="8">
        <v>2018</v>
      </c>
      <c r="E72" s="14">
        <f>Data!V72</f>
        <v>0</v>
      </c>
    </row>
    <row r="73" spans="2:5" ht="15" customHeight="1" x14ac:dyDescent="0.3">
      <c r="C73" s="56"/>
      <c r="D73" s="8">
        <v>2019</v>
      </c>
      <c r="E73" s="14">
        <f>Data!V73</f>
        <v>0</v>
      </c>
    </row>
    <row r="74" spans="2:5" ht="15" customHeight="1" x14ac:dyDescent="0.3">
      <c r="C74" s="56"/>
      <c r="D74" s="8">
        <v>2020</v>
      </c>
      <c r="E74" s="14">
        <f>Data!V74</f>
        <v>0</v>
      </c>
    </row>
    <row r="75" spans="2:5" ht="15" customHeight="1" x14ac:dyDescent="0.3">
      <c r="C75" s="56"/>
      <c r="D75" s="8">
        <v>2021</v>
      </c>
      <c r="E75" s="14">
        <f>Data!V75</f>
        <v>0</v>
      </c>
    </row>
    <row r="76" spans="2:5" ht="15" customHeight="1" x14ac:dyDescent="0.3">
      <c r="C76" s="56"/>
      <c r="D76" s="8">
        <v>2022</v>
      </c>
      <c r="E76" s="14">
        <f>Data!V76</f>
        <v>10</v>
      </c>
    </row>
    <row r="77" spans="2:5" ht="15" customHeight="1" x14ac:dyDescent="0.3">
      <c r="C77" s="56"/>
      <c r="D77" s="8">
        <v>2023</v>
      </c>
      <c r="E77" s="14">
        <f>Data!V77</f>
        <v>0</v>
      </c>
    </row>
    <row r="78" spans="2:5" ht="15" customHeight="1" x14ac:dyDescent="0.3">
      <c r="C78" s="56"/>
      <c r="D78" s="8">
        <v>2024</v>
      </c>
      <c r="E78" s="14">
        <f>Data!V78</f>
        <v>0</v>
      </c>
    </row>
    <row r="79" spans="2:5" ht="15" customHeight="1" x14ac:dyDescent="0.3">
      <c r="B79" s="8">
        <v>8</v>
      </c>
      <c r="C79" s="56" t="s">
        <v>8</v>
      </c>
      <c r="D79" s="8">
        <v>2014</v>
      </c>
      <c r="E79" s="14">
        <f>Data!V79</f>
        <v>0</v>
      </c>
    </row>
    <row r="80" spans="2:5" ht="15" customHeight="1" x14ac:dyDescent="0.3">
      <c r="C80" s="56"/>
      <c r="D80" s="8">
        <v>2015</v>
      </c>
      <c r="E80" s="14">
        <f>Data!V80</f>
        <v>0</v>
      </c>
    </row>
    <row r="81" spans="2:5" ht="15" customHeight="1" x14ac:dyDescent="0.3">
      <c r="C81" s="56"/>
      <c r="D81" s="8">
        <v>2016</v>
      </c>
      <c r="E81" s="14">
        <f>Data!V81</f>
        <v>0</v>
      </c>
    </row>
    <row r="82" spans="2:5" ht="15" customHeight="1" x14ac:dyDescent="0.3">
      <c r="C82" s="56"/>
      <c r="D82" s="8">
        <v>2017</v>
      </c>
      <c r="E82" s="14">
        <f>Data!V82</f>
        <v>0</v>
      </c>
    </row>
    <row r="83" spans="2:5" ht="15" customHeight="1" x14ac:dyDescent="0.3">
      <c r="C83" s="56"/>
      <c r="D83" s="8">
        <v>2018</v>
      </c>
      <c r="E83" s="14">
        <f>Data!V83</f>
        <v>0</v>
      </c>
    </row>
    <row r="84" spans="2:5" ht="15" customHeight="1" x14ac:dyDescent="0.3">
      <c r="C84" s="56"/>
      <c r="D84" s="8">
        <v>2019</v>
      </c>
      <c r="E84" s="14">
        <f>Data!V84</f>
        <v>0</v>
      </c>
    </row>
    <row r="85" spans="2:5" ht="15" customHeight="1" x14ac:dyDescent="0.3">
      <c r="C85" s="56"/>
      <c r="D85" s="8">
        <v>2020</v>
      </c>
      <c r="E85" s="14">
        <f>Data!V85</f>
        <v>0</v>
      </c>
    </row>
    <row r="86" spans="2:5" ht="15" customHeight="1" x14ac:dyDescent="0.3">
      <c r="C86" s="56"/>
      <c r="D86" s="8">
        <v>2021</v>
      </c>
      <c r="E86" s="14">
        <f>Data!V86</f>
        <v>0</v>
      </c>
    </row>
    <row r="87" spans="2:5" ht="15" customHeight="1" x14ac:dyDescent="0.3">
      <c r="C87" s="56"/>
      <c r="D87" s="8">
        <v>2022</v>
      </c>
      <c r="E87" s="14">
        <f>Data!V87</f>
        <v>0</v>
      </c>
    </row>
    <row r="88" spans="2:5" ht="15" customHeight="1" x14ac:dyDescent="0.3">
      <c r="C88" s="56"/>
      <c r="D88" s="8">
        <v>2023</v>
      </c>
      <c r="E88" s="14">
        <f>Data!V88</f>
        <v>0</v>
      </c>
    </row>
    <row r="89" spans="2:5" ht="15" customHeight="1" x14ac:dyDescent="0.3">
      <c r="C89" s="56"/>
      <c r="D89" s="8">
        <v>2024</v>
      </c>
      <c r="E89" s="14">
        <f>Data!V89</f>
        <v>0</v>
      </c>
    </row>
    <row r="90" spans="2:5" ht="15" customHeight="1" x14ac:dyDescent="0.3">
      <c r="B90" s="8">
        <v>9</v>
      </c>
      <c r="C90" s="56" t="s">
        <v>11</v>
      </c>
      <c r="D90" s="8">
        <v>2014</v>
      </c>
      <c r="E90" s="14">
        <f>Data!V90</f>
        <v>0</v>
      </c>
    </row>
    <row r="91" spans="2:5" ht="15" customHeight="1" x14ac:dyDescent="0.3">
      <c r="C91" s="56"/>
      <c r="D91" s="8">
        <v>2015</v>
      </c>
      <c r="E91" s="14">
        <f>Data!V91</f>
        <v>0</v>
      </c>
    </row>
    <row r="92" spans="2:5" ht="15" customHeight="1" x14ac:dyDescent="0.3">
      <c r="C92" s="56"/>
      <c r="D92" s="8">
        <v>2016</v>
      </c>
      <c r="E92" s="14">
        <f>Data!V92</f>
        <v>0</v>
      </c>
    </row>
    <row r="93" spans="2:5" ht="15" customHeight="1" x14ac:dyDescent="0.3">
      <c r="C93" s="56"/>
      <c r="D93" s="8">
        <v>2017</v>
      </c>
      <c r="E93" s="14">
        <f>Data!V93</f>
        <v>0</v>
      </c>
    </row>
    <row r="94" spans="2:5" ht="15" customHeight="1" x14ac:dyDescent="0.3">
      <c r="C94" s="56"/>
      <c r="D94" s="8">
        <v>2018</v>
      </c>
      <c r="E94" s="14">
        <f>Data!V94</f>
        <v>0</v>
      </c>
    </row>
    <row r="95" spans="2:5" ht="15" customHeight="1" x14ac:dyDescent="0.3">
      <c r="C95" s="56"/>
      <c r="D95" s="8">
        <v>2019</v>
      </c>
      <c r="E95" s="14">
        <f>Data!V95</f>
        <v>0</v>
      </c>
    </row>
    <row r="96" spans="2:5" ht="15" customHeight="1" x14ac:dyDescent="0.3">
      <c r="C96" s="56"/>
      <c r="D96" s="8">
        <v>2020</v>
      </c>
      <c r="E96" s="14">
        <f>Data!V96</f>
        <v>0</v>
      </c>
    </row>
    <row r="97" spans="2:5" ht="15" customHeight="1" x14ac:dyDescent="0.3">
      <c r="C97" s="56"/>
      <c r="D97" s="8">
        <v>2021</v>
      </c>
      <c r="E97" s="14">
        <f>Data!V97</f>
        <v>0</v>
      </c>
    </row>
    <row r="98" spans="2:5" ht="15" customHeight="1" x14ac:dyDescent="0.3">
      <c r="C98" s="56"/>
      <c r="D98" s="8">
        <v>2022</v>
      </c>
      <c r="E98" s="14">
        <f>Data!V98</f>
        <v>0</v>
      </c>
    </row>
    <row r="99" spans="2:5" ht="15" customHeight="1" x14ac:dyDescent="0.3">
      <c r="C99" s="56"/>
      <c r="D99" s="8">
        <v>2023</v>
      </c>
      <c r="E99" s="14">
        <f>Data!V99</f>
        <v>0</v>
      </c>
    </row>
    <row r="100" spans="2:5" ht="15" customHeight="1" x14ac:dyDescent="0.3">
      <c r="C100" s="56"/>
      <c r="D100" s="8">
        <v>2024</v>
      </c>
      <c r="E100" s="14">
        <f>Data!V100</f>
        <v>0</v>
      </c>
    </row>
    <row r="101" spans="2:5" ht="15" customHeight="1" x14ac:dyDescent="0.3">
      <c r="B101" s="8">
        <v>10</v>
      </c>
      <c r="C101" s="56" t="s">
        <v>13</v>
      </c>
      <c r="D101" s="8">
        <v>2014</v>
      </c>
      <c r="E101" s="14">
        <f>Data!V101</f>
        <v>0</v>
      </c>
    </row>
    <row r="102" spans="2:5" ht="15" customHeight="1" x14ac:dyDescent="0.3">
      <c r="C102" s="56"/>
      <c r="D102" s="8">
        <v>2015</v>
      </c>
      <c r="E102" s="14">
        <f>Data!V102</f>
        <v>0</v>
      </c>
    </row>
    <row r="103" spans="2:5" ht="15" customHeight="1" x14ac:dyDescent="0.3">
      <c r="C103" s="56"/>
      <c r="D103" s="8">
        <v>2016</v>
      </c>
      <c r="E103" s="14">
        <f>Data!V103</f>
        <v>0</v>
      </c>
    </row>
    <row r="104" spans="2:5" ht="15" customHeight="1" x14ac:dyDescent="0.3">
      <c r="C104" s="56"/>
      <c r="D104" s="8">
        <v>2017</v>
      </c>
      <c r="E104" s="14">
        <f>Data!V104</f>
        <v>0</v>
      </c>
    </row>
    <row r="105" spans="2:5" ht="15" customHeight="1" x14ac:dyDescent="0.3">
      <c r="C105" s="56"/>
      <c r="D105" s="8">
        <v>2018</v>
      </c>
      <c r="E105" s="14">
        <f>Data!V105</f>
        <v>0</v>
      </c>
    </row>
    <row r="106" spans="2:5" ht="15" customHeight="1" x14ac:dyDescent="0.3">
      <c r="C106" s="56"/>
      <c r="D106" s="8">
        <v>2019</v>
      </c>
      <c r="E106" s="14">
        <f>Data!V106</f>
        <v>0</v>
      </c>
    </row>
    <row r="107" spans="2:5" ht="15" customHeight="1" x14ac:dyDescent="0.3">
      <c r="C107" s="56"/>
      <c r="D107" s="8">
        <v>2020</v>
      </c>
      <c r="E107" s="14">
        <f>Data!V107</f>
        <v>0</v>
      </c>
    </row>
    <row r="108" spans="2:5" ht="15" customHeight="1" x14ac:dyDescent="0.3">
      <c r="C108" s="56"/>
      <c r="D108" s="8">
        <v>2021</v>
      </c>
      <c r="E108" s="14">
        <f>Data!V108</f>
        <v>0</v>
      </c>
    </row>
    <row r="109" spans="2:5" ht="15" customHeight="1" x14ac:dyDescent="0.3">
      <c r="C109" s="56"/>
      <c r="D109" s="8">
        <v>2022</v>
      </c>
      <c r="E109" s="14">
        <f>Data!V109</f>
        <v>0</v>
      </c>
    </row>
    <row r="110" spans="2:5" ht="15" customHeight="1" x14ac:dyDescent="0.3">
      <c r="C110" s="56"/>
      <c r="D110" s="8">
        <v>2023</v>
      </c>
      <c r="E110" s="14">
        <f>Data!V110</f>
        <v>0</v>
      </c>
    </row>
    <row r="111" spans="2:5" ht="15" customHeight="1" x14ac:dyDescent="0.3">
      <c r="C111" s="56"/>
      <c r="D111" s="8">
        <v>2024</v>
      </c>
      <c r="E111" s="14">
        <f>Data!V111</f>
        <v>0</v>
      </c>
    </row>
    <row r="112" spans="2:5" ht="15" customHeight="1" x14ac:dyDescent="0.3">
      <c r="B112" s="8">
        <v>11</v>
      </c>
      <c r="C112" s="56" t="s">
        <v>23</v>
      </c>
      <c r="D112" s="8">
        <v>2014</v>
      </c>
      <c r="E112" s="14">
        <f>Data!V112</f>
        <v>0</v>
      </c>
    </row>
    <row r="113" spans="2:5" ht="15" customHeight="1" x14ac:dyDescent="0.3">
      <c r="C113" s="56"/>
      <c r="D113" s="8">
        <v>2015</v>
      </c>
      <c r="E113" s="14">
        <f>Data!V113</f>
        <v>0</v>
      </c>
    </row>
    <row r="114" spans="2:5" ht="15" customHeight="1" x14ac:dyDescent="0.3">
      <c r="C114" s="56"/>
      <c r="D114" s="8">
        <v>2016</v>
      </c>
      <c r="E114" s="14">
        <f>Data!V114</f>
        <v>0</v>
      </c>
    </row>
    <row r="115" spans="2:5" ht="15" customHeight="1" x14ac:dyDescent="0.3">
      <c r="C115" s="56"/>
      <c r="D115" s="8">
        <v>2017</v>
      </c>
      <c r="E115" s="14">
        <f>Data!V115</f>
        <v>0</v>
      </c>
    </row>
    <row r="116" spans="2:5" ht="15" customHeight="1" x14ac:dyDescent="0.3">
      <c r="C116" s="56"/>
      <c r="D116" s="8">
        <v>2018</v>
      </c>
      <c r="E116" s="14">
        <f>Data!V116</f>
        <v>0</v>
      </c>
    </row>
    <row r="117" spans="2:5" ht="15" customHeight="1" x14ac:dyDescent="0.3">
      <c r="C117" s="56"/>
      <c r="D117" s="8">
        <v>2019</v>
      </c>
      <c r="E117" s="14">
        <f>Data!V117</f>
        <v>0</v>
      </c>
    </row>
    <row r="118" spans="2:5" ht="15" customHeight="1" x14ac:dyDescent="0.3">
      <c r="C118" s="56"/>
      <c r="D118" s="8">
        <v>2020</v>
      </c>
      <c r="E118" s="14">
        <f>Data!V118</f>
        <v>6</v>
      </c>
    </row>
    <row r="119" spans="2:5" ht="15" customHeight="1" x14ac:dyDescent="0.3">
      <c r="C119" s="56"/>
      <c r="D119" s="8">
        <v>2021</v>
      </c>
      <c r="E119" s="14">
        <f>Data!V119</f>
        <v>10</v>
      </c>
    </row>
    <row r="120" spans="2:5" ht="15" customHeight="1" x14ac:dyDescent="0.3">
      <c r="C120" s="56"/>
      <c r="D120" s="8">
        <v>2022</v>
      </c>
      <c r="E120" s="14">
        <f>Data!V120</f>
        <v>17</v>
      </c>
    </row>
    <row r="121" spans="2:5" ht="15" customHeight="1" x14ac:dyDescent="0.3">
      <c r="C121" s="56"/>
      <c r="D121" s="8">
        <v>2023</v>
      </c>
      <c r="E121" s="14">
        <f>Data!V121</f>
        <v>18</v>
      </c>
    </row>
    <row r="122" spans="2:5" ht="15" customHeight="1" x14ac:dyDescent="0.3">
      <c r="C122" s="56"/>
      <c r="D122" s="8">
        <v>2024</v>
      </c>
      <c r="E122" s="14">
        <f>Data!V122</f>
        <v>0</v>
      </c>
    </row>
    <row r="123" spans="2:5" ht="15" customHeight="1" x14ac:dyDescent="0.3">
      <c r="B123" s="8">
        <v>12</v>
      </c>
      <c r="C123" s="56" t="s">
        <v>24</v>
      </c>
      <c r="D123" s="8">
        <v>2014</v>
      </c>
      <c r="E123" s="14">
        <f>Data!V123</f>
        <v>0</v>
      </c>
    </row>
    <row r="124" spans="2:5" ht="15" customHeight="1" x14ac:dyDescent="0.3">
      <c r="C124" s="56"/>
      <c r="D124" s="8">
        <v>2015</v>
      </c>
      <c r="E124" s="14">
        <f>Data!V124</f>
        <v>17</v>
      </c>
    </row>
    <row r="125" spans="2:5" ht="15" customHeight="1" x14ac:dyDescent="0.3">
      <c r="C125" s="56"/>
      <c r="D125" s="8">
        <v>2016</v>
      </c>
      <c r="E125" s="14">
        <f>Data!V125</f>
        <v>10</v>
      </c>
    </row>
    <row r="126" spans="2:5" ht="15" customHeight="1" x14ac:dyDescent="0.3">
      <c r="C126" s="56"/>
      <c r="D126" s="8">
        <v>2017</v>
      </c>
      <c r="E126" s="14">
        <f>Data!V126</f>
        <v>9</v>
      </c>
    </row>
    <row r="127" spans="2:5" ht="15" customHeight="1" x14ac:dyDescent="0.3">
      <c r="C127" s="56"/>
      <c r="D127" s="8">
        <v>2018</v>
      </c>
      <c r="E127" s="14">
        <f>Data!V127</f>
        <v>12</v>
      </c>
    </row>
    <row r="128" spans="2:5" ht="15" customHeight="1" x14ac:dyDescent="0.3">
      <c r="C128" s="56"/>
      <c r="D128" s="8">
        <v>2019</v>
      </c>
      <c r="E128" s="14">
        <f>Data!V128</f>
        <v>15</v>
      </c>
    </row>
    <row r="129" spans="2:5" ht="15" customHeight="1" x14ac:dyDescent="0.3">
      <c r="C129" s="56"/>
      <c r="D129" s="8">
        <v>2020</v>
      </c>
      <c r="E129" s="14">
        <f>Data!V129</f>
        <v>16</v>
      </c>
    </row>
    <row r="130" spans="2:5" ht="15" customHeight="1" x14ac:dyDescent="0.3">
      <c r="C130" s="56"/>
      <c r="D130" s="8">
        <v>2021</v>
      </c>
      <c r="E130" s="14">
        <f>Data!V130</f>
        <v>28</v>
      </c>
    </row>
    <row r="131" spans="2:5" ht="15" customHeight="1" x14ac:dyDescent="0.3">
      <c r="C131" s="56"/>
      <c r="D131" s="8">
        <v>2022</v>
      </c>
      <c r="E131" s="14">
        <f>Data!V131</f>
        <v>18</v>
      </c>
    </row>
    <row r="132" spans="2:5" ht="15" customHeight="1" x14ac:dyDescent="0.3">
      <c r="C132" s="56"/>
      <c r="D132" s="8">
        <v>2023</v>
      </c>
      <c r="E132" s="14">
        <f>Data!V132</f>
        <v>17</v>
      </c>
    </row>
    <row r="133" spans="2:5" ht="15" customHeight="1" x14ac:dyDescent="0.3">
      <c r="C133" s="56"/>
      <c r="D133" s="8">
        <v>2024</v>
      </c>
      <c r="E133" s="14">
        <f>Data!V133</f>
        <v>18</v>
      </c>
    </row>
    <row r="134" spans="2:5" ht="15" customHeight="1" x14ac:dyDescent="0.3">
      <c r="B134" s="8">
        <v>13</v>
      </c>
      <c r="C134" s="56" t="s">
        <v>18</v>
      </c>
      <c r="D134" s="8">
        <v>2014</v>
      </c>
      <c r="E134" s="14">
        <f>Data!V134</f>
        <v>0</v>
      </c>
    </row>
    <row r="135" spans="2:5" ht="15" customHeight="1" x14ac:dyDescent="0.3">
      <c r="C135" s="56"/>
      <c r="D135" s="8">
        <v>2015</v>
      </c>
      <c r="E135" s="14">
        <f>Data!V135</f>
        <v>0</v>
      </c>
    </row>
    <row r="136" spans="2:5" ht="15" customHeight="1" x14ac:dyDescent="0.3">
      <c r="C136" s="56"/>
      <c r="D136" s="8">
        <v>2016</v>
      </c>
      <c r="E136" s="14">
        <f>Data!V136</f>
        <v>0</v>
      </c>
    </row>
    <row r="137" spans="2:5" ht="15" customHeight="1" x14ac:dyDescent="0.3">
      <c r="C137" s="56"/>
      <c r="D137" s="8">
        <v>2017</v>
      </c>
      <c r="E137" s="14">
        <f>Data!V137</f>
        <v>0</v>
      </c>
    </row>
    <row r="138" spans="2:5" ht="15" customHeight="1" x14ac:dyDescent="0.3">
      <c r="C138" s="56"/>
      <c r="D138" s="8">
        <v>2018</v>
      </c>
      <c r="E138" s="14">
        <f>Data!V138</f>
        <v>0</v>
      </c>
    </row>
    <row r="139" spans="2:5" ht="15" customHeight="1" x14ac:dyDescent="0.3">
      <c r="C139" s="56"/>
      <c r="D139" s="8">
        <v>2019</v>
      </c>
      <c r="E139" s="14">
        <f>Data!V139</f>
        <v>0</v>
      </c>
    </row>
    <row r="140" spans="2:5" ht="15" customHeight="1" x14ac:dyDescent="0.3">
      <c r="C140" s="56"/>
      <c r="D140" s="8">
        <v>2020</v>
      </c>
      <c r="E140" s="14">
        <f>Data!V140</f>
        <v>0</v>
      </c>
    </row>
    <row r="141" spans="2:5" ht="15" customHeight="1" x14ac:dyDescent="0.3">
      <c r="C141" s="56"/>
      <c r="D141" s="8">
        <v>2021</v>
      </c>
      <c r="E141" s="14">
        <f>Data!V141</f>
        <v>0</v>
      </c>
    </row>
    <row r="142" spans="2:5" ht="15" customHeight="1" x14ac:dyDescent="0.3">
      <c r="C142" s="56"/>
      <c r="D142" s="8">
        <v>2022</v>
      </c>
      <c r="E142" s="14">
        <f>Data!V142</f>
        <v>0</v>
      </c>
    </row>
    <row r="143" spans="2:5" ht="15" customHeight="1" x14ac:dyDescent="0.3">
      <c r="C143" s="56"/>
      <c r="D143" s="8">
        <v>2023</v>
      </c>
      <c r="E143" s="14">
        <f>Data!V143</f>
        <v>0</v>
      </c>
    </row>
    <row r="144" spans="2:5" ht="15" customHeight="1" x14ac:dyDescent="0.3">
      <c r="C144" s="56"/>
      <c r="D144" s="8">
        <v>2024</v>
      </c>
      <c r="E144" s="14">
        <f>Data!V144</f>
        <v>0</v>
      </c>
    </row>
    <row r="145" spans="2:5" ht="15" customHeight="1" x14ac:dyDescent="0.3">
      <c r="B145" s="8">
        <v>14</v>
      </c>
      <c r="C145" s="57" t="s">
        <v>57</v>
      </c>
      <c r="D145" s="8">
        <v>2014</v>
      </c>
      <c r="E145" s="14">
        <f>Data!V145</f>
        <v>0</v>
      </c>
    </row>
    <row r="146" spans="2:5" ht="15" customHeight="1" x14ac:dyDescent="0.3">
      <c r="C146" s="57"/>
      <c r="D146" s="8">
        <v>2015</v>
      </c>
      <c r="E146" s="14">
        <f>Data!V146</f>
        <v>0</v>
      </c>
    </row>
    <row r="147" spans="2:5" ht="15" customHeight="1" x14ac:dyDescent="0.3">
      <c r="C147" s="57"/>
      <c r="D147" s="8">
        <v>2016</v>
      </c>
      <c r="E147" s="14">
        <f>Data!V147</f>
        <v>0</v>
      </c>
    </row>
    <row r="148" spans="2:5" ht="15" customHeight="1" x14ac:dyDescent="0.3">
      <c r="C148" s="57"/>
      <c r="D148" s="8">
        <v>2017</v>
      </c>
      <c r="E148" s="14">
        <f>Data!V148</f>
        <v>0</v>
      </c>
    </row>
    <row r="149" spans="2:5" ht="15" customHeight="1" x14ac:dyDescent="0.3">
      <c r="C149" s="57"/>
      <c r="D149" s="8">
        <v>2018</v>
      </c>
      <c r="E149" s="14">
        <f>Data!V149</f>
        <v>0</v>
      </c>
    </row>
    <row r="150" spans="2:5" ht="15" customHeight="1" x14ac:dyDescent="0.3">
      <c r="C150" s="57"/>
      <c r="D150" s="8">
        <v>2019</v>
      </c>
      <c r="E150" s="14">
        <f>Data!V150</f>
        <v>0</v>
      </c>
    </row>
    <row r="151" spans="2:5" ht="15" customHeight="1" x14ac:dyDescent="0.3">
      <c r="C151" s="57"/>
      <c r="D151" s="8">
        <v>2020</v>
      </c>
      <c r="E151" s="14">
        <f>Data!V151</f>
        <v>0</v>
      </c>
    </row>
    <row r="152" spans="2:5" ht="15" customHeight="1" x14ac:dyDescent="0.3">
      <c r="C152" s="57"/>
      <c r="D152" s="8">
        <v>2021</v>
      </c>
      <c r="E152" s="14">
        <f>Data!V152</f>
        <v>0</v>
      </c>
    </row>
    <row r="153" spans="2:5" ht="15" customHeight="1" x14ac:dyDescent="0.3">
      <c r="C153" s="57"/>
      <c r="D153" s="8">
        <v>2022</v>
      </c>
      <c r="E153" s="14">
        <f>Data!V153</f>
        <v>0</v>
      </c>
    </row>
    <row r="154" spans="2:5" ht="15" customHeight="1" x14ac:dyDescent="0.3">
      <c r="C154" s="57"/>
      <c r="D154" s="8">
        <v>2023</v>
      </c>
      <c r="E154" s="14">
        <f>Data!V154</f>
        <v>0</v>
      </c>
    </row>
    <row r="155" spans="2:5" ht="15" customHeight="1" x14ac:dyDescent="0.3">
      <c r="C155" s="57"/>
      <c r="D155" s="8">
        <v>2024</v>
      </c>
      <c r="E155" s="14">
        <f>Data!V155</f>
        <v>0</v>
      </c>
    </row>
    <row r="156" spans="2:5" ht="15" customHeight="1" x14ac:dyDescent="0.3">
      <c r="B156" s="8">
        <v>15</v>
      </c>
      <c r="C156" s="56" t="s">
        <v>25</v>
      </c>
      <c r="D156" s="8">
        <v>2014</v>
      </c>
      <c r="E156" s="14">
        <f>Data!V156</f>
        <v>0</v>
      </c>
    </row>
    <row r="157" spans="2:5" ht="15" customHeight="1" x14ac:dyDescent="0.3">
      <c r="C157" s="56"/>
      <c r="D157" s="8">
        <v>2015</v>
      </c>
      <c r="E157" s="14">
        <f>Data!V157</f>
        <v>0</v>
      </c>
    </row>
    <row r="158" spans="2:5" ht="15" customHeight="1" x14ac:dyDescent="0.3">
      <c r="C158" s="56"/>
      <c r="D158" s="8">
        <v>2016</v>
      </c>
      <c r="E158" s="14">
        <f>Data!V158</f>
        <v>0</v>
      </c>
    </row>
    <row r="159" spans="2:5" ht="15" customHeight="1" x14ac:dyDescent="0.3">
      <c r="C159" s="56"/>
      <c r="D159" s="8">
        <v>2017</v>
      </c>
      <c r="E159" s="14">
        <f>Data!V159</f>
        <v>0</v>
      </c>
    </row>
    <row r="160" spans="2:5" ht="15" customHeight="1" x14ac:dyDescent="0.3">
      <c r="C160" s="56"/>
      <c r="D160" s="8">
        <v>2018</v>
      </c>
      <c r="E160" s="14">
        <f>Data!V160</f>
        <v>0</v>
      </c>
    </row>
    <row r="161" spans="2:5" ht="15" customHeight="1" x14ac:dyDescent="0.3">
      <c r="C161" s="56"/>
      <c r="D161" s="8">
        <v>2019</v>
      </c>
      <c r="E161" s="14">
        <f>Data!V161</f>
        <v>0</v>
      </c>
    </row>
    <row r="162" spans="2:5" ht="15" customHeight="1" x14ac:dyDescent="0.3">
      <c r="C162" s="56"/>
      <c r="D162" s="8">
        <v>2020</v>
      </c>
      <c r="E162" s="14">
        <f>Data!V162</f>
        <v>0</v>
      </c>
    </row>
    <row r="163" spans="2:5" ht="15" customHeight="1" x14ac:dyDescent="0.3">
      <c r="C163" s="56"/>
      <c r="D163" s="8">
        <v>2021</v>
      </c>
      <c r="E163" s="14">
        <f>Data!V163</f>
        <v>0</v>
      </c>
    </row>
    <row r="164" spans="2:5" ht="15" customHeight="1" x14ac:dyDescent="0.3">
      <c r="C164" s="56"/>
      <c r="D164" s="8">
        <v>2022</v>
      </c>
      <c r="E164" s="14">
        <f>Data!V164</f>
        <v>0</v>
      </c>
    </row>
    <row r="165" spans="2:5" ht="15" customHeight="1" x14ac:dyDescent="0.3">
      <c r="C165" s="56"/>
      <c r="D165" s="8">
        <v>2023</v>
      </c>
      <c r="E165" s="14">
        <f>Data!V165</f>
        <v>0</v>
      </c>
    </row>
    <row r="166" spans="2:5" ht="15" customHeight="1" x14ac:dyDescent="0.3">
      <c r="C166" s="56"/>
      <c r="D166" s="8">
        <v>2024</v>
      </c>
      <c r="E166" s="14">
        <f>Data!V166</f>
        <v>0</v>
      </c>
    </row>
    <row r="167" spans="2:5" ht="15" customHeight="1" x14ac:dyDescent="0.3">
      <c r="B167" s="8">
        <v>16</v>
      </c>
      <c r="C167" s="56" t="s">
        <v>44</v>
      </c>
      <c r="D167" s="8">
        <v>2014</v>
      </c>
      <c r="E167" s="14">
        <f>Data!V167</f>
        <v>0</v>
      </c>
    </row>
    <row r="168" spans="2:5" ht="15" customHeight="1" x14ac:dyDescent="0.3">
      <c r="C168" s="56"/>
      <c r="D168" s="8">
        <v>2015</v>
      </c>
      <c r="E168" s="14">
        <f>Data!V168</f>
        <v>0</v>
      </c>
    </row>
    <row r="169" spans="2:5" ht="15" customHeight="1" x14ac:dyDescent="0.3">
      <c r="C169" s="56"/>
      <c r="D169" s="8">
        <v>2016</v>
      </c>
      <c r="E169" s="14">
        <f>Data!V169</f>
        <v>0</v>
      </c>
    </row>
    <row r="170" spans="2:5" ht="15" customHeight="1" x14ac:dyDescent="0.3">
      <c r="C170" s="56"/>
      <c r="D170" s="8">
        <v>2017</v>
      </c>
      <c r="E170" s="14">
        <f>Data!V170</f>
        <v>0</v>
      </c>
    </row>
    <row r="171" spans="2:5" ht="15" customHeight="1" x14ac:dyDescent="0.3">
      <c r="C171" s="56"/>
      <c r="D171" s="8">
        <v>2018</v>
      </c>
      <c r="E171" s="14">
        <f>Data!V171</f>
        <v>0</v>
      </c>
    </row>
    <row r="172" spans="2:5" ht="15" customHeight="1" x14ac:dyDescent="0.3">
      <c r="C172" s="56"/>
      <c r="D172" s="8">
        <v>2019</v>
      </c>
      <c r="E172" s="14">
        <f>Data!V172</f>
        <v>0</v>
      </c>
    </row>
    <row r="173" spans="2:5" ht="15" customHeight="1" x14ac:dyDescent="0.3">
      <c r="C173" s="56"/>
      <c r="D173" s="8">
        <v>2020</v>
      </c>
      <c r="E173" s="14">
        <f>Data!V173</f>
        <v>0</v>
      </c>
    </row>
    <row r="174" spans="2:5" ht="15" customHeight="1" x14ac:dyDescent="0.3">
      <c r="C174" s="56"/>
      <c r="D174" s="8">
        <v>2021</v>
      </c>
      <c r="E174" s="14">
        <f>Data!V174</f>
        <v>0</v>
      </c>
    </row>
    <row r="175" spans="2:5" ht="15" customHeight="1" x14ac:dyDescent="0.3">
      <c r="C175" s="56"/>
      <c r="D175" s="8">
        <v>2022</v>
      </c>
      <c r="E175" s="14">
        <f>Data!V175</f>
        <v>0</v>
      </c>
    </row>
    <row r="176" spans="2:5" ht="15" customHeight="1" x14ac:dyDescent="0.3">
      <c r="C176" s="56"/>
      <c r="D176" s="8">
        <v>2023</v>
      </c>
      <c r="E176" s="14">
        <f>Data!V176</f>
        <v>0</v>
      </c>
    </row>
    <row r="177" spans="2:5" ht="15" customHeight="1" x14ac:dyDescent="0.3">
      <c r="C177" s="56"/>
      <c r="D177" s="8">
        <v>2024</v>
      </c>
      <c r="E177" s="14">
        <f>Data!V177</f>
        <v>0</v>
      </c>
    </row>
    <row r="178" spans="2:5" ht="15" customHeight="1" x14ac:dyDescent="0.3">
      <c r="B178" s="8">
        <v>17</v>
      </c>
      <c r="C178" s="56" t="s">
        <v>22</v>
      </c>
      <c r="D178" s="8">
        <v>2014</v>
      </c>
      <c r="E178" s="14">
        <f>Data!V178</f>
        <v>0</v>
      </c>
    </row>
    <row r="179" spans="2:5" ht="15" customHeight="1" x14ac:dyDescent="0.3">
      <c r="C179" s="56"/>
      <c r="D179" s="8">
        <v>2015</v>
      </c>
      <c r="E179" s="14">
        <f>Data!V179</f>
        <v>0</v>
      </c>
    </row>
    <row r="180" spans="2:5" ht="15" customHeight="1" x14ac:dyDescent="0.3">
      <c r="C180" s="56"/>
      <c r="D180" s="8">
        <v>2016</v>
      </c>
      <c r="E180" s="14">
        <f>Data!V180</f>
        <v>0</v>
      </c>
    </row>
    <row r="181" spans="2:5" ht="15" customHeight="1" x14ac:dyDescent="0.3">
      <c r="C181" s="56"/>
      <c r="D181" s="8">
        <v>2017</v>
      </c>
      <c r="E181" s="14">
        <f>Data!V181</f>
        <v>0</v>
      </c>
    </row>
    <row r="182" spans="2:5" ht="15" customHeight="1" x14ac:dyDescent="0.3">
      <c r="C182" s="56"/>
      <c r="D182" s="8">
        <v>2018</v>
      </c>
      <c r="E182" s="14">
        <f>Data!V182</f>
        <v>0</v>
      </c>
    </row>
    <row r="183" spans="2:5" ht="15" customHeight="1" x14ac:dyDescent="0.3">
      <c r="C183" s="56"/>
      <c r="D183" s="8">
        <v>2019</v>
      </c>
      <c r="E183" s="14">
        <f>Data!V183</f>
        <v>0</v>
      </c>
    </row>
    <row r="184" spans="2:5" ht="15" customHeight="1" x14ac:dyDescent="0.3">
      <c r="C184" s="56"/>
      <c r="D184" s="8">
        <v>2020</v>
      </c>
      <c r="E184" s="14">
        <f>Data!V184</f>
        <v>0</v>
      </c>
    </row>
    <row r="185" spans="2:5" ht="15" customHeight="1" x14ac:dyDescent="0.3">
      <c r="C185" s="56"/>
      <c r="D185" s="8">
        <v>2021</v>
      </c>
      <c r="E185" s="14">
        <f>Data!V185</f>
        <v>0</v>
      </c>
    </row>
    <row r="186" spans="2:5" ht="15" customHeight="1" x14ac:dyDescent="0.3">
      <c r="C186" s="56"/>
      <c r="D186" s="8">
        <v>2022</v>
      </c>
      <c r="E186" s="14">
        <f>Data!V186</f>
        <v>0</v>
      </c>
    </row>
    <row r="187" spans="2:5" ht="15" customHeight="1" x14ac:dyDescent="0.3">
      <c r="C187" s="56"/>
      <c r="D187" s="8">
        <v>2023</v>
      </c>
      <c r="E187" s="14">
        <f>Data!V187</f>
        <v>0</v>
      </c>
    </row>
    <row r="188" spans="2:5" ht="15" customHeight="1" x14ac:dyDescent="0.3">
      <c r="C188" s="56"/>
      <c r="D188" s="8">
        <v>2024</v>
      </c>
      <c r="E188" s="14">
        <f>Data!V188</f>
        <v>0</v>
      </c>
    </row>
    <row r="189" spans="2:5" ht="15" customHeight="1" x14ac:dyDescent="0.3">
      <c r="B189" s="8">
        <v>18</v>
      </c>
      <c r="C189" s="56" t="s">
        <v>45</v>
      </c>
      <c r="D189" s="8">
        <v>2014</v>
      </c>
      <c r="E189" s="14">
        <f>Data!V189</f>
        <v>0</v>
      </c>
    </row>
    <row r="190" spans="2:5" ht="15" customHeight="1" x14ac:dyDescent="0.3">
      <c r="C190" s="56"/>
      <c r="D190" s="8">
        <v>2015</v>
      </c>
      <c r="E190" s="14">
        <f>Data!V190</f>
        <v>0</v>
      </c>
    </row>
    <row r="191" spans="2:5" ht="15" customHeight="1" x14ac:dyDescent="0.3">
      <c r="C191" s="56"/>
      <c r="D191" s="8">
        <v>2016</v>
      </c>
      <c r="E191" s="14">
        <f>Data!V191</f>
        <v>0</v>
      </c>
    </row>
    <row r="192" spans="2:5" ht="15" customHeight="1" x14ac:dyDescent="0.3">
      <c r="C192" s="56"/>
      <c r="D192" s="8">
        <v>2017</v>
      </c>
      <c r="E192" s="14">
        <f>Data!V192</f>
        <v>0</v>
      </c>
    </row>
    <row r="193" spans="2:5" ht="15" customHeight="1" x14ac:dyDescent="0.3">
      <c r="C193" s="56"/>
      <c r="D193" s="8">
        <v>2018</v>
      </c>
      <c r="E193" s="14">
        <f>Data!V193</f>
        <v>0</v>
      </c>
    </row>
    <row r="194" spans="2:5" ht="15" customHeight="1" x14ac:dyDescent="0.3">
      <c r="C194" s="56"/>
      <c r="D194" s="8">
        <v>2019</v>
      </c>
      <c r="E194" s="14">
        <f>Data!V194</f>
        <v>0</v>
      </c>
    </row>
    <row r="195" spans="2:5" ht="15" customHeight="1" x14ac:dyDescent="0.3">
      <c r="C195" s="56"/>
      <c r="D195" s="8">
        <v>2020</v>
      </c>
      <c r="E195" s="14">
        <f>Data!V195</f>
        <v>0</v>
      </c>
    </row>
    <row r="196" spans="2:5" ht="15" customHeight="1" x14ac:dyDescent="0.3">
      <c r="C196" s="56"/>
      <c r="D196" s="8">
        <v>2021</v>
      </c>
      <c r="E196" s="14">
        <f>Data!V196</f>
        <v>0</v>
      </c>
    </row>
    <row r="197" spans="2:5" ht="15" customHeight="1" x14ac:dyDescent="0.3">
      <c r="C197" s="56"/>
      <c r="D197" s="8">
        <v>2022</v>
      </c>
      <c r="E197" s="14">
        <f>Data!V197</f>
        <v>0</v>
      </c>
    </row>
    <row r="198" spans="2:5" ht="15" customHeight="1" x14ac:dyDescent="0.3">
      <c r="C198" s="56"/>
      <c r="D198" s="8">
        <v>2023</v>
      </c>
      <c r="E198" s="14">
        <f>Data!V198</f>
        <v>0</v>
      </c>
    </row>
    <row r="199" spans="2:5" ht="15" customHeight="1" x14ac:dyDescent="0.3">
      <c r="C199" s="56"/>
      <c r="D199" s="8">
        <v>2024</v>
      </c>
      <c r="E199" s="14">
        <f>Data!V199</f>
        <v>0</v>
      </c>
    </row>
    <row r="200" spans="2:5" ht="15" customHeight="1" x14ac:dyDescent="0.3">
      <c r="B200" s="8">
        <v>19</v>
      </c>
      <c r="C200" s="56" t="s">
        <v>46</v>
      </c>
      <c r="D200" s="8">
        <v>2014</v>
      </c>
      <c r="E200" s="14">
        <f>Data!V200</f>
        <v>0</v>
      </c>
    </row>
    <row r="201" spans="2:5" ht="15" customHeight="1" x14ac:dyDescent="0.3">
      <c r="C201" s="56"/>
      <c r="D201" s="8">
        <v>2015</v>
      </c>
      <c r="E201" s="14">
        <f>Data!V201</f>
        <v>0</v>
      </c>
    </row>
    <row r="202" spans="2:5" ht="15" customHeight="1" x14ac:dyDescent="0.3">
      <c r="C202" s="56"/>
      <c r="D202" s="8">
        <v>2016</v>
      </c>
      <c r="E202" s="14">
        <f>Data!V202</f>
        <v>0</v>
      </c>
    </row>
    <row r="203" spans="2:5" ht="15" customHeight="1" x14ac:dyDescent="0.3">
      <c r="C203" s="56"/>
      <c r="D203" s="8">
        <v>2017</v>
      </c>
      <c r="E203" s="14">
        <f>Data!V203</f>
        <v>0</v>
      </c>
    </row>
    <row r="204" spans="2:5" ht="15" customHeight="1" x14ac:dyDescent="0.3">
      <c r="C204" s="56"/>
      <c r="D204" s="8">
        <v>2018</v>
      </c>
      <c r="E204" s="14">
        <f>Data!V204</f>
        <v>0</v>
      </c>
    </row>
    <row r="205" spans="2:5" ht="15" customHeight="1" x14ac:dyDescent="0.3">
      <c r="C205" s="56"/>
      <c r="D205" s="8">
        <v>2019</v>
      </c>
      <c r="E205" s="14">
        <f>Data!V205</f>
        <v>0</v>
      </c>
    </row>
    <row r="206" spans="2:5" ht="15" customHeight="1" x14ac:dyDescent="0.3">
      <c r="C206" s="56"/>
      <c r="D206" s="8">
        <v>2020</v>
      </c>
      <c r="E206" s="14">
        <f>Data!V206</f>
        <v>0</v>
      </c>
    </row>
    <row r="207" spans="2:5" ht="15" customHeight="1" x14ac:dyDescent="0.3">
      <c r="C207" s="56"/>
      <c r="D207" s="8">
        <v>2021</v>
      </c>
      <c r="E207" s="14">
        <f>Data!V207</f>
        <v>0</v>
      </c>
    </row>
    <row r="208" spans="2:5" ht="15" customHeight="1" x14ac:dyDescent="0.3">
      <c r="C208" s="56"/>
      <c r="D208" s="8">
        <v>2022</v>
      </c>
      <c r="E208" s="14">
        <f>Data!V208</f>
        <v>0</v>
      </c>
    </row>
    <row r="209" spans="2:5" ht="15" customHeight="1" x14ac:dyDescent="0.3">
      <c r="C209" s="56"/>
      <c r="D209" s="8">
        <v>2023</v>
      </c>
      <c r="E209" s="14">
        <f>Data!V209</f>
        <v>0</v>
      </c>
    </row>
    <row r="210" spans="2:5" ht="15" customHeight="1" x14ac:dyDescent="0.3">
      <c r="C210" s="56"/>
      <c r="D210" s="8">
        <v>2024</v>
      </c>
      <c r="E210" s="14">
        <f>Data!V210</f>
        <v>0</v>
      </c>
    </row>
    <row r="211" spans="2:5" ht="15" customHeight="1" x14ac:dyDescent="0.3">
      <c r="B211" s="8">
        <v>20</v>
      </c>
      <c r="C211" s="56" t="s">
        <v>27</v>
      </c>
      <c r="D211" s="8">
        <v>2014</v>
      </c>
      <c r="E211" s="14">
        <f>Data!V211</f>
        <v>0</v>
      </c>
    </row>
    <row r="212" spans="2:5" ht="15" customHeight="1" x14ac:dyDescent="0.3">
      <c r="C212" s="56"/>
      <c r="D212" s="8">
        <v>2015</v>
      </c>
      <c r="E212" s="14">
        <f>Data!V212</f>
        <v>0</v>
      </c>
    </row>
    <row r="213" spans="2:5" ht="15" customHeight="1" x14ac:dyDescent="0.3">
      <c r="C213" s="56"/>
      <c r="D213" s="8">
        <v>2016</v>
      </c>
      <c r="E213" s="14">
        <f>Data!V213</f>
        <v>0</v>
      </c>
    </row>
    <row r="214" spans="2:5" ht="15" customHeight="1" x14ac:dyDescent="0.3">
      <c r="C214" s="56"/>
      <c r="D214" s="8">
        <v>2017</v>
      </c>
      <c r="E214" s="14">
        <f>Data!V214</f>
        <v>0</v>
      </c>
    </row>
    <row r="215" spans="2:5" ht="15" customHeight="1" x14ac:dyDescent="0.3">
      <c r="C215" s="56"/>
      <c r="D215" s="8">
        <v>2018</v>
      </c>
      <c r="E215" s="14">
        <f>Data!V215</f>
        <v>0</v>
      </c>
    </row>
    <row r="216" spans="2:5" ht="15" customHeight="1" x14ac:dyDescent="0.3">
      <c r="C216" s="56"/>
      <c r="D216" s="8">
        <v>2019</v>
      </c>
      <c r="E216" s="14">
        <f>Data!V216</f>
        <v>0</v>
      </c>
    </row>
    <row r="217" spans="2:5" ht="15" customHeight="1" x14ac:dyDescent="0.3">
      <c r="C217" s="56"/>
      <c r="D217" s="8">
        <v>2020</v>
      </c>
      <c r="E217" s="14">
        <f>Data!V217</f>
        <v>0</v>
      </c>
    </row>
    <row r="218" spans="2:5" ht="15" customHeight="1" x14ac:dyDescent="0.3">
      <c r="C218" s="56"/>
      <c r="D218" s="8">
        <v>2021</v>
      </c>
      <c r="E218" s="14">
        <f>Data!V218</f>
        <v>0</v>
      </c>
    </row>
    <row r="219" spans="2:5" ht="15" customHeight="1" x14ac:dyDescent="0.3">
      <c r="C219" s="56"/>
      <c r="D219" s="8">
        <v>2022</v>
      </c>
      <c r="E219" s="14">
        <f>Data!V219</f>
        <v>0</v>
      </c>
    </row>
    <row r="220" spans="2:5" ht="15" customHeight="1" x14ac:dyDescent="0.3">
      <c r="C220" s="56"/>
      <c r="D220" s="8">
        <v>2023</v>
      </c>
      <c r="E220" s="14">
        <f>Data!V220</f>
        <v>0</v>
      </c>
    </row>
    <row r="221" spans="2:5" ht="15" customHeight="1" x14ac:dyDescent="0.3">
      <c r="C221" s="56"/>
      <c r="D221" s="8">
        <v>2024</v>
      </c>
      <c r="E221" s="14">
        <f>Data!V221</f>
        <v>0</v>
      </c>
    </row>
    <row r="222" spans="2:5" ht="15" customHeight="1" x14ac:dyDescent="0.3">
      <c r="B222" s="8">
        <v>21</v>
      </c>
      <c r="C222" s="57" t="s">
        <v>52</v>
      </c>
      <c r="D222" s="8">
        <v>2014</v>
      </c>
      <c r="E222" s="14">
        <f>Data!V222</f>
        <v>0</v>
      </c>
    </row>
    <row r="223" spans="2:5" ht="15" customHeight="1" x14ac:dyDescent="0.3">
      <c r="C223" s="57"/>
      <c r="D223" s="8">
        <v>2015</v>
      </c>
      <c r="E223" s="14">
        <f>Data!V223</f>
        <v>0</v>
      </c>
    </row>
    <row r="224" spans="2:5" ht="15" customHeight="1" x14ac:dyDescent="0.3">
      <c r="C224" s="57"/>
      <c r="D224" s="8">
        <v>2016</v>
      </c>
      <c r="E224" s="14">
        <f>Data!V224</f>
        <v>0</v>
      </c>
    </row>
    <row r="225" spans="2:5" ht="15" customHeight="1" x14ac:dyDescent="0.3">
      <c r="C225" s="57"/>
      <c r="D225" s="8">
        <v>2017</v>
      </c>
      <c r="E225" s="14">
        <f>Data!V225</f>
        <v>0</v>
      </c>
    </row>
    <row r="226" spans="2:5" ht="15" customHeight="1" x14ac:dyDescent="0.3">
      <c r="C226" s="57"/>
      <c r="D226" s="8">
        <v>2018</v>
      </c>
      <c r="E226" s="14">
        <f>Data!V226</f>
        <v>0</v>
      </c>
    </row>
    <row r="227" spans="2:5" ht="15" customHeight="1" x14ac:dyDescent="0.3">
      <c r="C227" s="57"/>
      <c r="D227" s="8">
        <v>2019</v>
      </c>
      <c r="E227" s="14">
        <f>Data!V227</f>
        <v>0</v>
      </c>
    </row>
    <row r="228" spans="2:5" ht="15" customHeight="1" x14ac:dyDescent="0.3">
      <c r="C228" s="57"/>
      <c r="D228" s="8">
        <v>2020</v>
      </c>
      <c r="E228" s="14">
        <f>Data!V228</f>
        <v>11</v>
      </c>
    </row>
    <row r="229" spans="2:5" ht="15" customHeight="1" x14ac:dyDescent="0.3">
      <c r="C229" s="57"/>
      <c r="D229" s="8">
        <v>2021</v>
      </c>
      <c r="E229" s="14">
        <f>Data!V229</f>
        <v>9</v>
      </c>
    </row>
    <row r="230" spans="2:5" ht="15" customHeight="1" x14ac:dyDescent="0.3">
      <c r="C230" s="57"/>
      <c r="D230" s="8">
        <v>2022</v>
      </c>
      <c r="E230" s="14">
        <f>Data!V230</f>
        <v>9</v>
      </c>
    </row>
    <row r="231" spans="2:5" ht="15" customHeight="1" x14ac:dyDescent="0.3">
      <c r="C231" s="57"/>
      <c r="D231" s="8">
        <v>2023</v>
      </c>
      <c r="E231" s="14">
        <f>Data!V231</f>
        <v>12</v>
      </c>
    </row>
    <row r="232" spans="2:5" ht="15" customHeight="1" x14ac:dyDescent="0.3">
      <c r="C232" s="57"/>
      <c r="D232" s="8">
        <v>2024</v>
      </c>
      <c r="E232" s="14">
        <f>Data!V232</f>
        <v>7</v>
      </c>
    </row>
    <row r="233" spans="2:5" ht="15" customHeight="1" x14ac:dyDescent="0.3">
      <c r="B233" s="8">
        <v>22</v>
      </c>
      <c r="C233" s="57" t="s">
        <v>53</v>
      </c>
      <c r="D233" s="8">
        <v>2014</v>
      </c>
      <c r="E233" s="14">
        <f>Data!V233</f>
        <v>0</v>
      </c>
    </row>
    <row r="234" spans="2:5" ht="15" customHeight="1" x14ac:dyDescent="0.3">
      <c r="C234" s="57"/>
      <c r="D234" s="8">
        <v>2015</v>
      </c>
      <c r="E234" s="14">
        <f>Data!V234</f>
        <v>0</v>
      </c>
    </row>
    <row r="235" spans="2:5" ht="15" customHeight="1" x14ac:dyDescent="0.3">
      <c r="C235" s="57"/>
      <c r="D235" s="8">
        <v>2016</v>
      </c>
      <c r="E235" s="14">
        <f>Data!V235</f>
        <v>0</v>
      </c>
    </row>
    <row r="236" spans="2:5" ht="15" customHeight="1" x14ac:dyDescent="0.3">
      <c r="C236" s="57"/>
      <c r="D236" s="8">
        <v>2017</v>
      </c>
      <c r="E236" s="14">
        <f>Data!V236</f>
        <v>0</v>
      </c>
    </row>
    <row r="237" spans="2:5" ht="15" customHeight="1" x14ac:dyDescent="0.3">
      <c r="C237" s="57"/>
      <c r="D237" s="8">
        <v>2018</v>
      </c>
      <c r="E237" s="14">
        <f>Data!V237</f>
        <v>0</v>
      </c>
    </row>
    <row r="238" spans="2:5" ht="15" customHeight="1" x14ac:dyDescent="0.3">
      <c r="C238" s="57"/>
      <c r="D238" s="8">
        <v>2019</v>
      </c>
      <c r="E238" s="14">
        <f>Data!V238</f>
        <v>0</v>
      </c>
    </row>
    <row r="239" spans="2:5" ht="15" customHeight="1" x14ac:dyDescent="0.3">
      <c r="C239" s="57"/>
      <c r="D239" s="8">
        <v>2020</v>
      </c>
      <c r="E239" s="14">
        <f>Data!V239</f>
        <v>0</v>
      </c>
    </row>
    <row r="240" spans="2:5" ht="15" customHeight="1" x14ac:dyDescent="0.3">
      <c r="C240" s="57"/>
      <c r="D240" s="8">
        <v>2021</v>
      </c>
      <c r="E240" s="14">
        <f>Data!V240</f>
        <v>0</v>
      </c>
    </row>
    <row r="241" spans="2:5" ht="15" customHeight="1" x14ac:dyDescent="0.3">
      <c r="C241" s="57"/>
      <c r="D241" s="8">
        <v>2022</v>
      </c>
      <c r="E241" s="14">
        <f>Data!V241</f>
        <v>0</v>
      </c>
    </row>
    <row r="242" spans="2:5" ht="15" customHeight="1" x14ac:dyDescent="0.3">
      <c r="C242" s="57"/>
      <c r="D242" s="8">
        <v>2023</v>
      </c>
      <c r="E242" s="14">
        <f>Data!V242</f>
        <v>0</v>
      </c>
    </row>
    <row r="243" spans="2:5" ht="15" customHeight="1" x14ac:dyDescent="0.3">
      <c r="C243" s="57"/>
      <c r="D243" s="8">
        <v>2024</v>
      </c>
      <c r="E243" s="14">
        <f>Data!V243</f>
        <v>0</v>
      </c>
    </row>
    <row r="244" spans="2:5" ht="15" customHeight="1" x14ac:dyDescent="0.3">
      <c r="B244" s="8">
        <v>23</v>
      </c>
      <c r="C244" s="57" t="s">
        <v>51</v>
      </c>
      <c r="D244" s="8">
        <v>2014</v>
      </c>
      <c r="E244" s="14">
        <f>Data!V244</f>
        <v>0</v>
      </c>
    </row>
    <row r="245" spans="2:5" ht="15" customHeight="1" x14ac:dyDescent="0.3">
      <c r="C245" s="57"/>
      <c r="D245" s="8">
        <v>2015</v>
      </c>
      <c r="E245" s="14">
        <f>Data!V245</f>
        <v>0</v>
      </c>
    </row>
    <row r="246" spans="2:5" ht="15" customHeight="1" x14ac:dyDescent="0.3">
      <c r="C246" s="57"/>
      <c r="D246" s="8">
        <v>2016</v>
      </c>
      <c r="E246" s="14">
        <f>Data!V246</f>
        <v>0</v>
      </c>
    </row>
    <row r="247" spans="2:5" ht="15" customHeight="1" x14ac:dyDescent="0.3">
      <c r="C247" s="57"/>
      <c r="D247" s="8">
        <v>2017</v>
      </c>
      <c r="E247" s="14">
        <f>Data!V247</f>
        <v>0</v>
      </c>
    </row>
    <row r="248" spans="2:5" ht="15" customHeight="1" x14ac:dyDescent="0.3">
      <c r="C248" s="57"/>
      <c r="D248" s="8">
        <v>2018</v>
      </c>
      <c r="E248" s="14">
        <f>Data!V248</f>
        <v>0</v>
      </c>
    </row>
    <row r="249" spans="2:5" ht="15" customHeight="1" x14ac:dyDescent="0.3">
      <c r="C249" s="57"/>
      <c r="D249" s="8">
        <v>2019</v>
      </c>
      <c r="E249" s="14">
        <f>Data!V249</f>
        <v>0</v>
      </c>
    </row>
    <row r="250" spans="2:5" ht="15" customHeight="1" x14ac:dyDescent="0.3">
      <c r="C250" s="57"/>
      <c r="D250" s="8">
        <v>2020</v>
      </c>
      <c r="E250" s="14">
        <f>Data!V250</f>
        <v>0</v>
      </c>
    </row>
    <row r="251" spans="2:5" ht="15" customHeight="1" x14ac:dyDescent="0.3">
      <c r="C251" s="57"/>
      <c r="D251" s="8">
        <v>2021</v>
      </c>
      <c r="E251" s="14">
        <f>Data!V251</f>
        <v>0</v>
      </c>
    </row>
    <row r="252" spans="2:5" ht="15" customHeight="1" x14ac:dyDescent="0.3">
      <c r="C252" s="57"/>
      <c r="D252" s="8">
        <v>2022</v>
      </c>
      <c r="E252" s="14">
        <f>Data!V252</f>
        <v>0</v>
      </c>
    </row>
    <row r="253" spans="2:5" ht="15" customHeight="1" x14ac:dyDescent="0.3">
      <c r="C253" s="57"/>
      <c r="D253" s="8">
        <v>2023</v>
      </c>
      <c r="E253" s="14">
        <f>Data!V253</f>
        <v>0</v>
      </c>
    </row>
    <row r="254" spans="2:5" ht="15" customHeight="1" x14ac:dyDescent="0.3">
      <c r="C254" s="57"/>
      <c r="D254" s="8">
        <v>2024</v>
      </c>
      <c r="E254" s="14">
        <f>Data!V254</f>
        <v>0</v>
      </c>
    </row>
    <row r="255" spans="2:5" ht="15" customHeight="1" x14ac:dyDescent="0.3">
      <c r="B255" s="8">
        <v>24</v>
      </c>
      <c r="C255" s="57" t="s">
        <v>50</v>
      </c>
      <c r="D255" s="8">
        <v>2014</v>
      </c>
      <c r="E255" s="14">
        <f>Data!V255</f>
        <v>0</v>
      </c>
    </row>
    <row r="256" spans="2:5" ht="15" customHeight="1" x14ac:dyDescent="0.3">
      <c r="C256" s="57"/>
      <c r="D256" s="8">
        <v>2015</v>
      </c>
      <c r="E256" s="14">
        <f>Data!V256</f>
        <v>15</v>
      </c>
    </row>
    <row r="257" spans="2:5" ht="15" customHeight="1" x14ac:dyDescent="0.3">
      <c r="C257" s="57"/>
      <c r="D257" s="8">
        <v>2016</v>
      </c>
      <c r="E257" s="14">
        <f>Data!V257</f>
        <v>15</v>
      </c>
    </row>
    <row r="258" spans="2:5" ht="15" customHeight="1" x14ac:dyDescent="0.3">
      <c r="C258" s="57"/>
      <c r="D258" s="8">
        <v>2017</v>
      </c>
      <c r="E258" s="14">
        <f>Data!V258</f>
        <v>18</v>
      </c>
    </row>
    <row r="259" spans="2:5" ht="15" customHeight="1" x14ac:dyDescent="0.3">
      <c r="C259" s="57"/>
      <c r="D259" s="8">
        <v>2018</v>
      </c>
      <c r="E259" s="14">
        <f>Data!V259</f>
        <v>7</v>
      </c>
    </row>
    <row r="260" spans="2:5" ht="15" customHeight="1" x14ac:dyDescent="0.3">
      <c r="C260" s="57"/>
      <c r="D260" s="8">
        <v>2019</v>
      </c>
      <c r="E260" s="14">
        <f>Data!V260</f>
        <v>10</v>
      </c>
    </row>
    <row r="261" spans="2:5" ht="15" customHeight="1" x14ac:dyDescent="0.3">
      <c r="C261" s="57"/>
      <c r="D261" s="8">
        <v>2020</v>
      </c>
      <c r="E261" s="14">
        <f>Data!V261</f>
        <v>13</v>
      </c>
    </row>
    <row r="262" spans="2:5" ht="15" customHeight="1" x14ac:dyDescent="0.3">
      <c r="C262" s="57"/>
      <c r="D262" s="8">
        <v>2021</v>
      </c>
      <c r="E262" s="14">
        <f>Data!V262</f>
        <v>13</v>
      </c>
    </row>
    <row r="263" spans="2:5" ht="15" customHeight="1" x14ac:dyDescent="0.3">
      <c r="C263" s="57"/>
      <c r="D263" s="8">
        <v>2022</v>
      </c>
      <c r="E263" s="14">
        <f>Data!V263</f>
        <v>10</v>
      </c>
    </row>
    <row r="264" spans="2:5" ht="15" customHeight="1" x14ac:dyDescent="0.3">
      <c r="C264" s="57"/>
      <c r="D264" s="8">
        <v>2023</v>
      </c>
      <c r="E264" s="14">
        <f>Data!V264</f>
        <v>10</v>
      </c>
    </row>
    <row r="265" spans="2:5" ht="15" customHeight="1" x14ac:dyDescent="0.3">
      <c r="C265" s="57"/>
      <c r="D265" s="8">
        <v>2024</v>
      </c>
      <c r="E265" s="14">
        <f>Data!V265</f>
        <v>10</v>
      </c>
    </row>
    <row r="266" spans="2:5" ht="15" customHeight="1" x14ac:dyDescent="0.3">
      <c r="B266" s="8">
        <v>25</v>
      </c>
      <c r="C266" s="56" t="s">
        <v>28</v>
      </c>
      <c r="D266" s="8">
        <v>2014</v>
      </c>
      <c r="E266" s="14">
        <f>Data!V266</f>
        <v>0</v>
      </c>
    </row>
    <row r="267" spans="2:5" ht="15" customHeight="1" x14ac:dyDescent="0.3">
      <c r="C267" s="56"/>
      <c r="D267" s="8">
        <v>2015</v>
      </c>
      <c r="E267" s="14">
        <f>Data!V267</f>
        <v>8</v>
      </c>
    </row>
    <row r="268" spans="2:5" ht="15" customHeight="1" x14ac:dyDescent="0.3">
      <c r="C268" s="56"/>
      <c r="D268" s="8">
        <v>2016</v>
      </c>
      <c r="E268" s="14">
        <f>Data!V268</f>
        <v>8</v>
      </c>
    </row>
    <row r="269" spans="2:5" ht="15" customHeight="1" x14ac:dyDescent="0.3">
      <c r="C269" s="56"/>
      <c r="D269" s="8">
        <v>2017</v>
      </c>
      <c r="E269" s="14">
        <f>Data!V269</f>
        <v>6</v>
      </c>
    </row>
    <row r="270" spans="2:5" ht="15" customHeight="1" x14ac:dyDescent="0.3">
      <c r="C270" s="56"/>
      <c r="D270" s="8">
        <v>2018</v>
      </c>
      <c r="E270" s="14">
        <f>Data!V270</f>
        <v>9</v>
      </c>
    </row>
    <row r="271" spans="2:5" ht="15" customHeight="1" x14ac:dyDescent="0.3">
      <c r="C271" s="56"/>
      <c r="D271" s="8">
        <v>2019</v>
      </c>
      <c r="E271" s="14">
        <f>Data!V271</f>
        <v>13</v>
      </c>
    </row>
    <row r="272" spans="2:5" ht="15" customHeight="1" x14ac:dyDescent="0.3">
      <c r="C272" s="56"/>
      <c r="D272" s="8">
        <v>2020</v>
      </c>
      <c r="E272" s="14">
        <f>Data!V272</f>
        <v>11</v>
      </c>
    </row>
    <row r="273" spans="2:5" ht="15" customHeight="1" x14ac:dyDescent="0.3">
      <c r="C273" s="56"/>
      <c r="D273" s="8">
        <v>2021</v>
      </c>
      <c r="E273" s="14">
        <f>Data!V273</f>
        <v>13</v>
      </c>
    </row>
    <row r="274" spans="2:5" ht="15" customHeight="1" x14ac:dyDescent="0.3">
      <c r="C274" s="56"/>
      <c r="D274" s="8">
        <v>2022</v>
      </c>
      <c r="E274" s="14">
        <f>Data!V274</f>
        <v>10</v>
      </c>
    </row>
    <row r="275" spans="2:5" ht="15" customHeight="1" x14ac:dyDescent="0.3">
      <c r="C275" s="56"/>
      <c r="D275" s="8">
        <v>2023</v>
      </c>
      <c r="E275" s="14">
        <f>Data!V275</f>
        <v>9</v>
      </c>
    </row>
    <row r="276" spans="2:5" ht="15" customHeight="1" x14ac:dyDescent="0.3">
      <c r="C276" s="56"/>
      <c r="D276" s="8">
        <v>2024</v>
      </c>
      <c r="E276" s="14">
        <f>Data!V276</f>
        <v>12</v>
      </c>
    </row>
    <row r="277" spans="2:5" ht="15" customHeight="1" x14ac:dyDescent="0.3">
      <c r="B277" s="8">
        <v>26</v>
      </c>
      <c r="C277" s="56" t="s">
        <v>42</v>
      </c>
      <c r="D277" s="8">
        <v>2014</v>
      </c>
      <c r="E277" s="14">
        <f>Data!V277</f>
        <v>0</v>
      </c>
    </row>
    <row r="278" spans="2:5" ht="15" customHeight="1" x14ac:dyDescent="0.3">
      <c r="C278" s="56"/>
      <c r="D278" s="8">
        <v>2015</v>
      </c>
      <c r="E278" s="14">
        <f>Data!V278</f>
        <v>0</v>
      </c>
    </row>
    <row r="279" spans="2:5" ht="15" customHeight="1" x14ac:dyDescent="0.3">
      <c r="C279" s="56"/>
      <c r="D279" s="8">
        <v>2016</v>
      </c>
      <c r="E279" s="14">
        <f>Data!V279</f>
        <v>0</v>
      </c>
    </row>
    <row r="280" spans="2:5" ht="15" customHeight="1" x14ac:dyDescent="0.3">
      <c r="C280" s="56"/>
      <c r="D280" s="8">
        <v>2017</v>
      </c>
      <c r="E280" s="14">
        <f>Data!V280</f>
        <v>0</v>
      </c>
    </row>
    <row r="281" spans="2:5" ht="15" customHeight="1" x14ac:dyDescent="0.3">
      <c r="C281" s="56"/>
      <c r="D281" s="8">
        <v>2018</v>
      </c>
      <c r="E281" s="14">
        <f>Data!V281</f>
        <v>0</v>
      </c>
    </row>
    <row r="282" spans="2:5" ht="15" customHeight="1" x14ac:dyDescent="0.3">
      <c r="C282" s="56"/>
      <c r="D282" s="8">
        <v>2019</v>
      </c>
      <c r="E282" s="14">
        <f>Data!V282</f>
        <v>0</v>
      </c>
    </row>
    <row r="283" spans="2:5" ht="15" customHeight="1" x14ac:dyDescent="0.3">
      <c r="C283" s="56"/>
      <c r="D283" s="8">
        <v>2020</v>
      </c>
      <c r="E283" s="14">
        <f>Data!V283</f>
        <v>0</v>
      </c>
    </row>
    <row r="284" spans="2:5" ht="15" customHeight="1" x14ac:dyDescent="0.3">
      <c r="C284" s="56"/>
      <c r="D284" s="8">
        <v>2021</v>
      </c>
      <c r="E284" s="14">
        <f>Data!V284</f>
        <v>0</v>
      </c>
    </row>
    <row r="285" spans="2:5" ht="15" customHeight="1" x14ac:dyDescent="0.3">
      <c r="C285" s="56"/>
      <c r="D285" s="8">
        <v>2022</v>
      </c>
      <c r="E285" s="14">
        <f>Data!V285</f>
        <v>0</v>
      </c>
    </row>
    <row r="286" spans="2:5" ht="15" customHeight="1" x14ac:dyDescent="0.3">
      <c r="C286" s="56"/>
      <c r="D286" s="8">
        <v>2023</v>
      </c>
      <c r="E286" s="14">
        <f>Data!V286</f>
        <v>0</v>
      </c>
    </row>
    <row r="287" spans="2:5" ht="15" customHeight="1" x14ac:dyDescent="0.3">
      <c r="C287" s="56"/>
      <c r="D287" s="8">
        <v>2024</v>
      </c>
      <c r="E287" s="14">
        <f>Data!V287</f>
        <v>0</v>
      </c>
    </row>
    <row r="288" spans="2:5" ht="15" customHeight="1" x14ac:dyDescent="0.3">
      <c r="B288" s="8">
        <v>27</v>
      </c>
      <c r="C288" s="56" t="s">
        <v>29</v>
      </c>
      <c r="D288" s="8">
        <v>2014</v>
      </c>
      <c r="E288" s="14">
        <f>Data!V288</f>
        <v>0</v>
      </c>
    </row>
    <row r="289" spans="2:5" ht="15" customHeight="1" x14ac:dyDescent="0.3">
      <c r="C289" s="56"/>
      <c r="D289" s="8">
        <v>2015</v>
      </c>
      <c r="E289" s="14">
        <f>Data!V289</f>
        <v>0</v>
      </c>
    </row>
    <row r="290" spans="2:5" ht="15" customHeight="1" x14ac:dyDescent="0.3">
      <c r="C290" s="56"/>
      <c r="D290" s="8">
        <v>2016</v>
      </c>
      <c r="E290" s="14">
        <f>Data!V290</f>
        <v>0</v>
      </c>
    </row>
    <row r="291" spans="2:5" ht="15" customHeight="1" x14ac:dyDescent="0.3">
      <c r="C291" s="56"/>
      <c r="D291" s="8">
        <v>2017</v>
      </c>
      <c r="E291" s="14">
        <f>Data!V291</f>
        <v>0</v>
      </c>
    </row>
    <row r="292" spans="2:5" ht="15" customHeight="1" x14ac:dyDescent="0.3">
      <c r="C292" s="56"/>
      <c r="D292" s="8">
        <v>2018</v>
      </c>
      <c r="E292" s="14">
        <f>Data!V292</f>
        <v>0</v>
      </c>
    </row>
    <row r="293" spans="2:5" ht="15" customHeight="1" x14ac:dyDescent="0.3">
      <c r="C293" s="56"/>
      <c r="D293" s="8">
        <v>2019</v>
      </c>
      <c r="E293" s="14">
        <f>Data!V293</f>
        <v>0</v>
      </c>
    </row>
    <row r="294" spans="2:5" ht="15" customHeight="1" x14ac:dyDescent="0.3">
      <c r="C294" s="56"/>
      <c r="D294" s="8">
        <v>2020</v>
      </c>
      <c r="E294" s="14">
        <f>Data!V294</f>
        <v>0</v>
      </c>
    </row>
    <row r="295" spans="2:5" ht="15" customHeight="1" x14ac:dyDescent="0.3">
      <c r="C295" s="56"/>
      <c r="D295" s="8">
        <v>2021</v>
      </c>
      <c r="E295" s="14">
        <f>Data!V295</f>
        <v>0</v>
      </c>
    </row>
    <row r="296" spans="2:5" ht="15" customHeight="1" x14ac:dyDescent="0.3">
      <c r="C296" s="56"/>
      <c r="D296" s="8">
        <v>2022</v>
      </c>
      <c r="E296" s="14">
        <f>Data!V296</f>
        <v>0</v>
      </c>
    </row>
    <row r="297" spans="2:5" ht="15" customHeight="1" x14ac:dyDescent="0.3">
      <c r="C297" s="56"/>
      <c r="D297" s="8">
        <v>2023</v>
      </c>
      <c r="E297" s="14">
        <f>Data!V297</f>
        <v>0</v>
      </c>
    </row>
    <row r="298" spans="2:5" ht="15" customHeight="1" x14ac:dyDescent="0.3">
      <c r="C298" s="56"/>
      <c r="D298" s="8">
        <v>2024</v>
      </c>
      <c r="E298" s="14">
        <f>Data!V298</f>
        <v>0</v>
      </c>
    </row>
    <row r="299" spans="2:5" ht="15" customHeight="1" x14ac:dyDescent="0.3">
      <c r="B299" s="8">
        <v>28</v>
      </c>
      <c r="C299" s="57" t="s">
        <v>149</v>
      </c>
      <c r="D299" s="8">
        <v>2014</v>
      </c>
      <c r="E299" s="14">
        <f>Data!V299</f>
        <v>0</v>
      </c>
    </row>
    <row r="300" spans="2:5" ht="15" customHeight="1" x14ac:dyDescent="0.3">
      <c r="C300" s="57"/>
      <c r="D300" s="8">
        <v>2015</v>
      </c>
      <c r="E300" s="14">
        <f>Data!V300</f>
        <v>0</v>
      </c>
    </row>
    <row r="301" spans="2:5" ht="15" customHeight="1" x14ac:dyDescent="0.3">
      <c r="C301" s="57"/>
      <c r="D301" s="8">
        <v>2016</v>
      </c>
      <c r="E301" s="14">
        <f>Data!V301</f>
        <v>0</v>
      </c>
    </row>
    <row r="302" spans="2:5" ht="15" customHeight="1" x14ac:dyDescent="0.3">
      <c r="C302" s="57"/>
      <c r="D302" s="8">
        <v>2017</v>
      </c>
      <c r="E302" s="14">
        <f>Data!V302</f>
        <v>0</v>
      </c>
    </row>
    <row r="303" spans="2:5" ht="15" customHeight="1" x14ac:dyDescent="0.3">
      <c r="C303" s="57"/>
      <c r="D303" s="8">
        <v>2018</v>
      </c>
      <c r="E303" s="14">
        <f>Data!V303</f>
        <v>0</v>
      </c>
    </row>
    <row r="304" spans="2:5" ht="15" customHeight="1" x14ac:dyDescent="0.3">
      <c r="C304" s="57"/>
      <c r="D304" s="8">
        <v>2019</v>
      </c>
      <c r="E304" s="14">
        <f>Data!V304</f>
        <v>0</v>
      </c>
    </row>
    <row r="305" spans="2:5" ht="15" customHeight="1" x14ac:dyDescent="0.3">
      <c r="C305" s="57"/>
      <c r="D305" s="8">
        <v>2020</v>
      </c>
      <c r="E305" s="14">
        <f>Data!V305</f>
        <v>0</v>
      </c>
    </row>
    <row r="306" spans="2:5" ht="15" customHeight="1" x14ac:dyDescent="0.3">
      <c r="C306" s="57"/>
      <c r="D306" s="8">
        <v>2021</v>
      </c>
      <c r="E306" s="14">
        <f>Data!V306</f>
        <v>0</v>
      </c>
    </row>
    <row r="307" spans="2:5" ht="15" customHeight="1" x14ac:dyDescent="0.3">
      <c r="C307" s="57"/>
      <c r="D307" s="8">
        <v>2022</v>
      </c>
      <c r="E307" s="14">
        <f>Data!V307</f>
        <v>0</v>
      </c>
    </row>
    <row r="308" spans="2:5" ht="15" customHeight="1" x14ac:dyDescent="0.3">
      <c r="C308" s="57"/>
      <c r="D308" s="8">
        <v>2023</v>
      </c>
      <c r="E308" s="14">
        <f>Data!V308</f>
        <v>0</v>
      </c>
    </row>
    <row r="309" spans="2:5" ht="15" customHeight="1" x14ac:dyDescent="0.3">
      <c r="C309" s="57"/>
      <c r="D309" s="8">
        <v>2024</v>
      </c>
      <c r="E309" s="14">
        <f>Data!V309</f>
        <v>0</v>
      </c>
    </row>
    <row r="310" spans="2:5" ht="15" customHeight="1" x14ac:dyDescent="0.3">
      <c r="B310" s="8">
        <v>29</v>
      </c>
      <c r="C310" s="57" t="s">
        <v>55</v>
      </c>
      <c r="D310" s="8">
        <v>2014</v>
      </c>
      <c r="E310" s="14">
        <f>Data!V310</f>
        <v>0</v>
      </c>
    </row>
    <row r="311" spans="2:5" ht="15" customHeight="1" x14ac:dyDescent="0.3">
      <c r="C311" s="57"/>
      <c r="D311" s="8">
        <v>2015</v>
      </c>
      <c r="E311" s="14">
        <f>Data!V311</f>
        <v>0</v>
      </c>
    </row>
    <row r="312" spans="2:5" ht="15" customHeight="1" x14ac:dyDescent="0.3">
      <c r="C312" s="57"/>
      <c r="D312" s="8">
        <v>2016</v>
      </c>
      <c r="E312" s="14">
        <f>Data!V312</f>
        <v>0</v>
      </c>
    </row>
    <row r="313" spans="2:5" ht="15" customHeight="1" x14ac:dyDescent="0.3">
      <c r="C313" s="57"/>
      <c r="D313" s="8">
        <v>2017</v>
      </c>
      <c r="E313" s="14">
        <f>Data!V313</f>
        <v>0</v>
      </c>
    </row>
    <row r="314" spans="2:5" ht="15" customHeight="1" x14ac:dyDescent="0.3">
      <c r="C314" s="57"/>
      <c r="D314" s="8">
        <v>2018</v>
      </c>
      <c r="E314" s="14">
        <f>Data!V314</f>
        <v>0</v>
      </c>
    </row>
    <row r="315" spans="2:5" ht="15" customHeight="1" x14ac:dyDescent="0.3">
      <c r="C315" s="57"/>
      <c r="D315" s="8">
        <v>2019</v>
      </c>
      <c r="E315" s="14">
        <f>Data!V315</f>
        <v>0</v>
      </c>
    </row>
    <row r="316" spans="2:5" ht="15" customHeight="1" x14ac:dyDescent="0.3">
      <c r="C316" s="57"/>
      <c r="D316" s="8">
        <v>2020</v>
      </c>
      <c r="E316" s="14">
        <f>Data!V316</f>
        <v>0</v>
      </c>
    </row>
    <row r="317" spans="2:5" ht="15" customHeight="1" x14ac:dyDescent="0.3">
      <c r="C317" s="57"/>
      <c r="D317" s="8">
        <v>2021</v>
      </c>
      <c r="E317" s="14">
        <f>Data!V317</f>
        <v>0</v>
      </c>
    </row>
    <row r="318" spans="2:5" ht="15" customHeight="1" x14ac:dyDescent="0.3">
      <c r="C318" s="57"/>
      <c r="D318" s="8">
        <v>2022</v>
      </c>
      <c r="E318" s="14">
        <f>Data!V318</f>
        <v>0</v>
      </c>
    </row>
    <row r="319" spans="2:5" ht="15" customHeight="1" x14ac:dyDescent="0.3">
      <c r="C319" s="57"/>
      <c r="D319" s="8">
        <v>2023</v>
      </c>
      <c r="E319" s="14">
        <f>Data!V319</f>
        <v>0</v>
      </c>
    </row>
    <row r="320" spans="2:5" ht="15" customHeight="1" x14ac:dyDescent="0.3">
      <c r="C320" s="57"/>
      <c r="D320" s="8">
        <v>2024</v>
      </c>
      <c r="E320" s="14">
        <f>Data!V320</f>
        <v>0</v>
      </c>
    </row>
    <row r="321" spans="2:5" ht="15" customHeight="1" x14ac:dyDescent="0.3">
      <c r="B321" s="8">
        <v>30</v>
      </c>
      <c r="C321" s="56" t="s">
        <v>5</v>
      </c>
      <c r="D321" s="8">
        <v>2014</v>
      </c>
      <c r="E321" s="14">
        <f>Data!V321</f>
        <v>0</v>
      </c>
    </row>
    <row r="322" spans="2:5" ht="15" customHeight="1" x14ac:dyDescent="0.3">
      <c r="C322" s="56"/>
      <c r="D322" s="8">
        <v>2015</v>
      </c>
      <c r="E322" s="14">
        <f>Data!V322</f>
        <v>0</v>
      </c>
    </row>
    <row r="323" spans="2:5" ht="15" customHeight="1" x14ac:dyDescent="0.3">
      <c r="C323" s="56"/>
      <c r="D323" s="8">
        <v>2016</v>
      </c>
      <c r="E323" s="14">
        <f>Data!V323</f>
        <v>0</v>
      </c>
    </row>
    <row r="324" spans="2:5" ht="15" customHeight="1" x14ac:dyDescent="0.3">
      <c r="C324" s="56"/>
      <c r="D324" s="8">
        <v>2017</v>
      </c>
      <c r="E324" s="14">
        <f>Data!V324</f>
        <v>0</v>
      </c>
    </row>
    <row r="325" spans="2:5" ht="15" customHeight="1" x14ac:dyDescent="0.3">
      <c r="C325" s="56"/>
      <c r="D325" s="8">
        <v>2018</v>
      </c>
      <c r="E325" s="14">
        <f>Data!V325</f>
        <v>0</v>
      </c>
    </row>
    <row r="326" spans="2:5" ht="15" customHeight="1" x14ac:dyDescent="0.3">
      <c r="C326" s="56"/>
      <c r="D326" s="8">
        <v>2019</v>
      </c>
      <c r="E326" s="14">
        <f>Data!V326</f>
        <v>0</v>
      </c>
    </row>
    <row r="327" spans="2:5" ht="15" customHeight="1" x14ac:dyDescent="0.3">
      <c r="C327" s="56"/>
      <c r="D327" s="8">
        <v>2020</v>
      </c>
      <c r="E327" s="14">
        <f>Data!V327</f>
        <v>0</v>
      </c>
    </row>
    <row r="328" spans="2:5" ht="15" customHeight="1" x14ac:dyDescent="0.3">
      <c r="C328" s="56"/>
      <c r="D328" s="8">
        <v>2021</v>
      </c>
      <c r="E328" s="14">
        <f>Data!V328</f>
        <v>0</v>
      </c>
    </row>
    <row r="329" spans="2:5" ht="15" customHeight="1" x14ac:dyDescent="0.3">
      <c r="C329" s="56"/>
      <c r="D329" s="8">
        <v>2022</v>
      </c>
      <c r="E329" s="14">
        <f>Data!V329</f>
        <v>0</v>
      </c>
    </row>
    <row r="330" spans="2:5" ht="15" customHeight="1" x14ac:dyDescent="0.3">
      <c r="C330" s="56"/>
      <c r="D330" s="8">
        <v>2023</v>
      </c>
      <c r="E330" s="14">
        <f>Data!V330</f>
        <v>0</v>
      </c>
    </row>
    <row r="331" spans="2:5" ht="15" customHeight="1" x14ac:dyDescent="0.3">
      <c r="C331" s="56"/>
      <c r="D331" s="8">
        <v>2024</v>
      </c>
      <c r="E331" s="14">
        <f>Data!V331</f>
        <v>0</v>
      </c>
    </row>
    <row r="332" spans="2:5" ht="15" customHeight="1" x14ac:dyDescent="0.3">
      <c r="B332" s="8">
        <v>31</v>
      </c>
      <c r="C332" s="56" t="s">
        <v>6</v>
      </c>
      <c r="D332" s="8">
        <v>2014</v>
      </c>
      <c r="E332" s="14">
        <f>Data!V332</f>
        <v>0</v>
      </c>
    </row>
    <row r="333" spans="2:5" ht="15" customHeight="1" x14ac:dyDescent="0.3">
      <c r="C333" s="56"/>
      <c r="D333" s="8">
        <v>2015</v>
      </c>
      <c r="E333" s="14">
        <f>Data!V333</f>
        <v>0</v>
      </c>
    </row>
    <row r="334" spans="2:5" ht="15" customHeight="1" x14ac:dyDescent="0.3">
      <c r="C334" s="56"/>
      <c r="D334" s="8">
        <v>2016</v>
      </c>
      <c r="E334" s="14">
        <f>Data!V334</f>
        <v>0</v>
      </c>
    </row>
    <row r="335" spans="2:5" ht="15" customHeight="1" x14ac:dyDescent="0.3">
      <c r="C335" s="56"/>
      <c r="D335" s="8">
        <v>2017</v>
      </c>
      <c r="E335" s="14">
        <f>Data!V335</f>
        <v>0</v>
      </c>
    </row>
    <row r="336" spans="2:5" ht="15" customHeight="1" x14ac:dyDescent="0.3">
      <c r="C336" s="56"/>
      <c r="D336" s="8">
        <v>2018</v>
      </c>
      <c r="E336" s="14">
        <f>Data!V336</f>
        <v>0</v>
      </c>
    </row>
    <row r="337" spans="2:5" ht="15" customHeight="1" x14ac:dyDescent="0.3">
      <c r="C337" s="56"/>
      <c r="D337" s="8">
        <v>2019</v>
      </c>
      <c r="E337" s="14">
        <f>Data!V337</f>
        <v>0</v>
      </c>
    </row>
    <row r="338" spans="2:5" ht="15" customHeight="1" x14ac:dyDescent="0.3">
      <c r="C338" s="56"/>
      <c r="D338" s="8">
        <v>2020</v>
      </c>
      <c r="E338" s="14">
        <f>Data!V338</f>
        <v>0</v>
      </c>
    </row>
    <row r="339" spans="2:5" ht="15" customHeight="1" x14ac:dyDescent="0.3">
      <c r="C339" s="56"/>
      <c r="D339" s="8">
        <v>2021</v>
      </c>
      <c r="E339" s="14">
        <f>Data!V339</f>
        <v>0</v>
      </c>
    </row>
    <row r="340" spans="2:5" ht="15" customHeight="1" x14ac:dyDescent="0.3">
      <c r="C340" s="56"/>
      <c r="D340" s="8">
        <v>2022</v>
      </c>
      <c r="E340" s="14">
        <f>Data!V340</f>
        <v>0</v>
      </c>
    </row>
    <row r="341" spans="2:5" ht="15" customHeight="1" x14ac:dyDescent="0.3">
      <c r="C341" s="56"/>
      <c r="D341" s="8">
        <v>2023</v>
      </c>
      <c r="E341" s="14">
        <f>Data!V341</f>
        <v>0</v>
      </c>
    </row>
    <row r="342" spans="2:5" ht="15" customHeight="1" x14ac:dyDescent="0.3">
      <c r="C342" s="56"/>
      <c r="D342" s="8">
        <v>2024</v>
      </c>
      <c r="E342" s="14">
        <f>Data!V342</f>
        <v>0</v>
      </c>
    </row>
    <row r="343" spans="2:5" ht="15" customHeight="1" x14ac:dyDescent="0.3">
      <c r="B343" s="8">
        <v>32</v>
      </c>
      <c r="C343" s="56" t="s">
        <v>7</v>
      </c>
      <c r="D343" s="8">
        <v>2014</v>
      </c>
      <c r="E343" s="14">
        <f>Data!V343</f>
        <v>0</v>
      </c>
    </row>
    <row r="344" spans="2:5" ht="15" customHeight="1" x14ac:dyDescent="0.3">
      <c r="C344" s="56"/>
      <c r="D344" s="8">
        <v>2015</v>
      </c>
      <c r="E344" s="14">
        <f>Data!V344</f>
        <v>0</v>
      </c>
    </row>
    <row r="345" spans="2:5" ht="15" customHeight="1" x14ac:dyDescent="0.3">
      <c r="C345" s="56"/>
      <c r="D345" s="8">
        <v>2016</v>
      </c>
      <c r="E345" s="14">
        <f>Data!V345</f>
        <v>0</v>
      </c>
    </row>
    <row r="346" spans="2:5" ht="15" customHeight="1" x14ac:dyDescent="0.3">
      <c r="C346" s="56"/>
      <c r="D346" s="8">
        <v>2017</v>
      </c>
      <c r="E346" s="14">
        <f>Data!V346</f>
        <v>0</v>
      </c>
    </row>
    <row r="347" spans="2:5" ht="15" customHeight="1" x14ac:dyDescent="0.3">
      <c r="C347" s="56"/>
      <c r="D347" s="8">
        <v>2018</v>
      </c>
      <c r="E347" s="14">
        <f>Data!V347</f>
        <v>0</v>
      </c>
    </row>
    <row r="348" spans="2:5" ht="15" customHeight="1" x14ac:dyDescent="0.3">
      <c r="C348" s="56"/>
      <c r="D348" s="8">
        <v>2019</v>
      </c>
      <c r="E348" s="14">
        <f>Data!V348</f>
        <v>0</v>
      </c>
    </row>
    <row r="349" spans="2:5" ht="15" customHeight="1" x14ac:dyDescent="0.3">
      <c r="C349" s="56"/>
      <c r="D349" s="8">
        <v>2020</v>
      </c>
      <c r="E349" s="14">
        <f>Data!V349</f>
        <v>12</v>
      </c>
    </row>
    <row r="350" spans="2:5" ht="15" customHeight="1" x14ac:dyDescent="0.3">
      <c r="C350" s="56"/>
      <c r="D350" s="8">
        <v>2021</v>
      </c>
      <c r="E350" s="14">
        <f>Data!V350</f>
        <v>13</v>
      </c>
    </row>
    <row r="351" spans="2:5" ht="15" customHeight="1" x14ac:dyDescent="0.3">
      <c r="C351" s="56"/>
      <c r="D351" s="8">
        <v>2022</v>
      </c>
      <c r="E351" s="14">
        <f>Data!V351</f>
        <v>16</v>
      </c>
    </row>
    <row r="352" spans="2:5" ht="15" customHeight="1" x14ac:dyDescent="0.3">
      <c r="C352" s="56"/>
      <c r="D352" s="8">
        <v>2023</v>
      </c>
      <c r="E352" s="14">
        <f>Data!V352</f>
        <v>16</v>
      </c>
    </row>
    <row r="353" spans="2:5" ht="15" customHeight="1" x14ac:dyDescent="0.3">
      <c r="C353" s="56"/>
      <c r="D353" s="8">
        <v>2024</v>
      </c>
      <c r="E353" s="14">
        <f>Data!V353</f>
        <v>16</v>
      </c>
    </row>
    <row r="354" spans="2:5" ht="15" customHeight="1" x14ac:dyDescent="0.3">
      <c r="B354" s="8">
        <v>33</v>
      </c>
      <c r="C354" s="56" t="s">
        <v>30</v>
      </c>
      <c r="D354" s="8">
        <v>2014</v>
      </c>
      <c r="E354" s="14">
        <f>Data!V354</f>
        <v>0</v>
      </c>
    </row>
    <row r="355" spans="2:5" ht="15" customHeight="1" x14ac:dyDescent="0.3">
      <c r="C355" s="56"/>
      <c r="D355" s="8">
        <v>2015</v>
      </c>
      <c r="E355" s="14">
        <f>Data!V355</f>
        <v>0</v>
      </c>
    </row>
    <row r="356" spans="2:5" ht="15" customHeight="1" x14ac:dyDescent="0.3">
      <c r="C356" s="56"/>
      <c r="D356" s="8">
        <v>2016</v>
      </c>
      <c r="E356" s="14">
        <f>Data!V356</f>
        <v>0</v>
      </c>
    </row>
    <row r="357" spans="2:5" ht="15" customHeight="1" x14ac:dyDescent="0.3">
      <c r="C357" s="56"/>
      <c r="D357" s="8">
        <v>2017</v>
      </c>
      <c r="E357" s="14">
        <f>Data!V357</f>
        <v>4</v>
      </c>
    </row>
    <row r="358" spans="2:5" ht="15" customHeight="1" x14ac:dyDescent="0.3">
      <c r="C358" s="56"/>
      <c r="D358" s="8">
        <v>2018</v>
      </c>
      <c r="E358" s="14">
        <f>Data!V358</f>
        <v>5</v>
      </c>
    </row>
    <row r="359" spans="2:5" ht="15" customHeight="1" x14ac:dyDescent="0.3">
      <c r="C359" s="56"/>
      <c r="D359" s="8">
        <v>2019</v>
      </c>
      <c r="E359" s="14">
        <f>Data!V359</f>
        <v>5</v>
      </c>
    </row>
    <row r="360" spans="2:5" ht="15" customHeight="1" x14ac:dyDescent="0.3">
      <c r="C360" s="56"/>
      <c r="D360" s="8">
        <v>2020</v>
      </c>
      <c r="E360" s="14">
        <f>Data!V360</f>
        <v>5</v>
      </c>
    </row>
    <row r="361" spans="2:5" ht="15" customHeight="1" x14ac:dyDescent="0.3">
      <c r="C361" s="56"/>
      <c r="D361" s="8">
        <v>2021</v>
      </c>
      <c r="E361" s="14">
        <f>Data!V361</f>
        <v>5</v>
      </c>
    </row>
    <row r="362" spans="2:5" ht="15" customHeight="1" x14ac:dyDescent="0.3">
      <c r="C362" s="56"/>
      <c r="D362" s="8">
        <v>2022</v>
      </c>
      <c r="E362" s="14">
        <f>Data!V362</f>
        <v>5</v>
      </c>
    </row>
    <row r="363" spans="2:5" ht="15" customHeight="1" x14ac:dyDescent="0.3">
      <c r="C363" s="56"/>
      <c r="D363" s="8">
        <v>2023</v>
      </c>
      <c r="E363" s="14">
        <f>Data!V363</f>
        <v>5</v>
      </c>
    </row>
    <row r="364" spans="2:5" ht="15" customHeight="1" x14ac:dyDescent="0.3">
      <c r="C364" s="56"/>
      <c r="D364" s="8">
        <v>2024</v>
      </c>
      <c r="E364" s="14">
        <f>Data!V364</f>
        <v>5</v>
      </c>
    </row>
    <row r="365" spans="2:5" ht="15" customHeight="1" x14ac:dyDescent="0.3">
      <c r="B365" s="8">
        <v>34</v>
      </c>
      <c r="C365" s="56" t="s">
        <v>9</v>
      </c>
      <c r="D365" s="8">
        <v>2014</v>
      </c>
      <c r="E365" s="14">
        <f>Data!V365</f>
        <v>0</v>
      </c>
    </row>
    <row r="366" spans="2:5" ht="15" customHeight="1" x14ac:dyDescent="0.3">
      <c r="C366" s="56"/>
      <c r="D366" s="8">
        <v>2015</v>
      </c>
      <c r="E366" s="14">
        <f>Data!V366</f>
        <v>13</v>
      </c>
    </row>
    <row r="367" spans="2:5" ht="15" customHeight="1" x14ac:dyDescent="0.3">
      <c r="C367" s="56"/>
      <c r="D367" s="8">
        <v>2016</v>
      </c>
      <c r="E367" s="14">
        <f>Data!V367</f>
        <v>13</v>
      </c>
    </row>
    <row r="368" spans="2:5" ht="15" customHeight="1" x14ac:dyDescent="0.3">
      <c r="C368" s="56"/>
      <c r="D368" s="8">
        <v>2017</v>
      </c>
      <c r="E368" s="14">
        <f>Data!V368</f>
        <v>13</v>
      </c>
    </row>
    <row r="369" spans="2:5" ht="15" customHeight="1" x14ac:dyDescent="0.3">
      <c r="C369" s="56"/>
      <c r="D369" s="8">
        <v>2018</v>
      </c>
      <c r="E369" s="14">
        <f>Data!V369</f>
        <v>16</v>
      </c>
    </row>
    <row r="370" spans="2:5" ht="15" customHeight="1" x14ac:dyDescent="0.3">
      <c r="C370" s="56"/>
      <c r="D370" s="8">
        <v>2019</v>
      </c>
      <c r="E370" s="14">
        <f>Data!V370</f>
        <v>16</v>
      </c>
    </row>
    <row r="371" spans="2:5" ht="15" customHeight="1" x14ac:dyDescent="0.3">
      <c r="C371" s="56"/>
      <c r="D371" s="8">
        <v>2020</v>
      </c>
      <c r="E371" s="14">
        <f>Data!V371</f>
        <v>16</v>
      </c>
    </row>
    <row r="372" spans="2:5" ht="15" customHeight="1" x14ac:dyDescent="0.3">
      <c r="C372" s="56"/>
      <c r="D372" s="8">
        <v>2021</v>
      </c>
      <c r="E372" s="14">
        <f>Data!V372</f>
        <v>17</v>
      </c>
    </row>
    <row r="373" spans="2:5" ht="15" customHeight="1" x14ac:dyDescent="0.3">
      <c r="C373" s="56"/>
      <c r="D373" s="8">
        <v>2022</v>
      </c>
      <c r="E373" s="14">
        <f>Data!V373</f>
        <v>0</v>
      </c>
    </row>
    <row r="374" spans="2:5" ht="15" customHeight="1" x14ac:dyDescent="0.3">
      <c r="C374" s="56"/>
      <c r="D374" s="8">
        <v>2023</v>
      </c>
      <c r="E374" s="14">
        <f>Data!V374</f>
        <v>0</v>
      </c>
    </row>
    <row r="375" spans="2:5" ht="15" customHeight="1" x14ac:dyDescent="0.3">
      <c r="C375" s="56"/>
      <c r="D375" s="8">
        <v>2024</v>
      </c>
      <c r="E375" s="14">
        <f>Data!V375</f>
        <v>10</v>
      </c>
    </row>
    <row r="376" spans="2:5" ht="15" customHeight="1" x14ac:dyDescent="0.3">
      <c r="B376" s="8">
        <v>35</v>
      </c>
      <c r="C376" s="56" t="s">
        <v>31</v>
      </c>
      <c r="D376" s="8">
        <v>2014</v>
      </c>
      <c r="E376" s="14">
        <f>Data!V376</f>
        <v>0</v>
      </c>
    </row>
    <row r="377" spans="2:5" ht="15" customHeight="1" x14ac:dyDescent="0.3">
      <c r="C377" s="56"/>
      <c r="D377" s="8">
        <v>2015</v>
      </c>
      <c r="E377" s="14">
        <f>Data!V377</f>
        <v>0</v>
      </c>
    </row>
    <row r="378" spans="2:5" ht="15" customHeight="1" x14ac:dyDescent="0.3">
      <c r="C378" s="56"/>
      <c r="D378" s="8">
        <v>2016</v>
      </c>
      <c r="E378" s="14">
        <f>Data!V378</f>
        <v>0</v>
      </c>
    </row>
    <row r="379" spans="2:5" ht="15" customHeight="1" x14ac:dyDescent="0.3">
      <c r="C379" s="56"/>
      <c r="D379" s="8">
        <v>2017</v>
      </c>
      <c r="E379" s="14">
        <f>Data!V379</f>
        <v>0</v>
      </c>
    </row>
    <row r="380" spans="2:5" ht="15" customHeight="1" x14ac:dyDescent="0.3">
      <c r="C380" s="56"/>
      <c r="D380" s="8">
        <v>2018</v>
      </c>
      <c r="E380" s="14">
        <f>Data!V380</f>
        <v>0</v>
      </c>
    </row>
    <row r="381" spans="2:5" ht="15" customHeight="1" x14ac:dyDescent="0.3">
      <c r="C381" s="56"/>
      <c r="D381" s="8">
        <v>2019</v>
      </c>
      <c r="E381" s="14">
        <f>Data!V381</f>
        <v>0</v>
      </c>
    </row>
    <row r="382" spans="2:5" ht="15" customHeight="1" x14ac:dyDescent="0.3">
      <c r="C382" s="56"/>
      <c r="D382" s="8">
        <v>2020</v>
      </c>
      <c r="E382" s="14">
        <f>Data!V382</f>
        <v>0</v>
      </c>
    </row>
    <row r="383" spans="2:5" ht="15" customHeight="1" x14ac:dyDescent="0.3">
      <c r="C383" s="56"/>
      <c r="D383" s="8">
        <v>2021</v>
      </c>
      <c r="E383" s="14">
        <f>Data!V383</f>
        <v>0</v>
      </c>
    </row>
    <row r="384" spans="2:5" ht="15" customHeight="1" x14ac:dyDescent="0.3">
      <c r="C384" s="56"/>
      <c r="D384" s="8">
        <v>2022</v>
      </c>
      <c r="E384" s="14">
        <f>Data!V384</f>
        <v>0</v>
      </c>
    </row>
    <row r="385" spans="2:5" ht="15" customHeight="1" x14ac:dyDescent="0.3">
      <c r="C385" s="56"/>
      <c r="D385" s="8">
        <v>2023</v>
      </c>
      <c r="E385" s="14">
        <f>Data!V385</f>
        <v>0</v>
      </c>
    </row>
    <row r="386" spans="2:5" ht="15" customHeight="1" x14ac:dyDescent="0.3">
      <c r="C386" s="56"/>
      <c r="D386" s="8">
        <v>2024</v>
      </c>
      <c r="E386" s="14">
        <f>Data!V386</f>
        <v>0</v>
      </c>
    </row>
    <row r="387" spans="2:5" ht="15" customHeight="1" x14ac:dyDescent="0.3">
      <c r="B387" s="8">
        <v>36</v>
      </c>
      <c r="C387" s="57" t="s">
        <v>54</v>
      </c>
      <c r="D387" s="8">
        <v>2014</v>
      </c>
      <c r="E387" s="14">
        <f>Data!V387</f>
        <v>0</v>
      </c>
    </row>
    <row r="388" spans="2:5" ht="15" customHeight="1" x14ac:dyDescent="0.3">
      <c r="C388" s="57"/>
      <c r="D388" s="8">
        <v>2015</v>
      </c>
      <c r="E388" s="14">
        <f>Data!V388</f>
        <v>0</v>
      </c>
    </row>
    <row r="389" spans="2:5" ht="15" customHeight="1" x14ac:dyDescent="0.3">
      <c r="C389" s="57"/>
      <c r="D389" s="8">
        <v>2016</v>
      </c>
      <c r="E389" s="14">
        <f>Data!V389</f>
        <v>0</v>
      </c>
    </row>
    <row r="390" spans="2:5" ht="15" customHeight="1" x14ac:dyDescent="0.3">
      <c r="C390" s="57"/>
      <c r="D390" s="8">
        <v>2017</v>
      </c>
      <c r="E390" s="14">
        <f>Data!V390</f>
        <v>5</v>
      </c>
    </row>
    <row r="391" spans="2:5" ht="15" customHeight="1" x14ac:dyDescent="0.3">
      <c r="C391" s="57"/>
      <c r="D391" s="8">
        <v>2018</v>
      </c>
      <c r="E391" s="14">
        <f>Data!V391</f>
        <v>5</v>
      </c>
    </row>
    <row r="392" spans="2:5" ht="15" customHeight="1" x14ac:dyDescent="0.3">
      <c r="C392" s="57"/>
      <c r="D392" s="8">
        <v>2019</v>
      </c>
      <c r="E392" s="14">
        <f>Data!V392</f>
        <v>5</v>
      </c>
    </row>
    <row r="393" spans="2:5" ht="15" customHeight="1" x14ac:dyDescent="0.3">
      <c r="C393" s="57"/>
      <c r="D393" s="8">
        <v>2020</v>
      </c>
      <c r="E393" s="14">
        <f>Data!V393</f>
        <v>5</v>
      </c>
    </row>
    <row r="394" spans="2:5" ht="15" customHeight="1" x14ac:dyDescent="0.3">
      <c r="C394" s="57"/>
      <c r="D394" s="8">
        <v>2021</v>
      </c>
      <c r="E394" s="14">
        <f>Data!V394</f>
        <v>5</v>
      </c>
    </row>
    <row r="395" spans="2:5" ht="15" customHeight="1" x14ac:dyDescent="0.3">
      <c r="C395" s="57"/>
      <c r="D395" s="8">
        <v>2022</v>
      </c>
      <c r="E395" s="14">
        <f>Data!V395</f>
        <v>7</v>
      </c>
    </row>
    <row r="396" spans="2:5" ht="15" customHeight="1" x14ac:dyDescent="0.3">
      <c r="C396" s="57"/>
      <c r="D396" s="8">
        <v>2023</v>
      </c>
      <c r="E396" s="14">
        <f>Data!V396</f>
        <v>7</v>
      </c>
    </row>
    <row r="397" spans="2:5" ht="15" customHeight="1" x14ac:dyDescent="0.3">
      <c r="C397" s="57"/>
      <c r="D397" s="8">
        <v>2024</v>
      </c>
      <c r="E397" s="14">
        <f>Data!V397</f>
        <v>0</v>
      </c>
    </row>
    <row r="398" spans="2:5" ht="15" customHeight="1" x14ac:dyDescent="0.3">
      <c r="B398" s="8">
        <v>37</v>
      </c>
      <c r="C398" s="56" t="s">
        <v>10</v>
      </c>
      <c r="D398" s="8">
        <v>2014</v>
      </c>
      <c r="E398" s="14">
        <f>Data!V398</f>
        <v>0</v>
      </c>
    </row>
    <row r="399" spans="2:5" ht="15" customHeight="1" x14ac:dyDescent="0.3">
      <c r="C399" s="56"/>
      <c r="D399" s="8">
        <v>2015</v>
      </c>
      <c r="E399" s="14">
        <f>Data!V399</f>
        <v>0</v>
      </c>
    </row>
    <row r="400" spans="2:5" ht="15" customHeight="1" x14ac:dyDescent="0.3">
      <c r="C400" s="56"/>
      <c r="D400" s="8">
        <v>2016</v>
      </c>
      <c r="E400" s="14">
        <f>Data!V400</f>
        <v>0</v>
      </c>
    </row>
    <row r="401" spans="2:5" ht="15" customHeight="1" x14ac:dyDescent="0.3">
      <c r="C401" s="56"/>
      <c r="D401" s="8">
        <v>2017</v>
      </c>
      <c r="E401" s="14">
        <f>Data!V401</f>
        <v>0</v>
      </c>
    </row>
    <row r="402" spans="2:5" ht="15" customHeight="1" x14ac:dyDescent="0.3">
      <c r="C402" s="56"/>
      <c r="D402" s="8">
        <v>2018</v>
      </c>
      <c r="E402" s="14">
        <f>Data!V402</f>
        <v>0</v>
      </c>
    </row>
    <row r="403" spans="2:5" ht="15" customHeight="1" x14ac:dyDescent="0.3">
      <c r="C403" s="56"/>
      <c r="D403" s="8">
        <v>2019</v>
      </c>
      <c r="E403" s="14">
        <f>Data!V403</f>
        <v>0</v>
      </c>
    </row>
    <row r="404" spans="2:5" ht="15" customHeight="1" x14ac:dyDescent="0.3">
      <c r="C404" s="56"/>
      <c r="D404" s="8">
        <v>2020</v>
      </c>
      <c r="E404" s="14">
        <f>Data!V404</f>
        <v>0</v>
      </c>
    </row>
    <row r="405" spans="2:5" ht="15" customHeight="1" x14ac:dyDescent="0.3">
      <c r="C405" s="56"/>
      <c r="D405" s="8">
        <v>2021</v>
      </c>
      <c r="E405" s="14">
        <f>Data!V405</f>
        <v>0</v>
      </c>
    </row>
    <row r="406" spans="2:5" ht="15" customHeight="1" x14ac:dyDescent="0.3">
      <c r="C406" s="56"/>
      <c r="D406" s="8">
        <v>2022</v>
      </c>
      <c r="E406" s="14">
        <f>Data!V406</f>
        <v>0</v>
      </c>
    </row>
    <row r="407" spans="2:5" ht="15" customHeight="1" x14ac:dyDescent="0.3">
      <c r="C407" s="56"/>
      <c r="D407" s="8">
        <v>2023</v>
      </c>
      <c r="E407" s="14">
        <f>Data!V407</f>
        <v>0</v>
      </c>
    </row>
    <row r="408" spans="2:5" ht="15" customHeight="1" x14ac:dyDescent="0.3">
      <c r="C408" s="56"/>
      <c r="D408" s="8">
        <v>2024</v>
      </c>
      <c r="E408" s="14">
        <f>Data!V408</f>
        <v>0</v>
      </c>
    </row>
    <row r="409" spans="2:5" ht="15" customHeight="1" x14ac:dyDescent="0.3">
      <c r="B409" s="8">
        <v>38</v>
      </c>
      <c r="C409" s="56" t="s">
        <v>32</v>
      </c>
      <c r="D409" s="8">
        <v>2014</v>
      </c>
      <c r="E409" s="14">
        <f>Data!V409</f>
        <v>0</v>
      </c>
    </row>
    <row r="410" spans="2:5" ht="15" customHeight="1" x14ac:dyDescent="0.3">
      <c r="C410" s="56"/>
      <c r="D410" s="8">
        <v>2015</v>
      </c>
      <c r="E410" s="14">
        <f>Data!V410</f>
        <v>0</v>
      </c>
    </row>
    <row r="411" spans="2:5" ht="15" customHeight="1" x14ac:dyDescent="0.3">
      <c r="C411" s="56"/>
      <c r="D411" s="8">
        <v>2016</v>
      </c>
      <c r="E411" s="14">
        <f>Data!V411</f>
        <v>0</v>
      </c>
    </row>
    <row r="412" spans="2:5" ht="15" customHeight="1" x14ac:dyDescent="0.3">
      <c r="C412" s="56"/>
      <c r="D412" s="8">
        <v>2017</v>
      </c>
      <c r="E412" s="14">
        <f>Data!V412</f>
        <v>0</v>
      </c>
    </row>
    <row r="413" spans="2:5" ht="15" customHeight="1" x14ac:dyDescent="0.3">
      <c r="C413" s="56"/>
      <c r="D413" s="8">
        <v>2018</v>
      </c>
      <c r="E413" s="14">
        <f>Data!V413</f>
        <v>0</v>
      </c>
    </row>
    <row r="414" spans="2:5" ht="15" customHeight="1" x14ac:dyDescent="0.3">
      <c r="C414" s="56"/>
      <c r="D414" s="8">
        <v>2019</v>
      </c>
      <c r="E414" s="14">
        <f>Data!V414</f>
        <v>0</v>
      </c>
    </row>
    <row r="415" spans="2:5" ht="15" customHeight="1" x14ac:dyDescent="0.3">
      <c r="C415" s="56"/>
      <c r="D415" s="8">
        <v>2020</v>
      </c>
      <c r="E415" s="14">
        <f>Data!V415</f>
        <v>0</v>
      </c>
    </row>
    <row r="416" spans="2:5" ht="15" customHeight="1" x14ac:dyDescent="0.3">
      <c r="C416" s="56"/>
      <c r="D416" s="8">
        <v>2021</v>
      </c>
      <c r="E416" s="14">
        <f>Data!V416</f>
        <v>0</v>
      </c>
    </row>
    <row r="417" spans="2:5" ht="15" customHeight="1" x14ac:dyDescent="0.3">
      <c r="C417" s="56"/>
      <c r="D417" s="8">
        <v>2022</v>
      </c>
      <c r="E417" s="14">
        <f>Data!V417</f>
        <v>0</v>
      </c>
    </row>
    <row r="418" spans="2:5" ht="15" customHeight="1" x14ac:dyDescent="0.3">
      <c r="C418" s="56"/>
      <c r="D418" s="8">
        <v>2023</v>
      </c>
      <c r="E418" s="14">
        <f>Data!V418</f>
        <v>0</v>
      </c>
    </row>
    <row r="419" spans="2:5" ht="15" customHeight="1" x14ac:dyDescent="0.3">
      <c r="C419" s="56"/>
      <c r="D419" s="8">
        <v>2024</v>
      </c>
      <c r="E419" s="14">
        <f>Data!V419</f>
        <v>0</v>
      </c>
    </row>
    <row r="420" spans="2:5" ht="15" customHeight="1" x14ac:dyDescent="0.3">
      <c r="B420" s="8">
        <v>39</v>
      </c>
      <c r="C420" s="56" t="s">
        <v>33</v>
      </c>
      <c r="D420" s="8">
        <v>2014</v>
      </c>
      <c r="E420" s="14">
        <f>Data!V420</f>
        <v>0</v>
      </c>
    </row>
    <row r="421" spans="2:5" ht="15" customHeight="1" x14ac:dyDescent="0.3">
      <c r="C421" s="56"/>
      <c r="D421" s="8">
        <v>2015</v>
      </c>
      <c r="E421" s="14">
        <f>Data!V421</f>
        <v>0</v>
      </c>
    </row>
    <row r="422" spans="2:5" ht="15" customHeight="1" x14ac:dyDescent="0.3">
      <c r="C422" s="56"/>
      <c r="D422" s="8">
        <v>2016</v>
      </c>
      <c r="E422" s="14">
        <f>Data!V422</f>
        <v>0</v>
      </c>
    </row>
    <row r="423" spans="2:5" ht="15" customHeight="1" x14ac:dyDescent="0.3">
      <c r="C423" s="56"/>
      <c r="D423" s="8">
        <v>2017</v>
      </c>
      <c r="E423" s="14">
        <f>Data!V423</f>
        <v>0</v>
      </c>
    </row>
    <row r="424" spans="2:5" ht="15" customHeight="1" x14ac:dyDescent="0.3">
      <c r="C424" s="56"/>
      <c r="D424" s="8">
        <v>2018</v>
      </c>
      <c r="E424" s="14">
        <f>Data!V424</f>
        <v>0</v>
      </c>
    </row>
    <row r="425" spans="2:5" ht="15" customHeight="1" x14ac:dyDescent="0.3">
      <c r="C425" s="56"/>
      <c r="D425" s="8">
        <v>2019</v>
      </c>
      <c r="E425" s="14">
        <f>Data!V425</f>
        <v>0</v>
      </c>
    </row>
    <row r="426" spans="2:5" ht="15" customHeight="1" x14ac:dyDescent="0.3">
      <c r="C426" s="56"/>
      <c r="D426" s="8">
        <v>2020</v>
      </c>
      <c r="E426" s="14">
        <f>Data!V426</f>
        <v>0</v>
      </c>
    </row>
    <row r="427" spans="2:5" ht="15" customHeight="1" x14ac:dyDescent="0.3">
      <c r="C427" s="56"/>
      <c r="D427" s="8">
        <v>2021</v>
      </c>
      <c r="E427" s="14">
        <f>Data!V427</f>
        <v>0</v>
      </c>
    </row>
    <row r="428" spans="2:5" ht="15" customHeight="1" x14ac:dyDescent="0.3">
      <c r="C428" s="56"/>
      <c r="D428" s="8">
        <v>2022</v>
      </c>
      <c r="E428" s="14">
        <f>Data!V428</f>
        <v>0</v>
      </c>
    </row>
    <row r="429" spans="2:5" ht="15" customHeight="1" x14ac:dyDescent="0.3">
      <c r="C429" s="56"/>
      <c r="D429" s="8">
        <v>2023</v>
      </c>
      <c r="E429" s="14">
        <f>Data!V429</f>
        <v>0</v>
      </c>
    </row>
    <row r="430" spans="2:5" ht="15" customHeight="1" x14ac:dyDescent="0.3">
      <c r="C430" s="56"/>
      <c r="D430" s="8">
        <v>2024</v>
      </c>
      <c r="E430" s="14">
        <f>Data!V430</f>
        <v>0</v>
      </c>
    </row>
    <row r="431" spans="2:5" ht="15" customHeight="1" x14ac:dyDescent="0.3">
      <c r="B431" s="8">
        <v>40</v>
      </c>
      <c r="C431" s="56" t="s">
        <v>12</v>
      </c>
      <c r="D431" s="8">
        <v>2014</v>
      </c>
      <c r="E431" s="14">
        <f>Data!V431</f>
        <v>0</v>
      </c>
    </row>
    <row r="432" spans="2:5" ht="15" customHeight="1" x14ac:dyDescent="0.3">
      <c r="C432" s="56"/>
      <c r="D432" s="8">
        <v>2015</v>
      </c>
      <c r="E432" s="14">
        <f>Data!V432</f>
        <v>0</v>
      </c>
    </row>
    <row r="433" spans="2:5" ht="15" customHeight="1" x14ac:dyDescent="0.3">
      <c r="C433" s="56"/>
      <c r="D433" s="8">
        <v>2016</v>
      </c>
      <c r="E433" s="14">
        <f>Data!V433</f>
        <v>0</v>
      </c>
    </row>
    <row r="434" spans="2:5" ht="15" customHeight="1" x14ac:dyDescent="0.3">
      <c r="C434" s="56"/>
      <c r="D434" s="8">
        <v>2017</v>
      </c>
      <c r="E434" s="14">
        <f>Data!V434</f>
        <v>0</v>
      </c>
    </row>
    <row r="435" spans="2:5" ht="15" customHeight="1" x14ac:dyDescent="0.3">
      <c r="C435" s="56"/>
      <c r="D435" s="8">
        <v>2018</v>
      </c>
      <c r="E435" s="14">
        <f>Data!V435</f>
        <v>0</v>
      </c>
    </row>
    <row r="436" spans="2:5" ht="15" customHeight="1" x14ac:dyDescent="0.3">
      <c r="C436" s="56"/>
      <c r="D436" s="8">
        <v>2019</v>
      </c>
      <c r="E436" s="14">
        <f>Data!V436</f>
        <v>0</v>
      </c>
    </row>
    <row r="437" spans="2:5" ht="15" customHeight="1" x14ac:dyDescent="0.3">
      <c r="C437" s="56"/>
      <c r="D437" s="8">
        <v>2020</v>
      </c>
      <c r="E437" s="14">
        <f>Data!V437</f>
        <v>0</v>
      </c>
    </row>
    <row r="438" spans="2:5" ht="15" customHeight="1" x14ac:dyDescent="0.3">
      <c r="C438" s="56"/>
      <c r="D438" s="8">
        <v>2021</v>
      </c>
      <c r="E438" s="14">
        <f>Data!V438</f>
        <v>0</v>
      </c>
    </row>
    <row r="439" spans="2:5" ht="15" customHeight="1" x14ac:dyDescent="0.3">
      <c r="C439" s="56"/>
      <c r="D439" s="8">
        <v>2022</v>
      </c>
      <c r="E439" s="14">
        <f>Data!V439</f>
        <v>0</v>
      </c>
    </row>
    <row r="440" spans="2:5" ht="15" customHeight="1" x14ac:dyDescent="0.3">
      <c r="C440" s="56"/>
      <c r="D440" s="8">
        <v>2023</v>
      </c>
      <c r="E440" s="14">
        <f>Data!V440</f>
        <v>0</v>
      </c>
    </row>
    <row r="441" spans="2:5" ht="15" customHeight="1" x14ac:dyDescent="0.3">
      <c r="C441" s="56"/>
      <c r="D441" s="8">
        <v>2024</v>
      </c>
      <c r="E441" s="14">
        <f>Data!V441</f>
        <v>0</v>
      </c>
    </row>
    <row r="442" spans="2:5" ht="15" customHeight="1" x14ac:dyDescent="0.3">
      <c r="B442" s="8">
        <v>41</v>
      </c>
      <c r="C442" s="56" t="s">
        <v>34</v>
      </c>
      <c r="D442" s="8">
        <v>2014</v>
      </c>
      <c r="E442" s="14">
        <f>Data!V442</f>
        <v>0</v>
      </c>
    </row>
    <row r="443" spans="2:5" ht="15" customHeight="1" x14ac:dyDescent="0.3">
      <c r="C443" s="56"/>
      <c r="D443" s="8">
        <v>2015</v>
      </c>
      <c r="E443" s="14">
        <f>Data!V443</f>
        <v>0</v>
      </c>
    </row>
    <row r="444" spans="2:5" ht="15" customHeight="1" x14ac:dyDescent="0.3">
      <c r="C444" s="56"/>
      <c r="D444" s="8">
        <v>2016</v>
      </c>
      <c r="E444" s="14">
        <f>Data!V444</f>
        <v>0</v>
      </c>
    </row>
    <row r="445" spans="2:5" ht="15" customHeight="1" x14ac:dyDescent="0.3">
      <c r="C445" s="56"/>
      <c r="D445" s="8">
        <v>2017</v>
      </c>
      <c r="E445" s="14">
        <f>Data!V445</f>
        <v>0</v>
      </c>
    </row>
    <row r="446" spans="2:5" ht="15" customHeight="1" x14ac:dyDescent="0.3">
      <c r="C446" s="56"/>
      <c r="D446" s="8">
        <v>2018</v>
      </c>
      <c r="E446" s="14">
        <f>Data!V446</f>
        <v>0</v>
      </c>
    </row>
    <row r="447" spans="2:5" ht="15" customHeight="1" x14ac:dyDescent="0.3">
      <c r="C447" s="56"/>
      <c r="D447" s="8">
        <v>2019</v>
      </c>
      <c r="E447" s="14">
        <f>Data!V447</f>
        <v>0</v>
      </c>
    </row>
    <row r="448" spans="2:5" ht="15" customHeight="1" x14ac:dyDescent="0.3">
      <c r="C448" s="56"/>
      <c r="D448" s="8">
        <v>2020</v>
      </c>
      <c r="E448" s="14">
        <f>Data!V448</f>
        <v>0</v>
      </c>
    </row>
    <row r="449" spans="2:5" ht="15" customHeight="1" x14ac:dyDescent="0.3">
      <c r="C449" s="56"/>
      <c r="D449" s="8">
        <v>2021</v>
      </c>
      <c r="E449" s="14">
        <f>Data!V449</f>
        <v>0</v>
      </c>
    </row>
    <row r="450" spans="2:5" ht="15" customHeight="1" x14ac:dyDescent="0.3">
      <c r="C450" s="56"/>
      <c r="D450" s="8">
        <v>2022</v>
      </c>
      <c r="E450" s="14">
        <f>Data!V450</f>
        <v>0</v>
      </c>
    </row>
    <row r="451" spans="2:5" ht="15" customHeight="1" x14ac:dyDescent="0.3">
      <c r="C451" s="56"/>
      <c r="D451" s="8">
        <v>2023</v>
      </c>
      <c r="E451" s="14">
        <f>Data!V451</f>
        <v>0</v>
      </c>
    </row>
    <row r="452" spans="2:5" ht="15" customHeight="1" x14ac:dyDescent="0.3">
      <c r="C452" s="56"/>
      <c r="D452" s="8">
        <v>2024</v>
      </c>
      <c r="E452" s="14">
        <f>Data!V452</f>
        <v>0</v>
      </c>
    </row>
    <row r="453" spans="2:5" ht="15" customHeight="1" x14ac:dyDescent="0.3">
      <c r="B453" s="8">
        <v>42</v>
      </c>
      <c r="C453" s="56" t="s">
        <v>14</v>
      </c>
      <c r="D453" s="8">
        <v>2014</v>
      </c>
      <c r="E453" s="14">
        <f>Data!V453</f>
        <v>0</v>
      </c>
    </row>
    <row r="454" spans="2:5" ht="15" customHeight="1" x14ac:dyDescent="0.3">
      <c r="C454" s="56"/>
      <c r="D454" s="8">
        <v>2015</v>
      </c>
      <c r="E454" s="14">
        <f>Data!V454</f>
        <v>11</v>
      </c>
    </row>
    <row r="455" spans="2:5" ht="15" customHeight="1" x14ac:dyDescent="0.3">
      <c r="C455" s="56"/>
      <c r="D455" s="8">
        <v>2016</v>
      </c>
      <c r="E455" s="14">
        <f>Data!V455</f>
        <v>6</v>
      </c>
    </row>
    <row r="456" spans="2:5" ht="15" customHeight="1" x14ac:dyDescent="0.3">
      <c r="C456" s="56"/>
      <c r="D456" s="8">
        <v>2017</v>
      </c>
      <c r="E456" s="14">
        <f>Data!V456</f>
        <v>5</v>
      </c>
    </row>
    <row r="457" spans="2:5" ht="15" customHeight="1" x14ac:dyDescent="0.3">
      <c r="C457" s="56"/>
      <c r="D457" s="8">
        <v>2018</v>
      </c>
      <c r="E457" s="14">
        <f>Data!V457</f>
        <v>6</v>
      </c>
    </row>
    <row r="458" spans="2:5" ht="15" customHeight="1" x14ac:dyDescent="0.3">
      <c r="C458" s="56"/>
      <c r="D458" s="8">
        <v>2019</v>
      </c>
      <c r="E458" s="14">
        <f>Data!V458</f>
        <v>6</v>
      </c>
    </row>
    <row r="459" spans="2:5" ht="15" customHeight="1" x14ac:dyDescent="0.3">
      <c r="C459" s="56"/>
      <c r="D459" s="8">
        <v>2020</v>
      </c>
      <c r="E459" s="14">
        <f>Data!V459</f>
        <v>6</v>
      </c>
    </row>
    <row r="460" spans="2:5" ht="15" customHeight="1" x14ac:dyDescent="0.3">
      <c r="C460" s="56"/>
      <c r="D460" s="8">
        <v>2021</v>
      </c>
      <c r="E460" s="14">
        <f>Data!V460</f>
        <v>8</v>
      </c>
    </row>
    <row r="461" spans="2:5" ht="15" customHeight="1" x14ac:dyDescent="0.3">
      <c r="C461" s="56"/>
      <c r="D461" s="8">
        <v>2022</v>
      </c>
      <c r="E461" s="14">
        <f>Data!V461</f>
        <v>8</v>
      </c>
    </row>
    <row r="462" spans="2:5" ht="15" customHeight="1" x14ac:dyDescent="0.3">
      <c r="C462" s="56"/>
      <c r="D462" s="8">
        <v>2023</v>
      </c>
      <c r="E462" s="14">
        <f>Data!V462</f>
        <v>10</v>
      </c>
    </row>
    <row r="463" spans="2:5" ht="15" customHeight="1" x14ac:dyDescent="0.3">
      <c r="C463" s="56"/>
      <c r="D463" s="8">
        <v>2024</v>
      </c>
      <c r="E463" s="14">
        <f>Data!V463</f>
        <v>7</v>
      </c>
    </row>
    <row r="464" spans="2:5" ht="15" customHeight="1" x14ac:dyDescent="0.3">
      <c r="B464" s="8">
        <v>43</v>
      </c>
      <c r="C464" s="56" t="s">
        <v>15</v>
      </c>
      <c r="D464" s="8">
        <v>2014</v>
      </c>
      <c r="E464" s="14">
        <f>Data!V464</f>
        <v>0</v>
      </c>
    </row>
    <row r="465" spans="2:5" ht="15" customHeight="1" x14ac:dyDescent="0.3">
      <c r="C465" s="56"/>
      <c r="D465" s="8">
        <v>2015</v>
      </c>
      <c r="E465" s="14">
        <f>Data!V465</f>
        <v>0</v>
      </c>
    </row>
    <row r="466" spans="2:5" ht="15" customHeight="1" x14ac:dyDescent="0.3">
      <c r="C466" s="56"/>
      <c r="D466" s="8">
        <v>2016</v>
      </c>
      <c r="E466" s="14">
        <f>Data!V466</f>
        <v>0</v>
      </c>
    </row>
    <row r="467" spans="2:5" ht="15" customHeight="1" x14ac:dyDescent="0.3">
      <c r="C467" s="56"/>
      <c r="D467" s="8">
        <v>2017</v>
      </c>
      <c r="E467" s="14">
        <f>Data!V467</f>
        <v>0</v>
      </c>
    </row>
    <row r="468" spans="2:5" ht="15" customHeight="1" x14ac:dyDescent="0.3">
      <c r="C468" s="56"/>
      <c r="D468" s="8">
        <v>2018</v>
      </c>
      <c r="E468" s="14">
        <f>Data!V468</f>
        <v>0</v>
      </c>
    </row>
    <row r="469" spans="2:5" ht="15" customHeight="1" x14ac:dyDescent="0.3">
      <c r="C469" s="56"/>
      <c r="D469" s="8">
        <v>2019</v>
      </c>
      <c r="E469" s="14">
        <f>Data!V469</f>
        <v>0</v>
      </c>
    </row>
    <row r="470" spans="2:5" ht="15" customHeight="1" x14ac:dyDescent="0.3">
      <c r="C470" s="56"/>
      <c r="D470" s="8">
        <v>2020</v>
      </c>
      <c r="E470" s="14">
        <f>Data!V470</f>
        <v>0</v>
      </c>
    </row>
    <row r="471" spans="2:5" ht="15" customHeight="1" x14ac:dyDescent="0.3">
      <c r="C471" s="56"/>
      <c r="D471" s="8">
        <v>2021</v>
      </c>
      <c r="E471" s="14">
        <f>Data!V471</f>
        <v>0</v>
      </c>
    </row>
    <row r="472" spans="2:5" ht="15" customHeight="1" x14ac:dyDescent="0.3">
      <c r="C472" s="56"/>
      <c r="D472" s="8">
        <v>2022</v>
      </c>
      <c r="E472" s="14">
        <f>Data!V472</f>
        <v>9</v>
      </c>
    </row>
    <row r="473" spans="2:5" ht="15" customHeight="1" x14ac:dyDescent="0.3">
      <c r="C473" s="56"/>
      <c r="D473" s="8">
        <v>2023</v>
      </c>
      <c r="E473" s="14">
        <f>Data!V473</f>
        <v>9</v>
      </c>
    </row>
    <row r="474" spans="2:5" ht="15" customHeight="1" x14ac:dyDescent="0.3">
      <c r="C474" s="56"/>
      <c r="D474" s="8">
        <v>2024</v>
      </c>
      <c r="E474" s="14">
        <f>Data!V474</f>
        <v>9</v>
      </c>
    </row>
    <row r="475" spans="2:5" ht="15" customHeight="1" x14ac:dyDescent="0.3">
      <c r="B475" s="8">
        <v>44</v>
      </c>
      <c r="C475" s="56" t="s">
        <v>35</v>
      </c>
      <c r="D475" s="8">
        <v>2014</v>
      </c>
      <c r="E475" s="14">
        <f>Data!V475</f>
        <v>0</v>
      </c>
    </row>
    <row r="476" spans="2:5" ht="15" customHeight="1" x14ac:dyDescent="0.3">
      <c r="C476" s="56"/>
      <c r="D476" s="8">
        <v>2015</v>
      </c>
      <c r="E476" s="14">
        <f>Data!V476</f>
        <v>0</v>
      </c>
    </row>
    <row r="477" spans="2:5" ht="15" customHeight="1" x14ac:dyDescent="0.3">
      <c r="C477" s="56"/>
      <c r="D477" s="8">
        <v>2016</v>
      </c>
      <c r="E477" s="14">
        <f>Data!V477</f>
        <v>0</v>
      </c>
    </row>
    <row r="478" spans="2:5" ht="15" customHeight="1" x14ac:dyDescent="0.3">
      <c r="C478" s="56"/>
      <c r="D478" s="8">
        <v>2017</v>
      </c>
      <c r="E478" s="14">
        <f>Data!V478</f>
        <v>0</v>
      </c>
    </row>
    <row r="479" spans="2:5" ht="15" customHeight="1" x14ac:dyDescent="0.3">
      <c r="C479" s="56"/>
      <c r="D479" s="8">
        <v>2018</v>
      </c>
      <c r="E479" s="14">
        <f>Data!V479</f>
        <v>0</v>
      </c>
    </row>
    <row r="480" spans="2:5" ht="15" customHeight="1" x14ac:dyDescent="0.3">
      <c r="C480" s="56"/>
      <c r="D480" s="8">
        <v>2019</v>
      </c>
      <c r="E480" s="14">
        <f>Data!V480</f>
        <v>0</v>
      </c>
    </row>
    <row r="481" spans="2:5" ht="15" customHeight="1" x14ac:dyDescent="0.3">
      <c r="C481" s="56"/>
      <c r="D481" s="8">
        <v>2020</v>
      </c>
      <c r="E481" s="14">
        <f>Data!V481</f>
        <v>0</v>
      </c>
    </row>
    <row r="482" spans="2:5" ht="15" customHeight="1" x14ac:dyDescent="0.3">
      <c r="C482" s="56"/>
      <c r="D482" s="8">
        <v>2021</v>
      </c>
      <c r="E482" s="14">
        <f>Data!V482</f>
        <v>0</v>
      </c>
    </row>
    <row r="483" spans="2:5" ht="15" customHeight="1" x14ac:dyDescent="0.3">
      <c r="C483" s="56"/>
      <c r="D483" s="8">
        <v>2022</v>
      </c>
      <c r="E483" s="14">
        <f>Data!V483</f>
        <v>0</v>
      </c>
    </row>
    <row r="484" spans="2:5" ht="15" customHeight="1" x14ac:dyDescent="0.3">
      <c r="C484" s="56"/>
      <c r="D484" s="8">
        <v>2023</v>
      </c>
      <c r="E484" s="14">
        <f>Data!V484</f>
        <v>0</v>
      </c>
    </row>
    <row r="485" spans="2:5" ht="15" customHeight="1" x14ac:dyDescent="0.3">
      <c r="C485" s="56"/>
      <c r="D485" s="8">
        <v>2024</v>
      </c>
      <c r="E485" s="14">
        <f>Data!V485</f>
        <v>0</v>
      </c>
    </row>
    <row r="486" spans="2:5" ht="15" customHeight="1" x14ac:dyDescent="0.3">
      <c r="B486" s="8">
        <v>45</v>
      </c>
      <c r="C486" s="56" t="s">
        <v>36</v>
      </c>
      <c r="D486" s="8">
        <v>2014</v>
      </c>
      <c r="E486" s="14">
        <f>Data!V486</f>
        <v>0</v>
      </c>
    </row>
    <row r="487" spans="2:5" ht="15" customHeight="1" x14ac:dyDescent="0.3">
      <c r="C487" s="56"/>
      <c r="D487" s="8">
        <v>2015</v>
      </c>
      <c r="E487" s="14">
        <f>Data!V487</f>
        <v>0</v>
      </c>
    </row>
    <row r="488" spans="2:5" ht="15" customHeight="1" x14ac:dyDescent="0.3">
      <c r="C488" s="56"/>
      <c r="D488" s="8">
        <v>2016</v>
      </c>
      <c r="E488" s="14">
        <f>Data!V488</f>
        <v>0</v>
      </c>
    </row>
    <row r="489" spans="2:5" ht="15" customHeight="1" x14ac:dyDescent="0.3">
      <c r="C489" s="56"/>
      <c r="D489" s="8">
        <v>2017</v>
      </c>
      <c r="E489" s="14">
        <f>Data!V489</f>
        <v>0</v>
      </c>
    </row>
    <row r="490" spans="2:5" ht="15" customHeight="1" x14ac:dyDescent="0.3">
      <c r="C490" s="56"/>
      <c r="D490" s="8">
        <v>2018</v>
      </c>
      <c r="E490" s="14">
        <f>Data!V490</f>
        <v>0</v>
      </c>
    </row>
    <row r="491" spans="2:5" ht="15" customHeight="1" x14ac:dyDescent="0.3">
      <c r="C491" s="56"/>
      <c r="D491" s="8">
        <v>2019</v>
      </c>
      <c r="E491" s="14">
        <f>Data!V491</f>
        <v>0</v>
      </c>
    </row>
    <row r="492" spans="2:5" ht="15" customHeight="1" x14ac:dyDescent="0.3">
      <c r="C492" s="56"/>
      <c r="D492" s="8">
        <v>2020</v>
      </c>
      <c r="E492" s="14">
        <f>Data!V492</f>
        <v>0</v>
      </c>
    </row>
    <row r="493" spans="2:5" ht="15" customHeight="1" x14ac:dyDescent="0.3">
      <c r="C493" s="56"/>
      <c r="D493" s="8">
        <v>2021</v>
      </c>
      <c r="E493" s="14">
        <f>Data!V493</f>
        <v>0</v>
      </c>
    </row>
    <row r="494" spans="2:5" ht="15" customHeight="1" x14ac:dyDescent="0.3">
      <c r="C494" s="56"/>
      <c r="D494" s="8">
        <v>2022</v>
      </c>
      <c r="E494" s="14">
        <f>Data!V494</f>
        <v>0</v>
      </c>
    </row>
    <row r="495" spans="2:5" ht="15" customHeight="1" x14ac:dyDescent="0.3">
      <c r="C495" s="56"/>
      <c r="D495" s="8">
        <v>2023</v>
      </c>
      <c r="E495" s="14">
        <f>Data!V495</f>
        <v>0</v>
      </c>
    </row>
    <row r="496" spans="2:5" ht="15" customHeight="1" x14ac:dyDescent="0.3">
      <c r="C496" s="56"/>
      <c r="D496" s="8">
        <v>2024</v>
      </c>
      <c r="E496" s="14">
        <f>Data!V496</f>
        <v>0</v>
      </c>
    </row>
    <row r="497" spans="2:5" ht="15" customHeight="1" x14ac:dyDescent="0.3">
      <c r="B497" s="8">
        <v>46</v>
      </c>
      <c r="C497" s="56" t="s">
        <v>16</v>
      </c>
      <c r="D497" s="8">
        <v>2014</v>
      </c>
      <c r="E497" s="14">
        <f>Data!V497</f>
        <v>0</v>
      </c>
    </row>
    <row r="498" spans="2:5" ht="15" customHeight="1" x14ac:dyDescent="0.3">
      <c r="C498" s="56"/>
      <c r="D498" s="8">
        <v>2015</v>
      </c>
      <c r="E498" s="14">
        <f>Data!V498</f>
        <v>0</v>
      </c>
    </row>
    <row r="499" spans="2:5" ht="15" customHeight="1" x14ac:dyDescent="0.3">
      <c r="C499" s="56"/>
      <c r="D499" s="8">
        <v>2016</v>
      </c>
      <c r="E499" s="14">
        <f>Data!V499</f>
        <v>0</v>
      </c>
    </row>
    <row r="500" spans="2:5" ht="15" customHeight="1" x14ac:dyDescent="0.3">
      <c r="C500" s="56"/>
      <c r="D500" s="8">
        <v>2017</v>
      </c>
      <c r="E500" s="14">
        <f>Data!V500</f>
        <v>0</v>
      </c>
    </row>
    <row r="501" spans="2:5" ht="15" customHeight="1" x14ac:dyDescent="0.3">
      <c r="C501" s="56"/>
      <c r="D501" s="8">
        <v>2018</v>
      </c>
      <c r="E501" s="14">
        <f>Data!V501</f>
        <v>0</v>
      </c>
    </row>
    <row r="502" spans="2:5" ht="15" customHeight="1" x14ac:dyDescent="0.3">
      <c r="C502" s="56"/>
      <c r="D502" s="8">
        <v>2019</v>
      </c>
      <c r="E502" s="14">
        <f>Data!V502</f>
        <v>0</v>
      </c>
    </row>
    <row r="503" spans="2:5" ht="15" customHeight="1" x14ac:dyDescent="0.3">
      <c r="C503" s="56"/>
      <c r="D503" s="8">
        <v>2020</v>
      </c>
      <c r="E503" s="14">
        <f>Data!V503</f>
        <v>0</v>
      </c>
    </row>
    <row r="504" spans="2:5" ht="15" customHeight="1" x14ac:dyDescent="0.3">
      <c r="C504" s="56"/>
      <c r="D504" s="8">
        <v>2021</v>
      </c>
      <c r="E504" s="14">
        <f>Data!V504</f>
        <v>0</v>
      </c>
    </row>
    <row r="505" spans="2:5" ht="15" customHeight="1" x14ac:dyDescent="0.3">
      <c r="C505" s="56"/>
      <c r="D505" s="8">
        <v>2022</v>
      </c>
      <c r="E505" s="14">
        <f>Data!V505</f>
        <v>0</v>
      </c>
    </row>
    <row r="506" spans="2:5" ht="15" customHeight="1" x14ac:dyDescent="0.3">
      <c r="C506" s="56"/>
      <c r="D506" s="8">
        <v>2023</v>
      </c>
      <c r="E506" s="14">
        <f>Data!V506</f>
        <v>0</v>
      </c>
    </row>
    <row r="507" spans="2:5" ht="15" customHeight="1" x14ac:dyDescent="0.3">
      <c r="C507" s="56"/>
      <c r="D507" s="8">
        <v>2024</v>
      </c>
      <c r="E507" s="14">
        <f>Data!V507</f>
        <v>0</v>
      </c>
    </row>
    <row r="508" spans="2:5" ht="15" customHeight="1" x14ac:dyDescent="0.3">
      <c r="B508" s="8">
        <v>47</v>
      </c>
      <c r="C508" s="56" t="s">
        <v>17</v>
      </c>
      <c r="D508" s="8">
        <v>2014</v>
      </c>
      <c r="E508" s="14">
        <f>Data!V508</f>
        <v>0</v>
      </c>
    </row>
    <row r="509" spans="2:5" ht="15" customHeight="1" x14ac:dyDescent="0.3">
      <c r="C509" s="56"/>
      <c r="D509" s="8">
        <v>2015</v>
      </c>
      <c r="E509" s="14">
        <f>Data!V509</f>
        <v>0</v>
      </c>
    </row>
    <row r="510" spans="2:5" ht="15" customHeight="1" x14ac:dyDescent="0.3">
      <c r="C510" s="56"/>
      <c r="D510" s="8">
        <v>2016</v>
      </c>
      <c r="E510" s="14">
        <f>Data!V510</f>
        <v>0</v>
      </c>
    </row>
    <row r="511" spans="2:5" ht="15" customHeight="1" x14ac:dyDescent="0.3">
      <c r="C511" s="56"/>
      <c r="D511" s="8">
        <v>2017</v>
      </c>
      <c r="E511" s="14">
        <f>Data!V511</f>
        <v>0</v>
      </c>
    </row>
    <row r="512" spans="2:5" ht="15" customHeight="1" x14ac:dyDescent="0.3">
      <c r="C512" s="56"/>
      <c r="D512" s="8">
        <v>2018</v>
      </c>
      <c r="E512" s="14">
        <f>Data!V512</f>
        <v>0</v>
      </c>
    </row>
    <row r="513" spans="2:5" ht="15" customHeight="1" x14ac:dyDescent="0.3">
      <c r="C513" s="56"/>
      <c r="D513" s="8">
        <v>2019</v>
      </c>
      <c r="E513" s="14">
        <f>Data!V513</f>
        <v>0</v>
      </c>
    </row>
    <row r="514" spans="2:5" ht="15" customHeight="1" x14ac:dyDescent="0.3">
      <c r="C514" s="56"/>
      <c r="D514" s="8">
        <v>2020</v>
      </c>
      <c r="E514" s="14">
        <f>Data!V514</f>
        <v>0</v>
      </c>
    </row>
    <row r="515" spans="2:5" ht="15" customHeight="1" x14ac:dyDescent="0.3">
      <c r="C515" s="56"/>
      <c r="D515" s="8">
        <v>2021</v>
      </c>
      <c r="E515" s="14">
        <f>Data!V515</f>
        <v>0</v>
      </c>
    </row>
    <row r="516" spans="2:5" ht="15" customHeight="1" x14ac:dyDescent="0.3">
      <c r="C516" s="56"/>
      <c r="D516" s="8">
        <v>2022</v>
      </c>
      <c r="E516" s="14">
        <f>Data!V516</f>
        <v>0</v>
      </c>
    </row>
    <row r="517" spans="2:5" ht="15" customHeight="1" x14ac:dyDescent="0.3">
      <c r="C517" s="56"/>
      <c r="D517" s="8">
        <v>2023</v>
      </c>
      <c r="E517" s="14">
        <f>Data!V517</f>
        <v>0</v>
      </c>
    </row>
    <row r="518" spans="2:5" ht="15" customHeight="1" x14ac:dyDescent="0.3">
      <c r="C518" s="56"/>
      <c r="D518" s="8">
        <v>2024</v>
      </c>
      <c r="E518" s="14">
        <f>Data!V518</f>
        <v>0</v>
      </c>
    </row>
    <row r="519" spans="2:5" ht="15" customHeight="1" x14ac:dyDescent="0.3">
      <c r="B519" s="8">
        <v>48</v>
      </c>
      <c r="C519" s="56" t="s">
        <v>26</v>
      </c>
      <c r="D519" s="8">
        <v>2014</v>
      </c>
      <c r="E519" s="14">
        <f>Data!V519</f>
        <v>0</v>
      </c>
    </row>
    <row r="520" spans="2:5" ht="15" customHeight="1" x14ac:dyDescent="0.3">
      <c r="C520" s="56"/>
      <c r="D520" s="8">
        <v>2015</v>
      </c>
      <c r="E520" s="14">
        <f>Data!V520</f>
        <v>0</v>
      </c>
    </row>
    <row r="521" spans="2:5" ht="15" customHeight="1" x14ac:dyDescent="0.3">
      <c r="C521" s="56"/>
      <c r="D521" s="8">
        <v>2016</v>
      </c>
      <c r="E521" s="14">
        <f>Data!V521</f>
        <v>0</v>
      </c>
    </row>
    <row r="522" spans="2:5" ht="15" customHeight="1" x14ac:dyDescent="0.3">
      <c r="C522" s="56"/>
      <c r="D522" s="8">
        <v>2017</v>
      </c>
      <c r="E522" s="14">
        <f>Data!V522</f>
        <v>0</v>
      </c>
    </row>
    <row r="523" spans="2:5" ht="15" customHeight="1" x14ac:dyDescent="0.3">
      <c r="C523" s="56"/>
      <c r="D523" s="8">
        <v>2018</v>
      </c>
      <c r="E523" s="14">
        <f>Data!V523</f>
        <v>0</v>
      </c>
    </row>
    <row r="524" spans="2:5" ht="15" customHeight="1" x14ac:dyDescent="0.3">
      <c r="C524" s="56"/>
      <c r="D524" s="8">
        <v>2019</v>
      </c>
      <c r="E524" s="14">
        <f>Data!V524</f>
        <v>11</v>
      </c>
    </row>
    <row r="525" spans="2:5" ht="15" customHeight="1" x14ac:dyDescent="0.3">
      <c r="C525" s="56"/>
      <c r="D525" s="8">
        <v>2020</v>
      </c>
      <c r="E525" s="14">
        <f>Data!V525</f>
        <v>14</v>
      </c>
    </row>
    <row r="526" spans="2:5" ht="15" customHeight="1" x14ac:dyDescent="0.3">
      <c r="C526" s="56"/>
      <c r="D526" s="8">
        <v>2021</v>
      </c>
      <c r="E526" s="14">
        <f>Data!V526</f>
        <v>14</v>
      </c>
    </row>
    <row r="527" spans="2:5" ht="15" customHeight="1" x14ac:dyDescent="0.3">
      <c r="C527" s="56"/>
      <c r="D527" s="8">
        <v>2022</v>
      </c>
      <c r="E527" s="14">
        <f>Data!V527</f>
        <v>14</v>
      </c>
    </row>
    <row r="528" spans="2:5" ht="15" customHeight="1" x14ac:dyDescent="0.3">
      <c r="C528" s="56"/>
      <c r="D528" s="8">
        <v>2023</v>
      </c>
      <c r="E528" s="14">
        <f>Data!V528</f>
        <v>14</v>
      </c>
    </row>
    <row r="529" spans="2:5" ht="15" customHeight="1" x14ac:dyDescent="0.3">
      <c r="C529" s="56"/>
      <c r="D529" s="8">
        <v>2024</v>
      </c>
      <c r="E529" s="14">
        <f>Data!V529</f>
        <v>14</v>
      </c>
    </row>
    <row r="530" spans="2:5" ht="15" customHeight="1" x14ac:dyDescent="0.3">
      <c r="B530" s="8">
        <v>49</v>
      </c>
      <c r="C530" s="56" t="s">
        <v>38</v>
      </c>
      <c r="D530" s="8">
        <v>2014</v>
      </c>
      <c r="E530" s="14">
        <f>Data!V530</f>
        <v>0</v>
      </c>
    </row>
    <row r="531" spans="2:5" ht="15" customHeight="1" x14ac:dyDescent="0.3">
      <c r="C531" s="56"/>
      <c r="D531" s="8">
        <v>2015</v>
      </c>
      <c r="E531" s="14">
        <f>Data!V531</f>
        <v>0</v>
      </c>
    </row>
    <row r="532" spans="2:5" ht="15" customHeight="1" x14ac:dyDescent="0.3">
      <c r="C532" s="56"/>
      <c r="D532" s="8">
        <v>2016</v>
      </c>
      <c r="E532" s="14">
        <f>Data!V532</f>
        <v>0</v>
      </c>
    </row>
    <row r="533" spans="2:5" ht="15" customHeight="1" x14ac:dyDescent="0.3">
      <c r="C533" s="56"/>
      <c r="D533" s="8">
        <v>2017</v>
      </c>
      <c r="E533" s="14">
        <f>Data!V533</f>
        <v>0</v>
      </c>
    </row>
    <row r="534" spans="2:5" ht="15" customHeight="1" x14ac:dyDescent="0.3">
      <c r="C534" s="56"/>
      <c r="D534" s="8">
        <v>2018</v>
      </c>
      <c r="E534" s="14">
        <f>Data!V534</f>
        <v>0</v>
      </c>
    </row>
    <row r="535" spans="2:5" ht="15" customHeight="1" x14ac:dyDescent="0.3">
      <c r="C535" s="56"/>
      <c r="D535" s="8">
        <v>2019</v>
      </c>
      <c r="E535" s="14">
        <f>Data!V535</f>
        <v>0</v>
      </c>
    </row>
    <row r="536" spans="2:5" ht="15" customHeight="1" x14ac:dyDescent="0.3">
      <c r="C536" s="56"/>
      <c r="D536" s="8">
        <v>2020</v>
      </c>
      <c r="E536" s="14">
        <f>Data!V536</f>
        <v>0</v>
      </c>
    </row>
    <row r="537" spans="2:5" ht="15" customHeight="1" x14ac:dyDescent="0.3">
      <c r="C537" s="56"/>
      <c r="D537" s="8">
        <v>2021</v>
      </c>
      <c r="E537" s="14">
        <f>Data!V537</f>
        <v>0</v>
      </c>
    </row>
    <row r="538" spans="2:5" ht="15" customHeight="1" x14ac:dyDescent="0.3">
      <c r="C538" s="56"/>
      <c r="D538" s="8">
        <v>2022</v>
      </c>
      <c r="E538" s="14">
        <f>Data!V538</f>
        <v>0</v>
      </c>
    </row>
    <row r="539" spans="2:5" ht="15" customHeight="1" x14ac:dyDescent="0.3">
      <c r="C539" s="56"/>
      <c r="D539" s="8">
        <v>2023</v>
      </c>
      <c r="E539" s="14">
        <f>Data!V539</f>
        <v>0</v>
      </c>
    </row>
    <row r="540" spans="2:5" ht="15" customHeight="1" x14ac:dyDescent="0.3">
      <c r="C540" s="56"/>
      <c r="D540" s="8">
        <v>2024</v>
      </c>
      <c r="E540" s="14">
        <f>Data!V540</f>
        <v>0</v>
      </c>
    </row>
    <row r="541" spans="2:5" ht="15" customHeight="1" x14ac:dyDescent="0.3">
      <c r="B541" s="8">
        <v>50</v>
      </c>
      <c r="C541" s="56" t="s">
        <v>39</v>
      </c>
      <c r="D541" s="8">
        <v>2014</v>
      </c>
      <c r="E541" s="14">
        <f>Data!V541</f>
        <v>0</v>
      </c>
    </row>
    <row r="542" spans="2:5" ht="15" customHeight="1" x14ac:dyDescent="0.3">
      <c r="C542" s="56"/>
      <c r="D542" s="8">
        <v>2015</v>
      </c>
      <c r="E542" s="14">
        <f>Data!V542</f>
        <v>0</v>
      </c>
    </row>
    <row r="543" spans="2:5" ht="15" customHeight="1" x14ac:dyDescent="0.3">
      <c r="C543" s="56"/>
      <c r="D543" s="8">
        <v>2016</v>
      </c>
      <c r="E543" s="14">
        <f>Data!V543</f>
        <v>0</v>
      </c>
    </row>
    <row r="544" spans="2:5" ht="15" customHeight="1" x14ac:dyDescent="0.3">
      <c r="C544" s="56"/>
      <c r="D544" s="8">
        <v>2017</v>
      </c>
      <c r="E544" s="14">
        <f>Data!V544</f>
        <v>0</v>
      </c>
    </row>
    <row r="545" spans="2:5" ht="15" customHeight="1" x14ac:dyDescent="0.3">
      <c r="C545" s="56"/>
      <c r="D545" s="8">
        <v>2018</v>
      </c>
      <c r="E545" s="14">
        <f>Data!V545</f>
        <v>0</v>
      </c>
    </row>
    <row r="546" spans="2:5" ht="15" customHeight="1" x14ac:dyDescent="0.3">
      <c r="C546" s="56"/>
      <c r="D546" s="8">
        <v>2019</v>
      </c>
      <c r="E546" s="14">
        <f>Data!V546</f>
        <v>0</v>
      </c>
    </row>
    <row r="547" spans="2:5" ht="15" customHeight="1" x14ac:dyDescent="0.3">
      <c r="C547" s="56"/>
      <c r="D547" s="8">
        <v>2020</v>
      </c>
      <c r="E547" s="14">
        <f>Data!V547</f>
        <v>0</v>
      </c>
    </row>
    <row r="548" spans="2:5" ht="15" customHeight="1" x14ac:dyDescent="0.3">
      <c r="C548" s="56"/>
      <c r="D548" s="8">
        <v>2021</v>
      </c>
      <c r="E548" s="14">
        <f>Data!V548</f>
        <v>0</v>
      </c>
    </row>
    <row r="549" spans="2:5" ht="15" customHeight="1" x14ac:dyDescent="0.3">
      <c r="C549" s="56"/>
      <c r="D549" s="8">
        <v>2022</v>
      </c>
      <c r="E549" s="14">
        <f>Data!V549</f>
        <v>0</v>
      </c>
    </row>
    <row r="550" spans="2:5" ht="15" customHeight="1" x14ac:dyDescent="0.3">
      <c r="C550" s="56"/>
      <c r="D550" s="8">
        <v>2023</v>
      </c>
      <c r="E550" s="14">
        <f>Data!V550</f>
        <v>0</v>
      </c>
    </row>
    <row r="551" spans="2:5" ht="15" customHeight="1" x14ac:dyDescent="0.3">
      <c r="C551" s="56"/>
      <c r="D551" s="8">
        <v>2024</v>
      </c>
      <c r="E551" s="14">
        <f>Data!V551</f>
        <v>0</v>
      </c>
    </row>
    <row r="552" spans="2:5" ht="15" customHeight="1" x14ac:dyDescent="0.3">
      <c r="B552" s="8">
        <v>51</v>
      </c>
      <c r="C552" s="56" t="s">
        <v>48</v>
      </c>
      <c r="D552" s="8">
        <v>2014</v>
      </c>
      <c r="E552" s="14">
        <f>Data!V552</f>
        <v>0</v>
      </c>
    </row>
    <row r="553" spans="2:5" ht="15" customHeight="1" x14ac:dyDescent="0.3">
      <c r="C553" s="56"/>
      <c r="D553" s="8">
        <v>2015</v>
      </c>
      <c r="E553" s="14">
        <f>Data!V553</f>
        <v>0</v>
      </c>
    </row>
    <row r="554" spans="2:5" ht="15" customHeight="1" x14ac:dyDescent="0.3">
      <c r="C554" s="56"/>
      <c r="D554" s="8">
        <v>2016</v>
      </c>
      <c r="E554" s="14">
        <f>Data!V554</f>
        <v>0</v>
      </c>
    </row>
    <row r="555" spans="2:5" ht="15" customHeight="1" x14ac:dyDescent="0.3">
      <c r="C555" s="56"/>
      <c r="D555" s="8">
        <v>2017</v>
      </c>
      <c r="E555" s="14">
        <f>Data!V555</f>
        <v>0</v>
      </c>
    </row>
    <row r="556" spans="2:5" ht="15" customHeight="1" x14ac:dyDescent="0.3">
      <c r="C556" s="56"/>
      <c r="D556" s="8">
        <v>2018</v>
      </c>
      <c r="E556" s="14">
        <f>Data!V556</f>
        <v>0</v>
      </c>
    </row>
    <row r="557" spans="2:5" ht="15" customHeight="1" x14ac:dyDescent="0.3">
      <c r="C557" s="56"/>
      <c r="D557" s="8">
        <v>2019</v>
      </c>
      <c r="E557" s="14">
        <f>Data!V557</f>
        <v>0</v>
      </c>
    </row>
    <row r="558" spans="2:5" ht="15" customHeight="1" x14ac:dyDescent="0.3">
      <c r="C558" s="56"/>
      <c r="D558" s="8">
        <v>2020</v>
      </c>
      <c r="E558" s="14">
        <f>Data!V558</f>
        <v>12</v>
      </c>
    </row>
    <row r="559" spans="2:5" ht="15" customHeight="1" x14ac:dyDescent="0.3">
      <c r="C559" s="56"/>
      <c r="D559" s="8">
        <v>2021</v>
      </c>
      <c r="E559" s="14">
        <f>Data!V559</f>
        <v>12</v>
      </c>
    </row>
    <row r="560" spans="2:5" ht="15" customHeight="1" x14ac:dyDescent="0.3">
      <c r="C560" s="56"/>
      <c r="D560" s="8">
        <v>2022</v>
      </c>
      <c r="E560" s="14">
        <f>Data!V560</f>
        <v>12</v>
      </c>
    </row>
    <row r="561" spans="2:5" ht="15" customHeight="1" x14ac:dyDescent="0.3">
      <c r="C561" s="56"/>
      <c r="D561" s="8">
        <v>2023</v>
      </c>
      <c r="E561" s="14">
        <f>Data!V561</f>
        <v>12</v>
      </c>
    </row>
    <row r="562" spans="2:5" ht="15" customHeight="1" x14ac:dyDescent="0.3">
      <c r="C562" s="56"/>
      <c r="D562" s="8">
        <v>2024</v>
      </c>
      <c r="E562" s="14">
        <f>Data!V562</f>
        <v>0</v>
      </c>
    </row>
    <row r="563" spans="2:5" ht="15" customHeight="1" x14ac:dyDescent="0.3">
      <c r="B563" s="8">
        <v>52</v>
      </c>
      <c r="C563" s="56" t="s">
        <v>37</v>
      </c>
      <c r="D563" s="8">
        <v>2014</v>
      </c>
      <c r="E563" s="14">
        <f>Data!V563</f>
        <v>0</v>
      </c>
    </row>
    <row r="564" spans="2:5" ht="15" customHeight="1" x14ac:dyDescent="0.3">
      <c r="C564" s="56"/>
      <c r="D564" s="8">
        <v>2015</v>
      </c>
      <c r="E564" s="14">
        <f>Data!V564</f>
        <v>0</v>
      </c>
    </row>
    <row r="565" spans="2:5" ht="15" customHeight="1" x14ac:dyDescent="0.3">
      <c r="C565" s="56"/>
      <c r="D565" s="8">
        <v>2016</v>
      </c>
      <c r="E565" s="14">
        <f>Data!V565</f>
        <v>0</v>
      </c>
    </row>
    <row r="566" spans="2:5" ht="15" customHeight="1" x14ac:dyDescent="0.3">
      <c r="C566" s="56"/>
      <c r="D566" s="8">
        <v>2017</v>
      </c>
      <c r="E566" s="14">
        <f>Data!V566</f>
        <v>0</v>
      </c>
    </row>
    <row r="567" spans="2:5" ht="15" customHeight="1" x14ac:dyDescent="0.3">
      <c r="C567" s="56"/>
      <c r="D567" s="8">
        <v>2018</v>
      </c>
      <c r="E567" s="14">
        <f>Data!V567</f>
        <v>0</v>
      </c>
    </row>
    <row r="568" spans="2:5" ht="15" customHeight="1" x14ac:dyDescent="0.3">
      <c r="C568" s="56"/>
      <c r="D568" s="8">
        <v>2019</v>
      </c>
      <c r="E568" s="14">
        <f>Data!V568</f>
        <v>0</v>
      </c>
    </row>
    <row r="569" spans="2:5" ht="15" customHeight="1" x14ac:dyDescent="0.3">
      <c r="C569" s="56"/>
      <c r="D569" s="8">
        <v>2020</v>
      </c>
      <c r="E569" s="14">
        <f>Data!V569</f>
        <v>0</v>
      </c>
    </row>
    <row r="570" spans="2:5" ht="15" customHeight="1" x14ac:dyDescent="0.3">
      <c r="C570" s="56"/>
      <c r="D570" s="8">
        <v>2021</v>
      </c>
      <c r="E570" s="14">
        <f>Data!V570</f>
        <v>0</v>
      </c>
    </row>
    <row r="571" spans="2:5" ht="15" customHeight="1" x14ac:dyDescent="0.3">
      <c r="C571" s="56"/>
      <c r="D571" s="8">
        <v>2022</v>
      </c>
      <c r="E571" s="14">
        <f>Data!V571</f>
        <v>0</v>
      </c>
    </row>
    <row r="572" spans="2:5" ht="15" customHeight="1" x14ac:dyDescent="0.3">
      <c r="C572" s="56"/>
      <c r="D572" s="8">
        <v>2023</v>
      </c>
      <c r="E572" s="14">
        <f>Data!V572</f>
        <v>0</v>
      </c>
    </row>
    <row r="573" spans="2:5" ht="15" customHeight="1" x14ac:dyDescent="0.3">
      <c r="C573" s="56"/>
      <c r="D573" s="8">
        <v>2024</v>
      </c>
      <c r="E573" s="14">
        <f>Data!V573</f>
        <v>0</v>
      </c>
    </row>
    <row r="574" spans="2:5" ht="15" customHeight="1" x14ac:dyDescent="0.3">
      <c r="B574" s="8">
        <v>53</v>
      </c>
      <c r="C574" s="56" t="s">
        <v>43</v>
      </c>
      <c r="D574" s="8">
        <v>2014</v>
      </c>
      <c r="E574" s="14">
        <f>Data!V574</f>
        <v>0</v>
      </c>
    </row>
    <row r="575" spans="2:5" ht="15" customHeight="1" x14ac:dyDescent="0.3">
      <c r="C575" s="56"/>
      <c r="D575" s="8">
        <v>2015</v>
      </c>
      <c r="E575" s="14">
        <f>Data!V575</f>
        <v>0</v>
      </c>
    </row>
    <row r="576" spans="2:5" ht="15" customHeight="1" x14ac:dyDescent="0.3">
      <c r="C576" s="56"/>
      <c r="D576" s="8">
        <v>2016</v>
      </c>
      <c r="E576" s="14">
        <f>Data!V576</f>
        <v>0</v>
      </c>
    </row>
    <row r="577" spans="2:5" ht="15" customHeight="1" x14ac:dyDescent="0.3">
      <c r="C577" s="56"/>
      <c r="D577" s="8">
        <v>2017</v>
      </c>
      <c r="E577" s="14">
        <f>Data!V577</f>
        <v>0</v>
      </c>
    </row>
    <row r="578" spans="2:5" ht="15" customHeight="1" x14ac:dyDescent="0.3">
      <c r="C578" s="56"/>
      <c r="D578" s="8">
        <v>2018</v>
      </c>
      <c r="E578" s="14">
        <f>Data!V578</f>
        <v>0</v>
      </c>
    </row>
    <row r="579" spans="2:5" ht="15" customHeight="1" x14ac:dyDescent="0.3">
      <c r="C579" s="56"/>
      <c r="D579" s="8">
        <v>2019</v>
      </c>
      <c r="E579" s="14">
        <f>Data!V579</f>
        <v>0</v>
      </c>
    </row>
    <row r="580" spans="2:5" ht="15" customHeight="1" x14ac:dyDescent="0.3">
      <c r="C580" s="56"/>
      <c r="D580" s="8">
        <v>2020</v>
      </c>
      <c r="E580" s="14">
        <f>Data!V580</f>
        <v>0</v>
      </c>
    </row>
    <row r="581" spans="2:5" ht="15" customHeight="1" x14ac:dyDescent="0.3">
      <c r="C581" s="56"/>
      <c r="D581" s="8">
        <v>2021</v>
      </c>
      <c r="E581" s="14">
        <f>Data!V581</f>
        <v>0</v>
      </c>
    </row>
    <row r="582" spans="2:5" ht="15" customHeight="1" x14ac:dyDescent="0.3">
      <c r="C582" s="56"/>
      <c r="D582" s="8">
        <v>2022</v>
      </c>
      <c r="E582" s="14">
        <f>Data!V582</f>
        <v>0</v>
      </c>
    </row>
    <row r="583" spans="2:5" ht="15" customHeight="1" x14ac:dyDescent="0.3">
      <c r="C583" s="56"/>
      <c r="D583" s="8">
        <v>2023</v>
      </c>
      <c r="E583" s="14">
        <f>Data!V583</f>
        <v>0</v>
      </c>
    </row>
    <row r="584" spans="2:5" ht="15" customHeight="1" x14ac:dyDescent="0.3">
      <c r="C584" s="56"/>
      <c r="D584" s="8">
        <v>2024</v>
      </c>
      <c r="E584" s="14">
        <f>Data!V584</f>
        <v>0</v>
      </c>
    </row>
    <row r="585" spans="2:5" ht="15" customHeight="1" x14ac:dyDescent="0.3">
      <c r="B585" s="8">
        <v>54</v>
      </c>
      <c r="C585" s="57" t="s">
        <v>150</v>
      </c>
      <c r="D585" s="8">
        <v>2014</v>
      </c>
      <c r="E585" s="14">
        <f>Data!V585</f>
        <v>0</v>
      </c>
    </row>
    <row r="586" spans="2:5" ht="15" customHeight="1" x14ac:dyDescent="0.3">
      <c r="C586" s="57"/>
      <c r="D586" s="8">
        <v>2015</v>
      </c>
      <c r="E586" s="14">
        <f>Data!V586</f>
        <v>0</v>
      </c>
    </row>
    <row r="587" spans="2:5" ht="15" customHeight="1" x14ac:dyDescent="0.3">
      <c r="C587" s="57"/>
      <c r="D587" s="8">
        <v>2016</v>
      </c>
      <c r="E587" s="14">
        <f>Data!V587</f>
        <v>0</v>
      </c>
    </row>
    <row r="588" spans="2:5" ht="15" customHeight="1" x14ac:dyDescent="0.3">
      <c r="C588" s="57"/>
      <c r="D588" s="8">
        <v>2017</v>
      </c>
      <c r="E588" s="14">
        <f>Data!V588</f>
        <v>0</v>
      </c>
    </row>
    <row r="589" spans="2:5" ht="15" customHeight="1" x14ac:dyDescent="0.3">
      <c r="C589" s="57"/>
      <c r="D589" s="8">
        <v>2018</v>
      </c>
      <c r="E589" s="14">
        <f>Data!V589</f>
        <v>0</v>
      </c>
    </row>
    <row r="590" spans="2:5" ht="15" customHeight="1" x14ac:dyDescent="0.3">
      <c r="C590" s="57"/>
      <c r="D590" s="8">
        <v>2019</v>
      </c>
      <c r="E590" s="14">
        <f>Data!V590</f>
        <v>0</v>
      </c>
    </row>
    <row r="591" spans="2:5" ht="15" customHeight="1" x14ac:dyDescent="0.3">
      <c r="C591" s="57"/>
      <c r="D591" s="8">
        <v>2020</v>
      </c>
      <c r="E591" s="14">
        <f>Data!V591</f>
        <v>0</v>
      </c>
    </row>
    <row r="592" spans="2:5" ht="15" customHeight="1" x14ac:dyDescent="0.3">
      <c r="C592" s="57"/>
      <c r="D592" s="8">
        <v>2021</v>
      </c>
      <c r="E592" s="14">
        <f>Data!V592</f>
        <v>0</v>
      </c>
    </row>
    <row r="593" spans="2:5" ht="15" customHeight="1" x14ac:dyDescent="0.3">
      <c r="C593" s="57"/>
      <c r="D593" s="8">
        <v>2022</v>
      </c>
      <c r="E593" s="14">
        <f>Data!V593</f>
        <v>0</v>
      </c>
    </row>
    <row r="594" spans="2:5" ht="15" customHeight="1" x14ac:dyDescent="0.3">
      <c r="C594" s="57"/>
      <c r="D594" s="8">
        <v>2023</v>
      </c>
      <c r="E594" s="14">
        <f>Data!V594</f>
        <v>0</v>
      </c>
    </row>
    <row r="595" spans="2:5" ht="15" customHeight="1" x14ac:dyDescent="0.3">
      <c r="C595" s="57"/>
      <c r="D595" s="8">
        <v>2024</v>
      </c>
      <c r="E595" s="14">
        <f>Data!V595</f>
        <v>0</v>
      </c>
    </row>
    <row r="596" spans="2:5" ht="15" customHeight="1" x14ac:dyDescent="0.3">
      <c r="B596" s="8">
        <v>55</v>
      </c>
      <c r="C596" s="56" t="s">
        <v>40</v>
      </c>
      <c r="D596" s="8">
        <v>2014</v>
      </c>
      <c r="E596" s="14">
        <f>Data!V596</f>
        <v>0</v>
      </c>
    </row>
    <row r="597" spans="2:5" ht="15" customHeight="1" x14ac:dyDescent="0.3">
      <c r="C597" s="56"/>
      <c r="D597" s="8">
        <v>2015</v>
      </c>
      <c r="E597" s="14">
        <f>Data!V597</f>
        <v>0</v>
      </c>
    </row>
    <row r="598" spans="2:5" ht="15" customHeight="1" x14ac:dyDescent="0.3">
      <c r="C598" s="56"/>
      <c r="D598" s="8">
        <v>2016</v>
      </c>
      <c r="E598" s="14">
        <f>Data!V598</f>
        <v>0</v>
      </c>
    </row>
    <row r="599" spans="2:5" ht="15" customHeight="1" x14ac:dyDescent="0.3">
      <c r="C599" s="56"/>
      <c r="D599" s="8">
        <v>2017</v>
      </c>
      <c r="E599" s="14">
        <f>Data!V599</f>
        <v>0</v>
      </c>
    </row>
    <row r="600" spans="2:5" ht="15" customHeight="1" x14ac:dyDescent="0.3">
      <c r="C600" s="56"/>
      <c r="D600" s="8">
        <v>2018</v>
      </c>
      <c r="E600" s="14">
        <f>Data!V600</f>
        <v>0</v>
      </c>
    </row>
    <row r="601" spans="2:5" ht="15" customHeight="1" x14ac:dyDescent="0.3">
      <c r="C601" s="56"/>
      <c r="D601" s="8">
        <v>2019</v>
      </c>
      <c r="E601" s="14">
        <f>Data!V601</f>
        <v>0</v>
      </c>
    </row>
    <row r="602" spans="2:5" ht="15" customHeight="1" x14ac:dyDescent="0.3">
      <c r="C602" s="56"/>
      <c r="D602" s="8">
        <v>2020</v>
      </c>
      <c r="E602" s="14">
        <f>Data!V602</f>
        <v>0</v>
      </c>
    </row>
    <row r="603" spans="2:5" ht="15" customHeight="1" x14ac:dyDescent="0.3">
      <c r="C603" s="56"/>
      <c r="D603" s="8">
        <v>2021</v>
      </c>
      <c r="E603" s="14">
        <f>Data!V603</f>
        <v>0</v>
      </c>
    </row>
    <row r="604" spans="2:5" ht="15" customHeight="1" x14ac:dyDescent="0.3">
      <c r="C604" s="56"/>
      <c r="D604" s="8">
        <v>2022</v>
      </c>
      <c r="E604" s="14">
        <f>Data!V604</f>
        <v>0</v>
      </c>
    </row>
    <row r="605" spans="2:5" ht="15" customHeight="1" x14ac:dyDescent="0.3">
      <c r="C605" s="56"/>
      <c r="D605" s="8">
        <v>2023</v>
      </c>
      <c r="E605" s="14">
        <f>Data!V605</f>
        <v>0</v>
      </c>
    </row>
    <row r="606" spans="2:5" ht="15" customHeight="1" x14ac:dyDescent="0.3">
      <c r="C606" s="56"/>
      <c r="D606" s="8">
        <v>2024</v>
      </c>
      <c r="E606" s="14">
        <f>Data!V606</f>
        <v>0</v>
      </c>
    </row>
    <row r="607" spans="2:5" ht="15" customHeight="1" x14ac:dyDescent="0.3">
      <c r="B607" s="8">
        <v>56</v>
      </c>
      <c r="C607" s="56" t="s">
        <v>47</v>
      </c>
      <c r="D607" s="8">
        <v>2014</v>
      </c>
      <c r="E607" s="14">
        <f>Data!V607</f>
        <v>0</v>
      </c>
    </row>
    <row r="608" spans="2:5" ht="15" customHeight="1" x14ac:dyDescent="0.3">
      <c r="C608" s="56"/>
      <c r="D608" s="8">
        <v>2015</v>
      </c>
      <c r="E608" s="14">
        <f>Data!V608</f>
        <v>0</v>
      </c>
    </row>
    <row r="609" spans="2:5" ht="15" customHeight="1" x14ac:dyDescent="0.3">
      <c r="C609" s="56"/>
      <c r="D609" s="8">
        <v>2016</v>
      </c>
      <c r="E609" s="14">
        <f>Data!V609</f>
        <v>0</v>
      </c>
    </row>
    <row r="610" spans="2:5" ht="15" customHeight="1" x14ac:dyDescent="0.3">
      <c r="C610" s="56"/>
      <c r="D610" s="8">
        <v>2017</v>
      </c>
      <c r="E610" s="14">
        <f>Data!V610</f>
        <v>0</v>
      </c>
    </row>
    <row r="611" spans="2:5" ht="15" customHeight="1" x14ac:dyDescent="0.3">
      <c r="C611" s="56"/>
      <c r="D611" s="8">
        <v>2018</v>
      </c>
      <c r="E611" s="14">
        <f>Data!V611</f>
        <v>0</v>
      </c>
    </row>
    <row r="612" spans="2:5" ht="15" customHeight="1" x14ac:dyDescent="0.3">
      <c r="C612" s="56"/>
      <c r="D612" s="8">
        <v>2019</v>
      </c>
      <c r="E612" s="14">
        <f>Data!V612</f>
        <v>0</v>
      </c>
    </row>
    <row r="613" spans="2:5" ht="15" customHeight="1" x14ac:dyDescent="0.3">
      <c r="C613" s="56"/>
      <c r="D613" s="8">
        <v>2020</v>
      </c>
      <c r="E613" s="14">
        <f>Data!V613</f>
        <v>0</v>
      </c>
    </row>
    <row r="614" spans="2:5" ht="15" customHeight="1" x14ac:dyDescent="0.3">
      <c r="C614" s="56"/>
      <c r="D614" s="8">
        <v>2021</v>
      </c>
      <c r="E614" s="14">
        <f>Data!V614</f>
        <v>0</v>
      </c>
    </row>
    <row r="615" spans="2:5" ht="15" customHeight="1" x14ac:dyDescent="0.3">
      <c r="C615" s="56"/>
      <c r="D615" s="8">
        <v>2022</v>
      </c>
      <c r="E615" s="14">
        <f>Data!V615</f>
        <v>0</v>
      </c>
    </row>
    <row r="616" spans="2:5" ht="15" customHeight="1" x14ac:dyDescent="0.3">
      <c r="C616" s="56"/>
      <c r="D616" s="8">
        <v>2023</v>
      </c>
      <c r="E616" s="14">
        <f>Data!V616</f>
        <v>0</v>
      </c>
    </row>
    <row r="617" spans="2:5" ht="15" customHeight="1" x14ac:dyDescent="0.3">
      <c r="C617" s="56"/>
      <c r="D617" s="8">
        <v>2024</v>
      </c>
      <c r="E617" s="14">
        <f>Data!V617</f>
        <v>0</v>
      </c>
    </row>
    <row r="618" spans="2:5" ht="15" customHeight="1" x14ac:dyDescent="0.3">
      <c r="B618" s="8">
        <v>57</v>
      </c>
      <c r="C618" s="56" t="s">
        <v>41</v>
      </c>
      <c r="D618" s="8">
        <v>2014</v>
      </c>
      <c r="E618" s="14">
        <f>Data!V618</f>
        <v>0</v>
      </c>
    </row>
    <row r="619" spans="2:5" ht="15" customHeight="1" x14ac:dyDescent="0.3">
      <c r="C619" s="56"/>
      <c r="D619" s="8">
        <v>2015</v>
      </c>
      <c r="E619" s="14">
        <f>Data!V619</f>
        <v>0</v>
      </c>
    </row>
    <row r="620" spans="2:5" ht="15" customHeight="1" x14ac:dyDescent="0.3">
      <c r="C620" s="56"/>
      <c r="D620" s="8">
        <v>2016</v>
      </c>
      <c r="E620" s="14">
        <f>Data!V620</f>
        <v>0</v>
      </c>
    </row>
    <row r="621" spans="2:5" ht="15" customHeight="1" x14ac:dyDescent="0.3">
      <c r="C621" s="56"/>
      <c r="D621" s="8">
        <v>2017</v>
      </c>
      <c r="E621" s="14">
        <f>Data!V621</f>
        <v>0</v>
      </c>
    </row>
    <row r="622" spans="2:5" ht="15" customHeight="1" x14ac:dyDescent="0.3">
      <c r="C622" s="56"/>
      <c r="D622" s="8">
        <v>2018</v>
      </c>
      <c r="E622" s="14">
        <f>Data!V622</f>
        <v>0</v>
      </c>
    </row>
    <row r="623" spans="2:5" ht="15" customHeight="1" x14ac:dyDescent="0.3">
      <c r="C623" s="56"/>
      <c r="D623" s="8">
        <v>2019</v>
      </c>
      <c r="E623" s="14">
        <f>Data!V623</f>
        <v>0</v>
      </c>
    </row>
    <row r="624" spans="2:5" ht="15" customHeight="1" x14ac:dyDescent="0.3">
      <c r="C624" s="56"/>
      <c r="D624" s="8">
        <v>2020</v>
      </c>
      <c r="E624" s="14">
        <f>Data!V624</f>
        <v>0</v>
      </c>
    </row>
    <row r="625" spans="1:5" ht="15" customHeight="1" x14ac:dyDescent="0.3">
      <c r="C625" s="56"/>
      <c r="D625" s="8">
        <v>2021</v>
      </c>
      <c r="E625" s="14">
        <f>Data!V625</f>
        <v>0</v>
      </c>
    </row>
    <row r="626" spans="1:5" ht="15" customHeight="1" x14ac:dyDescent="0.3">
      <c r="C626" s="56"/>
      <c r="D626" s="8">
        <v>2022</v>
      </c>
      <c r="E626" s="14">
        <f>Data!V626</f>
        <v>0</v>
      </c>
    </row>
    <row r="627" spans="1:5" ht="15" customHeight="1" x14ac:dyDescent="0.3">
      <c r="C627" s="56"/>
      <c r="D627" s="8">
        <v>2023</v>
      </c>
      <c r="E627" s="14">
        <f>Data!V627</f>
        <v>0</v>
      </c>
    </row>
    <row r="628" spans="1:5" ht="15" customHeight="1" x14ac:dyDescent="0.3">
      <c r="C628" s="56"/>
      <c r="D628" s="8">
        <v>2024</v>
      </c>
      <c r="E628" s="14">
        <f>Data!V628</f>
        <v>0</v>
      </c>
    </row>
    <row r="629" spans="1:5" ht="15" customHeight="1" x14ac:dyDescent="0.3">
      <c r="B629" s="8">
        <v>58</v>
      </c>
      <c r="C629" s="57" t="s">
        <v>49</v>
      </c>
      <c r="D629" s="8">
        <v>2014</v>
      </c>
      <c r="E629" s="14">
        <f>Data!V629</f>
        <v>0</v>
      </c>
    </row>
    <row r="630" spans="1:5" ht="15" customHeight="1" x14ac:dyDescent="0.3">
      <c r="C630" s="57"/>
      <c r="D630" s="8">
        <v>2015</v>
      </c>
      <c r="E630" s="14">
        <f>Data!V630</f>
        <v>0</v>
      </c>
    </row>
    <row r="631" spans="1:5" ht="15" customHeight="1" x14ac:dyDescent="0.3">
      <c r="C631" s="57"/>
      <c r="D631" s="8">
        <v>2016</v>
      </c>
      <c r="E631" s="14">
        <f>Data!V631</f>
        <v>0</v>
      </c>
    </row>
    <row r="632" spans="1:5" ht="15" customHeight="1" x14ac:dyDescent="0.3">
      <c r="C632" s="57"/>
      <c r="D632" s="8">
        <v>2017</v>
      </c>
      <c r="E632" s="14">
        <f>Data!V632</f>
        <v>0</v>
      </c>
    </row>
    <row r="633" spans="1:5" ht="15" customHeight="1" x14ac:dyDescent="0.3">
      <c r="C633" s="57"/>
      <c r="D633" s="8">
        <v>2018</v>
      </c>
      <c r="E633" s="14">
        <f>Data!V633</f>
        <v>0</v>
      </c>
    </row>
    <row r="634" spans="1:5" ht="15" customHeight="1" x14ac:dyDescent="0.3">
      <c r="C634" s="57"/>
      <c r="D634" s="8">
        <v>2019</v>
      </c>
      <c r="E634" s="14">
        <f>Data!V634</f>
        <v>0</v>
      </c>
    </row>
    <row r="635" spans="1:5" ht="15" customHeight="1" x14ac:dyDescent="0.3">
      <c r="C635" s="57"/>
      <c r="D635" s="8">
        <v>2020</v>
      </c>
      <c r="E635" s="14">
        <f>Data!V635</f>
        <v>10</v>
      </c>
    </row>
    <row r="636" spans="1:5" ht="15" customHeight="1" x14ac:dyDescent="0.3">
      <c r="C636" s="57"/>
      <c r="D636" s="8">
        <v>2021</v>
      </c>
      <c r="E636" s="14">
        <f>Data!V636</f>
        <v>4</v>
      </c>
    </row>
    <row r="637" spans="1:5" ht="15" customHeight="1" x14ac:dyDescent="0.3">
      <c r="C637" s="57"/>
      <c r="D637" s="8">
        <v>2022</v>
      </c>
      <c r="E637" s="14">
        <f>Data!V637</f>
        <v>8</v>
      </c>
    </row>
    <row r="638" spans="1:5" ht="15" customHeight="1" x14ac:dyDescent="0.3">
      <c r="C638" s="57"/>
      <c r="D638" s="8">
        <v>2023</v>
      </c>
      <c r="E638" s="14">
        <f>Data!V638</f>
        <v>13</v>
      </c>
    </row>
    <row r="639" spans="1:5" ht="15" customHeight="1" x14ac:dyDescent="0.3">
      <c r="C639" s="57"/>
      <c r="D639" s="8">
        <v>2024</v>
      </c>
      <c r="E639" s="14">
        <f>Data!V639</f>
        <v>10</v>
      </c>
    </row>
    <row r="640" spans="1:5" ht="15" customHeight="1" x14ac:dyDescent="0.3">
      <c r="A640" t="s">
        <v>154</v>
      </c>
      <c r="B640" s="8">
        <v>59</v>
      </c>
      <c r="C640" s="58" t="s">
        <v>59</v>
      </c>
      <c r="D640" s="8">
        <v>2014</v>
      </c>
      <c r="E640" s="14">
        <f>Data!V640</f>
        <v>0</v>
      </c>
    </row>
    <row r="641" spans="2:5" ht="15" customHeight="1" x14ac:dyDescent="0.3">
      <c r="C641" s="58"/>
      <c r="D641" s="8">
        <v>2015</v>
      </c>
      <c r="E641" s="14">
        <f>Data!V641</f>
        <v>0</v>
      </c>
    </row>
    <row r="642" spans="2:5" ht="15" customHeight="1" x14ac:dyDescent="0.3">
      <c r="C642" s="58"/>
      <c r="D642" s="8">
        <v>2016</v>
      </c>
      <c r="E642" s="14">
        <f>Data!V642</f>
        <v>0</v>
      </c>
    </row>
    <row r="643" spans="2:5" ht="15" customHeight="1" x14ac:dyDescent="0.3">
      <c r="C643" s="58"/>
      <c r="D643" s="8">
        <v>2017</v>
      </c>
      <c r="E643" s="14">
        <f>Data!V643</f>
        <v>0</v>
      </c>
    </row>
    <row r="644" spans="2:5" ht="15" customHeight="1" x14ac:dyDescent="0.3">
      <c r="C644" s="58"/>
      <c r="D644" s="8">
        <v>2018</v>
      </c>
      <c r="E644" s="14">
        <f>Data!V644</f>
        <v>0</v>
      </c>
    </row>
    <row r="645" spans="2:5" ht="15" customHeight="1" x14ac:dyDescent="0.3">
      <c r="C645" s="58"/>
      <c r="D645" s="8">
        <v>2019</v>
      </c>
      <c r="E645" s="14">
        <f>Data!V645</f>
        <v>0</v>
      </c>
    </row>
    <row r="646" spans="2:5" ht="15" customHeight="1" x14ac:dyDescent="0.3">
      <c r="C646" s="58"/>
      <c r="D646" s="8">
        <v>2020</v>
      </c>
      <c r="E646" s="14">
        <f>Data!V646</f>
        <v>0</v>
      </c>
    </row>
    <row r="647" spans="2:5" ht="15" customHeight="1" x14ac:dyDescent="0.3">
      <c r="C647" s="58"/>
      <c r="D647" s="8">
        <v>2021</v>
      </c>
      <c r="E647" s="14">
        <f>Data!V647</f>
        <v>0</v>
      </c>
    </row>
    <row r="648" spans="2:5" ht="15" customHeight="1" x14ac:dyDescent="0.3">
      <c r="C648" s="58"/>
      <c r="D648" s="8">
        <v>2022</v>
      </c>
      <c r="E648" s="14">
        <f>Data!V648</f>
        <v>0</v>
      </c>
    </row>
    <row r="649" spans="2:5" ht="15" customHeight="1" x14ac:dyDescent="0.3">
      <c r="C649" s="58"/>
      <c r="D649" s="8">
        <v>2023</v>
      </c>
      <c r="E649" s="14">
        <f>Data!V649</f>
        <v>0</v>
      </c>
    </row>
    <row r="650" spans="2:5" ht="15" customHeight="1" x14ac:dyDescent="0.3">
      <c r="C650" s="58"/>
      <c r="D650" s="8">
        <v>2024</v>
      </c>
      <c r="E650" s="14">
        <f>Data!V650</f>
        <v>0</v>
      </c>
    </row>
    <row r="651" spans="2:5" ht="15" customHeight="1" x14ac:dyDescent="0.3">
      <c r="B651" s="8">
        <v>60</v>
      </c>
      <c r="C651" s="58" t="s">
        <v>63</v>
      </c>
      <c r="D651" s="8">
        <v>2014</v>
      </c>
      <c r="E651" s="14">
        <f>Data!V651</f>
        <v>0</v>
      </c>
    </row>
    <row r="652" spans="2:5" ht="15" customHeight="1" x14ac:dyDescent="0.3">
      <c r="C652" s="58"/>
      <c r="D652" s="8">
        <v>2015</v>
      </c>
      <c r="E652" s="14">
        <f>Data!V652</f>
        <v>0</v>
      </c>
    </row>
    <row r="653" spans="2:5" ht="15" customHeight="1" x14ac:dyDescent="0.3">
      <c r="C653" s="58"/>
      <c r="D653" s="8">
        <v>2016</v>
      </c>
      <c r="E653" s="14">
        <f>Data!V653</f>
        <v>0</v>
      </c>
    </row>
    <row r="654" spans="2:5" ht="15" customHeight="1" x14ac:dyDescent="0.3">
      <c r="C654" s="58"/>
      <c r="D654" s="8">
        <v>2017</v>
      </c>
      <c r="E654" s="14">
        <f>Data!V654</f>
        <v>0</v>
      </c>
    </row>
    <row r="655" spans="2:5" ht="15" customHeight="1" x14ac:dyDescent="0.3">
      <c r="C655" s="58"/>
      <c r="D655" s="8">
        <v>2018</v>
      </c>
      <c r="E655" s="14">
        <f>Data!V655</f>
        <v>0</v>
      </c>
    </row>
    <row r="656" spans="2:5" ht="15" customHeight="1" x14ac:dyDescent="0.3">
      <c r="C656" s="58"/>
      <c r="D656" s="8">
        <v>2019</v>
      </c>
      <c r="E656" s="14">
        <f>Data!V656</f>
        <v>0</v>
      </c>
    </row>
    <row r="657" spans="2:5" ht="15" customHeight="1" x14ac:dyDescent="0.3">
      <c r="C657" s="58"/>
      <c r="D657" s="8">
        <v>2020</v>
      </c>
      <c r="E657" s="14">
        <f>Data!V657</f>
        <v>0</v>
      </c>
    </row>
    <row r="658" spans="2:5" ht="15" customHeight="1" x14ac:dyDescent="0.3">
      <c r="C658" s="58"/>
      <c r="D658" s="8">
        <v>2021</v>
      </c>
      <c r="E658" s="14">
        <f>Data!V658</f>
        <v>0</v>
      </c>
    </row>
    <row r="659" spans="2:5" ht="15" customHeight="1" x14ac:dyDescent="0.3">
      <c r="C659" s="58"/>
      <c r="D659" s="8">
        <v>2022</v>
      </c>
      <c r="E659" s="14">
        <f>Data!V659</f>
        <v>0</v>
      </c>
    </row>
    <row r="660" spans="2:5" ht="15" customHeight="1" x14ac:dyDescent="0.3">
      <c r="C660" s="58"/>
      <c r="D660" s="8">
        <v>2023</v>
      </c>
      <c r="E660" s="14">
        <f>Data!V660</f>
        <v>0</v>
      </c>
    </row>
    <row r="661" spans="2:5" ht="15" customHeight="1" x14ac:dyDescent="0.3">
      <c r="C661" s="58"/>
      <c r="D661" s="8">
        <v>2024</v>
      </c>
      <c r="E661" s="14">
        <f>Data!V661</f>
        <v>0</v>
      </c>
    </row>
    <row r="662" spans="2:5" ht="15" customHeight="1" x14ac:dyDescent="0.3">
      <c r="B662" s="8">
        <v>61</v>
      </c>
      <c r="C662" s="58" t="s">
        <v>61</v>
      </c>
      <c r="D662" s="8">
        <v>2014</v>
      </c>
      <c r="E662" s="14">
        <f>Data!V662</f>
        <v>0</v>
      </c>
    </row>
    <row r="663" spans="2:5" ht="15" customHeight="1" x14ac:dyDescent="0.3">
      <c r="C663" s="58"/>
      <c r="D663" s="8">
        <v>2015</v>
      </c>
      <c r="E663" s="14">
        <f>Data!V663</f>
        <v>0</v>
      </c>
    </row>
    <row r="664" spans="2:5" ht="15" customHeight="1" x14ac:dyDescent="0.3">
      <c r="C664" s="58"/>
      <c r="D664" s="8">
        <v>2016</v>
      </c>
      <c r="E664" s="14">
        <f>Data!V664</f>
        <v>0</v>
      </c>
    </row>
    <row r="665" spans="2:5" ht="15" customHeight="1" x14ac:dyDescent="0.3">
      <c r="C665" s="58"/>
      <c r="D665" s="8">
        <v>2017</v>
      </c>
      <c r="E665" s="14">
        <f>Data!V665</f>
        <v>0</v>
      </c>
    </row>
    <row r="666" spans="2:5" ht="15" customHeight="1" x14ac:dyDescent="0.3">
      <c r="C666" s="58"/>
      <c r="D666" s="8">
        <v>2018</v>
      </c>
      <c r="E666" s="14">
        <f>Data!V666</f>
        <v>0</v>
      </c>
    </row>
    <row r="667" spans="2:5" ht="15" customHeight="1" x14ac:dyDescent="0.3">
      <c r="C667" s="58"/>
      <c r="D667" s="8">
        <v>2019</v>
      </c>
      <c r="E667" s="14">
        <f>Data!V667</f>
        <v>0</v>
      </c>
    </row>
    <row r="668" spans="2:5" ht="15" customHeight="1" x14ac:dyDescent="0.3">
      <c r="C668" s="58"/>
      <c r="D668" s="8">
        <v>2020</v>
      </c>
      <c r="E668" s="14">
        <f>Data!V668</f>
        <v>0</v>
      </c>
    </row>
    <row r="669" spans="2:5" ht="15" customHeight="1" x14ac:dyDescent="0.3">
      <c r="C669" s="58"/>
      <c r="D669" s="8">
        <v>2021</v>
      </c>
      <c r="E669" s="14">
        <f>Data!V669</f>
        <v>0</v>
      </c>
    </row>
    <row r="670" spans="2:5" ht="15" customHeight="1" x14ac:dyDescent="0.3">
      <c r="C670" s="58"/>
      <c r="D670" s="8">
        <v>2022</v>
      </c>
      <c r="E670" s="14">
        <f>Data!V670</f>
        <v>0</v>
      </c>
    </row>
    <row r="671" spans="2:5" ht="15" customHeight="1" x14ac:dyDescent="0.3">
      <c r="C671" s="58"/>
      <c r="D671" s="8">
        <v>2023</v>
      </c>
      <c r="E671" s="14">
        <f>Data!V671</f>
        <v>0</v>
      </c>
    </row>
    <row r="672" spans="2:5" ht="15" customHeight="1" x14ac:dyDescent="0.3">
      <c r="C672" s="58"/>
      <c r="D672" s="8">
        <v>2024</v>
      </c>
      <c r="E672" s="14">
        <f>Data!V672</f>
        <v>0</v>
      </c>
    </row>
    <row r="673" spans="2:5" ht="15" customHeight="1" x14ac:dyDescent="0.3">
      <c r="B673" s="8">
        <v>62</v>
      </c>
      <c r="C673" s="58" t="s">
        <v>62</v>
      </c>
      <c r="D673" s="8">
        <v>2014</v>
      </c>
      <c r="E673" s="14">
        <f>Data!V673</f>
        <v>0</v>
      </c>
    </row>
    <row r="674" spans="2:5" ht="15" customHeight="1" x14ac:dyDescent="0.3">
      <c r="C674" s="58"/>
      <c r="D674" s="8">
        <v>2015</v>
      </c>
      <c r="E674" s="14">
        <f>Data!V674</f>
        <v>0</v>
      </c>
    </row>
    <row r="675" spans="2:5" ht="15" customHeight="1" x14ac:dyDescent="0.3">
      <c r="C675" s="58"/>
      <c r="D675" s="8">
        <v>2016</v>
      </c>
      <c r="E675" s="14">
        <f>Data!V675</f>
        <v>0</v>
      </c>
    </row>
    <row r="676" spans="2:5" ht="15" customHeight="1" x14ac:dyDescent="0.3">
      <c r="C676" s="58"/>
      <c r="D676" s="8">
        <v>2017</v>
      </c>
      <c r="E676" s="14">
        <f>Data!V676</f>
        <v>0</v>
      </c>
    </row>
    <row r="677" spans="2:5" ht="15" customHeight="1" x14ac:dyDescent="0.3">
      <c r="C677" s="58"/>
      <c r="D677" s="8">
        <v>2018</v>
      </c>
      <c r="E677" s="14">
        <f>Data!V677</f>
        <v>0</v>
      </c>
    </row>
    <row r="678" spans="2:5" ht="15" customHeight="1" x14ac:dyDescent="0.3">
      <c r="C678" s="58"/>
      <c r="D678" s="8">
        <v>2019</v>
      </c>
      <c r="E678" s="14">
        <f>Data!V678</f>
        <v>0</v>
      </c>
    </row>
    <row r="679" spans="2:5" ht="15" customHeight="1" x14ac:dyDescent="0.3">
      <c r="C679" s="58"/>
      <c r="D679" s="8">
        <v>2020</v>
      </c>
      <c r="E679" s="14">
        <f>Data!V679</f>
        <v>0</v>
      </c>
    </row>
    <row r="680" spans="2:5" ht="15" customHeight="1" x14ac:dyDescent="0.3">
      <c r="C680" s="58"/>
      <c r="D680" s="8">
        <v>2021</v>
      </c>
      <c r="E680" s="14">
        <f>Data!V680</f>
        <v>0</v>
      </c>
    </row>
    <row r="681" spans="2:5" ht="15" customHeight="1" x14ac:dyDescent="0.3">
      <c r="C681" s="58"/>
      <c r="D681" s="8">
        <v>2022</v>
      </c>
      <c r="E681" s="14">
        <f>Data!V681</f>
        <v>0</v>
      </c>
    </row>
    <row r="682" spans="2:5" ht="15" customHeight="1" x14ac:dyDescent="0.3">
      <c r="C682" s="58"/>
      <c r="D682" s="8">
        <v>2023</v>
      </c>
      <c r="E682" s="14">
        <f>Data!V682</f>
        <v>0</v>
      </c>
    </row>
    <row r="683" spans="2:5" ht="15" customHeight="1" x14ac:dyDescent="0.3">
      <c r="C683" s="58"/>
      <c r="D683" s="8">
        <v>2024</v>
      </c>
      <c r="E683" s="14">
        <f>Data!V683</f>
        <v>0</v>
      </c>
    </row>
    <row r="684" spans="2:5" ht="15" customHeight="1" x14ac:dyDescent="0.3">
      <c r="B684" s="8">
        <v>63</v>
      </c>
      <c r="C684" s="58" t="s">
        <v>60</v>
      </c>
      <c r="D684" s="8">
        <v>2014</v>
      </c>
      <c r="E684" s="14">
        <f>Data!V684</f>
        <v>0</v>
      </c>
    </row>
    <row r="685" spans="2:5" ht="15" customHeight="1" x14ac:dyDescent="0.3">
      <c r="C685" s="58"/>
      <c r="D685" s="8">
        <v>2015</v>
      </c>
      <c r="E685" s="14">
        <f>Data!V685</f>
        <v>6</v>
      </c>
    </row>
    <row r="686" spans="2:5" ht="15" customHeight="1" x14ac:dyDescent="0.3">
      <c r="C686" s="58"/>
      <c r="D686" s="8">
        <v>2016</v>
      </c>
      <c r="E686" s="14">
        <f>Data!V686</f>
        <v>6</v>
      </c>
    </row>
    <row r="687" spans="2:5" ht="15" customHeight="1" x14ac:dyDescent="0.3">
      <c r="C687" s="58"/>
      <c r="D687" s="8">
        <v>2017</v>
      </c>
      <c r="E687" s="14">
        <f>Data!V687</f>
        <v>6</v>
      </c>
    </row>
    <row r="688" spans="2:5" ht="15" customHeight="1" x14ac:dyDescent="0.3">
      <c r="C688" s="58"/>
      <c r="D688" s="8">
        <v>2018</v>
      </c>
      <c r="E688" s="14">
        <f>Data!V688</f>
        <v>8</v>
      </c>
    </row>
    <row r="689" spans="2:5" ht="15" customHeight="1" x14ac:dyDescent="0.3">
      <c r="C689" s="58"/>
      <c r="D689" s="8">
        <v>2019</v>
      </c>
      <c r="E689" s="14">
        <f>Data!V689</f>
        <v>6</v>
      </c>
    </row>
    <row r="690" spans="2:5" ht="15" customHeight="1" x14ac:dyDescent="0.3">
      <c r="C690" s="58"/>
      <c r="D690" s="8">
        <v>2020</v>
      </c>
      <c r="E690" s="14">
        <f>Data!V690</f>
        <v>9</v>
      </c>
    </row>
    <row r="691" spans="2:5" ht="15" customHeight="1" x14ac:dyDescent="0.3">
      <c r="C691" s="58"/>
      <c r="D691" s="8">
        <v>2021</v>
      </c>
      <c r="E691" s="14">
        <f>Data!V691</f>
        <v>9</v>
      </c>
    </row>
    <row r="692" spans="2:5" ht="15" customHeight="1" x14ac:dyDescent="0.3">
      <c r="C692" s="58"/>
      <c r="D692" s="8">
        <v>2022</v>
      </c>
      <c r="E692" s="14">
        <f>Data!V692</f>
        <v>7</v>
      </c>
    </row>
    <row r="693" spans="2:5" ht="15" customHeight="1" x14ac:dyDescent="0.3">
      <c r="C693" s="58"/>
      <c r="D693" s="8">
        <v>2023</v>
      </c>
      <c r="E693" s="14">
        <f>Data!V693</f>
        <v>7</v>
      </c>
    </row>
    <row r="694" spans="2:5" ht="15" customHeight="1" x14ac:dyDescent="0.3">
      <c r="C694" s="58"/>
      <c r="D694" s="8">
        <v>2024</v>
      </c>
      <c r="E694" s="14">
        <f>Data!V694</f>
        <v>7</v>
      </c>
    </row>
    <row r="695" spans="2:5" ht="15" customHeight="1" x14ac:dyDescent="0.3">
      <c r="B695" s="8">
        <v>64</v>
      </c>
      <c r="C695" s="59" t="s">
        <v>131</v>
      </c>
      <c r="D695" s="8">
        <v>2014</v>
      </c>
      <c r="E695" s="14">
        <f>Data!V695</f>
        <v>0</v>
      </c>
    </row>
    <row r="696" spans="2:5" ht="15" customHeight="1" x14ac:dyDescent="0.3">
      <c r="C696" s="59"/>
      <c r="D696" s="8">
        <v>2015</v>
      </c>
      <c r="E696" s="14">
        <f>Data!V696</f>
        <v>0</v>
      </c>
    </row>
    <row r="697" spans="2:5" ht="15" customHeight="1" x14ac:dyDescent="0.3">
      <c r="C697" s="59"/>
      <c r="D697" s="8">
        <v>2016</v>
      </c>
      <c r="E697" s="14">
        <f>Data!V697</f>
        <v>0</v>
      </c>
    </row>
    <row r="698" spans="2:5" ht="15" customHeight="1" x14ac:dyDescent="0.3">
      <c r="C698" s="59"/>
      <c r="D698" s="8">
        <v>2017</v>
      </c>
      <c r="E698" s="14">
        <f>Data!V698</f>
        <v>0</v>
      </c>
    </row>
    <row r="699" spans="2:5" ht="15" customHeight="1" x14ac:dyDescent="0.3">
      <c r="C699" s="59"/>
      <c r="D699" s="8">
        <v>2018</v>
      </c>
      <c r="E699" s="14">
        <f>Data!V699</f>
        <v>0</v>
      </c>
    </row>
    <row r="700" spans="2:5" ht="15" customHeight="1" x14ac:dyDescent="0.3">
      <c r="C700" s="59"/>
      <c r="D700" s="8">
        <v>2019</v>
      </c>
      <c r="E700" s="14">
        <f>Data!V700</f>
        <v>0</v>
      </c>
    </row>
    <row r="701" spans="2:5" ht="15" customHeight="1" x14ac:dyDescent="0.3">
      <c r="C701" s="59"/>
      <c r="D701" s="8">
        <v>2020</v>
      </c>
      <c r="E701" s="14">
        <f>Data!V701</f>
        <v>0</v>
      </c>
    </row>
    <row r="702" spans="2:5" ht="15" customHeight="1" x14ac:dyDescent="0.3">
      <c r="C702" s="59"/>
      <c r="D702" s="8">
        <v>2021</v>
      </c>
      <c r="E702" s="14">
        <f>Data!V702</f>
        <v>0</v>
      </c>
    </row>
    <row r="703" spans="2:5" ht="15" customHeight="1" x14ac:dyDescent="0.3">
      <c r="C703" s="59"/>
      <c r="D703" s="8">
        <v>2022</v>
      </c>
      <c r="E703" s="14">
        <f>Data!V703</f>
        <v>0</v>
      </c>
    </row>
    <row r="704" spans="2:5" ht="15" customHeight="1" x14ac:dyDescent="0.3">
      <c r="C704" s="59"/>
      <c r="D704" s="8">
        <v>2023</v>
      </c>
      <c r="E704" s="14">
        <f>Data!V704</f>
        <v>0</v>
      </c>
    </row>
    <row r="705" spans="2:5" ht="15" customHeight="1" x14ac:dyDescent="0.3">
      <c r="C705" s="59"/>
      <c r="D705" s="8">
        <v>2024</v>
      </c>
      <c r="E705" s="14">
        <f>Data!V705</f>
        <v>0</v>
      </c>
    </row>
    <row r="706" spans="2:5" ht="15" customHeight="1" x14ac:dyDescent="0.3">
      <c r="B706" s="8">
        <v>65</v>
      </c>
      <c r="C706" s="58" t="s">
        <v>64</v>
      </c>
      <c r="D706" s="8">
        <v>2014</v>
      </c>
      <c r="E706" s="14">
        <f>Data!V706</f>
        <v>0</v>
      </c>
    </row>
    <row r="707" spans="2:5" ht="15" customHeight="1" x14ac:dyDescent="0.3">
      <c r="C707" s="58"/>
      <c r="D707" s="8">
        <v>2015</v>
      </c>
      <c r="E707" s="14">
        <f>Data!V707</f>
        <v>0</v>
      </c>
    </row>
    <row r="708" spans="2:5" ht="15" customHeight="1" x14ac:dyDescent="0.3">
      <c r="C708" s="58"/>
      <c r="D708" s="8">
        <v>2016</v>
      </c>
      <c r="E708" s="14">
        <f>Data!V708</f>
        <v>0</v>
      </c>
    </row>
    <row r="709" spans="2:5" ht="15" customHeight="1" x14ac:dyDescent="0.3">
      <c r="C709" s="58"/>
      <c r="D709" s="8">
        <v>2017</v>
      </c>
      <c r="E709" s="14">
        <f>Data!V709</f>
        <v>0</v>
      </c>
    </row>
    <row r="710" spans="2:5" ht="15" customHeight="1" x14ac:dyDescent="0.3">
      <c r="C710" s="58"/>
      <c r="D710" s="8">
        <v>2018</v>
      </c>
      <c r="E710" s="14">
        <f>Data!V710</f>
        <v>0</v>
      </c>
    </row>
    <row r="711" spans="2:5" ht="15" customHeight="1" x14ac:dyDescent="0.3">
      <c r="C711" s="58"/>
      <c r="D711" s="8">
        <v>2019</v>
      </c>
      <c r="E711" s="14">
        <f>Data!V711</f>
        <v>0</v>
      </c>
    </row>
    <row r="712" spans="2:5" ht="15" customHeight="1" x14ac:dyDescent="0.3">
      <c r="C712" s="58"/>
      <c r="D712" s="8">
        <v>2020</v>
      </c>
      <c r="E712" s="14">
        <f>Data!V712</f>
        <v>0</v>
      </c>
    </row>
    <row r="713" spans="2:5" ht="15" customHeight="1" x14ac:dyDescent="0.3">
      <c r="C713" s="58"/>
      <c r="D713" s="8">
        <v>2021</v>
      </c>
      <c r="E713" s="14">
        <f>Data!V713</f>
        <v>0</v>
      </c>
    </row>
    <row r="714" spans="2:5" ht="15" customHeight="1" x14ac:dyDescent="0.3">
      <c r="C714" s="58"/>
      <c r="D714" s="8">
        <v>2022</v>
      </c>
      <c r="E714" s="14">
        <f>Data!V714</f>
        <v>0</v>
      </c>
    </row>
    <row r="715" spans="2:5" ht="15" customHeight="1" x14ac:dyDescent="0.3">
      <c r="C715" s="58"/>
      <c r="D715" s="8">
        <v>2023</v>
      </c>
      <c r="E715" s="14">
        <f>Data!V715</f>
        <v>0</v>
      </c>
    </row>
    <row r="716" spans="2:5" ht="15" customHeight="1" x14ac:dyDescent="0.3">
      <c r="C716" s="58"/>
      <c r="D716" s="8">
        <v>2024</v>
      </c>
      <c r="E716" s="14">
        <f>Data!V716</f>
        <v>0</v>
      </c>
    </row>
    <row r="717" spans="2:5" ht="15" customHeight="1" x14ac:dyDescent="0.3">
      <c r="B717" s="8">
        <v>66</v>
      </c>
      <c r="C717" s="58" t="s">
        <v>67</v>
      </c>
      <c r="D717" s="8">
        <v>2014</v>
      </c>
      <c r="E717" s="14">
        <f>Data!V717</f>
        <v>0</v>
      </c>
    </row>
    <row r="718" spans="2:5" ht="15" customHeight="1" x14ac:dyDescent="0.3">
      <c r="C718" s="58"/>
      <c r="D718" s="8">
        <v>2015</v>
      </c>
      <c r="E718" s="14">
        <f>Data!V718</f>
        <v>8</v>
      </c>
    </row>
    <row r="719" spans="2:5" ht="15" customHeight="1" x14ac:dyDescent="0.3">
      <c r="C719" s="58"/>
      <c r="D719" s="8">
        <v>2016</v>
      </c>
      <c r="E719" s="14">
        <f>Data!V719</f>
        <v>11</v>
      </c>
    </row>
    <row r="720" spans="2:5" ht="15" customHeight="1" x14ac:dyDescent="0.3">
      <c r="C720" s="58"/>
      <c r="D720" s="8">
        <v>2017</v>
      </c>
      <c r="E720" s="14">
        <f>Data!V720</f>
        <v>11</v>
      </c>
    </row>
    <row r="721" spans="2:5" ht="15" customHeight="1" x14ac:dyDescent="0.3">
      <c r="C721" s="58"/>
      <c r="D721" s="8">
        <v>2018</v>
      </c>
      <c r="E721" s="14">
        <f>Data!V721</f>
        <v>19</v>
      </c>
    </row>
    <row r="722" spans="2:5" ht="15" customHeight="1" x14ac:dyDescent="0.3">
      <c r="C722" s="58"/>
      <c r="D722" s="8">
        <v>2019</v>
      </c>
      <c r="E722" s="14">
        <f>Data!V722</f>
        <v>11</v>
      </c>
    </row>
    <row r="723" spans="2:5" ht="15" customHeight="1" x14ac:dyDescent="0.3">
      <c r="C723" s="58"/>
      <c r="D723" s="8">
        <v>2020</v>
      </c>
      <c r="E723" s="14">
        <f>Data!V723</f>
        <v>14</v>
      </c>
    </row>
    <row r="724" spans="2:5" ht="15" customHeight="1" x14ac:dyDescent="0.3">
      <c r="C724" s="58"/>
      <c r="D724" s="8">
        <v>2021</v>
      </c>
      <c r="E724" s="14">
        <f>Data!V724</f>
        <v>14</v>
      </c>
    </row>
    <row r="725" spans="2:5" ht="15" customHeight="1" x14ac:dyDescent="0.3">
      <c r="C725" s="58"/>
      <c r="D725" s="8">
        <v>2022</v>
      </c>
      <c r="E725" s="14">
        <f>Data!V725</f>
        <v>11</v>
      </c>
    </row>
    <row r="726" spans="2:5" ht="15" customHeight="1" x14ac:dyDescent="0.3">
      <c r="C726" s="58"/>
      <c r="D726" s="8">
        <v>2023</v>
      </c>
      <c r="E726" s="14">
        <f>Data!V726</f>
        <v>16</v>
      </c>
    </row>
    <row r="727" spans="2:5" ht="15" customHeight="1" x14ac:dyDescent="0.3">
      <c r="C727" s="58"/>
      <c r="D727" s="8">
        <v>2024</v>
      </c>
      <c r="E727" s="14">
        <f>Data!V727</f>
        <v>0</v>
      </c>
    </row>
    <row r="728" spans="2:5" ht="15" customHeight="1" x14ac:dyDescent="0.3">
      <c r="B728" s="8">
        <v>67</v>
      </c>
      <c r="C728" s="58" t="s">
        <v>68</v>
      </c>
      <c r="D728" s="8">
        <v>2014</v>
      </c>
      <c r="E728" s="14">
        <f>Data!V728</f>
        <v>0</v>
      </c>
    </row>
    <row r="729" spans="2:5" ht="15" customHeight="1" x14ac:dyDescent="0.3">
      <c r="C729" s="58"/>
      <c r="D729" s="8">
        <v>2015</v>
      </c>
      <c r="E729" s="14">
        <f>Data!V729</f>
        <v>0</v>
      </c>
    </row>
    <row r="730" spans="2:5" ht="15" customHeight="1" x14ac:dyDescent="0.3">
      <c r="C730" s="58"/>
      <c r="D730" s="8">
        <v>2016</v>
      </c>
      <c r="E730" s="14">
        <f>Data!V730</f>
        <v>16</v>
      </c>
    </row>
    <row r="731" spans="2:5" ht="15" customHeight="1" x14ac:dyDescent="0.3">
      <c r="C731" s="58"/>
      <c r="D731" s="8">
        <v>2017</v>
      </c>
      <c r="E731" s="14">
        <f>Data!V731</f>
        <v>16</v>
      </c>
    </row>
    <row r="732" spans="2:5" ht="15" customHeight="1" x14ac:dyDescent="0.3">
      <c r="C732" s="58"/>
      <c r="D732" s="8">
        <v>2018</v>
      </c>
      <c r="E732" s="14">
        <f>Data!V732</f>
        <v>0</v>
      </c>
    </row>
    <row r="733" spans="2:5" ht="15" customHeight="1" x14ac:dyDescent="0.3">
      <c r="C733" s="58"/>
      <c r="D733" s="8">
        <v>2019</v>
      </c>
      <c r="E733" s="14">
        <f>Data!V733</f>
        <v>11</v>
      </c>
    </row>
    <row r="734" spans="2:5" ht="15" customHeight="1" x14ac:dyDescent="0.3">
      <c r="C734" s="58"/>
      <c r="D734" s="8">
        <v>2020</v>
      </c>
      <c r="E734" s="14">
        <f>Data!V734</f>
        <v>11</v>
      </c>
    </row>
    <row r="735" spans="2:5" ht="15" customHeight="1" x14ac:dyDescent="0.3">
      <c r="C735" s="58"/>
      <c r="D735" s="8">
        <v>2021</v>
      </c>
      <c r="E735" s="14">
        <f>Data!V735</f>
        <v>11</v>
      </c>
    </row>
    <row r="736" spans="2:5" ht="15" customHeight="1" x14ac:dyDescent="0.3">
      <c r="C736" s="58"/>
      <c r="D736" s="8">
        <v>2022</v>
      </c>
      <c r="E736" s="14">
        <f>Data!V736</f>
        <v>11</v>
      </c>
    </row>
    <row r="737" spans="2:5" ht="15" customHeight="1" x14ac:dyDescent="0.3">
      <c r="C737" s="58"/>
      <c r="D737" s="8">
        <v>2023</v>
      </c>
      <c r="E737" s="14">
        <f>Data!V737</f>
        <v>11</v>
      </c>
    </row>
    <row r="738" spans="2:5" ht="15" customHeight="1" x14ac:dyDescent="0.3">
      <c r="C738" s="58"/>
      <c r="D738" s="8">
        <v>2024</v>
      </c>
      <c r="E738" s="14">
        <f>Data!V738</f>
        <v>8</v>
      </c>
    </row>
    <row r="739" spans="2:5" ht="15" customHeight="1" x14ac:dyDescent="0.3">
      <c r="B739" s="8">
        <v>68</v>
      </c>
      <c r="C739" s="58" t="s">
        <v>69</v>
      </c>
      <c r="D739" s="8">
        <v>2014</v>
      </c>
      <c r="E739" s="14">
        <f>Data!V739</f>
        <v>0</v>
      </c>
    </row>
    <row r="740" spans="2:5" ht="15" customHeight="1" x14ac:dyDescent="0.3">
      <c r="C740" s="58"/>
      <c r="D740" s="8">
        <v>2015</v>
      </c>
      <c r="E740" s="14">
        <f>Data!V740</f>
        <v>9</v>
      </c>
    </row>
    <row r="741" spans="2:5" ht="15" customHeight="1" x14ac:dyDescent="0.3">
      <c r="C741" s="58"/>
      <c r="D741" s="8">
        <v>2016</v>
      </c>
      <c r="E741" s="14">
        <f>Data!V741</f>
        <v>9</v>
      </c>
    </row>
    <row r="742" spans="2:5" ht="15" customHeight="1" x14ac:dyDescent="0.3">
      <c r="C742" s="58"/>
      <c r="D742" s="8">
        <v>2017</v>
      </c>
      <c r="E742" s="14">
        <f>Data!V742</f>
        <v>12</v>
      </c>
    </row>
    <row r="743" spans="2:5" ht="15" customHeight="1" x14ac:dyDescent="0.3">
      <c r="C743" s="58"/>
      <c r="D743" s="8">
        <v>2018</v>
      </c>
      <c r="E743" s="14">
        <f>Data!V743</f>
        <v>11</v>
      </c>
    </row>
    <row r="744" spans="2:5" ht="15" customHeight="1" x14ac:dyDescent="0.3">
      <c r="C744" s="58"/>
      <c r="D744" s="8">
        <v>2019</v>
      </c>
      <c r="E744" s="14">
        <f>Data!V744</f>
        <v>11</v>
      </c>
    </row>
    <row r="745" spans="2:5" ht="15" customHeight="1" x14ac:dyDescent="0.3">
      <c r="C745" s="58"/>
      <c r="D745" s="8">
        <v>2020</v>
      </c>
      <c r="E745" s="14">
        <f>Data!V745</f>
        <v>11</v>
      </c>
    </row>
    <row r="746" spans="2:5" ht="15" customHeight="1" x14ac:dyDescent="0.3">
      <c r="C746" s="58"/>
      <c r="D746" s="8">
        <v>2021</v>
      </c>
      <c r="E746" s="14">
        <f>Data!V746</f>
        <v>11</v>
      </c>
    </row>
    <row r="747" spans="2:5" ht="15" customHeight="1" x14ac:dyDescent="0.3">
      <c r="C747" s="58"/>
      <c r="D747" s="8">
        <v>2022</v>
      </c>
      <c r="E747" s="14">
        <f>Data!V747</f>
        <v>11</v>
      </c>
    </row>
    <row r="748" spans="2:5" ht="15" customHeight="1" x14ac:dyDescent="0.3">
      <c r="C748" s="58"/>
      <c r="D748" s="8">
        <v>2023</v>
      </c>
      <c r="E748" s="14">
        <f>Data!V748</f>
        <v>12</v>
      </c>
    </row>
    <row r="749" spans="2:5" ht="15" customHeight="1" x14ac:dyDescent="0.3">
      <c r="C749" s="58"/>
      <c r="D749" s="8">
        <v>2024</v>
      </c>
      <c r="E749" s="14">
        <f>Data!V749</f>
        <v>10</v>
      </c>
    </row>
    <row r="750" spans="2:5" ht="15" customHeight="1" x14ac:dyDescent="0.3">
      <c r="B750" s="8">
        <v>69</v>
      </c>
      <c r="C750" s="58" t="s">
        <v>70</v>
      </c>
      <c r="D750" s="8">
        <v>2014</v>
      </c>
      <c r="E750" s="14">
        <f>Data!V750</f>
        <v>0</v>
      </c>
    </row>
    <row r="751" spans="2:5" ht="15" customHeight="1" x14ac:dyDescent="0.3">
      <c r="C751" s="58"/>
      <c r="D751" s="8">
        <v>2015</v>
      </c>
      <c r="E751" s="14">
        <f>Data!V751</f>
        <v>0</v>
      </c>
    </row>
    <row r="752" spans="2:5" ht="15" customHeight="1" x14ac:dyDescent="0.3">
      <c r="C752" s="58"/>
      <c r="D752" s="8">
        <v>2016</v>
      </c>
      <c r="E752" s="14">
        <f>Data!V752</f>
        <v>0</v>
      </c>
    </row>
    <row r="753" spans="2:5" ht="15" customHeight="1" x14ac:dyDescent="0.3">
      <c r="C753" s="58"/>
      <c r="D753" s="8">
        <v>2017</v>
      </c>
      <c r="E753" s="14">
        <f>Data!V753</f>
        <v>0</v>
      </c>
    </row>
    <row r="754" spans="2:5" ht="15" customHeight="1" x14ac:dyDescent="0.3">
      <c r="C754" s="58"/>
      <c r="D754" s="8">
        <v>2018</v>
      </c>
      <c r="E754" s="14">
        <f>Data!V754</f>
        <v>3</v>
      </c>
    </row>
    <row r="755" spans="2:5" ht="15" customHeight="1" x14ac:dyDescent="0.3">
      <c r="C755" s="58"/>
      <c r="D755" s="8">
        <v>2019</v>
      </c>
      <c r="E755" s="14">
        <f>Data!V755</f>
        <v>5</v>
      </c>
    </row>
    <row r="756" spans="2:5" ht="15" customHeight="1" x14ac:dyDescent="0.3">
      <c r="C756" s="58"/>
      <c r="D756" s="8">
        <v>2020</v>
      </c>
      <c r="E756" s="14">
        <f>Data!V756</f>
        <v>5</v>
      </c>
    </row>
    <row r="757" spans="2:5" ht="15" customHeight="1" x14ac:dyDescent="0.3">
      <c r="C757" s="58"/>
      <c r="D757" s="8">
        <v>2021</v>
      </c>
      <c r="E757" s="14">
        <f>Data!V757</f>
        <v>7</v>
      </c>
    </row>
    <row r="758" spans="2:5" ht="15" customHeight="1" x14ac:dyDescent="0.3">
      <c r="C758" s="58"/>
      <c r="D758" s="8">
        <v>2022</v>
      </c>
      <c r="E758" s="14">
        <f>Data!V758</f>
        <v>7</v>
      </c>
    </row>
    <row r="759" spans="2:5" ht="15" customHeight="1" x14ac:dyDescent="0.3">
      <c r="C759" s="58"/>
      <c r="D759" s="8">
        <v>2023</v>
      </c>
      <c r="E759" s="14">
        <f>Data!V759</f>
        <v>5</v>
      </c>
    </row>
    <row r="760" spans="2:5" ht="15" customHeight="1" x14ac:dyDescent="0.3">
      <c r="C760" s="58"/>
      <c r="D760" s="8">
        <v>2024</v>
      </c>
      <c r="E760" s="14">
        <f>Data!V760</f>
        <v>5</v>
      </c>
    </row>
    <row r="761" spans="2:5" ht="15" customHeight="1" x14ac:dyDescent="0.3">
      <c r="B761" s="8">
        <v>70</v>
      </c>
      <c r="C761" s="58" t="s">
        <v>71</v>
      </c>
      <c r="D761" s="8">
        <v>2014</v>
      </c>
      <c r="E761" s="14">
        <f>Data!V761</f>
        <v>0</v>
      </c>
    </row>
    <row r="762" spans="2:5" ht="15" customHeight="1" x14ac:dyDescent="0.3">
      <c r="C762" s="58"/>
      <c r="D762" s="8">
        <v>2015</v>
      </c>
      <c r="E762" s="14">
        <f>Data!V762</f>
        <v>10</v>
      </c>
    </row>
    <row r="763" spans="2:5" ht="15" customHeight="1" x14ac:dyDescent="0.3">
      <c r="C763" s="58"/>
      <c r="D763" s="8">
        <v>2016</v>
      </c>
      <c r="E763" s="14">
        <f>Data!V763</f>
        <v>14</v>
      </c>
    </row>
    <row r="764" spans="2:5" ht="15" customHeight="1" x14ac:dyDescent="0.3">
      <c r="C764" s="58"/>
      <c r="D764" s="8">
        <v>2017</v>
      </c>
      <c r="E764" s="14">
        <f>Data!V764</f>
        <v>14</v>
      </c>
    </row>
    <row r="765" spans="2:5" ht="15" customHeight="1" x14ac:dyDescent="0.3">
      <c r="C765" s="58"/>
      <c r="D765" s="8">
        <v>2018</v>
      </c>
      <c r="E765" s="14">
        <f>Data!V765</f>
        <v>20</v>
      </c>
    </row>
    <row r="766" spans="2:5" ht="15" customHeight="1" x14ac:dyDescent="0.3">
      <c r="C766" s="58"/>
      <c r="D766" s="8">
        <v>2019</v>
      </c>
      <c r="E766" s="14">
        <f>Data!V766</f>
        <v>13</v>
      </c>
    </row>
    <row r="767" spans="2:5" ht="15" customHeight="1" x14ac:dyDescent="0.3">
      <c r="C767" s="58"/>
      <c r="D767" s="8">
        <v>2020</v>
      </c>
      <c r="E767" s="14">
        <f>Data!V767</f>
        <v>13</v>
      </c>
    </row>
    <row r="768" spans="2:5" ht="15" customHeight="1" x14ac:dyDescent="0.3">
      <c r="C768" s="58"/>
      <c r="D768" s="8">
        <v>2021</v>
      </c>
      <c r="E768" s="14">
        <f>Data!V768</f>
        <v>13</v>
      </c>
    </row>
    <row r="769" spans="2:5" ht="15" customHeight="1" x14ac:dyDescent="0.3">
      <c r="C769" s="58"/>
      <c r="D769" s="8">
        <v>2022</v>
      </c>
      <c r="E769" s="14">
        <f>Data!V769</f>
        <v>13</v>
      </c>
    </row>
    <row r="770" spans="2:5" ht="15" customHeight="1" x14ac:dyDescent="0.3">
      <c r="C770" s="58"/>
      <c r="D770" s="8">
        <v>2023</v>
      </c>
      <c r="E770" s="14">
        <f>Data!V770</f>
        <v>13</v>
      </c>
    </row>
    <row r="771" spans="2:5" ht="15" customHeight="1" x14ac:dyDescent="0.3">
      <c r="C771" s="58"/>
      <c r="D771" s="8">
        <v>2024</v>
      </c>
      <c r="E771" s="14">
        <f>Data!V771</f>
        <v>13</v>
      </c>
    </row>
    <row r="772" spans="2:5" ht="15" customHeight="1" x14ac:dyDescent="0.3">
      <c r="B772" s="8">
        <v>71</v>
      </c>
      <c r="C772" s="58" t="s">
        <v>73</v>
      </c>
      <c r="D772" s="8">
        <v>2014</v>
      </c>
      <c r="E772" s="14">
        <f>Data!V772</f>
        <v>0</v>
      </c>
    </row>
    <row r="773" spans="2:5" ht="15" customHeight="1" x14ac:dyDescent="0.3">
      <c r="C773" s="58"/>
      <c r="D773" s="8">
        <v>2015</v>
      </c>
      <c r="E773" s="14">
        <f>Data!V773</f>
        <v>0</v>
      </c>
    </row>
    <row r="774" spans="2:5" ht="15" customHeight="1" x14ac:dyDescent="0.3">
      <c r="C774" s="58"/>
      <c r="D774" s="8">
        <v>2016</v>
      </c>
      <c r="E774" s="14">
        <f>Data!V774</f>
        <v>0</v>
      </c>
    </row>
    <row r="775" spans="2:5" ht="15" customHeight="1" x14ac:dyDescent="0.3">
      <c r="C775" s="58"/>
      <c r="D775" s="8">
        <v>2017</v>
      </c>
      <c r="E775" s="14">
        <f>Data!V775</f>
        <v>0</v>
      </c>
    </row>
    <row r="776" spans="2:5" ht="15" customHeight="1" x14ac:dyDescent="0.3">
      <c r="C776" s="58"/>
      <c r="D776" s="8">
        <v>2018</v>
      </c>
      <c r="E776" s="14">
        <f>Data!V776</f>
        <v>0</v>
      </c>
    </row>
    <row r="777" spans="2:5" ht="15" customHeight="1" x14ac:dyDescent="0.3">
      <c r="C777" s="58"/>
      <c r="D777" s="8">
        <v>2019</v>
      </c>
      <c r="E777" s="14">
        <f>Data!V777</f>
        <v>0</v>
      </c>
    </row>
    <row r="778" spans="2:5" ht="15" customHeight="1" x14ac:dyDescent="0.3">
      <c r="C778" s="58"/>
      <c r="D778" s="8">
        <v>2020</v>
      </c>
      <c r="E778" s="14">
        <f>Data!V778</f>
        <v>0</v>
      </c>
    </row>
    <row r="779" spans="2:5" ht="15" customHeight="1" x14ac:dyDescent="0.3">
      <c r="C779" s="58"/>
      <c r="D779" s="8">
        <v>2021</v>
      </c>
      <c r="E779" s="14">
        <f>Data!V779</f>
        <v>0</v>
      </c>
    </row>
    <row r="780" spans="2:5" ht="15" customHeight="1" x14ac:dyDescent="0.3">
      <c r="C780" s="58"/>
      <c r="D780" s="8">
        <v>2022</v>
      </c>
      <c r="E780" s="14">
        <f>Data!V780</f>
        <v>0</v>
      </c>
    </row>
    <row r="781" spans="2:5" ht="15" customHeight="1" x14ac:dyDescent="0.3">
      <c r="C781" s="58"/>
      <c r="D781" s="8">
        <v>2023</v>
      </c>
      <c r="E781" s="14">
        <f>Data!V781</f>
        <v>0</v>
      </c>
    </row>
    <row r="782" spans="2:5" ht="15" customHeight="1" x14ac:dyDescent="0.3">
      <c r="C782" s="58"/>
      <c r="D782" s="8">
        <v>2024</v>
      </c>
      <c r="E782" s="14">
        <f>Data!V782</f>
        <v>0</v>
      </c>
    </row>
    <row r="783" spans="2:5" ht="15" customHeight="1" x14ac:dyDescent="0.3">
      <c r="B783" s="8">
        <v>72</v>
      </c>
      <c r="C783" s="58" t="s">
        <v>75</v>
      </c>
      <c r="D783" s="8">
        <v>2014</v>
      </c>
      <c r="E783" s="14">
        <f>Data!V783</f>
        <v>0</v>
      </c>
    </row>
    <row r="784" spans="2:5" ht="15" customHeight="1" x14ac:dyDescent="0.3">
      <c r="C784" s="58"/>
      <c r="D784" s="8">
        <v>2015</v>
      </c>
      <c r="E784" s="14">
        <f>Data!V784</f>
        <v>0</v>
      </c>
    </row>
    <row r="785" spans="2:5" ht="15" customHeight="1" x14ac:dyDescent="0.3">
      <c r="C785" s="58"/>
      <c r="D785" s="8">
        <v>2016</v>
      </c>
      <c r="E785" s="14">
        <f>Data!V785</f>
        <v>0</v>
      </c>
    </row>
    <row r="786" spans="2:5" ht="15" customHeight="1" x14ac:dyDescent="0.3">
      <c r="C786" s="58"/>
      <c r="D786" s="8">
        <v>2017</v>
      </c>
      <c r="E786" s="14">
        <f>Data!V786</f>
        <v>0</v>
      </c>
    </row>
    <row r="787" spans="2:5" ht="15" customHeight="1" x14ac:dyDescent="0.3">
      <c r="C787" s="58"/>
      <c r="D787" s="8">
        <v>2018</v>
      </c>
      <c r="E787" s="14">
        <f>Data!V787</f>
        <v>0</v>
      </c>
    </row>
    <row r="788" spans="2:5" ht="15" customHeight="1" x14ac:dyDescent="0.3">
      <c r="C788" s="58"/>
      <c r="D788" s="8">
        <v>2019</v>
      </c>
      <c r="E788" s="14">
        <f>Data!V788</f>
        <v>0</v>
      </c>
    </row>
    <row r="789" spans="2:5" ht="15" customHeight="1" x14ac:dyDescent="0.3">
      <c r="C789" s="58"/>
      <c r="D789" s="8">
        <v>2020</v>
      </c>
      <c r="E789" s="14">
        <f>Data!V789</f>
        <v>0</v>
      </c>
    </row>
    <row r="790" spans="2:5" ht="15" customHeight="1" x14ac:dyDescent="0.3">
      <c r="C790" s="58"/>
      <c r="D790" s="8">
        <v>2021</v>
      </c>
      <c r="E790" s="14">
        <f>Data!V790</f>
        <v>0</v>
      </c>
    </row>
    <row r="791" spans="2:5" ht="15" customHeight="1" x14ac:dyDescent="0.3">
      <c r="C791" s="58"/>
      <c r="D791" s="8">
        <v>2022</v>
      </c>
      <c r="E791" s="14">
        <f>Data!V791</f>
        <v>0</v>
      </c>
    </row>
    <row r="792" spans="2:5" ht="15" customHeight="1" x14ac:dyDescent="0.3">
      <c r="C792" s="58"/>
      <c r="D792" s="8">
        <v>2023</v>
      </c>
      <c r="E792" s="14">
        <f>Data!V792</f>
        <v>0</v>
      </c>
    </row>
    <row r="793" spans="2:5" ht="15" customHeight="1" x14ac:dyDescent="0.3">
      <c r="C793" s="58"/>
      <c r="D793" s="8">
        <v>2024</v>
      </c>
      <c r="E793" s="14">
        <f>Data!V793</f>
        <v>0</v>
      </c>
    </row>
    <row r="794" spans="2:5" ht="15" customHeight="1" x14ac:dyDescent="0.3">
      <c r="B794" s="8">
        <v>73</v>
      </c>
      <c r="C794" s="58" t="s">
        <v>96</v>
      </c>
      <c r="D794" s="8">
        <v>2014</v>
      </c>
      <c r="E794" s="14">
        <f>Data!V794</f>
        <v>0</v>
      </c>
    </row>
    <row r="795" spans="2:5" ht="15" customHeight="1" x14ac:dyDescent="0.3">
      <c r="C795" s="58"/>
      <c r="D795" s="8">
        <v>2015</v>
      </c>
      <c r="E795" s="14">
        <f>Data!V795</f>
        <v>0</v>
      </c>
    </row>
    <row r="796" spans="2:5" ht="15" customHeight="1" x14ac:dyDescent="0.3">
      <c r="C796" s="58"/>
      <c r="D796" s="8">
        <v>2016</v>
      </c>
      <c r="E796" s="14">
        <f>Data!V796</f>
        <v>0</v>
      </c>
    </row>
    <row r="797" spans="2:5" ht="15" customHeight="1" x14ac:dyDescent="0.3">
      <c r="C797" s="58"/>
      <c r="D797" s="8">
        <v>2017</v>
      </c>
      <c r="E797" s="14">
        <f>Data!V797</f>
        <v>0</v>
      </c>
    </row>
    <row r="798" spans="2:5" ht="15" customHeight="1" x14ac:dyDescent="0.3">
      <c r="C798" s="58"/>
      <c r="D798" s="8">
        <v>2018</v>
      </c>
      <c r="E798" s="14">
        <f>Data!V798</f>
        <v>0</v>
      </c>
    </row>
    <row r="799" spans="2:5" ht="15" customHeight="1" x14ac:dyDescent="0.3">
      <c r="C799" s="58"/>
      <c r="D799" s="8">
        <v>2019</v>
      </c>
      <c r="E799" s="14">
        <f>Data!V799</f>
        <v>0</v>
      </c>
    </row>
    <row r="800" spans="2:5" ht="15" customHeight="1" x14ac:dyDescent="0.3">
      <c r="C800" s="58"/>
      <c r="D800" s="8">
        <v>2020</v>
      </c>
      <c r="E800" s="14">
        <f>Data!V800</f>
        <v>7</v>
      </c>
    </row>
    <row r="801" spans="2:5" ht="15" customHeight="1" x14ac:dyDescent="0.3">
      <c r="C801" s="58"/>
      <c r="D801" s="8">
        <v>2021</v>
      </c>
      <c r="E801" s="14">
        <f>Data!V801</f>
        <v>7</v>
      </c>
    </row>
    <row r="802" spans="2:5" ht="15" customHeight="1" x14ac:dyDescent="0.3">
      <c r="C802" s="58"/>
      <c r="D802" s="8">
        <v>2022</v>
      </c>
      <c r="E802" s="14">
        <f>Data!V802</f>
        <v>7</v>
      </c>
    </row>
    <row r="803" spans="2:5" ht="15" customHeight="1" x14ac:dyDescent="0.3">
      <c r="C803" s="58"/>
      <c r="D803" s="8">
        <v>2023</v>
      </c>
      <c r="E803" s="14">
        <f>Data!V803</f>
        <v>7</v>
      </c>
    </row>
    <row r="804" spans="2:5" ht="15" customHeight="1" x14ac:dyDescent="0.3">
      <c r="C804" s="58"/>
      <c r="D804" s="8">
        <v>2024</v>
      </c>
      <c r="E804" s="14">
        <f>Data!V804</f>
        <v>7</v>
      </c>
    </row>
    <row r="805" spans="2:5" ht="15" customHeight="1" x14ac:dyDescent="0.3">
      <c r="B805" s="8">
        <v>74</v>
      </c>
      <c r="C805" s="58" t="s">
        <v>76</v>
      </c>
      <c r="D805" s="8">
        <v>2014</v>
      </c>
      <c r="E805" s="14">
        <f>Data!V805</f>
        <v>0</v>
      </c>
    </row>
    <row r="806" spans="2:5" ht="15" customHeight="1" x14ac:dyDescent="0.3">
      <c r="C806" s="58"/>
      <c r="D806" s="8">
        <v>2015</v>
      </c>
      <c r="E806" s="14">
        <f>Data!V806</f>
        <v>0</v>
      </c>
    </row>
    <row r="807" spans="2:5" ht="15" customHeight="1" x14ac:dyDescent="0.3">
      <c r="C807" s="58"/>
      <c r="D807" s="8">
        <v>2016</v>
      </c>
      <c r="E807" s="14">
        <f>Data!V807</f>
        <v>0</v>
      </c>
    </row>
    <row r="808" spans="2:5" ht="15" customHeight="1" x14ac:dyDescent="0.3">
      <c r="C808" s="58"/>
      <c r="D808" s="8">
        <v>2017</v>
      </c>
      <c r="E808" s="14">
        <f>Data!V808</f>
        <v>0</v>
      </c>
    </row>
    <row r="809" spans="2:5" ht="15" customHeight="1" x14ac:dyDescent="0.3">
      <c r="C809" s="58"/>
      <c r="D809" s="8">
        <v>2018</v>
      </c>
      <c r="E809" s="14">
        <f>Data!V809</f>
        <v>0</v>
      </c>
    </row>
    <row r="810" spans="2:5" ht="15" customHeight="1" x14ac:dyDescent="0.3">
      <c r="C810" s="58"/>
      <c r="D810" s="8">
        <v>2019</v>
      </c>
      <c r="E810" s="14">
        <f>Data!V810</f>
        <v>0</v>
      </c>
    </row>
    <row r="811" spans="2:5" ht="15" customHeight="1" x14ac:dyDescent="0.3">
      <c r="C811" s="58"/>
      <c r="D811" s="8">
        <v>2020</v>
      </c>
      <c r="E811" s="14">
        <f>Data!V811</f>
        <v>0</v>
      </c>
    </row>
    <row r="812" spans="2:5" ht="15" customHeight="1" x14ac:dyDescent="0.3">
      <c r="C812" s="58"/>
      <c r="D812" s="8">
        <v>2021</v>
      </c>
      <c r="E812" s="14">
        <f>Data!V812</f>
        <v>0</v>
      </c>
    </row>
    <row r="813" spans="2:5" ht="15" customHeight="1" x14ac:dyDescent="0.3">
      <c r="C813" s="58"/>
      <c r="D813" s="8">
        <v>2022</v>
      </c>
      <c r="E813" s="14">
        <f>Data!V813</f>
        <v>0</v>
      </c>
    </row>
    <row r="814" spans="2:5" ht="15" customHeight="1" x14ac:dyDescent="0.3">
      <c r="C814" s="58"/>
      <c r="D814" s="8">
        <v>2023</v>
      </c>
      <c r="E814" s="14">
        <f>Data!V814</f>
        <v>0</v>
      </c>
    </row>
    <row r="815" spans="2:5" ht="15" customHeight="1" x14ac:dyDescent="0.3">
      <c r="C815" s="58"/>
      <c r="D815" s="8">
        <v>2024</v>
      </c>
      <c r="E815" s="14">
        <f>Data!V815</f>
        <v>0</v>
      </c>
    </row>
    <row r="816" spans="2:5" ht="15" customHeight="1" x14ac:dyDescent="0.3">
      <c r="B816" s="8">
        <v>75</v>
      </c>
      <c r="C816" s="59" t="s">
        <v>130</v>
      </c>
      <c r="D816" s="8">
        <v>2014</v>
      </c>
      <c r="E816" s="14">
        <f>Data!V816</f>
        <v>0</v>
      </c>
    </row>
    <row r="817" spans="2:5" ht="15" customHeight="1" x14ac:dyDescent="0.3">
      <c r="C817" s="59"/>
      <c r="D817" s="8">
        <v>2015</v>
      </c>
      <c r="E817" s="14">
        <f>Data!V817</f>
        <v>0</v>
      </c>
    </row>
    <row r="818" spans="2:5" ht="15" customHeight="1" x14ac:dyDescent="0.3">
      <c r="C818" s="59"/>
      <c r="D818" s="8">
        <v>2016</v>
      </c>
      <c r="E818" s="14">
        <f>Data!V818</f>
        <v>0</v>
      </c>
    </row>
    <row r="819" spans="2:5" ht="15" customHeight="1" x14ac:dyDescent="0.3">
      <c r="C819" s="59"/>
      <c r="D819" s="8">
        <v>2017</v>
      </c>
      <c r="E819" s="14">
        <f>Data!V819</f>
        <v>0</v>
      </c>
    </row>
    <row r="820" spans="2:5" ht="15" customHeight="1" x14ac:dyDescent="0.3">
      <c r="C820" s="59"/>
      <c r="D820" s="8">
        <v>2018</v>
      </c>
      <c r="E820" s="14">
        <f>Data!V820</f>
        <v>0</v>
      </c>
    </row>
    <row r="821" spans="2:5" ht="15" customHeight="1" x14ac:dyDescent="0.3">
      <c r="C821" s="59"/>
      <c r="D821" s="8">
        <v>2019</v>
      </c>
      <c r="E821" s="14">
        <f>Data!V821</f>
        <v>0</v>
      </c>
    </row>
    <row r="822" spans="2:5" ht="15" customHeight="1" x14ac:dyDescent="0.3">
      <c r="C822" s="59"/>
      <c r="D822" s="8">
        <v>2020</v>
      </c>
      <c r="E822" s="14">
        <f>Data!V822</f>
        <v>0</v>
      </c>
    </row>
    <row r="823" spans="2:5" ht="15" customHeight="1" x14ac:dyDescent="0.3">
      <c r="C823" s="59"/>
      <c r="D823" s="8">
        <v>2021</v>
      </c>
      <c r="E823" s="14">
        <f>Data!V823</f>
        <v>0</v>
      </c>
    </row>
    <row r="824" spans="2:5" ht="15" customHeight="1" x14ac:dyDescent="0.3">
      <c r="C824" s="59"/>
      <c r="D824" s="8">
        <v>2022</v>
      </c>
      <c r="E824" s="14">
        <f>Data!V824</f>
        <v>0</v>
      </c>
    </row>
    <row r="825" spans="2:5" ht="15" customHeight="1" x14ac:dyDescent="0.3">
      <c r="C825" s="59"/>
      <c r="D825" s="8">
        <v>2023</v>
      </c>
      <c r="E825" s="14">
        <f>Data!V825</f>
        <v>0</v>
      </c>
    </row>
    <row r="826" spans="2:5" ht="15" customHeight="1" x14ac:dyDescent="0.3">
      <c r="C826" s="59"/>
      <c r="D826" s="8">
        <v>2024</v>
      </c>
      <c r="E826" s="14">
        <f>Data!V826</f>
        <v>0</v>
      </c>
    </row>
    <row r="827" spans="2:5" ht="15" customHeight="1" x14ac:dyDescent="0.3">
      <c r="B827" s="8">
        <v>76</v>
      </c>
      <c r="C827" s="58" t="s">
        <v>79</v>
      </c>
      <c r="D827" s="8">
        <v>2014</v>
      </c>
      <c r="E827" s="14">
        <f>Data!V827</f>
        <v>0</v>
      </c>
    </row>
    <row r="828" spans="2:5" ht="15" customHeight="1" x14ac:dyDescent="0.3">
      <c r="C828" s="58"/>
      <c r="D828" s="8">
        <v>2015</v>
      </c>
      <c r="E828" s="14">
        <f>Data!V828</f>
        <v>0</v>
      </c>
    </row>
    <row r="829" spans="2:5" ht="15" customHeight="1" x14ac:dyDescent="0.3">
      <c r="C829" s="58"/>
      <c r="D829" s="8">
        <v>2016</v>
      </c>
      <c r="E829" s="14">
        <f>Data!V829</f>
        <v>0</v>
      </c>
    </row>
    <row r="830" spans="2:5" ht="15" customHeight="1" x14ac:dyDescent="0.3">
      <c r="C830" s="58"/>
      <c r="D830" s="8">
        <v>2017</v>
      </c>
      <c r="E830" s="14">
        <f>Data!V830</f>
        <v>0</v>
      </c>
    </row>
    <row r="831" spans="2:5" ht="15" customHeight="1" x14ac:dyDescent="0.3">
      <c r="C831" s="58"/>
      <c r="D831" s="8">
        <v>2018</v>
      </c>
      <c r="E831" s="14">
        <f>Data!V831</f>
        <v>0</v>
      </c>
    </row>
    <row r="832" spans="2:5" ht="15" customHeight="1" x14ac:dyDescent="0.3">
      <c r="C832" s="58"/>
      <c r="D832" s="8">
        <v>2019</v>
      </c>
      <c r="E832" s="14">
        <f>Data!V832</f>
        <v>0</v>
      </c>
    </row>
    <row r="833" spans="2:5" ht="15" customHeight="1" x14ac:dyDescent="0.3">
      <c r="C833" s="58"/>
      <c r="D833" s="8">
        <v>2020</v>
      </c>
      <c r="E833" s="14">
        <f>Data!V833</f>
        <v>11</v>
      </c>
    </row>
    <row r="834" spans="2:5" ht="15" customHeight="1" x14ac:dyDescent="0.3">
      <c r="C834" s="58"/>
      <c r="D834" s="8">
        <v>2021</v>
      </c>
      <c r="E834" s="14">
        <f>Data!V834</f>
        <v>11</v>
      </c>
    </row>
    <row r="835" spans="2:5" ht="15" customHeight="1" x14ac:dyDescent="0.3">
      <c r="C835" s="58"/>
      <c r="D835" s="8">
        <v>2022</v>
      </c>
      <c r="E835" s="14">
        <f>Data!V835</f>
        <v>11</v>
      </c>
    </row>
    <row r="836" spans="2:5" ht="15" customHeight="1" x14ac:dyDescent="0.3">
      <c r="C836" s="58"/>
      <c r="D836" s="8">
        <v>2023</v>
      </c>
      <c r="E836" s="14">
        <f>Data!V836</f>
        <v>7</v>
      </c>
    </row>
    <row r="837" spans="2:5" ht="15" customHeight="1" x14ac:dyDescent="0.3">
      <c r="C837" s="58"/>
      <c r="D837" s="8">
        <v>2024</v>
      </c>
      <c r="E837" s="14">
        <f>Data!V837</f>
        <v>8</v>
      </c>
    </row>
    <row r="838" spans="2:5" ht="15" customHeight="1" x14ac:dyDescent="0.3">
      <c r="B838" s="8">
        <v>77</v>
      </c>
      <c r="C838" s="58" t="s">
        <v>119</v>
      </c>
      <c r="D838" s="8">
        <v>2014</v>
      </c>
      <c r="E838" s="14">
        <f>Data!V838</f>
        <v>0</v>
      </c>
    </row>
    <row r="839" spans="2:5" ht="15" customHeight="1" x14ac:dyDescent="0.3">
      <c r="C839" s="58"/>
      <c r="D839" s="8">
        <v>2015</v>
      </c>
      <c r="E839" s="14">
        <f>Data!V839</f>
        <v>0</v>
      </c>
    </row>
    <row r="840" spans="2:5" ht="15" customHeight="1" x14ac:dyDescent="0.3">
      <c r="C840" s="58"/>
      <c r="D840" s="8">
        <v>2016</v>
      </c>
      <c r="E840" s="14">
        <f>Data!V840</f>
        <v>0</v>
      </c>
    </row>
    <row r="841" spans="2:5" ht="15" customHeight="1" x14ac:dyDescent="0.3">
      <c r="C841" s="58"/>
      <c r="D841" s="8">
        <v>2017</v>
      </c>
      <c r="E841" s="14">
        <f>Data!V841</f>
        <v>0</v>
      </c>
    </row>
    <row r="842" spans="2:5" ht="15" customHeight="1" x14ac:dyDescent="0.3">
      <c r="C842" s="58"/>
      <c r="D842" s="8">
        <v>2018</v>
      </c>
      <c r="E842" s="14">
        <f>Data!V842</f>
        <v>0</v>
      </c>
    </row>
    <row r="843" spans="2:5" ht="15" customHeight="1" x14ac:dyDescent="0.3">
      <c r="C843" s="58"/>
      <c r="D843" s="8">
        <v>2019</v>
      </c>
      <c r="E843" s="14">
        <f>Data!V843</f>
        <v>4</v>
      </c>
    </row>
    <row r="844" spans="2:5" ht="15" customHeight="1" x14ac:dyDescent="0.3">
      <c r="C844" s="58"/>
      <c r="D844" s="8">
        <v>2020</v>
      </c>
      <c r="E844" s="14">
        <f>Data!V844</f>
        <v>4</v>
      </c>
    </row>
    <row r="845" spans="2:5" ht="15" customHeight="1" x14ac:dyDescent="0.3">
      <c r="C845" s="58"/>
      <c r="D845" s="8">
        <v>2021</v>
      </c>
      <c r="E845" s="14">
        <f>Data!V845</f>
        <v>3</v>
      </c>
    </row>
    <row r="846" spans="2:5" ht="15" customHeight="1" x14ac:dyDescent="0.3">
      <c r="C846" s="58"/>
      <c r="D846" s="8">
        <v>2022</v>
      </c>
      <c r="E846" s="14">
        <f>Data!V846</f>
        <v>3</v>
      </c>
    </row>
    <row r="847" spans="2:5" ht="15" customHeight="1" x14ac:dyDescent="0.3">
      <c r="C847" s="58"/>
      <c r="D847" s="8">
        <v>2023</v>
      </c>
      <c r="E847" s="14">
        <f>Data!V847</f>
        <v>3</v>
      </c>
    </row>
    <row r="848" spans="2:5" ht="15" customHeight="1" x14ac:dyDescent="0.3">
      <c r="C848" s="58"/>
      <c r="D848" s="8">
        <v>2024</v>
      </c>
      <c r="E848" s="14">
        <f>Data!V848</f>
        <v>3</v>
      </c>
    </row>
    <row r="849" spans="2:5" ht="15" customHeight="1" x14ac:dyDescent="0.3">
      <c r="B849" s="8">
        <v>78</v>
      </c>
      <c r="C849" s="58" t="s">
        <v>80</v>
      </c>
      <c r="D849" s="8">
        <v>2014</v>
      </c>
      <c r="E849" s="14">
        <f>Data!V849</f>
        <v>0</v>
      </c>
    </row>
    <row r="850" spans="2:5" ht="15" customHeight="1" x14ac:dyDescent="0.3">
      <c r="C850" s="58"/>
      <c r="D850" s="8">
        <v>2015</v>
      </c>
      <c r="E850" s="14">
        <f>Data!V850</f>
        <v>0</v>
      </c>
    </row>
    <row r="851" spans="2:5" ht="15" customHeight="1" x14ac:dyDescent="0.3">
      <c r="C851" s="58"/>
      <c r="D851" s="8">
        <v>2016</v>
      </c>
      <c r="E851" s="14">
        <f>Data!V851</f>
        <v>0</v>
      </c>
    </row>
    <row r="852" spans="2:5" ht="15" customHeight="1" x14ac:dyDescent="0.3">
      <c r="C852" s="58"/>
      <c r="D852" s="8">
        <v>2017</v>
      </c>
      <c r="E852" s="14">
        <f>Data!V852</f>
        <v>0</v>
      </c>
    </row>
    <row r="853" spans="2:5" ht="15" customHeight="1" x14ac:dyDescent="0.3">
      <c r="C853" s="58"/>
      <c r="D853" s="8">
        <v>2018</v>
      </c>
      <c r="E853" s="14">
        <f>Data!V853</f>
        <v>0</v>
      </c>
    </row>
    <row r="854" spans="2:5" ht="15" customHeight="1" x14ac:dyDescent="0.3">
      <c r="C854" s="58"/>
      <c r="D854" s="8">
        <v>2019</v>
      </c>
      <c r="E854" s="14">
        <f>Data!V854</f>
        <v>0</v>
      </c>
    </row>
    <row r="855" spans="2:5" ht="15" customHeight="1" x14ac:dyDescent="0.3">
      <c r="C855" s="58"/>
      <c r="D855" s="8">
        <v>2020</v>
      </c>
      <c r="E855" s="14">
        <f>Data!V855</f>
        <v>0</v>
      </c>
    </row>
    <row r="856" spans="2:5" ht="15" customHeight="1" x14ac:dyDescent="0.3">
      <c r="C856" s="58"/>
      <c r="D856" s="8">
        <v>2021</v>
      </c>
      <c r="E856" s="14">
        <f>Data!V856</f>
        <v>0</v>
      </c>
    </row>
    <row r="857" spans="2:5" ht="15" customHeight="1" x14ac:dyDescent="0.3">
      <c r="C857" s="58"/>
      <c r="D857" s="8">
        <v>2022</v>
      </c>
      <c r="E857" s="14">
        <f>Data!V857</f>
        <v>0</v>
      </c>
    </row>
    <row r="858" spans="2:5" ht="15" customHeight="1" x14ac:dyDescent="0.3">
      <c r="C858" s="58"/>
      <c r="D858" s="8">
        <v>2023</v>
      </c>
      <c r="E858" s="14">
        <f>Data!V858</f>
        <v>0</v>
      </c>
    </row>
    <row r="859" spans="2:5" ht="15" customHeight="1" x14ac:dyDescent="0.3">
      <c r="C859" s="58"/>
      <c r="D859" s="8">
        <v>2024</v>
      </c>
      <c r="E859" s="14">
        <f>Data!V859</f>
        <v>0</v>
      </c>
    </row>
    <row r="860" spans="2:5" ht="15" customHeight="1" x14ac:dyDescent="0.3">
      <c r="B860" s="8">
        <v>79</v>
      </c>
      <c r="C860" s="58" t="s">
        <v>97</v>
      </c>
      <c r="D860" s="8">
        <v>2014</v>
      </c>
      <c r="E860" s="14">
        <f>Data!V860</f>
        <v>0</v>
      </c>
    </row>
    <row r="861" spans="2:5" ht="15" customHeight="1" x14ac:dyDescent="0.3">
      <c r="C861" s="58"/>
      <c r="D861" s="8">
        <v>2015</v>
      </c>
      <c r="E861" s="14">
        <f>Data!V861</f>
        <v>3</v>
      </c>
    </row>
    <row r="862" spans="2:5" ht="15" customHeight="1" x14ac:dyDescent="0.3">
      <c r="C862" s="58"/>
      <c r="D862" s="8">
        <v>2016</v>
      </c>
      <c r="E862" s="14">
        <f>Data!V862</f>
        <v>3</v>
      </c>
    </row>
    <row r="863" spans="2:5" ht="15" customHeight="1" x14ac:dyDescent="0.3">
      <c r="C863" s="58"/>
      <c r="D863" s="8">
        <v>2017</v>
      </c>
      <c r="E863" s="14">
        <f>Data!V863</f>
        <v>3</v>
      </c>
    </row>
    <row r="864" spans="2:5" ht="15" customHeight="1" x14ac:dyDescent="0.3">
      <c r="C864" s="58"/>
      <c r="D864" s="8">
        <v>2018</v>
      </c>
      <c r="E864" s="14">
        <f>Data!V864</f>
        <v>0</v>
      </c>
    </row>
    <row r="865" spans="2:5" ht="15" customHeight="1" x14ac:dyDescent="0.3">
      <c r="C865" s="58"/>
      <c r="D865" s="8">
        <v>2019</v>
      </c>
      <c r="E865" s="14">
        <f>Data!V865</f>
        <v>0</v>
      </c>
    </row>
    <row r="866" spans="2:5" ht="15" customHeight="1" x14ac:dyDescent="0.3">
      <c r="C866" s="58"/>
      <c r="D866" s="8">
        <v>2020</v>
      </c>
      <c r="E866" s="14">
        <f>Data!V866</f>
        <v>0</v>
      </c>
    </row>
    <row r="867" spans="2:5" ht="15" customHeight="1" x14ac:dyDescent="0.3">
      <c r="C867" s="58"/>
      <c r="D867" s="8">
        <v>2021</v>
      </c>
      <c r="E867" s="14">
        <f>Data!V867</f>
        <v>0</v>
      </c>
    </row>
    <row r="868" spans="2:5" ht="15" customHeight="1" x14ac:dyDescent="0.3">
      <c r="C868" s="58"/>
      <c r="D868" s="8">
        <v>2022</v>
      </c>
      <c r="E868" s="14">
        <f>Data!V868</f>
        <v>0</v>
      </c>
    </row>
    <row r="869" spans="2:5" ht="15" customHeight="1" x14ac:dyDescent="0.3">
      <c r="C869" s="58"/>
      <c r="D869" s="8">
        <v>2023</v>
      </c>
      <c r="E869" s="14">
        <f>Data!V869</f>
        <v>0</v>
      </c>
    </row>
    <row r="870" spans="2:5" ht="15" customHeight="1" x14ac:dyDescent="0.3">
      <c r="C870" s="58"/>
      <c r="D870" s="8">
        <v>2024</v>
      </c>
      <c r="E870" s="14">
        <f>Data!V870</f>
        <v>0</v>
      </c>
    </row>
    <row r="871" spans="2:5" ht="15" customHeight="1" x14ac:dyDescent="0.3">
      <c r="B871" s="8">
        <v>80</v>
      </c>
      <c r="C871" s="58" t="s">
        <v>81</v>
      </c>
      <c r="D871" s="8">
        <v>2014</v>
      </c>
      <c r="E871" s="14">
        <f>Data!V871</f>
        <v>0</v>
      </c>
    </row>
    <row r="872" spans="2:5" ht="15" customHeight="1" x14ac:dyDescent="0.3">
      <c r="C872" s="58"/>
      <c r="D872" s="8">
        <v>2015</v>
      </c>
      <c r="E872" s="14">
        <f>Data!V872</f>
        <v>0</v>
      </c>
    </row>
    <row r="873" spans="2:5" ht="15" customHeight="1" x14ac:dyDescent="0.3">
      <c r="C873" s="58"/>
      <c r="D873" s="8">
        <v>2016</v>
      </c>
      <c r="E873" s="14">
        <f>Data!V873</f>
        <v>0</v>
      </c>
    </row>
    <row r="874" spans="2:5" ht="15" customHeight="1" x14ac:dyDescent="0.3">
      <c r="C874" s="58"/>
      <c r="D874" s="8">
        <v>2017</v>
      </c>
      <c r="E874" s="14">
        <f>Data!V874</f>
        <v>0</v>
      </c>
    </row>
    <row r="875" spans="2:5" ht="15" customHeight="1" x14ac:dyDescent="0.3">
      <c r="C875" s="58"/>
      <c r="D875" s="8">
        <v>2018</v>
      </c>
      <c r="E875" s="14">
        <f>Data!V875</f>
        <v>0</v>
      </c>
    </row>
    <row r="876" spans="2:5" ht="15" customHeight="1" x14ac:dyDescent="0.3">
      <c r="C876" s="58"/>
      <c r="D876" s="8">
        <v>2019</v>
      </c>
      <c r="E876" s="14">
        <f>Data!V876</f>
        <v>0</v>
      </c>
    </row>
    <row r="877" spans="2:5" ht="15" customHeight="1" x14ac:dyDescent="0.3">
      <c r="C877" s="58"/>
      <c r="D877" s="8">
        <v>2020</v>
      </c>
      <c r="E877" s="14">
        <f>Data!V877</f>
        <v>0</v>
      </c>
    </row>
    <row r="878" spans="2:5" ht="15" customHeight="1" x14ac:dyDescent="0.3">
      <c r="C878" s="58"/>
      <c r="D878" s="8">
        <v>2021</v>
      </c>
      <c r="E878" s="14">
        <f>Data!V878</f>
        <v>0</v>
      </c>
    </row>
    <row r="879" spans="2:5" ht="15" customHeight="1" x14ac:dyDescent="0.3">
      <c r="C879" s="58"/>
      <c r="D879" s="8">
        <v>2022</v>
      </c>
      <c r="E879" s="14">
        <f>Data!V879</f>
        <v>0</v>
      </c>
    </row>
    <row r="880" spans="2:5" ht="15" customHeight="1" x14ac:dyDescent="0.3">
      <c r="C880" s="58"/>
      <c r="D880" s="8">
        <v>2023</v>
      </c>
      <c r="E880" s="14">
        <f>Data!V880</f>
        <v>0</v>
      </c>
    </row>
    <row r="881" spans="2:5" ht="15" customHeight="1" x14ac:dyDescent="0.3">
      <c r="C881" s="58"/>
      <c r="D881" s="8">
        <v>2024</v>
      </c>
      <c r="E881" s="14">
        <f>Data!V881</f>
        <v>0</v>
      </c>
    </row>
    <row r="882" spans="2:5" ht="15" customHeight="1" x14ac:dyDescent="0.3">
      <c r="B882" s="8">
        <v>81</v>
      </c>
      <c r="C882" s="58" t="s">
        <v>82</v>
      </c>
      <c r="D882" s="8">
        <v>2014</v>
      </c>
      <c r="E882" s="14">
        <f>Data!V882</f>
        <v>0</v>
      </c>
    </row>
    <row r="883" spans="2:5" ht="15" customHeight="1" x14ac:dyDescent="0.3">
      <c r="C883" s="58"/>
      <c r="D883" s="8">
        <v>2015</v>
      </c>
      <c r="E883" s="14">
        <f>Data!V883</f>
        <v>0</v>
      </c>
    </row>
    <row r="884" spans="2:5" ht="15" customHeight="1" x14ac:dyDescent="0.3">
      <c r="C884" s="58"/>
      <c r="D884" s="8">
        <v>2016</v>
      </c>
      <c r="E884" s="14">
        <f>Data!V884</f>
        <v>0</v>
      </c>
    </row>
    <row r="885" spans="2:5" ht="15" customHeight="1" x14ac:dyDescent="0.3">
      <c r="C885" s="58"/>
      <c r="D885" s="8">
        <v>2017</v>
      </c>
      <c r="E885" s="14">
        <f>Data!V885</f>
        <v>0</v>
      </c>
    </row>
    <row r="886" spans="2:5" ht="15" customHeight="1" x14ac:dyDescent="0.3">
      <c r="C886" s="58"/>
      <c r="D886" s="8">
        <v>2018</v>
      </c>
      <c r="E886" s="14">
        <f>Data!V886</f>
        <v>0</v>
      </c>
    </row>
    <row r="887" spans="2:5" ht="15" customHeight="1" x14ac:dyDescent="0.3">
      <c r="C887" s="58"/>
      <c r="D887" s="8">
        <v>2019</v>
      </c>
      <c r="E887" s="14">
        <f>Data!V887</f>
        <v>8</v>
      </c>
    </row>
    <row r="888" spans="2:5" ht="15" customHeight="1" x14ac:dyDescent="0.3">
      <c r="C888" s="58"/>
      <c r="D888" s="8">
        <v>2020</v>
      </c>
      <c r="E888" s="14">
        <f>Data!V888</f>
        <v>8</v>
      </c>
    </row>
    <row r="889" spans="2:5" ht="15" customHeight="1" x14ac:dyDescent="0.3">
      <c r="C889" s="58"/>
      <c r="D889" s="8">
        <v>2021</v>
      </c>
      <c r="E889" s="14">
        <f>Data!V889</f>
        <v>8</v>
      </c>
    </row>
    <row r="890" spans="2:5" ht="15" customHeight="1" x14ac:dyDescent="0.3">
      <c r="C890" s="58"/>
      <c r="D890" s="8">
        <v>2022</v>
      </c>
      <c r="E890" s="14">
        <f>Data!V890</f>
        <v>8</v>
      </c>
    </row>
    <row r="891" spans="2:5" ht="15" customHeight="1" x14ac:dyDescent="0.3">
      <c r="C891" s="58"/>
      <c r="D891" s="8">
        <v>2023</v>
      </c>
      <c r="E891" s="14">
        <f>Data!V891</f>
        <v>5</v>
      </c>
    </row>
    <row r="892" spans="2:5" ht="15" customHeight="1" x14ac:dyDescent="0.3">
      <c r="C892" s="58"/>
      <c r="D892" s="8">
        <v>2024</v>
      </c>
      <c r="E892" s="14">
        <f>Data!V892</f>
        <v>5</v>
      </c>
    </row>
    <row r="893" spans="2:5" ht="15" customHeight="1" x14ac:dyDescent="0.3">
      <c r="B893" s="8">
        <v>82</v>
      </c>
      <c r="C893" s="58" t="s">
        <v>83</v>
      </c>
      <c r="D893" s="8">
        <v>2014</v>
      </c>
      <c r="E893" s="14">
        <f>Data!V893</f>
        <v>0</v>
      </c>
    </row>
    <row r="894" spans="2:5" ht="15" customHeight="1" x14ac:dyDescent="0.3">
      <c r="C894" s="58"/>
      <c r="D894" s="8">
        <v>2015</v>
      </c>
      <c r="E894" s="14">
        <f>Data!V894</f>
        <v>0</v>
      </c>
    </row>
    <row r="895" spans="2:5" ht="15" customHeight="1" x14ac:dyDescent="0.3">
      <c r="C895" s="58"/>
      <c r="D895" s="8">
        <v>2016</v>
      </c>
      <c r="E895" s="14">
        <f>Data!V895</f>
        <v>0</v>
      </c>
    </row>
    <row r="896" spans="2:5" ht="15" customHeight="1" x14ac:dyDescent="0.3">
      <c r="C896" s="58"/>
      <c r="D896" s="8">
        <v>2017</v>
      </c>
      <c r="E896" s="14">
        <f>Data!V896</f>
        <v>0</v>
      </c>
    </row>
    <row r="897" spans="2:5" ht="15" customHeight="1" x14ac:dyDescent="0.3">
      <c r="C897" s="58"/>
      <c r="D897" s="8">
        <v>2018</v>
      </c>
      <c r="E897" s="14">
        <f>Data!V897</f>
        <v>0</v>
      </c>
    </row>
    <row r="898" spans="2:5" ht="15" customHeight="1" x14ac:dyDescent="0.3">
      <c r="C898" s="58"/>
      <c r="D898" s="8">
        <v>2019</v>
      </c>
      <c r="E898" s="14">
        <f>Data!V898</f>
        <v>0</v>
      </c>
    </row>
    <row r="899" spans="2:5" ht="15" customHeight="1" x14ac:dyDescent="0.3">
      <c r="C899" s="58"/>
      <c r="D899" s="8">
        <v>2020</v>
      </c>
      <c r="E899" s="14">
        <f>Data!V899</f>
        <v>0</v>
      </c>
    </row>
    <row r="900" spans="2:5" ht="15" customHeight="1" x14ac:dyDescent="0.3">
      <c r="C900" s="58"/>
      <c r="D900" s="8">
        <v>2021</v>
      </c>
      <c r="E900" s="14">
        <f>Data!V900</f>
        <v>8</v>
      </c>
    </row>
    <row r="901" spans="2:5" ht="15" customHeight="1" x14ac:dyDescent="0.3">
      <c r="C901" s="58"/>
      <c r="D901" s="8">
        <v>2022</v>
      </c>
      <c r="E901" s="14">
        <f>Data!V901</f>
        <v>8</v>
      </c>
    </row>
    <row r="902" spans="2:5" ht="15" customHeight="1" x14ac:dyDescent="0.3">
      <c r="C902" s="58"/>
      <c r="D902" s="8">
        <v>2023</v>
      </c>
      <c r="E902" s="14">
        <f>Data!V902</f>
        <v>8</v>
      </c>
    </row>
    <row r="903" spans="2:5" ht="15" customHeight="1" x14ac:dyDescent="0.3">
      <c r="C903" s="58"/>
      <c r="D903" s="8">
        <v>2024</v>
      </c>
      <c r="E903" s="14">
        <f>Data!V903</f>
        <v>8</v>
      </c>
    </row>
    <row r="904" spans="2:5" ht="15" customHeight="1" x14ac:dyDescent="0.3">
      <c r="B904" s="8">
        <v>83</v>
      </c>
      <c r="C904" s="58" t="s">
        <v>98</v>
      </c>
      <c r="D904" s="8">
        <v>2014</v>
      </c>
      <c r="E904" s="14">
        <f>Data!V904</f>
        <v>0</v>
      </c>
    </row>
    <row r="905" spans="2:5" ht="15" customHeight="1" x14ac:dyDescent="0.3">
      <c r="C905" s="58"/>
      <c r="D905" s="8">
        <v>2015</v>
      </c>
      <c r="E905" s="14">
        <f>Data!V905</f>
        <v>21</v>
      </c>
    </row>
    <row r="906" spans="2:5" ht="15" customHeight="1" x14ac:dyDescent="0.3">
      <c r="C906" s="58"/>
      <c r="D906" s="8">
        <v>2016</v>
      </c>
      <c r="E906" s="14">
        <f>Data!V906</f>
        <v>15</v>
      </c>
    </row>
    <row r="907" spans="2:5" ht="15" customHeight="1" x14ac:dyDescent="0.3">
      <c r="C907" s="58"/>
      <c r="D907" s="8">
        <v>2017</v>
      </c>
      <c r="E907" s="14">
        <f>Data!V907</f>
        <v>15</v>
      </c>
    </row>
    <row r="908" spans="2:5" ht="15" customHeight="1" x14ac:dyDescent="0.3">
      <c r="C908" s="58"/>
      <c r="D908" s="8">
        <v>2018</v>
      </c>
      <c r="E908" s="14">
        <f>Data!V908</f>
        <v>17</v>
      </c>
    </row>
    <row r="909" spans="2:5" ht="15" customHeight="1" x14ac:dyDescent="0.3">
      <c r="C909" s="58"/>
      <c r="D909" s="8">
        <v>2019</v>
      </c>
      <c r="E909" s="14">
        <f>Data!V909</f>
        <v>21</v>
      </c>
    </row>
    <row r="910" spans="2:5" ht="15" customHeight="1" x14ac:dyDescent="0.3">
      <c r="C910" s="58"/>
      <c r="D910" s="8">
        <v>2020</v>
      </c>
      <c r="E910" s="14">
        <f>Data!V910</f>
        <v>18</v>
      </c>
    </row>
    <row r="911" spans="2:5" ht="15" customHeight="1" x14ac:dyDescent="0.3">
      <c r="C911" s="58"/>
      <c r="D911" s="8">
        <v>2021</v>
      </c>
      <c r="E911" s="14">
        <f>Data!V911</f>
        <v>18</v>
      </c>
    </row>
    <row r="912" spans="2:5" ht="15" customHeight="1" x14ac:dyDescent="0.3">
      <c r="C912" s="58"/>
      <c r="D912" s="8">
        <v>2022</v>
      </c>
      <c r="E912" s="14">
        <f>Data!V912</f>
        <v>18</v>
      </c>
    </row>
    <row r="913" spans="2:5" ht="15" customHeight="1" x14ac:dyDescent="0.3">
      <c r="C913" s="58"/>
      <c r="D913" s="8">
        <v>2023</v>
      </c>
      <c r="E913" s="14">
        <f>Data!V913</f>
        <v>12</v>
      </c>
    </row>
    <row r="914" spans="2:5" ht="15" customHeight="1" x14ac:dyDescent="0.3">
      <c r="C914" s="58"/>
      <c r="D914" s="8">
        <v>2024</v>
      </c>
      <c r="E914" s="14">
        <f>Data!V914</f>
        <v>6</v>
      </c>
    </row>
    <row r="915" spans="2:5" ht="15" customHeight="1" x14ac:dyDescent="0.3">
      <c r="B915" s="8">
        <v>84</v>
      </c>
      <c r="C915" s="58" t="s">
        <v>84</v>
      </c>
      <c r="D915" s="8">
        <v>2014</v>
      </c>
      <c r="E915" s="14">
        <f>Data!V915</f>
        <v>0</v>
      </c>
    </row>
    <row r="916" spans="2:5" ht="15" customHeight="1" x14ac:dyDescent="0.3">
      <c r="C916" s="58"/>
      <c r="D916" s="8">
        <v>2015</v>
      </c>
      <c r="E916" s="14">
        <f>Data!V916</f>
        <v>9</v>
      </c>
    </row>
    <row r="917" spans="2:5" ht="15" customHeight="1" x14ac:dyDescent="0.3">
      <c r="C917" s="58"/>
      <c r="D917" s="8">
        <v>2016</v>
      </c>
      <c r="E917" s="14">
        <f>Data!V917</f>
        <v>9</v>
      </c>
    </row>
    <row r="918" spans="2:5" ht="15" customHeight="1" x14ac:dyDescent="0.3">
      <c r="C918" s="58"/>
      <c r="D918" s="8">
        <v>2017</v>
      </c>
      <c r="E918" s="14">
        <f>Data!V918</f>
        <v>9</v>
      </c>
    </row>
    <row r="919" spans="2:5" ht="15" customHeight="1" x14ac:dyDescent="0.3">
      <c r="C919" s="58"/>
      <c r="D919" s="8">
        <v>2018</v>
      </c>
      <c r="E919" s="14">
        <f>Data!V919</f>
        <v>9</v>
      </c>
    </row>
    <row r="920" spans="2:5" ht="15" customHeight="1" x14ac:dyDescent="0.3">
      <c r="C920" s="58"/>
      <c r="D920" s="8">
        <v>2019</v>
      </c>
      <c r="E920" s="14">
        <f>Data!V920</f>
        <v>8</v>
      </c>
    </row>
    <row r="921" spans="2:5" ht="15" customHeight="1" x14ac:dyDescent="0.3">
      <c r="C921" s="58"/>
      <c r="D921" s="8">
        <v>2020</v>
      </c>
      <c r="E921" s="14">
        <f>Data!V921</f>
        <v>8</v>
      </c>
    </row>
    <row r="922" spans="2:5" ht="15" customHeight="1" x14ac:dyDescent="0.3">
      <c r="C922" s="58"/>
      <c r="D922" s="8">
        <v>2021</v>
      </c>
      <c r="E922" s="14">
        <f>Data!V922</f>
        <v>8</v>
      </c>
    </row>
    <row r="923" spans="2:5" ht="15" customHeight="1" x14ac:dyDescent="0.3">
      <c r="C923" s="58"/>
      <c r="D923" s="8">
        <v>2022</v>
      </c>
      <c r="E923" s="14">
        <f>Data!V923</f>
        <v>8</v>
      </c>
    </row>
    <row r="924" spans="2:5" ht="15" customHeight="1" x14ac:dyDescent="0.3">
      <c r="C924" s="58"/>
      <c r="D924" s="8">
        <v>2023</v>
      </c>
      <c r="E924" s="14">
        <f>Data!V924</f>
        <v>8</v>
      </c>
    </row>
    <row r="925" spans="2:5" ht="15" customHeight="1" x14ac:dyDescent="0.3">
      <c r="C925" s="58"/>
      <c r="D925" s="8">
        <v>2024</v>
      </c>
      <c r="E925" s="14">
        <f>Data!V925</f>
        <v>10</v>
      </c>
    </row>
    <row r="926" spans="2:5" ht="15" customHeight="1" x14ac:dyDescent="0.3">
      <c r="B926" s="8">
        <v>85</v>
      </c>
      <c r="C926" s="58" t="s">
        <v>99</v>
      </c>
      <c r="D926" s="8">
        <v>2014</v>
      </c>
      <c r="E926" s="14">
        <f>Data!V926</f>
        <v>0</v>
      </c>
    </row>
    <row r="927" spans="2:5" ht="15" customHeight="1" x14ac:dyDescent="0.3">
      <c r="C927" s="58"/>
      <c r="D927" s="8">
        <v>2015</v>
      </c>
      <c r="E927" s="14">
        <f>Data!V927</f>
        <v>8</v>
      </c>
    </row>
    <row r="928" spans="2:5" ht="15" customHeight="1" x14ac:dyDescent="0.3">
      <c r="C928" s="58"/>
      <c r="D928" s="8">
        <v>2016</v>
      </c>
      <c r="E928" s="14">
        <f>Data!V928</f>
        <v>8</v>
      </c>
    </row>
    <row r="929" spans="2:5" ht="15" customHeight="1" x14ac:dyDescent="0.3">
      <c r="C929" s="58"/>
      <c r="D929" s="8">
        <v>2017</v>
      </c>
      <c r="E929" s="14">
        <f>Data!V929</f>
        <v>7</v>
      </c>
    </row>
    <row r="930" spans="2:5" ht="15" customHeight="1" x14ac:dyDescent="0.3">
      <c r="C930" s="58"/>
      <c r="D930" s="8">
        <v>2018</v>
      </c>
      <c r="E930" s="14">
        <f>Data!V930</f>
        <v>7</v>
      </c>
    </row>
    <row r="931" spans="2:5" ht="15" customHeight="1" x14ac:dyDescent="0.3">
      <c r="C931" s="58"/>
      <c r="D931" s="8">
        <v>2019</v>
      </c>
      <c r="E931" s="14">
        <f>Data!V931</f>
        <v>7</v>
      </c>
    </row>
    <row r="932" spans="2:5" ht="15" customHeight="1" x14ac:dyDescent="0.3">
      <c r="C932" s="58"/>
      <c r="D932" s="8">
        <v>2020</v>
      </c>
      <c r="E932" s="14">
        <f>Data!V932</f>
        <v>12</v>
      </c>
    </row>
    <row r="933" spans="2:5" ht="15" customHeight="1" x14ac:dyDescent="0.3">
      <c r="C933" s="58"/>
      <c r="D933" s="8">
        <v>2021</v>
      </c>
      <c r="E933" s="14">
        <f>Data!V933</f>
        <v>12</v>
      </c>
    </row>
    <row r="934" spans="2:5" ht="15" customHeight="1" x14ac:dyDescent="0.3">
      <c r="C934" s="58"/>
      <c r="D934" s="8">
        <v>2022</v>
      </c>
      <c r="E934" s="14">
        <f>Data!V934</f>
        <v>12</v>
      </c>
    </row>
    <row r="935" spans="2:5" ht="15" customHeight="1" x14ac:dyDescent="0.3">
      <c r="C935" s="58"/>
      <c r="D935" s="8">
        <v>2023</v>
      </c>
      <c r="E935" s="14">
        <f>Data!V935</f>
        <v>9</v>
      </c>
    </row>
    <row r="936" spans="2:5" ht="15" customHeight="1" x14ac:dyDescent="0.3">
      <c r="C936" s="58"/>
      <c r="D936" s="8">
        <v>2024</v>
      </c>
      <c r="E936" s="14">
        <f>Data!V936</f>
        <v>12</v>
      </c>
    </row>
    <row r="937" spans="2:5" ht="15" customHeight="1" x14ac:dyDescent="0.3">
      <c r="B937" s="8">
        <v>86</v>
      </c>
      <c r="C937" s="59" t="s">
        <v>132</v>
      </c>
      <c r="D937" s="8">
        <v>2014</v>
      </c>
      <c r="E937" s="14">
        <f>Data!V937</f>
        <v>0</v>
      </c>
    </row>
    <row r="938" spans="2:5" ht="15" customHeight="1" x14ac:dyDescent="0.3">
      <c r="C938" s="59"/>
      <c r="D938" s="8">
        <v>2015</v>
      </c>
      <c r="E938" s="14">
        <f>Data!V938</f>
        <v>0</v>
      </c>
    </row>
    <row r="939" spans="2:5" ht="15" customHeight="1" x14ac:dyDescent="0.3">
      <c r="C939" s="59"/>
      <c r="D939" s="8">
        <v>2016</v>
      </c>
      <c r="E939" s="14">
        <f>Data!V939</f>
        <v>3</v>
      </c>
    </row>
    <row r="940" spans="2:5" ht="15" customHeight="1" x14ac:dyDescent="0.3">
      <c r="C940" s="59"/>
      <c r="D940" s="8">
        <v>2017</v>
      </c>
      <c r="E940" s="14">
        <f>Data!V940</f>
        <v>3</v>
      </c>
    </row>
    <row r="941" spans="2:5" ht="15" customHeight="1" x14ac:dyDescent="0.3">
      <c r="C941" s="59"/>
      <c r="D941" s="8">
        <v>2018</v>
      </c>
      <c r="E941" s="14">
        <f>Data!V941</f>
        <v>2</v>
      </c>
    </row>
    <row r="942" spans="2:5" ht="15" customHeight="1" x14ac:dyDescent="0.3">
      <c r="C942" s="59"/>
      <c r="D942" s="8">
        <v>2019</v>
      </c>
      <c r="E942" s="14">
        <f>Data!V942</f>
        <v>4</v>
      </c>
    </row>
    <row r="943" spans="2:5" ht="15" customHeight="1" x14ac:dyDescent="0.3">
      <c r="C943" s="59"/>
      <c r="D943" s="8">
        <v>2020</v>
      </c>
      <c r="E943" s="14">
        <f>Data!V943</f>
        <v>0</v>
      </c>
    </row>
    <row r="944" spans="2:5" ht="15" customHeight="1" x14ac:dyDescent="0.3">
      <c r="C944" s="59"/>
      <c r="D944" s="8">
        <v>2021</v>
      </c>
      <c r="E944" s="14">
        <f>Data!V944</f>
        <v>0</v>
      </c>
    </row>
    <row r="945" spans="2:5" ht="15" customHeight="1" x14ac:dyDescent="0.3">
      <c r="C945" s="59"/>
      <c r="D945" s="8">
        <v>2022</v>
      </c>
      <c r="E945" s="14">
        <f>Data!V945</f>
        <v>0</v>
      </c>
    </row>
    <row r="946" spans="2:5" ht="15" customHeight="1" x14ac:dyDescent="0.3">
      <c r="C946" s="59"/>
      <c r="D946" s="8">
        <v>2023</v>
      </c>
      <c r="E946" s="14">
        <f>Data!V946</f>
        <v>7</v>
      </c>
    </row>
    <row r="947" spans="2:5" ht="15" customHeight="1" x14ac:dyDescent="0.3">
      <c r="C947" s="59"/>
      <c r="D947" s="8">
        <v>2024</v>
      </c>
      <c r="E947" s="14">
        <f>Data!V947</f>
        <v>7</v>
      </c>
    </row>
    <row r="948" spans="2:5" ht="15" customHeight="1" x14ac:dyDescent="0.3">
      <c r="B948" s="8">
        <v>87</v>
      </c>
      <c r="C948" s="57" t="s">
        <v>129</v>
      </c>
      <c r="D948" s="8">
        <v>2014</v>
      </c>
      <c r="E948" s="14">
        <f>Data!V948</f>
        <v>0</v>
      </c>
    </row>
    <row r="949" spans="2:5" ht="15" customHeight="1" x14ac:dyDescent="0.3">
      <c r="C949" s="57"/>
      <c r="D949" s="8">
        <v>2015</v>
      </c>
      <c r="E949" s="14">
        <f>Data!V949</f>
        <v>0</v>
      </c>
    </row>
    <row r="950" spans="2:5" ht="15" customHeight="1" x14ac:dyDescent="0.3">
      <c r="C950" s="57"/>
      <c r="D950" s="8">
        <v>2016</v>
      </c>
      <c r="E950" s="14">
        <f>Data!V950</f>
        <v>0</v>
      </c>
    </row>
    <row r="951" spans="2:5" ht="15" customHeight="1" x14ac:dyDescent="0.3">
      <c r="C951" s="57"/>
      <c r="D951" s="8">
        <v>2017</v>
      </c>
      <c r="E951" s="14">
        <f>Data!V951</f>
        <v>0</v>
      </c>
    </row>
    <row r="952" spans="2:5" ht="15" customHeight="1" x14ac:dyDescent="0.3">
      <c r="C952" s="57"/>
      <c r="D952" s="8">
        <v>2018</v>
      </c>
      <c r="E952" s="14">
        <f>Data!V952</f>
        <v>0</v>
      </c>
    </row>
    <row r="953" spans="2:5" ht="15" customHeight="1" x14ac:dyDescent="0.3">
      <c r="C953" s="57"/>
      <c r="D953" s="8">
        <v>2019</v>
      </c>
      <c r="E953" s="14">
        <f>Data!V953</f>
        <v>0</v>
      </c>
    </row>
    <row r="954" spans="2:5" ht="15" customHeight="1" x14ac:dyDescent="0.3">
      <c r="C954" s="57"/>
      <c r="D954" s="8">
        <v>2020</v>
      </c>
      <c r="E954" s="14">
        <f>Data!V954</f>
        <v>0</v>
      </c>
    </row>
    <row r="955" spans="2:5" ht="15" customHeight="1" x14ac:dyDescent="0.3">
      <c r="C955" s="57"/>
      <c r="D955" s="8">
        <v>2021</v>
      </c>
      <c r="E955" s="14">
        <f>Data!V955</f>
        <v>0</v>
      </c>
    </row>
    <row r="956" spans="2:5" ht="15" customHeight="1" x14ac:dyDescent="0.3">
      <c r="C956" s="57"/>
      <c r="D956" s="8">
        <v>2022</v>
      </c>
      <c r="E956" s="14">
        <f>Data!V956</f>
        <v>0</v>
      </c>
    </row>
    <row r="957" spans="2:5" ht="15" customHeight="1" x14ac:dyDescent="0.3">
      <c r="C957" s="57"/>
      <c r="D957" s="8">
        <v>2023</v>
      </c>
      <c r="E957" s="14">
        <f>Data!V957</f>
        <v>0</v>
      </c>
    </row>
    <row r="958" spans="2:5" ht="15" customHeight="1" x14ac:dyDescent="0.3">
      <c r="C958" s="57"/>
      <c r="D958" s="8">
        <v>2024</v>
      </c>
      <c r="E958" s="14">
        <f>Data!V958</f>
        <v>0</v>
      </c>
    </row>
    <row r="959" spans="2:5" ht="15" customHeight="1" x14ac:dyDescent="0.3">
      <c r="B959" s="8">
        <v>88</v>
      </c>
      <c r="C959" s="58" t="s">
        <v>100</v>
      </c>
      <c r="D959" s="8">
        <v>2014</v>
      </c>
      <c r="E959" s="14">
        <f>Data!V959</f>
        <v>0</v>
      </c>
    </row>
    <row r="960" spans="2:5" ht="15" customHeight="1" x14ac:dyDescent="0.3">
      <c r="C960" s="58"/>
      <c r="D960" s="8">
        <v>2015</v>
      </c>
      <c r="E960" s="14">
        <f>Data!V960</f>
        <v>0</v>
      </c>
    </row>
    <row r="961" spans="2:5" ht="15" customHeight="1" x14ac:dyDescent="0.3">
      <c r="C961" s="58"/>
      <c r="D961" s="8">
        <v>2016</v>
      </c>
      <c r="E961" s="14">
        <f>Data!V961</f>
        <v>0</v>
      </c>
    </row>
    <row r="962" spans="2:5" ht="15" customHeight="1" x14ac:dyDescent="0.3">
      <c r="C962" s="58"/>
      <c r="D962" s="8">
        <v>2017</v>
      </c>
      <c r="E962" s="14">
        <f>Data!V962</f>
        <v>0</v>
      </c>
    </row>
    <row r="963" spans="2:5" ht="15" customHeight="1" x14ac:dyDescent="0.3">
      <c r="C963" s="58"/>
      <c r="D963" s="8">
        <v>2018</v>
      </c>
      <c r="E963" s="14">
        <f>Data!V963</f>
        <v>0</v>
      </c>
    </row>
    <row r="964" spans="2:5" ht="15" customHeight="1" x14ac:dyDescent="0.3">
      <c r="C964" s="58"/>
      <c r="D964" s="8">
        <v>2019</v>
      </c>
      <c r="E964" s="14">
        <f>Data!V964</f>
        <v>0</v>
      </c>
    </row>
    <row r="965" spans="2:5" ht="15" customHeight="1" x14ac:dyDescent="0.3">
      <c r="C965" s="58"/>
      <c r="D965" s="8">
        <v>2020</v>
      </c>
      <c r="E965" s="14">
        <f>Data!V965</f>
        <v>0</v>
      </c>
    </row>
    <row r="966" spans="2:5" ht="15" customHeight="1" x14ac:dyDescent="0.3">
      <c r="C966" s="58"/>
      <c r="D966" s="8">
        <v>2021</v>
      </c>
      <c r="E966" s="14">
        <f>Data!V966</f>
        <v>0</v>
      </c>
    </row>
    <row r="967" spans="2:5" ht="15" customHeight="1" x14ac:dyDescent="0.3">
      <c r="C967" s="58"/>
      <c r="D967" s="8">
        <v>2022</v>
      </c>
      <c r="E967" s="14">
        <f>Data!V967</f>
        <v>0</v>
      </c>
    </row>
    <row r="968" spans="2:5" ht="15" customHeight="1" x14ac:dyDescent="0.3">
      <c r="C968" s="58"/>
      <c r="D968" s="8">
        <v>2023</v>
      </c>
      <c r="E968" s="14">
        <f>Data!V968</f>
        <v>0</v>
      </c>
    </row>
    <row r="969" spans="2:5" ht="15" customHeight="1" x14ac:dyDescent="0.3">
      <c r="C969" s="58"/>
      <c r="D969" s="8">
        <v>2024</v>
      </c>
      <c r="E969" s="14">
        <f>Data!V969</f>
        <v>0</v>
      </c>
    </row>
    <row r="970" spans="2:5" ht="15" customHeight="1" x14ac:dyDescent="0.3">
      <c r="B970" s="8">
        <v>89</v>
      </c>
      <c r="C970" s="58" t="s">
        <v>101</v>
      </c>
      <c r="D970" s="8">
        <v>2014</v>
      </c>
      <c r="E970" s="14">
        <f>Data!V970</f>
        <v>0</v>
      </c>
    </row>
    <row r="971" spans="2:5" ht="15" customHeight="1" x14ac:dyDescent="0.3">
      <c r="C971" s="58"/>
      <c r="D971" s="8">
        <v>2015</v>
      </c>
      <c r="E971" s="14">
        <f>Data!V971</f>
        <v>10</v>
      </c>
    </row>
    <row r="972" spans="2:5" ht="15" customHeight="1" x14ac:dyDescent="0.3">
      <c r="C972" s="58"/>
      <c r="D972" s="8">
        <v>2016</v>
      </c>
      <c r="E972" s="14">
        <f>Data!V972</f>
        <v>11</v>
      </c>
    </row>
    <row r="973" spans="2:5" ht="15" customHeight="1" x14ac:dyDescent="0.3">
      <c r="C973" s="58"/>
      <c r="D973" s="8">
        <v>2017</v>
      </c>
      <c r="E973" s="14">
        <f>Data!V973</f>
        <v>11</v>
      </c>
    </row>
    <row r="974" spans="2:5" ht="15" customHeight="1" x14ac:dyDescent="0.3">
      <c r="C974" s="58"/>
      <c r="D974" s="8">
        <v>2018</v>
      </c>
      <c r="E974" s="14">
        <f>Data!V974</f>
        <v>11</v>
      </c>
    </row>
    <row r="975" spans="2:5" ht="15" customHeight="1" x14ac:dyDescent="0.3">
      <c r="C975" s="58"/>
      <c r="D975" s="8">
        <v>2019</v>
      </c>
      <c r="E975" s="14">
        <f>Data!V975</f>
        <v>10</v>
      </c>
    </row>
    <row r="976" spans="2:5" ht="15" customHeight="1" x14ac:dyDescent="0.3">
      <c r="C976" s="58"/>
      <c r="D976" s="8">
        <v>2020</v>
      </c>
      <c r="E976" s="14">
        <f>Data!V976</f>
        <v>10</v>
      </c>
    </row>
    <row r="977" spans="2:5" ht="15" customHeight="1" x14ac:dyDescent="0.3">
      <c r="C977" s="58"/>
      <c r="D977" s="8">
        <v>2021</v>
      </c>
      <c r="E977" s="14">
        <f>Data!V977</f>
        <v>10</v>
      </c>
    </row>
    <row r="978" spans="2:5" ht="15" customHeight="1" x14ac:dyDescent="0.3">
      <c r="C978" s="58"/>
      <c r="D978" s="8">
        <v>2022</v>
      </c>
      <c r="E978" s="14">
        <f>Data!V978</f>
        <v>10</v>
      </c>
    </row>
    <row r="979" spans="2:5" ht="15" customHeight="1" x14ac:dyDescent="0.3">
      <c r="C979" s="58"/>
      <c r="D979" s="8">
        <v>2023</v>
      </c>
      <c r="E979" s="14">
        <f>Data!V979</f>
        <v>10</v>
      </c>
    </row>
    <row r="980" spans="2:5" ht="15" customHeight="1" x14ac:dyDescent="0.3">
      <c r="C980" s="58"/>
      <c r="D980" s="8">
        <v>2024</v>
      </c>
      <c r="E980" s="14">
        <f>Data!V980</f>
        <v>10</v>
      </c>
    </row>
    <row r="981" spans="2:5" ht="15" customHeight="1" x14ac:dyDescent="0.3">
      <c r="B981" s="8">
        <v>90</v>
      </c>
      <c r="C981" s="58" t="s">
        <v>93</v>
      </c>
      <c r="D981" s="8">
        <v>2014</v>
      </c>
      <c r="E981" s="14">
        <f>Data!V981</f>
        <v>0</v>
      </c>
    </row>
    <row r="982" spans="2:5" ht="15" customHeight="1" x14ac:dyDescent="0.3">
      <c r="C982" s="58"/>
      <c r="D982" s="8">
        <v>2015</v>
      </c>
      <c r="E982" s="14">
        <f>Data!V982</f>
        <v>0</v>
      </c>
    </row>
    <row r="983" spans="2:5" ht="15" customHeight="1" x14ac:dyDescent="0.3">
      <c r="C983" s="58"/>
      <c r="D983" s="8">
        <v>2016</v>
      </c>
      <c r="E983" s="14">
        <f>Data!V983</f>
        <v>0</v>
      </c>
    </row>
    <row r="984" spans="2:5" ht="15" customHeight="1" x14ac:dyDescent="0.3">
      <c r="C984" s="58"/>
      <c r="D984" s="8">
        <v>2017</v>
      </c>
      <c r="E984" s="14">
        <f>Data!V984</f>
        <v>0</v>
      </c>
    </row>
    <row r="985" spans="2:5" ht="15" customHeight="1" x14ac:dyDescent="0.3">
      <c r="C985" s="58"/>
      <c r="D985" s="8">
        <v>2018</v>
      </c>
      <c r="E985" s="14">
        <f>Data!V985</f>
        <v>0</v>
      </c>
    </row>
    <row r="986" spans="2:5" ht="15" customHeight="1" x14ac:dyDescent="0.3">
      <c r="C986" s="58"/>
      <c r="D986" s="8">
        <v>2019</v>
      </c>
      <c r="E986" s="14">
        <f>Data!V986</f>
        <v>0</v>
      </c>
    </row>
    <row r="987" spans="2:5" ht="15" customHeight="1" x14ac:dyDescent="0.3">
      <c r="C987" s="58"/>
      <c r="D987" s="8">
        <v>2020</v>
      </c>
      <c r="E987" s="14">
        <f>Data!V987</f>
        <v>0</v>
      </c>
    </row>
    <row r="988" spans="2:5" ht="15" customHeight="1" x14ac:dyDescent="0.3">
      <c r="C988" s="58"/>
      <c r="D988" s="8">
        <v>2021</v>
      </c>
      <c r="E988" s="14">
        <f>Data!V988</f>
        <v>0</v>
      </c>
    </row>
    <row r="989" spans="2:5" ht="15" customHeight="1" x14ac:dyDescent="0.3">
      <c r="C989" s="58"/>
      <c r="D989" s="8">
        <v>2022</v>
      </c>
      <c r="E989" s="14">
        <f>Data!V989</f>
        <v>0</v>
      </c>
    </row>
    <row r="990" spans="2:5" ht="15" customHeight="1" x14ac:dyDescent="0.3">
      <c r="C990" s="58"/>
      <c r="D990" s="8">
        <v>2023</v>
      </c>
      <c r="E990" s="14">
        <f>Data!V990</f>
        <v>0</v>
      </c>
    </row>
    <row r="991" spans="2:5" ht="15" customHeight="1" x14ac:dyDescent="0.3">
      <c r="C991" s="58"/>
      <c r="D991" s="8">
        <v>2024</v>
      </c>
      <c r="E991" s="14">
        <f>Data!V991</f>
        <v>0</v>
      </c>
    </row>
    <row r="992" spans="2:5" ht="15" customHeight="1" x14ac:dyDescent="0.3">
      <c r="B992" s="8">
        <v>91</v>
      </c>
      <c r="C992" s="58" t="s">
        <v>88</v>
      </c>
      <c r="D992" s="8">
        <v>2014</v>
      </c>
      <c r="E992" s="14">
        <f>Data!V992</f>
        <v>0</v>
      </c>
    </row>
    <row r="993" spans="2:5" ht="15" customHeight="1" x14ac:dyDescent="0.3">
      <c r="C993" s="58"/>
      <c r="D993" s="8">
        <v>2015</v>
      </c>
      <c r="E993" s="14">
        <f>Data!V993</f>
        <v>0</v>
      </c>
    </row>
    <row r="994" spans="2:5" ht="15" customHeight="1" x14ac:dyDescent="0.3">
      <c r="C994" s="58"/>
      <c r="D994" s="8">
        <v>2016</v>
      </c>
      <c r="E994" s="14">
        <f>Data!V994</f>
        <v>0</v>
      </c>
    </row>
    <row r="995" spans="2:5" ht="15" customHeight="1" x14ac:dyDescent="0.3">
      <c r="C995" s="58"/>
      <c r="D995" s="8">
        <v>2017</v>
      </c>
      <c r="E995" s="14">
        <f>Data!V995</f>
        <v>0</v>
      </c>
    </row>
    <row r="996" spans="2:5" ht="15" customHeight="1" x14ac:dyDescent="0.3">
      <c r="C996" s="58"/>
      <c r="D996" s="8">
        <v>2018</v>
      </c>
      <c r="E996" s="14">
        <f>Data!V996</f>
        <v>0</v>
      </c>
    </row>
    <row r="997" spans="2:5" ht="15" customHeight="1" x14ac:dyDescent="0.3">
      <c r="C997" s="58"/>
      <c r="D997" s="8">
        <v>2019</v>
      </c>
      <c r="E997" s="14">
        <f>Data!V997</f>
        <v>0</v>
      </c>
    </row>
    <row r="998" spans="2:5" ht="15" customHeight="1" x14ac:dyDescent="0.3">
      <c r="C998" s="58"/>
      <c r="D998" s="8">
        <v>2020</v>
      </c>
      <c r="E998" s="14">
        <f>Data!V998</f>
        <v>0</v>
      </c>
    </row>
    <row r="999" spans="2:5" ht="15" customHeight="1" x14ac:dyDescent="0.3">
      <c r="C999" s="58"/>
      <c r="D999" s="8">
        <v>2021</v>
      </c>
      <c r="E999" s="14">
        <f>Data!V999</f>
        <v>0</v>
      </c>
    </row>
    <row r="1000" spans="2:5" ht="15" customHeight="1" x14ac:dyDescent="0.3">
      <c r="C1000" s="58"/>
      <c r="D1000" s="8">
        <v>2022</v>
      </c>
      <c r="E1000" s="14">
        <f>Data!V1000</f>
        <v>0</v>
      </c>
    </row>
    <row r="1001" spans="2:5" ht="15" customHeight="1" x14ac:dyDescent="0.3">
      <c r="C1001" s="58"/>
      <c r="D1001" s="8">
        <v>2023</v>
      </c>
      <c r="E1001" s="14">
        <f>Data!V1001</f>
        <v>0</v>
      </c>
    </row>
    <row r="1002" spans="2:5" ht="15" customHeight="1" x14ac:dyDescent="0.3">
      <c r="C1002" s="58"/>
      <c r="D1002" s="8">
        <v>2024</v>
      </c>
      <c r="E1002" s="14">
        <f>Data!V1002</f>
        <v>0</v>
      </c>
    </row>
    <row r="1003" spans="2:5" ht="15" customHeight="1" x14ac:dyDescent="0.3">
      <c r="B1003" s="8">
        <v>92</v>
      </c>
      <c r="C1003" s="58" t="s">
        <v>94</v>
      </c>
      <c r="D1003" s="8">
        <v>2014</v>
      </c>
      <c r="E1003" s="14">
        <f>Data!V1003</f>
        <v>0</v>
      </c>
    </row>
    <row r="1004" spans="2:5" ht="15" customHeight="1" x14ac:dyDescent="0.3">
      <c r="C1004" s="58"/>
      <c r="D1004" s="8">
        <v>2015</v>
      </c>
      <c r="E1004" s="14">
        <f>Data!V1004</f>
        <v>0</v>
      </c>
    </row>
    <row r="1005" spans="2:5" ht="15" customHeight="1" x14ac:dyDescent="0.3">
      <c r="C1005" s="58"/>
      <c r="D1005" s="8">
        <v>2016</v>
      </c>
      <c r="E1005" s="14">
        <f>Data!V1005</f>
        <v>0</v>
      </c>
    </row>
    <row r="1006" spans="2:5" ht="15" customHeight="1" x14ac:dyDescent="0.3">
      <c r="C1006" s="58"/>
      <c r="D1006" s="8">
        <v>2017</v>
      </c>
      <c r="E1006" s="14">
        <f>Data!V1006</f>
        <v>0</v>
      </c>
    </row>
    <row r="1007" spans="2:5" ht="15" customHeight="1" x14ac:dyDescent="0.3">
      <c r="C1007" s="58"/>
      <c r="D1007" s="8">
        <v>2018</v>
      </c>
      <c r="E1007" s="14">
        <f>Data!V1007</f>
        <v>0</v>
      </c>
    </row>
    <row r="1008" spans="2:5" ht="15" customHeight="1" x14ac:dyDescent="0.3">
      <c r="C1008" s="58"/>
      <c r="D1008" s="8">
        <v>2019</v>
      </c>
      <c r="E1008" s="14">
        <f>Data!V1008</f>
        <v>9</v>
      </c>
    </row>
    <row r="1009" spans="2:5" ht="15" customHeight="1" x14ac:dyDescent="0.3">
      <c r="C1009" s="58"/>
      <c r="D1009" s="8">
        <v>2020</v>
      </c>
      <c r="E1009" s="14">
        <f>Data!V1009</f>
        <v>9</v>
      </c>
    </row>
    <row r="1010" spans="2:5" ht="15" customHeight="1" x14ac:dyDescent="0.3">
      <c r="C1010" s="58"/>
      <c r="D1010" s="8">
        <v>2021</v>
      </c>
      <c r="E1010" s="14">
        <f>Data!V1010</f>
        <v>9</v>
      </c>
    </row>
    <row r="1011" spans="2:5" ht="15" customHeight="1" x14ac:dyDescent="0.3">
      <c r="C1011" s="58"/>
      <c r="D1011" s="8">
        <v>2022</v>
      </c>
      <c r="E1011" s="14">
        <f>Data!V1011</f>
        <v>9</v>
      </c>
    </row>
    <row r="1012" spans="2:5" ht="15" customHeight="1" x14ac:dyDescent="0.3">
      <c r="C1012" s="58"/>
      <c r="D1012" s="8">
        <v>2023</v>
      </c>
      <c r="E1012" s="14">
        <f>Data!V1012</f>
        <v>9</v>
      </c>
    </row>
    <row r="1013" spans="2:5" ht="15" customHeight="1" x14ac:dyDescent="0.3">
      <c r="C1013" s="58"/>
      <c r="D1013" s="8">
        <v>2024</v>
      </c>
      <c r="E1013" s="14">
        <f>Data!V1013</f>
        <v>9</v>
      </c>
    </row>
    <row r="1014" spans="2:5" ht="15" customHeight="1" x14ac:dyDescent="0.3">
      <c r="B1014" s="8">
        <v>93</v>
      </c>
      <c r="C1014" s="58" t="s">
        <v>102</v>
      </c>
      <c r="D1014" s="8">
        <v>2014</v>
      </c>
      <c r="E1014" s="14">
        <f>Data!V1014</f>
        <v>0</v>
      </c>
    </row>
    <row r="1015" spans="2:5" ht="15" customHeight="1" x14ac:dyDescent="0.3">
      <c r="C1015" s="58"/>
      <c r="D1015" s="8">
        <v>2015</v>
      </c>
      <c r="E1015" s="14">
        <f>Data!V1015</f>
        <v>7</v>
      </c>
    </row>
    <row r="1016" spans="2:5" ht="15" customHeight="1" x14ac:dyDescent="0.3">
      <c r="C1016" s="58"/>
      <c r="D1016" s="8">
        <v>2016</v>
      </c>
      <c r="E1016" s="14">
        <f>Data!V1016</f>
        <v>3</v>
      </c>
    </row>
    <row r="1017" spans="2:5" ht="15" customHeight="1" x14ac:dyDescent="0.3">
      <c r="C1017" s="58"/>
      <c r="D1017" s="8">
        <v>2017</v>
      </c>
      <c r="E1017" s="14">
        <f>Data!V1017</f>
        <v>0</v>
      </c>
    </row>
    <row r="1018" spans="2:5" ht="15" customHeight="1" x14ac:dyDescent="0.3">
      <c r="C1018" s="58"/>
      <c r="D1018" s="8">
        <v>2018</v>
      </c>
      <c r="E1018" s="14">
        <f>Data!V1018</f>
        <v>3</v>
      </c>
    </row>
    <row r="1019" spans="2:5" ht="15" customHeight="1" x14ac:dyDescent="0.3">
      <c r="C1019" s="58"/>
      <c r="D1019" s="8">
        <v>2019</v>
      </c>
      <c r="E1019" s="14">
        <f>Data!V1019</f>
        <v>0</v>
      </c>
    </row>
    <row r="1020" spans="2:5" ht="15" customHeight="1" x14ac:dyDescent="0.3">
      <c r="C1020" s="58"/>
      <c r="D1020" s="8">
        <v>2020</v>
      </c>
      <c r="E1020" s="14">
        <f>Data!V1020</f>
        <v>0</v>
      </c>
    </row>
    <row r="1021" spans="2:5" ht="15" customHeight="1" x14ac:dyDescent="0.3">
      <c r="C1021" s="58"/>
      <c r="D1021" s="8">
        <v>2021</v>
      </c>
      <c r="E1021" s="14">
        <f>Data!V1021</f>
        <v>0</v>
      </c>
    </row>
    <row r="1022" spans="2:5" ht="15" customHeight="1" x14ac:dyDescent="0.3">
      <c r="C1022" s="58"/>
      <c r="D1022" s="8">
        <v>2022</v>
      </c>
      <c r="E1022" s="14">
        <f>Data!V1022</f>
        <v>0</v>
      </c>
    </row>
    <row r="1023" spans="2:5" ht="15" customHeight="1" x14ac:dyDescent="0.3">
      <c r="C1023" s="58"/>
      <c r="D1023" s="8">
        <v>2023</v>
      </c>
      <c r="E1023" s="14">
        <f>Data!V1023</f>
        <v>0</v>
      </c>
    </row>
    <row r="1024" spans="2:5" ht="15" customHeight="1" x14ac:dyDescent="0.3">
      <c r="C1024" s="58"/>
      <c r="D1024" s="8">
        <v>2024</v>
      </c>
      <c r="E1024" s="14">
        <f>Data!V1024</f>
        <v>0</v>
      </c>
    </row>
    <row r="1025" spans="2:5" ht="15" customHeight="1" x14ac:dyDescent="0.3">
      <c r="B1025" s="8">
        <v>94</v>
      </c>
      <c r="C1025" s="58" t="s">
        <v>114</v>
      </c>
      <c r="D1025" s="8">
        <v>2014</v>
      </c>
      <c r="E1025" s="14">
        <f>Data!V1025</f>
        <v>0</v>
      </c>
    </row>
    <row r="1026" spans="2:5" ht="15" customHeight="1" x14ac:dyDescent="0.3">
      <c r="C1026" s="58"/>
      <c r="D1026" s="8">
        <v>2015</v>
      </c>
      <c r="E1026" s="14">
        <f>Data!V1026</f>
        <v>0</v>
      </c>
    </row>
    <row r="1027" spans="2:5" ht="15" customHeight="1" x14ac:dyDescent="0.3">
      <c r="C1027" s="58"/>
      <c r="D1027" s="8">
        <v>2016</v>
      </c>
      <c r="E1027" s="14">
        <f>Data!V1027</f>
        <v>0</v>
      </c>
    </row>
    <row r="1028" spans="2:5" ht="15" customHeight="1" x14ac:dyDescent="0.3">
      <c r="C1028" s="58"/>
      <c r="D1028" s="8">
        <v>2017</v>
      </c>
      <c r="E1028" s="14">
        <f>Data!V1028</f>
        <v>0</v>
      </c>
    </row>
    <row r="1029" spans="2:5" ht="15" customHeight="1" x14ac:dyDescent="0.3">
      <c r="C1029" s="58"/>
      <c r="D1029" s="8">
        <v>2018</v>
      </c>
      <c r="E1029" s="14">
        <f>Data!V1029</f>
        <v>0</v>
      </c>
    </row>
    <row r="1030" spans="2:5" ht="15" customHeight="1" x14ac:dyDescent="0.3">
      <c r="C1030" s="58"/>
      <c r="D1030" s="8">
        <v>2019</v>
      </c>
      <c r="E1030" s="14">
        <f>Data!V1030</f>
        <v>0</v>
      </c>
    </row>
    <row r="1031" spans="2:5" ht="15" customHeight="1" x14ac:dyDescent="0.3">
      <c r="C1031" s="58"/>
      <c r="D1031" s="8">
        <v>2020</v>
      </c>
      <c r="E1031" s="14">
        <f>Data!V1031</f>
        <v>0</v>
      </c>
    </row>
    <row r="1032" spans="2:5" ht="15" customHeight="1" x14ac:dyDescent="0.3">
      <c r="C1032" s="58"/>
      <c r="D1032" s="8">
        <v>2021</v>
      </c>
      <c r="E1032" s="14">
        <f>Data!V1032</f>
        <v>0</v>
      </c>
    </row>
    <row r="1033" spans="2:5" ht="15" customHeight="1" x14ac:dyDescent="0.3">
      <c r="C1033" s="58"/>
      <c r="D1033" s="8">
        <v>2022</v>
      </c>
      <c r="E1033" s="14">
        <f>Data!V1033</f>
        <v>0</v>
      </c>
    </row>
    <row r="1034" spans="2:5" ht="15" customHeight="1" x14ac:dyDescent="0.3">
      <c r="C1034" s="58"/>
      <c r="D1034" s="8">
        <v>2023</v>
      </c>
      <c r="E1034" s="14">
        <f>Data!V1034</f>
        <v>12</v>
      </c>
    </row>
    <row r="1035" spans="2:5" ht="15" customHeight="1" x14ac:dyDescent="0.3">
      <c r="C1035" s="58"/>
      <c r="D1035" s="8">
        <v>2024</v>
      </c>
      <c r="E1035" s="14">
        <f>Data!V1035</f>
        <v>12</v>
      </c>
    </row>
    <row r="1036" spans="2:5" ht="15" customHeight="1" x14ac:dyDescent="0.3">
      <c r="B1036" s="8">
        <v>95</v>
      </c>
      <c r="C1036" s="58" t="s">
        <v>115</v>
      </c>
      <c r="D1036" s="8">
        <v>2014</v>
      </c>
      <c r="E1036" s="14">
        <f>Data!V1036</f>
        <v>0</v>
      </c>
    </row>
    <row r="1037" spans="2:5" ht="15" customHeight="1" x14ac:dyDescent="0.3">
      <c r="C1037" s="58"/>
      <c r="D1037" s="8">
        <v>2015</v>
      </c>
      <c r="E1037" s="14">
        <f>Data!V1037</f>
        <v>0</v>
      </c>
    </row>
    <row r="1038" spans="2:5" ht="15" customHeight="1" x14ac:dyDescent="0.3">
      <c r="C1038" s="58"/>
      <c r="D1038" s="8">
        <v>2016</v>
      </c>
      <c r="E1038" s="14">
        <f>Data!V1038</f>
        <v>0</v>
      </c>
    </row>
    <row r="1039" spans="2:5" ht="15" customHeight="1" x14ac:dyDescent="0.3">
      <c r="C1039" s="58"/>
      <c r="D1039" s="8">
        <v>2017</v>
      </c>
      <c r="E1039" s="14">
        <f>Data!V1039</f>
        <v>0</v>
      </c>
    </row>
    <row r="1040" spans="2:5" ht="15" customHeight="1" x14ac:dyDescent="0.3">
      <c r="C1040" s="58"/>
      <c r="D1040" s="8">
        <v>2018</v>
      </c>
      <c r="E1040" s="14">
        <f>Data!V1040</f>
        <v>0</v>
      </c>
    </row>
    <row r="1041" spans="2:5" ht="15" customHeight="1" x14ac:dyDescent="0.3">
      <c r="C1041" s="58"/>
      <c r="D1041" s="8">
        <v>2019</v>
      </c>
      <c r="E1041" s="14">
        <f>Data!V1041</f>
        <v>0</v>
      </c>
    </row>
    <row r="1042" spans="2:5" ht="15" customHeight="1" x14ac:dyDescent="0.3">
      <c r="C1042" s="58"/>
      <c r="D1042" s="8">
        <v>2020</v>
      </c>
      <c r="E1042" s="14">
        <f>Data!V1042</f>
        <v>0</v>
      </c>
    </row>
    <row r="1043" spans="2:5" ht="15" customHeight="1" x14ac:dyDescent="0.3">
      <c r="C1043" s="58"/>
      <c r="D1043" s="8">
        <v>2021</v>
      </c>
      <c r="E1043" s="14">
        <f>Data!V1043</f>
        <v>0</v>
      </c>
    </row>
    <row r="1044" spans="2:5" ht="15" customHeight="1" x14ac:dyDescent="0.3">
      <c r="C1044" s="58"/>
      <c r="D1044" s="8">
        <v>2022</v>
      </c>
      <c r="E1044" s="14">
        <f>Data!V1044</f>
        <v>0</v>
      </c>
    </row>
    <row r="1045" spans="2:5" ht="15" customHeight="1" x14ac:dyDescent="0.3">
      <c r="C1045" s="58"/>
      <c r="D1045" s="8">
        <v>2023</v>
      </c>
      <c r="E1045" s="14">
        <f>Data!V1045</f>
        <v>0</v>
      </c>
    </row>
    <row r="1046" spans="2:5" ht="15" customHeight="1" x14ac:dyDescent="0.3">
      <c r="C1046" s="58"/>
      <c r="D1046" s="8">
        <v>2024</v>
      </c>
      <c r="E1046" s="14">
        <f>Data!V1046</f>
        <v>0</v>
      </c>
    </row>
    <row r="1047" spans="2:5" ht="15" customHeight="1" x14ac:dyDescent="0.3">
      <c r="B1047" s="8">
        <v>96</v>
      </c>
      <c r="C1047" s="58" t="s">
        <v>116</v>
      </c>
      <c r="D1047" s="8">
        <v>2014</v>
      </c>
      <c r="E1047" s="14">
        <f>Data!V1047</f>
        <v>0</v>
      </c>
    </row>
    <row r="1048" spans="2:5" ht="15" customHeight="1" x14ac:dyDescent="0.3">
      <c r="C1048" s="58"/>
      <c r="D1048" s="8">
        <v>2015</v>
      </c>
      <c r="E1048" s="14">
        <f>Data!V1048</f>
        <v>0</v>
      </c>
    </row>
    <row r="1049" spans="2:5" ht="15" customHeight="1" x14ac:dyDescent="0.3">
      <c r="C1049" s="58"/>
      <c r="D1049" s="8">
        <v>2016</v>
      </c>
      <c r="E1049" s="14">
        <f>Data!V1049</f>
        <v>21</v>
      </c>
    </row>
    <row r="1050" spans="2:5" ht="15" customHeight="1" x14ac:dyDescent="0.3">
      <c r="C1050" s="58"/>
      <c r="D1050" s="8">
        <v>2017</v>
      </c>
      <c r="E1050" s="14">
        <f>Data!V1050</f>
        <v>21</v>
      </c>
    </row>
    <row r="1051" spans="2:5" ht="15" customHeight="1" x14ac:dyDescent="0.3">
      <c r="C1051" s="58"/>
      <c r="D1051" s="8">
        <v>2018</v>
      </c>
      <c r="E1051" s="14">
        <f>Data!V1051</f>
        <v>21</v>
      </c>
    </row>
    <row r="1052" spans="2:5" ht="15" customHeight="1" x14ac:dyDescent="0.3">
      <c r="C1052" s="58"/>
      <c r="D1052" s="8">
        <v>2019</v>
      </c>
      <c r="E1052" s="14">
        <f>Data!V1052</f>
        <v>21</v>
      </c>
    </row>
    <row r="1053" spans="2:5" ht="15" customHeight="1" x14ac:dyDescent="0.3">
      <c r="C1053" s="58"/>
      <c r="D1053" s="8">
        <v>2020</v>
      </c>
      <c r="E1053" s="14">
        <f>Data!V1053</f>
        <v>15</v>
      </c>
    </row>
    <row r="1054" spans="2:5" ht="15" customHeight="1" x14ac:dyDescent="0.3">
      <c r="C1054" s="58"/>
      <c r="D1054" s="8">
        <v>2021</v>
      </c>
      <c r="E1054" s="14">
        <f>Data!V1054</f>
        <v>15</v>
      </c>
    </row>
    <row r="1055" spans="2:5" ht="15" customHeight="1" x14ac:dyDescent="0.3">
      <c r="C1055" s="58"/>
      <c r="D1055" s="8">
        <v>2022</v>
      </c>
      <c r="E1055" s="14">
        <f>Data!V1055</f>
        <v>15</v>
      </c>
    </row>
    <row r="1056" spans="2:5" ht="15" customHeight="1" x14ac:dyDescent="0.3">
      <c r="C1056" s="58"/>
      <c r="D1056" s="8">
        <v>2023</v>
      </c>
      <c r="E1056" s="14">
        <f>Data!V1056</f>
        <v>18</v>
      </c>
    </row>
    <row r="1057" spans="2:5" ht="15" customHeight="1" x14ac:dyDescent="0.3">
      <c r="C1057" s="58"/>
      <c r="D1057" s="8">
        <v>2024</v>
      </c>
      <c r="E1057" s="14">
        <f>Data!V1057</f>
        <v>18</v>
      </c>
    </row>
    <row r="1058" spans="2:5" ht="15" customHeight="1" x14ac:dyDescent="0.3">
      <c r="B1058" s="8">
        <v>97</v>
      </c>
      <c r="C1058" s="58" t="s">
        <v>117</v>
      </c>
      <c r="D1058" s="8">
        <v>2014</v>
      </c>
      <c r="E1058" s="14">
        <f>Data!V1058</f>
        <v>0</v>
      </c>
    </row>
    <row r="1059" spans="2:5" ht="15" customHeight="1" x14ac:dyDescent="0.3">
      <c r="C1059" s="58"/>
      <c r="D1059" s="8">
        <v>2015</v>
      </c>
      <c r="E1059" s="14">
        <f>Data!V1059</f>
        <v>0</v>
      </c>
    </row>
    <row r="1060" spans="2:5" ht="15" customHeight="1" x14ac:dyDescent="0.3">
      <c r="C1060" s="58"/>
      <c r="D1060" s="8">
        <v>2016</v>
      </c>
      <c r="E1060" s="14">
        <f>Data!V1060</f>
        <v>0</v>
      </c>
    </row>
    <row r="1061" spans="2:5" ht="15" customHeight="1" x14ac:dyDescent="0.3">
      <c r="C1061" s="58"/>
      <c r="D1061" s="8">
        <v>2017</v>
      </c>
      <c r="E1061" s="14">
        <f>Data!V1061</f>
        <v>0</v>
      </c>
    </row>
    <row r="1062" spans="2:5" ht="15" customHeight="1" x14ac:dyDescent="0.3">
      <c r="C1062" s="58"/>
      <c r="D1062" s="8">
        <v>2018</v>
      </c>
      <c r="E1062" s="14">
        <f>Data!V1062</f>
        <v>0</v>
      </c>
    </row>
    <row r="1063" spans="2:5" ht="15" customHeight="1" x14ac:dyDescent="0.3">
      <c r="C1063" s="58"/>
      <c r="D1063" s="8">
        <v>2019</v>
      </c>
      <c r="E1063" s="14">
        <f>Data!V1063</f>
        <v>0</v>
      </c>
    </row>
    <row r="1064" spans="2:5" ht="15" customHeight="1" x14ac:dyDescent="0.3">
      <c r="C1064" s="58"/>
      <c r="D1064" s="8">
        <v>2020</v>
      </c>
      <c r="E1064" s="14">
        <f>Data!V1064</f>
        <v>0</v>
      </c>
    </row>
    <row r="1065" spans="2:5" ht="15" customHeight="1" x14ac:dyDescent="0.3">
      <c r="C1065" s="58"/>
      <c r="D1065" s="8">
        <v>2021</v>
      </c>
      <c r="E1065" s="14">
        <f>Data!V1065</f>
        <v>0</v>
      </c>
    </row>
    <row r="1066" spans="2:5" ht="15" customHeight="1" x14ac:dyDescent="0.3">
      <c r="C1066" s="58"/>
      <c r="D1066" s="8">
        <v>2022</v>
      </c>
      <c r="E1066" s="14">
        <f>Data!V1066</f>
        <v>0</v>
      </c>
    </row>
    <row r="1067" spans="2:5" ht="15" customHeight="1" x14ac:dyDescent="0.3">
      <c r="C1067" s="58"/>
      <c r="D1067" s="8">
        <v>2023</v>
      </c>
      <c r="E1067" s="14">
        <f>Data!V1067</f>
        <v>0</v>
      </c>
    </row>
    <row r="1068" spans="2:5" ht="15" customHeight="1" x14ac:dyDescent="0.3">
      <c r="C1068" s="58"/>
      <c r="D1068" s="8">
        <v>2024</v>
      </c>
      <c r="E1068" s="14">
        <f>Data!V1068</f>
        <v>0</v>
      </c>
    </row>
    <row r="1069" spans="2:5" ht="15" customHeight="1" x14ac:dyDescent="0.3">
      <c r="B1069" s="8">
        <v>98</v>
      </c>
      <c r="C1069" s="58" t="s">
        <v>103</v>
      </c>
      <c r="D1069" s="8">
        <v>2014</v>
      </c>
      <c r="E1069" s="14">
        <f>Data!V1069</f>
        <v>0</v>
      </c>
    </row>
    <row r="1070" spans="2:5" ht="15" customHeight="1" x14ac:dyDescent="0.3">
      <c r="C1070" s="58"/>
      <c r="D1070" s="8">
        <v>2015</v>
      </c>
      <c r="E1070" s="14">
        <f>Data!V1070</f>
        <v>0</v>
      </c>
    </row>
    <row r="1071" spans="2:5" ht="15" customHeight="1" x14ac:dyDescent="0.3">
      <c r="C1071" s="58"/>
      <c r="D1071" s="8">
        <v>2016</v>
      </c>
      <c r="E1071" s="14">
        <f>Data!V1071</f>
        <v>0</v>
      </c>
    </row>
    <row r="1072" spans="2:5" ht="15" customHeight="1" x14ac:dyDescent="0.3">
      <c r="C1072" s="58"/>
      <c r="D1072" s="8">
        <v>2017</v>
      </c>
      <c r="E1072" s="14">
        <f>Data!V1072</f>
        <v>0</v>
      </c>
    </row>
    <row r="1073" spans="2:5" ht="15" customHeight="1" x14ac:dyDescent="0.3">
      <c r="C1073" s="58"/>
      <c r="D1073" s="8">
        <v>2018</v>
      </c>
      <c r="E1073" s="14">
        <f>Data!V1073</f>
        <v>0</v>
      </c>
    </row>
    <row r="1074" spans="2:5" ht="15" customHeight="1" x14ac:dyDescent="0.3">
      <c r="C1074" s="58"/>
      <c r="D1074" s="8">
        <v>2019</v>
      </c>
      <c r="E1074" s="14">
        <f>Data!V1074</f>
        <v>0</v>
      </c>
    </row>
    <row r="1075" spans="2:5" ht="15" customHeight="1" x14ac:dyDescent="0.3">
      <c r="C1075" s="58"/>
      <c r="D1075" s="8">
        <v>2020</v>
      </c>
      <c r="E1075" s="14">
        <f>Data!V1075</f>
        <v>0</v>
      </c>
    </row>
    <row r="1076" spans="2:5" ht="15" customHeight="1" x14ac:dyDescent="0.3">
      <c r="C1076" s="58"/>
      <c r="D1076" s="8">
        <v>2021</v>
      </c>
      <c r="E1076" s="14">
        <f>Data!V1076</f>
        <v>0</v>
      </c>
    </row>
    <row r="1077" spans="2:5" ht="15" customHeight="1" x14ac:dyDescent="0.3">
      <c r="C1077" s="58"/>
      <c r="D1077" s="8">
        <v>2022</v>
      </c>
      <c r="E1077" s="14">
        <f>Data!V1077</f>
        <v>0</v>
      </c>
    </row>
    <row r="1078" spans="2:5" ht="15" customHeight="1" x14ac:dyDescent="0.3">
      <c r="C1078" s="58"/>
      <c r="D1078" s="8">
        <v>2023</v>
      </c>
      <c r="E1078" s="14">
        <f>Data!V1078</f>
        <v>0</v>
      </c>
    </row>
    <row r="1079" spans="2:5" ht="15" customHeight="1" x14ac:dyDescent="0.3">
      <c r="C1079" s="58"/>
      <c r="D1079" s="8">
        <v>2024</v>
      </c>
      <c r="E1079" s="14">
        <f>Data!V1079</f>
        <v>0</v>
      </c>
    </row>
    <row r="1080" spans="2:5" ht="15" customHeight="1" x14ac:dyDescent="0.3">
      <c r="B1080" s="8">
        <v>99</v>
      </c>
      <c r="C1080" s="58" t="s">
        <v>118</v>
      </c>
      <c r="D1080" s="8">
        <v>2014</v>
      </c>
      <c r="E1080" s="14">
        <f>Data!V1080</f>
        <v>0</v>
      </c>
    </row>
    <row r="1081" spans="2:5" ht="15" customHeight="1" x14ac:dyDescent="0.3">
      <c r="C1081" s="58"/>
      <c r="D1081" s="8">
        <v>2015</v>
      </c>
      <c r="E1081" s="14">
        <f>Data!V1081</f>
        <v>0</v>
      </c>
    </row>
    <row r="1082" spans="2:5" ht="15" customHeight="1" x14ac:dyDescent="0.3">
      <c r="C1082" s="58"/>
      <c r="D1082" s="8">
        <v>2016</v>
      </c>
      <c r="E1082" s="14">
        <f>Data!V1082</f>
        <v>0</v>
      </c>
    </row>
    <row r="1083" spans="2:5" ht="15" customHeight="1" x14ac:dyDescent="0.3">
      <c r="C1083" s="58"/>
      <c r="D1083" s="8">
        <v>2017</v>
      </c>
      <c r="E1083" s="14">
        <f>Data!V1083</f>
        <v>0</v>
      </c>
    </row>
    <row r="1084" spans="2:5" ht="15" customHeight="1" x14ac:dyDescent="0.3">
      <c r="C1084" s="58"/>
      <c r="D1084" s="8">
        <v>2018</v>
      </c>
      <c r="E1084" s="14">
        <f>Data!V1084</f>
        <v>0</v>
      </c>
    </row>
    <row r="1085" spans="2:5" ht="15" customHeight="1" x14ac:dyDescent="0.3">
      <c r="C1085" s="58"/>
      <c r="D1085" s="8">
        <v>2019</v>
      </c>
      <c r="E1085" s="14">
        <f>Data!V1085</f>
        <v>0</v>
      </c>
    </row>
    <row r="1086" spans="2:5" ht="15" customHeight="1" x14ac:dyDescent="0.3">
      <c r="C1086" s="58"/>
      <c r="D1086" s="8">
        <v>2020</v>
      </c>
      <c r="E1086" s="14">
        <f>Data!V1086</f>
        <v>0</v>
      </c>
    </row>
    <row r="1087" spans="2:5" ht="15" customHeight="1" x14ac:dyDescent="0.3">
      <c r="C1087" s="58"/>
      <c r="D1087" s="8">
        <v>2021</v>
      </c>
      <c r="E1087" s="14">
        <f>Data!V1087</f>
        <v>0</v>
      </c>
    </row>
    <row r="1088" spans="2:5" ht="15" customHeight="1" x14ac:dyDescent="0.3">
      <c r="C1088" s="58"/>
      <c r="D1088" s="8">
        <v>2022</v>
      </c>
      <c r="E1088" s="14">
        <f>Data!V1088</f>
        <v>0</v>
      </c>
    </row>
    <row r="1089" spans="2:5" ht="15" customHeight="1" x14ac:dyDescent="0.3">
      <c r="C1089" s="58"/>
      <c r="D1089" s="8">
        <v>2023</v>
      </c>
      <c r="E1089" s="14">
        <f>Data!V1089</f>
        <v>0</v>
      </c>
    </row>
    <row r="1090" spans="2:5" ht="15" customHeight="1" x14ac:dyDescent="0.3">
      <c r="C1090" s="58"/>
      <c r="D1090" s="8">
        <v>2024</v>
      </c>
      <c r="E1090" s="14">
        <f>Data!V1090</f>
        <v>0</v>
      </c>
    </row>
    <row r="1091" spans="2:5" ht="15" customHeight="1" x14ac:dyDescent="0.3">
      <c r="B1091" s="8">
        <v>100</v>
      </c>
      <c r="C1091" s="58" t="s">
        <v>104</v>
      </c>
      <c r="D1091" s="8">
        <v>2014</v>
      </c>
      <c r="E1091" s="14">
        <f>Data!V1091</f>
        <v>0</v>
      </c>
    </row>
    <row r="1092" spans="2:5" ht="15" customHeight="1" x14ac:dyDescent="0.3">
      <c r="C1092" s="58"/>
      <c r="D1092" s="8">
        <v>2015</v>
      </c>
      <c r="E1092" s="14">
        <f>Data!V1092</f>
        <v>0</v>
      </c>
    </row>
    <row r="1093" spans="2:5" ht="15" customHeight="1" x14ac:dyDescent="0.3">
      <c r="C1093" s="58"/>
      <c r="D1093" s="8">
        <v>2016</v>
      </c>
      <c r="E1093" s="14">
        <f>Data!V1093</f>
        <v>0</v>
      </c>
    </row>
    <row r="1094" spans="2:5" ht="15" customHeight="1" x14ac:dyDescent="0.3">
      <c r="C1094" s="58"/>
      <c r="D1094" s="8">
        <v>2017</v>
      </c>
      <c r="E1094" s="14">
        <f>Data!V1094</f>
        <v>0</v>
      </c>
    </row>
    <row r="1095" spans="2:5" ht="15" customHeight="1" x14ac:dyDescent="0.3">
      <c r="C1095" s="58"/>
      <c r="D1095" s="8">
        <v>2018</v>
      </c>
      <c r="E1095" s="14">
        <f>Data!V1095</f>
        <v>0</v>
      </c>
    </row>
    <row r="1096" spans="2:5" ht="15" customHeight="1" x14ac:dyDescent="0.3">
      <c r="C1096" s="58"/>
      <c r="D1096" s="8">
        <v>2019</v>
      </c>
      <c r="E1096" s="14">
        <f>Data!V1096</f>
        <v>0</v>
      </c>
    </row>
    <row r="1097" spans="2:5" ht="15" customHeight="1" x14ac:dyDescent="0.3">
      <c r="C1097" s="58"/>
      <c r="D1097" s="8">
        <v>2020</v>
      </c>
      <c r="E1097" s="14">
        <f>Data!V1097</f>
        <v>0</v>
      </c>
    </row>
    <row r="1098" spans="2:5" ht="15" customHeight="1" x14ac:dyDescent="0.3">
      <c r="C1098" s="58"/>
      <c r="D1098" s="8">
        <v>2021</v>
      </c>
      <c r="E1098" s="14">
        <f>Data!V1098</f>
        <v>0</v>
      </c>
    </row>
    <row r="1099" spans="2:5" ht="15" customHeight="1" x14ac:dyDescent="0.3">
      <c r="C1099" s="58"/>
      <c r="D1099" s="8">
        <v>2022</v>
      </c>
      <c r="E1099" s="14">
        <f>Data!V1099</f>
        <v>0</v>
      </c>
    </row>
    <row r="1100" spans="2:5" ht="15" customHeight="1" x14ac:dyDescent="0.3">
      <c r="C1100" s="58"/>
      <c r="D1100" s="8">
        <v>2023</v>
      </c>
      <c r="E1100" s="14">
        <f>Data!V1100</f>
        <v>0</v>
      </c>
    </row>
    <row r="1101" spans="2:5" ht="15" customHeight="1" x14ac:dyDescent="0.3">
      <c r="C1101" s="58"/>
      <c r="D1101" s="8">
        <v>2024</v>
      </c>
      <c r="E1101" s="14">
        <f>Data!V1101</f>
        <v>0</v>
      </c>
    </row>
    <row r="1102" spans="2:5" ht="15" customHeight="1" x14ac:dyDescent="0.3">
      <c r="B1102" s="8">
        <v>101</v>
      </c>
      <c r="C1102" s="58" t="s">
        <v>120</v>
      </c>
      <c r="D1102" s="8">
        <v>2014</v>
      </c>
      <c r="E1102" s="14">
        <f>Data!V1102</f>
        <v>0</v>
      </c>
    </row>
    <row r="1103" spans="2:5" ht="15" customHeight="1" x14ac:dyDescent="0.3">
      <c r="C1103" s="58"/>
      <c r="D1103" s="8">
        <v>2015</v>
      </c>
      <c r="E1103" s="14">
        <f>Data!V1103</f>
        <v>0</v>
      </c>
    </row>
    <row r="1104" spans="2:5" ht="15" customHeight="1" x14ac:dyDescent="0.3">
      <c r="C1104" s="58"/>
      <c r="D1104" s="8">
        <v>2016</v>
      </c>
      <c r="E1104" s="14">
        <f>Data!V1104</f>
        <v>0</v>
      </c>
    </row>
    <row r="1105" spans="2:5" ht="15" customHeight="1" x14ac:dyDescent="0.3">
      <c r="C1105" s="58"/>
      <c r="D1105" s="8">
        <v>2017</v>
      </c>
      <c r="E1105" s="14">
        <f>Data!V1105</f>
        <v>0</v>
      </c>
    </row>
    <row r="1106" spans="2:5" ht="15" customHeight="1" x14ac:dyDescent="0.3">
      <c r="C1106" s="58"/>
      <c r="D1106" s="8">
        <v>2018</v>
      </c>
      <c r="E1106" s="14">
        <f>Data!V1106</f>
        <v>0</v>
      </c>
    </row>
    <row r="1107" spans="2:5" ht="15" customHeight="1" x14ac:dyDescent="0.3">
      <c r="C1107" s="58"/>
      <c r="D1107" s="8">
        <v>2019</v>
      </c>
      <c r="E1107" s="14">
        <f>Data!V1107</f>
        <v>0</v>
      </c>
    </row>
    <row r="1108" spans="2:5" ht="15" customHeight="1" x14ac:dyDescent="0.3">
      <c r="C1108" s="58"/>
      <c r="D1108" s="8">
        <v>2020</v>
      </c>
      <c r="E1108" s="14">
        <f>Data!V1108</f>
        <v>0</v>
      </c>
    </row>
    <row r="1109" spans="2:5" ht="15" customHeight="1" x14ac:dyDescent="0.3">
      <c r="C1109" s="58"/>
      <c r="D1109" s="8">
        <v>2021</v>
      </c>
      <c r="E1109" s="14">
        <f>Data!V1109</f>
        <v>0</v>
      </c>
    </row>
    <row r="1110" spans="2:5" ht="15" customHeight="1" x14ac:dyDescent="0.3">
      <c r="C1110" s="58"/>
      <c r="D1110" s="8">
        <v>2022</v>
      </c>
      <c r="E1110" s="14">
        <f>Data!V1110</f>
        <v>0</v>
      </c>
    </row>
    <row r="1111" spans="2:5" ht="15" customHeight="1" x14ac:dyDescent="0.3">
      <c r="C1111" s="58"/>
      <c r="D1111" s="8">
        <v>2023</v>
      </c>
      <c r="E1111" s="14">
        <f>Data!V1111</f>
        <v>0</v>
      </c>
    </row>
    <row r="1112" spans="2:5" ht="15" customHeight="1" x14ac:dyDescent="0.3">
      <c r="C1112" s="58"/>
      <c r="D1112" s="8">
        <v>2024</v>
      </c>
      <c r="E1112" s="14">
        <f>Data!V1112</f>
        <v>0</v>
      </c>
    </row>
    <row r="1113" spans="2:5" ht="15" customHeight="1" x14ac:dyDescent="0.3">
      <c r="B1113" s="8">
        <v>102</v>
      </c>
      <c r="C1113" s="59" t="s">
        <v>134</v>
      </c>
      <c r="D1113" s="8">
        <v>2014</v>
      </c>
      <c r="E1113" s="14">
        <f>Data!V1113</f>
        <v>0</v>
      </c>
    </row>
    <row r="1114" spans="2:5" ht="15" customHeight="1" x14ac:dyDescent="0.3">
      <c r="C1114" s="59"/>
      <c r="D1114" s="8">
        <v>2015</v>
      </c>
      <c r="E1114" s="14">
        <f>Data!V1114</f>
        <v>0</v>
      </c>
    </row>
    <row r="1115" spans="2:5" ht="15" customHeight="1" x14ac:dyDescent="0.3">
      <c r="C1115" s="59"/>
      <c r="D1115" s="8">
        <v>2016</v>
      </c>
      <c r="E1115" s="14">
        <f>Data!V1115</f>
        <v>0</v>
      </c>
    </row>
    <row r="1116" spans="2:5" ht="15" customHeight="1" x14ac:dyDescent="0.3">
      <c r="C1116" s="59"/>
      <c r="D1116" s="8">
        <v>2017</v>
      </c>
      <c r="E1116" s="14">
        <f>Data!V1116</f>
        <v>0</v>
      </c>
    </row>
    <row r="1117" spans="2:5" ht="15" customHeight="1" x14ac:dyDescent="0.3">
      <c r="C1117" s="59"/>
      <c r="D1117" s="8">
        <v>2018</v>
      </c>
      <c r="E1117" s="14">
        <f>Data!V1117</f>
        <v>0</v>
      </c>
    </row>
    <row r="1118" spans="2:5" ht="15" customHeight="1" x14ac:dyDescent="0.3">
      <c r="C1118" s="59"/>
      <c r="D1118" s="8">
        <v>2019</v>
      </c>
      <c r="E1118" s="14">
        <f>Data!V1118</f>
        <v>0</v>
      </c>
    </row>
    <row r="1119" spans="2:5" ht="15" customHeight="1" x14ac:dyDescent="0.3">
      <c r="C1119" s="59"/>
      <c r="D1119" s="8">
        <v>2020</v>
      </c>
      <c r="E1119" s="14">
        <f>Data!V1119</f>
        <v>0</v>
      </c>
    </row>
    <row r="1120" spans="2:5" ht="15" customHeight="1" x14ac:dyDescent="0.3">
      <c r="C1120" s="59"/>
      <c r="D1120" s="8">
        <v>2021</v>
      </c>
      <c r="E1120" s="14">
        <f>Data!V1120</f>
        <v>0</v>
      </c>
    </row>
    <row r="1121" spans="2:5" ht="15" customHeight="1" x14ac:dyDescent="0.3">
      <c r="C1121" s="59"/>
      <c r="D1121" s="8">
        <v>2022</v>
      </c>
      <c r="E1121" s="14">
        <f>Data!V1121</f>
        <v>0</v>
      </c>
    </row>
    <row r="1122" spans="2:5" ht="15" customHeight="1" x14ac:dyDescent="0.3">
      <c r="C1122" s="59"/>
      <c r="D1122" s="8">
        <v>2023</v>
      </c>
      <c r="E1122" s="14">
        <f>Data!V1122</f>
        <v>0</v>
      </c>
    </row>
    <row r="1123" spans="2:5" ht="15" customHeight="1" x14ac:dyDescent="0.3">
      <c r="C1123" s="59"/>
      <c r="D1123" s="8">
        <v>2024</v>
      </c>
      <c r="E1123" s="14">
        <f>Data!V1123</f>
        <v>3</v>
      </c>
    </row>
    <row r="1124" spans="2:5" ht="15" customHeight="1" x14ac:dyDescent="0.3">
      <c r="B1124" s="8">
        <v>103</v>
      </c>
      <c r="C1124" s="58" t="s">
        <v>122</v>
      </c>
      <c r="D1124" s="8">
        <v>2014</v>
      </c>
      <c r="E1124" s="14">
        <f>Data!V1124</f>
        <v>0</v>
      </c>
    </row>
    <row r="1125" spans="2:5" ht="15" customHeight="1" x14ac:dyDescent="0.3">
      <c r="C1125" s="58"/>
      <c r="D1125" s="8">
        <v>2015</v>
      </c>
      <c r="E1125" s="14">
        <f>Data!V1125</f>
        <v>0</v>
      </c>
    </row>
    <row r="1126" spans="2:5" ht="15" customHeight="1" x14ac:dyDescent="0.3">
      <c r="C1126" s="58"/>
      <c r="D1126" s="8">
        <v>2016</v>
      </c>
      <c r="E1126" s="14">
        <f>Data!V1126</f>
        <v>0</v>
      </c>
    </row>
    <row r="1127" spans="2:5" ht="15" customHeight="1" x14ac:dyDescent="0.3">
      <c r="C1127" s="58"/>
      <c r="D1127" s="8">
        <v>2017</v>
      </c>
      <c r="E1127" s="14">
        <f>Data!V1127</f>
        <v>0</v>
      </c>
    </row>
    <row r="1128" spans="2:5" ht="15" customHeight="1" x14ac:dyDescent="0.3">
      <c r="C1128" s="58"/>
      <c r="D1128" s="8">
        <v>2018</v>
      </c>
      <c r="E1128" s="14">
        <f>Data!V1128</f>
        <v>0</v>
      </c>
    </row>
    <row r="1129" spans="2:5" ht="15" customHeight="1" x14ac:dyDescent="0.3">
      <c r="C1129" s="58"/>
      <c r="D1129" s="8">
        <v>2019</v>
      </c>
      <c r="E1129" s="14">
        <f>Data!V1129</f>
        <v>0</v>
      </c>
    </row>
    <row r="1130" spans="2:5" ht="15" customHeight="1" x14ac:dyDescent="0.3">
      <c r="C1130" s="58"/>
      <c r="D1130" s="8">
        <v>2020</v>
      </c>
      <c r="E1130" s="14">
        <f>Data!V1130</f>
        <v>0</v>
      </c>
    </row>
    <row r="1131" spans="2:5" ht="15" customHeight="1" x14ac:dyDescent="0.3">
      <c r="C1131" s="58"/>
      <c r="D1131" s="8">
        <v>2021</v>
      </c>
      <c r="E1131" s="14">
        <f>Data!V1131</f>
        <v>0</v>
      </c>
    </row>
    <row r="1132" spans="2:5" ht="15" customHeight="1" x14ac:dyDescent="0.3">
      <c r="C1132" s="58"/>
      <c r="D1132" s="8">
        <v>2022</v>
      </c>
      <c r="E1132" s="14">
        <f>Data!V1132</f>
        <v>0</v>
      </c>
    </row>
    <row r="1133" spans="2:5" ht="15" customHeight="1" x14ac:dyDescent="0.3">
      <c r="C1133" s="58"/>
      <c r="D1133" s="8">
        <v>2023</v>
      </c>
      <c r="E1133" s="14">
        <f>Data!V1133</f>
        <v>0</v>
      </c>
    </row>
    <row r="1134" spans="2:5" ht="15" customHeight="1" x14ac:dyDescent="0.3">
      <c r="C1134" s="58"/>
      <c r="D1134" s="8">
        <v>2024</v>
      </c>
      <c r="E1134" s="14">
        <f>Data!V1134</f>
        <v>0</v>
      </c>
    </row>
    <row r="1135" spans="2:5" ht="15" customHeight="1" x14ac:dyDescent="0.3">
      <c r="B1135" s="8">
        <v>104</v>
      </c>
      <c r="C1135" s="58" t="s">
        <v>123</v>
      </c>
      <c r="D1135" s="8">
        <v>2014</v>
      </c>
      <c r="E1135" s="14">
        <f>Data!V1135</f>
        <v>0</v>
      </c>
    </row>
    <row r="1136" spans="2:5" ht="15" customHeight="1" x14ac:dyDescent="0.3">
      <c r="C1136" s="58"/>
      <c r="D1136" s="8">
        <v>2015</v>
      </c>
      <c r="E1136" s="14">
        <f>Data!V1136</f>
        <v>0</v>
      </c>
    </row>
    <row r="1137" spans="2:5" ht="15" customHeight="1" x14ac:dyDescent="0.3">
      <c r="C1137" s="58"/>
      <c r="D1137" s="8">
        <v>2016</v>
      </c>
      <c r="E1137" s="14">
        <f>Data!V1137</f>
        <v>0</v>
      </c>
    </row>
    <row r="1138" spans="2:5" ht="15" customHeight="1" x14ac:dyDescent="0.3">
      <c r="C1138" s="58"/>
      <c r="D1138" s="8">
        <v>2017</v>
      </c>
      <c r="E1138" s="14">
        <f>Data!V1138</f>
        <v>0</v>
      </c>
    </row>
    <row r="1139" spans="2:5" ht="15" customHeight="1" x14ac:dyDescent="0.3">
      <c r="C1139" s="58"/>
      <c r="D1139" s="8">
        <v>2018</v>
      </c>
      <c r="E1139" s="14">
        <f>Data!V1139</f>
        <v>0</v>
      </c>
    </row>
    <row r="1140" spans="2:5" ht="15" customHeight="1" x14ac:dyDescent="0.3">
      <c r="C1140" s="58"/>
      <c r="D1140" s="8">
        <v>2019</v>
      </c>
      <c r="E1140" s="14">
        <f>Data!V1140</f>
        <v>0</v>
      </c>
    </row>
    <row r="1141" spans="2:5" ht="15" customHeight="1" x14ac:dyDescent="0.3">
      <c r="C1141" s="58"/>
      <c r="D1141" s="8">
        <v>2020</v>
      </c>
      <c r="E1141" s="14">
        <f>Data!V1141</f>
        <v>0</v>
      </c>
    </row>
    <row r="1142" spans="2:5" ht="15" customHeight="1" x14ac:dyDescent="0.3">
      <c r="C1142" s="58"/>
      <c r="D1142" s="8">
        <v>2021</v>
      </c>
      <c r="E1142" s="14">
        <f>Data!V1142</f>
        <v>0</v>
      </c>
    </row>
    <row r="1143" spans="2:5" ht="15" customHeight="1" x14ac:dyDescent="0.3">
      <c r="C1143" s="58"/>
      <c r="D1143" s="8">
        <v>2022</v>
      </c>
      <c r="E1143" s="14">
        <f>Data!V1143</f>
        <v>0</v>
      </c>
    </row>
    <row r="1144" spans="2:5" ht="15" customHeight="1" x14ac:dyDescent="0.3">
      <c r="C1144" s="58"/>
      <c r="D1144" s="8">
        <v>2023</v>
      </c>
      <c r="E1144" s="14">
        <f>Data!V1144</f>
        <v>0</v>
      </c>
    </row>
    <row r="1145" spans="2:5" ht="15" customHeight="1" x14ac:dyDescent="0.3">
      <c r="C1145" s="58"/>
      <c r="D1145" s="8">
        <v>2024</v>
      </c>
      <c r="E1145" s="14">
        <f>Data!V1145</f>
        <v>0</v>
      </c>
    </row>
    <row r="1146" spans="2:5" ht="15" customHeight="1" x14ac:dyDescent="0.3">
      <c r="B1146" s="8">
        <v>105</v>
      </c>
      <c r="C1146" s="59" t="s">
        <v>135</v>
      </c>
      <c r="D1146" s="8">
        <v>2014</v>
      </c>
      <c r="E1146" s="14">
        <f>Data!V1146</f>
        <v>0</v>
      </c>
    </row>
    <row r="1147" spans="2:5" ht="15" customHeight="1" x14ac:dyDescent="0.3">
      <c r="C1147" s="59"/>
      <c r="D1147" s="8">
        <v>2015</v>
      </c>
      <c r="E1147" s="14">
        <f>Data!V1147</f>
        <v>0</v>
      </c>
    </row>
    <row r="1148" spans="2:5" ht="15" customHeight="1" x14ac:dyDescent="0.3">
      <c r="C1148" s="59"/>
      <c r="D1148" s="8">
        <v>2016</v>
      </c>
      <c r="E1148" s="14">
        <f>Data!V1148</f>
        <v>0</v>
      </c>
    </row>
    <row r="1149" spans="2:5" ht="15" customHeight="1" x14ac:dyDescent="0.3">
      <c r="C1149" s="59"/>
      <c r="D1149" s="8">
        <v>2017</v>
      </c>
      <c r="E1149" s="14">
        <f>Data!V1149</f>
        <v>0</v>
      </c>
    </row>
    <row r="1150" spans="2:5" ht="15" customHeight="1" x14ac:dyDescent="0.3">
      <c r="C1150" s="59"/>
      <c r="D1150" s="8">
        <v>2018</v>
      </c>
      <c r="E1150" s="14">
        <f>Data!V1150</f>
        <v>0</v>
      </c>
    </row>
    <row r="1151" spans="2:5" ht="15" customHeight="1" x14ac:dyDescent="0.3">
      <c r="C1151" s="59"/>
      <c r="D1151" s="8">
        <v>2019</v>
      </c>
      <c r="E1151" s="14">
        <f>Data!V1151</f>
        <v>0</v>
      </c>
    </row>
    <row r="1152" spans="2:5" ht="15" customHeight="1" x14ac:dyDescent="0.3">
      <c r="C1152" s="59"/>
      <c r="D1152" s="8">
        <v>2020</v>
      </c>
      <c r="E1152" s="14">
        <f>Data!V1152</f>
        <v>0</v>
      </c>
    </row>
    <row r="1153" spans="2:5" ht="15" customHeight="1" x14ac:dyDescent="0.3">
      <c r="C1153" s="59"/>
      <c r="D1153" s="8">
        <v>2021</v>
      </c>
      <c r="E1153" s="14">
        <f>Data!V1153</f>
        <v>0</v>
      </c>
    </row>
    <row r="1154" spans="2:5" ht="15" customHeight="1" x14ac:dyDescent="0.3">
      <c r="C1154" s="59"/>
      <c r="D1154" s="8">
        <v>2022</v>
      </c>
      <c r="E1154" s="14">
        <f>Data!V1154</f>
        <v>0</v>
      </c>
    </row>
    <row r="1155" spans="2:5" ht="15" customHeight="1" x14ac:dyDescent="0.3">
      <c r="C1155" s="59"/>
      <c r="D1155" s="8">
        <v>2023</v>
      </c>
      <c r="E1155" s="14">
        <f>Data!V1155</f>
        <v>0</v>
      </c>
    </row>
    <row r="1156" spans="2:5" ht="15" customHeight="1" x14ac:dyDescent="0.3">
      <c r="C1156" s="59"/>
      <c r="D1156" s="8">
        <v>2024</v>
      </c>
      <c r="E1156" s="14">
        <f>Data!V1156</f>
        <v>0</v>
      </c>
    </row>
    <row r="1157" spans="2:5" ht="15" customHeight="1" x14ac:dyDescent="0.3">
      <c r="B1157" s="8">
        <v>106</v>
      </c>
      <c r="C1157" s="58" t="s">
        <v>124</v>
      </c>
      <c r="D1157" s="8">
        <v>2014</v>
      </c>
      <c r="E1157" s="14">
        <f>Data!V1157</f>
        <v>0</v>
      </c>
    </row>
    <row r="1158" spans="2:5" ht="15" customHeight="1" x14ac:dyDescent="0.3">
      <c r="C1158" s="58"/>
      <c r="D1158" s="8">
        <v>2015</v>
      </c>
      <c r="E1158" s="14">
        <f>Data!V1158</f>
        <v>0</v>
      </c>
    </row>
    <row r="1159" spans="2:5" ht="15" customHeight="1" x14ac:dyDescent="0.3">
      <c r="C1159" s="58"/>
      <c r="D1159" s="8">
        <v>2016</v>
      </c>
      <c r="E1159" s="14">
        <f>Data!V1159</f>
        <v>0</v>
      </c>
    </row>
    <row r="1160" spans="2:5" ht="15" customHeight="1" x14ac:dyDescent="0.3">
      <c r="C1160" s="58"/>
      <c r="D1160" s="8">
        <v>2017</v>
      </c>
      <c r="E1160" s="14">
        <f>Data!V1160</f>
        <v>0</v>
      </c>
    </row>
    <row r="1161" spans="2:5" ht="15" customHeight="1" x14ac:dyDescent="0.3">
      <c r="C1161" s="58"/>
      <c r="D1161" s="8">
        <v>2018</v>
      </c>
      <c r="E1161" s="14">
        <f>Data!V1161</f>
        <v>0</v>
      </c>
    </row>
    <row r="1162" spans="2:5" ht="15" customHeight="1" x14ac:dyDescent="0.3">
      <c r="C1162" s="58"/>
      <c r="D1162" s="8">
        <v>2019</v>
      </c>
      <c r="E1162" s="14">
        <f>Data!V1162</f>
        <v>0</v>
      </c>
    </row>
    <row r="1163" spans="2:5" ht="15" customHeight="1" x14ac:dyDescent="0.3">
      <c r="C1163" s="58"/>
      <c r="D1163" s="8">
        <v>2020</v>
      </c>
      <c r="E1163" s="14">
        <f>Data!V1163</f>
        <v>0</v>
      </c>
    </row>
    <row r="1164" spans="2:5" ht="15" customHeight="1" x14ac:dyDescent="0.3">
      <c r="C1164" s="58"/>
      <c r="D1164" s="8">
        <v>2021</v>
      </c>
      <c r="E1164" s="14">
        <f>Data!V1164</f>
        <v>0</v>
      </c>
    </row>
    <row r="1165" spans="2:5" ht="15" customHeight="1" x14ac:dyDescent="0.3">
      <c r="C1165" s="58"/>
      <c r="D1165" s="8">
        <v>2022</v>
      </c>
      <c r="E1165" s="14">
        <f>Data!V1165</f>
        <v>0</v>
      </c>
    </row>
    <row r="1166" spans="2:5" ht="15" customHeight="1" x14ac:dyDescent="0.3">
      <c r="C1166" s="58"/>
      <c r="D1166" s="8">
        <v>2023</v>
      </c>
      <c r="E1166" s="14">
        <f>Data!V1166</f>
        <v>0</v>
      </c>
    </row>
    <row r="1167" spans="2:5" ht="15" customHeight="1" x14ac:dyDescent="0.3">
      <c r="C1167" s="58"/>
      <c r="D1167" s="8">
        <v>2024</v>
      </c>
      <c r="E1167" s="14">
        <f>Data!V1167</f>
        <v>0</v>
      </c>
    </row>
    <row r="1168" spans="2:5" ht="15" customHeight="1" x14ac:dyDescent="0.3">
      <c r="B1168" s="8">
        <v>107</v>
      </c>
      <c r="C1168" s="58" t="s">
        <v>105</v>
      </c>
      <c r="D1168" s="8">
        <v>2014</v>
      </c>
      <c r="E1168" s="14">
        <f>Data!V1168</f>
        <v>0</v>
      </c>
    </row>
    <row r="1169" spans="2:5" ht="15" customHeight="1" x14ac:dyDescent="0.3">
      <c r="C1169" s="58"/>
      <c r="D1169" s="8">
        <v>2015</v>
      </c>
      <c r="E1169" s="14">
        <f>Data!V1169</f>
        <v>0</v>
      </c>
    </row>
    <row r="1170" spans="2:5" ht="15" customHeight="1" x14ac:dyDescent="0.3">
      <c r="C1170" s="58"/>
      <c r="D1170" s="8">
        <v>2016</v>
      </c>
      <c r="E1170" s="14">
        <f>Data!V1170</f>
        <v>0</v>
      </c>
    </row>
    <row r="1171" spans="2:5" ht="15" customHeight="1" x14ac:dyDescent="0.3">
      <c r="C1171" s="58"/>
      <c r="D1171" s="8">
        <v>2017</v>
      </c>
      <c r="E1171" s="14">
        <f>Data!V1171</f>
        <v>0</v>
      </c>
    </row>
    <row r="1172" spans="2:5" ht="15" customHeight="1" x14ac:dyDescent="0.3">
      <c r="C1172" s="58"/>
      <c r="D1172" s="8">
        <v>2018</v>
      </c>
      <c r="E1172" s="14">
        <f>Data!V1172</f>
        <v>0</v>
      </c>
    </row>
    <row r="1173" spans="2:5" ht="15" customHeight="1" x14ac:dyDescent="0.3">
      <c r="C1173" s="58"/>
      <c r="D1173" s="8">
        <v>2019</v>
      </c>
      <c r="E1173" s="14">
        <f>Data!V1173</f>
        <v>0</v>
      </c>
    </row>
    <row r="1174" spans="2:5" ht="15" customHeight="1" x14ac:dyDescent="0.3">
      <c r="C1174" s="58"/>
      <c r="D1174" s="8">
        <v>2020</v>
      </c>
      <c r="E1174" s="14">
        <f>Data!V1174</f>
        <v>0</v>
      </c>
    </row>
    <row r="1175" spans="2:5" ht="15" customHeight="1" x14ac:dyDescent="0.3">
      <c r="C1175" s="58"/>
      <c r="D1175" s="8">
        <v>2021</v>
      </c>
      <c r="E1175" s="14">
        <f>Data!V1175</f>
        <v>0</v>
      </c>
    </row>
    <row r="1176" spans="2:5" ht="15" customHeight="1" x14ac:dyDescent="0.3">
      <c r="C1176" s="58"/>
      <c r="D1176" s="8">
        <v>2022</v>
      </c>
      <c r="E1176" s="14">
        <f>Data!V1176</f>
        <v>0</v>
      </c>
    </row>
    <row r="1177" spans="2:5" ht="15" customHeight="1" x14ac:dyDescent="0.3">
      <c r="C1177" s="58"/>
      <c r="D1177" s="8">
        <v>2023</v>
      </c>
      <c r="E1177" s="14">
        <f>Data!V1177</f>
        <v>0</v>
      </c>
    </row>
    <row r="1178" spans="2:5" ht="15" customHeight="1" x14ac:dyDescent="0.3">
      <c r="C1178" s="58"/>
      <c r="D1178" s="8">
        <v>2024</v>
      </c>
      <c r="E1178" s="14">
        <f>Data!V1178</f>
        <v>0</v>
      </c>
    </row>
    <row r="1179" spans="2:5" ht="15" customHeight="1" x14ac:dyDescent="0.3">
      <c r="B1179" s="8">
        <v>108</v>
      </c>
      <c r="C1179" s="59" t="s">
        <v>125</v>
      </c>
      <c r="D1179" s="8">
        <v>2014</v>
      </c>
      <c r="E1179" s="14">
        <f>Data!V1179</f>
        <v>0</v>
      </c>
    </row>
    <row r="1180" spans="2:5" ht="15" customHeight="1" x14ac:dyDescent="0.3">
      <c r="C1180" s="59"/>
      <c r="D1180" s="8">
        <v>2015</v>
      </c>
      <c r="E1180" s="14">
        <f>Data!V1180</f>
        <v>0</v>
      </c>
    </row>
    <row r="1181" spans="2:5" ht="15" customHeight="1" x14ac:dyDescent="0.3">
      <c r="C1181" s="59"/>
      <c r="D1181" s="8">
        <v>2016</v>
      </c>
      <c r="E1181" s="14">
        <f>Data!V1181</f>
        <v>0</v>
      </c>
    </row>
    <row r="1182" spans="2:5" ht="15" customHeight="1" x14ac:dyDescent="0.3">
      <c r="C1182" s="59"/>
      <c r="D1182" s="8">
        <v>2017</v>
      </c>
      <c r="E1182" s="14">
        <f>Data!V1182</f>
        <v>0</v>
      </c>
    </row>
    <row r="1183" spans="2:5" ht="15" customHeight="1" x14ac:dyDescent="0.3">
      <c r="C1183" s="59"/>
      <c r="D1183" s="8">
        <v>2018</v>
      </c>
      <c r="E1183" s="14">
        <f>Data!V1183</f>
        <v>0</v>
      </c>
    </row>
    <row r="1184" spans="2:5" ht="15" customHeight="1" x14ac:dyDescent="0.3">
      <c r="C1184" s="59"/>
      <c r="D1184" s="8">
        <v>2019</v>
      </c>
      <c r="E1184" s="14">
        <f>Data!V1184</f>
        <v>0</v>
      </c>
    </row>
    <row r="1185" spans="2:5" ht="15" customHeight="1" x14ac:dyDescent="0.3">
      <c r="C1185" s="59"/>
      <c r="D1185" s="8">
        <v>2020</v>
      </c>
      <c r="E1185" s="14">
        <f>Data!V1185</f>
        <v>0</v>
      </c>
    </row>
    <row r="1186" spans="2:5" ht="15" customHeight="1" x14ac:dyDescent="0.3">
      <c r="C1186" s="59"/>
      <c r="D1186" s="8">
        <v>2021</v>
      </c>
      <c r="E1186" s="14">
        <f>Data!V1186</f>
        <v>0</v>
      </c>
    </row>
    <row r="1187" spans="2:5" ht="15" customHeight="1" x14ac:dyDescent="0.3">
      <c r="C1187" s="59"/>
      <c r="D1187" s="8">
        <v>2022</v>
      </c>
      <c r="E1187" s="14">
        <f>Data!V1187</f>
        <v>0</v>
      </c>
    </row>
    <row r="1188" spans="2:5" ht="15" customHeight="1" x14ac:dyDescent="0.3">
      <c r="C1188" s="59"/>
      <c r="D1188" s="8">
        <v>2023</v>
      </c>
      <c r="E1188" s="14">
        <f>Data!V1188</f>
        <v>0</v>
      </c>
    </row>
    <row r="1189" spans="2:5" ht="15" customHeight="1" x14ac:dyDescent="0.3">
      <c r="C1189" s="59"/>
      <c r="D1189" s="8">
        <v>2024</v>
      </c>
      <c r="E1189" s="14">
        <f>Data!V1189</f>
        <v>0</v>
      </c>
    </row>
    <row r="1190" spans="2:5" ht="15" customHeight="1" x14ac:dyDescent="0.3">
      <c r="B1190" s="8">
        <v>109</v>
      </c>
      <c r="C1190" s="58" t="s">
        <v>106</v>
      </c>
      <c r="D1190" s="8">
        <v>2014</v>
      </c>
      <c r="E1190" s="14">
        <f>Data!V1190</f>
        <v>0</v>
      </c>
    </row>
    <row r="1191" spans="2:5" ht="15" customHeight="1" x14ac:dyDescent="0.3">
      <c r="C1191" s="58"/>
      <c r="D1191" s="8">
        <v>2015</v>
      </c>
      <c r="E1191" s="14">
        <f>Data!V1191</f>
        <v>21</v>
      </c>
    </row>
    <row r="1192" spans="2:5" ht="15" customHeight="1" x14ac:dyDescent="0.3">
      <c r="C1192" s="58"/>
      <c r="D1192" s="8">
        <v>2016</v>
      </c>
      <c r="E1192" s="14">
        <f>Data!V1192</f>
        <v>16</v>
      </c>
    </row>
    <row r="1193" spans="2:5" ht="15" customHeight="1" x14ac:dyDescent="0.3">
      <c r="C1193" s="58"/>
      <c r="D1193" s="8">
        <v>2017</v>
      </c>
      <c r="E1193" s="14">
        <f>Data!V1193</f>
        <v>22</v>
      </c>
    </row>
    <row r="1194" spans="2:5" ht="15" customHeight="1" x14ac:dyDescent="0.3">
      <c r="C1194" s="58"/>
      <c r="D1194" s="8">
        <v>2018</v>
      </c>
      <c r="E1194" s="14">
        <f>Data!V1194</f>
        <v>17</v>
      </c>
    </row>
    <row r="1195" spans="2:5" ht="15" customHeight="1" x14ac:dyDescent="0.3">
      <c r="C1195" s="58"/>
      <c r="D1195" s="8">
        <v>2019</v>
      </c>
      <c r="E1195" s="14">
        <f>Data!V1195</f>
        <v>22</v>
      </c>
    </row>
    <row r="1196" spans="2:5" ht="15" customHeight="1" x14ac:dyDescent="0.3">
      <c r="C1196" s="58"/>
      <c r="D1196" s="8">
        <v>2020</v>
      </c>
      <c r="E1196" s="14">
        <f>Data!V1196</f>
        <v>24</v>
      </c>
    </row>
    <row r="1197" spans="2:5" ht="15" customHeight="1" x14ac:dyDescent="0.3">
      <c r="C1197" s="58"/>
      <c r="D1197" s="8">
        <v>2021</v>
      </c>
      <c r="E1197" s="14">
        <f>Data!V1197</f>
        <v>24</v>
      </c>
    </row>
    <row r="1198" spans="2:5" ht="15" customHeight="1" x14ac:dyDescent="0.3">
      <c r="C1198" s="58"/>
      <c r="D1198" s="8">
        <v>2022</v>
      </c>
      <c r="E1198" s="14">
        <f>Data!V1198</f>
        <v>19</v>
      </c>
    </row>
    <row r="1199" spans="2:5" ht="15" customHeight="1" x14ac:dyDescent="0.3">
      <c r="C1199" s="58"/>
      <c r="D1199" s="8">
        <v>2023</v>
      </c>
      <c r="E1199" s="14">
        <f>Data!V1199</f>
        <v>16</v>
      </c>
    </row>
    <row r="1200" spans="2:5" ht="15" customHeight="1" x14ac:dyDescent="0.3">
      <c r="C1200" s="58"/>
      <c r="D1200" s="8">
        <v>2024</v>
      </c>
      <c r="E1200" s="14">
        <f>Data!V1200</f>
        <v>16</v>
      </c>
    </row>
    <row r="1201" spans="2:5" ht="15" customHeight="1" x14ac:dyDescent="0.3">
      <c r="B1201" s="8">
        <v>110</v>
      </c>
      <c r="C1201" s="58" t="s">
        <v>66</v>
      </c>
      <c r="D1201" s="8">
        <v>2014</v>
      </c>
      <c r="E1201" s="14">
        <f>Data!V1201</f>
        <v>0</v>
      </c>
    </row>
    <row r="1202" spans="2:5" ht="15" customHeight="1" x14ac:dyDescent="0.3">
      <c r="C1202" s="58"/>
      <c r="D1202" s="8">
        <v>2015</v>
      </c>
      <c r="E1202" s="14">
        <f>Data!V1202</f>
        <v>0</v>
      </c>
    </row>
    <row r="1203" spans="2:5" ht="15" customHeight="1" x14ac:dyDescent="0.3">
      <c r="C1203" s="58"/>
      <c r="D1203" s="8">
        <v>2016</v>
      </c>
      <c r="E1203" s="14">
        <f>Data!V1203</f>
        <v>8</v>
      </c>
    </row>
    <row r="1204" spans="2:5" ht="15" customHeight="1" x14ac:dyDescent="0.3">
      <c r="C1204" s="58"/>
      <c r="D1204" s="8">
        <v>2017</v>
      </c>
      <c r="E1204" s="14">
        <f>Data!V1204</f>
        <v>8</v>
      </c>
    </row>
    <row r="1205" spans="2:5" ht="15" customHeight="1" x14ac:dyDescent="0.3">
      <c r="C1205" s="58"/>
      <c r="D1205" s="8">
        <v>2018</v>
      </c>
      <c r="E1205" s="14">
        <f>Data!V1205</f>
        <v>8</v>
      </c>
    </row>
    <row r="1206" spans="2:5" ht="15" customHeight="1" x14ac:dyDescent="0.3">
      <c r="C1206" s="58"/>
      <c r="D1206" s="8">
        <v>2019</v>
      </c>
      <c r="E1206" s="14">
        <f>Data!V1206</f>
        <v>8</v>
      </c>
    </row>
    <row r="1207" spans="2:5" ht="15" customHeight="1" x14ac:dyDescent="0.3">
      <c r="C1207" s="58"/>
      <c r="D1207" s="8">
        <v>2020</v>
      </c>
      <c r="E1207" s="14">
        <f>Data!V1207</f>
        <v>8</v>
      </c>
    </row>
    <row r="1208" spans="2:5" ht="15" customHeight="1" x14ac:dyDescent="0.3">
      <c r="C1208" s="58"/>
      <c r="D1208" s="8">
        <v>2021</v>
      </c>
      <c r="E1208" s="14">
        <f>Data!V1208</f>
        <v>8</v>
      </c>
    </row>
    <row r="1209" spans="2:5" ht="15" customHeight="1" x14ac:dyDescent="0.3">
      <c r="C1209" s="58"/>
      <c r="D1209" s="8">
        <v>2022</v>
      </c>
      <c r="E1209" s="14">
        <f>Data!V1209</f>
        <v>11</v>
      </c>
    </row>
    <row r="1210" spans="2:5" ht="15" customHeight="1" x14ac:dyDescent="0.3">
      <c r="C1210" s="58"/>
      <c r="D1210" s="8">
        <v>2023</v>
      </c>
      <c r="E1210" s="14">
        <f>Data!V1210</f>
        <v>8</v>
      </c>
    </row>
    <row r="1211" spans="2:5" ht="15" customHeight="1" x14ac:dyDescent="0.3">
      <c r="C1211" s="58"/>
      <c r="D1211" s="8">
        <v>2024</v>
      </c>
      <c r="E1211" s="14">
        <f>Data!V1211</f>
        <v>8</v>
      </c>
    </row>
    <row r="1212" spans="2:5" ht="15" customHeight="1" x14ac:dyDescent="0.3">
      <c r="B1212" s="8">
        <v>111</v>
      </c>
      <c r="C1212" s="58" t="s">
        <v>74</v>
      </c>
      <c r="D1212" s="8">
        <v>2014</v>
      </c>
      <c r="E1212" s="14">
        <f>Data!V1212</f>
        <v>0</v>
      </c>
    </row>
    <row r="1213" spans="2:5" ht="15" customHeight="1" x14ac:dyDescent="0.3">
      <c r="C1213" s="58"/>
      <c r="D1213" s="8">
        <v>2015</v>
      </c>
      <c r="E1213" s="14">
        <f>Data!V1213</f>
        <v>9</v>
      </c>
    </row>
    <row r="1214" spans="2:5" ht="15" customHeight="1" x14ac:dyDescent="0.3">
      <c r="C1214" s="58"/>
      <c r="D1214" s="8">
        <v>2016</v>
      </c>
      <c r="E1214" s="14">
        <f>Data!V1214</f>
        <v>9</v>
      </c>
    </row>
    <row r="1215" spans="2:5" ht="15" customHeight="1" x14ac:dyDescent="0.3">
      <c r="C1215" s="58"/>
      <c r="D1215" s="8">
        <v>2017</v>
      </c>
      <c r="E1215" s="14">
        <f>Data!V1215</f>
        <v>6</v>
      </c>
    </row>
    <row r="1216" spans="2:5" ht="15" customHeight="1" x14ac:dyDescent="0.3">
      <c r="C1216" s="58"/>
      <c r="D1216" s="8">
        <v>2018</v>
      </c>
      <c r="E1216" s="14">
        <f>Data!V1216</f>
        <v>9</v>
      </c>
    </row>
    <row r="1217" spans="2:5" ht="15" customHeight="1" x14ac:dyDescent="0.3">
      <c r="C1217" s="58"/>
      <c r="D1217" s="8">
        <v>2019</v>
      </c>
      <c r="E1217" s="14">
        <f>Data!V1217</f>
        <v>5</v>
      </c>
    </row>
    <row r="1218" spans="2:5" ht="15" customHeight="1" x14ac:dyDescent="0.3">
      <c r="C1218" s="58"/>
      <c r="D1218" s="8">
        <v>2020</v>
      </c>
      <c r="E1218" s="14">
        <f>Data!V1218</f>
        <v>5</v>
      </c>
    </row>
    <row r="1219" spans="2:5" ht="15" customHeight="1" x14ac:dyDescent="0.3">
      <c r="C1219" s="58"/>
      <c r="D1219" s="8">
        <v>2021</v>
      </c>
      <c r="E1219" s="14">
        <f>Data!V1219</f>
        <v>4</v>
      </c>
    </row>
    <row r="1220" spans="2:5" ht="15" customHeight="1" x14ac:dyDescent="0.3">
      <c r="C1220" s="58"/>
      <c r="D1220" s="8">
        <v>2022</v>
      </c>
      <c r="E1220" s="14">
        <f>Data!V1220</f>
        <v>7</v>
      </c>
    </row>
    <row r="1221" spans="2:5" ht="15" customHeight="1" x14ac:dyDescent="0.3">
      <c r="C1221" s="58"/>
      <c r="D1221" s="8">
        <v>2023</v>
      </c>
      <c r="E1221" s="14">
        <f>Data!V1221</f>
        <v>7</v>
      </c>
    </row>
    <row r="1222" spans="2:5" ht="15" customHeight="1" x14ac:dyDescent="0.3">
      <c r="C1222" s="58"/>
      <c r="D1222" s="8">
        <v>2024</v>
      </c>
      <c r="E1222" s="14">
        <f>Data!V1222</f>
        <v>15</v>
      </c>
    </row>
    <row r="1223" spans="2:5" ht="15" customHeight="1" x14ac:dyDescent="0.3">
      <c r="B1223" s="8">
        <v>112</v>
      </c>
      <c r="C1223" s="58" t="s">
        <v>91</v>
      </c>
      <c r="D1223" s="8">
        <v>2014</v>
      </c>
      <c r="E1223" s="14">
        <f>Data!V1223</f>
        <v>0</v>
      </c>
    </row>
    <row r="1224" spans="2:5" ht="15" customHeight="1" x14ac:dyDescent="0.3">
      <c r="C1224" s="58"/>
      <c r="D1224" s="8">
        <v>2015</v>
      </c>
      <c r="E1224" s="14">
        <f>Data!V1224</f>
        <v>0</v>
      </c>
    </row>
    <row r="1225" spans="2:5" ht="15" customHeight="1" x14ac:dyDescent="0.3">
      <c r="C1225" s="58"/>
      <c r="D1225" s="8">
        <v>2016</v>
      </c>
      <c r="E1225" s="14">
        <f>Data!V1225</f>
        <v>0</v>
      </c>
    </row>
    <row r="1226" spans="2:5" ht="15" customHeight="1" x14ac:dyDescent="0.3">
      <c r="C1226" s="58"/>
      <c r="D1226" s="8">
        <v>2017</v>
      </c>
      <c r="E1226" s="14">
        <f>Data!V1226</f>
        <v>0</v>
      </c>
    </row>
    <row r="1227" spans="2:5" ht="15" customHeight="1" x14ac:dyDescent="0.3">
      <c r="C1227" s="58"/>
      <c r="D1227" s="8">
        <v>2018</v>
      </c>
      <c r="E1227" s="14">
        <f>Data!V1227</f>
        <v>0</v>
      </c>
    </row>
    <row r="1228" spans="2:5" ht="15" customHeight="1" x14ac:dyDescent="0.3">
      <c r="C1228" s="58"/>
      <c r="D1228" s="8">
        <v>2019</v>
      </c>
      <c r="E1228" s="14">
        <f>Data!V1228</f>
        <v>0</v>
      </c>
    </row>
    <row r="1229" spans="2:5" ht="15" customHeight="1" x14ac:dyDescent="0.3">
      <c r="C1229" s="58"/>
      <c r="D1229" s="8">
        <v>2020</v>
      </c>
      <c r="E1229" s="14">
        <f>Data!V1229</f>
        <v>0</v>
      </c>
    </row>
    <row r="1230" spans="2:5" ht="15" customHeight="1" x14ac:dyDescent="0.3">
      <c r="C1230" s="58"/>
      <c r="D1230" s="8">
        <v>2021</v>
      </c>
      <c r="E1230" s="14">
        <f>Data!V1230</f>
        <v>0</v>
      </c>
    </row>
    <row r="1231" spans="2:5" ht="15" customHeight="1" x14ac:dyDescent="0.3">
      <c r="C1231" s="58"/>
      <c r="D1231" s="8">
        <v>2022</v>
      </c>
      <c r="E1231" s="14">
        <f>Data!V1231</f>
        <v>0</v>
      </c>
    </row>
    <row r="1232" spans="2:5" ht="15" customHeight="1" x14ac:dyDescent="0.3">
      <c r="C1232" s="58"/>
      <c r="D1232" s="8">
        <v>2023</v>
      </c>
      <c r="E1232" s="14">
        <f>Data!V1232</f>
        <v>0</v>
      </c>
    </row>
    <row r="1233" spans="2:5" ht="15" customHeight="1" x14ac:dyDescent="0.3">
      <c r="C1233" s="58"/>
      <c r="D1233" s="8">
        <v>2024</v>
      </c>
      <c r="E1233" s="14">
        <f>Data!V1233</f>
        <v>10</v>
      </c>
    </row>
    <row r="1234" spans="2:5" ht="15" customHeight="1" x14ac:dyDescent="0.3">
      <c r="B1234" s="8">
        <v>113</v>
      </c>
      <c r="C1234" s="58" t="s">
        <v>90</v>
      </c>
      <c r="D1234" s="8">
        <v>2014</v>
      </c>
      <c r="E1234" s="14">
        <f>Data!V1234</f>
        <v>0</v>
      </c>
    </row>
    <row r="1235" spans="2:5" ht="15" customHeight="1" x14ac:dyDescent="0.3">
      <c r="C1235" s="58"/>
      <c r="D1235" s="8">
        <v>2015</v>
      </c>
      <c r="E1235" s="14">
        <f>Data!V1235</f>
        <v>0</v>
      </c>
    </row>
    <row r="1236" spans="2:5" ht="15" customHeight="1" x14ac:dyDescent="0.3">
      <c r="C1236" s="58"/>
      <c r="D1236" s="8">
        <v>2016</v>
      </c>
      <c r="E1236" s="14">
        <f>Data!V1236</f>
        <v>0</v>
      </c>
    </row>
    <row r="1237" spans="2:5" ht="15" customHeight="1" x14ac:dyDescent="0.3">
      <c r="C1237" s="58"/>
      <c r="D1237" s="8">
        <v>2017</v>
      </c>
      <c r="E1237" s="14">
        <f>Data!V1237</f>
        <v>0</v>
      </c>
    </row>
    <row r="1238" spans="2:5" ht="15" customHeight="1" x14ac:dyDescent="0.3">
      <c r="C1238" s="58"/>
      <c r="D1238" s="8">
        <v>2018</v>
      </c>
      <c r="E1238" s="14">
        <f>Data!V1238</f>
        <v>0</v>
      </c>
    </row>
    <row r="1239" spans="2:5" ht="15" customHeight="1" x14ac:dyDescent="0.3">
      <c r="C1239" s="58"/>
      <c r="D1239" s="8">
        <v>2019</v>
      </c>
      <c r="E1239" s="14">
        <f>Data!V1239</f>
        <v>0</v>
      </c>
    </row>
    <row r="1240" spans="2:5" ht="15" customHeight="1" x14ac:dyDescent="0.3">
      <c r="C1240" s="58"/>
      <c r="D1240" s="8">
        <v>2020</v>
      </c>
      <c r="E1240" s="14">
        <f>Data!V1240</f>
        <v>0</v>
      </c>
    </row>
    <row r="1241" spans="2:5" ht="15" customHeight="1" x14ac:dyDescent="0.3">
      <c r="C1241" s="58"/>
      <c r="D1241" s="8">
        <v>2021</v>
      </c>
      <c r="E1241" s="14">
        <f>Data!V1241</f>
        <v>0</v>
      </c>
    </row>
    <row r="1242" spans="2:5" ht="15" customHeight="1" x14ac:dyDescent="0.3">
      <c r="C1242" s="58"/>
      <c r="D1242" s="8">
        <v>2022</v>
      </c>
      <c r="E1242" s="14">
        <f>Data!V1242</f>
        <v>0</v>
      </c>
    </row>
    <row r="1243" spans="2:5" ht="15" customHeight="1" x14ac:dyDescent="0.3">
      <c r="C1243" s="58"/>
      <c r="D1243" s="8">
        <v>2023</v>
      </c>
      <c r="E1243" s="14">
        <f>Data!V1243</f>
        <v>0</v>
      </c>
    </row>
    <row r="1244" spans="2:5" ht="15" customHeight="1" x14ac:dyDescent="0.3">
      <c r="C1244" s="58"/>
      <c r="D1244" s="8">
        <v>2024</v>
      </c>
      <c r="E1244" s="14">
        <f>Data!V1244</f>
        <v>0</v>
      </c>
    </row>
    <row r="1245" spans="2:5" ht="15" customHeight="1" x14ac:dyDescent="0.3">
      <c r="B1245" s="8">
        <v>114</v>
      </c>
      <c r="C1245" s="58" t="s">
        <v>107</v>
      </c>
      <c r="D1245" s="8">
        <v>2014</v>
      </c>
      <c r="E1245" s="14">
        <f>Data!V1245</f>
        <v>0</v>
      </c>
    </row>
    <row r="1246" spans="2:5" ht="15" customHeight="1" x14ac:dyDescent="0.3">
      <c r="C1246" s="58"/>
      <c r="D1246" s="8">
        <v>2015</v>
      </c>
      <c r="E1246" s="14">
        <f>Data!V1246</f>
        <v>5</v>
      </c>
    </row>
    <row r="1247" spans="2:5" ht="15" customHeight="1" x14ac:dyDescent="0.3">
      <c r="C1247" s="58"/>
      <c r="D1247" s="8">
        <v>2016</v>
      </c>
      <c r="E1247" s="14">
        <f>Data!V1247</f>
        <v>5</v>
      </c>
    </row>
    <row r="1248" spans="2:5" ht="15" customHeight="1" x14ac:dyDescent="0.3">
      <c r="C1248" s="58"/>
      <c r="D1248" s="8">
        <v>2017</v>
      </c>
      <c r="E1248" s="14">
        <f>Data!V1248</f>
        <v>5</v>
      </c>
    </row>
    <row r="1249" spans="2:5" ht="15" customHeight="1" x14ac:dyDescent="0.3">
      <c r="C1249" s="58"/>
      <c r="D1249" s="8">
        <v>2018</v>
      </c>
      <c r="E1249" s="14">
        <f>Data!V1249</f>
        <v>5</v>
      </c>
    </row>
    <row r="1250" spans="2:5" ht="15" customHeight="1" x14ac:dyDescent="0.3">
      <c r="C1250" s="58"/>
      <c r="D1250" s="8">
        <v>2019</v>
      </c>
      <c r="E1250" s="14">
        <f>Data!V1250</f>
        <v>6</v>
      </c>
    </row>
    <row r="1251" spans="2:5" ht="15" customHeight="1" x14ac:dyDescent="0.3">
      <c r="C1251" s="58"/>
      <c r="D1251" s="8">
        <v>2020</v>
      </c>
      <c r="E1251" s="14">
        <f>Data!V1251</f>
        <v>6</v>
      </c>
    </row>
    <row r="1252" spans="2:5" ht="15" customHeight="1" x14ac:dyDescent="0.3">
      <c r="C1252" s="58"/>
      <c r="D1252" s="8">
        <v>2021</v>
      </c>
      <c r="E1252" s="14">
        <f>Data!V1252</f>
        <v>6</v>
      </c>
    </row>
    <row r="1253" spans="2:5" ht="15" customHeight="1" x14ac:dyDescent="0.3">
      <c r="C1253" s="58"/>
      <c r="D1253" s="8">
        <v>2022</v>
      </c>
      <c r="E1253" s="14">
        <f>Data!V1253</f>
        <v>5</v>
      </c>
    </row>
    <row r="1254" spans="2:5" ht="15" customHeight="1" x14ac:dyDescent="0.3">
      <c r="C1254" s="58"/>
      <c r="D1254" s="8">
        <v>2023</v>
      </c>
      <c r="E1254" s="14">
        <f>Data!V1254</f>
        <v>5</v>
      </c>
    </row>
    <row r="1255" spans="2:5" ht="15" customHeight="1" x14ac:dyDescent="0.3">
      <c r="C1255" s="58"/>
      <c r="D1255" s="8">
        <v>2024</v>
      </c>
      <c r="E1255" s="14">
        <f>Data!V1255</f>
        <v>8</v>
      </c>
    </row>
    <row r="1256" spans="2:5" ht="15" customHeight="1" x14ac:dyDescent="0.3">
      <c r="B1256" s="8">
        <v>115</v>
      </c>
      <c r="C1256" s="59" t="s">
        <v>128</v>
      </c>
      <c r="D1256" s="8">
        <v>2014</v>
      </c>
      <c r="E1256" s="14">
        <f>Data!V1256</f>
        <v>0</v>
      </c>
    </row>
    <row r="1257" spans="2:5" ht="15" customHeight="1" x14ac:dyDescent="0.3">
      <c r="C1257" s="59"/>
      <c r="D1257" s="8">
        <v>2015</v>
      </c>
      <c r="E1257" s="14">
        <f>Data!V1257</f>
        <v>0</v>
      </c>
    </row>
    <row r="1258" spans="2:5" ht="15" customHeight="1" x14ac:dyDescent="0.3">
      <c r="C1258" s="59"/>
      <c r="D1258" s="8">
        <v>2016</v>
      </c>
      <c r="E1258" s="14">
        <f>Data!V1258</f>
        <v>0</v>
      </c>
    </row>
    <row r="1259" spans="2:5" ht="15" customHeight="1" x14ac:dyDescent="0.3">
      <c r="C1259" s="59"/>
      <c r="D1259" s="8">
        <v>2017</v>
      </c>
      <c r="E1259" s="14">
        <f>Data!V1259</f>
        <v>0</v>
      </c>
    </row>
    <row r="1260" spans="2:5" ht="15" customHeight="1" x14ac:dyDescent="0.3">
      <c r="C1260" s="59"/>
      <c r="D1260" s="8">
        <v>2018</v>
      </c>
      <c r="E1260" s="14">
        <f>Data!V1260</f>
        <v>0</v>
      </c>
    </row>
    <row r="1261" spans="2:5" ht="15" customHeight="1" x14ac:dyDescent="0.3">
      <c r="C1261" s="59"/>
      <c r="D1261" s="8">
        <v>2019</v>
      </c>
      <c r="E1261" s="14">
        <f>Data!V1261</f>
        <v>0</v>
      </c>
    </row>
    <row r="1262" spans="2:5" ht="15" customHeight="1" x14ac:dyDescent="0.3">
      <c r="C1262" s="59"/>
      <c r="D1262" s="8">
        <v>2020</v>
      </c>
      <c r="E1262" s="14">
        <f>Data!V1262</f>
        <v>0</v>
      </c>
    </row>
    <row r="1263" spans="2:5" ht="15" customHeight="1" x14ac:dyDescent="0.3">
      <c r="C1263" s="59"/>
      <c r="D1263" s="8">
        <v>2021</v>
      </c>
      <c r="E1263" s="14">
        <f>Data!V1263</f>
        <v>0</v>
      </c>
    </row>
    <row r="1264" spans="2:5" ht="15" customHeight="1" x14ac:dyDescent="0.3">
      <c r="C1264" s="59"/>
      <c r="D1264" s="8">
        <v>2022</v>
      </c>
      <c r="E1264" s="14">
        <f>Data!V1264</f>
        <v>0</v>
      </c>
    </row>
    <row r="1265" spans="2:5" ht="15" customHeight="1" x14ac:dyDescent="0.3">
      <c r="C1265" s="59"/>
      <c r="D1265" s="8">
        <v>2023</v>
      </c>
      <c r="E1265" s="14">
        <f>Data!V1265</f>
        <v>0</v>
      </c>
    </row>
    <row r="1266" spans="2:5" ht="15" customHeight="1" x14ac:dyDescent="0.3">
      <c r="C1266" s="59"/>
      <c r="D1266" s="8">
        <v>2024</v>
      </c>
      <c r="E1266" s="14">
        <f>Data!V1266</f>
        <v>0</v>
      </c>
    </row>
    <row r="1267" spans="2:5" ht="15" customHeight="1" x14ac:dyDescent="0.3">
      <c r="B1267" s="8">
        <v>116</v>
      </c>
      <c r="C1267" s="59" t="s">
        <v>127</v>
      </c>
      <c r="D1267" s="8">
        <v>2014</v>
      </c>
      <c r="E1267" s="14">
        <f>Data!V1267</f>
        <v>0</v>
      </c>
    </row>
    <row r="1268" spans="2:5" ht="15" customHeight="1" x14ac:dyDescent="0.3">
      <c r="C1268" s="59"/>
      <c r="D1268" s="8">
        <v>2015</v>
      </c>
      <c r="E1268" s="14">
        <f>Data!V1268</f>
        <v>0</v>
      </c>
    </row>
    <row r="1269" spans="2:5" ht="15" customHeight="1" x14ac:dyDescent="0.3">
      <c r="C1269" s="59"/>
      <c r="D1269" s="8">
        <v>2016</v>
      </c>
      <c r="E1269" s="14">
        <f>Data!V1269</f>
        <v>0</v>
      </c>
    </row>
    <row r="1270" spans="2:5" ht="15" customHeight="1" x14ac:dyDescent="0.3">
      <c r="C1270" s="59"/>
      <c r="D1270" s="8">
        <v>2017</v>
      </c>
      <c r="E1270" s="14">
        <f>Data!V1270</f>
        <v>0</v>
      </c>
    </row>
    <row r="1271" spans="2:5" ht="15" customHeight="1" x14ac:dyDescent="0.3">
      <c r="C1271" s="59"/>
      <c r="D1271" s="8">
        <v>2018</v>
      </c>
      <c r="E1271" s="14">
        <f>Data!V1271</f>
        <v>0</v>
      </c>
    </row>
    <row r="1272" spans="2:5" ht="15" customHeight="1" x14ac:dyDescent="0.3">
      <c r="C1272" s="59"/>
      <c r="D1272" s="8">
        <v>2019</v>
      </c>
      <c r="E1272" s="14">
        <f>Data!V1272</f>
        <v>0</v>
      </c>
    </row>
    <row r="1273" spans="2:5" ht="15" customHeight="1" x14ac:dyDescent="0.3">
      <c r="C1273" s="59"/>
      <c r="D1273" s="8">
        <v>2020</v>
      </c>
      <c r="E1273" s="14">
        <f>Data!V1273</f>
        <v>0</v>
      </c>
    </row>
    <row r="1274" spans="2:5" ht="15" customHeight="1" x14ac:dyDescent="0.3">
      <c r="C1274" s="59"/>
      <c r="D1274" s="8">
        <v>2021</v>
      </c>
      <c r="E1274" s="14">
        <f>Data!V1274</f>
        <v>0</v>
      </c>
    </row>
    <row r="1275" spans="2:5" ht="15" customHeight="1" x14ac:dyDescent="0.3">
      <c r="C1275" s="59"/>
      <c r="D1275" s="8">
        <v>2022</v>
      </c>
      <c r="E1275" s="14">
        <f>Data!V1275</f>
        <v>0</v>
      </c>
    </row>
    <row r="1276" spans="2:5" ht="15" customHeight="1" x14ac:dyDescent="0.3">
      <c r="C1276" s="59"/>
      <c r="D1276" s="8">
        <v>2023</v>
      </c>
      <c r="E1276" s="14">
        <f>Data!V1276</f>
        <v>0</v>
      </c>
    </row>
    <row r="1277" spans="2:5" ht="15" customHeight="1" x14ac:dyDescent="0.3">
      <c r="C1277" s="59"/>
      <c r="D1277" s="8">
        <v>2024</v>
      </c>
      <c r="E1277" s="14">
        <f>Data!V1277</f>
        <v>0</v>
      </c>
    </row>
    <row r="1278" spans="2:5" ht="15" customHeight="1" x14ac:dyDescent="0.3">
      <c r="B1278" s="8">
        <v>117</v>
      </c>
      <c r="C1278" s="58" t="s">
        <v>65</v>
      </c>
      <c r="D1278" s="8">
        <v>2014</v>
      </c>
      <c r="E1278" s="14">
        <f>Data!V1278</f>
        <v>0</v>
      </c>
    </row>
    <row r="1279" spans="2:5" ht="15" customHeight="1" x14ac:dyDescent="0.3">
      <c r="C1279" s="58"/>
      <c r="D1279" s="8">
        <v>2015</v>
      </c>
      <c r="E1279" s="14">
        <f>Data!V1279</f>
        <v>0</v>
      </c>
    </row>
    <row r="1280" spans="2:5" ht="15" customHeight="1" x14ac:dyDescent="0.3">
      <c r="C1280" s="58"/>
      <c r="D1280" s="8">
        <v>2016</v>
      </c>
      <c r="E1280" s="14">
        <f>Data!V1280</f>
        <v>0</v>
      </c>
    </row>
    <row r="1281" spans="2:5" ht="15" customHeight="1" x14ac:dyDescent="0.3">
      <c r="C1281" s="58"/>
      <c r="D1281" s="8">
        <v>2017</v>
      </c>
      <c r="E1281" s="14">
        <f>Data!V1281</f>
        <v>0</v>
      </c>
    </row>
    <row r="1282" spans="2:5" ht="15" customHeight="1" x14ac:dyDescent="0.3">
      <c r="C1282" s="58"/>
      <c r="D1282" s="8">
        <v>2018</v>
      </c>
      <c r="E1282" s="14">
        <f>Data!V1282</f>
        <v>0</v>
      </c>
    </row>
    <row r="1283" spans="2:5" ht="15" customHeight="1" x14ac:dyDescent="0.3">
      <c r="C1283" s="58"/>
      <c r="D1283" s="8">
        <v>2019</v>
      </c>
      <c r="E1283" s="14">
        <f>Data!V1283</f>
        <v>0</v>
      </c>
    </row>
    <row r="1284" spans="2:5" ht="15" customHeight="1" x14ac:dyDescent="0.3">
      <c r="C1284" s="58"/>
      <c r="D1284" s="8">
        <v>2020</v>
      </c>
      <c r="E1284" s="14">
        <f>Data!V1284</f>
        <v>0</v>
      </c>
    </row>
    <row r="1285" spans="2:5" ht="15" customHeight="1" x14ac:dyDescent="0.3">
      <c r="C1285" s="58"/>
      <c r="D1285" s="8">
        <v>2021</v>
      </c>
      <c r="E1285" s="14">
        <f>Data!V1285</f>
        <v>0</v>
      </c>
    </row>
    <row r="1286" spans="2:5" ht="15" customHeight="1" x14ac:dyDescent="0.3">
      <c r="C1286" s="58"/>
      <c r="D1286" s="8">
        <v>2022</v>
      </c>
      <c r="E1286" s="14">
        <f>Data!V1286</f>
        <v>0</v>
      </c>
    </row>
    <row r="1287" spans="2:5" ht="15" customHeight="1" x14ac:dyDescent="0.3">
      <c r="C1287" s="58"/>
      <c r="D1287" s="8">
        <v>2023</v>
      </c>
      <c r="E1287" s="14">
        <f>Data!V1287</f>
        <v>0</v>
      </c>
    </row>
    <row r="1288" spans="2:5" ht="15" customHeight="1" x14ac:dyDescent="0.3">
      <c r="C1288" s="58"/>
      <c r="D1288" s="8">
        <v>2024</v>
      </c>
      <c r="E1288" s="14">
        <f>Data!V1288</f>
        <v>0</v>
      </c>
    </row>
    <row r="1289" spans="2:5" ht="15" customHeight="1" x14ac:dyDescent="0.3">
      <c r="B1289" s="8">
        <v>118</v>
      </c>
      <c r="C1289" s="56" t="s">
        <v>89</v>
      </c>
      <c r="D1289" s="8">
        <v>2014</v>
      </c>
      <c r="E1289" s="14">
        <f>Data!V1289</f>
        <v>0</v>
      </c>
    </row>
    <row r="1290" spans="2:5" ht="15" customHeight="1" x14ac:dyDescent="0.3">
      <c r="C1290" s="56"/>
      <c r="D1290" s="8">
        <v>2015</v>
      </c>
      <c r="E1290" s="14">
        <f>Data!V1290</f>
        <v>0</v>
      </c>
    </row>
    <row r="1291" spans="2:5" ht="15" customHeight="1" x14ac:dyDescent="0.3">
      <c r="C1291" s="56"/>
      <c r="D1291" s="8">
        <v>2016</v>
      </c>
      <c r="E1291" s="14">
        <f>Data!V1291</f>
        <v>0</v>
      </c>
    </row>
    <row r="1292" spans="2:5" ht="15" customHeight="1" x14ac:dyDescent="0.3">
      <c r="C1292" s="56"/>
      <c r="D1292" s="8">
        <v>2017</v>
      </c>
      <c r="E1292" s="14">
        <f>Data!V1292</f>
        <v>0</v>
      </c>
    </row>
    <row r="1293" spans="2:5" ht="15" customHeight="1" x14ac:dyDescent="0.3">
      <c r="C1293" s="56"/>
      <c r="D1293" s="8">
        <v>2018</v>
      </c>
      <c r="E1293" s="14">
        <f>Data!V1293</f>
        <v>0</v>
      </c>
    </row>
    <row r="1294" spans="2:5" ht="15" customHeight="1" x14ac:dyDescent="0.3">
      <c r="C1294" s="56"/>
      <c r="D1294" s="8">
        <v>2019</v>
      </c>
      <c r="E1294" s="14">
        <f>Data!V1294</f>
        <v>0</v>
      </c>
    </row>
    <row r="1295" spans="2:5" ht="15" customHeight="1" x14ac:dyDescent="0.3">
      <c r="C1295" s="56"/>
      <c r="D1295" s="8">
        <v>2020</v>
      </c>
      <c r="E1295" s="14">
        <f>Data!V1295</f>
        <v>0</v>
      </c>
    </row>
    <row r="1296" spans="2:5" ht="15" customHeight="1" x14ac:dyDescent="0.3">
      <c r="C1296" s="56"/>
      <c r="D1296" s="8">
        <v>2021</v>
      </c>
      <c r="E1296" s="14">
        <f>Data!V1296</f>
        <v>8</v>
      </c>
    </row>
    <row r="1297" spans="2:5" ht="15" customHeight="1" x14ac:dyDescent="0.3">
      <c r="C1297" s="56"/>
      <c r="D1297" s="8">
        <v>2022</v>
      </c>
      <c r="E1297" s="14">
        <f>Data!V1297</f>
        <v>8</v>
      </c>
    </row>
    <row r="1298" spans="2:5" ht="15" customHeight="1" x14ac:dyDescent="0.3">
      <c r="C1298" s="56"/>
      <c r="D1298" s="8">
        <v>2023</v>
      </c>
      <c r="E1298" s="14">
        <f>Data!V1298</f>
        <v>5</v>
      </c>
    </row>
    <row r="1299" spans="2:5" ht="15" customHeight="1" x14ac:dyDescent="0.3">
      <c r="C1299" s="56"/>
      <c r="D1299" s="8">
        <v>2024</v>
      </c>
      <c r="E1299" s="14">
        <f>Data!V1299</f>
        <v>10</v>
      </c>
    </row>
    <row r="1300" spans="2:5" ht="15" customHeight="1" x14ac:dyDescent="0.3">
      <c r="B1300" s="8">
        <v>119</v>
      </c>
      <c r="C1300" s="58" t="s">
        <v>72</v>
      </c>
      <c r="D1300" s="8">
        <v>2014</v>
      </c>
      <c r="E1300" s="14">
        <f>Data!V1300</f>
        <v>0</v>
      </c>
    </row>
    <row r="1301" spans="2:5" ht="15" customHeight="1" x14ac:dyDescent="0.3">
      <c r="C1301" s="58"/>
      <c r="D1301" s="8">
        <v>2015</v>
      </c>
      <c r="E1301" s="14">
        <f>Data!V1301</f>
        <v>0</v>
      </c>
    </row>
    <row r="1302" spans="2:5" ht="15" customHeight="1" x14ac:dyDescent="0.3">
      <c r="C1302" s="58"/>
      <c r="D1302" s="8">
        <v>2016</v>
      </c>
      <c r="E1302" s="14">
        <f>Data!V1302</f>
        <v>7</v>
      </c>
    </row>
    <row r="1303" spans="2:5" ht="15" customHeight="1" x14ac:dyDescent="0.3">
      <c r="C1303" s="58"/>
      <c r="D1303" s="8">
        <v>2017</v>
      </c>
      <c r="E1303" s="14">
        <f>Data!V1303</f>
        <v>2</v>
      </c>
    </row>
    <row r="1304" spans="2:5" ht="15" customHeight="1" x14ac:dyDescent="0.3">
      <c r="C1304" s="58"/>
      <c r="D1304" s="8">
        <v>2018</v>
      </c>
      <c r="E1304" s="14">
        <f>Data!V1304</f>
        <v>5</v>
      </c>
    </row>
    <row r="1305" spans="2:5" ht="15" customHeight="1" x14ac:dyDescent="0.3">
      <c r="C1305" s="58"/>
      <c r="D1305" s="8">
        <v>2019</v>
      </c>
      <c r="E1305" s="14">
        <f>Data!V1305</f>
        <v>5</v>
      </c>
    </row>
    <row r="1306" spans="2:5" ht="15" customHeight="1" x14ac:dyDescent="0.3">
      <c r="C1306" s="58"/>
      <c r="D1306" s="8">
        <v>2020</v>
      </c>
      <c r="E1306" s="14">
        <f>Data!V1306</f>
        <v>5</v>
      </c>
    </row>
    <row r="1307" spans="2:5" ht="15" customHeight="1" x14ac:dyDescent="0.3">
      <c r="C1307" s="58"/>
      <c r="D1307" s="8">
        <v>2021</v>
      </c>
      <c r="E1307" s="14">
        <f>Data!V1307</f>
        <v>5</v>
      </c>
    </row>
    <row r="1308" spans="2:5" ht="15" customHeight="1" x14ac:dyDescent="0.3">
      <c r="C1308" s="58"/>
      <c r="D1308" s="8">
        <v>2022</v>
      </c>
      <c r="E1308" s="14">
        <f>Data!V1308</f>
        <v>3</v>
      </c>
    </row>
    <row r="1309" spans="2:5" ht="15" customHeight="1" x14ac:dyDescent="0.3">
      <c r="C1309" s="58"/>
      <c r="D1309" s="8">
        <v>2023</v>
      </c>
      <c r="E1309" s="14">
        <f>Data!V1309</f>
        <v>6</v>
      </c>
    </row>
    <row r="1310" spans="2:5" ht="15" customHeight="1" x14ac:dyDescent="0.3">
      <c r="C1310" s="58"/>
      <c r="D1310" s="8">
        <v>2024</v>
      </c>
      <c r="E1310" s="14">
        <f>Data!V1310</f>
        <v>0</v>
      </c>
    </row>
    <row r="1311" spans="2:5" ht="15" customHeight="1" x14ac:dyDescent="0.3">
      <c r="B1311" s="8">
        <v>120</v>
      </c>
      <c r="C1311" s="58" t="s">
        <v>108</v>
      </c>
      <c r="D1311" s="8">
        <v>2014</v>
      </c>
      <c r="E1311" s="14">
        <f>Data!V1311</f>
        <v>0</v>
      </c>
    </row>
    <row r="1312" spans="2:5" ht="15" customHeight="1" x14ac:dyDescent="0.3">
      <c r="C1312" s="58"/>
      <c r="D1312" s="8">
        <v>2015</v>
      </c>
      <c r="E1312" s="14">
        <f>Data!V1312</f>
        <v>0</v>
      </c>
    </row>
    <row r="1313" spans="2:5" ht="15" customHeight="1" x14ac:dyDescent="0.3">
      <c r="C1313" s="58"/>
      <c r="D1313" s="8">
        <v>2016</v>
      </c>
      <c r="E1313" s="14">
        <f>Data!V1313</f>
        <v>0</v>
      </c>
    </row>
    <row r="1314" spans="2:5" ht="15" customHeight="1" x14ac:dyDescent="0.3">
      <c r="C1314" s="58"/>
      <c r="D1314" s="8">
        <v>2017</v>
      </c>
      <c r="E1314" s="14">
        <f>Data!V1314</f>
        <v>0</v>
      </c>
    </row>
    <row r="1315" spans="2:5" ht="15" customHeight="1" x14ac:dyDescent="0.3">
      <c r="C1315" s="58"/>
      <c r="D1315" s="8">
        <v>2018</v>
      </c>
      <c r="E1315" s="14">
        <f>Data!V1315</f>
        <v>0</v>
      </c>
    </row>
    <row r="1316" spans="2:5" ht="15" customHeight="1" x14ac:dyDescent="0.3">
      <c r="C1316" s="58"/>
      <c r="D1316" s="8">
        <v>2019</v>
      </c>
      <c r="E1316" s="14">
        <f>Data!V1316</f>
        <v>0</v>
      </c>
    </row>
    <row r="1317" spans="2:5" ht="15" customHeight="1" x14ac:dyDescent="0.3">
      <c r="C1317" s="58"/>
      <c r="D1317" s="8">
        <v>2020</v>
      </c>
      <c r="E1317" s="14">
        <f>Data!V1317</f>
        <v>0</v>
      </c>
    </row>
    <row r="1318" spans="2:5" ht="15" customHeight="1" x14ac:dyDescent="0.3">
      <c r="C1318" s="58"/>
      <c r="D1318" s="8">
        <v>2021</v>
      </c>
      <c r="E1318" s="14">
        <f>Data!V1318</f>
        <v>0</v>
      </c>
    </row>
    <row r="1319" spans="2:5" ht="15" customHeight="1" x14ac:dyDescent="0.3">
      <c r="C1319" s="58"/>
      <c r="D1319" s="8">
        <v>2022</v>
      </c>
      <c r="E1319" s="14">
        <f>Data!V1319</f>
        <v>0</v>
      </c>
    </row>
    <row r="1320" spans="2:5" ht="15" customHeight="1" x14ac:dyDescent="0.3">
      <c r="C1320" s="58"/>
      <c r="D1320" s="8">
        <v>2023</v>
      </c>
      <c r="E1320" s="14">
        <f>Data!V1320</f>
        <v>0</v>
      </c>
    </row>
    <row r="1321" spans="2:5" ht="15" customHeight="1" x14ac:dyDescent="0.3">
      <c r="C1321" s="58"/>
      <c r="D1321" s="8">
        <v>2024</v>
      </c>
      <c r="E1321" s="14">
        <f>Data!V1321</f>
        <v>0</v>
      </c>
    </row>
    <row r="1322" spans="2:5" ht="15" customHeight="1" x14ac:dyDescent="0.3">
      <c r="B1322" s="8">
        <v>121</v>
      </c>
      <c r="C1322" s="58" t="s">
        <v>77</v>
      </c>
      <c r="D1322" s="8">
        <v>2014</v>
      </c>
      <c r="E1322" s="14">
        <f>Data!V1322</f>
        <v>0</v>
      </c>
    </row>
    <row r="1323" spans="2:5" ht="15" customHeight="1" x14ac:dyDescent="0.3">
      <c r="C1323" s="58"/>
      <c r="D1323" s="8">
        <v>2015</v>
      </c>
      <c r="E1323" s="14">
        <f>Data!V1323</f>
        <v>0</v>
      </c>
    </row>
    <row r="1324" spans="2:5" ht="15" customHeight="1" x14ac:dyDescent="0.3">
      <c r="C1324" s="58"/>
      <c r="D1324" s="8">
        <v>2016</v>
      </c>
      <c r="E1324" s="14">
        <f>Data!V1324</f>
        <v>0</v>
      </c>
    </row>
    <row r="1325" spans="2:5" ht="15" customHeight="1" x14ac:dyDescent="0.3">
      <c r="C1325" s="58"/>
      <c r="D1325" s="8">
        <v>2017</v>
      </c>
      <c r="E1325" s="14">
        <f>Data!V1325</f>
        <v>0</v>
      </c>
    </row>
    <row r="1326" spans="2:5" ht="15" customHeight="1" x14ac:dyDescent="0.3">
      <c r="C1326" s="58"/>
      <c r="D1326" s="8">
        <v>2018</v>
      </c>
      <c r="E1326" s="14">
        <f>Data!V1326</f>
        <v>0</v>
      </c>
    </row>
    <row r="1327" spans="2:5" ht="15" customHeight="1" x14ac:dyDescent="0.3">
      <c r="C1327" s="58"/>
      <c r="D1327" s="8">
        <v>2019</v>
      </c>
      <c r="E1327" s="14">
        <f>Data!V1327</f>
        <v>0</v>
      </c>
    </row>
    <row r="1328" spans="2:5" ht="15" customHeight="1" x14ac:dyDescent="0.3">
      <c r="C1328" s="58"/>
      <c r="D1328" s="8">
        <v>2020</v>
      </c>
      <c r="E1328" s="14">
        <f>Data!V1328</f>
        <v>0</v>
      </c>
    </row>
    <row r="1329" spans="2:5" ht="15" customHeight="1" x14ac:dyDescent="0.3">
      <c r="C1329" s="58"/>
      <c r="D1329" s="8">
        <v>2021</v>
      </c>
      <c r="E1329" s="14">
        <f>Data!V1329</f>
        <v>0</v>
      </c>
    </row>
    <row r="1330" spans="2:5" ht="15" customHeight="1" x14ac:dyDescent="0.3">
      <c r="C1330" s="58"/>
      <c r="D1330" s="8">
        <v>2022</v>
      </c>
      <c r="E1330" s="14">
        <f>Data!V1330</f>
        <v>0</v>
      </c>
    </row>
    <row r="1331" spans="2:5" ht="15" customHeight="1" x14ac:dyDescent="0.3">
      <c r="C1331" s="58"/>
      <c r="D1331" s="8">
        <v>2023</v>
      </c>
      <c r="E1331" s="14">
        <f>Data!V1331</f>
        <v>0</v>
      </c>
    </row>
    <row r="1332" spans="2:5" ht="15" customHeight="1" x14ac:dyDescent="0.3">
      <c r="C1332" s="58"/>
      <c r="D1332" s="8">
        <v>2024</v>
      </c>
      <c r="E1332" s="14">
        <f>Data!V1332</f>
        <v>0</v>
      </c>
    </row>
    <row r="1333" spans="2:5" ht="15" customHeight="1" x14ac:dyDescent="0.3">
      <c r="B1333" s="8">
        <v>122</v>
      </c>
      <c r="C1333" s="58" t="s">
        <v>109</v>
      </c>
      <c r="D1333" s="8">
        <v>2014</v>
      </c>
      <c r="E1333" s="14">
        <f>Data!V1333</f>
        <v>0</v>
      </c>
    </row>
    <row r="1334" spans="2:5" ht="15" customHeight="1" x14ac:dyDescent="0.3">
      <c r="C1334" s="58"/>
      <c r="D1334" s="8">
        <v>2015</v>
      </c>
      <c r="E1334" s="14">
        <f>Data!V1334</f>
        <v>0</v>
      </c>
    </row>
    <row r="1335" spans="2:5" ht="15" customHeight="1" x14ac:dyDescent="0.3">
      <c r="C1335" s="58"/>
      <c r="D1335" s="8">
        <v>2016</v>
      </c>
      <c r="E1335" s="14">
        <f>Data!V1335</f>
        <v>0</v>
      </c>
    </row>
    <row r="1336" spans="2:5" ht="15" customHeight="1" x14ac:dyDescent="0.3">
      <c r="C1336" s="58"/>
      <c r="D1336" s="8">
        <v>2017</v>
      </c>
      <c r="E1336" s="14">
        <f>Data!V1336</f>
        <v>0</v>
      </c>
    </row>
    <row r="1337" spans="2:5" ht="15" customHeight="1" x14ac:dyDescent="0.3">
      <c r="C1337" s="58"/>
      <c r="D1337" s="8">
        <v>2018</v>
      </c>
      <c r="E1337" s="14">
        <f>Data!V1337</f>
        <v>0</v>
      </c>
    </row>
    <row r="1338" spans="2:5" ht="15" customHeight="1" x14ac:dyDescent="0.3">
      <c r="C1338" s="58"/>
      <c r="D1338" s="8">
        <v>2019</v>
      </c>
      <c r="E1338" s="14">
        <f>Data!V1338</f>
        <v>0</v>
      </c>
    </row>
    <row r="1339" spans="2:5" ht="15" customHeight="1" x14ac:dyDescent="0.3">
      <c r="C1339" s="58"/>
      <c r="D1339" s="8">
        <v>2020</v>
      </c>
      <c r="E1339" s="14">
        <f>Data!V1339</f>
        <v>0</v>
      </c>
    </row>
    <row r="1340" spans="2:5" ht="15" customHeight="1" x14ac:dyDescent="0.3">
      <c r="C1340" s="58"/>
      <c r="D1340" s="8">
        <v>2021</v>
      </c>
      <c r="E1340" s="14">
        <f>Data!V1340</f>
        <v>0</v>
      </c>
    </row>
    <row r="1341" spans="2:5" ht="15" customHeight="1" x14ac:dyDescent="0.3">
      <c r="C1341" s="58"/>
      <c r="D1341" s="8">
        <v>2022</v>
      </c>
      <c r="E1341" s="14">
        <f>Data!V1341</f>
        <v>0</v>
      </c>
    </row>
    <row r="1342" spans="2:5" ht="15" customHeight="1" x14ac:dyDescent="0.3">
      <c r="C1342" s="58"/>
      <c r="D1342" s="8">
        <v>2023</v>
      </c>
      <c r="E1342" s="14">
        <f>Data!V1342</f>
        <v>0</v>
      </c>
    </row>
    <row r="1343" spans="2:5" ht="15" customHeight="1" x14ac:dyDescent="0.3">
      <c r="C1343" s="58"/>
      <c r="D1343" s="8">
        <v>2024</v>
      </c>
      <c r="E1343" s="14">
        <f>Data!V1343</f>
        <v>0</v>
      </c>
    </row>
    <row r="1344" spans="2:5" ht="15" customHeight="1" x14ac:dyDescent="0.3">
      <c r="B1344" s="8">
        <v>123</v>
      </c>
      <c r="C1344" s="58" t="s">
        <v>78</v>
      </c>
      <c r="D1344" s="8">
        <v>2014</v>
      </c>
      <c r="E1344" s="14">
        <f>Data!V1344</f>
        <v>0</v>
      </c>
    </row>
    <row r="1345" spans="2:5" ht="15" customHeight="1" x14ac:dyDescent="0.3">
      <c r="C1345" s="58"/>
      <c r="D1345" s="8">
        <v>2015</v>
      </c>
      <c r="E1345" s="14">
        <f>Data!V1345</f>
        <v>0</v>
      </c>
    </row>
    <row r="1346" spans="2:5" ht="15" customHeight="1" x14ac:dyDescent="0.3">
      <c r="C1346" s="58"/>
      <c r="D1346" s="8">
        <v>2016</v>
      </c>
      <c r="E1346" s="14">
        <f>Data!V1346</f>
        <v>0</v>
      </c>
    </row>
    <row r="1347" spans="2:5" ht="15" customHeight="1" x14ac:dyDescent="0.3">
      <c r="C1347" s="58"/>
      <c r="D1347" s="8">
        <v>2017</v>
      </c>
      <c r="E1347" s="14">
        <f>Data!V1347</f>
        <v>0</v>
      </c>
    </row>
    <row r="1348" spans="2:5" ht="15" customHeight="1" x14ac:dyDescent="0.3">
      <c r="C1348" s="58"/>
      <c r="D1348" s="8">
        <v>2018</v>
      </c>
      <c r="E1348" s="14">
        <f>Data!V1348</f>
        <v>0</v>
      </c>
    </row>
    <row r="1349" spans="2:5" ht="15" customHeight="1" x14ac:dyDescent="0.3">
      <c r="C1349" s="58"/>
      <c r="D1349" s="8">
        <v>2019</v>
      </c>
      <c r="E1349" s="14">
        <f>Data!V1349</f>
        <v>0</v>
      </c>
    </row>
    <row r="1350" spans="2:5" ht="15" customHeight="1" x14ac:dyDescent="0.3">
      <c r="C1350" s="58"/>
      <c r="D1350" s="8">
        <v>2020</v>
      </c>
      <c r="E1350" s="14">
        <f>Data!V1350</f>
        <v>0</v>
      </c>
    </row>
    <row r="1351" spans="2:5" ht="15" customHeight="1" x14ac:dyDescent="0.3">
      <c r="C1351" s="58"/>
      <c r="D1351" s="8">
        <v>2021</v>
      </c>
      <c r="E1351" s="14">
        <f>Data!V1351</f>
        <v>0</v>
      </c>
    </row>
    <row r="1352" spans="2:5" ht="15" customHeight="1" x14ac:dyDescent="0.3">
      <c r="C1352" s="58"/>
      <c r="D1352" s="8">
        <v>2022</v>
      </c>
      <c r="E1352" s="14">
        <f>Data!V1352</f>
        <v>0</v>
      </c>
    </row>
    <row r="1353" spans="2:5" ht="15" customHeight="1" x14ac:dyDescent="0.3">
      <c r="C1353" s="58"/>
      <c r="D1353" s="8">
        <v>2023</v>
      </c>
      <c r="E1353" s="14">
        <f>Data!V1353</f>
        <v>0</v>
      </c>
    </row>
    <row r="1354" spans="2:5" ht="15" customHeight="1" x14ac:dyDescent="0.3">
      <c r="C1354" s="58"/>
      <c r="D1354" s="8">
        <v>2024</v>
      </c>
      <c r="E1354" s="14">
        <f>Data!V1354</f>
        <v>0</v>
      </c>
    </row>
    <row r="1355" spans="2:5" ht="15" customHeight="1" x14ac:dyDescent="0.3">
      <c r="B1355" s="8">
        <v>124</v>
      </c>
      <c r="C1355" s="58" t="s">
        <v>110</v>
      </c>
      <c r="D1355" s="8">
        <v>2014</v>
      </c>
      <c r="E1355" s="14">
        <f>Data!V1355</f>
        <v>0</v>
      </c>
    </row>
    <row r="1356" spans="2:5" ht="15" customHeight="1" x14ac:dyDescent="0.3">
      <c r="C1356" s="58"/>
      <c r="D1356" s="8">
        <v>2015</v>
      </c>
      <c r="E1356" s="14">
        <f>Data!V1356</f>
        <v>20</v>
      </c>
    </row>
    <row r="1357" spans="2:5" ht="15" customHeight="1" x14ac:dyDescent="0.3">
      <c r="C1357" s="58"/>
      <c r="D1357" s="8">
        <v>2016</v>
      </c>
      <c r="E1357" s="14">
        <f>Data!V1357</f>
        <v>13</v>
      </c>
    </row>
    <row r="1358" spans="2:5" ht="15" customHeight="1" x14ac:dyDescent="0.3">
      <c r="C1358" s="58"/>
      <c r="D1358" s="8">
        <v>2017</v>
      </c>
      <c r="E1358" s="14">
        <f>Data!V1358</f>
        <v>13</v>
      </c>
    </row>
    <row r="1359" spans="2:5" ht="15" customHeight="1" x14ac:dyDescent="0.3">
      <c r="C1359" s="58"/>
      <c r="D1359" s="8">
        <v>2018</v>
      </c>
      <c r="E1359" s="14">
        <f>Data!V1359</f>
        <v>13</v>
      </c>
    </row>
    <row r="1360" spans="2:5" ht="15" customHeight="1" x14ac:dyDescent="0.3">
      <c r="C1360" s="58"/>
      <c r="D1360" s="8">
        <v>2019</v>
      </c>
      <c r="E1360" s="14">
        <f>Data!V1360</f>
        <v>11</v>
      </c>
    </row>
    <row r="1361" spans="2:5" ht="15" customHeight="1" x14ac:dyDescent="0.3">
      <c r="C1361" s="58"/>
      <c r="D1361" s="8">
        <v>2020</v>
      </c>
      <c r="E1361" s="14">
        <f>Data!V1361</f>
        <v>11</v>
      </c>
    </row>
    <row r="1362" spans="2:5" ht="15" customHeight="1" x14ac:dyDescent="0.3">
      <c r="C1362" s="58"/>
      <c r="D1362" s="8">
        <v>2021</v>
      </c>
      <c r="E1362" s="14">
        <f>Data!V1362</f>
        <v>8</v>
      </c>
    </row>
    <row r="1363" spans="2:5" ht="15" customHeight="1" x14ac:dyDescent="0.3">
      <c r="C1363" s="58"/>
      <c r="D1363" s="8">
        <v>2022</v>
      </c>
      <c r="E1363" s="14">
        <f>Data!V1363</f>
        <v>9</v>
      </c>
    </row>
    <row r="1364" spans="2:5" ht="15" customHeight="1" x14ac:dyDescent="0.3">
      <c r="C1364" s="58"/>
      <c r="D1364" s="8">
        <v>2023</v>
      </c>
      <c r="E1364" s="14">
        <f>Data!V1364</f>
        <v>9</v>
      </c>
    </row>
    <row r="1365" spans="2:5" ht="15" customHeight="1" x14ac:dyDescent="0.3">
      <c r="C1365" s="58"/>
      <c r="D1365" s="8">
        <v>2024</v>
      </c>
      <c r="E1365" s="14">
        <f>Data!V1365</f>
        <v>8</v>
      </c>
    </row>
    <row r="1366" spans="2:5" ht="15" customHeight="1" x14ac:dyDescent="0.3">
      <c r="B1366" s="8">
        <v>125</v>
      </c>
      <c r="C1366" s="58" t="s">
        <v>111</v>
      </c>
      <c r="D1366" s="8">
        <v>2014</v>
      </c>
      <c r="E1366" s="14">
        <f>Data!V1366</f>
        <v>0</v>
      </c>
    </row>
    <row r="1367" spans="2:5" ht="15" customHeight="1" x14ac:dyDescent="0.3">
      <c r="C1367" s="58"/>
      <c r="D1367" s="8">
        <v>2015</v>
      </c>
      <c r="E1367" s="14">
        <f>Data!V1367</f>
        <v>0</v>
      </c>
    </row>
    <row r="1368" spans="2:5" ht="15" customHeight="1" x14ac:dyDescent="0.3">
      <c r="C1368" s="58"/>
      <c r="D1368" s="8">
        <v>2016</v>
      </c>
      <c r="E1368" s="14">
        <f>Data!V1368</f>
        <v>0</v>
      </c>
    </row>
    <row r="1369" spans="2:5" ht="15" customHeight="1" x14ac:dyDescent="0.3">
      <c r="C1369" s="58"/>
      <c r="D1369" s="8">
        <v>2017</v>
      </c>
      <c r="E1369" s="14">
        <f>Data!V1369</f>
        <v>0</v>
      </c>
    </row>
    <row r="1370" spans="2:5" ht="15" customHeight="1" x14ac:dyDescent="0.3">
      <c r="C1370" s="58"/>
      <c r="D1370" s="8">
        <v>2018</v>
      </c>
      <c r="E1370" s="14">
        <f>Data!V1370</f>
        <v>0</v>
      </c>
    </row>
    <row r="1371" spans="2:5" ht="15" customHeight="1" x14ac:dyDescent="0.3">
      <c r="C1371" s="58"/>
      <c r="D1371" s="8">
        <v>2019</v>
      </c>
      <c r="E1371" s="14">
        <f>Data!V1371</f>
        <v>0</v>
      </c>
    </row>
    <row r="1372" spans="2:5" ht="15" customHeight="1" x14ac:dyDescent="0.3">
      <c r="C1372" s="58"/>
      <c r="D1372" s="8">
        <v>2020</v>
      </c>
      <c r="E1372" s="14">
        <f>Data!V1372</f>
        <v>0</v>
      </c>
    </row>
    <row r="1373" spans="2:5" ht="15" customHeight="1" x14ac:dyDescent="0.3">
      <c r="C1373" s="58"/>
      <c r="D1373" s="8">
        <v>2021</v>
      </c>
      <c r="E1373" s="14">
        <f>Data!V1373</f>
        <v>0</v>
      </c>
    </row>
    <row r="1374" spans="2:5" ht="15" customHeight="1" x14ac:dyDescent="0.3">
      <c r="C1374" s="58"/>
      <c r="D1374" s="8">
        <v>2022</v>
      </c>
      <c r="E1374" s="14">
        <f>Data!V1374</f>
        <v>0</v>
      </c>
    </row>
    <row r="1375" spans="2:5" ht="15" customHeight="1" x14ac:dyDescent="0.3">
      <c r="C1375" s="58"/>
      <c r="D1375" s="8">
        <v>2023</v>
      </c>
      <c r="E1375" s="14">
        <f>Data!V1375</f>
        <v>0</v>
      </c>
    </row>
    <row r="1376" spans="2:5" ht="15" customHeight="1" x14ac:dyDescent="0.3">
      <c r="C1376" s="58"/>
      <c r="D1376" s="8">
        <v>2024</v>
      </c>
      <c r="E1376" s="14">
        <f>Data!V1376</f>
        <v>0</v>
      </c>
    </row>
    <row r="1377" spans="2:5" ht="15" customHeight="1" x14ac:dyDescent="0.3">
      <c r="B1377" s="8">
        <v>126</v>
      </c>
      <c r="C1377" s="58" t="s">
        <v>86</v>
      </c>
      <c r="D1377" s="8">
        <v>2014</v>
      </c>
      <c r="E1377" s="14">
        <f>Data!V1377</f>
        <v>0</v>
      </c>
    </row>
    <row r="1378" spans="2:5" ht="15" customHeight="1" x14ac:dyDescent="0.3">
      <c r="C1378" s="58"/>
      <c r="D1378" s="8">
        <v>2015</v>
      </c>
      <c r="E1378" s="14">
        <f>Data!V1378</f>
        <v>0</v>
      </c>
    </row>
    <row r="1379" spans="2:5" ht="15" customHeight="1" x14ac:dyDescent="0.3">
      <c r="C1379" s="58"/>
      <c r="D1379" s="8">
        <v>2016</v>
      </c>
      <c r="E1379" s="14">
        <f>Data!V1379</f>
        <v>9</v>
      </c>
    </row>
    <row r="1380" spans="2:5" ht="15" customHeight="1" x14ac:dyDescent="0.3">
      <c r="C1380" s="58"/>
      <c r="D1380" s="8">
        <v>2017</v>
      </c>
      <c r="E1380" s="14">
        <f>Data!V1380</f>
        <v>9</v>
      </c>
    </row>
    <row r="1381" spans="2:5" ht="15" customHeight="1" x14ac:dyDescent="0.3">
      <c r="C1381" s="58"/>
      <c r="D1381" s="8">
        <v>2018</v>
      </c>
      <c r="E1381" s="14">
        <f>Data!V1381</f>
        <v>9</v>
      </c>
    </row>
    <row r="1382" spans="2:5" ht="15" customHeight="1" x14ac:dyDescent="0.3">
      <c r="C1382" s="58"/>
      <c r="D1382" s="8">
        <v>2019</v>
      </c>
      <c r="E1382" s="14">
        <f>Data!V1382</f>
        <v>5</v>
      </c>
    </row>
    <row r="1383" spans="2:5" ht="15" customHeight="1" x14ac:dyDescent="0.3">
      <c r="C1383" s="58"/>
      <c r="D1383" s="8">
        <v>2020</v>
      </c>
      <c r="E1383" s="14">
        <f>Data!V1383</f>
        <v>4</v>
      </c>
    </row>
    <row r="1384" spans="2:5" ht="15" customHeight="1" x14ac:dyDescent="0.3">
      <c r="C1384" s="58"/>
      <c r="D1384" s="8">
        <v>2021</v>
      </c>
      <c r="E1384" s="14">
        <f>Data!V1384</f>
        <v>2</v>
      </c>
    </row>
    <row r="1385" spans="2:5" ht="15" customHeight="1" x14ac:dyDescent="0.3">
      <c r="C1385" s="58"/>
      <c r="D1385" s="8">
        <v>2022</v>
      </c>
      <c r="E1385" s="14">
        <f>Data!V1385</f>
        <v>2</v>
      </c>
    </row>
    <row r="1386" spans="2:5" ht="15" customHeight="1" x14ac:dyDescent="0.3">
      <c r="C1386" s="58"/>
      <c r="D1386" s="8">
        <v>2023</v>
      </c>
      <c r="E1386" s="14">
        <f>Data!V1386</f>
        <v>7</v>
      </c>
    </row>
    <row r="1387" spans="2:5" ht="15" customHeight="1" x14ac:dyDescent="0.3">
      <c r="C1387" s="58"/>
      <c r="D1387" s="8">
        <v>2024</v>
      </c>
      <c r="E1387" s="14">
        <f>Data!V1387</f>
        <v>7</v>
      </c>
    </row>
    <row r="1388" spans="2:5" ht="15" customHeight="1" x14ac:dyDescent="0.3">
      <c r="B1388" s="8">
        <v>127</v>
      </c>
      <c r="C1388" s="58" t="s">
        <v>112</v>
      </c>
      <c r="D1388" s="8">
        <v>2014</v>
      </c>
      <c r="E1388" s="14">
        <f>Data!V1388</f>
        <v>0</v>
      </c>
    </row>
    <row r="1389" spans="2:5" ht="15" customHeight="1" x14ac:dyDescent="0.3">
      <c r="C1389" s="58"/>
      <c r="D1389" s="8">
        <v>2015</v>
      </c>
      <c r="E1389" s="14">
        <f>Data!V1389</f>
        <v>0</v>
      </c>
    </row>
    <row r="1390" spans="2:5" ht="15" customHeight="1" x14ac:dyDescent="0.3">
      <c r="C1390" s="58"/>
      <c r="D1390" s="8">
        <v>2016</v>
      </c>
      <c r="E1390" s="14">
        <f>Data!V1390</f>
        <v>0</v>
      </c>
    </row>
    <row r="1391" spans="2:5" ht="15" customHeight="1" x14ac:dyDescent="0.3">
      <c r="C1391" s="58"/>
      <c r="D1391" s="8">
        <v>2017</v>
      </c>
      <c r="E1391" s="14">
        <f>Data!V1391</f>
        <v>8</v>
      </c>
    </row>
    <row r="1392" spans="2:5" ht="15" customHeight="1" x14ac:dyDescent="0.3">
      <c r="C1392" s="58"/>
      <c r="D1392" s="8">
        <v>2018</v>
      </c>
      <c r="E1392" s="14">
        <f>Data!V1392</f>
        <v>8</v>
      </c>
    </row>
    <row r="1393" spans="2:5" ht="15" customHeight="1" x14ac:dyDescent="0.3">
      <c r="C1393" s="58"/>
      <c r="D1393" s="8">
        <v>2019</v>
      </c>
      <c r="E1393" s="14">
        <f>Data!V1393</f>
        <v>5</v>
      </c>
    </row>
    <row r="1394" spans="2:5" ht="15" customHeight="1" x14ac:dyDescent="0.3">
      <c r="C1394" s="58"/>
      <c r="D1394" s="8">
        <v>2020</v>
      </c>
      <c r="E1394" s="14">
        <f>Data!V1394</f>
        <v>5</v>
      </c>
    </row>
    <row r="1395" spans="2:5" ht="15" customHeight="1" x14ac:dyDescent="0.3">
      <c r="C1395" s="58"/>
      <c r="D1395" s="8">
        <v>2021</v>
      </c>
      <c r="E1395" s="14">
        <f>Data!V1395</f>
        <v>5</v>
      </c>
    </row>
    <row r="1396" spans="2:5" ht="15" customHeight="1" x14ac:dyDescent="0.3">
      <c r="C1396" s="58"/>
      <c r="D1396" s="8">
        <v>2022</v>
      </c>
      <c r="E1396" s="14">
        <f>Data!V1396</f>
        <v>5</v>
      </c>
    </row>
    <row r="1397" spans="2:5" ht="15" customHeight="1" x14ac:dyDescent="0.3">
      <c r="C1397" s="58"/>
      <c r="D1397" s="8">
        <v>2023</v>
      </c>
      <c r="E1397" s="14">
        <f>Data!V1397</f>
        <v>8</v>
      </c>
    </row>
    <row r="1398" spans="2:5" ht="15" customHeight="1" x14ac:dyDescent="0.3">
      <c r="C1398" s="58"/>
      <c r="D1398" s="8">
        <v>2024</v>
      </c>
      <c r="E1398" s="14">
        <f>Data!V1398</f>
        <v>8</v>
      </c>
    </row>
    <row r="1399" spans="2:5" ht="15" customHeight="1" x14ac:dyDescent="0.3">
      <c r="B1399" s="8">
        <v>128</v>
      </c>
      <c r="C1399" s="58" t="s">
        <v>92</v>
      </c>
      <c r="D1399" s="8">
        <v>2014</v>
      </c>
      <c r="E1399" s="14">
        <f>Data!V1399</f>
        <v>0</v>
      </c>
    </row>
    <row r="1400" spans="2:5" ht="15" customHeight="1" x14ac:dyDescent="0.3">
      <c r="C1400" s="58"/>
      <c r="D1400" s="8">
        <v>2015</v>
      </c>
      <c r="E1400" s="14">
        <f>Data!V1400</f>
        <v>0</v>
      </c>
    </row>
    <row r="1401" spans="2:5" ht="15" customHeight="1" x14ac:dyDescent="0.3">
      <c r="C1401" s="58"/>
      <c r="D1401" s="8">
        <v>2016</v>
      </c>
      <c r="E1401" s="14">
        <f>Data!V1401</f>
        <v>0</v>
      </c>
    </row>
    <row r="1402" spans="2:5" ht="15" customHeight="1" x14ac:dyDescent="0.3">
      <c r="C1402" s="58"/>
      <c r="D1402" s="8">
        <v>2017</v>
      </c>
      <c r="E1402" s="14">
        <f>Data!V1402</f>
        <v>0</v>
      </c>
    </row>
    <row r="1403" spans="2:5" ht="15" customHeight="1" x14ac:dyDescent="0.3">
      <c r="C1403" s="58"/>
      <c r="D1403" s="8">
        <v>2018</v>
      </c>
      <c r="E1403" s="14">
        <f>Data!V1403</f>
        <v>0</v>
      </c>
    </row>
    <row r="1404" spans="2:5" ht="15" customHeight="1" x14ac:dyDescent="0.3">
      <c r="C1404" s="58"/>
      <c r="D1404" s="8">
        <v>2019</v>
      </c>
      <c r="E1404" s="14">
        <f>Data!V1404</f>
        <v>0</v>
      </c>
    </row>
    <row r="1405" spans="2:5" ht="15" customHeight="1" x14ac:dyDescent="0.3">
      <c r="C1405" s="58"/>
      <c r="D1405" s="8">
        <v>2020</v>
      </c>
      <c r="E1405" s="14">
        <f>Data!V1405</f>
        <v>0</v>
      </c>
    </row>
    <row r="1406" spans="2:5" ht="15" customHeight="1" x14ac:dyDescent="0.3">
      <c r="C1406" s="58"/>
      <c r="D1406" s="8">
        <v>2021</v>
      </c>
      <c r="E1406" s="14">
        <f>Data!V1406</f>
        <v>0</v>
      </c>
    </row>
    <row r="1407" spans="2:5" ht="15" customHeight="1" x14ac:dyDescent="0.3">
      <c r="C1407" s="58"/>
      <c r="D1407" s="8">
        <v>2022</v>
      </c>
      <c r="E1407" s="14">
        <f>Data!V1407</f>
        <v>0</v>
      </c>
    </row>
    <row r="1408" spans="2:5" ht="15" customHeight="1" x14ac:dyDescent="0.3">
      <c r="C1408" s="58"/>
      <c r="D1408" s="8">
        <v>2023</v>
      </c>
      <c r="E1408" s="14">
        <f>Data!V1408</f>
        <v>0</v>
      </c>
    </row>
    <row r="1409" spans="2:5" ht="15" customHeight="1" x14ac:dyDescent="0.3">
      <c r="C1409" s="58"/>
      <c r="D1409" s="8">
        <v>2024</v>
      </c>
      <c r="E1409" s="14">
        <f>Data!V1409</f>
        <v>0</v>
      </c>
    </row>
    <row r="1410" spans="2:5" ht="15" customHeight="1" x14ac:dyDescent="0.3">
      <c r="B1410" s="8">
        <v>129</v>
      </c>
      <c r="C1410" s="58" t="s">
        <v>87</v>
      </c>
      <c r="D1410" s="8">
        <v>2014</v>
      </c>
      <c r="E1410" s="14">
        <f>Data!V1410</f>
        <v>0</v>
      </c>
    </row>
    <row r="1411" spans="2:5" ht="15" customHeight="1" x14ac:dyDescent="0.3">
      <c r="C1411" s="58"/>
      <c r="D1411" s="8">
        <v>2015</v>
      </c>
      <c r="E1411" s="14">
        <f>Data!V1411</f>
        <v>0</v>
      </c>
    </row>
    <row r="1412" spans="2:5" ht="15" customHeight="1" x14ac:dyDescent="0.3">
      <c r="C1412" s="58"/>
      <c r="D1412" s="8">
        <v>2016</v>
      </c>
      <c r="E1412" s="14">
        <f>Data!V1412</f>
        <v>0</v>
      </c>
    </row>
    <row r="1413" spans="2:5" ht="15" customHeight="1" x14ac:dyDescent="0.3">
      <c r="C1413" s="58"/>
      <c r="D1413" s="8">
        <v>2017</v>
      </c>
      <c r="E1413" s="14">
        <f>Data!V1413</f>
        <v>0</v>
      </c>
    </row>
    <row r="1414" spans="2:5" ht="15" customHeight="1" x14ac:dyDescent="0.3">
      <c r="C1414" s="58"/>
      <c r="D1414" s="8">
        <v>2018</v>
      </c>
      <c r="E1414" s="14">
        <f>Data!V1414</f>
        <v>0</v>
      </c>
    </row>
    <row r="1415" spans="2:5" ht="15" customHeight="1" x14ac:dyDescent="0.3">
      <c r="C1415" s="58"/>
      <c r="D1415" s="8">
        <v>2019</v>
      </c>
      <c r="E1415" s="14">
        <f>Data!V1415</f>
        <v>0</v>
      </c>
    </row>
    <row r="1416" spans="2:5" ht="15" customHeight="1" x14ac:dyDescent="0.3">
      <c r="C1416" s="58"/>
      <c r="D1416" s="8">
        <v>2020</v>
      </c>
      <c r="E1416" s="14">
        <f>Data!V1416</f>
        <v>0</v>
      </c>
    </row>
    <row r="1417" spans="2:5" ht="15" customHeight="1" x14ac:dyDescent="0.3">
      <c r="C1417" s="58"/>
      <c r="D1417" s="8">
        <v>2021</v>
      </c>
      <c r="E1417" s="14">
        <f>Data!V1417</f>
        <v>0</v>
      </c>
    </row>
    <row r="1418" spans="2:5" ht="15" customHeight="1" x14ac:dyDescent="0.3">
      <c r="C1418" s="58"/>
      <c r="D1418" s="8">
        <v>2022</v>
      </c>
      <c r="E1418" s="14">
        <f>Data!V1418</f>
        <v>0</v>
      </c>
    </row>
    <row r="1419" spans="2:5" ht="15" customHeight="1" x14ac:dyDescent="0.3">
      <c r="C1419" s="58"/>
      <c r="D1419" s="8">
        <v>2023</v>
      </c>
      <c r="E1419" s="14">
        <f>Data!V1419</f>
        <v>0</v>
      </c>
    </row>
    <row r="1420" spans="2:5" ht="15" customHeight="1" x14ac:dyDescent="0.3">
      <c r="C1420" s="58"/>
      <c r="D1420" s="8">
        <v>2024</v>
      </c>
      <c r="E1420" s="14">
        <f>Data!V1420</f>
        <v>0</v>
      </c>
    </row>
    <row r="1421" spans="2:5" ht="15" customHeight="1" x14ac:dyDescent="0.3">
      <c r="B1421" s="8">
        <v>130</v>
      </c>
      <c r="C1421" s="58" t="s">
        <v>113</v>
      </c>
      <c r="D1421" s="8">
        <v>2014</v>
      </c>
      <c r="E1421" s="14">
        <f>Data!V1421</f>
        <v>0</v>
      </c>
    </row>
    <row r="1422" spans="2:5" ht="15" customHeight="1" x14ac:dyDescent="0.3">
      <c r="C1422" s="58"/>
      <c r="D1422" s="8">
        <v>2015</v>
      </c>
      <c r="E1422" s="14">
        <f>Data!V1422</f>
        <v>0</v>
      </c>
    </row>
    <row r="1423" spans="2:5" ht="15" customHeight="1" x14ac:dyDescent="0.3">
      <c r="C1423" s="58"/>
      <c r="D1423" s="8">
        <v>2016</v>
      </c>
      <c r="E1423" s="14">
        <f>Data!V1423</f>
        <v>0</v>
      </c>
    </row>
    <row r="1424" spans="2:5" ht="15" customHeight="1" x14ac:dyDescent="0.3">
      <c r="C1424" s="58"/>
      <c r="D1424" s="8">
        <v>2017</v>
      </c>
      <c r="E1424" s="14">
        <f>Data!V1424</f>
        <v>0</v>
      </c>
    </row>
    <row r="1425" spans="2:5" ht="15" customHeight="1" x14ac:dyDescent="0.3">
      <c r="C1425" s="58"/>
      <c r="D1425" s="8">
        <v>2018</v>
      </c>
      <c r="E1425" s="14">
        <f>Data!V1425</f>
        <v>0</v>
      </c>
    </row>
    <row r="1426" spans="2:5" ht="15" customHeight="1" x14ac:dyDescent="0.3">
      <c r="C1426" s="58"/>
      <c r="D1426" s="8">
        <v>2019</v>
      </c>
      <c r="E1426" s="14">
        <f>Data!V1426</f>
        <v>0</v>
      </c>
    </row>
    <row r="1427" spans="2:5" ht="15" customHeight="1" x14ac:dyDescent="0.3">
      <c r="C1427" s="58"/>
      <c r="D1427" s="8">
        <v>2020</v>
      </c>
      <c r="E1427" s="14">
        <f>Data!V1427</f>
        <v>0</v>
      </c>
    </row>
    <row r="1428" spans="2:5" ht="15" customHeight="1" x14ac:dyDescent="0.3">
      <c r="C1428" s="58"/>
      <c r="D1428" s="8">
        <v>2021</v>
      </c>
      <c r="E1428" s="14">
        <f>Data!V1428</f>
        <v>0</v>
      </c>
    </row>
    <row r="1429" spans="2:5" ht="15" customHeight="1" x14ac:dyDescent="0.3">
      <c r="C1429" s="58"/>
      <c r="D1429" s="8">
        <v>2022</v>
      </c>
      <c r="E1429" s="14">
        <f>Data!V1429</f>
        <v>0</v>
      </c>
    </row>
    <row r="1430" spans="2:5" ht="15" customHeight="1" x14ac:dyDescent="0.3">
      <c r="C1430" s="58"/>
      <c r="D1430" s="8">
        <v>2023</v>
      </c>
      <c r="E1430" s="14">
        <f>Data!V1430</f>
        <v>0</v>
      </c>
    </row>
    <row r="1431" spans="2:5" ht="15" customHeight="1" x14ac:dyDescent="0.3">
      <c r="C1431" s="58"/>
      <c r="D1431" s="8">
        <v>2024</v>
      </c>
      <c r="E1431" s="14">
        <f>Data!V1431</f>
        <v>0</v>
      </c>
    </row>
    <row r="1432" spans="2:5" ht="15" customHeight="1" x14ac:dyDescent="0.3">
      <c r="B1432" s="8">
        <v>131</v>
      </c>
      <c r="C1432" s="58" t="s">
        <v>121</v>
      </c>
      <c r="D1432" s="8">
        <v>2014</v>
      </c>
      <c r="E1432" s="14">
        <f>Data!V1432</f>
        <v>0</v>
      </c>
    </row>
    <row r="1433" spans="2:5" ht="15" customHeight="1" x14ac:dyDescent="0.3">
      <c r="C1433" s="58"/>
      <c r="D1433" s="8">
        <v>2015</v>
      </c>
      <c r="E1433" s="14">
        <f>Data!V1433</f>
        <v>0</v>
      </c>
    </row>
    <row r="1434" spans="2:5" ht="15" customHeight="1" x14ac:dyDescent="0.3">
      <c r="C1434" s="58"/>
      <c r="D1434" s="8">
        <v>2016</v>
      </c>
      <c r="E1434" s="14">
        <f>Data!V1434</f>
        <v>0</v>
      </c>
    </row>
    <row r="1435" spans="2:5" ht="15" customHeight="1" x14ac:dyDescent="0.3">
      <c r="C1435" s="58"/>
      <c r="D1435" s="8">
        <v>2017</v>
      </c>
      <c r="E1435" s="14">
        <f>Data!V1435</f>
        <v>0</v>
      </c>
    </row>
    <row r="1436" spans="2:5" ht="15" customHeight="1" x14ac:dyDescent="0.3">
      <c r="C1436" s="58"/>
      <c r="D1436" s="8">
        <v>2018</v>
      </c>
      <c r="E1436" s="14">
        <f>Data!V1436</f>
        <v>0</v>
      </c>
    </row>
    <row r="1437" spans="2:5" ht="15" customHeight="1" x14ac:dyDescent="0.3">
      <c r="C1437" s="58"/>
      <c r="D1437" s="8">
        <v>2019</v>
      </c>
      <c r="E1437" s="14">
        <f>Data!V1437</f>
        <v>0</v>
      </c>
    </row>
    <row r="1438" spans="2:5" ht="15" customHeight="1" x14ac:dyDescent="0.3">
      <c r="C1438" s="58"/>
      <c r="D1438" s="8">
        <v>2020</v>
      </c>
      <c r="E1438" s="14">
        <f>Data!V1438</f>
        <v>0</v>
      </c>
    </row>
    <row r="1439" spans="2:5" ht="15" customHeight="1" x14ac:dyDescent="0.3">
      <c r="C1439" s="58"/>
      <c r="D1439" s="8">
        <v>2021</v>
      </c>
      <c r="E1439" s="14">
        <f>Data!V1439</f>
        <v>0</v>
      </c>
    </row>
    <row r="1440" spans="2:5" ht="15" customHeight="1" x14ac:dyDescent="0.3">
      <c r="C1440" s="58"/>
      <c r="D1440" s="8">
        <v>2022</v>
      </c>
      <c r="E1440" s="14">
        <f>Data!V1440</f>
        <v>0</v>
      </c>
    </row>
    <row r="1441" spans="2:5" ht="15" customHeight="1" x14ac:dyDescent="0.3">
      <c r="C1441" s="58"/>
      <c r="D1441" s="8">
        <v>2023</v>
      </c>
      <c r="E1441" s="14">
        <f>Data!V1441</f>
        <v>0</v>
      </c>
    </row>
    <row r="1442" spans="2:5" ht="15" customHeight="1" x14ac:dyDescent="0.3">
      <c r="C1442" s="58"/>
      <c r="D1442" s="8">
        <v>2024</v>
      </c>
      <c r="E1442" s="14">
        <f>Data!V1442</f>
        <v>0</v>
      </c>
    </row>
    <row r="1443" spans="2:5" ht="15" customHeight="1" x14ac:dyDescent="0.3">
      <c r="B1443" s="8">
        <v>132</v>
      </c>
      <c r="C1443" s="58" t="s">
        <v>85</v>
      </c>
      <c r="D1443" s="8">
        <v>2014</v>
      </c>
      <c r="E1443" s="14">
        <f>Data!V1443</f>
        <v>0</v>
      </c>
    </row>
    <row r="1444" spans="2:5" ht="15" customHeight="1" x14ac:dyDescent="0.3">
      <c r="C1444" s="58"/>
      <c r="D1444" s="8">
        <v>2015</v>
      </c>
      <c r="E1444" s="14">
        <f>Data!V1444</f>
        <v>0</v>
      </c>
    </row>
    <row r="1445" spans="2:5" ht="15" customHeight="1" x14ac:dyDescent="0.3">
      <c r="C1445" s="58"/>
      <c r="D1445" s="8">
        <v>2016</v>
      </c>
      <c r="E1445" s="14">
        <f>Data!V1445</f>
        <v>0</v>
      </c>
    </row>
    <row r="1446" spans="2:5" ht="15" customHeight="1" x14ac:dyDescent="0.3">
      <c r="C1446" s="58"/>
      <c r="D1446" s="8">
        <v>2017</v>
      </c>
      <c r="E1446" s="14">
        <f>Data!V1446</f>
        <v>0</v>
      </c>
    </row>
    <row r="1447" spans="2:5" ht="15" customHeight="1" x14ac:dyDescent="0.3">
      <c r="C1447" s="58"/>
      <c r="D1447" s="8">
        <v>2018</v>
      </c>
      <c r="E1447" s="14">
        <f>Data!V1447</f>
        <v>0</v>
      </c>
    </row>
    <row r="1448" spans="2:5" ht="15" customHeight="1" x14ac:dyDescent="0.3">
      <c r="C1448" s="58"/>
      <c r="D1448" s="8">
        <v>2019</v>
      </c>
      <c r="E1448" s="14">
        <f>Data!V1448</f>
        <v>0</v>
      </c>
    </row>
    <row r="1449" spans="2:5" ht="15" customHeight="1" x14ac:dyDescent="0.3">
      <c r="C1449" s="58"/>
      <c r="D1449" s="8">
        <v>2020</v>
      </c>
      <c r="E1449" s="14">
        <f>Data!V1449</f>
        <v>0</v>
      </c>
    </row>
    <row r="1450" spans="2:5" ht="15" customHeight="1" x14ac:dyDescent="0.3">
      <c r="C1450" s="58"/>
      <c r="D1450" s="8">
        <v>2021</v>
      </c>
      <c r="E1450" s="14">
        <f>Data!V1450</f>
        <v>0</v>
      </c>
    </row>
    <row r="1451" spans="2:5" ht="15" customHeight="1" x14ac:dyDescent="0.3">
      <c r="C1451" s="58"/>
      <c r="D1451" s="8">
        <v>2022</v>
      </c>
      <c r="E1451" s="14">
        <f>Data!V1451</f>
        <v>0</v>
      </c>
    </row>
    <row r="1452" spans="2:5" ht="15" customHeight="1" x14ac:dyDescent="0.3">
      <c r="C1452" s="58"/>
      <c r="D1452" s="8">
        <v>2023</v>
      </c>
      <c r="E1452" s="14">
        <f>Data!V1452</f>
        <v>0</v>
      </c>
    </row>
    <row r="1453" spans="2:5" ht="15" customHeight="1" x14ac:dyDescent="0.3">
      <c r="C1453" s="58"/>
      <c r="D1453" s="8">
        <v>2024</v>
      </c>
      <c r="E1453" s="14">
        <f>Data!V1453</f>
        <v>0</v>
      </c>
    </row>
    <row r="1454" spans="2:5" ht="15" customHeight="1" x14ac:dyDescent="0.3">
      <c r="B1454" s="8">
        <v>133</v>
      </c>
      <c r="C1454" s="59" t="s">
        <v>126</v>
      </c>
      <c r="D1454" s="8">
        <v>2014</v>
      </c>
      <c r="E1454" s="14">
        <f>Data!V1454</f>
        <v>0</v>
      </c>
    </row>
    <row r="1455" spans="2:5" ht="15" customHeight="1" x14ac:dyDescent="0.3">
      <c r="C1455" s="59"/>
      <c r="D1455" s="8">
        <v>2015</v>
      </c>
      <c r="E1455" s="14">
        <f>Data!V1455</f>
        <v>5</v>
      </c>
    </row>
    <row r="1456" spans="2:5" ht="15" customHeight="1" x14ac:dyDescent="0.3">
      <c r="C1456" s="59"/>
      <c r="D1456" s="8">
        <v>2016</v>
      </c>
      <c r="E1456" s="14">
        <f>Data!V1456</f>
        <v>5</v>
      </c>
    </row>
    <row r="1457" spans="2:5" ht="15" customHeight="1" x14ac:dyDescent="0.3">
      <c r="C1457" s="59"/>
      <c r="D1457" s="8">
        <v>2017</v>
      </c>
      <c r="E1457" s="14">
        <f>Data!V1457</f>
        <v>5</v>
      </c>
    </row>
    <row r="1458" spans="2:5" ht="15" customHeight="1" x14ac:dyDescent="0.3">
      <c r="C1458" s="59"/>
      <c r="D1458" s="8">
        <v>2018</v>
      </c>
      <c r="E1458" s="14">
        <f>Data!V1458</f>
        <v>5</v>
      </c>
    </row>
    <row r="1459" spans="2:5" ht="15" customHeight="1" x14ac:dyDescent="0.3">
      <c r="C1459" s="59"/>
      <c r="D1459" s="8">
        <v>2019</v>
      </c>
      <c r="E1459" s="14">
        <f>Data!V1459</f>
        <v>5</v>
      </c>
    </row>
    <row r="1460" spans="2:5" ht="15" customHeight="1" x14ac:dyDescent="0.3">
      <c r="C1460" s="59"/>
      <c r="D1460" s="8">
        <v>2020</v>
      </c>
      <c r="E1460" s="14">
        <f>Data!V1460</f>
        <v>5</v>
      </c>
    </row>
    <row r="1461" spans="2:5" ht="15" customHeight="1" x14ac:dyDescent="0.3">
      <c r="C1461" s="59"/>
      <c r="D1461" s="8">
        <v>2021</v>
      </c>
      <c r="E1461" s="14">
        <f>Data!V1461</f>
        <v>5</v>
      </c>
    </row>
    <row r="1462" spans="2:5" ht="15" customHeight="1" x14ac:dyDescent="0.3">
      <c r="C1462" s="59"/>
      <c r="D1462" s="8">
        <v>2022</v>
      </c>
      <c r="E1462" s="14">
        <f>Data!V1462</f>
        <v>5</v>
      </c>
    </row>
    <row r="1463" spans="2:5" ht="15" customHeight="1" x14ac:dyDescent="0.3">
      <c r="C1463" s="59"/>
      <c r="D1463" s="8">
        <v>2023</v>
      </c>
      <c r="E1463" s="14">
        <f>Data!V1463</f>
        <v>5</v>
      </c>
    </row>
    <row r="1464" spans="2:5" ht="15" customHeight="1" x14ac:dyDescent="0.3">
      <c r="C1464" s="59"/>
      <c r="D1464" s="8">
        <v>2024</v>
      </c>
      <c r="E1464" s="14">
        <f>Data!V1464</f>
        <v>5</v>
      </c>
    </row>
    <row r="1465" spans="2:5" ht="15" customHeight="1" x14ac:dyDescent="0.3">
      <c r="B1465" s="8">
        <v>134</v>
      </c>
      <c r="C1465" s="58" t="s">
        <v>95</v>
      </c>
      <c r="D1465" s="8">
        <v>2014</v>
      </c>
      <c r="E1465" s="14">
        <f>Data!V1465</f>
        <v>0</v>
      </c>
    </row>
    <row r="1466" spans="2:5" ht="15" customHeight="1" x14ac:dyDescent="0.3">
      <c r="C1466" s="58"/>
      <c r="D1466" s="8">
        <v>2015</v>
      </c>
      <c r="E1466" s="14">
        <f>Data!V1466</f>
        <v>0</v>
      </c>
    </row>
    <row r="1467" spans="2:5" ht="15" customHeight="1" x14ac:dyDescent="0.3">
      <c r="C1467" s="58"/>
      <c r="D1467" s="8">
        <v>2016</v>
      </c>
      <c r="E1467" s="14">
        <f>Data!V1467</f>
        <v>0</v>
      </c>
    </row>
    <row r="1468" spans="2:5" ht="15" customHeight="1" x14ac:dyDescent="0.3">
      <c r="C1468" s="58"/>
      <c r="D1468" s="8">
        <v>2017</v>
      </c>
      <c r="E1468" s="14">
        <f>Data!V1468</f>
        <v>0</v>
      </c>
    </row>
    <row r="1469" spans="2:5" ht="15" customHeight="1" x14ac:dyDescent="0.3">
      <c r="C1469" s="58"/>
      <c r="D1469" s="8">
        <v>2018</v>
      </c>
      <c r="E1469" s="14">
        <f>Data!V1469</f>
        <v>0</v>
      </c>
    </row>
    <row r="1470" spans="2:5" ht="15" customHeight="1" x14ac:dyDescent="0.3">
      <c r="C1470" s="58"/>
      <c r="D1470" s="8">
        <v>2019</v>
      </c>
      <c r="E1470" s="14">
        <f>Data!V1470</f>
        <v>0</v>
      </c>
    </row>
    <row r="1471" spans="2:5" ht="15" customHeight="1" x14ac:dyDescent="0.3">
      <c r="C1471" s="58"/>
      <c r="D1471" s="8">
        <v>2020</v>
      </c>
      <c r="E1471" s="14">
        <f>Data!V1471</f>
        <v>0</v>
      </c>
    </row>
    <row r="1472" spans="2:5" ht="15" customHeight="1" x14ac:dyDescent="0.3">
      <c r="C1472" s="58"/>
      <c r="D1472" s="8">
        <v>2021</v>
      </c>
      <c r="E1472" s="14">
        <f>Data!V1472</f>
        <v>0</v>
      </c>
    </row>
    <row r="1473" spans="1:5" ht="15" customHeight="1" x14ac:dyDescent="0.3">
      <c r="C1473" s="58"/>
      <c r="D1473" s="8">
        <v>2022</v>
      </c>
      <c r="E1473" s="14">
        <f>Data!V1473</f>
        <v>0</v>
      </c>
    </row>
    <row r="1474" spans="1:5" ht="15" customHeight="1" x14ac:dyDescent="0.3">
      <c r="C1474" s="58"/>
      <c r="D1474" s="8">
        <v>2023</v>
      </c>
      <c r="E1474" s="14">
        <f>Data!V1474</f>
        <v>0</v>
      </c>
    </row>
    <row r="1475" spans="1:5" ht="15" customHeight="1" x14ac:dyDescent="0.3">
      <c r="C1475" s="58"/>
      <c r="D1475" s="8">
        <v>2024</v>
      </c>
      <c r="E1475" s="14">
        <f>Data!V1475</f>
        <v>0</v>
      </c>
    </row>
    <row r="1476" spans="1:5" ht="15" customHeight="1" x14ac:dyDescent="0.3">
      <c r="B1476" s="8">
        <v>135</v>
      </c>
      <c r="C1476" s="59" t="s">
        <v>133</v>
      </c>
      <c r="D1476" s="8">
        <v>2014</v>
      </c>
      <c r="E1476" s="14">
        <f>Data!V1476</f>
        <v>0</v>
      </c>
    </row>
    <row r="1477" spans="1:5" ht="15" customHeight="1" x14ac:dyDescent="0.3">
      <c r="C1477" s="59"/>
      <c r="D1477" s="8">
        <v>2015</v>
      </c>
      <c r="E1477" s="14">
        <f>Data!V1477</f>
        <v>0</v>
      </c>
    </row>
    <row r="1478" spans="1:5" ht="15" customHeight="1" x14ac:dyDescent="0.3">
      <c r="C1478" s="59"/>
      <c r="D1478" s="8">
        <v>2016</v>
      </c>
      <c r="E1478" s="14">
        <f>Data!V1478</f>
        <v>0</v>
      </c>
    </row>
    <row r="1479" spans="1:5" ht="15" customHeight="1" x14ac:dyDescent="0.3">
      <c r="C1479" s="59"/>
      <c r="D1479" s="8">
        <v>2017</v>
      </c>
      <c r="E1479" s="14">
        <f>Data!V1479</f>
        <v>0</v>
      </c>
    </row>
    <row r="1480" spans="1:5" ht="15" customHeight="1" x14ac:dyDescent="0.3">
      <c r="C1480" s="59"/>
      <c r="D1480" s="8">
        <v>2018</v>
      </c>
      <c r="E1480" s="14">
        <f>Data!V1480</f>
        <v>0</v>
      </c>
    </row>
    <row r="1481" spans="1:5" ht="15" customHeight="1" x14ac:dyDescent="0.3">
      <c r="C1481" s="59"/>
      <c r="D1481" s="8">
        <v>2019</v>
      </c>
      <c r="E1481" s="14">
        <f>Data!V1481</f>
        <v>0</v>
      </c>
    </row>
    <row r="1482" spans="1:5" ht="15" customHeight="1" x14ac:dyDescent="0.3">
      <c r="C1482" s="59"/>
      <c r="D1482" s="8">
        <v>2020</v>
      </c>
      <c r="E1482" s="14">
        <f>Data!V1482</f>
        <v>0</v>
      </c>
    </row>
    <row r="1483" spans="1:5" ht="15" customHeight="1" x14ac:dyDescent="0.3">
      <c r="C1483" s="59"/>
      <c r="D1483" s="8">
        <v>2021</v>
      </c>
      <c r="E1483" s="14">
        <f>Data!V1483</f>
        <v>0</v>
      </c>
    </row>
    <row r="1484" spans="1:5" ht="15" customHeight="1" x14ac:dyDescent="0.3">
      <c r="C1484" s="59"/>
      <c r="D1484" s="8">
        <v>2022</v>
      </c>
      <c r="E1484" s="14">
        <f>Data!V1484</f>
        <v>0</v>
      </c>
    </row>
    <row r="1485" spans="1:5" ht="15" customHeight="1" x14ac:dyDescent="0.3">
      <c r="C1485" s="59"/>
      <c r="D1485" s="8">
        <v>2023</v>
      </c>
      <c r="E1485" s="14">
        <f>Data!V1485</f>
        <v>0</v>
      </c>
    </row>
    <row r="1486" spans="1:5" ht="15" customHeight="1" x14ac:dyDescent="0.3">
      <c r="C1486" s="59"/>
      <c r="D1486" s="8">
        <v>2024</v>
      </c>
      <c r="E1486" s="14">
        <f>Data!V1486</f>
        <v>0</v>
      </c>
    </row>
    <row r="1487" spans="1:5" ht="15" customHeight="1" x14ac:dyDescent="0.3">
      <c r="A1487" t="s">
        <v>155</v>
      </c>
      <c r="B1487" s="8">
        <v>136</v>
      </c>
      <c r="C1487" s="59" t="s">
        <v>142</v>
      </c>
      <c r="D1487" s="8">
        <v>2014</v>
      </c>
      <c r="E1487" s="14">
        <f>Data!V1487</f>
        <v>0</v>
      </c>
    </row>
    <row r="1488" spans="1:5" ht="15" customHeight="1" x14ac:dyDescent="0.3">
      <c r="C1488" s="59"/>
      <c r="D1488" s="8">
        <v>2015</v>
      </c>
      <c r="E1488" s="14">
        <f>Data!V1488</f>
        <v>0</v>
      </c>
    </row>
    <row r="1489" spans="2:5" ht="15" customHeight="1" x14ac:dyDescent="0.3">
      <c r="C1489" s="59"/>
      <c r="D1489" s="8">
        <v>2016</v>
      </c>
      <c r="E1489" s="14">
        <f>Data!V1489</f>
        <v>0</v>
      </c>
    </row>
    <row r="1490" spans="2:5" ht="15" customHeight="1" x14ac:dyDescent="0.3">
      <c r="C1490" s="59"/>
      <c r="D1490" s="8">
        <v>2017</v>
      </c>
      <c r="E1490" s="14">
        <f>Data!V1490</f>
        <v>0</v>
      </c>
    </row>
    <row r="1491" spans="2:5" ht="15" customHeight="1" x14ac:dyDescent="0.3">
      <c r="C1491" s="59"/>
      <c r="D1491" s="8">
        <v>2018</v>
      </c>
      <c r="E1491" s="14">
        <f>Data!V1491</f>
        <v>0</v>
      </c>
    </row>
    <row r="1492" spans="2:5" ht="15" customHeight="1" x14ac:dyDescent="0.3">
      <c r="C1492" s="59"/>
      <c r="D1492" s="8">
        <v>2019</v>
      </c>
      <c r="E1492" s="14">
        <f>Data!V1492</f>
        <v>0</v>
      </c>
    </row>
    <row r="1493" spans="2:5" ht="15" customHeight="1" x14ac:dyDescent="0.3">
      <c r="C1493" s="59"/>
      <c r="D1493" s="8">
        <v>2020</v>
      </c>
      <c r="E1493" s="14">
        <f>Data!V1493</f>
        <v>0</v>
      </c>
    </row>
    <row r="1494" spans="2:5" ht="15" customHeight="1" x14ac:dyDescent="0.3">
      <c r="C1494" s="59"/>
      <c r="D1494" s="8">
        <v>2021</v>
      </c>
      <c r="E1494" s="14">
        <f>Data!V1494</f>
        <v>0</v>
      </c>
    </row>
    <row r="1495" spans="2:5" ht="15" customHeight="1" x14ac:dyDescent="0.3">
      <c r="C1495" s="59"/>
      <c r="D1495" s="8">
        <v>2022</v>
      </c>
      <c r="E1495" s="14">
        <f>Data!V1495</f>
        <v>0</v>
      </c>
    </row>
    <row r="1496" spans="2:5" ht="15" customHeight="1" x14ac:dyDescent="0.3">
      <c r="C1496" s="59"/>
      <c r="D1496" s="8">
        <v>2023</v>
      </c>
      <c r="E1496" s="14">
        <f>Data!V1496</f>
        <v>13</v>
      </c>
    </row>
    <row r="1497" spans="2:5" ht="15" customHeight="1" x14ac:dyDescent="0.3">
      <c r="C1497" s="59"/>
      <c r="D1497" s="8">
        <v>2024</v>
      </c>
      <c r="E1497" s="14">
        <f>Data!V1497</f>
        <v>10</v>
      </c>
    </row>
    <row r="1498" spans="2:5" ht="15" customHeight="1" x14ac:dyDescent="0.3">
      <c r="B1498" s="8">
        <v>137</v>
      </c>
      <c r="C1498" s="59" t="s">
        <v>136</v>
      </c>
      <c r="D1498" s="8">
        <v>2014</v>
      </c>
      <c r="E1498" s="14">
        <f>Data!V1498</f>
        <v>0</v>
      </c>
    </row>
    <row r="1499" spans="2:5" ht="15" customHeight="1" x14ac:dyDescent="0.3">
      <c r="C1499" s="59"/>
      <c r="D1499" s="8">
        <v>2015</v>
      </c>
      <c r="E1499" s="14">
        <f>Data!V1499</f>
        <v>0</v>
      </c>
    </row>
    <row r="1500" spans="2:5" ht="15" customHeight="1" x14ac:dyDescent="0.3">
      <c r="C1500" s="59"/>
      <c r="D1500" s="8">
        <v>2016</v>
      </c>
      <c r="E1500" s="14">
        <f>Data!V1500</f>
        <v>0</v>
      </c>
    </row>
    <row r="1501" spans="2:5" ht="15" customHeight="1" x14ac:dyDescent="0.3">
      <c r="C1501" s="59"/>
      <c r="D1501" s="8">
        <v>2017</v>
      </c>
      <c r="E1501" s="14">
        <f>Data!V1501</f>
        <v>5</v>
      </c>
    </row>
    <row r="1502" spans="2:5" ht="15" customHeight="1" x14ac:dyDescent="0.3">
      <c r="C1502" s="59"/>
      <c r="D1502" s="8">
        <v>2018</v>
      </c>
      <c r="E1502" s="14">
        <f>Data!V1502</f>
        <v>5</v>
      </c>
    </row>
    <row r="1503" spans="2:5" ht="15" customHeight="1" x14ac:dyDescent="0.3">
      <c r="C1503" s="59"/>
      <c r="D1503" s="8">
        <v>2019</v>
      </c>
      <c r="E1503" s="14">
        <f>Data!V1503</f>
        <v>5</v>
      </c>
    </row>
    <row r="1504" spans="2:5" ht="15" customHeight="1" x14ac:dyDescent="0.3">
      <c r="C1504" s="59"/>
      <c r="D1504" s="8">
        <v>2020</v>
      </c>
      <c r="E1504" s="14">
        <f>Data!V1504</f>
        <v>10</v>
      </c>
    </row>
    <row r="1505" spans="2:5" ht="15" customHeight="1" x14ac:dyDescent="0.3">
      <c r="C1505" s="59"/>
      <c r="D1505" s="8">
        <v>2021</v>
      </c>
      <c r="E1505" s="14">
        <f>Data!V1505</f>
        <v>10</v>
      </c>
    </row>
    <row r="1506" spans="2:5" ht="15" customHeight="1" x14ac:dyDescent="0.3">
      <c r="C1506" s="59"/>
      <c r="D1506" s="8">
        <v>2022</v>
      </c>
      <c r="E1506" s="14">
        <f>Data!V1506</f>
        <v>10</v>
      </c>
    </row>
    <row r="1507" spans="2:5" ht="15" customHeight="1" x14ac:dyDescent="0.3">
      <c r="C1507" s="59"/>
      <c r="D1507" s="8">
        <v>2023</v>
      </c>
      <c r="E1507" s="14">
        <f>Data!V1507</f>
        <v>10</v>
      </c>
    </row>
    <row r="1508" spans="2:5" ht="15" customHeight="1" x14ac:dyDescent="0.3">
      <c r="C1508" s="59"/>
      <c r="D1508" s="8">
        <v>2024</v>
      </c>
      <c r="E1508" s="14">
        <f>Data!V1508</f>
        <v>10</v>
      </c>
    </row>
    <row r="1509" spans="2:5" ht="15" customHeight="1" x14ac:dyDescent="0.3">
      <c r="B1509" s="8">
        <v>138</v>
      </c>
      <c r="C1509" s="59" t="s">
        <v>143</v>
      </c>
      <c r="D1509" s="8">
        <v>2014</v>
      </c>
      <c r="E1509" s="14">
        <f>Data!V1509</f>
        <v>0</v>
      </c>
    </row>
    <row r="1510" spans="2:5" ht="15" customHeight="1" x14ac:dyDescent="0.3">
      <c r="C1510" s="59"/>
      <c r="D1510" s="8">
        <v>2015</v>
      </c>
      <c r="E1510" s="14">
        <f>Data!V1510</f>
        <v>0</v>
      </c>
    </row>
    <row r="1511" spans="2:5" ht="15" customHeight="1" x14ac:dyDescent="0.3">
      <c r="C1511" s="59"/>
      <c r="D1511" s="8">
        <v>2016</v>
      </c>
      <c r="E1511" s="14">
        <f>Data!V1511</f>
        <v>0</v>
      </c>
    </row>
    <row r="1512" spans="2:5" ht="15" customHeight="1" x14ac:dyDescent="0.3">
      <c r="C1512" s="59"/>
      <c r="D1512" s="8">
        <v>2017</v>
      </c>
      <c r="E1512" s="14">
        <f>Data!V1512</f>
        <v>0</v>
      </c>
    </row>
    <row r="1513" spans="2:5" ht="15" customHeight="1" x14ac:dyDescent="0.3">
      <c r="C1513" s="59"/>
      <c r="D1513" s="8">
        <v>2018</v>
      </c>
      <c r="E1513" s="14">
        <f>Data!V1513</f>
        <v>0</v>
      </c>
    </row>
    <row r="1514" spans="2:5" ht="15" customHeight="1" x14ac:dyDescent="0.3">
      <c r="C1514" s="59"/>
      <c r="D1514" s="8">
        <v>2019</v>
      </c>
      <c r="E1514" s="14">
        <f>Data!V1514</f>
        <v>0</v>
      </c>
    </row>
    <row r="1515" spans="2:5" ht="15" customHeight="1" x14ac:dyDescent="0.3">
      <c r="C1515" s="59"/>
      <c r="D1515" s="8">
        <v>2020</v>
      </c>
      <c r="E1515" s="14">
        <f>Data!V1515</f>
        <v>0</v>
      </c>
    </row>
    <row r="1516" spans="2:5" ht="15" customHeight="1" x14ac:dyDescent="0.3">
      <c r="C1516" s="59"/>
      <c r="D1516" s="8">
        <v>2021</v>
      </c>
      <c r="E1516" s="14">
        <f>Data!V1516</f>
        <v>0</v>
      </c>
    </row>
    <row r="1517" spans="2:5" ht="15" customHeight="1" x14ac:dyDescent="0.3">
      <c r="C1517" s="59"/>
      <c r="D1517" s="8">
        <v>2022</v>
      </c>
      <c r="E1517" s="14">
        <f>Data!V1517</f>
        <v>0</v>
      </c>
    </row>
    <row r="1518" spans="2:5" ht="15" customHeight="1" x14ac:dyDescent="0.3">
      <c r="C1518" s="59"/>
      <c r="D1518" s="8">
        <v>2023</v>
      </c>
      <c r="E1518" s="14">
        <f>Data!V1518</f>
        <v>0</v>
      </c>
    </row>
    <row r="1519" spans="2:5" ht="15" customHeight="1" x14ac:dyDescent="0.3">
      <c r="C1519" s="59"/>
      <c r="D1519" s="8">
        <v>2024</v>
      </c>
      <c r="E1519" s="14">
        <f>Data!V1519</f>
        <v>5</v>
      </c>
    </row>
    <row r="1520" spans="2:5" ht="15" customHeight="1" x14ac:dyDescent="0.3">
      <c r="B1520" s="8">
        <v>139</v>
      </c>
      <c r="C1520" s="59" t="s">
        <v>137</v>
      </c>
      <c r="D1520" s="8">
        <v>2014</v>
      </c>
      <c r="E1520" s="14">
        <f>Data!V1520</f>
        <v>0</v>
      </c>
    </row>
    <row r="1521" spans="2:5" ht="15" customHeight="1" x14ac:dyDescent="0.3">
      <c r="C1521" s="59"/>
      <c r="D1521" s="8">
        <v>2015</v>
      </c>
      <c r="E1521" s="14">
        <f>Data!V1521</f>
        <v>5</v>
      </c>
    </row>
    <row r="1522" spans="2:5" ht="15" customHeight="1" x14ac:dyDescent="0.3">
      <c r="C1522" s="59"/>
      <c r="D1522" s="8">
        <v>2016</v>
      </c>
      <c r="E1522" s="14">
        <f>Data!V1522</f>
        <v>13</v>
      </c>
    </row>
    <row r="1523" spans="2:5" ht="15" customHeight="1" x14ac:dyDescent="0.3">
      <c r="C1523" s="59"/>
      <c r="D1523" s="8">
        <v>2017</v>
      </c>
      <c r="E1523" s="14">
        <f>Data!V1523</f>
        <v>13</v>
      </c>
    </row>
    <row r="1524" spans="2:5" ht="15" customHeight="1" x14ac:dyDescent="0.3">
      <c r="C1524" s="59"/>
      <c r="D1524" s="8">
        <v>2018</v>
      </c>
      <c r="E1524" s="14">
        <f>Data!V1524</f>
        <v>13</v>
      </c>
    </row>
    <row r="1525" spans="2:5" ht="15" customHeight="1" x14ac:dyDescent="0.3">
      <c r="C1525" s="59"/>
      <c r="D1525" s="8">
        <v>2019</v>
      </c>
      <c r="E1525" s="14">
        <f>Data!V1525</f>
        <v>13</v>
      </c>
    </row>
    <row r="1526" spans="2:5" ht="15" customHeight="1" x14ac:dyDescent="0.3">
      <c r="C1526" s="59"/>
      <c r="D1526" s="8">
        <v>2020</v>
      </c>
      <c r="E1526" s="14">
        <f>Data!V1526</f>
        <v>13</v>
      </c>
    </row>
    <row r="1527" spans="2:5" ht="15" customHeight="1" x14ac:dyDescent="0.3">
      <c r="C1527" s="59"/>
      <c r="D1527" s="8">
        <v>2021</v>
      </c>
      <c r="E1527" s="14">
        <f>Data!V1527</f>
        <v>15</v>
      </c>
    </row>
    <row r="1528" spans="2:5" ht="15" customHeight="1" x14ac:dyDescent="0.3">
      <c r="C1528" s="59"/>
      <c r="D1528" s="8">
        <v>2022</v>
      </c>
      <c r="E1528" s="14">
        <f>Data!V1528</f>
        <v>16</v>
      </c>
    </row>
    <row r="1529" spans="2:5" ht="15" customHeight="1" x14ac:dyDescent="0.3">
      <c r="C1529" s="59"/>
      <c r="D1529" s="8">
        <v>2023</v>
      </c>
      <c r="E1529" s="14">
        <f>Data!V1529</f>
        <v>16</v>
      </c>
    </row>
    <row r="1530" spans="2:5" ht="15" customHeight="1" x14ac:dyDescent="0.3">
      <c r="C1530" s="59"/>
      <c r="D1530" s="8">
        <v>2024</v>
      </c>
      <c r="E1530" s="14">
        <f>Data!V1530</f>
        <v>10</v>
      </c>
    </row>
    <row r="1531" spans="2:5" ht="15" customHeight="1" x14ac:dyDescent="0.3">
      <c r="B1531" s="8">
        <v>140</v>
      </c>
      <c r="C1531" s="59" t="s">
        <v>139</v>
      </c>
      <c r="D1531" s="8">
        <v>2014</v>
      </c>
      <c r="E1531" s="14">
        <f>Data!V1531</f>
        <v>0</v>
      </c>
    </row>
    <row r="1532" spans="2:5" ht="15" customHeight="1" x14ac:dyDescent="0.3">
      <c r="C1532" s="59"/>
      <c r="D1532" s="8">
        <v>2015</v>
      </c>
      <c r="E1532" s="14">
        <f>Data!V1532</f>
        <v>11</v>
      </c>
    </row>
    <row r="1533" spans="2:5" ht="15" customHeight="1" x14ac:dyDescent="0.3">
      <c r="C1533" s="59"/>
      <c r="D1533" s="8">
        <v>2016</v>
      </c>
      <c r="E1533" s="14">
        <f>Data!V1533</f>
        <v>8</v>
      </c>
    </row>
    <row r="1534" spans="2:5" ht="15" customHeight="1" x14ac:dyDescent="0.3">
      <c r="C1534" s="59"/>
      <c r="D1534" s="8">
        <v>2017</v>
      </c>
      <c r="E1534" s="14">
        <f>Data!V1534</f>
        <v>8</v>
      </c>
    </row>
    <row r="1535" spans="2:5" ht="15" customHeight="1" x14ac:dyDescent="0.3">
      <c r="C1535" s="59"/>
      <c r="D1535" s="8">
        <v>2018</v>
      </c>
      <c r="E1535" s="14">
        <f>Data!V1535</f>
        <v>7</v>
      </c>
    </row>
    <row r="1536" spans="2:5" ht="15" customHeight="1" x14ac:dyDescent="0.3">
      <c r="C1536" s="59"/>
      <c r="D1536" s="8">
        <v>2019</v>
      </c>
      <c r="E1536" s="14">
        <f>Data!V1536</f>
        <v>7</v>
      </c>
    </row>
    <row r="1537" spans="2:5" ht="15" customHeight="1" x14ac:dyDescent="0.3">
      <c r="C1537" s="59"/>
      <c r="D1537" s="8">
        <v>2020</v>
      </c>
      <c r="E1537" s="14">
        <f>Data!V1537</f>
        <v>7</v>
      </c>
    </row>
    <row r="1538" spans="2:5" ht="15" customHeight="1" x14ac:dyDescent="0.3">
      <c r="C1538" s="59"/>
      <c r="D1538" s="8">
        <v>2021</v>
      </c>
      <c r="E1538" s="14">
        <f>Data!V1538</f>
        <v>7</v>
      </c>
    </row>
    <row r="1539" spans="2:5" ht="15" customHeight="1" x14ac:dyDescent="0.3">
      <c r="C1539" s="59"/>
      <c r="D1539" s="8">
        <v>2022</v>
      </c>
      <c r="E1539" s="14">
        <f>Data!V1539</f>
        <v>7</v>
      </c>
    </row>
    <row r="1540" spans="2:5" ht="15" customHeight="1" x14ac:dyDescent="0.3">
      <c r="C1540" s="59"/>
      <c r="D1540" s="8">
        <v>2023</v>
      </c>
      <c r="E1540" s="14">
        <f>Data!V1540</f>
        <v>7</v>
      </c>
    </row>
    <row r="1541" spans="2:5" ht="15" customHeight="1" x14ac:dyDescent="0.3">
      <c r="C1541" s="59"/>
      <c r="D1541" s="8">
        <v>2024</v>
      </c>
      <c r="E1541" s="14">
        <f>Data!V1541</f>
        <v>7</v>
      </c>
    </row>
    <row r="1542" spans="2:5" ht="15" customHeight="1" x14ac:dyDescent="0.3">
      <c r="B1542" s="8">
        <v>141</v>
      </c>
      <c r="C1542" s="59" t="s">
        <v>140</v>
      </c>
      <c r="D1542" s="8">
        <v>2014</v>
      </c>
      <c r="E1542" s="14">
        <f>Data!V1542</f>
        <v>0</v>
      </c>
    </row>
    <row r="1543" spans="2:5" ht="15" customHeight="1" x14ac:dyDescent="0.3">
      <c r="C1543" s="59"/>
      <c r="D1543" s="8">
        <v>2015</v>
      </c>
      <c r="E1543" s="14">
        <f>Data!V1543</f>
        <v>7</v>
      </c>
    </row>
    <row r="1544" spans="2:5" ht="15" customHeight="1" x14ac:dyDescent="0.3">
      <c r="C1544" s="59"/>
      <c r="D1544" s="8">
        <v>2016</v>
      </c>
      <c r="E1544" s="14">
        <f>Data!V1544</f>
        <v>13</v>
      </c>
    </row>
    <row r="1545" spans="2:5" ht="15" customHeight="1" x14ac:dyDescent="0.3">
      <c r="C1545" s="59"/>
      <c r="D1545" s="8">
        <v>2017</v>
      </c>
      <c r="E1545" s="14">
        <f>Data!V1545</f>
        <v>0</v>
      </c>
    </row>
    <row r="1546" spans="2:5" ht="15" customHeight="1" x14ac:dyDescent="0.3">
      <c r="C1546" s="59"/>
      <c r="D1546" s="8">
        <v>2018</v>
      </c>
      <c r="E1546" s="14">
        <f>Data!V1546</f>
        <v>16</v>
      </c>
    </row>
    <row r="1547" spans="2:5" ht="15" customHeight="1" x14ac:dyDescent="0.3">
      <c r="C1547" s="59"/>
      <c r="D1547" s="8">
        <v>2019</v>
      </c>
      <c r="E1547" s="14">
        <f>Data!V1547</f>
        <v>10</v>
      </c>
    </row>
    <row r="1548" spans="2:5" ht="15" customHeight="1" x14ac:dyDescent="0.3">
      <c r="C1548" s="59"/>
      <c r="D1548" s="8">
        <v>2020</v>
      </c>
      <c r="E1548" s="14">
        <f>Data!V1548</f>
        <v>11</v>
      </c>
    </row>
    <row r="1549" spans="2:5" ht="15" customHeight="1" x14ac:dyDescent="0.3">
      <c r="C1549" s="59"/>
      <c r="D1549" s="8">
        <v>2021</v>
      </c>
      <c r="E1549" s="14">
        <f>Data!V1549</f>
        <v>11</v>
      </c>
    </row>
    <row r="1550" spans="2:5" ht="15" customHeight="1" x14ac:dyDescent="0.3">
      <c r="C1550" s="59"/>
      <c r="D1550" s="8">
        <v>2022</v>
      </c>
      <c r="E1550" s="14">
        <f>Data!V1550</f>
        <v>11</v>
      </c>
    </row>
    <row r="1551" spans="2:5" ht="15" customHeight="1" x14ac:dyDescent="0.3">
      <c r="C1551" s="59"/>
      <c r="D1551" s="8">
        <v>2023</v>
      </c>
      <c r="E1551" s="14">
        <f>Data!V1551</f>
        <v>11</v>
      </c>
    </row>
    <row r="1552" spans="2:5" ht="15" customHeight="1" x14ac:dyDescent="0.3">
      <c r="C1552" s="59"/>
      <c r="D1552" s="8">
        <v>2024</v>
      </c>
      <c r="E1552" s="14">
        <f>Data!V1552</f>
        <v>11</v>
      </c>
    </row>
    <row r="1553" spans="2:5" ht="15" customHeight="1" x14ac:dyDescent="0.3">
      <c r="B1553" s="8">
        <v>142</v>
      </c>
      <c r="C1553" s="59" t="s">
        <v>138</v>
      </c>
      <c r="D1553" s="8">
        <v>2014</v>
      </c>
      <c r="E1553" s="14">
        <f>Data!V1553</f>
        <v>0</v>
      </c>
    </row>
    <row r="1554" spans="2:5" ht="15" customHeight="1" x14ac:dyDescent="0.3">
      <c r="C1554" s="59"/>
      <c r="D1554" s="8">
        <v>2015</v>
      </c>
      <c r="E1554" s="14">
        <f>Data!V1554</f>
        <v>0</v>
      </c>
    </row>
    <row r="1555" spans="2:5" ht="15" customHeight="1" x14ac:dyDescent="0.3">
      <c r="C1555" s="59"/>
      <c r="D1555" s="8">
        <v>2016</v>
      </c>
      <c r="E1555" s="14">
        <f>Data!V1555</f>
        <v>0</v>
      </c>
    </row>
    <row r="1556" spans="2:5" ht="15" customHeight="1" x14ac:dyDescent="0.3">
      <c r="C1556" s="59"/>
      <c r="D1556" s="8">
        <v>2017</v>
      </c>
      <c r="E1556" s="14">
        <f>Data!V1556</f>
        <v>0</v>
      </c>
    </row>
    <row r="1557" spans="2:5" ht="15" customHeight="1" x14ac:dyDescent="0.3">
      <c r="C1557" s="59"/>
      <c r="D1557" s="8">
        <v>2018</v>
      </c>
      <c r="E1557" s="14">
        <f>Data!V1557</f>
        <v>0</v>
      </c>
    </row>
    <row r="1558" spans="2:5" ht="15" customHeight="1" x14ac:dyDescent="0.3">
      <c r="C1558" s="59"/>
      <c r="D1558" s="8">
        <v>2019</v>
      </c>
      <c r="E1558" s="14">
        <f>Data!V1558</f>
        <v>0</v>
      </c>
    </row>
    <row r="1559" spans="2:5" ht="15" customHeight="1" x14ac:dyDescent="0.3">
      <c r="C1559" s="59"/>
      <c r="D1559" s="8">
        <v>2020</v>
      </c>
      <c r="E1559" s="14">
        <f>Data!V1559</f>
        <v>0</v>
      </c>
    </row>
    <row r="1560" spans="2:5" ht="15" customHeight="1" x14ac:dyDescent="0.3">
      <c r="C1560" s="59"/>
      <c r="D1560" s="8">
        <v>2021</v>
      </c>
      <c r="E1560" s="14">
        <f>Data!V1560</f>
        <v>0</v>
      </c>
    </row>
    <row r="1561" spans="2:5" ht="15" customHeight="1" x14ac:dyDescent="0.3">
      <c r="C1561" s="59"/>
      <c r="D1561" s="8">
        <v>2022</v>
      </c>
      <c r="E1561" s="14">
        <f>Data!V1561</f>
        <v>0</v>
      </c>
    </row>
    <row r="1562" spans="2:5" ht="15" customHeight="1" x14ac:dyDescent="0.3">
      <c r="C1562" s="59"/>
      <c r="D1562" s="8">
        <v>2023</v>
      </c>
      <c r="E1562" s="14">
        <f>Data!V1562</f>
        <v>0</v>
      </c>
    </row>
    <row r="1563" spans="2:5" ht="15" customHeight="1" x14ac:dyDescent="0.3">
      <c r="C1563" s="59"/>
      <c r="D1563" s="8">
        <v>2024</v>
      </c>
      <c r="E1563" s="14">
        <f>Data!V1563</f>
        <v>0</v>
      </c>
    </row>
    <row r="1564" spans="2:5" ht="15" customHeight="1" x14ac:dyDescent="0.3">
      <c r="B1564" s="8">
        <v>143</v>
      </c>
      <c r="C1564" s="59" t="s">
        <v>144</v>
      </c>
      <c r="D1564" s="8">
        <v>2014</v>
      </c>
      <c r="E1564" s="14">
        <f>Data!V1564</f>
        <v>0</v>
      </c>
    </row>
    <row r="1565" spans="2:5" ht="15" customHeight="1" x14ac:dyDescent="0.3">
      <c r="C1565" s="59"/>
      <c r="D1565" s="8">
        <v>2015</v>
      </c>
      <c r="E1565" s="14">
        <f>Data!V1565</f>
        <v>0</v>
      </c>
    </row>
    <row r="1566" spans="2:5" ht="15" customHeight="1" x14ac:dyDescent="0.3">
      <c r="C1566" s="59"/>
      <c r="D1566" s="8">
        <v>2016</v>
      </c>
      <c r="E1566" s="14">
        <f>Data!V1566</f>
        <v>0</v>
      </c>
    </row>
    <row r="1567" spans="2:5" ht="15" customHeight="1" x14ac:dyDescent="0.3">
      <c r="C1567" s="59"/>
      <c r="D1567" s="8">
        <v>2017</v>
      </c>
      <c r="E1567" s="14">
        <f>Data!V1567</f>
        <v>0</v>
      </c>
    </row>
    <row r="1568" spans="2:5" ht="15" customHeight="1" x14ac:dyDescent="0.3">
      <c r="C1568" s="59"/>
      <c r="D1568" s="8">
        <v>2018</v>
      </c>
      <c r="E1568" s="14">
        <f>Data!V1568</f>
        <v>0</v>
      </c>
    </row>
    <row r="1569" spans="2:5" ht="15" customHeight="1" x14ac:dyDescent="0.3">
      <c r="C1569" s="59"/>
      <c r="D1569" s="8">
        <v>2019</v>
      </c>
      <c r="E1569" s="14">
        <f>Data!V1569</f>
        <v>0</v>
      </c>
    </row>
    <row r="1570" spans="2:5" ht="15" customHeight="1" x14ac:dyDescent="0.3">
      <c r="C1570" s="59"/>
      <c r="D1570" s="8">
        <v>2020</v>
      </c>
      <c r="E1570" s="14">
        <f>Data!V1570</f>
        <v>0</v>
      </c>
    </row>
    <row r="1571" spans="2:5" ht="15" customHeight="1" x14ac:dyDescent="0.3">
      <c r="C1571" s="59"/>
      <c r="D1571" s="8">
        <v>2021</v>
      </c>
      <c r="E1571" s="14">
        <f>Data!V1571</f>
        <v>0</v>
      </c>
    </row>
    <row r="1572" spans="2:5" ht="15" customHeight="1" x14ac:dyDescent="0.3">
      <c r="C1572" s="59"/>
      <c r="D1572" s="8">
        <v>2022</v>
      </c>
      <c r="E1572" s="14">
        <f>Data!V1572</f>
        <v>0</v>
      </c>
    </row>
    <row r="1573" spans="2:5" ht="15" customHeight="1" x14ac:dyDescent="0.3">
      <c r="C1573" s="59"/>
      <c r="D1573" s="8">
        <v>2023</v>
      </c>
      <c r="E1573" s="14">
        <f>Data!V1573</f>
        <v>0</v>
      </c>
    </row>
    <row r="1574" spans="2:5" ht="15" customHeight="1" x14ac:dyDescent="0.3">
      <c r="C1574" s="59"/>
      <c r="D1574" s="8">
        <v>2024</v>
      </c>
      <c r="E1574" s="14">
        <f>Data!V1574</f>
        <v>0</v>
      </c>
    </row>
    <row r="1575" spans="2:5" ht="15" customHeight="1" x14ac:dyDescent="0.3">
      <c r="B1575" s="8">
        <v>144</v>
      </c>
      <c r="C1575" s="59" t="s">
        <v>141</v>
      </c>
      <c r="D1575" s="8">
        <v>2014</v>
      </c>
      <c r="E1575" s="14">
        <f>Data!V1575</f>
        <v>0</v>
      </c>
    </row>
    <row r="1576" spans="2:5" ht="15" customHeight="1" x14ac:dyDescent="0.3">
      <c r="C1576" s="59"/>
      <c r="D1576" s="8">
        <v>2015</v>
      </c>
      <c r="E1576" s="14">
        <f>Data!V1576</f>
        <v>0</v>
      </c>
    </row>
    <row r="1577" spans="2:5" ht="15" customHeight="1" x14ac:dyDescent="0.3">
      <c r="C1577" s="59"/>
      <c r="D1577" s="8">
        <v>2016</v>
      </c>
      <c r="E1577" s="14">
        <f>Data!V1577</f>
        <v>0</v>
      </c>
    </row>
    <row r="1578" spans="2:5" ht="15" customHeight="1" x14ac:dyDescent="0.3">
      <c r="C1578" s="59"/>
      <c r="D1578" s="8">
        <v>2017</v>
      </c>
      <c r="E1578" s="14">
        <f>Data!V1578</f>
        <v>0</v>
      </c>
    </row>
    <row r="1579" spans="2:5" ht="15" customHeight="1" x14ac:dyDescent="0.3">
      <c r="C1579" s="59"/>
      <c r="D1579" s="8">
        <v>2018</v>
      </c>
      <c r="E1579" s="14">
        <f>Data!V1579</f>
        <v>0</v>
      </c>
    </row>
    <row r="1580" spans="2:5" ht="15" customHeight="1" x14ac:dyDescent="0.3">
      <c r="C1580" s="59"/>
      <c r="D1580" s="8">
        <v>2019</v>
      </c>
      <c r="E1580" s="14">
        <f>Data!V1580</f>
        <v>0</v>
      </c>
    </row>
    <row r="1581" spans="2:5" ht="15" customHeight="1" x14ac:dyDescent="0.3">
      <c r="C1581" s="59"/>
      <c r="D1581" s="8">
        <v>2020</v>
      </c>
      <c r="E1581" s="14">
        <f>Data!V1581</f>
        <v>0</v>
      </c>
    </row>
    <row r="1582" spans="2:5" ht="15" customHeight="1" x14ac:dyDescent="0.3">
      <c r="C1582" s="59"/>
      <c r="D1582" s="8">
        <v>2021</v>
      </c>
      <c r="E1582" s="14">
        <f>Data!V1582</f>
        <v>0</v>
      </c>
    </row>
    <row r="1583" spans="2:5" ht="15" customHeight="1" x14ac:dyDescent="0.3">
      <c r="C1583" s="59"/>
      <c r="D1583" s="8">
        <v>2022</v>
      </c>
      <c r="E1583" s="14">
        <f>Data!V1583</f>
        <v>0</v>
      </c>
    </row>
    <row r="1584" spans="2:5" ht="15" customHeight="1" x14ac:dyDescent="0.3">
      <c r="C1584" s="59"/>
      <c r="D1584" s="8">
        <v>2023</v>
      </c>
      <c r="E1584" s="14">
        <f>Data!V1584</f>
        <v>0</v>
      </c>
    </row>
    <row r="1585" spans="1:5" ht="15" customHeight="1" x14ac:dyDescent="0.3">
      <c r="C1585" s="59"/>
      <c r="D1585" s="8">
        <v>2024</v>
      </c>
      <c r="E1585" s="14">
        <f>Data!V1585</f>
        <v>0</v>
      </c>
    </row>
    <row r="1586" spans="1:5" ht="15" customHeight="1" x14ac:dyDescent="0.3">
      <c r="A1586" t="s">
        <v>156</v>
      </c>
      <c r="B1586" s="8">
        <v>145</v>
      </c>
      <c r="C1586" s="57" t="s">
        <v>145</v>
      </c>
      <c r="D1586" s="8">
        <v>2014</v>
      </c>
      <c r="E1586" s="14">
        <f>Data!V1586</f>
        <v>0</v>
      </c>
    </row>
    <row r="1587" spans="1:5" ht="15" customHeight="1" x14ac:dyDescent="0.3">
      <c r="C1587" s="57"/>
      <c r="D1587" s="8">
        <v>2015</v>
      </c>
      <c r="E1587" s="14">
        <f>Data!V1587</f>
        <v>16</v>
      </c>
    </row>
    <row r="1588" spans="1:5" ht="15" customHeight="1" x14ac:dyDescent="0.3">
      <c r="C1588" s="57"/>
      <c r="D1588" s="8">
        <v>2016</v>
      </c>
      <c r="E1588" s="14">
        <f>Data!V1588</f>
        <v>16</v>
      </c>
    </row>
    <row r="1589" spans="1:5" ht="15" customHeight="1" x14ac:dyDescent="0.3">
      <c r="C1589" s="57"/>
      <c r="D1589" s="8">
        <v>2017</v>
      </c>
      <c r="E1589" s="14">
        <f>Data!V1589</f>
        <v>16</v>
      </c>
    </row>
    <row r="1590" spans="1:5" ht="15" customHeight="1" x14ac:dyDescent="0.3">
      <c r="C1590" s="57"/>
      <c r="D1590" s="8">
        <v>2018</v>
      </c>
      <c r="E1590" s="14">
        <f>Data!V1590</f>
        <v>0</v>
      </c>
    </row>
    <row r="1591" spans="1:5" ht="15" customHeight="1" x14ac:dyDescent="0.3">
      <c r="C1591" s="57"/>
      <c r="D1591" s="8">
        <v>2019</v>
      </c>
      <c r="E1591" s="14">
        <f>Data!V1591</f>
        <v>0</v>
      </c>
    </row>
    <row r="1592" spans="1:5" ht="15" customHeight="1" x14ac:dyDescent="0.3">
      <c r="C1592" s="57"/>
      <c r="D1592" s="8">
        <v>2020</v>
      </c>
      <c r="E1592" s="14">
        <f>Data!V1592</f>
        <v>0</v>
      </c>
    </row>
    <row r="1593" spans="1:5" ht="15" customHeight="1" x14ac:dyDescent="0.3">
      <c r="C1593" s="57"/>
      <c r="D1593" s="8">
        <v>2021</v>
      </c>
      <c r="E1593" s="14">
        <f>Data!V1593</f>
        <v>0</v>
      </c>
    </row>
    <row r="1594" spans="1:5" ht="15" customHeight="1" x14ac:dyDescent="0.3">
      <c r="C1594" s="57"/>
      <c r="D1594" s="8">
        <v>2022</v>
      </c>
      <c r="E1594" s="14">
        <f>Data!V1594</f>
        <v>0</v>
      </c>
    </row>
    <row r="1595" spans="1:5" ht="15" customHeight="1" x14ac:dyDescent="0.3">
      <c r="C1595" s="57"/>
      <c r="D1595" s="8">
        <v>2023</v>
      </c>
      <c r="E1595" s="14">
        <f>Data!V1595</f>
        <v>0</v>
      </c>
    </row>
    <row r="1596" spans="1:5" ht="15" customHeight="1" x14ac:dyDescent="0.3">
      <c r="C1596" s="57"/>
      <c r="D1596" s="8">
        <v>2024</v>
      </c>
      <c r="E1596" s="14">
        <f>Data!V1596</f>
        <v>0</v>
      </c>
    </row>
    <row r="1597" spans="1:5" ht="15" customHeight="1" x14ac:dyDescent="0.3">
      <c r="B1597" s="8">
        <v>146</v>
      </c>
      <c r="C1597" s="57" t="s">
        <v>146</v>
      </c>
      <c r="D1597" s="8">
        <v>2014</v>
      </c>
      <c r="E1597" s="14">
        <f>Data!V1597</f>
        <v>0</v>
      </c>
    </row>
    <row r="1598" spans="1:5" ht="15" customHeight="1" x14ac:dyDescent="0.3">
      <c r="C1598" s="57"/>
      <c r="D1598" s="8">
        <v>2015</v>
      </c>
      <c r="E1598" s="14">
        <f>Data!V1598</f>
        <v>0</v>
      </c>
    </row>
    <row r="1599" spans="1:5" ht="15" customHeight="1" x14ac:dyDescent="0.3">
      <c r="C1599" s="57"/>
      <c r="D1599" s="8">
        <v>2016</v>
      </c>
      <c r="E1599" s="14">
        <f>Data!V1599</f>
        <v>0</v>
      </c>
    </row>
    <row r="1600" spans="1:5" ht="15" customHeight="1" x14ac:dyDescent="0.3">
      <c r="C1600" s="57"/>
      <c r="D1600" s="8">
        <v>2017</v>
      </c>
      <c r="E1600" s="14">
        <f>Data!V1600</f>
        <v>0</v>
      </c>
    </row>
    <row r="1601" spans="1:5" ht="15" customHeight="1" x14ac:dyDescent="0.3">
      <c r="C1601" s="57"/>
      <c r="D1601" s="8">
        <v>2018</v>
      </c>
      <c r="E1601" s="14">
        <f>Data!V1601</f>
        <v>0</v>
      </c>
    </row>
    <row r="1602" spans="1:5" ht="15" customHeight="1" x14ac:dyDescent="0.3">
      <c r="C1602" s="57"/>
      <c r="D1602" s="8">
        <v>2019</v>
      </c>
      <c r="E1602" s="14">
        <f>Data!V1602</f>
        <v>0</v>
      </c>
    </row>
    <row r="1603" spans="1:5" ht="15" customHeight="1" x14ac:dyDescent="0.3">
      <c r="C1603" s="57"/>
      <c r="D1603" s="8">
        <v>2020</v>
      </c>
      <c r="E1603" s="14">
        <f>Data!V1603</f>
        <v>0</v>
      </c>
    </row>
    <row r="1604" spans="1:5" ht="15" customHeight="1" x14ac:dyDescent="0.3">
      <c r="C1604" s="57"/>
      <c r="D1604" s="8">
        <v>2021</v>
      </c>
      <c r="E1604" s="14">
        <f>Data!V1604</f>
        <v>0</v>
      </c>
    </row>
    <row r="1605" spans="1:5" ht="15" customHeight="1" x14ac:dyDescent="0.3">
      <c r="C1605" s="57"/>
      <c r="D1605" s="8">
        <v>2022</v>
      </c>
      <c r="E1605" s="14">
        <f>Data!V1605</f>
        <v>0</v>
      </c>
    </row>
    <row r="1606" spans="1:5" ht="15" customHeight="1" x14ac:dyDescent="0.3">
      <c r="C1606" s="57"/>
      <c r="D1606" s="8">
        <v>2023</v>
      </c>
      <c r="E1606" s="14">
        <f>Data!V1606</f>
        <v>0</v>
      </c>
    </row>
    <row r="1607" spans="1:5" ht="15" customHeight="1" x14ac:dyDescent="0.3">
      <c r="C1607" s="57"/>
      <c r="D1607" s="8">
        <v>2024</v>
      </c>
      <c r="E1607" s="14">
        <f>Data!V1607</f>
        <v>0</v>
      </c>
    </row>
    <row r="1608" spans="1:5" ht="15" customHeight="1" x14ac:dyDescent="0.3">
      <c r="A1608" t="s">
        <v>157</v>
      </c>
      <c r="B1608" s="8">
        <v>147</v>
      </c>
      <c r="C1608" s="57" t="s">
        <v>147</v>
      </c>
      <c r="D1608" s="8">
        <v>2014</v>
      </c>
      <c r="E1608" s="14">
        <f>Data!V1608</f>
        <v>0</v>
      </c>
    </row>
    <row r="1609" spans="1:5" ht="15" customHeight="1" x14ac:dyDescent="0.3">
      <c r="C1609" s="57"/>
      <c r="D1609" s="8">
        <v>2015</v>
      </c>
      <c r="E1609" s="14">
        <f>Data!V1609</f>
        <v>0</v>
      </c>
    </row>
    <row r="1610" spans="1:5" ht="15" customHeight="1" x14ac:dyDescent="0.3">
      <c r="C1610" s="57"/>
      <c r="D1610" s="8">
        <v>2016</v>
      </c>
      <c r="E1610" s="14">
        <f>Data!V1610</f>
        <v>0</v>
      </c>
    </row>
    <row r="1611" spans="1:5" ht="15" customHeight="1" x14ac:dyDescent="0.3">
      <c r="C1611" s="57"/>
      <c r="D1611" s="8">
        <v>2017</v>
      </c>
      <c r="E1611" s="14">
        <f>Data!V1611</f>
        <v>0</v>
      </c>
    </row>
    <row r="1612" spans="1:5" ht="15" customHeight="1" x14ac:dyDescent="0.3">
      <c r="C1612" s="57"/>
      <c r="D1612" s="8">
        <v>2018</v>
      </c>
      <c r="E1612" s="14">
        <f>Data!V1612</f>
        <v>0</v>
      </c>
    </row>
    <row r="1613" spans="1:5" ht="15" customHeight="1" x14ac:dyDescent="0.3">
      <c r="C1613" s="57"/>
      <c r="D1613" s="8">
        <v>2019</v>
      </c>
      <c r="E1613" s="14">
        <f>Data!V1613</f>
        <v>0</v>
      </c>
    </row>
    <row r="1614" spans="1:5" ht="15" customHeight="1" x14ac:dyDescent="0.3">
      <c r="C1614" s="57"/>
      <c r="D1614" s="8">
        <v>2020</v>
      </c>
      <c r="E1614" s="14">
        <f>Data!V1614</f>
        <v>0</v>
      </c>
    </row>
    <row r="1615" spans="1:5" ht="15" customHeight="1" x14ac:dyDescent="0.3">
      <c r="C1615" s="57"/>
      <c r="D1615" s="8">
        <v>2021</v>
      </c>
      <c r="E1615" s="14">
        <f>Data!V1615</f>
        <v>0</v>
      </c>
    </row>
    <row r="1616" spans="1:5" ht="15" customHeight="1" x14ac:dyDescent="0.3">
      <c r="C1616" s="57"/>
      <c r="D1616" s="8">
        <v>2022</v>
      </c>
      <c r="E1616" s="14">
        <f>Data!V1616</f>
        <v>0</v>
      </c>
    </row>
    <row r="1617" spans="2:5" ht="15" customHeight="1" x14ac:dyDescent="0.3">
      <c r="C1617" s="57"/>
      <c r="D1617" s="8">
        <v>2023</v>
      </c>
      <c r="E1617" s="14">
        <f>Data!V1617</f>
        <v>0</v>
      </c>
    </row>
    <row r="1618" spans="2:5" ht="15" customHeight="1" x14ac:dyDescent="0.3">
      <c r="C1618" s="57"/>
      <c r="D1618" s="8">
        <v>2024</v>
      </c>
      <c r="E1618" s="14">
        <f>Data!V1618</f>
        <v>0</v>
      </c>
    </row>
    <row r="1619" spans="2:5" ht="15" customHeight="1" x14ac:dyDescent="0.3">
      <c r="B1619" s="8">
        <v>148</v>
      </c>
      <c r="C1619" s="57" t="s">
        <v>148</v>
      </c>
      <c r="D1619" s="8">
        <v>2014</v>
      </c>
      <c r="E1619" s="14">
        <f>Data!V1619</f>
        <v>0</v>
      </c>
    </row>
    <row r="1620" spans="2:5" ht="15" customHeight="1" x14ac:dyDescent="0.3">
      <c r="C1620" s="60"/>
      <c r="D1620" s="8">
        <v>2015</v>
      </c>
      <c r="E1620" s="14">
        <f>Data!V1620</f>
        <v>0</v>
      </c>
    </row>
    <row r="1621" spans="2:5" ht="15" customHeight="1" x14ac:dyDescent="0.3">
      <c r="C1621" s="60"/>
      <c r="D1621" s="8">
        <v>2016</v>
      </c>
      <c r="E1621" s="14">
        <f>Data!V1621</f>
        <v>0</v>
      </c>
    </row>
    <row r="1622" spans="2:5" ht="15" customHeight="1" x14ac:dyDescent="0.3">
      <c r="C1622" s="60"/>
      <c r="D1622" s="8">
        <v>2017</v>
      </c>
      <c r="E1622" s="14">
        <f>Data!V1622</f>
        <v>0</v>
      </c>
    </row>
    <row r="1623" spans="2:5" ht="15" customHeight="1" x14ac:dyDescent="0.3">
      <c r="C1623" s="60"/>
      <c r="D1623" s="8">
        <v>2018</v>
      </c>
      <c r="E1623" s="14">
        <f>Data!V1623</f>
        <v>0</v>
      </c>
    </row>
    <row r="1624" spans="2:5" ht="15" customHeight="1" x14ac:dyDescent="0.3">
      <c r="C1624" s="60"/>
      <c r="D1624" s="8">
        <v>2019</v>
      </c>
      <c r="E1624" s="14">
        <f>Data!V1624</f>
        <v>0</v>
      </c>
    </row>
    <row r="1625" spans="2:5" ht="15" customHeight="1" x14ac:dyDescent="0.3">
      <c r="C1625" s="60"/>
      <c r="D1625" s="8">
        <v>2020</v>
      </c>
      <c r="E1625" s="14">
        <f>Data!V1625</f>
        <v>0</v>
      </c>
    </row>
    <row r="1626" spans="2:5" ht="15" customHeight="1" x14ac:dyDescent="0.3">
      <c r="C1626" s="60"/>
      <c r="D1626" s="8">
        <v>2021</v>
      </c>
      <c r="E1626" s="14">
        <f>Data!V1626</f>
        <v>0</v>
      </c>
    </row>
    <row r="1627" spans="2:5" ht="15" customHeight="1" x14ac:dyDescent="0.3">
      <c r="C1627" s="60"/>
      <c r="D1627" s="8">
        <v>2022</v>
      </c>
      <c r="E1627" s="14">
        <f>Data!V1627</f>
        <v>0</v>
      </c>
    </row>
    <row r="1628" spans="2:5" ht="15" customHeight="1" x14ac:dyDescent="0.3">
      <c r="C1628" s="60"/>
      <c r="D1628" s="8">
        <v>2023</v>
      </c>
      <c r="E1628" s="14">
        <f>Data!V1628</f>
        <v>0</v>
      </c>
    </row>
    <row r="1629" spans="2:5" ht="15" customHeight="1" x14ac:dyDescent="0.3">
      <c r="C1629" s="60"/>
      <c r="D1629" s="8">
        <v>2024</v>
      </c>
      <c r="E1629" s="14">
        <f>Data!V1629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1D3D-467F-44DB-ABFD-CD79851A7105}">
  <dimension ref="A1:E1629"/>
  <sheetViews>
    <sheetView workbookViewId="0">
      <selection activeCell="E2" sqref="E2:E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47.6640625" style="14" bestFit="1" customWidth="1"/>
    <col min="6" max="7" width="12.109375" bestFit="1" customWidth="1"/>
    <col min="8" max="8" width="11.5546875" bestFit="1" customWidth="1"/>
    <col min="9" max="9" width="11" bestFit="1" customWidth="1"/>
    <col min="10" max="10" width="28.109375" bestFit="1" customWidth="1"/>
    <col min="11" max="11" width="23.33203125" bestFit="1" customWidth="1"/>
    <col min="12" max="12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6" t="s">
        <v>253</v>
      </c>
    </row>
    <row r="2" spans="1:5" ht="15" customHeight="1" x14ac:dyDescent="0.3">
      <c r="A2" t="s">
        <v>153</v>
      </c>
      <c r="B2" s="8">
        <v>1</v>
      </c>
      <c r="C2" s="56" t="s">
        <v>4</v>
      </c>
      <c r="D2" s="8">
        <v>2014</v>
      </c>
      <c r="E2" s="14">
        <f>Data!X2</f>
        <v>0</v>
      </c>
    </row>
    <row r="3" spans="1:5" ht="15" customHeight="1" x14ac:dyDescent="0.3">
      <c r="C3" s="56"/>
      <c r="D3" s="8">
        <v>2015</v>
      </c>
      <c r="E3" s="14">
        <f>Data!X3</f>
        <v>0</v>
      </c>
    </row>
    <row r="4" spans="1:5" ht="15" customHeight="1" x14ac:dyDescent="0.3">
      <c r="C4" s="56"/>
      <c r="D4" s="8">
        <v>2016</v>
      </c>
      <c r="E4" s="14">
        <f>Data!X4</f>
        <v>0</v>
      </c>
    </row>
    <row r="5" spans="1:5" ht="15" customHeight="1" x14ac:dyDescent="0.3">
      <c r="C5" s="56"/>
      <c r="D5" s="8">
        <v>2017</v>
      </c>
      <c r="E5" s="14">
        <f>Data!X5</f>
        <v>0</v>
      </c>
    </row>
    <row r="6" spans="1:5" ht="15" customHeight="1" x14ac:dyDescent="0.3">
      <c r="C6" s="56"/>
      <c r="D6" s="8">
        <v>2018</v>
      </c>
      <c r="E6" s="14">
        <f>Data!X6</f>
        <v>0</v>
      </c>
    </row>
    <row r="7" spans="1:5" ht="15" customHeight="1" x14ac:dyDescent="0.3">
      <c r="C7" s="56"/>
      <c r="D7" s="8">
        <v>2019</v>
      </c>
      <c r="E7" s="14">
        <f>Data!X7</f>
        <v>0</v>
      </c>
    </row>
    <row r="8" spans="1:5" ht="15" customHeight="1" x14ac:dyDescent="0.3">
      <c r="C8" s="56"/>
      <c r="D8" s="8">
        <v>2020</v>
      </c>
      <c r="E8" s="14">
        <f>Data!X8</f>
        <v>0</v>
      </c>
    </row>
    <row r="9" spans="1:5" ht="15" customHeight="1" x14ac:dyDescent="0.3">
      <c r="C9" s="56"/>
      <c r="D9" s="8">
        <v>2021</v>
      </c>
      <c r="E9" s="14">
        <f>Data!X9</f>
        <v>0</v>
      </c>
    </row>
    <row r="10" spans="1:5" ht="15" customHeight="1" x14ac:dyDescent="0.3">
      <c r="C10" s="56"/>
      <c r="D10" s="8">
        <v>2022</v>
      </c>
      <c r="E10" s="14">
        <f>Data!X10</f>
        <v>0</v>
      </c>
    </row>
    <row r="11" spans="1:5" ht="15" customHeight="1" x14ac:dyDescent="0.3">
      <c r="C11" s="56"/>
      <c r="D11" s="8">
        <v>2023</v>
      </c>
      <c r="E11" s="14">
        <f>Data!X11</f>
        <v>0</v>
      </c>
    </row>
    <row r="12" spans="1:5" ht="15" customHeight="1" x14ac:dyDescent="0.3">
      <c r="C12" s="56"/>
      <c r="D12" s="8">
        <v>2024</v>
      </c>
      <c r="E12" s="14">
        <f>Data!X12</f>
        <v>0</v>
      </c>
    </row>
    <row r="13" spans="1:5" ht="15" customHeight="1" x14ac:dyDescent="0.3">
      <c r="B13" s="8">
        <v>2</v>
      </c>
      <c r="C13" s="56" t="s">
        <v>2</v>
      </c>
      <c r="D13" s="8">
        <v>2014</v>
      </c>
      <c r="E13" s="14">
        <f>Data!X13</f>
        <v>0</v>
      </c>
    </row>
    <row r="14" spans="1:5" ht="15" customHeight="1" x14ac:dyDescent="0.3">
      <c r="C14" s="56"/>
      <c r="D14" s="8">
        <v>2015</v>
      </c>
      <c r="E14" s="14">
        <f>Data!X14</f>
        <v>0</v>
      </c>
    </row>
    <row r="15" spans="1:5" ht="15" customHeight="1" x14ac:dyDescent="0.3">
      <c r="C15" s="56"/>
      <c r="D15" s="8">
        <v>2016</v>
      </c>
      <c r="E15" s="14">
        <f>Data!X15</f>
        <v>0</v>
      </c>
    </row>
    <row r="16" spans="1:5" ht="15" customHeight="1" x14ac:dyDescent="0.3">
      <c r="C16" s="56"/>
      <c r="D16" s="8">
        <v>2017</v>
      </c>
      <c r="E16" s="14">
        <f>Data!X16</f>
        <v>0</v>
      </c>
    </row>
    <row r="17" spans="2:5" ht="15" customHeight="1" x14ac:dyDescent="0.3">
      <c r="C17" s="56"/>
      <c r="D17" s="8">
        <v>2018</v>
      </c>
      <c r="E17" s="14">
        <f>Data!X17</f>
        <v>0</v>
      </c>
    </row>
    <row r="18" spans="2:5" ht="15" customHeight="1" x14ac:dyDescent="0.3">
      <c r="C18" s="56"/>
      <c r="D18" s="8">
        <v>2019</v>
      </c>
      <c r="E18" s="14">
        <f>Data!X18</f>
        <v>0</v>
      </c>
    </row>
    <row r="19" spans="2:5" ht="15" customHeight="1" x14ac:dyDescent="0.3">
      <c r="C19" s="56"/>
      <c r="D19" s="8">
        <v>2020</v>
      </c>
      <c r="E19" s="14">
        <f>Data!X19</f>
        <v>0</v>
      </c>
    </row>
    <row r="20" spans="2:5" ht="15" customHeight="1" x14ac:dyDescent="0.3">
      <c r="C20" s="56"/>
      <c r="D20" s="8">
        <v>2021</v>
      </c>
      <c r="E20" s="14">
        <f>Data!X20</f>
        <v>0</v>
      </c>
    </row>
    <row r="21" spans="2:5" ht="15" customHeight="1" x14ac:dyDescent="0.3">
      <c r="C21" s="56"/>
      <c r="D21" s="8">
        <v>2022</v>
      </c>
      <c r="E21" s="14">
        <f>Data!X21</f>
        <v>0</v>
      </c>
    </row>
    <row r="22" spans="2:5" ht="15" customHeight="1" x14ac:dyDescent="0.3">
      <c r="C22" s="56"/>
      <c r="D22" s="8">
        <v>2023</v>
      </c>
      <c r="E22" s="14">
        <f>Data!X22</f>
        <v>0</v>
      </c>
    </row>
    <row r="23" spans="2:5" ht="15" customHeight="1" x14ac:dyDescent="0.3">
      <c r="C23" s="56"/>
      <c r="D23" s="8">
        <v>2024</v>
      </c>
      <c r="E23" s="14">
        <f>Data!X23</f>
        <v>0</v>
      </c>
    </row>
    <row r="24" spans="2:5" ht="15" customHeight="1" x14ac:dyDescent="0.3">
      <c r="B24" s="8">
        <v>3</v>
      </c>
      <c r="C24" s="56" t="s">
        <v>3</v>
      </c>
      <c r="D24" s="8">
        <v>2014</v>
      </c>
      <c r="E24" s="14">
        <f>Data!X24</f>
        <v>0</v>
      </c>
    </row>
    <row r="25" spans="2:5" ht="15" customHeight="1" x14ac:dyDescent="0.3">
      <c r="C25" s="56"/>
      <c r="D25" s="8">
        <v>2015</v>
      </c>
      <c r="E25" s="14">
        <f>Data!X25</f>
        <v>0</v>
      </c>
    </row>
    <row r="26" spans="2:5" ht="15" customHeight="1" x14ac:dyDescent="0.3">
      <c r="C26" s="56"/>
      <c r="D26" s="8">
        <v>2016</v>
      </c>
      <c r="E26" s="14">
        <f>Data!X26</f>
        <v>0</v>
      </c>
    </row>
    <row r="27" spans="2:5" ht="15" customHeight="1" x14ac:dyDescent="0.3">
      <c r="C27" s="56"/>
      <c r="D27" s="8">
        <v>2017</v>
      </c>
      <c r="E27" s="14">
        <f>Data!X27</f>
        <v>0</v>
      </c>
    </row>
    <row r="28" spans="2:5" ht="15" customHeight="1" x14ac:dyDescent="0.3">
      <c r="C28" s="56"/>
      <c r="D28" s="8">
        <v>2018</v>
      </c>
      <c r="E28" s="14">
        <f>Data!X28</f>
        <v>0</v>
      </c>
    </row>
    <row r="29" spans="2:5" ht="15" customHeight="1" x14ac:dyDescent="0.3">
      <c r="C29" s="56"/>
      <c r="D29" s="8">
        <v>2019</v>
      </c>
      <c r="E29" s="14">
        <f>Data!X29</f>
        <v>0</v>
      </c>
    </row>
    <row r="30" spans="2:5" ht="15" customHeight="1" x14ac:dyDescent="0.3">
      <c r="C30" s="56"/>
      <c r="D30" s="8">
        <v>2020</v>
      </c>
      <c r="E30" s="14">
        <f>Data!X30</f>
        <v>14</v>
      </c>
    </row>
    <row r="31" spans="2:5" ht="15" customHeight="1" x14ac:dyDescent="0.3">
      <c r="C31" s="56"/>
      <c r="D31" s="8">
        <v>2021</v>
      </c>
      <c r="E31" s="14">
        <f>Data!X31</f>
        <v>11</v>
      </c>
    </row>
    <row r="32" spans="2:5" ht="15" customHeight="1" x14ac:dyDescent="0.3">
      <c r="C32" s="56"/>
      <c r="D32" s="8">
        <v>2022</v>
      </c>
      <c r="E32" s="14">
        <f>Data!X32</f>
        <v>8</v>
      </c>
    </row>
    <row r="33" spans="2:5" ht="15" customHeight="1" x14ac:dyDescent="0.3">
      <c r="C33" s="56"/>
      <c r="D33" s="8">
        <v>2023</v>
      </c>
      <c r="E33" s="14">
        <f>Data!X33</f>
        <v>10</v>
      </c>
    </row>
    <row r="34" spans="2:5" ht="15" customHeight="1" x14ac:dyDescent="0.3">
      <c r="C34" s="56"/>
      <c r="D34" s="8">
        <v>2024</v>
      </c>
      <c r="E34" s="14">
        <f>Data!X34</f>
        <v>6</v>
      </c>
    </row>
    <row r="35" spans="2:5" ht="15" customHeight="1" x14ac:dyDescent="0.3">
      <c r="B35" s="8">
        <v>4</v>
      </c>
      <c r="C35" s="57" t="s">
        <v>56</v>
      </c>
      <c r="D35" s="8">
        <v>2014</v>
      </c>
      <c r="E35" s="14">
        <f>Data!X35</f>
        <v>0</v>
      </c>
    </row>
    <row r="36" spans="2:5" ht="15" customHeight="1" x14ac:dyDescent="0.3">
      <c r="C36" s="57"/>
      <c r="D36" s="8">
        <v>2015</v>
      </c>
      <c r="E36" s="14">
        <f>Data!X36</f>
        <v>0</v>
      </c>
    </row>
    <row r="37" spans="2:5" ht="15" customHeight="1" x14ac:dyDescent="0.3">
      <c r="C37" s="57"/>
      <c r="D37" s="8">
        <v>2016</v>
      </c>
      <c r="E37" s="14">
        <f>Data!X37</f>
        <v>0</v>
      </c>
    </row>
    <row r="38" spans="2:5" ht="15" customHeight="1" x14ac:dyDescent="0.3">
      <c r="C38" s="57"/>
      <c r="D38" s="8">
        <v>2017</v>
      </c>
      <c r="E38" s="14">
        <f>Data!X38</f>
        <v>0</v>
      </c>
    </row>
    <row r="39" spans="2:5" ht="15" customHeight="1" x14ac:dyDescent="0.3">
      <c r="C39" s="57"/>
      <c r="D39" s="8">
        <v>2018</v>
      </c>
      <c r="E39" s="14">
        <f>Data!X39</f>
        <v>0</v>
      </c>
    </row>
    <row r="40" spans="2:5" ht="15" customHeight="1" x14ac:dyDescent="0.3">
      <c r="C40" s="57"/>
      <c r="D40" s="8">
        <v>2019</v>
      </c>
      <c r="E40" s="14">
        <f>Data!X40</f>
        <v>0</v>
      </c>
    </row>
    <row r="41" spans="2:5" ht="15" customHeight="1" x14ac:dyDescent="0.3">
      <c r="C41" s="57"/>
      <c r="D41" s="8">
        <v>2020</v>
      </c>
      <c r="E41" s="14">
        <f>Data!X41</f>
        <v>0</v>
      </c>
    </row>
    <row r="42" spans="2:5" ht="15" customHeight="1" x14ac:dyDescent="0.3">
      <c r="C42" s="57"/>
      <c r="D42" s="8">
        <v>2021</v>
      </c>
      <c r="E42" s="14">
        <f>Data!X42</f>
        <v>0</v>
      </c>
    </row>
    <row r="43" spans="2:5" ht="15" customHeight="1" x14ac:dyDescent="0.3">
      <c r="C43" s="57"/>
      <c r="D43" s="8">
        <v>2022</v>
      </c>
      <c r="E43" s="14">
        <f>Data!X43</f>
        <v>0</v>
      </c>
    </row>
    <row r="44" spans="2:5" ht="15" customHeight="1" x14ac:dyDescent="0.3">
      <c r="C44" s="57"/>
      <c r="D44" s="8">
        <v>2023</v>
      </c>
      <c r="E44" s="14">
        <f>Data!X44</f>
        <v>0</v>
      </c>
    </row>
    <row r="45" spans="2:5" ht="15" customHeight="1" x14ac:dyDescent="0.3">
      <c r="C45" s="57"/>
      <c r="D45" s="8">
        <v>2024</v>
      </c>
      <c r="E45" s="14">
        <f>Data!X45</f>
        <v>0</v>
      </c>
    </row>
    <row r="46" spans="2:5" ht="15" customHeight="1" x14ac:dyDescent="0.3">
      <c r="B46" s="8">
        <v>5</v>
      </c>
      <c r="C46" s="56" t="s">
        <v>20</v>
      </c>
      <c r="D46" s="8">
        <v>2014</v>
      </c>
      <c r="E46" s="14">
        <f>Data!X46</f>
        <v>0</v>
      </c>
    </row>
    <row r="47" spans="2:5" ht="15" customHeight="1" x14ac:dyDescent="0.3">
      <c r="C47" s="56"/>
      <c r="D47" s="8">
        <v>2015</v>
      </c>
      <c r="E47" s="14">
        <f>Data!X47</f>
        <v>0</v>
      </c>
    </row>
    <row r="48" spans="2:5" ht="15" customHeight="1" x14ac:dyDescent="0.3">
      <c r="C48" s="56"/>
      <c r="D48" s="8">
        <v>2016</v>
      </c>
      <c r="E48" s="14">
        <f>Data!X48</f>
        <v>0</v>
      </c>
    </row>
    <row r="49" spans="2:5" ht="15" customHeight="1" x14ac:dyDescent="0.3">
      <c r="C49" s="56"/>
      <c r="D49" s="8">
        <v>2017</v>
      </c>
      <c r="E49" s="14">
        <f>Data!X49</f>
        <v>17</v>
      </c>
    </row>
    <row r="50" spans="2:5" ht="15" customHeight="1" x14ac:dyDescent="0.3">
      <c r="C50" s="56"/>
      <c r="D50" s="8">
        <v>2018</v>
      </c>
      <c r="E50" s="14">
        <f>Data!X50</f>
        <v>16</v>
      </c>
    </row>
    <row r="51" spans="2:5" ht="15" customHeight="1" x14ac:dyDescent="0.3">
      <c r="C51" s="56"/>
      <c r="D51" s="8">
        <v>2019</v>
      </c>
      <c r="E51" s="14">
        <f>Data!X51</f>
        <v>16</v>
      </c>
    </row>
    <row r="52" spans="2:5" ht="15" customHeight="1" x14ac:dyDescent="0.3">
      <c r="C52" s="56"/>
      <c r="D52" s="8">
        <v>2020</v>
      </c>
      <c r="E52" s="14">
        <f>Data!X52</f>
        <v>10</v>
      </c>
    </row>
    <row r="53" spans="2:5" ht="15" customHeight="1" x14ac:dyDescent="0.3">
      <c r="C53" s="56"/>
      <c r="D53" s="8">
        <v>2021</v>
      </c>
      <c r="E53" s="14">
        <f>Data!X53</f>
        <v>20</v>
      </c>
    </row>
    <row r="54" spans="2:5" ht="15" customHeight="1" x14ac:dyDescent="0.3">
      <c r="C54" s="56"/>
      <c r="D54" s="8">
        <v>2022</v>
      </c>
      <c r="E54" s="14">
        <f>Data!X54</f>
        <v>11</v>
      </c>
    </row>
    <row r="55" spans="2:5" ht="15" customHeight="1" x14ac:dyDescent="0.3">
      <c r="C55" s="56"/>
      <c r="D55" s="8">
        <v>2023</v>
      </c>
      <c r="E55" s="14">
        <f>Data!X55</f>
        <v>13</v>
      </c>
    </row>
    <row r="56" spans="2:5" ht="15" customHeight="1" x14ac:dyDescent="0.3">
      <c r="C56" s="56"/>
      <c r="D56" s="8">
        <v>2024</v>
      </c>
      <c r="E56" s="14">
        <f>Data!X56</f>
        <v>0</v>
      </c>
    </row>
    <row r="57" spans="2:5" ht="15" customHeight="1" x14ac:dyDescent="0.3">
      <c r="B57" s="8">
        <v>6</v>
      </c>
      <c r="C57" s="56" t="s">
        <v>21</v>
      </c>
      <c r="D57" s="8">
        <v>2014</v>
      </c>
      <c r="E57" s="14">
        <f>Data!X57</f>
        <v>0</v>
      </c>
    </row>
    <row r="58" spans="2:5" ht="15" customHeight="1" x14ac:dyDescent="0.3">
      <c r="C58" s="56"/>
      <c r="D58" s="8">
        <v>2015</v>
      </c>
      <c r="E58" s="14">
        <f>Data!X58</f>
        <v>0</v>
      </c>
    </row>
    <row r="59" spans="2:5" ht="15" customHeight="1" x14ac:dyDescent="0.3">
      <c r="C59" s="56"/>
      <c r="D59" s="8">
        <v>2016</v>
      </c>
      <c r="E59" s="14">
        <f>Data!X59</f>
        <v>0</v>
      </c>
    </row>
    <row r="60" spans="2:5" ht="15" customHeight="1" x14ac:dyDescent="0.3">
      <c r="C60" s="56"/>
      <c r="D60" s="8">
        <v>2017</v>
      </c>
      <c r="E60" s="14">
        <f>Data!X60</f>
        <v>7</v>
      </c>
    </row>
    <row r="61" spans="2:5" ht="15" customHeight="1" x14ac:dyDescent="0.3">
      <c r="C61" s="56"/>
      <c r="D61" s="8">
        <v>2018</v>
      </c>
      <c r="E61" s="14">
        <f>Data!X61</f>
        <v>7</v>
      </c>
    </row>
    <row r="62" spans="2:5" ht="15" customHeight="1" x14ac:dyDescent="0.3">
      <c r="C62" s="56"/>
      <c r="D62" s="8">
        <v>2019</v>
      </c>
      <c r="E62" s="14">
        <f>Data!X62</f>
        <v>7</v>
      </c>
    </row>
    <row r="63" spans="2:5" ht="15" customHeight="1" x14ac:dyDescent="0.3">
      <c r="C63" s="56"/>
      <c r="D63" s="8">
        <v>2020</v>
      </c>
      <c r="E63" s="14">
        <f>Data!X63</f>
        <v>7</v>
      </c>
    </row>
    <row r="64" spans="2:5" ht="15" customHeight="1" x14ac:dyDescent="0.3">
      <c r="C64" s="56"/>
      <c r="D64" s="8">
        <v>2021</v>
      </c>
      <c r="E64" s="14">
        <f>Data!X64</f>
        <v>7</v>
      </c>
    </row>
    <row r="65" spans="2:5" ht="15" customHeight="1" x14ac:dyDescent="0.3">
      <c r="C65" s="56"/>
      <c r="D65" s="8">
        <v>2022</v>
      </c>
      <c r="E65" s="14">
        <f>Data!X65</f>
        <v>7</v>
      </c>
    </row>
    <row r="66" spans="2:5" ht="15" customHeight="1" x14ac:dyDescent="0.3">
      <c r="C66" s="56"/>
      <c r="D66" s="8">
        <v>2023</v>
      </c>
      <c r="E66" s="14">
        <f>Data!X66</f>
        <v>7</v>
      </c>
    </row>
    <row r="67" spans="2:5" ht="15" customHeight="1" x14ac:dyDescent="0.3">
      <c r="C67" s="56"/>
      <c r="D67" s="8">
        <v>2024</v>
      </c>
      <c r="E67" s="14">
        <f>Data!X67</f>
        <v>7</v>
      </c>
    </row>
    <row r="68" spans="2:5" ht="15" customHeight="1" x14ac:dyDescent="0.3">
      <c r="B68" s="8">
        <v>7</v>
      </c>
      <c r="C68" s="56" t="s">
        <v>19</v>
      </c>
      <c r="D68" s="8">
        <v>2014</v>
      </c>
      <c r="E68" s="14">
        <f>Data!X68</f>
        <v>0</v>
      </c>
    </row>
    <row r="69" spans="2:5" ht="15" customHeight="1" x14ac:dyDescent="0.3">
      <c r="C69" s="56"/>
      <c r="D69" s="8">
        <v>2015</v>
      </c>
      <c r="E69" s="14">
        <f>Data!X69</f>
        <v>0</v>
      </c>
    </row>
    <row r="70" spans="2:5" ht="15" customHeight="1" x14ac:dyDescent="0.3">
      <c r="C70" s="56"/>
      <c r="D70" s="8">
        <v>2016</v>
      </c>
      <c r="E70" s="14">
        <f>Data!X70</f>
        <v>0</v>
      </c>
    </row>
    <row r="71" spans="2:5" ht="15" customHeight="1" x14ac:dyDescent="0.3">
      <c r="C71" s="56"/>
      <c r="D71" s="8">
        <v>2017</v>
      </c>
      <c r="E71" s="14">
        <f>Data!X71</f>
        <v>0</v>
      </c>
    </row>
    <row r="72" spans="2:5" ht="15" customHeight="1" x14ac:dyDescent="0.3">
      <c r="C72" s="56"/>
      <c r="D72" s="8">
        <v>2018</v>
      </c>
      <c r="E72" s="14">
        <f>Data!X72</f>
        <v>0</v>
      </c>
    </row>
    <row r="73" spans="2:5" ht="15" customHeight="1" x14ac:dyDescent="0.3">
      <c r="C73" s="56"/>
      <c r="D73" s="8">
        <v>2019</v>
      </c>
      <c r="E73" s="14">
        <f>Data!X73</f>
        <v>0</v>
      </c>
    </row>
    <row r="74" spans="2:5" ht="15" customHeight="1" x14ac:dyDescent="0.3">
      <c r="C74" s="56"/>
      <c r="D74" s="8">
        <v>2020</v>
      </c>
      <c r="E74" s="14">
        <f>Data!X74</f>
        <v>0</v>
      </c>
    </row>
    <row r="75" spans="2:5" ht="15" customHeight="1" x14ac:dyDescent="0.3">
      <c r="C75" s="56"/>
      <c r="D75" s="8">
        <v>2021</v>
      </c>
      <c r="E75" s="14">
        <f>Data!X75</f>
        <v>0</v>
      </c>
    </row>
    <row r="76" spans="2:5" ht="15" customHeight="1" x14ac:dyDescent="0.3">
      <c r="C76" s="56"/>
      <c r="D76" s="8">
        <v>2022</v>
      </c>
      <c r="E76" s="14">
        <f>Data!X76</f>
        <v>11</v>
      </c>
    </row>
    <row r="77" spans="2:5" ht="15" customHeight="1" x14ac:dyDescent="0.3">
      <c r="C77" s="56"/>
      <c r="D77" s="8">
        <v>2023</v>
      </c>
      <c r="E77" s="14">
        <f>Data!X77</f>
        <v>0</v>
      </c>
    </row>
    <row r="78" spans="2:5" ht="15" customHeight="1" x14ac:dyDescent="0.3">
      <c r="C78" s="56"/>
      <c r="D78" s="8">
        <v>2024</v>
      </c>
      <c r="E78" s="14">
        <f>Data!X78</f>
        <v>0</v>
      </c>
    </row>
    <row r="79" spans="2:5" ht="15" customHeight="1" x14ac:dyDescent="0.3">
      <c r="B79" s="8">
        <v>8</v>
      </c>
      <c r="C79" s="56" t="s">
        <v>8</v>
      </c>
      <c r="D79" s="8">
        <v>2014</v>
      </c>
      <c r="E79" s="14">
        <f>Data!X79</f>
        <v>0</v>
      </c>
    </row>
    <row r="80" spans="2:5" ht="15" customHeight="1" x14ac:dyDescent="0.3">
      <c r="C80" s="56"/>
      <c r="D80" s="8">
        <v>2015</v>
      </c>
      <c r="E80" s="14">
        <f>Data!X80</f>
        <v>0</v>
      </c>
    </row>
    <row r="81" spans="2:5" ht="15" customHeight="1" x14ac:dyDescent="0.3">
      <c r="C81" s="56"/>
      <c r="D81" s="8">
        <v>2016</v>
      </c>
      <c r="E81" s="14">
        <f>Data!X81</f>
        <v>0</v>
      </c>
    </row>
    <row r="82" spans="2:5" ht="15" customHeight="1" x14ac:dyDescent="0.3">
      <c r="C82" s="56"/>
      <c r="D82" s="8">
        <v>2017</v>
      </c>
      <c r="E82" s="14">
        <f>Data!X82</f>
        <v>0</v>
      </c>
    </row>
    <row r="83" spans="2:5" ht="15" customHeight="1" x14ac:dyDescent="0.3">
      <c r="C83" s="56"/>
      <c r="D83" s="8">
        <v>2018</v>
      </c>
      <c r="E83" s="14">
        <f>Data!X83</f>
        <v>0</v>
      </c>
    </row>
    <row r="84" spans="2:5" ht="15" customHeight="1" x14ac:dyDescent="0.3">
      <c r="C84" s="56"/>
      <c r="D84" s="8">
        <v>2019</v>
      </c>
      <c r="E84" s="14">
        <f>Data!X84</f>
        <v>0</v>
      </c>
    </row>
    <row r="85" spans="2:5" ht="15" customHeight="1" x14ac:dyDescent="0.3">
      <c r="C85" s="56"/>
      <c r="D85" s="8">
        <v>2020</v>
      </c>
      <c r="E85" s="14">
        <f>Data!X85</f>
        <v>0</v>
      </c>
    </row>
    <row r="86" spans="2:5" ht="15" customHeight="1" x14ac:dyDescent="0.3">
      <c r="C86" s="56"/>
      <c r="D86" s="8">
        <v>2021</v>
      </c>
      <c r="E86" s="14">
        <f>Data!X86</f>
        <v>0</v>
      </c>
    </row>
    <row r="87" spans="2:5" ht="15" customHeight="1" x14ac:dyDescent="0.3">
      <c r="C87" s="56"/>
      <c r="D87" s="8">
        <v>2022</v>
      </c>
      <c r="E87" s="14">
        <f>Data!X87</f>
        <v>0</v>
      </c>
    </row>
    <row r="88" spans="2:5" ht="15" customHeight="1" x14ac:dyDescent="0.3">
      <c r="C88" s="56"/>
      <c r="D88" s="8">
        <v>2023</v>
      </c>
      <c r="E88" s="14">
        <f>Data!X88</f>
        <v>0</v>
      </c>
    </row>
    <row r="89" spans="2:5" ht="15" customHeight="1" x14ac:dyDescent="0.3">
      <c r="C89" s="56"/>
      <c r="D89" s="8">
        <v>2024</v>
      </c>
      <c r="E89" s="14">
        <f>Data!X89</f>
        <v>0</v>
      </c>
    </row>
    <row r="90" spans="2:5" ht="15" customHeight="1" x14ac:dyDescent="0.3">
      <c r="B90" s="8">
        <v>9</v>
      </c>
      <c r="C90" s="56" t="s">
        <v>11</v>
      </c>
      <c r="D90" s="8">
        <v>2014</v>
      </c>
      <c r="E90" s="14">
        <f>Data!X90</f>
        <v>0</v>
      </c>
    </row>
    <row r="91" spans="2:5" ht="15" customHeight="1" x14ac:dyDescent="0.3">
      <c r="C91" s="56"/>
      <c r="D91" s="8">
        <v>2015</v>
      </c>
      <c r="E91" s="14">
        <f>Data!X91</f>
        <v>0</v>
      </c>
    </row>
    <row r="92" spans="2:5" ht="15" customHeight="1" x14ac:dyDescent="0.3">
      <c r="C92" s="56"/>
      <c r="D92" s="8">
        <v>2016</v>
      </c>
      <c r="E92" s="14">
        <f>Data!X92</f>
        <v>0</v>
      </c>
    </row>
    <row r="93" spans="2:5" ht="15" customHeight="1" x14ac:dyDescent="0.3">
      <c r="C93" s="56"/>
      <c r="D93" s="8">
        <v>2017</v>
      </c>
      <c r="E93" s="14">
        <f>Data!X93</f>
        <v>0</v>
      </c>
    </row>
    <row r="94" spans="2:5" ht="15" customHeight="1" x14ac:dyDescent="0.3">
      <c r="C94" s="56"/>
      <c r="D94" s="8">
        <v>2018</v>
      </c>
      <c r="E94" s="14">
        <f>Data!X94</f>
        <v>0</v>
      </c>
    </row>
    <row r="95" spans="2:5" ht="15" customHeight="1" x14ac:dyDescent="0.3">
      <c r="C95" s="56"/>
      <c r="D95" s="8">
        <v>2019</v>
      </c>
      <c r="E95" s="14">
        <f>Data!X95</f>
        <v>0</v>
      </c>
    </row>
    <row r="96" spans="2:5" ht="15" customHeight="1" x14ac:dyDescent="0.3">
      <c r="C96" s="56"/>
      <c r="D96" s="8">
        <v>2020</v>
      </c>
      <c r="E96" s="14">
        <f>Data!X96</f>
        <v>0</v>
      </c>
    </row>
    <row r="97" spans="2:5" ht="15" customHeight="1" x14ac:dyDescent="0.3">
      <c r="C97" s="56"/>
      <c r="D97" s="8">
        <v>2021</v>
      </c>
      <c r="E97" s="14">
        <f>Data!X97</f>
        <v>0</v>
      </c>
    </row>
    <row r="98" spans="2:5" ht="15" customHeight="1" x14ac:dyDescent="0.3">
      <c r="C98" s="56"/>
      <c r="D98" s="8">
        <v>2022</v>
      </c>
      <c r="E98" s="14">
        <f>Data!X98</f>
        <v>0</v>
      </c>
    </row>
    <row r="99" spans="2:5" ht="15" customHeight="1" x14ac:dyDescent="0.3">
      <c r="C99" s="56"/>
      <c r="D99" s="8">
        <v>2023</v>
      </c>
      <c r="E99" s="14">
        <f>Data!X99</f>
        <v>0</v>
      </c>
    </row>
    <row r="100" spans="2:5" ht="15" customHeight="1" x14ac:dyDescent="0.3">
      <c r="C100" s="56"/>
      <c r="D100" s="8">
        <v>2024</v>
      </c>
      <c r="E100" s="14">
        <f>Data!X100</f>
        <v>0</v>
      </c>
    </row>
    <row r="101" spans="2:5" ht="15" customHeight="1" x14ac:dyDescent="0.3">
      <c r="B101" s="8">
        <v>10</v>
      </c>
      <c r="C101" s="56" t="s">
        <v>13</v>
      </c>
      <c r="D101" s="8">
        <v>2014</v>
      </c>
      <c r="E101" s="14">
        <f>Data!X101</f>
        <v>0</v>
      </c>
    </row>
    <row r="102" spans="2:5" ht="15" customHeight="1" x14ac:dyDescent="0.3">
      <c r="C102" s="56"/>
      <c r="D102" s="8">
        <v>2015</v>
      </c>
      <c r="E102" s="14">
        <f>Data!X102</f>
        <v>0</v>
      </c>
    </row>
    <row r="103" spans="2:5" ht="15" customHeight="1" x14ac:dyDescent="0.3">
      <c r="C103" s="56"/>
      <c r="D103" s="8">
        <v>2016</v>
      </c>
      <c r="E103" s="14">
        <f>Data!X103</f>
        <v>0</v>
      </c>
    </row>
    <row r="104" spans="2:5" ht="15" customHeight="1" x14ac:dyDescent="0.3">
      <c r="C104" s="56"/>
      <c r="D104" s="8">
        <v>2017</v>
      </c>
      <c r="E104" s="14">
        <f>Data!X104</f>
        <v>0</v>
      </c>
    </row>
    <row r="105" spans="2:5" ht="15" customHeight="1" x14ac:dyDescent="0.3">
      <c r="C105" s="56"/>
      <c r="D105" s="8">
        <v>2018</v>
      </c>
      <c r="E105" s="14">
        <f>Data!X105</f>
        <v>0</v>
      </c>
    </row>
    <row r="106" spans="2:5" ht="15" customHeight="1" x14ac:dyDescent="0.3">
      <c r="C106" s="56"/>
      <c r="D106" s="8">
        <v>2019</v>
      </c>
      <c r="E106" s="14">
        <f>Data!X106</f>
        <v>0</v>
      </c>
    </row>
    <row r="107" spans="2:5" ht="15" customHeight="1" x14ac:dyDescent="0.3">
      <c r="C107" s="56"/>
      <c r="D107" s="8">
        <v>2020</v>
      </c>
      <c r="E107" s="14">
        <f>Data!X107</f>
        <v>0</v>
      </c>
    </row>
    <row r="108" spans="2:5" ht="15" customHeight="1" x14ac:dyDescent="0.3">
      <c r="C108" s="56"/>
      <c r="D108" s="8">
        <v>2021</v>
      </c>
      <c r="E108" s="14">
        <f>Data!X108</f>
        <v>0</v>
      </c>
    </row>
    <row r="109" spans="2:5" ht="15" customHeight="1" x14ac:dyDescent="0.3">
      <c r="C109" s="56"/>
      <c r="D109" s="8">
        <v>2022</v>
      </c>
      <c r="E109" s="14">
        <f>Data!X109</f>
        <v>0</v>
      </c>
    </row>
    <row r="110" spans="2:5" ht="15" customHeight="1" x14ac:dyDescent="0.3">
      <c r="C110" s="56"/>
      <c r="D110" s="8">
        <v>2023</v>
      </c>
      <c r="E110" s="14">
        <f>Data!X110</f>
        <v>0</v>
      </c>
    </row>
    <row r="111" spans="2:5" ht="15" customHeight="1" x14ac:dyDescent="0.3">
      <c r="C111" s="56"/>
      <c r="D111" s="8">
        <v>2024</v>
      </c>
      <c r="E111" s="14">
        <f>Data!X111</f>
        <v>0</v>
      </c>
    </row>
    <row r="112" spans="2:5" ht="15" customHeight="1" x14ac:dyDescent="0.3">
      <c r="B112" s="8">
        <v>11</v>
      </c>
      <c r="C112" s="56" t="s">
        <v>23</v>
      </c>
      <c r="D112" s="8">
        <v>2014</v>
      </c>
      <c r="E112" s="14">
        <f>Data!X112</f>
        <v>0</v>
      </c>
    </row>
    <row r="113" spans="2:5" ht="15" customHeight="1" x14ac:dyDescent="0.3">
      <c r="C113" s="56"/>
      <c r="D113" s="8">
        <v>2015</v>
      </c>
      <c r="E113" s="14">
        <f>Data!X113</f>
        <v>0</v>
      </c>
    </row>
    <row r="114" spans="2:5" ht="15" customHeight="1" x14ac:dyDescent="0.3">
      <c r="C114" s="56"/>
      <c r="D114" s="8">
        <v>2016</v>
      </c>
      <c r="E114" s="14">
        <f>Data!X114</f>
        <v>0</v>
      </c>
    </row>
    <row r="115" spans="2:5" ht="15" customHeight="1" x14ac:dyDescent="0.3">
      <c r="C115" s="56"/>
      <c r="D115" s="8">
        <v>2017</v>
      </c>
      <c r="E115" s="14">
        <f>Data!X115</f>
        <v>0</v>
      </c>
    </row>
    <row r="116" spans="2:5" ht="15" customHeight="1" x14ac:dyDescent="0.3">
      <c r="C116" s="56"/>
      <c r="D116" s="8">
        <v>2018</v>
      </c>
      <c r="E116" s="14">
        <f>Data!X116</f>
        <v>0</v>
      </c>
    </row>
    <row r="117" spans="2:5" ht="15" customHeight="1" x14ac:dyDescent="0.3">
      <c r="C117" s="56"/>
      <c r="D117" s="8">
        <v>2019</v>
      </c>
      <c r="E117" s="14">
        <f>Data!X117</f>
        <v>0</v>
      </c>
    </row>
    <row r="118" spans="2:5" ht="15" customHeight="1" x14ac:dyDescent="0.3">
      <c r="C118" s="56"/>
      <c r="D118" s="8">
        <v>2020</v>
      </c>
      <c r="E118" s="14">
        <f>Data!X118</f>
        <v>3</v>
      </c>
    </row>
    <row r="119" spans="2:5" ht="15" customHeight="1" x14ac:dyDescent="0.3">
      <c r="C119" s="56"/>
      <c r="D119" s="8">
        <v>2021</v>
      </c>
      <c r="E119" s="14">
        <f>Data!X119</f>
        <v>12</v>
      </c>
    </row>
    <row r="120" spans="2:5" ht="15" customHeight="1" x14ac:dyDescent="0.3">
      <c r="C120" s="56"/>
      <c r="D120" s="8">
        <v>2022</v>
      </c>
      <c r="E120" s="14">
        <f>Data!X120</f>
        <v>16</v>
      </c>
    </row>
    <row r="121" spans="2:5" ht="15" customHeight="1" x14ac:dyDescent="0.3">
      <c r="C121" s="56"/>
      <c r="D121" s="8">
        <v>2023</v>
      </c>
      <c r="E121" s="14">
        <f>Data!X121</f>
        <v>17</v>
      </c>
    </row>
    <row r="122" spans="2:5" ht="15" customHeight="1" x14ac:dyDescent="0.3">
      <c r="C122" s="56"/>
      <c r="D122" s="8">
        <v>2024</v>
      </c>
      <c r="E122" s="14">
        <f>Data!X122</f>
        <v>0</v>
      </c>
    </row>
    <row r="123" spans="2:5" ht="15" customHeight="1" x14ac:dyDescent="0.3">
      <c r="B123" s="8">
        <v>12</v>
      </c>
      <c r="C123" s="56" t="s">
        <v>24</v>
      </c>
      <c r="D123" s="8">
        <v>2014</v>
      </c>
      <c r="E123" s="14">
        <f>Data!X123</f>
        <v>0</v>
      </c>
    </row>
    <row r="124" spans="2:5" ht="15" customHeight="1" x14ac:dyDescent="0.3">
      <c r="C124" s="56"/>
      <c r="D124" s="8">
        <v>2015</v>
      </c>
      <c r="E124" s="14">
        <f>Data!X124</f>
        <v>10</v>
      </c>
    </row>
    <row r="125" spans="2:5" ht="15" customHeight="1" x14ac:dyDescent="0.3">
      <c r="C125" s="56"/>
      <c r="D125" s="8">
        <v>2016</v>
      </c>
      <c r="E125" s="14">
        <f>Data!X125</f>
        <v>8</v>
      </c>
    </row>
    <row r="126" spans="2:5" ht="15" customHeight="1" x14ac:dyDescent="0.3">
      <c r="C126" s="56"/>
      <c r="D126" s="8">
        <v>2017</v>
      </c>
      <c r="E126" s="14">
        <f>Data!X126</f>
        <v>8</v>
      </c>
    </row>
    <row r="127" spans="2:5" ht="15" customHeight="1" x14ac:dyDescent="0.3">
      <c r="C127" s="56"/>
      <c r="D127" s="8">
        <v>2018</v>
      </c>
      <c r="E127" s="14">
        <f>Data!X127</f>
        <v>12</v>
      </c>
    </row>
    <row r="128" spans="2:5" ht="15" customHeight="1" x14ac:dyDescent="0.3">
      <c r="C128" s="56"/>
      <c r="D128" s="8">
        <v>2019</v>
      </c>
      <c r="E128" s="14">
        <f>Data!X128</f>
        <v>18</v>
      </c>
    </row>
    <row r="129" spans="2:5" ht="15" customHeight="1" x14ac:dyDescent="0.3">
      <c r="C129" s="56"/>
      <c r="D129" s="8">
        <v>2020</v>
      </c>
      <c r="E129" s="14">
        <f>Data!X129</f>
        <v>15</v>
      </c>
    </row>
    <row r="130" spans="2:5" ht="15" customHeight="1" x14ac:dyDescent="0.3">
      <c r="C130" s="56"/>
      <c r="D130" s="8">
        <v>2021</v>
      </c>
      <c r="E130" s="14">
        <f>Data!X130</f>
        <v>15</v>
      </c>
    </row>
    <row r="131" spans="2:5" ht="15" customHeight="1" x14ac:dyDescent="0.3">
      <c r="C131" s="56"/>
      <c r="D131" s="8">
        <v>2022</v>
      </c>
      <c r="E131" s="14">
        <f>Data!X131</f>
        <v>18</v>
      </c>
    </row>
    <row r="132" spans="2:5" ht="15" customHeight="1" x14ac:dyDescent="0.3">
      <c r="C132" s="56"/>
      <c r="D132" s="8">
        <v>2023</v>
      </c>
      <c r="E132" s="14">
        <f>Data!X132</f>
        <v>15</v>
      </c>
    </row>
    <row r="133" spans="2:5" ht="15" customHeight="1" x14ac:dyDescent="0.3">
      <c r="C133" s="56"/>
      <c r="D133" s="8">
        <v>2024</v>
      </c>
      <c r="E133" s="14">
        <f>Data!X133</f>
        <v>18</v>
      </c>
    </row>
    <row r="134" spans="2:5" ht="15" customHeight="1" x14ac:dyDescent="0.3">
      <c r="B134" s="8">
        <v>13</v>
      </c>
      <c r="C134" s="56" t="s">
        <v>18</v>
      </c>
      <c r="D134" s="8">
        <v>2014</v>
      </c>
      <c r="E134" s="14">
        <f>Data!X134</f>
        <v>0</v>
      </c>
    </row>
    <row r="135" spans="2:5" ht="15" customHeight="1" x14ac:dyDescent="0.3">
      <c r="C135" s="56"/>
      <c r="D135" s="8">
        <v>2015</v>
      </c>
      <c r="E135" s="14">
        <f>Data!X135</f>
        <v>0</v>
      </c>
    </row>
    <row r="136" spans="2:5" ht="15" customHeight="1" x14ac:dyDescent="0.3">
      <c r="C136" s="56"/>
      <c r="D136" s="8">
        <v>2016</v>
      </c>
      <c r="E136" s="14">
        <f>Data!X136</f>
        <v>0</v>
      </c>
    </row>
    <row r="137" spans="2:5" ht="15" customHeight="1" x14ac:dyDescent="0.3">
      <c r="C137" s="56"/>
      <c r="D137" s="8">
        <v>2017</v>
      </c>
      <c r="E137" s="14">
        <f>Data!X137</f>
        <v>0</v>
      </c>
    </row>
    <row r="138" spans="2:5" ht="15" customHeight="1" x14ac:dyDescent="0.3">
      <c r="C138" s="56"/>
      <c r="D138" s="8">
        <v>2018</v>
      </c>
      <c r="E138" s="14">
        <f>Data!X138</f>
        <v>0</v>
      </c>
    </row>
    <row r="139" spans="2:5" ht="15" customHeight="1" x14ac:dyDescent="0.3">
      <c r="C139" s="56"/>
      <c r="D139" s="8">
        <v>2019</v>
      </c>
      <c r="E139" s="14">
        <f>Data!X139</f>
        <v>0</v>
      </c>
    </row>
    <row r="140" spans="2:5" ht="15" customHeight="1" x14ac:dyDescent="0.3">
      <c r="C140" s="56"/>
      <c r="D140" s="8">
        <v>2020</v>
      </c>
      <c r="E140" s="14">
        <f>Data!X140</f>
        <v>0</v>
      </c>
    </row>
    <row r="141" spans="2:5" ht="15" customHeight="1" x14ac:dyDescent="0.3">
      <c r="C141" s="56"/>
      <c r="D141" s="8">
        <v>2021</v>
      </c>
      <c r="E141" s="14">
        <f>Data!X141</f>
        <v>0</v>
      </c>
    </row>
    <row r="142" spans="2:5" ht="15" customHeight="1" x14ac:dyDescent="0.3">
      <c r="C142" s="56"/>
      <c r="D142" s="8">
        <v>2022</v>
      </c>
      <c r="E142" s="14">
        <f>Data!X142</f>
        <v>0</v>
      </c>
    </row>
    <row r="143" spans="2:5" ht="15" customHeight="1" x14ac:dyDescent="0.3">
      <c r="C143" s="56"/>
      <c r="D143" s="8">
        <v>2023</v>
      </c>
      <c r="E143" s="14">
        <f>Data!X143</f>
        <v>0</v>
      </c>
    </row>
    <row r="144" spans="2:5" ht="15" customHeight="1" x14ac:dyDescent="0.3">
      <c r="C144" s="56"/>
      <c r="D144" s="8">
        <v>2024</v>
      </c>
      <c r="E144" s="14">
        <f>Data!X144</f>
        <v>0</v>
      </c>
    </row>
    <row r="145" spans="2:5" ht="15" customHeight="1" x14ac:dyDescent="0.3">
      <c r="B145" s="8">
        <v>14</v>
      </c>
      <c r="C145" s="57" t="s">
        <v>57</v>
      </c>
      <c r="D145" s="8">
        <v>2014</v>
      </c>
      <c r="E145" s="14">
        <f>Data!X145</f>
        <v>0</v>
      </c>
    </row>
    <row r="146" spans="2:5" ht="15" customHeight="1" x14ac:dyDescent="0.3">
      <c r="C146" s="57"/>
      <c r="D146" s="8">
        <v>2015</v>
      </c>
      <c r="E146" s="14">
        <f>Data!X146</f>
        <v>0</v>
      </c>
    </row>
    <row r="147" spans="2:5" ht="15" customHeight="1" x14ac:dyDescent="0.3">
      <c r="C147" s="57"/>
      <c r="D147" s="8">
        <v>2016</v>
      </c>
      <c r="E147" s="14">
        <f>Data!X147</f>
        <v>0</v>
      </c>
    </row>
    <row r="148" spans="2:5" ht="15" customHeight="1" x14ac:dyDescent="0.3">
      <c r="C148" s="57"/>
      <c r="D148" s="8">
        <v>2017</v>
      </c>
      <c r="E148" s="14">
        <f>Data!X148</f>
        <v>0</v>
      </c>
    </row>
    <row r="149" spans="2:5" ht="15" customHeight="1" x14ac:dyDescent="0.3">
      <c r="C149" s="57"/>
      <c r="D149" s="8">
        <v>2018</v>
      </c>
      <c r="E149" s="14">
        <f>Data!X149</f>
        <v>0</v>
      </c>
    </row>
    <row r="150" spans="2:5" ht="15" customHeight="1" x14ac:dyDescent="0.3">
      <c r="C150" s="57"/>
      <c r="D150" s="8">
        <v>2019</v>
      </c>
      <c r="E150" s="14">
        <f>Data!X150</f>
        <v>0</v>
      </c>
    </row>
    <row r="151" spans="2:5" ht="15" customHeight="1" x14ac:dyDescent="0.3">
      <c r="C151" s="57"/>
      <c r="D151" s="8">
        <v>2020</v>
      </c>
      <c r="E151" s="14">
        <f>Data!X151</f>
        <v>0</v>
      </c>
    </row>
    <row r="152" spans="2:5" ht="15" customHeight="1" x14ac:dyDescent="0.3">
      <c r="C152" s="57"/>
      <c r="D152" s="8">
        <v>2021</v>
      </c>
      <c r="E152" s="14">
        <f>Data!X152</f>
        <v>0</v>
      </c>
    </row>
    <row r="153" spans="2:5" ht="15" customHeight="1" x14ac:dyDescent="0.3">
      <c r="C153" s="57"/>
      <c r="D153" s="8">
        <v>2022</v>
      </c>
      <c r="E153" s="14">
        <f>Data!X153</f>
        <v>0</v>
      </c>
    </row>
    <row r="154" spans="2:5" ht="15" customHeight="1" x14ac:dyDescent="0.3">
      <c r="C154" s="57"/>
      <c r="D154" s="8">
        <v>2023</v>
      </c>
      <c r="E154" s="14">
        <f>Data!X154</f>
        <v>0</v>
      </c>
    </row>
    <row r="155" spans="2:5" ht="15" customHeight="1" x14ac:dyDescent="0.3">
      <c r="C155" s="57"/>
      <c r="D155" s="8">
        <v>2024</v>
      </c>
      <c r="E155" s="14">
        <f>Data!X155</f>
        <v>0</v>
      </c>
    </row>
    <row r="156" spans="2:5" ht="15" customHeight="1" x14ac:dyDescent="0.3">
      <c r="B156" s="8">
        <v>15</v>
      </c>
      <c r="C156" s="56" t="s">
        <v>25</v>
      </c>
      <c r="D156" s="8">
        <v>2014</v>
      </c>
      <c r="E156" s="14">
        <f>Data!X156</f>
        <v>0</v>
      </c>
    </row>
    <row r="157" spans="2:5" ht="15" customHeight="1" x14ac:dyDescent="0.3">
      <c r="C157" s="56"/>
      <c r="D157" s="8">
        <v>2015</v>
      </c>
      <c r="E157" s="14">
        <f>Data!X157</f>
        <v>0</v>
      </c>
    </row>
    <row r="158" spans="2:5" ht="15" customHeight="1" x14ac:dyDescent="0.3">
      <c r="C158" s="56"/>
      <c r="D158" s="8">
        <v>2016</v>
      </c>
      <c r="E158" s="14">
        <f>Data!X158</f>
        <v>0</v>
      </c>
    </row>
    <row r="159" spans="2:5" ht="15" customHeight="1" x14ac:dyDescent="0.3">
      <c r="C159" s="56"/>
      <c r="D159" s="8">
        <v>2017</v>
      </c>
      <c r="E159" s="14">
        <f>Data!X159</f>
        <v>0</v>
      </c>
    </row>
    <row r="160" spans="2:5" ht="15" customHeight="1" x14ac:dyDescent="0.3">
      <c r="C160" s="56"/>
      <c r="D160" s="8">
        <v>2018</v>
      </c>
      <c r="E160" s="14">
        <f>Data!X160</f>
        <v>0</v>
      </c>
    </row>
    <row r="161" spans="2:5" ht="15" customHeight="1" x14ac:dyDescent="0.3">
      <c r="C161" s="56"/>
      <c r="D161" s="8">
        <v>2019</v>
      </c>
      <c r="E161" s="14">
        <f>Data!X161</f>
        <v>0</v>
      </c>
    </row>
    <row r="162" spans="2:5" ht="15" customHeight="1" x14ac:dyDescent="0.3">
      <c r="C162" s="56"/>
      <c r="D162" s="8">
        <v>2020</v>
      </c>
      <c r="E162" s="14">
        <f>Data!X162</f>
        <v>0</v>
      </c>
    </row>
    <row r="163" spans="2:5" ht="15" customHeight="1" x14ac:dyDescent="0.3">
      <c r="C163" s="56"/>
      <c r="D163" s="8">
        <v>2021</v>
      </c>
      <c r="E163" s="14">
        <f>Data!X163</f>
        <v>0</v>
      </c>
    </row>
    <row r="164" spans="2:5" ht="15" customHeight="1" x14ac:dyDescent="0.3">
      <c r="C164" s="56"/>
      <c r="D164" s="8">
        <v>2022</v>
      </c>
      <c r="E164" s="14">
        <f>Data!X164</f>
        <v>0</v>
      </c>
    </row>
    <row r="165" spans="2:5" ht="15" customHeight="1" x14ac:dyDescent="0.3">
      <c r="C165" s="56"/>
      <c r="D165" s="8">
        <v>2023</v>
      </c>
      <c r="E165" s="14">
        <f>Data!X165</f>
        <v>0</v>
      </c>
    </row>
    <row r="166" spans="2:5" ht="15" customHeight="1" x14ac:dyDescent="0.3">
      <c r="C166" s="56"/>
      <c r="D166" s="8">
        <v>2024</v>
      </c>
      <c r="E166" s="14">
        <f>Data!X166</f>
        <v>0</v>
      </c>
    </row>
    <row r="167" spans="2:5" ht="15" customHeight="1" x14ac:dyDescent="0.3">
      <c r="B167" s="8">
        <v>16</v>
      </c>
      <c r="C167" s="56" t="s">
        <v>44</v>
      </c>
      <c r="D167" s="8">
        <v>2014</v>
      </c>
      <c r="E167" s="14">
        <f>Data!X167</f>
        <v>0</v>
      </c>
    </row>
    <row r="168" spans="2:5" ht="15" customHeight="1" x14ac:dyDescent="0.3">
      <c r="C168" s="56"/>
      <c r="D168" s="8">
        <v>2015</v>
      </c>
      <c r="E168" s="14">
        <f>Data!X168</f>
        <v>3</v>
      </c>
    </row>
    <row r="169" spans="2:5" ht="15" customHeight="1" x14ac:dyDescent="0.3">
      <c r="C169" s="56"/>
      <c r="D169" s="8">
        <v>2016</v>
      </c>
      <c r="E169" s="14">
        <f>Data!X169</f>
        <v>4</v>
      </c>
    </row>
    <row r="170" spans="2:5" ht="15" customHeight="1" x14ac:dyDescent="0.3">
      <c r="C170" s="56"/>
      <c r="D170" s="8">
        <v>2017</v>
      </c>
      <c r="E170" s="14">
        <f>Data!X170</f>
        <v>4</v>
      </c>
    </row>
    <row r="171" spans="2:5" ht="15" customHeight="1" x14ac:dyDescent="0.3">
      <c r="C171" s="56"/>
      <c r="D171" s="8">
        <v>2018</v>
      </c>
      <c r="E171" s="14">
        <f>Data!X171</f>
        <v>4</v>
      </c>
    </row>
    <row r="172" spans="2:5" ht="15" customHeight="1" x14ac:dyDescent="0.3">
      <c r="C172" s="56"/>
      <c r="D172" s="8">
        <v>2019</v>
      </c>
      <c r="E172" s="14">
        <f>Data!X172</f>
        <v>2</v>
      </c>
    </row>
    <row r="173" spans="2:5" ht="15" customHeight="1" x14ac:dyDescent="0.3">
      <c r="C173" s="56"/>
      <c r="D173" s="8">
        <v>2020</v>
      </c>
      <c r="E173" s="14">
        <f>Data!X173</f>
        <v>3</v>
      </c>
    </row>
    <row r="174" spans="2:5" ht="15" customHeight="1" x14ac:dyDescent="0.3">
      <c r="C174" s="56"/>
      <c r="D174" s="8">
        <v>2021</v>
      </c>
      <c r="E174" s="14">
        <f>Data!X174</f>
        <v>3</v>
      </c>
    </row>
    <row r="175" spans="2:5" ht="15" customHeight="1" x14ac:dyDescent="0.3">
      <c r="C175" s="56"/>
      <c r="D175" s="8">
        <v>2022</v>
      </c>
      <c r="E175" s="14">
        <f>Data!X175</f>
        <v>3</v>
      </c>
    </row>
    <row r="176" spans="2:5" ht="15" customHeight="1" x14ac:dyDescent="0.3">
      <c r="C176" s="56"/>
      <c r="D176" s="8">
        <v>2023</v>
      </c>
      <c r="E176" s="14">
        <f>Data!X176</f>
        <v>3</v>
      </c>
    </row>
    <row r="177" spans="2:5" ht="15" customHeight="1" x14ac:dyDescent="0.3">
      <c r="C177" s="56"/>
      <c r="D177" s="8">
        <v>2024</v>
      </c>
      <c r="E177" s="14">
        <f>Data!X177</f>
        <v>0</v>
      </c>
    </row>
    <row r="178" spans="2:5" ht="15" customHeight="1" x14ac:dyDescent="0.3">
      <c r="B178" s="8">
        <v>17</v>
      </c>
      <c r="C178" s="56" t="s">
        <v>22</v>
      </c>
      <c r="D178" s="8">
        <v>2014</v>
      </c>
      <c r="E178" s="14">
        <f>Data!X178</f>
        <v>0</v>
      </c>
    </row>
    <row r="179" spans="2:5" ht="15" customHeight="1" x14ac:dyDescent="0.3">
      <c r="C179" s="56"/>
      <c r="D179" s="8">
        <v>2015</v>
      </c>
      <c r="E179" s="14">
        <f>Data!X179</f>
        <v>0</v>
      </c>
    </row>
    <row r="180" spans="2:5" ht="15" customHeight="1" x14ac:dyDescent="0.3">
      <c r="C180" s="56"/>
      <c r="D180" s="8">
        <v>2016</v>
      </c>
      <c r="E180" s="14">
        <f>Data!X180</f>
        <v>0</v>
      </c>
    </row>
    <row r="181" spans="2:5" ht="15" customHeight="1" x14ac:dyDescent="0.3">
      <c r="C181" s="56"/>
      <c r="D181" s="8">
        <v>2017</v>
      </c>
      <c r="E181" s="14">
        <f>Data!X181</f>
        <v>0</v>
      </c>
    </row>
    <row r="182" spans="2:5" ht="15" customHeight="1" x14ac:dyDescent="0.3">
      <c r="C182" s="56"/>
      <c r="D182" s="8">
        <v>2018</v>
      </c>
      <c r="E182" s="14">
        <f>Data!X182</f>
        <v>0</v>
      </c>
    </row>
    <row r="183" spans="2:5" ht="15" customHeight="1" x14ac:dyDescent="0.3">
      <c r="C183" s="56"/>
      <c r="D183" s="8">
        <v>2019</v>
      </c>
      <c r="E183" s="14">
        <f>Data!X183</f>
        <v>0</v>
      </c>
    </row>
    <row r="184" spans="2:5" ht="15" customHeight="1" x14ac:dyDescent="0.3">
      <c r="C184" s="56"/>
      <c r="D184" s="8">
        <v>2020</v>
      </c>
      <c r="E184" s="14">
        <f>Data!X184</f>
        <v>0</v>
      </c>
    </row>
    <row r="185" spans="2:5" ht="15" customHeight="1" x14ac:dyDescent="0.3">
      <c r="C185" s="56"/>
      <c r="D185" s="8">
        <v>2021</v>
      </c>
      <c r="E185" s="14">
        <f>Data!X185</f>
        <v>0</v>
      </c>
    </row>
    <row r="186" spans="2:5" ht="15" customHeight="1" x14ac:dyDescent="0.3">
      <c r="C186" s="56"/>
      <c r="D186" s="8">
        <v>2022</v>
      </c>
      <c r="E186" s="14">
        <f>Data!X186</f>
        <v>0</v>
      </c>
    </row>
    <row r="187" spans="2:5" ht="15" customHeight="1" x14ac:dyDescent="0.3">
      <c r="C187" s="56"/>
      <c r="D187" s="8">
        <v>2023</v>
      </c>
      <c r="E187" s="14">
        <f>Data!X187</f>
        <v>0</v>
      </c>
    </row>
    <row r="188" spans="2:5" ht="15" customHeight="1" x14ac:dyDescent="0.3">
      <c r="C188" s="56"/>
      <c r="D188" s="8">
        <v>2024</v>
      </c>
      <c r="E188" s="14">
        <f>Data!X188</f>
        <v>0</v>
      </c>
    </row>
    <row r="189" spans="2:5" ht="15" customHeight="1" x14ac:dyDescent="0.3">
      <c r="B189" s="8">
        <v>18</v>
      </c>
      <c r="C189" s="56" t="s">
        <v>45</v>
      </c>
      <c r="D189" s="8">
        <v>2014</v>
      </c>
      <c r="E189" s="14">
        <f>Data!X189</f>
        <v>0</v>
      </c>
    </row>
    <row r="190" spans="2:5" ht="15" customHeight="1" x14ac:dyDescent="0.3">
      <c r="C190" s="56"/>
      <c r="D190" s="8">
        <v>2015</v>
      </c>
      <c r="E190" s="14">
        <f>Data!X190</f>
        <v>0</v>
      </c>
    </row>
    <row r="191" spans="2:5" ht="15" customHeight="1" x14ac:dyDescent="0.3">
      <c r="C191" s="56"/>
      <c r="D191" s="8">
        <v>2016</v>
      </c>
      <c r="E191" s="14">
        <f>Data!X191</f>
        <v>0</v>
      </c>
    </row>
    <row r="192" spans="2:5" ht="15" customHeight="1" x14ac:dyDescent="0.3">
      <c r="C192" s="56"/>
      <c r="D192" s="8">
        <v>2017</v>
      </c>
      <c r="E192" s="14">
        <f>Data!X192</f>
        <v>0</v>
      </c>
    </row>
    <row r="193" spans="2:5" ht="15" customHeight="1" x14ac:dyDescent="0.3">
      <c r="C193" s="56"/>
      <c r="D193" s="8">
        <v>2018</v>
      </c>
      <c r="E193" s="14">
        <f>Data!X193</f>
        <v>0</v>
      </c>
    </row>
    <row r="194" spans="2:5" ht="15" customHeight="1" x14ac:dyDescent="0.3">
      <c r="C194" s="56"/>
      <c r="D194" s="8">
        <v>2019</v>
      </c>
      <c r="E194" s="14">
        <f>Data!X194</f>
        <v>0</v>
      </c>
    </row>
    <row r="195" spans="2:5" ht="15" customHeight="1" x14ac:dyDescent="0.3">
      <c r="C195" s="56"/>
      <c r="D195" s="8">
        <v>2020</v>
      </c>
      <c r="E195" s="14">
        <f>Data!X195</f>
        <v>0</v>
      </c>
    </row>
    <row r="196" spans="2:5" ht="15" customHeight="1" x14ac:dyDescent="0.3">
      <c r="C196" s="56"/>
      <c r="D196" s="8">
        <v>2021</v>
      </c>
      <c r="E196" s="14">
        <f>Data!X196</f>
        <v>0</v>
      </c>
    </row>
    <row r="197" spans="2:5" ht="15" customHeight="1" x14ac:dyDescent="0.3">
      <c r="C197" s="56"/>
      <c r="D197" s="8">
        <v>2022</v>
      </c>
      <c r="E197" s="14">
        <f>Data!X197</f>
        <v>0</v>
      </c>
    </row>
    <row r="198" spans="2:5" ht="15" customHeight="1" x14ac:dyDescent="0.3">
      <c r="C198" s="56"/>
      <c r="D198" s="8">
        <v>2023</v>
      </c>
      <c r="E198" s="14">
        <f>Data!X198</f>
        <v>0</v>
      </c>
    </row>
    <row r="199" spans="2:5" ht="15" customHeight="1" x14ac:dyDescent="0.3">
      <c r="C199" s="56"/>
      <c r="D199" s="8">
        <v>2024</v>
      </c>
      <c r="E199" s="14">
        <f>Data!X199</f>
        <v>0</v>
      </c>
    </row>
    <row r="200" spans="2:5" ht="15" customHeight="1" x14ac:dyDescent="0.3">
      <c r="B200" s="8">
        <v>19</v>
      </c>
      <c r="C200" s="56" t="s">
        <v>46</v>
      </c>
      <c r="D200" s="8">
        <v>2014</v>
      </c>
      <c r="E200" s="14">
        <f>Data!X200</f>
        <v>0</v>
      </c>
    </row>
    <row r="201" spans="2:5" ht="15" customHeight="1" x14ac:dyDescent="0.3">
      <c r="C201" s="56"/>
      <c r="D201" s="8">
        <v>2015</v>
      </c>
      <c r="E201" s="14">
        <f>Data!X201</f>
        <v>0</v>
      </c>
    </row>
    <row r="202" spans="2:5" ht="15" customHeight="1" x14ac:dyDescent="0.3">
      <c r="C202" s="56"/>
      <c r="D202" s="8">
        <v>2016</v>
      </c>
      <c r="E202" s="14">
        <f>Data!X202</f>
        <v>0</v>
      </c>
    </row>
    <row r="203" spans="2:5" ht="15" customHeight="1" x14ac:dyDescent="0.3">
      <c r="C203" s="56"/>
      <c r="D203" s="8">
        <v>2017</v>
      </c>
      <c r="E203" s="14">
        <f>Data!X203</f>
        <v>0</v>
      </c>
    </row>
    <row r="204" spans="2:5" ht="15" customHeight="1" x14ac:dyDescent="0.3">
      <c r="C204" s="56"/>
      <c r="D204" s="8">
        <v>2018</v>
      </c>
      <c r="E204" s="14">
        <f>Data!X204</f>
        <v>0</v>
      </c>
    </row>
    <row r="205" spans="2:5" ht="15" customHeight="1" x14ac:dyDescent="0.3">
      <c r="C205" s="56"/>
      <c r="D205" s="8">
        <v>2019</v>
      </c>
      <c r="E205" s="14">
        <f>Data!X205</f>
        <v>0</v>
      </c>
    </row>
    <row r="206" spans="2:5" ht="15" customHeight="1" x14ac:dyDescent="0.3">
      <c r="C206" s="56"/>
      <c r="D206" s="8">
        <v>2020</v>
      </c>
      <c r="E206" s="14">
        <f>Data!X206</f>
        <v>0</v>
      </c>
    </row>
    <row r="207" spans="2:5" ht="15" customHeight="1" x14ac:dyDescent="0.3">
      <c r="C207" s="56"/>
      <c r="D207" s="8">
        <v>2021</v>
      </c>
      <c r="E207" s="14">
        <f>Data!X207</f>
        <v>0</v>
      </c>
    </row>
    <row r="208" spans="2:5" ht="15" customHeight="1" x14ac:dyDescent="0.3">
      <c r="C208" s="56"/>
      <c r="D208" s="8">
        <v>2022</v>
      </c>
      <c r="E208" s="14">
        <f>Data!X208</f>
        <v>0</v>
      </c>
    </row>
    <row r="209" spans="2:5" ht="15" customHeight="1" x14ac:dyDescent="0.3">
      <c r="C209" s="56"/>
      <c r="D209" s="8">
        <v>2023</v>
      </c>
      <c r="E209" s="14">
        <f>Data!X209</f>
        <v>0</v>
      </c>
    </row>
    <row r="210" spans="2:5" ht="15" customHeight="1" x14ac:dyDescent="0.3">
      <c r="C210" s="56"/>
      <c r="D210" s="8">
        <v>2024</v>
      </c>
      <c r="E210" s="14">
        <f>Data!X210</f>
        <v>0</v>
      </c>
    </row>
    <row r="211" spans="2:5" ht="15" customHeight="1" x14ac:dyDescent="0.3">
      <c r="B211" s="8">
        <v>20</v>
      </c>
      <c r="C211" s="56" t="s">
        <v>27</v>
      </c>
      <c r="D211" s="8">
        <v>2014</v>
      </c>
      <c r="E211" s="14">
        <f>Data!X211</f>
        <v>0</v>
      </c>
    </row>
    <row r="212" spans="2:5" ht="15" customHeight="1" x14ac:dyDescent="0.3">
      <c r="C212" s="56"/>
      <c r="D212" s="8">
        <v>2015</v>
      </c>
      <c r="E212" s="14">
        <f>Data!X212</f>
        <v>0</v>
      </c>
    </row>
    <row r="213" spans="2:5" ht="15" customHeight="1" x14ac:dyDescent="0.3">
      <c r="C213" s="56"/>
      <c r="D213" s="8">
        <v>2016</v>
      </c>
      <c r="E213" s="14">
        <f>Data!X213</f>
        <v>0</v>
      </c>
    </row>
    <row r="214" spans="2:5" ht="15" customHeight="1" x14ac:dyDescent="0.3">
      <c r="C214" s="56"/>
      <c r="D214" s="8">
        <v>2017</v>
      </c>
      <c r="E214" s="14">
        <f>Data!X214</f>
        <v>0</v>
      </c>
    </row>
    <row r="215" spans="2:5" ht="15" customHeight="1" x14ac:dyDescent="0.3">
      <c r="C215" s="56"/>
      <c r="D215" s="8">
        <v>2018</v>
      </c>
      <c r="E215" s="14">
        <f>Data!X215</f>
        <v>0</v>
      </c>
    </row>
    <row r="216" spans="2:5" ht="15" customHeight="1" x14ac:dyDescent="0.3">
      <c r="C216" s="56"/>
      <c r="D216" s="8">
        <v>2019</v>
      </c>
      <c r="E216" s="14">
        <f>Data!X216</f>
        <v>0</v>
      </c>
    </row>
    <row r="217" spans="2:5" ht="15" customHeight="1" x14ac:dyDescent="0.3">
      <c r="C217" s="56"/>
      <c r="D217" s="8">
        <v>2020</v>
      </c>
      <c r="E217" s="14">
        <f>Data!X217</f>
        <v>0</v>
      </c>
    </row>
    <row r="218" spans="2:5" ht="15" customHeight="1" x14ac:dyDescent="0.3">
      <c r="C218" s="56"/>
      <c r="D218" s="8">
        <v>2021</v>
      </c>
      <c r="E218" s="14">
        <f>Data!X218</f>
        <v>0</v>
      </c>
    </row>
    <row r="219" spans="2:5" ht="15" customHeight="1" x14ac:dyDescent="0.3">
      <c r="C219" s="56"/>
      <c r="D219" s="8">
        <v>2022</v>
      </c>
      <c r="E219" s="14">
        <f>Data!X219</f>
        <v>0</v>
      </c>
    </row>
    <row r="220" spans="2:5" ht="15" customHeight="1" x14ac:dyDescent="0.3">
      <c r="C220" s="56"/>
      <c r="D220" s="8">
        <v>2023</v>
      </c>
      <c r="E220" s="14">
        <f>Data!X220</f>
        <v>0</v>
      </c>
    </row>
    <row r="221" spans="2:5" ht="15" customHeight="1" x14ac:dyDescent="0.3">
      <c r="C221" s="56"/>
      <c r="D221" s="8">
        <v>2024</v>
      </c>
      <c r="E221" s="14">
        <f>Data!X221</f>
        <v>0</v>
      </c>
    </row>
    <row r="222" spans="2:5" ht="15" customHeight="1" x14ac:dyDescent="0.3">
      <c r="B222" s="8">
        <v>21</v>
      </c>
      <c r="C222" s="57" t="s">
        <v>52</v>
      </c>
      <c r="D222" s="8">
        <v>2014</v>
      </c>
      <c r="E222" s="14">
        <f>Data!X222</f>
        <v>0</v>
      </c>
    </row>
    <row r="223" spans="2:5" ht="15" customHeight="1" x14ac:dyDescent="0.3">
      <c r="C223" s="57"/>
      <c r="D223" s="8">
        <v>2015</v>
      </c>
      <c r="E223" s="14">
        <f>Data!X223</f>
        <v>0</v>
      </c>
    </row>
    <row r="224" spans="2:5" ht="15" customHeight="1" x14ac:dyDescent="0.3">
      <c r="C224" s="57"/>
      <c r="D224" s="8">
        <v>2016</v>
      </c>
      <c r="E224" s="14">
        <f>Data!X224</f>
        <v>0</v>
      </c>
    </row>
    <row r="225" spans="2:5" ht="15" customHeight="1" x14ac:dyDescent="0.3">
      <c r="C225" s="57"/>
      <c r="D225" s="8">
        <v>2017</v>
      </c>
      <c r="E225" s="14">
        <f>Data!X225</f>
        <v>0</v>
      </c>
    </row>
    <row r="226" spans="2:5" ht="15" customHeight="1" x14ac:dyDescent="0.3">
      <c r="C226" s="57"/>
      <c r="D226" s="8">
        <v>2018</v>
      </c>
      <c r="E226" s="14">
        <f>Data!X226</f>
        <v>0</v>
      </c>
    </row>
    <row r="227" spans="2:5" ht="15" customHeight="1" x14ac:dyDescent="0.3">
      <c r="C227" s="57"/>
      <c r="D227" s="8">
        <v>2019</v>
      </c>
      <c r="E227" s="14">
        <f>Data!X227</f>
        <v>0</v>
      </c>
    </row>
    <row r="228" spans="2:5" ht="15" customHeight="1" x14ac:dyDescent="0.3">
      <c r="C228" s="57"/>
      <c r="D228" s="8">
        <v>2020</v>
      </c>
      <c r="E228" s="14">
        <f>Data!X228</f>
        <v>3</v>
      </c>
    </row>
    <row r="229" spans="2:5" ht="15" customHeight="1" x14ac:dyDescent="0.3">
      <c r="C229" s="57"/>
      <c r="D229" s="8">
        <v>2021</v>
      </c>
      <c r="E229" s="14">
        <f>Data!X229</f>
        <v>3</v>
      </c>
    </row>
    <row r="230" spans="2:5" ht="15" customHeight="1" x14ac:dyDescent="0.3">
      <c r="C230" s="57"/>
      <c r="D230" s="8">
        <v>2022</v>
      </c>
      <c r="E230" s="14">
        <f>Data!X230</f>
        <v>3</v>
      </c>
    </row>
    <row r="231" spans="2:5" ht="15" customHeight="1" x14ac:dyDescent="0.3">
      <c r="C231" s="57"/>
      <c r="D231" s="8">
        <v>2023</v>
      </c>
      <c r="E231" s="14">
        <f>Data!X231</f>
        <v>3</v>
      </c>
    </row>
    <row r="232" spans="2:5" ht="15" customHeight="1" x14ac:dyDescent="0.3">
      <c r="C232" s="57"/>
      <c r="D232" s="8">
        <v>2024</v>
      </c>
      <c r="E232" s="14">
        <f>Data!X232</f>
        <v>3</v>
      </c>
    </row>
    <row r="233" spans="2:5" ht="15" customHeight="1" x14ac:dyDescent="0.3">
      <c r="B233" s="8">
        <v>22</v>
      </c>
      <c r="C233" s="57" t="s">
        <v>53</v>
      </c>
      <c r="D233" s="8">
        <v>2014</v>
      </c>
      <c r="E233" s="14">
        <f>Data!X233</f>
        <v>0</v>
      </c>
    </row>
    <row r="234" spans="2:5" ht="15" customHeight="1" x14ac:dyDescent="0.3">
      <c r="C234" s="57"/>
      <c r="D234" s="8">
        <v>2015</v>
      </c>
      <c r="E234" s="14">
        <f>Data!X234</f>
        <v>0</v>
      </c>
    </row>
    <row r="235" spans="2:5" ht="15" customHeight="1" x14ac:dyDescent="0.3">
      <c r="C235" s="57"/>
      <c r="D235" s="8">
        <v>2016</v>
      </c>
      <c r="E235" s="14">
        <f>Data!X235</f>
        <v>0</v>
      </c>
    </row>
    <row r="236" spans="2:5" ht="15" customHeight="1" x14ac:dyDescent="0.3">
      <c r="C236" s="57"/>
      <c r="D236" s="8">
        <v>2017</v>
      </c>
      <c r="E236" s="14">
        <f>Data!X236</f>
        <v>0</v>
      </c>
    </row>
    <row r="237" spans="2:5" ht="15" customHeight="1" x14ac:dyDescent="0.3">
      <c r="C237" s="57"/>
      <c r="D237" s="8">
        <v>2018</v>
      </c>
      <c r="E237" s="14">
        <f>Data!X237</f>
        <v>0</v>
      </c>
    </row>
    <row r="238" spans="2:5" ht="15" customHeight="1" x14ac:dyDescent="0.3">
      <c r="C238" s="57"/>
      <c r="D238" s="8">
        <v>2019</v>
      </c>
      <c r="E238" s="14">
        <f>Data!X238</f>
        <v>0</v>
      </c>
    </row>
    <row r="239" spans="2:5" ht="15" customHeight="1" x14ac:dyDescent="0.3">
      <c r="C239" s="57"/>
      <c r="D239" s="8">
        <v>2020</v>
      </c>
      <c r="E239" s="14">
        <f>Data!X239</f>
        <v>0</v>
      </c>
    </row>
    <row r="240" spans="2:5" ht="15" customHeight="1" x14ac:dyDescent="0.3">
      <c r="C240" s="57"/>
      <c r="D240" s="8">
        <v>2021</v>
      </c>
      <c r="E240" s="14">
        <f>Data!X240</f>
        <v>0</v>
      </c>
    </row>
    <row r="241" spans="2:5" ht="15" customHeight="1" x14ac:dyDescent="0.3">
      <c r="C241" s="57"/>
      <c r="D241" s="8">
        <v>2022</v>
      </c>
      <c r="E241" s="14">
        <f>Data!X241</f>
        <v>0</v>
      </c>
    </row>
    <row r="242" spans="2:5" ht="15" customHeight="1" x14ac:dyDescent="0.3">
      <c r="C242" s="57"/>
      <c r="D242" s="8">
        <v>2023</v>
      </c>
      <c r="E242" s="14">
        <f>Data!X242</f>
        <v>0</v>
      </c>
    </row>
    <row r="243" spans="2:5" ht="15" customHeight="1" x14ac:dyDescent="0.3">
      <c r="C243" s="57"/>
      <c r="D243" s="8">
        <v>2024</v>
      </c>
      <c r="E243" s="14">
        <f>Data!X243</f>
        <v>0</v>
      </c>
    </row>
    <row r="244" spans="2:5" ht="15" customHeight="1" x14ac:dyDescent="0.3">
      <c r="B244" s="8">
        <v>23</v>
      </c>
      <c r="C244" s="57" t="s">
        <v>51</v>
      </c>
      <c r="D244" s="8">
        <v>2014</v>
      </c>
      <c r="E244" s="14">
        <f>Data!X244</f>
        <v>0</v>
      </c>
    </row>
    <row r="245" spans="2:5" ht="15" customHeight="1" x14ac:dyDescent="0.3">
      <c r="C245" s="57"/>
      <c r="D245" s="8">
        <v>2015</v>
      </c>
      <c r="E245" s="14">
        <f>Data!X245</f>
        <v>0</v>
      </c>
    </row>
    <row r="246" spans="2:5" ht="15" customHeight="1" x14ac:dyDescent="0.3">
      <c r="C246" s="57"/>
      <c r="D246" s="8">
        <v>2016</v>
      </c>
      <c r="E246" s="14">
        <f>Data!X246</f>
        <v>0</v>
      </c>
    </row>
    <row r="247" spans="2:5" ht="15" customHeight="1" x14ac:dyDescent="0.3">
      <c r="C247" s="57"/>
      <c r="D247" s="8">
        <v>2017</v>
      </c>
      <c r="E247" s="14">
        <f>Data!X247</f>
        <v>0</v>
      </c>
    </row>
    <row r="248" spans="2:5" ht="15" customHeight="1" x14ac:dyDescent="0.3">
      <c r="C248" s="57"/>
      <c r="D248" s="8">
        <v>2018</v>
      </c>
      <c r="E248" s="14">
        <f>Data!X248</f>
        <v>0</v>
      </c>
    </row>
    <row r="249" spans="2:5" ht="15" customHeight="1" x14ac:dyDescent="0.3">
      <c r="C249" s="57"/>
      <c r="D249" s="8">
        <v>2019</v>
      </c>
      <c r="E249" s="14">
        <f>Data!X249</f>
        <v>0</v>
      </c>
    </row>
    <row r="250" spans="2:5" ht="15" customHeight="1" x14ac:dyDescent="0.3">
      <c r="C250" s="57"/>
      <c r="D250" s="8">
        <v>2020</v>
      </c>
      <c r="E250" s="14">
        <f>Data!X250</f>
        <v>0</v>
      </c>
    </row>
    <row r="251" spans="2:5" ht="15" customHeight="1" x14ac:dyDescent="0.3">
      <c r="C251" s="57"/>
      <c r="D251" s="8">
        <v>2021</v>
      </c>
      <c r="E251" s="14">
        <f>Data!X251</f>
        <v>0</v>
      </c>
    </row>
    <row r="252" spans="2:5" ht="15" customHeight="1" x14ac:dyDescent="0.3">
      <c r="C252" s="57"/>
      <c r="D252" s="8">
        <v>2022</v>
      </c>
      <c r="E252" s="14">
        <f>Data!X252</f>
        <v>0</v>
      </c>
    </row>
    <row r="253" spans="2:5" ht="15" customHeight="1" x14ac:dyDescent="0.3">
      <c r="C253" s="57"/>
      <c r="D253" s="8">
        <v>2023</v>
      </c>
      <c r="E253" s="14">
        <f>Data!X253</f>
        <v>0</v>
      </c>
    </row>
    <row r="254" spans="2:5" ht="15" customHeight="1" x14ac:dyDescent="0.3">
      <c r="C254" s="57"/>
      <c r="D254" s="8">
        <v>2024</v>
      </c>
      <c r="E254" s="14">
        <f>Data!X254</f>
        <v>0</v>
      </c>
    </row>
    <row r="255" spans="2:5" ht="15" customHeight="1" x14ac:dyDescent="0.3">
      <c r="B255" s="8">
        <v>24</v>
      </c>
      <c r="C255" s="57" t="s">
        <v>50</v>
      </c>
      <c r="D255" s="8">
        <v>2014</v>
      </c>
      <c r="E255" s="14">
        <f>Data!X255</f>
        <v>0</v>
      </c>
    </row>
    <row r="256" spans="2:5" ht="15" customHeight="1" x14ac:dyDescent="0.3">
      <c r="C256" s="57"/>
      <c r="D256" s="8">
        <v>2015</v>
      </c>
      <c r="E256" s="14">
        <f>Data!X256</f>
        <v>10</v>
      </c>
    </row>
    <row r="257" spans="2:5" ht="15" customHeight="1" x14ac:dyDescent="0.3">
      <c r="C257" s="57"/>
      <c r="D257" s="8">
        <v>2016</v>
      </c>
      <c r="E257" s="14">
        <f>Data!X257</f>
        <v>7</v>
      </c>
    </row>
    <row r="258" spans="2:5" ht="15" customHeight="1" x14ac:dyDescent="0.3">
      <c r="C258" s="57"/>
      <c r="D258" s="8">
        <v>2017</v>
      </c>
      <c r="E258" s="14">
        <f>Data!X258</f>
        <v>7</v>
      </c>
    </row>
    <row r="259" spans="2:5" ht="15" customHeight="1" x14ac:dyDescent="0.3">
      <c r="C259" s="57"/>
      <c r="D259" s="8">
        <v>2018</v>
      </c>
      <c r="E259" s="14">
        <f>Data!X259</f>
        <v>5</v>
      </c>
    </row>
    <row r="260" spans="2:5" ht="15" customHeight="1" x14ac:dyDescent="0.3">
      <c r="C260" s="57"/>
      <c r="D260" s="8">
        <v>2019</v>
      </c>
      <c r="E260" s="14">
        <f>Data!X260</f>
        <v>5</v>
      </c>
    </row>
    <row r="261" spans="2:5" ht="15" customHeight="1" x14ac:dyDescent="0.3">
      <c r="C261" s="57"/>
      <c r="D261" s="8">
        <v>2020</v>
      </c>
      <c r="E261" s="14">
        <f>Data!X261</f>
        <v>5</v>
      </c>
    </row>
    <row r="262" spans="2:5" ht="15" customHeight="1" x14ac:dyDescent="0.3">
      <c r="C262" s="57"/>
      <c r="D262" s="8">
        <v>2021</v>
      </c>
      <c r="E262" s="14">
        <f>Data!X262</f>
        <v>5</v>
      </c>
    </row>
    <row r="263" spans="2:5" ht="15" customHeight="1" x14ac:dyDescent="0.3">
      <c r="C263" s="57"/>
      <c r="D263" s="8">
        <v>2022</v>
      </c>
      <c r="E263" s="14">
        <f>Data!X263</f>
        <v>5</v>
      </c>
    </row>
    <row r="264" spans="2:5" ht="15" customHeight="1" x14ac:dyDescent="0.3">
      <c r="C264" s="57"/>
      <c r="D264" s="8">
        <v>2023</v>
      </c>
      <c r="E264" s="14">
        <f>Data!X264</f>
        <v>2</v>
      </c>
    </row>
    <row r="265" spans="2:5" ht="15" customHeight="1" x14ac:dyDescent="0.3">
      <c r="C265" s="57"/>
      <c r="D265" s="8">
        <v>2024</v>
      </c>
      <c r="E265" s="14">
        <f>Data!X265</f>
        <v>3</v>
      </c>
    </row>
    <row r="266" spans="2:5" ht="15" customHeight="1" x14ac:dyDescent="0.3">
      <c r="B266" s="8">
        <v>25</v>
      </c>
      <c r="C266" s="56" t="s">
        <v>28</v>
      </c>
      <c r="D266" s="8">
        <v>2014</v>
      </c>
      <c r="E266" s="14">
        <f>Data!X266</f>
        <v>0</v>
      </c>
    </row>
    <row r="267" spans="2:5" ht="15" customHeight="1" x14ac:dyDescent="0.3">
      <c r="C267" s="56"/>
      <c r="D267" s="8">
        <v>2015</v>
      </c>
      <c r="E267" s="14">
        <f>Data!X267</f>
        <v>7</v>
      </c>
    </row>
    <row r="268" spans="2:5" ht="15" customHeight="1" x14ac:dyDescent="0.3">
      <c r="C268" s="56"/>
      <c r="D268" s="8">
        <v>2016</v>
      </c>
      <c r="E268" s="14">
        <f>Data!X268</f>
        <v>7</v>
      </c>
    </row>
    <row r="269" spans="2:5" ht="15" customHeight="1" x14ac:dyDescent="0.3">
      <c r="C269" s="56"/>
      <c r="D269" s="8">
        <v>2017</v>
      </c>
      <c r="E269" s="14">
        <f>Data!X269</f>
        <v>6</v>
      </c>
    </row>
    <row r="270" spans="2:5" ht="15" customHeight="1" x14ac:dyDescent="0.3">
      <c r="C270" s="56"/>
      <c r="D270" s="8">
        <v>2018</v>
      </c>
      <c r="E270" s="14">
        <f>Data!X270</f>
        <v>6</v>
      </c>
    </row>
    <row r="271" spans="2:5" ht="15" customHeight="1" x14ac:dyDescent="0.3">
      <c r="C271" s="56"/>
      <c r="D271" s="8">
        <v>2019</v>
      </c>
      <c r="E271" s="14">
        <f>Data!X271</f>
        <v>9</v>
      </c>
    </row>
    <row r="272" spans="2:5" ht="15" customHeight="1" x14ac:dyDescent="0.3">
      <c r="C272" s="56"/>
      <c r="D272" s="8">
        <v>2020</v>
      </c>
      <c r="E272" s="14">
        <f>Data!X272</f>
        <v>4</v>
      </c>
    </row>
    <row r="273" spans="2:5" ht="15" customHeight="1" x14ac:dyDescent="0.3">
      <c r="C273" s="56"/>
      <c r="D273" s="8">
        <v>2021</v>
      </c>
      <c r="E273" s="14">
        <f>Data!X273</f>
        <v>3</v>
      </c>
    </row>
    <row r="274" spans="2:5" ht="15" customHeight="1" x14ac:dyDescent="0.3">
      <c r="C274" s="56"/>
      <c r="D274" s="8">
        <v>2022</v>
      </c>
      <c r="E274" s="14">
        <f>Data!X274</f>
        <v>4</v>
      </c>
    </row>
    <row r="275" spans="2:5" ht="15" customHeight="1" x14ac:dyDescent="0.3">
      <c r="C275" s="56"/>
      <c r="D275" s="8">
        <v>2023</v>
      </c>
      <c r="E275" s="14">
        <f>Data!X275</f>
        <v>4</v>
      </c>
    </row>
    <row r="276" spans="2:5" ht="15" customHeight="1" x14ac:dyDescent="0.3">
      <c r="C276" s="56"/>
      <c r="D276" s="8">
        <v>2024</v>
      </c>
      <c r="E276" s="14">
        <f>Data!X276</f>
        <v>6</v>
      </c>
    </row>
    <row r="277" spans="2:5" ht="15" customHeight="1" x14ac:dyDescent="0.3">
      <c r="B277" s="8">
        <v>26</v>
      </c>
      <c r="C277" s="56" t="s">
        <v>42</v>
      </c>
      <c r="D277" s="8">
        <v>2014</v>
      </c>
      <c r="E277" s="14">
        <f>Data!X277</f>
        <v>0</v>
      </c>
    </row>
    <row r="278" spans="2:5" ht="15" customHeight="1" x14ac:dyDescent="0.3">
      <c r="C278" s="56"/>
      <c r="D278" s="8">
        <v>2015</v>
      </c>
      <c r="E278" s="14">
        <f>Data!X278</f>
        <v>0</v>
      </c>
    </row>
    <row r="279" spans="2:5" ht="15" customHeight="1" x14ac:dyDescent="0.3">
      <c r="C279" s="56"/>
      <c r="D279" s="8">
        <v>2016</v>
      </c>
      <c r="E279" s="14">
        <f>Data!X279</f>
        <v>0</v>
      </c>
    </row>
    <row r="280" spans="2:5" ht="15" customHeight="1" x14ac:dyDescent="0.3">
      <c r="C280" s="56"/>
      <c r="D280" s="8">
        <v>2017</v>
      </c>
      <c r="E280" s="14">
        <f>Data!X280</f>
        <v>0</v>
      </c>
    </row>
    <row r="281" spans="2:5" ht="15" customHeight="1" x14ac:dyDescent="0.3">
      <c r="C281" s="56"/>
      <c r="D281" s="8">
        <v>2018</v>
      </c>
      <c r="E281" s="14">
        <f>Data!X281</f>
        <v>0</v>
      </c>
    </row>
    <row r="282" spans="2:5" ht="15" customHeight="1" x14ac:dyDescent="0.3">
      <c r="C282" s="56"/>
      <c r="D282" s="8">
        <v>2019</v>
      </c>
      <c r="E282" s="14">
        <f>Data!X282</f>
        <v>0</v>
      </c>
    </row>
    <row r="283" spans="2:5" ht="15" customHeight="1" x14ac:dyDescent="0.3">
      <c r="C283" s="56"/>
      <c r="D283" s="8">
        <v>2020</v>
      </c>
      <c r="E283" s="14">
        <f>Data!X283</f>
        <v>0</v>
      </c>
    </row>
    <row r="284" spans="2:5" ht="15" customHeight="1" x14ac:dyDescent="0.3">
      <c r="C284" s="56"/>
      <c r="D284" s="8">
        <v>2021</v>
      </c>
      <c r="E284" s="14">
        <f>Data!X284</f>
        <v>0</v>
      </c>
    </row>
    <row r="285" spans="2:5" ht="15" customHeight="1" x14ac:dyDescent="0.3">
      <c r="C285" s="56"/>
      <c r="D285" s="8">
        <v>2022</v>
      </c>
      <c r="E285" s="14">
        <f>Data!X285</f>
        <v>0</v>
      </c>
    </row>
    <row r="286" spans="2:5" ht="15" customHeight="1" x14ac:dyDescent="0.3">
      <c r="C286" s="56"/>
      <c r="D286" s="8">
        <v>2023</v>
      </c>
      <c r="E286" s="14">
        <f>Data!X286</f>
        <v>0</v>
      </c>
    </row>
    <row r="287" spans="2:5" ht="15" customHeight="1" x14ac:dyDescent="0.3">
      <c r="C287" s="56"/>
      <c r="D287" s="8">
        <v>2024</v>
      </c>
      <c r="E287" s="14">
        <f>Data!X287</f>
        <v>0</v>
      </c>
    </row>
    <row r="288" spans="2:5" ht="15" customHeight="1" x14ac:dyDescent="0.3">
      <c r="B288" s="8">
        <v>27</v>
      </c>
      <c r="C288" s="56" t="s">
        <v>29</v>
      </c>
      <c r="D288" s="8">
        <v>2014</v>
      </c>
      <c r="E288" s="14">
        <f>Data!X288</f>
        <v>0</v>
      </c>
    </row>
    <row r="289" spans="2:5" ht="15" customHeight="1" x14ac:dyDescent="0.3">
      <c r="C289" s="56"/>
      <c r="D289" s="8">
        <v>2015</v>
      </c>
      <c r="E289" s="14">
        <f>Data!X289</f>
        <v>0</v>
      </c>
    </row>
    <row r="290" spans="2:5" ht="15" customHeight="1" x14ac:dyDescent="0.3">
      <c r="C290" s="56"/>
      <c r="D290" s="8">
        <v>2016</v>
      </c>
      <c r="E290" s="14">
        <f>Data!X290</f>
        <v>0</v>
      </c>
    </row>
    <row r="291" spans="2:5" ht="15" customHeight="1" x14ac:dyDescent="0.3">
      <c r="C291" s="56"/>
      <c r="D291" s="8">
        <v>2017</v>
      </c>
      <c r="E291" s="14">
        <f>Data!X291</f>
        <v>0</v>
      </c>
    </row>
    <row r="292" spans="2:5" ht="15" customHeight="1" x14ac:dyDescent="0.3">
      <c r="C292" s="56"/>
      <c r="D292" s="8">
        <v>2018</v>
      </c>
      <c r="E292" s="14">
        <f>Data!X292</f>
        <v>0</v>
      </c>
    </row>
    <row r="293" spans="2:5" ht="15" customHeight="1" x14ac:dyDescent="0.3">
      <c r="C293" s="56"/>
      <c r="D293" s="8">
        <v>2019</v>
      </c>
      <c r="E293" s="14">
        <f>Data!X293</f>
        <v>0</v>
      </c>
    </row>
    <row r="294" spans="2:5" ht="15" customHeight="1" x14ac:dyDescent="0.3">
      <c r="C294" s="56"/>
      <c r="D294" s="8">
        <v>2020</v>
      </c>
      <c r="E294" s="14">
        <f>Data!X294</f>
        <v>0</v>
      </c>
    </row>
    <row r="295" spans="2:5" ht="15" customHeight="1" x14ac:dyDescent="0.3">
      <c r="C295" s="56"/>
      <c r="D295" s="8">
        <v>2021</v>
      </c>
      <c r="E295" s="14">
        <f>Data!X295</f>
        <v>0</v>
      </c>
    </row>
    <row r="296" spans="2:5" ht="15" customHeight="1" x14ac:dyDescent="0.3">
      <c r="C296" s="56"/>
      <c r="D296" s="8">
        <v>2022</v>
      </c>
      <c r="E296" s="14">
        <f>Data!X296</f>
        <v>0</v>
      </c>
    </row>
    <row r="297" spans="2:5" ht="15" customHeight="1" x14ac:dyDescent="0.3">
      <c r="C297" s="56"/>
      <c r="D297" s="8">
        <v>2023</v>
      </c>
      <c r="E297" s="14">
        <f>Data!X297</f>
        <v>0</v>
      </c>
    </row>
    <row r="298" spans="2:5" ht="15" customHeight="1" x14ac:dyDescent="0.3">
      <c r="C298" s="56"/>
      <c r="D298" s="8">
        <v>2024</v>
      </c>
      <c r="E298" s="14">
        <f>Data!X298</f>
        <v>0</v>
      </c>
    </row>
    <row r="299" spans="2:5" ht="15" customHeight="1" x14ac:dyDescent="0.3">
      <c r="B299" s="8">
        <v>28</v>
      </c>
      <c r="C299" s="57" t="s">
        <v>149</v>
      </c>
      <c r="D299" s="8">
        <v>2014</v>
      </c>
      <c r="E299" s="14">
        <f>Data!X299</f>
        <v>0</v>
      </c>
    </row>
    <row r="300" spans="2:5" ht="15" customHeight="1" x14ac:dyDescent="0.3">
      <c r="C300" s="57"/>
      <c r="D300" s="8">
        <v>2015</v>
      </c>
      <c r="E300" s="14">
        <f>Data!X300</f>
        <v>0</v>
      </c>
    </row>
    <row r="301" spans="2:5" ht="15" customHeight="1" x14ac:dyDescent="0.3">
      <c r="C301" s="57"/>
      <c r="D301" s="8">
        <v>2016</v>
      </c>
      <c r="E301" s="14">
        <f>Data!X301</f>
        <v>0</v>
      </c>
    </row>
    <row r="302" spans="2:5" ht="15" customHeight="1" x14ac:dyDescent="0.3">
      <c r="C302" s="57"/>
      <c r="D302" s="8">
        <v>2017</v>
      </c>
      <c r="E302" s="14">
        <f>Data!X302</f>
        <v>0</v>
      </c>
    </row>
    <row r="303" spans="2:5" ht="15" customHeight="1" x14ac:dyDescent="0.3">
      <c r="C303" s="57"/>
      <c r="D303" s="8">
        <v>2018</v>
      </c>
      <c r="E303" s="14">
        <f>Data!X303</f>
        <v>0</v>
      </c>
    </row>
    <row r="304" spans="2:5" ht="15" customHeight="1" x14ac:dyDescent="0.3">
      <c r="C304" s="57"/>
      <c r="D304" s="8">
        <v>2019</v>
      </c>
      <c r="E304" s="14">
        <f>Data!X304</f>
        <v>0</v>
      </c>
    </row>
    <row r="305" spans="2:5" ht="15" customHeight="1" x14ac:dyDescent="0.3">
      <c r="C305" s="57"/>
      <c r="D305" s="8">
        <v>2020</v>
      </c>
      <c r="E305" s="14">
        <f>Data!X305</f>
        <v>0</v>
      </c>
    </row>
    <row r="306" spans="2:5" ht="15" customHeight="1" x14ac:dyDescent="0.3">
      <c r="C306" s="57"/>
      <c r="D306" s="8">
        <v>2021</v>
      </c>
      <c r="E306" s="14">
        <f>Data!X306</f>
        <v>0</v>
      </c>
    </row>
    <row r="307" spans="2:5" ht="15" customHeight="1" x14ac:dyDescent="0.3">
      <c r="C307" s="57"/>
      <c r="D307" s="8">
        <v>2022</v>
      </c>
      <c r="E307" s="14">
        <f>Data!X307</f>
        <v>0</v>
      </c>
    </row>
    <row r="308" spans="2:5" ht="15" customHeight="1" x14ac:dyDescent="0.3">
      <c r="C308" s="57"/>
      <c r="D308" s="8">
        <v>2023</v>
      </c>
      <c r="E308" s="14">
        <f>Data!X308</f>
        <v>0</v>
      </c>
    </row>
    <row r="309" spans="2:5" ht="15" customHeight="1" x14ac:dyDescent="0.3">
      <c r="C309" s="57"/>
      <c r="D309" s="8">
        <v>2024</v>
      </c>
      <c r="E309" s="14">
        <f>Data!X309</f>
        <v>0</v>
      </c>
    </row>
    <row r="310" spans="2:5" ht="15" customHeight="1" x14ac:dyDescent="0.3">
      <c r="B310" s="8">
        <v>29</v>
      </c>
      <c r="C310" s="57" t="s">
        <v>55</v>
      </c>
      <c r="D310" s="8">
        <v>2014</v>
      </c>
      <c r="E310" s="14">
        <f>Data!X310</f>
        <v>0</v>
      </c>
    </row>
    <row r="311" spans="2:5" ht="15" customHeight="1" x14ac:dyDescent="0.3">
      <c r="C311" s="57"/>
      <c r="D311" s="8">
        <v>2015</v>
      </c>
      <c r="E311" s="14">
        <f>Data!X311</f>
        <v>0</v>
      </c>
    </row>
    <row r="312" spans="2:5" ht="15" customHeight="1" x14ac:dyDescent="0.3">
      <c r="C312" s="57"/>
      <c r="D312" s="8">
        <v>2016</v>
      </c>
      <c r="E312" s="14">
        <f>Data!X312</f>
        <v>0</v>
      </c>
    </row>
    <row r="313" spans="2:5" ht="15" customHeight="1" x14ac:dyDescent="0.3">
      <c r="C313" s="57"/>
      <c r="D313" s="8">
        <v>2017</v>
      </c>
      <c r="E313" s="14">
        <f>Data!X313</f>
        <v>0</v>
      </c>
    </row>
    <row r="314" spans="2:5" ht="15" customHeight="1" x14ac:dyDescent="0.3">
      <c r="C314" s="57"/>
      <c r="D314" s="8">
        <v>2018</v>
      </c>
      <c r="E314" s="14">
        <f>Data!X314</f>
        <v>0</v>
      </c>
    </row>
    <row r="315" spans="2:5" ht="15" customHeight="1" x14ac:dyDescent="0.3">
      <c r="C315" s="57"/>
      <c r="D315" s="8">
        <v>2019</v>
      </c>
      <c r="E315" s="14">
        <f>Data!X315</f>
        <v>0</v>
      </c>
    </row>
    <row r="316" spans="2:5" ht="15" customHeight="1" x14ac:dyDescent="0.3">
      <c r="C316" s="57"/>
      <c r="D316" s="8">
        <v>2020</v>
      </c>
      <c r="E316" s="14">
        <f>Data!X316</f>
        <v>0</v>
      </c>
    </row>
    <row r="317" spans="2:5" ht="15" customHeight="1" x14ac:dyDescent="0.3">
      <c r="C317" s="57"/>
      <c r="D317" s="8">
        <v>2021</v>
      </c>
      <c r="E317" s="14">
        <f>Data!X317</f>
        <v>0</v>
      </c>
    </row>
    <row r="318" spans="2:5" ht="15" customHeight="1" x14ac:dyDescent="0.3">
      <c r="C318" s="57"/>
      <c r="D318" s="8">
        <v>2022</v>
      </c>
      <c r="E318" s="14">
        <f>Data!X318</f>
        <v>0</v>
      </c>
    </row>
    <row r="319" spans="2:5" ht="15" customHeight="1" x14ac:dyDescent="0.3">
      <c r="C319" s="57"/>
      <c r="D319" s="8">
        <v>2023</v>
      </c>
      <c r="E319" s="14">
        <f>Data!X319</f>
        <v>0</v>
      </c>
    </row>
    <row r="320" spans="2:5" ht="15" customHeight="1" x14ac:dyDescent="0.3">
      <c r="C320" s="57"/>
      <c r="D320" s="8">
        <v>2024</v>
      </c>
      <c r="E320" s="14">
        <f>Data!X320</f>
        <v>0</v>
      </c>
    </row>
    <row r="321" spans="2:5" ht="15" customHeight="1" x14ac:dyDescent="0.3">
      <c r="B321" s="8">
        <v>30</v>
      </c>
      <c r="C321" s="56" t="s">
        <v>5</v>
      </c>
      <c r="D321" s="8">
        <v>2014</v>
      </c>
      <c r="E321" s="14">
        <f>Data!X321</f>
        <v>0</v>
      </c>
    </row>
    <row r="322" spans="2:5" ht="15" customHeight="1" x14ac:dyDescent="0.3">
      <c r="C322" s="56"/>
      <c r="D322" s="8">
        <v>2015</v>
      </c>
      <c r="E322" s="14">
        <f>Data!X322</f>
        <v>0</v>
      </c>
    </row>
    <row r="323" spans="2:5" ht="15" customHeight="1" x14ac:dyDescent="0.3">
      <c r="C323" s="56"/>
      <c r="D323" s="8">
        <v>2016</v>
      </c>
      <c r="E323" s="14">
        <f>Data!X323</f>
        <v>0</v>
      </c>
    </row>
    <row r="324" spans="2:5" ht="15" customHeight="1" x14ac:dyDescent="0.3">
      <c r="C324" s="56"/>
      <c r="D324" s="8">
        <v>2017</v>
      </c>
      <c r="E324" s="14">
        <f>Data!X324</f>
        <v>0</v>
      </c>
    </row>
    <row r="325" spans="2:5" ht="15" customHeight="1" x14ac:dyDescent="0.3">
      <c r="C325" s="56"/>
      <c r="D325" s="8">
        <v>2018</v>
      </c>
      <c r="E325" s="14">
        <f>Data!X325</f>
        <v>0</v>
      </c>
    </row>
    <row r="326" spans="2:5" ht="15" customHeight="1" x14ac:dyDescent="0.3">
      <c r="C326" s="56"/>
      <c r="D326" s="8">
        <v>2019</v>
      </c>
      <c r="E326" s="14">
        <f>Data!X326</f>
        <v>0</v>
      </c>
    </row>
    <row r="327" spans="2:5" ht="15" customHeight="1" x14ac:dyDescent="0.3">
      <c r="C327" s="56"/>
      <c r="D327" s="8">
        <v>2020</v>
      </c>
      <c r="E327" s="14">
        <f>Data!X327</f>
        <v>0</v>
      </c>
    </row>
    <row r="328" spans="2:5" ht="15" customHeight="1" x14ac:dyDescent="0.3">
      <c r="C328" s="56"/>
      <c r="D328" s="8">
        <v>2021</v>
      </c>
      <c r="E328" s="14">
        <f>Data!X328</f>
        <v>0</v>
      </c>
    </row>
    <row r="329" spans="2:5" ht="15" customHeight="1" x14ac:dyDescent="0.3">
      <c r="C329" s="56"/>
      <c r="D329" s="8">
        <v>2022</v>
      </c>
      <c r="E329" s="14">
        <f>Data!X329</f>
        <v>0</v>
      </c>
    </row>
    <row r="330" spans="2:5" ht="15" customHeight="1" x14ac:dyDescent="0.3">
      <c r="C330" s="56"/>
      <c r="D330" s="8">
        <v>2023</v>
      </c>
      <c r="E330" s="14">
        <f>Data!X330</f>
        <v>0</v>
      </c>
    </row>
    <row r="331" spans="2:5" ht="15" customHeight="1" x14ac:dyDescent="0.3">
      <c r="C331" s="56"/>
      <c r="D331" s="8">
        <v>2024</v>
      </c>
      <c r="E331" s="14">
        <f>Data!X331</f>
        <v>0</v>
      </c>
    </row>
    <row r="332" spans="2:5" ht="15" customHeight="1" x14ac:dyDescent="0.3">
      <c r="B332" s="8">
        <v>31</v>
      </c>
      <c r="C332" s="56" t="s">
        <v>6</v>
      </c>
      <c r="D332" s="8">
        <v>2014</v>
      </c>
      <c r="E332" s="14">
        <f>Data!X332</f>
        <v>0</v>
      </c>
    </row>
    <row r="333" spans="2:5" ht="15" customHeight="1" x14ac:dyDescent="0.3">
      <c r="C333" s="56"/>
      <c r="D333" s="8">
        <v>2015</v>
      </c>
      <c r="E333" s="14">
        <f>Data!X333</f>
        <v>0</v>
      </c>
    </row>
    <row r="334" spans="2:5" ht="15" customHeight="1" x14ac:dyDescent="0.3">
      <c r="C334" s="56"/>
      <c r="D334" s="8">
        <v>2016</v>
      </c>
      <c r="E334" s="14">
        <f>Data!X334</f>
        <v>0</v>
      </c>
    </row>
    <row r="335" spans="2:5" ht="15" customHeight="1" x14ac:dyDescent="0.3">
      <c r="C335" s="56"/>
      <c r="D335" s="8">
        <v>2017</v>
      </c>
      <c r="E335" s="14">
        <f>Data!X335</f>
        <v>0</v>
      </c>
    </row>
    <row r="336" spans="2:5" ht="15" customHeight="1" x14ac:dyDescent="0.3">
      <c r="C336" s="56"/>
      <c r="D336" s="8">
        <v>2018</v>
      </c>
      <c r="E336" s="14">
        <f>Data!X336</f>
        <v>0</v>
      </c>
    </row>
    <row r="337" spans="2:5" ht="15" customHeight="1" x14ac:dyDescent="0.3">
      <c r="C337" s="56"/>
      <c r="D337" s="8">
        <v>2019</v>
      </c>
      <c r="E337" s="14">
        <f>Data!X337</f>
        <v>0</v>
      </c>
    </row>
    <row r="338" spans="2:5" ht="15" customHeight="1" x14ac:dyDescent="0.3">
      <c r="C338" s="56"/>
      <c r="D338" s="8">
        <v>2020</v>
      </c>
      <c r="E338" s="14">
        <f>Data!X338</f>
        <v>0</v>
      </c>
    </row>
    <row r="339" spans="2:5" ht="15" customHeight="1" x14ac:dyDescent="0.3">
      <c r="C339" s="56"/>
      <c r="D339" s="8">
        <v>2021</v>
      </c>
      <c r="E339" s="14">
        <f>Data!X339</f>
        <v>0</v>
      </c>
    </row>
    <row r="340" spans="2:5" ht="15" customHeight="1" x14ac:dyDescent="0.3">
      <c r="C340" s="56"/>
      <c r="D340" s="8">
        <v>2022</v>
      </c>
      <c r="E340" s="14">
        <f>Data!X340</f>
        <v>0</v>
      </c>
    </row>
    <row r="341" spans="2:5" ht="15" customHeight="1" x14ac:dyDescent="0.3">
      <c r="C341" s="56"/>
      <c r="D341" s="8">
        <v>2023</v>
      </c>
      <c r="E341" s="14">
        <f>Data!X341</f>
        <v>0</v>
      </c>
    </row>
    <row r="342" spans="2:5" ht="15" customHeight="1" x14ac:dyDescent="0.3">
      <c r="C342" s="56"/>
      <c r="D342" s="8">
        <v>2024</v>
      </c>
      <c r="E342" s="14">
        <f>Data!X342</f>
        <v>0</v>
      </c>
    </row>
    <row r="343" spans="2:5" ht="15" customHeight="1" x14ac:dyDescent="0.3">
      <c r="B343" s="8">
        <v>32</v>
      </c>
      <c r="C343" s="56" t="s">
        <v>7</v>
      </c>
      <c r="D343" s="8">
        <v>2014</v>
      </c>
      <c r="E343" s="14">
        <f>Data!X343</f>
        <v>0</v>
      </c>
    </row>
    <row r="344" spans="2:5" ht="15" customHeight="1" x14ac:dyDescent="0.3">
      <c r="C344" s="56"/>
      <c r="D344" s="8">
        <v>2015</v>
      </c>
      <c r="E344" s="14">
        <f>Data!X344</f>
        <v>0</v>
      </c>
    </row>
    <row r="345" spans="2:5" ht="15" customHeight="1" x14ac:dyDescent="0.3">
      <c r="C345" s="56"/>
      <c r="D345" s="8">
        <v>2016</v>
      </c>
      <c r="E345" s="14">
        <f>Data!X345</f>
        <v>0</v>
      </c>
    </row>
    <row r="346" spans="2:5" ht="15" customHeight="1" x14ac:dyDescent="0.3">
      <c r="C346" s="56"/>
      <c r="D346" s="8">
        <v>2017</v>
      </c>
      <c r="E346" s="14">
        <f>Data!X346</f>
        <v>0</v>
      </c>
    </row>
    <row r="347" spans="2:5" ht="15" customHeight="1" x14ac:dyDescent="0.3">
      <c r="C347" s="56"/>
      <c r="D347" s="8">
        <v>2018</v>
      </c>
      <c r="E347" s="14">
        <f>Data!X347</f>
        <v>0</v>
      </c>
    </row>
    <row r="348" spans="2:5" ht="15" customHeight="1" x14ac:dyDescent="0.3">
      <c r="C348" s="56"/>
      <c r="D348" s="8">
        <v>2019</v>
      </c>
      <c r="E348" s="14">
        <f>Data!X348</f>
        <v>0</v>
      </c>
    </row>
    <row r="349" spans="2:5" ht="15" customHeight="1" x14ac:dyDescent="0.3">
      <c r="C349" s="56"/>
      <c r="D349" s="8">
        <v>2020</v>
      </c>
      <c r="E349" s="14">
        <f>Data!X349</f>
        <v>13</v>
      </c>
    </row>
    <row r="350" spans="2:5" ht="15" customHeight="1" x14ac:dyDescent="0.3">
      <c r="C350" s="56"/>
      <c r="D350" s="8">
        <v>2021</v>
      </c>
      <c r="E350" s="14">
        <f>Data!X350</f>
        <v>10</v>
      </c>
    </row>
    <row r="351" spans="2:5" ht="15" customHeight="1" x14ac:dyDescent="0.3">
      <c r="C351" s="56"/>
      <c r="D351" s="8">
        <v>2022</v>
      </c>
      <c r="E351" s="14">
        <f>Data!X351</f>
        <v>11</v>
      </c>
    </row>
    <row r="352" spans="2:5" ht="15" customHeight="1" x14ac:dyDescent="0.3">
      <c r="C352" s="56"/>
      <c r="D352" s="8">
        <v>2023</v>
      </c>
      <c r="E352" s="14">
        <f>Data!X352</f>
        <v>11</v>
      </c>
    </row>
    <row r="353" spans="2:5" ht="15" customHeight="1" x14ac:dyDescent="0.3">
      <c r="C353" s="56"/>
      <c r="D353" s="8">
        <v>2024</v>
      </c>
      <c r="E353" s="14">
        <f>Data!X353</f>
        <v>11</v>
      </c>
    </row>
    <row r="354" spans="2:5" ht="15" customHeight="1" x14ac:dyDescent="0.3">
      <c r="B354" s="8">
        <v>33</v>
      </c>
      <c r="C354" s="56" t="s">
        <v>30</v>
      </c>
      <c r="D354" s="8">
        <v>2014</v>
      </c>
      <c r="E354" s="14">
        <f>Data!X354</f>
        <v>0</v>
      </c>
    </row>
    <row r="355" spans="2:5" ht="15" customHeight="1" x14ac:dyDescent="0.3">
      <c r="C355" s="56"/>
      <c r="D355" s="8">
        <v>2015</v>
      </c>
      <c r="E355" s="14">
        <f>Data!X355</f>
        <v>0</v>
      </c>
    </row>
    <row r="356" spans="2:5" ht="15" customHeight="1" x14ac:dyDescent="0.3">
      <c r="C356" s="56"/>
      <c r="D356" s="8">
        <v>2016</v>
      </c>
      <c r="E356" s="14">
        <f>Data!X356</f>
        <v>0</v>
      </c>
    </row>
    <row r="357" spans="2:5" ht="15" customHeight="1" x14ac:dyDescent="0.3">
      <c r="C357" s="56"/>
      <c r="D357" s="8">
        <v>2017</v>
      </c>
      <c r="E357" s="14">
        <f>Data!X357</f>
        <v>0</v>
      </c>
    </row>
    <row r="358" spans="2:5" ht="15" customHeight="1" x14ac:dyDescent="0.3">
      <c r="C358" s="56"/>
      <c r="D358" s="8">
        <v>2018</v>
      </c>
      <c r="E358" s="14">
        <f>Data!X358</f>
        <v>0</v>
      </c>
    </row>
    <row r="359" spans="2:5" ht="15" customHeight="1" x14ac:dyDescent="0.3">
      <c r="C359" s="56"/>
      <c r="D359" s="8">
        <v>2019</v>
      </c>
      <c r="E359" s="14">
        <f>Data!X359</f>
        <v>0</v>
      </c>
    </row>
    <row r="360" spans="2:5" ht="15" customHeight="1" x14ac:dyDescent="0.3">
      <c r="C360" s="56"/>
      <c r="D360" s="8">
        <v>2020</v>
      </c>
      <c r="E360" s="14">
        <f>Data!X360</f>
        <v>0</v>
      </c>
    </row>
    <row r="361" spans="2:5" ht="15" customHeight="1" x14ac:dyDescent="0.3">
      <c r="C361" s="56"/>
      <c r="D361" s="8">
        <v>2021</v>
      </c>
      <c r="E361" s="14">
        <f>Data!X361</f>
        <v>0</v>
      </c>
    </row>
    <row r="362" spans="2:5" ht="15" customHeight="1" x14ac:dyDescent="0.3">
      <c r="C362" s="56"/>
      <c r="D362" s="8">
        <v>2022</v>
      </c>
      <c r="E362" s="14">
        <f>Data!X362</f>
        <v>0</v>
      </c>
    </row>
    <row r="363" spans="2:5" ht="15" customHeight="1" x14ac:dyDescent="0.3">
      <c r="C363" s="56"/>
      <c r="D363" s="8">
        <v>2023</v>
      </c>
      <c r="E363" s="14">
        <f>Data!X363</f>
        <v>0</v>
      </c>
    </row>
    <row r="364" spans="2:5" ht="15" customHeight="1" x14ac:dyDescent="0.3">
      <c r="C364" s="56"/>
      <c r="D364" s="8">
        <v>2024</v>
      </c>
      <c r="E364" s="14">
        <f>Data!X364</f>
        <v>0</v>
      </c>
    </row>
    <row r="365" spans="2:5" ht="15" customHeight="1" x14ac:dyDescent="0.3">
      <c r="B365" s="8">
        <v>34</v>
      </c>
      <c r="C365" s="56" t="s">
        <v>9</v>
      </c>
      <c r="D365" s="8">
        <v>2014</v>
      </c>
      <c r="E365" s="14">
        <f>Data!X365</f>
        <v>0</v>
      </c>
    </row>
    <row r="366" spans="2:5" ht="15" customHeight="1" x14ac:dyDescent="0.3">
      <c r="C366" s="56"/>
      <c r="D366" s="8">
        <v>2015</v>
      </c>
      <c r="E366" s="14">
        <f>Data!X366</f>
        <v>8</v>
      </c>
    </row>
    <row r="367" spans="2:5" ht="15" customHeight="1" x14ac:dyDescent="0.3">
      <c r="C367" s="56"/>
      <c r="D367" s="8">
        <v>2016</v>
      </c>
      <c r="E367" s="14">
        <f>Data!X367</f>
        <v>9</v>
      </c>
    </row>
    <row r="368" spans="2:5" ht="15" customHeight="1" x14ac:dyDescent="0.3">
      <c r="C368" s="56"/>
      <c r="D368" s="8">
        <v>2017</v>
      </c>
      <c r="E368" s="14">
        <f>Data!X368</f>
        <v>8</v>
      </c>
    </row>
    <row r="369" spans="2:5" ht="15" customHeight="1" x14ac:dyDescent="0.3">
      <c r="C369" s="56"/>
      <c r="D369" s="8">
        <v>2018</v>
      </c>
      <c r="E369" s="14">
        <f>Data!X369</f>
        <v>8</v>
      </c>
    </row>
    <row r="370" spans="2:5" ht="15" customHeight="1" x14ac:dyDescent="0.3">
      <c r="C370" s="56"/>
      <c r="D370" s="8">
        <v>2019</v>
      </c>
      <c r="E370" s="14">
        <f>Data!X370</f>
        <v>11</v>
      </c>
    </row>
    <row r="371" spans="2:5" ht="15" customHeight="1" x14ac:dyDescent="0.3">
      <c r="C371" s="56"/>
      <c r="D371" s="8">
        <v>2020</v>
      </c>
      <c r="E371" s="14">
        <f>Data!X371</f>
        <v>11</v>
      </c>
    </row>
    <row r="372" spans="2:5" ht="15" customHeight="1" x14ac:dyDescent="0.3">
      <c r="C372" s="56"/>
      <c r="D372" s="8">
        <v>2021</v>
      </c>
      <c r="E372" s="14">
        <f>Data!X372</f>
        <v>11</v>
      </c>
    </row>
    <row r="373" spans="2:5" ht="15" customHeight="1" x14ac:dyDescent="0.3">
      <c r="C373" s="56"/>
      <c r="D373" s="8">
        <v>2022</v>
      </c>
      <c r="E373" s="14">
        <f>Data!X373</f>
        <v>0</v>
      </c>
    </row>
    <row r="374" spans="2:5" ht="15" customHeight="1" x14ac:dyDescent="0.3">
      <c r="C374" s="56"/>
      <c r="D374" s="8">
        <v>2023</v>
      </c>
      <c r="E374" s="14">
        <f>Data!X374</f>
        <v>0</v>
      </c>
    </row>
    <row r="375" spans="2:5" ht="15" customHeight="1" x14ac:dyDescent="0.3">
      <c r="C375" s="56"/>
      <c r="D375" s="8">
        <v>2024</v>
      </c>
      <c r="E375" s="14">
        <f>Data!X375</f>
        <v>8</v>
      </c>
    </row>
    <row r="376" spans="2:5" ht="15" customHeight="1" x14ac:dyDescent="0.3">
      <c r="B376" s="8">
        <v>35</v>
      </c>
      <c r="C376" s="56" t="s">
        <v>31</v>
      </c>
      <c r="D376" s="8">
        <v>2014</v>
      </c>
      <c r="E376" s="14">
        <f>Data!X376</f>
        <v>0</v>
      </c>
    </row>
    <row r="377" spans="2:5" ht="15" customHeight="1" x14ac:dyDescent="0.3">
      <c r="C377" s="56"/>
      <c r="D377" s="8">
        <v>2015</v>
      </c>
      <c r="E377" s="14">
        <f>Data!X377</f>
        <v>0</v>
      </c>
    </row>
    <row r="378" spans="2:5" ht="15" customHeight="1" x14ac:dyDescent="0.3">
      <c r="C378" s="56"/>
      <c r="D378" s="8">
        <v>2016</v>
      </c>
      <c r="E378" s="14">
        <f>Data!X378</f>
        <v>0</v>
      </c>
    </row>
    <row r="379" spans="2:5" ht="15" customHeight="1" x14ac:dyDescent="0.3">
      <c r="C379" s="56"/>
      <c r="D379" s="8">
        <v>2017</v>
      </c>
      <c r="E379" s="14">
        <f>Data!X379</f>
        <v>0</v>
      </c>
    </row>
    <row r="380" spans="2:5" ht="15" customHeight="1" x14ac:dyDescent="0.3">
      <c r="C380" s="56"/>
      <c r="D380" s="8">
        <v>2018</v>
      </c>
      <c r="E380" s="14">
        <f>Data!X380</f>
        <v>0</v>
      </c>
    </row>
    <row r="381" spans="2:5" ht="15" customHeight="1" x14ac:dyDescent="0.3">
      <c r="C381" s="56"/>
      <c r="D381" s="8">
        <v>2019</v>
      </c>
      <c r="E381" s="14">
        <f>Data!X381</f>
        <v>0</v>
      </c>
    </row>
    <row r="382" spans="2:5" ht="15" customHeight="1" x14ac:dyDescent="0.3">
      <c r="C382" s="56"/>
      <c r="D382" s="8">
        <v>2020</v>
      </c>
      <c r="E382" s="14">
        <f>Data!X382</f>
        <v>0</v>
      </c>
    </row>
    <row r="383" spans="2:5" ht="15" customHeight="1" x14ac:dyDescent="0.3">
      <c r="C383" s="56"/>
      <c r="D383" s="8">
        <v>2021</v>
      </c>
      <c r="E383" s="14">
        <f>Data!X383</f>
        <v>0</v>
      </c>
    </row>
    <row r="384" spans="2:5" ht="15" customHeight="1" x14ac:dyDescent="0.3">
      <c r="C384" s="56"/>
      <c r="D384" s="8">
        <v>2022</v>
      </c>
      <c r="E384" s="14">
        <f>Data!X384</f>
        <v>0</v>
      </c>
    </row>
    <row r="385" spans="2:5" ht="15" customHeight="1" x14ac:dyDescent="0.3">
      <c r="C385" s="56"/>
      <c r="D385" s="8">
        <v>2023</v>
      </c>
      <c r="E385" s="14">
        <f>Data!X385</f>
        <v>0</v>
      </c>
    </row>
    <row r="386" spans="2:5" ht="15" customHeight="1" x14ac:dyDescent="0.3">
      <c r="C386" s="56"/>
      <c r="D386" s="8">
        <v>2024</v>
      </c>
      <c r="E386" s="14">
        <f>Data!X386</f>
        <v>0</v>
      </c>
    </row>
    <row r="387" spans="2:5" ht="15" customHeight="1" x14ac:dyDescent="0.3">
      <c r="B387" s="8">
        <v>36</v>
      </c>
      <c r="C387" s="57" t="s">
        <v>54</v>
      </c>
      <c r="D387" s="8">
        <v>2014</v>
      </c>
      <c r="E387" s="14">
        <f>Data!X387</f>
        <v>0</v>
      </c>
    </row>
    <row r="388" spans="2:5" ht="15" customHeight="1" x14ac:dyDescent="0.3">
      <c r="C388" s="57"/>
      <c r="D388" s="8">
        <v>2015</v>
      </c>
      <c r="E388" s="14">
        <f>Data!X388</f>
        <v>0</v>
      </c>
    </row>
    <row r="389" spans="2:5" ht="15" customHeight="1" x14ac:dyDescent="0.3">
      <c r="C389" s="57"/>
      <c r="D389" s="8">
        <v>2016</v>
      </c>
      <c r="E389" s="14">
        <f>Data!X389</f>
        <v>0</v>
      </c>
    </row>
    <row r="390" spans="2:5" ht="15" customHeight="1" x14ac:dyDescent="0.3">
      <c r="C390" s="57"/>
      <c r="D390" s="8">
        <v>2017</v>
      </c>
      <c r="E390" s="14">
        <f>Data!X390</f>
        <v>5</v>
      </c>
    </row>
    <row r="391" spans="2:5" ht="15" customHeight="1" x14ac:dyDescent="0.3">
      <c r="C391" s="57"/>
      <c r="D391" s="8">
        <v>2018</v>
      </c>
      <c r="E391" s="14">
        <f>Data!X391</f>
        <v>7</v>
      </c>
    </row>
    <row r="392" spans="2:5" ht="15" customHeight="1" x14ac:dyDescent="0.3">
      <c r="C392" s="57"/>
      <c r="D392" s="8">
        <v>2019</v>
      </c>
      <c r="E392" s="14">
        <f>Data!X392</f>
        <v>7</v>
      </c>
    </row>
    <row r="393" spans="2:5" ht="15" customHeight="1" x14ac:dyDescent="0.3">
      <c r="C393" s="57"/>
      <c r="D393" s="8">
        <v>2020</v>
      </c>
      <c r="E393" s="14">
        <f>Data!X393</f>
        <v>7</v>
      </c>
    </row>
    <row r="394" spans="2:5" ht="15" customHeight="1" x14ac:dyDescent="0.3">
      <c r="C394" s="57"/>
      <c r="D394" s="8">
        <v>2021</v>
      </c>
      <c r="E394" s="14">
        <f>Data!X394</f>
        <v>9</v>
      </c>
    </row>
    <row r="395" spans="2:5" ht="15" customHeight="1" x14ac:dyDescent="0.3">
      <c r="C395" s="57"/>
      <c r="D395" s="8">
        <v>2022</v>
      </c>
      <c r="E395" s="14">
        <f>Data!X395</f>
        <v>9</v>
      </c>
    </row>
    <row r="396" spans="2:5" ht="15" customHeight="1" x14ac:dyDescent="0.3">
      <c r="C396" s="57"/>
      <c r="D396" s="8">
        <v>2023</v>
      </c>
      <c r="E396" s="14">
        <f>Data!X396</f>
        <v>9</v>
      </c>
    </row>
    <row r="397" spans="2:5" ht="15" customHeight="1" x14ac:dyDescent="0.3">
      <c r="C397" s="57"/>
      <c r="D397" s="8">
        <v>2024</v>
      </c>
      <c r="E397" s="14">
        <f>Data!X397</f>
        <v>0</v>
      </c>
    </row>
    <row r="398" spans="2:5" ht="15" customHeight="1" x14ac:dyDescent="0.3">
      <c r="B398" s="8">
        <v>37</v>
      </c>
      <c r="C398" s="56" t="s">
        <v>10</v>
      </c>
      <c r="D398" s="8">
        <v>2014</v>
      </c>
      <c r="E398" s="14">
        <f>Data!X398</f>
        <v>0</v>
      </c>
    </row>
    <row r="399" spans="2:5" ht="15" customHeight="1" x14ac:dyDescent="0.3">
      <c r="C399" s="56"/>
      <c r="D399" s="8">
        <v>2015</v>
      </c>
      <c r="E399" s="14">
        <f>Data!X399</f>
        <v>0</v>
      </c>
    </row>
    <row r="400" spans="2:5" ht="15" customHeight="1" x14ac:dyDescent="0.3">
      <c r="C400" s="56"/>
      <c r="D400" s="8">
        <v>2016</v>
      </c>
      <c r="E400" s="14">
        <f>Data!X400</f>
        <v>0</v>
      </c>
    </row>
    <row r="401" spans="2:5" ht="15" customHeight="1" x14ac:dyDescent="0.3">
      <c r="C401" s="56"/>
      <c r="D401" s="8">
        <v>2017</v>
      </c>
      <c r="E401" s="14">
        <f>Data!X401</f>
        <v>0</v>
      </c>
    </row>
    <row r="402" spans="2:5" ht="15" customHeight="1" x14ac:dyDescent="0.3">
      <c r="C402" s="56"/>
      <c r="D402" s="8">
        <v>2018</v>
      </c>
      <c r="E402" s="14">
        <f>Data!X402</f>
        <v>0</v>
      </c>
    </row>
    <row r="403" spans="2:5" ht="15" customHeight="1" x14ac:dyDescent="0.3">
      <c r="C403" s="56"/>
      <c r="D403" s="8">
        <v>2019</v>
      </c>
      <c r="E403" s="14">
        <f>Data!X403</f>
        <v>0</v>
      </c>
    </row>
    <row r="404" spans="2:5" ht="15" customHeight="1" x14ac:dyDescent="0.3">
      <c r="C404" s="56"/>
      <c r="D404" s="8">
        <v>2020</v>
      </c>
      <c r="E404" s="14">
        <f>Data!X404</f>
        <v>0</v>
      </c>
    </row>
    <row r="405" spans="2:5" ht="15" customHeight="1" x14ac:dyDescent="0.3">
      <c r="C405" s="56"/>
      <c r="D405" s="8">
        <v>2021</v>
      </c>
      <c r="E405" s="14">
        <f>Data!X405</f>
        <v>0</v>
      </c>
    </row>
    <row r="406" spans="2:5" ht="15" customHeight="1" x14ac:dyDescent="0.3">
      <c r="C406" s="56"/>
      <c r="D406" s="8">
        <v>2022</v>
      </c>
      <c r="E406" s="14">
        <f>Data!X406</f>
        <v>0</v>
      </c>
    </row>
    <row r="407" spans="2:5" ht="15" customHeight="1" x14ac:dyDescent="0.3">
      <c r="C407" s="56"/>
      <c r="D407" s="8">
        <v>2023</v>
      </c>
      <c r="E407" s="14">
        <f>Data!X407</f>
        <v>0</v>
      </c>
    </row>
    <row r="408" spans="2:5" ht="15" customHeight="1" x14ac:dyDescent="0.3">
      <c r="C408" s="56"/>
      <c r="D408" s="8">
        <v>2024</v>
      </c>
      <c r="E408" s="14">
        <f>Data!X408</f>
        <v>0</v>
      </c>
    </row>
    <row r="409" spans="2:5" ht="15" customHeight="1" x14ac:dyDescent="0.3">
      <c r="B409" s="8">
        <v>38</v>
      </c>
      <c r="C409" s="56" t="s">
        <v>32</v>
      </c>
      <c r="D409" s="8">
        <v>2014</v>
      </c>
      <c r="E409" s="14">
        <f>Data!X409</f>
        <v>0</v>
      </c>
    </row>
    <row r="410" spans="2:5" ht="15" customHeight="1" x14ac:dyDescent="0.3">
      <c r="C410" s="56"/>
      <c r="D410" s="8">
        <v>2015</v>
      </c>
      <c r="E410" s="14">
        <f>Data!X410</f>
        <v>0</v>
      </c>
    </row>
    <row r="411" spans="2:5" ht="15" customHeight="1" x14ac:dyDescent="0.3">
      <c r="C411" s="56"/>
      <c r="D411" s="8">
        <v>2016</v>
      </c>
      <c r="E411" s="14">
        <f>Data!X411</f>
        <v>0</v>
      </c>
    </row>
    <row r="412" spans="2:5" ht="15" customHeight="1" x14ac:dyDescent="0.3">
      <c r="C412" s="56"/>
      <c r="D412" s="8">
        <v>2017</v>
      </c>
      <c r="E412" s="14">
        <f>Data!X412</f>
        <v>0</v>
      </c>
    </row>
    <row r="413" spans="2:5" ht="15" customHeight="1" x14ac:dyDescent="0.3">
      <c r="C413" s="56"/>
      <c r="D413" s="8">
        <v>2018</v>
      </c>
      <c r="E413" s="14">
        <f>Data!X413</f>
        <v>0</v>
      </c>
    </row>
    <row r="414" spans="2:5" ht="15" customHeight="1" x14ac:dyDescent="0.3">
      <c r="C414" s="56"/>
      <c r="D414" s="8">
        <v>2019</v>
      </c>
      <c r="E414" s="14">
        <f>Data!X414</f>
        <v>0</v>
      </c>
    </row>
    <row r="415" spans="2:5" ht="15" customHeight="1" x14ac:dyDescent="0.3">
      <c r="C415" s="56"/>
      <c r="D415" s="8">
        <v>2020</v>
      </c>
      <c r="E415" s="14">
        <f>Data!X415</f>
        <v>0</v>
      </c>
    </row>
    <row r="416" spans="2:5" ht="15" customHeight="1" x14ac:dyDescent="0.3">
      <c r="C416" s="56"/>
      <c r="D416" s="8">
        <v>2021</v>
      </c>
      <c r="E416" s="14">
        <f>Data!X416</f>
        <v>0</v>
      </c>
    </row>
    <row r="417" spans="2:5" ht="15" customHeight="1" x14ac:dyDescent="0.3">
      <c r="C417" s="56"/>
      <c r="D417" s="8">
        <v>2022</v>
      </c>
      <c r="E417" s="14">
        <f>Data!X417</f>
        <v>0</v>
      </c>
    </row>
    <row r="418" spans="2:5" ht="15" customHeight="1" x14ac:dyDescent="0.3">
      <c r="C418" s="56"/>
      <c r="D418" s="8">
        <v>2023</v>
      </c>
      <c r="E418" s="14">
        <f>Data!X418</f>
        <v>0</v>
      </c>
    </row>
    <row r="419" spans="2:5" ht="15" customHeight="1" x14ac:dyDescent="0.3">
      <c r="C419" s="56"/>
      <c r="D419" s="8">
        <v>2024</v>
      </c>
      <c r="E419" s="14">
        <f>Data!X419</f>
        <v>0</v>
      </c>
    </row>
    <row r="420" spans="2:5" ht="15" customHeight="1" x14ac:dyDescent="0.3">
      <c r="B420" s="8">
        <v>39</v>
      </c>
      <c r="C420" s="56" t="s">
        <v>33</v>
      </c>
      <c r="D420" s="8">
        <v>2014</v>
      </c>
      <c r="E420" s="14">
        <f>Data!X420</f>
        <v>0</v>
      </c>
    </row>
    <row r="421" spans="2:5" ht="15" customHeight="1" x14ac:dyDescent="0.3">
      <c r="C421" s="56"/>
      <c r="D421" s="8">
        <v>2015</v>
      </c>
      <c r="E421" s="14">
        <f>Data!X421</f>
        <v>0</v>
      </c>
    </row>
    <row r="422" spans="2:5" ht="15" customHeight="1" x14ac:dyDescent="0.3">
      <c r="C422" s="56"/>
      <c r="D422" s="8">
        <v>2016</v>
      </c>
      <c r="E422" s="14">
        <f>Data!X422</f>
        <v>0</v>
      </c>
    </row>
    <row r="423" spans="2:5" ht="15" customHeight="1" x14ac:dyDescent="0.3">
      <c r="C423" s="56"/>
      <c r="D423" s="8">
        <v>2017</v>
      </c>
      <c r="E423" s="14">
        <f>Data!X423</f>
        <v>0</v>
      </c>
    </row>
    <row r="424" spans="2:5" ht="15" customHeight="1" x14ac:dyDescent="0.3">
      <c r="C424" s="56"/>
      <c r="D424" s="8">
        <v>2018</v>
      </c>
      <c r="E424" s="14">
        <f>Data!X424</f>
        <v>0</v>
      </c>
    </row>
    <row r="425" spans="2:5" ht="15" customHeight="1" x14ac:dyDescent="0.3">
      <c r="C425" s="56"/>
      <c r="D425" s="8">
        <v>2019</v>
      </c>
      <c r="E425" s="14">
        <f>Data!X425</f>
        <v>0</v>
      </c>
    </row>
    <row r="426" spans="2:5" ht="15" customHeight="1" x14ac:dyDescent="0.3">
      <c r="C426" s="56"/>
      <c r="D426" s="8">
        <v>2020</v>
      </c>
      <c r="E426" s="14">
        <f>Data!X426</f>
        <v>0</v>
      </c>
    </row>
    <row r="427" spans="2:5" ht="15" customHeight="1" x14ac:dyDescent="0.3">
      <c r="C427" s="56"/>
      <c r="D427" s="8">
        <v>2021</v>
      </c>
      <c r="E427" s="14">
        <f>Data!X427</f>
        <v>0</v>
      </c>
    </row>
    <row r="428" spans="2:5" ht="15" customHeight="1" x14ac:dyDescent="0.3">
      <c r="C428" s="56"/>
      <c r="D428" s="8">
        <v>2022</v>
      </c>
      <c r="E428" s="14">
        <f>Data!X428</f>
        <v>0</v>
      </c>
    </row>
    <row r="429" spans="2:5" ht="15" customHeight="1" x14ac:dyDescent="0.3">
      <c r="C429" s="56"/>
      <c r="D429" s="8">
        <v>2023</v>
      </c>
      <c r="E429" s="14">
        <f>Data!X429</f>
        <v>0</v>
      </c>
    </row>
    <row r="430" spans="2:5" ht="15" customHeight="1" x14ac:dyDescent="0.3">
      <c r="C430" s="56"/>
      <c r="D430" s="8">
        <v>2024</v>
      </c>
      <c r="E430" s="14">
        <f>Data!X430</f>
        <v>0</v>
      </c>
    </row>
    <row r="431" spans="2:5" ht="15" customHeight="1" x14ac:dyDescent="0.3">
      <c r="B431" s="8">
        <v>40</v>
      </c>
      <c r="C431" s="56" t="s">
        <v>12</v>
      </c>
      <c r="D431" s="8">
        <v>2014</v>
      </c>
      <c r="E431" s="14">
        <f>Data!X431</f>
        <v>0</v>
      </c>
    </row>
    <row r="432" spans="2:5" ht="15" customHeight="1" x14ac:dyDescent="0.3">
      <c r="C432" s="56"/>
      <c r="D432" s="8">
        <v>2015</v>
      </c>
      <c r="E432" s="14">
        <f>Data!X432</f>
        <v>0</v>
      </c>
    </row>
    <row r="433" spans="2:5" ht="15" customHeight="1" x14ac:dyDescent="0.3">
      <c r="C433" s="56"/>
      <c r="D433" s="8">
        <v>2016</v>
      </c>
      <c r="E433" s="14">
        <f>Data!X433</f>
        <v>0</v>
      </c>
    </row>
    <row r="434" spans="2:5" ht="15" customHeight="1" x14ac:dyDescent="0.3">
      <c r="C434" s="56"/>
      <c r="D434" s="8">
        <v>2017</v>
      </c>
      <c r="E434" s="14">
        <f>Data!X434</f>
        <v>0</v>
      </c>
    </row>
    <row r="435" spans="2:5" ht="15" customHeight="1" x14ac:dyDescent="0.3">
      <c r="C435" s="56"/>
      <c r="D435" s="8">
        <v>2018</v>
      </c>
      <c r="E435" s="14">
        <f>Data!X435</f>
        <v>0</v>
      </c>
    </row>
    <row r="436" spans="2:5" ht="15" customHeight="1" x14ac:dyDescent="0.3">
      <c r="C436" s="56"/>
      <c r="D436" s="8">
        <v>2019</v>
      </c>
      <c r="E436" s="14">
        <f>Data!X436</f>
        <v>0</v>
      </c>
    </row>
    <row r="437" spans="2:5" ht="15" customHeight="1" x14ac:dyDescent="0.3">
      <c r="C437" s="56"/>
      <c r="D437" s="8">
        <v>2020</v>
      </c>
      <c r="E437" s="14">
        <f>Data!X437</f>
        <v>0</v>
      </c>
    </row>
    <row r="438" spans="2:5" ht="15" customHeight="1" x14ac:dyDescent="0.3">
      <c r="C438" s="56"/>
      <c r="D438" s="8">
        <v>2021</v>
      </c>
      <c r="E438" s="14">
        <f>Data!X438</f>
        <v>0</v>
      </c>
    </row>
    <row r="439" spans="2:5" ht="15" customHeight="1" x14ac:dyDescent="0.3">
      <c r="C439" s="56"/>
      <c r="D439" s="8">
        <v>2022</v>
      </c>
      <c r="E439" s="14">
        <f>Data!X439</f>
        <v>0</v>
      </c>
    </row>
    <row r="440" spans="2:5" ht="15" customHeight="1" x14ac:dyDescent="0.3">
      <c r="C440" s="56"/>
      <c r="D440" s="8">
        <v>2023</v>
      </c>
      <c r="E440" s="14">
        <f>Data!X440</f>
        <v>0</v>
      </c>
    </row>
    <row r="441" spans="2:5" ht="15" customHeight="1" x14ac:dyDescent="0.3">
      <c r="C441" s="56"/>
      <c r="D441" s="8">
        <v>2024</v>
      </c>
      <c r="E441" s="14">
        <f>Data!X441</f>
        <v>0</v>
      </c>
    </row>
    <row r="442" spans="2:5" ht="15" customHeight="1" x14ac:dyDescent="0.3">
      <c r="B442" s="8">
        <v>41</v>
      </c>
      <c r="C442" s="56" t="s">
        <v>34</v>
      </c>
      <c r="D442" s="8">
        <v>2014</v>
      </c>
      <c r="E442" s="14">
        <f>Data!X442</f>
        <v>0</v>
      </c>
    </row>
    <row r="443" spans="2:5" ht="15" customHeight="1" x14ac:dyDescent="0.3">
      <c r="C443" s="56"/>
      <c r="D443" s="8">
        <v>2015</v>
      </c>
      <c r="E443" s="14">
        <f>Data!X443</f>
        <v>0</v>
      </c>
    </row>
    <row r="444" spans="2:5" ht="15" customHeight="1" x14ac:dyDescent="0.3">
      <c r="C444" s="56"/>
      <c r="D444" s="8">
        <v>2016</v>
      </c>
      <c r="E444" s="14">
        <f>Data!X444</f>
        <v>0</v>
      </c>
    </row>
    <row r="445" spans="2:5" ht="15" customHeight="1" x14ac:dyDescent="0.3">
      <c r="C445" s="56"/>
      <c r="D445" s="8">
        <v>2017</v>
      </c>
      <c r="E445" s="14">
        <f>Data!X445</f>
        <v>0</v>
      </c>
    </row>
    <row r="446" spans="2:5" ht="15" customHeight="1" x14ac:dyDescent="0.3">
      <c r="C446" s="56"/>
      <c r="D446" s="8">
        <v>2018</v>
      </c>
      <c r="E446" s="14">
        <f>Data!X446</f>
        <v>0</v>
      </c>
    </row>
    <row r="447" spans="2:5" ht="15" customHeight="1" x14ac:dyDescent="0.3">
      <c r="C447" s="56"/>
      <c r="D447" s="8">
        <v>2019</v>
      </c>
      <c r="E447" s="14">
        <f>Data!X447</f>
        <v>0</v>
      </c>
    </row>
    <row r="448" spans="2:5" ht="15" customHeight="1" x14ac:dyDescent="0.3">
      <c r="C448" s="56"/>
      <c r="D448" s="8">
        <v>2020</v>
      </c>
      <c r="E448" s="14">
        <f>Data!X448</f>
        <v>0</v>
      </c>
    </row>
    <row r="449" spans="2:5" ht="15" customHeight="1" x14ac:dyDescent="0.3">
      <c r="C449" s="56"/>
      <c r="D449" s="8">
        <v>2021</v>
      </c>
      <c r="E449" s="14">
        <f>Data!X449</f>
        <v>0</v>
      </c>
    </row>
    <row r="450" spans="2:5" ht="15" customHeight="1" x14ac:dyDescent="0.3">
      <c r="C450" s="56"/>
      <c r="D450" s="8">
        <v>2022</v>
      </c>
      <c r="E450" s="14">
        <f>Data!X450</f>
        <v>0</v>
      </c>
    </row>
    <row r="451" spans="2:5" ht="15" customHeight="1" x14ac:dyDescent="0.3">
      <c r="C451" s="56"/>
      <c r="D451" s="8">
        <v>2023</v>
      </c>
      <c r="E451" s="14">
        <f>Data!X451</f>
        <v>0</v>
      </c>
    </row>
    <row r="452" spans="2:5" ht="15" customHeight="1" x14ac:dyDescent="0.3">
      <c r="C452" s="56"/>
      <c r="D452" s="8">
        <v>2024</v>
      </c>
      <c r="E452" s="14">
        <f>Data!X452</f>
        <v>0</v>
      </c>
    </row>
    <row r="453" spans="2:5" ht="15" customHeight="1" x14ac:dyDescent="0.3">
      <c r="B453" s="8">
        <v>42</v>
      </c>
      <c r="C453" s="56" t="s">
        <v>14</v>
      </c>
      <c r="D453" s="8">
        <v>2014</v>
      </c>
      <c r="E453" s="14">
        <f>Data!X453</f>
        <v>0</v>
      </c>
    </row>
    <row r="454" spans="2:5" ht="15" customHeight="1" x14ac:dyDescent="0.3">
      <c r="C454" s="56"/>
      <c r="D454" s="8">
        <v>2015</v>
      </c>
      <c r="E454" s="14">
        <f>Data!X454</f>
        <v>6</v>
      </c>
    </row>
    <row r="455" spans="2:5" ht="15" customHeight="1" x14ac:dyDescent="0.3">
      <c r="C455" s="56"/>
      <c r="D455" s="8">
        <v>2016</v>
      </c>
      <c r="E455" s="14">
        <f>Data!X455</f>
        <v>6</v>
      </c>
    </row>
    <row r="456" spans="2:5" ht="15" customHeight="1" x14ac:dyDescent="0.3">
      <c r="C456" s="56"/>
      <c r="D456" s="8">
        <v>2017</v>
      </c>
      <c r="E456" s="14">
        <f>Data!X456</f>
        <v>6</v>
      </c>
    </row>
    <row r="457" spans="2:5" ht="15" customHeight="1" x14ac:dyDescent="0.3">
      <c r="C457" s="56"/>
      <c r="D457" s="8">
        <v>2018</v>
      </c>
      <c r="E457" s="14">
        <f>Data!X457</f>
        <v>6</v>
      </c>
    </row>
    <row r="458" spans="2:5" ht="15" customHeight="1" x14ac:dyDescent="0.3">
      <c r="C458" s="56"/>
      <c r="D458" s="8">
        <v>2019</v>
      </c>
      <c r="E458" s="14">
        <f>Data!X458</f>
        <v>6</v>
      </c>
    </row>
    <row r="459" spans="2:5" ht="15" customHeight="1" x14ac:dyDescent="0.3">
      <c r="C459" s="56"/>
      <c r="D459" s="8">
        <v>2020</v>
      </c>
      <c r="E459" s="14">
        <f>Data!X459</f>
        <v>6</v>
      </c>
    </row>
    <row r="460" spans="2:5" ht="15" customHeight="1" x14ac:dyDescent="0.3">
      <c r="C460" s="56"/>
      <c r="D460" s="8">
        <v>2021</v>
      </c>
      <c r="E460" s="14">
        <f>Data!X460</f>
        <v>9</v>
      </c>
    </row>
    <row r="461" spans="2:5" ht="15" customHeight="1" x14ac:dyDescent="0.3">
      <c r="C461" s="56"/>
      <c r="D461" s="8">
        <v>2022</v>
      </c>
      <c r="E461" s="14">
        <f>Data!X461</f>
        <v>9</v>
      </c>
    </row>
    <row r="462" spans="2:5" ht="15" customHeight="1" x14ac:dyDescent="0.3">
      <c r="C462" s="56"/>
      <c r="D462" s="8">
        <v>2023</v>
      </c>
      <c r="E462" s="14">
        <f>Data!X462</f>
        <v>6</v>
      </c>
    </row>
    <row r="463" spans="2:5" ht="15" customHeight="1" x14ac:dyDescent="0.3">
      <c r="C463" s="56"/>
      <c r="D463" s="8">
        <v>2024</v>
      </c>
      <c r="E463" s="14">
        <f>Data!X463</f>
        <v>8</v>
      </c>
    </row>
    <row r="464" spans="2:5" ht="15" customHeight="1" x14ac:dyDescent="0.3">
      <c r="B464" s="8">
        <v>43</v>
      </c>
      <c r="C464" s="56" t="s">
        <v>15</v>
      </c>
      <c r="D464" s="8">
        <v>2014</v>
      </c>
      <c r="E464" s="14">
        <f>Data!X464</f>
        <v>0</v>
      </c>
    </row>
    <row r="465" spans="2:5" ht="15" customHeight="1" x14ac:dyDescent="0.3">
      <c r="C465" s="56"/>
      <c r="D465" s="8">
        <v>2015</v>
      </c>
      <c r="E465" s="14">
        <f>Data!X465</f>
        <v>0</v>
      </c>
    </row>
    <row r="466" spans="2:5" ht="15" customHeight="1" x14ac:dyDescent="0.3">
      <c r="C466" s="56"/>
      <c r="D466" s="8">
        <v>2016</v>
      </c>
      <c r="E466" s="14">
        <f>Data!X466</f>
        <v>0</v>
      </c>
    </row>
    <row r="467" spans="2:5" ht="15" customHeight="1" x14ac:dyDescent="0.3">
      <c r="C467" s="56"/>
      <c r="D467" s="8">
        <v>2017</v>
      </c>
      <c r="E467" s="14">
        <f>Data!X467</f>
        <v>0</v>
      </c>
    </row>
    <row r="468" spans="2:5" ht="15" customHeight="1" x14ac:dyDescent="0.3">
      <c r="C468" s="56"/>
      <c r="D468" s="8">
        <v>2018</v>
      </c>
      <c r="E468" s="14">
        <f>Data!X468</f>
        <v>0</v>
      </c>
    </row>
    <row r="469" spans="2:5" ht="15" customHeight="1" x14ac:dyDescent="0.3">
      <c r="C469" s="56"/>
      <c r="D469" s="8">
        <v>2019</v>
      </c>
      <c r="E469" s="14">
        <f>Data!X469</f>
        <v>3</v>
      </c>
    </row>
    <row r="470" spans="2:5" ht="15" customHeight="1" x14ac:dyDescent="0.3">
      <c r="C470" s="56"/>
      <c r="D470" s="8">
        <v>2020</v>
      </c>
      <c r="E470" s="14">
        <f>Data!X470</f>
        <v>0</v>
      </c>
    </row>
    <row r="471" spans="2:5" ht="15" customHeight="1" x14ac:dyDescent="0.3">
      <c r="C471" s="56"/>
      <c r="D471" s="8">
        <v>2021</v>
      </c>
      <c r="E471" s="14">
        <f>Data!X471</f>
        <v>4</v>
      </c>
    </row>
    <row r="472" spans="2:5" ht="15" customHeight="1" x14ac:dyDescent="0.3">
      <c r="C472" s="56"/>
      <c r="D472" s="8">
        <v>2022</v>
      </c>
      <c r="E472" s="14">
        <f>Data!X472</f>
        <v>4</v>
      </c>
    </row>
    <row r="473" spans="2:5" ht="15" customHeight="1" x14ac:dyDescent="0.3">
      <c r="C473" s="56"/>
      <c r="D473" s="8">
        <v>2023</v>
      </c>
      <c r="E473" s="14">
        <f>Data!X473</f>
        <v>6</v>
      </c>
    </row>
    <row r="474" spans="2:5" ht="15" customHeight="1" x14ac:dyDescent="0.3">
      <c r="C474" s="56"/>
      <c r="D474" s="8">
        <v>2024</v>
      </c>
      <c r="E474" s="14">
        <f>Data!X474</f>
        <v>6</v>
      </c>
    </row>
    <row r="475" spans="2:5" ht="15" customHeight="1" x14ac:dyDescent="0.3">
      <c r="B475" s="8">
        <v>44</v>
      </c>
      <c r="C475" s="56" t="s">
        <v>35</v>
      </c>
      <c r="D475" s="8">
        <v>2014</v>
      </c>
      <c r="E475" s="14">
        <f>Data!X475</f>
        <v>0</v>
      </c>
    </row>
    <row r="476" spans="2:5" ht="15" customHeight="1" x14ac:dyDescent="0.3">
      <c r="C476" s="56"/>
      <c r="D476" s="8">
        <v>2015</v>
      </c>
      <c r="E476" s="14">
        <f>Data!X476</f>
        <v>0</v>
      </c>
    </row>
    <row r="477" spans="2:5" ht="15" customHeight="1" x14ac:dyDescent="0.3">
      <c r="C477" s="56"/>
      <c r="D477" s="8">
        <v>2016</v>
      </c>
      <c r="E477" s="14">
        <f>Data!X477</f>
        <v>0</v>
      </c>
    </row>
    <row r="478" spans="2:5" ht="15" customHeight="1" x14ac:dyDescent="0.3">
      <c r="C478" s="56"/>
      <c r="D478" s="8">
        <v>2017</v>
      </c>
      <c r="E478" s="14">
        <f>Data!X478</f>
        <v>0</v>
      </c>
    </row>
    <row r="479" spans="2:5" ht="15" customHeight="1" x14ac:dyDescent="0.3">
      <c r="C479" s="56"/>
      <c r="D479" s="8">
        <v>2018</v>
      </c>
      <c r="E479" s="14">
        <f>Data!X479</f>
        <v>0</v>
      </c>
    </row>
    <row r="480" spans="2:5" ht="15" customHeight="1" x14ac:dyDescent="0.3">
      <c r="C480" s="56"/>
      <c r="D480" s="8">
        <v>2019</v>
      </c>
      <c r="E480" s="14">
        <f>Data!X480</f>
        <v>0</v>
      </c>
    </row>
    <row r="481" spans="2:5" ht="15" customHeight="1" x14ac:dyDescent="0.3">
      <c r="C481" s="56"/>
      <c r="D481" s="8">
        <v>2020</v>
      </c>
      <c r="E481" s="14">
        <f>Data!X481</f>
        <v>0</v>
      </c>
    </row>
    <row r="482" spans="2:5" ht="15" customHeight="1" x14ac:dyDescent="0.3">
      <c r="C482" s="56"/>
      <c r="D482" s="8">
        <v>2021</v>
      </c>
      <c r="E482" s="14">
        <f>Data!X482</f>
        <v>0</v>
      </c>
    </row>
    <row r="483" spans="2:5" ht="15" customHeight="1" x14ac:dyDescent="0.3">
      <c r="C483" s="56"/>
      <c r="D483" s="8">
        <v>2022</v>
      </c>
      <c r="E483" s="14">
        <f>Data!X483</f>
        <v>0</v>
      </c>
    </row>
    <row r="484" spans="2:5" ht="15" customHeight="1" x14ac:dyDescent="0.3">
      <c r="C484" s="56"/>
      <c r="D484" s="8">
        <v>2023</v>
      </c>
      <c r="E484" s="14">
        <f>Data!X484</f>
        <v>0</v>
      </c>
    </row>
    <row r="485" spans="2:5" ht="15" customHeight="1" x14ac:dyDescent="0.3">
      <c r="C485" s="56"/>
      <c r="D485" s="8">
        <v>2024</v>
      </c>
      <c r="E485" s="14">
        <f>Data!X485</f>
        <v>0</v>
      </c>
    </row>
    <row r="486" spans="2:5" ht="15" customHeight="1" x14ac:dyDescent="0.3">
      <c r="B486" s="8">
        <v>45</v>
      </c>
      <c r="C486" s="56" t="s">
        <v>36</v>
      </c>
      <c r="D486" s="8">
        <v>2014</v>
      </c>
      <c r="E486" s="14">
        <f>Data!X486</f>
        <v>0</v>
      </c>
    </row>
    <row r="487" spans="2:5" ht="15" customHeight="1" x14ac:dyDescent="0.3">
      <c r="C487" s="56"/>
      <c r="D487" s="8">
        <v>2015</v>
      </c>
      <c r="E487" s="14">
        <f>Data!X487</f>
        <v>0</v>
      </c>
    </row>
    <row r="488" spans="2:5" ht="15" customHeight="1" x14ac:dyDescent="0.3">
      <c r="C488" s="56"/>
      <c r="D488" s="8">
        <v>2016</v>
      </c>
      <c r="E488" s="14">
        <f>Data!X488</f>
        <v>0</v>
      </c>
    </row>
    <row r="489" spans="2:5" ht="15" customHeight="1" x14ac:dyDescent="0.3">
      <c r="C489" s="56"/>
      <c r="D489" s="8">
        <v>2017</v>
      </c>
      <c r="E489" s="14">
        <f>Data!X489</f>
        <v>0</v>
      </c>
    </row>
    <row r="490" spans="2:5" ht="15" customHeight="1" x14ac:dyDescent="0.3">
      <c r="C490" s="56"/>
      <c r="D490" s="8">
        <v>2018</v>
      </c>
      <c r="E490" s="14">
        <f>Data!X490</f>
        <v>0</v>
      </c>
    </row>
    <row r="491" spans="2:5" ht="15" customHeight="1" x14ac:dyDescent="0.3">
      <c r="C491" s="56"/>
      <c r="D491" s="8">
        <v>2019</v>
      </c>
      <c r="E491" s="14">
        <f>Data!X491</f>
        <v>0</v>
      </c>
    </row>
    <row r="492" spans="2:5" ht="15" customHeight="1" x14ac:dyDescent="0.3">
      <c r="C492" s="56"/>
      <c r="D492" s="8">
        <v>2020</v>
      </c>
      <c r="E492" s="14">
        <f>Data!X492</f>
        <v>0</v>
      </c>
    </row>
    <row r="493" spans="2:5" ht="15" customHeight="1" x14ac:dyDescent="0.3">
      <c r="C493" s="56"/>
      <c r="D493" s="8">
        <v>2021</v>
      </c>
      <c r="E493" s="14">
        <f>Data!X493</f>
        <v>0</v>
      </c>
    </row>
    <row r="494" spans="2:5" ht="15" customHeight="1" x14ac:dyDescent="0.3">
      <c r="C494" s="56"/>
      <c r="D494" s="8">
        <v>2022</v>
      </c>
      <c r="E494" s="14">
        <f>Data!X494</f>
        <v>0</v>
      </c>
    </row>
    <row r="495" spans="2:5" ht="15" customHeight="1" x14ac:dyDescent="0.3">
      <c r="C495" s="56"/>
      <c r="D495" s="8">
        <v>2023</v>
      </c>
      <c r="E495" s="14">
        <f>Data!X495</f>
        <v>0</v>
      </c>
    </row>
    <row r="496" spans="2:5" ht="15" customHeight="1" x14ac:dyDescent="0.3">
      <c r="C496" s="56"/>
      <c r="D496" s="8">
        <v>2024</v>
      </c>
      <c r="E496" s="14">
        <f>Data!X496</f>
        <v>0</v>
      </c>
    </row>
    <row r="497" spans="2:5" ht="15" customHeight="1" x14ac:dyDescent="0.3">
      <c r="B497" s="8">
        <v>46</v>
      </c>
      <c r="C497" s="56" t="s">
        <v>16</v>
      </c>
      <c r="D497" s="8">
        <v>2014</v>
      </c>
      <c r="E497" s="14">
        <f>Data!X497</f>
        <v>0</v>
      </c>
    </row>
    <row r="498" spans="2:5" ht="15" customHeight="1" x14ac:dyDescent="0.3">
      <c r="C498" s="56"/>
      <c r="D498" s="8">
        <v>2015</v>
      </c>
      <c r="E498" s="14">
        <f>Data!X498</f>
        <v>0</v>
      </c>
    </row>
    <row r="499" spans="2:5" ht="15" customHeight="1" x14ac:dyDescent="0.3">
      <c r="C499" s="56"/>
      <c r="D499" s="8">
        <v>2016</v>
      </c>
      <c r="E499" s="14">
        <f>Data!X499</f>
        <v>0</v>
      </c>
    </row>
    <row r="500" spans="2:5" ht="15" customHeight="1" x14ac:dyDescent="0.3">
      <c r="C500" s="56"/>
      <c r="D500" s="8">
        <v>2017</v>
      </c>
      <c r="E500" s="14">
        <f>Data!X500</f>
        <v>0</v>
      </c>
    </row>
    <row r="501" spans="2:5" ht="15" customHeight="1" x14ac:dyDescent="0.3">
      <c r="C501" s="56"/>
      <c r="D501" s="8">
        <v>2018</v>
      </c>
      <c r="E501" s="14">
        <f>Data!X501</f>
        <v>0</v>
      </c>
    </row>
    <row r="502" spans="2:5" ht="15" customHeight="1" x14ac:dyDescent="0.3">
      <c r="C502" s="56"/>
      <c r="D502" s="8">
        <v>2019</v>
      </c>
      <c r="E502" s="14">
        <f>Data!X502</f>
        <v>0</v>
      </c>
    </row>
    <row r="503" spans="2:5" ht="15" customHeight="1" x14ac:dyDescent="0.3">
      <c r="C503" s="56"/>
      <c r="D503" s="8">
        <v>2020</v>
      </c>
      <c r="E503" s="14">
        <f>Data!X503</f>
        <v>0</v>
      </c>
    </row>
    <row r="504" spans="2:5" ht="15" customHeight="1" x14ac:dyDescent="0.3">
      <c r="C504" s="56"/>
      <c r="D504" s="8">
        <v>2021</v>
      </c>
      <c r="E504" s="14">
        <f>Data!X504</f>
        <v>0</v>
      </c>
    </row>
    <row r="505" spans="2:5" ht="15" customHeight="1" x14ac:dyDescent="0.3">
      <c r="C505" s="56"/>
      <c r="D505" s="8">
        <v>2022</v>
      </c>
      <c r="E505" s="14">
        <f>Data!X505</f>
        <v>0</v>
      </c>
    </row>
    <row r="506" spans="2:5" ht="15" customHeight="1" x14ac:dyDescent="0.3">
      <c r="C506" s="56"/>
      <c r="D506" s="8">
        <v>2023</v>
      </c>
      <c r="E506" s="14">
        <f>Data!X506</f>
        <v>0</v>
      </c>
    </row>
    <row r="507" spans="2:5" ht="15" customHeight="1" x14ac:dyDescent="0.3">
      <c r="C507" s="56"/>
      <c r="D507" s="8">
        <v>2024</v>
      </c>
      <c r="E507" s="14">
        <f>Data!X507</f>
        <v>0</v>
      </c>
    </row>
    <row r="508" spans="2:5" ht="15" customHeight="1" x14ac:dyDescent="0.3">
      <c r="B508" s="8">
        <v>47</v>
      </c>
      <c r="C508" s="56" t="s">
        <v>17</v>
      </c>
      <c r="D508" s="8">
        <v>2014</v>
      </c>
      <c r="E508" s="14">
        <f>Data!X508</f>
        <v>0</v>
      </c>
    </row>
    <row r="509" spans="2:5" ht="15" customHeight="1" x14ac:dyDescent="0.3">
      <c r="C509" s="56"/>
      <c r="D509" s="8">
        <v>2015</v>
      </c>
      <c r="E509" s="14">
        <f>Data!X509</f>
        <v>0</v>
      </c>
    </row>
    <row r="510" spans="2:5" ht="15" customHeight="1" x14ac:dyDescent="0.3">
      <c r="C510" s="56"/>
      <c r="D510" s="8">
        <v>2016</v>
      </c>
      <c r="E510" s="14">
        <f>Data!X510</f>
        <v>0</v>
      </c>
    </row>
    <row r="511" spans="2:5" ht="15" customHeight="1" x14ac:dyDescent="0.3">
      <c r="C511" s="56"/>
      <c r="D511" s="8">
        <v>2017</v>
      </c>
      <c r="E511" s="14">
        <f>Data!X511</f>
        <v>0</v>
      </c>
    </row>
    <row r="512" spans="2:5" ht="15" customHeight="1" x14ac:dyDescent="0.3">
      <c r="C512" s="56"/>
      <c r="D512" s="8">
        <v>2018</v>
      </c>
      <c r="E512" s="14">
        <f>Data!X512</f>
        <v>0</v>
      </c>
    </row>
    <row r="513" spans="2:5" ht="15" customHeight="1" x14ac:dyDescent="0.3">
      <c r="C513" s="56"/>
      <c r="D513" s="8">
        <v>2019</v>
      </c>
      <c r="E513" s="14">
        <f>Data!X513</f>
        <v>0</v>
      </c>
    </row>
    <row r="514" spans="2:5" ht="15" customHeight="1" x14ac:dyDescent="0.3">
      <c r="C514" s="56"/>
      <c r="D514" s="8">
        <v>2020</v>
      </c>
      <c r="E514" s="14">
        <f>Data!X514</f>
        <v>0</v>
      </c>
    </row>
    <row r="515" spans="2:5" ht="15" customHeight="1" x14ac:dyDescent="0.3">
      <c r="C515" s="56"/>
      <c r="D515" s="8">
        <v>2021</v>
      </c>
      <c r="E515" s="14">
        <f>Data!X515</f>
        <v>0</v>
      </c>
    </row>
    <row r="516" spans="2:5" ht="15" customHeight="1" x14ac:dyDescent="0.3">
      <c r="C516" s="56"/>
      <c r="D516" s="8">
        <v>2022</v>
      </c>
      <c r="E516" s="14">
        <f>Data!X516</f>
        <v>0</v>
      </c>
    </row>
    <row r="517" spans="2:5" ht="15" customHeight="1" x14ac:dyDescent="0.3">
      <c r="C517" s="56"/>
      <c r="D517" s="8">
        <v>2023</v>
      </c>
      <c r="E517" s="14">
        <f>Data!X517</f>
        <v>0</v>
      </c>
    </row>
    <row r="518" spans="2:5" ht="15" customHeight="1" x14ac:dyDescent="0.3">
      <c r="C518" s="56"/>
      <c r="D518" s="8">
        <v>2024</v>
      </c>
      <c r="E518" s="14">
        <f>Data!X518</f>
        <v>0</v>
      </c>
    </row>
    <row r="519" spans="2:5" ht="15" customHeight="1" x14ac:dyDescent="0.3">
      <c r="B519" s="8">
        <v>48</v>
      </c>
      <c r="C519" s="56" t="s">
        <v>26</v>
      </c>
      <c r="D519" s="8">
        <v>2014</v>
      </c>
      <c r="E519" s="14">
        <f>Data!X519</f>
        <v>0</v>
      </c>
    </row>
    <row r="520" spans="2:5" ht="15" customHeight="1" x14ac:dyDescent="0.3">
      <c r="C520" s="56"/>
      <c r="D520" s="8">
        <v>2015</v>
      </c>
      <c r="E520" s="14">
        <f>Data!X520</f>
        <v>0</v>
      </c>
    </row>
    <row r="521" spans="2:5" ht="15" customHeight="1" x14ac:dyDescent="0.3">
      <c r="C521" s="56"/>
      <c r="D521" s="8">
        <v>2016</v>
      </c>
      <c r="E521" s="14">
        <f>Data!X521</f>
        <v>0</v>
      </c>
    </row>
    <row r="522" spans="2:5" ht="15" customHeight="1" x14ac:dyDescent="0.3">
      <c r="C522" s="56"/>
      <c r="D522" s="8">
        <v>2017</v>
      </c>
      <c r="E522" s="14">
        <f>Data!X522</f>
        <v>0</v>
      </c>
    </row>
    <row r="523" spans="2:5" ht="15" customHeight="1" x14ac:dyDescent="0.3">
      <c r="C523" s="56"/>
      <c r="D523" s="8">
        <v>2018</v>
      </c>
      <c r="E523" s="14">
        <f>Data!X523</f>
        <v>0</v>
      </c>
    </row>
    <row r="524" spans="2:5" ht="15" customHeight="1" x14ac:dyDescent="0.3">
      <c r="C524" s="56"/>
      <c r="D524" s="8">
        <v>2019</v>
      </c>
      <c r="E524" s="14">
        <f>Data!X524</f>
        <v>9</v>
      </c>
    </row>
    <row r="525" spans="2:5" ht="15" customHeight="1" x14ac:dyDescent="0.3">
      <c r="C525" s="56"/>
      <c r="D525" s="8">
        <v>2020</v>
      </c>
      <c r="E525" s="14">
        <f>Data!X525</f>
        <v>10</v>
      </c>
    </row>
    <row r="526" spans="2:5" ht="15" customHeight="1" x14ac:dyDescent="0.3">
      <c r="C526" s="56"/>
      <c r="D526" s="8">
        <v>2021</v>
      </c>
      <c r="E526" s="14">
        <f>Data!X526</f>
        <v>13</v>
      </c>
    </row>
    <row r="527" spans="2:5" ht="15" customHeight="1" x14ac:dyDescent="0.3">
      <c r="C527" s="56"/>
      <c r="D527" s="8">
        <v>2022</v>
      </c>
      <c r="E527" s="14">
        <f>Data!X527</f>
        <v>10</v>
      </c>
    </row>
    <row r="528" spans="2:5" ht="15" customHeight="1" x14ac:dyDescent="0.3">
      <c r="C528" s="56"/>
      <c r="D528" s="8">
        <v>2023</v>
      </c>
      <c r="E528" s="14">
        <f>Data!X528</f>
        <v>10</v>
      </c>
    </row>
    <row r="529" spans="2:5" ht="15" customHeight="1" x14ac:dyDescent="0.3">
      <c r="C529" s="56"/>
      <c r="D529" s="8">
        <v>2024</v>
      </c>
      <c r="E529" s="14">
        <f>Data!X529</f>
        <v>10</v>
      </c>
    </row>
    <row r="530" spans="2:5" ht="15" customHeight="1" x14ac:dyDescent="0.3">
      <c r="B530" s="8">
        <v>49</v>
      </c>
      <c r="C530" s="56" t="s">
        <v>38</v>
      </c>
      <c r="D530" s="8">
        <v>2014</v>
      </c>
      <c r="E530" s="14">
        <f>Data!X530</f>
        <v>0</v>
      </c>
    </row>
    <row r="531" spans="2:5" ht="15" customHeight="1" x14ac:dyDescent="0.3">
      <c r="C531" s="56"/>
      <c r="D531" s="8">
        <v>2015</v>
      </c>
      <c r="E531" s="14">
        <f>Data!X531</f>
        <v>0</v>
      </c>
    </row>
    <row r="532" spans="2:5" ht="15" customHeight="1" x14ac:dyDescent="0.3">
      <c r="C532" s="56"/>
      <c r="D532" s="8">
        <v>2016</v>
      </c>
      <c r="E532" s="14">
        <f>Data!X532</f>
        <v>0</v>
      </c>
    </row>
    <row r="533" spans="2:5" ht="15" customHeight="1" x14ac:dyDescent="0.3">
      <c r="C533" s="56"/>
      <c r="D533" s="8">
        <v>2017</v>
      </c>
      <c r="E533" s="14">
        <f>Data!X533</f>
        <v>0</v>
      </c>
    </row>
    <row r="534" spans="2:5" ht="15" customHeight="1" x14ac:dyDescent="0.3">
      <c r="C534" s="56"/>
      <c r="D534" s="8">
        <v>2018</v>
      </c>
      <c r="E534" s="14">
        <f>Data!X534</f>
        <v>0</v>
      </c>
    </row>
    <row r="535" spans="2:5" ht="15" customHeight="1" x14ac:dyDescent="0.3">
      <c r="C535" s="56"/>
      <c r="D535" s="8">
        <v>2019</v>
      </c>
      <c r="E535" s="14">
        <f>Data!X535</f>
        <v>0</v>
      </c>
    </row>
    <row r="536" spans="2:5" ht="15" customHeight="1" x14ac:dyDescent="0.3">
      <c r="C536" s="56"/>
      <c r="D536" s="8">
        <v>2020</v>
      </c>
      <c r="E536" s="14">
        <f>Data!X536</f>
        <v>0</v>
      </c>
    </row>
    <row r="537" spans="2:5" ht="15" customHeight="1" x14ac:dyDescent="0.3">
      <c r="C537" s="56"/>
      <c r="D537" s="8">
        <v>2021</v>
      </c>
      <c r="E537" s="14">
        <f>Data!X537</f>
        <v>0</v>
      </c>
    </row>
    <row r="538" spans="2:5" ht="15" customHeight="1" x14ac:dyDescent="0.3">
      <c r="C538" s="56"/>
      <c r="D538" s="8">
        <v>2022</v>
      </c>
      <c r="E538" s="14">
        <f>Data!X538</f>
        <v>0</v>
      </c>
    </row>
    <row r="539" spans="2:5" ht="15" customHeight="1" x14ac:dyDescent="0.3">
      <c r="C539" s="56"/>
      <c r="D539" s="8">
        <v>2023</v>
      </c>
      <c r="E539" s="14">
        <f>Data!X539</f>
        <v>0</v>
      </c>
    </row>
    <row r="540" spans="2:5" ht="15" customHeight="1" x14ac:dyDescent="0.3">
      <c r="C540" s="56"/>
      <c r="D540" s="8">
        <v>2024</v>
      </c>
      <c r="E540" s="14">
        <f>Data!X540</f>
        <v>0</v>
      </c>
    </row>
    <row r="541" spans="2:5" ht="15" customHeight="1" x14ac:dyDescent="0.3">
      <c r="B541" s="8">
        <v>50</v>
      </c>
      <c r="C541" s="56" t="s">
        <v>39</v>
      </c>
      <c r="D541" s="8">
        <v>2014</v>
      </c>
      <c r="E541" s="14">
        <f>Data!X541</f>
        <v>0</v>
      </c>
    </row>
    <row r="542" spans="2:5" ht="15" customHeight="1" x14ac:dyDescent="0.3">
      <c r="C542" s="56"/>
      <c r="D542" s="8">
        <v>2015</v>
      </c>
      <c r="E542" s="14">
        <f>Data!X542</f>
        <v>0</v>
      </c>
    </row>
    <row r="543" spans="2:5" ht="15" customHeight="1" x14ac:dyDescent="0.3">
      <c r="C543" s="56"/>
      <c r="D543" s="8">
        <v>2016</v>
      </c>
      <c r="E543" s="14">
        <f>Data!X543</f>
        <v>0</v>
      </c>
    </row>
    <row r="544" spans="2:5" ht="15" customHeight="1" x14ac:dyDescent="0.3">
      <c r="C544" s="56"/>
      <c r="D544" s="8">
        <v>2017</v>
      </c>
      <c r="E544" s="14">
        <f>Data!X544</f>
        <v>0</v>
      </c>
    </row>
    <row r="545" spans="2:5" ht="15" customHeight="1" x14ac:dyDescent="0.3">
      <c r="C545" s="56"/>
      <c r="D545" s="8">
        <v>2018</v>
      </c>
      <c r="E545" s="14">
        <f>Data!X545</f>
        <v>0</v>
      </c>
    </row>
    <row r="546" spans="2:5" ht="15" customHeight="1" x14ac:dyDescent="0.3">
      <c r="C546" s="56"/>
      <c r="D546" s="8">
        <v>2019</v>
      </c>
      <c r="E546" s="14">
        <f>Data!X546</f>
        <v>0</v>
      </c>
    </row>
    <row r="547" spans="2:5" ht="15" customHeight="1" x14ac:dyDescent="0.3">
      <c r="C547" s="56"/>
      <c r="D547" s="8">
        <v>2020</v>
      </c>
      <c r="E547" s="14">
        <f>Data!X547</f>
        <v>0</v>
      </c>
    </row>
    <row r="548" spans="2:5" ht="15" customHeight="1" x14ac:dyDescent="0.3">
      <c r="C548" s="56"/>
      <c r="D548" s="8">
        <v>2021</v>
      </c>
      <c r="E548" s="14">
        <f>Data!X548</f>
        <v>0</v>
      </c>
    </row>
    <row r="549" spans="2:5" ht="15" customHeight="1" x14ac:dyDescent="0.3">
      <c r="C549" s="56"/>
      <c r="D549" s="8">
        <v>2022</v>
      </c>
      <c r="E549" s="14">
        <f>Data!X549</f>
        <v>0</v>
      </c>
    </row>
    <row r="550" spans="2:5" ht="15" customHeight="1" x14ac:dyDescent="0.3">
      <c r="C550" s="56"/>
      <c r="D550" s="8">
        <v>2023</v>
      </c>
      <c r="E550" s="14">
        <f>Data!X550</f>
        <v>0</v>
      </c>
    </row>
    <row r="551" spans="2:5" ht="15" customHeight="1" x14ac:dyDescent="0.3">
      <c r="C551" s="56"/>
      <c r="D551" s="8">
        <v>2024</v>
      </c>
      <c r="E551" s="14">
        <f>Data!X551</f>
        <v>0</v>
      </c>
    </row>
    <row r="552" spans="2:5" ht="15" customHeight="1" x14ac:dyDescent="0.3">
      <c r="B552" s="8">
        <v>51</v>
      </c>
      <c r="C552" s="56" t="s">
        <v>48</v>
      </c>
      <c r="D552" s="8">
        <v>2014</v>
      </c>
      <c r="E552" s="14">
        <f>Data!X552</f>
        <v>0</v>
      </c>
    </row>
    <row r="553" spans="2:5" ht="15" customHeight="1" x14ac:dyDescent="0.3">
      <c r="C553" s="56"/>
      <c r="D553" s="8">
        <v>2015</v>
      </c>
      <c r="E553" s="14">
        <f>Data!X553</f>
        <v>0</v>
      </c>
    </row>
    <row r="554" spans="2:5" ht="15" customHeight="1" x14ac:dyDescent="0.3">
      <c r="C554" s="56"/>
      <c r="D554" s="8">
        <v>2016</v>
      </c>
      <c r="E554" s="14">
        <f>Data!X554</f>
        <v>0</v>
      </c>
    </row>
    <row r="555" spans="2:5" ht="15" customHeight="1" x14ac:dyDescent="0.3">
      <c r="C555" s="56"/>
      <c r="D555" s="8">
        <v>2017</v>
      </c>
      <c r="E555" s="14">
        <f>Data!X555</f>
        <v>0</v>
      </c>
    </row>
    <row r="556" spans="2:5" ht="15" customHeight="1" x14ac:dyDescent="0.3">
      <c r="C556" s="56"/>
      <c r="D556" s="8">
        <v>2018</v>
      </c>
      <c r="E556" s="14">
        <f>Data!X556</f>
        <v>0</v>
      </c>
    </row>
    <row r="557" spans="2:5" ht="15" customHeight="1" x14ac:dyDescent="0.3">
      <c r="C557" s="56"/>
      <c r="D557" s="8">
        <v>2019</v>
      </c>
      <c r="E557" s="14">
        <f>Data!X557</f>
        <v>0</v>
      </c>
    </row>
    <row r="558" spans="2:5" ht="15" customHeight="1" x14ac:dyDescent="0.3">
      <c r="C558" s="56"/>
      <c r="D558" s="8">
        <v>2020</v>
      </c>
      <c r="E558" s="14">
        <f>Data!X558</f>
        <v>10</v>
      </c>
    </row>
    <row r="559" spans="2:5" ht="15" customHeight="1" x14ac:dyDescent="0.3">
      <c r="C559" s="56"/>
      <c r="D559" s="8">
        <v>2021</v>
      </c>
      <c r="E559" s="14">
        <f>Data!X559</f>
        <v>9</v>
      </c>
    </row>
    <row r="560" spans="2:5" ht="15" customHeight="1" x14ac:dyDescent="0.3">
      <c r="C560" s="56"/>
      <c r="D560" s="8">
        <v>2022</v>
      </c>
      <c r="E560" s="14">
        <f>Data!X560</f>
        <v>10</v>
      </c>
    </row>
    <row r="561" spans="2:5" ht="15" customHeight="1" x14ac:dyDescent="0.3">
      <c r="C561" s="56"/>
      <c r="D561" s="8">
        <v>2023</v>
      </c>
      <c r="E561" s="14">
        <f>Data!X561</f>
        <v>7</v>
      </c>
    </row>
    <row r="562" spans="2:5" ht="15" customHeight="1" x14ac:dyDescent="0.3">
      <c r="C562" s="56"/>
      <c r="D562" s="8">
        <v>2024</v>
      </c>
      <c r="E562" s="14">
        <f>Data!X562</f>
        <v>0</v>
      </c>
    </row>
    <row r="563" spans="2:5" ht="15" customHeight="1" x14ac:dyDescent="0.3">
      <c r="B563" s="8">
        <v>52</v>
      </c>
      <c r="C563" s="56" t="s">
        <v>37</v>
      </c>
      <c r="D563" s="8">
        <v>2014</v>
      </c>
      <c r="E563" s="14">
        <f>Data!X563</f>
        <v>0</v>
      </c>
    </row>
    <row r="564" spans="2:5" ht="15" customHeight="1" x14ac:dyDescent="0.3">
      <c r="C564" s="56"/>
      <c r="D564" s="8">
        <v>2015</v>
      </c>
      <c r="E564" s="14">
        <f>Data!X564</f>
        <v>0</v>
      </c>
    </row>
    <row r="565" spans="2:5" ht="15" customHeight="1" x14ac:dyDescent="0.3">
      <c r="C565" s="56"/>
      <c r="D565" s="8">
        <v>2016</v>
      </c>
      <c r="E565" s="14">
        <f>Data!X565</f>
        <v>0</v>
      </c>
    </row>
    <row r="566" spans="2:5" ht="15" customHeight="1" x14ac:dyDescent="0.3">
      <c r="C566" s="56"/>
      <c r="D566" s="8">
        <v>2017</v>
      </c>
      <c r="E566" s="14">
        <f>Data!X566</f>
        <v>0</v>
      </c>
    </row>
    <row r="567" spans="2:5" ht="15" customHeight="1" x14ac:dyDescent="0.3">
      <c r="C567" s="56"/>
      <c r="D567" s="8">
        <v>2018</v>
      </c>
      <c r="E567" s="14">
        <f>Data!X567</f>
        <v>0</v>
      </c>
    </row>
    <row r="568" spans="2:5" ht="15" customHeight="1" x14ac:dyDescent="0.3">
      <c r="C568" s="56"/>
      <c r="D568" s="8">
        <v>2019</v>
      </c>
      <c r="E568" s="14">
        <f>Data!X568</f>
        <v>0</v>
      </c>
    </row>
    <row r="569" spans="2:5" ht="15" customHeight="1" x14ac:dyDescent="0.3">
      <c r="C569" s="56"/>
      <c r="D569" s="8">
        <v>2020</v>
      </c>
      <c r="E569" s="14">
        <f>Data!X569</f>
        <v>0</v>
      </c>
    </row>
    <row r="570" spans="2:5" ht="15" customHeight="1" x14ac:dyDescent="0.3">
      <c r="C570" s="56"/>
      <c r="D570" s="8">
        <v>2021</v>
      </c>
      <c r="E570" s="14">
        <f>Data!X570</f>
        <v>0</v>
      </c>
    </row>
    <row r="571" spans="2:5" ht="15" customHeight="1" x14ac:dyDescent="0.3">
      <c r="C571" s="56"/>
      <c r="D571" s="8">
        <v>2022</v>
      </c>
      <c r="E571" s="14">
        <f>Data!X571</f>
        <v>0</v>
      </c>
    </row>
    <row r="572" spans="2:5" ht="15" customHeight="1" x14ac:dyDescent="0.3">
      <c r="C572" s="56"/>
      <c r="D572" s="8">
        <v>2023</v>
      </c>
      <c r="E572" s="14">
        <f>Data!X572</f>
        <v>0</v>
      </c>
    </row>
    <row r="573" spans="2:5" ht="15" customHeight="1" x14ac:dyDescent="0.3">
      <c r="C573" s="56"/>
      <c r="D573" s="8">
        <v>2024</v>
      </c>
      <c r="E573" s="14">
        <f>Data!X573</f>
        <v>0</v>
      </c>
    </row>
    <row r="574" spans="2:5" ht="15" customHeight="1" x14ac:dyDescent="0.3">
      <c r="B574" s="8">
        <v>53</v>
      </c>
      <c r="C574" s="56" t="s">
        <v>43</v>
      </c>
      <c r="D574" s="8">
        <v>2014</v>
      </c>
      <c r="E574" s="14">
        <f>Data!X574</f>
        <v>0</v>
      </c>
    </row>
    <row r="575" spans="2:5" ht="15" customHeight="1" x14ac:dyDescent="0.3">
      <c r="C575" s="56"/>
      <c r="D575" s="8">
        <v>2015</v>
      </c>
      <c r="E575" s="14">
        <f>Data!X575</f>
        <v>0</v>
      </c>
    </row>
    <row r="576" spans="2:5" ht="15" customHeight="1" x14ac:dyDescent="0.3">
      <c r="C576" s="56"/>
      <c r="D576" s="8">
        <v>2016</v>
      </c>
      <c r="E576" s="14">
        <f>Data!X576</f>
        <v>0</v>
      </c>
    </row>
    <row r="577" spans="2:5" ht="15" customHeight="1" x14ac:dyDescent="0.3">
      <c r="C577" s="56"/>
      <c r="D577" s="8">
        <v>2017</v>
      </c>
      <c r="E577" s="14">
        <f>Data!X577</f>
        <v>0</v>
      </c>
    </row>
    <row r="578" spans="2:5" ht="15" customHeight="1" x14ac:dyDescent="0.3">
      <c r="C578" s="56"/>
      <c r="D578" s="8">
        <v>2018</v>
      </c>
      <c r="E578" s="14">
        <f>Data!X578</f>
        <v>0</v>
      </c>
    </row>
    <row r="579" spans="2:5" ht="15" customHeight="1" x14ac:dyDescent="0.3">
      <c r="C579" s="56"/>
      <c r="D579" s="8">
        <v>2019</v>
      </c>
      <c r="E579" s="14">
        <f>Data!X579</f>
        <v>0</v>
      </c>
    </row>
    <row r="580" spans="2:5" ht="15" customHeight="1" x14ac:dyDescent="0.3">
      <c r="C580" s="56"/>
      <c r="D580" s="8">
        <v>2020</v>
      </c>
      <c r="E580" s="14">
        <f>Data!X580</f>
        <v>0</v>
      </c>
    </row>
    <row r="581" spans="2:5" ht="15" customHeight="1" x14ac:dyDescent="0.3">
      <c r="C581" s="56"/>
      <c r="D581" s="8">
        <v>2021</v>
      </c>
      <c r="E581" s="14">
        <f>Data!X581</f>
        <v>0</v>
      </c>
    </row>
    <row r="582" spans="2:5" ht="15" customHeight="1" x14ac:dyDescent="0.3">
      <c r="C582" s="56"/>
      <c r="D582" s="8">
        <v>2022</v>
      </c>
      <c r="E582" s="14">
        <f>Data!X582</f>
        <v>0</v>
      </c>
    </row>
    <row r="583" spans="2:5" ht="15" customHeight="1" x14ac:dyDescent="0.3">
      <c r="C583" s="56"/>
      <c r="D583" s="8">
        <v>2023</v>
      </c>
      <c r="E583" s="14">
        <f>Data!X583</f>
        <v>0</v>
      </c>
    </row>
    <row r="584" spans="2:5" ht="15" customHeight="1" x14ac:dyDescent="0.3">
      <c r="C584" s="56"/>
      <c r="D584" s="8">
        <v>2024</v>
      </c>
      <c r="E584" s="14">
        <f>Data!X584</f>
        <v>0</v>
      </c>
    </row>
    <row r="585" spans="2:5" ht="15" customHeight="1" x14ac:dyDescent="0.3">
      <c r="B585" s="8">
        <v>54</v>
      </c>
      <c r="C585" s="57" t="s">
        <v>150</v>
      </c>
      <c r="D585" s="8">
        <v>2014</v>
      </c>
      <c r="E585" s="14">
        <f>Data!X585</f>
        <v>0</v>
      </c>
    </row>
    <row r="586" spans="2:5" ht="15" customHeight="1" x14ac:dyDescent="0.3">
      <c r="C586" s="57"/>
      <c r="D586" s="8">
        <v>2015</v>
      </c>
      <c r="E586" s="14">
        <f>Data!X586</f>
        <v>0</v>
      </c>
    </row>
    <row r="587" spans="2:5" ht="15" customHeight="1" x14ac:dyDescent="0.3">
      <c r="C587" s="57"/>
      <c r="D587" s="8">
        <v>2016</v>
      </c>
      <c r="E587" s="14">
        <f>Data!X587</f>
        <v>0</v>
      </c>
    </row>
    <row r="588" spans="2:5" ht="15" customHeight="1" x14ac:dyDescent="0.3">
      <c r="C588" s="57"/>
      <c r="D588" s="8">
        <v>2017</v>
      </c>
      <c r="E588" s="14">
        <f>Data!X588</f>
        <v>0</v>
      </c>
    </row>
    <row r="589" spans="2:5" ht="15" customHeight="1" x14ac:dyDescent="0.3">
      <c r="C589" s="57"/>
      <c r="D589" s="8">
        <v>2018</v>
      </c>
      <c r="E589" s="14">
        <f>Data!X589</f>
        <v>0</v>
      </c>
    </row>
    <row r="590" spans="2:5" ht="15" customHeight="1" x14ac:dyDescent="0.3">
      <c r="C590" s="57"/>
      <c r="D590" s="8">
        <v>2019</v>
      </c>
      <c r="E590" s="14">
        <f>Data!X590</f>
        <v>0</v>
      </c>
    </row>
    <row r="591" spans="2:5" ht="15" customHeight="1" x14ac:dyDescent="0.3">
      <c r="C591" s="57"/>
      <c r="D591" s="8">
        <v>2020</v>
      </c>
      <c r="E591" s="14">
        <f>Data!X591</f>
        <v>0</v>
      </c>
    </row>
    <row r="592" spans="2:5" ht="15" customHeight="1" x14ac:dyDescent="0.3">
      <c r="C592" s="57"/>
      <c r="D592" s="8">
        <v>2021</v>
      </c>
      <c r="E592" s="14">
        <f>Data!X592</f>
        <v>0</v>
      </c>
    </row>
    <row r="593" spans="2:5" ht="15" customHeight="1" x14ac:dyDescent="0.3">
      <c r="C593" s="57"/>
      <c r="D593" s="8">
        <v>2022</v>
      </c>
      <c r="E593" s="14">
        <f>Data!X593</f>
        <v>0</v>
      </c>
    </row>
    <row r="594" spans="2:5" ht="15" customHeight="1" x14ac:dyDescent="0.3">
      <c r="C594" s="57"/>
      <c r="D594" s="8">
        <v>2023</v>
      </c>
      <c r="E594" s="14">
        <f>Data!X594</f>
        <v>0</v>
      </c>
    </row>
    <row r="595" spans="2:5" ht="15" customHeight="1" x14ac:dyDescent="0.3">
      <c r="C595" s="57"/>
      <c r="D595" s="8">
        <v>2024</v>
      </c>
      <c r="E595" s="14">
        <f>Data!X595</f>
        <v>0</v>
      </c>
    </row>
    <row r="596" spans="2:5" ht="15" customHeight="1" x14ac:dyDescent="0.3">
      <c r="B596" s="8">
        <v>55</v>
      </c>
      <c r="C596" s="56" t="s">
        <v>40</v>
      </c>
      <c r="D596" s="8">
        <v>2014</v>
      </c>
      <c r="E596" s="14">
        <f>Data!X596</f>
        <v>0</v>
      </c>
    </row>
    <row r="597" spans="2:5" ht="15" customHeight="1" x14ac:dyDescent="0.3">
      <c r="C597" s="56"/>
      <c r="D597" s="8">
        <v>2015</v>
      </c>
      <c r="E597" s="14">
        <f>Data!X597</f>
        <v>0</v>
      </c>
    </row>
    <row r="598" spans="2:5" ht="15" customHeight="1" x14ac:dyDescent="0.3">
      <c r="C598" s="56"/>
      <c r="D598" s="8">
        <v>2016</v>
      </c>
      <c r="E598" s="14">
        <f>Data!X598</f>
        <v>0</v>
      </c>
    </row>
    <row r="599" spans="2:5" ht="15" customHeight="1" x14ac:dyDescent="0.3">
      <c r="C599" s="56"/>
      <c r="D599" s="8">
        <v>2017</v>
      </c>
      <c r="E599" s="14">
        <f>Data!X599</f>
        <v>0</v>
      </c>
    </row>
    <row r="600" spans="2:5" ht="15" customHeight="1" x14ac:dyDescent="0.3">
      <c r="C600" s="56"/>
      <c r="D600" s="8">
        <v>2018</v>
      </c>
      <c r="E600" s="14">
        <f>Data!X600</f>
        <v>0</v>
      </c>
    </row>
    <row r="601" spans="2:5" ht="15" customHeight="1" x14ac:dyDescent="0.3">
      <c r="C601" s="56"/>
      <c r="D601" s="8">
        <v>2019</v>
      </c>
      <c r="E601" s="14">
        <f>Data!X601</f>
        <v>0</v>
      </c>
    </row>
    <row r="602" spans="2:5" ht="15" customHeight="1" x14ac:dyDescent="0.3">
      <c r="C602" s="56"/>
      <c r="D602" s="8">
        <v>2020</v>
      </c>
      <c r="E602" s="14">
        <f>Data!X602</f>
        <v>0</v>
      </c>
    </row>
    <row r="603" spans="2:5" ht="15" customHeight="1" x14ac:dyDescent="0.3">
      <c r="C603" s="56"/>
      <c r="D603" s="8">
        <v>2021</v>
      </c>
      <c r="E603" s="14">
        <f>Data!X603</f>
        <v>0</v>
      </c>
    </row>
    <row r="604" spans="2:5" ht="15" customHeight="1" x14ac:dyDescent="0.3">
      <c r="C604" s="56"/>
      <c r="D604" s="8">
        <v>2022</v>
      </c>
      <c r="E604" s="14">
        <f>Data!X604</f>
        <v>0</v>
      </c>
    </row>
    <row r="605" spans="2:5" ht="15" customHeight="1" x14ac:dyDescent="0.3">
      <c r="C605" s="56"/>
      <c r="D605" s="8">
        <v>2023</v>
      </c>
      <c r="E605" s="14">
        <f>Data!X605</f>
        <v>0</v>
      </c>
    </row>
    <row r="606" spans="2:5" ht="15" customHeight="1" x14ac:dyDescent="0.3">
      <c r="C606" s="56"/>
      <c r="D606" s="8">
        <v>2024</v>
      </c>
      <c r="E606" s="14">
        <f>Data!X606</f>
        <v>0</v>
      </c>
    </row>
    <row r="607" spans="2:5" ht="15" customHeight="1" x14ac:dyDescent="0.3">
      <c r="B607" s="8">
        <v>56</v>
      </c>
      <c r="C607" s="56" t="s">
        <v>47</v>
      </c>
      <c r="D607" s="8">
        <v>2014</v>
      </c>
      <c r="E607" s="14">
        <f>Data!X607</f>
        <v>0</v>
      </c>
    </row>
    <row r="608" spans="2:5" ht="15" customHeight="1" x14ac:dyDescent="0.3">
      <c r="C608" s="56"/>
      <c r="D608" s="8">
        <v>2015</v>
      </c>
      <c r="E608" s="14">
        <f>Data!X608</f>
        <v>0</v>
      </c>
    </row>
    <row r="609" spans="2:5" ht="15" customHeight="1" x14ac:dyDescent="0.3">
      <c r="C609" s="56"/>
      <c r="D609" s="8">
        <v>2016</v>
      </c>
      <c r="E609" s="14">
        <f>Data!X609</f>
        <v>0</v>
      </c>
    </row>
    <row r="610" spans="2:5" ht="15" customHeight="1" x14ac:dyDescent="0.3">
      <c r="C610" s="56"/>
      <c r="D610" s="8">
        <v>2017</v>
      </c>
      <c r="E610" s="14">
        <f>Data!X610</f>
        <v>0</v>
      </c>
    </row>
    <row r="611" spans="2:5" ht="15" customHeight="1" x14ac:dyDescent="0.3">
      <c r="C611" s="56"/>
      <c r="D611" s="8">
        <v>2018</v>
      </c>
      <c r="E611" s="14">
        <f>Data!X611</f>
        <v>0</v>
      </c>
    </row>
    <row r="612" spans="2:5" ht="15" customHeight="1" x14ac:dyDescent="0.3">
      <c r="C612" s="56"/>
      <c r="D612" s="8">
        <v>2019</v>
      </c>
      <c r="E612" s="14">
        <f>Data!X612</f>
        <v>0</v>
      </c>
    </row>
    <row r="613" spans="2:5" ht="15" customHeight="1" x14ac:dyDescent="0.3">
      <c r="C613" s="56"/>
      <c r="D613" s="8">
        <v>2020</v>
      </c>
      <c r="E613" s="14">
        <f>Data!X613</f>
        <v>0</v>
      </c>
    </row>
    <row r="614" spans="2:5" ht="15" customHeight="1" x14ac:dyDescent="0.3">
      <c r="C614" s="56"/>
      <c r="D614" s="8">
        <v>2021</v>
      </c>
      <c r="E614" s="14">
        <f>Data!X614</f>
        <v>0</v>
      </c>
    </row>
    <row r="615" spans="2:5" ht="15" customHeight="1" x14ac:dyDescent="0.3">
      <c r="C615" s="56"/>
      <c r="D615" s="8">
        <v>2022</v>
      </c>
      <c r="E615" s="14">
        <f>Data!X615</f>
        <v>0</v>
      </c>
    </row>
    <row r="616" spans="2:5" ht="15" customHeight="1" x14ac:dyDescent="0.3">
      <c r="C616" s="56"/>
      <c r="D616" s="8">
        <v>2023</v>
      </c>
      <c r="E616" s="14">
        <f>Data!X616</f>
        <v>0</v>
      </c>
    </row>
    <row r="617" spans="2:5" ht="15" customHeight="1" x14ac:dyDescent="0.3">
      <c r="C617" s="56"/>
      <c r="D617" s="8">
        <v>2024</v>
      </c>
      <c r="E617" s="14">
        <f>Data!X617</f>
        <v>0</v>
      </c>
    </row>
    <row r="618" spans="2:5" ht="15" customHeight="1" x14ac:dyDescent="0.3">
      <c r="B618" s="8">
        <v>57</v>
      </c>
      <c r="C618" s="56" t="s">
        <v>41</v>
      </c>
      <c r="D618" s="8">
        <v>2014</v>
      </c>
      <c r="E618" s="14">
        <f>Data!X618</f>
        <v>0</v>
      </c>
    </row>
    <row r="619" spans="2:5" ht="15" customHeight="1" x14ac:dyDescent="0.3">
      <c r="C619" s="56"/>
      <c r="D619" s="8">
        <v>2015</v>
      </c>
      <c r="E619" s="14">
        <f>Data!X619</f>
        <v>0</v>
      </c>
    </row>
    <row r="620" spans="2:5" ht="15" customHeight="1" x14ac:dyDescent="0.3">
      <c r="C620" s="56"/>
      <c r="D620" s="8">
        <v>2016</v>
      </c>
      <c r="E620" s="14">
        <f>Data!X620</f>
        <v>0</v>
      </c>
    </row>
    <row r="621" spans="2:5" ht="15" customHeight="1" x14ac:dyDescent="0.3">
      <c r="C621" s="56"/>
      <c r="D621" s="8">
        <v>2017</v>
      </c>
      <c r="E621" s="14">
        <f>Data!X621</f>
        <v>0</v>
      </c>
    </row>
    <row r="622" spans="2:5" ht="15" customHeight="1" x14ac:dyDescent="0.3">
      <c r="C622" s="56"/>
      <c r="D622" s="8">
        <v>2018</v>
      </c>
      <c r="E622" s="14">
        <f>Data!X622</f>
        <v>0</v>
      </c>
    </row>
    <row r="623" spans="2:5" ht="15" customHeight="1" x14ac:dyDescent="0.3">
      <c r="C623" s="56"/>
      <c r="D623" s="8">
        <v>2019</v>
      </c>
      <c r="E623" s="14">
        <f>Data!X623</f>
        <v>0</v>
      </c>
    </row>
    <row r="624" spans="2:5" ht="15" customHeight="1" x14ac:dyDescent="0.3">
      <c r="C624" s="56"/>
      <c r="D624" s="8">
        <v>2020</v>
      </c>
      <c r="E624" s="14">
        <f>Data!X624</f>
        <v>0</v>
      </c>
    </row>
    <row r="625" spans="1:5" ht="15" customHeight="1" x14ac:dyDescent="0.3">
      <c r="C625" s="56"/>
      <c r="D625" s="8">
        <v>2021</v>
      </c>
      <c r="E625" s="14">
        <f>Data!X625</f>
        <v>0</v>
      </c>
    </row>
    <row r="626" spans="1:5" ht="15" customHeight="1" x14ac:dyDescent="0.3">
      <c r="C626" s="56"/>
      <c r="D626" s="8">
        <v>2022</v>
      </c>
      <c r="E626" s="14">
        <f>Data!X626</f>
        <v>0</v>
      </c>
    </row>
    <row r="627" spans="1:5" ht="15" customHeight="1" x14ac:dyDescent="0.3">
      <c r="C627" s="56"/>
      <c r="D627" s="8">
        <v>2023</v>
      </c>
      <c r="E627" s="14">
        <f>Data!X627</f>
        <v>0</v>
      </c>
    </row>
    <row r="628" spans="1:5" ht="15" customHeight="1" x14ac:dyDescent="0.3">
      <c r="C628" s="56"/>
      <c r="D628" s="8">
        <v>2024</v>
      </c>
      <c r="E628" s="14">
        <f>Data!X628</f>
        <v>0</v>
      </c>
    </row>
    <row r="629" spans="1:5" ht="15" customHeight="1" x14ac:dyDescent="0.3">
      <c r="B629" s="8">
        <v>58</v>
      </c>
      <c r="C629" s="57" t="s">
        <v>49</v>
      </c>
      <c r="D629" s="8">
        <v>2014</v>
      </c>
      <c r="E629" s="14">
        <f>Data!X629</f>
        <v>0</v>
      </c>
    </row>
    <row r="630" spans="1:5" ht="15" customHeight="1" x14ac:dyDescent="0.3">
      <c r="C630" s="57"/>
      <c r="D630" s="8">
        <v>2015</v>
      </c>
      <c r="E630" s="14">
        <f>Data!X630</f>
        <v>0</v>
      </c>
    </row>
    <row r="631" spans="1:5" ht="15" customHeight="1" x14ac:dyDescent="0.3">
      <c r="C631" s="57"/>
      <c r="D631" s="8">
        <v>2016</v>
      </c>
      <c r="E631" s="14">
        <f>Data!X631</f>
        <v>0</v>
      </c>
    </row>
    <row r="632" spans="1:5" ht="15" customHeight="1" x14ac:dyDescent="0.3">
      <c r="C632" s="57"/>
      <c r="D632" s="8">
        <v>2017</v>
      </c>
      <c r="E632" s="14">
        <f>Data!X632</f>
        <v>0</v>
      </c>
    </row>
    <row r="633" spans="1:5" ht="15" customHeight="1" x14ac:dyDescent="0.3">
      <c r="C633" s="57"/>
      <c r="D633" s="8">
        <v>2018</v>
      </c>
      <c r="E633" s="14">
        <f>Data!X633</f>
        <v>0</v>
      </c>
    </row>
    <row r="634" spans="1:5" ht="15" customHeight="1" x14ac:dyDescent="0.3">
      <c r="C634" s="57"/>
      <c r="D634" s="8">
        <v>2019</v>
      </c>
      <c r="E634" s="14">
        <f>Data!X634</f>
        <v>0</v>
      </c>
    </row>
    <row r="635" spans="1:5" ht="15" customHeight="1" x14ac:dyDescent="0.3">
      <c r="C635" s="57"/>
      <c r="D635" s="8">
        <v>2020</v>
      </c>
      <c r="E635" s="14">
        <f>Data!X635</f>
        <v>9</v>
      </c>
    </row>
    <row r="636" spans="1:5" ht="15" customHeight="1" x14ac:dyDescent="0.3">
      <c r="C636" s="57"/>
      <c r="D636" s="8">
        <v>2021</v>
      </c>
      <c r="E636" s="14">
        <f>Data!X636</f>
        <v>11</v>
      </c>
    </row>
    <row r="637" spans="1:5" ht="15" customHeight="1" x14ac:dyDescent="0.3">
      <c r="C637" s="57"/>
      <c r="D637" s="8">
        <v>2022</v>
      </c>
      <c r="E637" s="14">
        <f>Data!X637</f>
        <v>11</v>
      </c>
    </row>
    <row r="638" spans="1:5" ht="15" customHeight="1" x14ac:dyDescent="0.3">
      <c r="C638" s="57"/>
      <c r="D638" s="8">
        <v>2023</v>
      </c>
      <c r="E638" s="14">
        <f>Data!X638</f>
        <v>8</v>
      </c>
    </row>
    <row r="639" spans="1:5" ht="15" customHeight="1" x14ac:dyDescent="0.3">
      <c r="C639" s="57"/>
      <c r="D639" s="8">
        <v>2024</v>
      </c>
      <c r="E639" s="14">
        <f>Data!X639</f>
        <v>8</v>
      </c>
    </row>
    <row r="640" spans="1:5" ht="15" customHeight="1" x14ac:dyDescent="0.3">
      <c r="A640" t="s">
        <v>154</v>
      </c>
      <c r="B640" s="8">
        <v>59</v>
      </c>
      <c r="C640" s="58" t="s">
        <v>59</v>
      </c>
      <c r="D640" s="8">
        <v>2014</v>
      </c>
      <c r="E640" s="14">
        <f>Data!X640</f>
        <v>0</v>
      </c>
    </row>
    <row r="641" spans="2:5" ht="15" customHeight="1" x14ac:dyDescent="0.3">
      <c r="C641" s="58"/>
      <c r="D641" s="8">
        <v>2015</v>
      </c>
      <c r="E641" s="14">
        <f>Data!X641</f>
        <v>0</v>
      </c>
    </row>
    <row r="642" spans="2:5" ht="15" customHeight="1" x14ac:dyDescent="0.3">
      <c r="C642" s="58"/>
      <c r="D642" s="8">
        <v>2016</v>
      </c>
      <c r="E642" s="14">
        <f>Data!X642</f>
        <v>0</v>
      </c>
    </row>
    <row r="643" spans="2:5" ht="15" customHeight="1" x14ac:dyDescent="0.3">
      <c r="C643" s="58"/>
      <c r="D643" s="8">
        <v>2017</v>
      </c>
      <c r="E643" s="14">
        <f>Data!X643</f>
        <v>0</v>
      </c>
    </row>
    <row r="644" spans="2:5" ht="15" customHeight="1" x14ac:dyDescent="0.3">
      <c r="C644" s="58"/>
      <c r="D644" s="8">
        <v>2018</v>
      </c>
      <c r="E644" s="14">
        <f>Data!X644</f>
        <v>0</v>
      </c>
    </row>
    <row r="645" spans="2:5" ht="15" customHeight="1" x14ac:dyDescent="0.3">
      <c r="C645" s="58"/>
      <c r="D645" s="8">
        <v>2019</v>
      </c>
      <c r="E645" s="14">
        <f>Data!X645</f>
        <v>0</v>
      </c>
    </row>
    <row r="646" spans="2:5" ht="15" customHeight="1" x14ac:dyDescent="0.3">
      <c r="C646" s="58"/>
      <c r="D646" s="8">
        <v>2020</v>
      </c>
      <c r="E646" s="14">
        <f>Data!X646</f>
        <v>0</v>
      </c>
    </row>
    <row r="647" spans="2:5" ht="15" customHeight="1" x14ac:dyDescent="0.3">
      <c r="C647" s="58"/>
      <c r="D647" s="8">
        <v>2021</v>
      </c>
      <c r="E647" s="14">
        <f>Data!X647</f>
        <v>0</v>
      </c>
    </row>
    <row r="648" spans="2:5" ht="15" customHeight="1" x14ac:dyDescent="0.3">
      <c r="C648" s="58"/>
      <c r="D648" s="8">
        <v>2022</v>
      </c>
      <c r="E648" s="14">
        <f>Data!X648</f>
        <v>0</v>
      </c>
    </row>
    <row r="649" spans="2:5" ht="15" customHeight="1" x14ac:dyDescent="0.3">
      <c r="C649" s="58"/>
      <c r="D649" s="8">
        <v>2023</v>
      </c>
      <c r="E649" s="14">
        <f>Data!X649</f>
        <v>0</v>
      </c>
    </row>
    <row r="650" spans="2:5" ht="15" customHeight="1" x14ac:dyDescent="0.3">
      <c r="C650" s="58"/>
      <c r="D650" s="8">
        <v>2024</v>
      </c>
      <c r="E650" s="14">
        <f>Data!X650</f>
        <v>0</v>
      </c>
    </row>
    <row r="651" spans="2:5" ht="15" customHeight="1" x14ac:dyDescent="0.3">
      <c r="B651" s="8">
        <v>60</v>
      </c>
      <c r="C651" s="58" t="s">
        <v>63</v>
      </c>
      <c r="D651" s="8">
        <v>2014</v>
      </c>
      <c r="E651" s="14">
        <f>Data!X651</f>
        <v>0</v>
      </c>
    </row>
    <row r="652" spans="2:5" ht="15" customHeight="1" x14ac:dyDescent="0.3">
      <c r="C652" s="58"/>
      <c r="D652" s="8">
        <v>2015</v>
      </c>
      <c r="E652" s="14">
        <f>Data!X652</f>
        <v>0</v>
      </c>
    </row>
    <row r="653" spans="2:5" ht="15" customHeight="1" x14ac:dyDescent="0.3">
      <c r="C653" s="58"/>
      <c r="D653" s="8">
        <v>2016</v>
      </c>
      <c r="E653" s="14">
        <f>Data!X653</f>
        <v>0</v>
      </c>
    </row>
    <row r="654" spans="2:5" ht="15" customHeight="1" x14ac:dyDescent="0.3">
      <c r="C654" s="58"/>
      <c r="D654" s="8">
        <v>2017</v>
      </c>
      <c r="E654" s="14">
        <f>Data!X654</f>
        <v>0</v>
      </c>
    </row>
    <row r="655" spans="2:5" ht="15" customHeight="1" x14ac:dyDescent="0.3">
      <c r="C655" s="58"/>
      <c r="D655" s="8">
        <v>2018</v>
      </c>
      <c r="E655" s="14">
        <f>Data!X655</f>
        <v>0</v>
      </c>
    </row>
    <row r="656" spans="2:5" ht="15" customHeight="1" x14ac:dyDescent="0.3">
      <c r="C656" s="58"/>
      <c r="D656" s="8">
        <v>2019</v>
      </c>
      <c r="E656" s="14">
        <f>Data!X656</f>
        <v>0</v>
      </c>
    </row>
    <row r="657" spans="2:5" ht="15" customHeight="1" x14ac:dyDescent="0.3">
      <c r="C657" s="58"/>
      <c r="D657" s="8">
        <v>2020</v>
      </c>
      <c r="E657" s="14">
        <f>Data!X657</f>
        <v>0</v>
      </c>
    </row>
    <row r="658" spans="2:5" ht="15" customHeight="1" x14ac:dyDescent="0.3">
      <c r="C658" s="58"/>
      <c r="D658" s="8">
        <v>2021</v>
      </c>
      <c r="E658" s="14">
        <f>Data!X658</f>
        <v>0</v>
      </c>
    </row>
    <row r="659" spans="2:5" ht="15" customHeight="1" x14ac:dyDescent="0.3">
      <c r="C659" s="58"/>
      <c r="D659" s="8">
        <v>2022</v>
      </c>
      <c r="E659" s="14">
        <f>Data!X659</f>
        <v>0</v>
      </c>
    </row>
    <row r="660" spans="2:5" ht="15" customHeight="1" x14ac:dyDescent="0.3">
      <c r="C660" s="58"/>
      <c r="D660" s="8">
        <v>2023</v>
      </c>
      <c r="E660" s="14">
        <f>Data!X660</f>
        <v>0</v>
      </c>
    </row>
    <row r="661" spans="2:5" ht="15" customHeight="1" x14ac:dyDescent="0.3">
      <c r="C661" s="58"/>
      <c r="D661" s="8">
        <v>2024</v>
      </c>
      <c r="E661" s="14">
        <f>Data!X661</f>
        <v>0</v>
      </c>
    </row>
    <row r="662" spans="2:5" ht="15" customHeight="1" x14ac:dyDescent="0.3">
      <c r="B662" s="8">
        <v>61</v>
      </c>
      <c r="C662" s="58" t="s">
        <v>61</v>
      </c>
      <c r="D662" s="8">
        <v>2014</v>
      </c>
      <c r="E662" s="14">
        <f>Data!X662</f>
        <v>0</v>
      </c>
    </row>
    <row r="663" spans="2:5" ht="15" customHeight="1" x14ac:dyDescent="0.3">
      <c r="C663" s="58"/>
      <c r="D663" s="8">
        <v>2015</v>
      </c>
      <c r="E663" s="14">
        <f>Data!X663</f>
        <v>0</v>
      </c>
    </row>
    <row r="664" spans="2:5" ht="15" customHeight="1" x14ac:dyDescent="0.3">
      <c r="C664" s="58"/>
      <c r="D664" s="8">
        <v>2016</v>
      </c>
      <c r="E664" s="14">
        <f>Data!X664</f>
        <v>0</v>
      </c>
    </row>
    <row r="665" spans="2:5" ht="15" customHeight="1" x14ac:dyDescent="0.3">
      <c r="C665" s="58"/>
      <c r="D665" s="8">
        <v>2017</v>
      </c>
      <c r="E665" s="14">
        <f>Data!X665</f>
        <v>0</v>
      </c>
    </row>
    <row r="666" spans="2:5" ht="15" customHeight="1" x14ac:dyDescent="0.3">
      <c r="C666" s="58"/>
      <c r="D666" s="8">
        <v>2018</v>
      </c>
      <c r="E666" s="14">
        <f>Data!X666</f>
        <v>0</v>
      </c>
    </row>
    <row r="667" spans="2:5" ht="15" customHeight="1" x14ac:dyDescent="0.3">
      <c r="C667" s="58"/>
      <c r="D667" s="8">
        <v>2019</v>
      </c>
      <c r="E667" s="14">
        <f>Data!X667</f>
        <v>0</v>
      </c>
    </row>
    <row r="668" spans="2:5" ht="15" customHeight="1" x14ac:dyDescent="0.3">
      <c r="C668" s="58"/>
      <c r="D668" s="8">
        <v>2020</v>
      </c>
      <c r="E668" s="14">
        <f>Data!X668</f>
        <v>0</v>
      </c>
    </row>
    <row r="669" spans="2:5" ht="15" customHeight="1" x14ac:dyDescent="0.3">
      <c r="C669" s="58"/>
      <c r="D669" s="8">
        <v>2021</v>
      </c>
      <c r="E669" s="14">
        <f>Data!X669</f>
        <v>0</v>
      </c>
    </row>
    <row r="670" spans="2:5" ht="15" customHeight="1" x14ac:dyDescent="0.3">
      <c r="C670" s="58"/>
      <c r="D670" s="8">
        <v>2022</v>
      </c>
      <c r="E670" s="14">
        <f>Data!X670</f>
        <v>0</v>
      </c>
    </row>
    <row r="671" spans="2:5" ht="15" customHeight="1" x14ac:dyDescent="0.3">
      <c r="C671" s="58"/>
      <c r="D671" s="8">
        <v>2023</v>
      </c>
      <c r="E671" s="14">
        <f>Data!X671</f>
        <v>0</v>
      </c>
    </row>
    <row r="672" spans="2:5" ht="15" customHeight="1" x14ac:dyDescent="0.3">
      <c r="C672" s="58"/>
      <c r="D672" s="8">
        <v>2024</v>
      </c>
      <c r="E672" s="14">
        <f>Data!X672</f>
        <v>0</v>
      </c>
    </row>
    <row r="673" spans="2:5" ht="15" customHeight="1" x14ac:dyDescent="0.3">
      <c r="B673" s="8">
        <v>62</v>
      </c>
      <c r="C673" s="58" t="s">
        <v>62</v>
      </c>
      <c r="D673" s="8">
        <v>2014</v>
      </c>
      <c r="E673" s="14">
        <f>Data!X673</f>
        <v>0</v>
      </c>
    </row>
    <row r="674" spans="2:5" ht="15" customHeight="1" x14ac:dyDescent="0.3">
      <c r="C674" s="58"/>
      <c r="D674" s="8">
        <v>2015</v>
      </c>
      <c r="E674" s="14">
        <f>Data!X674</f>
        <v>0</v>
      </c>
    </row>
    <row r="675" spans="2:5" ht="15" customHeight="1" x14ac:dyDescent="0.3">
      <c r="C675" s="58"/>
      <c r="D675" s="8">
        <v>2016</v>
      </c>
      <c r="E675" s="14">
        <f>Data!X675</f>
        <v>0</v>
      </c>
    </row>
    <row r="676" spans="2:5" ht="15" customHeight="1" x14ac:dyDescent="0.3">
      <c r="C676" s="58"/>
      <c r="D676" s="8">
        <v>2017</v>
      </c>
      <c r="E676" s="14">
        <f>Data!X676</f>
        <v>0</v>
      </c>
    </row>
    <row r="677" spans="2:5" ht="15" customHeight="1" x14ac:dyDescent="0.3">
      <c r="C677" s="58"/>
      <c r="D677" s="8">
        <v>2018</v>
      </c>
      <c r="E677" s="14">
        <f>Data!X677</f>
        <v>0</v>
      </c>
    </row>
    <row r="678" spans="2:5" ht="15" customHeight="1" x14ac:dyDescent="0.3">
      <c r="C678" s="58"/>
      <c r="D678" s="8">
        <v>2019</v>
      </c>
      <c r="E678" s="14">
        <f>Data!X678</f>
        <v>0</v>
      </c>
    </row>
    <row r="679" spans="2:5" ht="15" customHeight="1" x14ac:dyDescent="0.3">
      <c r="C679" s="58"/>
      <c r="D679" s="8">
        <v>2020</v>
      </c>
      <c r="E679" s="14">
        <f>Data!X679</f>
        <v>0</v>
      </c>
    </row>
    <row r="680" spans="2:5" ht="15" customHeight="1" x14ac:dyDescent="0.3">
      <c r="C680" s="58"/>
      <c r="D680" s="8">
        <v>2021</v>
      </c>
      <c r="E680" s="14">
        <f>Data!X680</f>
        <v>0</v>
      </c>
    </row>
    <row r="681" spans="2:5" ht="15" customHeight="1" x14ac:dyDescent="0.3">
      <c r="C681" s="58"/>
      <c r="D681" s="8">
        <v>2022</v>
      </c>
      <c r="E681" s="14">
        <f>Data!X681</f>
        <v>0</v>
      </c>
    </row>
    <row r="682" spans="2:5" ht="15" customHeight="1" x14ac:dyDescent="0.3">
      <c r="C682" s="58"/>
      <c r="D682" s="8">
        <v>2023</v>
      </c>
      <c r="E682" s="14">
        <f>Data!X682</f>
        <v>0</v>
      </c>
    </row>
    <row r="683" spans="2:5" ht="15" customHeight="1" x14ac:dyDescent="0.3">
      <c r="C683" s="58"/>
      <c r="D683" s="8">
        <v>2024</v>
      </c>
      <c r="E683" s="14">
        <f>Data!X683</f>
        <v>0</v>
      </c>
    </row>
    <row r="684" spans="2:5" ht="15" customHeight="1" x14ac:dyDescent="0.3">
      <c r="B684" s="8">
        <v>63</v>
      </c>
      <c r="C684" s="58" t="s">
        <v>60</v>
      </c>
      <c r="D684" s="8">
        <v>2014</v>
      </c>
      <c r="E684" s="14">
        <f>Data!X684</f>
        <v>0</v>
      </c>
    </row>
    <row r="685" spans="2:5" ht="15" customHeight="1" x14ac:dyDescent="0.3">
      <c r="C685" s="58"/>
      <c r="D685" s="8">
        <v>2015</v>
      </c>
      <c r="E685" s="14">
        <f>Data!X685</f>
        <v>10</v>
      </c>
    </row>
    <row r="686" spans="2:5" ht="15" customHeight="1" x14ac:dyDescent="0.3">
      <c r="C686" s="58"/>
      <c r="D686" s="8">
        <v>2016</v>
      </c>
      <c r="E686" s="14">
        <f>Data!X686</f>
        <v>11</v>
      </c>
    </row>
    <row r="687" spans="2:5" ht="15" customHeight="1" x14ac:dyDescent="0.3">
      <c r="C687" s="58"/>
      <c r="D687" s="8">
        <v>2017</v>
      </c>
      <c r="E687" s="14">
        <f>Data!X687</f>
        <v>11</v>
      </c>
    </row>
    <row r="688" spans="2:5" ht="15" customHeight="1" x14ac:dyDescent="0.3">
      <c r="C688" s="58"/>
      <c r="D688" s="8">
        <v>2018</v>
      </c>
      <c r="E688" s="14">
        <f>Data!X688</f>
        <v>9</v>
      </c>
    </row>
    <row r="689" spans="2:5" ht="15" customHeight="1" x14ac:dyDescent="0.3">
      <c r="C689" s="58"/>
      <c r="D689" s="8">
        <v>2019</v>
      </c>
      <c r="E689" s="14">
        <f>Data!X689</f>
        <v>6</v>
      </c>
    </row>
    <row r="690" spans="2:5" ht="15" customHeight="1" x14ac:dyDescent="0.3">
      <c r="C690" s="58"/>
      <c r="D690" s="8">
        <v>2020</v>
      </c>
      <c r="E690" s="14">
        <f>Data!X690</f>
        <v>7</v>
      </c>
    </row>
    <row r="691" spans="2:5" ht="15" customHeight="1" x14ac:dyDescent="0.3">
      <c r="C691" s="58"/>
      <c r="D691" s="8">
        <v>2021</v>
      </c>
      <c r="E691" s="14">
        <f>Data!X691</f>
        <v>10</v>
      </c>
    </row>
    <row r="692" spans="2:5" ht="15" customHeight="1" x14ac:dyDescent="0.3">
      <c r="C692" s="58"/>
      <c r="D692" s="8">
        <v>2022</v>
      </c>
      <c r="E692" s="14">
        <f>Data!X692</f>
        <v>12</v>
      </c>
    </row>
    <row r="693" spans="2:5" ht="15" customHeight="1" x14ac:dyDescent="0.3">
      <c r="C693" s="58"/>
      <c r="D693" s="8">
        <v>2023</v>
      </c>
      <c r="E693" s="14">
        <f>Data!X693</f>
        <v>9</v>
      </c>
    </row>
    <row r="694" spans="2:5" ht="15" customHeight="1" x14ac:dyDescent="0.3">
      <c r="C694" s="58"/>
      <c r="D694" s="8">
        <v>2024</v>
      </c>
      <c r="E694" s="14">
        <f>Data!X694</f>
        <v>9</v>
      </c>
    </row>
    <row r="695" spans="2:5" ht="15" customHeight="1" x14ac:dyDescent="0.3">
      <c r="B695" s="8">
        <v>64</v>
      </c>
      <c r="C695" s="59" t="s">
        <v>131</v>
      </c>
      <c r="D695" s="8">
        <v>2014</v>
      </c>
      <c r="E695" s="14">
        <f>Data!X695</f>
        <v>0</v>
      </c>
    </row>
    <row r="696" spans="2:5" ht="15" customHeight="1" x14ac:dyDescent="0.3">
      <c r="C696" s="59"/>
      <c r="D696" s="8">
        <v>2015</v>
      </c>
      <c r="E696" s="14">
        <f>Data!X696</f>
        <v>0</v>
      </c>
    </row>
    <row r="697" spans="2:5" ht="15" customHeight="1" x14ac:dyDescent="0.3">
      <c r="C697" s="59"/>
      <c r="D697" s="8">
        <v>2016</v>
      </c>
      <c r="E697" s="14">
        <f>Data!X697</f>
        <v>0</v>
      </c>
    </row>
    <row r="698" spans="2:5" ht="15" customHeight="1" x14ac:dyDescent="0.3">
      <c r="C698" s="59"/>
      <c r="D698" s="8">
        <v>2017</v>
      </c>
      <c r="E698" s="14">
        <f>Data!X698</f>
        <v>0</v>
      </c>
    </row>
    <row r="699" spans="2:5" ht="15" customHeight="1" x14ac:dyDescent="0.3">
      <c r="C699" s="59"/>
      <c r="D699" s="8">
        <v>2018</v>
      </c>
      <c r="E699" s="14">
        <f>Data!X699</f>
        <v>0</v>
      </c>
    </row>
    <row r="700" spans="2:5" ht="15" customHeight="1" x14ac:dyDescent="0.3">
      <c r="C700" s="59"/>
      <c r="D700" s="8">
        <v>2019</v>
      </c>
      <c r="E700" s="14">
        <f>Data!X700</f>
        <v>0</v>
      </c>
    </row>
    <row r="701" spans="2:5" ht="15" customHeight="1" x14ac:dyDescent="0.3">
      <c r="C701" s="59"/>
      <c r="D701" s="8">
        <v>2020</v>
      </c>
      <c r="E701" s="14">
        <f>Data!X701</f>
        <v>0</v>
      </c>
    </row>
    <row r="702" spans="2:5" ht="15" customHeight="1" x14ac:dyDescent="0.3">
      <c r="C702" s="59"/>
      <c r="D702" s="8">
        <v>2021</v>
      </c>
      <c r="E702" s="14">
        <f>Data!X702</f>
        <v>0</v>
      </c>
    </row>
    <row r="703" spans="2:5" ht="15" customHeight="1" x14ac:dyDescent="0.3">
      <c r="C703" s="59"/>
      <c r="D703" s="8">
        <v>2022</v>
      </c>
      <c r="E703" s="14">
        <f>Data!X703</f>
        <v>0</v>
      </c>
    </row>
    <row r="704" spans="2:5" ht="15" customHeight="1" x14ac:dyDescent="0.3">
      <c r="C704" s="59"/>
      <c r="D704" s="8">
        <v>2023</v>
      </c>
      <c r="E704" s="14">
        <f>Data!X704</f>
        <v>0</v>
      </c>
    </row>
    <row r="705" spans="2:5" ht="15" customHeight="1" x14ac:dyDescent="0.3">
      <c r="C705" s="59"/>
      <c r="D705" s="8">
        <v>2024</v>
      </c>
      <c r="E705" s="14">
        <f>Data!X705</f>
        <v>0</v>
      </c>
    </row>
    <row r="706" spans="2:5" ht="15" customHeight="1" x14ac:dyDescent="0.3">
      <c r="B706" s="8">
        <v>65</v>
      </c>
      <c r="C706" s="58" t="s">
        <v>64</v>
      </c>
      <c r="D706" s="8">
        <v>2014</v>
      </c>
      <c r="E706" s="14">
        <f>Data!X706</f>
        <v>0</v>
      </c>
    </row>
    <row r="707" spans="2:5" ht="15" customHeight="1" x14ac:dyDescent="0.3">
      <c r="C707" s="58"/>
      <c r="D707" s="8">
        <v>2015</v>
      </c>
      <c r="E707" s="14">
        <f>Data!X707</f>
        <v>0</v>
      </c>
    </row>
    <row r="708" spans="2:5" ht="15" customHeight="1" x14ac:dyDescent="0.3">
      <c r="C708" s="58"/>
      <c r="D708" s="8">
        <v>2016</v>
      </c>
      <c r="E708" s="14">
        <f>Data!X708</f>
        <v>0</v>
      </c>
    </row>
    <row r="709" spans="2:5" ht="15" customHeight="1" x14ac:dyDescent="0.3">
      <c r="C709" s="58"/>
      <c r="D709" s="8">
        <v>2017</v>
      </c>
      <c r="E709" s="14">
        <f>Data!X709</f>
        <v>0</v>
      </c>
    </row>
    <row r="710" spans="2:5" ht="15" customHeight="1" x14ac:dyDescent="0.3">
      <c r="C710" s="58"/>
      <c r="D710" s="8">
        <v>2018</v>
      </c>
      <c r="E710" s="14">
        <f>Data!X710</f>
        <v>0</v>
      </c>
    </row>
    <row r="711" spans="2:5" ht="15" customHeight="1" x14ac:dyDescent="0.3">
      <c r="C711" s="58"/>
      <c r="D711" s="8">
        <v>2019</v>
      </c>
      <c r="E711" s="14">
        <f>Data!X711</f>
        <v>0</v>
      </c>
    </row>
    <row r="712" spans="2:5" ht="15" customHeight="1" x14ac:dyDescent="0.3">
      <c r="C712" s="58"/>
      <c r="D712" s="8">
        <v>2020</v>
      </c>
      <c r="E712" s="14">
        <f>Data!X712</f>
        <v>0</v>
      </c>
    </row>
    <row r="713" spans="2:5" ht="15" customHeight="1" x14ac:dyDescent="0.3">
      <c r="C713" s="58"/>
      <c r="D713" s="8">
        <v>2021</v>
      </c>
      <c r="E713" s="14">
        <f>Data!X713</f>
        <v>0</v>
      </c>
    </row>
    <row r="714" spans="2:5" ht="15" customHeight="1" x14ac:dyDescent="0.3">
      <c r="C714" s="58"/>
      <c r="D714" s="8">
        <v>2022</v>
      </c>
      <c r="E714" s="14">
        <f>Data!X714</f>
        <v>0</v>
      </c>
    </row>
    <row r="715" spans="2:5" ht="15" customHeight="1" x14ac:dyDescent="0.3">
      <c r="C715" s="58"/>
      <c r="D715" s="8">
        <v>2023</v>
      </c>
      <c r="E715" s="14">
        <f>Data!X715</f>
        <v>0</v>
      </c>
    </row>
    <row r="716" spans="2:5" ht="15" customHeight="1" x14ac:dyDescent="0.3">
      <c r="C716" s="58"/>
      <c r="D716" s="8">
        <v>2024</v>
      </c>
      <c r="E716" s="14">
        <f>Data!X716</f>
        <v>0</v>
      </c>
    </row>
    <row r="717" spans="2:5" ht="15" customHeight="1" x14ac:dyDescent="0.3">
      <c r="B717" s="8">
        <v>66</v>
      </c>
      <c r="C717" s="58" t="s">
        <v>67</v>
      </c>
      <c r="D717" s="8">
        <v>2014</v>
      </c>
      <c r="E717" s="14">
        <f>Data!X717</f>
        <v>0</v>
      </c>
    </row>
    <row r="718" spans="2:5" ht="15" customHeight="1" x14ac:dyDescent="0.3">
      <c r="C718" s="58"/>
      <c r="D718" s="8">
        <v>2015</v>
      </c>
      <c r="E718" s="14">
        <f>Data!X718</f>
        <v>11</v>
      </c>
    </row>
    <row r="719" spans="2:5" ht="15" customHeight="1" x14ac:dyDescent="0.3">
      <c r="C719" s="58"/>
      <c r="D719" s="8">
        <v>2016</v>
      </c>
      <c r="E719" s="14">
        <f>Data!X719</f>
        <v>11</v>
      </c>
    </row>
    <row r="720" spans="2:5" ht="15" customHeight="1" x14ac:dyDescent="0.3">
      <c r="C720" s="58"/>
      <c r="D720" s="8">
        <v>2017</v>
      </c>
      <c r="E720" s="14">
        <f>Data!X720</f>
        <v>8</v>
      </c>
    </row>
    <row r="721" spans="2:5" ht="15" customHeight="1" x14ac:dyDescent="0.3">
      <c r="C721" s="58"/>
      <c r="D721" s="8">
        <v>2018</v>
      </c>
      <c r="E721" s="14">
        <f>Data!X721</f>
        <v>11</v>
      </c>
    </row>
    <row r="722" spans="2:5" ht="15" customHeight="1" x14ac:dyDescent="0.3">
      <c r="C722" s="58"/>
      <c r="D722" s="8">
        <v>2019</v>
      </c>
      <c r="E722" s="14">
        <f>Data!X722</f>
        <v>9</v>
      </c>
    </row>
    <row r="723" spans="2:5" ht="15" customHeight="1" x14ac:dyDescent="0.3">
      <c r="C723" s="58"/>
      <c r="D723" s="8">
        <v>2020</v>
      </c>
      <c r="E723" s="14">
        <f>Data!X723</f>
        <v>5</v>
      </c>
    </row>
    <row r="724" spans="2:5" ht="15" customHeight="1" x14ac:dyDescent="0.3">
      <c r="C724" s="58"/>
      <c r="D724" s="8">
        <v>2021</v>
      </c>
      <c r="E724" s="14">
        <f>Data!X724</f>
        <v>5</v>
      </c>
    </row>
    <row r="725" spans="2:5" ht="15" customHeight="1" x14ac:dyDescent="0.3">
      <c r="C725" s="58"/>
      <c r="D725" s="8">
        <v>2022</v>
      </c>
      <c r="E725" s="14">
        <f>Data!X725</f>
        <v>5</v>
      </c>
    </row>
    <row r="726" spans="2:5" ht="15" customHeight="1" x14ac:dyDescent="0.3">
      <c r="C726" s="58"/>
      <c r="D726" s="8">
        <v>2023</v>
      </c>
      <c r="E726" s="14">
        <f>Data!X726</f>
        <v>5</v>
      </c>
    </row>
    <row r="727" spans="2:5" ht="15" customHeight="1" x14ac:dyDescent="0.3">
      <c r="C727" s="58"/>
      <c r="D727" s="8">
        <v>2024</v>
      </c>
      <c r="E727" s="14">
        <f>Data!X727</f>
        <v>0</v>
      </c>
    </row>
    <row r="728" spans="2:5" ht="15" customHeight="1" x14ac:dyDescent="0.3">
      <c r="B728" s="8">
        <v>67</v>
      </c>
      <c r="C728" s="58" t="s">
        <v>68</v>
      </c>
      <c r="D728" s="8">
        <v>2014</v>
      </c>
      <c r="E728" s="14">
        <f>Data!X728</f>
        <v>0</v>
      </c>
    </row>
    <row r="729" spans="2:5" ht="15" customHeight="1" x14ac:dyDescent="0.3">
      <c r="C729" s="58"/>
      <c r="D729" s="8">
        <v>2015</v>
      </c>
      <c r="E729" s="14">
        <f>Data!X729</f>
        <v>0</v>
      </c>
    </row>
    <row r="730" spans="2:5" ht="15" customHeight="1" x14ac:dyDescent="0.3">
      <c r="C730" s="58"/>
      <c r="D730" s="8">
        <v>2016</v>
      </c>
      <c r="E730" s="14">
        <f>Data!X730</f>
        <v>8</v>
      </c>
    </row>
    <row r="731" spans="2:5" ht="15" customHeight="1" x14ac:dyDescent="0.3">
      <c r="C731" s="58"/>
      <c r="D731" s="8">
        <v>2017</v>
      </c>
      <c r="E731" s="14">
        <f>Data!X731</f>
        <v>11</v>
      </c>
    </row>
    <row r="732" spans="2:5" ht="15" customHeight="1" x14ac:dyDescent="0.3">
      <c r="C732" s="58"/>
      <c r="D732" s="8">
        <v>2018</v>
      </c>
      <c r="E732" s="14">
        <f>Data!X732</f>
        <v>0</v>
      </c>
    </row>
    <row r="733" spans="2:5" ht="15" customHeight="1" x14ac:dyDescent="0.3">
      <c r="C733" s="58"/>
      <c r="D733" s="8">
        <v>2019</v>
      </c>
      <c r="E733" s="14">
        <f>Data!X733</f>
        <v>11</v>
      </c>
    </row>
    <row r="734" spans="2:5" ht="15" customHeight="1" x14ac:dyDescent="0.3">
      <c r="C734" s="58"/>
      <c r="D734" s="8">
        <v>2020</v>
      </c>
      <c r="E734" s="14">
        <f>Data!X734</f>
        <v>11</v>
      </c>
    </row>
    <row r="735" spans="2:5" ht="15" customHeight="1" x14ac:dyDescent="0.3">
      <c r="C735" s="58"/>
      <c r="D735" s="8">
        <v>2021</v>
      </c>
      <c r="E735" s="14">
        <f>Data!X735</f>
        <v>15</v>
      </c>
    </row>
    <row r="736" spans="2:5" ht="15" customHeight="1" x14ac:dyDescent="0.3">
      <c r="C736" s="58"/>
      <c r="D736" s="8">
        <v>2022</v>
      </c>
      <c r="E736" s="14">
        <f>Data!X736</f>
        <v>13</v>
      </c>
    </row>
    <row r="737" spans="2:5" ht="15" customHeight="1" x14ac:dyDescent="0.3">
      <c r="C737" s="58"/>
      <c r="D737" s="8">
        <v>2023</v>
      </c>
      <c r="E737" s="14">
        <f>Data!X737</f>
        <v>13</v>
      </c>
    </row>
    <row r="738" spans="2:5" ht="15" customHeight="1" x14ac:dyDescent="0.3">
      <c r="C738" s="58"/>
      <c r="D738" s="8">
        <v>2024</v>
      </c>
      <c r="E738" s="14">
        <f>Data!X738</f>
        <v>9</v>
      </c>
    </row>
    <row r="739" spans="2:5" ht="15" customHeight="1" x14ac:dyDescent="0.3">
      <c r="B739" s="8">
        <v>68</v>
      </c>
      <c r="C739" s="58" t="s">
        <v>69</v>
      </c>
      <c r="D739" s="8">
        <v>2014</v>
      </c>
      <c r="E739" s="14">
        <f>Data!X739</f>
        <v>0</v>
      </c>
    </row>
    <row r="740" spans="2:5" ht="15" customHeight="1" x14ac:dyDescent="0.3">
      <c r="C740" s="58"/>
      <c r="D740" s="8">
        <v>2015</v>
      </c>
      <c r="E740" s="14">
        <f>Data!X740</f>
        <v>4</v>
      </c>
    </row>
    <row r="741" spans="2:5" ht="15" customHeight="1" x14ac:dyDescent="0.3">
      <c r="C741" s="58"/>
      <c r="D741" s="8">
        <v>2016</v>
      </c>
      <c r="E741" s="14">
        <f>Data!X741</f>
        <v>4</v>
      </c>
    </row>
    <row r="742" spans="2:5" ht="15" customHeight="1" x14ac:dyDescent="0.3">
      <c r="C742" s="58"/>
      <c r="D742" s="8">
        <v>2017</v>
      </c>
      <c r="E742" s="14">
        <f>Data!X742</f>
        <v>4</v>
      </c>
    </row>
    <row r="743" spans="2:5" ht="15" customHeight="1" x14ac:dyDescent="0.3">
      <c r="C743" s="58"/>
      <c r="D743" s="8">
        <v>2018</v>
      </c>
      <c r="E743" s="14">
        <f>Data!X743</f>
        <v>7</v>
      </c>
    </row>
    <row r="744" spans="2:5" ht="15" customHeight="1" x14ac:dyDescent="0.3">
      <c r="C744" s="58"/>
      <c r="D744" s="8">
        <v>2019</v>
      </c>
      <c r="E744" s="14">
        <f>Data!X744</f>
        <v>5</v>
      </c>
    </row>
    <row r="745" spans="2:5" ht="15" customHeight="1" x14ac:dyDescent="0.3">
      <c r="C745" s="58"/>
      <c r="D745" s="8">
        <v>2020</v>
      </c>
      <c r="E745" s="14">
        <f>Data!X745</f>
        <v>8</v>
      </c>
    </row>
    <row r="746" spans="2:5" ht="15" customHeight="1" x14ac:dyDescent="0.3">
      <c r="C746" s="58"/>
      <c r="D746" s="8">
        <v>2021</v>
      </c>
      <c r="E746" s="14">
        <f>Data!X746</f>
        <v>8</v>
      </c>
    </row>
    <row r="747" spans="2:5" ht="15" customHeight="1" x14ac:dyDescent="0.3">
      <c r="C747" s="58"/>
      <c r="D747" s="8">
        <v>2022</v>
      </c>
      <c r="E747" s="14">
        <f>Data!X747</f>
        <v>8</v>
      </c>
    </row>
    <row r="748" spans="2:5" ht="15" customHeight="1" x14ac:dyDescent="0.3">
      <c r="C748" s="58"/>
      <c r="D748" s="8">
        <v>2023</v>
      </c>
      <c r="E748" s="14">
        <f>Data!X748</f>
        <v>5</v>
      </c>
    </row>
    <row r="749" spans="2:5" ht="15" customHeight="1" x14ac:dyDescent="0.3">
      <c r="C749" s="58"/>
      <c r="D749" s="8">
        <v>2024</v>
      </c>
      <c r="E749" s="14">
        <f>Data!X749</f>
        <v>6</v>
      </c>
    </row>
    <row r="750" spans="2:5" ht="15" customHeight="1" x14ac:dyDescent="0.3">
      <c r="B750" s="8">
        <v>69</v>
      </c>
      <c r="C750" s="58" t="s">
        <v>70</v>
      </c>
      <c r="D750" s="8">
        <v>2014</v>
      </c>
      <c r="E750" s="14">
        <f>Data!X750</f>
        <v>0</v>
      </c>
    </row>
    <row r="751" spans="2:5" ht="15" customHeight="1" x14ac:dyDescent="0.3">
      <c r="C751" s="58"/>
      <c r="D751" s="8">
        <v>2015</v>
      </c>
      <c r="E751" s="14">
        <f>Data!X751</f>
        <v>0</v>
      </c>
    </row>
    <row r="752" spans="2:5" ht="15" customHeight="1" x14ac:dyDescent="0.3">
      <c r="C752" s="58"/>
      <c r="D752" s="8">
        <v>2016</v>
      </c>
      <c r="E752" s="14">
        <f>Data!X752</f>
        <v>0</v>
      </c>
    </row>
    <row r="753" spans="2:5" ht="15" customHeight="1" x14ac:dyDescent="0.3">
      <c r="C753" s="58"/>
      <c r="D753" s="8">
        <v>2017</v>
      </c>
      <c r="E753" s="14">
        <f>Data!X753</f>
        <v>0</v>
      </c>
    </row>
    <row r="754" spans="2:5" ht="15" customHeight="1" x14ac:dyDescent="0.3">
      <c r="C754" s="58"/>
      <c r="D754" s="8">
        <v>2018</v>
      </c>
      <c r="E754" s="14">
        <f>Data!X754</f>
        <v>9</v>
      </c>
    </row>
    <row r="755" spans="2:5" ht="15" customHeight="1" x14ac:dyDescent="0.3">
      <c r="C755" s="58"/>
      <c r="D755" s="8">
        <v>2019</v>
      </c>
      <c r="E755" s="14">
        <f>Data!X755</f>
        <v>12</v>
      </c>
    </row>
    <row r="756" spans="2:5" ht="15" customHeight="1" x14ac:dyDescent="0.3">
      <c r="C756" s="58"/>
      <c r="D756" s="8">
        <v>2020</v>
      </c>
      <c r="E756" s="14">
        <f>Data!X756</f>
        <v>14</v>
      </c>
    </row>
    <row r="757" spans="2:5" ht="15" customHeight="1" x14ac:dyDescent="0.3">
      <c r="C757" s="58"/>
      <c r="D757" s="8">
        <v>2021</v>
      </c>
      <c r="E757" s="14">
        <f>Data!X757</f>
        <v>13</v>
      </c>
    </row>
    <row r="758" spans="2:5" ht="15" customHeight="1" x14ac:dyDescent="0.3">
      <c r="C758" s="58"/>
      <c r="D758" s="8">
        <v>2022</v>
      </c>
      <c r="E758" s="14">
        <f>Data!X758</f>
        <v>9</v>
      </c>
    </row>
    <row r="759" spans="2:5" ht="15" customHeight="1" x14ac:dyDescent="0.3">
      <c r="C759" s="58"/>
      <c r="D759" s="8">
        <v>2023</v>
      </c>
      <c r="E759" s="14">
        <f>Data!X759</f>
        <v>13</v>
      </c>
    </row>
    <row r="760" spans="2:5" ht="15" customHeight="1" x14ac:dyDescent="0.3">
      <c r="C760" s="58"/>
      <c r="D760" s="8">
        <v>2024</v>
      </c>
      <c r="E760" s="14">
        <f>Data!X760</f>
        <v>11</v>
      </c>
    </row>
    <row r="761" spans="2:5" ht="15" customHeight="1" x14ac:dyDescent="0.3">
      <c r="B761" s="8">
        <v>70</v>
      </c>
      <c r="C761" s="58" t="s">
        <v>71</v>
      </c>
      <c r="D761" s="8">
        <v>2014</v>
      </c>
      <c r="E761" s="14">
        <f>Data!X761</f>
        <v>0</v>
      </c>
    </row>
    <row r="762" spans="2:5" ht="15" customHeight="1" x14ac:dyDescent="0.3">
      <c r="C762" s="58"/>
      <c r="D762" s="8">
        <v>2015</v>
      </c>
      <c r="E762" s="14">
        <f>Data!X762</f>
        <v>10</v>
      </c>
    </row>
    <row r="763" spans="2:5" ht="15" customHeight="1" x14ac:dyDescent="0.3">
      <c r="C763" s="58"/>
      <c r="D763" s="8">
        <v>2016</v>
      </c>
      <c r="E763" s="14">
        <f>Data!X763</f>
        <v>7</v>
      </c>
    </row>
    <row r="764" spans="2:5" ht="15" customHeight="1" x14ac:dyDescent="0.3">
      <c r="C764" s="58"/>
      <c r="D764" s="8">
        <v>2017</v>
      </c>
      <c r="E764" s="14">
        <f>Data!X764</f>
        <v>7</v>
      </c>
    </row>
    <row r="765" spans="2:5" ht="15" customHeight="1" x14ac:dyDescent="0.3">
      <c r="C765" s="58"/>
      <c r="D765" s="8">
        <v>2018</v>
      </c>
      <c r="E765" s="14">
        <f>Data!X765</f>
        <v>7</v>
      </c>
    </row>
    <row r="766" spans="2:5" ht="15" customHeight="1" x14ac:dyDescent="0.3">
      <c r="C766" s="58"/>
      <c r="D766" s="8">
        <v>2019</v>
      </c>
      <c r="E766" s="14">
        <f>Data!X766</f>
        <v>13</v>
      </c>
    </row>
    <row r="767" spans="2:5" ht="15" customHeight="1" x14ac:dyDescent="0.3">
      <c r="C767" s="58"/>
      <c r="D767" s="8">
        <v>2020</v>
      </c>
      <c r="E767" s="14">
        <f>Data!X767</f>
        <v>13</v>
      </c>
    </row>
    <row r="768" spans="2:5" ht="15" customHeight="1" x14ac:dyDescent="0.3">
      <c r="C768" s="58"/>
      <c r="D768" s="8">
        <v>2021</v>
      </c>
      <c r="E768" s="14">
        <f>Data!X768</f>
        <v>16</v>
      </c>
    </row>
    <row r="769" spans="2:5" ht="15" customHeight="1" x14ac:dyDescent="0.3">
      <c r="C769" s="58"/>
      <c r="D769" s="8">
        <v>2022</v>
      </c>
      <c r="E769" s="14">
        <f>Data!X769</f>
        <v>17</v>
      </c>
    </row>
    <row r="770" spans="2:5" ht="15" customHeight="1" x14ac:dyDescent="0.3">
      <c r="C770" s="58"/>
      <c r="D770" s="8">
        <v>2023</v>
      </c>
      <c r="E770" s="14">
        <f>Data!X770</f>
        <v>16</v>
      </c>
    </row>
    <row r="771" spans="2:5" ht="15" customHeight="1" x14ac:dyDescent="0.3">
      <c r="C771" s="58"/>
      <c r="D771" s="8">
        <v>2024</v>
      </c>
      <c r="E771" s="14">
        <f>Data!X771</f>
        <v>16</v>
      </c>
    </row>
    <row r="772" spans="2:5" ht="15" customHeight="1" x14ac:dyDescent="0.3">
      <c r="B772" s="8">
        <v>71</v>
      </c>
      <c r="C772" s="58" t="s">
        <v>73</v>
      </c>
      <c r="D772" s="8">
        <v>2014</v>
      </c>
      <c r="E772" s="14">
        <f>Data!X772</f>
        <v>0</v>
      </c>
    </row>
    <row r="773" spans="2:5" ht="15" customHeight="1" x14ac:dyDescent="0.3">
      <c r="C773" s="58"/>
      <c r="D773" s="8">
        <v>2015</v>
      </c>
      <c r="E773" s="14">
        <f>Data!X773</f>
        <v>0</v>
      </c>
    </row>
    <row r="774" spans="2:5" ht="15" customHeight="1" x14ac:dyDescent="0.3">
      <c r="C774" s="58"/>
      <c r="D774" s="8">
        <v>2016</v>
      </c>
      <c r="E774" s="14">
        <f>Data!X774</f>
        <v>0</v>
      </c>
    </row>
    <row r="775" spans="2:5" ht="15" customHeight="1" x14ac:dyDescent="0.3">
      <c r="C775" s="58"/>
      <c r="D775" s="8">
        <v>2017</v>
      </c>
      <c r="E775" s="14">
        <f>Data!X775</f>
        <v>0</v>
      </c>
    </row>
    <row r="776" spans="2:5" ht="15" customHeight="1" x14ac:dyDescent="0.3">
      <c r="C776" s="58"/>
      <c r="D776" s="8">
        <v>2018</v>
      </c>
      <c r="E776" s="14">
        <f>Data!X776</f>
        <v>0</v>
      </c>
    </row>
    <row r="777" spans="2:5" ht="15" customHeight="1" x14ac:dyDescent="0.3">
      <c r="C777" s="58"/>
      <c r="D777" s="8">
        <v>2019</v>
      </c>
      <c r="E777" s="14">
        <f>Data!X777</f>
        <v>0</v>
      </c>
    </row>
    <row r="778" spans="2:5" ht="15" customHeight="1" x14ac:dyDescent="0.3">
      <c r="C778" s="58"/>
      <c r="D778" s="8">
        <v>2020</v>
      </c>
      <c r="E778" s="14">
        <f>Data!X778</f>
        <v>0</v>
      </c>
    </row>
    <row r="779" spans="2:5" ht="15" customHeight="1" x14ac:dyDescent="0.3">
      <c r="C779" s="58"/>
      <c r="D779" s="8">
        <v>2021</v>
      </c>
      <c r="E779" s="14">
        <f>Data!X779</f>
        <v>0</v>
      </c>
    </row>
    <row r="780" spans="2:5" ht="15" customHeight="1" x14ac:dyDescent="0.3">
      <c r="C780" s="58"/>
      <c r="D780" s="8">
        <v>2022</v>
      </c>
      <c r="E780" s="14">
        <f>Data!X780</f>
        <v>0</v>
      </c>
    </row>
    <row r="781" spans="2:5" ht="15" customHeight="1" x14ac:dyDescent="0.3">
      <c r="C781" s="58"/>
      <c r="D781" s="8">
        <v>2023</v>
      </c>
      <c r="E781" s="14">
        <f>Data!X781</f>
        <v>0</v>
      </c>
    </row>
    <row r="782" spans="2:5" ht="15" customHeight="1" x14ac:dyDescent="0.3">
      <c r="C782" s="58"/>
      <c r="D782" s="8">
        <v>2024</v>
      </c>
      <c r="E782" s="14">
        <f>Data!X782</f>
        <v>0</v>
      </c>
    </row>
    <row r="783" spans="2:5" ht="15" customHeight="1" x14ac:dyDescent="0.3">
      <c r="B783" s="8">
        <v>72</v>
      </c>
      <c r="C783" s="58" t="s">
        <v>75</v>
      </c>
      <c r="D783" s="8">
        <v>2014</v>
      </c>
      <c r="E783" s="14">
        <f>Data!X783</f>
        <v>0</v>
      </c>
    </row>
    <row r="784" spans="2:5" ht="15" customHeight="1" x14ac:dyDescent="0.3">
      <c r="C784" s="58"/>
      <c r="D784" s="8">
        <v>2015</v>
      </c>
      <c r="E784" s="14">
        <f>Data!X784</f>
        <v>0</v>
      </c>
    </row>
    <row r="785" spans="2:5" ht="15" customHeight="1" x14ac:dyDescent="0.3">
      <c r="C785" s="58"/>
      <c r="D785" s="8">
        <v>2016</v>
      </c>
      <c r="E785" s="14">
        <f>Data!X785</f>
        <v>0</v>
      </c>
    </row>
    <row r="786" spans="2:5" ht="15" customHeight="1" x14ac:dyDescent="0.3">
      <c r="C786" s="58"/>
      <c r="D786" s="8">
        <v>2017</v>
      </c>
      <c r="E786" s="14">
        <f>Data!X786</f>
        <v>0</v>
      </c>
    </row>
    <row r="787" spans="2:5" ht="15" customHeight="1" x14ac:dyDescent="0.3">
      <c r="C787" s="58"/>
      <c r="D787" s="8">
        <v>2018</v>
      </c>
      <c r="E787" s="14">
        <f>Data!X787</f>
        <v>0</v>
      </c>
    </row>
    <row r="788" spans="2:5" ht="15" customHeight="1" x14ac:dyDescent="0.3">
      <c r="C788" s="58"/>
      <c r="D788" s="8">
        <v>2019</v>
      </c>
      <c r="E788" s="14">
        <f>Data!X788</f>
        <v>0</v>
      </c>
    </row>
    <row r="789" spans="2:5" ht="15" customHeight="1" x14ac:dyDescent="0.3">
      <c r="C789" s="58"/>
      <c r="D789" s="8">
        <v>2020</v>
      </c>
      <c r="E789" s="14">
        <f>Data!X789</f>
        <v>0</v>
      </c>
    </row>
    <row r="790" spans="2:5" ht="15" customHeight="1" x14ac:dyDescent="0.3">
      <c r="C790" s="58"/>
      <c r="D790" s="8">
        <v>2021</v>
      </c>
      <c r="E790" s="14">
        <f>Data!X790</f>
        <v>0</v>
      </c>
    </row>
    <row r="791" spans="2:5" ht="15" customHeight="1" x14ac:dyDescent="0.3">
      <c r="C791" s="58"/>
      <c r="D791" s="8">
        <v>2022</v>
      </c>
      <c r="E791" s="14">
        <f>Data!X791</f>
        <v>0</v>
      </c>
    </row>
    <row r="792" spans="2:5" ht="15" customHeight="1" x14ac:dyDescent="0.3">
      <c r="C792" s="58"/>
      <c r="D792" s="8">
        <v>2023</v>
      </c>
      <c r="E792" s="14">
        <f>Data!X792</f>
        <v>0</v>
      </c>
    </row>
    <row r="793" spans="2:5" ht="15" customHeight="1" x14ac:dyDescent="0.3">
      <c r="C793" s="58"/>
      <c r="D793" s="8">
        <v>2024</v>
      </c>
      <c r="E793" s="14">
        <f>Data!X793</f>
        <v>0</v>
      </c>
    </row>
    <row r="794" spans="2:5" ht="15" customHeight="1" x14ac:dyDescent="0.3">
      <c r="B794" s="8">
        <v>73</v>
      </c>
      <c r="C794" s="58" t="s">
        <v>96</v>
      </c>
      <c r="D794" s="8">
        <v>2014</v>
      </c>
      <c r="E794" s="14">
        <f>Data!X794</f>
        <v>0</v>
      </c>
    </row>
    <row r="795" spans="2:5" ht="15" customHeight="1" x14ac:dyDescent="0.3">
      <c r="C795" s="58"/>
      <c r="D795" s="8">
        <v>2015</v>
      </c>
      <c r="E795" s="14">
        <f>Data!X795</f>
        <v>0</v>
      </c>
    </row>
    <row r="796" spans="2:5" ht="15" customHeight="1" x14ac:dyDescent="0.3">
      <c r="C796" s="58"/>
      <c r="D796" s="8">
        <v>2016</v>
      </c>
      <c r="E796" s="14">
        <f>Data!X796</f>
        <v>0</v>
      </c>
    </row>
    <row r="797" spans="2:5" ht="15" customHeight="1" x14ac:dyDescent="0.3">
      <c r="C797" s="58"/>
      <c r="D797" s="8">
        <v>2017</v>
      </c>
      <c r="E797" s="14">
        <f>Data!X797</f>
        <v>0</v>
      </c>
    </row>
    <row r="798" spans="2:5" ht="15" customHeight="1" x14ac:dyDescent="0.3">
      <c r="C798" s="58"/>
      <c r="D798" s="8">
        <v>2018</v>
      </c>
      <c r="E798" s="14">
        <f>Data!X798</f>
        <v>0</v>
      </c>
    </row>
    <row r="799" spans="2:5" ht="15" customHeight="1" x14ac:dyDescent="0.3">
      <c r="C799" s="58"/>
      <c r="D799" s="8">
        <v>2019</v>
      </c>
      <c r="E799" s="14">
        <f>Data!X799</f>
        <v>0</v>
      </c>
    </row>
    <row r="800" spans="2:5" ht="15" customHeight="1" x14ac:dyDescent="0.3">
      <c r="C800" s="58"/>
      <c r="D800" s="8">
        <v>2020</v>
      </c>
      <c r="E800" s="14">
        <f>Data!X800</f>
        <v>0</v>
      </c>
    </row>
    <row r="801" spans="2:5" ht="15" customHeight="1" x14ac:dyDescent="0.3">
      <c r="C801" s="58"/>
      <c r="D801" s="8">
        <v>2021</v>
      </c>
      <c r="E801" s="14">
        <f>Data!X801</f>
        <v>0</v>
      </c>
    </row>
    <row r="802" spans="2:5" ht="15" customHeight="1" x14ac:dyDescent="0.3">
      <c r="C802" s="58"/>
      <c r="D802" s="8">
        <v>2022</v>
      </c>
      <c r="E802" s="14">
        <f>Data!X802</f>
        <v>3</v>
      </c>
    </row>
    <row r="803" spans="2:5" ht="15" customHeight="1" x14ac:dyDescent="0.3">
      <c r="C803" s="58"/>
      <c r="D803" s="8">
        <v>2023</v>
      </c>
      <c r="E803" s="14">
        <f>Data!X803</f>
        <v>3</v>
      </c>
    </row>
    <row r="804" spans="2:5" ht="15" customHeight="1" x14ac:dyDescent="0.3">
      <c r="C804" s="58"/>
      <c r="D804" s="8">
        <v>2024</v>
      </c>
      <c r="E804" s="14">
        <f>Data!X804</f>
        <v>4</v>
      </c>
    </row>
    <row r="805" spans="2:5" ht="15" customHeight="1" x14ac:dyDescent="0.3">
      <c r="B805" s="8">
        <v>74</v>
      </c>
      <c r="C805" s="58" t="s">
        <v>76</v>
      </c>
      <c r="D805" s="8">
        <v>2014</v>
      </c>
      <c r="E805" s="14">
        <f>Data!X805</f>
        <v>0</v>
      </c>
    </row>
    <row r="806" spans="2:5" ht="15" customHeight="1" x14ac:dyDescent="0.3">
      <c r="C806" s="58"/>
      <c r="D806" s="8">
        <v>2015</v>
      </c>
      <c r="E806" s="14">
        <f>Data!X806</f>
        <v>0</v>
      </c>
    </row>
    <row r="807" spans="2:5" ht="15" customHeight="1" x14ac:dyDescent="0.3">
      <c r="C807" s="58"/>
      <c r="D807" s="8">
        <v>2016</v>
      </c>
      <c r="E807" s="14">
        <f>Data!X807</f>
        <v>0</v>
      </c>
    </row>
    <row r="808" spans="2:5" ht="15" customHeight="1" x14ac:dyDescent="0.3">
      <c r="C808" s="58"/>
      <c r="D808" s="8">
        <v>2017</v>
      </c>
      <c r="E808" s="14">
        <f>Data!X808</f>
        <v>0</v>
      </c>
    </row>
    <row r="809" spans="2:5" ht="15" customHeight="1" x14ac:dyDescent="0.3">
      <c r="C809" s="58"/>
      <c r="D809" s="8">
        <v>2018</v>
      </c>
      <c r="E809" s="14">
        <f>Data!X809</f>
        <v>0</v>
      </c>
    </row>
    <row r="810" spans="2:5" ht="15" customHeight="1" x14ac:dyDescent="0.3">
      <c r="C810" s="58"/>
      <c r="D810" s="8">
        <v>2019</v>
      </c>
      <c r="E810" s="14">
        <f>Data!X810</f>
        <v>0</v>
      </c>
    </row>
    <row r="811" spans="2:5" ht="15" customHeight="1" x14ac:dyDescent="0.3">
      <c r="C811" s="58"/>
      <c r="D811" s="8">
        <v>2020</v>
      </c>
      <c r="E811" s="14">
        <f>Data!X811</f>
        <v>0</v>
      </c>
    </row>
    <row r="812" spans="2:5" ht="15" customHeight="1" x14ac:dyDescent="0.3">
      <c r="C812" s="58"/>
      <c r="D812" s="8">
        <v>2021</v>
      </c>
      <c r="E812" s="14">
        <f>Data!X812</f>
        <v>0</v>
      </c>
    </row>
    <row r="813" spans="2:5" ht="15" customHeight="1" x14ac:dyDescent="0.3">
      <c r="C813" s="58"/>
      <c r="D813" s="8">
        <v>2022</v>
      </c>
      <c r="E813" s="14">
        <f>Data!X813</f>
        <v>0</v>
      </c>
    </row>
    <row r="814" spans="2:5" ht="15" customHeight="1" x14ac:dyDescent="0.3">
      <c r="C814" s="58"/>
      <c r="D814" s="8">
        <v>2023</v>
      </c>
      <c r="E814" s="14">
        <f>Data!X814</f>
        <v>0</v>
      </c>
    </row>
    <row r="815" spans="2:5" ht="15" customHeight="1" x14ac:dyDescent="0.3">
      <c r="C815" s="58"/>
      <c r="D815" s="8">
        <v>2024</v>
      </c>
      <c r="E815" s="14">
        <f>Data!X815</f>
        <v>0</v>
      </c>
    </row>
    <row r="816" spans="2:5" ht="15" customHeight="1" x14ac:dyDescent="0.3">
      <c r="B816" s="8">
        <v>75</v>
      </c>
      <c r="C816" s="59" t="s">
        <v>130</v>
      </c>
      <c r="D816" s="8">
        <v>2014</v>
      </c>
      <c r="E816" s="14">
        <f>Data!X816</f>
        <v>0</v>
      </c>
    </row>
    <row r="817" spans="2:5" ht="15" customHeight="1" x14ac:dyDescent="0.3">
      <c r="C817" s="59"/>
      <c r="D817" s="8">
        <v>2015</v>
      </c>
      <c r="E817" s="14">
        <f>Data!X817</f>
        <v>0</v>
      </c>
    </row>
    <row r="818" spans="2:5" ht="15" customHeight="1" x14ac:dyDescent="0.3">
      <c r="C818" s="59"/>
      <c r="D818" s="8">
        <v>2016</v>
      </c>
      <c r="E818" s="14">
        <f>Data!X818</f>
        <v>0</v>
      </c>
    </row>
    <row r="819" spans="2:5" ht="15" customHeight="1" x14ac:dyDescent="0.3">
      <c r="C819" s="59"/>
      <c r="D819" s="8">
        <v>2017</v>
      </c>
      <c r="E819" s="14">
        <f>Data!X819</f>
        <v>0</v>
      </c>
    </row>
    <row r="820" spans="2:5" ht="15" customHeight="1" x14ac:dyDescent="0.3">
      <c r="C820" s="59"/>
      <c r="D820" s="8">
        <v>2018</v>
      </c>
      <c r="E820" s="14">
        <f>Data!X820</f>
        <v>0</v>
      </c>
    </row>
    <row r="821" spans="2:5" ht="15" customHeight="1" x14ac:dyDescent="0.3">
      <c r="C821" s="59"/>
      <c r="D821" s="8">
        <v>2019</v>
      </c>
      <c r="E821" s="14">
        <f>Data!X821</f>
        <v>0</v>
      </c>
    </row>
    <row r="822" spans="2:5" ht="15" customHeight="1" x14ac:dyDescent="0.3">
      <c r="C822" s="59"/>
      <c r="D822" s="8">
        <v>2020</v>
      </c>
      <c r="E822" s="14">
        <f>Data!X822</f>
        <v>0</v>
      </c>
    </row>
    <row r="823" spans="2:5" ht="15" customHeight="1" x14ac:dyDescent="0.3">
      <c r="C823" s="59"/>
      <c r="D823" s="8">
        <v>2021</v>
      </c>
      <c r="E823" s="14">
        <f>Data!X823</f>
        <v>0</v>
      </c>
    </row>
    <row r="824" spans="2:5" ht="15" customHeight="1" x14ac:dyDescent="0.3">
      <c r="C824" s="59"/>
      <c r="D824" s="8">
        <v>2022</v>
      </c>
      <c r="E824" s="14">
        <f>Data!X824</f>
        <v>0</v>
      </c>
    </row>
    <row r="825" spans="2:5" ht="15" customHeight="1" x14ac:dyDescent="0.3">
      <c r="C825" s="59"/>
      <c r="D825" s="8">
        <v>2023</v>
      </c>
      <c r="E825" s="14">
        <f>Data!X825</f>
        <v>0</v>
      </c>
    </row>
    <row r="826" spans="2:5" ht="15" customHeight="1" x14ac:dyDescent="0.3">
      <c r="C826" s="59"/>
      <c r="D826" s="8">
        <v>2024</v>
      </c>
      <c r="E826" s="14">
        <f>Data!X826</f>
        <v>0</v>
      </c>
    </row>
    <row r="827" spans="2:5" ht="15" customHeight="1" x14ac:dyDescent="0.3">
      <c r="B827" s="8">
        <v>76</v>
      </c>
      <c r="C827" s="58" t="s">
        <v>79</v>
      </c>
      <c r="D827" s="8">
        <v>2014</v>
      </c>
      <c r="E827" s="14">
        <f>Data!X827</f>
        <v>0</v>
      </c>
    </row>
    <row r="828" spans="2:5" ht="15" customHeight="1" x14ac:dyDescent="0.3">
      <c r="C828" s="58"/>
      <c r="D828" s="8">
        <v>2015</v>
      </c>
      <c r="E828" s="14">
        <f>Data!X828</f>
        <v>0</v>
      </c>
    </row>
    <row r="829" spans="2:5" ht="15" customHeight="1" x14ac:dyDescent="0.3">
      <c r="C829" s="58"/>
      <c r="D829" s="8">
        <v>2016</v>
      </c>
      <c r="E829" s="14">
        <f>Data!X829</f>
        <v>0</v>
      </c>
    </row>
    <row r="830" spans="2:5" ht="15" customHeight="1" x14ac:dyDescent="0.3">
      <c r="C830" s="58"/>
      <c r="D830" s="8">
        <v>2017</v>
      </c>
      <c r="E830" s="14">
        <f>Data!X830</f>
        <v>0</v>
      </c>
    </row>
    <row r="831" spans="2:5" ht="15" customHeight="1" x14ac:dyDescent="0.3">
      <c r="C831" s="58"/>
      <c r="D831" s="8">
        <v>2018</v>
      </c>
      <c r="E831" s="14">
        <f>Data!X831</f>
        <v>0</v>
      </c>
    </row>
    <row r="832" spans="2:5" ht="15" customHeight="1" x14ac:dyDescent="0.3">
      <c r="C832" s="58"/>
      <c r="D832" s="8">
        <v>2019</v>
      </c>
      <c r="E832" s="14">
        <f>Data!X832</f>
        <v>0</v>
      </c>
    </row>
    <row r="833" spans="2:5" ht="15" customHeight="1" x14ac:dyDescent="0.3">
      <c r="C833" s="58"/>
      <c r="D833" s="8">
        <v>2020</v>
      </c>
      <c r="E833" s="14">
        <f>Data!X833</f>
        <v>7</v>
      </c>
    </row>
    <row r="834" spans="2:5" ht="15" customHeight="1" x14ac:dyDescent="0.3">
      <c r="C834" s="58"/>
      <c r="D834" s="8">
        <v>2021</v>
      </c>
      <c r="E834" s="14">
        <f>Data!X834</f>
        <v>7</v>
      </c>
    </row>
    <row r="835" spans="2:5" ht="15" customHeight="1" x14ac:dyDescent="0.3">
      <c r="C835" s="58"/>
      <c r="D835" s="8">
        <v>2022</v>
      </c>
      <c r="E835" s="14">
        <f>Data!X835</f>
        <v>7</v>
      </c>
    </row>
    <row r="836" spans="2:5" ht="15" customHeight="1" x14ac:dyDescent="0.3">
      <c r="C836" s="58"/>
      <c r="D836" s="8">
        <v>2023</v>
      </c>
      <c r="E836" s="14">
        <f>Data!X836</f>
        <v>5</v>
      </c>
    </row>
    <row r="837" spans="2:5" ht="15" customHeight="1" x14ac:dyDescent="0.3">
      <c r="C837" s="58"/>
      <c r="D837" s="8">
        <v>2024</v>
      </c>
      <c r="E837" s="14">
        <f>Data!X837</f>
        <v>6</v>
      </c>
    </row>
    <row r="838" spans="2:5" ht="15" customHeight="1" x14ac:dyDescent="0.3">
      <c r="B838" s="8">
        <v>77</v>
      </c>
      <c r="C838" s="58" t="s">
        <v>119</v>
      </c>
      <c r="D838" s="8">
        <v>2014</v>
      </c>
      <c r="E838" s="14">
        <f>Data!X838</f>
        <v>0</v>
      </c>
    </row>
    <row r="839" spans="2:5" ht="15" customHeight="1" x14ac:dyDescent="0.3">
      <c r="C839" s="58"/>
      <c r="D839" s="8">
        <v>2015</v>
      </c>
      <c r="E839" s="14">
        <f>Data!X839</f>
        <v>0</v>
      </c>
    </row>
    <row r="840" spans="2:5" ht="15" customHeight="1" x14ac:dyDescent="0.3">
      <c r="C840" s="58"/>
      <c r="D840" s="8">
        <v>2016</v>
      </c>
      <c r="E840" s="14">
        <f>Data!X840</f>
        <v>0</v>
      </c>
    </row>
    <row r="841" spans="2:5" ht="15" customHeight="1" x14ac:dyDescent="0.3">
      <c r="C841" s="58"/>
      <c r="D841" s="8">
        <v>2017</v>
      </c>
      <c r="E841" s="14">
        <f>Data!X841</f>
        <v>0</v>
      </c>
    </row>
    <row r="842" spans="2:5" ht="15" customHeight="1" x14ac:dyDescent="0.3">
      <c r="C842" s="58"/>
      <c r="D842" s="8">
        <v>2018</v>
      </c>
      <c r="E842" s="14">
        <f>Data!X842</f>
        <v>0</v>
      </c>
    </row>
    <row r="843" spans="2:5" ht="15" customHeight="1" x14ac:dyDescent="0.3">
      <c r="C843" s="58"/>
      <c r="D843" s="8">
        <v>2019</v>
      </c>
      <c r="E843" s="14">
        <f>Data!X843</f>
        <v>9</v>
      </c>
    </row>
    <row r="844" spans="2:5" ht="15" customHeight="1" x14ac:dyDescent="0.3">
      <c r="C844" s="58"/>
      <c r="D844" s="8">
        <v>2020</v>
      </c>
      <c r="E844" s="14">
        <f>Data!X844</f>
        <v>6</v>
      </c>
    </row>
    <row r="845" spans="2:5" ht="15" customHeight="1" x14ac:dyDescent="0.3">
      <c r="C845" s="58"/>
      <c r="D845" s="8">
        <v>2021</v>
      </c>
      <c r="E845" s="14">
        <f>Data!X845</f>
        <v>6</v>
      </c>
    </row>
    <row r="846" spans="2:5" ht="15" customHeight="1" x14ac:dyDescent="0.3">
      <c r="C846" s="58"/>
      <c r="D846" s="8">
        <v>2022</v>
      </c>
      <c r="E846" s="14">
        <f>Data!X846</f>
        <v>10</v>
      </c>
    </row>
    <row r="847" spans="2:5" ht="15" customHeight="1" x14ac:dyDescent="0.3">
      <c r="C847" s="58"/>
      <c r="D847" s="8">
        <v>2023</v>
      </c>
      <c r="E847" s="14">
        <f>Data!X847</f>
        <v>10</v>
      </c>
    </row>
    <row r="848" spans="2:5" ht="15" customHeight="1" x14ac:dyDescent="0.3">
      <c r="C848" s="58"/>
      <c r="D848" s="8">
        <v>2024</v>
      </c>
      <c r="E848" s="14">
        <f>Data!X848</f>
        <v>10</v>
      </c>
    </row>
    <row r="849" spans="2:5" ht="15" customHeight="1" x14ac:dyDescent="0.3">
      <c r="B849" s="8">
        <v>78</v>
      </c>
      <c r="C849" s="58" t="s">
        <v>80</v>
      </c>
      <c r="D849" s="8">
        <v>2014</v>
      </c>
      <c r="E849" s="14">
        <f>Data!X849</f>
        <v>0</v>
      </c>
    </row>
    <row r="850" spans="2:5" ht="15" customHeight="1" x14ac:dyDescent="0.3">
      <c r="C850" s="58"/>
      <c r="D850" s="8">
        <v>2015</v>
      </c>
      <c r="E850" s="14">
        <f>Data!X850</f>
        <v>0</v>
      </c>
    </row>
    <row r="851" spans="2:5" ht="15" customHeight="1" x14ac:dyDescent="0.3">
      <c r="C851" s="58"/>
      <c r="D851" s="8">
        <v>2016</v>
      </c>
      <c r="E851" s="14">
        <f>Data!X851</f>
        <v>0</v>
      </c>
    </row>
    <row r="852" spans="2:5" ht="15" customHeight="1" x14ac:dyDescent="0.3">
      <c r="C852" s="58"/>
      <c r="D852" s="8">
        <v>2017</v>
      </c>
      <c r="E852" s="14">
        <f>Data!X852</f>
        <v>0</v>
      </c>
    </row>
    <row r="853" spans="2:5" ht="15" customHeight="1" x14ac:dyDescent="0.3">
      <c r="C853" s="58"/>
      <c r="D853" s="8">
        <v>2018</v>
      </c>
      <c r="E853" s="14">
        <f>Data!X853</f>
        <v>0</v>
      </c>
    </row>
    <row r="854" spans="2:5" ht="15" customHeight="1" x14ac:dyDescent="0.3">
      <c r="C854" s="58"/>
      <c r="D854" s="8">
        <v>2019</v>
      </c>
      <c r="E854" s="14">
        <f>Data!X854</f>
        <v>0</v>
      </c>
    </row>
    <row r="855" spans="2:5" ht="15" customHeight="1" x14ac:dyDescent="0.3">
      <c r="C855" s="58"/>
      <c r="D855" s="8">
        <v>2020</v>
      </c>
      <c r="E855" s="14">
        <f>Data!X855</f>
        <v>0</v>
      </c>
    </row>
    <row r="856" spans="2:5" ht="15" customHeight="1" x14ac:dyDescent="0.3">
      <c r="C856" s="58"/>
      <c r="D856" s="8">
        <v>2021</v>
      </c>
      <c r="E856" s="14">
        <f>Data!X856</f>
        <v>0</v>
      </c>
    </row>
    <row r="857" spans="2:5" ht="15" customHeight="1" x14ac:dyDescent="0.3">
      <c r="C857" s="58"/>
      <c r="D857" s="8">
        <v>2022</v>
      </c>
      <c r="E857" s="14">
        <f>Data!X857</f>
        <v>0</v>
      </c>
    </row>
    <row r="858" spans="2:5" ht="15" customHeight="1" x14ac:dyDescent="0.3">
      <c r="C858" s="58"/>
      <c r="D858" s="8">
        <v>2023</v>
      </c>
      <c r="E858" s="14">
        <f>Data!X858</f>
        <v>0</v>
      </c>
    </row>
    <row r="859" spans="2:5" ht="15" customHeight="1" x14ac:dyDescent="0.3">
      <c r="C859" s="58"/>
      <c r="D859" s="8">
        <v>2024</v>
      </c>
      <c r="E859" s="14">
        <f>Data!X859</f>
        <v>0</v>
      </c>
    </row>
    <row r="860" spans="2:5" ht="15" customHeight="1" x14ac:dyDescent="0.3">
      <c r="B860" s="8">
        <v>79</v>
      </c>
      <c r="C860" s="58" t="s">
        <v>97</v>
      </c>
      <c r="D860" s="8">
        <v>2014</v>
      </c>
      <c r="E860" s="14">
        <f>Data!X860</f>
        <v>0</v>
      </c>
    </row>
    <row r="861" spans="2:5" ht="15" customHeight="1" x14ac:dyDescent="0.3">
      <c r="C861" s="58"/>
      <c r="D861" s="8">
        <v>2015</v>
      </c>
      <c r="E861" s="14">
        <f>Data!X861</f>
        <v>3</v>
      </c>
    </row>
    <row r="862" spans="2:5" ht="15" customHeight="1" x14ac:dyDescent="0.3">
      <c r="C862" s="58"/>
      <c r="D862" s="8">
        <v>2016</v>
      </c>
      <c r="E862" s="14">
        <f>Data!X862</f>
        <v>3</v>
      </c>
    </row>
    <row r="863" spans="2:5" ht="15" customHeight="1" x14ac:dyDescent="0.3">
      <c r="C863" s="58"/>
      <c r="D863" s="8">
        <v>2017</v>
      </c>
      <c r="E863" s="14">
        <f>Data!X863</f>
        <v>3</v>
      </c>
    </row>
    <row r="864" spans="2:5" ht="15" customHeight="1" x14ac:dyDescent="0.3">
      <c r="C864" s="58"/>
      <c r="D864" s="8">
        <v>2018</v>
      </c>
      <c r="E864" s="14">
        <f>Data!X864</f>
        <v>0</v>
      </c>
    </row>
    <row r="865" spans="2:5" ht="15" customHeight="1" x14ac:dyDescent="0.3">
      <c r="C865" s="58"/>
      <c r="D865" s="8">
        <v>2019</v>
      </c>
      <c r="E865" s="14">
        <f>Data!X865</f>
        <v>0</v>
      </c>
    </row>
    <row r="866" spans="2:5" ht="15" customHeight="1" x14ac:dyDescent="0.3">
      <c r="C866" s="58"/>
      <c r="D866" s="8">
        <v>2020</v>
      </c>
      <c r="E866" s="14">
        <f>Data!X866</f>
        <v>0</v>
      </c>
    </row>
    <row r="867" spans="2:5" ht="15" customHeight="1" x14ac:dyDescent="0.3">
      <c r="C867" s="58"/>
      <c r="D867" s="8">
        <v>2021</v>
      </c>
      <c r="E867" s="14">
        <f>Data!X867</f>
        <v>0</v>
      </c>
    </row>
    <row r="868" spans="2:5" ht="15" customHeight="1" x14ac:dyDescent="0.3">
      <c r="C868" s="58"/>
      <c r="D868" s="8">
        <v>2022</v>
      </c>
      <c r="E868" s="14">
        <f>Data!X868</f>
        <v>0</v>
      </c>
    </row>
    <row r="869" spans="2:5" ht="15" customHeight="1" x14ac:dyDescent="0.3">
      <c r="C869" s="58"/>
      <c r="D869" s="8">
        <v>2023</v>
      </c>
      <c r="E869" s="14">
        <f>Data!X869</f>
        <v>0</v>
      </c>
    </row>
    <row r="870" spans="2:5" ht="15" customHeight="1" x14ac:dyDescent="0.3">
      <c r="C870" s="58"/>
      <c r="D870" s="8">
        <v>2024</v>
      </c>
      <c r="E870" s="14">
        <f>Data!X870</f>
        <v>0</v>
      </c>
    </row>
    <row r="871" spans="2:5" ht="15" customHeight="1" x14ac:dyDescent="0.3">
      <c r="B871" s="8">
        <v>80</v>
      </c>
      <c r="C871" s="58" t="s">
        <v>81</v>
      </c>
      <c r="D871" s="8">
        <v>2014</v>
      </c>
      <c r="E871" s="14">
        <f>Data!X871</f>
        <v>0</v>
      </c>
    </row>
    <row r="872" spans="2:5" ht="15" customHeight="1" x14ac:dyDescent="0.3">
      <c r="C872" s="58"/>
      <c r="D872" s="8">
        <v>2015</v>
      </c>
      <c r="E872" s="14">
        <f>Data!X872</f>
        <v>0</v>
      </c>
    </row>
    <row r="873" spans="2:5" ht="15" customHeight="1" x14ac:dyDescent="0.3">
      <c r="C873" s="58"/>
      <c r="D873" s="8">
        <v>2016</v>
      </c>
      <c r="E873" s="14">
        <f>Data!X873</f>
        <v>0</v>
      </c>
    </row>
    <row r="874" spans="2:5" ht="15" customHeight="1" x14ac:dyDescent="0.3">
      <c r="C874" s="58"/>
      <c r="D874" s="8">
        <v>2017</v>
      </c>
      <c r="E874" s="14">
        <f>Data!X874</f>
        <v>0</v>
      </c>
    </row>
    <row r="875" spans="2:5" ht="15" customHeight="1" x14ac:dyDescent="0.3">
      <c r="C875" s="58"/>
      <c r="D875" s="8">
        <v>2018</v>
      </c>
      <c r="E875" s="14">
        <f>Data!X875</f>
        <v>0</v>
      </c>
    </row>
    <row r="876" spans="2:5" ht="15" customHeight="1" x14ac:dyDescent="0.3">
      <c r="C876" s="58"/>
      <c r="D876" s="8">
        <v>2019</v>
      </c>
      <c r="E876" s="14">
        <f>Data!X876</f>
        <v>0</v>
      </c>
    </row>
    <row r="877" spans="2:5" ht="15" customHeight="1" x14ac:dyDescent="0.3">
      <c r="C877" s="58"/>
      <c r="D877" s="8">
        <v>2020</v>
      </c>
      <c r="E877" s="14">
        <f>Data!X877</f>
        <v>0</v>
      </c>
    </row>
    <row r="878" spans="2:5" ht="15" customHeight="1" x14ac:dyDescent="0.3">
      <c r="C878" s="58"/>
      <c r="D878" s="8">
        <v>2021</v>
      </c>
      <c r="E878" s="14">
        <f>Data!X878</f>
        <v>0</v>
      </c>
    </row>
    <row r="879" spans="2:5" ht="15" customHeight="1" x14ac:dyDescent="0.3">
      <c r="C879" s="58"/>
      <c r="D879" s="8">
        <v>2022</v>
      </c>
      <c r="E879" s="14">
        <f>Data!X879</f>
        <v>0</v>
      </c>
    </row>
    <row r="880" spans="2:5" ht="15" customHeight="1" x14ac:dyDescent="0.3">
      <c r="C880" s="58"/>
      <c r="D880" s="8">
        <v>2023</v>
      </c>
      <c r="E880" s="14">
        <f>Data!X880</f>
        <v>0</v>
      </c>
    </row>
    <row r="881" spans="2:5" ht="15" customHeight="1" x14ac:dyDescent="0.3">
      <c r="C881" s="58"/>
      <c r="D881" s="8">
        <v>2024</v>
      </c>
      <c r="E881" s="14">
        <f>Data!X881</f>
        <v>0</v>
      </c>
    </row>
    <row r="882" spans="2:5" ht="15" customHeight="1" x14ac:dyDescent="0.3">
      <c r="B882" s="8">
        <v>81</v>
      </c>
      <c r="C882" s="58" t="s">
        <v>82</v>
      </c>
      <c r="D882" s="8">
        <v>2014</v>
      </c>
      <c r="E882" s="14">
        <f>Data!X882</f>
        <v>0</v>
      </c>
    </row>
    <row r="883" spans="2:5" ht="15" customHeight="1" x14ac:dyDescent="0.3">
      <c r="C883" s="58"/>
      <c r="D883" s="8">
        <v>2015</v>
      </c>
      <c r="E883" s="14">
        <f>Data!X883</f>
        <v>0</v>
      </c>
    </row>
    <row r="884" spans="2:5" ht="15" customHeight="1" x14ac:dyDescent="0.3">
      <c r="C884" s="58"/>
      <c r="D884" s="8">
        <v>2016</v>
      </c>
      <c r="E884" s="14">
        <f>Data!X884</f>
        <v>0</v>
      </c>
    </row>
    <row r="885" spans="2:5" ht="15" customHeight="1" x14ac:dyDescent="0.3">
      <c r="C885" s="58"/>
      <c r="D885" s="8">
        <v>2017</v>
      </c>
      <c r="E885" s="14">
        <f>Data!X885</f>
        <v>0</v>
      </c>
    </row>
    <row r="886" spans="2:5" ht="15" customHeight="1" x14ac:dyDescent="0.3">
      <c r="C886" s="58"/>
      <c r="D886" s="8">
        <v>2018</v>
      </c>
      <c r="E886" s="14">
        <f>Data!X886</f>
        <v>0</v>
      </c>
    </row>
    <row r="887" spans="2:5" ht="15" customHeight="1" x14ac:dyDescent="0.3">
      <c r="C887" s="58"/>
      <c r="D887" s="8">
        <v>2019</v>
      </c>
      <c r="E887" s="14">
        <f>Data!X887</f>
        <v>6</v>
      </c>
    </row>
    <row r="888" spans="2:5" ht="15" customHeight="1" x14ac:dyDescent="0.3">
      <c r="C888" s="58"/>
      <c r="D888" s="8">
        <v>2020</v>
      </c>
      <c r="E888" s="14">
        <f>Data!X888</f>
        <v>8</v>
      </c>
    </row>
    <row r="889" spans="2:5" ht="15" customHeight="1" x14ac:dyDescent="0.3">
      <c r="C889" s="58"/>
      <c r="D889" s="8">
        <v>2021</v>
      </c>
      <c r="E889" s="14">
        <f>Data!X889</f>
        <v>8</v>
      </c>
    </row>
    <row r="890" spans="2:5" ht="15" customHeight="1" x14ac:dyDescent="0.3">
      <c r="C890" s="58"/>
      <c r="D890" s="8">
        <v>2022</v>
      </c>
      <c r="E890" s="14">
        <f>Data!X890</f>
        <v>8</v>
      </c>
    </row>
    <row r="891" spans="2:5" ht="15" customHeight="1" x14ac:dyDescent="0.3">
      <c r="C891" s="58"/>
      <c r="D891" s="8">
        <v>2023</v>
      </c>
      <c r="E891" s="14">
        <f>Data!X891</f>
        <v>9</v>
      </c>
    </row>
    <row r="892" spans="2:5" ht="15" customHeight="1" x14ac:dyDescent="0.3">
      <c r="C892" s="58"/>
      <c r="D892" s="8">
        <v>2024</v>
      </c>
      <c r="E892" s="14">
        <f>Data!X892</f>
        <v>9</v>
      </c>
    </row>
    <row r="893" spans="2:5" ht="15" customHeight="1" x14ac:dyDescent="0.3">
      <c r="B893" s="8">
        <v>82</v>
      </c>
      <c r="C893" s="58" t="s">
        <v>83</v>
      </c>
      <c r="D893" s="8">
        <v>2014</v>
      </c>
      <c r="E893" s="14">
        <f>Data!X893</f>
        <v>0</v>
      </c>
    </row>
    <row r="894" spans="2:5" ht="15" customHeight="1" x14ac:dyDescent="0.3">
      <c r="C894" s="58"/>
      <c r="D894" s="8">
        <v>2015</v>
      </c>
      <c r="E894" s="14">
        <f>Data!X894</f>
        <v>0</v>
      </c>
    </row>
    <row r="895" spans="2:5" ht="15" customHeight="1" x14ac:dyDescent="0.3">
      <c r="C895" s="58"/>
      <c r="D895" s="8">
        <v>2016</v>
      </c>
      <c r="E895" s="14">
        <f>Data!X895</f>
        <v>0</v>
      </c>
    </row>
    <row r="896" spans="2:5" ht="15" customHeight="1" x14ac:dyDescent="0.3">
      <c r="C896" s="58"/>
      <c r="D896" s="8">
        <v>2017</v>
      </c>
      <c r="E896" s="14">
        <f>Data!X896</f>
        <v>0</v>
      </c>
    </row>
    <row r="897" spans="2:5" ht="15" customHeight="1" x14ac:dyDescent="0.3">
      <c r="C897" s="58"/>
      <c r="D897" s="8">
        <v>2018</v>
      </c>
      <c r="E897" s="14">
        <f>Data!X897</f>
        <v>0</v>
      </c>
    </row>
    <row r="898" spans="2:5" ht="15" customHeight="1" x14ac:dyDescent="0.3">
      <c r="C898" s="58"/>
      <c r="D898" s="8">
        <v>2019</v>
      </c>
      <c r="E898" s="14">
        <f>Data!X898</f>
        <v>0</v>
      </c>
    </row>
    <row r="899" spans="2:5" ht="15" customHeight="1" x14ac:dyDescent="0.3">
      <c r="C899" s="58"/>
      <c r="D899" s="8">
        <v>2020</v>
      </c>
      <c r="E899" s="14">
        <f>Data!X899</f>
        <v>0</v>
      </c>
    </row>
    <row r="900" spans="2:5" ht="15" customHeight="1" x14ac:dyDescent="0.3">
      <c r="C900" s="58"/>
      <c r="D900" s="8">
        <v>2021</v>
      </c>
      <c r="E900" s="14">
        <f>Data!X900</f>
        <v>0</v>
      </c>
    </row>
    <row r="901" spans="2:5" ht="15" customHeight="1" x14ac:dyDescent="0.3">
      <c r="C901" s="58"/>
      <c r="D901" s="8">
        <v>2022</v>
      </c>
      <c r="E901" s="14">
        <f>Data!X901</f>
        <v>0</v>
      </c>
    </row>
    <row r="902" spans="2:5" ht="15" customHeight="1" x14ac:dyDescent="0.3">
      <c r="C902" s="58"/>
      <c r="D902" s="8">
        <v>2023</v>
      </c>
      <c r="E902" s="14">
        <f>Data!X902</f>
        <v>0</v>
      </c>
    </row>
    <row r="903" spans="2:5" ht="15" customHeight="1" x14ac:dyDescent="0.3">
      <c r="C903" s="58"/>
      <c r="D903" s="8">
        <v>2024</v>
      </c>
      <c r="E903" s="14">
        <f>Data!X903</f>
        <v>0</v>
      </c>
    </row>
    <row r="904" spans="2:5" ht="15" customHeight="1" x14ac:dyDescent="0.3">
      <c r="B904" s="8">
        <v>83</v>
      </c>
      <c r="C904" s="58" t="s">
        <v>98</v>
      </c>
      <c r="D904" s="8">
        <v>2014</v>
      </c>
      <c r="E904" s="14">
        <f>Data!X904</f>
        <v>0</v>
      </c>
    </row>
    <row r="905" spans="2:5" ht="15" customHeight="1" x14ac:dyDescent="0.3">
      <c r="C905" s="58"/>
      <c r="D905" s="8">
        <v>2015</v>
      </c>
      <c r="E905" s="14">
        <f>Data!X905</f>
        <v>15</v>
      </c>
    </row>
    <row r="906" spans="2:5" ht="15" customHeight="1" x14ac:dyDescent="0.3">
      <c r="C906" s="58"/>
      <c r="D906" s="8">
        <v>2016</v>
      </c>
      <c r="E906" s="14">
        <f>Data!X906</f>
        <v>12</v>
      </c>
    </row>
    <row r="907" spans="2:5" ht="15" customHeight="1" x14ac:dyDescent="0.3">
      <c r="C907" s="58"/>
      <c r="D907" s="8">
        <v>2017</v>
      </c>
      <c r="E907" s="14">
        <f>Data!X907</f>
        <v>15</v>
      </c>
    </row>
    <row r="908" spans="2:5" ht="15" customHeight="1" x14ac:dyDescent="0.3">
      <c r="C908" s="58"/>
      <c r="D908" s="8">
        <v>2018</v>
      </c>
      <c r="E908" s="14">
        <f>Data!X908</f>
        <v>21</v>
      </c>
    </row>
    <row r="909" spans="2:5" ht="15" customHeight="1" x14ac:dyDescent="0.3">
      <c r="C909" s="58"/>
      <c r="D909" s="8">
        <v>2019</v>
      </c>
      <c r="E909" s="14">
        <f>Data!X909</f>
        <v>21</v>
      </c>
    </row>
    <row r="910" spans="2:5" ht="15" customHeight="1" x14ac:dyDescent="0.3">
      <c r="C910" s="58"/>
      <c r="D910" s="8">
        <v>2020</v>
      </c>
      <c r="E910" s="14">
        <f>Data!X910</f>
        <v>18</v>
      </c>
    </row>
    <row r="911" spans="2:5" ht="15" customHeight="1" x14ac:dyDescent="0.3">
      <c r="C911" s="58"/>
      <c r="D911" s="8">
        <v>2021</v>
      </c>
      <c r="E911" s="14">
        <f>Data!X911</f>
        <v>18</v>
      </c>
    </row>
    <row r="912" spans="2:5" ht="15" customHeight="1" x14ac:dyDescent="0.3">
      <c r="C912" s="58"/>
      <c r="D912" s="8">
        <v>2022</v>
      </c>
      <c r="E912" s="14">
        <f>Data!X912</f>
        <v>18</v>
      </c>
    </row>
    <row r="913" spans="2:5" ht="15" customHeight="1" x14ac:dyDescent="0.3">
      <c r="C913" s="58"/>
      <c r="D913" s="8">
        <v>2023</v>
      </c>
      <c r="E913" s="14">
        <f>Data!X913</f>
        <v>16</v>
      </c>
    </row>
    <row r="914" spans="2:5" ht="15" customHeight="1" x14ac:dyDescent="0.3">
      <c r="C914" s="58"/>
      <c r="D914" s="8">
        <v>2024</v>
      </c>
      <c r="E914" s="14">
        <f>Data!X914</f>
        <v>13</v>
      </c>
    </row>
    <row r="915" spans="2:5" ht="15" customHeight="1" x14ac:dyDescent="0.3">
      <c r="B915" s="8">
        <v>84</v>
      </c>
      <c r="C915" s="58" t="s">
        <v>84</v>
      </c>
      <c r="D915" s="8">
        <v>2014</v>
      </c>
      <c r="E915" s="14">
        <f>Data!X915</f>
        <v>0</v>
      </c>
    </row>
    <row r="916" spans="2:5" ht="15" customHeight="1" x14ac:dyDescent="0.3">
      <c r="C916" s="58"/>
      <c r="D916" s="8">
        <v>2015</v>
      </c>
      <c r="E916" s="14">
        <f>Data!X916</f>
        <v>6</v>
      </c>
    </row>
    <row r="917" spans="2:5" ht="15" customHeight="1" x14ac:dyDescent="0.3">
      <c r="C917" s="58"/>
      <c r="D917" s="8">
        <v>2016</v>
      </c>
      <c r="E917" s="14">
        <f>Data!X917</f>
        <v>6</v>
      </c>
    </row>
    <row r="918" spans="2:5" ht="15" customHeight="1" x14ac:dyDescent="0.3">
      <c r="C918" s="58"/>
      <c r="D918" s="8">
        <v>2017</v>
      </c>
      <c r="E918" s="14">
        <f>Data!X918</f>
        <v>6</v>
      </c>
    </row>
    <row r="919" spans="2:5" ht="15" customHeight="1" x14ac:dyDescent="0.3">
      <c r="C919" s="58"/>
      <c r="D919" s="8">
        <v>2018</v>
      </c>
      <c r="E919" s="14">
        <f>Data!X919</f>
        <v>6</v>
      </c>
    </row>
    <row r="920" spans="2:5" ht="15" customHeight="1" x14ac:dyDescent="0.3">
      <c r="C920" s="58"/>
      <c r="D920" s="8">
        <v>2019</v>
      </c>
      <c r="E920" s="14">
        <f>Data!X920</f>
        <v>6</v>
      </c>
    </row>
    <row r="921" spans="2:5" ht="15" customHeight="1" x14ac:dyDescent="0.3">
      <c r="C921" s="58"/>
      <c r="D921" s="8">
        <v>2020</v>
      </c>
      <c r="E921" s="14">
        <f>Data!X921</f>
        <v>4</v>
      </c>
    </row>
    <row r="922" spans="2:5" ht="15" customHeight="1" x14ac:dyDescent="0.3">
      <c r="C922" s="58"/>
      <c r="D922" s="8">
        <v>2021</v>
      </c>
      <c r="E922" s="14">
        <f>Data!X922</f>
        <v>7</v>
      </c>
    </row>
    <row r="923" spans="2:5" ht="15" customHeight="1" x14ac:dyDescent="0.3">
      <c r="C923" s="58"/>
      <c r="D923" s="8">
        <v>2022</v>
      </c>
      <c r="E923" s="14">
        <f>Data!X923</f>
        <v>7</v>
      </c>
    </row>
    <row r="924" spans="2:5" ht="15" customHeight="1" x14ac:dyDescent="0.3">
      <c r="C924" s="58"/>
      <c r="D924" s="8">
        <v>2023</v>
      </c>
      <c r="E924" s="14">
        <f>Data!X924</f>
        <v>6</v>
      </c>
    </row>
    <row r="925" spans="2:5" ht="15" customHeight="1" x14ac:dyDescent="0.3">
      <c r="C925" s="58"/>
      <c r="D925" s="8">
        <v>2024</v>
      </c>
      <c r="E925" s="14">
        <f>Data!X925</f>
        <v>10</v>
      </c>
    </row>
    <row r="926" spans="2:5" ht="15" customHeight="1" x14ac:dyDescent="0.3">
      <c r="B926" s="8">
        <v>85</v>
      </c>
      <c r="C926" s="58" t="s">
        <v>99</v>
      </c>
      <c r="D926" s="8">
        <v>2014</v>
      </c>
      <c r="E926" s="14">
        <f>Data!X926</f>
        <v>0</v>
      </c>
    </row>
    <row r="927" spans="2:5" ht="15" customHeight="1" x14ac:dyDescent="0.3">
      <c r="C927" s="58"/>
      <c r="D927" s="8">
        <v>2015</v>
      </c>
      <c r="E927" s="14">
        <f>Data!X927</f>
        <v>10</v>
      </c>
    </row>
    <row r="928" spans="2:5" ht="15" customHeight="1" x14ac:dyDescent="0.3">
      <c r="C928" s="58"/>
      <c r="D928" s="8">
        <v>2016</v>
      </c>
      <c r="E928" s="14">
        <f>Data!X928</f>
        <v>10</v>
      </c>
    </row>
    <row r="929" spans="2:5" ht="15" customHeight="1" x14ac:dyDescent="0.3">
      <c r="C929" s="58"/>
      <c r="D929" s="8">
        <v>2017</v>
      </c>
      <c r="E929" s="14">
        <f>Data!X929</f>
        <v>10</v>
      </c>
    </row>
    <row r="930" spans="2:5" ht="15" customHeight="1" x14ac:dyDescent="0.3">
      <c r="C930" s="58"/>
      <c r="D930" s="8">
        <v>2018</v>
      </c>
      <c r="E930" s="14">
        <f>Data!X930</f>
        <v>12</v>
      </c>
    </row>
    <row r="931" spans="2:5" ht="15" customHeight="1" x14ac:dyDescent="0.3">
      <c r="C931" s="58"/>
      <c r="D931" s="8">
        <v>2019</v>
      </c>
      <c r="E931" s="14">
        <f>Data!X931</f>
        <v>12</v>
      </c>
    </row>
    <row r="932" spans="2:5" ht="15" customHeight="1" x14ac:dyDescent="0.3">
      <c r="C932" s="58"/>
      <c r="D932" s="8">
        <v>2020</v>
      </c>
      <c r="E932" s="14">
        <f>Data!X932</f>
        <v>12</v>
      </c>
    </row>
    <row r="933" spans="2:5" ht="15" customHeight="1" x14ac:dyDescent="0.3">
      <c r="C933" s="58"/>
      <c r="D933" s="8">
        <v>2021</v>
      </c>
      <c r="E933" s="14">
        <f>Data!X933</f>
        <v>10</v>
      </c>
    </row>
    <row r="934" spans="2:5" ht="15" customHeight="1" x14ac:dyDescent="0.3">
      <c r="C934" s="58"/>
      <c r="D934" s="8">
        <v>2022</v>
      </c>
      <c r="E934" s="14">
        <f>Data!X934</f>
        <v>10</v>
      </c>
    </row>
    <row r="935" spans="2:5" ht="15" customHeight="1" x14ac:dyDescent="0.3">
      <c r="C935" s="58"/>
      <c r="D935" s="8">
        <v>2023</v>
      </c>
      <c r="E935" s="14">
        <f>Data!X935</f>
        <v>10</v>
      </c>
    </row>
    <row r="936" spans="2:5" ht="15" customHeight="1" x14ac:dyDescent="0.3">
      <c r="C936" s="58"/>
      <c r="D936" s="8">
        <v>2024</v>
      </c>
      <c r="E936" s="14" t="str">
        <f>Data!X936</f>
        <v xml:space="preserve"> </v>
      </c>
    </row>
    <row r="937" spans="2:5" ht="15" customHeight="1" x14ac:dyDescent="0.3">
      <c r="B937" s="8">
        <v>86</v>
      </c>
      <c r="C937" s="59" t="s">
        <v>132</v>
      </c>
      <c r="D937" s="8">
        <v>2014</v>
      </c>
      <c r="E937" s="14">
        <f>Data!X937</f>
        <v>0</v>
      </c>
    </row>
    <row r="938" spans="2:5" ht="15" customHeight="1" x14ac:dyDescent="0.3">
      <c r="C938" s="59"/>
      <c r="D938" s="8">
        <v>2015</v>
      </c>
      <c r="E938" s="14">
        <f>Data!X938</f>
        <v>0</v>
      </c>
    </row>
    <row r="939" spans="2:5" ht="15" customHeight="1" x14ac:dyDescent="0.3">
      <c r="C939" s="59"/>
      <c r="D939" s="8">
        <v>2016</v>
      </c>
      <c r="E939" s="14">
        <f>Data!X939</f>
        <v>9</v>
      </c>
    </row>
    <row r="940" spans="2:5" ht="15" customHeight="1" x14ac:dyDescent="0.3">
      <c r="C940" s="59"/>
      <c r="D940" s="8">
        <v>2017</v>
      </c>
      <c r="E940" s="14">
        <f>Data!X940</f>
        <v>9</v>
      </c>
    </row>
    <row r="941" spans="2:5" ht="15" customHeight="1" x14ac:dyDescent="0.3">
      <c r="C941" s="59"/>
      <c r="D941" s="8">
        <v>2018</v>
      </c>
      <c r="E941" s="14">
        <f>Data!X941</f>
        <v>6</v>
      </c>
    </row>
    <row r="942" spans="2:5" ht="15" customHeight="1" x14ac:dyDescent="0.3">
      <c r="C942" s="59"/>
      <c r="D942" s="8">
        <v>2019</v>
      </c>
      <c r="E942" s="14">
        <f>Data!X942</f>
        <v>9</v>
      </c>
    </row>
    <row r="943" spans="2:5" ht="15" customHeight="1" x14ac:dyDescent="0.3">
      <c r="C943" s="59"/>
      <c r="D943" s="8">
        <v>2020</v>
      </c>
      <c r="E943" s="14">
        <f>Data!X943</f>
        <v>0</v>
      </c>
    </row>
    <row r="944" spans="2:5" ht="15" customHeight="1" x14ac:dyDescent="0.3">
      <c r="C944" s="59"/>
      <c r="D944" s="8">
        <v>2021</v>
      </c>
      <c r="E944" s="14">
        <f>Data!X944</f>
        <v>0</v>
      </c>
    </row>
    <row r="945" spans="2:5" ht="15" customHeight="1" x14ac:dyDescent="0.3">
      <c r="C945" s="59"/>
      <c r="D945" s="8">
        <v>2022</v>
      </c>
      <c r="E945" s="14">
        <f>Data!X945</f>
        <v>0</v>
      </c>
    </row>
    <row r="946" spans="2:5" ht="15" customHeight="1" x14ac:dyDescent="0.3">
      <c r="C946" s="59"/>
      <c r="D946" s="8">
        <v>2023</v>
      </c>
      <c r="E946" s="14">
        <f>Data!X946</f>
        <v>7</v>
      </c>
    </row>
    <row r="947" spans="2:5" ht="15" customHeight="1" x14ac:dyDescent="0.3">
      <c r="C947" s="59"/>
      <c r="D947" s="8">
        <v>2024</v>
      </c>
      <c r="E947" s="14">
        <f>Data!X947</f>
        <v>7</v>
      </c>
    </row>
    <row r="948" spans="2:5" ht="15" customHeight="1" x14ac:dyDescent="0.3">
      <c r="B948" s="8">
        <v>87</v>
      </c>
      <c r="C948" s="57" t="s">
        <v>129</v>
      </c>
      <c r="D948" s="8">
        <v>2014</v>
      </c>
      <c r="E948" s="14">
        <f>Data!X948</f>
        <v>0</v>
      </c>
    </row>
    <row r="949" spans="2:5" ht="15" customHeight="1" x14ac:dyDescent="0.3">
      <c r="C949" s="57"/>
      <c r="D949" s="8">
        <v>2015</v>
      </c>
      <c r="E949" s="14">
        <f>Data!X949</f>
        <v>0</v>
      </c>
    </row>
    <row r="950" spans="2:5" ht="15" customHeight="1" x14ac:dyDescent="0.3">
      <c r="C950" s="57"/>
      <c r="D950" s="8">
        <v>2016</v>
      </c>
      <c r="E950" s="14">
        <f>Data!X950</f>
        <v>0</v>
      </c>
    </row>
    <row r="951" spans="2:5" ht="15" customHeight="1" x14ac:dyDescent="0.3">
      <c r="C951" s="57"/>
      <c r="D951" s="8">
        <v>2017</v>
      </c>
      <c r="E951" s="14">
        <f>Data!X951</f>
        <v>0</v>
      </c>
    </row>
    <row r="952" spans="2:5" ht="15" customHeight="1" x14ac:dyDescent="0.3">
      <c r="C952" s="57"/>
      <c r="D952" s="8">
        <v>2018</v>
      </c>
      <c r="E952" s="14">
        <f>Data!X952</f>
        <v>0</v>
      </c>
    </row>
    <row r="953" spans="2:5" ht="15" customHeight="1" x14ac:dyDescent="0.3">
      <c r="C953" s="57"/>
      <c r="D953" s="8">
        <v>2019</v>
      </c>
      <c r="E953" s="14">
        <f>Data!X953</f>
        <v>0</v>
      </c>
    </row>
    <row r="954" spans="2:5" ht="15" customHeight="1" x14ac:dyDescent="0.3">
      <c r="C954" s="57"/>
      <c r="D954" s="8">
        <v>2020</v>
      </c>
      <c r="E954" s="14">
        <f>Data!X954</f>
        <v>0</v>
      </c>
    </row>
    <row r="955" spans="2:5" ht="15" customHeight="1" x14ac:dyDescent="0.3">
      <c r="C955" s="57"/>
      <c r="D955" s="8">
        <v>2021</v>
      </c>
      <c r="E955" s="14">
        <f>Data!X955</f>
        <v>0</v>
      </c>
    </row>
    <row r="956" spans="2:5" ht="15" customHeight="1" x14ac:dyDescent="0.3">
      <c r="C956" s="57"/>
      <c r="D956" s="8">
        <v>2022</v>
      </c>
      <c r="E956" s="14">
        <f>Data!X956</f>
        <v>0</v>
      </c>
    </row>
    <row r="957" spans="2:5" ht="15" customHeight="1" x14ac:dyDescent="0.3">
      <c r="C957" s="57"/>
      <c r="D957" s="8">
        <v>2023</v>
      </c>
      <c r="E957" s="14">
        <f>Data!X957</f>
        <v>0</v>
      </c>
    </row>
    <row r="958" spans="2:5" ht="15" customHeight="1" x14ac:dyDescent="0.3">
      <c r="C958" s="57"/>
      <c r="D958" s="8">
        <v>2024</v>
      </c>
      <c r="E958" s="14">
        <f>Data!X958</f>
        <v>0</v>
      </c>
    </row>
    <row r="959" spans="2:5" ht="15" customHeight="1" x14ac:dyDescent="0.3">
      <c r="B959" s="8">
        <v>88</v>
      </c>
      <c r="C959" s="58" t="s">
        <v>100</v>
      </c>
      <c r="D959" s="8">
        <v>2014</v>
      </c>
      <c r="E959" s="14">
        <f>Data!X959</f>
        <v>0</v>
      </c>
    </row>
    <row r="960" spans="2:5" ht="15" customHeight="1" x14ac:dyDescent="0.3">
      <c r="C960" s="58"/>
      <c r="D960" s="8">
        <v>2015</v>
      </c>
      <c r="E960" s="14">
        <f>Data!X960</f>
        <v>0</v>
      </c>
    </row>
    <row r="961" spans="2:5" ht="15" customHeight="1" x14ac:dyDescent="0.3">
      <c r="C961" s="58"/>
      <c r="D961" s="8">
        <v>2016</v>
      </c>
      <c r="E961" s="14">
        <f>Data!X961</f>
        <v>0</v>
      </c>
    </row>
    <row r="962" spans="2:5" ht="15" customHeight="1" x14ac:dyDescent="0.3">
      <c r="C962" s="58"/>
      <c r="D962" s="8">
        <v>2017</v>
      </c>
      <c r="E962" s="14">
        <f>Data!X962</f>
        <v>0</v>
      </c>
    </row>
    <row r="963" spans="2:5" ht="15" customHeight="1" x14ac:dyDescent="0.3">
      <c r="C963" s="58"/>
      <c r="D963" s="8">
        <v>2018</v>
      </c>
      <c r="E963" s="14">
        <f>Data!X963</f>
        <v>0</v>
      </c>
    </row>
    <row r="964" spans="2:5" ht="15" customHeight="1" x14ac:dyDescent="0.3">
      <c r="C964" s="58"/>
      <c r="D964" s="8">
        <v>2019</v>
      </c>
      <c r="E964" s="14">
        <f>Data!X964</f>
        <v>0</v>
      </c>
    </row>
    <row r="965" spans="2:5" ht="15" customHeight="1" x14ac:dyDescent="0.3">
      <c r="C965" s="58"/>
      <c r="D965" s="8">
        <v>2020</v>
      </c>
      <c r="E965" s="14">
        <f>Data!X965</f>
        <v>0</v>
      </c>
    </row>
    <row r="966" spans="2:5" ht="15" customHeight="1" x14ac:dyDescent="0.3">
      <c r="C966" s="58"/>
      <c r="D966" s="8">
        <v>2021</v>
      </c>
      <c r="E966" s="14">
        <f>Data!X966</f>
        <v>0</v>
      </c>
    </row>
    <row r="967" spans="2:5" ht="15" customHeight="1" x14ac:dyDescent="0.3">
      <c r="C967" s="58"/>
      <c r="D967" s="8">
        <v>2022</v>
      </c>
      <c r="E967" s="14">
        <f>Data!X967</f>
        <v>0</v>
      </c>
    </row>
    <row r="968" spans="2:5" ht="15" customHeight="1" x14ac:dyDescent="0.3">
      <c r="C968" s="58"/>
      <c r="D968" s="8">
        <v>2023</v>
      </c>
      <c r="E968" s="14">
        <f>Data!X968</f>
        <v>0</v>
      </c>
    </row>
    <row r="969" spans="2:5" ht="15" customHeight="1" x14ac:dyDescent="0.3">
      <c r="C969" s="58"/>
      <c r="D969" s="8">
        <v>2024</v>
      </c>
      <c r="E969" s="14">
        <f>Data!X969</f>
        <v>0</v>
      </c>
    </row>
    <row r="970" spans="2:5" ht="15" customHeight="1" x14ac:dyDescent="0.3">
      <c r="B970" s="8">
        <v>89</v>
      </c>
      <c r="C970" s="58" t="s">
        <v>101</v>
      </c>
      <c r="D970" s="8">
        <v>2014</v>
      </c>
      <c r="E970" s="14">
        <f>Data!X970</f>
        <v>0</v>
      </c>
    </row>
    <row r="971" spans="2:5" ht="15" customHeight="1" x14ac:dyDescent="0.3">
      <c r="C971" s="58"/>
      <c r="D971" s="8">
        <v>2015</v>
      </c>
      <c r="E971" s="14">
        <f>Data!X971</f>
        <v>8</v>
      </c>
    </row>
    <row r="972" spans="2:5" ht="15" customHeight="1" x14ac:dyDescent="0.3">
      <c r="C972" s="58"/>
      <c r="D972" s="8">
        <v>2016</v>
      </c>
      <c r="E972" s="14">
        <f>Data!X972</f>
        <v>8</v>
      </c>
    </row>
    <row r="973" spans="2:5" ht="15" customHeight="1" x14ac:dyDescent="0.3">
      <c r="C973" s="58"/>
      <c r="D973" s="8">
        <v>2017</v>
      </c>
      <c r="E973" s="14">
        <f>Data!X973</f>
        <v>5</v>
      </c>
    </row>
    <row r="974" spans="2:5" ht="15" customHeight="1" x14ac:dyDescent="0.3">
      <c r="C974" s="58"/>
      <c r="D974" s="8">
        <v>2018</v>
      </c>
      <c r="E974" s="14">
        <f>Data!X974</f>
        <v>5</v>
      </c>
    </row>
    <row r="975" spans="2:5" ht="15" customHeight="1" x14ac:dyDescent="0.3">
      <c r="C975" s="58"/>
      <c r="D975" s="8">
        <v>2019</v>
      </c>
      <c r="E975" s="14">
        <f>Data!X975</f>
        <v>8</v>
      </c>
    </row>
    <row r="976" spans="2:5" ht="15" customHeight="1" x14ac:dyDescent="0.3">
      <c r="C976" s="58"/>
      <c r="D976" s="8">
        <v>2020</v>
      </c>
      <c r="E976" s="14">
        <f>Data!X976</f>
        <v>8</v>
      </c>
    </row>
    <row r="977" spans="2:5" ht="15" customHeight="1" x14ac:dyDescent="0.3">
      <c r="C977" s="58"/>
      <c r="D977" s="8">
        <v>2021</v>
      </c>
      <c r="E977" s="14">
        <f>Data!X977</f>
        <v>8</v>
      </c>
    </row>
    <row r="978" spans="2:5" ht="15" customHeight="1" x14ac:dyDescent="0.3">
      <c r="C978" s="58"/>
      <c r="D978" s="8">
        <v>2022</v>
      </c>
      <c r="E978" s="14">
        <f>Data!X978</f>
        <v>8</v>
      </c>
    </row>
    <row r="979" spans="2:5" ht="15" customHeight="1" x14ac:dyDescent="0.3">
      <c r="C979" s="58"/>
      <c r="D979" s="8">
        <v>2023</v>
      </c>
      <c r="E979" s="14">
        <f>Data!X979</f>
        <v>8</v>
      </c>
    </row>
    <row r="980" spans="2:5" ht="15" customHeight="1" x14ac:dyDescent="0.3">
      <c r="C980" s="58"/>
      <c r="D980" s="8">
        <v>2024</v>
      </c>
      <c r="E980" s="14">
        <f>Data!X980</f>
        <v>8</v>
      </c>
    </row>
    <row r="981" spans="2:5" ht="15" customHeight="1" x14ac:dyDescent="0.3">
      <c r="B981" s="8">
        <v>90</v>
      </c>
      <c r="C981" s="58" t="s">
        <v>93</v>
      </c>
      <c r="D981" s="8">
        <v>2014</v>
      </c>
      <c r="E981" s="14">
        <f>Data!X981</f>
        <v>0</v>
      </c>
    </row>
    <row r="982" spans="2:5" ht="15" customHeight="1" x14ac:dyDescent="0.3">
      <c r="C982" s="58"/>
      <c r="D982" s="8">
        <v>2015</v>
      </c>
      <c r="E982" s="14">
        <f>Data!X982</f>
        <v>0</v>
      </c>
    </row>
    <row r="983" spans="2:5" ht="15" customHeight="1" x14ac:dyDescent="0.3">
      <c r="C983" s="58"/>
      <c r="D983" s="8">
        <v>2016</v>
      </c>
      <c r="E983" s="14">
        <f>Data!X983</f>
        <v>0</v>
      </c>
    </row>
    <row r="984" spans="2:5" ht="15" customHeight="1" x14ac:dyDescent="0.3">
      <c r="C984" s="58"/>
      <c r="D984" s="8">
        <v>2017</v>
      </c>
      <c r="E984" s="14">
        <f>Data!X984</f>
        <v>0</v>
      </c>
    </row>
    <row r="985" spans="2:5" ht="15" customHeight="1" x14ac:dyDescent="0.3">
      <c r="C985" s="58"/>
      <c r="D985" s="8">
        <v>2018</v>
      </c>
      <c r="E985" s="14">
        <f>Data!X985</f>
        <v>0</v>
      </c>
    </row>
    <row r="986" spans="2:5" ht="15" customHeight="1" x14ac:dyDescent="0.3">
      <c r="C986" s="58"/>
      <c r="D986" s="8">
        <v>2019</v>
      </c>
      <c r="E986" s="14">
        <f>Data!X986</f>
        <v>0</v>
      </c>
    </row>
    <row r="987" spans="2:5" ht="15" customHeight="1" x14ac:dyDescent="0.3">
      <c r="C987" s="58"/>
      <c r="D987" s="8">
        <v>2020</v>
      </c>
      <c r="E987" s="14">
        <f>Data!X987</f>
        <v>0</v>
      </c>
    </row>
    <row r="988" spans="2:5" ht="15" customHeight="1" x14ac:dyDescent="0.3">
      <c r="C988" s="58"/>
      <c r="D988" s="8">
        <v>2021</v>
      </c>
      <c r="E988" s="14">
        <f>Data!X988</f>
        <v>0</v>
      </c>
    </row>
    <row r="989" spans="2:5" ht="15" customHeight="1" x14ac:dyDescent="0.3">
      <c r="C989" s="58"/>
      <c r="D989" s="8">
        <v>2022</v>
      </c>
      <c r="E989" s="14">
        <f>Data!X989</f>
        <v>0</v>
      </c>
    </row>
    <row r="990" spans="2:5" ht="15" customHeight="1" x14ac:dyDescent="0.3">
      <c r="C990" s="58"/>
      <c r="D990" s="8">
        <v>2023</v>
      </c>
      <c r="E990" s="14">
        <f>Data!X990</f>
        <v>0</v>
      </c>
    </row>
    <row r="991" spans="2:5" ht="15" customHeight="1" x14ac:dyDescent="0.3">
      <c r="C991" s="58"/>
      <c r="D991" s="8">
        <v>2024</v>
      </c>
      <c r="E991" s="14">
        <f>Data!X991</f>
        <v>0</v>
      </c>
    </row>
    <row r="992" spans="2:5" ht="15" customHeight="1" x14ac:dyDescent="0.3">
      <c r="B992" s="8">
        <v>91</v>
      </c>
      <c r="C992" s="58" t="s">
        <v>88</v>
      </c>
      <c r="D992" s="8">
        <v>2014</v>
      </c>
      <c r="E992" s="14">
        <f>Data!X992</f>
        <v>0</v>
      </c>
    </row>
    <row r="993" spans="2:5" ht="15" customHeight="1" x14ac:dyDescent="0.3">
      <c r="C993" s="58"/>
      <c r="D993" s="8">
        <v>2015</v>
      </c>
      <c r="E993" s="14">
        <f>Data!X993</f>
        <v>0</v>
      </c>
    </row>
    <row r="994" spans="2:5" ht="15" customHeight="1" x14ac:dyDescent="0.3">
      <c r="C994" s="58"/>
      <c r="D994" s="8">
        <v>2016</v>
      </c>
      <c r="E994" s="14">
        <f>Data!X994</f>
        <v>0</v>
      </c>
    </row>
    <row r="995" spans="2:5" ht="15" customHeight="1" x14ac:dyDescent="0.3">
      <c r="C995" s="58"/>
      <c r="D995" s="8">
        <v>2017</v>
      </c>
      <c r="E995" s="14">
        <f>Data!X995</f>
        <v>0</v>
      </c>
    </row>
    <row r="996" spans="2:5" ht="15" customHeight="1" x14ac:dyDescent="0.3">
      <c r="C996" s="58"/>
      <c r="D996" s="8">
        <v>2018</v>
      </c>
      <c r="E996" s="14">
        <f>Data!X996</f>
        <v>0</v>
      </c>
    </row>
    <row r="997" spans="2:5" ht="15" customHeight="1" x14ac:dyDescent="0.3">
      <c r="C997" s="58"/>
      <c r="D997" s="8">
        <v>2019</v>
      </c>
      <c r="E997" s="14">
        <f>Data!X997</f>
        <v>0</v>
      </c>
    </row>
    <row r="998" spans="2:5" ht="15" customHeight="1" x14ac:dyDescent="0.3">
      <c r="C998" s="58"/>
      <c r="D998" s="8">
        <v>2020</v>
      </c>
      <c r="E998" s="14">
        <f>Data!X998</f>
        <v>0</v>
      </c>
    </row>
    <row r="999" spans="2:5" ht="15" customHeight="1" x14ac:dyDescent="0.3">
      <c r="C999" s="58"/>
      <c r="D999" s="8">
        <v>2021</v>
      </c>
      <c r="E999" s="14">
        <f>Data!X999</f>
        <v>0</v>
      </c>
    </row>
    <row r="1000" spans="2:5" ht="15" customHeight="1" x14ac:dyDescent="0.3">
      <c r="C1000" s="58"/>
      <c r="D1000" s="8">
        <v>2022</v>
      </c>
      <c r="E1000" s="14">
        <f>Data!X1000</f>
        <v>0</v>
      </c>
    </row>
    <row r="1001" spans="2:5" ht="15" customHeight="1" x14ac:dyDescent="0.3">
      <c r="C1001" s="58"/>
      <c r="D1001" s="8">
        <v>2023</v>
      </c>
      <c r="E1001" s="14">
        <f>Data!X1001</f>
        <v>0</v>
      </c>
    </row>
    <row r="1002" spans="2:5" ht="15" customHeight="1" x14ac:dyDescent="0.3">
      <c r="C1002" s="58"/>
      <c r="D1002" s="8">
        <v>2024</v>
      </c>
      <c r="E1002" s="14">
        <f>Data!X1002</f>
        <v>0</v>
      </c>
    </row>
    <row r="1003" spans="2:5" ht="15" customHeight="1" x14ac:dyDescent="0.3">
      <c r="B1003" s="8">
        <v>92</v>
      </c>
      <c r="C1003" s="58" t="s">
        <v>94</v>
      </c>
      <c r="D1003" s="8">
        <v>2014</v>
      </c>
      <c r="E1003" s="14">
        <f>Data!X1003</f>
        <v>0</v>
      </c>
    </row>
    <row r="1004" spans="2:5" ht="15" customHeight="1" x14ac:dyDescent="0.3">
      <c r="C1004" s="58"/>
      <c r="D1004" s="8">
        <v>2015</v>
      </c>
      <c r="E1004" s="14">
        <f>Data!X1004</f>
        <v>0</v>
      </c>
    </row>
    <row r="1005" spans="2:5" ht="15" customHeight="1" x14ac:dyDescent="0.3">
      <c r="C1005" s="58"/>
      <c r="D1005" s="8">
        <v>2016</v>
      </c>
      <c r="E1005" s="14">
        <f>Data!X1005</f>
        <v>0</v>
      </c>
    </row>
    <row r="1006" spans="2:5" ht="15" customHeight="1" x14ac:dyDescent="0.3">
      <c r="C1006" s="58"/>
      <c r="D1006" s="8">
        <v>2017</v>
      </c>
      <c r="E1006" s="14">
        <f>Data!X1006</f>
        <v>0</v>
      </c>
    </row>
    <row r="1007" spans="2:5" ht="15" customHeight="1" x14ac:dyDescent="0.3">
      <c r="C1007" s="58"/>
      <c r="D1007" s="8">
        <v>2018</v>
      </c>
      <c r="E1007" s="14">
        <f>Data!X1007</f>
        <v>0</v>
      </c>
    </row>
    <row r="1008" spans="2:5" ht="15" customHeight="1" x14ac:dyDescent="0.3">
      <c r="C1008" s="58"/>
      <c r="D1008" s="8">
        <v>2019</v>
      </c>
      <c r="E1008" s="14">
        <f>Data!X1008</f>
        <v>14</v>
      </c>
    </row>
    <row r="1009" spans="2:5" ht="15" customHeight="1" x14ac:dyDescent="0.3">
      <c r="C1009" s="58"/>
      <c r="D1009" s="8">
        <v>2020</v>
      </c>
      <c r="E1009" s="14">
        <f>Data!X1009</f>
        <v>14</v>
      </c>
    </row>
    <row r="1010" spans="2:5" ht="15" customHeight="1" x14ac:dyDescent="0.3">
      <c r="C1010" s="58"/>
      <c r="D1010" s="8">
        <v>2021</v>
      </c>
      <c r="E1010" s="14">
        <f>Data!X1010</f>
        <v>14</v>
      </c>
    </row>
    <row r="1011" spans="2:5" ht="15" customHeight="1" x14ac:dyDescent="0.3">
      <c r="C1011" s="58"/>
      <c r="D1011" s="8">
        <v>2022</v>
      </c>
      <c r="E1011" s="14">
        <f>Data!X1011</f>
        <v>14</v>
      </c>
    </row>
    <row r="1012" spans="2:5" ht="15" customHeight="1" x14ac:dyDescent="0.3">
      <c r="C1012" s="58"/>
      <c r="D1012" s="8">
        <v>2023</v>
      </c>
      <c r="E1012" s="14">
        <f>Data!X1012</f>
        <v>14</v>
      </c>
    </row>
    <row r="1013" spans="2:5" ht="15" customHeight="1" x14ac:dyDescent="0.3">
      <c r="C1013" s="58"/>
      <c r="D1013" s="8">
        <v>2024</v>
      </c>
      <c r="E1013" s="14">
        <f>Data!X1013</f>
        <v>14</v>
      </c>
    </row>
    <row r="1014" spans="2:5" ht="15" customHeight="1" x14ac:dyDescent="0.3">
      <c r="B1014" s="8">
        <v>93</v>
      </c>
      <c r="C1014" s="58" t="s">
        <v>102</v>
      </c>
      <c r="D1014" s="8">
        <v>2014</v>
      </c>
      <c r="E1014" s="14">
        <f>Data!X1014</f>
        <v>0</v>
      </c>
    </row>
    <row r="1015" spans="2:5" ht="15" customHeight="1" x14ac:dyDescent="0.3">
      <c r="C1015" s="58"/>
      <c r="D1015" s="8">
        <v>2015</v>
      </c>
      <c r="E1015" s="14">
        <f>Data!X1015</f>
        <v>7</v>
      </c>
    </row>
    <row r="1016" spans="2:5" ht="15" customHeight="1" x14ac:dyDescent="0.3">
      <c r="C1016" s="58"/>
      <c r="D1016" s="8">
        <v>2016</v>
      </c>
      <c r="E1016" s="14">
        <f>Data!X1016</f>
        <v>7</v>
      </c>
    </row>
    <row r="1017" spans="2:5" ht="15" customHeight="1" x14ac:dyDescent="0.3">
      <c r="C1017" s="58"/>
      <c r="D1017" s="8">
        <v>2017</v>
      </c>
      <c r="E1017" s="14">
        <f>Data!X1017</f>
        <v>0</v>
      </c>
    </row>
    <row r="1018" spans="2:5" ht="15" customHeight="1" x14ac:dyDescent="0.3">
      <c r="C1018" s="58"/>
      <c r="D1018" s="8">
        <v>2018</v>
      </c>
      <c r="E1018" s="14">
        <f>Data!X1018</f>
        <v>6</v>
      </c>
    </row>
    <row r="1019" spans="2:5" ht="15" customHeight="1" x14ac:dyDescent="0.3">
      <c r="C1019" s="58"/>
      <c r="D1019" s="8">
        <v>2019</v>
      </c>
      <c r="E1019" s="14">
        <f>Data!X1019</f>
        <v>0</v>
      </c>
    </row>
    <row r="1020" spans="2:5" ht="15" customHeight="1" x14ac:dyDescent="0.3">
      <c r="C1020" s="58"/>
      <c r="D1020" s="8">
        <v>2020</v>
      </c>
      <c r="E1020" s="14">
        <f>Data!X1020</f>
        <v>0</v>
      </c>
    </row>
    <row r="1021" spans="2:5" ht="15" customHeight="1" x14ac:dyDescent="0.3">
      <c r="C1021" s="58"/>
      <c r="D1021" s="8">
        <v>2021</v>
      </c>
      <c r="E1021" s="14">
        <f>Data!X1021</f>
        <v>0</v>
      </c>
    </row>
    <row r="1022" spans="2:5" ht="15" customHeight="1" x14ac:dyDescent="0.3">
      <c r="C1022" s="58"/>
      <c r="D1022" s="8">
        <v>2022</v>
      </c>
      <c r="E1022" s="14">
        <f>Data!X1022</f>
        <v>0</v>
      </c>
    </row>
    <row r="1023" spans="2:5" ht="15" customHeight="1" x14ac:dyDescent="0.3">
      <c r="C1023" s="58"/>
      <c r="D1023" s="8">
        <v>2023</v>
      </c>
      <c r="E1023" s="14">
        <f>Data!X1023</f>
        <v>0</v>
      </c>
    </row>
    <row r="1024" spans="2:5" ht="15" customHeight="1" x14ac:dyDescent="0.3">
      <c r="C1024" s="58"/>
      <c r="D1024" s="8">
        <v>2024</v>
      </c>
      <c r="E1024" s="14">
        <f>Data!X1024</f>
        <v>0</v>
      </c>
    </row>
    <row r="1025" spans="2:5" ht="15" customHeight="1" x14ac:dyDescent="0.3">
      <c r="B1025" s="8">
        <v>94</v>
      </c>
      <c r="C1025" s="58" t="s">
        <v>114</v>
      </c>
      <c r="D1025" s="8">
        <v>2014</v>
      </c>
      <c r="E1025" s="14">
        <f>Data!X1025</f>
        <v>0</v>
      </c>
    </row>
    <row r="1026" spans="2:5" ht="15" customHeight="1" x14ac:dyDescent="0.3">
      <c r="C1026" s="58"/>
      <c r="D1026" s="8">
        <v>2015</v>
      </c>
      <c r="E1026" s="14">
        <f>Data!X1026</f>
        <v>0</v>
      </c>
    </row>
    <row r="1027" spans="2:5" ht="15" customHeight="1" x14ac:dyDescent="0.3">
      <c r="C1027" s="58"/>
      <c r="D1027" s="8">
        <v>2016</v>
      </c>
      <c r="E1027" s="14">
        <f>Data!X1027</f>
        <v>0</v>
      </c>
    </row>
    <row r="1028" spans="2:5" ht="15" customHeight="1" x14ac:dyDescent="0.3">
      <c r="C1028" s="58"/>
      <c r="D1028" s="8">
        <v>2017</v>
      </c>
      <c r="E1028" s="14">
        <f>Data!X1028</f>
        <v>0</v>
      </c>
    </row>
    <row r="1029" spans="2:5" ht="15" customHeight="1" x14ac:dyDescent="0.3">
      <c r="C1029" s="58"/>
      <c r="D1029" s="8">
        <v>2018</v>
      </c>
      <c r="E1029" s="14">
        <f>Data!X1029</f>
        <v>0</v>
      </c>
    </row>
    <row r="1030" spans="2:5" ht="15" customHeight="1" x14ac:dyDescent="0.3">
      <c r="C1030" s="58"/>
      <c r="D1030" s="8">
        <v>2019</v>
      </c>
      <c r="E1030" s="14">
        <f>Data!X1030</f>
        <v>0</v>
      </c>
    </row>
    <row r="1031" spans="2:5" ht="15" customHeight="1" x14ac:dyDescent="0.3">
      <c r="C1031" s="58"/>
      <c r="D1031" s="8">
        <v>2020</v>
      </c>
      <c r="E1031" s="14">
        <f>Data!X1031</f>
        <v>0</v>
      </c>
    </row>
    <row r="1032" spans="2:5" ht="15" customHeight="1" x14ac:dyDescent="0.3">
      <c r="C1032" s="58"/>
      <c r="D1032" s="8">
        <v>2021</v>
      </c>
      <c r="E1032" s="14">
        <f>Data!X1032</f>
        <v>0</v>
      </c>
    </row>
    <row r="1033" spans="2:5" ht="15" customHeight="1" x14ac:dyDescent="0.3">
      <c r="C1033" s="58"/>
      <c r="D1033" s="8">
        <v>2022</v>
      </c>
      <c r="E1033" s="14">
        <f>Data!X1033</f>
        <v>0</v>
      </c>
    </row>
    <row r="1034" spans="2:5" ht="15" customHeight="1" x14ac:dyDescent="0.3">
      <c r="C1034" s="58"/>
      <c r="D1034" s="8">
        <v>2023</v>
      </c>
      <c r="E1034" s="14">
        <f>Data!X1034</f>
        <v>8</v>
      </c>
    </row>
    <row r="1035" spans="2:5" ht="15" customHeight="1" x14ac:dyDescent="0.3">
      <c r="C1035" s="58"/>
      <c r="D1035" s="8">
        <v>2024</v>
      </c>
      <c r="E1035" s="14">
        <f>Data!X1035</f>
        <v>8</v>
      </c>
    </row>
    <row r="1036" spans="2:5" ht="15" customHeight="1" x14ac:dyDescent="0.3">
      <c r="B1036" s="8">
        <v>95</v>
      </c>
      <c r="C1036" s="58" t="s">
        <v>115</v>
      </c>
      <c r="D1036" s="8">
        <v>2014</v>
      </c>
      <c r="E1036" s="14">
        <f>Data!X1036</f>
        <v>0</v>
      </c>
    </row>
    <row r="1037" spans="2:5" ht="15" customHeight="1" x14ac:dyDescent="0.3">
      <c r="C1037" s="58"/>
      <c r="D1037" s="8">
        <v>2015</v>
      </c>
      <c r="E1037" s="14">
        <f>Data!X1037</f>
        <v>0</v>
      </c>
    </row>
    <row r="1038" spans="2:5" ht="15" customHeight="1" x14ac:dyDescent="0.3">
      <c r="C1038" s="58"/>
      <c r="D1038" s="8">
        <v>2016</v>
      </c>
      <c r="E1038" s="14">
        <f>Data!X1038</f>
        <v>0</v>
      </c>
    </row>
    <row r="1039" spans="2:5" ht="15" customHeight="1" x14ac:dyDescent="0.3">
      <c r="C1039" s="58"/>
      <c r="D1039" s="8">
        <v>2017</v>
      </c>
      <c r="E1039" s="14">
        <f>Data!X1039</f>
        <v>0</v>
      </c>
    </row>
    <row r="1040" spans="2:5" ht="15" customHeight="1" x14ac:dyDescent="0.3">
      <c r="C1040" s="58"/>
      <c r="D1040" s="8">
        <v>2018</v>
      </c>
      <c r="E1040" s="14">
        <f>Data!X1040</f>
        <v>0</v>
      </c>
    </row>
    <row r="1041" spans="2:5" ht="15" customHeight="1" x14ac:dyDescent="0.3">
      <c r="C1041" s="58"/>
      <c r="D1041" s="8">
        <v>2019</v>
      </c>
      <c r="E1041" s="14">
        <f>Data!X1041</f>
        <v>0</v>
      </c>
    </row>
    <row r="1042" spans="2:5" ht="15" customHeight="1" x14ac:dyDescent="0.3">
      <c r="C1042" s="58"/>
      <c r="D1042" s="8">
        <v>2020</v>
      </c>
      <c r="E1042" s="14">
        <f>Data!X1042</f>
        <v>0</v>
      </c>
    </row>
    <row r="1043" spans="2:5" ht="15" customHeight="1" x14ac:dyDescent="0.3">
      <c r="C1043" s="58"/>
      <c r="D1043" s="8">
        <v>2021</v>
      </c>
      <c r="E1043" s="14">
        <f>Data!X1043</f>
        <v>0</v>
      </c>
    </row>
    <row r="1044" spans="2:5" ht="15" customHeight="1" x14ac:dyDescent="0.3">
      <c r="C1044" s="58"/>
      <c r="D1044" s="8">
        <v>2022</v>
      </c>
      <c r="E1044" s="14">
        <f>Data!X1044</f>
        <v>0</v>
      </c>
    </row>
    <row r="1045" spans="2:5" ht="15" customHeight="1" x14ac:dyDescent="0.3">
      <c r="C1045" s="58"/>
      <c r="D1045" s="8">
        <v>2023</v>
      </c>
      <c r="E1045" s="14">
        <f>Data!X1045</f>
        <v>0</v>
      </c>
    </row>
    <row r="1046" spans="2:5" ht="15" customHeight="1" x14ac:dyDescent="0.3">
      <c r="C1046" s="58"/>
      <c r="D1046" s="8">
        <v>2024</v>
      </c>
      <c r="E1046" s="14">
        <f>Data!X1046</f>
        <v>0</v>
      </c>
    </row>
    <row r="1047" spans="2:5" ht="15" customHeight="1" x14ac:dyDescent="0.3">
      <c r="B1047" s="8">
        <v>96</v>
      </c>
      <c r="C1047" s="58" t="s">
        <v>116</v>
      </c>
      <c r="D1047" s="8">
        <v>2014</v>
      </c>
      <c r="E1047" s="14">
        <f>Data!X1047</f>
        <v>0</v>
      </c>
    </row>
    <row r="1048" spans="2:5" ht="15" customHeight="1" x14ac:dyDescent="0.3">
      <c r="C1048" s="58"/>
      <c r="D1048" s="8">
        <v>2015</v>
      </c>
      <c r="E1048" s="14">
        <f>Data!X1048</f>
        <v>0</v>
      </c>
    </row>
    <row r="1049" spans="2:5" ht="15" customHeight="1" x14ac:dyDescent="0.3">
      <c r="C1049" s="58"/>
      <c r="D1049" s="8">
        <v>2016</v>
      </c>
      <c r="E1049" s="14">
        <f>Data!X1049</f>
        <v>9</v>
      </c>
    </row>
    <row r="1050" spans="2:5" ht="15" customHeight="1" x14ac:dyDescent="0.3">
      <c r="C1050" s="58"/>
      <c r="D1050" s="8">
        <v>2017</v>
      </c>
      <c r="E1050" s="14">
        <f>Data!X1050</f>
        <v>9</v>
      </c>
    </row>
    <row r="1051" spans="2:5" ht="15" customHeight="1" x14ac:dyDescent="0.3">
      <c r="C1051" s="58"/>
      <c r="D1051" s="8">
        <v>2018</v>
      </c>
      <c r="E1051" s="14">
        <f>Data!X1051</f>
        <v>7</v>
      </c>
    </row>
    <row r="1052" spans="2:5" ht="15" customHeight="1" x14ac:dyDescent="0.3">
      <c r="C1052" s="58"/>
      <c r="D1052" s="8">
        <v>2019</v>
      </c>
      <c r="E1052" s="14">
        <f>Data!X1052</f>
        <v>7</v>
      </c>
    </row>
    <row r="1053" spans="2:5" ht="15" customHeight="1" x14ac:dyDescent="0.3">
      <c r="C1053" s="58"/>
      <c r="D1053" s="8">
        <v>2020</v>
      </c>
      <c r="E1053" s="14">
        <f>Data!X1053</f>
        <v>7</v>
      </c>
    </row>
    <row r="1054" spans="2:5" ht="15" customHeight="1" x14ac:dyDescent="0.3">
      <c r="C1054" s="58"/>
      <c r="D1054" s="8">
        <v>2021</v>
      </c>
      <c r="E1054" s="14">
        <f>Data!X1054</f>
        <v>7</v>
      </c>
    </row>
    <row r="1055" spans="2:5" ht="15" customHeight="1" x14ac:dyDescent="0.3">
      <c r="C1055" s="58"/>
      <c r="D1055" s="8">
        <v>2022</v>
      </c>
      <c r="E1055" s="14">
        <f>Data!X1055</f>
        <v>7</v>
      </c>
    </row>
    <row r="1056" spans="2:5" ht="15" customHeight="1" x14ac:dyDescent="0.3">
      <c r="C1056" s="58"/>
      <c r="D1056" s="8">
        <v>2023</v>
      </c>
      <c r="E1056" s="14">
        <f>Data!X1056</f>
        <v>9</v>
      </c>
    </row>
    <row r="1057" spans="2:5" ht="15" customHeight="1" x14ac:dyDescent="0.3">
      <c r="C1057" s="58"/>
      <c r="D1057" s="8">
        <v>2024</v>
      </c>
      <c r="E1057" s="14">
        <f>Data!X1057</f>
        <v>9</v>
      </c>
    </row>
    <row r="1058" spans="2:5" ht="15" customHeight="1" x14ac:dyDescent="0.3">
      <c r="B1058" s="8">
        <v>97</v>
      </c>
      <c r="C1058" s="58" t="s">
        <v>117</v>
      </c>
      <c r="D1058" s="8">
        <v>2014</v>
      </c>
      <c r="E1058" s="14">
        <f>Data!X1058</f>
        <v>0</v>
      </c>
    </row>
    <row r="1059" spans="2:5" ht="15" customHeight="1" x14ac:dyDescent="0.3">
      <c r="C1059" s="58"/>
      <c r="D1059" s="8">
        <v>2015</v>
      </c>
      <c r="E1059" s="14">
        <f>Data!X1059</f>
        <v>0</v>
      </c>
    </row>
    <row r="1060" spans="2:5" ht="15" customHeight="1" x14ac:dyDescent="0.3">
      <c r="C1060" s="58"/>
      <c r="D1060" s="8">
        <v>2016</v>
      </c>
      <c r="E1060" s="14">
        <f>Data!X1060</f>
        <v>0</v>
      </c>
    </row>
    <row r="1061" spans="2:5" ht="15" customHeight="1" x14ac:dyDescent="0.3">
      <c r="C1061" s="58"/>
      <c r="D1061" s="8">
        <v>2017</v>
      </c>
      <c r="E1061" s="14">
        <f>Data!X1061</f>
        <v>0</v>
      </c>
    </row>
    <row r="1062" spans="2:5" ht="15" customHeight="1" x14ac:dyDescent="0.3">
      <c r="C1062" s="58"/>
      <c r="D1062" s="8">
        <v>2018</v>
      </c>
      <c r="E1062" s="14">
        <f>Data!X1062</f>
        <v>0</v>
      </c>
    </row>
    <row r="1063" spans="2:5" ht="15" customHeight="1" x14ac:dyDescent="0.3">
      <c r="C1063" s="58"/>
      <c r="D1063" s="8">
        <v>2019</v>
      </c>
      <c r="E1063" s="14">
        <f>Data!X1063</f>
        <v>0</v>
      </c>
    </row>
    <row r="1064" spans="2:5" ht="15" customHeight="1" x14ac:dyDescent="0.3">
      <c r="C1064" s="58"/>
      <c r="D1064" s="8">
        <v>2020</v>
      </c>
      <c r="E1064" s="14">
        <f>Data!X1064</f>
        <v>0</v>
      </c>
    </row>
    <row r="1065" spans="2:5" ht="15" customHeight="1" x14ac:dyDescent="0.3">
      <c r="C1065" s="58"/>
      <c r="D1065" s="8">
        <v>2021</v>
      </c>
      <c r="E1065" s="14">
        <f>Data!X1065</f>
        <v>0</v>
      </c>
    </row>
    <row r="1066" spans="2:5" ht="15" customHeight="1" x14ac:dyDescent="0.3">
      <c r="C1066" s="58"/>
      <c r="D1066" s="8">
        <v>2022</v>
      </c>
      <c r="E1066" s="14">
        <f>Data!X1066</f>
        <v>0</v>
      </c>
    </row>
    <row r="1067" spans="2:5" ht="15" customHeight="1" x14ac:dyDescent="0.3">
      <c r="C1067" s="58"/>
      <c r="D1067" s="8">
        <v>2023</v>
      </c>
      <c r="E1067" s="14">
        <f>Data!X1067</f>
        <v>0</v>
      </c>
    </row>
    <row r="1068" spans="2:5" ht="15" customHeight="1" x14ac:dyDescent="0.3">
      <c r="C1068" s="58"/>
      <c r="D1068" s="8">
        <v>2024</v>
      </c>
      <c r="E1068" s="14">
        <f>Data!X1068</f>
        <v>0</v>
      </c>
    </row>
    <row r="1069" spans="2:5" ht="15" customHeight="1" x14ac:dyDescent="0.3">
      <c r="B1069" s="8">
        <v>98</v>
      </c>
      <c r="C1069" s="58" t="s">
        <v>103</v>
      </c>
      <c r="D1069" s="8">
        <v>2014</v>
      </c>
      <c r="E1069" s="14">
        <f>Data!X1069</f>
        <v>0</v>
      </c>
    </row>
    <row r="1070" spans="2:5" ht="15" customHeight="1" x14ac:dyDescent="0.3">
      <c r="C1070" s="58"/>
      <c r="D1070" s="8">
        <v>2015</v>
      </c>
      <c r="E1070" s="14">
        <f>Data!X1070</f>
        <v>0</v>
      </c>
    </row>
    <row r="1071" spans="2:5" ht="15" customHeight="1" x14ac:dyDescent="0.3">
      <c r="C1071" s="58"/>
      <c r="D1071" s="8">
        <v>2016</v>
      </c>
      <c r="E1071" s="14">
        <f>Data!X1071</f>
        <v>0</v>
      </c>
    </row>
    <row r="1072" spans="2:5" ht="15" customHeight="1" x14ac:dyDescent="0.3">
      <c r="C1072" s="58"/>
      <c r="D1072" s="8">
        <v>2017</v>
      </c>
      <c r="E1072" s="14">
        <f>Data!X1072</f>
        <v>0</v>
      </c>
    </row>
    <row r="1073" spans="2:5" ht="15" customHeight="1" x14ac:dyDescent="0.3">
      <c r="C1073" s="58"/>
      <c r="D1073" s="8">
        <v>2018</v>
      </c>
      <c r="E1073" s="14">
        <f>Data!X1073</f>
        <v>0</v>
      </c>
    </row>
    <row r="1074" spans="2:5" ht="15" customHeight="1" x14ac:dyDescent="0.3">
      <c r="C1074" s="58"/>
      <c r="D1074" s="8">
        <v>2019</v>
      </c>
      <c r="E1074" s="14">
        <f>Data!X1074</f>
        <v>0</v>
      </c>
    </row>
    <row r="1075" spans="2:5" ht="15" customHeight="1" x14ac:dyDescent="0.3">
      <c r="C1075" s="58"/>
      <c r="D1075" s="8">
        <v>2020</v>
      </c>
      <c r="E1075" s="14">
        <f>Data!X1075</f>
        <v>0</v>
      </c>
    </row>
    <row r="1076" spans="2:5" ht="15" customHeight="1" x14ac:dyDescent="0.3">
      <c r="C1076" s="58"/>
      <c r="D1076" s="8">
        <v>2021</v>
      </c>
      <c r="E1076" s="14">
        <f>Data!X1076</f>
        <v>0</v>
      </c>
    </row>
    <row r="1077" spans="2:5" ht="15" customHeight="1" x14ac:dyDescent="0.3">
      <c r="C1077" s="58"/>
      <c r="D1077" s="8">
        <v>2022</v>
      </c>
      <c r="E1077" s="14">
        <f>Data!X1077</f>
        <v>0</v>
      </c>
    </row>
    <row r="1078" spans="2:5" ht="15" customHeight="1" x14ac:dyDescent="0.3">
      <c r="C1078" s="58"/>
      <c r="D1078" s="8">
        <v>2023</v>
      </c>
      <c r="E1078" s="14">
        <f>Data!X1078</f>
        <v>0</v>
      </c>
    </row>
    <row r="1079" spans="2:5" ht="15" customHeight="1" x14ac:dyDescent="0.3">
      <c r="C1079" s="58"/>
      <c r="D1079" s="8">
        <v>2024</v>
      </c>
      <c r="E1079" s="14">
        <f>Data!X1079</f>
        <v>0</v>
      </c>
    </row>
    <row r="1080" spans="2:5" ht="15" customHeight="1" x14ac:dyDescent="0.3">
      <c r="B1080" s="8">
        <v>99</v>
      </c>
      <c r="C1080" s="58" t="s">
        <v>118</v>
      </c>
      <c r="D1080" s="8">
        <v>2014</v>
      </c>
      <c r="E1080" s="14">
        <f>Data!X1080</f>
        <v>0</v>
      </c>
    </row>
    <row r="1081" spans="2:5" ht="15" customHeight="1" x14ac:dyDescent="0.3">
      <c r="C1081" s="58"/>
      <c r="D1081" s="8">
        <v>2015</v>
      </c>
      <c r="E1081" s="14">
        <f>Data!X1081</f>
        <v>0</v>
      </c>
    </row>
    <row r="1082" spans="2:5" ht="15" customHeight="1" x14ac:dyDescent="0.3">
      <c r="C1082" s="58"/>
      <c r="D1082" s="8">
        <v>2016</v>
      </c>
      <c r="E1082" s="14">
        <f>Data!X1082</f>
        <v>0</v>
      </c>
    </row>
    <row r="1083" spans="2:5" ht="15" customHeight="1" x14ac:dyDescent="0.3">
      <c r="C1083" s="58"/>
      <c r="D1083" s="8">
        <v>2017</v>
      </c>
      <c r="E1083" s="14">
        <f>Data!X1083</f>
        <v>0</v>
      </c>
    </row>
    <row r="1084" spans="2:5" ht="15" customHeight="1" x14ac:dyDescent="0.3">
      <c r="C1084" s="58"/>
      <c r="D1084" s="8">
        <v>2018</v>
      </c>
      <c r="E1084" s="14">
        <f>Data!X1084</f>
        <v>0</v>
      </c>
    </row>
    <row r="1085" spans="2:5" ht="15" customHeight="1" x14ac:dyDescent="0.3">
      <c r="C1085" s="58"/>
      <c r="D1085" s="8">
        <v>2019</v>
      </c>
      <c r="E1085" s="14">
        <f>Data!X1085</f>
        <v>0</v>
      </c>
    </row>
    <row r="1086" spans="2:5" ht="15" customHeight="1" x14ac:dyDescent="0.3">
      <c r="C1086" s="58"/>
      <c r="D1086" s="8">
        <v>2020</v>
      </c>
      <c r="E1086" s="14">
        <f>Data!X1086</f>
        <v>0</v>
      </c>
    </row>
    <row r="1087" spans="2:5" ht="15" customHeight="1" x14ac:dyDescent="0.3">
      <c r="C1087" s="58"/>
      <c r="D1087" s="8">
        <v>2021</v>
      </c>
      <c r="E1087" s="14">
        <f>Data!X1087</f>
        <v>0</v>
      </c>
    </row>
    <row r="1088" spans="2:5" ht="15" customHeight="1" x14ac:dyDescent="0.3">
      <c r="C1088" s="58"/>
      <c r="D1088" s="8">
        <v>2022</v>
      </c>
      <c r="E1088" s="14">
        <f>Data!X1088</f>
        <v>0</v>
      </c>
    </row>
    <row r="1089" spans="2:5" ht="15" customHeight="1" x14ac:dyDescent="0.3">
      <c r="C1089" s="58"/>
      <c r="D1089" s="8">
        <v>2023</v>
      </c>
      <c r="E1089" s="14">
        <f>Data!X1089</f>
        <v>0</v>
      </c>
    </row>
    <row r="1090" spans="2:5" ht="15" customHeight="1" x14ac:dyDescent="0.3">
      <c r="C1090" s="58"/>
      <c r="D1090" s="8">
        <v>2024</v>
      </c>
      <c r="E1090" s="14">
        <f>Data!X1090</f>
        <v>0</v>
      </c>
    </row>
    <row r="1091" spans="2:5" ht="15" customHeight="1" x14ac:dyDescent="0.3">
      <c r="B1091" s="8">
        <v>100</v>
      </c>
      <c r="C1091" s="58" t="s">
        <v>104</v>
      </c>
      <c r="D1091" s="8">
        <v>2014</v>
      </c>
      <c r="E1091" s="14">
        <f>Data!X1091</f>
        <v>0</v>
      </c>
    </row>
    <row r="1092" spans="2:5" ht="15" customHeight="1" x14ac:dyDescent="0.3">
      <c r="C1092" s="58"/>
      <c r="D1092" s="8">
        <v>2015</v>
      </c>
      <c r="E1092" s="14">
        <f>Data!X1092</f>
        <v>0</v>
      </c>
    </row>
    <row r="1093" spans="2:5" ht="15" customHeight="1" x14ac:dyDescent="0.3">
      <c r="C1093" s="58"/>
      <c r="D1093" s="8">
        <v>2016</v>
      </c>
      <c r="E1093" s="14">
        <f>Data!X1093</f>
        <v>0</v>
      </c>
    </row>
    <row r="1094" spans="2:5" ht="15" customHeight="1" x14ac:dyDescent="0.3">
      <c r="C1094" s="58"/>
      <c r="D1094" s="8">
        <v>2017</v>
      </c>
      <c r="E1094" s="14">
        <f>Data!X1094</f>
        <v>0</v>
      </c>
    </row>
    <row r="1095" spans="2:5" ht="15" customHeight="1" x14ac:dyDescent="0.3">
      <c r="C1095" s="58"/>
      <c r="D1095" s="8">
        <v>2018</v>
      </c>
      <c r="E1095" s="14">
        <f>Data!X1095</f>
        <v>0</v>
      </c>
    </row>
    <row r="1096" spans="2:5" ht="15" customHeight="1" x14ac:dyDescent="0.3">
      <c r="C1096" s="58"/>
      <c r="D1096" s="8">
        <v>2019</v>
      </c>
      <c r="E1096" s="14">
        <f>Data!X1096</f>
        <v>0</v>
      </c>
    </row>
    <row r="1097" spans="2:5" ht="15" customHeight="1" x14ac:dyDescent="0.3">
      <c r="C1097" s="58"/>
      <c r="D1097" s="8">
        <v>2020</v>
      </c>
      <c r="E1097" s="14">
        <f>Data!X1097</f>
        <v>0</v>
      </c>
    </row>
    <row r="1098" spans="2:5" ht="15" customHeight="1" x14ac:dyDescent="0.3">
      <c r="C1098" s="58"/>
      <c r="D1098" s="8">
        <v>2021</v>
      </c>
      <c r="E1098" s="14">
        <f>Data!X1098</f>
        <v>0</v>
      </c>
    </row>
    <row r="1099" spans="2:5" ht="15" customHeight="1" x14ac:dyDescent="0.3">
      <c r="C1099" s="58"/>
      <c r="D1099" s="8">
        <v>2022</v>
      </c>
      <c r="E1099" s="14">
        <f>Data!X1099</f>
        <v>0</v>
      </c>
    </row>
    <row r="1100" spans="2:5" ht="15" customHeight="1" x14ac:dyDescent="0.3">
      <c r="C1100" s="58"/>
      <c r="D1100" s="8">
        <v>2023</v>
      </c>
      <c r="E1100" s="14">
        <f>Data!X1100</f>
        <v>0</v>
      </c>
    </row>
    <row r="1101" spans="2:5" ht="15" customHeight="1" x14ac:dyDescent="0.3">
      <c r="C1101" s="58"/>
      <c r="D1101" s="8">
        <v>2024</v>
      </c>
      <c r="E1101" s="14">
        <f>Data!X1101</f>
        <v>0</v>
      </c>
    </row>
    <row r="1102" spans="2:5" ht="15" customHeight="1" x14ac:dyDescent="0.3">
      <c r="B1102" s="8">
        <v>101</v>
      </c>
      <c r="C1102" s="58" t="s">
        <v>120</v>
      </c>
      <c r="D1102" s="8">
        <v>2014</v>
      </c>
      <c r="E1102" s="14">
        <f>Data!X1102</f>
        <v>0</v>
      </c>
    </row>
    <row r="1103" spans="2:5" ht="15" customHeight="1" x14ac:dyDescent="0.3">
      <c r="C1103" s="58"/>
      <c r="D1103" s="8">
        <v>2015</v>
      </c>
      <c r="E1103" s="14">
        <f>Data!X1103</f>
        <v>0</v>
      </c>
    </row>
    <row r="1104" spans="2:5" ht="15" customHeight="1" x14ac:dyDescent="0.3">
      <c r="C1104" s="58"/>
      <c r="D1104" s="8">
        <v>2016</v>
      </c>
      <c r="E1104" s="14">
        <f>Data!X1104</f>
        <v>0</v>
      </c>
    </row>
    <row r="1105" spans="2:5" ht="15" customHeight="1" x14ac:dyDescent="0.3">
      <c r="C1105" s="58"/>
      <c r="D1105" s="8">
        <v>2017</v>
      </c>
      <c r="E1105" s="14">
        <f>Data!X1105</f>
        <v>0</v>
      </c>
    </row>
    <row r="1106" spans="2:5" ht="15" customHeight="1" x14ac:dyDescent="0.3">
      <c r="C1106" s="58"/>
      <c r="D1106" s="8">
        <v>2018</v>
      </c>
      <c r="E1106" s="14">
        <f>Data!X1106</f>
        <v>0</v>
      </c>
    </row>
    <row r="1107" spans="2:5" ht="15" customHeight="1" x14ac:dyDescent="0.3">
      <c r="C1107" s="58"/>
      <c r="D1107" s="8">
        <v>2019</v>
      </c>
      <c r="E1107" s="14">
        <f>Data!X1107</f>
        <v>0</v>
      </c>
    </row>
    <row r="1108" spans="2:5" ht="15" customHeight="1" x14ac:dyDescent="0.3">
      <c r="C1108" s="58"/>
      <c r="D1108" s="8">
        <v>2020</v>
      </c>
      <c r="E1108" s="14">
        <f>Data!X1108</f>
        <v>0</v>
      </c>
    </row>
    <row r="1109" spans="2:5" ht="15" customHeight="1" x14ac:dyDescent="0.3">
      <c r="C1109" s="58"/>
      <c r="D1109" s="8">
        <v>2021</v>
      </c>
      <c r="E1109" s="14">
        <f>Data!X1109</f>
        <v>0</v>
      </c>
    </row>
    <row r="1110" spans="2:5" ht="15" customHeight="1" x14ac:dyDescent="0.3">
      <c r="C1110" s="58"/>
      <c r="D1110" s="8">
        <v>2022</v>
      </c>
      <c r="E1110" s="14">
        <f>Data!X1110</f>
        <v>0</v>
      </c>
    </row>
    <row r="1111" spans="2:5" ht="15" customHeight="1" x14ac:dyDescent="0.3">
      <c r="C1111" s="58"/>
      <c r="D1111" s="8">
        <v>2023</v>
      </c>
      <c r="E1111" s="14">
        <f>Data!X1111</f>
        <v>0</v>
      </c>
    </row>
    <row r="1112" spans="2:5" ht="15" customHeight="1" x14ac:dyDescent="0.3">
      <c r="C1112" s="58"/>
      <c r="D1112" s="8">
        <v>2024</v>
      </c>
      <c r="E1112" s="14">
        <f>Data!X1112</f>
        <v>0</v>
      </c>
    </row>
    <row r="1113" spans="2:5" ht="15" customHeight="1" x14ac:dyDescent="0.3">
      <c r="B1113" s="8">
        <v>102</v>
      </c>
      <c r="C1113" s="59" t="s">
        <v>134</v>
      </c>
      <c r="D1113" s="8">
        <v>2014</v>
      </c>
      <c r="E1113" s="14">
        <f>Data!X1113</f>
        <v>0</v>
      </c>
    </row>
    <row r="1114" spans="2:5" ht="15" customHeight="1" x14ac:dyDescent="0.3">
      <c r="C1114" s="59"/>
      <c r="D1114" s="8">
        <v>2015</v>
      </c>
      <c r="E1114" s="14">
        <f>Data!X1114</f>
        <v>0</v>
      </c>
    </row>
    <row r="1115" spans="2:5" ht="15" customHeight="1" x14ac:dyDescent="0.3">
      <c r="C1115" s="59"/>
      <c r="D1115" s="8">
        <v>2016</v>
      </c>
      <c r="E1115" s="14">
        <f>Data!X1115</f>
        <v>0</v>
      </c>
    </row>
    <row r="1116" spans="2:5" ht="15" customHeight="1" x14ac:dyDescent="0.3">
      <c r="C1116" s="59"/>
      <c r="D1116" s="8">
        <v>2017</v>
      </c>
      <c r="E1116" s="14">
        <f>Data!X1116</f>
        <v>0</v>
      </c>
    </row>
    <row r="1117" spans="2:5" ht="15" customHeight="1" x14ac:dyDescent="0.3">
      <c r="C1117" s="59"/>
      <c r="D1117" s="8">
        <v>2018</v>
      </c>
      <c r="E1117" s="14">
        <f>Data!X1117</f>
        <v>0</v>
      </c>
    </row>
    <row r="1118" spans="2:5" ht="15" customHeight="1" x14ac:dyDescent="0.3">
      <c r="C1118" s="59"/>
      <c r="D1118" s="8">
        <v>2019</v>
      </c>
      <c r="E1118" s="14">
        <f>Data!X1118</f>
        <v>0</v>
      </c>
    </row>
    <row r="1119" spans="2:5" ht="15" customHeight="1" x14ac:dyDescent="0.3">
      <c r="C1119" s="59"/>
      <c r="D1119" s="8">
        <v>2020</v>
      </c>
      <c r="E1119" s="14">
        <f>Data!X1119</f>
        <v>0</v>
      </c>
    </row>
    <row r="1120" spans="2:5" ht="15" customHeight="1" x14ac:dyDescent="0.3">
      <c r="C1120" s="59"/>
      <c r="D1120" s="8">
        <v>2021</v>
      </c>
      <c r="E1120" s="14">
        <f>Data!X1120</f>
        <v>0</v>
      </c>
    </row>
    <row r="1121" spans="2:5" ht="15" customHeight="1" x14ac:dyDescent="0.3">
      <c r="C1121" s="59"/>
      <c r="D1121" s="8">
        <v>2022</v>
      </c>
      <c r="E1121" s="14">
        <f>Data!X1121</f>
        <v>0</v>
      </c>
    </row>
    <row r="1122" spans="2:5" ht="15" customHeight="1" x14ac:dyDescent="0.3">
      <c r="C1122" s="59"/>
      <c r="D1122" s="8">
        <v>2023</v>
      </c>
      <c r="E1122" s="14">
        <f>Data!X1122</f>
        <v>0</v>
      </c>
    </row>
    <row r="1123" spans="2:5" ht="15" customHeight="1" x14ac:dyDescent="0.3">
      <c r="C1123" s="59"/>
      <c r="D1123" s="8">
        <v>2024</v>
      </c>
      <c r="E1123" s="14">
        <f>Data!X1123</f>
        <v>5</v>
      </c>
    </row>
    <row r="1124" spans="2:5" ht="15" customHeight="1" x14ac:dyDescent="0.3">
      <c r="B1124" s="8">
        <v>103</v>
      </c>
      <c r="C1124" s="58" t="s">
        <v>122</v>
      </c>
      <c r="D1124" s="8">
        <v>2014</v>
      </c>
      <c r="E1124" s="14">
        <f>Data!X1124</f>
        <v>0</v>
      </c>
    </row>
    <row r="1125" spans="2:5" ht="15" customHeight="1" x14ac:dyDescent="0.3">
      <c r="C1125" s="58"/>
      <c r="D1125" s="8">
        <v>2015</v>
      </c>
      <c r="E1125" s="14">
        <f>Data!X1125</f>
        <v>0</v>
      </c>
    </row>
    <row r="1126" spans="2:5" ht="15" customHeight="1" x14ac:dyDescent="0.3">
      <c r="C1126" s="58"/>
      <c r="D1126" s="8">
        <v>2016</v>
      </c>
      <c r="E1126" s="14">
        <f>Data!X1126</f>
        <v>0</v>
      </c>
    </row>
    <row r="1127" spans="2:5" ht="15" customHeight="1" x14ac:dyDescent="0.3">
      <c r="C1127" s="58"/>
      <c r="D1127" s="8">
        <v>2017</v>
      </c>
      <c r="E1127" s="14">
        <f>Data!X1127</f>
        <v>0</v>
      </c>
    </row>
    <row r="1128" spans="2:5" ht="15" customHeight="1" x14ac:dyDescent="0.3">
      <c r="C1128" s="58"/>
      <c r="D1128" s="8">
        <v>2018</v>
      </c>
      <c r="E1128" s="14">
        <f>Data!X1128</f>
        <v>0</v>
      </c>
    </row>
    <row r="1129" spans="2:5" ht="15" customHeight="1" x14ac:dyDescent="0.3">
      <c r="C1129" s="58"/>
      <c r="D1129" s="8">
        <v>2019</v>
      </c>
      <c r="E1129" s="14">
        <f>Data!X1129</f>
        <v>0</v>
      </c>
    </row>
    <row r="1130" spans="2:5" ht="15" customHeight="1" x14ac:dyDescent="0.3">
      <c r="C1130" s="58"/>
      <c r="D1130" s="8">
        <v>2020</v>
      </c>
      <c r="E1130" s="14">
        <f>Data!X1130</f>
        <v>0</v>
      </c>
    </row>
    <row r="1131" spans="2:5" ht="15" customHeight="1" x14ac:dyDescent="0.3">
      <c r="C1131" s="58"/>
      <c r="D1131" s="8">
        <v>2021</v>
      </c>
      <c r="E1131" s="14">
        <f>Data!X1131</f>
        <v>0</v>
      </c>
    </row>
    <row r="1132" spans="2:5" ht="15" customHeight="1" x14ac:dyDescent="0.3">
      <c r="C1132" s="58"/>
      <c r="D1132" s="8">
        <v>2022</v>
      </c>
      <c r="E1132" s="14">
        <f>Data!X1132</f>
        <v>0</v>
      </c>
    </row>
    <row r="1133" spans="2:5" ht="15" customHeight="1" x14ac:dyDescent="0.3">
      <c r="C1133" s="58"/>
      <c r="D1133" s="8">
        <v>2023</v>
      </c>
      <c r="E1133" s="14">
        <f>Data!X1133</f>
        <v>0</v>
      </c>
    </row>
    <row r="1134" spans="2:5" ht="15" customHeight="1" x14ac:dyDescent="0.3">
      <c r="C1134" s="58"/>
      <c r="D1134" s="8">
        <v>2024</v>
      </c>
      <c r="E1134" s="14">
        <f>Data!X1134</f>
        <v>0</v>
      </c>
    </row>
    <row r="1135" spans="2:5" ht="15" customHeight="1" x14ac:dyDescent="0.3">
      <c r="B1135" s="8">
        <v>104</v>
      </c>
      <c r="C1135" s="58" t="s">
        <v>123</v>
      </c>
      <c r="D1135" s="8">
        <v>2014</v>
      </c>
      <c r="E1135" s="14">
        <f>Data!X1135</f>
        <v>0</v>
      </c>
    </row>
    <row r="1136" spans="2:5" ht="15" customHeight="1" x14ac:dyDescent="0.3">
      <c r="C1136" s="58"/>
      <c r="D1136" s="8">
        <v>2015</v>
      </c>
      <c r="E1136" s="14">
        <f>Data!X1136</f>
        <v>0</v>
      </c>
    </row>
    <row r="1137" spans="2:5" ht="15" customHeight="1" x14ac:dyDescent="0.3">
      <c r="C1137" s="58"/>
      <c r="D1137" s="8">
        <v>2016</v>
      </c>
      <c r="E1137" s="14">
        <f>Data!X1137</f>
        <v>0</v>
      </c>
    </row>
    <row r="1138" spans="2:5" ht="15" customHeight="1" x14ac:dyDescent="0.3">
      <c r="C1138" s="58"/>
      <c r="D1138" s="8">
        <v>2017</v>
      </c>
      <c r="E1138" s="14">
        <f>Data!X1138</f>
        <v>0</v>
      </c>
    </row>
    <row r="1139" spans="2:5" ht="15" customHeight="1" x14ac:dyDescent="0.3">
      <c r="C1139" s="58"/>
      <c r="D1139" s="8">
        <v>2018</v>
      </c>
      <c r="E1139" s="14">
        <f>Data!X1139</f>
        <v>0</v>
      </c>
    </row>
    <row r="1140" spans="2:5" ht="15" customHeight="1" x14ac:dyDescent="0.3">
      <c r="C1140" s="58"/>
      <c r="D1140" s="8">
        <v>2019</v>
      </c>
      <c r="E1140" s="14">
        <f>Data!X1140</f>
        <v>0</v>
      </c>
    </row>
    <row r="1141" spans="2:5" ht="15" customHeight="1" x14ac:dyDescent="0.3">
      <c r="C1141" s="58"/>
      <c r="D1141" s="8">
        <v>2020</v>
      </c>
      <c r="E1141" s="14">
        <f>Data!X1141</f>
        <v>0</v>
      </c>
    </row>
    <row r="1142" spans="2:5" ht="15" customHeight="1" x14ac:dyDescent="0.3">
      <c r="C1142" s="58"/>
      <c r="D1142" s="8">
        <v>2021</v>
      </c>
      <c r="E1142" s="14">
        <f>Data!X1142</f>
        <v>0</v>
      </c>
    </row>
    <row r="1143" spans="2:5" ht="15" customHeight="1" x14ac:dyDescent="0.3">
      <c r="C1143" s="58"/>
      <c r="D1143" s="8">
        <v>2022</v>
      </c>
      <c r="E1143" s="14">
        <f>Data!X1143</f>
        <v>0</v>
      </c>
    </row>
    <row r="1144" spans="2:5" ht="15" customHeight="1" x14ac:dyDescent="0.3">
      <c r="C1144" s="58"/>
      <c r="D1144" s="8">
        <v>2023</v>
      </c>
      <c r="E1144" s="14">
        <f>Data!X1144</f>
        <v>0</v>
      </c>
    </row>
    <row r="1145" spans="2:5" ht="15" customHeight="1" x14ac:dyDescent="0.3">
      <c r="C1145" s="58"/>
      <c r="D1145" s="8">
        <v>2024</v>
      </c>
      <c r="E1145" s="14">
        <f>Data!X1145</f>
        <v>0</v>
      </c>
    </row>
    <row r="1146" spans="2:5" ht="15" customHeight="1" x14ac:dyDescent="0.3">
      <c r="B1146" s="8">
        <v>105</v>
      </c>
      <c r="C1146" s="59" t="s">
        <v>135</v>
      </c>
      <c r="D1146" s="8">
        <v>2014</v>
      </c>
      <c r="E1146" s="14">
        <f>Data!X1146</f>
        <v>0</v>
      </c>
    </row>
    <row r="1147" spans="2:5" ht="15" customHeight="1" x14ac:dyDescent="0.3">
      <c r="C1147" s="59"/>
      <c r="D1147" s="8">
        <v>2015</v>
      </c>
      <c r="E1147" s="14">
        <f>Data!X1147</f>
        <v>0</v>
      </c>
    </row>
    <row r="1148" spans="2:5" ht="15" customHeight="1" x14ac:dyDescent="0.3">
      <c r="C1148" s="59"/>
      <c r="D1148" s="8">
        <v>2016</v>
      </c>
      <c r="E1148" s="14">
        <f>Data!X1148</f>
        <v>0</v>
      </c>
    </row>
    <row r="1149" spans="2:5" ht="15" customHeight="1" x14ac:dyDescent="0.3">
      <c r="C1149" s="59"/>
      <c r="D1149" s="8">
        <v>2017</v>
      </c>
      <c r="E1149" s="14">
        <f>Data!X1149</f>
        <v>0</v>
      </c>
    </row>
    <row r="1150" spans="2:5" ht="15" customHeight="1" x14ac:dyDescent="0.3">
      <c r="C1150" s="59"/>
      <c r="D1150" s="8">
        <v>2018</v>
      </c>
      <c r="E1150" s="14">
        <f>Data!X1150</f>
        <v>0</v>
      </c>
    </row>
    <row r="1151" spans="2:5" ht="15" customHeight="1" x14ac:dyDescent="0.3">
      <c r="C1151" s="59"/>
      <c r="D1151" s="8">
        <v>2019</v>
      </c>
      <c r="E1151" s="14">
        <f>Data!X1151</f>
        <v>0</v>
      </c>
    </row>
    <row r="1152" spans="2:5" ht="15" customHeight="1" x14ac:dyDescent="0.3">
      <c r="C1152" s="59"/>
      <c r="D1152" s="8">
        <v>2020</v>
      </c>
      <c r="E1152" s="14">
        <f>Data!X1152</f>
        <v>0</v>
      </c>
    </row>
    <row r="1153" spans="2:5" ht="15" customHeight="1" x14ac:dyDescent="0.3">
      <c r="C1153" s="59"/>
      <c r="D1153" s="8">
        <v>2021</v>
      </c>
      <c r="E1153" s="14">
        <f>Data!X1153</f>
        <v>0</v>
      </c>
    </row>
    <row r="1154" spans="2:5" ht="15" customHeight="1" x14ac:dyDescent="0.3">
      <c r="C1154" s="59"/>
      <c r="D1154" s="8">
        <v>2022</v>
      </c>
      <c r="E1154" s="14">
        <f>Data!X1154</f>
        <v>0</v>
      </c>
    </row>
    <row r="1155" spans="2:5" ht="15" customHeight="1" x14ac:dyDescent="0.3">
      <c r="C1155" s="59"/>
      <c r="D1155" s="8">
        <v>2023</v>
      </c>
      <c r="E1155" s="14">
        <f>Data!X1155</f>
        <v>0</v>
      </c>
    </row>
    <row r="1156" spans="2:5" ht="15" customHeight="1" x14ac:dyDescent="0.3">
      <c r="C1156" s="59"/>
      <c r="D1156" s="8">
        <v>2024</v>
      </c>
      <c r="E1156" s="14">
        <f>Data!X1156</f>
        <v>0</v>
      </c>
    </row>
    <row r="1157" spans="2:5" ht="15" customHeight="1" x14ac:dyDescent="0.3">
      <c r="B1157" s="8">
        <v>106</v>
      </c>
      <c r="C1157" s="58" t="s">
        <v>124</v>
      </c>
      <c r="D1157" s="8">
        <v>2014</v>
      </c>
      <c r="E1157" s="14">
        <f>Data!X1157</f>
        <v>0</v>
      </c>
    </row>
    <row r="1158" spans="2:5" ht="15" customHeight="1" x14ac:dyDescent="0.3">
      <c r="C1158" s="58"/>
      <c r="D1158" s="8">
        <v>2015</v>
      </c>
      <c r="E1158" s="14">
        <f>Data!X1158</f>
        <v>0</v>
      </c>
    </row>
    <row r="1159" spans="2:5" ht="15" customHeight="1" x14ac:dyDescent="0.3">
      <c r="C1159" s="58"/>
      <c r="D1159" s="8">
        <v>2016</v>
      </c>
      <c r="E1159" s="14">
        <f>Data!X1159</f>
        <v>0</v>
      </c>
    </row>
    <row r="1160" spans="2:5" ht="15" customHeight="1" x14ac:dyDescent="0.3">
      <c r="C1160" s="58"/>
      <c r="D1160" s="8">
        <v>2017</v>
      </c>
      <c r="E1160" s="14">
        <f>Data!X1160</f>
        <v>0</v>
      </c>
    </row>
    <row r="1161" spans="2:5" ht="15" customHeight="1" x14ac:dyDescent="0.3">
      <c r="C1161" s="58"/>
      <c r="D1161" s="8">
        <v>2018</v>
      </c>
      <c r="E1161" s="14">
        <f>Data!X1161</f>
        <v>0</v>
      </c>
    </row>
    <row r="1162" spans="2:5" ht="15" customHeight="1" x14ac:dyDescent="0.3">
      <c r="C1162" s="58"/>
      <c r="D1162" s="8">
        <v>2019</v>
      </c>
      <c r="E1162" s="14">
        <f>Data!X1162</f>
        <v>0</v>
      </c>
    </row>
    <row r="1163" spans="2:5" ht="15" customHeight="1" x14ac:dyDescent="0.3">
      <c r="C1163" s="58"/>
      <c r="D1163" s="8">
        <v>2020</v>
      </c>
      <c r="E1163" s="14">
        <f>Data!X1163</f>
        <v>0</v>
      </c>
    </row>
    <row r="1164" spans="2:5" ht="15" customHeight="1" x14ac:dyDescent="0.3">
      <c r="C1164" s="58"/>
      <c r="D1164" s="8">
        <v>2021</v>
      </c>
      <c r="E1164" s="14">
        <f>Data!X1164</f>
        <v>0</v>
      </c>
    </row>
    <row r="1165" spans="2:5" ht="15" customHeight="1" x14ac:dyDescent="0.3">
      <c r="C1165" s="58"/>
      <c r="D1165" s="8">
        <v>2022</v>
      </c>
      <c r="E1165" s="14">
        <f>Data!X1165</f>
        <v>0</v>
      </c>
    </row>
    <row r="1166" spans="2:5" ht="15" customHeight="1" x14ac:dyDescent="0.3">
      <c r="C1166" s="58"/>
      <c r="D1166" s="8">
        <v>2023</v>
      </c>
      <c r="E1166" s="14">
        <f>Data!X1166</f>
        <v>0</v>
      </c>
    </row>
    <row r="1167" spans="2:5" ht="15" customHeight="1" x14ac:dyDescent="0.3">
      <c r="C1167" s="58"/>
      <c r="D1167" s="8">
        <v>2024</v>
      </c>
      <c r="E1167" s="14">
        <f>Data!X1167</f>
        <v>0</v>
      </c>
    </row>
    <row r="1168" spans="2:5" ht="15" customHeight="1" x14ac:dyDescent="0.3">
      <c r="B1168" s="8">
        <v>107</v>
      </c>
      <c r="C1168" s="58" t="s">
        <v>105</v>
      </c>
      <c r="D1168" s="8">
        <v>2014</v>
      </c>
      <c r="E1168" s="14">
        <f>Data!X1168</f>
        <v>0</v>
      </c>
    </row>
    <row r="1169" spans="2:5" ht="15" customHeight="1" x14ac:dyDescent="0.3">
      <c r="C1169" s="58"/>
      <c r="D1169" s="8">
        <v>2015</v>
      </c>
      <c r="E1169" s="14">
        <f>Data!X1169</f>
        <v>0</v>
      </c>
    </row>
    <row r="1170" spans="2:5" ht="15" customHeight="1" x14ac:dyDescent="0.3">
      <c r="C1170" s="58"/>
      <c r="D1170" s="8">
        <v>2016</v>
      </c>
      <c r="E1170" s="14">
        <f>Data!X1170</f>
        <v>0</v>
      </c>
    </row>
    <row r="1171" spans="2:5" ht="15" customHeight="1" x14ac:dyDescent="0.3">
      <c r="C1171" s="58"/>
      <c r="D1171" s="8">
        <v>2017</v>
      </c>
      <c r="E1171" s="14">
        <f>Data!X1171</f>
        <v>0</v>
      </c>
    </row>
    <row r="1172" spans="2:5" ht="15" customHeight="1" x14ac:dyDescent="0.3">
      <c r="C1172" s="58"/>
      <c r="D1172" s="8">
        <v>2018</v>
      </c>
      <c r="E1172" s="14">
        <f>Data!X1172</f>
        <v>0</v>
      </c>
    </row>
    <row r="1173" spans="2:5" ht="15" customHeight="1" x14ac:dyDescent="0.3">
      <c r="C1173" s="58"/>
      <c r="D1173" s="8">
        <v>2019</v>
      </c>
      <c r="E1173" s="14">
        <f>Data!X1173</f>
        <v>0</v>
      </c>
    </row>
    <row r="1174" spans="2:5" ht="15" customHeight="1" x14ac:dyDescent="0.3">
      <c r="C1174" s="58"/>
      <c r="D1174" s="8">
        <v>2020</v>
      </c>
      <c r="E1174" s="14">
        <f>Data!X1174</f>
        <v>0</v>
      </c>
    </row>
    <row r="1175" spans="2:5" ht="15" customHeight="1" x14ac:dyDescent="0.3">
      <c r="C1175" s="58"/>
      <c r="D1175" s="8">
        <v>2021</v>
      </c>
      <c r="E1175" s="14">
        <f>Data!X1175</f>
        <v>0</v>
      </c>
    </row>
    <row r="1176" spans="2:5" ht="15" customHeight="1" x14ac:dyDescent="0.3">
      <c r="C1176" s="58"/>
      <c r="D1176" s="8">
        <v>2022</v>
      </c>
      <c r="E1176" s="14">
        <f>Data!X1176</f>
        <v>0</v>
      </c>
    </row>
    <row r="1177" spans="2:5" ht="15" customHeight="1" x14ac:dyDescent="0.3">
      <c r="C1177" s="58"/>
      <c r="D1177" s="8">
        <v>2023</v>
      </c>
      <c r="E1177" s="14">
        <f>Data!X1177</f>
        <v>0</v>
      </c>
    </row>
    <row r="1178" spans="2:5" ht="15" customHeight="1" x14ac:dyDescent="0.3">
      <c r="C1178" s="58"/>
      <c r="D1178" s="8">
        <v>2024</v>
      </c>
      <c r="E1178" s="14">
        <f>Data!X1178</f>
        <v>0</v>
      </c>
    </row>
    <row r="1179" spans="2:5" ht="15" customHeight="1" x14ac:dyDescent="0.3">
      <c r="B1179" s="8">
        <v>108</v>
      </c>
      <c r="C1179" s="59" t="s">
        <v>125</v>
      </c>
      <c r="D1179" s="8">
        <v>2014</v>
      </c>
      <c r="E1179" s="14">
        <f>Data!X1179</f>
        <v>0</v>
      </c>
    </row>
    <row r="1180" spans="2:5" ht="15" customHeight="1" x14ac:dyDescent="0.3">
      <c r="C1180" s="59"/>
      <c r="D1180" s="8">
        <v>2015</v>
      </c>
      <c r="E1180" s="14">
        <f>Data!X1180</f>
        <v>0</v>
      </c>
    </row>
    <row r="1181" spans="2:5" ht="15" customHeight="1" x14ac:dyDescent="0.3">
      <c r="C1181" s="59"/>
      <c r="D1181" s="8">
        <v>2016</v>
      </c>
      <c r="E1181" s="14">
        <f>Data!X1181</f>
        <v>0</v>
      </c>
    </row>
    <row r="1182" spans="2:5" ht="15" customHeight="1" x14ac:dyDescent="0.3">
      <c r="C1182" s="59"/>
      <c r="D1182" s="8">
        <v>2017</v>
      </c>
      <c r="E1182" s="14">
        <f>Data!X1182</f>
        <v>0</v>
      </c>
    </row>
    <row r="1183" spans="2:5" ht="15" customHeight="1" x14ac:dyDescent="0.3">
      <c r="C1183" s="59"/>
      <c r="D1183" s="8">
        <v>2018</v>
      </c>
      <c r="E1183" s="14">
        <f>Data!X1183</f>
        <v>0</v>
      </c>
    </row>
    <row r="1184" spans="2:5" ht="15" customHeight="1" x14ac:dyDescent="0.3">
      <c r="C1184" s="59"/>
      <c r="D1184" s="8">
        <v>2019</v>
      </c>
      <c r="E1184" s="14">
        <f>Data!X1184</f>
        <v>0</v>
      </c>
    </row>
    <row r="1185" spans="2:5" ht="15" customHeight="1" x14ac:dyDescent="0.3">
      <c r="C1185" s="59"/>
      <c r="D1185" s="8">
        <v>2020</v>
      </c>
      <c r="E1185" s="14">
        <f>Data!X1185</f>
        <v>0</v>
      </c>
    </row>
    <row r="1186" spans="2:5" ht="15" customHeight="1" x14ac:dyDescent="0.3">
      <c r="C1186" s="59"/>
      <c r="D1186" s="8">
        <v>2021</v>
      </c>
      <c r="E1186" s="14">
        <f>Data!X1186</f>
        <v>0</v>
      </c>
    </row>
    <row r="1187" spans="2:5" ht="15" customHeight="1" x14ac:dyDescent="0.3">
      <c r="C1187" s="59"/>
      <c r="D1187" s="8">
        <v>2022</v>
      </c>
      <c r="E1187" s="14">
        <f>Data!X1187</f>
        <v>0</v>
      </c>
    </row>
    <row r="1188" spans="2:5" ht="15" customHeight="1" x14ac:dyDescent="0.3">
      <c r="C1188" s="59"/>
      <c r="D1188" s="8">
        <v>2023</v>
      </c>
      <c r="E1188" s="14">
        <f>Data!X1188</f>
        <v>0</v>
      </c>
    </row>
    <row r="1189" spans="2:5" ht="15" customHeight="1" x14ac:dyDescent="0.3">
      <c r="C1189" s="59"/>
      <c r="D1189" s="8">
        <v>2024</v>
      </c>
      <c r="E1189" s="14">
        <f>Data!X1189</f>
        <v>0</v>
      </c>
    </row>
    <row r="1190" spans="2:5" ht="15" customHeight="1" x14ac:dyDescent="0.3">
      <c r="B1190" s="8">
        <v>109</v>
      </c>
      <c r="C1190" s="58" t="s">
        <v>106</v>
      </c>
      <c r="D1190" s="8">
        <v>2014</v>
      </c>
      <c r="E1190" s="14">
        <f>Data!X1190</f>
        <v>0</v>
      </c>
    </row>
    <row r="1191" spans="2:5" ht="15" customHeight="1" x14ac:dyDescent="0.3">
      <c r="C1191" s="58"/>
      <c r="D1191" s="8">
        <v>2015</v>
      </c>
      <c r="E1191" s="14">
        <f>Data!X1191</f>
        <v>11</v>
      </c>
    </row>
    <row r="1192" spans="2:5" ht="15" customHeight="1" x14ac:dyDescent="0.3">
      <c r="C1192" s="58"/>
      <c r="D1192" s="8">
        <v>2016</v>
      </c>
      <c r="E1192" s="14">
        <f>Data!X1192</f>
        <v>11</v>
      </c>
    </row>
    <row r="1193" spans="2:5" ht="15" customHeight="1" x14ac:dyDescent="0.3">
      <c r="C1193" s="58"/>
      <c r="D1193" s="8">
        <v>2017</v>
      </c>
      <c r="E1193" s="14">
        <f>Data!X1193</f>
        <v>9</v>
      </c>
    </row>
    <row r="1194" spans="2:5" ht="15" customHeight="1" x14ac:dyDescent="0.3">
      <c r="C1194" s="58"/>
      <c r="D1194" s="8">
        <v>2018</v>
      </c>
      <c r="E1194" s="14">
        <f>Data!X1194</f>
        <v>9</v>
      </c>
    </row>
    <row r="1195" spans="2:5" ht="15" customHeight="1" x14ac:dyDescent="0.3">
      <c r="C1195" s="58"/>
      <c r="D1195" s="8">
        <v>2019</v>
      </c>
      <c r="E1195" s="14">
        <f>Data!X1195</f>
        <v>8</v>
      </c>
    </row>
    <row r="1196" spans="2:5" ht="15" customHeight="1" x14ac:dyDescent="0.3">
      <c r="C1196" s="58"/>
      <c r="D1196" s="8">
        <v>2020</v>
      </c>
      <c r="E1196" s="14">
        <f>Data!X1196</f>
        <v>12</v>
      </c>
    </row>
    <row r="1197" spans="2:5" ht="15" customHeight="1" x14ac:dyDescent="0.3">
      <c r="C1197" s="58"/>
      <c r="D1197" s="8">
        <v>2021</v>
      </c>
      <c r="E1197" s="14">
        <f>Data!X1197</f>
        <v>12</v>
      </c>
    </row>
    <row r="1198" spans="2:5" ht="15" customHeight="1" x14ac:dyDescent="0.3">
      <c r="C1198" s="58"/>
      <c r="D1198" s="8">
        <v>2022</v>
      </c>
      <c r="E1198" s="14">
        <f>Data!X1198</f>
        <v>11</v>
      </c>
    </row>
    <row r="1199" spans="2:5" ht="15" customHeight="1" x14ac:dyDescent="0.3">
      <c r="C1199" s="58"/>
      <c r="D1199" s="8">
        <v>2023</v>
      </c>
      <c r="E1199" s="14">
        <f>Data!X1199</f>
        <v>9</v>
      </c>
    </row>
    <row r="1200" spans="2:5" ht="15" customHeight="1" x14ac:dyDescent="0.3">
      <c r="C1200" s="58"/>
      <c r="D1200" s="8">
        <v>2024</v>
      </c>
      <c r="E1200" s="14">
        <f>Data!X1200</f>
        <v>9</v>
      </c>
    </row>
    <row r="1201" spans="2:5" ht="15" customHeight="1" x14ac:dyDescent="0.3">
      <c r="B1201" s="8">
        <v>110</v>
      </c>
      <c r="C1201" s="58" t="s">
        <v>66</v>
      </c>
      <c r="D1201" s="8">
        <v>2014</v>
      </c>
      <c r="E1201" s="14">
        <f>Data!X1201</f>
        <v>0</v>
      </c>
    </row>
    <row r="1202" spans="2:5" ht="15" customHeight="1" x14ac:dyDescent="0.3">
      <c r="C1202" s="58"/>
      <c r="D1202" s="8">
        <v>2015</v>
      </c>
      <c r="E1202" s="14">
        <f>Data!X1202</f>
        <v>0</v>
      </c>
    </row>
    <row r="1203" spans="2:5" ht="15" customHeight="1" x14ac:dyDescent="0.3">
      <c r="C1203" s="58"/>
      <c r="D1203" s="8">
        <v>2016</v>
      </c>
      <c r="E1203" s="14">
        <f>Data!X1203</f>
        <v>10</v>
      </c>
    </row>
    <row r="1204" spans="2:5" ht="15" customHeight="1" x14ac:dyDescent="0.3">
      <c r="C1204" s="58"/>
      <c r="D1204" s="8">
        <v>2017</v>
      </c>
      <c r="E1204" s="14">
        <f>Data!X1204</f>
        <v>10</v>
      </c>
    </row>
    <row r="1205" spans="2:5" ht="15" customHeight="1" x14ac:dyDescent="0.3">
      <c r="C1205" s="58"/>
      <c r="D1205" s="8">
        <v>2018</v>
      </c>
      <c r="E1205" s="14">
        <f>Data!X1205</f>
        <v>10</v>
      </c>
    </row>
    <row r="1206" spans="2:5" ht="15" customHeight="1" x14ac:dyDescent="0.3">
      <c r="C1206" s="58"/>
      <c r="D1206" s="8">
        <v>2019</v>
      </c>
      <c r="E1206" s="14">
        <f>Data!X1206</f>
        <v>13</v>
      </c>
    </row>
    <row r="1207" spans="2:5" ht="15" customHeight="1" x14ac:dyDescent="0.3">
      <c r="C1207" s="58"/>
      <c r="D1207" s="8">
        <v>2020</v>
      </c>
      <c r="E1207" s="14">
        <f>Data!X1207</f>
        <v>13</v>
      </c>
    </row>
    <row r="1208" spans="2:5" ht="15" customHeight="1" x14ac:dyDescent="0.3">
      <c r="C1208" s="58"/>
      <c r="D1208" s="8">
        <v>2021</v>
      </c>
      <c r="E1208" s="14">
        <f>Data!X1208</f>
        <v>13</v>
      </c>
    </row>
    <row r="1209" spans="2:5" ht="15" customHeight="1" x14ac:dyDescent="0.3">
      <c r="C1209" s="58"/>
      <c r="D1209" s="8">
        <v>2022</v>
      </c>
      <c r="E1209" s="14">
        <f>Data!X1209</f>
        <v>10</v>
      </c>
    </row>
    <row r="1210" spans="2:5" ht="15" customHeight="1" x14ac:dyDescent="0.3">
      <c r="C1210" s="58"/>
      <c r="D1210" s="8">
        <v>2023</v>
      </c>
      <c r="E1210" s="14">
        <f>Data!X1210</f>
        <v>10</v>
      </c>
    </row>
    <row r="1211" spans="2:5" ht="15" customHeight="1" x14ac:dyDescent="0.3">
      <c r="C1211" s="58"/>
      <c r="D1211" s="8">
        <v>2024</v>
      </c>
      <c r="E1211" s="14">
        <f>Data!X1211</f>
        <v>13</v>
      </c>
    </row>
    <row r="1212" spans="2:5" ht="15" customHeight="1" x14ac:dyDescent="0.3">
      <c r="B1212" s="8">
        <v>111</v>
      </c>
      <c r="C1212" s="58" t="s">
        <v>74</v>
      </c>
      <c r="D1212" s="8">
        <v>2014</v>
      </c>
      <c r="E1212" s="14">
        <f>Data!X1212</f>
        <v>0</v>
      </c>
    </row>
    <row r="1213" spans="2:5" ht="15" customHeight="1" x14ac:dyDescent="0.3">
      <c r="C1213" s="58"/>
      <c r="D1213" s="8">
        <v>2015</v>
      </c>
      <c r="E1213" s="14">
        <f>Data!X1213</f>
        <v>12</v>
      </c>
    </row>
    <row r="1214" spans="2:5" ht="15" customHeight="1" x14ac:dyDescent="0.3">
      <c r="C1214" s="58"/>
      <c r="D1214" s="8">
        <v>2016</v>
      </c>
      <c r="E1214" s="14">
        <f>Data!X1214</f>
        <v>12</v>
      </c>
    </row>
    <row r="1215" spans="2:5" ht="15" customHeight="1" x14ac:dyDescent="0.3">
      <c r="C1215" s="58"/>
      <c r="D1215" s="8">
        <v>2017</v>
      </c>
      <c r="E1215" s="14">
        <f>Data!X1215</f>
        <v>12</v>
      </c>
    </row>
    <row r="1216" spans="2:5" ht="15" customHeight="1" x14ac:dyDescent="0.3">
      <c r="C1216" s="58"/>
      <c r="D1216" s="8">
        <v>2018</v>
      </c>
      <c r="E1216" s="14">
        <f>Data!X1216</f>
        <v>12</v>
      </c>
    </row>
    <row r="1217" spans="2:5" ht="15" customHeight="1" x14ac:dyDescent="0.3">
      <c r="C1217" s="58"/>
      <c r="D1217" s="8">
        <v>2019</v>
      </c>
      <c r="E1217" s="14">
        <f>Data!X1217</f>
        <v>12</v>
      </c>
    </row>
    <row r="1218" spans="2:5" ht="15" customHeight="1" x14ac:dyDescent="0.3">
      <c r="C1218" s="58"/>
      <c r="D1218" s="8">
        <v>2020</v>
      </c>
      <c r="E1218" s="14">
        <f>Data!X1218</f>
        <v>7</v>
      </c>
    </row>
    <row r="1219" spans="2:5" ht="15" customHeight="1" x14ac:dyDescent="0.3">
      <c r="C1219" s="58"/>
      <c r="D1219" s="8">
        <v>2021</v>
      </c>
      <c r="E1219" s="14">
        <f>Data!X1219</f>
        <v>7</v>
      </c>
    </row>
    <row r="1220" spans="2:5" ht="15" customHeight="1" x14ac:dyDescent="0.3">
      <c r="C1220" s="58"/>
      <c r="D1220" s="8">
        <v>2022</v>
      </c>
      <c r="E1220" s="14">
        <f>Data!X1220</f>
        <v>9</v>
      </c>
    </row>
    <row r="1221" spans="2:5" ht="15" customHeight="1" x14ac:dyDescent="0.3">
      <c r="C1221" s="58"/>
      <c r="D1221" s="8">
        <v>2023</v>
      </c>
      <c r="E1221" s="14">
        <f>Data!X1221</f>
        <v>9</v>
      </c>
    </row>
    <row r="1222" spans="2:5" ht="15" customHeight="1" x14ac:dyDescent="0.3">
      <c r="C1222" s="58"/>
      <c r="D1222" s="8">
        <v>2024</v>
      </c>
      <c r="E1222" s="14">
        <f>Data!X1222</f>
        <v>10</v>
      </c>
    </row>
    <row r="1223" spans="2:5" ht="15" customHeight="1" x14ac:dyDescent="0.3">
      <c r="B1223" s="8">
        <v>112</v>
      </c>
      <c r="C1223" s="58" t="s">
        <v>91</v>
      </c>
      <c r="D1223" s="8">
        <v>2014</v>
      </c>
      <c r="E1223" s="14">
        <f>Data!X1223</f>
        <v>0</v>
      </c>
    </row>
    <row r="1224" spans="2:5" ht="15" customHeight="1" x14ac:dyDescent="0.3">
      <c r="C1224" s="58"/>
      <c r="D1224" s="8">
        <v>2015</v>
      </c>
      <c r="E1224" s="14">
        <f>Data!X1224</f>
        <v>0</v>
      </c>
    </row>
    <row r="1225" spans="2:5" ht="15" customHeight="1" x14ac:dyDescent="0.3">
      <c r="C1225" s="58"/>
      <c r="D1225" s="8">
        <v>2016</v>
      </c>
      <c r="E1225" s="14">
        <f>Data!X1225</f>
        <v>0</v>
      </c>
    </row>
    <row r="1226" spans="2:5" ht="15" customHeight="1" x14ac:dyDescent="0.3">
      <c r="C1226" s="58"/>
      <c r="D1226" s="8">
        <v>2017</v>
      </c>
      <c r="E1226" s="14">
        <f>Data!X1226</f>
        <v>0</v>
      </c>
    </row>
    <row r="1227" spans="2:5" ht="15" customHeight="1" x14ac:dyDescent="0.3">
      <c r="C1227" s="58"/>
      <c r="D1227" s="8">
        <v>2018</v>
      </c>
      <c r="E1227" s="14">
        <f>Data!X1227</f>
        <v>0</v>
      </c>
    </row>
    <row r="1228" spans="2:5" ht="15" customHeight="1" x14ac:dyDescent="0.3">
      <c r="C1228" s="58"/>
      <c r="D1228" s="8">
        <v>2019</v>
      </c>
      <c r="E1228" s="14">
        <f>Data!X1228</f>
        <v>0</v>
      </c>
    </row>
    <row r="1229" spans="2:5" ht="15" customHeight="1" x14ac:dyDescent="0.3">
      <c r="C1229" s="58"/>
      <c r="D1229" s="8">
        <v>2020</v>
      </c>
      <c r="E1229" s="14">
        <f>Data!X1229</f>
        <v>0</v>
      </c>
    </row>
    <row r="1230" spans="2:5" ht="15" customHeight="1" x14ac:dyDescent="0.3">
      <c r="C1230" s="58"/>
      <c r="D1230" s="8">
        <v>2021</v>
      </c>
      <c r="E1230" s="14">
        <f>Data!X1230</f>
        <v>0</v>
      </c>
    </row>
    <row r="1231" spans="2:5" ht="15" customHeight="1" x14ac:dyDescent="0.3">
      <c r="C1231" s="58"/>
      <c r="D1231" s="8">
        <v>2022</v>
      </c>
      <c r="E1231" s="14">
        <f>Data!X1231</f>
        <v>0</v>
      </c>
    </row>
    <row r="1232" spans="2:5" ht="15" customHeight="1" x14ac:dyDescent="0.3">
      <c r="C1232" s="58"/>
      <c r="D1232" s="8">
        <v>2023</v>
      </c>
      <c r="E1232" s="14">
        <f>Data!X1232</f>
        <v>0</v>
      </c>
    </row>
    <row r="1233" spans="2:5" ht="15" customHeight="1" x14ac:dyDescent="0.3">
      <c r="C1233" s="58"/>
      <c r="D1233" s="8">
        <v>2024</v>
      </c>
      <c r="E1233" s="14">
        <f>Data!X1233</f>
        <v>7</v>
      </c>
    </row>
    <row r="1234" spans="2:5" ht="15" customHeight="1" x14ac:dyDescent="0.3">
      <c r="B1234" s="8">
        <v>113</v>
      </c>
      <c r="C1234" s="58" t="s">
        <v>90</v>
      </c>
      <c r="D1234" s="8">
        <v>2014</v>
      </c>
      <c r="E1234" s="14">
        <f>Data!X1234</f>
        <v>0</v>
      </c>
    </row>
    <row r="1235" spans="2:5" ht="15" customHeight="1" x14ac:dyDescent="0.3">
      <c r="C1235" s="58"/>
      <c r="D1235" s="8">
        <v>2015</v>
      </c>
      <c r="E1235" s="14">
        <f>Data!X1235</f>
        <v>0</v>
      </c>
    </row>
    <row r="1236" spans="2:5" ht="15" customHeight="1" x14ac:dyDescent="0.3">
      <c r="C1236" s="58"/>
      <c r="D1236" s="8">
        <v>2016</v>
      </c>
      <c r="E1236" s="14">
        <f>Data!X1236</f>
        <v>0</v>
      </c>
    </row>
    <row r="1237" spans="2:5" ht="15" customHeight="1" x14ac:dyDescent="0.3">
      <c r="C1237" s="58"/>
      <c r="D1237" s="8">
        <v>2017</v>
      </c>
      <c r="E1237" s="14">
        <f>Data!X1237</f>
        <v>0</v>
      </c>
    </row>
    <row r="1238" spans="2:5" ht="15" customHeight="1" x14ac:dyDescent="0.3">
      <c r="C1238" s="58"/>
      <c r="D1238" s="8">
        <v>2018</v>
      </c>
      <c r="E1238" s="14">
        <f>Data!X1238</f>
        <v>0</v>
      </c>
    </row>
    <row r="1239" spans="2:5" ht="15" customHeight="1" x14ac:dyDescent="0.3">
      <c r="C1239" s="58"/>
      <c r="D1239" s="8">
        <v>2019</v>
      </c>
      <c r="E1239" s="14">
        <f>Data!X1239</f>
        <v>0</v>
      </c>
    </row>
    <row r="1240" spans="2:5" ht="15" customHeight="1" x14ac:dyDescent="0.3">
      <c r="C1240" s="58"/>
      <c r="D1240" s="8">
        <v>2020</v>
      </c>
      <c r="E1240" s="14">
        <f>Data!X1240</f>
        <v>0</v>
      </c>
    </row>
    <row r="1241" spans="2:5" ht="15" customHeight="1" x14ac:dyDescent="0.3">
      <c r="C1241" s="58"/>
      <c r="D1241" s="8">
        <v>2021</v>
      </c>
      <c r="E1241" s="14">
        <f>Data!X1241</f>
        <v>0</v>
      </c>
    </row>
    <row r="1242" spans="2:5" ht="15" customHeight="1" x14ac:dyDescent="0.3">
      <c r="C1242" s="58"/>
      <c r="D1242" s="8">
        <v>2022</v>
      </c>
      <c r="E1242" s="14">
        <f>Data!X1242</f>
        <v>0</v>
      </c>
    </row>
    <row r="1243" spans="2:5" ht="15" customHeight="1" x14ac:dyDescent="0.3">
      <c r="C1243" s="58"/>
      <c r="D1243" s="8">
        <v>2023</v>
      </c>
      <c r="E1243" s="14">
        <f>Data!X1243</f>
        <v>0</v>
      </c>
    </row>
    <row r="1244" spans="2:5" ht="15" customHeight="1" x14ac:dyDescent="0.3">
      <c r="C1244" s="58"/>
      <c r="D1244" s="8">
        <v>2024</v>
      </c>
      <c r="E1244" s="14">
        <f>Data!X1244</f>
        <v>0</v>
      </c>
    </row>
    <row r="1245" spans="2:5" ht="15" customHeight="1" x14ac:dyDescent="0.3">
      <c r="B1245" s="8">
        <v>114</v>
      </c>
      <c r="C1245" s="58" t="s">
        <v>107</v>
      </c>
      <c r="D1245" s="8">
        <v>2014</v>
      </c>
      <c r="E1245" s="14">
        <f>Data!X1245</f>
        <v>0</v>
      </c>
    </row>
    <row r="1246" spans="2:5" ht="15" customHeight="1" x14ac:dyDescent="0.3">
      <c r="C1246" s="58"/>
      <c r="D1246" s="8">
        <v>2015</v>
      </c>
      <c r="E1246" s="14">
        <f>Data!X1246</f>
        <v>5</v>
      </c>
    </row>
    <row r="1247" spans="2:5" ht="15" customHeight="1" x14ac:dyDescent="0.3">
      <c r="C1247" s="58"/>
      <c r="D1247" s="8">
        <v>2016</v>
      </c>
      <c r="E1247" s="14">
        <f>Data!X1247</f>
        <v>2</v>
      </c>
    </row>
    <row r="1248" spans="2:5" ht="15" customHeight="1" x14ac:dyDescent="0.3">
      <c r="C1248" s="58"/>
      <c r="D1248" s="8">
        <v>2017</v>
      </c>
      <c r="E1248" s="14">
        <f>Data!X1248</f>
        <v>4</v>
      </c>
    </row>
    <row r="1249" spans="2:5" ht="15" customHeight="1" x14ac:dyDescent="0.3">
      <c r="C1249" s="58"/>
      <c r="D1249" s="8">
        <v>2018</v>
      </c>
      <c r="E1249" s="14">
        <f>Data!X1249</f>
        <v>3</v>
      </c>
    </row>
    <row r="1250" spans="2:5" ht="15" customHeight="1" x14ac:dyDescent="0.3">
      <c r="C1250" s="58"/>
      <c r="D1250" s="8">
        <v>2019</v>
      </c>
      <c r="E1250" s="14">
        <f>Data!X1250</f>
        <v>8</v>
      </c>
    </row>
    <row r="1251" spans="2:5" ht="15" customHeight="1" x14ac:dyDescent="0.3">
      <c r="C1251" s="58"/>
      <c r="D1251" s="8">
        <v>2020</v>
      </c>
      <c r="E1251" s="14">
        <f>Data!X1251</f>
        <v>8</v>
      </c>
    </row>
    <row r="1252" spans="2:5" ht="15" customHeight="1" x14ac:dyDescent="0.3">
      <c r="C1252" s="58"/>
      <c r="D1252" s="8">
        <v>2021</v>
      </c>
      <c r="E1252" s="14">
        <f>Data!X1252</f>
        <v>4</v>
      </c>
    </row>
    <row r="1253" spans="2:5" ht="15" customHeight="1" x14ac:dyDescent="0.3">
      <c r="C1253" s="58"/>
      <c r="D1253" s="8">
        <v>2022</v>
      </c>
      <c r="E1253" s="14">
        <f>Data!X1253</f>
        <v>5</v>
      </c>
    </row>
    <row r="1254" spans="2:5" ht="15" customHeight="1" x14ac:dyDescent="0.3">
      <c r="C1254" s="58"/>
      <c r="D1254" s="8">
        <v>2023</v>
      </c>
      <c r="E1254" s="14">
        <f>Data!X1254</f>
        <v>5</v>
      </c>
    </row>
    <row r="1255" spans="2:5" ht="15" customHeight="1" x14ac:dyDescent="0.3">
      <c r="C1255" s="58"/>
      <c r="D1255" s="8">
        <v>2024</v>
      </c>
      <c r="E1255" s="14">
        <f>Data!X1255</f>
        <v>6</v>
      </c>
    </row>
    <row r="1256" spans="2:5" ht="15" customHeight="1" x14ac:dyDescent="0.3">
      <c r="B1256" s="8">
        <v>115</v>
      </c>
      <c r="C1256" s="59" t="s">
        <v>128</v>
      </c>
      <c r="D1256" s="8">
        <v>2014</v>
      </c>
      <c r="E1256" s="14">
        <f>Data!X1256</f>
        <v>0</v>
      </c>
    </row>
    <row r="1257" spans="2:5" ht="15" customHeight="1" x14ac:dyDescent="0.3">
      <c r="C1257" s="59"/>
      <c r="D1257" s="8">
        <v>2015</v>
      </c>
      <c r="E1257" s="14">
        <f>Data!X1257</f>
        <v>0</v>
      </c>
    </row>
    <row r="1258" spans="2:5" ht="15" customHeight="1" x14ac:dyDescent="0.3">
      <c r="C1258" s="59"/>
      <c r="D1258" s="8">
        <v>2016</v>
      </c>
      <c r="E1258" s="14">
        <f>Data!X1258</f>
        <v>0</v>
      </c>
    </row>
    <row r="1259" spans="2:5" ht="15" customHeight="1" x14ac:dyDescent="0.3">
      <c r="C1259" s="59"/>
      <c r="D1259" s="8">
        <v>2017</v>
      </c>
      <c r="E1259" s="14">
        <f>Data!X1259</f>
        <v>0</v>
      </c>
    </row>
    <row r="1260" spans="2:5" ht="15" customHeight="1" x14ac:dyDescent="0.3">
      <c r="C1260" s="59"/>
      <c r="D1260" s="8">
        <v>2018</v>
      </c>
      <c r="E1260" s="14">
        <f>Data!X1260</f>
        <v>0</v>
      </c>
    </row>
    <row r="1261" spans="2:5" ht="15" customHeight="1" x14ac:dyDescent="0.3">
      <c r="C1261" s="59"/>
      <c r="D1261" s="8">
        <v>2019</v>
      </c>
      <c r="E1261" s="14">
        <f>Data!X1261</f>
        <v>0</v>
      </c>
    </row>
    <row r="1262" spans="2:5" ht="15" customHeight="1" x14ac:dyDescent="0.3">
      <c r="C1262" s="59"/>
      <c r="D1262" s="8">
        <v>2020</v>
      </c>
      <c r="E1262" s="14">
        <f>Data!X1262</f>
        <v>0</v>
      </c>
    </row>
    <row r="1263" spans="2:5" ht="15" customHeight="1" x14ac:dyDescent="0.3">
      <c r="C1263" s="59"/>
      <c r="D1263" s="8">
        <v>2021</v>
      </c>
      <c r="E1263" s="14">
        <f>Data!X1263</f>
        <v>0</v>
      </c>
    </row>
    <row r="1264" spans="2:5" ht="15" customHeight="1" x14ac:dyDescent="0.3">
      <c r="C1264" s="59"/>
      <c r="D1264" s="8">
        <v>2022</v>
      </c>
      <c r="E1264" s="14">
        <f>Data!X1264</f>
        <v>0</v>
      </c>
    </row>
    <row r="1265" spans="2:5" ht="15" customHeight="1" x14ac:dyDescent="0.3">
      <c r="C1265" s="59"/>
      <c r="D1265" s="8">
        <v>2023</v>
      </c>
      <c r="E1265" s="14">
        <f>Data!X1265</f>
        <v>0</v>
      </c>
    </row>
    <row r="1266" spans="2:5" ht="15" customHeight="1" x14ac:dyDescent="0.3">
      <c r="C1266" s="59"/>
      <c r="D1266" s="8">
        <v>2024</v>
      </c>
      <c r="E1266" s="14">
        <f>Data!X1266</f>
        <v>0</v>
      </c>
    </row>
    <row r="1267" spans="2:5" ht="15" customHeight="1" x14ac:dyDescent="0.3">
      <c r="B1267" s="8">
        <v>116</v>
      </c>
      <c r="C1267" s="59" t="s">
        <v>127</v>
      </c>
      <c r="D1267" s="8">
        <v>2014</v>
      </c>
      <c r="E1267" s="14">
        <f>Data!X1267</f>
        <v>0</v>
      </c>
    </row>
    <row r="1268" spans="2:5" ht="15" customHeight="1" x14ac:dyDescent="0.3">
      <c r="C1268" s="59"/>
      <c r="D1268" s="8">
        <v>2015</v>
      </c>
      <c r="E1268" s="14">
        <f>Data!X1268</f>
        <v>0</v>
      </c>
    </row>
    <row r="1269" spans="2:5" ht="15" customHeight="1" x14ac:dyDescent="0.3">
      <c r="C1269" s="59"/>
      <c r="D1269" s="8">
        <v>2016</v>
      </c>
      <c r="E1269" s="14">
        <f>Data!X1269</f>
        <v>0</v>
      </c>
    </row>
    <row r="1270" spans="2:5" ht="15" customHeight="1" x14ac:dyDescent="0.3">
      <c r="C1270" s="59"/>
      <c r="D1270" s="8">
        <v>2017</v>
      </c>
      <c r="E1270" s="14">
        <f>Data!X1270</f>
        <v>0</v>
      </c>
    </row>
    <row r="1271" spans="2:5" ht="15" customHeight="1" x14ac:dyDescent="0.3">
      <c r="C1271" s="59"/>
      <c r="D1271" s="8">
        <v>2018</v>
      </c>
      <c r="E1271" s="14">
        <f>Data!X1271</f>
        <v>0</v>
      </c>
    </row>
    <row r="1272" spans="2:5" ht="15" customHeight="1" x14ac:dyDescent="0.3">
      <c r="C1272" s="59"/>
      <c r="D1272" s="8">
        <v>2019</v>
      </c>
      <c r="E1272" s="14">
        <f>Data!X1272</f>
        <v>0</v>
      </c>
    </row>
    <row r="1273" spans="2:5" ht="15" customHeight="1" x14ac:dyDescent="0.3">
      <c r="C1273" s="59"/>
      <c r="D1273" s="8">
        <v>2020</v>
      </c>
      <c r="E1273" s="14">
        <f>Data!X1273</f>
        <v>0</v>
      </c>
    </row>
    <row r="1274" spans="2:5" ht="15" customHeight="1" x14ac:dyDescent="0.3">
      <c r="C1274" s="59"/>
      <c r="D1274" s="8">
        <v>2021</v>
      </c>
      <c r="E1274" s="14">
        <f>Data!X1274</f>
        <v>0</v>
      </c>
    </row>
    <row r="1275" spans="2:5" ht="15" customHeight="1" x14ac:dyDescent="0.3">
      <c r="C1275" s="59"/>
      <c r="D1275" s="8">
        <v>2022</v>
      </c>
      <c r="E1275" s="14">
        <f>Data!X1275</f>
        <v>0</v>
      </c>
    </row>
    <row r="1276" spans="2:5" ht="15" customHeight="1" x14ac:dyDescent="0.3">
      <c r="C1276" s="59"/>
      <c r="D1276" s="8">
        <v>2023</v>
      </c>
      <c r="E1276" s="14">
        <f>Data!X1276</f>
        <v>0</v>
      </c>
    </row>
    <row r="1277" spans="2:5" ht="15" customHeight="1" x14ac:dyDescent="0.3">
      <c r="C1277" s="59"/>
      <c r="D1277" s="8">
        <v>2024</v>
      </c>
      <c r="E1277" s="14">
        <f>Data!X1277</f>
        <v>0</v>
      </c>
    </row>
    <row r="1278" spans="2:5" ht="15" customHeight="1" x14ac:dyDescent="0.3">
      <c r="B1278" s="8">
        <v>117</v>
      </c>
      <c r="C1278" s="58" t="s">
        <v>65</v>
      </c>
      <c r="D1278" s="8">
        <v>2014</v>
      </c>
      <c r="E1278" s="14">
        <f>Data!X1278</f>
        <v>0</v>
      </c>
    </row>
    <row r="1279" spans="2:5" ht="15" customHeight="1" x14ac:dyDescent="0.3">
      <c r="C1279" s="58"/>
      <c r="D1279" s="8">
        <v>2015</v>
      </c>
      <c r="E1279" s="14">
        <f>Data!X1279</f>
        <v>0</v>
      </c>
    </row>
    <row r="1280" spans="2:5" ht="15" customHeight="1" x14ac:dyDescent="0.3">
      <c r="C1280" s="58"/>
      <c r="D1280" s="8">
        <v>2016</v>
      </c>
      <c r="E1280" s="14">
        <f>Data!X1280</f>
        <v>0</v>
      </c>
    </row>
    <row r="1281" spans="2:5" ht="15" customHeight="1" x14ac:dyDescent="0.3">
      <c r="C1281" s="58"/>
      <c r="D1281" s="8">
        <v>2017</v>
      </c>
      <c r="E1281" s="14">
        <f>Data!X1281</f>
        <v>0</v>
      </c>
    </row>
    <row r="1282" spans="2:5" ht="15" customHeight="1" x14ac:dyDescent="0.3">
      <c r="C1282" s="58"/>
      <c r="D1282" s="8">
        <v>2018</v>
      </c>
      <c r="E1282" s="14">
        <f>Data!X1282</f>
        <v>0</v>
      </c>
    </row>
    <row r="1283" spans="2:5" ht="15" customHeight="1" x14ac:dyDescent="0.3">
      <c r="C1283" s="58"/>
      <c r="D1283" s="8">
        <v>2019</v>
      </c>
      <c r="E1283" s="14">
        <f>Data!X1283</f>
        <v>0</v>
      </c>
    </row>
    <row r="1284" spans="2:5" ht="15" customHeight="1" x14ac:dyDescent="0.3">
      <c r="C1284" s="58"/>
      <c r="D1284" s="8">
        <v>2020</v>
      </c>
      <c r="E1284" s="14">
        <f>Data!X1284</f>
        <v>0</v>
      </c>
    </row>
    <row r="1285" spans="2:5" ht="15" customHeight="1" x14ac:dyDescent="0.3">
      <c r="C1285" s="58"/>
      <c r="D1285" s="8">
        <v>2021</v>
      </c>
      <c r="E1285" s="14">
        <f>Data!X1285</f>
        <v>0</v>
      </c>
    </row>
    <row r="1286" spans="2:5" ht="15" customHeight="1" x14ac:dyDescent="0.3">
      <c r="C1286" s="58"/>
      <c r="D1286" s="8">
        <v>2022</v>
      </c>
      <c r="E1286" s="14">
        <f>Data!X1286</f>
        <v>0</v>
      </c>
    </row>
    <row r="1287" spans="2:5" ht="15" customHeight="1" x14ac:dyDescent="0.3">
      <c r="C1287" s="58"/>
      <c r="D1287" s="8">
        <v>2023</v>
      </c>
      <c r="E1287" s="14">
        <f>Data!X1287</f>
        <v>0</v>
      </c>
    </row>
    <row r="1288" spans="2:5" ht="15" customHeight="1" x14ac:dyDescent="0.3">
      <c r="C1288" s="58"/>
      <c r="D1288" s="8">
        <v>2024</v>
      </c>
      <c r="E1288" s="14">
        <f>Data!X1288</f>
        <v>0</v>
      </c>
    </row>
    <row r="1289" spans="2:5" ht="15" customHeight="1" x14ac:dyDescent="0.3">
      <c r="B1289" s="8">
        <v>118</v>
      </c>
      <c r="C1289" s="56" t="s">
        <v>89</v>
      </c>
      <c r="D1289" s="8">
        <v>2014</v>
      </c>
      <c r="E1289" s="14">
        <f>Data!X1289</f>
        <v>0</v>
      </c>
    </row>
    <row r="1290" spans="2:5" ht="15" customHeight="1" x14ac:dyDescent="0.3">
      <c r="C1290" s="56"/>
      <c r="D1290" s="8">
        <v>2015</v>
      </c>
      <c r="E1290" s="14">
        <f>Data!X1290</f>
        <v>0</v>
      </c>
    </row>
    <row r="1291" spans="2:5" ht="15" customHeight="1" x14ac:dyDescent="0.3">
      <c r="C1291" s="56"/>
      <c r="D1291" s="8">
        <v>2016</v>
      </c>
      <c r="E1291" s="14">
        <f>Data!X1291</f>
        <v>0</v>
      </c>
    </row>
    <row r="1292" spans="2:5" ht="15" customHeight="1" x14ac:dyDescent="0.3">
      <c r="C1292" s="56"/>
      <c r="D1292" s="8">
        <v>2017</v>
      </c>
      <c r="E1292" s="14">
        <f>Data!X1292</f>
        <v>0</v>
      </c>
    </row>
    <row r="1293" spans="2:5" ht="15" customHeight="1" x14ac:dyDescent="0.3">
      <c r="C1293" s="56"/>
      <c r="D1293" s="8">
        <v>2018</v>
      </c>
      <c r="E1293" s="14">
        <f>Data!X1293</f>
        <v>0</v>
      </c>
    </row>
    <row r="1294" spans="2:5" ht="15" customHeight="1" x14ac:dyDescent="0.3">
      <c r="C1294" s="56"/>
      <c r="D1294" s="8">
        <v>2019</v>
      </c>
      <c r="E1294" s="14">
        <f>Data!X1294</f>
        <v>0</v>
      </c>
    </row>
    <row r="1295" spans="2:5" ht="15" customHeight="1" x14ac:dyDescent="0.3">
      <c r="C1295" s="56"/>
      <c r="D1295" s="8">
        <v>2020</v>
      </c>
      <c r="E1295" s="14">
        <f>Data!X1295</f>
        <v>0</v>
      </c>
    </row>
    <row r="1296" spans="2:5" ht="15" customHeight="1" x14ac:dyDescent="0.3">
      <c r="C1296" s="56"/>
      <c r="D1296" s="8">
        <v>2021</v>
      </c>
      <c r="E1296" s="14">
        <f>Data!X1296</f>
        <v>9</v>
      </c>
    </row>
    <row r="1297" spans="2:5" ht="15" customHeight="1" x14ac:dyDescent="0.3">
      <c r="C1297" s="56"/>
      <c r="D1297" s="8">
        <v>2022</v>
      </c>
      <c r="E1297" s="14">
        <f>Data!X1297</f>
        <v>7</v>
      </c>
    </row>
    <row r="1298" spans="2:5" ht="15" customHeight="1" x14ac:dyDescent="0.3">
      <c r="C1298" s="56"/>
      <c r="D1298" s="8">
        <v>2023</v>
      </c>
      <c r="E1298" s="14">
        <f>Data!X1298</f>
        <v>7</v>
      </c>
    </row>
    <row r="1299" spans="2:5" ht="15" customHeight="1" x14ac:dyDescent="0.3">
      <c r="C1299" s="56"/>
      <c r="D1299" s="8">
        <v>2024</v>
      </c>
      <c r="E1299" s="14">
        <f>Data!X1299</f>
        <v>8</v>
      </c>
    </row>
    <row r="1300" spans="2:5" ht="15" customHeight="1" x14ac:dyDescent="0.3">
      <c r="B1300" s="8">
        <v>119</v>
      </c>
      <c r="C1300" s="58" t="s">
        <v>72</v>
      </c>
      <c r="D1300" s="8">
        <v>2014</v>
      </c>
      <c r="E1300" s="14">
        <f>Data!X1300</f>
        <v>0</v>
      </c>
    </row>
    <row r="1301" spans="2:5" ht="15" customHeight="1" x14ac:dyDescent="0.3">
      <c r="C1301" s="58"/>
      <c r="D1301" s="8">
        <v>2015</v>
      </c>
      <c r="E1301" s="14">
        <f>Data!X1301</f>
        <v>0</v>
      </c>
    </row>
    <row r="1302" spans="2:5" ht="15" customHeight="1" x14ac:dyDescent="0.3">
      <c r="C1302" s="58"/>
      <c r="D1302" s="8">
        <v>2016</v>
      </c>
      <c r="E1302" s="14">
        <f>Data!X1302</f>
        <v>8</v>
      </c>
    </row>
    <row r="1303" spans="2:5" ht="15" customHeight="1" x14ac:dyDescent="0.3">
      <c r="C1303" s="58"/>
      <c r="D1303" s="8">
        <v>2017</v>
      </c>
      <c r="E1303" s="14">
        <f>Data!X1303</f>
        <v>6</v>
      </c>
    </row>
    <row r="1304" spans="2:5" ht="15" customHeight="1" x14ac:dyDescent="0.3">
      <c r="C1304" s="58"/>
      <c r="D1304" s="8">
        <v>2018</v>
      </c>
      <c r="E1304" s="14">
        <f>Data!X1304</f>
        <v>8</v>
      </c>
    </row>
    <row r="1305" spans="2:5" ht="15" customHeight="1" x14ac:dyDescent="0.3">
      <c r="C1305" s="58"/>
      <c r="D1305" s="8">
        <v>2019</v>
      </c>
      <c r="E1305" s="14">
        <f>Data!X1305</f>
        <v>9</v>
      </c>
    </row>
    <row r="1306" spans="2:5" ht="15" customHeight="1" x14ac:dyDescent="0.3">
      <c r="C1306" s="58"/>
      <c r="D1306" s="8">
        <v>2020</v>
      </c>
      <c r="E1306" s="14">
        <f>Data!X1306</f>
        <v>8</v>
      </c>
    </row>
    <row r="1307" spans="2:5" ht="15" customHeight="1" x14ac:dyDescent="0.3">
      <c r="C1307" s="58"/>
      <c r="D1307" s="8">
        <v>2021</v>
      </c>
      <c r="E1307" s="14">
        <f>Data!X1307</f>
        <v>8</v>
      </c>
    </row>
    <row r="1308" spans="2:5" ht="15" customHeight="1" x14ac:dyDescent="0.3">
      <c r="C1308" s="58"/>
      <c r="D1308" s="8">
        <v>2022</v>
      </c>
      <c r="E1308" s="14">
        <f>Data!X1308</f>
        <v>5</v>
      </c>
    </row>
    <row r="1309" spans="2:5" ht="15" customHeight="1" x14ac:dyDescent="0.3">
      <c r="C1309" s="58"/>
      <c r="D1309" s="8">
        <v>2023</v>
      </c>
      <c r="E1309" s="14">
        <f>Data!X1309</f>
        <v>5</v>
      </c>
    </row>
    <row r="1310" spans="2:5" ht="15" customHeight="1" x14ac:dyDescent="0.3">
      <c r="C1310" s="58"/>
      <c r="D1310" s="8">
        <v>2024</v>
      </c>
      <c r="E1310" s="14">
        <f>Data!X1310</f>
        <v>0</v>
      </c>
    </row>
    <row r="1311" spans="2:5" ht="15" customHeight="1" x14ac:dyDescent="0.3">
      <c r="B1311" s="8">
        <v>120</v>
      </c>
      <c r="C1311" s="58" t="s">
        <v>108</v>
      </c>
      <c r="D1311" s="8">
        <v>2014</v>
      </c>
      <c r="E1311" s="14">
        <f>Data!X1311</f>
        <v>0</v>
      </c>
    </row>
    <row r="1312" spans="2:5" ht="15" customHeight="1" x14ac:dyDescent="0.3">
      <c r="C1312" s="58"/>
      <c r="D1312" s="8">
        <v>2015</v>
      </c>
      <c r="E1312" s="14">
        <f>Data!X1312</f>
        <v>0</v>
      </c>
    </row>
    <row r="1313" spans="2:5" ht="15" customHeight="1" x14ac:dyDescent="0.3">
      <c r="C1313" s="58"/>
      <c r="D1313" s="8">
        <v>2016</v>
      </c>
      <c r="E1313" s="14">
        <f>Data!X1313</f>
        <v>0</v>
      </c>
    </row>
    <row r="1314" spans="2:5" ht="15" customHeight="1" x14ac:dyDescent="0.3">
      <c r="C1314" s="58"/>
      <c r="D1314" s="8">
        <v>2017</v>
      </c>
      <c r="E1314" s="14">
        <f>Data!X1314</f>
        <v>0</v>
      </c>
    </row>
    <row r="1315" spans="2:5" ht="15" customHeight="1" x14ac:dyDescent="0.3">
      <c r="C1315" s="58"/>
      <c r="D1315" s="8">
        <v>2018</v>
      </c>
      <c r="E1315" s="14">
        <f>Data!X1315</f>
        <v>0</v>
      </c>
    </row>
    <row r="1316" spans="2:5" ht="15" customHeight="1" x14ac:dyDescent="0.3">
      <c r="C1316" s="58"/>
      <c r="D1316" s="8">
        <v>2019</v>
      </c>
      <c r="E1316" s="14">
        <f>Data!X1316</f>
        <v>0</v>
      </c>
    </row>
    <row r="1317" spans="2:5" ht="15" customHeight="1" x14ac:dyDescent="0.3">
      <c r="C1317" s="58"/>
      <c r="D1317" s="8">
        <v>2020</v>
      </c>
      <c r="E1317" s="14">
        <f>Data!X1317</f>
        <v>0</v>
      </c>
    </row>
    <row r="1318" spans="2:5" ht="15" customHeight="1" x14ac:dyDescent="0.3">
      <c r="C1318" s="58"/>
      <c r="D1318" s="8">
        <v>2021</v>
      </c>
      <c r="E1318" s="14">
        <f>Data!X1318</f>
        <v>0</v>
      </c>
    </row>
    <row r="1319" spans="2:5" ht="15" customHeight="1" x14ac:dyDescent="0.3">
      <c r="C1319" s="58"/>
      <c r="D1319" s="8">
        <v>2022</v>
      </c>
      <c r="E1319" s="14">
        <f>Data!X1319</f>
        <v>0</v>
      </c>
    </row>
    <row r="1320" spans="2:5" ht="15" customHeight="1" x14ac:dyDescent="0.3">
      <c r="C1320" s="58"/>
      <c r="D1320" s="8">
        <v>2023</v>
      </c>
      <c r="E1320" s="14">
        <f>Data!X1320</f>
        <v>0</v>
      </c>
    </row>
    <row r="1321" spans="2:5" ht="15" customHeight="1" x14ac:dyDescent="0.3">
      <c r="C1321" s="58"/>
      <c r="D1321" s="8">
        <v>2024</v>
      </c>
      <c r="E1321" s="14">
        <f>Data!X1321</f>
        <v>0</v>
      </c>
    </row>
    <row r="1322" spans="2:5" ht="15" customHeight="1" x14ac:dyDescent="0.3">
      <c r="B1322" s="8">
        <v>121</v>
      </c>
      <c r="C1322" s="58" t="s">
        <v>77</v>
      </c>
      <c r="D1322" s="8">
        <v>2014</v>
      </c>
      <c r="E1322" s="14">
        <f>Data!X1322</f>
        <v>0</v>
      </c>
    </row>
    <row r="1323" spans="2:5" ht="15" customHeight="1" x14ac:dyDescent="0.3">
      <c r="C1323" s="58"/>
      <c r="D1323" s="8">
        <v>2015</v>
      </c>
      <c r="E1323" s="14">
        <f>Data!X1323</f>
        <v>0</v>
      </c>
    </row>
    <row r="1324" spans="2:5" ht="15" customHeight="1" x14ac:dyDescent="0.3">
      <c r="C1324" s="58"/>
      <c r="D1324" s="8">
        <v>2016</v>
      </c>
      <c r="E1324" s="14">
        <f>Data!X1324</f>
        <v>0</v>
      </c>
    </row>
    <row r="1325" spans="2:5" ht="15" customHeight="1" x14ac:dyDescent="0.3">
      <c r="C1325" s="58"/>
      <c r="D1325" s="8">
        <v>2017</v>
      </c>
      <c r="E1325" s="14">
        <f>Data!X1325</f>
        <v>0</v>
      </c>
    </row>
    <row r="1326" spans="2:5" ht="15" customHeight="1" x14ac:dyDescent="0.3">
      <c r="C1326" s="58"/>
      <c r="D1326" s="8">
        <v>2018</v>
      </c>
      <c r="E1326" s="14">
        <f>Data!X1326</f>
        <v>0</v>
      </c>
    </row>
    <row r="1327" spans="2:5" ht="15" customHeight="1" x14ac:dyDescent="0.3">
      <c r="C1327" s="58"/>
      <c r="D1327" s="8">
        <v>2019</v>
      </c>
      <c r="E1327" s="14">
        <f>Data!X1327</f>
        <v>0</v>
      </c>
    </row>
    <row r="1328" spans="2:5" ht="15" customHeight="1" x14ac:dyDescent="0.3">
      <c r="C1328" s="58"/>
      <c r="D1328" s="8">
        <v>2020</v>
      </c>
      <c r="E1328" s="14">
        <f>Data!X1328</f>
        <v>0</v>
      </c>
    </row>
    <row r="1329" spans="2:5" ht="15" customHeight="1" x14ac:dyDescent="0.3">
      <c r="C1329" s="58"/>
      <c r="D1329" s="8">
        <v>2021</v>
      </c>
      <c r="E1329" s="14">
        <f>Data!X1329</f>
        <v>0</v>
      </c>
    </row>
    <row r="1330" spans="2:5" ht="15" customHeight="1" x14ac:dyDescent="0.3">
      <c r="C1330" s="58"/>
      <c r="D1330" s="8">
        <v>2022</v>
      </c>
      <c r="E1330" s="14">
        <f>Data!X1330</f>
        <v>0</v>
      </c>
    </row>
    <row r="1331" spans="2:5" ht="15" customHeight="1" x14ac:dyDescent="0.3">
      <c r="C1331" s="58"/>
      <c r="D1331" s="8">
        <v>2023</v>
      </c>
      <c r="E1331" s="14">
        <f>Data!X1331</f>
        <v>0</v>
      </c>
    </row>
    <row r="1332" spans="2:5" ht="15" customHeight="1" x14ac:dyDescent="0.3">
      <c r="C1332" s="58"/>
      <c r="D1332" s="8">
        <v>2024</v>
      </c>
      <c r="E1332" s="14">
        <f>Data!X1332</f>
        <v>0</v>
      </c>
    </row>
    <row r="1333" spans="2:5" ht="15" customHeight="1" x14ac:dyDescent="0.3">
      <c r="B1333" s="8">
        <v>122</v>
      </c>
      <c r="C1333" s="58" t="s">
        <v>109</v>
      </c>
      <c r="D1333" s="8">
        <v>2014</v>
      </c>
      <c r="E1333" s="14">
        <f>Data!X1333</f>
        <v>0</v>
      </c>
    </row>
    <row r="1334" spans="2:5" ht="15" customHeight="1" x14ac:dyDescent="0.3">
      <c r="C1334" s="58"/>
      <c r="D1334" s="8">
        <v>2015</v>
      </c>
      <c r="E1334" s="14">
        <f>Data!X1334</f>
        <v>0</v>
      </c>
    </row>
    <row r="1335" spans="2:5" ht="15" customHeight="1" x14ac:dyDescent="0.3">
      <c r="C1335" s="58"/>
      <c r="D1335" s="8">
        <v>2016</v>
      </c>
      <c r="E1335" s="14">
        <f>Data!X1335</f>
        <v>0</v>
      </c>
    </row>
    <row r="1336" spans="2:5" ht="15" customHeight="1" x14ac:dyDescent="0.3">
      <c r="C1336" s="58"/>
      <c r="D1336" s="8">
        <v>2017</v>
      </c>
      <c r="E1336" s="14">
        <f>Data!X1336</f>
        <v>0</v>
      </c>
    </row>
    <row r="1337" spans="2:5" ht="15" customHeight="1" x14ac:dyDescent="0.3">
      <c r="C1337" s="58"/>
      <c r="D1337" s="8">
        <v>2018</v>
      </c>
      <c r="E1337" s="14">
        <f>Data!X1337</f>
        <v>0</v>
      </c>
    </row>
    <row r="1338" spans="2:5" ht="15" customHeight="1" x14ac:dyDescent="0.3">
      <c r="C1338" s="58"/>
      <c r="D1338" s="8">
        <v>2019</v>
      </c>
      <c r="E1338" s="14">
        <f>Data!X1338</f>
        <v>0</v>
      </c>
    </row>
    <row r="1339" spans="2:5" ht="15" customHeight="1" x14ac:dyDescent="0.3">
      <c r="C1339" s="58"/>
      <c r="D1339" s="8">
        <v>2020</v>
      </c>
      <c r="E1339" s="14">
        <f>Data!X1339</f>
        <v>0</v>
      </c>
    </row>
    <row r="1340" spans="2:5" ht="15" customHeight="1" x14ac:dyDescent="0.3">
      <c r="C1340" s="58"/>
      <c r="D1340" s="8">
        <v>2021</v>
      </c>
      <c r="E1340" s="14">
        <f>Data!X1340</f>
        <v>0</v>
      </c>
    </row>
    <row r="1341" spans="2:5" ht="15" customHeight="1" x14ac:dyDescent="0.3">
      <c r="C1341" s="58"/>
      <c r="D1341" s="8">
        <v>2022</v>
      </c>
      <c r="E1341" s="14">
        <f>Data!X1341</f>
        <v>0</v>
      </c>
    </row>
    <row r="1342" spans="2:5" ht="15" customHeight="1" x14ac:dyDescent="0.3">
      <c r="C1342" s="58"/>
      <c r="D1342" s="8">
        <v>2023</v>
      </c>
      <c r="E1342" s="14">
        <f>Data!X1342</f>
        <v>0</v>
      </c>
    </row>
    <row r="1343" spans="2:5" ht="15" customHeight="1" x14ac:dyDescent="0.3">
      <c r="C1343" s="58"/>
      <c r="D1343" s="8">
        <v>2024</v>
      </c>
      <c r="E1343" s="14">
        <f>Data!X1343</f>
        <v>0</v>
      </c>
    </row>
    <row r="1344" spans="2:5" ht="15" customHeight="1" x14ac:dyDescent="0.3">
      <c r="B1344" s="8">
        <v>123</v>
      </c>
      <c r="C1344" s="58" t="s">
        <v>78</v>
      </c>
      <c r="D1344" s="8">
        <v>2014</v>
      </c>
      <c r="E1344" s="14">
        <f>Data!X1344</f>
        <v>0</v>
      </c>
    </row>
    <row r="1345" spans="2:5" ht="15" customHeight="1" x14ac:dyDescent="0.3">
      <c r="C1345" s="58"/>
      <c r="D1345" s="8">
        <v>2015</v>
      </c>
      <c r="E1345" s="14">
        <f>Data!X1345</f>
        <v>0</v>
      </c>
    </row>
    <row r="1346" spans="2:5" ht="15" customHeight="1" x14ac:dyDescent="0.3">
      <c r="C1346" s="58"/>
      <c r="D1346" s="8">
        <v>2016</v>
      </c>
      <c r="E1346" s="14">
        <f>Data!X1346</f>
        <v>0</v>
      </c>
    </row>
    <row r="1347" spans="2:5" ht="15" customHeight="1" x14ac:dyDescent="0.3">
      <c r="C1347" s="58"/>
      <c r="D1347" s="8">
        <v>2017</v>
      </c>
      <c r="E1347" s="14">
        <f>Data!X1347</f>
        <v>0</v>
      </c>
    </row>
    <row r="1348" spans="2:5" ht="15" customHeight="1" x14ac:dyDescent="0.3">
      <c r="C1348" s="58"/>
      <c r="D1348" s="8">
        <v>2018</v>
      </c>
      <c r="E1348" s="14">
        <f>Data!X1348</f>
        <v>0</v>
      </c>
    </row>
    <row r="1349" spans="2:5" ht="15" customHeight="1" x14ac:dyDescent="0.3">
      <c r="C1349" s="58"/>
      <c r="D1349" s="8">
        <v>2019</v>
      </c>
      <c r="E1349" s="14">
        <f>Data!X1349</f>
        <v>0</v>
      </c>
    </row>
    <row r="1350" spans="2:5" ht="15" customHeight="1" x14ac:dyDescent="0.3">
      <c r="C1350" s="58"/>
      <c r="D1350" s="8">
        <v>2020</v>
      </c>
      <c r="E1350" s="14">
        <f>Data!X1350</f>
        <v>0</v>
      </c>
    </row>
    <row r="1351" spans="2:5" ht="15" customHeight="1" x14ac:dyDescent="0.3">
      <c r="C1351" s="58"/>
      <c r="D1351" s="8">
        <v>2021</v>
      </c>
      <c r="E1351" s="14">
        <f>Data!X1351</f>
        <v>0</v>
      </c>
    </row>
    <row r="1352" spans="2:5" ht="15" customHeight="1" x14ac:dyDescent="0.3">
      <c r="C1352" s="58"/>
      <c r="D1352" s="8">
        <v>2022</v>
      </c>
      <c r="E1352" s="14">
        <f>Data!X1352</f>
        <v>0</v>
      </c>
    </row>
    <row r="1353" spans="2:5" ht="15" customHeight="1" x14ac:dyDescent="0.3">
      <c r="C1353" s="58"/>
      <c r="D1353" s="8">
        <v>2023</v>
      </c>
      <c r="E1353" s="14">
        <f>Data!X1353</f>
        <v>0</v>
      </c>
    </row>
    <row r="1354" spans="2:5" ht="15" customHeight="1" x14ac:dyDescent="0.3">
      <c r="C1354" s="58"/>
      <c r="D1354" s="8">
        <v>2024</v>
      </c>
      <c r="E1354" s="14">
        <f>Data!X1354</f>
        <v>0</v>
      </c>
    </row>
    <row r="1355" spans="2:5" ht="15" customHeight="1" x14ac:dyDescent="0.3">
      <c r="B1355" s="8">
        <v>124</v>
      </c>
      <c r="C1355" s="58" t="s">
        <v>110</v>
      </c>
      <c r="D1355" s="8">
        <v>2014</v>
      </c>
      <c r="E1355" s="14">
        <f>Data!X1355</f>
        <v>0</v>
      </c>
    </row>
    <row r="1356" spans="2:5" ht="15" customHeight="1" x14ac:dyDescent="0.3">
      <c r="C1356" s="58"/>
      <c r="D1356" s="8">
        <v>2015</v>
      </c>
      <c r="E1356" s="14">
        <f>Data!X1356</f>
        <v>3</v>
      </c>
    </row>
    <row r="1357" spans="2:5" ht="15" customHeight="1" x14ac:dyDescent="0.3">
      <c r="C1357" s="58"/>
      <c r="D1357" s="8">
        <v>2016</v>
      </c>
      <c r="E1357" s="14">
        <f>Data!X1357</f>
        <v>3</v>
      </c>
    </row>
    <row r="1358" spans="2:5" ht="15" customHeight="1" x14ac:dyDescent="0.3">
      <c r="C1358" s="58"/>
      <c r="D1358" s="8">
        <v>2017</v>
      </c>
      <c r="E1358" s="14">
        <f>Data!X1358</f>
        <v>3</v>
      </c>
    </row>
    <row r="1359" spans="2:5" ht="15" customHeight="1" x14ac:dyDescent="0.3">
      <c r="C1359" s="58"/>
      <c r="D1359" s="8">
        <v>2018</v>
      </c>
      <c r="E1359" s="14">
        <f>Data!X1359</f>
        <v>3</v>
      </c>
    </row>
    <row r="1360" spans="2:5" ht="15" customHeight="1" x14ac:dyDescent="0.3">
      <c r="C1360" s="58"/>
      <c r="D1360" s="8">
        <v>2019</v>
      </c>
      <c r="E1360" s="14">
        <f>Data!X1360</f>
        <v>3</v>
      </c>
    </row>
    <row r="1361" spans="2:5" ht="15" customHeight="1" x14ac:dyDescent="0.3">
      <c r="C1361" s="58"/>
      <c r="D1361" s="8">
        <v>2020</v>
      </c>
      <c r="E1361" s="14">
        <f>Data!X1361</f>
        <v>6</v>
      </c>
    </row>
    <row r="1362" spans="2:5" ht="15" customHeight="1" x14ac:dyDescent="0.3">
      <c r="C1362" s="58"/>
      <c r="D1362" s="8">
        <v>2021</v>
      </c>
      <c r="E1362" s="14">
        <f>Data!X1362</f>
        <v>6</v>
      </c>
    </row>
    <row r="1363" spans="2:5" ht="15" customHeight="1" x14ac:dyDescent="0.3">
      <c r="C1363" s="58"/>
      <c r="D1363" s="8">
        <v>2022</v>
      </c>
      <c r="E1363" s="14">
        <f>Data!X1363</f>
        <v>6</v>
      </c>
    </row>
    <row r="1364" spans="2:5" ht="15" customHeight="1" x14ac:dyDescent="0.3">
      <c r="C1364" s="58"/>
      <c r="D1364" s="8">
        <v>2023</v>
      </c>
      <c r="E1364" s="14">
        <f>Data!X1364</f>
        <v>6</v>
      </c>
    </row>
    <row r="1365" spans="2:5" ht="15" customHeight="1" x14ac:dyDescent="0.3">
      <c r="C1365" s="58"/>
      <c r="D1365" s="8">
        <v>2024</v>
      </c>
      <c r="E1365" s="14">
        <f>Data!X1365</f>
        <v>3</v>
      </c>
    </row>
    <row r="1366" spans="2:5" ht="15" customHeight="1" x14ac:dyDescent="0.3">
      <c r="B1366" s="8">
        <v>125</v>
      </c>
      <c r="C1366" s="58" t="s">
        <v>111</v>
      </c>
      <c r="D1366" s="8">
        <v>2014</v>
      </c>
      <c r="E1366" s="14">
        <f>Data!X1366</f>
        <v>0</v>
      </c>
    </row>
    <row r="1367" spans="2:5" ht="15" customHeight="1" x14ac:dyDescent="0.3">
      <c r="C1367" s="58"/>
      <c r="D1367" s="8">
        <v>2015</v>
      </c>
      <c r="E1367" s="14">
        <f>Data!X1367</f>
        <v>0</v>
      </c>
    </row>
    <row r="1368" spans="2:5" ht="15" customHeight="1" x14ac:dyDescent="0.3">
      <c r="C1368" s="58"/>
      <c r="D1368" s="8">
        <v>2016</v>
      </c>
      <c r="E1368" s="14">
        <f>Data!X1368</f>
        <v>0</v>
      </c>
    </row>
    <row r="1369" spans="2:5" ht="15" customHeight="1" x14ac:dyDescent="0.3">
      <c r="C1369" s="58"/>
      <c r="D1369" s="8">
        <v>2017</v>
      </c>
      <c r="E1369" s="14">
        <f>Data!X1369</f>
        <v>0</v>
      </c>
    </row>
    <row r="1370" spans="2:5" ht="15" customHeight="1" x14ac:dyDescent="0.3">
      <c r="C1370" s="58"/>
      <c r="D1370" s="8">
        <v>2018</v>
      </c>
      <c r="E1370" s="14">
        <f>Data!X1370</f>
        <v>0</v>
      </c>
    </row>
    <row r="1371" spans="2:5" ht="15" customHeight="1" x14ac:dyDescent="0.3">
      <c r="C1371" s="58"/>
      <c r="D1371" s="8">
        <v>2019</v>
      </c>
      <c r="E1371" s="14">
        <f>Data!X1371</f>
        <v>0</v>
      </c>
    </row>
    <row r="1372" spans="2:5" ht="15" customHeight="1" x14ac:dyDescent="0.3">
      <c r="C1372" s="58"/>
      <c r="D1372" s="8">
        <v>2020</v>
      </c>
      <c r="E1372" s="14">
        <f>Data!X1372</f>
        <v>0</v>
      </c>
    </row>
    <row r="1373" spans="2:5" ht="15" customHeight="1" x14ac:dyDescent="0.3">
      <c r="C1373" s="58"/>
      <c r="D1373" s="8">
        <v>2021</v>
      </c>
      <c r="E1373" s="14">
        <f>Data!X1373</f>
        <v>0</v>
      </c>
    </row>
    <row r="1374" spans="2:5" ht="15" customHeight="1" x14ac:dyDescent="0.3">
      <c r="C1374" s="58"/>
      <c r="D1374" s="8">
        <v>2022</v>
      </c>
      <c r="E1374" s="14">
        <f>Data!X1374</f>
        <v>0</v>
      </c>
    </row>
    <row r="1375" spans="2:5" ht="15" customHeight="1" x14ac:dyDescent="0.3">
      <c r="C1375" s="58"/>
      <c r="D1375" s="8">
        <v>2023</v>
      </c>
      <c r="E1375" s="14">
        <f>Data!X1375</f>
        <v>0</v>
      </c>
    </row>
    <row r="1376" spans="2:5" ht="15" customHeight="1" x14ac:dyDescent="0.3">
      <c r="C1376" s="58"/>
      <c r="D1376" s="8">
        <v>2024</v>
      </c>
      <c r="E1376" s="14">
        <f>Data!X1376</f>
        <v>0</v>
      </c>
    </row>
    <row r="1377" spans="2:5" ht="15" customHeight="1" x14ac:dyDescent="0.3">
      <c r="B1377" s="8">
        <v>126</v>
      </c>
      <c r="C1377" s="58" t="s">
        <v>86</v>
      </c>
      <c r="D1377" s="8">
        <v>2014</v>
      </c>
      <c r="E1377" s="14">
        <f>Data!X1377</f>
        <v>0</v>
      </c>
    </row>
    <row r="1378" spans="2:5" ht="15" customHeight="1" x14ac:dyDescent="0.3">
      <c r="C1378" s="58"/>
      <c r="D1378" s="8">
        <v>2015</v>
      </c>
      <c r="E1378" s="14">
        <f>Data!X1378</f>
        <v>0</v>
      </c>
    </row>
    <row r="1379" spans="2:5" ht="15" customHeight="1" x14ac:dyDescent="0.3">
      <c r="C1379" s="58"/>
      <c r="D1379" s="8">
        <v>2016</v>
      </c>
      <c r="E1379" s="14">
        <f>Data!X1379</f>
        <v>5</v>
      </c>
    </row>
    <row r="1380" spans="2:5" ht="15" customHeight="1" x14ac:dyDescent="0.3">
      <c r="C1380" s="58"/>
      <c r="D1380" s="8">
        <v>2017</v>
      </c>
      <c r="E1380" s="14">
        <f>Data!X1380</f>
        <v>5</v>
      </c>
    </row>
    <row r="1381" spans="2:5" ht="15" customHeight="1" x14ac:dyDescent="0.3">
      <c r="C1381" s="58"/>
      <c r="D1381" s="8">
        <v>2018</v>
      </c>
      <c r="E1381" s="14">
        <f>Data!X1381</f>
        <v>5</v>
      </c>
    </row>
    <row r="1382" spans="2:5" ht="15" customHeight="1" x14ac:dyDescent="0.3">
      <c r="C1382" s="58"/>
      <c r="D1382" s="8">
        <v>2019</v>
      </c>
      <c r="E1382" s="14">
        <f>Data!X1382</f>
        <v>5</v>
      </c>
    </row>
    <row r="1383" spans="2:5" ht="15" customHeight="1" x14ac:dyDescent="0.3">
      <c r="C1383" s="58"/>
      <c r="D1383" s="8">
        <v>2020</v>
      </c>
      <c r="E1383" s="14">
        <f>Data!X1383</f>
        <v>5</v>
      </c>
    </row>
    <row r="1384" spans="2:5" ht="15" customHeight="1" x14ac:dyDescent="0.3">
      <c r="C1384" s="58"/>
      <c r="D1384" s="8">
        <v>2021</v>
      </c>
      <c r="E1384" s="14">
        <f>Data!X1384</f>
        <v>10</v>
      </c>
    </row>
    <row r="1385" spans="2:5" ht="15" customHeight="1" x14ac:dyDescent="0.3">
      <c r="C1385" s="58"/>
      <c r="D1385" s="8">
        <v>2022</v>
      </c>
      <c r="E1385" s="14">
        <f>Data!X1385</f>
        <v>9</v>
      </c>
    </row>
    <row r="1386" spans="2:5" ht="15" customHeight="1" x14ac:dyDescent="0.3">
      <c r="C1386" s="58"/>
      <c r="D1386" s="8">
        <v>2023</v>
      </c>
      <c r="E1386" s="14">
        <f>Data!X1386</f>
        <v>12</v>
      </c>
    </row>
    <row r="1387" spans="2:5" ht="15" customHeight="1" x14ac:dyDescent="0.3">
      <c r="C1387" s="58"/>
      <c r="D1387" s="8">
        <v>2024</v>
      </c>
      <c r="E1387" s="14">
        <f>Data!X1387</f>
        <v>12</v>
      </c>
    </row>
    <row r="1388" spans="2:5" ht="15" customHeight="1" x14ac:dyDescent="0.3">
      <c r="B1388" s="8">
        <v>127</v>
      </c>
      <c r="C1388" s="58" t="s">
        <v>112</v>
      </c>
      <c r="D1388" s="8">
        <v>2014</v>
      </c>
      <c r="E1388" s="14">
        <f>Data!X1388</f>
        <v>0</v>
      </c>
    </row>
    <row r="1389" spans="2:5" ht="15" customHeight="1" x14ac:dyDescent="0.3">
      <c r="C1389" s="58"/>
      <c r="D1389" s="8">
        <v>2015</v>
      </c>
      <c r="E1389" s="14">
        <f>Data!X1389</f>
        <v>0</v>
      </c>
    </row>
    <row r="1390" spans="2:5" ht="15" customHeight="1" x14ac:dyDescent="0.3">
      <c r="C1390" s="58"/>
      <c r="D1390" s="8">
        <v>2016</v>
      </c>
      <c r="E1390" s="14">
        <f>Data!X1390</f>
        <v>0</v>
      </c>
    </row>
    <row r="1391" spans="2:5" ht="15" customHeight="1" x14ac:dyDescent="0.3">
      <c r="C1391" s="58"/>
      <c r="D1391" s="8">
        <v>2017</v>
      </c>
      <c r="E1391" s="14">
        <f>Data!X1391</f>
        <v>7</v>
      </c>
    </row>
    <row r="1392" spans="2:5" ht="15" customHeight="1" x14ac:dyDescent="0.3">
      <c r="C1392" s="58"/>
      <c r="D1392" s="8">
        <v>2018</v>
      </c>
      <c r="E1392" s="14">
        <f>Data!X1392</f>
        <v>6</v>
      </c>
    </row>
    <row r="1393" spans="2:5" ht="15" customHeight="1" x14ac:dyDescent="0.3">
      <c r="C1393" s="58"/>
      <c r="D1393" s="8">
        <v>2019</v>
      </c>
      <c r="E1393" s="14">
        <f>Data!X1393</f>
        <v>6</v>
      </c>
    </row>
    <row r="1394" spans="2:5" ht="15" customHeight="1" x14ac:dyDescent="0.3">
      <c r="C1394" s="58"/>
      <c r="D1394" s="8">
        <v>2020</v>
      </c>
      <c r="E1394" s="14">
        <f>Data!X1394</f>
        <v>6</v>
      </c>
    </row>
    <row r="1395" spans="2:5" ht="15" customHeight="1" x14ac:dyDescent="0.3">
      <c r="C1395" s="58"/>
      <c r="D1395" s="8">
        <v>2021</v>
      </c>
      <c r="E1395" s="14">
        <f>Data!X1395</f>
        <v>6</v>
      </c>
    </row>
    <row r="1396" spans="2:5" ht="15" customHeight="1" x14ac:dyDescent="0.3">
      <c r="C1396" s="58"/>
      <c r="D1396" s="8">
        <v>2022</v>
      </c>
      <c r="E1396" s="14">
        <f>Data!X1396</f>
        <v>6</v>
      </c>
    </row>
    <row r="1397" spans="2:5" ht="15" customHeight="1" x14ac:dyDescent="0.3">
      <c r="C1397" s="58"/>
      <c r="D1397" s="8">
        <v>2023</v>
      </c>
      <c r="E1397" s="14">
        <f>Data!X1397</f>
        <v>6</v>
      </c>
    </row>
    <row r="1398" spans="2:5" ht="15" customHeight="1" x14ac:dyDescent="0.3">
      <c r="C1398" s="58"/>
      <c r="D1398" s="8">
        <v>2024</v>
      </c>
      <c r="E1398" s="14">
        <f>Data!X1398</f>
        <v>7</v>
      </c>
    </row>
    <row r="1399" spans="2:5" ht="15" customHeight="1" x14ac:dyDescent="0.3">
      <c r="B1399" s="8">
        <v>128</v>
      </c>
      <c r="C1399" s="58" t="s">
        <v>92</v>
      </c>
      <c r="D1399" s="8">
        <v>2014</v>
      </c>
      <c r="E1399" s="14">
        <f>Data!X1399</f>
        <v>0</v>
      </c>
    </row>
    <row r="1400" spans="2:5" ht="15" customHeight="1" x14ac:dyDescent="0.3">
      <c r="C1400" s="58"/>
      <c r="D1400" s="8">
        <v>2015</v>
      </c>
      <c r="E1400" s="14">
        <f>Data!X1400</f>
        <v>0</v>
      </c>
    </row>
    <row r="1401" spans="2:5" ht="15" customHeight="1" x14ac:dyDescent="0.3">
      <c r="C1401" s="58"/>
      <c r="D1401" s="8">
        <v>2016</v>
      </c>
      <c r="E1401" s="14">
        <f>Data!X1401</f>
        <v>0</v>
      </c>
    </row>
    <row r="1402" spans="2:5" ht="15" customHeight="1" x14ac:dyDescent="0.3">
      <c r="C1402" s="58"/>
      <c r="D1402" s="8">
        <v>2017</v>
      </c>
      <c r="E1402" s="14">
        <f>Data!X1402</f>
        <v>0</v>
      </c>
    </row>
    <row r="1403" spans="2:5" ht="15" customHeight="1" x14ac:dyDescent="0.3">
      <c r="C1403" s="58"/>
      <c r="D1403" s="8">
        <v>2018</v>
      </c>
      <c r="E1403" s="14">
        <f>Data!X1403</f>
        <v>0</v>
      </c>
    </row>
    <row r="1404" spans="2:5" ht="15" customHeight="1" x14ac:dyDescent="0.3">
      <c r="C1404" s="58"/>
      <c r="D1404" s="8">
        <v>2019</v>
      </c>
      <c r="E1404" s="14">
        <f>Data!X1404</f>
        <v>0</v>
      </c>
    </row>
    <row r="1405" spans="2:5" ht="15" customHeight="1" x14ac:dyDescent="0.3">
      <c r="C1405" s="58"/>
      <c r="D1405" s="8">
        <v>2020</v>
      </c>
      <c r="E1405" s="14">
        <f>Data!X1405</f>
        <v>0</v>
      </c>
    </row>
    <row r="1406" spans="2:5" ht="15" customHeight="1" x14ac:dyDescent="0.3">
      <c r="C1406" s="58"/>
      <c r="D1406" s="8">
        <v>2021</v>
      </c>
      <c r="E1406" s="14">
        <f>Data!X1406</f>
        <v>0</v>
      </c>
    </row>
    <row r="1407" spans="2:5" ht="15" customHeight="1" x14ac:dyDescent="0.3">
      <c r="C1407" s="58"/>
      <c r="D1407" s="8">
        <v>2022</v>
      </c>
      <c r="E1407" s="14">
        <f>Data!X1407</f>
        <v>0</v>
      </c>
    </row>
    <row r="1408" spans="2:5" ht="15" customHeight="1" x14ac:dyDescent="0.3">
      <c r="C1408" s="58"/>
      <c r="D1408" s="8">
        <v>2023</v>
      </c>
      <c r="E1408" s="14">
        <f>Data!X1408</f>
        <v>0</v>
      </c>
    </row>
    <row r="1409" spans="2:5" ht="15" customHeight="1" x14ac:dyDescent="0.3">
      <c r="C1409" s="58"/>
      <c r="D1409" s="8">
        <v>2024</v>
      </c>
      <c r="E1409" s="14">
        <f>Data!X1409</f>
        <v>0</v>
      </c>
    </row>
    <row r="1410" spans="2:5" ht="15" customHeight="1" x14ac:dyDescent="0.3">
      <c r="B1410" s="8">
        <v>129</v>
      </c>
      <c r="C1410" s="58" t="s">
        <v>87</v>
      </c>
      <c r="D1410" s="8">
        <v>2014</v>
      </c>
      <c r="E1410" s="14">
        <f>Data!X1410</f>
        <v>0</v>
      </c>
    </row>
    <row r="1411" spans="2:5" ht="15" customHeight="1" x14ac:dyDescent="0.3">
      <c r="C1411" s="58"/>
      <c r="D1411" s="8">
        <v>2015</v>
      </c>
      <c r="E1411" s="14">
        <f>Data!X1411</f>
        <v>0</v>
      </c>
    </row>
    <row r="1412" spans="2:5" ht="15" customHeight="1" x14ac:dyDescent="0.3">
      <c r="C1412" s="58"/>
      <c r="D1412" s="8">
        <v>2016</v>
      </c>
      <c r="E1412" s="14">
        <f>Data!X1412</f>
        <v>0</v>
      </c>
    </row>
    <row r="1413" spans="2:5" ht="15" customHeight="1" x14ac:dyDescent="0.3">
      <c r="C1413" s="58"/>
      <c r="D1413" s="8">
        <v>2017</v>
      </c>
      <c r="E1413" s="14">
        <f>Data!X1413</f>
        <v>0</v>
      </c>
    </row>
    <row r="1414" spans="2:5" ht="15" customHeight="1" x14ac:dyDescent="0.3">
      <c r="C1414" s="58"/>
      <c r="D1414" s="8">
        <v>2018</v>
      </c>
      <c r="E1414" s="14">
        <f>Data!X1414</f>
        <v>0</v>
      </c>
    </row>
    <row r="1415" spans="2:5" ht="15" customHeight="1" x14ac:dyDescent="0.3">
      <c r="C1415" s="58"/>
      <c r="D1415" s="8">
        <v>2019</v>
      </c>
      <c r="E1415" s="14">
        <f>Data!X1415</f>
        <v>0</v>
      </c>
    </row>
    <row r="1416" spans="2:5" ht="15" customHeight="1" x14ac:dyDescent="0.3">
      <c r="C1416" s="58"/>
      <c r="D1416" s="8">
        <v>2020</v>
      </c>
      <c r="E1416" s="14">
        <f>Data!X1416</f>
        <v>0</v>
      </c>
    </row>
    <row r="1417" spans="2:5" ht="15" customHeight="1" x14ac:dyDescent="0.3">
      <c r="C1417" s="58"/>
      <c r="D1417" s="8">
        <v>2021</v>
      </c>
      <c r="E1417" s="14">
        <f>Data!X1417</f>
        <v>0</v>
      </c>
    </row>
    <row r="1418" spans="2:5" ht="15" customHeight="1" x14ac:dyDescent="0.3">
      <c r="C1418" s="58"/>
      <c r="D1418" s="8">
        <v>2022</v>
      </c>
      <c r="E1418" s="14">
        <f>Data!X1418</f>
        <v>0</v>
      </c>
    </row>
    <row r="1419" spans="2:5" ht="15" customHeight="1" x14ac:dyDescent="0.3">
      <c r="C1419" s="58"/>
      <c r="D1419" s="8">
        <v>2023</v>
      </c>
      <c r="E1419" s="14">
        <f>Data!X1419</f>
        <v>0</v>
      </c>
    </row>
    <row r="1420" spans="2:5" ht="15" customHeight="1" x14ac:dyDescent="0.3">
      <c r="C1420" s="58"/>
      <c r="D1420" s="8">
        <v>2024</v>
      </c>
      <c r="E1420" s="14">
        <f>Data!X1420</f>
        <v>0</v>
      </c>
    </row>
    <row r="1421" spans="2:5" ht="15" customHeight="1" x14ac:dyDescent="0.3">
      <c r="B1421" s="8">
        <v>130</v>
      </c>
      <c r="C1421" s="58" t="s">
        <v>113</v>
      </c>
      <c r="D1421" s="8">
        <v>2014</v>
      </c>
      <c r="E1421" s="14">
        <f>Data!X1421</f>
        <v>0</v>
      </c>
    </row>
    <row r="1422" spans="2:5" ht="15" customHeight="1" x14ac:dyDescent="0.3">
      <c r="C1422" s="58"/>
      <c r="D1422" s="8">
        <v>2015</v>
      </c>
      <c r="E1422" s="14">
        <f>Data!X1422</f>
        <v>0</v>
      </c>
    </row>
    <row r="1423" spans="2:5" ht="15" customHeight="1" x14ac:dyDescent="0.3">
      <c r="C1423" s="58"/>
      <c r="D1423" s="8">
        <v>2016</v>
      </c>
      <c r="E1423" s="14">
        <f>Data!X1423</f>
        <v>0</v>
      </c>
    </row>
    <row r="1424" spans="2:5" ht="15" customHeight="1" x14ac:dyDescent="0.3">
      <c r="C1424" s="58"/>
      <c r="D1424" s="8">
        <v>2017</v>
      </c>
      <c r="E1424" s="14">
        <f>Data!X1424</f>
        <v>0</v>
      </c>
    </row>
    <row r="1425" spans="2:5" ht="15" customHeight="1" x14ac:dyDescent="0.3">
      <c r="C1425" s="58"/>
      <c r="D1425" s="8">
        <v>2018</v>
      </c>
      <c r="E1425" s="14">
        <f>Data!X1425</f>
        <v>0</v>
      </c>
    </row>
    <row r="1426" spans="2:5" ht="15" customHeight="1" x14ac:dyDescent="0.3">
      <c r="C1426" s="58"/>
      <c r="D1426" s="8">
        <v>2019</v>
      </c>
      <c r="E1426" s="14">
        <f>Data!X1426</f>
        <v>0</v>
      </c>
    </row>
    <row r="1427" spans="2:5" ht="15" customHeight="1" x14ac:dyDescent="0.3">
      <c r="C1427" s="58"/>
      <c r="D1427" s="8">
        <v>2020</v>
      </c>
      <c r="E1427" s="14">
        <f>Data!X1427</f>
        <v>0</v>
      </c>
    </row>
    <row r="1428" spans="2:5" ht="15" customHeight="1" x14ac:dyDescent="0.3">
      <c r="C1428" s="58"/>
      <c r="D1428" s="8">
        <v>2021</v>
      </c>
      <c r="E1428" s="14">
        <f>Data!X1428</f>
        <v>0</v>
      </c>
    </row>
    <row r="1429" spans="2:5" ht="15" customHeight="1" x14ac:dyDescent="0.3">
      <c r="C1429" s="58"/>
      <c r="D1429" s="8">
        <v>2022</v>
      </c>
      <c r="E1429" s="14">
        <f>Data!X1429</f>
        <v>0</v>
      </c>
    </row>
    <row r="1430" spans="2:5" ht="15" customHeight="1" x14ac:dyDescent="0.3">
      <c r="C1430" s="58"/>
      <c r="D1430" s="8">
        <v>2023</v>
      </c>
      <c r="E1430" s="14">
        <f>Data!X1430</f>
        <v>0</v>
      </c>
    </row>
    <row r="1431" spans="2:5" ht="15" customHeight="1" x14ac:dyDescent="0.3">
      <c r="C1431" s="58"/>
      <c r="D1431" s="8">
        <v>2024</v>
      </c>
      <c r="E1431" s="14">
        <f>Data!X1431</f>
        <v>0</v>
      </c>
    </row>
    <row r="1432" spans="2:5" ht="15" customHeight="1" x14ac:dyDescent="0.3">
      <c r="B1432" s="8">
        <v>131</v>
      </c>
      <c r="C1432" s="58" t="s">
        <v>121</v>
      </c>
      <c r="D1432" s="8">
        <v>2014</v>
      </c>
      <c r="E1432" s="14">
        <f>Data!X1432</f>
        <v>0</v>
      </c>
    </row>
    <row r="1433" spans="2:5" ht="15" customHeight="1" x14ac:dyDescent="0.3">
      <c r="C1433" s="58"/>
      <c r="D1433" s="8">
        <v>2015</v>
      </c>
      <c r="E1433" s="14">
        <f>Data!X1433</f>
        <v>0</v>
      </c>
    </row>
    <row r="1434" spans="2:5" ht="15" customHeight="1" x14ac:dyDescent="0.3">
      <c r="C1434" s="58"/>
      <c r="D1434" s="8">
        <v>2016</v>
      </c>
      <c r="E1434" s="14">
        <f>Data!X1434</f>
        <v>0</v>
      </c>
    </row>
    <row r="1435" spans="2:5" ht="15" customHeight="1" x14ac:dyDescent="0.3">
      <c r="C1435" s="58"/>
      <c r="D1435" s="8">
        <v>2017</v>
      </c>
      <c r="E1435" s="14">
        <f>Data!X1435</f>
        <v>0</v>
      </c>
    </row>
    <row r="1436" spans="2:5" ht="15" customHeight="1" x14ac:dyDescent="0.3">
      <c r="C1436" s="58"/>
      <c r="D1436" s="8">
        <v>2018</v>
      </c>
      <c r="E1436" s="14">
        <f>Data!X1436</f>
        <v>0</v>
      </c>
    </row>
    <row r="1437" spans="2:5" ht="15" customHeight="1" x14ac:dyDescent="0.3">
      <c r="C1437" s="58"/>
      <c r="D1437" s="8">
        <v>2019</v>
      </c>
      <c r="E1437" s="14">
        <f>Data!X1437</f>
        <v>0</v>
      </c>
    </row>
    <row r="1438" spans="2:5" ht="15" customHeight="1" x14ac:dyDescent="0.3">
      <c r="C1438" s="58"/>
      <c r="D1438" s="8">
        <v>2020</v>
      </c>
      <c r="E1438" s="14">
        <f>Data!X1438</f>
        <v>0</v>
      </c>
    </row>
    <row r="1439" spans="2:5" ht="15" customHeight="1" x14ac:dyDescent="0.3">
      <c r="C1439" s="58"/>
      <c r="D1439" s="8">
        <v>2021</v>
      </c>
      <c r="E1439" s="14">
        <f>Data!X1439</f>
        <v>0</v>
      </c>
    </row>
    <row r="1440" spans="2:5" ht="15" customHeight="1" x14ac:dyDescent="0.3">
      <c r="C1440" s="58"/>
      <c r="D1440" s="8">
        <v>2022</v>
      </c>
      <c r="E1440" s="14">
        <f>Data!X1440</f>
        <v>0</v>
      </c>
    </row>
    <row r="1441" spans="2:5" ht="15" customHeight="1" x14ac:dyDescent="0.3">
      <c r="C1441" s="58"/>
      <c r="D1441" s="8">
        <v>2023</v>
      </c>
      <c r="E1441" s="14">
        <f>Data!X1441</f>
        <v>0</v>
      </c>
    </row>
    <row r="1442" spans="2:5" ht="15" customHeight="1" x14ac:dyDescent="0.3">
      <c r="C1442" s="58"/>
      <c r="D1442" s="8">
        <v>2024</v>
      </c>
      <c r="E1442" s="14">
        <f>Data!X1442</f>
        <v>0</v>
      </c>
    </row>
    <row r="1443" spans="2:5" ht="15" customHeight="1" x14ac:dyDescent="0.3">
      <c r="B1443" s="8">
        <v>132</v>
      </c>
      <c r="C1443" s="58" t="s">
        <v>85</v>
      </c>
      <c r="D1443" s="8">
        <v>2014</v>
      </c>
      <c r="E1443" s="14">
        <f>Data!X1443</f>
        <v>0</v>
      </c>
    </row>
    <row r="1444" spans="2:5" ht="15" customHeight="1" x14ac:dyDescent="0.3">
      <c r="C1444" s="58"/>
      <c r="D1444" s="8">
        <v>2015</v>
      </c>
      <c r="E1444" s="14">
        <f>Data!X1444</f>
        <v>0</v>
      </c>
    </row>
    <row r="1445" spans="2:5" ht="15" customHeight="1" x14ac:dyDescent="0.3">
      <c r="C1445" s="58"/>
      <c r="D1445" s="8">
        <v>2016</v>
      </c>
      <c r="E1445" s="14">
        <f>Data!X1445</f>
        <v>0</v>
      </c>
    </row>
    <row r="1446" spans="2:5" ht="15" customHeight="1" x14ac:dyDescent="0.3">
      <c r="C1446" s="58"/>
      <c r="D1446" s="8">
        <v>2017</v>
      </c>
      <c r="E1446" s="14">
        <f>Data!X1446</f>
        <v>0</v>
      </c>
    </row>
    <row r="1447" spans="2:5" ht="15" customHeight="1" x14ac:dyDescent="0.3">
      <c r="C1447" s="58"/>
      <c r="D1447" s="8">
        <v>2018</v>
      </c>
      <c r="E1447" s="14">
        <f>Data!X1447</f>
        <v>0</v>
      </c>
    </row>
    <row r="1448" spans="2:5" ht="15" customHeight="1" x14ac:dyDescent="0.3">
      <c r="C1448" s="58"/>
      <c r="D1448" s="8">
        <v>2019</v>
      </c>
      <c r="E1448" s="14">
        <f>Data!X1448</f>
        <v>0</v>
      </c>
    </row>
    <row r="1449" spans="2:5" ht="15" customHeight="1" x14ac:dyDescent="0.3">
      <c r="C1449" s="58"/>
      <c r="D1449" s="8">
        <v>2020</v>
      </c>
      <c r="E1449" s="14">
        <f>Data!X1449</f>
        <v>0</v>
      </c>
    </row>
    <row r="1450" spans="2:5" ht="15" customHeight="1" x14ac:dyDescent="0.3">
      <c r="C1450" s="58"/>
      <c r="D1450" s="8">
        <v>2021</v>
      </c>
      <c r="E1450" s="14">
        <f>Data!X1450</f>
        <v>0</v>
      </c>
    </row>
    <row r="1451" spans="2:5" ht="15" customHeight="1" x14ac:dyDescent="0.3">
      <c r="C1451" s="58"/>
      <c r="D1451" s="8">
        <v>2022</v>
      </c>
      <c r="E1451" s="14">
        <f>Data!X1451</f>
        <v>0</v>
      </c>
    </row>
    <row r="1452" spans="2:5" ht="15" customHeight="1" x14ac:dyDescent="0.3">
      <c r="C1452" s="58"/>
      <c r="D1452" s="8">
        <v>2023</v>
      </c>
      <c r="E1452" s="14">
        <f>Data!X1452</f>
        <v>0</v>
      </c>
    </row>
    <row r="1453" spans="2:5" ht="15" customHeight="1" x14ac:dyDescent="0.3">
      <c r="C1453" s="58"/>
      <c r="D1453" s="8">
        <v>2024</v>
      </c>
      <c r="E1453" s="14">
        <f>Data!X1453</f>
        <v>0</v>
      </c>
    </row>
    <row r="1454" spans="2:5" ht="15" customHeight="1" x14ac:dyDescent="0.3">
      <c r="B1454" s="8">
        <v>133</v>
      </c>
      <c r="C1454" s="59" t="s">
        <v>126</v>
      </c>
      <c r="D1454" s="8">
        <v>2014</v>
      </c>
      <c r="E1454" s="14">
        <f>Data!X1454</f>
        <v>0</v>
      </c>
    </row>
    <row r="1455" spans="2:5" ht="15" customHeight="1" x14ac:dyDescent="0.3">
      <c r="C1455" s="59"/>
      <c r="D1455" s="8">
        <v>2015</v>
      </c>
      <c r="E1455" s="14">
        <f>Data!X1455</f>
        <v>5</v>
      </c>
    </row>
    <row r="1456" spans="2:5" ht="15" customHeight="1" x14ac:dyDescent="0.3">
      <c r="C1456" s="59"/>
      <c r="D1456" s="8">
        <v>2016</v>
      </c>
      <c r="E1456" s="14">
        <f>Data!X1456</f>
        <v>6</v>
      </c>
    </row>
    <row r="1457" spans="2:5" ht="15" customHeight="1" x14ac:dyDescent="0.3">
      <c r="C1457" s="59"/>
      <c r="D1457" s="8">
        <v>2017</v>
      </c>
      <c r="E1457" s="14">
        <f>Data!X1457</f>
        <v>6</v>
      </c>
    </row>
    <row r="1458" spans="2:5" ht="15" customHeight="1" x14ac:dyDescent="0.3">
      <c r="C1458" s="59"/>
      <c r="D1458" s="8">
        <v>2018</v>
      </c>
      <c r="E1458" s="14">
        <f>Data!X1458</f>
        <v>5</v>
      </c>
    </row>
    <row r="1459" spans="2:5" ht="15" customHeight="1" x14ac:dyDescent="0.3">
      <c r="C1459" s="59"/>
      <c r="D1459" s="8">
        <v>2019</v>
      </c>
      <c r="E1459" s="14">
        <f>Data!X1459</f>
        <v>5</v>
      </c>
    </row>
    <row r="1460" spans="2:5" ht="15" customHeight="1" x14ac:dyDescent="0.3">
      <c r="C1460" s="59"/>
      <c r="D1460" s="8">
        <v>2020</v>
      </c>
      <c r="E1460" s="14">
        <f>Data!X1460</f>
        <v>4</v>
      </c>
    </row>
    <row r="1461" spans="2:5" ht="15" customHeight="1" x14ac:dyDescent="0.3">
      <c r="C1461" s="59"/>
      <c r="D1461" s="8">
        <v>2021</v>
      </c>
      <c r="E1461" s="14">
        <f>Data!X1461</f>
        <v>4</v>
      </c>
    </row>
    <row r="1462" spans="2:5" ht="15" customHeight="1" x14ac:dyDescent="0.3">
      <c r="C1462" s="59"/>
      <c r="D1462" s="8">
        <v>2022</v>
      </c>
      <c r="E1462" s="14">
        <f>Data!X1462</f>
        <v>3</v>
      </c>
    </row>
    <row r="1463" spans="2:5" ht="15" customHeight="1" x14ac:dyDescent="0.3">
      <c r="C1463" s="59"/>
      <c r="D1463" s="8">
        <v>2023</v>
      </c>
      <c r="E1463" s="14">
        <f>Data!X1463</f>
        <v>3</v>
      </c>
    </row>
    <row r="1464" spans="2:5" ht="15" customHeight="1" x14ac:dyDescent="0.3">
      <c r="C1464" s="59"/>
      <c r="D1464" s="8">
        <v>2024</v>
      </c>
      <c r="E1464" s="14">
        <f>Data!X1464</f>
        <v>3</v>
      </c>
    </row>
    <row r="1465" spans="2:5" ht="15" customHeight="1" x14ac:dyDescent="0.3">
      <c r="B1465" s="8">
        <v>134</v>
      </c>
      <c r="C1465" s="58" t="s">
        <v>95</v>
      </c>
      <c r="D1465" s="8">
        <v>2014</v>
      </c>
      <c r="E1465" s="14">
        <f>Data!X1465</f>
        <v>0</v>
      </c>
    </row>
    <row r="1466" spans="2:5" ht="15" customHeight="1" x14ac:dyDescent="0.3">
      <c r="C1466" s="58"/>
      <c r="D1466" s="8">
        <v>2015</v>
      </c>
      <c r="E1466" s="14">
        <f>Data!X1466</f>
        <v>0</v>
      </c>
    </row>
    <row r="1467" spans="2:5" ht="15" customHeight="1" x14ac:dyDescent="0.3">
      <c r="C1467" s="58"/>
      <c r="D1467" s="8">
        <v>2016</v>
      </c>
      <c r="E1467" s="14">
        <f>Data!X1467</f>
        <v>0</v>
      </c>
    </row>
    <row r="1468" spans="2:5" ht="15" customHeight="1" x14ac:dyDescent="0.3">
      <c r="C1468" s="58"/>
      <c r="D1468" s="8">
        <v>2017</v>
      </c>
      <c r="E1468" s="14">
        <f>Data!X1468</f>
        <v>0</v>
      </c>
    </row>
    <row r="1469" spans="2:5" ht="15" customHeight="1" x14ac:dyDescent="0.3">
      <c r="C1469" s="58"/>
      <c r="D1469" s="8">
        <v>2018</v>
      </c>
      <c r="E1469" s="14">
        <f>Data!X1469</f>
        <v>0</v>
      </c>
    </row>
    <row r="1470" spans="2:5" ht="15" customHeight="1" x14ac:dyDescent="0.3">
      <c r="C1470" s="58"/>
      <c r="D1470" s="8">
        <v>2019</v>
      </c>
      <c r="E1470" s="14">
        <f>Data!X1470</f>
        <v>0</v>
      </c>
    </row>
    <row r="1471" spans="2:5" ht="15" customHeight="1" x14ac:dyDescent="0.3">
      <c r="C1471" s="58"/>
      <c r="D1471" s="8">
        <v>2020</v>
      </c>
      <c r="E1471" s="14">
        <f>Data!X1471</f>
        <v>0</v>
      </c>
    </row>
    <row r="1472" spans="2:5" ht="15" customHeight="1" x14ac:dyDescent="0.3">
      <c r="C1472" s="58"/>
      <c r="D1472" s="8">
        <v>2021</v>
      </c>
      <c r="E1472" s="14">
        <f>Data!X1472</f>
        <v>0</v>
      </c>
    </row>
    <row r="1473" spans="1:5" ht="15" customHeight="1" x14ac:dyDescent="0.3">
      <c r="C1473" s="58"/>
      <c r="D1473" s="8">
        <v>2022</v>
      </c>
      <c r="E1473" s="14">
        <f>Data!X1473</f>
        <v>0</v>
      </c>
    </row>
    <row r="1474" spans="1:5" ht="15" customHeight="1" x14ac:dyDescent="0.3">
      <c r="C1474" s="58"/>
      <c r="D1474" s="8">
        <v>2023</v>
      </c>
      <c r="E1474" s="14">
        <f>Data!X1474</f>
        <v>0</v>
      </c>
    </row>
    <row r="1475" spans="1:5" ht="15" customHeight="1" x14ac:dyDescent="0.3">
      <c r="C1475" s="58"/>
      <c r="D1475" s="8">
        <v>2024</v>
      </c>
      <c r="E1475" s="14">
        <f>Data!X1475</f>
        <v>0</v>
      </c>
    </row>
    <row r="1476" spans="1:5" ht="15" customHeight="1" x14ac:dyDescent="0.3">
      <c r="B1476" s="8">
        <v>135</v>
      </c>
      <c r="C1476" s="59" t="s">
        <v>133</v>
      </c>
      <c r="D1476" s="8">
        <v>2014</v>
      </c>
      <c r="E1476" s="14">
        <f>Data!X1476</f>
        <v>0</v>
      </c>
    </row>
    <row r="1477" spans="1:5" ht="15" customHeight="1" x14ac:dyDescent="0.3">
      <c r="C1477" s="59"/>
      <c r="D1477" s="8">
        <v>2015</v>
      </c>
      <c r="E1477" s="14">
        <f>Data!X1477</f>
        <v>0</v>
      </c>
    </row>
    <row r="1478" spans="1:5" ht="15" customHeight="1" x14ac:dyDescent="0.3">
      <c r="C1478" s="59"/>
      <c r="D1478" s="8">
        <v>2016</v>
      </c>
      <c r="E1478" s="14">
        <f>Data!X1478</f>
        <v>0</v>
      </c>
    </row>
    <row r="1479" spans="1:5" ht="15" customHeight="1" x14ac:dyDescent="0.3">
      <c r="C1479" s="59"/>
      <c r="D1479" s="8">
        <v>2017</v>
      </c>
      <c r="E1479" s="14">
        <f>Data!X1479</f>
        <v>0</v>
      </c>
    </row>
    <row r="1480" spans="1:5" ht="15" customHeight="1" x14ac:dyDescent="0.3">
      <c r="C1480" s="59"/>
      <c r="D1480" s="8">
        <v>2018</v>
      </c>
      <c r="E1480" s="14">
        <f>Data!X1480</f>
        <v>0</v>
      </c>
    </row>
    <row r="1481" spans="1:5" ht="15" customHeight="1" x14ac:dyDescent="0.3">
      <c r="C1481" s="59"/>
      <c r="D1481" s="8">
        <v>2019</v>
      </c>
      <c r="E1481" s="14">
        <f>Data!X1481</f>
        <v>0</v>
      </c>
    </row>
    <row r="1482" spans="1:5" ht="15" customHeight="1" x14ac:dyDescent="0.3">
      <c r="C1482" s="59"/>
      <c r="D1482" s="8">
        <v>2020</v>
      </c>
      <c r="E1482" s="14">
        <f>Data!X1482</f>
        <v>0</v>
      </c>
    </row>
    <row r="1483" spans="1:5" ht="15" customHeight="1" x14ac:dyDescent="0.3">
      <c r="C1483" s="59"/>
      <c r="D1483" s="8">
        <v>2021</v>
      </c>
      <c r="E1483" s="14">
        <f>Data!X1483</f>
        <v>0</v>
      </c>
    </row>
    <row r="1484" spans="1:5" ht="15" customHeight="1" x14ac:dyDescent="0.3">
      <c r="C1484" s="59"/>
      <c r="D1484" s="8">
        <v>2022</v>
      </c>
      <c r="E1484" s="14">
        <f>Data!X1484</f>
        <v>0</v>
      </c>
    </row>
    <row r="1485" spans="1:5" ht="15" customHeight="1" x14ac:dyDescent="0.3">
      <c r="C1485" s="59"/>
      <c r="D1485" s="8">
        <v>2023</v>
      </c>
      <c r="E1485" s="14">
        <f>Data!X1485</f>
        <v>0</v>
      </c>
    </row>
    <row r="1486" spans="1:5" ht="15" customHeight="1" x14ac:dyDescent="0.3">
      <c r="C1486" s="59"/>
      <c r="D1486" s="8">
        <v>2024</v>
      </c>
      <c r="E1486" s="14">
        <f>Data!X1486</f>
        <v>0</v>
      </c>
    </row>
    <row r="1487" spans="1:5" ht="15" customHeight="1" x14ac:dyDescent="0.3">
      <c r="A1487" t="s">
        <v>155</v>
      </c>
      <c r="B1487" s="8">
        <v>136</v>
      </c>
      <c r="C1487" s="59" t="s">
        <v>142</v>
      </c>
      <c r="D1487" s="8">
        <v>2014</v>
      </c>
      <c r="E1487" s="14">
        <f>Data!X1487</f>
        <v>0</v>
      </c>
    </row>
    <row r="1488" spans="1:5" ht="15" customHeight="1" x14ac:dyDescent="0.3">
      <c r="C1488" s="59"/>
      <c r="D1488" s="8">
        <v>2015</v>
      </c>
      <c r="E1488" s="14">
        <f>Data!X1488</f>
        <v>0</v>
      </c>
    </row>
    <row r="1489" spans="2:5" ht="15" customHeight="1" x14ac:dyDescent="0.3">
      <c r="C1489" s="59"/>
      <c r="D1489" s="8">
        <v>2016</v>
      </c>
      <c r="E1489" s="14">
        <f>Data!X1489</f>
        <v>0</v>
      </c>
    </row>
    <row r="1490" spans="2:5" ht="15" customHeight="1" x14ac:dyDescent="0.3">
      <c r="C1490" s="59"/>
      <c r="D1490" s="8">
        <v>2017</v>
      </c>
      <c r="E1490" s="14">
        <f>Data!X1490</f>
        <v>0</v>
      </c>
    </row>
    <row r="1491" spans="2:5" ht="15" customHeight="1" x14ac:dyDescent="0.3">
      <c r="C1491" s="59"/>
      <c r="D1491" s="8">
        <v>2018</v>
      </c>
      <c r="E1491" s="14">
        <f>Data!X1491</f>
        <v>0</v>
      </c>
    </row>
    <row r="1492" spans="2:5" ht="15" customHeight="1" x14ac:dyDescent="0.3">
      <c r="C1492" s="59"/>
      <c r="D1492" s="8">
        <v>2019</v>
      </c>
      <c r="E1492" s="14">
        <f>Data!X1492</f>
        <v>0</v>
      </c>
    </row>
    <row r="1493" spans="2:5" ht="15" customHeight="1" x14ac:dyDescent="0.3">
      <c r="C1493" s="59"/>
      <c r="D1493" s="8">
        <v>2020</v>
      </c>
      <c r="E1493" s="14">
        <f>Data!X1493</f>
        <v>0</v>
      </c>
    </row>
    <row r="1494" spans="2:5" ht="15" customHeight="1" x14ac:dyDescent="0.3">
      <c r="C1494" s="59"/>
      <c r="D1494" s="8">
        <v>2021</v>
      </c>
      <c r="E1494" s="14">
        <f>Data!X1494</f>
        <v>0</v>
      </c>
    </row>
    <row r="1495" spans="2:5" ht="15" customHeight="1" x14ac:dyDescent="0.3">
      <c r="C1495" s="59"/>
      <c r="D1495" s="8">
        <v>2022</v>
      </c>
      <c r="E1495" s="14">
        <f>Data!X1495</f>
        <v>0</v>
      </c>
    </row>
    <row r="1496" spans="2:5" ht="15" customHeight="1" x14ac:dyDescent="0.3">
      <c r="C1496" s="59"/>
      <c r="D1496" s="8">
        <v>2023</v>
      </c>
      <c r="E1496" s="14">
        <f>Data!X1496</f>
        <v>12</v>
      </c>
    </row>
    <row r="1497" spans="2:5" ht="15" customHeight="1" x14ac:dyDescent="0.3">
      <c r="C1497" s="59"/>
      <c r="D1497" s="8">
        <v>2024</v>
      </c>
      <c r="E1497" s="14">
        <f>Data!X1497</f>
        <v>12</v>
      </c>
    </row>
    <row r="1498" spans="2:5" ht="15" customHeight="1" x14ac:dyDescent="0.3">
      <c r="B1498" s="8">
        <v>137</v>
      </c>
      <c r="C1498" s="59" t="s">
        <v>136</v>
      </c>
      <c r="D1498" s="8">
        <v>2014</v>
      </c>
      <c r="E1498" s="14">
        <f>Data!X1498</f>
        <v>0</v>
      </c>
    </row>
    <row r="1499" spans="2:5" ht="15" customHeight="1" x14ac:dyDescent="0.3">
      <c r="C1499" s="59"/>
      <c r="D1499" s="8">
        <v>2015</v>
      </c>
      <c r="E1499" s="14">
        <f>Data!X1499</f>
        <v>0</v>
      </c>
    </row>
    <row r="1500" spans="2:5" ht="15" customHeight="1" x14ac:dyDescent="0.3">
      <c r="C1500" s="59"/>
      <c r="D1500" s="8">
        <v>2016</v>
      </c>
      <c r="E1500" s="14">
        <f>Data!X1500</f>
        <v>0</v>
      </c>
    </row>
    <row r="1501" spans="2:5" ht="15" customHeight="1" x14ac:dyDescent="0.3">
      <c r="C1501" s="59"/>
      <c r="D1501" s="8">
        <v>2017</v>
      </c>
      <c r="E1501" s="14">
        <f>Data!X1501</f>
        <v>8</v>
      </c>
    </row>
    <row r="1502" spans="2:5" ht="15" customHeight="1" x14ac:dyDescent="0.3">
      <c r="C1502" s="59"/>
      <c r="D1502" s="8">
        <v>2018</v>
      </c>
      <c r="E1502" s="14">
        <f>Data!X1502</f>
        <v>11</v>
      </c>
    </row>
    <row r="1503" spans="2:5" ht="15" customHeight="1" x14ac:dyDescent="0.3">
      <c r="C1503" s="59"/>
      <c r="D1503" s="8">
        <v>2019</v>
      </c>
      <c r="E1503" s="14">
        <f>Data!X1503</f>
        <v>11</v>
      </c>
    </row>
    <row r="1504" spans="2:5" ht="15" customHeight="1" x14ac:dyDescent="0.3">
      <c r="C1504" s="59"/>
      <c r="D1504" s="8">
        <v>2020</v>
      </c>
      <c r="E1504" s="14">
        <f>Data!X1504</f>
        <v>10</v>
      </c>
    </row>
    <row r="1505" spans="2:5" ht="15" customHeight="1" x14ac:dyDescent="0.3">
      <c r="C1505" s="59"/>
      <c r="D1505" s="8">
        <v>2021</v>
      </c>
      <c r="E1505" s="14">
        <f>Data!X1505</f>
        <v>11</v>
      </c>
    </row>
    <row r="1506" spans="2:5" ht="15" customHeight="1" x14ac:dyDescent="0.3">
      <c r="C1506" s="59"/>
      <c r="D1506" s="8">
        <v>2022</v>
      </c>
      <c r="E1506" s="14">
        <f>Data!X1506</f>
        <v>11</v>
      </c>
    </row>
    <row r="1507" spans="2:5" ht="15" customHeight="1" x14ac:dyDescent="0.3">
      <c r="C1507" s="59"/>
      <c r="D1507" s="8">
        <v>2023</v>
      </c>
      <c r="E1507" s="14">
        <f>Data!X1507</f>
        <v>11</v>
      </c>
    </row>
    <row r="1508" spans="2:5" ht="15" customHeight="1" x14ac:dyDescent="0.3">
      <c r="C1508" s="59"/>
      <c r="D1508" s="8">
        <v>2024</v>
      </c>
      <c r="E1508" s="14">
        <f>Data!X1508</f>
        <v>7</v>
      </c>
    </row>
    <row r="1509" spans="2:5" ht="15" customHeight="1" x14ac:dyDescent="0.3">
      <c r="B1509" s="8">
        <v>138</v>
      </c>
      <c r="C1509" s="59" t="s">
        <v>143</v>
      </c>
      <c r="D1509" s="8">
        <v>2014</v>
      </c>
      <c r="E1509" s="14">
        <f>Data!X1509</f>
        <v>0</v>
      </c>
    </row>
    <row r="1510" spans="2:5" ht="15" customHeight="1" x14ac:dyDescent="0.3">
      <c r="C1510" s="59"/>
      <c r="D1510" s="8">
        <v>2015</v>
      </c>
      <c r="E1510" s="14">
        <f>Data!X1510</f>
        <v>0</v>
      </c>
    </row>
    <row r="1511" spans="2:5" ht="15" customHeight="1" x14ac:dyDescent="0.3">
      <c r="C1511" s="59"/>
      <c r="D1511" s="8">
        <v>2016</v>
      </c>
      <c r="E1511" s="14">
        <f>Data!X1511</f>
        <v>0</v>
      </c>
    </row>
    <row r="1512" spans="2:5" ht="15" customHeight="1" x14ac:dyDescent="0.3">
      <c r="C1512" s="59"/>
      <c r="D1512" s="8">
        <v>2017</v>
      </c>
      <c r="E1512" s="14">
        <f>Data!X1512</f>
        <v>0</v>
      </c>
    </row>
    <row r="1513" spans="2:5" ht="15" customHeight="1" x14ac:dyDescent="0.3">
      <c r="C1513" s="59"/>
      <c r="D1513" s="8">
        <v>2018</v>
      </c>
      <c r="E1513" s="14">
        <f>Data!X1513</f>
        <v>0</v>
      </c>
    </row>
    <row r="1514" spans="2:5" ht="15" customHeight="1" x14ac:dyDescent="0.3">
      <c r="C1514" s="59"/>
      <c r="D1514" s="8">
        <v>2019</v>
      </c>
      <c r="E1514" s="14">
        <f>Data!X1514</f>
        <v>0</v>
      </c>
    </row>
    <row r="1515" spans="2:5" ht="15" customHeight="1" x14ac:dyDescent="0.3">
      <c r="C1515" s="59"/>
      <c r="D1515" s="8">
        <v>2020</v>
      </c>
      <c r="E1515" s="14">
        <f>Data!X1515</f>
        <v>0</v>
      </c>
    </row>
    <row r="1516" spans="2:5" ht="15" customHeight="1" x14ac:dyDescent="0.3">
      <c r="C1516" s="59"/>
      <c r="D1516" s="8">
        <v>2021</v>
      </c>
      <c r="E1516" s="14">
        <f>Data!X1516</f>
        <v>0</v>
      </c>
    </row>
    <row r="1517" spans="2:5" ht="15" customHeight="1" x14ac:dyDescent="0.3">
      <c r="C1517" s="59"/>
      <c r="D1517" s="8">
        <v>2022</v>
      </c>
      <c r="E1517" s="14">
        <f>Data!X1517</f>
        <v>0</v>
      </c>
    </row>
    <row r="1518" spans="2:5" ht="15" customHeight="1" x14ac:dyDescent="0.3">
      <c r="C1518" s="59"/>
      <c r="D1518" s="8">
        <v>2023</v>
      </c>
      <c r="E1518" s="14">
        <f>Data!X1518</f>
        <v>0</v>
      </c>
    </row>
    <row r="1519" spans="2:5" ht="15" customHeight="1" x14ac:dyDescent="0.3">
      <c r="C1519" s="59"/>
      <c r="D1519" s="8">
        <v>2024</v>
      </c>
      <c r="E1519" s="14">
        <f>Data!X1519</f>
        <v>7</v>
      </c>
    </row>
    <row r="1520" spans="2:5" ht="15" customHeight="1" x14ac:dyDescent="0.3">
      <c r="B1520" s="8">
        <v>139</v>
      </c>
      <c r="C1520" s="59" t="s">
        <v>137</v>
      </c>
      <c r="D1520" s="8">
        <v>2014</v>
      </c>
      <c r="E1520" s="14">
        <f>Data!X1520</f>
        <v>0</v>
      </c>
    </row>
    <row r="1521" spans="2:5" ht="15" customHeight="1" x14ac:dyDescent="0.3">
      <c r="C1521" s="59"/>
      <c r="D1521" s="8">
        <v>2015</v>
      </c>
      <c r="E1521" s="14">
        <f>Data!X1521</f>
        <v>6</v>
      </c>
    </row>
    <row r="1522" spans="2:5" ht="15" customHeight="1" x14ac:dyDescent="0.3">
      <c r="C1522" s="59"/>
      <c r="D1522" s="8">
        <v>2016</v>
      </c>
      <c r="E1522" s="14">
        <f>Data!X1522</f>
        <v>13</v>
      </c>
    </row>
    <row r="1523" spans="2:5" ht="15" customHeight="1" x14ac:dyDescent="0.3">
      <c r="C1523" s="59"/>
      <c r="D1523" s="8">
        <v>2017</v>
      </c>
      <c r="E1523" s="14">
        <f>Data!X1523</f>
        <v>13</v>
      </c>
    </row>
    <row r="1524" spans="2:5" ht="15" customHeight="1" x14ac:dyDescent="0.3">
      <c r="C1524" s="59"/>
      <c r="D1524" s="8">
        <v>2018</v>
      </c>
      <c r="E1524" s="14">
        <f>Data!X1524</f>
        <v>13</v>
      </c>
    </row>
    <row r="1525" spans="2:5" ht="15" customHeight="1" x14ac:dyDescent="0.3">
      <c r="C1525" s="59"/>
      <c r="D1525" s="8">
        <v>2019</v>
      </c>
      <c r="E1525" s="14">
        <f>Data!X1525</f>
        <v>9</v>
      </c>
    </row>
    <row r="1526" spans="2:5" ht="15" customHeight="1" x14ac:dyDescent="0.3">
      <c r="C1526" s="59"/>
      <c r="D1526" s="8">
        <v>2020</v>
      </c>
      <c r="E1526" s="14">
        <f>Data!X1526</f>
        <v>11</v>
      </c>
    </row>
    <row r="1527" spans="2:5" ht="15" customHeight="1" x14ac:dyDescent="0.3">
      <c r="C1527" s="59"/>
      <c r="D1527" s="8">
        <v>2021</v>
      </c>
      <c r="E1527" s="14">
        <f>Data!X1527</f>
        <v>13</v>
      </c>
    </row>
    <row r="1528" spans="2:5" ht="15" customHeight="1" x14ac:dyDescent="0.3">
      <c r="C1528" s="59"/>
      <c r="D1528" s="8">
        <v>2022</v>
      </c>
      <c r="E1528" s="14">
        <f>Data!X1528</f>
        <v>13</v>
      </c>
    </row>
    <row r="1529" spans="2:5" ht="15" customHeight="1" x14ac:dyDescent="0.3">
      <c r="C1529" s="59"/>
      <c r="D1529" s="8">
        <v>2023</v>
      </c>
      <c r="E1529" s="14">
        <f>Data!X1529</f>
        <v>13</v>
      </c>
    </row>
    <row r="1530" spans="2:5" ht="15" customHeight="1" x14ac:dyDescent="0.3">
      <c r="C1530" s="59"/>
      <c r="D1530" s="8">
        <v>2024</v>
      </c>
      <c r="E1530" s="14">
        <f>Data!X1530</f>
        <v>13</v>
      </c>
    </row>
    <row r="1531" spans="2:5" ht="15" customHeight="1" x14ac:dyDescent="0.3">
      <c r="B1531" s="8">
        <v>140</v>
      </c>
      <c r="C1531" s="59" t="s">
        <v>139</v>
      </c>
      <c r="D1531" s="8">
        <v>2014</v>
      </c>
      <c r="E1531" s="14">
        <f>Data!X1531</f>
        <v>0</v>
      </c>
    </row>
    <row r="1532" spans="2:5" ht="15" customHeight="1" x14ac:dyDescent="0.3">
      <c r="C1532" s="59"/>
      <c r="D1532" s="8">
        <v>2015</v>
      </c>
      <c r="E1532" s="14">
        <f>Data!X1532</f>
        <v>3</v>
      </c>
    </row>
    <row r="1533" spans="2:5" ht="15" customHeight="1" x14ac:dyDescent="0.3">
      <c r="C1533" s="59"/>
      <c r="D1533" s="8">
        <v>2016</v>
      </c>
      <c r="E1533" s="14">
        <f>Data!X1533</f>
        <v>3</v>
      </c>
    </row>
    <row r="1534" spans="2:5" ht="15" customHeight="1" x14ac:dyDescent="0.3">
      <c r="C1534" s="59"/>
      <c r="D1534" s="8">
        <v>2017</v>
      </c>
      <c r="E1534" s="14">
        <f>Data!X1534</f>
        <v>3</v>
      </c>
    </row>
    <row r="1535" spans="2:5" ht="15" customHeight="1" x14ac:dyDescent="0.3">
      <c r="C1535" s="59"/>
      <c r="D1535" s="8">
        <v>2018</v>
      </c>
      <c r="E1535" s="14">
        <f>Data!X1535</f>
        <v>10</v>
      </c>
    </row>
    <row r="1536" spans="2:5" ht="15" customHeight="1" x14ac:dyDescent="0.3">
      <c r="C1536" s="59"/>
      <c r="D1536" s="8">
        <v>2019</v>
      </c>
      <c r="E1536" s="14">
        <f>Data!X1536</f>
        <v>10</v>
      </c>
    </row>
    <row r="1537" spans="2:5" ht="15" customHeight="1" x14ac:dyDescent="0.3">
      <c r="C1537" s="59"/>
      <c r="D1537" s="8">
        <v>2020</v>
      </c>
      <c r="E1537" s="14">
        <f>Data!X1537</f>
        <v>10</v>
      </c>
    </row>
    <row r="1538" spans="2:5" ht="15" customHeight="1" x14ac:dyDescent="0.3">
      <c r="C1538" s="59"/>
      <c r="D1538" s="8">
        <v>2021</v>
      </c>
      <c r="E1538" s="14">
        <f>Data!X1538</f>
        <v>10</v>
      </c>
    </row>
    <row r="1539" spans="2:5" ht="15" customHeight="1" x14ac:dyDescent="0.3">
      <c r="C1539" s="59"/>
      <c r="D1539" s="8">
        <v>2022</v>
      </c>
      <c r="E1539" s="14">
        <f>Data!X1539</f>
        <v>10</v>
      </c>
    </row>
    <row r="1540" spans="2:5" ht="15" customHeight="1" x14ac:dyDescent="0.3">
      <c r="C1540" s="59"/>
      <c r="D1540" s="8">
        <v>2023</v>
      </c>
      <c r="E1540" s="14">
        <f>Data!X1540</f>
        <v>10</v>
      </c>
    </row>
    <row r="1541" spans="2:5" ht="15" customHeight="1" x14ac:dyDescent="0.3">
      <c r="C1541" s="59"/>
      <c r="D1541" s="8">
        <v>2024</v>
      </c>
      <c r="E1541" s="14">
        <f>Data!X1541</f>
        <v>7</v>
      </c>
    </row>
    <row r="1542" spans="2:5" ht="15" customHeight="1" x14ac:dyDescent="0.3">
      <c r="B1542" s="8">
        <v>141</v>
      </c>
      <c r="C1542" s="59" t="s">
        <v>140</v>
      </c>
      <c r="D1542" s="8">
        <v>2014</v>
      </c>
      <c r="E1542" s="14">
        <f>Data!X1542</f>
        <v>0</v>
      </c>
    </row>
    <row r="1543" spans="2:5" ht="15" customHeight="1" x14ac:dyDescent="0.3">
      <c r="C1543" s="59"/>
      <c r="D1543" s="8">
        <v>2015</v>
      </c>
      <c r="E1543" s="14">
        <f>Data!X1543</f>
        <v>7</v>
      </c>
    </row>
    <row r="1544" spans="2:5" ht="15" customHeight="1" x14ac:dyDescent="0.3">
      <c r="C1544" s="59"/>
      <c r="D1544" s="8">
        <v>2016</v>
      </c>
      <c r="E1544" s="14">
        <f>Data!X1544</f>
        <v>6</v>
      </c>
    </row>
    <row r="1545" spans="2:5" ht="15" customHeight="1" x14ac:dyDescent="0.3">
      <c r="C1545" s="59"/>
      <c r="D1545" s="8">
        <v>2017</v>
      </c>
      <c r="E1545" s="14">
        <f>Data!X1545</f>
        <v>0</v>
      </c>
    </row>
    <row r="1546" spans="2:5" ht="15" customHeight="1" x14ac:dyDescent="0.3">
      <c r="C1546" s="59"/>
      <c r="D1546" s="8">
        <v>2018</v>
      </c>
      <c r="E1546" s="14">
        <f>Data!X1546</f>
        <v>10</v>
      </c>
    </row>
    <row r="1547" spans="2:5" ht="15" customHeight="1" x14ac:dyDescent="0.3">
      <c r="C1547" s="59"/>
      <c r="D1547" s="8">
        <v>2019</v>
      </c>
      <c r="E1547" s="14">
        <f>Data!X1547</f>
        <v>10</v>
      </c>
    </row>
    <row r="1548" spans="2:5" ht="15" customHeight="1" x14ac:dyDescent="0.3">
      <c r="C1548" s="59"/>
      <c r="D1548" s="8">
        <v>2020</v>
      </c>
      <c r="E1548" s="14">
        <f>Data!X1548</f>
        <v>10</v>
      </c>
    </row>
    <row r="1549" spans="2:5" ht="15" customHeight="1" x14ac:dyDescent="0.3">
      <c r="C1549" s="59"/>
      <c r="D1549" s="8">
        <v>2021</v>
      </c>
      <c r="E1549" s="14">
        <f>Data!X1549</f>
        <v>10</v>
      </c>
    </row>
    <row r="1550" spans="2:5" ht="15" customHeight="1" x14ac:dyDescent="0.3">
      <c r="C1550" s="59"/>
      <c r="D1550" s="8">
        <v>2022</v>
      </c>
      <c r="E1550" s="14">
        <f>Data!X1550</f>
        <v>10</v>
      </c>
    </row>
    <row r="1551" spans="2:5" ht="15" customHeight="1" x14ac:dyDescent="0.3">
      <c r="C1551" s="59"/>
      <c r="D1551" s="8">
        <v>2023</v>
      </c>
      <c r="E1551" s="14">
        <f>Data!X1551</f>
        <v>6</v>
      </c>
    </row>
    <row r="1552" spans="2:5" ht="15" customHeight="1" x14ac:dyDescent="0.3">
      <c r="C1552" s="59"/>
      <c r="D1552" s="8">
        <v>2024</v>
      </c>
      <c r="E1552" s="14">
        <f>Data!X1552</f>
        <v>6</v>
      </c>
    </row>
    <row r="1553" spans="2:5" ht="15" customHeight="1" x14ac:dyDescent="0.3">
      <c r="B1553" s="8">
        <v>142</v>
      </c>
      <c r="C1553" s="59" t="s">
        <v>138</v>
      </c>
      <c r="D1553" s="8">
        <v>2014</v>
      </c>
      <c r="E1553" s="14">
        <f>Data!X1553</f>
        <v>0</v>
      </c>
    </row>
    <row r="1554" spans="2:5" ht="15" customHeight="1" x14ac:dyDescent="0.3">
      <c r="C1554" s="59"/>
      <c r="D1554" s="8">
        <v>2015</v>
      </c>
      <c r="E1554" s="14">
        <f>Data!X1554</f>
        <v>0</v>
      </c>
    </row>
    <row r="1555" spans="2:5" ht="15" customHeight="1" x14ac:dyDescent="0.3">
      <c r="C1555" s="59"/>
      <c r="D1555" s="8">
        <v>2016</v>
      </c>
      <c r="E1555" s="14">
        <f>Data!X1555</f>
        <v>0</v>
      </c>
    </row>
    <row r="1556" spans="2:5" ht="15" customHeight="1" x14ac:dyDescent="0.3">
      <c r="C1556" s="59"/>
      <c r="D1556" s="8">
        <v>2017</v>
      </c>
      <c r="E1556" s="14">
        <f>Data!X1556</f>
        <v>0</v>
      </c>
    </row>
    <row r="1557" spans="2:5" ht="15" customHeight="1" x14ac:dyDescent="0.3">
      <c r="C1557" s="59"/>
      <c r="D1557" s="8">
        <v>2018</v>
      </c>
      <c r="E1557" s="14">
        <f>Data!X1557</f>
        <v>0</v>
      </c>
    </row>
    <row r="1558" spans="2:5" ht="15" customHeight="1" x14ac:dyDescent="0.3">
      <c r="C1558" s="59"/>
      <c r="D1558" s="8">
        <v>2019</v>
      </c>
      <c r="E1558" s="14">
        <f>Data!X1558</f>
        <v>0</v>
      </c>
    </row>
    <row r="1559" spans="2:5" ht="15" customHeight="1" x14ac:dyDescent="0.3">
      <c r="C1559" s="59"/>
      <c r="D1559" s="8">
        <v>2020</v>
      </c>
      <c r="E1559" s="14">
        <f>Data!X1559</f>
        <v>0</v>
      </c>
    </row>
    <row r="1560" spans="2:5" ht="15" customHeight="1" x14ac:dyDescent="0.3">
      <c r="C1560" s="59"/>
      <c r="D1560" s="8">
        <v>2021</v>
      </c>
      <c r="E1560" s="14">
        <f>Data!X1560</f>
        <v>0</v>
      </c>
    </row>
    <row r="1561" spans="2:5" ht="15" customHeight="1" x14ac:dyDescent="0.3">
      <c r="C1561" s="59"/>
      <c r="D1561" s="8">
        <v>2022</v>
      </c>
      <c r="E1561" s="14">
        <f>Data!X1561</f>
        <v>0</v>
      </c>
    </row>
    <row r="1562" spans="2:5" ht="15" customHeight="1" x14ac:dyDescent="0.3">
      <c r="C1562" s="59"/>
      <c r="D1562" s="8">
        <v>2023</v>
      </c>
      <c r="E1562" s="14">
        <f>Data!X1562</f>
        <v>0</v>
      </c>
    </row>
    <row r="1563" spans="2:5" ht="15" customHeight="1" x14ac:dyDescent="0.3">
      <c r="C1563" s="59"/>
      <c r="D1563" s="8">
        <v>2024</v>
      </c>
      <c r="E1563" s="14">
        <f>Data!X1563</f>
        <v>0</v>
      </c>
    </row>
    <row r="1564" spans="2:5" ht="15" customHeight="1" x14ac:dyDescent="0.3">
      <c r="B1564" s="8">
        <v>143</v>
      </c>
      <c r="C1564" s="59" t="s">
        <v>144</v>
      </c>
      <c r="D1564" s="8">
        <v>2014</v>
      </c>
      <c r="E1564" s="14">
        <f>Data!X1564</f>
        <v>0</v>
      </c>
    </row>
    <row r="1565" spans="2:5" ht="15" customHeight="1" x14ac:dyDescent="0.3">
      <c r="C1565" s="59"/>
      <c r="D1565" s="8">
        <v>2015</v>
      </c>
      <c r="E1565" s="14">
        <f>Data!X1565</f>
        <v>0</v>
      </c>
    </row>
    <row r="1566" spans="2:5" ht="15" customHeight="1" x14ac:dyDescent="0.3">
      <c r="C1566" s="59"/>
      <c r="D1566" s="8">
        <v>2016</v>
      </c>
      <c r="E1566" s="14">
        <f>Data!X1566</f>
        <v>0</v>
      </c>
    </row>
    <row r="1567" spans="2:5" ht="15" customHeight="1" x14ac:dyDescent="0.3">
      <c r="C1567" s="59"/>
      <c r="D1567" s="8">
        <v>2017</v>
      </c>
      <c r="E1567" s="14">
        <f>Data!X1567</f>
        <v>0</v>
      </c>
    </row>
    <row r="1568" spans="2:5" ht="15" customHeight="1" x14ac:dyDescent="0.3">
      <c r="C1568" s="59"/>
      <c r="D1568" s="8">
        <v>2018</v>
      </c>
      <c r="E1568" s="14">
        <f>Data!X1568</f>
        <v>0</v>
      </c>
    </row>
    <row r="1569" spans="2:5" ht="15" customHeight="1" x14ac:dyDescent="0.3">
      <c r="C1569" s="59"/>
      <c r="D1569" s="8">
        <v>2019</v>
      </c>
      <c r="E1569" s="14">
        <f>Data!X1569</f>
        <v>0</v>
      </c>
    </row>
    <row r="1570" spans="2:5" ht="15" customHeight="1" x14ac:dyDescent="0.3">
      <c r="C1570" s="59"/>
      <c r="D1570" s="8">
        <v>2020</v>
      </c>
      <c r="E1570" s="14">
        <f>Data!X1570</f>
        <v>0</v>
      </c>
    </row>
    <row r="1571" spans="2:5" ht="15" customHeight="1" x14ac:dyDescent="0.3">
      <c r="C1571" s="59"/>
      <c r="D1571" s="8">
        <v>2021</v>
      </c>
      <c r="E1571" s="14">
        <f>Data!X1571</f>
        <v>0</v>
      </c>
    </row>
    <row r="1572" spans="2:5" ht="15" customHeight="1" x14ac:dyDescent="0.3">
      <c r="C1572" s="59"/>
      <c r="D1572" s="8">
        <v>2022</v>
      </c>
      <c r="E1572" s="14">
        <f>Data!X1572</f>
        <v>0</v>
      </c>
    </row>
    <row r="1573" spans="2:5" ht="15" customHeight="1" x14ac:dyDescent="0.3">
      <c r="C1573" s="59"/>
      <c r="D1573" s="8">
        <v>2023</v>
      </c>
      <c r="E1573" s="14">
        <f>Data!X1573</f>
        <v>0</v>
      </c>
    </row>
    <row r="1574" spans="2:5" ht="15" customHeight="1" x14ac:dyDescent="0.3">
      <c r="C1574" s="59"/>
      <c r="D1574" s="8">
        <v>2024</v>
      </c>
      <c r="E1574" s="14">
        <f>Data!X1574</f>
        <v>0</v>
      </c>
    </row>
    <row r="1575" spans="2:5" ht="15" customHeight="1" x14ac:dyDescent="0.3">
      <c r="B1575" s="8">
        <v>144</v>
      </c>
      <c r="C1575" s="59" t="s">
        <v>141</v>
      </c>
      <c r="D1575" s="8">
        <v>2014</v>
      </c>
      <c r="E1575" s="14">
        <f>Data!X1575</f>
        <v>0</v>
      </c>
    </row>
    <row r="1576" spans="2:5" ht="15" customHeight="1" x14ac:dyDescent="0.3">
      <c r="C1576" s="59"/>
      <c r="D1576" s="8">
        <v>2015</v>
      </c>
      <c r="E1576" s="14">
        <f>Data!X1576</f>
        <v>0</v>
      </c>
    </row>
    <row r="1577" spans="2:5" ht="15" customHeight="1" x14ac:dyDescent="0.3">
      <c r="C1577" s="59"/>
      <c r="D1577" s="8">
        <v>2016</v>
      </c>
      <c r="E1577" s="14">
        <f>Data!X1577</f>
        <v>0</v>
      </c>
    </row>
    <row r="1578" spans="2:5" ht="15" customHeight="1" x14ac:dyDescent="0.3">
      <c r="C1578" s="59"/>
      <c r="D1578" s="8">
        <v>2017</v>
      </c>
      <c r="E1578" s="14">
        <f>Data!X1578</f>
        <v>0</v>
      </c>
    </row>
    <row r="1579" spans="2:5" ht="15" customHeight="1" x14ac:dyDescent="0.3">
      <c r="C1579" s="59"/>
      <c r="D1579" s="8">
        <v>2018</v>
      </c>
      <c r="E1579" s="14">
        <f>Data!X1579</f>
        <v>0</v>
      </c>
    </row>
    <row r="1580" spans="2:5" ht="15" customHeight="1" x14ac:dyDescent="0.3">
      <c r="C1580" s="59"/>
      <c r="D1580" s="8">
        <v>2019</v>
      </c>
      <c r="E1580" s="14">
        <f>Data!X1580</f>
        <v>0</v>
      </c>
    </row>
    <row r="1581" spans="2:5" ht="15" customHeight="1" x14ac:dyDescent="0.3">
      <c r="C1581" s="59"/>
      <c r="D1581" s="8">
        <v>2020</v>
      </c>
      <c r="E1581" s="14">
        <f>Data!X1581</f>
        <v>0</v>
      </c>
    </row>
    <row r="1582" spans="2:5" ht="15" customHeight="1" x14ac:dyDescent="0.3">
      <c r="C1582" s="59"/>
      <c r="D1582" s="8">
        <v>2021</v>
      </c>
      <c r="E1582" s="14">
        <f>Data!X1582</f>
        <v>0</v>
      </c>
    </row>
    <row r="1583" spans="2:5" ht="15" customHeight="1" x14ac:dyDescent="0.3">
      <c r="C1583" s="59"/>
      <c r="D1583" s="8">
        <v>2022</v>
      </c>
      <c r="E1583" s="14">
        <f>Data!X1583</f>
        <v>0</v>
      </c>
    </row>
    <row r="1584" spans="2:5" ht="15" customHeight="1" x14ac:dyDescent="0.3">
      <c r="C1584" s="59"/>
      <c r="D1584" s="8">
        <v>2023</v>
      </c>
      <c r="E1584" s="14">
        <f>Data!X1584</f>
        <v>0</v>
      </c>
    </row>
    <row r="1585" spans="1:5" ht="15" customHeight="1" x14ac:dyDescent="0.3">
      <c r="C1585" s="59"/>
      <c r="D1585" s="8">
        <v>2024</v>
      </c>
      <c r="E1585" s="14">
        <f>Data!X1585</f>
        <v>0</v>
      </c>
    </row>
    <row r="1586" spans="1:5" ht="15" customHeight="1" x14ac:dyDescent="0.3">
      <c r="A1586" t="s">
        <v>156</v>
      </c>
      <c r="B1586" s="8">
        <v>145</v>
      </c>
      <c r="C1586" s="57" t="s">
        <v>145</v>
      </c>
      <c r="D1586" s="8">
        <v>2014</v>
      </c>
      <c r="E1586" s="14">
        <f>Data!X1586</f>
        <v>0</v>
      </c>
    </row>
    <row r="1587" spans="1:5" ht="15" customHeight="1" x14ac:dyDescent="0.3">
      <c r="C1587" s="57"/>
      <c r="D1587" s="8">
        <v>2015</v>
      </c>
      <c r="E1587" s="14">
        <f>Data!X1587</f>
        <v>5</v>
      </c>
    </row>
    <row r="1588" spans="1:5" ht="15" customHeight="1" x14ac:dyDescent="0.3">
      <c r="C1588" s="57"/>
      <c r="D1588" s="8">
        <v>2016</v>
      </c>
      <c r="E1588" s="14">
        <f>Data!X1588</f>
        <v>5</v>
      </c>
    </row>
    <row r="1589" spans="1:5" ht="15" customHeight="1" x14ac:dyDescent="0.3">
      <c r="C1589" s="57"/>
      <c r="D1589" s="8">
        <v>2017</v>
      </c>
      <c r="E1589" s="14">
        <f>Data!X1589</f>
        <v>5</v>
      </c>
    </row>
    <row r="1590" spans="1:5" ht="15" customHeight="1" x14ac:dyDescent="0.3">
      <c r="C1590" s="57"/>
      <c r="D1590" s="8">
        <v>2018</v>
      </c>
      <c r="E1590" s="14">
        <f>Data!X1590</f>
        <v>0</v>
      </c>
    </row>
    <row r="1591" spans="1:5" ht="15" customHeight="1" x14ac:dyDescent="0.3">
      <c r="C1591" s="57"/>
      <c r="D1591" s="8">
        <v>2019</v>
      </c>
      <c r="E1591" s="14">
        <f>Data!X1591</f>
        <v>0</v>
      </c>
    </row>
    <row r="1592" spans="1:5" ht="15" customHeight="1" x14ac:dyDescent="0.3">
      <c r="C1592" s="57"/>
      <c r="D1592" s="8">
        <v>2020</v>
      </c>
      <c r="E1592" s="14">
        <f>Data!X1592</f>
        <v>0</v>
      </c>
    </row>
    <row r="1593" spans="1:5" ht="15" customHeight="1" x14ac:dyDescent="0.3">
      <c r="C1593" s="57"/>
      <c r="D1593" s="8">
        <v>2021</v>
      </c>
      <c r="E1593" s="14">
        <f>Data!X1593</f>
        <v>0</v>
      </c>
    </row>
    <row r="1594" spans="1:5" ht="15" customHeight="1" x14ac:dyDescent="0.3">
      <c r="C1594" s="57"/>
      <c r="D1594" s="8">
        <v>2022</v>
      </c>
      <c r="E1594" s="14">
        <f>Data!X1594</f>
        <v>0</v>
      </c>
    </row>
    <row r="1595" spans="1:5" ht="15" customHeight="1" x14ac:dyDescent="0.3">
      <c r="C1595" s="57"/>
      <c r="D1595" s="8">
        <v>2023</v>
      </c>
      <c r="E1595" s="14">
        <f>Data!X1595</f>
        <v>0</v>
      </c>
    </row>
    <row r="1596" spans="1:5" ht="15" customHeight="1" x14ac:dyDescent="0.3">
      <c r="C1596" s="57"/>
      <c r="D1596" s="8">
        <v>2024</v>
      </c>
      <c r="E1596" s="14">
        <f>Data!X1596</f>
        <v>0</v>
      </c>
    </row>
    <row r="1597" spans="1:5" ht="15" customHeight="1" x14ac:dyDescent="0.3">
      <c r="B1597" s="8">
        <v>146</v>
      </c>
      <c r="C1597" s="57" t="s">
        <v>146</v>
      </c>
      <c r="D1597" s="8">
        <v>2014</v>
      </c>
      <c r="E1597" s="14">
        <f>Data!X1597</f>
        <v>0</v>
      </c>
    </row>
    <row r="1598" spans="1:5" ht="15" customHeight="1" x14ac:dyDescent="0.3">
      <c r="C1598" s="57"/>
      <c r="D1598" s="8">
        <v>2015</v>
      </c>
      <c r="E1598" s="14">
        <f>Data!X1598</f>
        <v>0</v>
      </c>
    </row>
    <row r="1599" spans="1:5" ht="15" customHeight="1" x14ac:dyDescent="0.3">
      <c r="C1599" s="57"/>
      <c r="D1599" s="8">
        <v>2016</v>
      </c>
      <c r="E1599" s="14">
        <f>Data!X1599</f>
        <v>0</v>
      </c>
    </row>
    <row r="1600" spans="1:5" ht="15" customHeight="1" x14ac:dyDescent="0.3">
      <c r="C1600" s="57"/>
      <c r="D1600" s="8">
        <v>2017</v>
      </c>
      <c r="E1600" s="14">
        <f>Data!X1600</f>
        <v>0</v>
      </c>
    </row>
    <row r="1601" spans="1:5" ht="15" customHeight="1" x14ac:dyDescent="0.3">
      <c r="C1601" s="57"/>
      <c r="D1601" s="8">
        <v>2018</v>
      </c>
      <c r="E1601" s="14">
        <f>Data!X1601</f>
        <v>0</v>
      </c>
    </row>
    <row r="1602" spans="1:5" ht="15" customHeight="1" x14ac:dyDescent="0.3">
      <c r="C1602" s="57"/>
      <c r="D1602" s="8">
        <v>2019</v>
      </c>
      <c r="E1602" s="14">
        <f>Data!X1602</f>
        <v>0</v>
      </c>
    </row>
    <row r="1603" spans="1:5" ht="15" customHeight="1" x14ac:dyDescent="0.3">
      <c r="C1603" s="57"/>
      <c r="D1603" s="8">
        <v>2020</v>
      </c>
      <c r="E1603" s="14">
        <f>Data!X1603</f>
        <v>0</v>
      </c>
    </row>
    <row r="1604" spans="1:5" ht="15" customHeight="1" x14ac:dyDescent="0.3">
      <c r="C1604" s="57"/>
      <c r="D1604" s="8">
        <v>2021</v>
      </c>
      <c r="E1604" s="14">
        <f>Data!X1604</f>
        <v>0</v>
      </c>
    </row>
    <row r="1605" spans="1:5" ht="15" customHeight="1" x14ac:dyDescent="0.3">
      <c r="C1605" s="57"/>
      <c r="D1605" s="8">
        <v>2022</v>
      </c>
      <c r="E1605" s="14">
        <f>Data!X1605</f>
        <v>0</v>
      </c>
    </row>
    <row r="1606" spans="1:5" ht="15" customHeight="1" x14ac:dyDescent="0.3">
      <c r="C1606" s="57"/>
      <c r="D1606" s="8">
        <v>2023</v>
      </c>
      <c r="E1606" s="14">
        <f>Data!X1606</f>
        <v>0</v>
      </c>
    </row>
    <row r="1607" spans="1:5" ht="15" customHeight="1" x14ac:dyDescent="0.3">
      <c r="C1607" s="57"/>
      <c r="D1607" s="8">
        <v>2024</v>
      </c>
      <c r="E1607" s="14">
        <f>Data!X1607</f>
        <v>0</v>
      </c>
    </row>
    <row r="1608" spans="1:5" ht="15" customHeight="1" x14ac:dyDescent="0.3">
      <c r="A1608" t="s">
        <v>157</v>
      </c>
      <c r="B1608" s="8">
        <v>147</v>
      </c>
      <c r="C1608" s="57" t="s">
        <v>147</v>
      </c>
      <c r="D1608" s="8">
        <v>2014</v>
      </c>
      <c r="E1608" s="14">
        <f>Data!X1608</f>
        <v>0</v>
      </c>
    </row>
    <row r="1609" spans="1:5" ht="15" customHeight="1" x14ac:dyDescent="0.3">
      <c r="C1609" s="57"/>
      <c r="D1609" s="8">
        <v>2015</v>
      </c>
      <c r="E1609" s="14">
        <f>Data!X1609</f>
        <v>0</v>
      </c>
    </row>
    <row r="1610" spans="1:5" ht="15" customHeight="1" x14ac:dyDescent="0.3">
      <c r="C1610" s="57"/>
      <c r="D1610" s="8">
        <v>2016</v>
      </c>
      <c r="E1610" s="14">
        <f>Data!X1610</f>
        <v>0</v>
      </c>
    </row>
    <row r="1611" spans="1:5" ht="15" customHeight="1" x14ac:dyDescent="0.3">
      <c r="C1611" s="57"/>
      <c r="D1611" s="8">
        <v>2017</v>
      </c>
      <c r="E1611" s="14">
        <f>Data!X1611</f>
        <v>0</v>
      </c>
    </row>
    <row r="1612" spans="1:5" ht="15" customHeight="1" x14ac:dyDescent="0.3">
      <c r="C1612" s="57"/>
      <c r="D1612" s="8">
        <v>2018</v>
      </c>
      <c r="E1612" s="14">
        <f>Data!X1612</f>
        <v>0</v>
      </c>
    </row>
    <row r="1613" spans="1:5" ht="15" customHeight="1" x14ac:dyDescent="0.3">
      <c r="C1613" s="57"/>
      <c r="D1613" s="8">
        <v>2019</v>
      </c>
      <c r="E1613" s="14">
        <f>Data!X1613</f>
        <v>0</v>
      </c>
    </row>
    <row r="1614" spans="1:5" ht="15" customHeight="1" x14ac:dyDescent="0.3">
      <c r="C1614" s="57"/>
      <c r="D1614" s="8">
        <v>2020</v>
      </c>
      <c r="E1614" s="14">
        <f>Data!X1614</f>
        <v>0</v>
      </c>
    </row>
    <row r="1615" spans="1:5" ht="15" customHeight="1" x14ac:dyDescent="0.3">
      <c r="C1615" s="57"/>
      <c r="D1615" s="8">
        <v>2021</v>
      </c>
      <c r="E1615" s="14">
        <f>Data!X1615</f>
        <v>0</v>
      </c>
    </row>
    <row r="1616" spans="1:5" ht="15" customHeight="1" x14ac:dyDescent="0.3">
      <c r="C1616" s="57"/>
      <c r="D1616" s="8">
        <v>2022</v>
      </c>
      <c r="E1616" s="14">
        <f>Data!X1616</f>
        <v>0</v>
      </c>
    </row>
    <row r="1617" spans="2:5" ht="15" customHeight="1" x14ac:dyDescent="0.3">
      <c r="C1617" s="57"/>
      <c r="D1617" s="8">
        <v>2023</v>
      </c>
      <c r="E1617" s="14">
        <f>Data!X1617</f>
        <v>0</v>
      </c>
    </row>
    <row r="1618" spans="2:5" ht="15" customHeight="1" x14ac:dyDescent="0.3">
      <c r="C1618" s="57"/>
      <c r="D1618" s="8">
        <v>2024</v>
      </c>
      <c r="E1618" s="14">
        <f>Data!X1618</f>
        <v>0</v>
      </c>
    </row>
    <row r="1619" spans="2:5" ht="15" customHeight="1" x14ac:dyDescent="0.3">
      <c r="B1619" s="8">
        <v>148</v>
      </c>
      <c r="C1619" s="57" t="s">
        <v>148</v>
      </c>
      <c r="D1619" s="8">
        <v>2014</v>
      </c>
      <c r="E1619" s="14">
        <f>Data!X1619</f>
        <v>0</v>
      </c>
    </row>
    <row r="1620" spans="2:5" ht="15" customHeight="1" x14ac:dyDescent="0.3">
      <c r="C1620" s="60"/>
      <c r="D1620" s="8">
        <v>2015</v>
      </c>
      <c r="E1620" s="14">
        <f>Data!X1620</f>
        <v>0</v>
      </c>
    </row>
    <row r="1621" spans="2:5" ht="15" customHeight="1" x14ac:dyDescent="0.3">
      <c r="C1621" s="60"/>
      <c r="D1621" s="8">
        <v>2016</v>
      </c>
      <c r="E1621" s="14">
        <f>Data!X1621</f>
        <v>0</v>
      </c>
    </row>
    <row r="1622" spans="2:5" ht="15" customHeight="1" x14ac:dyDescent="0.3">
      <c r="C1622" s="60"/>
      <c r="D1622" s="8">
        <v>2017</v>
      </c>
      <c r="E1622" s="14">
        <f>Data!X1622</f>
        <v>0</v>
      </c>
    </row>
    <row r="1623" spans="2:5" ht="15" customHeight="1" x14ac:dyDescent="0.3">
      <c r="C1623" s="60"/>
      <c r="D1623" s="8">
        <v>2018</v>
      </c>
      <c r="E1623" s="14">
        <f>Data!X1623</f>
        <v>0</v>
      </c>
    </row>
    <row r="1624" spans="2:5" ht="15" customHeight="1" x14ac:dyDescent="0.3">
      <c r="C1624" s="60"/>
      <c r="D1624" s="8">
        <v>2019</v>
      </c>
      <c r="E1624" s="14">
        <f>Data!X1624</f>
        <v>0</v>
      </c>
    </row>
    <row r="1625" spans="2:5" ht="15" customHeight="1" x14ac:dyDescent="0.3">
      <c r="C1625" s="60"/>
      <c r="D1625" s="8">
        <v>2020</v>
      </c>
      <c r="E1625" s="14">
        <f>Data!X1625</f>
        <v>0</v>
      </c>
    </row>
    <row r="1626" spans="2:5" ht="15" customHeight="1" x14ac:dyDescent="0.3">
      <c r="C1626" s="60"/>
      <c r="D1626" s="8">
        <v>2021</v>
      </c>
      <c r="E1626" s="14">
        <f>Data!X1626</f>
        <v>0</v>
      </c>
    </row>
    <row r="1627" spans="2:5" ht="15" customHeight="1" x14ac:dyDescent="0.3">
      <c r="C1627" s="60"/>
      <c r="D1627" s="8">
        <v>2022</v>
      </c>
      <c r="E1627" s="14">
        <f>Data!X1627</f>
        <v>0</v>
      </c>
    </row>
    <row r="1628" spans="2:5" ht="15" customHeight="1" x14ac:dyDescent="0.3">
      <c r="C1628" s="60"/>
      <c r="D1628" s="8">
        <v>2023</v>
      </c>
      <c r="E1628" s="14">
        <f>Data!X1628</f>
        <v>0</v>
      </c>
    </row>
    <row r="1629" spans="2:5" ht="15" customHeight="1" x14ac:dyDescent="0.3">
      <c r="C1629" s="60"/>
      <c r="D1629" s="8">
        <v>2024</v>
      </c>
      <c r="E1629" s="14">
        <f>Data!X1629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E35E-D9A7-48CF-ABFD-AA68753E6394}">
  <sheetPr codeName="Sheet13"/>
  <dimension ref="A1:E1629"/>
  <sheetViews>
    <sheetView workbookViewId="0">
      <selection activeCell="E2" sqref="E2:E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47.6640625" style="14" bestFit="1" customWidth="1"/>
    <col min="6" max="7" width="12.109375" bestFit="1" customWidth="1"/>
    <col min="8" max="8" width="11.5546875" bestFit="1" customWidth="1"/>
    <col min="9" max="9" width="11" bestFit="1" customWidth="1"/>
    <col min="10" max="10" width="28.109375" bestFit="1" customWidth="1"/>
    <col min="11" max="11" width="23.33203125" bestFit="1" customWidth="1"/>
    <col min="12" max="12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178</v>
      </c>
    </row>
    <row r="2" spans="1:5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Data!T2</f>
        <v>0</v>
      </c>
    </row>
    <row r="3" spans="1:5" ht="15" customHeight="1" x14ac:dyDescent="0.3">
      <c r="C3" s="3"/>
      <c r="D3" s="8">
        <v>2015</v>
      </c>
      <c r="E3" s="14">
        <f>Data!T3</f>
        <v>0</v>
      </c>
    </row>
    <row r="4" spans="1:5" ht="15" customHeight="1" x14ac:dyDescent="0.3">
      <c r="C4" s="3"/>
      <c r="D4" s="8">
        <v>2016</v>
      </c>
      <c r="E4" s="14">
        <f>Data!T4</f>
        <v>0</v>
      </c>
    </row>
    <row r="5" spans="1:5" ht="15" customHeight="1" x14ac:dyDescent="0.3">
      <c r="C5" s="3"/>
      <c r="D5" s="8">
        <v>2017</v>
      </c>
      <c r="E5" s="14">
        <f>Data!T5</f>
        <v>0</v>
      </c>
    </row>
    <row r="6" spans="1:5" ht="15" customHeight="1" x14ac:dyDescent="0.3">
      <c r="C6" s="3"/>
      <c r="D6" s="8">
        <v>2018</v>
      </c>
      <c r="E6" s="14">
        <f>Data!T6</f>
        <v>0</v>
      </c>
    </row>
    <row r="7" spans="1:5" ht="15" customHeight="1" x14ac:dyDescent="0.3">
      <c r="C7" s="3"/>
      <c r="D7" s="8">
        <v>2019</v>
      </c>
      <c r="E7" s="14">
        <f>Data!T7</f>
        <v>0</v>
      </c>
    </row>
    <row r="8" spans="1:5" ht="15" customHeight="1" x14ac:dyDescent="0.3">
      <c r="C8" s="3"/>
      <c r="D8" s="8">
        <v>2020</v>
      </c>
      <c r="E8" s="14">
        <f>Data!T8</f>
        <v>0</v>
      </c>
    </row>
    <row r="9" spans="1:5" ht="15" customHeight="1" x14ac:dyDescent="0.3">
      <c r="C9" s="3"/>
      <c r="D9" s="8">
        <v>2021</v>
      </c>
      <c r="E9" s="14">
        <f>Data!T9</f>
        <v>0</v>
      </c>
    </row>
    <row r="10" spans="1:5" ht="15" customHeight="1" x14ac:dyDescent="0.3">
      <c r="C10" s="3"/>
      <c r="D10" s="8">
        <v>2022</v>
      </c>
      <c r="E10" s="14">
        <f>Data!T10</f>
        <v>0</v>
      </c>
    </row>
    <row r="11" spans="1:5" ht="15" customHeight="1" x14ac:dyDescent="0.3">
      <c r="C11" s="3"/>
      <c r="D11" s="8">
        <v>2023</v>
      </c>
      <c r="E11" s="14">
        <f>Data!T11</f>
        <v>0</v>
      </c>
    </row>
    <row r="12" spans="1:5" ht="15" customHeight="1" x14ac:dyDescent="0.3">
      <c r="C12" s="3"/>
      <c r="D12" s="8">
        <v>2024</v>
      </c>
      <c r="E12" s="14">
        <f>Data!T12</f>
        <v>0</v>
      </c>
    </row>
    <row r="13" spans="1:5" ht="15" customHeight="1" x14ac:dyDescent="0.3">
      <c r="B13" s="8">
        <v>2</v>
      </c>
      <c r="C13" s="3" t="s">
        <v>2</v>
      </c>
      <c r="D13" s="8">
        <v>2014</v>
      </c>
      <c r="E13" s="14">
        <f>Data!T13</f>
        <v>0</v>
      </c>
    </row>
    <row r="14" spans="1:5" ht="15" customHeight="1" x14ac:dyDescent="0.3">
      <c r="C14" s="3"/>
      <c r="D14" s="8">
        <v>2015</v>
      </c>
      <c r="E14" s="14">
        <f>Data!T14</f>
        <v>9</v>
      </c>
    </row>
    <row r="15" spans="1:5" ht="15" customHeight="1" x14ac:dyDescent="0.3">
      <c r="C15" s="3"/>
      <c r="D15" s="8">
        <v>2016</v>
      </c>
      <c r="E15" s="14">
        <f>Data!T15</f>
        <v>9</v>
      </c>
    </row>
    <row r="16" spans="1:5" ht="15" customHeight="1" x14ac:dyDescent="0.3">
      <c r="C16" s="3"/>
      <c r="D16" s="8">
        <v>2017</v>
      </c>
      <c r="E16" s="14">
        <f>Data!T16</f>
        <v>9</v>
      </c>
    </row>
    <row r="17" spans="2:5" ht="15" customHeight="1" x14ac:dyDescent="0.3">
      <c r="C17" s="3"/>
      <c r="D17" s="8">
        <v>2018</v>
      </c>
      <c r="E17" s="14">
        <f>Data!T17</f>
        <v>9</v>
      </c>
    </row>
    <row r="18" spans="2:5" ht="15" customHeight="1" x14ac:dyDescent="0.3">
      <c r="C18" s="3"/>
      <c r="D18" s="8">
        <v>2019</v>
      </c>
      <c r="E18" s="14">
        <f>Data!T18</f>
        <v>8</v>
      </c>
    </row>
    <row r="19" spans="2:5" ht="15" customHeight="1" x14ac:dyDescent="0.3">
      <c r="C19" s="3"/>
      <c r="D19" s="8">
        <v>2020</v>
      </c>
      <c r="E19" s="14">
        <f>Data!T19</f>
        <v>8</v>
      </c>
    </row>
    <row r="20" spans="2:5" ht="15" customHeight="1" x14ac:dyDescent="0.3">
      <c r="C20" s="3"/>
      <c r="D20" s="8">
        <v>2021</v>
      </c>
      <c r="E20" s="14">
        <f>Data!T20</f>
        <v>7</v>
      </c>
    </row>
    <row r="21" spans="2:5" ht="15" customHeight="1" x14ac:dyDescent="0.3">
      <c r="C21" s="3"/>
      <c r="D21" s="8">
        <v>2022</v>
      </c>
      <c r="E21" s="14">
        <f>Data!T21</f>
        <v>7</v>
      </c>
    </row>
    <row r="22" spans="2:5" ht="15" customHeight="1" x14ac:dyDescent="0.3">
      <c r="C22" s="3"/>
      <c r="D22" s="8">
        <v>2023</v>
      </c>
      <c r="E22" s="14">
        <f>Data!T22</f>
        <v>9</v>
      </c>
    </row>
    <row r="23" spans="2:5" ht="15" customHeight="1" x14ac:dyDescent="0.3">
      <c r="C23" s="3"/>
      <c r="D23" s="8">
        <v>2024</v>
      </c>
      <c r="E23" s="14">
        <f>Data!T23</f>
        <v>8</v>
      </c>
    </row>
    <row r="24" spans="2:5" ht="15" customHeight="1" x14ac:dyDescent="0.3">
      <c r="B24" s="8">
        <v>3</v>
      </c>
      <c r="C24" s="3" t="s">
        <v>3</v>
      </c>
      <c r="D24" s="8">
        <v>2014</v>
      </c>
      <c r="E24" s="14">
        <f>Data!T24</f>
        <v>0</v>
      </c>
    </row>
    <row r="25" spans="2:5" ht="15" customHeight="1" x14ac:dyDescent="0.3">
      <c r="C25" s="3"/>
      <c r="D25" s="8">
        <v>2015</v>
      </c>
      <c r="E25" s="14">
        <f>Data!T25</f>
        <v>7</v>
      </c>
    </row>
    <row r="26" spans="2:5" ht="15" customHeight="1" x14ac:dyDescent="0.3">
      <c r="C26" s="3"/>
      <c r="D26" s="8">
        <v>2016</v>
      </c>
      <c r="E26" s="14">
        <f>Data!T26</f>
        <v>7</v>
      </c>
    </row>
    <row r="27" spans="2:5" ht="15" customHeight="1" x14ac:dyDescent="0.3">
      <c r="C27" s="3"/>
      <c r="D27" s="8">
        <v>2017</v>
      </c>
      <c r="E27" s="14">
        <f>Data!T27</f>
        <v>9</v>
      </c>
    </row>
    <row r="28" spans="2:5" ht="15" customHeight="1" x14ac:dyDescent="0.3">
      <c r="C28" s="3"/>
      <c r="D28" s="8">
        <v>2018</v>
      </c>
      <c r="E28" s="14">
        <f>Data!T28</f>
        <v>9</v>
      </c>
    </row>
    <row r="29" spans="2:5" ht="15" customHeight="1" x14ac:dyDescent="0.3">
      <c r="C29" s="3"/>
      <c r="D29" s="8">
        <v>2019</v>
      </c>
      <c r="E29" s="14">
        <f>Data!T29</f>
        <v>9</v>
      </c>
    </row>
    <row r="30" spans="2:5" ht="15" customHeight="1" x14ac:dyDescent="0.3">
      <c r="C30" s="3"/>
      <c r="D30" s="8">
        <v>2020</v>
      </c>
      <c r="E30" s="14">
        <f>Data!T30</f>
        <v>9</v>
      </c>
    </row>
    <row r="31" spans="2:5" ht="15" customHeight="1" x14ac:dyDescent="0.3">
      <c r="C31" s="3"/>
      <c r="D31" s="8">
        <v>2021</v>
      </c>
      <c r="E31" s="14">
        <f>Data!T31</f>
        <v>9</v>
      </c>
    </row>
    <row r="32" spans="2:5" ht="15" customHeight="1" x14ac:dyDescent="0.3">
      <c r="C32" s="3"/>
      <c r="D32" s="8">
        <v>2022</v>
      </c>
      <c r="E32" s="14">
        <f>Data!T32</f>
        <v>7</v>
      </c>
    </row>
    <row r="33" spans="2:5" ht="15" customHeight="1" x14ac:dyDescent="0.3">
      <c r="C33" s="3"/>
      <c r="D33" s="8">
        <v>2023</v>
      </c>
      <c r="E33" s="14">
        <f>Data!T33</f>
        <v>8</v>
      </c>
    </row>
    <row r="34" spans="2:5" ht="15" customHeight="1" x14ac:dyDescent="0.3">
      <c r="C34" s="3"/>
      <c r="D34" s="8">
        <v>2024</v>
      </c>
      <c r="E34" s="14">
        <f>Data!T34</f>
        <v>7</v>
      </c>
    </row>
    <row r="35" spans="2:5" ht="15" customHeight="1" x14ac:dyDescent="0.3">
      <c r="B35" s="8">
        <v>4</v>
      </c>
      <c r="C35" s="4" t="s">
        <v>56</v>
      </c>
      <c r="D35" s="8">
        <v>2014</v>
      </c>
      <c r="E35" s="14">
        <f>Data!T35</f>
        <v>0</v>
      </c>
    </row>
    <row r="36" spans="2:5" ht="15" customHeight="1" x14ac:dyDescent="0.3">
      <c r="C36" s="4"/>
      <c r="D36" s="8">
        <v>2015</v>
      </c>
      <c r="E36" s="14">
        <f>Data!T36</f>
        <v>0</v>
      </c>
    </row>
    <row r="37" spans="2:5" ht="15" customHeight="1" x14ac:dyDescent="0.3">
      <c r="C37" s="4"/>
      <c r="D37" s="8">
        <v>2016</v>
      </c>
      <c r="E37" s="14">
        <f>Data!T37</f>
        <v>0</v>
      </c>
    </row>
    <row r="38" spans="2:5" ht="15" customHeight="1" x14ac:dyDescent="0.3">
      <c r="C38" s="4"/>
      <c r="D38" s="8">
        <v>2017</v>
      </c>
      <c r="E38" s="14">
        <f>Data!T38</f>
        <v>0</v>
      </c>
    </row>
    <row r="39" spans="2:5" ht="15" customHeight="1" x14ac:dyDescent="0.3">
      <c r="C39" s="4"/>
      <c r="D39" s="8">
        <v>2018</v>
      </c>
      <c r="E39" s="14">
        <f>Data!T39</f>
        <v>0</v>
      </c>
    </row>
    <row r="40" spans="2:5" ht="15" customHeight="1" x14ac:dyDescent="0.3">
      <c r="C40" s="4"/>
      <c r="D40" s="8">
        <v>2019</v>
      </c>
      <c r="E40" s="14">
        <f>Data!T40</f>
        <v>0</v>
      </c>
    </row>
    <row r="41" spans="2:5" ht="15" customHeight="1" x14ac:dyDescent="0.3">
      <c r="C41" s="4"/>
      <c r="D41" s="8">
        <v>2020</v>
      </c>
      <c r="E41" s="14">
        <f>Data!T41</f>
        <v>0</v>
      </c>
    </row>
    <row r="42" spans="2:5" ht="15" customHeight="1" x14ac:dyDescent="0.3">
      <c r="C42" s="4"/>
      <c r="D42" s="8">
        <v>2021</v>
      </c>
      <c r="E42" s="14">
        <f>Data!T42</f>
        <v>0</v>
      </c>
    </row>
    <row r="43" spans="2:5" ht="15" customHeight="1" x14ac:dyDescent="0.3">
      <c r="C43" s="4"/>
      <c r="D43" s="8">
        <v>2022</v>
      </c>
      <c r="E43" s="14">
        <f>Data!T43</f>
        <v>0</v>
      </c>
    </row>
    <row r="44" spans="2:5" ht="15" customHeight="1" x14ac:dyDescent="0.3">
      <c r="C44" s="4"/>
      <c r="D44" s="8">
        <v>2023</v>
      </c>
      <c r="E44" s="14">
        <f>Data!T44</f>
        <v>6</v>
      </c>
    </row>
    <row r="45" spans="2:5" ht="15" customHeight="1" x14ac:dyDescent="0.3">
      <c r="C45" s="4"/>
      <c r="D45" s="8">
        <v>2024</v>
      </c>
      <c r="E45" s="14">
        <f>Data!T45</f>
        <v>6</v>
      </c>
    </row>
    <row r="46" spans="2:5" ht="15" customHeight="1" x14ac:dyDescent="0.3">
      <c r="B46" s="8">
        <v>5</v>
      </c>
      <c r="C46" s="3" t="s">
        <v>20</v>
      </c>
      <c r="D46" s="8">
        <v>2014</v>
      </c>
      <c r="E46" s="14">
        <f>Data!T46</f>
        <v>0</v>
      </c>
    </row>
    <row r="47" spans="2:5" ht="15" customHeight="1" x14ac:dyDescent="0.3">
      <c r="C47" s="3"/>
      <c r="D47" s="8">
        <v>2015</v>
      </c>
      <c r="E47" s="14">
        <f>Data!T47</f>
        <v>0</v>
      </c>
    </row>
    <row r="48" spans="2:5" ht="15" customHeight="1" x14ac:dyDescent="0.3">
      <c r="C48" s="3"/>
      <c r="D48" s="8">
        <v>2016</v>
      </c>
      <c r="E48" s="14">
        <f>Data!T48</f>
        <v>0</v>
      </c>
    </row>
    <row r="49" spans="2:5" ht="15" customHeight="1" x14ac:dyDescent="0.3">
      <c r="C49" s="3"/>
      <c r="D49" s="8">
        <v>2017</v>
      </c>
      <c r="E49" s="14">
        <f>Data!T49</f>
        <v>11</v>
      </c>
    </row>
    <row r="50" spans="2:5" ht="15" customHeight="1" x14ac:dyDescent="0.3">
      <c r="C50" s="3"/>
      <c r="D50" s="8">
        <v>2018</v>
      </c>
      <c r="E50" s="14">
        <f>Data!T50</f>
        <v>11</v>
      </c>
    </row>
    <row r="51" spans="2:5" ht="15" customHeight="1" x14ac:dyDescent="0.3">
      <c r="C51" s="3"/>
      <c r="D51" s="8">
        <v>2019</v>
      </c>
      <c r="E51" s="14">
        <f>Data!T51</f>
        <v>12</v>
      </c>
    </row>
    <row r="52" spans="2:5" ht="15" customHeight="1" x14ac:dyDescent="0.3">
      <c r="C52" s="3"/>
      <c r="D52" s="8">
        <v>2020</v>
      </c>
      <c r="E52" s="14">
        <f>Data!T52</f>
        <v>8</v>
      </c>
    </row>
    <row r="53" spans="2:5" ht="15" customHeight="1" x14ac:dyDescent="0.3">
      <c r="C53" s="3"/>
      <c r="D53" s="8">
        <v>2021</v>
      </c>
      <c r="E53" s="14">
        <f>Data!T53</f>
        <v>14</v>
      </c>
    </row>
    <row r="54" spans="2:5" ht="15" customHeight="1" x14ac:dyDescent="0.3">
      <c r="C54" s="3"/>
      <c r="D54" s="8">
        <v>2022</v>
      </c>
      <c r="E54" s="14">
        <f>Data!T54</f>
        <v>10</v>
      </c>
    </row>
    <row r="55" spans="2:5" ht="15" customHeight="1" x14ac:dyDescent="0.3">
      <c r="C55" s="3"/>
      <c r="D55" s="8">
        <v>2023</v>
      </c>
      <c r="E55" s="14">
        <f>Data!T55</f>
        <v>10</v>
      </c>
    </row>
    <row r="56" spans="2:5" ht="15" customHeight="1" x14ac:dyDescent="0.3">
      <c r="C56" s="3"/>
      <c r="D56" s="8">
        <v>2024</v>
      </c>
      <c r="E56" s="14">
        <f>Data!T56</f>
        <v>0</v>
      </c>
    </row>
    <row r="57" spans="2:5" ht="15" customHeight="1" x14ac:dyDescent="0.3">
      <c r="B57" s="8">
        <v>6</v>
      </c>
      <c r="C57" s="3" t="s">
        <v>21</v>
      </c>
      <c r="D57" s="8">
        <v>2014</v>
      </c>
      <c r="E57" s="14">
        <f>Data!T57</f>
        <v>0</v>
      </c>
    </row>
    <row r="58" spans="2:5" ht="15" customHeight="1" x14ac:dyDescent="0.3">
      <c r="C58" s="3"/>
      <c r="D58" s="8">
        <v>2015</v>
      </c>
      <c r="E58" s="14">
        <f>Data!T58</f>
        <v>0</v>
      </c>
    </row>
    <row r="59" spans="2:5" ht="15" customHeight="1" x14ac:dyDescent="0.3">
      <c r="C59" s="3"/>
      <c r="D59" s="8">
        <v>2016</v>
      </c>
      <c r="E59" s="14">
        <f>Data!T59</f>
        <v>0</v>
      </c>
    </row>
    <row r="60" spans="2:5" ht="15" customHeight="1" x14ac:dyDescent="0.3">
      <c r="C60" s="3"/>
      <c r="D60" s="8">
        <v>2017</v>
      </c>
      <c r="E60" s="14">
        <f>Data!T60</f>
        <v>7</v>
      </c>
    </row>
    <row r="61" spans="2:5" ht="15" customHeight="1" x14ac:dyDescent="0.3">
      <c r="C61" s="3"/>
      <c r="D61" s="8">
        <v>2018</v>
      </c>
      <c r="E61" s="14">
        <f>Data!T61</f>
        <v>7</v>
      </c>
    </row>
    <row r="62" spans="2:5" ht="15" customHeight="1" x14ac:dyDescent="0.3">
      <c r="C62" s="3"/>
      <c r="D62" s="8">
        <v>2019</v>
      </c>
      <c r="E62" s="14">
        <f>Data!T62</f>
        <v>7</v>
      </c>
    </row>
    <row r="63" spans="2:5" ht="15" customHeight="1" x14ac:dyDescent="0.3">
      <c r="C63" s="3"/>
      <c r="D63" s="8">
        <v>2020</v>
      </c>
      <c r="E63" s="14">
        <f>Data!T63</f>
        <v>7</v>
      </c>
    </row>
    <row r="64" spans="2:5" ht="15" customHeight="1" x14ac:dyDescent="0.3">
      <c r="C64" s="3"/>
      <c r="D64" s="8">
        <v>2021</v>
      </c>
      <c r="E64" s="14">
        <f>Data!T64</f>
        <v>7</v>
      </c>
    </row>
    <row r="65" spans="2:5" ht="15" customHeight="1" x14ac:dyDescent="0.3">
      <c r="C65" s="3"/>
      <c r="D65" s="8">
        <v>2022</v>
      </c>
      <c r="E65" s="14">
        <f>Data!T65</f>
        <v>7</v>
      </c>
    </row>
    <row r="66" spans="2:5" ht="15" customHeight="1" x14ac:dyDescent="0.3">
      <c r="C66" s="3"/>
      <c r="D66" s="8">
        <v>2023</v>
      </c>
      <c r="E66" s="14">
        <f>Data!T66</f>
        <v>7</v>
      </c>
    </row>
    <row r="67" spans="2:5" ht="15" customHeight="1" x14ac:dyDescent="0.3">
      <c r="C67" s="3"/>
      <c r="D67" s="8">
        <v>2024</v>
      </c>
      <c r="E67" s="14">
        <f>Data!T67</f>
        <v>6</v>
      </c>
    </row>
    <row r="68" spans="2:5" ht="15" customHeight="1" x14ac:dyDescent="0.3">
      <c r="B68" s="8">
        <v>7</v>
      </c>
      <c r="C68" s="3" t="s">
        <v>19</v>
      </c>
      <c r="D68" s="8">
        <v>2014</v>
      </c>
      <c r="E68" s="14">
        <f>Data!T68</f>
        <v>0</v>
      </c>
    </row>
    <row r="69" spans="2:5" ht="15" customHeight="1" x14ac:dyDescent="0.3">
      <c r="C69" s="3"/>
      <c r="D69" s="8">
        <v>2015</v>
      </c>
      <c r="E69" s="14">
        <f>Data!T69</f>
        <v>10</v>
      </c>
    </row>
    <row r="70" spans="2:5" ht="15" customHeight="1" x14ac:dyDescent="0.3">
      <c r="C70" s="3"/>
      <c r="D70" s="8">
        <v>2016</v>
      </c>
      <c r="E70" s="14">
        <f>Data!T70</f>
        <v>9</v>
      </c>
    </row>
    <row r="71" spans="2:5" ht="15" customHeight="1" x14ac:dyDescent="0.3">
      <c r="C71" s="3"/>
      <c r="D71" s="8">
        <v>2017</v>
      </c>
      <c r="E71" s="14">
        <f>Data!T71</f>
        <v>8</v>
      </c>
    </row>
    <row r="72" spans="2:5" ht="15" customHeight="1" x14ac:dyDescent="0.3">
      <c r="C72" s="3"/>
      <c r="D72" s="8">
        <v>2018</v>
      </c>
      <c r="E72" s="14">
        <f>Data!T72</f>
        <v>8</v>
      </c>
    </row>
    <row r="73" spans="2:5" ht="15" customHeight="1" x14ac:dyDescent="0.3">
      <c r="C73" s="3"/>
      <c r="D73" s="8">
        <v>2019</v>
      </c>
      <c r="E73" s="14">
        <f>Data!T73</f>
        <v>10</v>
      </c>
    </row>
    <row r="74" spans="2:5" ht="15" customHeight="1" x14ac:dyDescent="0.3">
      <c r="C74" s="3"/>
      <c r="D74" s="8">
        <v>2020</v>
      </c>
      <c r="E74" s="14">
        <f>Data!T74</f>
        <v>8</v>
      </c>
    </row>
    <row r="75" spans="2:5" ht="15" customHeight="1" x14ac:dyDescent="0.3">
      <c r="C75" s="3"/>
      <c r="D75" s="8">
        <v>2021</v>
      </c>
      <c r="E75" s="14">
        <f>Data!T75</f>
        <v>8</v>
      </c>
    </row>
    <row r="76" spans="2:5" ht="15" customHeight="1" x14ac:dyDescent="0.3">
      <c r="C76" s="3"/>
      <c r="D76" s="8">
        <v>2022</v>
      </c>
      <c r="E76" s="14">
        <f>Data!T76</f>
        <v>9</v>
      </c>
    </row>
    <row r="77" spans="2:5" ht="15" customHeight="1" x14ac:dyDescent="0.3">
      <c r="C77" s="3"/>
      <c r="D77" s="8">
        <v>2023</v>
      </c>
      <c r="E77" s="14">
        <f>Data!T77</f>
        <v>9</v>
      </c>
    </row>
    <row r="78" spans="2:5" ht="15" customHeight="1" x14ac:dyDescent="0.3">
      <c r="C78" s="3"/>
      <c r="D78" s="8">
        <v>2024</v>
      </c>
      <c r="E78" s="14">
        <f>Data!T78</f>
        <v>9</v>
      </c>
    </row>
    <row r="79" spans="2:5" ht="15" customHeight="1" x14ac:dyDescent="0.3">
      <c r="B79" s="8">
        <v>8</v>
      </c>
      <c r="C79" s="3" t="s">
        <v>8</v>
      </c>
      <c r="D79" s="8">
        <v>2014</v>
      </c>
      <c r="E79" s="14">
        <f>Data!T79</f>
        <v>0</v>
      </c>
    </row>
    <row r="80" spans="2:5" ht="15" customHeight="1" x14ac:dyDescent="0.3">
      <c r="C80" s="3"/>
      <c r="D80" s="8">
        <v>2015</v>
      </c>
      <c r="E80" s="14">
        <f>Data!T80</f>
        <v>8</v>
      </c>
    </row>
    <row r="81" spans="2:5" ht="15" customHeight="1" x14ac:dyDescent="0.3">
      <c r="C81" s="3"/>
      <c r="D81" s="8">
        <v>2016</v>
      </c>
      <c r="E81" s="14">
        <f>Data!T81</f>
        <v>7</v>
      </c>
    </row>
    <row r="82" spans="2:5" ht="15" customHeight="1" x14ac:dyDescent="0.3">
      <c r="C82" s="3"/>
      <c r="D82" s="8">
        <v>2017</v>
      </c>
      <c r="E82" s="14">
        <f>Data!T82</f>
        <v>7</v>
      </c>
    </row>
    <row r="83" spans="2:5" ht="15" customHeight="1" x14ac:dyDescent="0.3">
      <c r="C83" s="3"/>
      <c r="D83" s="8">
        <v>2018</v>
      </c>
      <c r="E83" s="14">
        <f>Data!T83</f>
        <v>7</v>
      </c>
    </row>
    <row r="84" spans="2:5" ht="15" customHeight="1" x14ac:dyDescent="0.3">
      <c r="C84" s="3"/>
      <c r="D84" s="8">
        <v>2019</v>
      </c>
      <c r="E84" s="14">
        <f>Data!T84</f>
        <v>7</v>
      </c>
    </row>
    <row r="85" spans="2:5" ht="15" customHeight="1" x14ac:dyDescent="0.3">
      <c r="C85" s="3"/>
      <c r="D85" s="8">
        <v>2020</v>
      </c>
      <c r="E85" s="14">
        <f>Data!T85</f>
        <v>8</v>
      </c>
    </row>
    <row r="86" spans="2:5" ht="15" customHeight="1" x14ac:dyDescent="0.3">
      <c r="C86" s="3"/>
      <c r="D86" s="8">
        <v>2021</v>
      </c>
      <c r="E86" s="14">
        <f>Data!T86</f>
        <v>9</v>
      </c>
    </row>
    <row r="87" spans="2:5" ht="15" customHeight="1" x14ac:dyDescent="0.3">
      <c r="C87" s="3"/>
      <c r="D87" s="8">
        <v>2022</v>
      </c>
      <c r="E87" s="14">
        <f>Data!T87</f>
        <v>8</v>
      </c>
    </row>
    <row r="88" spans="2:5" ht="15" customHeight="1" x14ac:dyDescent="0.3">
      <c r="C88" s="3"/>
      <c r="D88" s="8">
        <v>2023</v>
      </c>
      <c r="E88" s="14">
        <f>Data!T88</f>
        <v>8</v>
      </c>
    </row>
    <row r="89" spans="2:5" ht="15" customHeight="1" x14ac:dyDescent="0.3">
      <c r="C89" s="3"/>
      <c r="D89" s="8">
        <v>2024</v>
      </c>
      <c r="E89" s="14">
        <f>Data!T89</f>
        <v>8</v>
      </c>
    </row>
    <row r="90" spans="2:5" ht="15" customHeight="1" x14ac:dyDescent="0.3">
      <c r="B90" s="8">
        <v>9</v>
      </c>
      <c r="C90" s="3" t="s">
        <v>11</v>
      </c>
      <c r="D90" s="8">
        <v>2014</v>
      </c>
      <c r="E90" s="14">
        <f>Data!T90</f>
        <v>0</v>
      </c>
    </row>
    <row r="91" spans="2:5" ht="15" customHeight="1" x14ac:dyDescent="0.3">
      <c r="C91" s="3"/>
      <c r="D91" s="8">
        <v>2015</v>
      </c>
      <c r="E91" s="14">
        <f>Data!T91</f>
        <v>6</v>
      </c>
    </row>
    <row r="92" spans="2:5" ht="15" customHeight="1" x14ac:dyDescent="0.3">
      <c r="C92" s="3"/>
      <c r="D92" s="8">
        <v>2016</v>
      </c>
      <c r="E92" s="14">
        <f>Data!T92</f>
        <v>7</v>
      </c>
    </row>
    <row r="93" spans="2:5" ht="15" customHeight="1" x14ac:dyDescent="0.3">
      <c r="C93" s="3"/>
      <c r="D93" s="8">
        <v>2017</v>
      </c>
      <c r="E93" s="14">
        <f>Data!T93</f>
        <v>7</v>
      </c>
    </row>
    <row r="94" spans="2:5" ht="15" customHeight="1" x14ac:dyDescent="0.3">
      <c r="C94" s="3"/>
      <c r="D94" s="8">
        <v>2018</v>
      </c>
      <c r="E94" s="14">
        <f>Data!T94</f>
        <v>7</v>
      </c>
    </row>
    <row r="95" spans="2:5" ht="15" customHeight="1" x14ac:dyDescent="0.3">
      <c r="C95" s="3"/>
      <c r="D95" s="8">
        <v>2019</v>
      </c>
      <c r="E95" s="14">
        <f>Data!T95</f>
        <v>8</v>
      </c>
    </row>
    <row r="96" spans="2:5" ht="15" customHeight="1" x14ac:dyDescent="0.3">
      <c r="C96" s="3"/>
      <c r="D96" s="8">
        <v>2020</v>
      </c>
      <c r="E96" s="14">
        <f>Data!T96</f>
        <v>8</v>
      </c>
    </row>
    <row r="97" spans="2:5" ht="15" customHeight="1" x14ac:dyDescent="0.3">
      <c r="C97" s="3"/>
      <c r="D97" s="8">
        <v>2021</v>
      </c>
      <c r="E97" s="14">
        <f>Data!T97</f>
        <v>6</v>
      </c>
    </row>
    <row r="98" spans="2:5" ht="15" customHeight="1" x14ac:dyDescent="0.3">
      <c r="C98" s="3"/>
      <c r="D98" s="8">
        <v>2022</v>
      </c>
      <c r="E98" s="14">
        <f>Data!T98</f>
        <v>7</v>
      </c>
    </row>
    <row r="99" spans="2:5" ht="15" customHeight="1" x14ac:dyDescent="0.3">
      <c r="C99" s="3"/>
      <c r="D99" s="8">
        <v>2023</v>
      </c>
      <c r="E99" s="14">
        <f>Data!T99</f>
        <v>6</v>
      </c>
    </row>
    <row r="100" spans="2:5" ht="15" customHeight="1" x14ac:dyDescent="0.3">
      <c r="C100" s="3"/>
      <c r="D100" s="8">
        <v>2024</v>
      </c>
      <c r="E100" s="14">
        <f>Data!T100</f>
        <v>7</v>
      </c>
    </row>
    <row r="101" spans="2:5" ht="15" customHeight="1" x14ac:dyDescent="0.3">
      <c r="B101" s="8">
        <v>10</v>
      </c>
      <c r="C101" s="3" t="s">
        <v>13</v>
      </c>
      <c r="D101" s="8">
        <v>2014</v>
      </c>
      <c r="E101" s="14">
        <f>Data!T101</f>
        <v>0</v>
      </c>
    </row>
    <row r="102" spans="2:5" ht="15" customHeight="1" x14ac:dyDescent="0.3">
      <c r="C102" s="3"/>
      <c r="D102" s="8">
        <v>2015</v>
      </c>
      <c r="E102" s="14">
        <f>Data!T102</f>
        <v>8</v>
      </c>
    </row>
    <row r="103" spans="2:5" ht="15" customHeight="1" x14ac:dyDescent="0.3">
      <c r="C103" s="3"/>
      <c r="D103" s="8">
        <v>2016</v>
      </c>
      <c r="E103" s="14">
        <f>Data!T103</f>
        <v>7</v>
      </c>
    </row>
    <row r="104" spans="2:5" ht="15" customHeight="1" x14ac:dyDescent="0.3">
      <c r="C104" s="3"/>
      <c r="D104" s="8">
        <v>2017</v>
      </c>
      <c r="E104" s="14">
        <f>Data!T104</f>
        <v>7</v>
      </c>
    </row>
    <row r="105" spans="2:5" ht="15" customHeight="1" x14ac:dyDescent="0.3">
      <c r="C105" s="3"/>
      <c r="D105" s="8">
        <v>2018</v>
      </c>
      <c r="E105" s="14">
        <f>Data!T105</f>
        <v>7</v>
      </c>
    </row>
    <row r="106" spans="2:5" ht="15" customHeight="1" x14ac:dyDescent="0.3">
      <c r="C106" s="3"/>
      <c r="D106" s="8">
        <v>2019</v>
      </c>
      <c r="E106" s="14">
        <f>Data!T106</f>
        <v>8</v>
      </c>
    </row>
    <row r="107" spans="2:5" ht="15" customHeight="1" x14ac:dyDescent="0.3">
      <c r="C107" s="3"/>
      <c r="D107" s="8">
        <v>2020</v>
      </c>
      <c r="E107" s="14">
        <f>Data!T107</f>
        <v>8</v>
      </c>
    </row>
    <row r="108" spans="2:5" ht="15" customHeight="1" x14ac:dyDescent="0.3">
      <c r="C108" s="3"/>
      <c r="D108" s="8">
        <v>2021</v>
      </c>
      <c r="E108" s="14">
        <f>Data!T108</f>
        <v>8</v>
      </c>
    </row>
    <row r="109" spans="2:5" ht="15" customHeight="1" x14ac:dyDescent="0.3">
      <c r="C109" s="3"/>
      <c r="D109" s="8">
        <v>2022</v>
      </c>
      <c r="E109" s="14">
        <f>Data!T109</f>
        <v>6</v>
      </c>
    </row>
    <row r="110" spans="2:5" ht="15" customHeight="1" x14ac:dyDescent="0.3">
      <c r="C110" s="3"/>
      <c r="D110" s="8">
        <v>2023</v>
      </c>
      <c r="E110" s="14">
        <f>Data!T110</f>
        <v>6</v>
      </c>
    </row>
    <row r="111" spans="2:5" ht="15" customHeight="1" x14ac:dyDescent="0.3">
      <c r="C111" s="3"/>
      <c r="D111" s="8">
        <v>2024</v>
      </c>
      <c r="E111" s="14">
        <f>Data!T111</f>
        <v>9</v>
      </c>
    </row>
    <row r="112" spans="2:5" ht="15" customHeight="1" x14ac:dyDescent="0.3">
      <c r="B112" s="8">
        <v>11</v>
      </c>
      <c r="C112" s="3" t="s">
        <v>23</v>
      </c>
      <c r="D112" s="8">
        <v>2014</v>
      </c>
      <c r="E112" s="14">
        <f>Data!T112</f>
        <v>0</v>
      </c>
    </row>
    <row r="113" spans="2:5" ht="15" customHeight="1" x14ac:dyDescent="0.3">
      <c r="C113" s="3"/>
      <c r="D113" s="8">
        <v>2015</v>
      </c>
      <c r="E113" s="14">
        <f>Data!T113</f>
        <v>0</v>
      </c>
    </row>
    <row r="114" spans="2:5" ht="15" customHeight="1" x14ac:dyDescent="0.3">
      <c r="C114" s="3"/>
      <c r="D114" s="8">
        <v>2016</v>
      </c>
      <c r="E114" s="14">
        <f>Data!T114</f>
        <v>0</v>
      </c>
    </row>
    <row r="115" spans="2:5" ht="15" customHeight="1" x14ac:dyDescent="0.3">
      <c r="C115" s="3"/>
      <c r="D115" s="8">
        <v>2017</v>
      </c>
      <c r="E115" s="14">
        <f>Data!T115</f>
        <v>0</v>
      </c>
    </row>
    <row r="116" spans="2:5" ht="15" customHeight="1" x14ac:dyDescent="0.3">
      <c r="C116" s="3"/>
      <c r="D116" s="8">
        <v>2018</v>
      </c>
      <c r="E116" s="14">
        <f>Data!T116</f>
        <v>0</v>
      </c>
    </row>
    <row r="117" spans="2:5" ht="15" customHeight="1" x14ac:dyDescent="0.3">
      <c r="C117" s="3"/>
      <c r="D117" s="8">
        <v>2019</v>
      </c>
      <c r="E117" s="14">
        <f>Data!T117</f>
        <v>0</v>
      </c>
    </row>
    <row r="118" spans="2:5" ht="15" customHeight="1" x14ac:dyDescent="0.3">
      <c r="C118" s="3"/>
      <c r="D118" s="8">
        <v>2020</v>
      </c>
      <c r="E118" s="14">
        <f>Data!T118</f>
        <v>2</v>
      </c>
    </row>
    <row r="119" spans="2:5" ht="15" customHeight="1" x14ac:dyDescent="0.3">
      <c r="C119" s="3"/>
      <c r="D119" s="8">
        <v>2021</v>
      </c>
      <c r="E119" s="14">
        <f>Data!T119</f>
        <v>7</v>
      </c>
    </row>
    <row r="120" spans="2:5" ht="15" customHeight="1" x14ac:dyDescent="0.3">
      <c r="C120" s="3"/>
      <c r="D120" s="8">
        <v>2022</v>
      </c>
      <c r="E120" s="14">
        <f>Data!T120</f>
        <v>11</v>
      </c>
    </row>
    <row r="121" spans="2:5" ht="15" customHeight="1" x14ac:dyDescent="0.3">
      <c r="C121" s="3"/>
      <c r="D121" s="8">
        <v>2023</v>
      </c>
      <c r="E121" s="14">
        <f>Data!T121</f>
        <v>12</v>
      </c>
    </row>
    <row r="122" spans="2:5" ht="15" customHeight="1" x14ac:dyDescent="0.3">
      <c r="C122" s="3"/>
      <c r="D122" s="8">
        <v>2024</v>
      </c>
      <c r="E122" s="14">
        <f>Data!T122</f>
        <v>0</v>
      </c>
    </row>
    <row r="123" spans="2:5" ht="15" customHeight="1" x14ac:dyDescent="0.3">
      <c r="B123" s="8">
        <v>12</v>
      </c>
      <c r="C123" s="3" t="s">
        <v>24</v>
      </c>
      <c r="D123" s="8">
        <v>2014</v>
      </c>
      <c r="E123" s="14">
        <f>Data!T123</f>
        <v>0</v>
      </c>
    </row>
    <row r="124" spans="2:5" ht="15" customHeight="1" x14ac:dyDescent="0.3">
      <c r="C124" s="3"/>
      <c r="D124" s="8">
        <v>2015</v>
      </c>
      <c r="E124" s="14">
        <f>Data!T124</f>
        <v>9</v>
      </c>
    </row>
    <row r="125" spans="2:5" ht="15" customHeight="1" x14ac:dyDescent="0.3">
      <c r="C125" s="3"/>
      <c r="D125" s="8">
        <v>2016</v>
      </c>
      <c r="E125" s="14">
        <f>Data!T125</f>
        <v>8</v>
      </c>
    </row>
    <row r="126" spans="2:5" ht="15" customHeight="1" x14ac:dyDescent="0.3">
      <c r="C126" s="3"/>
      <c r="D126" s="8">
        <v>2017</v>
      </c>
      <c r="E126" s="14">
        <f>Data!T126</f>
        <v>7</v>
      </c>
    </row>
    <row r="127" spans="2:5" ht="15" customHeight="1" x14ac:dyDescent="0.3">
      <c r="C127" s="3"/>
      <c r="D127" s="8">
        <v>2018</v>
      </c>
      <c r="E127" s="14">
        <f>Data!T127</f>
        <v>7</v>
      </c>
    </row>
    <row r="128" spans="2:5" ht="15" customHeight="1" x14ac:dyDescent="0.3">
      <c r="C128" s="3"/>
      <c r="D128" s="8">
        <v>2019</v>
      </c>
      <c r="E128" s="14">
        <f>Data!T128</f>
        <v>9</v>
      </c>
    </row>
    <row r="129" spans="2:5" ht="15" customHeight="1" x14ac:dyDescent="0.3">
      <c r="C129" s="3"/>
      <c r="D129" s="8">
        <v>2020</v>
      </c>
      <c r="E129" s="14">
        <f>Data!T129</f>
        <v>10</v>
      </c>
    </row>
    <row r="130" spans="2:5" ht="15" customHeight="1" x14ac:dyDescent="0.3">
      <c r="C130" s="3"/>
      <c r="D130" s="8">
        <v>2021</v>
      </c>
      <c r="E130" s="14">
        <f>Data!T130</f>
        <v>12</v>
      </c>
    </row>
    <row r="131" spans="2:5" ht="15" customHeight="1" x14ac:dyDescent="0.3">
      <c r="C131" s="3"/>
      <c r="D131" s="8">
        <v>2022</v>
      </c>
      <c r="E131" s="14">
        <f>Data!T131</f>
        <v>10</v>
      </c>
    </row>
    <row r="132" spans="2:5" ht="15" customHeight="1" x14ac:dyDescent="0.3">
      <c r="C132" s="3"/>
      <c r="D132" s="8">
        <v>2023</v>
      </c>
      <c r="E132" s="14">
        <f>Data!T132</f>
        <v>10</v>
      </c>
    </row>
    <row r="133" spans="2:5" ht="15" customHeight="1" x14ac:dyDescent="0.3">
      <c r="C133" s="3"/>
      <c r="D133" s="8">
        <v>2024</v>
      </c>
      <c r="E133" s="14">
        <f>Data!T133</f>
        <v>12</v>
      </c>
    </row>
    <row r="134" spans="2:5" ht="15" customHeight="1" x14ac:dyDescent="0.3">
      <c r="B134" s="8">
        <v>13</v>
      </c>
      <c r="C134" s="3" t="s">
        <v>18</v>
      </c>
      <c r="D134" s="8">
        <v>2014</v>
      </c>
      <c r="E134" s="14">
        <f>Data!T134</f>
        <v>0</v>
      </c>
    </row>
    <row r="135" spans="2:5" ht="15" customHeight="1" x14ac:dyDescent="0.3">
      <c r="C135" s="3"/>
      <c r="D135" s="8">
        <v>2015</v>
      </c>
      <c r="E135" s="14">
        <f>Data!T135</f>
        <v>9</v>
      </c>
    </row>
    <row r="136" spans="2:5" ht="15" customHeight="1" x14ac:dyDescent="0.3">
      <c r="C136" s="3"/>
      <c r="D136" s="8">
        <v>2016</v>
      </c>
      <c r="E136" s="14">
        <f>Data!T136</f>
        <v>7</v>
      </c>
    </row>
    <row r="137" spans="2:5" ht="15" customHeight="1" x14ac:dyDescent="0.3">
      <c r="C137" s="3"/>
      <c r="D137" s="8">
        <v>2017</v>
      </c>
      <c r="E137" s="14">
        <f>Data!T137</f>
        <v>9</v>
      </c>
    </row>
    <row r="138" spans="2:5" ht="15" customHeight="1" x14ac:dyDescent="0.3">
      <c r="C138" s="3"/>
      <c r="D138" s="8">
        <v>2018</v>
      </c>
      <c r="E138" s="14">
        <f>Data!T138</f>
        <v>10</v>
      </c>
    </row>
    <row r="139" spans="2:5" ht="15" customHeight="1" x14ac:dyDescent="0.3">
      <c r="C139" s="3"/>
      <c r="D139" s="8">
        <v>2019</v>
      </c>
      <c r="E139" s="14">
        <f>Data!T139</f>
        <v>9</v>
      </c>
    </row>
    <row r="140" spans="2:5" ht="15" customHeight="1" x14ac:dyDescent="0.3">
      <c r="C140" s="3"/>
      <c r="D140" s="8">
        <v>2020</v>
      </c>
      <c r="E140" s="14">
        <f>Data!T140</f>
        <v>10</v>
      </c>
    </row>
    <row r="141" spans="2:5" ht="15" customHeight="1" x14ac:dyDescent="0.3">
      <c r="C141" s="3"/>
      <c r="D141" s="8">
        <v>2021</v>
      </c>
      <c r="E141" s="14">
        <f>Data!T141</f>
        <v>10</v>
      </c>
    </row>
    <row r="142" spans="2:5" ht="15" customHeight="1" x14ac:dyDescent="0.3">
      <c r="C142" s="3"/>
      <c r="D142" s="8">
        <v>2022</v>
      </c>
      <c r="E142" s="14">
        <f>Data!T142</f>
        <v>9</v>
      </c>
    </row>
    <row r="143" spans="2:5" ht="15" customHeight="1" x14ac:dyDescent="0.3">
      <c r="C143" s="3"/>
      <c r="D143" s="8">
        <v>2023</v>
      </c>
      <c r="E143" s="14">
        <f>Data!T143</f>
        <v>9</v>
      </c>
    </row>
    <row r="144" spans="2:5" ht="15" customHeight="1" x14ac:dyDescent="0.3">
      <c r="C144" s="3"/>
      <c r="D144" s="8">
        <v>2024</v>
      </c>
      <c r="E144" s="14">
        <f>Data!T144</f>
        <v>9</v>
      </c>
    </row>
    <row r="145" spans="2:5" ht="15" customHeight="1" x14ac:dyDescent="0.3">
      <c r="B145" s="8">
        <v>14</v>
      </c>
      <c r="C145" s="4" t="s">
        <v>57</v>
      </c>
      <c r="D145" s="8">
        <v>2014</v>
      </c>
      <c r="E145" s="14">
        <f>Data!T145</f>
        <v>0</v>
      </c>
    </row>
    <row r="146" spans="2:5" ht="15" customHeight="1" x14ac:dyDescent="0.3">
      <c r="C146" s="4"/>
      <c r="D146" s="8">
        <v>2015</v>
      </c>
      <c r="E146" s="14">
        <f>Data!T146</f>
        <v>0</v>
      </c>
    </row>
    <row r="147" spans="2:5" ht="15" customHeight="1" x14ac:dyDescent="0.3">
      <c r="C147" s="4"/>
      <c r="D147" s="8">
        <v>2016</v>
      </c>
      <c r="E147" s="14">
        <f>Data!T147</f>
        <v>0</v>
      </c>
    </row>
    <row r="148" spans="2:5" ht="15" customHeight="1" x14ac:dyDescent="0.3">
      <c r="C148" s="4"/>
      <c r="D148" s="8">
        <v>2017</v>
      </c>
      <c r="E148" s="14">
        <f>Data!T148</f>
        <v>0</v>
      </c>
    </row>
    <row r="149" spans="2:5" ht="15" customHeight="1" x14ac:dyDescent="0.3">
      <c r="C149" s="4"/>
      <c r="D149" s="8">
        <v>2018</v>
      </c>
      <c r="E149" s="14">
        <f>Data!T149</f>
        <v>0</v>
      </c>
    </row>
    <row r="150" spans="2:5" ht="15" customHeight="1" x14ac:dyDescent="0.3">
      <c r="C150" s="4"/>
      <c r="D150" s="8">
        <v>2019</v>
      </c>
      <c r="E150" s="14">
        <f>Data!T150</f>
        <v>0</v>
      </c>
    </row>
    <row r="151" spans="2:5" ht="15" customHeight="1" x14ac:dyDescent="0.3">
      <c r="C151" s="4"/>
      <c r="D151" s="8">
        <v>2020</v>
      </c>
      <c r="E151" s="14">
        <f>Data!T151</f>
        <v>0</v>
      </c>
    </row>
    <row r="152" spans="2:5" ht="15" customHeight="1" x14ac:dyDescent="0.3">
      <c r="C152" s="4"/>
      <c r="D152" s="8">
        <v>2021</v>
      </c>
      <c r="E152" s="14">
        <f>Data!T152</f>
        <v>0</v>
      </c>
    </row>
    <row r="153" spans="2:5" ht="15" customHeight="1" x14ac:dyDescent="0.3">
      <c r="C153" s="4"/>
      <c r="D153" s="8">
        <v>2022</v>
      </c>
      <c r="E153" s="14">
        <f>Data!T153</f>
        <v>0</v>
      </c>
    </row>
    <row r="154" spans="2:5" ht="15" customHeight="1" x14ac:dyDescent="0.3">
      <c r="C154" s="4"/>
      <c r="D154" s="8">
        <v>2023</v>
      </c>
      <c r="E154" s="14">
        <f>Data!T154</f>
        <v>0</v>
      </c>
    </row>
    <row r="155" spans="2:5" ht="15" customHeight="1" x14ac:dyDescent="0.3">
      <c r="C155" s="4"/>
      <c r="D155" s="8">
        <v>2024</v>
      </c>
      <c r="E155" s="14">
        <f>Data!T155</f>
        <v>6</v>
      </c>
    </row>
    <row r="156" spans="2:5" ht="15" customHeight="1" x14ac:dyDescent="0.3">
      <c r="B156" s="8">
        <v>15</v>
      </c>
      <c r="C156" s="3" t="s">
        <v>25</v>
      </c>
      <c r="D156" s="8">
        <v>2014</v>
      </c>
      <c r="E156" s="14">
        <f>Data!T156</f>
        <v>0</v>
      </c>
    </row>
    <row r="157" spans="2:5" ht="15" customHeight="1" x14ac:dyDescent="0.3">
      <c r="C157" s="3"/>
      <c r="D157" s="8">
        <v>2015</v>
      </c>
      <c r="E157" s="14">
        <f>Data!T157</f>
        <v>0</v>
      </c>
    </row>
    <row r="158" spans="2:5" ht="15" customHeight="1" x14ac:dyDescent="0.3">
      <c r="C158" s="3"/>
      <c r="D158" s="8">
        <v>2016</v>
      </c>
      <c r="E158" s="14">
        <f>Data!T158</f>
        <v>0</v>
      </c>
    </row>
    <row r="159" spans="2:5" ht="15" customHeight="1" x14ac:dyDescent="0.3">
      <c r="C159" s="3"/>
      <c r="D159" s="8">
        <v>2017</v>
      </c>
      <c r="E159" s="14">
        <f>Data!T159</f>
        <v>0</v>
      </c>
    </row>
    <row r="160" spans="2:5" ht="15" customHeight="1" x14ac:dyDescent="0.3">
      <c r="C160" s="3"/>
      <c r="D160" s="8">
        <v>2018</v>
      </c>
      <c r="E160" s="14">
        <f>Data!T160</f>
        <v>6</v>
      </c>
    </row>
    <row r="161" spans="2:5" ht="15" customHeight="1" x14ac:dyDescent="0.3">
      <c r="C161" s="3"/>
      <c r="D161" s="8">
        <v>2019</v>
      </c>
      <c r="E161" s="14">
        <f>Data!T161</f>
        <v>6</v>
      </c>
    </row>
    <row r="162" spans="2:5" ht="15" customHeight="1" x14ac:dyDescent="0.3">
      <c r="C162" s="3"/>
      <c r="D162" s="8">
        <v>2020</v>
      </c>
      <c r="E162" s="14">
        <f>Data!T162</f>
        <v>6</v>
      </c>
    </row>
    <row r="163" spans="2:5" ht="15" customHeight="1" x14ac:dyDescent="0.3">
      <c r="C163" s="3"/>
      <c r="D163" s="8">
        <v>2021</v>
      </c>
      <c r="E163" s="14">
        <f>Data!T163</f>
        <v>5</v>
      </c>
    </row>
    <row r="164" spans="2:5" ht="15" customHeight="1" x14ac:dyDescent="0.3">
      <c r="C164" s="3"/>
      <c r="D164" s="8">
        <v>2022</v>
      </c>
      <c r="E164" s="14">
        <f>Data!T164</f>
        <v>6</v>
      </c>
    </row>
    <row r="165" spans="2:5" ht="15" customHeight="1" x14ac:dyDescent="0.3">
      <c r="C165" s="3"/>
      <c r="D165" s="8">
        <v>2023</v>
      </c>
      <c r="E165" s="14">
        <f>Data!T165</f>
        <v>6</v>
      </c>
    </row>
    <row r="166" spans="2:5" ht="15" customHeight="1" x14ac:dyDescent="0.3">
      <c r="C166" s="3"/>
      <c r="D166" s="8">
        <v>2024</v>
      </c>
      <c r="E166" s="14">
        <f>Data!T166</f>
        <v>6</v>
      </c>
    </row>
    <row r="167" spans="2:5" ht="15" customHeight="1" x14ac:dyDescent="0.3">
      <c r="B167" s="8">
        <v>16</v>
      </c>
      <c r="C167" s="3" t="s">
        <v>44</v>
      </c>
      <c r="D167" s="8">
        <v>2014</v>
      </c>
      <c r="E167" s="14">
        <f>Data!T167</f>
        <v>0</v>
      </c>
    </row>
    <row r="168" spans="2:5" ht="15" customHeight="1" x14ac:dyDescent="0.3">
      <c r="C168" s="3"/>
      <c r="D168" s="8">
        <v>2015</v>
      </c>
      <c r="E168" s="14">
        <f>Data!T168</f>
        <v>6</v>
      </c>
    </row>
    <row r="169" spans="2:5" ht="15" customHeight="1" x14ac:dyDescent="0.3">
      <c r="C169" s="3"/>
      <c r="D169" s="8">
        <v>2016</v>
      </c>
      <c r="E169" s="14">
        <f>Data!T169</f>
        <v>6</v>
      </c>
    </row>
    <row r="170" spans="2:5" ht="15" customHeight="1" x14ac:dyDescent="0.3">
      <c r="C170" s="3"/>
      <c r="D170" s="8">
        <v>2017</v>
      </c>
      <c r="E170" s="14">
        <f>Data!T170</f>
        <v>7</v>
      </c>
    </row>
    <row r="171" spans="2:5" ht="15" customHeight="1" x14ac:dyDescent="0.3">
      <c r="C171" s="3"/>
      <c r="D171" s="8">
        <v>2018</v>
      </c>
      <c r="E171" s="14">
        <f>Data!T171</f>
        <v>8</v>
      </c>
    </row>
    <row r="172" spans="2:5" ht="15" customHeight="1" x14ac:dyDescent="0.3">
      <c r="C172" s="3"/>
      <c r="D172" s="8">
        <v>2019</v>
      </c>
      <c r="E172" s="14">
        <f>Data!T172</f>
        <v>6</v>
      </c>
    </row>
    <row r="173" spans="2:5" ht="15" customHeight="1" x14ac:dyDescent="0.3">
      <c r="C173" s="3"/>
      <c r="D173" s="8">
        <v>2020</v>
      </c>
      <c r="E173" s="14">
        <f>Data!T173</f>
        <v>7</v>
      </c>
    </row>
    <row r="174" spans="2:5" ht="15" customHeight="1" x14ac:dyDescent="0.3">
      <c r="C174" s="3"/>
      <c r="D174" s="8">
        <v>2021</v>
      </c>
      <c r="E174" s="14">
        <f>Data!T174</f>
        <v>7</v>
      </c>
    </row>
    <row r="175" spans="2:5" ht="15" customHeight="1" x14ac:dyDescent="0.3">
      <c r="C175" s="3"/>
      <c r="D175" s="8">
        <v>2022</v>
      </c>
      <c r="E175" s="14">
        <f>Data!T175</f>
        <v>7</v>
      </c>
    </row>
    <row r="176" spans="2:5" ht="15" customHeight="1" x14ac:dyDescent="0.3">
      <c r="C176" s="3"/>
      <c r="D176" s="8">
        <v>2023</v>
      </c>
      <c r="E176" s="14">
        <f>Data!T176</f>
        <v>7</v>
      </c>
    </row>
    <row r="177" spans="2:5" ht="15" customHeight="1" x14ac:dyDescent="0.3">
      <c r="C177" s="3"/>
      <c r="D177" s="8">
        <v>2024</v>
      </c>
      <c r="E177" s="14">
        <f>Data!T177</f>
        <v>7</v>
      </c>
    </row>
    <row r="178" spans="2:5" ht="15" customHeight="1" x14ac:dyDescent="0.3">
      <c r="B178" s="8">
        <v>17</v>
      </c>
      <c r="C178" s="3" t="s">
        <v>22</v>
      </c>
      <c r="D178" s="8">
        <v>2014</v>
      </c>
      <c r="E178" s="14">
        <f>Data!T178</f>
        <v>0</v>
      </c>
    </row>
    <row r="179" spans="2:5" ht="15" customHeight="1" x14ac:dyDescent="0.3">
      <c r="C179" s="3"/>
      <c r="D179" s="8">
        <v>2015</v>
      </c>
      <c r="E179" s="14">
        <f>Data!T179</f>
        <v>0</v>
      </c>
    </row>
    <row r="180" spans="2:5" ht="15" customHeight="1" x14ac:dyDescent="0.3">
      <c r="C180" s="3"/>
      <c r="D180" s="8">
        <v>2016</v>
      </c>
      <c r="E180" s="14">
        <f>Data!T180</f>
        <v>0</v>
      </c>
    </row>
    <row r="181" spans="2:5" ht="15" customHeight="1" x14ac:dyDescent="0.3">
      <c r="C181" s="3"/>
      <c r="D181" s="8">
        <v>2017</v>
      </c>
      <c r="E181" s="14">
        <f>Data!T181</f>
        <v>0</v>
      </c>
    </row>
    <row r="182" spans="2:5" ht="15" customHeight="1" x14ac:dyDescent="0.3">
      <c r="C182" s="3"/>
      <c r="D182" s="8">
        <v>2018</v>
      </c>
      <c r="E182" s="14">
        <f>Data!T182</f>
        <v>0</v>
      </c>
    </row>
    <row r="183" spans="2:5" ht="15" customHeight="1" x14ac:dyDescent="0.3">
      <c r="C183" s="3"/>
      <c r="D183" s="8">
        <v>2019</v>
      </c>
      <c r="E183" s="14">
        <f>Data!T183</f>
        <v>0</v>
      </c>
    </row>
    <row r="184" spans="2:5" ht="15" customHeight="1" x14ac:dyDescent="0.3">
      <c r="C184" s="3"/>
      <c r="D184" s="8">
        <v>2020</v>
      </c>
      <c r="E184" s="14">
        <f>Data!T184</f>
        <v>6</v>
      </c>
    </row>
    <row r="185" spans="2:5" ht="15" customHeight="1" x14ac:dyDescent="0.3">
      <c r="C185" s="3"/>
      <c r="D185" s="8">
        <v>2021</v>
      </c>
      <c r="E185" s="14">
        <f>Data!T185</f>
        <v>6</v>
      </c>
    </row>
    <row r="186" spans="2:5" ht="15" customHeight="1" x14ac:dyDescent="0.3">
      <c r="C186" s="3"/>
      <c r="D186" s="8">
        <v>2022</v>
      </c>
      <c r="E186" s="14">
        <f>Data!T186</f>
        <v>6</v>
      </c>
    </row>
    <row r="187" spans="2:5" ht="15" customHeight="1" x14ac:dyDescent="0.3">
      <c r="C187" s="3"/>
      <c r="D187" s="8">
        <v>2023</v>
      </c>
      <c r="E187" s="14">
        <f>Data!T187</f>
        <v>5</v>
      </c>
    </row>
    <row r="188" spans="2:5" ht="15" customHeight="1" x14ac:dyDescent="0.3">
      <c r="C188" s="3"/>
      <c r="D188" s="8">
        <v>2024</v>
      </c>
      <c r="E188" s="14">
        <f>Data!T188</f>
        <v>6</v>
      </c>
    </row>
    <row r="189" spans="2:5" ht="15" customHeight="1" x14ac:dyDescent="0.3">
      <c r="B189" s="8">
        <v>18</v>
      </c>
      <c r="C189" s="3" t="s">
        <v>45</v>
      </c>
      <c r="D189" s="8">
        <v>2014</v>
      </c>
      <c r="E189" s="14">
        <f>Data!T189</f>
        <v>0</v>
      </c>
    </row>
    <row r="190" spans="2:5" ht="15" customHeight="1" x14ac:dyDescent="0.3">
      <c r="C190" s="3"/>
      <c r="D190" s="8">
        <v>2015</v>
      </c>
      <c r="E190" s="14">
        <f>Data!T190</f>
        <v>5</v>
      </c>
    </row>
    <row r="191" spans="2:5" ht="15" customHeight="1" x14ac:dyDescent="0.3">
      <c r="C191" s="3"/>
      <c r="D191" s="8">
        <v>2016</v>
      </c>
      <c r="E191" s="14">
        <f>Data!T191</f>
        <v>7</v>
      </c>
    </row>
    <row r="192" spans="2:5" ht="15" customHeight="1" x14ac:dyDescent="0.3">
      <c r="C192" s="3"/>
      <c r="D192" s="8">
        <v>2017</v>
      </c>
      <c r="E192" s="14">
        <f>Data!T192</f>
        <v>7</v>
      </c>
    </row>
    <row r="193" spans="2:5" ht="15" customHeight="1" x14ac:dyDescent="0.3">
      <c r="C193" s="3"/>
      <c r="D193" s="8">
        <v>2018</v>
      </c>
      <c r="E193" s="14">
        <f>Data!T193</f>
        <v>6</v>
      </c>
    </row>
    <row r="194" spans="2:5" ht="15" customHeight="1" x14ac:dyDescent="0.3">
      <c r="C194" s="3"/>
      <c r="D194" s="8">
        <v>2019</v>
      </c>
      <c r="E194" s="14">
        <f>Data!T194</f>
        <v>6</v>
      </c>
    </row>
    <row r="195" spans="2:5" ht="15" customHeight="1" x14ac:dyDescent="0.3">
      <c r="C195" s="3"/>
      <c r="D195" s="8">
        <v>2020</v>
      </c>
      <c r="E195" s="14">
        <f>Data!T195</f>
        <v>6</v>
      </c>
    </row>
    <row r="196" spans="2:5" ht="15" customHeight="1" x14ac:dyDescent="0.3">
      <c r="C196" s="3"/>
      <c r="D196" s="8">
        <v>2021</v>
      </c>
      <c r="E196" s="14">
        <f>Data!T196</f>
        <v>6</v>
      </c>
    </row>
    <row r="197" spans="2:5" ht="15" customHeight="1" x14ac:dyDescent="0.3">
      <c r="C197" s="3"/>
      <c r="D197" s="8">
        <v>2022</v>
      </c>
      <c r="E197" s="14">
        <f>Data!T197</f>
        <v>6</v>
      </c>
    </row>
    <row r="198" spans="2:5" ht="15" customHeight="1" x14ac:dyDescent="0.3">
      <c r="C198" s="3"/>
      <c r="D198" s="8">
        <v>2023</v>
      </c>
      <c r="E198" s="14">
        <f>Data!T198</f>
        <v>6</v>
      </c>
    </row>
    <row r="199" spans="2:5" ht="15" customHeight="1" x14ac:dyDescent="0.3">
      <c r="C199" s="3"/>
      <c r="D199" s="8">
        <v>2024</v>
      </c>
      <c r="E199" s="14">
        <f>Data!T199</f>
        <v>3</v>
      </c>
    </row>
    <row r="200" spans="2:5" ht="15" customHeight="1" x14ac:dyDescent="0.3">
      <c r="B200" s="8">
        <v>19</v>
      </c>
      <c r="C200" s="3" t="s">
        <v>46</v>
      </c>
      <c r="D200" s="8">
        <v>2014</v>
      </c>
      <c r="E200" s="14">
        <f>Data!T200</f>
        <v>0</v>
      </c>
    </row>
    <row r="201" spans="2:5" ht="15" customHeight="1" x14ac:dyDescent="0.3">
      <c r="C201" s="3"/>
      <c r="D201" s="8">
        <v>2015</v>
      </c>
      <c r="E201" s="14">
        <f>Data!T201</f>
        <v>10</v>
      </c>
    </row>
    <row r="202" spans="2:5" ht="15" customHeight="1" x14ac:dyDescent="0.3">
      <c r="C202" s="3"/>
      <c r="D202" s="8">
        <v>2016</v>
      </c>
      <c r="E202" s="14">
        <f>Data!T202</f>
        <v>11</v>
      </c>
    </row>
    <row r="203" spans="2:5" ht="15" customHeight="1" x14ac:dyDescent="0.3">
      <c r="C203" s="3"/>
      <c r="D203" s="8">
        <v>2017</v>
      </c>
      <c r="E203" s="14">
        <f>Data!T203</f>
        <v>11</v>
      </c>
    </row>
    <row r="204" spans="2:5" ht="15" customHeight="1" x14ac:dyDescent="0.3">
      <c r="C204" s="3"/>
      <c r="D204" s="8">
        <v>2018</v>
      </c>
      <c r="E204" s="14">
        <f>Data!T204</f>
        <v>11</v>
      </c>
    </row>
    <row r="205" spans="2:5" ht="15" customHeight="1" x14ac:dyDescent="0.3">
      <c r="C205" s="3"/>
      <c r="D205" s="8">
        <v>2019</v>
      </c>
      <c r="E205" s="14">
        <f>Data!T205</f>
        <v>10</v>
      </c>
    </row>
    <row r="206" spans="2:5" ht="15" customHeight="1" x14ac:dyDescent="0.3">
      <c r="C206" s="3"/>
      <c r="D206" s="8">
        <v>2020</v>
      </c>
      <c r="E206" s="14">
        <f>Data!T206</f>
        <v>10</v>
      </c>
    </row>
    <row r="207" spans="2:5" ht="15" customHeight="1" x14ac:dyDescent="0.3">
      <c r="C207" s="3"/>
      <c r="D207" s="8">
        <v>2021</v>
      </c>
      <c r="E207" s="14">
        <f>Data!T207</f>
        <v>11</v>
      </c>
    </row>
    <row r="208" spans="2:5" ht="15" customHeight="1" x14ac:dyDescent="0.3">
      <c r="C208" s="3"/>
      <c r="D208" s="8">
        <v>2022</v>
      </c>
      <c r="E208" s="14">
        <f>Data!T208</f>
        <v>11</v>
      </c>
    </row>
    <row r="209" spans="2:5" ht="15" customHeight="1" x14ac:dyDescent="0.3">
      <c r="C209" s="3"/>
      <c r="D209" s="8">
        <v>2023</v>
      </c>
      <c r="E209" s="14">
        <f>Data!T209</f>
        <v>12</v>
      </c>
    </row>
    <row r="210" spans="2:5" ht="15" customHeight="1" x14ac:dyDescent="0.3">
      <c r="C210" s="3"/>
      <c r="D210" s="8">
        <v>2024</v>
      </c>
      <c r="E210" s="14">
        <f>Data!T210</f>
        <v>12</v>
      </c>
    </row>
    <row r="211" spans="2:5" ht="15" customHeight="1" x14ac:dyDescent="0.3">
      <c r="B211" s="8">
        <v>20</v>
      </c>
      <c r="C211" s="3" t="s">
        <v>27</v>
      </c>
      <c r="D211" s="8">
        <v>2014</v>
      </c>
      <c r="E211" s="14">
        <f>Data!T211</f>
        <v>0</v>
      </c>
    </row>
    <row r="212" spans="2:5" ht="15" customHeight="1" x14ac:dyDescent="0.3">
      <c r="C212" s="3"/>
      <c r="D212" s="8">
        <v>2015</v>
      </c>
      <c r="E212" s="14">
        <f>Data!T212</f>
        <v>0</v>
      </c>
    </row>
    <row r="213" spans="2:5" ht="15" customHeight="1" x14ac:dyDescent="0.3">
      <c r="C213" s="3"/>
      <c r="D213" s="8">
        <v>2016</v>
      </c>
      <c r="E213" s="14">
        <f>Data!T213</f>
        <v>0</v>
      </c>
    </row>
    <row r="214" spans="2:5" ht="15" customHeight="1" x14ac:dyDescent="0.3">
      <c r="C214" s="3"/>
      <c r="D214" s="8">
        <v>2017</v>
      </c>
      <c r="E214" s="14">
        <f>Data!T214</f>
        <v>0</v>
      </c>
    </row>
    <row r="215" spans="2:5" ht="15" customHeight="1" x14ac:dyDescent="0.3">
      <c r="C215" s="3"/>
      <c r="D215" s="8">
        <v>2018</v>
      </c>
      <c r="E215" s="14">
        <f>Data!T215</f>
        <v>7</v>
      </c>
    </row>
    <row r="216" spans="2:5" ht="15" customHeight="1" x14ac:dyDescent="0.3">
      <c r="C216" s="3"/>
      <c r="D216" s="8">
        <v>2019</v>
      </c>
      <c r="E216" s="14">
        <f>Data!T216</f>
        <v>7</v>
      </c>
    </row>
    <row r="217" spans="2:5" ht="15" customHeight="1" x14ac:dyDescent="0.3">
      <c r="C217" s="3"/>
      <c r="D217" s="8">
        <v>2020</v>
      </c>
      <c r="E217" s="14">
        <f>Data!T217</f>
        <v>7</v>
      </c>
    </row>
    <row r="218" spans="2:5" ht="15" customHeight="1" x14ac:dyDescent="0.3">
      <c r="C218" s="3"/>
      <c r="D218" s="8">
        <v>2021</v>
      </c>
      <c r="E218" s="14">
        <f>Data!T218</f>
        <v>7</v>
      </c>
    </row>
    <row r="219" spans="2:5" ht="15" customHeight="1" x14ac:dyDescent="0.3">
      <c r="C219" s="3"/>
      <c r="D219" s="8">
        <v>2022</v>
      </c>
      <c r="E219" s="14">
        <f>Data!T219</f>
        <v>7</v>
      </c>
    </row>
    <row r="220" spans="2:5" ht="15" customHeight="1" x14ac:dyDescent="0.3">
      <c r="C220" s="3"/>
      <c r="D220" s="8">
        <v>2023</v>
      </c>
      <c r="E220" s="14">
        <f>Data!T220</f>
        <v>7</v>
      </c>
    </row>
    <row r="221" spans="2:5" ht="15" customHeight="1" x14ac:dyDescent="0.3">
      <c r="C221" s="3"/>
      <c r="D221" s="8">
        <v>2024</v>
      </c>
      <c r="E221" s="14">
        <f>Data!T221</f>
        <v>7</v>
      </c>
    </row>
    <row r="222" spans="2:5" ht="15" customHeight="1" x14ac:dyDescent="0.3">
      <c r="B222" s="8">
        <v>21</v>
      </c>
      <c r="C222" s="4" t="s">
        <v>52</v>
      </c>
      <c r="D222" s="8">
        <v>2014</v>
      </c>
      <c r="E222" s="14">
        <f>Data!T222</f>
        <v>0</v>
      </c>
    </row>
    <row r="223" spans="2:5" ht="15" customHeight="1" x14ac:dyDescent="0.3">
      <c r="C223" s="4"/>
      <c r="D223" s="8">
        <v>2015</v>
      </c>
      <c r="E223" s="14">
        <f>Data!T223</f>
        <v>7</v>
      </c>
    </row>
    <row r="224" spans="2:5" ht="15" customHeight="1" x14ac:dyDescent="0.3">
      <c r="C224" s="4"/>
      <c r="D224" s="8">
        <v>2016</v>
      </c>
      <c r="E224" s="14">
        <f>Data!T224</f>
        <v>7</v>
      </c>
    </row>
    <row r="225" spans="2:5" ht="15" customHeight="1" x14ac:dyDescent="0.3">
      <c r="C225" s="4"/>
      <c r="D225" s="8">
        <v>2017</v>
      </c>
      <c r="E225" s="14">
        <f>Data!T225</f>
        <v>8</v>
      </c>
    </row>
    <row r="226" spans="2:5" ht="15" customHeight="1" x14ac:dyDescent="0.3">
      <c r="C226" s="4"/>
      <c r="D226" s="8">
        <v>2018</v>
      </c>
      <c r="E226" s="14">
        <f>Data!T226</f>
        <v>8</v>
      </c>
    </row>
    <row r="227" spans="2:5" ht="15" customHeight="1" x14ac:dyDescent="0.3">
      <c r="C227" s="4"/>
      <c r="D227" s="8">
        <v>2019</v>
      </c>
      <c r="E227" s="14">
        <f>Data!T227</f>
        <v>8</v>
      </c>
    </row>
    <row r="228" spans="2:5" ht="15" customHeight="1" x14ac:dyDescent="0.3">
      <c r="C228" s="4"/>
      <c r="D228" s="8">
        <v>2020</v>
      </c>
      <c r="E228" s="14">
        <f>Data!T228</f>
        <v>8</v>
      </c>
    </row>
    <row r="229" spans="2:5" ht="15" customHeight="1" x14ac:dyDescent="0.3">
      <c r="C229" s="4"/>
      <c r="D229" s="8">
        <v>2021</v>
      </c>
      <c r="E229" s="14">
        <f>Data!T229</f>
        <v>8</v>
      </c>
    </row>
    <row r="230" spans="2:5" ht="15" customHeight="1" x14ac:dyDescent="0.3">
      <c r="C230" s="4"/>
      <c r="D230" s="8">
        <v>2022</v>
      </c>
      <c r="E230" s="14">
        <f>Data!T230</f>
        <v>8</v>
      </c>
    </row>
    <row r="231" spans="2:5" ht="15" customHeight="1" x14ac:dyDescent="0.3">
      <c r="C231" s="4"/>
      <c r="D231" s="8">
        <v>2023</v>
      </c>
      <c r="E231" s="14">
        <f>Data!T231</f>
        <v>9</v>
      </c>
    </row>
    <row r="232" spans="2:5" ht="15" customHeight="1" x14ac:dyDescent="0.3">
      <c r="C232" s="4"/>
      <c r="D232" s="8">
        <v>2024</v>
      </c>
      <c r="E232" s="14">
        <f>Data!T232</f>
        <v>6</v>
      </c>
    </row>
    <row r="233" spans="2:5" ht="15" customHeight="1" x14ac:dyDescent="0.3">
      <c r="B233" s="8">
        <v>22</v>
      </c>
      <c r="C233" s="4" t="s">
        <v>53</v>
      </c>
      <c r="D233" s="8">
        <v>2014</v>
      </c>
      <c r="E233" s="14">
        <f>Data!T233</f>
        <v>0</v>
      </c>
    </row>
    <row r="234" spans="2:5" ht="15" customHeight="1" x14ac:dyDescent="0.3">
      <c r="C234" s="4"/>
      <c r="D234" s="8">
        <v>2015</v>
      </c>
      <c r="E234" s="14">
        <f>Data!T234</f>
        <v>0</v>
      </c>
    </row>
    <row r="235" spans="2:5" ht="15" customHeight="1" x14ac:dyDescent="0.3">
      <c r="C235" s="4"/>
      <c r="D235" s="8">
        <v>2016</v>
      </c>
      <c r="E235" s="14">
        <f>Data!T235</f>
        <v>0</v>
      </c>
    </row>
    <row r="236" spans="2:5" ht="15" customHeight="1" x14ac:dyDescent="0.3">
      <c r="C236" s="4"/>
      <c r="D236" s="8">
        <v>2017</v>
      </c>
      <c r="E236" s="14">
        <f>Data!T236</f>
        <v>8</v>
      </c>
    </row>
    <row r="237" spans="2:5" ht="15" customHeight="1" x14ac:dyDescent="0.3">
      <c r="C237" s="4"/>
      <c r="D237" s="8">
        <v>2018</v>
      </c>
      <c r="E237" s="14">
        <f>Data!T237</f>
        <v>5</v>
      </c>
    </row>
    <row r="238" spans="2:5" ht="15" customHeight="1" x14ac:dyDescent="0.3">
      <c r="C238" s="4"/>
      <c r="D238" s="8">
        <v>2019</v>
      </c>
      <c r="E238" s="14">
        <f>Data!T238</f>
        <v>6</v>
      </c>
    </row>
    <row r="239" spans="2:5" ht="15" customHeight="1" x14ac:dyDescent="0.3">
      <c r="C239" s="4"/>
      <c r="D239" s="8">
        <v>2020</v>
      </c>
      <c r="E239" s="14">
        <f>Data!T239</f>
        <v>5</v>
      </c>
    </row>
    <row r="240" spans="2:5" ht="15" customHeight="1" x14ac:dyDescent="0.3">
      <c r="C240" s="4"/>
      <c r="D240" s="8">
        <v>2021</v>
      </c>
      <c r="E240" s="14">
        <f>Data!T240</f>
        <v>5</v>
      </c>
    </row>
    <row r="241" spans="2:5" ht="15" customHeight="1" x14ac:dyDescent="0.3">
      <c r="C241" s="4"/>
      <c r="D241" s="8">
        <v>2022</v>
      </c>
      <c r="E241" s="14">
        <f>Data!T241</f>
        <v>4</v>
      </c>
    </row>
    <row r="242" spans="2:5" ht="15" customHeight="1" x14ac:dyDescent="0.3">
      <c r="C242" s="4"/>
      <c r="D242" s="8">
        <v>2023</v>
      </c>
      <c r="E242" s="14">
        <f>Data!T242</f>
        <v>5</v>
      </c>
    </row>
    <row r="243" spans="2:5" ht="15" customHeight="1" x14ac:dyDescent="0.3">
      <c r="C243" s="4"/>
      <c r="D243" s="8">
        <v>2024</v>
      </c>
      <c r="E243" s="14">
        <f>Data!T243</f>
        <v>4</v>
      </c>
    </row>
    <row r="244" spans="2:5" ht="15" customHeight="1" x14ac:dyDescent="0.3">
      <c r="B244" s="8">
        <v>23</v>
      </c>
      <c r="C244" s="4" t="s">
        <v>51</v>
      </c>
      <c r="D244" s="8">
        <v>2014</v>
      </c>
      <c r="E244" s="14">
        <f>Data!T244</f>
        <v>0</v>
      </c>
    </row>
    <row r="245" spans="2:5" ht="15" customHeight="1" x14ac:dyDescent="0.3">
      <c r="C245" s="4"/>
      <c r="D245" s="8">
        <v>2015</v>
      </c>
      <c r="E245" s="14">
        <f>Data!T245</f>
        <v>7</v>
      </c>
    </row>
    <row r="246" spans="2:5" ht="15" customHeight="1" x14ac:dyDescent="0.3">
      <c r="C246" s="4"/>
      <c r="D246" s="8">
        <v>2016</v>
      </c>
      <c r="E246" s="14">
        <f>Data!T246</f>
        <v>7</v>
      </c>
    </row>
    <row r="247" spans="2:5" ht="15" customHeight="1" x14ac:dyDescent="0.3">
      <c r="C247" s="4"/>
      <c r="D247" s="8">
        <v>2017</v>
      </c>
      <c r="E247" s="14">
        <f>Data!T247</f>
        <v>7</v>
      </c>
    </row>
    <row r="248" spans="2:5" ht="15" customHeight="1" x14ac:dyDescent="0.3">
      <c r="C248" s="4"/>
      <c r="D248" s="8">
        <v>2018</v>
      </c>
      <c r="E248" s="14">
        <f>Data!T248</f>
        <v>7</v>
      </c>
    </row>
    <row r="249" spans="2:5" ht="15" customHeight="1" x14ac:dyDescent="0.3">
      <c r="C249" s="4"/>
      <c r="D249" s="8">
        <v>2019</v>
      </c>
      <c r="E249" s="14">
        <f>Data!T249</f>
        <v>6</v>
      </c>
    </row>
    <row r="250" spans="2:5" ht="15" customHeight="1" x14ac:dyDescent="0.3">
      <c r="C250" s="4"/>
      <c r="D250" s="8">
        <v>2020</v>
      </c>
      <c r="E250" s="14">
        <f>Data!T250</f>
        <v>7</v>
      </c>
    </row>
    <row r="251" spans="2:5" ht="15" customHeight="1" x14ac:dyDescent="0.3">
      <c r="C251" s="4"/>
      <c r="D251" s="8">
        <v>2021</v>
      </c>
      <c r="E251" s="14">
        <f>Data!T251</f>
        <v>6</v>
      </c>
    </row>
    <row r="252" spans="2:5" ht="15" customHeight="1" x14ac:dyDescent="0.3">
      <c r="C252" s="4"/>
      <c r="D252" s="8">
        <v>2022</v>
      </c>
      <c r="E252" s="14">
        <f>Data!T252</f>
        <v>7</v>
      </c>
    </row>
    <row r="253" spans="2:5" ht="15" customHeight="1" x14ac:dyDescent="0.3">
      <c r="C253" s="4"/>
      <c r="D253" s="8">
        <v>2023</v>
      </c>
      <c r="E253" s="14">
        <f>Data!T253</f>
        <v>7</v>
      </c>
    </row>
    <row r="254" spans="2:5" ht="15" customHeight="1" x14ac:dyDescent="0.3">
      <c r="C254" s="4"/>
      <c r="D254" s="8">
        <v>2024</v>
      </c>
      <c r="E254" s="14">
        <f>Data!T254</f>
        <v>6</v>
      </c>
    </row>
    <row r="255" spans="2:5" ht="15" customHeight="1" x14ac:dyDescent="0.3">
      <c r="B255" s="8">
        <v>24</v>
      </c>
      <c r="C255" s="4" t="s">
        <v>50</v>
      </c>
      <c r="D255" s="8">
        <v>2014</v>
      </c>
      <c r="E255" s="14">
        <f>Data!T255</f>
        <v>0</v>
      </c>
    </row>
    <row r="256" spans="2:5" ht="15" customHeight="1" x14ac:dyDescent="0.3">
      <c r="C256" s="4"/>
      <c r="D256" s="8">
        <v>2015</v>
      </c>
      <c r="E256" s="14">
        <f>Data!T256</f>
        <v>6</v>
      </c>
    </row>
    <row r="257" spans="2:5" ht="15" customHeight="1" x14ac:dyDescent="0.3">
      <c r="C257" s="4"/>
      <c r="D257" s="8">
        <v>2016</v>
      </c>
      <c r="E257" s="14">
        <f>Data!T257</f>
        <v>5</v>
      </c>
    </row>
    <row r="258" spans="2:5" ht="15" customHeight="1" x14ac:dyDescent="0.3">
      <c r="C258" s="4"/>
      <c r="D258" s="8">
        <v>2017</v>
      </c>
      <c r="E258" s="14">
        <f>Data!T258</f>
        <v>6</v>
      </c>
    </row>
    <row r="259" spans="2:5" ht="15" customHeight="1" x14ac:dyDescent="0.3">
      <c r="C259" s="4"/>
      <c r="D259" s="8">
        <v>2018</v>
      </c>
      <c r="E259" s="14">
        <f>Data!T259</f>
        <v>6</v>
      </c>
    </row>
    <row r="260" spans="2:5" ht="15" customHeight="1" x14ac:dyDescent="0.3">
      <c r="C260" s="4"/>
      <c r="D260" s="8">
        <v>2019</v>
      </c>
      <c r="E260" s="14">
        <f>Data!T260</f>
        <v>6</v>
      </c>
    </row>
    <row r="261" spans="2:5" ht="15" customHeight="1" x14ac:dyDescent="0.3">
      <c r="C261" s="4"/>
      <c r="D261" s="8">
        <v>2020</v>
      </c>
      <c r="E261" s="14">
        <f>Data!T261</f>
        <v>7</v>
      </c>
    </row>
    <row r="262" spans="2:5" ht="15" customHeight="1" x14ac:dyDescent="0.3">
      <c r="C262" s="4"/>
      <c r="D262" s="8">
        <v>2021</v>
      </c>
      <c r="E262" s="14">
        <f>Data!T262</f>
        <v>7</v>
      </c>
    </row>
    <row r="263" spans="2:5" ht="15" customHeight="1" x14ac:dyDescent="0.3">
      <c r="C263" s="4"/>
      <c r="D263" s="8">
        <v>2022</v>
      </c>
      <c r="E263" s="14">
        <f>Data!T263</f>
        <v>6</v>
      </c>
    </row>
    <row r="264" spans="2:5" ht="15" customHeight="1" x14ac:dyDescent="0.3">
      <c r="C264" s="4"/>
      <c r="D264" s="8">
        <v>2023</v>
      </c>
      <c r="E264" s="14">
        <f>Data!T264</f>
        <v>5</v>
      </c>
    </row>
    <row r="265" spans="2:5" ht="15" customHeight="1" x14ac:dyDescent="0.3">
      <c r="C265" s="4"/>
      <c r="D265" s="8">
        <v>2024</v>
      </c>
      <c r="E265" s="14">
        <f>Data!T265</f>
        <v>6</v>
      </c>
    </row>
    <row r="266" spans="2:5" ht="15" customHeight="1" x14ac:dyDescent="0.3">
      <c r="B266" s="8">
        <v>25</v>
      </c>
      <c r="C266" s="3" t="s">
        <v>28</v>
      </c>
      <c r="D266" s="8">
        <v>2014</v>
      </c>
      <c r="E266" s="14">
        <f>Data!T266</f>
        <v>0</v>
      </c>
    </row>
    <row r="267" spans="2:5" ht="15" customHeight="1" x14ac:dyDescent="0.3">
      <c r="C267" s="3"/>
      <c r="D267" s="8">
        <v>2015</v>
      </c>
      <c r="E267" s="14">
        <f>Data!T267</f>
        <v>7</v>
      </c>
    </row>
    <row r="268" spans="2:5" ht="15" customHeight="1" x14ac:dyDescent="0.3">
      <c r="C268" s="3"/>
      <c r="D268" s="8">
        <v>2016</v>
      </c>
      <c r="E268" s="14">
        <f>Data!T268</f>
        <v>7</v>
      </c>
    </row>
    <row r="269" spans="2:5" ht="15" customHeight="1" x14ac:dyDescent="0.3">
      <c r="C269" s="3"/>
      <c r="D269" s="8">
        <v>2017</v>
      </c>
      <c r="E269" s="14">
        <f>Data!T269</f>
        <v>8</v>
      </c>
    </row>
    <row r="270" spans="2:5" ht="15" customHeight="1" x14ac:dyDescent="0.3">
      <c r="C270" s="3"/>
      <c r="D270" s="8">
        <v>2018</v>
      </c>
      <c r="E270" s="14">
        <f>Data!T270</f>
        <v>8</v>
      </c>
    </row>
    <row r="271" spans="2:5" ht="15" customHeight="1" x14ac:dyDescent="0.3">
      <c r="C271" s="3"/>
      <c r="D271" s="8">
        <v>2019</v>
      </c>
      <c r="E271" s="14">
        <f>Data!T271</f>
        <v>11</v>
      </c>
    </row>
    <row r="272" spans="2:5" ht="15" customHeight="1" x14ac:dyDescent="0.3">
      <c r="C272" s="3"/>
      <c r="D272" s="8">
        <v>2020</v>
      </c>
      <c r="E272" s="14">
        <f>Data!T272</f>
        <v>8</v>
      </c>
    </row>
    <row r="273" spans="2:5" ht="15" customHeight="1" x14ac:dyDescent="0.3">
      <c r="C273" s="3"/>
      <c r="D273" s="8">
        <v>2021</v>
      </c>
      <c r="E273" s="14">
        <f>Data!T273</f>
        <v>7</v>
      </c>
    </row>
    <row r="274" spans="2:5" ht="15" customHeight="1" x14ac:dyDescent="0.3">
      <c r="C274" s="3"/>
      <c r="D274" s="8">
        <v>2022</v>
      </c>
      <c r="E274" s="14">
        <f>Data!T274</f>
        <v>8</v>
      </c>
    </row>
    <row r="275" spans="2:5" ht="15" customHeight="1" x14ac:dyDescent="0.3">
      <c r="C275" s="3"/>
      <c r="D275" s="8">
        <v>2023</v>
      </c>
      <c r="E275" s="14">
        <f>Data!T275</f>
        <v>7</v>
      </c>
    </row>
    <row r="276" spans="2:5" ht="15" customHeight="1" x14ac:dyDescent="0.3">
      <c r="C276" s="3"/>
      <c r="D276" s="8">
        <v>2024</v>
      </c>
      <c r="E276" s="14">
        <f>Data!T276</f>
        <v>7</v>
      </c>
    </row>
    <row r="277" spans="2:5" ht="15" customHeight="1" x14ac:dyDescent="0.3">
      <c r="B277" s="8">
        <v>26</v>
      </c>
      <c r="C277" s="3" t="s">
        <v>42</v>
      </c>
      <c r="D277" s="8">
        <v>2014</v>
      </c>
      <c r="E277" s="14">
        <f>Data!T277</f>
        <v>0</v>
      </c>
    </row>
    <row r="278" spans="2:5" ht="15" customHeight="1" x14ac:dyDescent="0.3">
      <c r="C278" s="3"/>
      <c r="D278" s="8">
        <v>2015</v>
      </c>
      <c r="E278" s="14">
        <f>Data!T278</f>
        <v>0</v>
      </c>
    </row>
    <row r="279" spans="2:5" ht="15" customHeight="1" x14ac:dyDescent="0.3">
      <c r="C279" s="3"/>
      <c r="D279" s="8">
        <v>2016</v>
      </c>
      <c r="E279" s="14">
        <f>Data!T279</f>
        <v>0</v>
      </c>
    </row>
    <row r="280" spans="2:5" ht="15" customHeight="1" x14ac:dyDescent="0.3">
      <c r="C280" s="3"/>
      <c r="D280" s="8">
        <v>2017</v>
      </c>
      <c r="E280" s="14">
        <f>Data!T280</f>
        <v>0</v>
      </c>
    </row>
    <row r="281" spans="2:5" ht="15" customHeight="1" x14ac:dyDescent="0.3">
      <c r="C281" s="3"/>
      <c r="D281" s="8">
        <v>2018</v>
      </c>
      <c r="E281" s="14">
        <f>Data!T281</f>
        <v>0</v>
      </c>
    </row>
    <row r="282" spans="2:5" ht="15" customHeight="1" x14ac:dyDescent="0.3">
      <c r="C282" s="3"/>
      <c r="D282" s="8">
        <v>2019</v>
      </c>
      <c r="E282" s="14">
        <f>Data!T282</f>
        <v>0</v>
      </c>
    </row>
    <row r="283" spans="2:5" ht="15" customHeight="1" x14ac:dyDescent="0.3">
      <c r="C283" s="3"/>
      <c r="D283" s="8">
        <v>2020</v>
      </c>
      <c r="E283" s="14">
        <f>Data!T283</f>
        <v>0</v>
      </c>
    </row>
    <row r="284" spans="2:5" ht="15" customHeight="1" x14ac:dyDescent="0.3">
      <c r="C284" s="3"/>
      <c r="D284" s="8">
        <v>2021</v>
      </c>
      <c r="E284" s="14">
        <f>Data!T284</f>
        <v>0</v>
      </c>
    </row>
    <row r="285" spans="2:5" ht="15" customHeight="1" x14ac:dyDescent="0.3">
      <c r="C285" s="3"/>
      <c r="D285" s="8">
        <v>2022</v>
      </c>
      <c r="E285" s="14">
        <f>Data!T285</f>
        <v>0</v>
      </c>
    </row>
    <row r="286" spans="2:5" ht="15" customHeight="1" x14ac:dyDescent="0.3">
      <c r="C286" s="3"/>
      <c r="D286" s="8">
        <v>2023</v>
      </c>
      <c r="E286" s="14">
        <f>Data!T286</f>
        <v>7</v>
      </c>
    </row>
    <row r="287" spans="2:5" ht="15" customHeight="1" x14ac:dyDescent="0.3">
      <c r="C287" s="3"/>
      <c r="D287" s="8">
        <v>2024</v>
      </c>
      <c r="E287" s="14">
        <f>Data!T287</f>
        <v>6</v>
      </c>
    </row>
    <row r="288" spans="2:5" ht="15" customHeight="1" x14ac:dyDescent="0.3">
      <c r="B288" s="8">
        <v>27</v>
      </c>
      <c r="C288" s="3" t="s">
        <v>29</v>
      </c>
      <c r="D288" s="8">
        <v>2014</v>
      </c>
      <c r="E288" s="14">
        <f>Data!T288</f>
        <v>0</v>
      </c>
    </row>
    <row r="289" spans="2:5" ht="15" customHeight="1" x14ac:dyDescent="0.3">
      <c r="C289" s="3"/>
      <c r="D289" s="8">
        <v>2015</v>
      </c>
      <c r="E289" s="14">
        <f>Data!T289</f>
        <v>8</v>
      </c>
    </row>
    <row r="290" spans="2:5" ht="15" customHeight="1" x14ac:dyDescent="0.3">
      <c r="C290" s="3"/>
      <c r="D290" s="8">
        <v>2016</v>
      </c>
      <c r="E290" s="14">
        <f>Data!T290</f>
        <v>8</v>
      </c>
    </row>
    <row r="291" spans="2:5" ht="15" customHeight="1" x14ac:dyDescent="0.3">
      <c r="C291" s="3"/>
      <c r="D291" s="8">
        <v>2017</v>
      </c>
      <c r="E291" s="14">
        <f>Data!T291</f>
        <v>7</v>
      </c>
    </row>
    <row r="292" spans="2:5" ht="15" customHeight="1" x14ac:dyDescent="0.3">
      <c r="C292" s="3"/>
      <c r="D292" s="8">
        <v>2018</v>
      </c>
      <c r="E292" s="14">
        <f>Data!T292</f>
        <v>7</v>
      </c>
    </row>
    <row r="293" spans="2:5" ht="15" customHeight="1" x14ac:dyDescent="0.3">
      <c r="C293" s="3"/>
      <c r="D293" s="8">
        <v>2019</v>
      </c>
      <c r="E293" s="14">
        <f>Data!T293</f>
        <v>6</v>
      </c>
    </row>
    <row r="294" spans="2:5" ht="15" customHeight="1" x14ac:dyDescent="0.3">
      <c r="C294" s="3"/>
      <c r="D294" s="8">
        <v>2020</v>
      </c>
      <c r="E294" s="14">
        <f>Data!T294</f>
        <v>7</v>
      </c>
    </row>
    <row r="295" spans="2:5" ht="15" customHeight="1" x14ac:dyDescent="0.3">
      <c r="C295" s="3"/>
      <c r="D295" s="8">
        <v>2021</v>
      </c>
      <c r="E295" s="14">
        <f>Data!T295</f>
        <v>7</v>
      </c>
    </row>
    <row r="296" spans="2:5" ht="15" customHeight="1" x14ac:dyDescent="0.3">
      <c r="C296" s="3"/>
      <c r="D296" s="8">
        <v>2022</v>
      </c>
      <c r="E296" s="14">
        <f>Data!T296</f>
        <v>7</v>
      </c>
    </row>
    <row r="297" spans="2:5" ht="15" customHeight="1" x14ac:dyDescent="0.3">
      <c r="C297" s="3"/>
      <c r="D297" s="8">
        <v>2023</v>
      </c>
      <c r="E297" s="14">
        <f>Data!T297</f>
        <v>8</v>
      </c>
    </row>
    <row r="298" spans="2:5" ht="15" customHeight="1" x14ac:dyDescent="0.3">
      <c r="C298" s="3"/>
      <c r="D298" s="8">
        <v>2024</v>
      </c>
      <c r="E298" s="14">
        <f>Data!T298</f>
        <v>8</v>
      </c>
    </row>
    <row r="299" spans="2:5" ht="15" customHeight="1" x14ac:dyDescent="0.3">
      <c r="B299" s="8">
        <v>28</v>
      </c>
      <c r="C299" s="4" t="s">
        <v>149</v>
      </c>
      <c r="D299" s="8">
        <v>2014</v>
      </c>
      <c r="E299" s="14">
        <f>Data!T299</f>
        <v>0</v>
      </c>
    </row>
    <row r="300" spans="2:5" ht="15" customHeight="1" x14ac:dyDescent="0.3">
      <c r="C300" s="4"/>
      <c r="D300" s="8">
        <v>2015</v>
      </c>
      <c r="E300" s="14">
        <f>Data!T300</f>
        <v>0</v>
      </c>
    </row>
    <row r="301" spans="2:5" ht="15" customHeight="1" x14ac:dyDescent="0.3">
      <c r="C301" s="4"/>
      <c r="D301" s="8">
        <v>2016</v>
      </c>
      <c r="E301" s="14">
        <f>Data!T301</f>
        <v>0</v>
      </c>
    </row>
    <row r="302" spans="2:5" ht="15" customHeight="1" x14ac:dyDescent="0.3">
      <c r="C302" s="4"/>
      <c r="D302" s="8">
        <v>2017</v>
      </c>
      <c r="E302" s="14">
        <f>Data!T302</f>
        <v>0</v>
      </c>
    </row>
    <row r="303" spans="2:5" ht="15" customHeight="1" x14ac:dyDescent="0.3">
      <c r="C303" s="4"/>
      <c r="D303" s="8">
        <v>2018</v>
      </c>
      <c r="E303" s="14">
        <f>Data!T303</f>
        <v>0</v>
      </c>
    </row>
    <row r="304" spans="2:5" ht="15" customHeight="1" x14ac:dyDescent="0.3">
      <c r="C304" s="4"/>
      <c r="D304" s="8">
        <v>2019</v>
      </c>
      <c r="E304" s="14">
        <f>Data!T304</f>
        <v>6</v>
      </c>
    </row>
    <row r="305" spans="2:5" ht="15" customHeight="1" x14ac:dyDescent="0.3">
      <c r="C305" s="4"/>
      <c r="D305" s="8">
        <v>2020</v>
      </c>
      <c r="E305" s="14">
        <f>Data!T305</f>
        <v>7</v>
      </c>
    </row>
    <row r="306" spans="2:5" ht="15" customHeight="1" x14ac:dyDescent="0.3">
      <c r="C306" s="4"/>
      <c r="D306" s="8">
        <v>2021</v>
      </c>
      <c r="E306" s="14">
        <f>Data!T306</f>
        <v>7</v>
      </c>
    </row>
    <row r="307" spans="2:5" ht="15" customHeight="1" x14ac:dyDescent="0.3">
      <c r="C307" s="4"/>
      <c r="D307" s="8">
        <v>2022</v>
      </c>
      <c r="E307" s="14">
        <f>Data!T307</f>
        <v>7</v>
      </c>
    </row>
    <row r="308" spans="2:5" ht="15" customHeight="1" x14ac:dyDescent="0.3">
      <c r="C308" s="4"/>
      <c r="D308" s="8">
        <v>2023</v>
      </c>
      <c r="E308" s="14">
        <f>Data!T308</f>
        <v>6</v>
      </c>
    </row>
    <row r="309" spans="2:5" ht="15" customHeight="1" x14ac:dyDescent="0.3">
      <c r="C309" s="4"/>
      <c r="D309" s="8">
        <v>2024</v>
      </c>
      <c r="E309" s="14">
        <f>Data!T309</f>
        <v>6</v>
      </c>
    </row>
    <row r="310" spans="2:5" ht="15" customHeight="1" x14ac:dyDescent="0.3">
      <c r="B310" s="8">
        <v>29</v>
      </c>
      <c r="C310" s="4" t="s">
        <v>55</v>
      </c>
      <c r="D310" s="8">
        <v>2014</v>
      </c>
      <c r="E310" s="14">
        <f>Data!T310</f>
        <v>0</v>
      </c>
    </row>
    <row r="311" spans="2:5" ht="15" customHeight="1" x14ac:dyDescent="0.3">
      <c r="C311" s="4"/>
      <c r="D311" s="8">
        <v>2015</v>
      </c>
      <c r="E311" s="14">
        <f>Data!T311</f>
        <v>7</v>
      </c>
    </row>
    <row r="312" spans="2:5" ht="15" customHeight="1" x14ac:dyDescent="0.3">
      <c r="C312" s="4"/>
      <c r="D312" s="8">
        <v>2016</v>
      </c>
      <c r="E312" s="14">
        <f>Data!T312</f>
        <v>7</v>
      </c>
    </row>
    <row r="313" spans="2:5" ht="15" customHeight="1" x14ac:dyDescent="0.3">
      <c r="C313" s="4"/>
      <c r="D313" s="8">
        <v>2017</v>
      </c>
      <c r="E313" s="14">
        <f>Data!T313</f>
        <v>6</v>
      </c>
    </row>
    <row r="314" spans="2:5" ht="15" customHeight="1" x14ac:dyDescent="0.3">
      <c r="C314" s="4"/>
      <c r="D314" s="8">
        <v>2018</v>
      </c>
      <c r="E314" s="14">
        <f>Data!T314</f>
        <v>7</v>
      </c>
    </row>
    <row r="315" spans="2:5" ht="15" customHeight="1" x14ac:dyDescent="0.3">
      <c r="C315" s="4"/>
      <c r="D315" s="8">
        <v>2019</v>
      </c>
      <c r="E315" s="14">
        <f>Data!T315</f>
        <v>7</v>
      </c>
    </row>
    <row r="316" spans="2:5" ht="15" customHeight="1" x14ac:dyDescent="0.3">
      <c r="C316" s="4"/>
      <c r="D316" s="8">
        <v>2020</v>
      </c>
      <c r="E316" s="14">
        <f>Data!T316</f>
        <v>6</v>
      </c>
    </row>
    <row r="317" spans="2:5" ht="15" customHeight="1" x14ac:dyDescent="0.3">
      <c r="C317" s="4"/>
      <c r="D317" s="8">
        <v>2021</v>
      </c>
      <c r="E317" s="14">
        <f>Data!T317</f>
        <v>5</v>
      </c>
    </row>
    <row r="318" spans="2:5" ht="15" customHeight="1" x14ac:dyDescent="0.3">
      <c r="C318" s="4"/>
      <c r="D318" s="8">
        <v>2022</v>
      </c>
      <c r="E318" s="14">
        <f>Data!T318</f>
        <v>6</v>
      </c>
    </row>
    <row r="319" spans="2:5" ht="15" customHeight="1" x14ac:dyDescent="0.3">
      <c r="C319" s="4"/>
      <c r="D319" s="8">
        <v>2023</v>
      </c>
      <c r="E319" s="14">
        <f>Data!T319</f>
        <v>6</v>
      </c>
    </row>
    <row r="320" spans="2:5" ht="15" customHeight="1" x14ac:dyDescent="0.3">
      <c r="C320" s="4"/>
      <c r="D320" s="8">
        <v>2024</v>
      </c>
      <c r="E320" s="14">
        <f>Data!T320</f>
        <v>7</v>
      </c>
    </row>
    <row r="321" spans="2:5" ht="15" customHeight="1" x14ac:dyDescent="0.3">
      <c r="B321" s="8">
        <v>30</v>
      </c>
      <c r="C321" s="3" t="s">
        <v>5</v>
      </c>
      <c r="D321" s="8">
        <v>2014</v>
      </c>
      <c r="E321" s="14">
        <f>Data!T321</f>
        <v>0</v>
      </c>
    </row>
    <row r="322" spans="2:5" ht="15" customHeight="1" x14ac:dyDescent="0.3">
      <c r="C322" s="3"/>
      <c r="D322" s="8">
        <v>2015</v>
      </c>
      <c r="E322" s="14">
        <f>Data!T322</f>
        <v>0</v>
      </c>
    </row>
    <row r="323" spans="2:5" ht="15" customHeight="1" x14ac:dyDescent="0.3">
      <c r="C323" s="3"/>
      <c r="D323" s="8">
        <v>2016</v>
      </c>
      <c r="E323" s="14">
        <f>Data!T323</f>
        <v>0</v>
      </c>
    </row>
    <row r="324" spans="2:5" ht="15" customHeight="1" x14ac:dyDescent="0.3">
      <c r="C324" s="3"/>
      <c r="D324" s="8">
        <v>2017</v>
      </c>
      <c r="E324" s="14">
        <f>Data!T324</f>
        <v>0</v>
      </c>
    </row>
    <row r="325" spans="2:5" ht="15" customHeight="1" x14ac:dyDescent="0.3">
      <c r="C325" s="3"/>
      <c r="D325" s="8">
        <v>2018</v>
      </c>
      <c r="E325" s="14">
        <f>Data!T325</f>
        <v>7</v>
      </c>
    </row>
    <row r="326" spans="2:5" ht="15" customHeight="1" x14ac:dyDescent="0.3">
      <c r="C326" s="3"/>
      <c r="D326" s="8">
        <v>2019</v>
      </c>
      <c r="E326" s="14">
        <f>Data!T326</f>
        <v>8</v>
      </c>
    </row>
    <row r="327" spans="2:5" ht="15" customHeight="1" x14ac:dyDescent="0.3">
      <c r="C327" s="3"/>
      <c r="D327" s="8">
        <v>2020</v>
      </c>
      <c r="E327" s="14">
        <f>Data!T327</f>
        <v>6</v>
      </c>
    </row>
    <row r="328" spans="2:5" ht="15" customHeight="1" x14ac:dyDescent="0.3">
      <c r="C328" s="3"/>
      <c r="D328" s="8">
        <v>2021</v>
      </c>
      <c r="E328" s="14">
        <f>Data!T328</f>
        <v>6</v>
      </c>
    </row>
    <row r="329" spans="2:5" ht="15" customHeight="1" x14ac:dyDescent="0.3">
      <c r="C329" s="3"/>
      <c r="D329" s="8">
        <v>2022</v>
      </c>
      <c r="E329" s="14">
        <f>Data!T329</f>
        <v>7</v>
      </c>
    </row>
    <row r="330" spans="2:5" ht="15" customHeight="1" x14ac:dyDescent="0.3">
      <c r="C330" s="3"/>
      <c r="D330" s="8">
        <v>2023</v>
      </c>
      <c r="E330" s="14">
        <f>Data!T330</f>
        <v>5</v>
      </c>
    </row>
    <row r="331" spans="2:5" ht="15" customHeight="1" x14ac:dyDescent="0.3">
      <c r="C331" s="3"/>
      <c r="D331" s="8">
        <v>2024</v>
      </c>
      <c r="E331" s="14">
        <f>Data!T331</f>
        <v>7</v>
      </c>
    </row>
    <row r="332" spans="2:5" ht="15" customHeight="1" x14ac:dyDescent="0.3">
      <c r="B332" s="8">
        <v>31</v>
      </c>
      <c r="C332" s="3" t="s">
        <v>6</v>
      </c>
      <c r="D332" s="8">
        <v>2014</v>
      </c>
      <c r="E332" s="14">
        <f>Data!T332</f>
        <v>0</v>
      </c>
    </row>
    <row r="333" spans="2:5" ht="15" customHeight="1" x14ac:dyDescent="0.3">
      <c r="C333" s="3"/>
      <c r="D333" s="8">
        <v>2015</v>
      </c>
      <c r="E333" s="14">
        <f>Data!T333</f>
        <v>0</v>
      </c>
    </row>
    <row r="334" spans="2:5" ht="15" customHeight="1" x14ac:dyDescent="0.3">
      <c r="C334" s="3"/>
      <c r="D334" s="8">
        <v>2016</v>
      </c>
      <c r="E334" s="14">
        <f>Data!T334</f>
        <v>0</v>
      </c>
    </row>
    <row r="335" spans="2:5" ht="15" customHeight="1" x14ac:dyDescent="0.3">
      <c r="C335" s="3"/>
      <c r="D335" s="8">
        <v>2017</v>
      </c>
      <c r="E335" s="14">
        <f>Data!T335</f>
        <v>0</v>
      </c>
    </row>
    <row r="336" spans="2:5" ht="15" customHeight="1" x14ac:dyDescent="0.3">
      <c r="C336" s="3"/>
      <c r="D336" s="8">
        <v>2018</v>
      </c>
      <c r="E336" s="14">
        <f>Data!T336</f>
        <v>0</v>
      </c>
    </row>
    <row r="337" spans="2:5" ht="15" customHeight="1" x14ac:dyDescent="0.3">
      <c r="C337" s="3"/>
      <c r="D337" s="8">
        <v>2019</v>
      </c>
      <c r="E337" s="14">
        <f>Data!T337</f>
        <v>0</v>
      </c>
    </row>
    <row r="338" spans="2:5" ht="15" customHeight="1" x14ac:dyDescent="0.3">
      <c r="C338" s="3"/>
      <c r="D338" s="8">
        <v>2020</v>
      </c>
      <c r="E338" s="14">
        <f>Data!T338</f>
        <v>6</v>
      </c>
    </row>
    <row r="339" spans="2:5" ht="15" customHeight="1" x14ac:dyDescent="0.3">
      <c r="C339" s="3"/>
      <c r="D339" s="8">
        <v>2021</v>
      </c>
      <c r="E339" s="14">
        <f>Data!T339</f>
        <v>6</v>
      </c>
    </row>
    <row r="340" spans="2:5" ht="15" customHeight="1" x14ac:dyDescent="0.3">
      <c r="C340" s="3"/>
      <c r="D340" s="8">
        <v>2022</v>
      </c>
      <c r="E340" s="14">
        <f>Data!T340</f>
        <v>6</v>
      </c>
    </row>
    <row r="341" spans="2:5" ht="15" customHeight="1" x14ac:dyDescent="0.3">
      <c r="C341" s="3"/>
      <c r="D341" s="8">
        <v>2023</v>
      </c>
      <c r="E341" s="14">
        <f>Data!T341</f>
        <v>7</v>
      </c>
    </row>
    <row r="342" spans="2:5" ht="15" customHeight="1" x14ac:dyDescent="0.3">
      <c r="C342" s="3"/>
      <c r="D342" s="8">
        <v>2024</v>
      </c>
      <c r="E342" s="14">
        <f>Data!T342</f>
        <v>8</v>
      </c>
    </row>
    <row r="343" spans="2:5" ht="15" customHeight="1" x14ac:dyDescent="0.3">
      <c r="B343" s="8">
        <v>32</v>
      </c>
      <c r="C343" s="3" t="s">
        <v>7</v>
      </c>
      <c r="D343" s="8">
        <v>2014</v>
      </c>
      <c r="E343" s="14">
        <f>Data!T343</f>
        <v>0</v>
      </c>
    </row>
    <row r="344" spans="2:5" ht="15" customHeight="1" x14ac:dyDescent="0.3">
      <c r="C344" s="3"/>
      <c r="D344" s="8">
        <v>2015</v>
      </c>
      <c r="E344" s="14">
        <f>Data!T344</f>
        <v>0</v>
      </c>
    </row>
    <row r="345" spans="2:5" ht="15" customHeight="1" x14ac:dyDescent="0.3">
      <c r="C345" s="3"/>
      <c r="D345" s="8">
        <v>2016</v>
      </c>
      <c r="E345" s="14">
        <f>Data!T345</f>
        <v>0</v>
      </c>
    </row>
    <row r="346" spans="2:5" ht="15" customHeight="1" x14ac:dyDescent="0.3">
      <c r="C346" s="3"/>
      <c r="D346" s="8">
        <v>2017</v>
      </c>
      <c r="E346" s="14">
        <f>Data!T346</f>
        <v>8</v>
      </c>
    </row>
    <row r="347" spans="2:5" ht="15" customHeight="1" x14ac:dyDescent="0.3">
      <c r="C347" s="3"/>
      <c r="D347" s="8">
        <v>2018</v>
      </c>
      <c r="E347" s="14">
        <f>Data!T347</f>
        <v>7</v>
      </c>
    </row>
    <row r="348" spans="2:5" ht="15" customHeight="1" x14ac:dyDescent="0.3">
      <c r="C348" s="3"/>
      <c r="D348" s="8">
        <v>2019</v>
      </c>
      <c r="E348" s="14">
        <f>Data!T348</f>
        <v>8</v>
      </c>
    </row>
    <row r="349" spans="2:5" ht="15" customHeight="1" x14ac:dyDescent="0.3">
      <c r="C349" s="3"/>
      <c r="D349" s="8">
        <v>2020</v>
      </c>
      <c r="E349" s="14">
        <f>Data!T349</f>
        <v>9</v>
      </c>
    </row>
    <row r="350" spans="2:5" ht="15" customHeight="1" x14ac:dyDescent="0.3">
      <c r="C350" s="3"/>
      <c r="D350" s="8">
        <v>2021</v>
      </c>
      <c r="E350" s="14">
        <f>Data!T350</f>
        <v>8</v>
      </c>
    </row>
    <row r="351" spans="2:5" ht="15" customHeight="1" x14ac:dyDescent="0.3">
      <c r="C351" s="3"/>
      <c r="D351" s="8">
        <v>2022</v>
      </c>
      <c r="E351" s="14">
        <f>Data!T351</f>
        <v>9</v>
      </c>
    </row>
    <row r="352" spans="2:5" ht="15" customHeight="1" x14ac:dyDescent="0.3">
      <c r="C352" s="3"/>
      <c r="D352" s="8">
        <v>2023</v>
      </c>
      <c r="E352" s="14">
        <f>Data!T352</f>
        <v>9</v>
      </c>
    </row>
    <row r="353" spans="2:5" ht="15" customHeight="1" x14ac:dyDescent="0.3">
      <c r="C353" s="3"/>
      <c r="D353" s="8">
        <v>2024</v>
      </c>
      <c r="E353" s="14">
        <f>Data!T353</f>
        <v>9</v>
      </c>
    </row>
    <row r="354" spans="2:5" ht="15" customHeight="1" x14ac:dyDescent="0.3">
      <c r="B354" s="8">
        <v>33</v>
      </c>
      <c r="C354" s="3" t="s">
        <v>30</v>
      </c>
      <c r="D354" s="8">
        <v>2014</v>
      </c>
      <c r="E354" s="14">
        <f>Data!T354</f>
        <v>0</v>
      </c>
    </row>
    <row r="355" spans="2:5" ht="15" customHeight="1" x14ac:dyDescent="0.3">
      <c r="C355" s="3"/>
      <c r="D355" s="8">
        <v>2015</v>
      </c>
      <c r="E355" s="14">
        <f>Data!T355</f>
        <v>0</v>
      </c>
    </row>
    <row r="356" spans="2:5" ht="15" customHeight="1" x14ac:dyDescent="0.3">
      <c r="C356" s="3"/>
      <c r="D356" s="8">
        <v>2016</v>
      </c>
      <c r="E356" s="14">
        <f>Data!T356</f>
        <v>0</v>
      </c>
    </row>
    <row r="357" spans="2:5" ht="15" customHeight="1" x14ac:dyDescent="0.3">
      <c r="C357" s="3"/>
      <c r="D357" s="8">
        <v>2017</v>
      </c>
      <c r="E357" s="14">
        <f>Data!T357</f>
        <v>6</v>
      </c>
    </row>
    <row r="358" spans="2:5" ht="15" customHeight="1" x14ac:dyDescent="0.3">
      <c r="C358" s="3"/>
      <c r="D358" s="8">
        <v>2018</v>
      </c>
      <c r="E358" s="14">
        <f>Data!T358</f>
        <v>7</v>
      </c>
    </row>
    <row r="359" spans="2:5" ht="15" customHeight="1" x14ac:dyDescent="0.3">
      <c r="C359" s="3"/>
      <c r="D359" s="8">
        <v>2019</v>
      </c>
      <c r="E359" s="14">
        <f>Data!T359</f>
        <v>7</v>
      </c>
    </row>
    <row r="360" spans="2:5" ht="15" customHeight="1" x14ac:dyDescent="0.3">
      <c r="C360" s="3"/>
      <c r="D360" s="8">
        <v>2020</v>
      </c>
      <c r="E360" s="14">
        <f>Data!T360</f>
        <v>7</v>
      </c>
    </row>
    <row r="361" spans="2:5" ht="15" customHeight="1" x14ac:dyDescent="0.3">
      <c r="C361" s="3"/>
      <c r="D361" s="8">
        <v>2021</v>
      </c>
      <c r="E361" s="14">
        <f>Data!T361</f>
        <v>7</v>
      </c>
    </row>
    <row r="362" spans="2:5" ht="15" customHeight="1" x14ac:dyDescent="0.3">
      <c r="C362" s="3"/>
      <c r="D362" s="8">
        <v>2022</v>
      </c>
      <c r="E362" s="14">
        <f>Data!T362</f>
        <v>7</v>
      </c>
    </row>
    <row r="363" spans="2:5" ht="15" customHeight="1" x14ac:dyDescent="0.3">
      <c r="C363" s="3"/>
      <c r="D363" s="8">
        <v>2023</v>
      </c>
      <c r="E363" s="14">
        <f>Data!T363</f>
        <v>7</v>
      </c>
    </row>
    <row r="364" spans="2:5" ht="15" customHeight="1" x14ac:dyDescent="0.3">
      <c r="C364" s="3"/>
      <c r="D364" s="8">
        <v>2024</v>
      </c>
      <c r="E364" s="14">
        <f>Data!T364</f>
        <v>7</v>
      </c>
    </row>
    <row r="365" spans="2:5" ht="15" customHeight="1" x14ac:dyDescent="0.3">
      <c r="B365" s="8">
        <v>34</v>
      </c>
      <c r="C365" s="3" t="s">
        <v>9</v>
      </c>
      <c r="D365" s="8">
        <v>2014</v>
      </c>
      <c r="E365" s="14">
        <f>Data!T365</f>
        <v>0</v>
      </c>
    </row>
    <row r="366" spans="2:5" ht="15" customHeight="1" x14ac:dyDescent="0.3">
      <c r="C366" s="3"/>
      <c r="D366" s="8">
        <v>2015</v>
      </c>
      <c r="E366" s="14">
        <f>Data!T366</f>
        <v>9</v>
      </c>
    </row>
    <row r="367" spans="2:5" ht="15" customHeight="1" x14ac:dyDescent="0.3">
      <c r="C367" s="3"/>
      <c r="D367" s="8">
        <v>2016</v>
      </c>
      <c r="E367" s="14">
        <f>Data!T367</f>
        <v>10</v>
      </c>
    </row>
    <row r="368" spans="2:5" ht="15" customHeight="1" x14ac:dyDescent="0.3">
      <c r="C368" s="3"/>
      <c r="D368" s="8">
        <v>2017</v>
      </c>
      <c r="E368" s="14">
        <f>Data!T368</f>
        <v>8</v>
      </c>
    </row>
    <row r="369" spans="2:5" ht="15" customHeight="1" x14ac:dyDescent="0.3">
      <c r="C369" s="3"/>
      <c r="D369" s="8">
        <v>2018</v>
      </c>
      <c r="E369" s="14">
        <f>Data!T369</f>
        <v>9</v>
      </c>
    </row>
    <row r="370" spans="2:5" ht="15" customHeight="1" x14ac:dyDescent="0.3">
      <c r="C370" s="3"/>
      <c r="D370" s="8">
        <v>2019</v>
      </c>
      <c r="E370" s="14">
        <f>Data!T370</f>
        <v>10</v>
      </c>
    </row>
    <row r="371" spans="2:5" ht="15" customHeight="1" x14ac:dyDescent="0.3">
      <c r="C371" s="3"/>
      <c r="D371" s="8">
        <v>2020</v>
      </c>
      <c r="E371" s="14">
        <f>Data!T371</f>
        <v>10</v>
      </c>
    </row>
    <row r="372" spans="2:5" ht="15" customHeight="1" x14ac:dyDescent="0.3">
      <c r="C372" s="3"/>
      <c r="D372" s="8">
        <v>2021</v>
      </c>
      <c r="E372" s="14">
        <f>Data!T372</f>
        <v>10</v>
      </c>
    </row>
    <row r="373" spans="2:5" ht="15" customHeight="1" x14ac:dyDescent="0.3">
      <c r="C373" s="3"/>
      <c r="D373" s="8">
        <v>2022</v>
      </c>
      <c r="E373" s="14">
        <f>Data!T373</f>
        <v>0</v>
      </c>
    </row>
    <row r="374" spans="2:5" ht="15" customHeight="1" x14ac:dyDescent="0.3">
      <c r="C374" s="3"/>
      <c r="D374" s="8">
        <v>2023</v>
      </c>
      <c r="E374" s="14">
        <f>Data!T374</f>
        <v>9</v>
      </c>
    </row>
    <row r="375" spans="2:5" ht="15" customHeight="1" x14ac:dyDescent="0.3">
      <c r="C375" s="3"/>
      <c r="D375" s="8">
        <v>2024</v>
      </c>
      <c r="E375" s="14">
        <f>Data!T375</f>
        <v>7</v>
      </c>
    </row>
    <row r="376" spans="2:5" ht="15" customHeight="1" x14ac:dyDescent="0.3">
      <c r="B376" s="8">
        <v>35</v>
      </c>
      <c r="C376" s="3" t="s">
        <v>31</v>
      </c>
      <c r="D376" s="8">
        <v>2014</v>
      </c>
      <c r="E376" s="14">
        <f>Data!T376</f>
        <v>0</v>
      </c>
    </row>
    <row r="377" spans="2:5" ht="15" customHeight="1" x14ac:dyDescent="0.3">
      <c r="C377" s="3"/>
      <c r="D377" s="8">
        <v>2015</v>
      </c>
      <c r="E377" s="14">
        <f>Data!T377</f>
        <v>0</v>
      </c>
    </row>
    <row r="378" spans="2:5" ht="15" customHeight="1" x14ac:dyDescent="0.3">
      <c r="C378" s="3"/>
      <c r="D378" s="8">
        <v>2016</v>
      </c>
      <c r="E378" s="14">
        <f>Data!T378</f>
        <v>0</v>
      </c>
    </row>
    <row r="379" spans="2:5" ht="15" customHeight="1" x14ac:dyDescent="0.3">
      <c r="C379" s="3"/>
      <c r="D379" s="8">
        <v>2017</v>
      </c>
      <c r="E379" s="14">
        <f>Data!T379</f>
        <v>0</v>
      </c>
    </row>
    <row r="380" spans="2:5" ht="15" customHeight="1" x14ac:dyDescent="0.3">
      <c r="C380" s="3"/>
      <c r="D380" s="8">
        <v>2018</v>
      </c>
      <c r="E380" s="14">
        <f>Data!T380</f>
        <v>0</v>
      </c>
    </row>
    <row r="381" spans="2:5" ht="15" customHeight="1" x14ac:dyDescent="0.3">
      <c r="C381" s="3"/>
      <c r="D381" s="8">
        <v>2019</v>
      </c>
      <c r="E381" s="14">
        <f>Data!T381</f>
        <v>0</v>
      </c>
    </row>
    <row r="382" spans="2:5" ht="15" customHeight="1" x14ac:dyDescent="0.3">
      <c r="C382" s="3"/>
      <c r="D382" s="8">
        <v>2020</v>
      </c>
      <c r="E382" s="14">
        <f>Data!T382</f>
        <v>0</v>
      </c>
    </row>
    <row r="383" spans="2:5" ht="15" customHeight="1" x14ac:dyDescent="0.3">
      <c r="C383" s="3"/>
      <c r="D383" s="8">
        <v>2021</v>
      </c>
      <c r="E383" s="14">
        <f>Data!T383</f>
        <v>7</v>
      </c>
    </row>
    <row r="384" spans="2:5" ht="15" customHeight="1" x14ac:dyDescent="0.3">
      <c r="C384" s="3"/>
      <c r="D384" s="8">
        <v>2022</v>
      </c>
      <c r="E384" s="14">
        <f>Data!T384</f>
        <v>7</v>
      </c>
    </row>
    <row r="385" spans="2:5" ht="15" customHeight="1" x14ac:dyDescent="0.3">
      <c r="C385" s="3"/>
      <c r="D385" s="8">
        <v>2023</v>
      </c>
      <c r="E385" s="14">
        <f>Data!T385</f>
        <v>7</v>
      </c>
    </row>
    <row r="386" spans="2:5" ht="15" customHeight="1" x14ac:dyDescent="0.3">
      <c r="C386" s="3"/>
      <c r="D386" s="8">
        <v>2024</v>
      </c>
      <c r="E386" s="14">
        <f>Data!T386</f>
        <v>7</v>
      </c>
    </row>
    <row r="387" spans="2:5" ht="15" customHeight="1" x14ac:dyDescent="0.3">
      <c r="B387" s="8">
        <v>36</v>
      </c>
      <c r="C387" s="4" t="s">
        <v>54</v>
      </c>
      <c r="D387" s="8">
        <v>2014</v>
      </c>
      <c r="E387" s="14">
        <f>Data!T387</f>
        <v>0</v>
      </c>
    </row>
    <row r="388" spans="2:5" ht="15" customHeight="1" x14ac:dyDescent="0.3">
      <c r="C388" s="4"/>
      <c r="D388" s="8">
        <v>2015</v>
      </c>
      <c r="E388" s="14">
        <f>Data!T388</f>
        <v>0</v>
      </c>
    </row>
    <row r="389" spans="2:5" ht="15" customHeight="1" x14ac:dyDescent="0.3">
      <c r="C389" s="4"/>
      <c r="D389" s="8">
        <v>2016</v>
      </c>
      <c r="E389" s="14">
        <f>Data!T389</f>
        <v>0</v>
      </c>
    </row>
    <row r="390" spans="2:5" ht="15" customHeight="1" x14ac:dyDescent="0.3">
      <c r="C390" s="4"/>
      <c r="D390" s="8">
        <v>2017</v>
      </c>
      <c r="E390" s="14">
        <f>Data!T390</f>
        <v>6</v>
      </c>
    </row>
    <row r="391" spans="2:5" ht="15" customHeight="1" x14ac:dyDescent="0.3">
      <c r="C391" s="4"/>
      <c r="D391" s="8">
        <v>2018</v>
      </c>
      <c r="E391" s="14">
        <f>Data!T391</f>
        <v>6</v>
      </c>
    </row>
    <row r="392" spans="2:5" ht="15" customHeight="1" x14ac:dyDescent="0.3">
      <c r="C392" s="4"/>
      <c r="D392" s="8">
        <v>2019</v>
      </c>
      <c r="E392" s="14">
        <f>Data!T392</f>
        <v>6</v>
      </c>
    </row>
    <row r="393" spans="2:5" ht="15" customHeight="1" x14ac:dyDescent="0.3">
      <c r="C393" s="4"/>
      <c r="D393" s="8">
        <v>2020</v>
      </c>
      <c r="E393" s="14">
        <f>Data!T393</f>
        <v>6</v>
      </c>
    </row>
    <row r="394" spans="2:5" ht="15" customHeight="1" x14ac:dyDescent="0.3">
      <c r="C394" s="4"/>
      <c r="D394" s="8">
        <v>2021</v>
      </c>
      <c r="E394" s="14">
        <f>Data!T394</f>
        <v>6</v>
      </c>
    </row>
    <row r="395" spans="2:5" ht="15" customHeight="1" x14ac:dyDescent="0.3">
      <c r="C395" s="4"/>
      <c r="D395" s="8">
        <v>2022</v>
      </c>
      <c r="E395" s="14">
        <f>Data!T395</f>
        <v>6</v>
      </c>
    </row>
    <row r="396" spans="2:5" ht="15" customHeight="1" x14ac:dyDescent="0.3">
      <c r="C396" s="4"/>
      <c r="D396" s="8">
        <v>2023</v>
      </c>
      <c r="E396" s="14">
        <f>Data!T396</f>
        <v>6</v>
      </c>
    </row>
    <row r="397" spans="2:5" ht="15" customHeight="1" x14ac:dyDescent="0.3">
      <c r="C397" s="4"/>
      <c r="D397" s="8">
        <v>2024</v>
      </c>
      <c r="E397" s="14">
        <f>Data!T397</f>
        <v>0</v>
      </c>
    </row>
    <row r="398" spans="2:5" ht="15" customHeight="1" x14ac:dyDescent="0.3">
      <c r="B398" s="8">
        <v>37</v>
      </c>
      <c r="C398" s="3" t="s">
        <v>10</v>
      </c>
      <c r="D398" s="8">
        <v>2014</v>
      </c>
      <c r="E398" s="14">
        <f>Data!T398</f>
        <v>0</v>
      </c>
    </row>
    <row r="399" spans="2:5" ht="15" customHeight="1" x14ac:dyDescent="0.3">
      <c r="C399" s="3"/>
      <c r="D399" s="8">
        <v>2015</v>
      </c>
      <c r="E399" s="14">
        <f>Data!T399</f>
        <v>0</v>
      </c>
    </row>
    <row r="400" spans="2:5" ht="15" customHeight="1" x14ac:dyDescent="0.3">
      <c r="C400" s="3"/>
      <c r="D400" s="8">
        <v>2016</v>
      </c>
      <c r="E400" s="14">
        <f>Data!T400</f>
        <v>0</v>
      </c>
    </row>
    <row r="401" spans="2:5" ht="15" customHeight="1" x14ac:dyDescent="0.3">
      <c r="C401" s="3"/>
      <c r="D401" s="8">
        <v>2017</v>
      </c>
      <c r="E401" s="14">
        <f>Data!T401</f>
        <v>0</v>
      </c>
    </row>
    <row r="402" spans="2:5" ht="15" customHeight="1" x14ac:dyDescent="0.3">
      <c r="C402" s="3"/>
      <c r="D402" s="8">
        <v>2018</v>
      </c>
      <c r="E402" s="14">
        <f>Data!T402</f>
        <v>7</v>
      </c>
    </row>
    <row r="403" spans="2:5" ht="15" customHeight="1" x14ac:dyDescent="0.3">
      <c r="C403" s="3"/>
      <c r="D403" s="8">
        <v>2019</v>
      </c>
      <c r="E403" s="14">
        <f>Data!T403</f>
        <v>6</v>
      </c>
    </row>
    <row r="404" spans="2:5" ht="15" customHeight="1" x14ac:dyDescent="0.3">
      <c r="C404" s="3"/>
      <c r="D404" s="8">
        <v>2020</v>
      </c>
      <c r="E404" s="14">
        <f>Data!T404</f>
        <v>0</v>
      </c>
    </row>
    <row r="405" spans="2:5" ht="15" customHeight="1" x14ac:dyDescent="0.3">
      <c r="C405" s="3"/>
      <c r="D405" s="8">
        <v>2021</v>
      </c>
      <c r="E405" s="14">
        <f>Data!T405</f>
        <v>6</v>
      </c>
    </row>
    <row r="406" spans="2:5" ht="15" customHeight="1" x14ac:dyDescent="0.3">
      <c r="C406" s="3"/>
      <c r="D406" s="8">
        <v>2022</v>
      </c>
      <c r="E406" s="14">
        <f>Data!T406</f>
        <v>6</v>
      </c>
    </row>
    <row r="407" spans="2:5" ht="15" customHeight="1" x14ac:dyDescent="0.3">
      <c r="C407" s="3"/>
      <c r="D407" s="8">
        <v>2023</v>
      </c>
      <c r="E407" s="14">
        <f>Data!T407</f>
        <v>7</v>
      </c>
    </row>
    <row r="408" spans="2:5" ht="15" customHeight="1" x14ac:dyDescent="0.3">
      <c r="C408" s="3"/>
      <c r="D408" s="8">
        <v>2024</v>
      </c>
      <c r="E408" s="14">
        <f>Data!T408</f>
        <v>7</v>
      </c>
    </row>
    <row r="409" spans="2:5" ht="15" customHeight="1" x14ac:dyDescent="0.3">
      <c r="B409" s="8">
        <v>38</v>
      </c>
      <c r="C409" s="3" t="s">
        <v>32</v>
      </c>
      <c r="D409" s="8">
        <v>2014</v>
      </c>
      <c r="E409" s="14">
        <f>Data!T409</f>
        <v>0</v>
      </c>
    </row>
    <row r="410" spans="2:5" ht="15" customHeight="1" x14ac:dyDescent="0.3">
      <c r="C410" s="3"/>
      <c r="D410" s="8">
        <v>2015</v>
      </c>
      <c r="E410" s="14">
        <f>Data!T410</f>
        <v>0</v>
      </c>
    </row>
    <row r="411" spans="2:5" ht="15" customHeight="1" x14ac:dyDescent="0.3">
      <c r="C411" s="3"/>
      <c r="D411" s="8">
        <v>2016</v>
      </c>
      <c r="E411" s="14">
        <f>Data!T411</f>
        <v>0</v>
      </c>
    </row>
    <row r="412" spans="2:5" ht="15" customHeight="1" x14ac:dyDescent="0.3">
      <c r="C412" s="3"/>
      <c r="D412" s="8">
        <v>2017</v>
      </c>
      <c r="E412" s="14">
        <f>Data!T412</f>
        <v>0</v>
      </c>
    </row>
    <row r="413" spans="2:5" ht="15" customHeight="1" x14ac:dyDescent="0.3">
      <c r="C413" s="3"/>
      <c r="D413" s="8">
        <v>2018</v>
      </c>
      <c r="E413" s="14">
        <f>Data!T413</f>
        <v>8</v>
      </c>
    </row>
    <row r="414" spans="2:5" ht="15" customHeight="1" x14ac:dyDescent="0.3">
      <c r="C414" s="3"/>
      <c r="D414" s="8">
        <v>2019</v>
      </c>
      <c r="E414" s="14">
        <f>Data!T414</f>
        <v>7</v>
      </c>
    </row>
    <row r="415" spans="2:5" ht="15" customHeight="1" x14ac:dyDescent="0.3">
      <c r="C415" s="3"/>
      <c r="D415" s="8">
        <v>2020</v>
      </c>
      <c r="E415" s="14">
        <f>Data!T415</f>
        <v>7</v>
      </c>
    </row>
    <row r="416" spans="2:5" ht="15" customHeight="1" x14ac:dyDescent="0.3">
      <c r="C416" s="3"/>
      <c r="D416" s="8">
        <v>2021</v>
      </c>
      <c r="E416" s="14">
        <f>Data!T416</f>
        <v>8</v>
      </c>
    </row>
    <row r="417" spans="2:5" ht="15" customHeight="1" x14ac:dyDescent="0.3">
      <c r="C417" s="3"/>
      <c r="D417" s="8">
        <v>2022</v>
      </c>
      <c r="E417" s="14">
        <f>Data!T417</f>
        <v>9</v>
      </c>
    </row>
    <row r="418" spans="2:5" ht="15" customHeight="1" x14ac:dyDescent="0.3">
      <c r="C418" s="3"/>
      <c r="D418" s="8">
        <v>2023</v>
      </c>
      <c r="E418" s="14">
        <f>Data!T418</f>
        <v>7</v>
      </c>
    </row>
    <row r="419" spans="2:5" ht="15" customHeight="1" x14ac:dyDescent="0.3">
      <c r="C419" s="3"/>
      <c r="D419" s="8">
        <v>2024</v>
      </c>
      <c r="E419" s="14">
        <f>Data!T419</f>
        <v>8</v>
      </c>
    </row>
    <row r="420" spans="2:5" ht="15" customHeight="1" x14ac:dyDescent="0.3">
      <c r="B420" s="8">
        <v>39</v>
      </c>
      <c r="C420" s="3" t="s">
        <v>33</v>
      </c>
      <c r="D420" s="8">
        <v>2014</v>
      </c>
      <c r="E420" s="14">
        <f>Data!T420</f>
        <v>0</v>
      </c>
    </row>
    <row r="421" spans="2:5" ht="15" customHeight="1" x14ac:dyDescent="0.3">
      <c r="C421" s="3"/>
      <c r="D421" s="8">
        <v>2015</v>
      </c>
      <c r="E421" s="14">
        <f>Data!T421</f>
        <v>7</v>
      </c>
    </row>
    <row r="422" spans="2:5" ht="15" customHeight="1" x14ac:dyDescent="0.3">
      <c r="C422" s="3"/>
      <c r="D422" s="8">
        <v>2016</v>
      </c>
      <c r="E422" s="14">
        <f>Data!T422</f>
        <v>8</v>
      </c>
    </row>
    <row r="423" spans="2:5" ht="15" customHeight="1" x14ac:dyDescent="0.3">
      <c r="C423" s="3"/>
      <c r="D423" s="8">
        <v>2017</v>
      </c>
      <c r="E423" s="14">
        <f>Data!T423</f>
        <v>9</v>
      </c>
    </row>
    <row r="424" spans="2:5" ht="15" customHeight="1" x14ac:dyDescent="0.3">
      <c r="C424" s="3"/>
      <c r="D424" s="8">
        <v>2018</v>
      </c>
      <c r="E424" s="14">
        <f>Data!T424</f>
        <v>8</v>
      </c>
    </row>
    <row r="425" spans="2:5" ht="15" customHeight="1" x14ac:dyDescent="0.3">
      <c r="C425" s="3"/>
      <c r="D425" s="8">
        <v>2019</v>
      </c>
      <c r="E425" s="14">
        <f>Data!T425</f>
        <v>7</v>
      </c>
    </row>
    <row r="426" spans="2:5" ht="15" customHeight="1" x14ac:dyDescent="0.3">
      <c r="C426" s="3"/>
      <c r="D426" s="8">
        <v>2020</v>
      </c>
      <c r="E426" s="14">
        <f>Data!T426</f>
        <v>6</v>
      </c>
    </row>
    <row r="427" spans="2:5" ht="15" customHeight="1" x14ac:dyDescent="0.3">
      <c r="C427" s="3"/>
      <c r="D427" s="8">
        <v>2021</v>
      </c>
      <c r="E427" s="14">
        <f>Data!T427</f>
        <v>4</v>
      </c>
    </row>
    <row r="428" spans="2:5" ht="15" customHeight="1" x14ac:dyDescent="0.3">
      <c r="C428" s="3"/>
      <c r="D428" s="8">
        <v>2022</v>
      </c>
      <c r="E428" s="14">
        <f>Data!T428</f>
        <v>7</v>
      </c>
    </row>
    <row r="429" spans="2:5" ht="15" customHeight="1" x14ac:dyDescent="0.3">
      <c r="C429" s="3"/>
      <c r="D429" s="8">
        <v>2023</v>
      </c>
      <c r="E429" s="14">
        <f>Data!T429</f>
        <v>10</v>
      </c>
    </row>
    <row r="430" spans="2:5" ht="15" customHeight="1" x14ac:dyDescent="0.3">
      <c r="C430" s="3"/>
      <c r="D430" s="8">
        <v>2024</v>
      </c>
      <c r="E430" s="14">
        <f>Data!T430</f>
        <v>9</v>
      </c>
    </row>
    <row r="431" spans="2:5" ht="15" customHeight="1" x14ac:dyDescent="0.3">
      <c r="B431" s="8">
        <v>40</v>
      </c>
      <c r="C431" s="3" t="s">
        <v>12</v>
      </c>
      <c r="D431" s="8">
        <v>2014</v>
      </c>
      <c r="E431" s="14">
        <f>Data!T431</f>
        <v>0</v>
      </c>
    </row>
    <row r="432" spans="2:5" ht="15" customHeight="1" x14ac:dyDescent="0.3">
      <c r="C432" s="3"/>
      <c r="D432" s="8">
        <v>2015</v>
      </c>
      <c r="E432" s="14">
        <f>Data!T432</f>
        <v>0</v>
      </c>
    </row>
    <row r="433" spans="2:5" ht="15" customHeight="1" x14ac:dyDescent="0.3">
      <c r="C433" s="3"/>
      <c r="D433" s="8">
        <v>2016</v>
      </c>
      <c r="E433" s="14">
        <f>Data!T433</f>
        <v>0</v>
      </c>
    </row>
    <row r="434" spans="2:5" ht="15" customHeight="1" x14ac:dyDescent="0.3">
      <c r="C434" s="3"/>
      <c r="D434" s="8">
        <v>2017</v>
      </c>
      <c r="E434" s="14">
        <f>Data!T434</f>
        <v>0</v>
      </c>
    </row>
    <row r="435" spans="2:5" ht="15" customHeight="1" x14ac:dyDescent="0.3">
      <c r="C435" s="3"/>
      <c r="D435" s="8">
        <v>2018</v>
      </c>
      <c r="E435" s="14">
        <f>Data!T435</f>
        <v>0</v>
      </c>
    </row>
    <row r="436" spans="2:5" ht="15" customHeight="1" x14ac:dyDescent="0.3">
      <c r="C436" s="3"/>
      <c r="D436" s="8">
        <v>2019</v>
      </c>
      <c r="E436" s="14">
        <f>Data!T436</f>
        <v>9</v>
      </c>
    </row>
    <row r="437" spans="2:5" ht="15" customHeight="1" x14ac:dyDescent="0.3">
      <c r="C437" s="3"/>
      <c r="D437" s="8">
        <v>2020</v>
      </c>
      <c r="E437" s="14">
        <f>Data!T437</f>
        <v>10</v>
      </c>
    </row>
    <row r="438" spans="2:5" ht="15" customHeight="1" x14ac:dyDescent="0.3">
      <c r="C438" s="3"/>
      <c r="D438" s="8">
        <v>2021</v>
      </c>
      <c r="E438" s="14">
        <f>Data!T438</f>
        <v>10</v>
      </c>
    </row>
    <row r="439" spans="2:5" ht="15" customHeight="1" x14ac:dyDescent="0.3">
      <c r="C439" s="3"/>
      <c r="D439" s="8">
        <v>2022</v>
      </c>
      <c r="E439" s="14">
        <f>Data!T439</f>
        <v>10</v>
      </c>
    </row>
    <row r="440" spans="2:5" ht="15" customHeight="1" x14ac:dyDescent="0.3">
      <c r="C440" s="3"/>
      <c r="D440" s="8">
        <v>2023</v>
      </c>
      <c r="E440" s="14">
        <f>Data!T440</f>
        <v>10</v>
      </c>
    </row>
    <row r="441" spans="2:5" ht="15" customHeight="1" x14ac:dyDescent="0.3">
      <c r="C441" s="3"/>
      <c r="D441" s="8">
        <v>2024</v>
      </c>
      <c r="E441" s="14">
        <f>Data!T441</f>
        <v>10</v>
      </c>
    </row>
    <row r="442" spans="2:5" ht="15" customHeight="1" x14ac:dyDescent="0.3">
      <c r="B442" s="8">
        <v>41</v>
      </c>
      <c r="C442" s="3" t="s">
        <v>34</v>
      </c>
      <c r="D442" s="8">
        <v>2014</v>
      </c>
      <c r="E442" s="14">
        <f>Data!T442</f>
        <v>0</v>
      </c>
    </row>
    <row r="443" spans="2:5" ht="15" customHeight="1" x14ac:dyDescent="0.3">
      <c r="C443" s="3"/>
      <c r="D443" s="8">
        <v>2015</v>
      </c>
      <c r="E443" s="14">
        <f>Data!T443</f>
        <v>0</v>
      </c>
    </row>
    <row r="444" spans="2:5" ht="15" customHeight="1" x14ac:dyDescent="0.3">
      <c r="C444" s="3"/>
      <c r="D444" s="8">
        <v>2016</v>
      </c>
      <c r="E444" s="14">
        <f>Data!T444</f>
        <v>0</v>
      </c>
    </row>
    <row r="445" spans="2:5" ht="15" customHeight="1" x14ac:dyDescent="0.3">
      <c r="C445" s="3"/>
      <c r="D445" s="8">
        <v>2017</v>
      </c>
      <c r="E445" s="14">
        <f>Data!T445</f>
        <v>0</v>
      </c>
    </row>
    <row r="446" spans="2:5" ht="15" customHeight="1" x14ac:dyDescent="0.3">
      <c r="C446" s="3"/>
      <c r="D446" s="8">
        <v>2018</v>
      </c>
      <c r="E446" s="14">
        <f>Data!T446</f>
        <v>0</v>
      </c>
    </row>
    <row r="447" spans="2:5" ht="15" customHeight="1" x14ac:dyDescent="0.3">
      <c r="C447" s="3"/>
      <c r="D447" s="8">
        <v>2019</v>
      </c>
      <c r="E447" s="14">
        <f>Data!T447</f>
        <v>10</v>
      </c>
    </row>
    <row r="448" spans="2:5" ht="15" customHeight="1" x14ac:dyDescent="0.3">
      <c r="C448" s="3"/>
      <c r="D448" s="8">
        <v>2020</v>
      </c>
      <c r="E448" s="14">
        <f>Data!T448</f>
        <v>11</v>
      </c>
    </row>
    <row r="449" spans="2:5" ht="15" customHeight="1" x14ac:dyDescent="0.3">
      <c r="C449" s="3"/>
      <c r="D449" s="8">
        <v>2021</v>
      </c>
      <c r="E449" s="14">
        <f>Data!T449</f>
        <v>10</v>
      </c>
    </row>
    <row r="450" spans="2:5" ht="15" customHeight="1" x14ac:dyDescent="0.3">
      <c r="C450" s="3"/>
      <c r="D450" s="8">
        <v>2022</v>
      </c>
      <c r="E450" s="14">
        <f>Data!T450</f>
        <v>12</v>
      </c>
    </row>
    <row r="451" spans="2:5" ht="15" customHeight="1" x14ac:dyDescent="0.3">
      <c r="C451" s="3"/>
      <c r="D451" s="8">
        <v>2023</v>
      </c>
      <c r="E451" s="14">
        <f>Data!T451</f>
        <v>10</v>
      </c>
    </row>
    <row r="452" spans="2:5" ht="15" customHeight="1" x14ac:dyDescent="0.3">
      <c r="C452" s="3"/>
      <c r="D452" s="8">
        <v>2024</v>
      </c>
      <c r="E452" s="14">
        <f>Data!T452</f>
        <v>10</v>
      </c>
    </row>
    <row r="453" spans="2:5" ht="15" customHeight="1" x14ac:dyDescent="0.3">
      <c r="B453" s="8">
        <v>42</v>
      </c>
      <c r="C453" s="3" t="s">
        <v>14</v>
      </c>
      <c r="D453" s="8">
        <v>2014</v>
      </c>
      <c r="E453" s="14">
        <f>Data!T453</f>
        <v>0</v>
      </c>
    </row>
    <row r="454" spans="2:5" ht="15" customHeight="1" x14ac:dyDescent="0.3">
      <c r="C454" s="3"/>
      <c r="D454" s="8">
        <v>2015</v>
      </c>
      <c r="E454" s="14">
        <f>Data!T454</f>
        <v>8</v>
      </c>
    </row>
    <row r="455" spans="2:5" ht="15" customHeight="1" x14ac:dyDescent="0.3">
      <c r="C455" s="3"/>
      <c r="D455" s="8">
        <v>2016</v>
      </c>
      <c r="E455" s="14">
        <f>Data!T455</f>
        <v>8</v>
      </c>
    </row>
    <row r="456" spans="2:5" ht="15" customHeight="1" x14ac:dyDescent="0.3">
      <c r="C456" s="3"/>
      <c r="D456" s="8">
        <v>2017</v>
      </c>
      <c r="E456" s="14">
        <f>Data!T456</f>
        <v>8</v>
      </c>
    </row>
    <row r="457" spans="2:5" ht="15" customHeight="1" x14ac:dyDescent="0.3">
      <c r="C457" s="3"/>
      <c r="D457" s="8">
        <v>2018</v>
      </c>
      <c r="E457" s="14">
        <f>Data!T457</f>
        <v>8</v>
      </c>
    </row>
    <row r="458" spans="2:5" ht="15" customHeight="1" x14ac:dyDescent="0.3">
      <c r="C458" s="3"/>
      <c r="D458" s="8">
        <v>2019</v>
      </c>
      <c r="E458" s="14">
        <f>Data!T458</f>
        <v>8</v>
      </c>
    </row>
    <row r="459" spans="2:5" ht="15" customHeight="1" x14ac:dyDescent="0.3">
      <c r="C459" s="3"/>
      <c r="D459" s="8">
        <v>2020</v>
      </c>
      <c r="E459" s="14">
        <f>Data!T459</f>
        <v>8</v>
      </c>
    </row>
    <row r="460" spans="2:5" ht="15" customHeight="1" x14ac:dyDescent="0.3">
      <c r="C460" s="3"/>
      <c r="D460" s="8">
        <v>2021</v>
      </c>
      <c r="E460" s="14">
        <f>Data!T460</f>
        <v>9</v>
      </c>
    </row>
    <row r="461" spans="2:5" ht="15" customHeight="1" x14ac:dyDescent="0.3">
      <c r="C461" s="3"/>
      <c r="D461" s="8">
        <v>2022</v>
      </c>
      <c r="E461" s="14">
        <f>Data!T461</f>
        <v>8</v>
      </c>
    </row>
    <row r="462" spans="2:5" ht="15" customHeight="1" x14ac:dyDescent="0.3">
      <c r="C462" s="3"/>
      <c r="D462" s="8">
        <v>2023</v>
      </c>
      <c r="E462" s="14">
        <f>Data!T462</f>
        <v>7</v>
      </c>
    </row>
    <row r="463" spans="2:5" ht="15" customHeight="1" x14ac:dyDescent="0.3">
      <c r="C463" s="3"/>
      <c r="D463" s="8">
        <v>2024</v>
      </c>
      <c r="E463" s="14">
        <f>Data!T463</f>
        <v>8</v>
      </c>
    </row>
    <row r="464" spans="2:5" ht="15" customHeight="1" x14ac:dyDescent="0.3">
      <c r="B464" s="8">
        <v>43</v>
      </c>
      <c r="C464" s="3" t="s">
        <v>15</v>
      </c>
      <c r="D464" s="8">
        <v>2014</v>
      </c>
      <c r="E464" s="14">
        <f>Data!T464</f>
        <v>0</v>
      </c>
    </row>
    <row r="465" spans="2:5" ht="15" customHeight="1" x14ac:dyDescent="0.3">
      <c r="C465" s="3"/>
      <c r="D465" s="8">
        <v>2015</v>
      </c>
      <c r="E465" s="14">
        <f>Data!T465</f>
        <v>7</v>
      </c>
    </row>
    <row r="466" spans="2:5" ht="15" customHeight="1" x14ac:dyDescent="0.3">
      <c r="C466" s="3"/>
      <c r="D466" s="8">
        <v>2016</v>
      </c>
      <c r="E466" s="14">
        <f>Data!T466</f>
        <v>7</v>
      </c>
    </row>
    <row r="467" spans="2:5" ht="15" customHeight="1" x14ac:dyDescent="0.3">
      <c r="C467" s="3"/>
      <c r="D467" s="8">
        <v>2017</v>
      </c>
      <c r="E467" s="14">
        <f>Data!T467</f>
        <v>6</v>
      </c>
    </row>
    <row r="468" spans="2:5" ht="15" customHeight="1" x14ac:dyDescent="0.3">
      <c r="C468" s="3"/>
      <c r="D468" s="8">
        <v>2018</v>
      </c>
      <c r="E468" s="14">
        <f>Data!T468</f>
        <v>6</v>
      </c>
    </row>
    <row r="469" spans="2:5" ht="15" customHeight="1" x14ac:dyDescent="0.3">
      <c r="C469" s="3"/>
      <c r="D469" s="8">
        <v>2019</v>
      </c>
      <c r="E469" s="14">
        <f>Data!T469</f>
        <v>6</v>
      </c>
    </row>
    <row r="470" spans="2:5" ht="15" customHeight="1" x14ac:dyDescent="0.3">
      <c r="C470" s="3"/>
      <c r="D470" s="8">
        <v>2020</v>
      </c>
      <c r="E470" s="14">
        <f>Data!T470</f>
        <v>7</v>
      </c>
    </row>
    <row r="471" spans="2:5" ht="15" customHeight="1" x14ac:dyDescent="0.3">
      <c r="C471" s="3"/>
      <c r="D471" s="8">
        <v>2021</v>
      </c>
      <c r="E471" s="14">
        <f>Data!T471</f>
        <v>7</v>
      </c>
    </row>
    <row r="472" spans="2:5" ht="15" customHeight="1" x14ac:dyDescent="0.3">
      <c r="C472" s="3"/>
      <c r="D472" s="8">
        <v>2022</v>
      </c>
      <c r="E472" s="14">
        <f>Data!T472</f>
        <v>7</v>
      </c>
    </row>
    <row r="473" spans="2:5" ht="15" customHeight="1" x14ac:dyDescent="0.3">
      <c r="C473" s="3"/>
      <c r="D473" s="8">
        <v>2023</v>
      </c>
      <c r="E473" s="14">
        <f>Data!T473</f>
        <v>7</v>
      </c>
    </row>
    <row r="474" spans="2:5" ht="15" customHeight="1" x14ac:dyDescent="0.3">
      <c r="C474" s="3"/>
      <c r="D474" s="8">
        <v>2024</v>
      </c>
      <c r="E474" s="14">
        <f>Data!T474</f>
        <v>7</v>
      </c>
    </row>
    <row r="475" spans="2:5" ht="15" customHeight="1" x14ac:dyDescent="0.3">
      <c r="B475" s="8">
        <v>44</v>
      </c>
      <c r="C475" s="3" t="s">
        <v>35</v>
      </c>
      <c r="D475" s="8">
        <v>2014</v>
      </c>
      <c r="E475" s="14">
        <f>Data!T475</f>
        <v>0</v>
      </c>
    </row>
    <row r="476" spans="2:5" ht="15" customHeight="1" x14ac:dyDescent="0.3">
      <c r="C476" s="3"/>
      <c r="D476" s="8">
        <v>2015</v>
      </c>
      <c r="E476" s="14">
        <f>Data!T476</f>
        <v>9</v>
      </c>
    </row>
    <row r="477" spans="2:5" ht="15" customHeight="1" x14ac:dyDescent="0.3">
      <c r="C477" s="3"/>
      <c r="D477" s="8">
        <v>2016</v>
      </c>
      <c r="E477" s="14">
        <f>Data!T477</f>
        <v>10</v>
      </c>
    </row>
    <row r="478" spans="2:5" ht="15" customHeight="1" x14ac:dyDescent="0.3">
      <c r="C478" s="3"/>
      <c r="D478" s="8">
        <v>2017</v>
      </c>
      <c r="E478" s="14">
        <f>Data!T478</f>
        <v>8</v>
      </c>
    </row>
    <row r="479" spans="2:5" ht="15" customHeight="1" x14ac:dyDescent="0.3">
      <c r="C479" s="3"/>
      <c r="D479" s="8">
        <v>2018</v>
      </c>
      <c r="E479" s="14">
        <f>Data!T479</f>
        <v>9</v>
      </c>
    </row>
    <row r="480" spans="2:5" ht="15" customHeight="1" x14ac:dyDescent="0.3">
      <c r="C480" s="3"/>
      <c r="D480" s="8">
        <v>2019</v>
      </c>
      <c r="E480" s="14">
        <f>Data!T480</f>
        <v>6</v>
      </c>
    </row>
    <row r="481" spans="2:5" ht="15" customHeight="1" x14ac:dyDescent="0.3">
      <c r="C481" s="3"/>
      <c r="D481" s="8">
        <v>2020</v>
      </c>
      <c r="E481" s="14">
        <f>Data!T481</f>
        <v>6</v>
      </c>
    </row>
    <row r="482" spans="2:5" ht="15" customHeight="1" x14ac:dyDescent="0.3">
      <c r="C482" s="3"/>
      <c r="D482" s="8">
        <v>2021</v>
      </c>
      <c r="E482" s="14">
        <f>Data!T482</f>
        <v>6</v>
      </c>
    </row>
    <row r="483" spans="2:5" ht="15" customHeight="1" x14ac:dyDescent="0.3">
      <c r="C483" s="3"/>
      <c r="D483" s="8">
        <v>2022</v>
      </c>
      <c r="E483" s="14">
        <f>Data!T483</f>
        <v>6</v>
      </c>
    </row>
    <row r="484" spans="2:5" ht="15" customHeight="1" x14ac:dyDescent="0.3">
      <c r="C484" s="3"/>
      <c r="D484" s="8">
        <v>2023</v>
      </c>
      <c r="E484" s="14">
        <f>Data!T484</f>
        <v>6</v>
      </c>
    </row>
    <row r="485" spans="2:5" ht="15" customHeight="1" x14ac:dyDescent="0.3">
      <c r="C485" s="3"/>
      <c r="D485" s="8">
        <v>2024</v>
      </c>
      <c r="E485" s="14">
        <f>Data!T485</f>
        <v>6</v>
      </c>
    </row>
    <row r="486" spans="2:5" ht="15" customHeight="1" x14ac:dyDescent="0.3">
      <c r="B486" s="8">
        <v>45</v>
      </c>
      <c r="C486" s="3" t="s">
        <v>36</v>
      </c>
      <c r="D486" s="8">
        <v>2014</v>
      </c>
      <c r="E486" s="14">
        <f>Data!T486</f>
        <v>0</v>
      </c>
    </row>
    <row r="487" spans="2:5" ht="15" customHeight="1" x14ac:dyDescent="0.3">
      <c r="C487" s="3"/>
      <c r="D487" s="8">
        <v>2015</v>
      </c>
      <c r="E487" s="14">
        <f>Data!T487</f>
        <v>0</v>
      </c>
    </row>
    <row r="488" spans="2:5" ht="15" customHeight="1" x14ac:dyDescent="0.3">
      <c r="C488" s="3"/>
      <c r="D488" s="8">
        <v>2016</v>
      </c>
      <c r="E488" s="14">
        <f>Data!T488</f>
        <v>0</v>
      </c>
    </row>
    <row r="489" spans="2:5" ht="15" customHeight="1" x14ac:dyDescent="0.3">
      <c r="C489" s="3"/>
      <c r="D489" s="8">
        <v>2017</v>
      </c>
      <c r="E489" s="14">
        <f>Data!T489</f>
        <v>0</v>
      </c>
    </row>
    <row r="490" spans="2:5" ht="15" customHeight="1" x14ac:dyDescent="0.3">
      <c r="C490" s="3"/>
      <c r="D490" s="8">
        <v>2018</v>
      </c>
      <c r="E490" s="14">
        <f>Data!T490</f>
        <v>0</v>
      </c>
    </row>
    <row r="491" spans="2:5" ht="15" customHeight="1" x14ac:dyDescent="0.3">
      <c r="C491" s="3"/>
      <c r="D491" s="8">
        <v>2019</v>
      </c>
      <c r="E491" s="14">
        <f>Data!T491</f>
        <v>7</v>
      </c>
    </row>
    <row r="492" spans="2:5" ht="15" customHeight="1" x14ac:dyDescent="0.3">
      <c r="C492" s="3"/>
      <c r="D492" s="8">
        <v>2020</v>
      </c>
      <c r="E492" s="14">
        <f>Data!T492</f>
        <v>6</v>
      </c>
    </row>
    <row r="493" spans="2:5" ht="15" customHeight="1" x14ac:dyDescent="0.3">
      <c r="C493" s="3"/>
      <c r="D493" s="8">
        <v>2021</v>
      </c>
      <c r="E493" s="14">
        <f>Data!T493</f>
        <v>6</v>
      </c>
    </row>
    <row r="494" spans="2:5" ht="15" customHeight="1" x14ac:dyDescent="0.3">
      <c r="C494" s="3"/>
      <c r="D494" s="8">
        <v>2022</v>
      </c>
      <c r="E494" s="14">
        <f>Data!T494</f>
        <v>6</v>
      </c>
    </row>
    <row r="495" spans="2:5" ht="15" customHeight="1" x14ac:dyDescent="0.3">
      <c r="C495" s="3"/>
      <c r="D495" s="8">
        <v>2023</v>
      </c>
      <c r="E495" s="14">
        <f>Data!T495</f>
        <v>6</v>
      </c>
    </row>
    <row r="496" spans="2:5" ht="15" customHeight="1" x14ac:dyDescent="0.3">
      <c r="C496" s="3"/>
      <c r="D496" s="8">
        <v>2024</v>
      </c>
      <c r="E496" s="14">
        <f>Data!T496</f>
        <v>6</v>
      </c>
    </row>
    <row r="497" spans="2:5" ht="15" customHeight="1" x14ac:dyDescent="0.3">
      <c r="B497" s="8">
        <v>46</v>
      </c>
      <c r="C497" s="3" t="s">
        <v>16</v>
      </c>
      <c r="D497" s="8">
        <v>2014</v>
      </c>
      <c r="E497" s="14">
        <f>Data!T497</f>
        <v>0</v>
      </c>
    </row>
    <row r="498" spans="2:5" ht="15" customHeight="1" x14ac:dyDescent="0.3">
      <c r="C498" s="3"/>
      <c r="D498" s="8">
        <v>2015</v>
      </c>
      <c r="E498" s="14">
        <f>Data!T498</f>
        <v>0</v>
      </c>
    </row>
    <row r="499" spans="2:5" ht="15" customHeight="1" x14ac:dyDescent="0.3">
      <c r="C499" s="3"/>
      <c r="D499" s="8">
        <v>2016</v>
      </c>
      <c r="E499" s="14">
        <f>Data!T499</f>
        <v>0</v>
      </c>
    </row>
    <row r="500" spans="2:5" ht="15" customHeight="1" x14ac:dyDescent="0.3">
      <c r="C500" s="3"/>
      <c r="D500" s="8">
        <v>2017</v>
      </c>
      <c r="E500" s="14">
        <f>Data!T500</f>
        <v>8</v>
      </c>
    </row>
    <row r="501" spans="2:5" ht="15" customHeight="1" x14ac:dyDescent="0.3">
      <c r="C501" s="3"/>
      <c r="D501" s="8">
        <v>2018</v>
      </c>
      <c r="E501" s="14">
        <f>Data!T501</f>
        <v>7</v>
      </c>
    </row>
    <row r="502" spans="2:5" ht="15" customHeight="1" x14ac:dyDescent="0.3">
      <c r="C502" s="3"/>
      <c r="D502" s="8">
        <v>2019</v>
      </c>
      <c r="E502" s="14">
        <f>Data!T502</f>
        <v>7</v>
      </c>
    </row>
    <row r="503" spans="2:5" ht="15" customHeight="1" x14ac:dyDescent="0.3">
      <c r="C503" s="3"/>
      <c r="D503" s="8">
        <v>2020</v>
      </c>
      <c r="E503" s="14">
        <f>Data!T503</f>
        <v>5</v>
      </c>
    </row>
    <row r="504" spans="2:5" ht="15" customHeight="1" x14ac:dyDescent="0.3">
      <c r="C504" s="3"/>
      <c r="D504" s="8">
        <v>2021</v>
      </c>
      <c r="E504" s="14">
        <f>Data!T504</f>
        <v>6</v>
      </c>
    </row>
    <row r="505" spans="2:5" ht="15" customHeight="1" x14ac:dyDescent="0.3">
      <c r="C505" s="3"/>
      <c r="D505" s="8">
        <v>2022</v>
      </c>
      <c r="E505" s="14">
        <f>Data!T505</f>
        <v>6</v>
      </c>
    </row>
    <row r="506" spans="2:5" ht="15" customHeight="1" x14ac:dyDescent="0.3">
      <c r="C506" s="3"/>
      <c r="D506" s="8">
        <v>2023</v>
      </c>
      <c r="E506" s="14">
        <f>Data!T506</f>
        <v>6</v>
      </c>
    </row>
    <row r="507" spans="2:5" ht="15" customHeight="1" x14ac:dyDescent="0.3">
      <c r="C507" s="3"/>
      <c r="D507" s="8">
        <v>2024</v>
      </c>
      <c r="E507" s="14">
        <f>Data!T507</f>
        <v>5</v>
      </c>
    </row>
    <row r="508" spans="2:5" ht="15" customHeight="1" x14ac:dyDescent="0.3">
      <c r="B508" s="8">
        <v>47</v>
      </c>
      <c r="C508" s="3" t="s">
        <v>17</v>
      </c>
      <c r="D508" s="8">
        <v>2014</v>
      </c>
      <c r="E508" s="14">
        <f>Data!T508</f>
        <v>0</v>
      </c>
    </row>
    <row r="509" spans="2:5" ht="15" customHeight="1" x14ac:dyDescent="0.3">
      <c r="C509" s="3"/>
      <c r="D509" s="8">
        <v>2015</v>
      </c>
      <c r="E509" s="14">
        <f>Data!T509</f>
        <v>0</v>
      </c>
    </row>
    <row r="510" spans="2:5" ht="15" customHeight="1" x14ac:dyDescent="0.3">
      <c r="C510" s="3"/>
      <c r="D510" s="8">
        <v>2016</v>
      </c>
      <c r="E510" s="14">
        <f>Data!T510</f>
        <v>0</v>
      </c>
    </row>
    <row r="511" spans="2:5" ht="15" customHeight="1" x14ac:dyDescent="0.3">
      <c r="C511" s="3"/>
      <c r="D511" s="8">
        <v>2017</v>
      </c>
      <c r="E511" s="14">
        <f>Data!T511</f>
        <v>0</v>
      </c>
    </row>
    <row r="512" spans="2:5" ht="15" customHeight="1" x14ac:dyDescent="0.3">
      <c r="C512" s="3"/>
      <c r="D512" s="8">
        <v>2018</v>
      </c>
      <c r="E512" s="14">
        <f>Data!T512</f>
        <v>0</v>
      </c>
    </row>
    <row r="513" spans="2:5" ht="15" customHeight="1" x14ac:dyDescent="0.3">
      <c r="C513" s="3"/>
      <c r="D513" s="8">
        <v>2019</v>
      </c>
      <c r="E513" s="14">
        <f>Data!T513</f>
        <v>0</v>
      </c>
    </row>
    <row r="514" spans="2:5" ht="15" customHeight="1" x14ac:dyDescent="0.3">
      <c r="C514" s="3"/>
      <c r="D514" s="8">
        <v>2020</v>
      </c>
      <c r="E514" s="14">
        <f>Data!T514</f>
        <v>6</v>
      </c>
    </row>
    <row r="515" spans="2:5" ht="15" customHeight="1" x14ac:dyDescent="0.3">
      <c r="C515" s="3"/>
      <c r="D515" s="8">
        <v>2021</v>
      </c>
      <c r="E515" s="14">
        <f>Data!T515</f>
        <v>6</v>
      </c>
    </row>
    <row r="516" spans="2:5" ht="15" customHeight="1" x14ac:dyDescent="0.3">
      <c r="C516" s="3"/>
      <c r="D516" s="8">
        <v>2022</v>
      </c>
      <c r="E516" s="14">
        <f>Data!T516</f>
        <v>6</v>
      </c>
    </row>
    <row r="517" spans="2:5" ht="15" customHeight="1" x14ac:dyDescent="0.3">
      <c r="C517" s="3"/>
      <c r="D517" s="8">
        <v>2023</v>
      </c>
      <c r="E517" s="14">
        <f>Data!T517</f>
        <v>5</v>
      </c>
    </row>
    <row r="518" spans="2:5" ht="15" customHeight="1" x14ac:dyDescent="0.3">
      <c r="C518" s="3"/>
      <c r="D518" s="8">
        <v>2024</v>
      </c>
      <c r="E518" s="14">
        <f>Data!T518</f>
        <v>6</v>
      </c>
    </row>
    <row r="519" spans="2:5" ht="15" customHeight="1" x14ac:dyDescent="0.3">
      <c r="B519" s="8">
        <v>48</v>
      </c>
      <c r="C519" s="3" t="s">
        <v>26</v>
      </c>
      <c r="D519" s="8">
        <v>2014</v>
      </c>
      <c r="E519" s="14">
        <f>Data!T519</f>
        <v>0</v>
      </c>
    </row>
    <row r="520" spans="2:5" ht="15" customHeight="1" x14ac:dyDescent="0.3">
      <c r="C520" s="3"/>
      <c r="D520" s="8">
        <v>2015</v>
      </c>
      <c r="E520" s="14">
        <f>Data!T520</f>
        <v>12</v>
      </c>
    </row>
    <row r="521" spans="2:5" ht="15" customHeight="1" x14ac:dyDescent="0.3">
      <c r="C521" s="3"/>
      <c r="D521" s="8">
        <v>2016</v>
      </c>
      <c r="E521" s="14">
        <f>Data!T521</f>
        <v>9</v>
      </c>
    </row>
    <row r="522" spans="2:5" ht="15" customHeight="1" x14ac:dyDescent="0.3">
      <c r="C522" s="3"/>
      <c r="D522" s="8">
        <v>2017</v>
      </c>
      <c r="E522" s="14">
        <f>Data!T522</f>
        <v>9</v>
      </c>
    </row>
    <row r="523" spans="2:5" ht="15" customHeight="1" x14ac:dyDescent="0.3">
      <c r="C523" s="3"/>
      <c r="D523" s="8">
        <v>2018</v>
      </c>
      <c r="E523" s="14">
        <f>Data!T523</f>
        <v>10</v>
      </c>
    </row>
    <row r="524" spans="2:5" ht="15" customHeight="1" x14ac:dyDescent="0.3">
      <c r="C524" s="3"/>
      <c r="D524" s="8">
        <v>2019</v>
      </c>
      <c r="E524" s="14">
        <f>Data!T524</f>
        <v>10</v>
      </c>
    </row>
    <row r="525" spans="2:5" ht="15" customHeight="1" x14ac:dyDescent="0.3">
      <c r="C525" s="3"/>
      <c r="D525" s="8">
        <v>2020</v>
      </c>
      <c r="E525" s="14">
        <f>Data!T525</f>
        <v>12</v>
      </c>
    </row>
    <row r="526" spans="2:5" ht="15" customHeight="1" x14ac:dyDescent="0.3">
      <c r="C526" s="3"/>
      <c r="D526" s="8">
        <v>2021</v>
      </c>
      <c r="E526" s="14">
        <f>Data!T526</f>
        <v>13</v>
      </c>
    </row>
    <row r="527" spans="2:5" ht="15" customHeight="1" x14ac:dyDescent="0.3">
      <c r="C527" s="3"/>
      <c r="D527" s="8">
        <v>2022</v>
      </c>
      <c r="E527" s="14">
        <f>Data!T527</f>
        <v>12</v>
      </c>
    </row>
    <row r="528" spans="2:5" ht="15" customHeight="1" x14ac:dyDescent="0.3">
      <c r="C528" s="3"/>
      <c r="D528" s="8">
        <v>2023</v>
      </c>
      <c r="E528" s="14">
        <f>Data!T528</f>
        <v>12</v>
      </c>
    </row>
    <row r="529" spans="2:5" ht="15" customHeight="1" x14ac:dyDescent="0.3">
      <c r="C529" s="3"/>
      <c r="D529" s="8">
        <v>2024</v>
      </c>
      <c r="E529" s="14">
        <f>Data!T529</f>
        <v>12</v>
      </c>
    </row>
    <row r="530" spans="2:5" ht="15" customHeight="1" x14ac:dyDescent="0.3">
      <c r="B530" s="8">
        <v>49</v>
      </c>
      <c r="C530" s="3" t="s">
        <v>38</v>
      </c>
      <c r="D530" s="8">
        <v>2014</v>
      </c>
      <c r="E530" s="14">
        <f>Data!T530</f>
        <v>0</v>
      </c>
    </row>
    <row r="531" spans="2:5" ht="15" customHeight="1" x14ac:dyDescent="0.3">
      <c r="C531" s="3"/>
      <c r="D531" s="8">
        <v>2015</v>
      </c>
      <c r="E531" s="14">
        <f>Data!T531</f>
        <v>0</v>
      </c>
    </row>
    <row r="532" spans="2:5" ht="15" customHeight="1" x14ac:dyDescent="0.3">
      <c r="C532" s="3"/>
      <c r="D532" s="8">
        <v>2016</v>
      </c>
      <c r="E532" s="14">
        <f>Data!T532</f>
        <v>0</v>
      </c>
    </row>
    <row r="533" spans="2:5" ht="15" customHeight="1" x14ac:dyDescent="0.3">
      <c r="C533" s="3"/>
      <c r="D533" s="8">
        <v>2017</v>
      </c>
      <c r="E533" s="14">
        <f>Data!T533</f>
        <v>6</v>
      </c>
    </row>
    <row r="534" spans="2:5" ht="15" customHeight="1" x14ac:dyDescent="0.3">
      <c r="C534" s="3"/>
      <c r="D534" s="8">
        <v>2018</v>
      </c>
      <c r="E534" s="14">
        <f>Data!T534</f>
        <v>6</v>
      </c>
    </row>
    <row r="535" spans="2:5" ht="15" customHeight="1" x14ac:dyDescent="0.3">
      <c r="C535" s="3"/>
      <c r="D535" s="8">
        <v>2019</v>
      </c>
      <c r="E535" s="14">
        <f>Data!T535</f>
        <v>6</v>
      </c>
    </row>
    <row r="536" spans="2:5" ht="15" customHeight="1" x14ac:dyDescent="0.3">
      <c r="C536" s="3"/>
      <c r="D536" s="8">
        <v>2020</v>
      </c>
      <c r="E536" s="14">
        <f>Data!T536</f>
        <v>5</v>
      </c>
    </row>
    <row r="537" spans="2:5" ht="15" customHeight="1" x14ac:dyDescent="0.3">
      <c r="C537" s="3"/>
      <c r="D537" s="8">
        <v>2021</v>
      </c>
      <c r="E537" s="14">
        <f>Data!T537</f>
        <v>6</v>
      </c>
    </row>
    <row r="538" spans="2:5" ht="15" customHeight="1" x14ac:dyDescent="0.3">
      <c r="C538" s="3"/>
      <c r="D538" s="8">
        <v>2022</v>
      </c>
      <c r="E538" s="14">
        <f>Data!T538</f>
        <v>6</v>
      </c>
    </row>
    <row r="539" spans="2:5" ht="15" customHeight="1" x14ac:dyDescent="0.3">
      <c r="C539" s="3"/>
      <c r="D539" s="8">
        <v>2023</v>
      </c>
      <c r="E539" s="14">
        <f>Data!T539</f>
        <v>6</v>
      </c>
    </row>
    <row r="540" spans="2:5" ht="15" customHeight="1" x14ac:dyDescent="0.3">
      <c r="C540" s="3"/>
      <c r="D540" s="8">
        <v>2024</v>
      </c>
      <c r="E540" s="14">
        <f>Data!T540</f>
        <v>6</v>
      </c>
    </row>
    <row r="541" spans="2:5" ht="15" customHeight="1" x14ac:dyDescent="0.3">
      <c r="B541" s="8">
        <v>50</v>
      </c>
      <c r="C541" s="3" t="s">
        <v>39</v>
      </c>
      <c r="D541" s="8">
        <v>2014</v>
      </c>
      <c r="E541" s="14">
        <f>Data!T541</f>
        <v>0</v>
      </c>
    </row>
    <row r="542" spans="2:5" ht="15" customHeight="1" x14ac:dyDescent="0.3">
      <c r="C542" s="3"/>
      <c r="D542" s="8">
        <v>2015</v>
      </c>
      <c r="E542" s="14">
        <f>Data!T542</f>
        <v>13</v>
      </c>
    </row>
    <row r="543" spans="2:5" ht="15" customHeight="1" x14ac:dyDescent="0.3">
      <c r="C543" s="3"/>
      <c r="D543" s="8">
        <v>2016</v>
      </c>
      <c r="E543" s="14">
        <f>Data!T543</f>
        <v>13</v>
      </c>
    </row>
    <row r="544" spans="2:5" ht="15" customHeight="1" x14ac:dyDescent="0.3">
      <c r="C544" s="3"/>
      <c r="D544" s="8">
        <v>2017</v>
      </c>
      <c r="E544" s="14">
        <f>Data!T544</f>
        <v>13</v>
      </c>
    </row>
    <row r="545" spans="2:5" ht="15" customHeight="1" x14ac:dyDescent="0.3">
      <c r="C545" s="3"/>
      <c r="D545" s="8">
        <v>2018</v>
      </c>
      <c r="E545" s="14">
        <f>Data!T545</f>
        <v>13</v>
      </c>
    </row>
    <row r="546" spans="2:5" ht="15" customHeight="1" x14ac:dyDescent="0.3">
      <c r="C546" s="3"/>
      <c r="D546" s="8">
        <v>2019</v>
      </c>
      <c r="E546" s="14">
        <f>Data!T546</f>
        <v>13</v>
      </c>
    </row>
    <row r="547" spans="2:5" ht="15" customHeight="1" x14ac:dyDescent="0.3">
      <c r="C547" s="3"/>
      <c r="D547" s="8">
        <v>2020</v>
      </c>
      <c r="E547" s="14">
        <f>Data!T547</f>
        <v>11</v>
      </c>
    </row>
    <row r="548" spans="2:5" ht="15" customHeight="1" x14ac:dyDescent="0.3">
      <c r="C548" s="3"/>
      <c r="D548" s="8">
        <v>2021</v>
      </c>
      <c r="E548" s="14">
        <f>Data!T548</f>
        <v>12</v>
      </c>
    </row>
    <row r="549" spans="2:5" ht="15" customHeight="1" x14ac:dyDescent="0.3">
      <c r="C549" s="3"/>
      <c r="D549" s="8">
        <v>2022</v>
      </c>
      <c r="E549" s="14">
        <f>Data!T549</f>
        <v>12</v>
      </c>
    </row>
    <row r="550" spans="2:5" ht="15" customHeight="1" x14ac:dyDescent="0.3">
      <c r="C550" s="3"/>
      <c r="D550" s="8">
        <v>2023</v>
      </c>
      <c r="E550" s="14">
        <f>Data!T550</f>
        <v>11</v>
      </c>
    </row>
    <row r="551" spans="2:5" ht="15" customHeight="1" x14ac:dyDescent="0.3">
      <c r="C551" s="3"/>
      <c r="D551" s="8">
        <v>2024</v>
      </c>
      <c r="E551" s="14">
        <f>Data!T551</f>
        <v>8</v>
      </c>
    </row>
    <row r="552" spans="2:5" ht="15" customHeight="1" x14ac:dyDescent="0.3">
      <c r="B552" s="8">
        <v>51</v>
      </c>
      <c r="C552" s="3" t="s">
        <v>48</v>
      </c>
      <c r="D552" s="8">
        <v>2014</v>
      </c>
      <c r="E552" s="14">
        <f>Data!T552</f>
        <v>0</v>
      </c>
    </row>
    <row r="553" spans="2:5" ht="15" customHeight="1" x14ac:dyDescent="0.3">
      <c r="C553" s="3"/>
      <c r="D553" s="8">
        <v>2015</v>
      </c>
      <c r="E553" s="14">
        <f>Data!T553</f>
        <v>0</v>
      </c>
    </row>
    <row r="554" spans="2:5" ht="15" customHeight="1" x14ac:dyDescent="0.3">
      <c r="C554" s="3"/>
      <c r="D554" s="8">
        <v>2016</v>
      </c>
      <c r="E554" s="14">
        <f>Data!T554</f>
        <v>0</v>
      </c>
    </row>
    <row r="555" spans="2:5" ht="15" customHeight="1" x14ac:dyDescent="0.3">
      <c r="C555" s="3"/>
      <c r="D555" s="8">
        <v>2017</v>
      </c>
      <c r="E555" s="14">
        <f>Data!T555</f>
        <v>0</v>
      </c>
    </row>
    <row r="556" spans="2:5" ht="15" customHeight="1" x14ac:dyDescent="0.3">
      <c r="C556" s="3"/>
      <c r="D556" s="8">
        <v>2018</v>
      </c>
      <c r="E556" s="14">
        <f>Data!T556</f>
        <v>0</v>
      </c>
    </row>
    <row r="557" spans="2:5" ht="15" customHeight="1" x14ac:dyDescent="0.3">
      <c r="C557" s="3"/>
      <c r="D557" s="8">
        <v>2019</v>
      </c>
      <c r="E557" s="14">
        <f>Data!T557</f>
        <v>0</v>
      </c>
    </row>
    <row r="558" spans="2:5" ht="15" customHeight="1" x14ac:dyDescent="0.3">
      <c r="C558" s="3"/>
      <c r="D558" s="8">
        <v>2020</v>
      </c>
      <c r="E558" s="14">
        <f>Data!T558</f>
        <v>8</v>
      </c>
    </row>
    <row r="559" spans="2:5" ht="15" customHeight="1" x14ac:dyDescent="0.3">
      <c r="C559" s="3"/>
      <c r="D559" s="8">
        <v>2021</v>
      </c>
      <c r="E559" s="14">
        <f>Data!T559</f>
        <v>7</v>
      </c>
    </row>
    <row r="560" spans="2:5" ht="15" customHeight="1" x14ac:dyDescent="0.3">
      <c r="C560" s="3"/>
      <c r="D560" s="8">
        <v>2022</v>
      </c>
      <c r="E560" s="14">
        <f>Data!T560</f>
        <v>8</v>
      </c>
    </row>
    <row r="561" spans="2:5" ht="15" customHeight="1" x14ac:dyDescent="0.3">
      <c r="C561" s="3"/>
      <c r="D561" s="8">
        <v>2023</v>
      </c>
      <c r="E561" s="14">
        <f>Data!T561</f>
        <v>7</v>
      </c>
    </row>
    <row r="562" spans="2:5" ht="15" customHeight="1" x14ac:dyDescent="0.3">
      <c r="C562" s="3"/>
      <c r="D562" s="8">
        <v>2024</v>
      </c>
      <c r="E562" s="14">
        <f>Data!T562</f>
        <v>6</v>
      </c>
    </row>
    <row r="563" spans="2:5" ht="15" customHeight="1" x14ac:dyDescent="0.3">
      <c r="B563" s="8">
        <v>52</v>
      </c>
      <c r="C563" s="3" t="s">
        <v>37</v>
      </c>
      <c r="D563" s="8">
        <v>2014</v>
      </c>
      <c r="E563" s="14">
        <f>Data!T563</f>
        <v>0</v>
      </c>
    </row>
    <row r="564" spans="2:5" ht="15" customHeight="1" x14ac:dyDescent="0.3">
      <c r="C564" s="3"/>
      <c r="D564" s="8">
        <v>2015</v>
      </c>
      <c r="E564" s="14">
        <f>Data!T564</f>
        <v>0</v>
      </c>
    </row>
    <row r="565" spans="2:5" ht="15" customHeight="1" x14ac:dyDescent="0.3">
      <c r="C565" s="3"/>
      <c r="D565" s="8">
        <v>2016</v>
      </c>
      <c r="E565" s="14">
        <f>Data!T565</f>
        <v>7</v>
      </c>
    </row>
    <row r="566" spans="2:5" ht="15" customHeight="1" x14ac:dyDescent="0.3">
      <c r="C566" s="3"/>
      <c r="D566" s="8">
        <v>2017</v>
      </c>
      <c r="E566" s="14">
        <f>Data!T566</f>
        <v>8</v>
      </c>
    </row>
    <row r="567" spans="2:5" ht="15" customHeight="1" x14ac:dyDescent="0.3">
      <c r="C567" s="3"/>
      <c r="D567" s="8">
        <v>2018</v>
      </c>
      <c r="E567" s="14">
        <f>Data!T567</f>
        <v>7</v>
      </c>
    </row>
    <row r="568" spans="2:5" ht="15" customHeight="1" x14ac:dyDescent="0.3">
      <c r="C568" s="3"/>
      <c r="D568" s="8">
        <v>2019</v>
      </c>
      <c r="E568" s="14">
        <f>Data!T568</f>
        <v>9</v>
      </c>
    </row>
    <row r="569" spans="2:5" ht="15" customHeight="1" x14ac:dyDescent="0.3">
      <c r="C569" s="3"/>
      <c r="D569" s="8">
        <v>2020</v>
      </c>
      <c r="E569" s="14">
        <f>Data!T569</f>
        <v>7</v>
      </c>
    </row>
    <row r="570" spans="2:5" ht="15" customHeight="1" x14ac:dyDescent="0.3">
      <c r="C570" s="3"/>
      <c r="D570" s="8">
        <v>2021</v>
      </c>
      <c r="E570" s="14">
        <f>Data!T570</f>
        <v>7</v>
      </c>
    </row>
    <row r="571" spans="2:5" ht="15" customHeight="1" x14ac:dyDescent="0.3">
      <c r="C571" s="3"/>
      <c r="D571" s="8">
        <v>2022</v>
      </c>
      <c r="E571" s="14">
        <f>Data!T571</f>
        <v>7</v>
      </c>
    </row>
    <row r="572" spans="2:5" ht="15" customHeight="1" x14ac:dyDescent="0.3">
      <c r="C572" s="3"/>
      <c r="D572" s="8">
        <v>2023</v>
      </c>
      <c r="E572" s="14">
        <f>Data!T572</f>
        <v>7</v>
      </c>
    </row>
    <row r="573" spans="2:5" ht="15" customHeight="1" x14ac:dyDescent="0.3">
      <c r="C573" s="3"/>
      <c r="D573" s="8">
        <v>2024</v>
      </c>
      <c r="E573" s="14">
        <f>Data!T573</f>
        <v>6</v>
      </c>
    </row>
    <row r="574" spans="2:5" ht="15" customHeight="1" x14ac:dyDescent="0.3">
      <c r="B574" s="8">
        <v>53</v>
      </c>
      <c r="C574" s="3" t="s">
        <v>43</v>
      </c>
      <c r="D574" s="8">
        <v>2014</v>
      </c>
      <c r="E574" s="14">
        <f>Data!T574</f>
        <v>0</v>
      </c>
    </row>
    <row r="575" spans="2:5" ht="15" customHeight="1" x14ac:dyDescent="0.3">
      <c r="C575" s="3"/>
      <c r="D575" s="8">
        <v>2015</v>
      </c>
      <c r="E575" s="14">
        <f>Data!T575</f>
        <v>0</v>
      </c>
    </row>
    <row r="576" spans="2:5" ht="15" customHeight="1" x14ac:dyDescent="0.3">
      <c r="C576" s="3"/>
      <c r="D576" s="8">
        <v>2016</v>
      </c>
      <c r="E576" s="14">
        <f>Data!T576</f>
        <v>0</v>
      </c>
    </row>
    <row r="577" spans="2:5" ht="15" customHeight="1" x14ac:dyDescent="0.3">
      <c r="C577" s="3"/>
      <c r="D577" s="8">
        <v>2017</v>
      </c>
      <c r="E577" s="14">
        <f>Data!T577</f>
        <v>13</v>
      </c>
    </row>
    <row r="578" spans="2:5" ht="15" customHeight="1" x14ac:dyDescent="0.3">
      <c r="C578" s="3"/>
      <c r="D578" s="8">
        <v>2018</v>
      </c>
      <c r="E578" s="14">
        <f>Data!T578</f>
        <v>13</v>
      </c>
    </row>
    <row r="579" spans="2:5" ht="15" customHeight="1" x14ac:dyDescent="0.3">
      <c r="C579" s="3"/>
      <c r="D579" s="8">
        <v>2019</v>
      </c>
      <c r="E579" s="14">
        <f>Data!T579</f>
        <v>11</v>
      </c>
    </row>
    <row r="580" spans="2:5" ht="15" customHeight="1" x14ac:dyDescent="0.3">
      <c r="C580" s="3"/>
      <c r="D580" s="8">
        <v>2020</v>
      </c>
      <c r="E580" s="14">
        <f>Data!T580</f>
        <v>15</v>
      </c>
    </row>
    <row r="581" spans="2:5" ht="15" customHeight="1" x14ac:dyDescent="0.3">
      <c r="C581" s="3"/>
      <c r="D581" s="8">
        <v>2021</v>
      </c>
      <c r="E581" s="14">
        <f>Data!T581</f>
        <v>14</v>
      </c>
    </row>
    <row r="582" spans="2:5" ht="15" customHeight="1" x14ac:dyDescent="0.3">
      <c r="C582" s="3"/>
      <c r="D582" s="8">
        <v>2022</v>
      </c>
      <c r="E582" s="14">
        <f>Data!T582</f>
        <v>13</v>
      </c>
    </row>
    <row r="583" spans="2:5" ht="15" customHeight="1" x14ac:dyDescent="0.3">
      <c r="C583" s="3"/>
      <c r="D583" s="8">
        <v>2023</v>
      </c>
      <c r="E583" s="14">
        <f>Data!T583</f>
        <v>13</v>
      </c>
    </row>
    <row r="584" spans="2:5" ht="15" customHeight="1" x14ac:dyDescent="0.3">
      <c r="C584" s="3"/>
      <c r="D584" s="8">
        <v>2024</v>
      </c>
      <c r="E584" s="14">
        <f>Data!T584</f>
        <v>12</v>
      </c>
    </row>
    <row r="585" spans="2:5" ht="15" customHeight="1" x14ac:dyDescent="0.3">
      <c r="B585" s="8">
        <v>54</v>
      </c>
      <c r="C585" s="4" t="s">
        <v>150</v>
      </c>
      <c r="D585" s="8">
        <v>2014</v>
      </c>
      <c r="E585" s="14">
        <f>Data!T585</f>
        <v>0</v>
      </c>
    </row>
    <row r="586" spans="2:5" ht="15" customHeight="1" x14ac:dyDescent="0.3">
      <c r="C586" s="4"/>
      <c r="D586" s="8">
        <v>2015</v>
      </c>
      <c r="E586" s="14">
        <f>Data!T586</f>
        <v>0</v>
      </c>
    </row>
    <row r="587" spans="2:5" ht="15" customHeight="1" x14ac:dyDescent="0.3">
      <c r="C587" s="4"/>
      <c r="D587" s="8">
        <v>2016</v>
      </c>
      <c r="E587" s="14">
        <f>Data!T587</f>
        <v>0</v>
      </c>
    </row>
    <row r="588" spans="2:5" ht="15" customHeight="1" x14ac:dyDescent="0.3">
      <c r="C588" s="4"/>
      <c r="D588" s="8">
        <v>2017</v>
      </c>
      <c r="E588" s="14">
        <f>Data!T588</f>
        <v>0</v>
      </c>
    </row>
    <row r="589" spans="2:5" ht="15" customHeight="1" x14ac:dyDescent="0.3">
      <c r="C589" s="4"/>
      <c r="D589" s="8">
        <v>2018</v>
      </c>
      <c r="E589" s="14">
        <f>Data!T589</f>
        <v>0</v>
      </c>
    </row>
    <row r="590" spans="2:5" ht="15" customHeight="1" x14ac:dyDescent="0.3">
      <c r="C590" s="4"/>
      <c r="D590" s="8">
        <v>2019</v>
      </c>
      <c r="E590" s="14">
        <f>Data!T590</f>
        <v>0</v>
      </c>
    </row>
    <row r="591" spans="2:5" ht="15" customHeight="1" x14ac:dyDescent="0.3">
      <c r="C591" s="4"/>
      <c r="D591" s="8">
        <v>2020</v>
      </c>
      <c r="E591" s="14">
        <f>Data!T591</f>
        <v>0</v>
      </c>
    </row>
    <row r="592" spans="2:5" ht="15" customHeight="1" x14ac:dyDescent="0.3">
      <c r="C592" s="4"/>
      <c r="D592" s="8">
        <v>2021</v>
      </c>
      <c r="E592" s="14">
        <f>Data!T592</f>
        <v>0</v>
      </c>
    </row>
    <row r="593" spans="2:5" ht="15" customHeight="1" x14ac:dyDescent="0.3">
      <c r="C593" s="4"/>
      <c r="D593" s="8">
        <v>2022</v>
      </c>
      <c r="E593" s="14">
        <f>Data!T593</f>
        <v>6</v>
      </c>
    </row>
    <row r="594" spans="2:5" ht="15" customHeight="1" x14ac:dyDescent="0.3">
      <c r="C594" s="4"/>
      <c r="D594" s="8">
        <v>2023</v>
      </c>
      <c r="E594" s="14">
        <f>Data!T594</f>
        <v>5</v>
      </c>
    </row>
    <row r="595" spans="2:5" ht="15" customHeight="1" x14ac:dyDescent="0.3">
      <c r="C595" s="4"/>
      <c r="D595" s="8">
        <v>2024</v>
      </c>
      <c r="E595" s="14">
        <f>Data!T595</f>
        <v>5</v>
      </c>
    </row>
    <row r="596" spans="2:5" ht="15" customHeight="1" x14ac:dyDescent="0.3">
      <c r="B596" s="8">
        <v>55</v>
      </c>
      <c r="C596" s="3" t="s">
        <v>40</v>
      </c>
      <c r="D596" s="8">
        <v>2014</v>
      </c>
      <c r="E596" s="14">
        <f>Data!T596</f>
        <v>0</v>
      </c>
    </row>
    <row r="597" spans="2:5" ht="15" customHeight="1" x14ac:dyDescent="0.3">
      <c r="C597" s="3"/>
      <c r="D597" s="8">
        <v>2015</v>
      </c>
      <c r="E597" s="14">
        <f>Data!T597</f>
        <v>7</v>
      </c>
    </row>
    <row r="598" spans="2:5" ht="15" customHeight="1" x14ac:dyDescent="0.3">
      <c r="C598" s="3"/>
      <c r="D598" s="8">
        <v>2016</v>
      </c>
      <c r="E598" s="14">
        <f>Data!T598</f>
        <v>6</v>
      </c>
    </row>
    <row r="599" spans="2:5" ht="15" customHeight="1" x14ac:dyDescent="0.3">
      <c r="C599" s="3"/>
      <c r="D599" s="8">
        <v>2017</v>
      </c>
      <c r="E599" s="14">
        <f>Data!T599</f>
        <v>8</v>
      </c>
    </row>
    <row r="600" spans="2:5" ht="15" customHeight="1" x14ac:dyDescent="0.3">
      <c r="C600" s="3"/>
      <c r="D600" s="8">
        <v>2018</v>
      </c>
      <c r="E600" s="14">
        <f>Data!T600</f>
        <v>9</v>
      </c>
    </row>
    <row r="601" spans="2:5" ht="15" customHeight="1" x14ac:dyDescent="0.3">
      <c r="C601" s="3"/>
      <c r="D601" s="8">
        <v>2019</v>
      </c>
      <c r="E601" s="14">
        <f>Data!T601</f>
        <v>10</v>
      </c>
    </row>
    <row r="602" spans="2:5" ht="15" customHeight="1" x14ac:dyDescent="0.3">
      <c r="C602" s="3"/>
      <c r="D602" s="8">
        <v>2020</v>
      </c>
      <c r="E602" s="14">
        <f>Data!T602</f>
        <v>10</v>
      </c>
    </row>
    <row r="603" spans="2:5" ht="15" customHeight="1" x14ac:dyDescent="0.3">
      <c r="C603" s="3"/>
      <c r="D603" s="8">
        <v>2021</v>
      </c>
      <c r="E603" s="14">
        <f>Data!T603</f>
        <v>10</v>
      </c>
    </row>
    <row r="604" spans="2:5" ht="15" customHeight="1" x14ac:dyDescent="0.3">
      <c r="C604" s="3"/>
      <c r="D604" s="8">
        <v>2022</v>
      </c>
      <c r="E604" s="14">
        <f>Data!T604</f>
        <v>11</v>
      </c>
    </row>
    <row r="605" spans="2:5" ht="15" customHeight="1" x14ac:dyDescent="0.3">
      <c r="C605" s="3"/>
      <c r="D605" s="8">
        <v>2023</v>
      </c>
      <c r="E605" s="14">
        <f>Data!T605</f>
        <v>10</v>
      </c>
    </row>
    <row r="606" spans="2:5" ht="15" customHeight="1" x14ac:dyDescent="0.3">
      <c r="C606" s="3"/>
      <c r="D606" s="8">
        <v>2024</v>
      </c>
      <c r="E606" s="14">
        <f>Data!T606</f>
        <v>13</v>
      </c>
    </row>
    <row r="607" spans="2:5" ht="15" customHeight="1" x14ac:dyDescent="0.3">
      <c r="B607" s="8">
        <v>56</v>
      </c>
      <c r="C607" s="3" t="s">
        <v>47</v>
      </c>
      <c r="D607" s="8">
        <v>2014</v>
      </c>
      <c r="E607" s="14">
        <f>Data!T607</f>
        <v>0</v>
      </c>
    </row>
    <row r="608" spans="2:5" ht="15" customHeight="1" x14ac:dyDescent="0.3">
      <c r="C608" s="3"/>
      <c r="D608" s="8">
        <v>2015</v>
      </c>
      <c r="E608" s="14">
        <f>Data!T608</f>
        <v>9</v>
      </c>
    </row>
    <row r="609" spans="2:5" ht="15" customHeight="1" x14ac:dyDescent="0.3">
      <c r="C609" s="3"/>
      <c r="D609" s="8">
        <v>2016</v>
      </c>
      <c r="E609" s="14">
        <f>Data!T609</f>
        <v>10</v>
      </c>
    </row>
    <row r="610" spans="2:5" ht="15" customHeight="1" x14ac:dyDescent="0.3">
      <c r="C610" s="3"/>
      <c r="D610" s="8">
        <v>2017</v>
      </c>
      <c r="E610" s="14">
        <f>Data!T610</f>
        <v>9</v>
      </c>
    </row>
    <row r="611" spans="2:5" ht="15" customHeight="1" x14ac:dyDescent="0.3">
      <c r="C611" s="3"/>
      <c r="D611" s="8">
        <v>2018</v>
      </c>
      <c r="E611" s="14">
        <f>Data!T611</f>
        <v>9</v>
      </c>
    </row>
    <row r="612" spans="2:5" ht="15" customHeight="1" x14ac:dyDescent="0.3">
      <c r="C612" s="3"/>
      <c r="D612" s="8">
        <v>2019</v>
      </c>
      <c r="E612" s="14">
        <f>Data!T612</f>
        <v>10</v>
      </c>
    </row>
    <row r="613" spans="2:5" ht="15" customHeight="1" x14ac:dyDescent="0.3">
      <c r="C613" s="3"/>
      <c r="D613" s="8">
        <v>2020</v>
      </c>
      <c r="E613" s="14">
        <f>Data!T613</f>
        <v>10</v>
      </c>
    </row>
    <row r="614" spans="2:5" ht="15" customHeight="1" x14ac:dyDescent="0.3">
      <c r="C614" s="3"/>
      <c r="D614" s="8">
        <v>2021</v>
      </c>
      <c r="E614" s="14">
        <f>Data!T614</f>
        <v>9</v>
      </c>
    </row>
    <row r="615" spans="2:5" ht="15" customHeight="1" x14ac:dyDescent="0.3">
      <c r="C615" s="3"/>
      <c r="D615" s="8">
        <v>2022</v>
      </c>
      <c r="E615" s="14">
        <f>Data!T615</f>
        <v>10</v>
      </c>
    </row>
    <row r="616" spans="2:5" ht="15" customHeight="1" x14ac:dyDescent="0.3">
      <c r="C616" s="3"/>
      <c r="D616" s="8">
        <v>2023</v>
      </c>
      <c r="E616" s="14">
        <f>Data!T616</f>
        <v>10</v>
      </c>
    </row>
    <row r="617" spans="2:5" ht="15" customHeight="1" x14ac:dyDescent="0.3">
      <c r="C617" s="3"/>
      <c r="D617" s="8">
        <v>2024</v>
      </c>
      <c r="E617" s="14">
        <f>Data!T617</f>
        <v>10</v>
      </c>
    </row>
    <row r="618" spans="2:5" ht="15" customHeight="1" x14ac:dyDescent="0.3">
      <c r="B618" s="8">
        <v>57</v>
      </c>
      <c r="C618" s="3" t="s">
        <v>41</v>
      </c>
      <c r="D618" s="8">
        <v>2014</v>
      </c>
      <c r="E618" s="14">
        <f>Data!T618</f>
        <v>0</v>
      </c>
    </row>
    <row r="619" spans="2:5" ht="15" customHeight="1" x14ac:dyDescent="0.3">
      <c r="C619" s="3"/>
      <c r="D619" s="8">
        <v>2015</v>
      </c>
      <c r="E619" s="14">
        <f>Data!T619</f>
        <v>0</v>
      </c>
    </row>
    <row r="620" spans="2:5" ht="15" customHeight="1" x14ac:dyDescent="0.3">
      <c r="C620" s="3"/>
      <c r="D620" s="8">
        <v>2016</v>
      </c>
      <c r="E620" s="14">
        <f>Data!T620</f>
        <v>0</v>
      </c>
    </row>
    <row r="621" spans="2:5" ht="15" customHeight="1" x14ac:dyDescent="0.3">
      <c r="C621" s="3"/>
      <c r="D621" s="8">
        <v>2017</v>
      </c>
      <c r="E621" s="14">
        <f>Data!T621</f>
        <v>0</v>
      </c>
    </row>
    <row r="622" spans="2:5" ht="15" customHeight="1" x14ac:dyDescent="0.3">
      <c r="C622" s="3"/>
      <c r="D622" s="8">
        <v>2018</v>
      </c>
      <c r="E622" s="14">
        <f>Data!T622</f>
        <v>5</v>
      </c>
    </row>
    <row r="623" spans="2:5" ht="15" customHeight="1" x14ac:dyDescent="0.3">
      <c r="C623" s="3"/>
      <c r="D623" s="8">
        <v>2019</v>
      </c>
      <c r="E623" s="14">
        <f>Data!T623</f>
        <v>7</v>
      </c>
    </row>
    <row r="624" spans="2:5" ht="15" customHeight="1" x14ac:dyDescent="0.3">
      <c r="C624" s="3"/>
      <c r="D624" s="8">
        <v>2020</v>
      </c>
      <c r="E624" s="14">
        <f>Data!T624</f>
        <v>7</v>
      </c>
    </row>
    <row r="625" spans="1:5" ht="15" customHeight="1" x14ac:dyDescent="0.3">
      <c r="C625" s="3"/>
      <c r="D625" s="8">
        <v>2021</v>
      </c>
      <c r="E625" s="14">
        <f>Data!T625</f>
        <v>6</v>
      </c>
    </row>
    <row r="626" spans="1:5" ht="15" customHeight="1" x14ac:dyDescent="0.3">
      <c r="C626" s="3"/>
      <c r="D626" s="8">
        <v>2022</v>
      </c>
      <c r="E626" s="14">
        <f>Data!T626</f>
        <v>6</v>
      </c>
    </row>
    <row r="627" spans="1:5" ht="15" customHeight="1" x14ac:dyDescent="0.3">
      <c r="C627" s="3"/>
      <c r="D627" s="8">
        <v>2023</v>
      </c>
      <c r="E627" s="14">
        <f>Data!T627</f>
        <v>6</v>
      </c>
    </row>
    <row r="628" spans="1:5" ht="15" customHeight="1" x14ac:dyDescent="0.3">
      <c r="C628" s="3"/>
      <c r="D628" s="8">
        <v>2024</v>
      </c>
      <c r="E628" s="14">
        <f>Data!T628</f>
        <v>6</v>
      </c>
    </row>
    <row r="629" spans="1:5" ht="15" customHeight="1" x14ac:dyDescent="0.3">
      <c r="B629" s="8">
        <v>58</v>
      </c>
      <c r="C629" s="4" t="s">
        <v>49</v>
      </c>
      <c r="D629" s="8">
        <v>2014</v>
      </c>
      <c r="E629" s="14">
        <f>Data!T629</f>
        <v>0</v>
      </c>
    </row>
    <row r="630" spans="1:5" ht="15" customHeight="1" x14ac:dyDescent="0.3">
      <c r="C630" s="4"/>
      <c r="D630" s="8">
        <v>2015</v>
      </c>
      <c r="E630" s="14">
        <f>Data!T630</f>
        <v>0</v>
      </c>
    </row>
    <row r="631" spans="1:5" ht="15" customHeight="1" x14ac:dyDescent="0.3">
      <c r="C631" s="4"/>
      <c r="D631" s="8">
        <v>2016</v>
      </c>
      <c r="E631" s="14">
        <f>Data!T631</f>
        <v>0</v>
      </c>
    </row>
    <row r="632" spans="1:5" ht="15" customHeight="1" x14ac:dyDescent="0.3">
      <c r="C632" s="4"/>
      <c r="D632" s="8">
        <v>2017</v>
      </c>
      <c r="E632" s="14">
        <f>Data!T632</f>
        <v>0</v>
      </c>
    </row>
    <row r="633" spans="1:5" ht="15" customHeight="1" x14ac:dyDescent="0.3">
      <c r="C633" s="4"/>
      <c r="D633" s="8">
        <v>2018</v>
      </c>
      <c r="E633" s="14">
        <f>Data!T633</f>
        <v>0</v>
      </c>
    </row>
    <row r="634" spans="1:5" ht="15" customHeight="1" x14ac:dyDescent="0.3">
      <c r="C634" s="4"/>
      <c r="D634" s="8">
        <v>2019</v>
      </c>
      <c r="E634" s="14">
        <f>Data!T634</f>
        <v>0</v>
      </c>
    </row>
    <row r="635" spans="1:5" ht="15" customHeight="1" x14ac:dyDescent="0.3">
      <c r="C635" s="4"/>
      <c r="D635" s="8">
        <v>2020</v>
      </c>
      <c r="E635" s="14">
        <f>Data!T635</f>
        <v>9</v>
      </c>
    </row>
    <row r="636" spans="1:5" ht="15" customHeight="1" x14ac:dyDescent="0.3">
      <c r="C636" s="4"/>
      <c r="D636" s="8">
        <v>2021</v>
      </c>
      <c r="E636" s="14">
        <f>Data!T636</f>
        <v>7</v>
      </c>
    </row>
    <row r="637" spans="1:5" ht="15" customHeight="1" x14ac:dyDescent="0.3">
      <c r="C637" s="4"/>
      <c r="D637" s="8">
        <v>2022</v>
      </c>
      <c r="E637" s="14">
        <f>Data!T637</f>
        <v>9</v>
      </c>
    </row>
    <row r="638" spans="1:5" ht="15" customHeight="1" x14ac:dyDescent="0.3">
      <c r="C638" s="4"/>
      <c r="D638" s="8">
        <v>2023</v>
      </c>
      <c r="E638" s="14">
        <f>Data!T638</f>
        <v>9</v>
      </c>
    </row>
    <row r="639" spans="1:5" ht="15" customHeight="1" x14ac:dyDescent="0.3">
      <c r="C639" s="4"/>
      <c r="D639" s="8">
        <v>2024</v>
      </c>
      <c r="E639" s="14">
        <f>Data!T639</f>
        <v>8</v>
      </c>
    </row>
    <row r="640" spans="1:5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Data!T640</f>
        <v>0</v>
      </c>
    </row>
    <row r="641" spans="2:5" ht="15" customHeight="1" x14ac:dyDescent="0.3">
      <c r="C641" s="2"/>
      <c r="D641" s="8">
        <v>2015</v>
      </c>
      <c r="E641" s="14">
        <f>Data!T641</f>
        <v>0</v>
      </c>
    </row>
    <row r="642" spans="2:5" ht="15" customHeight="1" x14ac:dyDescent="0.3">
      <c r="C642" s="2"/>
      <c r="D642" s="8">
        <v>2016</v>
      </c>
      <c r="E642" s="14">
        <f>Data!T642</f>
        <v>0</v>
      </c>
    </row>
    <row r="643" spans="2:5" ht="15" customHeight="1" x14ac:dyDescent="0.3">
      <c r="C643" s="2"/>
      <c r="D643" s="8">
        <v>2017</v>
      </c>
      <c r="E643" s="14">
        <f>Data!T643</f>
        <v>0</v>
      </c>
    </row>
    <row r="644" spans="2:5" ht="15" customHeight="1" x14ac:dyDescent="0.3">
      <c r="C644" s="2"/>
      <c r="D644" s="8">
        <v>2018</v>
      </c>
      <c r="E644" s="14">
        <f>Data!T644</f>
        <v>0</v>
      </c>
    </row>
    <row r="645" spans="2:5" ht="15" customHeight="1" x14ac:dyDescent="0.3">
      <c r="C645" s="2"/>
      <c r="D645" s="8">
        <v>2019</v>
      </c>
      <c r="E645" s="14">
        <f>Data!T645</f>
        <v>0</v>
      </c>
    </row>
    <row r="646" spans="2:5" ht="15" customHeight="1" x14ac:dyDescent="0.3">
      <c r="C646" s="2"/>
      <c r="D646" s="8">
        <v>2020</v>
      </c>
      <c r="E646" s="14">
        <f>Data!T646</f>
        <v>6</v>
      </c>
    </row>
    <row r="647" spans="2:5" ht="15" customHeight="1" x14ac:dyDescent="0.3">
      <c r="C647" s="2"/>
      <c r="D647" s="8">
        <v>2021</v>
      </c>
      <c r="E647" s="14">
        <f>Data!T647</f>
        <v>6</v>
      </c>
    </row>
    <row r="648" spans="2:5" ht="15" customHeight="1" x14ac:dyDescent="0.3">
      <c r="C648" s="2"/>
      <c r="D648" s="8">
        <v>2022</v>
      </c>
      <c r="E648" s="14">
        <f>Data!T648</f>
        <v>7</v>
      </c>
    </row>
    <row r="649" spans="2:5" ht="15" customHeight="1" x14ac:dyDescent="0.3">
      <c r="C649" s="2"/>
      <c r="D649" s="8">
        <v>2023</v>
      </c>
      <c r="E649" s="14">
        <f>Data!T649</f>
        <v>8</v>
      </c>
    </row>
    <row r="650" spans="2:5" ht="15" customHeight="1" x14ac:dyDescent="0.3">
      <c r="C650" s="2"/>
      <c r="D650" s="8">
        <v>2024</v>
      </c>
      <c r="E650" s="14">
        <f>Data!T650</f>
        <v>8</v>
      </c>
    </row>
    <row r="651" spans="2:5" ht="15" customHeight="1" x14ac:dyDescent="0.3">
      <c r="B651" s="8">
        <v>60</v>
      </c>
      <c r="C651" s="2" t="s">
        <v>63</v>
      </c>
      <c r="D651" s="8">
        <v>2014</v>
      </c>
      <c r="E651" s="14">
        <f>Data!T651</f>
        <v>0</v>
      </c>
    </row>
    <row r="652" spans="2:5" ht="15" customHeight="1" x14ac:dyDescent="0.3">
      <c r="C652" s="2"/>
      <c r="D652" s="8">
        <v>2015</v>
      </c>
      <c r="E652" s="14">
        <f>Data!T652</f>
        <v>0</v>
      </c>
    </row>
    <row r="653" spans="2:5" ht="15" customHeight="1" x14ac:dyDescent="0.3">
      <c r="C653" s="2"/>
      <c r="D653" s="8">
        <v>2016</v>
      </c>
      <c r="E653" s="14">
        <f>Data!T653</f>
        <v>0</v>
      </c>
    </row>
    <row r="654" spans="2:5" ht="15" customHeight="1" x14ac:dyDescent="0.3">
      <c r="C654" s="2"/>
      <c r="D654" s="8">
        <v>2017</v>
      </c>
      <c r="E654" s="14">
        <f>Data!T654</f>
        <v>0</v>
      </c>
    </row>
    <row r="655" spans="2:5" ht="15" customHeight="1" x14ac:dyDescent="0.3">
      <c r="C655" s="2"/>
      <c r="D655" s="8">
        <v>2018</v>
      </c>
      <c r="E655" s="14">
        <f>Data!T655</f>
        <v>0</v>
      </c>
    </row>
    <row r="656" spans="2:5" ht="15" customHeight="1" x14ac:dyDescent="0.3">
      <c r="C656" s="2"/>
      <c r="D656" s="8">
        <v>2019</v>
      </c>
      <c r="E656" s="14">
        <f>Data!T656</f>
        <v>0</v>
      </c>
    </row>
    <row r="657" spans="2:5" ht="15" customHeight="1" x14ac:dyDescent="0.3">
      <c r="C657" s="2"/>
      <c r="D657" s="8">
        <v>2020</v>
      </c>
      <c r="E657" s="14">
        <f>Data!T657</f>
        <v>0</v>
      </c>
    </row>
    <row r="658" spans="2:5" ht="15" customHeight="1" x14ac:dyDescent="0.3">
      <c r="C658" s="2"/>
      <c r="D658" s="8">
        <v>2021</v>
      </c>
      <c r="E658" s="14">
        <f>Data!T658</f>
        <v>7</v>
      </c>
    </row>
    <row r="659" spans="2:5" ht="15" customHeight="1" x14ac:dyDescent="0.3">
      <c r="C659" s="2"/>
      <c r="D659" s="8">
        <v>2022</v>
      </c>
      <c r="E659" s="14">
        <f>Data!T659</f>
        <v>7</v>
      </c>
    </row>
    <row r="660" spans="2:5" ht="15" customHeight="1" x14ac:dyDescent="0.3">
      <c r="C660" s="2"/>
      <c r="D660" s="8">
        <v>2023</v>
      </c>
      <c r="E660" s="14">
        <f>Data!T660</f>
        <v>7</v>
      </c>
    </row>
    <row r="661" spans="2:5" ht="15" customHeight="1" x14ac:dyDescent="0.3">
      <c r="C661" s="2"/>
      <c r="D661" s="8">
        <v>2024</v>
      </c>
      <c r="E661" s="14">
        <f>Data!T661</f>
        <v>8</v>
      </c>
    </row>
    <row r="662" spans="2:5" ht="15" customHeight="1" x14ac:dyDescent="0.3">
      <c r="B662" s="8">
        <v>61</v>
      </c>
      <c r="C662" s="2" t="s">
        <v>61</v>
      </c>
      <c r="D662" s="8">
        <v>2014</v>
      </c>
      <c r="E662" s="14">
        <f>Data!T662</f>
        <v>0</v>
      </c>
    </row>
    <row r="663" spans="2:5" ht="15" customHeight="1" x14ac:dyDescent="0.3">
      <c r="C663" s="2"/>
      <c r="D663" s="8">
        <v>2015</v>
      </c>
      <c r="E663" s="14">
        <f>Data!T663</f>
        <v>9</v>
      </c>
    </row>
    <row r="664" spans="2:5" ht="15" customHeight="1" x14ac:dyDescent="0.3">
      <c r="C664" s="2"/>
      <c r="D664" s="8">
        <v>2016</v>
      </c>
      <c r="E664" s="14">
        <f>Data!T664</f>
        <v>8</v>
      </c>
    </row>
    <row r="665" spans="2:5" ht="15" customHeight="1" x14ac:dyDescent="0.3">
      <c r="C665" s="2"/>
      <c r="D665" s="8">
        <v>2017</v>
      </c>
      <c r="E665" s="14">
        <f>Data!T665</f>
        <v>7</v>
      </c>
    </row>
    <row r="666" spans="2:5" ht="15" customHeight="1" x14ac:dyDescent="0.3">
      <c r="C666" s="2"/>
      <c r="D666" s="8">
        <v>2018</v>
      </c>
      <c r="E666" s="14">
        <f>Data!T666</f>
        <v>8</v>
      </c>
    </row>
    <row r="667" spans="2:5" ht="15" customHeight="1" x14ac:dyDescent="0.3">
      <c r="C667" s="2"/>
      <c r="D667" s="8">
        <v>2019</v>
      </c>
      <c r="E667" s="14">
        <f>Data!T667</f>
        <v>8</v>
      </c>
    </row>
    <row r="668" spans="2:5" ht="15" customHeight="1" x14ac:dyDescent="0.3">
      <c r="C668" s="2"/>
      <c r="D668" s="8">
        <v>2020</v>
      </c>
      <c r="E668" s="14">
        <f>Data!T668</f>
        <v>8</v>
      </c>
    </row>
    <row r="669" spans="2:5" ht="15" customHeight="1" x14ac:dyDescent="0.3">
      <c r="C669" s="2"/>
      <c r="D669" s="8">
        <v>2021</v>
      </c>
      <c r="E669" s="14">
        <f>Data!T669</f>
        <v>8</v>
      </c>
    </row>
    <row r="670" spans="2:5" ht="15" customHeight="1" x14ac:dyDescent="0.3">
      <c r="C670" s="2"/>
      <c r="D670" s="8">
        <v>2022</v>
      </c>
      <c r="E670" s="14">
        <f>Data!T670</f>
        <v>8</v>
      </c>
    </row>
    <row r="671" spans="2:5" ht="15" customHeight="1" x14ac:dyDescent="0.3">
      <c r="C671" s="2"/>
      <c r="D671" s="8">
        <v>2023</v>
      </c>
      <c r="E671" s="14">
        <f>Data!T671</f>
        <v>7</v>
      </c>
    </row>
    <row r="672" spans="2:5" ht="15" customHeight="1" x14ac:dyDescent="0.3">
      <c r="C672" s="2"/>
      <c r="D672" s="8">
        <v>2024</v>
      </c>
      <c r="E672" s="14">
        <f>Data!T672</f>
        <v>7</v>
      </c>
    </row>
    <row r="673" spans="2:5" ht="15" customHeight="1" x14ac:dyDescent="0.3">
      <c r="B673" s="8">
        <v>62</v>
      </c>
      <c r="C673" s="2" t="s">
        <v>62</v>
      </c>
      <c r="D673" s="8">
        <v>2014</v>
      </c>
      <c r="E673" s="14">
        <f>Data!T673</f>
        <v>0</v>
      </c>
    </row>
    <row r="674" spans="2:5" ht="15" customHeight="1" x14ac:dyDescent="0.3">
      <c r="C674" s="2"/>
      <c r="D674" s="8">
        <v>2015</v>
      </c>
      <c r="E674" s="14">
        <f>Data!T674</f>
        <v>0</v>
      </c>
    </row>
    <row r="675" spans="2:5" ht="15" customHeight="1" x14ac:dyDescent="0.3">
      <c r="C675" s="2"/>
      <c r="D675" s="8">
        <v>2016</v>
      </c>
      <c r="E675" s="14">
        <f>Data!T675</f>
        <v>0</v>
      </c>
    </row>
    <row r="676" spans="2:5" ht="15" customHeight="1" x14ac:dyDescent="0.3">
      <c r="C676" s="2"/>
      <c r="D676" s="8">
        <v>2017</v>
      </c>
      <c r="E676" s="14">
        <f>Data!T676</f>
        <v>0</v>
      </c>
    </row>
    <row r="677" spans="2:5" ht="15" customHeight="1" x14ac:dyDescent="0.3">
      <c r="C677" s="2"/>
      <c r="D677" s="8">
        <v>2018</v>
      </c>
      <c r="E677" s="14">
        <f>Data!T677</f>
        <v>0</v>
      </c>
    </row>
    <row r="678" spans="2:5" ht="15" customHeight="1" x14ac:dyDescent="0.3">
      <c r="C678" s="2"/>
      <c r="D678" s="8">
        <v>2019</v>
      </c>
      <c r="E678" s="14">
        <f>Data!T678</f>
        <v>8</v>
      </c>
    </row>
    <row r="679" spans="2:5" ht="15" customHeight="1" x14ac:dyDescent="0.3">
      <c r="C679" s="2"/>
      <c r="D679" s="8">
        <v>2020</v>
      </c>
      <c r="E679" s="14">
        <f>Data!T679</f>
        <v>7</v>
      </c>
    </row>
    <row r="680" spans="2:5" ht="15" customHeight="1" x14ac:dyDescent="0.3">
      <c r="C680" s="2"/>
      <c r="D680" s="8">
        <v>2021</v>
      </c>
      <c r="E680" s="14">
        <f>Data!T680</f>
        <v>7</v>
      </c>
    </row>
    <row r="681" spans="2:5" ht="15" customHeight="1" x14ac:dyDescent="0.3">
      <c r="C681" s="2"/>
      <c r="D681" s="8">
        <v>2022</v>
      </c>
      <c r="E681" s="14">
        <f>Data!T681</f>
        <v>7</v>
      </c>
    </row>
    <row r="682" spans="2:5" ht="15" customHeight="1" x14ac:dyDescent="0.3">
      <c r="C682" s="2"/>
      <c r="D682" s="8">
        <v>2023</v>
      </c>
      <c r="E682" s="14">
        <f>Data!T682</f>
        <v>7</v>
      </c>
    </row>
    <row r="683" spans="2:5" ht="15" customHeight="1" x14ac:dyDescent="0.3">
      <c r="C683" s="2"/>
      <c r="D683" s="8">
        <v>2024</v>
      </c>
      <c r="E683" s="14">
        <f>Data!T683</f>
        <v>7</v>
      </c>
    </row>
    <row r="684" spans="2:5" ht="15" customHeight="1" x14ac:dyDescent="0.3">
      <c r="B684" s="8">
        <v>63</v>
      </c>
      <c r="C684" s="2" t="s">
        <v>60</v>
      </c>
      <c r="D684" s="8">
        <v>2014</v>
      </c>
      <c r="E684" s="14">
        <f>Data!T684</f>
        <v>0</v>
      </c>
    </row>
    <row r="685" spans="2:5" ht="15" customHeight="1" x14ac:dyDescent="0.3">
      <c r="C685" s="2"/>
      <c r="D685" s="8">
        <v>2015</v>
      </c>
      <c r="E685" s="14">
        <f>Data!T685</f>
        <v>8</v>
      </c>
    </row>
    <row r="686" spans="2:5" ht="15" customHeight="1" x14ac:dyDescent="0.3">
      <c r="C686" s="2"/>
      <c r="D686" s="8">
        <v>2016</v>
      </c>
      <c r="E686" s="14">
        <f>Data!T686</f>
        <v>8</v>
      </c>
    </row>
    <row r="687" spans="2:5" ht="15" customHeight="1" x14ac:dyDescent="0.3">
      <c r="C687" s="2"/>
      <c r="D687" s="8">
        <v>2017</v>
      </c>
      <c r="E687" s="14">
        <f>Data!T687</f>
        <v>8</v>
      </c>
    </row>
    <row r="688" spans="2:5" ht="15" customHeight="1" x14ac:dyDescent="0.3">
      <c r="C688" s="2"/>
      <c r="D688" s="8">
        <v>2018</v>
      </c>
      <c r="E688" s="14">
        <f>Data!T688</f>
        <v>7</v>
      </c>
    </row>
    <row r="689" spans="2:5" ht="15" customHeight="1" x14ac:dyDescent="0.3">
      <c r="C689" s="2"/>
      <c r="D689" s="8">
        <v>2019</v>
      </c>
      <c r="E689" s="14">
        <f>Data!T689</f>
        <v>4</v>
      </c>
    </row>
    <row r="690" spans="2:5" ht="15" customHeight="1" x14ac:dyDescent="0.3">
      <c r="C690" s="2"/>
      <c r="D690" s="8">
        <v>2020</v>
      </c>
      <c r="E690" s="14">
        <f>Data!T690</f>
        <v>6</v>
      </c>
    </row>
    <row r="691" spans="2:5" ht="15" customHeight="1" x14ac:dyDescent="0.3">
      <c r="C691" s="2"/>
      <c r="D691" s="8">
        <v>2021</v>
      </c>
      <c r="E691" s="14">
        <f>Data!T691</f>
        <v>7</v>
      </c>
    </row>
    <row r="692" spans="2:5" ht="15" customHeight="1" x14ac:dyDescent="0.3">
      <c r="C692" s="2"/>
      <c r="D692" s="8">
        <v>2022</v>
      </c>
      <c r="E692" s="14">
        <f>Data!T692</f>
        <v>7</v>
      </c>
    </row>
    <row r="693" spans="2:5" ht="15" customHeight="1" x14ac:dyDescent="0.3">
      <c r="C693" s="2"/>
      <c r="D693" s="8">
        <v>2023</v>
      </c>
      <c r="E693" s="14">
        <f>Data!T693</f>
        <v>6</v>
      </c>
    </row>
    <row r="694" spans="2:5" ht="15" customHeight="1" x14ac:dyDescent="0.3">
      <c r="C694" s="2"/>
      <c r="D694" s="8">
        <v>2024</v>
      </c>
      <c r="E694" s="14">
        <f>Data!T694</f>
        <v>6</v>
      </c>
    </row>
    <row r="695" spans="2:5" ht="15" customHeight="1" x14ac:dyDescent="0.3">
      <c r="B695" s="8">
        <v>64</v>
      </c>
      <c r="C695" s="1" t="s">
        <v>131</v>
      </c>
      <c r="D695" s="8">
        <v>2014</v>
      </c>
      <c r="E695" s="14">
        <f>Data!T695</f>
        <v>0</v>
      </c>
    </row>
    <row r="696" spans="2:5" ht="15" customHeight="1" x14ac:dyDescent="0.3">
      <c r="C696" s="1"/>
      <c r="D696" s="8">
        <v>2015</v>
      </c>
      <c r="E696" s="14">
        <f>Data!T696</f>
        <v>0</v>
      </c>
    </row>
    <row r="697" spans="2:5" ht="15" customHeight="1" x14ac:dyDescent="0.3">
      <c r="C697" s="1"/>
      <c r="D697" s="8">
        <v>2016</v>
      </c>
      <c r="E697" s="14">
        <f>Data!T697</f>
        <v>0</v>
      </c>
    </row>
    <row r="698" spans="2:5" ht="15" customHeight="1" x14ac:dyDescent="0.3">
      <c r="C698" s="1"/>
      <c r="D698" s="8">
        <v>2017</v>
      </c>
      <c r="E698" s="14">
        <f>Data!T698</f>
        <v>6</v>
      </c>
    </row>
    <row r="699" spans="2:5" ht="15" customHeight="1" x14ac:dyDescent="0.3">
      <c r="C699" s="1"/>
      <c r="D699" s="8">
        <v>2018</v>
      </c>
      <c r="E699" s="14">
        <f>Data!T699</f>
        <v>6</v>
      </c>
    </row>
    <row r="700" spans="2:5" ht="15" customHeight="1" x14ac:dyDescent="0.3">
      <c r="C700" s="1"/>
      <c r="D700" s="8">
        <v>2019</v>
      </c>
      <c r="E700" s="14">
        <f>Data!T700</f>
        <v>6</v>
      </c>
    </row>
    <row r="701" spans="2:5" ht="15" customHeight="1" x14ac:dyDescent="0.3">
      <c r="C701" s="1"/>
      <c r="D701" s="8">
        <v>2020</v>
      </c>
      <c r="E701" s="14">
        <f>Data!T701</f>
        <v>7</v>
      </c>
    </row>
    <row r="702" spans="2:5" ht="15" customHeight="1" x14ac:dyDescent="0.3">
      <c r="C702" s="1"/>
      <c r="D702" s="8">
        <v>2021</v>
      </c>
      <c r="E702" s="14">
        <f>Data!T702</f>
        <v>7</v>
      </c>
    </row>
    <row r="703" spans="2:5" ht="15" customHeight="1" x14ac:dyDescent="0.3">
      <c r="C703" s="1"/>
      <c r="D703" s="8">
        <v>2022</v>
      </c>
      <c r="E703" s="14">
        <f>Data!T703</f>
        <v>7</v>
      </c>
    </row>
    <row r="704" spans="2:5" ht="15" customHeight="1" x14ac:dyDescent="0.3">
      <c r="C704" s="1"/>
      <c r="D704" s="8">
        <v>2023</v>
      </c>
      <c r="E704" s="14">
        <f>Data!T704</f>
        <v>6</v>
      </c>
    </row>
    <row r="705" spans="2:5" ht="15" customHeight="1" x14ac:dyDescent="0.3">
      <c r="C705" s="1"/>
      <c r="D705" s="8">
        <v>2024</v>
      </c>
      <c r="E705" s="14">
        <f>Data!T705</f>
        <v>6</v>
      </c>
    </row>
    <row r="706" spans="2:5" ht="15" customHeight="1" x14ac:dyDescent="0.3">
      <c r="B706" s="8">
        <v>65</v>
      </c>
      <c r="C706" s="2" t="s">
        <v>64</v>
      </c>
      <c r="D706" s="8">
        <v>2014</v>
      </c>
      <c r="E706" s="14">
        <f>Data!T706</f>
        <v>0</v>
      </c>
    </row>
    <row r="707" spans="2:5" ht="15" customHeight="1" x14ac:dyDescent="0.3">
      <c r="C707" s="2"/>
      <c r="D707" s="8">
        <v>2015</v>
      </c>
      <c r="E707" s="14">
        <f>Data!T707</f>
        <v>0</v>
      </c>
    </row>
    <row r="708" spans="2:5" ht="15" customHeight="1" x14ac:dyDescent="0.3">
      <c r="C708" s="2"/>
      <c r="D708" s="8">
        <v>2016</v>
      </c>
      <c r="E708" s="14">
        <f>Data!T708</f>
        <v>0</v>
      </c>
    </row>
    <row r="709" spans="2:5" ht="15" customHeight="1" x14ac:dyDescent="0.3">
      <c r="C709" s="2"/>
      <c r="D709" s="8">
        <v>2017</v>
      </c>
      <c r="E709" s="14">
        <f>Data!T709</f>
        <v>0</v>
      </c>
    </row>
    <row r="710" spans="2:5" ht="15" customHeight="1" x14ac:dyDescent="0.3">
      <c r="C710" s="2"/>
      <c r="D710" s="8">
        <v>2018</v>
      </c>
      <c r="E710" s="14">
        <f>Data!T710</f>
        <v>0</v>
      </c>
    </row>
    <row r="711" spans="2:5" ht="15" customHeight="1" x14ac:dyDescent="0.3">
      <c r="C711" s="2"/>
      <c r="D711" s="8">
        <v>2019</v>
      </c>
      <c r="E711" s="14">
        <f>Data!T711</f>
        <v>0</v>
      </c>
    </row>
    <row r="712" spans="2:5" ht="15" customHeight="1" x14ac:dyDescent="0.3">
      <c r="C712" s="2"/>
      <c r="D712" s="8">
        <v>2020</v>
      </c>
      <c r="E712" s="14">
        <f>Data!T712</f>
        <v>0</v>
      </c>
    </row>
    <row r="713" spans="2:5" ht="15" customHeight="1" x14ac:dyDescent="0.3">
      <c r="C713" s="2"/>
      <c r="D713" s="8">
        <v>2021</v>
      </c>
      <c r="E713" s="14">
        <f>Data!T713</f>
        <v>0</v>
      </c>
    </row>
    <row r="714" spans="2:5" ht="15" customHeight="1" x14ac:dyDescent="0.3">
      <c r="C714" s="2"/>
      <c r="D714" s="8">
        <v>2022</v>
      </c>
      <c r="E714" s="14">
        <f>Data!T714</f>
        <v>0</v>
      </c>
    </row>
    <row r="715" spans="2:5" ht="15" customHeight="1" x14ac:dyDescent="0.3">
      <c r="C715" s="2"/>
      <c r="D715" s="8">
        <v>2023</v>
      </c>
      <c r="E715" s="14">
        <f>Data!T715</f>
        <v>11</v>
      </c>
    </row>
    <row r="716" spans="2:5" ht="15" customHeight="1" x14ac:dyDescent="0.3">
      <c r="C716" s="2"/>
      <c r="D716" s="8">
        <v>2024</v>
      </c>
      <c r="E716" s="14">
        <f>Data!T716</f>
        <v>10</v>
      </c>
    </row>
    <row r="717" spans="2:5" ht="15" customHeight="1" x14ac:dyDescent="0.3">
      <c r="B717" s="8">
        <v>66</v>
      </c>
      <c r="C717" s="2" t="s">
        <v>67</v>
      </c>
      <c r="D717" s="8">
        <v>2014</v>
      </c>
      <c r="E717" s="14">
        <f>Data!T717</f>
        <v>0</v>
      </c>
    </row>
    <row r="718" spans="2:5" ht="15" customHeight="1" x14ac:dyDescent="0.3">
      <c r="C718" s="2"/>
      <c r="D718" s="8">
        <v>2015</v>
      </c>
      <c r="E718" s="14">
        <f>Data!T718</f>
        <v>9</v>
      </c>
    </row>
    <row r="719" spans="2:5" ht="15" customHeight="1" x14ac:dyDescent="0.3">
      <c r="C719" s="2"/>
      <c r="D719" s="8">
        <v>2016</v>
      </c>
      <c r="E719" s="14">
        <f>Data!T719</f>
        <v>10</v>
      </c>
    </row>
    <row r="720" spans="2:5" ht="15" customHeight="1" x14ac:dyDescent="0.3">
      <c r="C720" s="2"/>
      <c r="D720" s="8">
        <v>2017</v>
      </c>
      <c r="E720" s="14">
        <f>Data!T720</f>
        <v>9</v>
      </c>
    </row>
    <row r="721" spans="2:5" ht="15" customHeight="1" x14ac:dyDescent="0.3">
      <c r="C721" s="2"/>
      <c r="D721" s="8">
        <v>2018</v>
      </c>
      <c r="E721" s="14">
        <f>Data!T721</f>
        <v>11</v>
      </c>
    </row>
    <row r="722" spans="2:5" ht="15" customHeight="1" x14ac:dyDescent="0.3">
      <c r="C722" s="2"/>
      <c r="D722" s="8">
        <v>2019</v>
      </c>
      <c r="E722" s="14">
        <f>Data!T722</f>
        <v>10</v>
      </c>
    </row>
    <row r="723" spans="2:5" ht="15" customHeight="1" x14ac:dyDescent="0.3">
      <c r="C723" s="2"/>
      <c r="D723" s="8">
        <v>2020</v>
      </c>
      <c r="E723" s="14">
        <f>Data!T723</f>
        <v>10</v>
      </c>
    </row>
    <row r="724" spans="2:5" ht="15" customHeight="1" x14ac:dyDescent="0.3">
      <c r="C724" s="2"/>
      <c r="D724" s="8">
        <v>2021</v>
      </c>
      <c r="E724" s="14">
        <f>Data!T724</f>
        <v>10</v>
      </c>
    </row>
    <row r="725" spans="2:5" ht="15" customHeight="1" x14ac:dyDescent="0.3">
      <c r="C725" s="2"/>
      <c r="D725" s="8">
        <v>2022</v>
      </c>
      <c r="E725" s="14">
        <f>Data!T725</f>
        <v>9</v>
      </c>
    </row>
    <row r="726" spans="2:5" ht="15" customHeight="1" x14ac:dyDescent="0.3">
      <c r="C726" s="2"/>
      <c r="D726" s="8">
        <v>2023</v>
      </c>
      <c r="E726" s="14">
        <f>Data!T726</f>
        <v>10</v>
      </c>
    </row>
    <row r="727" spans="2:5" ht="15" customHeight="1" x14ac:dyDescent="0.3">
      <c r="C727" s="2"/>
      <c r="D727" s="8">
        <v>2024</v>
      </c>
      <c r="E727" s="14">
        <f>Data!T727</f>
        <v>0</v>
      </c>
    </row>
    <row r="728" spans="2:5" ht="15" customHeight="1" x14ac:dyDescent="0.3">
      <c r="B728" s="8">
        <v>67</v>
      </c>
      <c r="C728" s="2" t="s">
        <v>68</v>
      </c>
      <c r="D728" s="8">
        <v>2014</v>
      </c>
      <c r="E728" s="14">
        <f>Data!T728</f>
        <v>0</v>
      </c>
    </row>
    <row r="729" spans="2:5" ht="15" customHeight="1" x14ac:dyDescent="0.3">
      <c r="C729" s="2"/>
      <c r="D729" s="8">
        <v>2015</v>
      </c>
      <c r="E729" s="14">
        <f>Data!T729</f>
        <v>0</v>
      </c>
    </row>
    <row r="730" spans="2:5" ht="15" customHeight="1" x14ac:dyDescent="0.3">
      <c r="C730" s="2"/>
      <c r="D730" s="8">
        <v>2016</v>
      </c>
      <c r="E730" s="14">
        <f>Data!T730</f>
        <v>8</v>
      </c>
    </row>
    <row r="731" spans="2:5" ht="15" customHeight="1" x14ac:dyDescent="0.3">
      <c r="C731" s="2"/>
      <c r="D731" s="8">
        <v>2017</v>
      </c>
      <c r="E731" s="14">
        <f>Data!T731</f>
        <v>9</v>
      </c>
    </row>
    <row r="732" spans="2:5" ht="15" customHeight="1" x14ac:dyDescent="0.3">
      <c r="C732" s="2"/>
      <c r="D732" s="8">
        <v>2018</v>
      </c>
      <c r="E732" s="14">
        <f>Data!T732</f>
        <v>0</v>
      </c>
    </row>
    <row r="733" spans="2:5" ht="15" customHeight="1" x14ac:dyDescent="0.3">
      <c r="C733" s="2"/>
      <c r="D733" s="8">
        <v>2019</v>
      </c>
      <c r="E733" s="14">
        <f>Data!T733</f>
        <v>9</v>
      </c>
    </row>
    <row r="734" spans="2:5" ht="15" customHeight="1" x14ac:dyDescent="0.3">
      <c r="C734" s="2"/>
      <c r="D734" s="8">
        <v>2020</v>
      </c>
      <c r="E734" s="14">
        <f>Data!T734</f>
        <v>9</v>
      </c>
    </row>
    <row r="735" spans="2:5" ht="15" customHeight="1" x14ac:dyDescent="0.3">
      <c r="C735" s="2"/>
      <c r="D735" s="8">
        <v>2021</v>
      </c>
      <c r="E735" s="14">
        <f>Data!T735</f>
        <v>9</v>
      </c>
    </row>
    <row r="736" spans="2:5" ht="15" customHeight="1" x14ac:dyDescent="0.3">
      <c r="C736" s="2"/>
      <c r="D736" s="8">
        <v>2022</v>
      </c>
      <c r="E736" s="14">
        <f>Data!T736</f>
        <v>9</v>
      </c>
    </row>
    <row r="737" spans="2:5" ht="15" customHeight="1" x14ac:dyDescent="0.3">
      <c r="C737" s="2"/>
      <c r="D737" s="8">
        <v>2023</v>
      </c>
      <c r="E737" s="14">
        <f>Data!T737</f>
        <v>9</v>
      </c>
    </row>
    <row r="738" spans="2:5" ht="15" customHeight="1" x14ac:dyDescent="0.3">
      <c r="C738" s="2"/>
      <c r="D738" s="8">
        <v>2024</v>
      </c>
      <c r="E738" s="14">
        <f>Data!T738</f>
        <v>8</v>
      </c>
    </row>
    <row r="739" spans="2:5" ht="15" customHeight="1" x14ac:dyDescent="0.3">
      <c r="B739" s="8">
        <v>68</v>
      </c>
      <c r="C739" s="2" t="s">
        <v>69</v>
      </c>
      <c r="D739" s="8">
        <v>2014</v>
      </c>
      <c r="E739" s="14">
        <f>Data!T739</f>
        <v>0</v>
      </c>
    </row>
    <row r="740" spans="2:5" ht="15" customHeight="1" x14ac:dyDescent="0.3">
      <c r="C740" s="2"/>
      <c r="D740" s="8">
        <v>2015</v>
      </c>
      <c r="E740" s="14">
        <f>Data!T740</f>
        <v>8</v>
      </c>
    </row>
    <row r="741" spans="2:5" ht="15" customHeight="1" x14ac:dyDescent="0.3">
      <c r="C741" s="2"/>
      <c r="D741" s="8">
        <v>2016</v>
      </c>
      <c r="E741" s="14">
        <f>Data!T741</f>
        <v>8</v>
      </c>
    </row>
    <row r="742" spans="2:5" ht="15" customHeight="1" x14ac:dyDescent="0.3">
      <c r="C742" s="2"/>
      <c r="D742" s="8">
        <v>2017</v>
      </c>
      <c r="E742" s="14">
        <f>Data!T742</f>
        <v>9</v>
      </c>
    </row>
    <row r="743" spans="2:5" ht="15" customHeight="1" x14ac:dyDescent="0.3">
      <c r="C743" s="2"/>
      <c r="D743" s="8">
        <v>2018</v>
      </c>
      <c r="E743" s="14">
        <f>Data!T743</f>
        <v>7</v>
      </c>
    </row>
    <row r="744" spans="2:5" ht="15" customHeight="1" x14ac:dyDescent="0.3">
      <c r="C744" s="2"/>
      <c r="D744" s="8">
        <v>2019</v>
      </c>
      <c r="E744" s="14">
        <f>Data!T744</f>
        <v>7</v>
      </c>
    </row>
    <row r="745" spans="2:5" ht="15" customHeight="1" x14ac:dyDescent="0.3">
      <c r="C745" s="2"/>
      <c r="D745" s="8">
        <v>2020</v>
      </c>
      <c r="E745" s="14">
        <f>Data!T745</f>
        <v>8</v>
      </c>
    </row>
    <row r="746" spans="2:5" ht="15" customHeight="1" x14ac:dyDescent="0.3">
      <c r="C746" s="2"/>
      <c r="D746" s="8">
        <v>2021</v>
      </c>
      <c r="E746" s="14">
        <f>Data!T746</f>
        <v>8</v>
      </c>
    </row>
    <row r="747" spans="2:5" ht="15" customHeight="1" x14ac:dyDescent="0.3">
      <c r="C747" s="2"/>
      <c r="D747" s="8">
        <v>2022</v>
      </c>
      <c r="E747" s="14">
        <f>Data!T747</f>
        <v>8</v>
      </c>
    </row>
    <row r="748" spans="2:5" ht="15" customHeight="1" x14ac:dyDescent="0.3">
      <c r="C748" s="2"/>
      <c r="D748" s="8">
        <v>2023</v>
      </c>
      <c r="E748" s="14">
        <f>Data!T748</f>
        <v>7</v>
      </c>
    </row>
    <row r="749" spans="2:5" ht="15" customHeight="1" x14ac:dyDescent="0.3">
      <c r="C749" s="2"/>
      <c r="D749" s="8">
        <v>2024</v>
      </c>
      <c r="E749" s="14">
        <f>Data!T749</f>
        <v>8</v>
      </c>
    </row>
    <row r="750" spans="2:5" ht="15" customHeight="1" x14ac:dyDescent="0.3">
      <c r="B750" s="8">
        <v>69</v>
      </c>
      <c r="C750" s="2" t="s">
        <v>70</v>
      </c>
      <c r="D750" s="8">
        <v>2014</v>
      </c>
      <c r="E750" s="14">
        <f>Data!T750</f>
        <v>0</v>
      </c>
    </row>
    <row r="751" spans="2:5" ht="15" customHeight="1" x14ac:dyDescent="0.3">
      <c r="C751" s="2"/>
      <c r="D751" s="8">
        <v>2015</v>
      </c>
      <c r="E751" s="14">
        <f>Data!T751</f>
        <v>0</v>
      </c>
    </row>
    <row r="752" spans="2:5" ht="15" customHeight="1" x14ac:dyDescent="0.3">
      <c r="C752" s="2"/>
      <c r="D752" s="8">
        <v>2016</v>
      </c>
      <c r="E752" s="14">
        <f>Data!T752</f>
        <v>0</v>
      </c>
    </row>
    <row r="753" spans="2:5" ht="15" customHeight="1" x14ac:dyDescent="0.3">
      <c r="C753" s="2"/>
      <c r="D753" s="8">
        <v>2017</v>
      </c>
      <c r="E753" s="14">
        <f>Data!T753</f>
        <v>0</v>
      </c>
    </row>
    <row r="754" spans="2:5" ht="15" customHeight="1" x14ac:dyDescent="0.3">
      <c r="C754" s="2"/>
      <c r="D754" s="8">
        <v>2018</v>
      </c>
      <c r="E754" s="14">
        <f>Data!T754</f>
        <v>6</v>
      </c>
    </row>
    <row r="755" spans="2:5" ht="15" customHeight="1" x14ac:dyDescent="0.3">
      <c r="C755" s="2"/>
      <c r="D755" s="8">
        <v>2019</v>
      </c>
      <c r="E755" s="14">
        <f>Data!T755</f>
        <v>7</v>
      </c>
    </row>
    <row r="756" spans="2:5" ht="15" customHeight="1" x14ac:dyDescent="0.3">
      <c r="C756" s="2"/>
      <c r="D756" s="8">
        <v>2020</v>
      </c>
      <c r="E756" s="14">
        <f>Data!T756</f>
        <v>7</v>
      </c>
    </row>
    <row r="757" spans="2:5" ht="15" customHeight="1" x14ac:dyDescent="0.3">
      <c r="C757" s="2"/>
      <c r="D757" s="8">
        <v>2021</v>
      </c>
      <c r="E757" s="14">
        <f>Data!T757</f>
        <v>8</v>
      </c>
    </row>
    <row r="758" spans="2:5" ht="15" customHeight="1" x14ac:dyDescent="0.3">
      <c r="C758" s="2"/>
      <c r="D758" s="8">
        <v>2022</v>
      </c>
      <c r="E758" s="14">
        <f>Data!T758</f>
        <v>8</v>
      </c>
    </row>
    <row r="759" spans="2:5" ht="15" customHeight="1" x14ac:dyDescent="0.3">
      <c r="C759" s="2"/>
      <c r="D759" s="8">
        <v>2023</v>
      </c>
      <c r="E759" s="14">
        <f>Data!T759</f>
        <v>7</v>
      </c>
    </row>
    <row r="760" spans="2:5" ht="15" customHeight="1" x14ac:dyDescent="0.3">
      <c r="C760" s="2"/>
      <c r="D760" s="8">
        <v>2024</v>
      </c>
      <c r="E760" s="14">
        <f>Data!T760</f>
        <v>7</v>
      </c>
    </row>
    <row r="761" spans="2:5" ht="15" customHeight="1" x14ac:dyDescent="0.3">
      <c r="B761" s="8">
        <v>70</v>
      </c>
      <c r="C761" s="2" t="s">
        <v>71</v>
      </c>
      <c r="D761" s="8">
        <v>2014</v>
      </c>
      <c r="E761" s="14">
        <f>Data!T761</f>
        <v>0</v>
      </c>
    </row>
    <row r="762" spans="2:5" ht="15" customHeight="1" x14ac:dyDescent="0.3">
      <c r="C762" s="2"/>
      <c r="D762" s="8">
        <v>2015</v>
      </c>
      <c r="E762" s="14">
        <f>Data!T762</f>
        <v>8</v>
      </c>
    </row>
    <row r="763" spans="2:5" ht="15" customHeight="1" x14ac:dyDescent="0.3">
      <c r="C763" s="2"/>
      <c r="D763" s="8">
        <v>2016</v>
      </c>
      <c r="E763" s="14">
        <f>Data!T763</f>
        <v>9</v>
      </c>
    </row>
    <row r="764" spans="2:5" ht="15" customHeight="1" x14ac:dyDescent="0.3">
      <c r="C764" s="2"/>
      <c r="D764" s="8">
        <v>2017</v>
      </c>
      <c r="E764" s="14">
        <f>Data!T764</f>
        <v>9</v>
      </c>
    </row>
    <row r="765" spans="2:5" ht="15" customHeight="1" x14ac:dyDescent="0.3">
      <c r="C765" s="2"/>
      <c r="D765" s="8">
        <v>2018</v>
      </c>
      <c r="E765" s="14">
        <f>Data!T765</f>
        <v>10</v>
      </c>
    </row>
    <row r="766" spans="2:5" ht="15" customHeight="1" x14ac:dyDescent="0.3">
      <c r="C766" s="2"/>
      <c r="D766" s="8">
        <v>2019</v>
      </c>
      <c r="E766" s="14">
        <f>Data!T766</f>
        <v>9</v>
      </c>
    </row>
    <row r="767" spans="2:5" ht="15" customHeight="1" x14ac:dyDescent="0.3">
      <c r="C767" s="2"/>
      <c r="D767" s="8">
        <v>2020</v>
      </c>
      <c r="E767" s="14">
        <f>Data!T767</f>
        <v>9</v>
      </c>
    </row>
    <row r="768" spans="2:5" ht="15" customHeight="1" x14ac:dyDescent="0.3">
      <c r="C768" s="2"/>
      <c r="D768" s="8">
        <v>2021</v>
      </c>
      <c r="E768" s="14">
        <f>Data!T768</f>
        <v>9</v>
      </c>
    </row>
    <row r="769" spans="2:5" ht="15" customHeight="1" x14ac:dyDescent="0.3">
      <c r="C769" s="2"/>
      <c r="D769" s="8">
        <v>2022</v>
      </c>
      <c r="E769" s="14">
        <f>Data!T769</f>
        <v>10</v>
      </c>
    </row>
    <row r="770" spans="2:5" ht="15" customHeight="1" x14ac:dyDescent="0.3">
      <c r="C770" s="2"/>
      <c r="D770" s="8">
        <v>2023</v>
      </c>
      <c r="E770" s="14">
        <f>Data!T770</f>
        <v>9</v>
      </c>
    </row>
    <row r="771" spans="2:5" ht="15" customHeight="1" x14ac:dyDescent="0.3">
      <c r="C771" s="2"/>
      <c r="D771" s="8">
        <v>2024</v>
      </c>
      <c r="E771" s="14">
        <f>Data!T771</f>
        <v>8</v>
      </c>
    </row>
    <row r="772" spans="2:5" ht="15" customHeight="1" x14ac:dyDescent="0.3">
      <c r="B772" s="8">
        <v>71</v>
      </c>
      <c r="C772" s="2" t="s">
        <v>73</v>
      </c>
      <c r="D772" s="8">
        <v>2014</v>
      </c>
      <c r="E772" s="14">
        <f>Data!T772</f>
        <v>0</v>
      </c>
    </row>
    <row r="773" spans="2:5" ht="15" customHeight="1" x14ac:dyDescent="0.3">
      <c r="C773" s="2"/>
      <c r="D773" s="8">
        <v>2015</v>
      </c>
      <c r="E773" s="14">
        <f>Data!T773</f>
        <v>7</v>
      </c>
    </row>
    <row r="774" spans="2:5" ht="15" customHeight="1" x14ac:dyDescent="0.3">
      <c r="C774" s="2"/>
      <c r="D774" s="8">
        <v>2016</v>
      </c>
      <c r="E774" s="14">
        <f>Data!T774</f>
        <v>7</v>
      </c>
    </row>
    <row r="775" spans="2:5" ht="15" customHeight="1" x14ac:dyDescent="0.3">
      <c r="C775" s="2"/>
      <c r="D775" s="8">
        <v>2017</v>
      </c>
      <c r="E775" s="14">
        <f>Data!T775</f>
        <v>7</v>
      </c>
    </row>
    <row r="776" spans="2:5" ht="15" customHeight="1" x14ac:dyDescent="0.3">
      <c r="C776" s="2"/>
      <c r="D776" s="8">
        <v>2018</v>
      </c>
      <c r="E776" s="14">
        <f>Data!T776</f>
        <v>7</v>
      </c>
    </row>
    <row r="777" spans="2:5" ht="15" customHeight="1" x14ac:dyDescent="0.3">
      <c r="C777" s="2"/>
      <c r="D777" s="8">
        <v>2019</v>
      </c>
      <c r="E777" s="14">
        <f>Data!T777</f>
        <v>7</v>
      </c>
    </row>
    <row r="778" spans="2:5" ht="15" customHeight="1" x14ac:dyDescent="0.3">
      <c r="C778" s="2"/>
      <c r="D778" s="8">
        <v>2020</v>
      </c>
      <c r="E778" s="14">
        <f>Data!T778</f>
        <v>7</v>
      </c>
    </row>
    <row r="779" spans="2:5" ht="15" customHeight="1" x14ac:dyDescent="0.3">
      <c r="C779" s="2"/>
      <c r="D779" s="8">
        <v>2021</v>
      </c>
      <c r="E779" s="14">
        <f>Data!T779</f>
        <v>7</v>
      </c>
    </row>
    <row r="780" spans="2:5" ht="15" customHeight="1" x14ac:dyDescent="0.3">
      <c r="C780" s="2"/>
      <c r="D780" s="8">
        <v>2022</v>
      </c>
      <c r="E780" s="14">
        <f>Data!T780</f>
        <v>7</v>
      </c>
    </row>
    <row r="781" spans="2:5" ht="15" customHeight="1" x14ac:dyDescent="0.3">
      <c r="C781" s="2"/>
      <c r="D781" s="8">
        <v>2023</v>
      </c>
      <c r="E781" s="14">
        <f>Data!T781</f>
        <v>7</v>
      </c>
    </row>
    <row r="782" spans="2:5" ht="15" customHeight="1" x14ac:dyDescent="0.3">
      <c r="C782" s="2"/>
      <c r="D782" s="8">
        <v>2024</v>
      </c>
      <c r="E782" s="14">
        <f>Data!T782</f>
        <v>7</v>
      </c>
    </row>
    <row r="783" spans="2:5" ht="15" customHeight="1" x14ac:dyDescent="0.3">
      <c r="B783" s="8">
        <v>72</v>
      </c>
      <c r="C783" s="2" t="s">
        <v>75</v>
      </c>
      <c r="D783" s="8">
        <v>2014</v>
      </c>
      <c r="E783" s="14">
        <f>Data!T783</f>
        <v>0</v>
      </c>
    </row>
    <row r="784" spans="2:5" ht="15" customHeight="1" x14ac:dyDescent="0.3">
      <c r="C784" s="2"/>
      <c r="D784" s="8">
        <v>2015</v>
      </c>
      <c r="E784" s="14">
        <f>Data!T784</f>
        <v>7</v>
      </c>
    </row>
    <row r="785" spans="2:5" ht="15" customHeight="1" x14ac:dyDescent="0.3">
      <c r="C785" s="2"/>
      <c r="D785" s="8">
        <v>2016</v>
      </c>
      <c r="E785" s="14">
        <f>Data!T785</f>
        <v>7</v>
      </c>
    </row>
    <row r="786" spans="2:5" ht="15" customHeight="1" x14ac:dyDescent="0.3">
      <c r="C786" s="2"/>
      <c r="D786" s="8">
        <v>2017</v>
      </c>
      <c r="E786" s="14">
        <f>Data!T786</f>
        <v>7</v>
      </c>
    </row>
    <row r="787" spans="2:5" ht="15" customHeight="1" x14ac:dyDescent="0.3">
      <c r="C787" s="2"/>
      <c r="D787" s="8">
        <v>2018</v>
      </c>
      <c r="E787" s="14">
        <f>Data!T787</f>
        <v>7</v>
      </c>
    </row>
    <row r="788" spans="2:5" ht="15" customHeight="1" x14ac:dyDescent="0.3">
      <c r="C788" s="2"/>
      <c r="D788" s="8">
        <v>2019</v>
      </c>
      <c r="E788" s="14">
        <f>Data!T788</f>
        <v>10</v>
      </c>
    </row>
    <row r="789" spans="2:5" ht="15" customHeight="1" x14ac:dyDescent="0.3">
      <c r="C789" s="2"/>
      <c r="D789" s="8">
        <v>2020</v>
      </c>
      <c r="E789" s="14">
        <f>Data!T789</f>
        <v>10</v>
      </c>
    </row>
    <row r="790" spans="2:5" ht="15" customHeight="1" x14ac:dyDescent="0.3">
      <c r="C790" s="2"/>
      <c r="D790" s="8">
        <v>2021</v>
      </c>
      <c r="E790" s="14">
        <f>Data!T790</f>
        <v>10</v>
      </c>
    </row>
    <row r="791" spans="2:5" ht="15" customHeight="1" x14ac:dyDescent="0.3">
      <c r="C791" s="2"/>
      <c r="D791" s="8">
        <v>2022</v>
      </c>
      <c r="E791" s="14">
        <f>Data!T791</f>
        <v>10</v>
      </c>
    </row>
    <row r="792" spans="2:5" ht="15" customHeight="1" x14ac:dyDescent="0.3">
      <c r="C792" s="2"/>
      <c r="D792" s="8">
        <v>2023</v>
      </c>
      <c r="E792" s="14">
        <f>Data!T792</f>
        <v>10</v>
      </c>
    </row>
    <row r="793" spans="2:5" ht="15" customHeight="1" x14ac:dyDescent="0.3">
      <c r="C793" s="2"/>
      <c r="D793" s="8">
        <v>2024</v>
      </c>
      <c r="E793" s="14">
        <f>Data!T793</f>
        <v>9</v>
      </c>
    </row>
    <row r="794" spans="2:5" ht="15" customHeight="1" x14ac:dyDescent="0.3">
      <c r="B794" s="8">
        <v>73</v>
      </c>
      <c r="C794" s="2" t="s">
        <v>96</v>
      </c>
      <c r="D794" s="8">
        <v>2014</v>
      </c>
      <c r="E794" s="14">
        <f>Data!T794</f>
        <v>0</v>
      </c>
    </row>
    <row r="795" spans="2:5" ht="15" customHeight="1" x14ac:dyDescent="0.3">
      <c r="C795" s="2"/>
      <c r="D795" s="8">
        <v>2015</v>
      </c>
      <c r="E795" s="14">
        <f>Data!T795</f>
        <v>0</v>
      </c>
    </row>
    <row r="796" spans="2:5" ht="15" customHeight="1" x14ac:dyDescent="0.3">
      <c r="C796" s="2"/>
      <c r="D796" s="8">
        <v>2016</v>
      </c>
      <c r="E796" s="14">
        <f>Data!T796</f>
        <v>0</v>
      </c>
    </row>
    <row r="797" spans="2:5" ht="15" customHeight="1" x14ac:dyDescent="0.3">
      <c r="C797" s="2"/>
      <c r="D797" s="8">
        <v>2017</v>
      </c>
      <c r="E797" s="14">
        <f>Data!T797</f>
        <v>0</v>
      </c>
    </row>
    <row r="798" spans="2:5" ht="15" customHeight="1" x14ac:dyDescent="0.3">
      <c r="C798" s="2"/>
      <c r="D798" s="8">
        <v>2018</v>
      </c>
      <c r="E798" s="14">
        <f>Data!T798</f>
        <v>0</v>
      </c>
    </row>
    <row r="799" spans="2:5" ht="15" customHeight="1" x14ac:dyDescent="0.3">
      <c r="C799" s="2"/>
      <c r="D799" s="8">
        <v>2019</v>
      </c>
      <c r="E799" s="14">
        <f>Data!T799</f>
        <v>0</v>
      </c>
    </row>
    <row r="800" spans="2:5" ht="15" customHeight="1" x14ac:dyDescent="0.3">
      <c r="C800" s="2"/>
      <c r="D800" s="8">
        <v>2020</v>
      </c>
      <c r="E800" s="14">
        <f>Data!T800</f>
        <v>7</v>
      </c>
    </row>
    <row r="801" spans="2:5" ht="15" customHeight="1" x14ac:dyDescent="0.3">
      <c r="C801" s="2"/>
      <c r="D801" s="8">
        <v>2021</v>
      </c>
      <c r="E801" s="14">
        <f>Data!T801</f>
        <v>7</v>
      </c>
    </row>
    <row r="802" spans="2:5" ht="15" customHeight="1" x14ac:dyDescent="0.3">
      <c r="C802" s="2"/>
      <c r="D802" s="8">
        <v>2022</v>
      </c>
      <c r="E802" s="14">
        <f>Data!T802</f>
        <v>6</v>
      </c>
    </row>
    <row r="803" spans="2:5" ht="15" customHeight="1" x14ac:dyDescent="0.3">
      <c r="C803" s="2"/>
      <c r="D803" s="8">
        <v>2023</v>
      </c>
      <c r="E803" s="14">
        <f>Data!T803</f>
        <v>6</v>
      </c>
    </row>
    <row r="804" spans="2:5" ht="15" customHeight="1" x14ac:dyDescent="0.3">
      <c r="C804" s="2"/>
      <c r="D804" s="8">
        <v>2024</v>
      </c>
      <c r="E804" s="14">
        <f>Data!T804</f>
        <v>7</v>
      </c>
    </row>
    <row r="805" spans="2:5" ht="15" customHeight="1" x14ac:dyDescent="0.3">
      <c r="B805" s="8">
        <v>74</v>
      </c>
      <c r="C805" s="2" t="s">
        <v>76</v>
      </c>
      <c r="D805" s="8">
        <v>2014</v>
      </c>
      <c r="E805" s="14">
        <f>Data!T805</f>
        <v>0</v>
      </c>
    </row>
    <row r="806" spans="2:5" ht="15" customHeight="1" x14ac:dyDescent="0.3">
      <c r="C806" s="2"/>
      <c r="D806" s="8">
        <v>2015</v>
      </c>
      <c r="E806" s="14">
        <f>Data!T806</f>
        <v>9</v>
      </c>
    </row>
    <row r="807" spans="2:5" ht="15" customHeight="1" x14ac:dyDescent="0.3">
      <c r="C807" s="2"/>
      <c r="D807" s="8">
        <v>2016</v>
      </c>
      <c r="E807" s="14">
        <f>Data!T807</f>
        <v>9</v>
      </c>
    </row>
    <row r="808" spans="2:5" ht="15" customHeight="1" x14ac:dyDescent="0.3">
      <c r="C808" s="2"/>
      <c r="D808" s="8">
        <v>2017</v>
      </c>
      <c r="E808" s="14">
        <f>Data!T808</f>
        <v>8</v>
      </c>
    </row>
    <row r="809" spans="2:5" ht="15" customHeight="1" x14ac:dyDescent="0.3">
      <c r="C809" s="2"/>
      <c r="D809" s="8">
        <v>2018</v>
      </c>
      <c r="E809" s="14">
        <f>Data!T809</f>
        <v>9</v>
      </c>
    </row>
    <row r="810" spans="2:5" ht="15" customHeight="1" x14ac:dyDescent="0.3">
      <c r="C810" s="2"/>
      <c r="D810" s="8">
        <v>2019</v>
      </c>
      <c r="E810" s="14">
        <f>Data!T810</f>
        <v>9</v>
      </c>
    </row>
    <row r="811" spans="2:5" ht="15" customHeight="1" x14ac:dyDescent="0.3">
      <c r="C811" s="2"/>
      <c r="D811" s="8">
        <v>2020</v>
      </c>
      <c r="E811" s="14">
        <f>Data!T811</f>
        <v>9</v>
      </c>
    </row>
    <row r="812" spans="2:5" ht="15" customHeight="1" x14ac:dyDescent="0.3">
      <c r="C812" s="2"/>
      <c r="D812" s="8">
        <v>2021</v>
      </c>
      <c r="E812" s="14">
        <f>Data!T812</f>
        <v>9</v>
      </c>
    </row>
    <row r="813" spans="2:5" ht="15" customHeight="1" x14ac:dyDescent="0.3">
      <c r="C813" s="2"/>
      <c r="D813" s="8">
        <v>2022</v>
      </c>
      <c r="E813" s="14">
        <f>Data!T813</f>
        <v>9</v>
      </c>
    </row>
    <row r="814" spans="2:5" ht="15" customHeight="1" x14ac:dyDescent="0.3">
      <c r="C814" s="2"/>
      <c r="D814" s="8">
        <v>2023</v>
      </c>
      <c r="E814" s="14">
        <f>Data!T814</f>
        <v>9</v>
      </c>
    </row>
    <row r="815" spans="2:5" ht="15" customHeight="1" x14ac:dyDescent="0.3">
      <c r="C815" s="2"/>
      <c r="D815" s="8">
        <v>2024</v>
      </c>
      <c r="E815" s="14">
        <f>Data!T815</f>
        <v>9</v>
      </c>
    </row>
    <row r="816" spans="2:5" ht="15" customHeight="1" x14ac:dyDescent="0.3">
      <c r="B816" s="8">
        <v>75</v>
      </c>
      <c r="C816" s="1" t="s">
        <v>130</v>
      </c>
      <c r="D816" s="8">
        <v>2014</v>
      </c>
      <c r="E816" s="14">
        <f>Data!T816</f>
        <v>0</v>
      </c>
    </row>
    <row r="817" spans="2:5" ht="15" customHeight="1" x14ac:dyDescent="0.3">
      <c r="C817" s="1"/>
      <c r="D817" s="8">
        <v>2015</v>
      </c>
      <c r="E817" s="14">
        <f>Data!T817</f>
        <v>0</v>
      </c>
    </row>
    <row r="818" spans="2:5" ht="15" customHeight="1" x14ac:dyDescent="0.3">
      <c r="C818" s="1"/>
      <c r="D818" s="8">
        <v>2016</v>
      </c>
      <c r="E818" s="14">
        <f>Data!T818</f>
        <v>0</v>
      </c>
    </row>
    <row r="819" spans="2:5" ht="15" customHeight="1" x14ac:dyDescent="0.3">
      <c r="C819" s="1"/>
      <c r="D819" s="8">
        <v>2017</v>
      </c>
      <c r="E819" s="14">
        <f>Data!T819</f>
        <v>0</v>
      </c>
    </row>
    <row r="820" spans="2:5" ht="15" customHeight="1" x14ac:dyDescent="0.3">
      <c r="C820" s="1"/>
      <c r="D820" s="8">
        <v>2018</v>
      </c>
      <c r="E820" s="14">
        <f>Data!T820</f>
        <v>0</v>
      </c>
    </row>
    <row r="821" spans="2:5" ht="15" customHeight="1" x14ac:dyDescent="0.3">
      <c r="C821" s="1"/>
      <c r="D821" s="8">
        <v>2019</v>
      </c>
      <c r="E821" s="14">
        <f>Data!T821</f>
        <v>0</v>
      </c>
    </row>
    <row r="822" spans="2:5" ht="15" customHeight="1" x14ac:dyDescent="0.3">
      <c r="C822" s="1"/>
      <c r="D822" s="8">
        <v>2020</v>
      </c>
      <c r="E822" s="14">
        <f>Data!T822</f>
        <v>0</v>
      </c>
    </row>
    <row r="823" spans="2:5" ht="15" customHeight="1" x14ac:dyDescent="0.3">
      <c r="C823" s="1"/>
      <c r="D823" s="8">
        <v>2021</v>
      </c>
      <c r="E823" s="14">
        <f>Data!T823</f>
        <v>0</v>
      </c>
    </row>
    <row r="824" spans="2:5" ht="15" customHeight="1" x14ac:dyDescent="0.3">
      <c r="C824" s="1"/>
      <c r="D824" s="8">
        <v>2022</v>
      </c>
      <c r="E824" s="14">
        <f>Data!T824</f>
        <v>0</v>
      </c>
    </row>
    <row r="825" spans="2:5" ht="15" customHeight="1" x14ac:dyDescent="0.3">
      <c r="C825" s="1"/>
      <c r="D825" s="8">
        <v>2023</v>
      </c>
      <c r="E825" s="14">
        <f>Data!T825</f>
        <v>0</v>
      </c>
    </row>
    <row r="826" spans="2:5" ht="15" customHeight="1" x14ac:dyDescent="0.3">
      <c r="C826" s="1"/>
      <c r="D826" s="8">
        <v>2024</v>
      </c>
      <c r="E826" s="14">
        <f>Data!T826</f>
        <v>0</v>
      </c>
    </row>
    <row r="827" spans="2:5" ht="15" customHeight="1" x14ac:dyDescent="0.3">
      <c r="B827" s="8">
        <v>76</v>
      </c>
      <c r="C827" s="2" t="s">
        <v>79</v>
      </c>
      <c r="D827" s="8">
        <v>2014</v>
      </c>
      <c r="E827" s="14">
        <f>Data!T827</f>
        <v>0</v>
      </c>
    </row>
    <row r="828" spans="2:5" ht="15" customHeight="1" x14ac:dyDescent="0.3">
      <c r="C828" s="2"/>
      <c r="D828" s="8">
        <v>2015</v>
      </c>
      <c r="E828" s="14">
        <f>Data!T828</f>
        <v>0</v>
      </c>
    </row>
    <row r="829" spans="2:5" ht="15" customHeight="1" x14ac:dyDescent="0.3">
      <c r="C829" s="2"/>
      <c r="D829" s="8">
        <v>2016</v>
      </c>
      <c r="E829" s="14">
        <f>Data!T829</f>
        <v>0</v>
      </c>
    </row>
    <row r="830" spans="2:5" ht="15" customHeight="1" x14ac:dyDescent="0.3">
      <c r="C830" s="2"/>
      <c r="D830" s="8">
        <v>2017</v>
      </c>
      <c r="E830" s="14">
        <f>Data!T830</f>
        <v>0</v>
      </c>
    </row>
    <row r="831" spans="2:5" ht="15" customHeight="1" x14ac:dyDescent="0.3">
      <c r="C831" s="2"/>
      <c r="D831" s="8">
        <v>2018</v>
      </c>
      <c r="E831" s="14">
        <f>Data!T831</f>
        <v>0</v>
      </c>
    </row>
    <row r="832" spans="2:5" ht="15" customHeight="1" x14ac:dyDescent="0.3">
      <c r="C832" s="2"/>
      <c r="D832" s="8">
        <v>2019</v>
      </c>
      <c r="E832" s="14">
        <f>Data!T832</f>
        <v>0</v>
      </c>
    </row>
    <row r="833" spans="2:5" ht="15" customHeight="1" x14ac:dyDescent="0.3">
      <c r="C833" s="2"/>
      <c r="D833" s="8">
        <v>2020</v>
      </c>
      <c r="E833" s="14">
        <f>Data!T833</f>
        <v>9</v>
      </c>
    </row>
    <row r="834" spans="2:5" ht="15" customHeight="1" x14ac:dyDescent="0.3">
      <c r="C834" s="2"/>
      <c r="D834" s="8">
        <v>2021</v>
      </c>
      <c r="E834" s="14">
        <f>Data!T834</f>
        <v>9</v>
      </c>
    </row>
    <row r="835" spans="2:5" ht="15" customHeight="1" x14ac:dyDescent="0.3">
      <c r="C835" s="2"/>
      <c r="D835" s="8">
        <v>2022</v>
      </c>
      <c r="E835" s="14">
        <f>Data!T835</f>
        <v>9</v>
      </c>
    </row>
    <row r="836" spans="2:5" ht="15" customHeight="1" x14ac:dyDescent="0.3">
      <c r="C836" s="2"/>
      <c r="D836" s="8">
        <v>2023</v>
      </c>
      <c r="E836" s="14">
        <f>Data!T836</f>
        <v>7</v>
      </c>
    </row>
    <row r="837" spans="2:5" ht="15" customHeight="1" x14ac:dyDescent="0.3">
      <c r="C837" s="2"/>
      <c r="D837" s="8">
        <v>2024</v>
      </c>
      <c r="E837" s="14">
        <f>Data!T837</f>
        <v>8</v>
      </c>
    </row>
    <row r="838" spans="2:5" ht="15" customHeight="1" x14ac:dyDescent="0.3">
      <c r="B838" s="8">
        <v>77</v>
      </c>
      <c r="C838" s="2" t="s">
        <v>119</v>
      </c>
      <c r="D838" s="8">
        <v>2014</v>
      </c>
      <c r="E838" s="14">
        <f>Data!T838</f>
        <v>0</v>
      </c>
    </row>
    <row r="839" spans="2:5" ht="15" customHeight="1" x14ac:dyDescent="0.3">
      <c r="C839" s="2"/>
      <c r="D839" s="8">
        <v>2015</v>
      </c>
      <c r="E839" s="14">
        <f>Data!T839</f>
        <v>0</v>
      </c>
    </row>
    <row r="840" spans="2:5" ht="15" customHeight="1" x14ac:dyDescent="0.3">
      <c r="C840" s="2"/>
      <c r="D840" s="8">
        <v>2016</v>
      </c>
      <c r="E840" s="14">
        <f>Data!T840</f>
        <v>0</v>
      </c>
    </row>
    <row r="841" spans="2:5" ht="15" customHeight="1" x14ac:dyDescent="0.3">
      <c r="C841" s="2"/>
      <c r="D841" s="8">
        <v>2017</v>
      </c>
      <c r="E841" s="14">
        <f>Data!T841</f>
        <v>0</v>
      </c>
    </row>
    <row r="842" spans="2:5" ht="15" customHeight="1" x14ac:dyDescent="0.3">
      <c r="C842" s="2"/>
      <c r="D842" s="8">
        <v>2018</v>
      </c>
      <c r="E842" s="14">
        <f>Data!T842</f>
        <v>0</v>
      </c>
    </row>
    <row r="843" spans="2:5" ht="15" customHeight="1" x14ac:dyDescent="0.3">
      <c r="C843" s="2"/>
      <c r="D843" s="8">
        <v>2019</v>
      </c>
      <c r="E843" s="14">
        <f>Data!T843</f>
        <v>7</v>
      </c>
    </row>
    <row r="844" spans="2:5" ht="15" customHeight="1" x14ac:dyDescent="0.3">
      <c r="C844" s="2"/>
      <c r="D844" s="8">
        <v>2020</v>
      </c>
      <c r="E844" s="14">
        <f>Data!T844</f>
        <v>6</v>
      </c>
    </row>
    <row r="845" spans="2:5" ht="15" customHeight="1" x14ac:dyDescent="0.3">
      <c r="C845" s="2"/>
      <c r="D845" s="8">
        <v>2021</v>
      </c>
      <c r="E845" s="14">
        <f>Data!T845</f>
        <v>5</v>
      </c>
    </row>
    <row r="846" spans="2:5" ht="15" customHeight="1" x14ac:dyDescent="0.3">
      <c r="C846" s="2"/>
      <c r="D846" s="8">
        <v>2022</v>
      </c>
      <c r="E846" s="14">
        <f>Data!T846</f>
        <v>6</v>
      </c>
    </row>
    <row r="847" spans="2:5" ht="15" customHeight="1" x14ac:dyDescent="0.3">
      <c r="C847" s="2"/>
      <c r="D847" s="8">
        <v>2023</v>
      </c>
      <c r="E847" s="14">
        <f>Data!T847</f>
        <v>6</v>
      </c>
    </row>
    <row r="848" spans="2:5" ht="15" customHeight="1" x14ac:dyDescent="0.3">
      <c r="C848" s="2"/>
      <c r="D848" s="8">
        <v>2024</v>
      </c>
      <c r="E848" s="14">
        <f>Data!T848</f>
        <v>6</v>
      </c>
    </row>
    <row r="849" spans="2:5" ht="15" customHeight="1" x14ac:dyDescent="0.3">
      <c r="B849" s="8">
        <v>78</v>
      </c>
      <c r="C849" s="2" t="s">
        <v>80</v>
      </c>
      <c r="D849" s="8">
        <v>2014</v>
      </c>
      <c r="E849" s="14">
        <f>Data!T849</f>
        <v>0</v>
      </c>
    </row>
    <row r="850" spans="2:5" ht="15" customHeight="1" x14ac:dyDescent="0.3">
      <c r="C850" s="2"/>
      <c r="D850" s="8">
        <v>2015</v>
      </c>
      <c r="E850" s="14">
        <f>Data!T850</f>
        <v>0</v>
      </c>
    </row>
    <row r="851" spans="2:5" ht="15" customHeight="1" x14ac:dyDescent="0.3">
      <c r="C851" s="2"/>
      <c r="D851" s="8">
        <v>2016</v>
      </c>
      <c r="E851" s="14">
        <f>Data!T851</f>
        <v>0</v>
      </c>
    </row>
    <row r="852" spans="2:5" ht="15" customHeight="1" x14ac:dyDescent="0.3">
      <c r="C852" s="2"/>
      <c r="D852" s="8">
        <v>2017</v>
      </c>
      <c r="E852" s="14">
        <f>Data!T852</f>
        <v>0</v>
      </c>
    </row>
    <row r="853" spans="2:5" ht="15" customHeight="1" x14ac:dyDescent="0.3">
      <c r="C853" s="2"/>
      <c r="D853" s="8">
        <v>2018</v>
      </c>
      <c r="E853" s="14">
        <f>Data!T853</f>
        <v>6</v>
      </c>
    </row>
    <row r="854" spans="2:5" ht="15" customHeight="1" x14ac:dyDescent="0.3">
      <c r="C854" s="2"/>
      <c r="D854" s="8">
        <v>2019</v>
      </c>
      <c r="E854" s="14">
        <f>Data!T854</f>
        <v>6</v>
      </c>
    </row>
    <row r="855" spans="2:5" ht="15" customHeight="1" x14ac:dyDescent="0.3">
      <c r="C855" s="2"/>
      <c r="D855" s="8">
        <v>2020</v>
      </c>
      <c r="E855" s="14">
        <f>Data!T855</f>
        <v>6</v>
      </c>
    </row>
    <row r="856" spans="2:5" ht="15" customHeight="1" x14ac:dyDescent="0.3">
      <c r="C856" s="2"/>
      <c r="D856" s="8">
        <v>2021</v>
      </c>
      <c r="E856" s="14">
        <f>Data!T856</f>
        <v>6</v>
      </c>
    </row>
    <row r="857" spans="2:5" ht="15" customHeight="1" x14ac:dyDescent="0.3">
      <c r="C857" s="2"/>
      <c r="D857" s="8">
        <v>2022</v>
      </c>
      <c r="E857" s="14">
        <f>Data!T857</f>
        <v>6</v>
      </c>
    </row>
    <row r="858" spans="2:5" ht="15" customHeight="1" x14ac:dyDescent="0.3">
      <c r="C858" s="2"/>
      <c r="D858" s="8">
        <v>2023</v>
      </c>
      <c r="E858" s="14">
        <f>Data!T858</f>
        <v>6</v>
      </c>
    </row>
    <row r="859" spans="2:5" ht="15" customHeight="1" x14ac:dyDescent="0.3">
      <c r="C859" s="2"/>
      <c r="D859" s="8">
        <v>2024</v>
      </c>
      <c r="E859" s="14">
        <f>Data!T859</f>
        <v>6</v>
      </c>
    </row>
    <row r="860" spans="2:5" ht="15" customHeight="1" x14ac:dyDescent="0.3">
      <c r="B860" s="8">
        <v>79</v>
      </c>
      <c r="C860" s="2" t="s">
        <v>97</v>
      </c>
      <c r="D860" s="8">
        <v>2014</v>
      </c>
      <c r="E860" s="14">
        <f>Data!T860</f>
        <v>0</v>
      </c>
    </row>
    <row r="861" spans="2:5" ht="15" customHeight="1" x14ac:dyDescent="0.3">
      <c r="C861" s="2"/>
      <c r="D861" s="8">
        <v>2015</v>
      </c>
      <c r="E861" s="14">
        <f>Data!T861</f>
        <v>6</v>
      </c>
    </row>
    <row r="862" spans="2:5" ht="15" customHeight="1" x14ac:dyDescent="0.3">
      <c r="C862" s="2"/>
      <c r="D862" s="8">
        <v>2016</v>
      </c>
      <c r="E862" s="14">
        <f>Data!T862</f>
        <v>6</v>
      </c>
    </row>
    <row r="863" spans="2:5" ht="15" customHeight="1" x14ac:dyDescent="0.3">
      <c r="C863" s="2"/>
      <c r="D863" s="8">
        <v>2017</v>
      </c>
      <c r="E863" s="14">
        <f>Data!T863</f>
        <v>6</v>
      </c>
    </row>
    <row r="864" spans="2:5" ht="15" customHeight="1" x14ac:dyDescent="0.3">
      <c r="C864" s="2"/>
      <c r="D864" s="8">
        <v>2018</v>
      </c>
      <c r="E864" s="14">
        <f>Data!T864</f>
        <v>13</v>
      </c>
    </row>
    <row r="865" spans="2:5" ht="15" customHeight="1" x14ac:dyDescent="0.3">
      <c r="C865" s="2"/>
      <c r="D865" s="8">
        <v>2019</v>
      </c>
      <c r="E865" s="14">
        <f>Data!T865</f>
        <v>11</v>
      </c>
    </row>
    <row r="866" spans="2:5" ht="15" customHeight="1" x14ac:dyDescent="0.3">
      <c r="C866" s="2"/>
      <c r="D866" s="8">
        <v>2020</v>
      </c>
      <c r="E866" s="14">
        <f>Data!T866</f>
        <v>11</v>
      </c>
    </row>
    <row r="867" spans="2:5" ht="15" customHeight="1" x14ac:dyDescent="0.3">
      <c r="C867" s="2"/>
      <c r="D867" s="8">
        <v>2021</v>
      </c>
      <c r="E867" s="14">
        <f>Data!T867</f>
        <v>9</v>
      </c>
    </row>
    <row r="868" spans="2:5" ht="15" customHeight="1" x14ac:dyDescent="0.3">
      <c r="C868" s="2"/>
      <c r="D868" s="8">
        <v>2022</v>
      </c>
      <c r="E868" s="14">
        <f>Data!T868</f>
        <v>9</v>
      </c>
    </row>
    <row r="869" spans="2:5" ht="15" customHeight="1" x14ac:dyDescent="0.3">
      <c r="C869" s="2"/>
      <c r="D869" s="8">
        <v>2023</v>
      </c>
      <c r="E869" s="14">
        <f>Data!T869</f>
        <v>9</v>
      </c>
    </row>
    <row r="870" spans="2:5" ht="15" customHeight="1" x14ac:dyDescent="0.3">
      <c r="C870" s="2"/>
      <c r="D870" s="8">
        <v>2024</v>
      </c>
      <c r="E870" s="14">
        <f>Data!T870</f>
        <v>10</v>
      </c>
    </row>
    <row r="871" spans="2:5" ht="15" customHeight="1" x14ac:dyDescent="0.3">
      <c r="B871" s="8">
        <v>80</v>
      </c>
      <c r="C871" s="2" t="s">
        <v>81</v>
      </c>
      <c r="D871" s="8">
        <v>2014</v>
      </c>
      <c r="E871" s="14">
        <f>Data!T871</f>
        <v>0</v>
      </c>
    </row>
    <row r="872" spans="2:5" ht="15" customHeight="1" x14ac:dyDescent="0.3">
      <c r="C872" s="2"/>
      <c r="D872" s="8">
        <v>2015</v>
      </c>
      <c r="E872" s="14">
        <f>Data!T872</f>
        <v>6</v>
      </c>
    </row>
    <row r="873" spans="2:5" ht="15" customHeight="1" x14ac:dyDescent="0.3">
      <c r="C873" s="2"/>
      <c r="D873" s="8">
        <v>2016</v>
      </c>
      <c r="E873" s="14">
        <f>Data!T873</f>
        <v>6</v>
      </c>
    </row>
    <row r="874" spans="2:5" ht="15" customHeight="1" x14ac:dyDescent="0.3">
      <c r="C874" s="2"/>
      <c r="D874" s="8">
        <v>2017</v>
      </c>
      <c r="E874" s="14">
        <f>Data!T874</f>
        <v>6</v>
      </c>
    </row>
    <row r="875" spans="2:5" ht="15" customHeight="1" x14ac:dyDescent="0.3">
      <c r="C875" s="2"/>
      <c r="D875" s="8">
        <v>2018</v>
      </c>
      <c r="E875" s="14">
        <f>Data!T875</f>
        <v>7</v>
      </c>
    </row>
    <row r="876" spans="2:5" ht="15" customHeight="1" x14ac:dyDescent="0.3">
      <c r="C876" s="2"/>
      <c r="D876" s="8">
        <v>2019</v>
      </c>
      <c r="E876" s="14">
        <f>Data!T876</f>
        <v>6</v>
      </c>
    </row>
    <row r="877" spans="2:5" ht="15" customHeight="1" x14ac:dyDescent="0.3">
      <c r="C877" s="2"/>
      <c r="D877" s="8">
        <v>2020</v>
      </c>
      <c r="E877" s="14">
        <f>Data!T877</f>
        <v>6</v>
      </c>
    </row>
    <row r="878" spans="2:5" ht="15" customHeight="1" x14ac:dyDescent="0.3">
      <c r="C878" s="2"/>
      <c r="D878" s="8">
        <v>2021</v>
      </c>
      <c r="E878" s="14">
        <f>Data!T878</f>
        <v>7</v>
      </c>
    </row>
    <row r="879" spans="2:5" ht="15" customHeight="1" x14ac:dyDescent="0.3">
      <c r="C879" s="2"/>
      <c r="D879" s="8">
        <v>2022</v>
      </c>
      <c r="E879" s="14">
        <f>Data!T879</f>
        <v>6</v>
      </c>
    </row>
    <row r="880" spans="2:5" ht="15" customHeight="1" x14ac:dyDescent="0.3">
      <c r="C880" s="2"/>
      <c r="D880" s="8">
        <v>2023</v>
      </c>
      <c r="E880" s="14">
        <f>Data!T880</f>
        <v>4</v>
      </c>
    </row>
    <row r="881" spans="2:5" ht="15" customHeight="1" x14ac:dyDescent="0.3">
      <c r="C881" s="2"/>
      <c r="D881" s="8">
        <v>2024</v>
      </c>
      <c r="E881" s="14">
        <f>Data!T881</f>
        <v>7</v>
      </c>
    </row>
    <row r="882" spans="2:5" ht="15" customHeight="1" x14ac:dyDescent="0.3">
      <c r="B882" s="8">
        <v>81</v>
      </c>
      <c r="C882" s="2" t="s">
        <v>82</v>
      </c>
      <c r="D882" s="8">
        <v>2014</v>
      </c>
      <c r="E882" s="14">
        <f>Data!T882</f>
        <v>0</v>
      </c>
    </row>
    <row r="883" spans="2:5" ht="15" customHeight="1" x14ac:dyDescent="0.3">
      <c r="C883" s="2"/>
      <c r="D883" s="8">
        <v>2015</v>
      </c>
      <c r="E883" s="14">
        <f>Data!T883</f>
        <v>0</v>
      </c>
    </row>
    <row r="884" spans="2:5" ht="15" customHeight="1" x14ac:dyDescent="0.3">
      <c r="C884" s="2"/>
      <c r="D884" s="8">
        <v>2016</v>
      </c>
      <c r="E884" s="14">
        <f>Data!T884</f>
        <v>0</v>
      </c>
    </row>
    <row r="885" spans="2:5" ht="15" customHeight="1" x14ac:dyDescent="0.3">
      <c r="C885" s="2"/>
      <c r="D885" s="8">
        <v>2017</v>
      </c>
      <c r="E885" s="14">
        <f>Data!T885</f>
        <v>0</v>
      </c>
    </row>
    <row r="886" spans="2:5" ht="15" customHeight="1" x14ac:dyDescent="0.3">
      <c r="C886" s="2"/>
      <c r="D886" s="8">
        <v>2018</v>
      </c>
      <c r="E886" s="14">
        <f>Data!T886</f>
        <v>0</v>
      </c>
    </row>
    <row r="887" spans="2:5" ht="15" customHeight="1" x14ac:dyDescent="0.3">
      <c r="C887" s="2"/>
      <c r="D887" s="8">
        <v>2019</v>
      </c>
      <c r="E887" s="14">
        <f>Data!T887</f>
        <v>7</v>
      </c>
    </row>
    <row r="888" spans="2:5" ht="15" customHeight="1" x14ac:dyDescent="0.3">
      <c r="C888" s="2"/>
      <c r="D888" s="8">
        <v>2020</v>
      </c>
      <c r="E888" s="14">
        <f>Data!T888</f>
        <v>10</v>
      </c>
    </row>
    <row r="889" spans="2:5" ht="15" customHeight="1" x14ac:dyDescent="0.3">
      <c r="C889" s="2"/>
      <c r="D889" s="8">
        <v>2021</v>
      </c>
      <c r="E889" s="14">
        <f>Data!T889</f>
        <v>10</v>
      </c>
    </row>
    <row r="890" spans="2:5" ht="15" customHeight="1" x14ac:dyDescent="0.3">
      <c r="C890" s="2"/>
      <c r="D890" s="8">
        <v>2022</v>
      </c>
      <c r="E890" s="14">
        <f>Data!T890</f>
        <v>10</v>
      </c>
    </row>
    <row r="891" spans="2:5" ht="15" customHeight="1" x14ac:dyDescent="0.3">
      <c r="C891" s="2"/>
      <c r="D891" s="8">
        <v>2023</v>
      </c>
      <c r="E891" s="14">
        <f>Data!T891</f>
        <v>8</v>
      </c>
    </row>
    <row r="892" spans="2:5" ht="15" customHeight="1" x14ac:dyDescent="0.3">
      <c r="C892" s="2"/>
      <c r="D892" s="8">
        <v>2024</v>
      </c>
      <c r="E892" s="14">
        <f>Data!T892</f>
        <v>8</v>
      </c>
    </row>
    <row r="893" spans="2:5" ht="15" customHeight="1" x14ac:dyDescent="0.3">
      <c r="B893" s="8">
        <v>82</v>
      </c>
      <c r="C893" s="2" t="s">
        <v>83</v>
      </c>
      <c r="D893" s="8">
        <v>2014</v>
      </c>
      <c r="E893" s="14">
        <f>Data!T893</f>
        <v>0</v>
      </c>
    </row>
    <row r="894" spans="2:5" ht="15" customHeight="1" x14ac:dyDescent="0.3">
      <c r="C894" s="2"/>
      <c r="D894" s="8">
        <v>2015</v>
      </c>
      <c r="E894" s="14">
        <f>Data!T894</f>
        <v>0</v>
      </c>
    </row>
    <row r="895" spans="2:5" ht="15" customHeight="1" x14ac:dyDescent="0.3">
      <c r="C895" s="2"/>
      <c r="D895" s="8">
        <v>2016</v>
      </c>
      <c r="E895" s="14">
        <f>Data!T895</f>
        <v>0</v>
      </c>
    </row>
    <row r="896" spans="2:5" ht="15" customHeight="1" x14ac:dyDescent="0.3">
      <c r="C896" s="2"/>
      <c r="D896" s="8">
        <v>2017</v>
      </c>
      <c r="E896" s="14">
        <f>Data!T896</f>
        <v>0</v>
      </c>
    </row>
    <row r="897" spans="2:5" ht="15" customHeight="1" x14ac:dyDescent="0.3">
      <c r="C897" s="2"/>
      <c r="D897" s="8">
        <v>2018</v>
      </c>
      <c r="E897" s="14">
        <f>Data!T897</f>
        <v>0</v>
      </c>
    </row>
    <row r="898" spans="2:5" ht="15" customHeight="1" x14ac:dyDescent="0.3">
      <c r="C898" s="2"/>
      <c r="D898" s="8">
        <v>2019</v>
      </c>
      <c r="E898" s="14">
        <f>Data!T898</f>
        <v>0</v>
      </c>
    </row>
    <row r="899" spans="2:5" ht="15" customHeight="1" x14ac:dyDescent="0.3">
      <c r="C899" s="2"/>
      <c r="D899" s="8">
        <v>2020</v>
      </c>
      <c r="E899" s="14">
        <f>Data!T899</f>
        <v>0</v>
      </c>
    </row>
    <row r="900" spans="2:5" ht="15" customHeight="1" x14ac:dyDescent="0.3">
      <c r="C900" s="2"/>
      <c r="D900" s="8">
        <v>2021</v>
      </c>
      <c r="E900" s="14">
        <f>Data!T900</f>
        <v>6</v>
      </c>
    </row>
    <row r="901" spans="2:5" ht="15" customHeight="1" x14ac:dyDescent="0.3">
      <c r="C901" s="2"/>
      <c r="D901" s="8">
        <v>2022</v>
      </c>
      <c r="E901" s="14">
        <f>Data!T901</f>
        <v>8</v>
      </c>
    </row>
    <row r="902" spans="2:5" ht="15" customHeight="1" x14ac:dyDescent="0.3">
      <c r="C902" s="2"/>
      <c r="D902" s="8">
        <v>2023</v>
      </c>
      <c r="E902" s="14">
        <f>Data!T902</f>
        <v>9</v>
      </c>
    </row>
    <row r="903" spans="2:5" ht="15" customHeight="1" x14ac:dyDescent="0.3">
      <c r="C903" s="2"/>
      <c r="D903" s="8">
        <v>2024</v>
      </c>
      <c r="E903" s="14">
        <f>Data!T903</f>
        <v>9</v>
      </c>
    </row>
    <row r="904" spans="2:5" ht="15" customHeight="1" x14ac:dyDescent="0.3">
      <c r="B904" s="8">
        <v>83</v>
      </c>
      <c r="C904" s="2" t="s">
        <v>98</v>
      </c>
      <c r="D904" s="8">
        <v>2014</v>
      </c>
      <c r="E904" s="14">
        <f>Data!T904</f>
        <v>0</v>
      </c>
    </row>
    <row r="905" spans="2:5" ht="15" customHeight="1" x14ac:dyDescent="0.3">
      <c r="C905" s="2"/>
      <c r="D905" s="8">
        <v>2015</v>
      </c>
      <c r="E905" s="14">
        <f>Data!T905</f>
        <v>10</v>
      </c>
    </row>
    <row r="906" spans="2:5" ht="15" customHeight="1" x14ac:dyDescent="0.3">
      <c r="C906" s="2"/>
      <c r="D906" s="8">
        <v>2016</v>
      </c>
      <c r="E906" s="14">
        <f>Data!T906</f>
        <v>8</v>
      </c>
    </row>
    <row r="907" spans="2:5" ht="15" customHeight="1" x14ac:dyDescent="0.3">
      <c r="C907" s="2"/>
      <c r="D907" s="8">
        <v>2017</v>
      </c>
      <c r="E907" s="14">
        <f>Data!T907</f>
        <v>9</v>
      </c>
    </row>
    <row r="908" spans="2:5" ht="15" customHeight="1" x14ac:dyDescent="0.3">
      <c r="C908" s="2"/>
      <c r="D908" s="8">
        <v>2018</v>
      </c>
      <c r="E908" s="14">
        <f>Data!T908</f>
        <v>9</v>
      </c>
    </row>
    <row r="909" spans="2:5" ht="15" customHeight="1" x14ac:dyDescent="0.3">
      <c r="C909" s="2"/>
      <c r="D909" s="8">
        <v>2019</v>
      </c>
      <c r="E909" s="14">
        <f>Data!T909</f>
        <v>10</v>
      </c>
    </row>
    <row r="910" spans="2:5" ht="15" customHeight="1" x14ac:dyDescent="0.3">
      <c r="C910" s="2"/>
      <c r="D910" s="8">
        <v>2020</v>
      </c>
      <c r="E910" s="14">
        <f>Data!T910</f>
        <v>11</v>
      </c>
    </row>
    <row r="911" spans="2:5" ht="15" customHeight="1" x14ac:dyDescent="0.3">
      <c r="C911" s="2"/>
      <c r="D911" s="8">
        <v>2021</v>
      </c>
      <c r="E911" s="14">
        <f>Data!T911</f>
        <v>11</v>
      </c>
    </row>
    <row r="912" spans="2:5" ht="15" customHeight="1" x14ac:dyDescent="0.3">
      <c r="C912" s="2"/>
      <c r="D912" s="8">
        <v>2022</v>
      </c>
      <c r="E912" s="14">
        <f>Data!T912</f>
        <v>11</v>
      </c>
    </row>
    <row r="913" spans="2:5" ht="15" customHeight="1" x14ac:dyDescent="0.3">
      <c r="C913" s="2"/>
      <c r="D913" s="8">
        <v>2023</v>
      </c>
      <c r="E913" s="14">
        <f>Data!T913</f>
        <v>9</v>
      </c>
    </row>
    <row r="914" spans="2:5" ht="15" customHeight="1" x14ac:dyDescent="0.3">
      <c r="C914" s="2"/>
      <c r="D914" s="8">
        <v>2024</v>
      </c>
      <c r="E914" s="14">
        <f>Data!T914</f>
        <v>7</v>
      </c>
    </row>
    <row r="915" spans="2:5" ht="15" customHeight="1" x14ac:dyDescent="0.3">
      <c r="B915" s="8">
        <v>84</v>
      </c>
      <c r="C915" s="2" t="s">
        <v>84</v>
      </c>
      <c r="D915" s="8">
        <v>2014</v>
      </c>
      <c r="E915" s="14">
        <f>Data!T915</f>
        <v>0</v>
      </c>
    </row>
    <row r="916" spans="2:5" ht="15" customHeight="1" x14ac:dyDescent="0.3">
      <c r="C916" s="2"/>
      <c r="D916" s="8">
        <v>2015</v>
      </c>
      <c r="E916" s="14">
        <f>Data!T916</f>
        <v>7</v>
      </c>
    </row>
    <row r="917" spans="2:5" ht="15" customHeight="1" x14ac:dyDescent="0.3">
      <c r="C917" s="2"/>
      <c r="D917" s="8">
        <v>2016</v>
      </c>
      <c r="E917" s="14">
        <f>Data!T917</f>
        <v>7</v>
      </c>
    </row>
    <row r="918" spans="2:5" ht="15" customHeight="1" x14ac:dyDescent="0.3">
      <c r="C918" s="2"/>
      <c r="D918" s="8">
        <v>2017</v>
      </c>
      <c r="E918" s="14">
        <f>Data!T918</f>
        <v>7</v>
      </c>
    </row>
    <row r="919" spans="2:5" ht="15" customHeight="1" x14ac:dyDescent="0.3">
      <c r="C919" s="2"/>
      <c r="D919" s="8">
        <v>2018</v>
      </c>
      <c r="E919" s="14">
        <f>Data!T919</f>
        <v>7</v>
      </c>
    </row>
    <row r="920" spans="2:5" ht="15" customHeight="1" x14ac:dyDescent="0.3">
      <c r="C920" s="2"/>
      <c r="D920" s="8">
        <v>2019</v>
      </c>
      <c r="E920" s="14">
        <f>Data!T920</f>
        <v>8</v>
      </c>
    </row>
    <row r="921" spans="2:5" ht="15" customHeight="1" x14ac:dyDescent="0.3">
      <c r="C921" s="2"/>
      <c r="D921" s="8">
        <v>2020</v>
      </c>
      <c r="E921" s="14">
        <f>Data!T921</f>
        <v>8</v>
      </c>
    </row>
    <row r="922" spans="2:5" ht="15" customHeight="1" x14ac:dyDescent="0.3">
      <c r="C922" s="2"/>
      <c r="D922" s="8">
        <v>2021</v>
      </c>
      <c r="E922" s="14">
        <f>Data!T922</f>
        <v>9</v>
      </c>
    </row>
    <row r="923" spans="2:5" ht="15" customHeight="1" x14ac:dyDescent="0.3">
      <c r="C923" s="2"/>
      <c r="D923" s="8">
        <v>2022</v>
      </c>
      <c r="E923" s="14">
        <f>Data!T923</f>
        <v>9</v>
      </c>
    </row>
    <row r="924" spans="2:5" ht="15" customHeight="1" x14ac:dyDescent="0.3">
      <c r="C924" s="2"/>
      <c r="D924" s="8">
        <v>2023</v>
      </c>
      <c r="E924" s="14">
        <f>Data!T924</f>
        <v>8</v>
      </c>
    </row>
    <row r="925" spans="2:5" ht="15" customHeight="1" x14ac:dyDescent="0.3">
      <c r="C925" s="2"/>
      <c r="D925" s="8">
        <v>2024</v>
      </c>
      <c r="E925" s="14">
        <f>Data!T925</f>
        <v>8</v>
      </c>
    </row>
    <row r="926" spans="2:5" ht="15" customHeight="1" x14ac:dyDescent="0.3">
      <c r="B926" s="8">
        <v>85</v>
      </c>
      <c r="C926" s="2" t="s">
        <v>99</v>
      </c>
      <c r="D926" s="8">
        <v>2014</v>
      </c>
      <c r="E926" s="14">
        <f>Data!T926</f>
        <v>0</v>
      </c>
    </row>
    <row r="927" spans="2:5" ht="15" customHeight="1" x14ac:dyDescent="0.3">
      <c r="C927" s="2"/>
      <c r="D927" s="8">
        <v>2015</v>
      </c>
      <c r="E927" s="14">
        <f>Data!T927</f>
        <v>8</v>
      </c>
    </row>
    <row r="928" spans="2:5" ht="15" customHeight="1" x14ac:dyDescent="0.3">
      <c r="C928" s="2"/>
      <c r="D928" s="8">
        <v>2016</v>
      </c>
      <c r="E928" s="14">
        <f>Data!T928</f>
        <v>8</v>
      </c>
    </row>
    <row r="929" spans="2:5" ht="15" customHeight="1" x14ac:dyDescent="0.3">
      <c r="C929" s="2"/>
      <c r="D929" s="8">
        <v>2017</v>
      </c>
      <c r="E929" s="14">
        <f>Data!T929</f>
        <v>7</v>
      </c>
    </row>
    <row r="930" spans="2:5" ht="15" customHeight="1" x14ac:dyDescent="0.3">
      <c r="C930" s="2"/>
      <c r="D930" s="8">
        <v>2018</v>
      </c>
      <c r="E930" s="14">
        <f>Data!T930</f>
        <v>7</v>
      </c>
    </row>
    <row r="931" spans="2:5" ht="15" customHeight="1" x14ac:dyDescent="0.3">
      <c r="C931" s="2"/>
      <c r="D931" s="8">
        <v>2019</v>
      </c>
      <c r="E931" s="14">
        <f>Data!T931</f>
        <v>7</v>
      </c>
    </row>
    <row r="932" spans="2:5" ht="15" customHeight="1" x14ac:dyDescent="0.3">
      <c r="C932" s="2"/>
      <c r="D932" s="8">
        <v>2020</v>
      </c>
      <c r="E932" s="14">
        <f>Data!T932</f>
        <v>8</v>
      </c>
    </row>
    <row r="933" spans="2:5" ht="15" customHeight="1" x14ac:dyDescent="0.3">
      <c r="C933" s="2"/>
      <c r="D933" s="8">
        <v>2021</v>
      </c>
      <c r="E933" s="14">
        <f>Data!T933</f>
        <v>8</v>
      </c>
    </row>
    <row r="934" spans="2:5" ht="15" customHeight="1" x14ac:dyDescent="0.3">
      <c r="C934" s="2"/>
      <c r="D934" s="8">
        <v>2022</v>
      </c>
      <c r="E934" s="14">
        <f>Data!T934</f>
        <v>8</v>
      </c>
    </row>
    <row r="935" spans="2:5" ht="15" customHeight="1" x14ac:dyDescent="0.3">
      <c r="C935" s="2"/>
      <c r="D935" s="8">
        <v>2023</v>
      </c>
      <c r="E935" s="14">
        <f>Data!T935</f>
        <v>7</v>
      </c>
    </row>
    <row r="936" spans="2:5" ht="15" customHeight="1" x14ac:dyDescent="0.3">
      <c r="C936" s="2"/>
      <c r="D936" s="8">
        <v>2024</v>
      </c>
      <c r="E936" s="14">
        <f>Data!T936</f>
        <v>8</v>
      </c>
    </row>
    <row r="937" spans="2:5" ht="15" customHeight="1" x14ac:dyDescent="0.3">
      <c r="B937" s="8">
        <v>86</v>
      </c>
      <c r="C937" s="1" t="s">
        <v>132</v>
      </c>
      <c r="D937" s="8">
        <v>2014</v>
      </c>
      <c r="E937" s="14">
        <f>Data!T937</f>
        <v>0</v>
      </c>
    </row>
    <row r="938" spans="2:5" ht="15" customHeight="1" x14ac:dyDescent="0.3">
      <c r="C938" s="1"/>
      <c r="D938" s="8">
        <v>2015</v>
      </c>
      <c r="E938" s="14">
        <f>Data!T938</f>
        <v>0</v>
      </c>
    </row>
    <row r="939" spans="2:5" ht="15" customHeight="1" x14ac:dyDescent="0.3">
      <c r="C939" s="1"/>
      <c r="D939" s="8">
        <v>2016</v>
      </c>
      <c r="E939" s="14">
        <f>Data!T939</f>
        <v>6</v>
      </c>
    </row>
    <row r="940" spans="2:5" ht="15" customHeight="1" x14ac:dyDescent="0.3">
      <c r="C940" s="1"/>
      <c r="D940" s="8">
        <v>2017</v>
      </c>
      <c r="E940" s="14">
        <f>Data!T940</f>
        <v>6</v>
      </c>
    </row>
    <row r="941" spans="2:5" ht="15" customHeight="1" x14ac:dyDescent="0.3">
      <c r="C941" s="1"/>
      <c r="D941" s="8">
        <v>2018</v>
      </c>
      <c r="E941" s="14">
        <f>Data!T941</f>
        <v>3</v>
      </c>
    </row>
    <row r="942" spans="2:5" ht="15" customHeight="1" x14ac:dyDescent="0.3">
      <c r="C942" s="1"/>
      <c r="D942" s="8">
        <v>2019</v>
      </c>
      <c r="E942" s="14">
        <f>Data!T942</f>
        <v>4</v>
      </c>
    </row>
    <row r="943" spans="2:5" ht="15" customHeight="1" x14ac:dyDescent="0.3">
      <c r="C943" s="1"/>
      <c r="D943" s="8">
        <v>2020</v>
      </c>
      <c r="E943" s="14">
        <f>Data!T943</f>
        <v>8</v>
      </c>
    </row>
    <row r="944" spans="2:5" ht="15" customHeight="1" x14ac:dyDescent="0.3">
      <c r="C944" s="1"/>
      <c r="D944" s="8">
        <v>2021</v>
      </c>
      <c r="E944" s="14">
        <f>Data!T944</f>
        <v>6</v>
      </c>
    </row>
    <row r="945" spans="2:5" ht="15" customHeight="1" x14ac:dyDescent="0.3">
      <c r="C945" s="1"/>
      <c r="D945" s="8">
        <v>2022</v>
      </c>
      <c r="E945" s="14">
        <f>Data!T945</f>
        <v>7</v>
      </c>
    </row>
    <row r="946" spans="2:5" ht="15" customHeight="1" x14ac:dyDescent="0.3">
      <c r="C946" s="1"/>
      <c r="D946" s="8">
        <v>2023</v>
      </c>
      <c r="E946" s="14">
        <f>Data!T946</f>
        <v>6</v>
      </c>
    </row>
    <row r="947" spans="2:5" ht="15" customHeight="1" x14ac:dyDescent="0.3">
      <c r="C947" s="1"/>
      <c r="D947" s="8">
        <v>2024</v>
      </c>
      <c r="E947" s="14">
        <f>Data!T947</f>
        <v>6</v>
      </c>
    </row>
    <row r="948" spans="2:5" ht="15" customHeight="1" x14ac:dyDescent="0.3">
      <c r="B948" s="8">
        <v>87</v>
      </c>
      <c r="C948" s="4" t="s">
        <v>129</v>
      </c>
      <c r="D948" s="8">
        <v>2014</v>
      </c>
      <c r="E948" s="14">
        <f>Data!T948</f>
        <v>0</v>
      </c>
    </row>
    <row r="949" spans="2:5" ht="15" customHeight="1" x14ac:dyDescent="0.3">
      <c r="C949" s="4"/>
      <c r="D949" s="8">
        <v>2015</v>
      </c>
      <c r="E949" s="14">
        <f>Data!T949</f>
        <v>0</v>
      </c>
    </row>
    <row r="950" spans="2:5" ht="15" customHeight="1" x14ac:dyDescent="0.3">
      <c r="C950" s="4"/>
      <c r="D950" s="8">
        <v>2016</v>
      </c>
      <c r="E950" s="14">
        <f>Data!T950</f>
        <v>0</v>
      </c>
    </row>
    <row r="951" spans="2:5" ht="15" customHeight="1" x14ac:dyDescent="0.3">
      <c r="C951" s="4"/>
      <c r="D951" s="8">
        <v>2017</v>
      </c>
      <c r="E951" s="14">
        <f>Data!T951</f>
        <v>0</v>
      </c>
    </row>
    <row r="952" spans="2:5" ht="15" customHeight="1" x14ac:dyDescent="0.3">
      <c r="C952" s="4"/>
      <c r="D952" s="8">
        <v>2018</v>
      </c>
      <c r="E952" s="14">
        <f>Data!T952</f>
        <v>0</v>
      </c>
    </row>
    <row r="953" spans="2:5" ht="15" customHeight="1" x14ac:dyDescent="0.3">
      <c r="C953" s="4"/>
      <c r="D953" s="8">
        <v>2019</v>
      </c>
      <c r="E953" s="14">
        <f>Data!T953</f>
        <v>0</v>
      </c>
    </row>
    <row r="954" spans="2:5" ht="15" customHeight="1" x14ac:dyDescent="0.3">
      <c r="C954" s="4"/>
      <c r="D954" s="8">
        <v>2020</v>
      </c>
      <c r="E954" s="14">
        <f>Data!T954</f>
        <v>0</v>
      </c>
    </row>
    <row r="955" spans="2:5" ht="15" customHeight="1" x14ac:dyDescent="0.3">
      <c r="C955" s="4"/>
      <c r="D955" s="8">
        <v>2021</v>
      </c>
      <c r="E955" s="14">
        <f>Data!T955</f>
        <v>0</v>
      </c>
    </row>
    <row r="956" spans="2:5" ht="15" customHeight="1" x14ac:dyDescent="0.3">
      <c r="C956" s="4"/>
      <c r="D956" s="8">
        <v>2022</v>
      </c>
      <c r="E956" s="14">
        <f>Data!T956</f>
        <v>0</v>
      </c>
    </row>
    <row r="957" spans="2:5" ht="15" customHeight="1" x14ac:dyDescent="0.3">
      <c r="C957" s="4"/>
      <c r="D957" s="8">
        <v>2023</v>
      </c>
      <c r="E957" s="14">
        <f>Data!T957</f>
        <v>0</v>
      </c>
    </row>
    <row r="958" spans="2:5" ht="15" customHeight="1" x14ac:dyDescent="0.3">
      <c r="C958" s="4"/>
      <c r="D958" s="8">
        <v>2024</v>
      </c>
      <c r="E958" s="14">
        <f>Data!T958</f>
        <v>0</v>
      </c>
    </row>
    <row r="959" spans="2:5" ht="15" customHeight="1" x14ac:dyDescent="0.3">
      <c r="B959" s="8">
        <v>88</v>
      </c>
      <c r="C959" s="2" t="s">
        <v>100</v>
      </c>
      <c r="D959" s="8">
        <v>2014</v>
      </c>
      <c r="E959" s="14">
        <f>Data!T959</f>
        <v>0</v>
      </c>
    </row>
    <row r="960" spans="2:5" ht="15" customHeight="1" x14ac:dyDescent="0.3">
      <c r="C960" s="2"/>
      <c r="D960" s="8">
        <v>2015</v>
      </c>
      <c r="E960" s="14">
        <f>Data!T960</f>
        <v>0</v>
      </c>
    </row>
    <row r="961" spans="2:5" ht="15" customHeight="1" x14ac:dyDescent="0.3">
      <c r="C961" s="2"/>
      <c r="D961" s="8">
        <v>2016</v>
      </c>
      <c r="E961" s="14">
        <f>Data!T961</f>
        <v>0</v>
      </c>
    </row>
    <row r="962" spans="2:5" ht="15" customHeight="1" x14ac:dyDescent="0.3">
      <c r="C962" s="2"/>
      <c r="D962" s="8">
        <v>2017</v>
      </c>
      <c r="E962" s="14">
        <f>Data!T962</f>
        <v>0</v>
      </c>
    </row>
    <row r="963" spans="2:5" ht="15" customHeight="1" x14ac:dyDescent="0.3">
      <c r="C963" s="2"/>
      <c r="D963" s="8">
        <v>2018</v>
      </c>
      <c r="E963" s="14">
        <f>Data!T963</f>
        <v>0</v>
      </c>
    </row>
    <row r="964" spans="2:5" ht="15" customHeight="1" x14ac:dyDescent="0.3">
      <c r="C964" s="2"/>
      <c r="D964" s="8">
        <v>2019</v>
      </c>
      <c r="E964" s="14">
        <f>Data!T964</f>
        <v>0</v>
      </c>
    </row>
    <row r="965" spans="2:5" ht="15" customHeight="1" x14ac:dyDescent="0.3">
      <c r="C965" s="2"/>
      <c r="D965" s="8">
        <v>2020</v>
      </c>
      <c r="E965" s="14">
        <f>Data!T965</f>
        <v>0</v>
      </c>
    </row>
    <row r="966" spans="2:5" ht="15" customHeight="1" x14ac:dyDescent="0.3">
      <c r="C966" s="2"/>
      <c r="D966" s="8">
        <v>2021</v>
      </c>
      <c r="E966" s="14">
        <f>Data!T966</f>
        <v>0</v>
      </c>
    </row>
    <row r="967" spans="2:5" ht="15" customHeight="1" x14ac:dyDescent="0.3">
      <c r="C967" s="2"/>
      <c r="D967" s="8">
        <v>2022</v>
      </c>
      <c r="E967" s="14">
        <f>Data!T967</f>
        <v>0</v>
      </c>
    </row>
    <row r="968" spans="2:5" ht="15" customHeight="1" x14ac:dyDescent="0.3">
      <c r="C968" s="2"/>
      <c r="D968" s="8">
        <v>2023</v>
      </c>
      <c r="E968" s="14">
        <f>Data!T968</f>
        <v>0</v>
      </c>
    </row>
    <row r="969" spans="2:5" ht="15" customHeight="1" x14ac:dyDescent="0.3">
      <c r="C969" s="2"/>
      <c r="D969" s="8">
        <v>2024</v>
      </c>
      <c r="E969" s="14">
        <f>Data!T969</f>
        <v>0</v>
      </c>
    </row>
    <row r="970" spans="2:5" ht="15" customHeight="1" x14ac:dyDescent="0.3">
      <c r="B970" s="8">
        <v>89</v>
      </c>
      <c r="C970" s="2" t="s">
        <v>101</v>
      </c>
      <c r="D970" s="8">
        <v>2014</v>
      </c>
      <c r="E970" s="14">
        <f>Data!T970</f>
        <v>0</v>
      </c>
    </row>
    <row r="971" spans="2:5" ht="15" customHeight="1" x14ac:dyDescent="0.3">
      <c r="C971" s="2"/>
      <c r="D971" s="8">
        <v>2015</v>
      </c>
      <c r="E971" s="14">
        <f>Data!T971</f>
        <v>7</v>
      </c>
    </row>
    <row r="972" spans="2:5" ht="15" customHeight="1" x14ac:dyDescent="0.3">
      <c r="C972" s="2"/>
      <c r="D972" s="8">
        <v>2016</v>
      </c>
      <c r="E972" s="14">
        <f>Data!T972</f>
        <v>8</v>
      </c>
    </row>
    <row r="973" spans="2:5" ht="15" customHeight="1" x14ac:dyDescent="0.3">
      <c r="C973" s="2"/>
      <c r="D973" s="8">
        <v>2017</v>
      </c>
      <c r="E973" s="14">
        <f>Data!T973</f>
        <v>7</v>
      </c>
    </row>
    <row r="974" spans="2:5" ht="15" customHeight="1" x14ac:dyDescent="0.3">
      <c r="C974" s="2"/>
      <c r="D974" s="8">
        <v>2018</v>
      </c>
      <c r="E974" s="14">
        <f>Data!T974</f>
        <v>7</v>
      </c>
    </row>
    <row r="975" spans="2:5" ht="15" customHeight="1" x14ac:dyDescent="0.3">
      <c r="C975" s="2"/>
      <c r="D975" s="8">
        <v>2019</v>
      </c>
      <c r="E975" s="14">
        <f>Data!T975</f>
        <v>6</v>
      </c>
    </row>
    <row r="976" spans="2:5" ht="15" customHeight="1" x14ac:dyDescent="0.3">
      <c r="C976" s="2"/>
      <c r="D976" s="8">
        <v>2020</v>
      </c>
      <c r="E976" s="14">
        <f>Data!T976</f>
        <v>6</v>
      </c>
    </row>
    <row r="977" spans="2:5" ht="15" customHeight="1" x14ac:dyDescent="0.3">
      <c r="C977" s="2"/>
      <c r="D977" s="8">
        <v>2021</v>
      </c>
      <c r="E977" s="14">
        <f>Data!T977</f>
        <v>6</v>
      </c>
    </row>
    <row r="978" spans="2:5" ht="15" customHeight="1" x14ac:dyDescent="0.3">
      <c r="C978" s="2"/>
      <c r="D978" s="8">
        <v>2022</v>
      </c>
      <c r="E978" s="14">
        <f>Data!T978</f>
        <v>6</v>
      </c>
    </row>
    <row r="979" spans="2:5" ht="15" customHeight="1" x14ac:dyDescent="0.3">
      <c r="C979" s="2"/>
      <c r="D979" s="8">
        <v>2023</v>
      </c>
      <c r="E979" s="14">
        <f>Data!T979</f>
        <v>6</v>
      </c>
    </row>
    <row r="980" spans="2:5" ht="15" customHeight="1" x14ac:dyDescent="0.3">
      <c r="C980" s="2"/>
      <c r="D980" s="8">
        <v>2024</v>
      </c>
      <c r="E980" s="14">
        <f>Data!T980</f>
        <v>6</v>
      </c>
    </row>
    <row r="981" spans="2:5" ht="15" customHeight="1" x14ac:dyDescent="0.3">
      <c r="B981" s="8">
        <v>90</v>
      </c>
      <c r="C981" s="2" t="s">
        <v>93</v>
      </c>
      <c r="D981" s="8">
        <v>2014</v>
      </c>
      <c r="E981" s="14">
        <f>Data!T981</f>
        <v>0</v>
      </c>
    </row>
    <row r="982" spans="2:5" ht="15" customHeight="1" x14ac:dyDescent="0.3">
      <c r="C982" s="2"/>
      <c r="D982" s="8">
        <v>2015</v>
      </c>
      <c r="E982" s="14">
        <f>Data!T982</f>
        <v>6</v>
      </c>
    </row>
    <row r="983" spans="2:5" ht="15" customHeight="1" x14ac:dyDescent="0.3">
      <c r="C983" s="2"/>
      <c r="D983" s="8">
        <v>2016</v>
      </c>
      <c r="E983" s="14">
        <f>Data!T983</f>
        <v>6</v>
      </c>
    </row>
    <row r="984" spans="2:5" ht="15" customHeight="1" x14ac:dyDescent="0.3">
      <c r="C984" s="2"/>
      <c r="D984" s="8">
        <v>2017</v>
      </c>
      <c r="E984" s="14">
        <f>Data!T984</f>
        <v>7</v>
      </c>
    </row>
    <row r="985" spans="2:5" ht="15" customHeight="1" x14ac:dyDescent="0.3">
      <c r="C985" s="2"/>
      <c r="D985" s="8">
        <v>2018</v>
      </c>
      <c r="E985" s="14">
        <f>Data!T985</f>
        <v>5</v>
      </c>
    </row>
    <row r="986" spans="2:5" ht="15" customHeight="1" x14ac:dyDescent="0.3">
      <c r="C986" s="2"/>
      <c r="D986" s="8">
        <v>2019</v>
      </c>
      <c r="E986" s="14">
        <f>Data!T986</f>
        <v>6</v>
      </c>
    </row>
    <row r="987" spans="2:5" ht="15" customHeight="1" x14ac:dyDescent="0.3">
      <c r="C987" s="2"/>
      <c r="D987" s="8">
        <v>2020</v>
      </c>
      <c r="E987" s="14">
        <f>Data!T987</f>
        <v>6</v>
      </c>
    </row>
    <row r="988" spans="2:5" ht="15" customHeight="1" x14ac:dyDescent="0.3">
      <c r="C988" s="2"/>
      <c r="D988" s="8">
        <v>2021</v>
      </c>
      <c r="E988" s="14">
        <f>Data!T988</f>
        <v>6</v>
      </c>
    </row>
    <row r="989" spans="2:5" ht="15" customHeight="1" x14ac:dyDescent="0.3">
      <c r="C989" s="2"/>
      <c r="D989" s="8">
        <v>2022</v>
      </c>
      <c r="E989" s="14">
        <f>Data!T989</f>
        <v>7</v>
      </c>
    </row>
    <row r="990" spans="2:5" ht="15" customHeight="1" x14ac:dyDescent="0.3">
      <c r="C990" s="2"/>
      <c r="D990" s="8">
        <v>2023</v>
      </c>
      <c r="E990" s="14">
        <f>Data!T990</f>
        <v>7</v>
      </c>
    </row>
    <row r="991" spans="2:5" ht="15" customHeight="1" x14ac:dyDescent="0.3">
      <c r="C991" s="2"/>
      <c r="D991" s="8">
        <v>2024</v>
      </c>
      <c r="E991" s="14">
        <f>Data!T991</f>
        <v>5</v>
      </c>
    </row>
    <row r="992" spans="2:5" ht="15" customHeight="1" x14ac:dyDescent="0.3">
      <c r="B992" s="8">
        <v>91</v>
      </c>
      <c r="C992" s="2" t="s">
        <v>88</v>
      </c>
      <c r="D992" s="8">
        <v>2014</v>
      </c>
      <c r="E992" s="14">
        <f>Data!T992</f>
        <v>0</v>
      </c>
    </row>
    <row r="993" spans="2:5" ht="15" customHeight="1" x14ac:dyDescent="0.3">
      <c r="C993" s="2"/>
      <c r="D993" s="8">
        <v>2015</v>
      </c>
      <c r="E993" s="14">
        <f>Data!T993</f>
        <v>8</v>
      </c>
    </row>
    <row r="994" spans="2:5" ht="15" customHeight="1" x14ac:dyDescent="0.3">
      <c r="C994" s="2"/>
      <c r="D994" s="8">
        <v>2016</v>
      </c>
      <c r="E994" s="14">
        <f>Data!T994</f>
        <v>9</v>
      </c>
    </row>
    <row r="995" spans="2:5" ht="15" customHeight="1" x14ac:dyDescent="0.3">
      <c r="C995" s="2"/>
      <c r="D995" s="8">
        <v>2017</v>
      </c>
      <c r="E995" s="14">
        <f>Data!T995</f>
        <v>9</v>
      </c>
    </row>
    <row r="996" spans="2:5" ht="15" customHeight="1" x14ac:dyDescent="0.3">
      <c r="C996" s="2"/>
      <c r="D996" s="8">
        <v>2018</v>
      </c>
      <c r="E996" s="14">
        <f>Data!T996</f>
        <v>9</v>
      </c>
    </row>
    <row r="997" spans="2:5" ht="15" customHeight="1" x14ac:dyDescent="0.3">
      <c r="C997" s="2"/>
      <c r="D997" s="8">
        <v>2019</v>
      </c>
      <c r="E997" s="14">
        <f>Data!T997</f>
        <v>9</v>
      </c>
    </row>
    <row r="998" spans="2:5" ht="15" customHeight="1" x14ac:dyDescent="0.3">
      <c r="C998" s="2"/>
      <c r="D998" s="8">
        <v>2020</v>
      </c>
      <c r="E998" s="14">
        <f>Data!T998</f>
        <v>9</v>
      </c>
    </row>
    <row r="999" spans="2:5" ht="15" customHeight="1" x14ac:dyDescent="0.3">
      <c r="C999" s="2"/>
      <c r="D999" s="8">
        <v>2021</v>
      </c>
      <c r="E999" s="14">
        <f>Data!T999</f>
        <v>9</v>
      </c>
    </row>
    <row r="1000" spans="2:5" ht="15" customHeight="1" x14ac:dyDescent="0.3">
      <c r="C1000" s="2"/>
      <c r="D1000" s="8">
        <v>2022</v>
      </c>
      <c r="E1000" s="14">
        <f>Data!T1000</f>
        <v>9</v>
      </c>
    </row>
    <row r="1001" spans="2:5" ht="15" customHeight="1" x14ac:dyDescent="0.3">
      <c r="C1001" s="2"/>
      <c r="D1001" s="8">
        <v>2023</v>
      </c>
      <c r="E1001" s="14">
        <f>Data!T1001</f>
        <v>9</v>
      </c>
    </row>
    <row r="1002" spans="2:5" ht="15" customHeight="1" x14ac:dyDescent="0.3">
      <c r="C1002" s="2"/>
      <c r="D1002" s="8">
        <v>2024</v>
      </c>
      <c r="E1002" s="14">
        <f>Data!T1002</f>
        <v>9</v>
      </c>
    </row>
    <row r="1003" spans="2:5" ht="15" customHeight="1" x14ac:dyDescent="0.3">
      <c r="B1003" s="8">
        <v>92</v>
      </c>
      <c r="C1003" s="2" t="s">
        <v>94</v>
      </c>
      <c r="D1003" s="8">
        <v>2014</v>
      </c>
      <c r="E1003" s="14">
        <f>Data!T1003</f>
        <v>0</v>
      </c>
    </row>
    <row r="1004" spans="2:5" ht="15" customHeight="1" x14ac:dyDescent="0.3">
      <c r="C1004" s="2"/>
      <c r="D1004" s="8">
        <v>2015</v>
      </c>
      <c r="E1004" s="14">
        <f>Data!T1004</f>
        <v>10</v>
      </c>
    </row>
    <row r="1005" spans="2:5" ht="15" customHeight="1" x14ac:dyDescent="0.3">
      <c r="C1005" s="2"/>
      <c r="D1005" s="8">
        <v>2016</v>
      </c>
      <c r="E1005" s="14">
        <f>Data!T1005</f>
        <v>10</v>
      </c>
    </row>
    <row r="1006" spans="2:5" ht="15" customHeight="1" x14ac:dyDescent="0.3">
      <c r="C1006" s="2"/>
      <c r="D1006" s="8">
        <v>2017</v>
      </c>
      <c r="E1006" s="14">
        <f>Data!T1006</f>
        <v>11</v>
      </c>
    </row>
    <row r="1007" spans="2:5" ht="15" customHeight="1" x14ac:dyDescent="0.3">
      <c r="C1007" s="2"/>
      <c r="D1007" s="8">
        <v>2018</v>
      </c>
      <c r="E1007" s="14">
        <f>Data!T1007</f>
        <v>12</v>
      </c>
    </row>
    <row r="1008" spans="2:5" ht="15" customHeight="1" x14ac:dyDescent="0.3">
      <c r="C1008" s="2"/>
      <c r="D1008" s="8">
        <v>2019</v>
      </c>
      <c r="E1008" s="14">
        <f>Data!T1008</f>
        <v>10</v>
      </c>
    </row>
    <row r="1009" spans="2:5" ht="15" customHeight="1" x14ac:dyDescent="0.3">
      <c r="C1009" s="2"/>
      <c r="D1009" s="8">
        <v>2020</v>
      </c>
      <c r="E1009" s="14">
        <f>Data!T1009</f>
        <v>10</v>
      </c>
    </row>
    <row r="1010" spans="2:5" ht="15" customHeight="1" x14ac:dyDescent="0.3">
      <c r="C1010" s="2"/>
      <c r="D1010" s="8">
        <v>2021</v>
      </c>
      <c r="E1010" s="14">
        <f>Data!T1010</f>
        <v>10</v>
      </c>
    </row>
    <row r="1011" spans="2:5" ht="15" customHeight="1" x14ac:dyDescent="0.3">
      <c r="C1011" s="2"/>
      <c r="D1011" s="8">
        <v>2022</v>
      </c>
      <c r="E1011" s="14">
        <f>Data!T1011</f>
        <v>10</v>
      </c>
    </row>
    <row r="1012" spans="2:5" ht="15" customHeight="1" x14ac:dyDescent="0.3">
      <c r="C1012" s="2"/>
      <c r="D1012" s="8">
        <v>2023</v>
      </c>
      <c r="E1012" s="14">
        <f>Data!T1012</f>
        <v>10</v>
      </c>
    </row>
    <row r="1013" spans="2:5" ht="15" customHeight="1" x14ac:dyDescent="0.3">
      <c r="C1013" s="2"/>
      <c r="D1013" s="8">
        <v>2024</v>
      </c>
      <c r="E1013" s="14">
        <f>Data!T1013</f>
        <v>10</v>
      </c>
    </row>
    <row r="1014" spans="2:5" ht="15" customHeight="1" x14ac:dyDescent="0.3">
      <c r="B1014" s="8">
        <v>93</v>
      </c>
      <c r="C1014" s="2" t="s">
        <v>102</v>
      </c>
      <c r="D1014" s="8">
        <v>2014</v>
      </c>
      <c r="E1014" s="14">
        <f>Data!T1014</f>
        <v>0</v>
      </c>
    </row>
    <row r="1015" spans="2:5" ht="15" customHeight="1" x14ac:dyDescent="0.3">
      <c r="C1015" s="2"/>
      <c r="D1015" s="8">
        <v>2015</v>
      </c>
      <c r="E1015" s="14">
        <f>Data!T1015</f>
        <v>6</v>
      </c>
    </row>
    <row r="1016" spans="2:5" ht="15" customHeight="1" x14ac:dyDescent="0.3">
      <c r="C1016" s="2"/>
      <c r="D1016" s="8">
        <v>2016</v>
      </c>
      <c r="E1016" s="14">
        <f>Data!T1016</f>
        <v>6</v>
      </c>
    </row>
    <row r="1017" spans="2:5" ht="15" customHeight="1" x14ac:dyDescent="0.3">
      <c r="C1017" s="2"/>
      <c r="D1017" s="8">
        <v>2017</v>
      </c>
      <c r="E1017" s="14">
        <f>Data!T1017</f>
        <v>8</v>
      </c>
    </row>
    <row r="1018" spans="2:5" ht="15" customHeight="1" x14ac:dyDescent="0.3">
      <c r="C1018" s="2"/>
      <c r="D1018" s="8">
        <v>2018</v>
      </c>
      <c r="E1018" s="14">
        <f>Data!T1018</f>
        <v>7</v>
      </c>
    </row>
    <row r="1019" spans="2:5" ht="15" customHeight="1" x14ac:dyDescent="0.3">
      <c r="C1019" s="2"/>
      <c r="D1019" s="8">
        <v>2019</v>
      </c>
      <c r="E1019" s="14">
        <f>Data!T1019</f>
        <v>9</v>
      </c>
    </row>
    <row r="1020" spans="2:5" ht="15" customHeight="1" x14ac:dyDescent="0.3">
      <c r="C1020" s="2"/>
      <c r="D1020" s="8">
        <v>2020</v>
      </c>
      <c r="E1020" s="14">
        <f>Data!T1020</f>
        <v>9</v>
      </c>
    </row>
    <row r="1021" spans="2:5" ht="15" customHeight="1" x14ac:dyDescent="0.3">
      <c r="C1021" s="2"/>
      <c r="D1021" s="8">
        <v>2021</v>
      </c>
      <c r="E1021" s="14">
        <f>Data!T1021</f>
        <v>8</v>
      </c>
    </row>
    <row r="1022" spans="2:5" ht="15" customHeight="1" x14ac:dyDescent="0.3">
      <c r="C1022" s="2"/>
      <c r="D1022" s="8">
        <v>2022</v>
      </c>
      <c r="E1022" s="14">
        <f>Data!T1022</f>
        <v>9</v>
      </c>
    </row>
    <row r="1023" spans="2:5" ht="15" customHeight="1" x14ac:dyDescent="0.3">
      <c r="C1023" s="2"/>
      <c r="D1023" s="8">
        <v>2023</v>
      </c>
      <c r="E1023" s="14">
        <f>Data!T1023</f>
        <v>8</v>
      </c>
    </row>
    <row r="1024" spans="2:5" ht="15" customHeight="1" x14ac:dyDescent="0.3">
      <c r="C1024" s="2"/>
      <c r="D1024" s="8">
        <v>2024</v>
      </c>
      <c r="E1024" s="14">
        <f>Data!T1024</f>
        <v>8</v>
      </c>
    </row>
    <row r="1025" spans="2:5" ht="15" customHeight="1" x14ac:dyDescent="0.3">
      <c r="B1025" s="8">
        <v>94</v>
      </c>
      <c r="C1025" s="2" t="s">
        <v>114</v>
      </c>
      <c r="D1025" s="8">
        <v>2014</v>
      </c>
      <c r="E1025" s="14">
        <f>Data!T1025</f>
        <v>0</v>
      </c>
    </row>
    <row r="1026" spans="2:5" ht="15" customHeight="1" x14ac:dyDescent="0.3">
      <c r="C1026" s="2"/>
      <c r="D1026" s="8">
        <v>2015</v>
      </c>
      <c r="E1026" s="14">
        <f>Data!T1026</f>
        <v>8</v>
      </c>
    </row>
    <row r="1027" spans="2:5" ht="15" customHeight="1" x14ac:dyDescent="0.3">
      <c r="C1027" s="2"/>
      <c r="D1027" s="8">
        <v>2016</v>
      </c>
      <c r="E1027" s="14">
        <f>Data!T1027</f>
        <v>8</v>
      </c>
    </row>
    <row r="1028" spans="2:5" ht="15" customHeight="1" x14ac:dyDescent="0.3">
      <c r="C1028" s="2"/>
      <c r="D1028" s="8">
        <v>2017</v>
      </c>
      <c r="E1028" s="14">
        <f>Data!T1028</f>
        <v>8</v>
      </c>
    </row>
    <row r="1029" spans="2:5" ht="15" customHeight="1" x14ac:dyDescent="0.3">
      <c r="C1029" s="2"/>
      <c r="D1029" s="8">
        <v>2018</v>
      </c>
      <c r="E1029" s="14">
        <f>Data!T1029</f>
        <v>8</v>
      </c>
    </row>
    <row r="1030" spans="2:5" ht="15" customHeight="1" x14ac:dyDescent="0.3">
      <c r="C1030" s="2"/>
      <c r="D1030" s="8">
        <v>2019</v>
      </c>
      <c r="E1030" s="14">
        <f>Data!T1030</f>
        <v>8</v>
      </c>
    </row>
    <row r="1031" spans="2:5" ht="15" customHeight="1" x14ac:dyDescent="0.3">
      <c r="C1031" s="2"/>
      <c r="D1031" s="8">
        <v>2020</v>
      </c>
      <c r="E1031" s="14">
        <f>Data!T1031</f>
        <v>9</v>
      </c>
    </row>
    <row r="1032" spans="2:5" ht="15" customHeight="1" x14ac:dyDescent="0.3">
      <c r="C1032" s="2"/>
      <c r="D1032" s="8">
        <v>2021</v>
      </c>
      <c r="E1032" s="14">
        <f>Data!T1032</f>
        <v>9</v>
      </c>
    </row>
    <row r="1033" spans="2:5" ht="15" customHeight="1" x14ac:dyDescent="0.3">
      <c r="C1033" s="2"/>
      <c r="D1033" s="8">
        <v>2022</v>
      </c>
      <c r="E1033" s="14">
        <f>Data!T1033</f>
        <v>9</v>
      </c>
    </row>
    <row r="1034" spans="2:5" ht="15" customHeight="1" x14ac:dyDescent="0.3">
      <c r="C1034" s="2"/>
      <c r="D1034" s="8">
        <v>2023</v>
      </c>
      <c r="E1034" s="14">
        <f>Data!T1034</f>
        <v>9</v>
      </c>
    </row>
    <row r="1035" spans="2:5" ht="15" customHeight="1" x14ac:dyDescent="0.3">
      <c r="C1035" s="2"/>
      <c r="D1035" s="8">
        <v>2024</v>
      </c>
      <c r="E1035" s="14">
        <f>Data!T1035</f>
        <v>9</v>
      </c>
    </row>
    <row r="1036" spans="2:5" ht="15" customHeight="1" x14ac:dyDescent="0.3">
      <c r="B1036" s="8">
        <v>95</v>
      </c>
      <c r="C1036" s="2" t="s">
        <v>115</v>
      </c>
      <c r="D1036" s="8">
        <v>2014</v>
      </c>
      <c r="E1036" s="14">
        <f>Data!T1036</f>
        <v>0</v>
      </c>
    </row>
    <row r="1037" spans="2:5" ht="15" customHeight="1" x14ac:dyDescent="0.3">
      <c r="C1037" s="2"/>
      <c r="D1037" s="8">
        <v>2015</v>
      </c>
      <c r="E1037" s="14">
        <f>Data!T1037</f>
        <v>0</v>
      </c>
    </row>
    <row r="1038" spans="2:5" ht="15" customHeight="1" x14ac:dyDescent="0.3">
      <c r="C1038" s="2"/>
      <c r="D1038" s="8">
        <v>2016</v>
      </c>
      <c r="E1038" s="14">
        <f>Data!T1038</f>
        <v>0</v>
      </c>
    </row>
    <row r="1039" spans="2:5" ht="15" customHeight="1" x14ac:dyDescent="0.3">
      <c r="C1039" s="2"/>
      <c r="D1039" s="8">
        <v>2017</v>
      </c>
      <c r="E1039" s="14">
        <f>Data!T1039</f>
        <v>0</v>
      </c>
    </row>
    <row r="1040" spans="2:5" ht="15" customHeight="1" x14ac:dyDescent="0.3">
      <c r="C1040" s="2"/>
      <c r="D1040" s="8">
        <v>2018</v>
      </c>
      <c r="E1040" s="14">
        <f>Data!T1040</f>
        <v>0</v>
      </c>
    </row>
    <row r="1041" spans="2:5" ht="15" customHeight="1" x14ac:dyDescent="0.3">
      <c r="C1041" s="2"/>
      <c r="D1041" s="8">
        <v>2019</v>
      </c>
      <c r="E1041" s="14">
        <f>Data!T1041</f>
        <v>5</v>
      </c>
    </row>
    <row r="1042" spans="2:5" ht="15" customHeight="1" x14ac:dyDescent="0.3">
      <c r="C1042" s="2"/>
      <c r="D1042" s="8">
        <v>2020</v>
      </c>
      <c r="E1042" s="14">
        <f>Data!T1042</f>
        <v>5</v>
      </c>
    </row>
    <row r="1043" spans="2:5" ht="15" customHeight="1" x14ac:dyDescent="0.3">
      <c r="C1043" s="2"/>
      <c r="D1043" s="8">
        <v>2021</v>
      </c>
      <c r="E1043" s="14">
        <f>Data!T1043</f>
        <v>5</v>
      </c>
    </row>
    <row r="1044" spans="2:5" ht="15" customHeight="1" x14ac:dyDescent="0.3">
      <c r="C1044" s="2"/>
      <c r="D1044" s="8">
        <v>2022</v>
      </c>
      <c r="E1044" s="14">
        <f>Data!T1044</f>
        <v>5</v>
      </c>
    </row>
    <row r="1045" spans="2:5" ht="15" customHeight="1" x14ac:dyDescent="0.3">
      <c r="C1045" s="2"/>
      <c r="D1045" s="8">
        <v>2023</v>
      </c>
      <c r="E1045" s="14">
        <f>Data!T1045</f>
        <v>5</v>
      </c>
    </row>
    <row r="1046" spans="2:5" ht="15" customHeight="1" x14ac:dyDescent="0.3">
      <c r="C1046" s="2"/>
      <c r="D1046" s="8">
        <v>2024</v>
      </c>
      <c r="E1046" s="14">
        <f>Data!T1046</f>
        <v>6</v>
      </c>
    </row>
    <row r="1047" spans="2:5" ht="15" customHeight="1" x14ac:dyDescent="0.3">
      <c r="B1047" s="8">
        <v>96</v>
      </c>
      <c r="C1047" s="2" t="s">
        <v>116</v>
      </c>
      <c r="D1047" s="8">
        <v>2014</v>
      </c>
      <c r="E1047" s="14">
        <f>Data!T1047</f>
        <v>0</v>
      </c>
    </row>
    <row r="1048" spans="2:5" ht="15" customHeight="1" x14ac:dyDescent="0.3">
      <c r="C1048" s="2"/>
      <c r="D1048" s="8">
        <v>2015</v>
      </c>
      <c r="E1048" s="14">
        <f>Data!T1048</f>
        <v>0</v>
      </c>
    </row>
    <row r="1049" spans="2:5" ht="15" customHeight="1" x14ac:dyDescent="0.3">
      <c r="C1049" s="2"/>
      <c r="D1049" s="8">
        <v>2016</v>
      </c>
      <c r="E1049" s="14">
        <f>Data!T1049</f>
        <v>9</v>
      </c>
    </row>
    <row r="1050" spans="2:5" ht="15" customHeight="1" x14ac:dyDescent="0.3">
      <c r="C1050" s="2"/>
      <c r="D1050" s="8">
        <v>2017</v>
      </c>
      <c r="E1050" s="14">
        <f>Data!T1050</f>
        <v>9</v>
      </c>
    </row>
    <row r="1051" spans="2:5" ht="15" customHeight="1" x14ac:dyDescent="0.3">
      <c r="C1051" s="2"/>
      <c r="D1051" s="8">
        <v>2018</v>
      </c>
      <c r="E1051" s="14">
        <f>Data!T1051</f>
        <v>9</v>
      </c>
    </row>
    <row r="1052" spans="2:5" ht="15" customHeight="1" x14ac:dyDescent="0.3">
      <c r="C1052" s="2"/>
      <c r="D1052" s="8">
        <v>2019</v>
      </c>
      <c r="E1052" s="14">
        <f>Data!T1052</f>
        <v>9</v>
      </c>
    </row>
    <row r="1053" spans="2:5" ht="15" customHeight="1" x14ac:dyDescent="0.3">
      <c r="C1053" s="2"/>
      <c r="D1053" s="8">
        <v>2020</v>
      </c>
      <c r="E1053" s="14">
        <f>Data!T1053</f>
        <v>8</v>
      </c>
    </row>
    <row r="1054" spans="2:5" ht="15" customHeight="1" x14ac:dyDescent="0.3">
      <c r="C1054" s="2"/>
      <c r="D1054" s="8">
        <v>2021</v>
      </c>
      <c r="E1054" s="14">
        <f>Data!T1054</f>
        <v>8</v>
      </c>
    </row>
    <row r="1055" spans="2:5" ht="15" customHeight="1" x14ac:dyDescent="0.3">
      <c r="C1055" s="2"/>
      <c r="D1055" s="8">
        <v>2022</v>
      </c>
      <c r="E1055" s="14">
        <f>Data!T1055</f>
        <v>8</v>
      </c>
    </row>
    <row r="1056" spans="2:5" ht="15" customHeight="1" x14ac:dyDescent="0.3">
      <c r="C1056" s="2"/>
      <c r="D1056" s="8">
        <v>2023</v>
      </c>
      <c r="E1056" s="14">
        <f>Data!T1056</f>
        <v>9</v>
      </c>
    </row>
    <row r="1057" spans="2:5" ht="15" customHeight="1" x14ac:dyDescent="0.3">
      <c r="C1057" s="2"/>
      <c r="D1057" s="8">
        <v>2024</v>
      </c>
      <c r="E1057" s="14">
        <f>Data!T1057</f>
        <v>9</v>
      </c>
    </row>
    <row r="1058" spans="2:5" ht="15" customHeight="1" x14ac:dyDescent="0.3">
      <c r="B1058" s="8">
        <v>97</v>
      </c>
      <c r="C1058" s="2" t="s">
        <v>117</v>
      </c>
      <c r="D1058" s="8">
        <v>2014</v>
      </c>
      <c r="E1058" s="14">
        <f>Data!T1058</f>
        <v>0</v>
      </c>
    </row>
    <row r="1059" spans="2:5" ht="15" customHeight="1" x14ac:dyDescent="0.3">
      <c r="C1059" s="2"/>
      <c r="D1059" s="8">
        <v>2015</v>
      </c>
      <c r="E1059" s="14">
        <f>Data!T1059</f>
        <v>0</v>
      </c>
    </row>
    <row r="1060" spans="2:5" ht="15" customHeight="1" x14ac:dyDescent="0.3">
      <c r="C1060" s="2"/>
      <c r="D1060" s="8">
        <v>2016</v>
      </c>
      <c r="E1060" s="14">
        <f>Data!T1060</f>
        <v>0</v>
      </c>
    </row>
    <row r="1061" spans="2:5" ht="15" customHeight="1" x14ac:dyDescent="0.3">
      <c r="C1061" s="2"/>
      <c r="D1061" s="8">
        <v>2017</v>
      </c>
      <c r="E1061" s="14">
        <f>Data!T1061</f>
        <v>0</v>
      </c>
    </row>
    <row r="1062" spans="2:5" ht="15" customHeight="1" x14ac:dyDescent="0.3">
      <c r="C1062" s="2"/>
      <c r="D1062" s="8">
        <v>2018</v>
      </c>
      <c r="E1062" s="14">
        <f>Data!T1062</f>
        <v>8</v>
      </c>
    </row>
    <row r="1063" spans="2:5" ht="15" customHeight="1" x14ac:dyDescent="0.3">
      <c r="C1063" s="2"/>
      <c r="D1063" s="8">
        <v>2019</v>
      </c>
      <c r="E1063" s="14">
        <f>Data!T1063</f>
        <v>7</v>
      </c>
    </row>
    <row r="1064" spans="2:5" ht="15" customHeight="1" x14ac:dyDescent="0.3">
      <c r="C1064" s="2"/>
      <c r="D1064" s="8">
        <v>2020</v>
      </c>
      <c r="E1064" s="14">
        <f>Data!T1064</f>
        <v>7</v>
      </c>
    </row>
    <row r="1065" spans="2:5" ht="15" customHeight="1" x14ac:dyDescent="0.3">
      <c r="C1065" s="2"/>
      <c r="D1065" s="8">
        <v>2021</v>
      </c>
      <c r="E1065" s="14">
        <f>Data!T1065</f>
        <v>7</v>
      </c>
    </row>
    <row r="1066" spans="2:5" ht="15" customHeight="1" x14ac:dyDescent="0.3">
      <c r="C1066" s="2"/>
      <c r="D1066" s="8">
        <v>2022</v>
      </c>
      <c r="E1066" s="14">
        <f>Data!T1066</f>
        <v>7</v>
      </c>
    </row>
    <row r="1067" spans="2:5" ht="15" customHeight="1" x14ac:dyDescent="0.3">
      <c r="C1067" s="2"/>
      <c r="D1067" s="8">
        <v>2023</v>
      </c>
      <c r="E1067" s="14">
        <f>Data!T1067</f>
        <v>6</v>
      </c>
    </row>
    <row r="1068" spans="2:5" ht="15" customHeight="1" x14ac:dyDescent="0.3">
      <c r="C1068" s="2"/>
      <c r="D1068" s="8">
        <v>2024</v>
      </c>
      <c r="E1068" s="14">
        <f>Data!T1068</f>
        <v>6</v>
      </c>
    </row>
    <row r="1069" spans="2:5" ht="15" customHeight="1" x14ac:dyDescent="0.3">
      <c r="B1069" s="8">
        <v>98</v>
      </c>
      <c r="C1069" s="2" t="s">
        <v>103</v>
      </c>
      <c r="D1069" s="8">
        <v>2014</v>
      </c>
      <c r="E1069" s="14">
        <f>Data!T1069</f>
        <v>0</v>
      </c>
    </row>
    <row r="1070" spans="2:5" ht="15" customHeight="1" x14ac:dyDescent="0.3">
      <c r="C1070" s="2"/>
      <c r="D1070" s="8">
        <v>2015</v>
      </c>
      <c r="E1070" s="14">
        <f>Data!T1070</f>
        <v>0</v>
      </c>
    </row>
    <row r="1071" spans="2:5" ht="15" customHeight="1" x14ac:dyDescent="0.3">
      <c r="C1071" s="2"/>
      <c r="D1071" s="8">
        <v>2016</v>
      </c>
      <c r="E1071" s="14">
        <f>Data!T1071</f>
        <v>0</v>
      </c>
    </row>
    <row r="1072" spans="2:5" ht="15" customHeight="1" x14ac:dyDescent="0.3">
      <c r="C1072" s="2"/>
      <c r="D1072" s="8">
        <v>2017</v>
      </c>
      <c r="E1072" s="14">
        <f>Data!T1072</f>
        <v>0</v>
      </c>
    </row>
    <row r="1073" spans="2:5" ht="15" customHeight="1" x14ac:dyDescent="0.3">
      <c r="C1073" s="2"/>
      <c r="D1073" s="8">
        <v>2018</v>
      </c>
      <c r="E1073" s="14">
        <f>Data!T1073</f>
        <v>6</v>
      </c>
    </row>
    <row r="1074" spans="2:5" ht="15" customHeight="1" x14ac:dyDescent="0.3">
      <c r="C1074" s="2"/>
      <c r="D1074" s="8">
        <v>2019</v>
      </c>
      <c r="E1074" s="14">
        <f>Data!T1074</f>
        <v>6</v>
      </c>
    </row>
    <row r="1075" spans="2:5" ht="15" customHeight="1" x14ac:dyDescent="0.3">
      <c r="C1075" s="2"/>
      <c r="D1075" s="8">
        <v>2020</v>
      </c>
      <c r="E1075" s="14">
        <f>Data!T1075</f>
        <v>5</v>
      </c>
    </row>
    <row r="1076" spans="2:5" ht="15" customHeight="1" x14ac:dyDescent="0.3">
      <c r="C1076" s="2"/>
      <c r="D1076" s="8">
        <v>2021</v>
      </c>
      <c r="E1076" s="14">
        <f>Data!T1076</f>
        <v>5</v>
      </c>
    </row>
    <row r="1077" spans="2:5" ht="15" customHeight="1" x14ac:dyDescent="0.3">
      <c r="C1077" s="2"/>
      <c r="D1077" s="8">
        <v>2022</v>
      </c>
      <c r="E1077" s="14">
        <f>Data!T1077</f>
        <v>5</v>
      </c>
    </row>
    <row r="1078" spans="2:5" ht="15" customHeight="1" x14ac:dyDescent="0.3">
      <c r="C1078" s="2"/>
      <c r="D1078" s="8">
        <v>2023</v>
      </c>
      <c r="E1078" s="14">
        <f>Data!T1078</f>
        <v>6</v>
      </c>
    </row>
    <row r="1079" spans="2:5" ht="15" customHeight="1" x14ac:dyDescent="0.3">
      <c r="C1079" s="2"/>
      <c r="D1079" s="8">
        <v>2024</v>
      </c>
      <c r="E1079" s="14">
        <f>Data!T1079</f>
        <v>6</v>
      </c>
    </row>
    <row r="1080" spans="2:5" ht="15" customHeight="1" x14ac:dyDescent="0.3">
      <c r="B1080" s="8">
        <v>99</v>
      </c>
      <c r="C1080" s="2" t="s">
        <v>118</v>
      </c>
      <c r="D1080" s="8">
        <v>2014</v>
      </c>
      <c r="E1080" s="14">
        <f>Data!T1080</f>
        <v>0</v>
      </c>
    </row>
    <row r="1081" spans="2:5" ht="15" customHeight="1" x14ac:dyDescent="0.3">
      <c r="C1081" s="2"/>
      <c r="D1081" s="8">
        <v>2015</v>
      </c>
      <c r="E1081" s="14">
        <f>Data!T1081</f>
        <v>0</v>
      </c>
    </row>
    <row r="1082" spans="2:5" ht="15" customHeight="1" x14ac:dyDescent="0.3">
      <c r="C1082" s="2"/>
      <c r="D1082" s="8">
        <v>2016</v>
      </c>
      <c r="E1082" s="14">
        <f>Data!T1082</f>
        <v>0</v>
      </c>
    </row>
    <row r="1083" spans="2:5" ht="15" customHeight="1" x14ac:dyDescent="0.3">
      <c r="C1083" s="2"/>
      <c r="D1083" s="8">
        <v>2017</v>
      </c>
      <c r="E1083" s="14">
        <f>Data!T1083</f>
        <v>0</v>
      </c>
    </row>
    <row r="1084" spans="2:5" ht="15" customHeight="1" x14ac:dyDescent="0.3">
      <c r="C1084" s="2"/>
      <c r="D1084" s="8">
        <v>2018</v>
      </c>
      <c r="E1084" s="14">
        <f>Data!T1084</f>
        <v>0</v>
      </c>
    </row>
    <row r="1085" spans="2:5" ht="15" customHeight="1" x14ac:dyDescent="0.3">
      <c r="C1085" s="2"/>
      <c r="D1085" s="8">
        <v>2019</v>
      </c>
      <c r="E1085" s="14">
        <f>Data!T1085</f>
        <v>0</v>
      </c>
    </row>
    <row r="1086" spans="2:5" ht="15" customHeight="1" x14ac:dyDescent="0.3">
      <c r="C1086" s="2"/>
      <c r="D1086" s="8">
        <v>2020</v>
      </c>
      <c r="E1086" s="14">
        <f>Data!T1086</f>
        <v>0</v>
      </c>
    </row>
    <row r="1087" spans="2:5" ht="15" customHeight="1" x14ac:dyDescent="0.3">
      <c r="C1087" s="2"/>
      <c r="D1087" s="8">
        <v>2021</v>
      </c>
      <c r="E1087" s="14">
        <f>Data!T1087</f>
        <v>0</v>
      </c>
    </row>
    <row r="1088" spans="2:5" ht="15" customHeight="1" x14ac:dyDescent="0.3">
      <c r="C1088" s="2"/>
      <c r="D1088" s="8">
        <v>2022</v>
      </c>
      <c r="E1088" s="14">
        <f>Data!T1088</f>
        <v>8</v>
      </c>
    </row>
    <row r="1089" spans="2:5" ht="15" customHeight="1" x14ac:dyDescent="0.3">
      <c r="C1089" s="2"/>
      <c r="D1089" s="8">
        <v>2023</v>
      </c>
      <c r="E1089" s="14">
        <f>Data!T1089</f>
        <v>8</v>
      </c>
    </row>
    <row r="1090" spans="2:5" ht="15" customHeight="1" x14ac:dyDescent="0.3">
      <c r="C1090" s="2"/>
      <c r="D1090" s="8">
        <v>2024</v>
      </c>
      <c r="E1090" s="14">
        <f>Data!T1090</f>
        <v>8</v>
      </c>
    </row>
    <row r="1091" spans="2:5" ht="15" customHeight="1" x14ac:dyDescent="0.3">
      <c r="B1091" s="8">
        <v>100</v>
      </c>
      <c r="C1091" s="2" t="s">
        <v>104</v>
      </c>
      <c r="D1091" s="8">
        <v>2014</v>
      </c>
      <c r="E1091" s="14">
        <f>Data!T1091</f>
        <v>0</v>
      </c>
    </row>
    <row r="1092" spans="2:5" ht="15" customHeight="1" x14ac:dyDescent="0.3">
      <c r="C1092" s="2"/>
      <c r="D1092" s="8">
        <v>2015</v>
      </c>
      <c r="E1092" s="14">
        <f>Data!T1092</f>
        <v>7</v>
      </c>
    </row>
    <row r="1093" spans="2:5" ht="15" customHeight="1" x14ac:dyDescent="0.3">
      <c r="C1093" s="2"/>
      <c r="D1093" s="8">
        <v>2016</v>
      </c>
      <c r="E1093" s="14">
        <f>Data!T1093</f>
        <v>7</v>
      </c>
    </row>
    <row r="1094" spans="2:5" ht="15" customHeight="1" x14ac:dyDescent="0.3">
      <c r="C1094" s="2"/>
      <c r="D1094" s="8">
        <v>2017</v>
      </c>
      <c r="E1094" s="14">
        <f>Data!T1094</f>
        <v>6</v>
      </c>
    </row>
    <row r="1095" spans="2:5" ht="15" customHeight="1" x14ac:dyDescent="0.3">
      <c r="C1095" s="2"/>
      <c r="D1095" s="8">
        <v>2018</v>
      </c>
      <c r="E1095" s="14">
        <f>Data!T1095</f>
        <v>6</v>
      </c>
    </row>
    <row r="1096" spans="2:5" ht="15" customHeight="1" x14ac:dyDescent="0.3">
      <c r="C1096" s="2"/>
      <c r="D1096" s="8">
        <v>2019</v>
      </c>
      <c r="E1096" s="14">
        <f>Data!T1096</f>
        <v>7</v>
      </c>
    </row>
    <row r="1097" spans="2:5" ht="15" customHeight="1" x14ac:dyDescent="0.3">
      <c r="C1097" s="2"/>
      <c r="D1097" s="8">
        <v>2020</v>
      </c>
      <c r="E1097" s="14">
        <f>Data!T1097</f>
        <v>7</v>
      </c>
    </row>
    <row r="1098" spans="2:5" ht="15" customHeight="1" x14ac:dyDescent="0.3">
      <c r="C1098" s="2"/>
      <c r="D1098" s="8">
        <v>2021</v>
      </c>
      <c r="E1098" s="14">
        <f>Data!T1098</f>
        <v>7</v>
      </c>
    </row>
    <row r="1099" spans="2:5" ht="15" customHeight="1" x14ac:dyDescent="0.3">
      <c r="C1099" s="2"/>
      <c r="D1099" s="8">
        <v>2022</v>
      </c>
      <c r="E1099" s="14">
        <f>Data!T1099</f>
        <v>7</v>
      </c>
    </row>
    <row r="1100" spans="2:5" ht="15" customHeight="1" x14ac:dyDescent="0.3">
      <c r="C1100" s="2"/>
      <c r="D1100" s="8">
        <v>2023</v>
      </c>
      <c r="E1100" s="14">
        <f>Data!T1100</f>
        <v>7</v>
      </c>
    </row>
    <row r="1101" spans="2:5" ht="15" customHeight="1" x14ac:dyDescent="0.3">
      <c r="C1101" s="2"/>
      <c r="D1101" s="8">
        <v>2024</v>
      </c>
      <c r="E1101" s="14">
        <f>Data!T1101</f>
        <v>7</v>
      </c>
    </row>
    <row r="1102" spans="2:5" ht="15" customHeight="1" x14ac:dyDescent="0.3">
      <c r="B1102" s="8">
        <v>101</v>
      </c>
      <c r="C1102" s="2" t="s">
        <v>120</v>
      </c>
      <c r="D1102" s="8">
        <v>2014</v>
      </c>
      <c r="E1102" s="14">
        <f>Data!T1102</f>
        <v>0</v>
      </c>
    </row>
    <row r="1103" spans="2:5" ht="15" customHeight="1" x14ac:dyDescent="0.3">
      <c r="C1103" s="2"/>
      <c r="D1103" s="8">
        <v>2015</v>
      </c>
      <c r="E1103" s="14">
        <f>Data!T1103</f>
        <v>10</v>
      </c>
    </row>
    <row r="1104" spans="2:5" ht="15" customHeight="1" x14ac:dyDescent="0.3">
      <c r="C1104" s="2"/>
      <c r="D1104" s="8">
        <v>2016</v>
      </c>
      <c r="E1104" s="14">
        <f>Data!T1104</f>
        <v>10</v>
      </c>
    </row>
    <row r="1105" spans="2:5" ht="15" customHeight="1" x14ac:dyDescent="0.3">
      <c r="C1105" s="2"/>
      <c r="D1105" s="8">
        <v>2017</v>
      </c>
      <c r="E1105" s="14">
        <f>Data!T1105</f>
        <v>10</v>
      </c>
    </row>
    <row r="1106" spans="2:5" ht="15" customHeight="1" x14ac:dyDescent="0.3">
      <c r="C1106" s="2"/>
      <c r="D1106" s="8">
        <v>2018</v>
      </c>
      <c r="E1106" s="14">
        <f>Data!T1106</f>
        <v>10</v>
      </c>
    </row>
    <row r="1107" spans="2:5" ht="15" customHeight="1" x14ac:dyDescent="0.3">
      <c r="C1107" s="2"/>
      <c r="D1107" s="8">
        <v>2019</v>
      </c>
      <c r="E1107" s="14">
        <f>Data!T1107</f>
        <v>10</v>
      </c>
    </row>
    <row r="1108" spans="2:5" ht="15" customHeight="1" x14ac:dyDescent="0.3">
      <c r="C1108" s="2"/>
      <c r="D1108" s="8">
        <v>2020</v>
      </c>
      <c r="E1108" s="14">
        <f>Data!T1108</f>
        <v>10</v>
      </c>
    </row>
    <row r="1109" spans="2:5" ht="15" customHeight="1" x14ac:dyDescent="0.3">
      <c r="C1109" s="2"/>
      <c r="D1109" s="8">
        <v>2021</v>
      </c>
      <c r="E1109" s="14">
        <f>Data!T1109</f>
        <v>12</v>
      </c>
    </row>
    <row r="1110" spans="2:5" ht="15" customHeight="1" x14ac:dyDescent="0.3">
      <c r="C1110" s="2"/>
      <c r="D1110" s="8">
        <v>2022</v>
      </c>
      <c r="E1110" s="14">
        <f>Data!T1110</f>
        <v>10</v>
      </c>
    </row>
    <row r="1111" spans="2:5" ht="15" customHeight="1" x14ac:dyDescent="0.3">
      <c r="C1111" s="2"/>
      <c r="D1111" s="8">
        <v>2023</v>
      </c>
      <c r="E1111" s="14">
        <f>Data!T1111</f>
        <v>10</v>
      </c>
    </row>
    <row r="1112" spans="2:5" ht="15" customHeight="1" x14ac:dyDescent="0.3">
      <c r="C1112" s="2"/>
      <c r="D1112" s="8">
        <v>2024</v>
      </c>
      <c r="E1112" s="14">
        <f>Data!T1112</f>
        <v>9</v>
      </c>
    </row>
    <row r="1113" spans="2:5" ht="15" customHeight="1" x14ac:dyDescent="0.3">
      <c r="B1113" s="8">
        <v>102</v>
      </c>
      <c r="C1113" s="1" t="s">
        <v>134</v>
      </c>
      <c r="D1113" s="8">
        <v>2014</v>
      </c>
      <c r="E1113" s="14">
        <f>Data!T1113</f>
        <v>0</v>
      </c>
    </row>
    <row r="1114" spans="2:5" ht="15" customHeight="1" x14ac:dyDescent="0.3">
      <c r="C1114" s="1"/>
      <c r="D1114" s="8">
        <v>2015</v>
      </c>
      <c r="E1114" s="14">
        <f>Data!T1114</f>
        <v>0</v>
      </c>
    </row>
    <row r="1115" spans="2:5" ht="15" customHeight="1" x14ac:dyDescent="0.3">
      <c r="C1115" s="1"/>
      <c r="D1115" s="8">
        <v>2016</v>
      </c>
      <c r="E1115" s="14">
        <f>Data!T1115</f>
        <v>7</v>
      </c>
    </row>
    <row r="1116" spans="2:5" ht="15" customHeight="1" x14ac:dyDescent="0.3">
      <c r="C1116" s="1"/>
      <c r="D1116" s="8">
        <v>2017</v>
      </c>
      <c r="E1116" s="14">
        <f>Data!T1116</f>
        <v>7</v>
      </c>
    </row>
    <row r="1117" spans="2:5" ht="15" customHeight="1" x14ac:dyDescent="0.3">
      <c r="C1117" s="1"/>
      <c r="D1117" s="8">
        <v>2018</v>
      </c>
      <c r="E1117" s="14">
        <f>Data!T1117</f>
        <v>7</v>
      </c>
    </row>
    <row r="1118" spans="2:5" ht="15" customHeight="1" x14ac:dyDescent="0.3">
      <c r="C1118" s="1"/>
      <c r="D1118" s="8">
        <v>2019</v>
      </c>
      <c r="E1118" s="14">
        <f>Data!T1118</f>
        <v>7</v>
      </c>
    </row>
    <row r="1119" spans="2:5" ht="15" customHeight="1" x14ac:dyDescent="0.3">
      <c r="C1119" s="1"/>
      <c r="D1119" s="8">
        <v>2020</v>
      </c>
      <c r="E1119" s="14">
        <f>Data!T1119</f>
        <v>7</v>
      </c>
    </row>
    <row r="1120" spans="2:5" ht="15" customHeight="1" x14ac:dyDescent="0.3">
      <c r="C1120" s="1"/>
      <c r="D1120" s="8">
        <v>2021</v>
      </c>
      <c r="E1120" s="14">
        <f>Data!T1120</f>
        <v>7</v>
      </c>
    </row>
    <row r="1121" spans="2:5" ht="15" customHeight="1" x14ac:dyDescent="0.3">
      <c r="C1121" s="1"/>
      <c r="D1121" s="8">
        <v>2022</v>
      </c>
      <c r="E1121" s="14">
        <f>Data!T1121</f>
        <v>7</v>
      </c>
    </row>
    <row r="1122" spans="2:5" ht="15" customHeight="1" x14ac:dyDescent="0.3">
      <c r="C1122" s="1"/>
      <c r="D1122" s="8">
        <v>2023</v>
      </c>
      <c r="E1122" s="14">
        <f>Data!T1122</f>
        <v>7</v>
      </c>
    </row>
    <row r="1123" spans="2:5" ht="15" customHeight="1" x14ac:dyDescent="0.3">
      <c r="C1123" s="1"/>
      <c r="D1123" s="8">
        <v>2024</v>
      </c>
      <c r="E1123" s="14">
        <f>Data!T1123</f>
        <v>6</v>
      </c>
    </row>
    <row r="1124" spans="2:5" ht="15" customHeight="1" x14ac:dyDescent="0.3">
      <c r="B1124" s="8">
        <v>103</v>
      </c>
      <c r="C1124" s="2" t="s">
        <v>122</v>
      </c>
      <c r="D1124" s="8">
        <v>2014</v>
      </c>
      <c r="E1124" s="14">
        <f>Data!T1124</f>
        <v>0</v>
      </c>
    </row>
    <row r="1125" spans="2:5" ht="15" customHeight="1" x14ac:dyDescent="0.3">
      <c r="C1125" s="2"/>
      <c r="D1125" s="8">
        <v>2015</v>
      </c>
      <c r="E1125" s="14">
        <f>Data!T1125</f>
        <v>7</v>
      </c>
    </row>
    <row r="1126" spans="2:5" ht="15" customHeight="1" x14ac:dyDescent="0.3">
      <c r="C1126" s="2"/>
      <c r="D1126" s="8">
        <v>2016</v>
      </c>
      <c r="E1126" s="14">
        <f>Data!T1126</f>
        <v>7</v>
      </c>
    </row>
    <row r="1127" spans="2:5" ht="15" customHeight="1" x14ac:dyDescent="0.3">
      <c r="C1127" s="2"/>
      <c r="D1127" s="8">
        <v>2017</v>
      </c>
      <c r="E1127" s="14">
        <f>Data!T1127</f>
        <v>5</v>
      </c>
    </row>
    <row r="1128" spans="2:5" ht="15" customHeight="1" x14ac:dyDescent="0.3">
      <c r="C1128" s="2"/>
      <c r="D1128" s="8">
        <v>2018</v>
      </c>
      <c r="E1128" s="14">
        <f>Data!T1128</f>
        <v>0</v>
      </c>
    </row>
    <row r="1129" spans="2:5" ht="15" customHeight="1" x14ac:dyDescent="0.3">
      <c r="C1129" s="2"/>
      <c r="D1129" s="8">
        <v>2019</v>
      </c>
      <c r="E1129" s="14">
        <f>Data!T1129</f>
        <v>6</v>
      </c>
    </row>
    <row r="1130" spans="2:5" ht="15" customHeight="1" x14ac:dyDescent="0.3">
      <c r="C1130" s="2"/>
      <c r="D1130" s="8">
        <v>2020</v>
      </c>
      <c r="E1130" s="14">
        <f>Data!T1130</f>
        <v>6</v>
      </c>
    </row>
    <row r="1131" spans="2:5" ht="15" customHeight="1" x14ac:dyDescent="0.3">
      <c r="C1131" s="2"/>
      <c r="D1131" s="8">
        <v>2021</v>
      </c>
      <c r="E1131" s="14">
        <f>Data!T1131</f>
        <v>6</v>
      </c>
    </row>
    <row r="1132" spans="2:5" ht="15" customHeight="1" x14ac:dyDescent="0.3">
      <c r="C1132" s="2"/>
      <c r="D1132" s="8">
        <v>2022</v>
      </c>
      <c r="E1132" s="14">
        <f>Data!T1132</f>
        <v>6</v>
      </c>
    </row>
    <row r="1133" spans="2:5" ht="15" customHeight="1" x14ac:dyDescent="0.3">
      <c r="C1133" s="2"/>
      <c r="D1133" s="8">
        <v>2023</v>
      </c>
      <c r="E1133" s="14">
        <f>Data!T1133</f>
        <v>6</v>
      </c>
    </row>
    <row r="1134" spans="2:5" ht="15" customHeight="1" x14ac:dyDescent="0.3">
      <c r="C1134" s="2"/>
      <c r="D1134" s="8">
        <v>2024</v>
      </c>
      <c r="E1134" s="14">
        <f>Data!T1134</f>
        <v>8</v>
      </c>
    </row>
    <row r="1135" spans="2:5" ht="15" customHeight="1" x14ac:dyDescent="0.3">
      <c r="B1135" s="8">
        <v>104</v>
      </c>
      <c r="C1135" s="2" t="s">
        <v>123</v>
      </c>
      <c r="D1135" s="8">
        <v>2014</v>
      </c>
      <c r="E1135" s="14">
        <f>Data!T1135</f>
        <v>0</v>
      </c>
    </row>
    <row r="1136" spans="2:5" ht="15" customHeight="1" x14ac:dyDescent="0.3">
      <c r="C1136" s="2"/>
      <c r="D1136" s="8">
        <v>2015</v>
      </c>
      <c r="E1136" s="14">
        <f>Data!T1136</f>
        <v>7</v>
      </c>
    </row>
    <row r="1137" spans="2:5" ht="15" customHeight="1" x14ac:dyDescent="0.3">
      <c r="C1137" s="2"/>
      <c r="D1137" s="8">
        <v>2016</v>
      </c>
      <c r="E1137" s="14">
        <f>Data!T1137</f>
        <v>7</v>
      </c>
    </row>
    <row r="1138" spans="2:5" ht="15" customHeight="1" x14ac:dyDescent="0.3">
      <c r="C1138" s="2"/>
      <c r="D1138" s="8">
        <v>2017</v>
      </c>
      <c r="E1138" s="14">
        <f>Data!T1138</f>
        <v>5</v>
      </c>
    </row>
    <row r="1139" spans="2:5" ht="15" customHeight="1" x14ac:dyDescent="0.3">
      <c r="C1139" s="2"/>
      <c r="D1139" s="8">
        <v>2018</v>
      </c>
      <c r="E1139" s="14">
        <f>Data!T1139</f>
        <v>5</v>
      </c>
    </row>
    <row r="1140" spans="2:5" ht="15" customHeight="1" x14ac:dyDescent="0.3">
      <c r="C1140" s="2"/>
      <c r="D1140" s="8">
        <v>2019</v>
      </c>
      <c r="E1140" s="14">
        <f>Data!T1140</f>
        <v>8</v>
      </c>
    </row>
    <row r="1141" spans="2:5" ht="15" customHeight="1" x14ac:dyDescent="0.3">
      <c r="C1141" s="2"/>
      <c r="D1141" s="8">
        <v>2020</v>
      </c>
      <c r="E1141" s="14">
        <f>Data!T1141</f>
        <v>8</v>
      </c>
    </row>
    <row r="1142" spans="2:5" ht="15" customHeight="1" x14ac:dyDescent="0.3">
      <c r="C1142" s="2"/>
      <c r="D1142" s="8">
        <v>2021</v>
      </c>
      <c r="E1142" s="14">
        <f>Data!T1142</f>
        <v>7</v>
      </c>
    </row>
    <row r="1143" spans="2:5" ht="15" customHeight="1" x14ac:dyDescent="0.3">
      <c r="C1143" s="2"/>
      <c r="D1143" s="8">
        <v>2022</v>
      </c>
      <c r="E1143" s="14">
        <f>Data!T1143</f>
        <v>7</v>
      </c>
    </row>
    <row r="1144" spans="2:5" ht="15" customHeight="1" x14ac:dyDescent="0.3">
      <c r="C1144" s="2"/>
      <c r="D1144" s="8">
        <v>2023</v>
      </c>
      <c r="E1144" s="14">
        <f>Data!T1144</f>
        <v>7</v>
      </c>
    </row>
    <row r="1145" spans="2:5" ht="15" customHeight="1" x14ac:dyDescent="0.3">
      <c r="C1145" s="2"/>
      <c r="D1145" s="8">
        <v>2024</v>
      </c>
      <c r="E1145" s="14">
        <f>Data!T1145</f>
        <v>7</v>
      </c>
    </row>
    <row r="1146" spans="2:5" ht="15" customHeight="1" x14ac:dyDescent="0.3">
      <c r="B1146" s="8">
        <v>105</v>
      </c>
      <c r="C1146" s="1" t="s">
        <v>135</v>
      </c>
      <c r="D1146" s="8">
        <v>2014</v>
      </c>
      <c r="E1146" s="14">
        <f>Data!T1146</f>
        <v>0</v>
      </c>
    </row>
    <row r="1147" spans="2:5" ht="15" customHeight="1" x14ac:dyDescent="0.3">
      <c r="C1147" s="1"/>
      <c r="D1147" s="8">
        <v>2015</v>
      </c>
      <c r="E1147" s="14">
        <f>Data!T1147</f>
        <v>0</v>
      </c>
    </row>
    <row r="1148" spans="2:5" ht="15" customHeight="1" x14ac:dyDescent="0.3">
      <c r="C1148" s="1"/>
      <c r="D1148" s="8">
        <v>2016</v>
      </c>
      <c r="E1148" s="14">
        <f>Data!T1148</f>
        <v>0</v>
      </c>
    </row>
    <row r="1149" spans="2:5" ht="15" customHeight="1" x14ac:dyDescent="0.3">
      <c r="C1149" s="1"/>
      <c r="D1149" s="8">
        <v>2017</v>
      </c>
      <c r="E1149" s="14">
        <f>Data!T1149</f>
        <v>2</v>
      </c>
    </row>
    <row r="1150" spans="2:5" ht="15" customHeight="1" x14ac:dyDescent="0.3">
      <c r="C1150" s="1"/>
      <c r="D1150" s="8">
        <v>2018</v>
      </c>
      <c r="E1150" s="14">
        <f>Data!T1150</f>
        <v>5</v>
      </c>
    </row>
    <row r="1151" spans="2:5" ht="15" customHeight="1" x14ac:dyDescent="0.3">
      <c r="C1151" s="1"/>
      <c r="D1151" s="8">
        <v>2019</v>
      </c>
      <c r="E1151" s="14">
        <f>Data!T1151</f>
        <v>6</v>
      </c>
    </row>
    <row r="1152" spans="2:5" ht="15" customHeight="1" x14ac:dyDescent="0.3">
      <c r="C1152" s="1"/>
      <c r="D1152" s="8">
        <v>2020</v>
      </c>
      <c r="E1152" s="14">
        <f>Data!T1152</f>
        <v>7</v>
      </c>
    </row>
    <row r="1153" spans="2:5" ht="15" customHeight="1" x14ac:dyDescent="0.3">
      <c r="C1153" s="1"/>
      <c r="D1153" s="8">
        <v>2021</v>
      </c>
      <c r="E1153" s="14">
        <f>Data!T1153</f>
        <v>6</v>
      </c>
    </row>
    <row r="1154" spans="2:5" ht="15" customHeight="1" x14ac:dyDescent="0.3">
      <c r="C1154" s="1"/>
      <c r="D1154" s="8">
        <v>2022</v>
      </c>
      <c r="E1154" s="14">
        <f>Data!T1154</f>
        <v>6</v>
      </c>
    </row>
    <row r="1155" spans="2:5" ht="15" customHeight="1" x14ac:dyDescent="0.3">
      <c r="C1155" s="1"/>
      <c r="D1155" s="8">
        <v>2023</v>
      </c>
      <c r="E1155" s="14">
        <f>Data!T1155</f>
        <v>6</v>
      </c>
    </row>
    <row r="1156" spans="2:5" ht="15" customHeight="1" x14ac:dyDescent="0.3">
      <c r="C1156" s="1"/>
      <c r="D1156" s="8">
        <v>2024</v>
      </c>
      <c r="E1156" s="14">
        <f>Data!T1156</f>
        <v>6</v>
      </c>
    </row>
    <row r="1157" spans="2:5" ht="15" customHeight="1" x14ac:dyDescent="0.3">
      <c r="B1157" s="8">
        <v>106</v>
      </c>
      <c r="C1157" s="2" t="s">
        <v>124</v>
      </c>
      <c r="D1157" s="8">
        <v>2014</v>
      </c>
      <c r="E1157" s="14">
        <f>Data!T1157</f>
        <v>0</v>
      </c>
    </row>
    <row r="1158" spans="2:5" ht="15" customHeight="1" x14ac:dyDescent="0.3">
      <c r="C1158" s="2"/>
      <c r="D1158" s="8">
        <v>2015</v>
      </c>
      <c r="E1158" s="14">
        <f>Data!T1158</f>
        <v>8</v>
      </c>
    </row>
    <row r="1159" spans="2:5" ht="15" customHeight="1" x14ac:dyDescent="0.3">
      <c r="C1159" s="2"/>
      <c r="D1159" s="8">
        <v>2016</v>
      </c>
      <c r="E1159" s="14">
        <f>Data!T1159</f>
        <v>8</v>
      </c>
    </row>
    <row r="1160" spans="2:5" ht="15" customHeight="1" x14ac:dyDescent="0.3">
      <c r="C1160" s="2"/>
      <c r="D1160" s="8">
        <v>2017</v>
      </c>
      <c r="E1160" s="14">
        <f>Data!T1160</f>
        <v>8</v>
      </c>
    </row>
    <row r="1161" spans="2:5" ht="15" customHeight="1" x14ac:dyDescent="0.3">
      <c r="C1161" s="2"/>
      <c r="D1161" s="8">
        <v>2018</v>
      </c>
      <c r="E1161" s="14">
        <f>Data!T1161</f>
        <v>7</v>
      </c>
    </row>
    <row r="1162" spans="2:5" ht="15" customHeight="1" x14ac:dyDescent="0.3">
      <c r="C1162" s="2"/>
      <c r="D1162" s="8">
        <v>2019</v>
      </c>
      <c r="E1162" s="14">
        <f>Data!T1162</f>
        <v>9</v>
      </c>
    </row>
    <row r="1163" spans="2:5" ht="15" customHeight="1" x14ac:dyDescent="0.3">
      <c r="C1163" s="2"/>
      <c r="D1163" s="8">
        <v>2020</v>
      </c>
      <c r="E1163" s="14">
        <f>Data!T1163</f>
        <v>8</v>
      </c>
    </row>
    <row r="1164" spans="2:5" ht="15" customHeight="1" x14ac:dyDescent="0.3">
      <c r="C1164" s="2"/>
      <c r="D1164" s="8">
        <v>2021</v>
      </c>
      <c r="E1164" s="14">
        <f>Data!T1164</f>
        <v>8</v>
      </c>
    </row>
    <row r="1165" spans="2:5" ht="15" customHeight="1" x14ac:dyDescent="0.3">
      <c r="C1165" s="2"/>
      <c r="D1165" s="8">
        <v>2022</v>
      </c>
      <c r="E1165" s="14">
        <f>Data!T1165</f>
        <v>8</v>
      </c>
    </row>
    <row r="1166" spans="2:5" ht="15" customHeight="1" x14ac:dyDescent="0.3">
      <c r="C1166" s="2"/>
      <c r="D1166" s="8">
        <v>2023</v>
      </c>
      <c r="E1166" s="14">
        <f>Data!T1166</f>
        <v>8</v>
      </c>
    </row>
    <row r="1167" spans="2:5" ht="15" customHeight="1" x14ac:dyDescent="0.3">
      <c r="C1167" s="2"/>
      <c r="D1167" s="8">
        <v>2024</v>
      </c>
      <c r="E1167" s="14">
        <f>Data!T1167</f>
        <v>8</v>
      </c>
    </row>
    <row r="1168" spans="2:5" ht="15" customHeight="1" x14ac:dyDescent="0.3">
      <c r="B1168" s="8">
        <v>107</v>
      </c>
      <c r="C1168" s="2" t="s">
        <v>105</v>
      </c>
      <c r="D1168" s="8">
        <v>2014</v>
      </c>
      <c r="E1168" s="14">
        <f>Data!T1168</f>
        <v>0</v>
      </c>
    </row>
    <row r="1169" spans="2:5" ht="15" customHeight="1" x14ac:dyDescent="0.3">
      <c r="C1169" s="2"/>
      <c r="D1169" s="8">
        <v>2015</v>
      </c>
      <c r="E1169" s="14">
        <f>Data!T1169</f>
        <v>0</v>
      </c>
    </row>
    <row r="1170" spans="2:5" ht="15" customHeight="1" x14ac:dyDescent="0.3">
      <c r="C1170" s="2"/>
      <c r="D1170" s="8">
        <v>2016</v>
      </c>
      <c r="E1170" s="14">
        <f>Data!T1170</f>
        <v>0</v>
      </c>
    </row>
    <row r="1171" spans="2:5" ht="15" customHeight="1" x14ac:dyDescent="0.3">
      <c r="C1171" s="2"/>
      <c r="D1171" s="8">
        <v>2017</v>
      </c>
      <c r="E1171" s="14">
        <f>Data!T1171</f>
        <v>0</v>
      </c>
    </row>
    <row r="1172" spans="2:5" ht="15" customHeight="1" x14ac:dyDescent="0.3">
      <c r="C1172" s="2"/>
      <c r="D1172" s="8">
        <v>2018</v>
      </c>
      <c r="E1172" s="14">
        <f>Data!T1172</f>
        <v>0</v>
      </c>
    </row>
    <row r="1173" spans="2:5" ht="15" customHeight="1" x14ac:dyDescent="0.3">
      <c r="C1173" s="2"/>
      <c r="D1173" s="8">
        <v>2019</v>
      </c>
      <c r="E1173" s="14">
        <f>Data!T1173</f>
        <v>7</v>
      </c>
    </row>
    <row r="1174" spans="2:5" ht="15" customHeight="1" x14ac:dyDescent="0.3">
      <c r="C1174" s="2"/>
      <c r="D1174" s="8">
        <v>2020</v>
      </c>
      <c r="E1174" s="14">
        <f>Data!T1174</f>
        <v>7</v>
      </c>
    </row>
    <row r="1175" spans="2:5" ht="15" customHeight="1" x14ac:dyDescent="0.3">
      <c r="C1175" s="2"/>
      <c r="D1175" s="8">
        <v>2021</v>
      </c>
      <c r="E1175" s="14">
        <f>Data!T1175</f>
        <v>7</v>
      </c>
    </row>
    <row r="1176" spans="2:5" ht="15" customHeight="1" x14ac:dyDescent="0.3">
      <c r="C1176" s="2"/>
      <c r="D1176" s="8">
        <v>2022</v>
      </c>
      <c r="E1176" s="14">
        <f>Data!T1176</f>
        <v>7</v>
      </c>
    </row>
    <row r="1177" spans="2:5" ht="15" customHeight="1" x14ac:dyDescent="0.3">
      <c r="C1177" s="2"/>
      <c r="D1177" s="8">
        <v>2023</v>
      </c>
      <c r="E1177" s="14">
        <f>Data!T1177</f>
        <v>7</v>
      </c>
    </row>
    <row r="1178" spans="2:5" ht="15" customHeight="1" x14ac:dyDescent="0.3">
      <c r="C1178" s="2"/>
      <c r="D1178" s="8">
        <v>2024</v>
      </c>
      <c r="E1178" s="14">
        <f>Data!T1178</f>
        <v>6</v>
      </c>
    </row>
    <row r="1179" spans="2:5" ht="15" customHeight="1" x14ac:dyDescent="0.3">
      <c r="B1179" s="8">
        <v>108</v>
      </c>
      <c r="C1179" s="1" t="s">
        <v>125</v>
      </c>
      <c r="D1179" s="8">
        <v>2014</v>
      </c>
      <c r="E1179" s="14">
        <f>Data!T1179</f>
        <v>0</v>
      </c>
    </row>
    <row r="1180" spans="2:5" ht="15" customHeight="1" x14ac:dyDescent="0.3">
      <c r="C1180" s="1"/>
      <c r="D1180" s="8">
        <v>2015</v>
      </c>
      <c r="E1180" s="14">
        <f>Data!T1180</f>
        <v>8</v>
      </c>
    </row>
    <row r="1181" spans="2:5" ht="15" customHeight="1" x14ac:dyDescent="0.3">
      <c r="C1181" s="1"/>
      <c r="D1181" s="8">
        <v>2016</v>
      </c>
      <c r="E1181" s="14">
        <f>Data!T1181</f>
        <v>7</v>
      </c>
    </row>
    <row r="1182" spans="2:5" ht="15" customHeight="1" x14ac:dyDescent="0.3">
      <c r="C1182" s="1"/>
      <c r="D1182" s="8">
        <v>2017</v>
      </c>
      <c r="E1182" s="14">
        <f>Data!T1182</f>
        <v>0</v>
      </c>
    </row>
    <row r="1183" spans="2:5" ht="15" customHeight="1" x14ac:dyDescent="0.3">
      <c r="C1183" s="1"/>
      <c r="D1183" s="8">
        <v>2018</v>
      </c>
      <c r="E1183" s="14">
        <f>Data!T1183</f>
        <v>8</v>
      </c>
    </row>
    <row r="1184" spans="2:5" ht="15" customHeight="1" x14ac:dyDescent="0.3">
      <c r="C1184" s="1"/>
      <c r="D1184" s="8">
        <v>2019</v>
      </c>
      <c r="E1184" s="14">
        <f>Data!T1184</f>
        <v>0</v>
      </c>
    </row>
    <row r="1185" spans="2:5" ht="15" customHeight="1" x14ac:dyDescent="0.3">
      <c r="C1185" s="1"/>
      <c r="D1185" s="8">
        <v>2020</v>
      </c>
      <c r="E1185" s="14">
        <f>Data!T1185</f>
        <v>8</v>
      </c>
    </row>
    <row r="1186" spans="2:5" ht="15" customHeight="1" x14ac:dyDescent="0.3">
      <c r="C1186" s="1"/>
      <c r="D1186" s="8">
        <v>2021</v>
      </c>
      <c r="E1186" s="14">
        <f>Data!T1186</f>
        <v>7</v>
      </c>
    </row>
    <row r="1187" spans="2:5" ht="15" customHeight="1" x14ac:dyDescent="0.3">
      <c r="C1187" s="1"/>
      <c r="D1187" s="8">
        <v>2022</v>
      </c>
      <c r="E1187" s="14">
        <f>Data!T1187</f>
        <v>7</v>
      </c>
    </row>
    <row r="1188" spans="2:5" ht="15" customHeight="1" x14ac:dyDescent="0.3">
      <c r="C1188" s="1"/>
      <c r="D1188" s="8">
        <v>2023</v>
      </c>
      <c r="E1188" s="14">
        <f>Data!T1188</f>
        <v>7</v>
      </c>
    </row>
    <row r="1189" spans="2:5" ht="15" customHeight="1" x14ac:dyDescent="0.3">
      <c r="C1189" s="1"/>
      <c r="D1189" s="8">
        <v>2024</v>
      </c>
      <c r="E1189" s="14">
        <f>Data!T1189</f>
        <v>7</v>
      </c>
    </row>
    <row r="1190" spans="2:5" ht="15" customHeight="1" x14ac:dyDescent="0.3">
      <c r="B1190" s="8">
        <v>109</v>
      </c>
      <c r="C1190" s="2" t="s">
        <v>106</v>
      </c>
      <c r="D1190" s="8">
        <v>2014</v>
      </c>
      <c r="E1190" s="14">
        <f>Data!T1190</f>
        <v>0</v>
      </c>
    </row>
    <row r="1191" spans="2:5" ht="15" customHeight="1" x14ac:dyDescent="0.3">
      <c r="C1191" s="2"/>
      <c r="D1191" s="8">
        <v>2015</v>
      </c>
      <c r="E1191" s="14">
        <f>Data!T1191</f>
        <v>9</v>
      </c>
    </row>
    <row r="1192" spans="2:5" ht="15" customHeight="1" x14ac:dyDescent="0.3">
      <c r="C1192" s="2"/>
      <c r="D1192" s="8">
        <v>2016</v>
      </c>
      <c r="E1192" s="14">
        <f>Data!T1192</f>
        <v>9</v>
      </c>
    </row>
    <row r="1193" spans="2:5" ht="15" customHeight="1" x14ac:dyDescent="0.3">
      <c r="C1193" s="2"/>
      <c r="D1193" s="8">
        <v>2017</v>
      </c>
      <c r="E1193" s="14">
        <f>Data!T1193</f>
        <v>11</v>
      </c>
    </row>
    <row r="1194" spans="2:5" ht="15" customHeight="1" x14ac:dyDescent="0.3">
      <c r="C1194" s="2"/>
      <c r="D1194" s="8">
        <v>2018</v>
      </c>
      <c r="E1194" s="14">
        <f>Data!T1194</f>
        <v>11</v>
      </c>
    </row>
    <row r="1195" spans="2:5" ht="15" customHeight="1" x14ac:dyDescent="0.3">
      <c r="C1195" s="2"/>
      <c r="D1195" s="8">
        <v>2019</v>
      </c>
      <c r="E1195" s="14">
        <f>Data!T1195</f>
        <v>10</v>
      </c>
    </row>
    <row r="1196" spans="2:5" ht="15" customHeight="1" x14ac:dyDescent="0.3">
      <c r="C1196" s="2"/>
      <c r="D1196" s="8">
        <v>2020</v>
      </c>
      <c r="E1196" s="14">
        <f>Data!T1196</f>
        <v>12</v>
      </c>
    </row>
    <row r="1197" spans="2:5" ht="15" customHeight="1" x14ac:dyDescent="0.3">
      <c r="C1197" s="2"/>
      <c r="D1197" s="8">
        <v>2021</v>
      </c>
      <c r="E1197" s="14">
        <f>Data!T1197</f>
        <v>12</v>
      </c>
    </row>
    <row r="1198" spans="2:5" ht="15" customHeight="1" x14ac:dyDescent="0.3">
      <c r="C1198" s="2"/>
      <c r="D1198" s="8">
        <v>2022</v>
      </c>
      <c r="E1198" s="14">
        <f>Data!T1198</f>
        <v>10</v>
      </c>
    </row>
    <row r="1199" spans="2:5" ht="15" customHeight="1" x14ac:dyDescent="0.3">
      <c r="C1199" s="2"/>
      <c r="D1199" s="8">
        <v>2023</v>
      </c>
      <c r="E1199" s="14">
        <f>Data!T1199</f>
        <v>10</v>
      </c>
    </row>
    <row r="1200" spans="2:5" ht="15" customHeight="1" x14ac:dyDescent="0.3">
      <c r="C1200" s="2"/>
      <c r="D1200" s="8">
        <v>2024</v>
      </c>
      <c r="E1200" s="14">
        <f>Data!T1200</f>
        <v>10</v>
      </c>
    </row>
    <row r="1201" spans="2:5" ht="15" customHeight="1" x14ac:dyDescent="0.3">
      <c r="B1201" s="8">
        <v>110</v>
      </c>
      <c r="C1201" s="2" t="s">
        <v>66</v>
      </c>
      <c r="D1201" s="8">
        <v>2014</v>
      </c>
      <c r="E1201" s="14">
        <f>Data!T1201</f>
        <v>0</v>
      </c>
    </row>
    <row r="1202" spans="2:5" ht="15" customHeight="1" x14ac:dyDescent="0.3">
      <c r="C1202" s="2"/>
      <c r="D1202" s="8">
        <v>2015</v>
      </c>
      <c r="E1202" s="14">
        <f>Data!T1202</f>
        <v>0</v>
      </c>
    </row>
    <row r="1203" spans="2:5" ht="15" customHeight="1" x14ac:dyDescent="0.3">
      <c r="C1203" s="2"/>
      <c r="D1203" s="8">
        <v>2016</v>
      </c>
      <c r="E1203" s="14">
        <f>Data!T1203</f>
        <v>8</v>
      </c>
    </row>
    <row r="1204" spans="2:5" ht="15" customHeight="1" x14ac:dyDescent="0.3">
      <c r="C1204" s="2"/>
      <c r="D1204" s="8">
        <v>2017</v>
      </c>
      <c r="E1204" s="14">
        <f>Data!T1204</f>
        <v>8</v>
      </c>
    </row>
    <row r="1205" spans="2:5" ht="15" customHeight="1" x14ac:dyDescent="0.3">
      <c r="C1205" s="2"/>
      <c r="D1205" s="8">
        <v>2018</v>
      </c>
      <c r="E1205" s="14">
        <f>Data!T1205</f>
        <v>8</v>
      </c>
    </row>
    <row r="1206" spans="2:5" ht="15" customHeight="1" x14ac:dyDescent="0.3">
      <c r="C1206" s="2"/>
      <c r="D1206" s="8">
        <v>2019</v>
      </c>
      <c r="E1206" s="14">
        <f>Data!T1206</f>
        <v>9</v>
      </c>
    </row>
    <row r="1207" spans="2:5" ht="15" customHeight="1" x14ac:dyDescent="0.3">
      <c r="C1207" s="2"/>
      <c r="D1207" s="8">
        <v>2020</v>
      </c>
      <c r="E1207" s="14">
        <f>Data!T1207</f>
        <v>9</v>
      </c>
    </row>
    <row r="1208" spans="2:5" ht="15" customHeight="1" x14ac:dyDescent="0.3">
      <c r="C1208" s="2"/>
      <c r="D1208" s="8">
        <v>2021</v>
      </c>
      <c r="E1208" s="14">
        <f>Data!T1208</f>
        <v>9</v>
      </c>
    </row>
    <row r="1209" spans="2:5" ht="15" customHeight="1" x14ac:dyDescent="0.3">
      <c r="C1209" s="2"/>
      <c r="D1209" s="8">
        <v>2022</v>
      </c>
      <c r="E1209" s="14">
        <f>Data!T1209</f>
        <v>9</v>
      </c>
    </row>
    <row r="1210" spans="2:5" ht="15" customHeight="1" x14ac:dyDescent="0.3">
      <c r="C1210" s="2"/>
      <c r="D1210" s="8">
        <v>2023</v>
      </c>
      <c r="E1210" s="14">
        <f>Data!T1210</f>
        <v>8</v>
      </c>
    </row>
    <row r="1211" spans="2:5" ht="15" customHeight="1" x14ac:dyDescent="0.3">
      <c r="C1211" s="2"/>
      <c r="D1211" s="8">
        <v>2024</v>
      </c>
      <c r="E1211" s="14">
        <f>Data!T1211</f>
        <v>9</v>
      </c>
    </row>
    <row r="1212" spans="2:5" ht="15" customHeight="1" x14ac:dyDescent="0.3">
      <c r="B1212" s="8">
        <v>111</v>
      </c>
      <c r="C1212" s="2" t="s">
        <v>74</v>
      </c>
      <c r="D1212" s="8">
        <v>2014</v>
      </c>
      <c r="E1212" s="14">
        <f>Data!T1212</f>
        <v>0</v>
      </c>
    </row>
    <row r="1213" spans="2:5" ht="15" customHeight="1" x14ac:dyDescent="0.3">
      <c r="C1213" s="2"/>
      <c r="D1213" s="8">
        <v>2015</v>
      </c>
      <c r="E1213" s="14">
        <f>Data!T1213</f>
        <v>7</v>
      </c>
    </row>
    <row r="1214" spans="2:5" ht="15" customHeight="1" x14ac:dyDescent="0.3">
      <c r="C1214" s="2"/>
      <c r="D1214" s="8">
        <v>2016</v>
      </c>
      <c r="E1214" s="14">
        <f>Data!T1214</f>
        <v>7</v>
      </c>
    </row>
    <row r="1215" spans="2:5" ht="15" customHeight="1" x14ac:dyDescent="0.3">
      <c r="C1215" s="2"/>
      <c r="D1215" s="8">
        <v>2017</v>
      </c>
      <c r="E1215" s="14">
        <f>Data!T1215</f>
        <v>6</v>
      </c>
    </row>
    <row r="1216" spans="2:5" ht="15" customHeight="1" x14ac:dyDescent="0.3">
      <c r="C1216" s="2"/>
      <c r="D1216" s="8">
        <v>2018</v>
      </c>
      <c r="E1216" s="14">
        <f>Data!T1216</f>
        <v>7</v>
      </c>
    </row>
    <row r="1217" spans="2:5" ht="15" customHeight="1" x14ac:dyDescent="0.3">
      <c r="C1217" s="2"/>
      <c r="D1217" s="8">
        <v>2019</v>
      </c>
      <c r="E1217" s="14">
        <f>Data!T1217</f>
        <v>7</v>
      </c>
    </row>
    <row r="1218" spans="2:5" ht="15" customHeight="1" x14ac:dyDescent="0.3">
      <c r="C1218" s="2"/>
      <c r="D1218" s="8">
        <v>2020</v>
      </c>
      <c r="E1218" s="14">
        <f>Data!T1218</f>
        <v>6</v>
      </c>
    </row>
    <row r="1219" spans="2:5" ht="15" customHeight="1" x14ac:dyDescent="0.3">
      <c r="C1219" s="2"/>
      <c r="D1219" s="8">
        <v>2021</v>
      </c>
      <c r="E1219" s="14">
        <f>Data!T1219</f>
        <v>5</v>
      </c>
    </row>
    <row r="1220" spans="2:5" ht="15" customHeight="1" x14ac:dyDescent="0.3">
      <c r="C1220" s="2"/>
      <c r="D1220" s="8">
        <v>2022</v>
      </c>
      <c r="E1220" s="14">
        <f>Data!T1220</f>
        <v>6</v>
      </c>
    </row>
    <row r="1221" spans="2:5" ht="15" customHeight="1" x14ac:dyDescent="0.3">
      <c r="C1221" s="2"/>
      <c r="D1221" s="8">
        <v>2023</v>
      </c>
      <c r="E1221" s="14">
        <f>Data!T1221</f>
        <v>6</v>
      </c>
    </row>
    <row r="1222" spans="2:5" ht="15" customHeight="1" x14ac:dyDescent="0.3">
      <c r="C1222" s="2"/>
      <c r="D1222" s="8">
        <v>2024</v>
      </c>
      <c r="E1222" s="14">
        <f>Data!T1222</f>
        <v>7</v>
      </c>
    </row>
    <row r="1223" spans="2:5" ht="15" customHeight="1" x14ac:dyDescent="0.3">
      <c r="B1223" s="8">
        <v>112</v>
      </c>
      <c r="C1223" s="2" t="s">
        <v>91</v>
      </c>
      <c r="D1223" s="8">
        <v>2014</v>
      </c>
      <c r="E1223" s="14">
        <f>Data!T1223</f>
        <v>0</v>
      </c>
    </row>
    <row r="1224" spans="2:5" ht="15" customHeight="1" x14ac:dyDescent="0.3">
      <c r="C1224" s="2"/>
      <c r="D1224" s="8">
        <v>2015</v>
      </c>
      <c r="E1224" s="14">
        <f>Data!T1224</f>
        <v>0</v>
      </c>
    </row>
    <row r="1225" spans="2:5" ht="15" customHeight="1" x14ac:dyDescent="0.3">
      <c r="C1225" s="2"/>
      <c r="D1225" s="8">
        <v>2016</v>
      </c>
      <c r="E1225" s="14">
        <f>Data!T1225</f>
        <v>7</v>
      </c>
    </row>
    <row r="1226" spans="2:5" ht="15" customHeight="1" x14ac:dyDescent="0.3">
      <c r="C1226" s="2"/>
      <c r="D1226" s="8">
        <v>2017</v>
      </c>
      <c r="E1226" s="14">
        <f>Data!T1226</f>
        <v>7</v>
      </c>
    </row>
    <row r="1227" spans="2:5" ht="15" customHeight="1" x14ac:dyDescent="0.3">
      <c r="C1227" s="2"/>
      <c r="D1227" s="8">
        <v>2018</v>
      </c>
      <c r="E1227" s="14">
        <f>Data!T1227</f>
        <v>7</v>
      </c>
    </row>
    <row r="1228" spans="2:5" ht="15" customHeight="1" x14ac:dyDescent="0.3">
      <c r="C1228" s="2"/>
      <c r="D1228" s="8">
        <v>2019</v>
      </c>
      <c r="E1228" s="14">
        <f>Data!T1228</f>
        <v>5</v>
      </c>
    </row>
    <row r="1229" spans="2:5" ht="15" customHeight="1" x14ac:dyDescent="0.3">
      <c r="C1229" s="2"/>
      <c r="D1229" s="8">
        <v>2020</v>
      </c>
      <c r="E1229" s="14">
        <f>Data!T1229</f>
        <v>7</v>
      </c>
    </row>
    <row r="1230" spans="2:5" ht="15" customHeight="1" x14ac:dyDescent="0.3">
      <c r="C1230" s="2"/>
      <c r="D1230" s="8">
        <v>2021</v>
      </c>
      <c r="E1230" s="14">
        <f>Data!T1230</f>
        <v>7</v>
      </c>
    </row>
    <row r="1231" spans="2:5" ht="15" customHeight="1" x14ac:dyDescent="0.3">
      <c r="C1231" s="2"/>
      <c r="D1231" s="8">
        <v>2022</v>
      </c>
      <c r="E1231" s="14">
        <f>Data!T1231</f>
        <v>7</v>
      </c>
    </row>
    <row r="1232" spans="2:5" ht="15" customHeight="1" x14ac:dyDescent="0.3">
      <c r="C1232" s="2"/>
      <c r="D1232" s="8">
        <v>2023</v>
      </c>
      <c r="E1232" s="14">
        <f>Data!T1232</f>
        <v>6</v>
      </c>
    </row>
    <row r="1233" spans="2:5" ht="15" customHeight="1" x14ac:dyDescent="0.3">
      <c r="C1233" s="2"/>
      <c r="D1233" s="8">
        <v>2024</v>
      </c>
      <c r="E1233" s="14">
        <f>Data!T1233</f>
        <v>6</v>
      </c>
    </row>
    <row r="1234" spans="2:5" ht="15" customHeight="1" x14ac:dyDescent="0.3">
      <c r="B1234" s="8">
        <v>113</v>
      </c>
      <c r="C1234" s="2" t="s">
        <v>90</v>
      </c>
      <c r="D1234" s="8">
        <v>2014</v>
      </c>
      <c r="E1234" s="14">
        <f>Data!T1234</f>
        <v>0</v>
      </c>
    </row>
    <row r="1235" spans="2:5" ht="15" customHeight="1" x14ac:dyDescent="0.3">
      <c r="C1235" s="2"/>
      <c r="D1235" s="8">
        <v>2015</v>
      </c>
      <c r="E1235" s="14">
        <f>Data!T1235</f>
        <v>0</v>
      </c>
    </row>
    <row r="1236" spans="2:5" ht="15" customHeight="1" x14ac:dyDescent="0.3">
      <c r="C1236" s="2"/>
      <c r="D1236" s="8">
        <v>2016</v>
      </c>
      <c r="E1236" s="14">
        <f>Data!T1236</f>
        <v>0</v>
      </c>
    </row>
    <row r="1237" spans="2:5" ht="15" customHeight="1" x14ac:dyDescent="0.3">
      <c r="C1237" s="2"/>
      <c r="D1237" s="8">
        <v>2017</v>
      </c>
      <c r="E1237" s="14">
        <f>Data!T1237</f>
        <v>0</v>
      </c>
    </row>
    <row r="1238" spans="2:5" ht="15" customHeight="1" x14ac:dyDescent="0.3">
      <c r="C1238" s="2"/>
      <c r="D1238" s="8">
        <v>2018</v>
      </c>
      <c r="E1238" s="14">
        <f>Data!T1238</f>
        <v>0</v>
      </c>
    </row>
    <row r="1239" spans="2:5" ht="15" customHeight="1" x14ac:dyDescent="0.3">
      <c r="C1239" s="2"/>
      <c r="D1239" s="8">
        <v>2019</v>
      </c>
      <c r="E1239" s="14">
        <f>Data!T1239</f>
        <v>7</v>
      </c>
    </row>
    <row r="1240" spans="2:5" ht="15" customHeight="1" x14ac:dyDescent="0.3">
      <c r="C1240" s="2"/>
      <c r="D1240" s="8">
        <v>2020</v>
      </c>
      <c r="E1240" s="14">
        <f>Data!T1240</f>
        <v>7</v>
      </c>
    </row>
    <row r="1241" spans="2:5" ht="15" customHeight="1" x14ac:dyDescent="0.3">
      <c r="C1241" s="2"/>
      <c r="D1241" s="8">
        <v>2021</v>
      </c>
      <c r="E1241" s="14">
        <f>Data!T1241</f>
        <v>6</v>
      </c>
    </row>
    <row r="1242" spans="2:5" ht="15" customHeight="1" x14ac:dyDescent="0.3">
      <c r="C1242" s="2"/>
      <c r="D1242" s="8">
        <v>2022</v>
      </c>
      <c r="E1242" s="14">
        <f>Data!T1242</f>
        <v>6</v>
      </c>
    </row>
    <row r="1243" spans="2:5" ht="15" customHeight="1" x14ac:dyDescent="0.3">
      <c r="C1243" s="2"/>
      <c r="D1243" s="8">
        <v>2023</v>
      </c>
      <c r="E1243" s="14">
        <f>Data!T1243</f>
        <v>6</v>
      </c>
    </row>
    <row r="1244" spans="2:5" ht="15" customHeight="1" x14ac:dyDescent="0.3">
      <c r="C1244" s="2"/>
      <c r="D1244" s="8">
        <v>2024</v>
      </c>
      <c r="E1244" s="14">
        <f>Data!T1244</f>
        <v>6</v>
      </c>
    </row>
    <row r="1245" spans="2:5" ht="15" customHeight="1" x14ac:dyDescent="0.3">
      <c r="B1245" s="8">
        <v>114</v>
      </c>
      <c r="C1245" s="2" t="s">
        <v>107</v>
      </c>
      <c r="D1245" s="8">
        <v>2014</v>
      </c>
      <c r="E1245" s="14">
        <f>Data!T1245</f>
        <v>0</v>
      </c>
    </row>
    <row r="1246" spans="2:5" ht="15" customHeight="1" x14ac:dyDescent="0.3">
      <c r="C1246" s="2"/>
      <c r="D1246" s="8">
        <v>2015</v>
      </c>
      <c r="E1246" s="14">
        <f>Data!T1246</f>
        <v>6</v>
      </c>
    </row>
    <row r="1247" spans="2:5" ht="15" customHeight="1" x14ac:dyDescent="0.3">
      <c r="C1247" s="2"/>
      <c r="D1247" s="8">
        <v>2016</v>
      </c>
      <c r="E1247" s="14">
        <f>Data!T1247</f>
        <v>5</v>
      </c>
    </row>
    <row r="1248" spans="2:5" ht="15" customHeight="1" x14ac:dyDescent="0.3">
      <c r="C1248" s="2"/>
      <c r="D1248" s="8">
        <v>2017</v>
      </c>
      <c r="E1248" s="14">
        <f>Data!T1248</f>
        <v>7</v>
      </c>
    </row>
    <row r="1249" spans="2:5" ht="15" customHeight="1" x14ac:dyDescent="0.3">
      <c r="C1249" s="2"/>
      <c r="D1249" s="8">
        <v>2018</v>
      </c>
      <c r="E1249" s="14">
        <f>Data!T1249</f>
        <v>6</v>
      </c>
    </row>
    <row r="1250" spans="2:5" ht="15" customHeight="1" x14ac:dyDescent="0.3">
      <c r="C1250" s="2"/>
      <c r="D1250" s="8">
        <v>2019</v>
      </c>
      <c r="E1250" s="14">
        <f>Data!T1250</f>
        <v>8</v>
      </c>
    </row>
    <row r="1251" spans="2:5" ht="15" customHeight="1" x14ac:dyDescent="0.3">
      <c r="C1251" s="2"/>
      <c r="D1251" s="8">
        <v>2020</v>
      </c>
      <c r="E1251" s="14">
        <f>Data!T1251</f>
        <v>8</v>
      </c>
    </row>
    <row r="1252" spans="2:5" ht="15" customHeight="1" x14ac:dyDescent="0.3">
      <c r="C1252" s="2"/>
      <c r="D1252" s="8">
        <v>2021</v>
      </c>
      <c r="E1252" s="14">
        <f>Data!T1252</f>
        <v>6</v>
      </c>
    </row>
    <row r="1253" spans="2:5" ht="15" customHeight="1" x14ac:dyDescent="0.3">
      <c r="C1253" s="2"/>
      <c r="D1253" s="8">
        <v>2022</v>
      </c>
      <c r="E1253" s="14">
        <f>Data!T1253</f>
        <v>6</v>
      </c>
    </row>
    <row r="1254" spans="2:5" ht="15" customHeight="1" x14ac:dyDescent="0.3">
      <c r="C1254" s="2"/>
      <c r="D1254" s="8">
        <v>2023</v>
      </c>
      <c r="E1254" s="14">
        <f>Data!T1254</f>
        <v>6</v>
      </c>
    </row>
    <row r="1255" spans="2:5" ht="15" customHeight="1" x14ac:dyDescent="0.3">
      <c r="C1255" s="2"/>
      <c r="D1255" s="8">
        <v>2024</v>
      </c>
      <c r="E1255" s="14">
        <f>Data!T1255</f>
        <v>8</v>
      </c>
    </row>
    <row r="1256" spans="2:5" ht="15" customHeight="1" x14ac:dyDescent="0.3">
      <c r="B1256" s="8">
        <v>115</v>
      </c>
      <c r="C1256" s="1" t="s">
        <v>128</v>
      </c>
      <c r="D1256" s="8">
        <v>2014</v>
      </c>
      <c r="E1256" s="14">
        <f>Data!T1256</f>
        <v>0</v>
      </c>
    </row>
    <row r="1257" spans="2:5" ht="15" customHeight="1" x14ac:dyDescent="0.3">
      <c r="C1257" s="1"/>
      <c r="D1257" s="8">
        <v>2015</v>
      </c>
      <c r="E1257" s="14">
        <f>Data!T1257</f>
        <v>0</v>
      </c>
    </row>
    <row r="1258" spans="2:5" ht="15" customHeight="1" x14ac:dyDescent="0.3">
      <c r="C1258" s="1"/>
      <c r="D1258" s="8">
        <v>2016</v>
      </c>
      <c r="E1258" s="14">
        <f>Data!T1258</f>
        <v>0</v>
      </c>
    </row>
    <row r="1259" spans="2:5" ht="15" customHeight="1" x14ac:dyDescent="0.3">
      <c r="C1259" s="1"/>
      <c r="D1259" s="8">
        <v>2017</v>
      </c>
      <c r="E1259" s="14">
        <f>Data!T1259</f>
        <v>0</v>
      </c>
    </row>
    <row r="1260" spans="2:5" ht="15" customHeight="1" x14ac:dyDescent="0.3">
      <c r="C1260" s="1"/>
      <c r="D1260" s="8">
        <v>2018</v>
      </c>
      <c r="E1260" s="14">
        <f>Data!T1260</f>
        <v>0</v>
      </c>
    </row>
    <row r="1261" spans="2:5" ht="15" customHeight="1" x14ac:dyDescent="0.3">
      <c r="C1261" s="1"/>
      <c r="D1261" s="8">
        <v>2019</v>
      </c>
      <c r="E1261" s="14">
        <f>Data!T1261</f>
        <v>0</v>
      </c>
    </row>
    <row r="1262" spans="2:5" ht="15" customHeight="1" x14ac:dyDescent="0.3">
      <c r="C1262" s="1"/>
      <c r="D1262" s="8">
        <v>2020</v>
      </c>
      <c r="E1262" s="14">
        <f>Data!T1262</f>
        <v>0</v>
      </c>
    </row>
    <row r="1263" spans="2:5" ht="15" customHeight="1" x14ac:dyDescent="0.3">
      <c r="C1263" s="1"/>
      <c r="D1263" s="8">
        <v>2021</v>
      </c>
      <c r="E1263" s="14">
        <f>Data!T1263</f>
        <v>0</v>
      </c>
    </row>
    <row r="1264" spans="2:5" ht="15" customHeight="1" x14ac:dyDescent="0.3">
      <c r="C1264" s="1"/>
      <c r="D1264" s="8">
        <v>2022</v>
      </c>
      <c r="E1264" s="14">
        <f>Data!T1264</f>
        <v>6</v>
      </c>
    </row>
    <row r="1265" spans="2:5" ht="15" customHeight="1" x14ac:dyDescent="0.3">
      <c r="C1265" s="1"/>
      <c r="D1265" s="8">
        <v>2023</v>
      </c>
      <c r="E1265" s="14">
        <f>Data!T1265</f>
        <v>6</v>
      </c>
    </row>
    <row r="1266" spans="2:5" ht="15" customHeight="1" x14ac:dyDescent="0.3">
      <c r="C1266" s="1"/>
      <c r="D1266" s="8">
        <v>2024</v>
      </c>
      <c r="E1266" s="14">
        <f>Data!T1266</f>
        <v>7</v>
      </c>
    </row>
    <row r="1267" spans="2:5" ht="15" customHeight="1" x14ac:dyDescent="0.3">
      <c r="B1267" s="8">
        <v>116</v>
      </c>
      <c r="C1267" s="1" t="s">
        <v>127</v>
      </c>
      <c r="D1267" s="8">
        <v>2014</v>
      </c>
      <c r="E1267" s="14">
        <f>Data!T1267</f>
        <v>0</v>
      </c>
    </row>
    <row r="1268" spans="2:5" ht="15" customHeight="1" x14ac:dyDescent="0.3">
      <c r="C1268" s="1"/>
      <c r="D1268" s="8">
        <v>2015</v>
      </c>
      <c r="E1268" s="14">
        <f>Data!T1268</f>
        <v>10</v>
      </c>
    </row>
    <row r="1269" spans="2:5" ht="15" customHeight="1" x14ac:dyDescent="0.3">
      <c r="C1269" s="1"/>
      <c r="D1269" s="8">
        <v>2016</v>
      </c>
      <c r="E1269" s="14">
        <f>Data!T1269</f>
        <v>10</v>
      </c>
    </row>
    <row r="1270" spans="2:5" ht="15" customHeight="1" x14ac:dyDescent="0.3">
      <c r="C1270" s="1"/>
      <c r="D1270" s="8">
        <v>2017</v>
      </c>
      <c r="E1270" s="14">
        <f>Data!T1270</f>
        <v>10</v>
      </c>
    </row>
    <row r="1271" spans="2:5" ht="15" customHeight="1" x14ac:dyDescent="0.3">
      <c r="C1271" s="1"/>
      <c r="D1271" s="8">
        <v>2018</v>
      </c>
      <c r="E1271" s="14">
        <f>Data!T1271</f>
        <v>10</v>
      </c>
    </row>
    <row r="1272" spans="2:5" ht="15" customHeight="1" x14ac:dyDescent="0.3">
      <c r="C1272" s="1"/>
      <c r="D1272" s="8">
        <v>2019</v>
      </c>
      <c r="E1272" s="14">
        <f>Data!T1272</f>
        <v>10</v>
      </c>
    </row>
    <row r="1273" spans="2:5" ht="15" customHeight="1" x14ac:dyDescent="0.3">
      <c r="C1273" s="1"/>
      <c r="D1273" s="8">
        <v>2020</v>
      </c>
      <c r="E1273" s="14">
        <f>Data!T1273</f>
        <v>10</v>
      </c>
    </row>
    <row r="1274" spans="2:5" ht="15" customHeight="1" x14ac:dyDescent="0.3">
      <c r="C1274" s="1"/>
      <c r="D1274" s="8">
        <v>2021</v>
      </c>
      <c r="E1274" s="14">
        <f>Data!T1274</f>
        <v>10</v>
      </c>
    </row>
    <row r="1275" spans="2:5" ht="15" customHeight="1" x14ac:dyDescent="0.3">
      <c r="C1275" s="1"/>
      <c r="D1275" s="8">
        <v>2022</v>
      </c>
      <c r="E1275" s="14">
        <f>Data!T1275</f>
        <v>10</v>
      </c>
    </row>
    <row r="1276" spans="2:5" ht="15" customHeight="1" x14ac:dyDescent="0.3">
      <c r="C1276" s="1"/>
      <c r="D1276" s="8">
        <v>2023</v>
      </c>
      <c r="E1276" s="14">
        <f>Data!T1276</f>
        <v>10</v>
      </c>
    </row>
    <row r="1277" spans="2:5" ht="15" customHeight="1" x14ac:dyDescent="0.3">
      <c r="C1277" s="1"/>
      <c r="D1277" s="8">
        <v>2024</v>
      </c>
      <c r="E1277" s="14">
        <f>Data!T1277</f>
        <v>10</v>
      </c>
    </row>
    <row r="1278" spans="2:5" ht="15" customHeight="1" x14ac:dyDescent="0.3">
      <c r="B1278" s="8">
        <v>117</v>
      </c>
      <c r="C1278" s="2" t="s">
        <v>65</v>
      </c>
      <c r="D1278" s="8">
        <v>2014</v>
      </c>
      <c r="E1278" s="14">
        <f>Data!T1278</f>
        <v>0</v>
      </c>
    </row>
    <row r="1279" spans="2:5" ht="15" customHeight="1" x14ac:dyDescent="0.3">
      <c r="C1279" s="2"/>
      <c r="D1279" s="8">
        <v>2015</v>
      </c>
      <c r="E1279" s="14">
        <f>Data!T1279</f>
        <v>5</v>
      </c>
    </row>
    <row r="1280" spans="2:5" ht="15" customHeight="1" x14ac:dyDescent="0.3">
      <c r="C1280" s="2"/>
      <c r="D1280" s="8">
        <v>2016</v>
      </c>
      <c r="E1280" s="14">
        <f>Data!T1280</f>
        <v>6</v>
      </c>
    </row>
    <row r="1281" spans="2:5" ht="15" customHeight="1" x14ac:dyDescent="0.3">
      <c r="C1281" s="2"/>
      <c r="D1281" s="8">
        <v>2017</v>
      </c>
      <c r="E1281" s="14">
        <f>Data!T1281</f>
        <v>6</v>
      </c>
    </row>
    <row r="1282" spans="2:5" ht="15" customHeight="1" x14ac:dyDescent="0.3">
      <c r="C1282" s="2"/>
      <c r="D1282" s="8">
        <v>2018</v>
      </c>
      <c r="E1282" s="14">
        <f>Data!T1282</f>
        <v>6</v>
      </c>
    </row>
    <row r="1283" spans="2:5" ht="15" customHeight="1" x14ac:dyDescent="0.3">
      <c r="C1283" s="2"/>
      <c r="D1283" s="8">
        <v>2019</v>
      </c>
      <c r="E1283" s="14">
        <f>Data!T1283</f>
        <v>6</v>
      </c>
    </row>
    <row r="1284" spans="2:5" ht="15" customHeight="1" x14ac:dyDescent="0.3">
      <c r="C1284" s="2"/>
      <c r="D1284" s="8">
        <v>2020</v>
      </c>
      <c r="E1284" s="14">
        <f>Data!T1284</f>
        <v>6</v>
      </c>
    </row>
    <row r="1285" spans="2:5" ht="15" customHeight="1" x14ac:dyDescent="0.3">
      <c r="C1285" s="2"/>
      <c r="D1285" s="8">
        <v>2021</v>
      </c>
      <c r="E1285" s="14">
        <f>Data!T1285</f>
        <v>6</v>
      </c>
    </row>
    <row r="1286" spans="2:5" ht="15" customHeight="1" x14ac:dyDescent="0.3">
      <c r="C1286" s="2"/>
      <c r="D1286" s="8">
        <v>2022</v>
      </c>
      <c r="E1286" s="14">
        <f>Data!T1286</f>
        <v>6</v>
      </c>
    </row>
    <row r="1287" spans="2:5" ht="15" customHeight="1" x14ac:dyDescent="0.3">
      <c r="C1287" s="2"/>
      <c r="D1287" s="8">
        <v>2023</v>
      </c>
      <c r="E1287" s="14">
        <f>Data!T1287</f>
        <v>7</v>
      </c>
    </row>
    <row r="1288" spans="2:5" ht="15" customHeight="1" x14ac:dyDescent="0.3">
      <c r="C1288" s="2"/>
      <c r="D1288" s="8">
        <v>2024</v>
      </c>
      <c r="E1288" s="14">
        <f>Data!T1288</f>
        <v>6</v>
      </c>
    </row>
    <row r="1289" spans="2:5" ht="15" customHeight="1" x14ac:dyDescent="0.3">
      <c r="B1289" s="8">
        <v>118</v>
      </c>
      <c r="C1289" s="3" t="s">
        <v>89</v>
      </c>
      <c r="D1289" s="8">
        <v>2014</v>
      </c>
      <c r="E1289" s="14">
        <f>Data!T1289</f>
        <v>0</v>
      </c>
    </row>
    <row r="1290" spans="2:5" ht="15" customHeight="1" x14ac:dyDescent="0.3">
      <c r="C1290" s="3"/>
      <c r="D1290" s="8">
        <v>2015</v>
      </c>
      <c r="E1290" s="14">
        <f>Data!T1290</f>
        <v>0</v>
      </c>
    </row>
    <row r="1291" spans="2:5" ht="15" customHeight="1" x14ac:dyDescent="0.3">
      <c r="C1291" s="3"/>
      <c r="D1291" s="8">
        <v>2016</v>
      </c>
      <c r="E1291" s="14">
        <f>Data!T1291</f>
        <v>0</v>
      </c>
    </row>
    <row r="1292" spans="2:5" ht="15" customHeight="1" x14ac:dyDescent="0.3">
      <c r="C1292" s="3"/>
      <c r="D1292" s="8">
        <v>2017</v>
      </c>
      <c r="E1292" s="14">
        <f>Data!T1292</f>
        <v>0</v>
      </c>
    </row>
    <row r="1293" spans="2:5" ht="15" customHeight="1" x14ac:dyDescent="0.3">
      <c r="C1293" s="3"/>
      <c r="D1293" s="8">
        <v>2018</v>
      </c>
      <c r="E1293" s="14">
        <f>Data!T1293</f>
        <v>0</v>
      </c>
    </row>
    <row r="1294" spans="2:5" ht="15" customHeight="1" x14ac:dyDescent="0.3">
      <c r="C1294" s="3"/>
      <c r="D1294" s="8">
        <v>2019</v>
      </c>
      <c r="E1294" s="14">
        <f>Data!T1294</f>
        <v>7</v>
      </c>
    </row>
    <row r="1295" spans="2:5" ht="15" customHeight="1" x14ac:dyDescent="0.3">
      <c r="C1295" s="3"/>
      <c r="D1295" s="8">
        <v>2020</v>
      </c>
      <c r="E1295" s="14">
        <f>Data!T1295</f>
        <v>9</v>
      </c>
    </row>
    <row r="1296" spans="2:5" ht="15" customHeight="1" x14ac:dyDescent="0.3">
      <c r="C1296" s="3"/>
      <c r="D1296" s="8">
        <v>2021</v>
      </c>
      <c r="E1296" s="14">
        <f>Data!T1296</f>
        <v>9</v>
      </c>
    </row>
    <row r="1297" spans="2:5" ht="15" customHeight="1" x14ac:dyDescent="0.3">
      <c r="C1297" s="3"/>
      <c r="D1297" s="8">
        <v>2022</v>
      </c>
      <c r="E1297" s="14">
        <f>Data!T1297</f>
        <v>7</v>
      </c>
    </row>
    <row r="1298" spans="2:5" ht="15" customHeight="1" x14ac:dyDescent="0.3">
      <c r="C1298" s="3"/>
      <c r="D1298" s="8">
        <v>2023</v>
      </c>
      <c r="E1298" s="14">
        <f>Data!T1298</f>
        <v>6</v>
      </c>
    </row>
    <row r="1299" spans="2:5" ht="15" customHeight="1" x14ac:dyDescent="0.3">
      <c r="C1299" s="3"/>
      <c r="D1299" s="8">
        <v>2024</v>
      </c>
      <c r="E1299" s="14">
        <f>Data!T1299</f>
        <v>8</v>
      </c>
    </row>
    <row r="1300" spans="2:5" ht="15" customHeight="1" x14ac:dyDescent="0.3">
      <c r="B1300" s="8">
        <v>119</v>
      </c>
      <c r="C1300" s="2" t="s">
        <v>72</v>
      </c>
      <c r="D1300" s="8">
        <v>2014</v>
      </c>
      <c r="E1300" s="14">
        <f>Data!T1300</f>
        <v>0</v>
      </c>
    </row>
    <row r="1301" spans="2:5" ht="15" customHeight="1" x14ac:dyDescent="0.3">
      <c r="C1301" s="2"/>
      <c r="D1301" s="8">
        <v>2015</v>
      </c>
      <c r="E1301" s="14">
        <f>Data!T1301</f>
        <v>0</v>
      </c>
    </row>
    <row r="1302" spans="2:5" ht="15" customHeight="1" x14ac:dyDescent="0.3">
      <c r="C1302" s="2"/>
      <c r="D1302" s="8">
        <v>2016</v>
      </c>
      <c r="E1302" s="14">
        <f>Data!T1302</f>
        <v>7</v>
      </c>
    </row>
    <row r="1303" spans="2:5" ht="15" customHeight="1" x14ac:dyDescent="0.3">
      <c r="C1303" s="2"/>
      <c r="D1303" s="8">
        <v>2017</v>
      </c>
      <c r="E1303" s="14">
        <f>Data!T1303</f>
        <v>5</v>
      </c>
    </row>
    <row r="1304" spans="2:5" ht="15" customHeight="1" x14ac:dyDescent="0.3">
      <c r="C1304" s="2"/>
      <c r="D1304" s="8">
        <v>2018</v>
      </c>
      <c r="E1304" s="14">
        <f>Data!T1304</f>
        <v>7</v>
      </c>
    </row>
    <row r="1305" spans="2:5" ht="15" customHeight="1" x14ac:dyDescent="0.3">
      <c r="C1305" s="2"/>
      <c r="D1305" s="8">
        <v>2019</v>
      </c>
      <c r="E1305" s="14">
        <f>Data!T1305</f>
        <v>8</v>
      </c>
    </row>
    <row r="1306" spans="2:5" ht="15" customHeight="1" x14ac:dyDescent="0.3">
      <c r="C1306" s="2"/>
      <c r="D1306" s="8">
        <v>2020</v>
      </c>
      <c r="E1306" s="14">
        <f>Data!T1306</f>
        <v>7</v>
      </c>
    </row>
    <row r="1307" spans="2:5" ht="15" customHeight="1" x14ac:dyDescent="0.3">
      <c r="C1307" s="2"/>
      <c r="D1307" s="8">
        <v>2021</v>
      </c>
      <c r="E1307" s="14">
        <f>Data!T1307</f>
        <v>7</v>
      </c>
    </row>
    <row r="1308" spans="2:5" ht="15" customHeight="1" x14ac:dyDescent="0.3">
      <c r="C1308" s="2"/>
      <c r="D1308" s="8">
        <v>2022</v>
      </c>
      <c r="E1308" s="14">
        <f>Data!T1308</f>
        <v>6</v>
      </c>
    </row>
    <row r="1309" spans="2:5" ht="15" customHeight="1" x14ac:dyDescent="0.3">
      <c r="C1309" s="2"/>
      <c r="D1309" s="8">
        <v>2023</v>
      </c>
      <c r="E1309" s="14">
        <f>Data!T1309</f>
        <v>7</v>
      </c>
    </row>
    <row r="1310" spans="2:5" ht="15" customHeight="1" x14ac:dyDescent="0.3">
      <c r="C1310" s="2"/>
      <c r="D1310" s="8">
        <v>2024</v>
      </c>
      <c r="E1310" s="14">
        <f>Data!T1310</f>
        <v>0</v>
      </c>
    </row>
    <row r="1311" spans="2:5" ht="15" customHeight="1" x14ac:dyDescent="0.3">
      <c r="B1311" s="8">
        <v>120</v>
      </c>
      <c r="C1311" s="2" t="s">
        <v>108</v>
      </c>
      <c r="D1311" s="8">
        <v>2014</v>
      </c>
      <c r="E1311" s="14">
        <f>Data!T1311</f>
        <v>0</v>
      </c>
    </row>
    <row r="1312" spans="2:5" ht="15" customHeight="1" x14ac:dyDescent="0.3">
      <c r="C1312" s="2"/>
      <c r="D1312" s="8">
        <v>2015</v>
      </c>
      <c r="E1312" s="14">
        <f>Data!T1312</f>
        <v>8</v>
      </c>
    </row>
    <row r="1313" spans="2:5" ht="15" customHeight="1" x14ac:dyDescent="0.3">
      <c r="C1313" s="2"/>
      <c r="D1313" s="8">
        <v>2016</v>
      </c>
      <c r="E1313" s="14">
        <f>Data!T1313</f>
        <v>9</v>
      </c>
    </row>
    <row r="1314" spans="2:5" ht="15" customHeight="1" x14ac:dyDescent="0.3">
      <c r="C1314" s="2"/>
      <c r="D1314" s="8">
        <v>2017</v>
      </c>
      <c r="E1314" s="14">
        <f>Data!T1314</f>
        <v>8</v>
      </c>
    </row>
    <row r="1315" spans="2:5" ht="15" customHeight="1" x14ac:dyDescent="0.3">
      <c r="C1315" s="2"/>
      <c r="D1315" s="8">
        <v>2018</v>
      </c>
      <c r="E1315" s="14">
        <f>Data!T1315</f>
        <v>8</v>
      </c>
    </row>
    <row r="1316" spans="2:5" ht="15" customHeight="1" x14ac:dyDescent="0.3">
      <c r="C1316" s="2"/>
      <c r="D1316" s="8">
        <v>2019</v>
      </c>
      <c r="E1316" s="14">
        <f>Data!T1316</f>
        <v>8</v>
      </c>
    </row>
    <row r="1317" spans="2:5" ht="15" customHeight="1" x14ac:dyDescent="0.3">
      <c r="C1317" s="2"/>
      <c r="D1317" s="8">
        <v>2020</v>
      </c>
      <c r="E1317" s="14">
        <f>Data!T1317</f>
        <v>8</v>
      </c>
    </row>
    <row r="1318" spans="2:5" ht="15" customHeight="1" x14ac:dyDescent="0.3">
      <c r="C1318" s="2"/>
      <c r="D1318" s="8">
        <v>2021</v>
      </c>
      <c r="E1318" s="14">
        <f>Data!T1318</f>
        <v>8</v>
      </c>
    </row>
    <row r="1319" spans="2:5" ht="15" customHeight="1" x14ac:dyDescent="0.3">
      <c r="C1319" s="2"/>
      <c r="D1319" s="8">
        <v>2022</v>
      </c>
      <c r="E1319" s="14">
        <f>Data!T1319</f>
        <v>8</v>
      </c>
    </row>
    <row r="1320" spans="2:5" ht="15" customHeight="1" x14ac:dyDescent="0.3">
      <c r="C1320" s="2"/>
      <c r="D1320" s="8">
        <v>2023</v>
      </c>
      <c r="E1320" s="14">
        <f>Data!T1320</f>
        <v>6</v>
      </c>
    </row>
    <row r="1321" spans="2:5" ht="15" customHeight="1" x14ac:dyDescent="0.3">
      <c r="C1321" s="2"/>
      <c r="D1321" s="8">
        <v>2024</v>
      </c>
      <c r="E1321" s="14">
        <f>Data!T1321</f>
        <v>9</v>
      </c>
    </row>
    <row r="1322" spans="2:5" ht="15" customHeight="1" x14ac:dyDescent="0.3">
      <c r="B1322" s="8">
        <v>121</v>
      </c>
      <c r="C1322" s="2" t="s">
        <v>77</v>
      </c>
      <c r="D1322" s="8">
        <v>2014</v>
      </c>
      <c r="E1322" s="14">
        <f>Data!T1322</f>
        <v>0</v>
      </c>
    </row>
    <row r="1323" spans="2:5" ht="15" customHeight="1" x14ac:dyDescent="0.3">
      <c r="C1323" s="2"/>
      <c r="D1323" s="8">
        <v>2015</v>
      </c>
      <c r="E1323" s="14">
        <f>Data!T1323</f>
        <v>7</v>
      </c>
    </row>
    <row r="1324" spans="2:5" ht="15" customHeight="1" x14ac:dyDescent="0.3">
      <c r="C1324" s="2"/>
      <c r="D1324" s="8">
        <v>2016</v>
      </c>
      <c r="E1324" s="14">
        <f>Data!T1324</f>
        <v>7</v>
      </c>
    </row>
    <row r="1325" spans="2:5" ht="15" customHeight="1" x14ac:dyDescent="0.3">
      <c r="C1325" s="2"/>
      <c r="D1325" s="8">
        <v>2017</v>
      </c>
      <c r="E1325" s="14">
        <f>Data!T1325</f>
        <v>7</v>
      </c>
    </row>
    <row r="1326" spans="2:5" ht="15" customHeight="1" x14ac:dyDescent="0.3">
      <c r="C1326" s="2"/>
      <c r="D1326" s="8">
        <v>2018</v>
      </c>
      <c r="E1326" s="14">
        <f>Data!T1326</f>
        <v>6</v>
      </c>
    </row>
    <row r="1327" spans="2:5" ht="15" customHeight="1" x14ac:dyDescent="0.3">
      <c r="C1327" s="2"/>
      <c r="D1327" s="8">
        <v>2019</v>
      </c>
      <c r="E1327" s="14">
        <f>Data!T1327</f>
        <v>7</v>
      </c>
    </row>
    <row r="1328" spans="2:5" ht="15" customHeight="1" x14ac:dyDescent="0.3">
      <c r="C1328" s="2"/>
      <c r="D1328" s="8">
        <v>2020</v>
      </c>
      <c r="E1328" s="14">
        <f>Data!T1328</f>
        <v>7</v>
      </c>
    </row>
    <row r="1329" spans="2:5" ht="15" customHeight="1" x14ac:dyDescent="0.3">
      <c r="C1329" s="2"/>
      <c r="D1329" s="8">
        <v>2021</v>
      </c>
      <c r="E1329" s="14">
        <f>Data!T1329</f>
        <v>7</v>
      </c>
    </row>
    <row r="1330" spans="2:5" ht="15" customHeight="1" x14ac:dyDescent="0.3">
      <c r="C1330" s="2"/>
      <c r="D1330" s="8">
        <v>2022</v>
      </c>
      <c r="E1330" s="14">
        <f>Data!T1330</f>
        <v>7</v>
      </c>
    </row>
    <row r="1331" spans="2:5" ht="15" customHeight="1" x14ac:dyDescent="0.3">
      <c r="C1331" s="2"/>
      <c r="D1331" s="8">
        <v>2023</v>
      </c>
      <c r="E1331" s="14">
        <f>Data!T1331</f>
        <v>8</v>
      </c>
    </row>
    <row r="1332" spans="2:5" ht="15" customHeight="1" x14ac:dyDescent="0.3">
      <c r="C1332" s="2"/>
      <c r="D1332" s="8">
        <v>2024</v>
      </c>
      <c r="E1332" s="14">
        <f>Data!T1332</f>
        <v>8</v>
      </c>
    </row>
    <row r="1333" spans="2:5" ht="15" customHeight="1" x14ac:dyDescent="0.3">
      <c r="B1333" s="8">
        <v>122</v>
      </c>
      <c r="C1333" s="2" t="s">
        <v>109</v>
      </c>
      <c r="D1333" s="8">
        <v>2014</v>
      </c>
      <c r="E1333" s="14">
        <f>Data!T1333</f>
        <v>0</v>
      </c>
    </row>
    <row r="1334" spans="2:5" ht="15" customHeight="1" x14ac:dyDescent="0.3">
      <c r="C1334" s="2"/>
      <c r="D1334" s="8">
        <v>2015</v>
      </c>
      <c r="E1334" s="14">
        <f>Data!T1334</f>
        <v>0</v>
      </c>
    </row>
    <row r="1335" spans="2:5" ht="15" customHeight="1" x14ac:dyDescent="0.3">
      <c r="C1335" s="2"/>
      <c r="D1335" s="8">
        <v>2016</v>
      </c>
      <c r="E1335" s="14">
        <f>Data!T1335</f>
        <v>0</v>
      </c>
    </row>
    <row r="1336" spans="2:5" ht="15" customHeight="1" x14ac:dyDescent="0.3">
      <c r="C1336" s="2"/>
      <c r="D1336" s="8">
        <v>2017</v>
      </c>
      <c r="E1336" s="14">
        <f>Data!T1336</f>
        <v>0</v>
      </c>
    </row>
    <row r="1337" spans="2:5" ht="15" customHeight="1" x14ac:dyDescent="0.3">
      <c r="C1337" s="2"/>
      <c r="D1337" s="8">
        <v>2018</v>
      </c>
      <c r="E1337" s="14">
        <f>Data!T1337</f>
        <v>0</v>
      </c>
    </row>
    <row r="1338" spans="2:5" ht="15" customHeight="1" x14ac:dyDescent="0.3">
      <c r="C1338" s="2"/>
      <c r="D1338" s="8">
        <v>2019</v>
      </c>
      <c r="E1338" s="14">
        <f>Data!T1338</f>
        <v>0</v>
      </c>
    </row>
    <row r="1339" spans="2:5" ht="15" customHeight="1" x14ac:dyDescent="0.3">
      <c r="C1339" s="2"/>
      <c r="D1339" s="8">
        <v>2020</v>
      </c>
      <c r="E1339" s="14">
        <f>Data!T1339</f>
        <v>0</v>
      </c>
    </row>
    <row r="1340" spans="2:5" ht="15" customHeight="1" x14ac:dyDescent="0.3">
      <c r="C1340" s="2"/>
      <c r="D1340" s="8">
        <v>2021</v>
      </c>
      <c r="E1340" s="14">
        <f>Data!T1340</f>
        <v>0</v>
      </c>
    </row>
    <row r="1341" spans="2:5" ht="15" customHeight="1" x14ac:dyDescent="0.3">
      <c r="C1341" s="2"/>
      <c r="D1341" s="8">
        <v>2022</v>
      </c>
      <c r="E1341" s="14">
        <f>Data!T1341</f>
        <v>0</v>
      </c>
    </row>
    <row r="1342" spans="2:5" ht="15" customHeight="1" x14ac:dyDescent="0.3">
      <c r="C1342" s="2"/>
      <c r="D1342" s="8">
        <v>2023</v>
      </c>
      <c r="E1342" s="14">
        <f>Data!T1342</f>
        <v>0</v>
      </c>
    </row>
    <row r="1343" spans="2:5" ht="15" customHeight="1" x14ac:dyDescent="0.3">
      <c r="C1343" s="2"/>
      <c r="D1343" s="8">
        <v>2024</v>
      </c>
      <c r="E1343" s="14">
        <f>Data!T1343</f>
        <v>0</v>
      </c>
    </row>
    <row r="1344" spans="2:5" ht="15" customHeight="1" x14ac:dyDescent="0.3">
      <c r="B1344" s="8">
        <v>123</v>
      </c>
      <c r="C1344" s="2" t="s">
        <v>78</v>
      </c>
      <c r="D1344" s="8">
        <v>2014</v>
      </c>
      <c r="E1344" s="14">
        <f>Data!T1344</f>
        <v>0</v>
      </c>
    </row>
    <row r="1345" spans="2:5" ht="15" customHeight="1" x14ac:dyDescent="0.3">
      <c r="C1345" s="2"/>
      <c r="D1345" s="8">
        <v>2015</v>
      </c>
      <c r="E1345" s="14">
        <f>Data!T1345</f>
        <v>0</v>
      </c>
    </row>
    <row r="1346" spans="2:5" ht="15" customHeight="1" x14ac:dyDescent="0.3">
      <c r="C1346" s="2"/>
      <c r="D1346" s="8">
        <v>2016</v>
      </c>
      <c r="E1346" s="14">
        <f>Data!T1346</f>
        <v>0</v>
      </c>
    </row>
    <row r="1347" spans="2:5" ht="15" customHeight="1" x14ac:dyDescent="0.3">
      <c r="C1347" s="2"/>
      <c r="D1347" s="8">
        <v>2017</v>
      </c>
      <c r="E1347" s="14">
        <f>Data!T1347</f>
        <v>0</v>
      </c>
    </row>
    <row r="1348" spans="2:5" ht="15" customHeight="1" x14ac:dyDescent="0.3">
      <c r="C1348" s="2"/>
      <c r="D1348" s="8">
        <v>2018</v>
      </c>
      <c r="E1348" s="14">
        <f>Data!T1348</f>
        <v>0</v>
      </c>
    </row>
    <row r="1349" spans="2:5" ht="15" customHeight="1" x14ac:dyDescent="0.3">
      <c r="C1349" s="2"/>
      <c r="D1349" s="8">
        <v>2019</v>
      </c>
      <c r="E1349" s="14">
        <f>Data!T1349</f>
        <v>5</v>
      </c>
    </row>
    <row r="1350" spans="2:5" ht="15" customHeight="1" x14ac:dyDescent="0.3">
      <c r="C1350" s="2"/>
      <c r="D1350" s="8">
        <v>2020</v>
      </c>
      <c r="E1350" s="14">
        <f>Data!T1350</f>
        <v>6</v>
      </c>
    </row>
    <row r="1351" spans="2:5" ht="15" customHeight="1" x14ac:dyDescent="0.3">
      <c r="C1351" s="2"/>
      <c r="D1351" s="8">
        <v>2021</v>
      </c>
      <c r="E1351" s="14">
        <f>Data!T1351</f>
        <v>8</v>
      </c>
    </row>
    <row r="1352" spans="2:5" ht="15" customHeight="1" x14ac:dyDescent="0.3">
      <c r="C1352" s="2"/>
      <c r="D1352" s="8">
        <v>2022</v>
      </c>
      <c r="E1352" s="14">
        <f>Data!T1352</f>
        <v>7</v>
      </c>
    </row>
    <row r="1353" spans="2:5" ht="15" customHeight="1" x14ac:dyDescent="0.3">
      <c r="C1353" s="2"/>
      <c r="D1353" s="8">
        <v>2023</v>
      </c>
      <c r="E1353" s="14">
        <f>Data!T1353</f>
        <v>5</v>
      </c>
    </row>
    <row r="1354" spans="2:5" ht="15" customHeight="1" x14ac:dyDescent="0.3">
      <c r="C1354" s="2"/>
      <c r="D1354" s="8">
        <v>2024</v>
      </c>
      <c r="E1354" s="14">
        <f>Data!T1354</f>
        <v>7</v>
      </c>
    </row>
    <row r="1355" spans="2:5" ht="15" customHeight="1" x14ac:dyDescent="0.3">
      <c r="B1355" s="8">
        <v>124</v>
      </c>
      <c r="C1355" s="2" t="s">
        <v>110</v>
      </c>
      <c r="D1355" s="8">
        <v>2014</v>
      </c>
      <c r="E1355" s="14">
        <f>Data!T1355</f>
        <v>0</v>
      </c>
    </row>
    <row r="1356" spans="2:5" ht="15" customHeight="1" x14ac:dyDescent="0.3">
      <c r="C1356" s="2"/>
      <c r="D1356" s="8">
        <v>2015</v>
      </c>
      <c r="E1356" s="14">
        <f>Data!T1356</f>
        <v>9</v>
      </c>
    </row>
    <row r="1357" spans="2:5" ht="15" customHeight="1" x14ac:dyDescent="0.3">
      <c r="C1357" s="2"/>
      <c r="D1357" s="8">
        <v>2016</v>
      </c>
      <c r="E1357" s="14">
        <f>Data!T1357</f>
        <v>7</v>
      </c>
    </row>
    <row r="1358" spans="2:5" ht="15" customHeight="1" x14ac:dyDescent="0.3">
      <c r="C1358" s="2"/>
      <c r="D1358" s="8">
        <v>2017</v>
      </c>
      <c r="E1358" s="14">
        <f>Data!T1358</f>
        <v>7</v>
      </c>
    </row>
    <row r="1359" spans="2:5" ht="15" customHeight="1" x14ac:dyDescent="0.3">
      <c r="C1359" s="2"/>
      <c r="D1359" s="8">
        <v>2018</v>
      </c>
      <c r="E1359" s="14">
        <f>Data!T1359</f>
        <v>7</v>
      </c>
    </row>
    <row r="1360" spans="2:5" ht="15" customHeight="1" x14ac:dyDescent="0.3">
      <c r="C1360" s="2"/>
      <c r="D1360" s="8">
        <v>2019</v>
      </c>
      <c r="E1360" s="14">
        <f>Data!T1360</f>
        <v>7</v>
      </c>
    </row>
    <row r="1361" spans="2:5" ht="15" customHeight="1" x14ac:dyDescent="0.3">
      <c r="C1361" s="2"/>
      <c r="D1361" s="8">
        <v>2020</v>
      </c>
      <c r="E1361" s="14">
        <f>Data!T1361</f>
        <v>8</v>
      </c>
    </row>
    <row r="1362" spans="2:5" ht="15" customHeight="1" x14ac:dyDescent="0.3">
      <c r="C1362" s="2"/>
      <c r="D1362" s="8">
        <v>2021</v>
      </c>
      <c r="E1362" s="14">
        <f>Data!T1362</f>
        <v>7</v>
      </c>
    </row>
    <row r="1363" spans="2:5" ht="15" customHeight="1" x14ac:dyDescent="0.3">
      <c r="C1363" s="2"/>
      <c r="D1363" s="8">
        <v>2022</v>
      </c>
      <c r="E1363" s="14">
        <f>Data!T1363</f>
        <v>8</v>
      </c>
    </row>
    <row r="1364" spans="2:5" ht="15" customHeight="1" x14ac:dyDescent="0.3">
      <c r="C1364" s="2"/>
      <c r="D1364" s="8">
        <v>2023</v>
      </c>
      <c r="E1364" s="14">
        <f>Data!T1364</f>
        <v>8</v>
      </c>
    </row>
    <row r="1365" spans="2:5" ht="15" customHeight="1" x14ac:dyDescent="0.3">
      <c r="C1365" s="2"/>
      <c r="D1365" s="8">
        <v>2024</v>
      </c>
      <c r="E1365" s="14">
        <f>Data!T1365</f>
        <v>6</v>
      </c>
    </row>
    <row r="1366" spans="2:5" ht="15" customHeight="1" x14ac:dyDescent="0.3">
      <c r="B1366" s="8">
        <v>125</v>
      </c>
      <c r="C1366" s="2" t="s">
        <v>111</v>
      </c>
      <c r="D1366" s="8">
        <v>2014</v>
      </c>
      <c r="E1366" s="14">
        <f>Data!T1366</f>
        <v>0</v>
      </c>
    </row>
    <row r="1367" spans="2:5" ht="15" customHeight="1" x14ac:dyDescent="0.3">
      <c r="C1367" s="2"/>
      <c r="D1367" s="8">
        <v>2015</v>
      </c>
      <c r="E1367" s="14">
        <f>Data!T1367</f>
        <v>0</v>
      </c>
    </row>
    <row r="1368" spans="2:5" ht="15" customHeight="1" x14ac:dyDescent="0.3">
      <c r="C1368" s="2"/>
      <c r="D1368" s="8">
        <v>2016</v>
      </c>
      <c r="E1368" s="14">
        <f>Data!T1368</f>
        <v>0</v>
      </c>
    </row>
    <row r="1369" spans="2:5" ht="15" customHeight="1" x14ac:dyDescent="0.3">
      <c r="C1369" s="2"/>
      <c r="D1369" s="8">
        <v>2017</v>
      </c>
      <c r="E1369" s="14">
        <f>Data!T1369</f>
        <v>0</v>
      </c>
    </row>
    <row r="1370" spans="2:5" ht="15" customHeight="1" x14ac:dyDescent="0.3">
      <c r="C1370" s="2"/>
      <c r="D1370" s="8">
        <v>2018</v>
      </c>
      <c r="E1370" s="14">
        <f>Data!T1370</f>
        <v>0</v>
      </c>
    </row>
    <row r="1371" spans="2:5" ht="15" customHeight="1" x14ac:dyDescent="0.3">
      <c r="C1371" s="2"/>
      <c r="D1371" s="8">
        <v>2019</v>
      </c>
      <c r="E1371" s="14">
        <f>Data!T1371</f>
        <v>0</v>
      </c>
    </row>
    <row r="1372" spans="2:5" ht="15" customHeight="1" x14ac:dyDescent="0.3">
      <c r="C1372" s="2"/>
      <c r="D1372" s="8">
        <v>2020</v>
      </c>
      <c r="E1372" s="14">
        <f>Data!T1372</f>
        <v>0</v>
      </c>
    </row>
    <row r="1373" spans="2:5" ht="15" customHeight="1" x14ac:dyDescent="0.3">
      <c r="C1373" s="2"/>
      <c r="D1373" s="8">
        <v>2021</v>
      </c>
      <c r="E1373" s="14">
        <f>Data!T1373</f>
        <v>0</v>
      </c>
    </row>
    <row r="1374" spans="2:5" ht="15" customHeight="1" x14ac:dyDescent="0.3">
      <c r="C1374" s="2"/>
      <c r="D1374" s="8">
        <v>2022</v>
      </c>
      <c r="E1374" s="14">
        <f>Data!T1374</f>
        <v>0</v>
      </c>
    </row>
    <row r="1375" spans="2:5" ht="15" customHeight="1" x14ac:dyDescent="0.3">
      <c r="C1375" s="2"/>
      <c r="D1375" s="8">
        <v>2023</v>
      </c>
      <c r="E1375" s="14">
        <f>Data!T1375</f>
        <v>0</v>
      </c>
    </row>
    <row r="1376" spans="2:5" ht="15" customHeight="1" x14ac:dyDescent="0.3">
      <c r="C1376" s="2"/>
      <c r="D1376" s="8">
        <v>2024</v>
      </c>
      <c r="E1376" s="14">
        <f>Data!T1376</f>
        <v>0</v>
      </c>
    </row>
    <row r="1377" spans="2:5" ht="15" customHeight="1" x14ac:dyDescent="0.3">
      <c r="B1377" s="8">
        <v>126</v>
      </c>
      <c r="C1377" s="2" t="s">
        <v>86</v>
      </c>
      <c r="D1377" s="8">
        <v>2014</v>
      </c>
      <c r="E1377" s="14">
        <f>Data!T1377</f>
        <v>0</v>
      </c>
    </row>
    <row r="1378" spans="2:5" ht="15" customHeight="1" x14ac:dyDescent="0.3">
      <c r="C1378" s="2"/>
      <c r="D1378" s="8">
        <v>2015</v>
      </c>
      <c r="E1378" s="14">
        <f>Data!T1378</f>
        <v>0</v>
      </c>
    </row>
    <row r="1379" spans="2:5" ht="15" customHeight="1" x14ac:dyDescent="0.3">
      <c r="C1379" s="2"/>
      <c r="D1379" s="8">
        <v>2016</v>
      </c>
      <c r="E1379" s="14">
        <f>Data!T1379</f>
        <v>6</v>
      </c>
    </row>
    <row r="1380" spans="2:5" ht="15" customHeight="1" x14ac:dyDescent="0.3">
      <c r="C1380" s="2"/>
      <c r="D1380" s="8">
        <v>2017</v>
      </c>
      <c r="E1380" s="14">
        <f>Data!T1380</f>
        <v>6</v>
      </c>
    </row>
    <row r="1381" spans="2:5" ht="15" customHeight="1" x14ac:dyDescent="0.3">
      <c r="C1381" s="2"/>
      <c r="D1381" s="8">
        <v>2018</v>
      </c>
      <c r="E1381" s="14">
        <f>Data!T1381</f>
        <v>6</v>
      </c>
    </row>
    <row r="1382" spans="2:5" ht="15" customHeight="1" x14ac:dyDescent="0.3">
      <c r="C1382" s="2"/>
      <c r="D1382" s="8">
        <v>2019</v>
      </c>
      <c r="E1382" s="14">
        <f>Data!T1382</f>
        <v>6</v>
      </c>
    </row>
    <row r="1383" spans="2:5" ht="15" customHeight="1" x14ac:dyDescent="0.3">
      <c r="C1383" s="2"/>
      <c r="D1383" s="8">
        <v>2020</v>
      </c>
      <c r="E1383" s="14">
        <f>Data!T1383</f>
        <v>6</v>
      </c>
    </row>
    <row r="1384" spans="2:5" ht="15" customHeight="1" x14ac:dyDescent="0.3">
      <c r="C1384" s="2"/>
      <c r="D1384" s="8">
        <v>2021</v>
      </c>
      <c r="E1384" s="14">
        <f>Data!T1384</f>
        <v>7</v>
      </c>
    </row>
    <row r="1385" spans="2:5" ht="15" customHeight="1" x14ac:dyDescent="0.3">
      <c r="C1385" s="2"/>
      <c r="D1385" s="8">
        <v>2022</v>
      </c>
      <c r="E1385" s="14">
        <f>Data!T1385</f>
        <v>6</v>
      </c>
    </row>
    <row r="1386" spans="2:5" ht="15" customHeight="1" x14ac:dyDescent="0.3">
      <c r="C1386" s="2"/>
      <c r="D1386" s="8">
        <v>2023</v>
      </c>
      <c r="E1386" s="14">
        <f>Data!T1386</f>
        <v>10</v>
      </c>
    </row>
    <row r="1387" spans="2:5" ht="15" customHeight="1" x14ac:dyDescent="0.3">
      <c r="C1387" s="2"/>
      <c r="D1387" s="8">
        <v>2024</v>
      </c>
      <c r="E1387" s="14">
        <f>Data!T1387</f>
        <v>10</v>
      </c>
    </row>
    <row r="1388" spans="2:5" ht="15" customHeight="1" x14ac:dyDescent="0.3">
      <c r="B1388" s="8">
        <v>127</v>
      </c>
      <c r="C1388" s="2" t="s">
        <v>112</v>
      </c>
      <c r="D1388" s="8">
        <v>2014</v>
      </c>
      <c r="E1388" s="14">
        <f>Data!T1388</f>
        <v>0</v>
      </c>
    </row>
    <row r="1389" spans="2:5" ht="15" customHeight="1" x14ac:dyDescent="0.3">
      <c r="C1389" s="2"/>
      <c r="D1389" s="8">
        <v>2015</v>
      </c>
      <c r="E1389" s="14">
        <f>Data!T1389</f>
        <v>0</v>
      </c>
    </row>
    <row r="1390" spans="2:5" ht="15" customHeight="1" x14ac:dyDescent="0.3">
      <c r="C1390" s="2"/>
      <c r="D1390" s="8">
        <v>2016</v>
      </c>
      <c r="E1390" s="14">
        <f>Data!T1390</f>
        <v>0</v>
      </c>
    </row>
    <row r="1391" spans="2:5" ht="15" customHeight="1" x14ac:dyDescent="0.3">
      <c r="C1391" s="2"/>
      <c r="D1391" s="8">
        <v>2017</v>
      </c>
      <c r="E1391" s="14">
        <f>Data!T1391</f>
        <v>8</v>
      </c>
    </row>
    <row r="1392" spans="2:5" ht="15" customHeight="1" x14ac:dyDescent="0.3">
      <c r="C1392" s="2"/>
      <c r="D1392" s="8">
        <v>2018</v>
      </c>
      <c r="E1392" s="14">
        <f>Data!T1392</f>
        <v>6</v>
      </c>
    </row>
    <row r="1393" spans="2:5" ht="15" customHeight="1" x14ac:dyDescent="0.3">
      <c r="C1393" s="2"/>
      <c r="D1393" s="8">
        <v>2019</v>
      </c>
      <c r="E1393" s="14">
        <f>Data!T1393</f>
        <v>6</v>
      </c>
    </row>
    <row r="1394" spans="2:5" ht="15" customHeight="1" x14ac:dyDescent="0.3">
      <c r="C1394" s="2"/>
      <c r="D1394" s="8">
        <v>2020</v>
      </c>
      <c r="E1394" s="14">
        <f>Data!T1394</f>
        <v>6</v>
      </c>
    </row>
    <row r="1395" spans="2:5" ht="15" customHeight="1" x14ac:dyDescent="0.3">
      <c r="C1395" s="2"/>
      <c r="D1395" s="8">
        <v>2021</v>
      </c>
      <c r="E1395" s="14">
        <f>Data!T1395</f>
        <v>6</v>
      </c>
    </row>
    <row r="1396" spans="2:5" ht="15" customHeight="1" x14ac:dyDescent="0.3">
      <c r="C1396" s="2"/>
      <c r="D1396" s="8">
        <v>2022</v>
      </c>
      <c r="E1396" s="14">
        <f>Data!T1396</f>
        <v>6</v>
      </c>
    </row>
    <row r="1397" spans="2:5" ht="15" customHeight="1" x14ac:dyDescent="0.3">
      <c r="C1397" s="2"/>
      <c r="D1397" s="8">
        <v>2023</v>
      </c>
      <c r="E1397" s="14">
        <f>Data!T1397</f>
        <v>7</v>
      </c>
    </row>
    <row r="1398" spans="2:5" ht="15" customHeight="1" x14ac:dyDescent="0.3">
      <c r="C1398" s="2"/>
      <c r="D1398" s="8">
        <v>2024</v>
      </c>
      <c r="E1398" s="14">
        <f>Data!T1398</f>
        <v>8</v>
      </c>
    </row>
    <row r="1399" spans="2:5" ht="15" customHeight="1" x14ac:dyDescent="0.3">
      <c r="B1399" s="8">
        <v>128</v>
      </c>
      <c r="C1399" s="2" t="s">
        <v>92</v>
      </c>
      <c r="D1399" s="8">
        <v>2014</v>
      </c>
      <c r="E1399" s="14">
        <f>Data!T1399</f>
        <v>0</v>
      </c>
    </row>
    <row r="1400" spans="2:5" ht="15" customHeight="1" x14ac:dyDescent="0.3">
      <c r="C1400" s="2"/>
      <c r="D1400" s="8">
        <v>2015</v>
      </c>
      <c r="E1400" s="14">
        <f>Data!T1400</f>
        <v>0</v>
      </c>
    </row>
    <row r="1401" spans="2:5" ht="15" customHeight="1" x14ac:dyDescent="0.3">
      <c r="C1401" s="2"/>
      <c r="D1401" s="8">
        <v>2016</v>
      </c>
      <c r="E1401" s="14">
        <f>Data!T1401</f>
        <v>0</v>
      </c>
    </row>
    <row r="1402" spans="2:5" ht="15" customHeight="1" x14ac:dyDescent="0.3">
      <c r="C1402" s="2"/>
      <c r="D1402" s="8">
        <v>2017</v>
      </c>
      <c r="E1402" s="14">
        <f>Data!T1402</f>
        <v>0</v>
      </c>
    </row>
    <row r="1403" spans="2:5" ht="15" customHeight="1" x14ac:dyDescent="0.3">
      <c r="C1403" s="2"/>
      <c r="D1403" s="8">
        <v>2018</v>
      </c>
      <c r="E1403" s="14">
        <f>Data!T1403</f>
        <v>0</v>
      </c>
    </row>
    <row r="1404" spans="2:5" ht="15" customHeight="1" x14ac:dyDescent="0.3">
      <c r="C1404" s="2"/>
      <c r="D1404" s="8">
        <v>2019</v>
      </c>
      <c r="E1404" s="14">
        <f>Data!T1404</f>
        <v>6</v>
      </c>
    </row>
    <row r="1405" spans="2:5" ht="15" customHeight="1" x14ac:dyDescent="0.3">
      <c r="C1405" s="2"/>
      <c r="D1405" s="8">
        <v>2020</v>
      </c>
      <c r="E1405" s="14">
        <f>Data!T1405</f>
        <v>6</v>
      </c>
    </row>
    <row r="1406" spans="2:5" ht="15" customHeight="1" x14ac:dyDescent="0.3">
      <c r="C1406" s="2"/>
      <c r="D1406" s="8">
        <v>2021</v>
      </c>
      <c r="E1406" s="14">
        <f>Data!T1406</f>
        <v>6</v>
      </c>
    </row>
    <row r="1407" spans="2:5" ht="15" customHeight="1" x14ac:dyDescent="0.3">
      <c r="C1407" s="2"/>
      <c r="D1407" s="8">
        <v>2022</v>
      </c>
      <c r="E1407" s="14">
        <f>Data!T1407</f>
        <v>6</v>
      </c>
    </row>
    <row r="1408" spans="2:5" ht="15" customHeight="1" x14ac:dyDescent="0.3">
      <c r="C1408" s="2"/>
      <c r="D1408" s="8">
        <v>2023</v>
      </c>
      <c r="E1408" s="14">
        <f>Data!T1408</f>
        <v>6</v>
      </c>
    </row>
    <row r="1409" spans="2:5" ht="15" customHeight="1" x14ac:dyDescent="0.3">
      <c r="C1409" s="2"/>
      <c r="D1409" s="8">
        <v>2024</v>
      </c>
      <c r="E1409" s="14">
        <f>Data!T1409</f>
        <v>6</v>
      </c>
    </row>
    <row r="1410" spans="2:5" ht="15" customHeight="1" x14ac:dyDescent="0.3">
      <c r="B1410" s="8">
        <v>129</v>
      </c>
      <c r="C1410" s="2" t="s">
        <v>87</v>
      </c>
      <c r="D1410" s="8">
        <v>2014</v>
      </c>
      <c r="E1410" s="14">
        <f>Data!T1410</f>
        <v>0</v>
      </c>
    </row>
    <row r="1411" spans="2:5" ht="15" customHeight="1" x14ac:dyDescent="0.3">
      <c r="C1411" s="2"/>
      <c r="D1411" s="8">
        <v>2015</v>
      </c>
      <c r="E1411" s="14">
        <f>Data!T1411</f>
        <v>0</v>
      </c>
    </row>
    <row r="1412" spans="2:5" ht="15" customHeight="1" x14ac:dyDescent="0.3">
      <c r="C1412" s="2"/>
      <c r="D1412" s="8">
        <v>2016</v>
      </c>
      <c r="E1412" s="14">
        <f>Data!T1412</f>
        <v>7</v>
      </c>
    </row>
    <row r="1413" spans="2:5" ht="15" customHeight="1" x14ac:dyDescent="0.3">
      <c r="C1413" s="2"/>
      <c r="D1413" s="8">
        <v>2017</v>
      </c>
      <c r="E1413" s="14">
        <f>Data!T1413</f>
        <v>7</v>
      </c>
    </row>
    <row r="1414" spans="2:5" ht="15" customHeight="1" x14ac:dyDescent="0.3">
      <c r="C1414" s="2"/>
      <c r="D1414" s="8">
        <v>2018</v>
      </c>
      <c r="E1414" s="14">
        <f>Data!T1414</f>
        <v>7</v>
      </c>
    </row>
    <row r="1415" spans="2:5" ht="15" customHeight="1" x14ac:dyDescent="0.3">
      <c r="C1415" s="2"/>
      <c r="D1415" s="8">
        <v>2019</v>
      </c>
      <c r="E1415" s="14">
        <f>Data!T1415</f>
        <v>7</v>
      </c>
    </row>
    <row r="1416" spans="2:5" ht="15" customHeight="1" x14ac:dyDescent="0.3">
      <c r="C1416" s="2"/>
      <c r="D1416" s="8">
        <v>2020</v>
      </c>
      <c r="E1416" s="14">
        <f>Data!T1416</f>
        <v>6</v>
      </c>
    </row>
    <row r="1417" spans="2:5" ht="15" customHeight="1" x14ac:dyDescent="0.3">
      <c r="C1417" s="2"/>
      <c r="D1417" s="8">
        <v>2021</v>
      </c>
      <c r="E1417" s="14">
        <f>Data!T1417</f>
        <v>5</v>
      </c>
    </row>
    <row r="1418" spans="2:5" ht="15" customHeight="1" x14ac:dyDescent="0.3">
      <c r="C1418" s="2"/>
      <c r="D1418" s="8">
        <v>2022</v>
      </c>
      <c r="E1418" s="14">
        <f>Data!T1418</f>
        <v>6</v>
      </c>
    </row>
    <row r="1419" spans="2:5" ht="15" customHeight="1" x14ac:dyDescent="0.3">
      <c r="C1419" s="2"/>
      <c r="D1419" s="8">
        <v>2023</v>
      </c>
      <c r="E1419" s="14">
        <f>Data!T1419</f>
        <v>7</v>
      </c>
    </row>
    <row r="1420" spans="2:5" ht="15" customHeight="1" x14ac:dyDescent="0.3">
      <c r="C1420" s="2"/>
      <c r="D1420" s="8">
        <v>2024</v>
      </c>
      <c r="E1420" s="14">
        <f>Data!T1420</f>
        <v>7</v>
      </c>
    </row>
    <row r="1421" spans="2:5" ht="15" customHeight="1" x14ac:dyDescent="0.3">
      <c r="B1421" s="8">
        <v>130</v>
      </c>
      <c r="C1421" s="2" t="s">
        <v>113</v>
      </c>
      <c r="D1421" s="8">
        <v>2014</v>
      </c>
      <c r="E1421" s="14">
        <f>Data!T1421</f>
        <v>0</v>
      </c>
    </row>
    <row r="1422" spans="2:5" ht="15" customHeight="1" x14ac:dyDescent="0.3">
      <c r="C1422" s="2"/>
      <c r="D1422" s="8">
        <v>2015</v>
      </c>
      <c r="E1422" s="14">
        <f>Data!T1422</f>
        <v>0</v>
      </c>
    </row>
    <row r="1423" spans="2:5" ht="15" customHeight="1" x14ac:dyDescent="0.3">
      <c r="C1423" s="2"/>
      <c r="D1423" s="8">
        <v>2016</v>
      </c>
      <c r="E1423" s="14">
        <f>Data!T1423</f>
        <v>0</v>
      </c>
    </row>
    <row r="1424" spans="2:5" ht="15" customHeight="1" x14ac:dyDescent="0.3">
      <c r="C1424" s="2"/>
      <c r="D1424" s="8">
        <v>2017</v>
      </c>
      <c r="E1424" s="14">
        <f>Data!T1424</f>
        <v>0</v>
      </c>
    </row>
    <row r="1425" spans="2:5" ht="15" customHeight="1" x14ac:dyDescent="0.3">
      <c r="C1425" s="2"/>
      <c r="D1425" s="8">
        <v>2018</v>
      </c>
      <c r="E1425" s="14">
        <f>Data!T1425</f>
        <v>0</v>
      </c>
    </row>
    <row r="1426" spans="2:5" ht="15" customHeight="1" x14ac:dyDescent="0.3">
      <c r="C1426" s="2"/>
      <c r="D1426" s="8">
        <v>2019</v>
      </c>
      <c r="E1426" s="14">
        <f>Data!T1426</f>
        <v>0</v>
      </c>
    </row>
    <row r="1427" spans="2:5" ht="15" customHeight="1" x14ac:dyDescent="0.3">
      <c r="C1427" s="2"/>
      <c r="D1427" s="8">
        <v>2020</v>
      </c>
      <c r="E1427" s="14">
        <f>Data!T1427</f>
        <v>6</v>
      </c>
    </row>
    <row r="1428" spans="2:5" ht="15" customHeight="1" x14ac:dyDescent="0.3">
      <c r="C1428" s="2"/>
      <c r="D1428" s="8">
        <v>2021</v>
      </c>
      <c r="E1428" s="14">
        <f>Data!T1428</f>
        <v>5</v>
      </c>
    </row>
    <row r="1429" spans="2:5" ht="15" customHeight="1" x14ac:dyDescent="0.3">
      <c r="C1429" s="2"/>
      <c r="D1429" s="8">
        <v>2022</v>
      </c>
      <c r="E1429" s="14">
        <f>Data!T1429</f>
        <v>6</v>
      </c>
    </row>
    <row r="1430" spans="2:5" ht="15" customHeight="1" x14ac:dyDescent="0.3">
      <c r="C1430" s="2"/>
      <c r="D1430" s="8">
        <v>2023</v>
      </c>
      <c r="E1430" s="14">
        <f>Data!T1430</f>
        <v>6</v>
      </c>
    </row>
    <row r="1431" spans="2:5" ht="15" customHeight="1" x14ac:dyDescent="0.3">
      <c r="C1431" s="2"/>
      <c r="D1431" s="8">
        <v>2024</v>
      </c>
      <c r="E1431" s="14">
        <f>Data!T1431</f>
        <v>6</v>
      </c>
    </row>
    <row r="1432" spans="2:5" ht="15" customHeight="1" x14ac:dyDescent="0.3">
      <c r="B1432" s="8">
        <v>131</v>
      </c>
      <c r="C1432" s="2" t="s">
        <v>121</v>
      </c>
      <c r="D1432" s="8">
        <v>2014</v>
      </c>
      <c r="E1432" s="14">
        <f>Data!T1432</f>
        <v>0</v>
      </c>
    </row>
    <row r="1433" spans="2:5" ht="15" customHeight="1" x14ac:dyDescent="0.3">
      <c r="C1433" s="2"/>
      <c r="D1433" s="8">
        <v>2015</v>
      </c>
      <c r="E1433" s="14">
        <f>Data!T1433</f>
        <v>0</v>
      </c>
    </row>
    <row r="1434" spans="2:5" ht="15" customHeight="1" x14ac:dyDescent="0.3">
      <c r="C1434" s="2"/>
      <c r="D1434" s="8">
        <v>2016</v>
      </c>
      <c r="E1434" s="14">
        <f>Data!T1434</f>
        <v>8</v>
      </c>
    </row>
    <row r="1435" spans="2:5" ht="15" customHeight="1" x14ac:dyDescent="0.3">
      <c r="C1435" s="2"/>
      <c r="D1435" s="8">
        <v>2017</v>
      </c>
      <c r="E1435" s="14">
        <f>Data!T1435</f>
        <v>9</v>
      </c>
    </row>
    <row r="1436" spans="2:5" ht="15" customHeight="1" x14ac:dyDescent="0.3">
      <c r="C1436" s="2"/>
      <c r="D1436" s="8">
        <v>2018</v>
      </c>
      <c r="E1436" s="14">
        <f>Data!T1436</f>
        <v>9</v>
      </c>
    </row>
    <row r="1437" spans="2:5" ht="15" customHeight="1" x14ac:dyDescent="0.3">
      <c r="C1437" s="2"/>
      <c r="D1437" s="8">
        <v>2019</v>
      </c>
      <c r="E1437" s="14">
        <f>Data!T1437</f>
        <v>9</v>
      </c>
    </row>
    <row r="1438" spans="2:5" ht="15" customHeight="1" x14ac:dyDescent="0.3">
      <c r="C1438" s="2"/>
      <c r="D1438" s="8">
        <v>2020</v>
      </c>
      <c r="E1438" s="14">
        <f>Data!T1438</f>
        <v>9</v>
      </c>
    </row>
    <row r="1439" spans="2:5" ht="15" customHeight="1" x14ac:dyDescent="0.3">
      <c r="C1439" s="2"/>
      <c r="D1439" s="8">
        <v>2021</v>
      </c>
      <c r="E1439" s="14">
        <f>Data!T1439</f>
        <v>9</v>
      </c>
    </row>
    <row r="1440" spans="2:5" ht="15" customHeight="1" x14ac:dyDescent="0.3">
      <c r="C1440" s="2"/>
      <c r="D1440" s="8">
        <v>2022</v>
      </c>
      <c r="E1440" s="14">
        <f>Data!T1440</f>
        <v>10</v>
      </c>
    </row>
    <row r="1441" spans="2:5" ht="15" customHeight="1" x14ac:dyDescent="0.3">
      <c r="C1441" s="2"/>
      <c r="D1441" s="8">
        <v>2023</v>
      </c>
      <c r="E1441" s="14">
        <f>Data!T1441</f>
        <v>10</v>
      </c>
    </row>
    <row r="1442" spans="2:5" ht="15" customHeight="1" x14ac:dyDescent="0.3">
      <c r="C1442" s="2"/>
      <c r="D1442" s="8">
        <v>2024</v>
      </c>
      <c r="E1442" s="14">
        <f>Data!T1442</f>
        <v>8</v>
      </c>
    </row>
    <row r="1443" spans="2:5" ht="15" customHeight="1" x14ac:dyDescent="0.3">
      <c r="B1443" s="8">
        <v>132</v>
      </c>
      <c r="C1443" s="2" t="s">
        <v>85</v>
      </c>
      <c r="D1443" s="8">
        <v>2014</v>
      </c>
      <c r="E1443" s="14">
        <f>Data!T1443</f>
        <v>0</v>
      </c>
    </row>
    <row r="1444" spans="2:5" ht="15" customHeight="1" x14ac:dyDescent="0.3">
      <c r="C1444" s="2"/>
      <c r="D1444" s="8">
        <v>2015</v>
      </c>
      <c r="E1444" s="14">
        <f>Data!T1444</f>
        <v>0</v>
      </c>
    </row>
    <row r="1445" spans="2:5" ht="15" customHeight="1" x14ac:dyDescent="0.3">
      <c r="C1445" s="2"/>
      <c r="D1445" s="8">
        <v>2016</v>
      </c>
      <c r="E1445" s="14">
        <f>Data!T1445</f>
        <v>0</v>
      </c>
    </row>
    <row r="1446" spans="2:5" ht="15" customHeight="1" x14ac:dyDescent="0.3">
      <c r="C1446" s="2"/>
      <c r="D1446" s="8">
        <v>2017</v>
      </c>
      <c r="E1446" s="14">
        <f>Data!T1446</f>
        <v>6</v>
      </c>
    </row>
    <row r="1447" spans="2:5" ht="15" customHeight="1" x14ac:dyDescent="0.3">
      <c r="C1447" s="2"/>
      <c r="D1447" s="8">
        <v>2018</v>
      </c>
      <c r="E1447" s="14">
        <f>Data!T1447</f>
        <v>6</v>
      </c>
    </row>
    <row r="1448" spans="2:5" ht="15" customHeight="1" x14ac:dyDescent="0.3">
      <c r="C1448" s="2"/>
      <c r="D1448" s="8">
        <v>2019</v>
      </c>
      <c r="E1448" s="14">
        <f>Data!T1448</f>
        <v>6</v>
      </c>
    </row>
    <row r="1449" spans="2:5" ht="15" customHeight="1" x14ac:dyDescent="0.3">
      <c r="C1449" s="2"/>
      <c r="D1449" s="8">
        <v>2020</v>
      </c>
      <c r="E1449" s="14">
        <f>Data!T1449</f>
        <v>7</v>
      </c>
    </row>
    <row r="1450" spans="2:5" ht="15" customHeight="1" x14ac:dyDescent="0.3">
      <c r="C1450" s="2"/>
      <c r="D1450" s="8">
        <v>2021</v>
      </c>
      <c r="E1450" s="14">
        <f>Data!T1450</f>
        <v>6</v>
      </c>
    </row>
    <row r="1451" spans="2:5" ht="15" customHeight="1" x14ac:dyDescent="0.3">
      <c r="C1451" s="2"/>
      <c r="D1451" s="8">
        <v>2022</v>
      </c>
      <c r="E1451" s="14">
        <f>Data!T1451</f>
        <v>6</v>
      </c>
    </row>
    <row r="1452" spans="2:5" ht="15" customHeight="1" x14ac:dyDescent="0.3">
      <c r="C1452" s="2"/>
      <c r="D1452" s="8">
        <v>2023</v>
      </c>
      <c r="E1452" s="14">
        <f>Data!T1452</f>
        <v>6</v>
      </c>
    </row>
    <row r="1453" spans="2:5" ht="15" customHeight="1" x14ac:dyDescent="0.3">
      <c r="C1453" s="2"/>
      <c r="D1453" s="8">
        <v>2024</v>
      </c>
      <c r="E1453" s="14">
        <f>Data!T1453</f>
        <v>5</v>
      </c>
    </row>
    <row r="1454" spans="2:5" ht="15" customHeight="1" x14ac:dyDescent="0.3">
      <c r="B1454" s="8">
        <v>133</v>
      </c>
      <c r="C1454" s="1" t="s">
        <v>126</v>
      </c>
      <c r="D1454" s="8">
        <v>2014</v>
      </c>
      <c r="E1454" s="14">
        <f>Data!T1454</f>
        <v>0</v>
      </c>
    </row>
    <row r="1455" spans="2:5" ht="15" customHeight="1" x14ac:dyDescent="0.3">
      <c r="C1455" s="1"/>
      <c r="D1455" s="8">
        <v>2015</v>
      </c>
      <c r="E1455" s="14">
        <f>Data!T1455</f>
        <v>6</v>
      </c>
    </row>
    <row r="1456" spans="2:5" ht="15" customHeight="1" x14ac:dyDescent="0.3">
      <c r="C1456" s="1"/>
      <c r="D1456" s="8">
        <v>2016</v>
      </c>
      <c r="E1456" s="14">
        <f>Data!T1456</f>
        <v>7</v>
      </c>
    </row>
    <row r="1457" spans="2:5" ht="15" customHeight="1" x14ac:dyDescent="0.3">
      <c r="C1457" s="1"/>
      <c r="D1457" s="8">
        <v>2017</v>
      </c>
      <c r="E1457" s="14">
        <f>Data!T1457</f>
        <v>7</v>
      </c>
    </row>
    <row r="1458" spans="2:5" ht="15" customHeight="1" x14ac:dyDescent="0.3">
      <c r="C1458" s="1"/>
      <c r="D1458" s="8">
        <v>2018</v>
      </c>
      <c r="E1458" s="14">
        <f>Data!T1458</f>
        <v>6</v>
      </c>
    </row>
    <row r="1459" spans="2:5" ht="15" customHeight="1" x14ac:dyDescent="0.3">
      <c r="C1459" s="1"/>
      <c r="D1459" s="8">
        <v>2019</v>
      </c>
      <c r="E1459" s="14">
        <f>Data!T1459</f>
        <v>6</v>
      </c>
    </row>
    <row r="1460" spans="2:5" ht="15" customHeight="1" x14ac:dyDescent="0.3">
      <c r="C1460" s="1"/>
      <c r="D1460" s="8">
        <v>2020</v>
      </c>
      <c r="E1460" s="14">
        <f>Data!T1460</f>
        <v>7</v>
      </c>
    </row>
    <row r="1461" spans="2:5" ht="15" customHeight="1" x14ac:dyDescent="0.3">
      <c r="C1461" s="1"/>
      <c r="D1461" s="8">
        <v>2021</v>
      </c>
      <c r="E1461" s="14">
        <f>Data!T1461</f>
        <v>7</v>
      </c>
    </row>
    <row r="1462" spans="2:5" ht="15" customHeight="1" x14ac:dyDescent="0.3">
      <c r="C1462" s="1"/>
      <c r="D1462" s="8">
        <v>2022</v>
      </c>
      <c r="E1462" s="14">
        <f>Data!T1462</f>
        <v>6</v>
      </c>
    </row>
    <row r="1463" spans="2:5" ht="15" customHeight="1" x14ac:dyDescent="0.3">
      <c r="C1463" s="1"/>
      <c r="D1463" s="8">
        <v>2023</v>
      </c>
      <c r="E1463" s="14">
        <f>Data!T1463</f>
        <v>6</v>
      </c>
    </row>
    <row r="1464" spans="2:5" ht="15" customHeight="1" x14ac:dyDescent="0.3">
      <c r="C1464" s="1"/>
      <c r="D1464" s="8">
        <v>2024</v>
      </c>
      <c r="E1464" s="14">
        <f>Data!T1464</f>
        <v>6</v>
      </c>
    </row>
    <row r="1465" spans="2:5" ht="15" customHeight="1" x14ac:dyDescent="0.3">
      <c r="B1465" s="8">
        <v>134</v>
      </c>
      <c r="C1465" s="2" t="s">
        <v>95</v>
      </c>
      <c r="D1465" s="8">
        <v>2014</v>
      </c>
      <c r="E1465" s="14">
        <f>Data!T1465</f>
        <v>0</v>
      </c>
    </row>
    <row r="1466" spans="2:5" ht="15" customHeight="1" x14ac:dyDescent="0.3">
      <c r="C1466" s="2"/>
      <c r="D1466" s="8">
        <v>2015</v>
      </c>
      <c r="E1466" s="14">
        <f>Data!T1466</f>
        <v>0</v>
      </c>
    </row>
    <row r="1467" spans="2:5" ht="15" customHeight="1" x14ac:dyDescent="0.3">
      <c r="C1467" s="2"/>
      <c r="D1467" s="8">
        <v>2016</v>
      </c>
      <c r="E1467" s="14">
        <f>Data!T1467</f>
        <v>0</v>
      </c>
    </row>
    <row r="1468" spans="2:5" ht="15" customHeight="1" x14ac:dyDescent="0.3">
      <c r="C1468" s="2"/>
      <c r="D1468" s="8">
        <v>2017</v>
      </c>
      <c r="E1468" s="14">
        <f>Data!T1468</f>
        <v>0</v>
      </c>
    </row>
    <row r="1469" spans="2:5" ht="15" customHeight="1" x14ac:dyDescent="0.3">
      <c r="C1469" s="2"/>
      <c r="D1469" s="8">
        <v>2018</v>
      </c>
      <c r="E1469" s="14">
        <f>Data!T1469</f>
        <v>0</v>
      </c>
    </row>
    <row r="1470" spans="2:5" ht="15" customHeight="1" x14ac:dyDescent="0.3">
      <c r="C1470" s="2"/>
      <c r="D1470" s="8">
        <v>2019</v>
      </c>
      <c r="E1470" s="14">
        <f>Data!T1470</f>
        <v>0</v>
      </c>
    </row>
    <row r="1471" spans="2:5" ht="15" customHeight="1" x14ac:dyDescent="0.3">
      <c r="C1471" s="2"/>
      <c r="D1471" s="8">
        <v>2020</v>
      </c>
      <c r="E1471" s="14">
        <f>Data!T1471</f>
        <v>0</v>
      </c>
    </row>
    <row r="1472" spans="2:5" ht="15" customHeight="1" x14ac:dyDescent="0.3">
      <c r="C1472" s="2"/>
      <c r="D1472" s="8">
        <v>2021</v>
      </c>
      <c r="E1472" s="14">
        <f>Data!T1472</f>
        <v>12</v>
      </c>
    </row>
    <row r="1473" spans="1:5" ht="15" customHeight="1" x14ac:dyDescent="0.3">
      <c r="C1473" s="2"/>
      <c r="D1473" s="8">
        <v>2022</v>
      </c>
      <c r="E1473" s="14">
        <f>Data!T1473</f>
        <v>14</v>
      </c>
    </row>
    <row r="1474" spans="1:5" ht="15" customHeight="1" x14ac:dyDescent="0.3">
      <c r="C1474" s="2"/>
      <c r="D1474" s="8">
        <v>2023</v>
      </c>
      <c r="E1474" s="14">
        <f>Data!T1474</f>
        <v>13</v>
      </c>
    </row>
    <row r="1475" spans="1:5" ht="15" customHeight="1" x14ac:dyDescent="0.3">
      <c r="C1475" s="2"/>
      <c r="D1475" s="8">
        <v>2024</v>
      </c>
      <c r="E1475" s="14">
        <f>Data!T1475</f>
        <v>11</v>
      </c>
    </row>
    <row r="1476" spans="1:5" ht="15" customHeight="1" x14ac:dyDescent="0.3">
      <c r="B1476" s="8">
        <v>135</v>
      </c>
      <c r="C1476" s="1" t="s">
        <v>133</v>
      </c>
      <c r="D1476" s="8">
        <v>2014</v>
      </c>
      <c r="E1476" s="14">
        <f>Data!T1476</f>
        <v>0</v>
      </c>
    </row>
    <row r="1477" spans="1:5" ht="15" customHeight="1" x14ac:dyDescent="0.3">
      <c r="C1477" s="1"/>
      <c r="D1477" s="8">
        <v>2015</v>
      </c>
      <c r="E1477" s="14">
        <f>Data!T1477</f>
        <v>0</v>
      </c>
    </row>
    <row r="1478" spans="1:5" ht="15" customHeight="1" x14ac:dyDescent="0.3">
      <c r="C1478" s="1"/>
      <c r="D1478" s="8">
        <v>2016</v>
      </c>
      <c r="E1478" s="14">
        <f>Data!T1478</f>
        <v>0</v>
      </c>
    </row>
    <row r="1479" spans="1:5" ht="15" customHeight="1" x14ac:dyDescent="0.3">
      <c r="C1479" s="1"/>
      <c r="D1479" s="8">
        <v>2017</v>
      </c>
      <c r="E1479" s="14">
        <f>Data!T1479</f>
        <v>0</v>
      </c>
    </row>
    <row r="1480" spans="1:5" ht="15" customHeight="1" x14ac:dyDescent="0.3">
      <c r="C1480" s="1"/>
      <c r="D1480" s="8">
        <v>2018</v>
      </c>
      <c r="E1480" s="14">
        <f>Data!T1480</f>
        <v>0</v>
      </c>
    </row>
    <row r="1481" spans="1:5" ht="15" customHeight="1" x14ac:dyDescent="0.3">
      <c r="C1481" s="1"/>
      <c r="D1481" s="8">
        <v>2019</v>
      </c>
      <c r="E1481" s="14">
        <f>Data!T1481</f>
        <v>0</v>
      </c>
    </row>
    <row r="1482" spans="1:5" ht="15" customHeight="1" x14ac:dyDescent="0.3">
      <c r="C1482" s="1"/>
      <c r="D1482" s="8">
        <v>2020</v>
      </c>
      <c r="E1482" s="14">
        <f>Data!T1482</f>
        <v>0</v>
      </c>
    </row>
    <row r="1483" spans="1:5" ht="15" customHeight="1" x14ac:dyDescent="0.3">
      <c r="C1483" s="1"/>
      <c r="D1483" s="8">
        <v>2021</v>
      </c>
      <c r="E1483" s="14">
        <f>Data!T1483</f>
        <v>7</v>
      </c>
    </row>
    <row r="1484" spans="1:5" ht="15" customHeight="1" x14ac:dyDescent="0.3">
      <c r="C1484" s="1"/>
      <c r="D1484" s="8">
        <v>2022</v>
      </c>
      <c r="E1484" s="14">
        <f>Data!T1484</f>
        <v>6</v>
      </c>
    </row>
    <row r="1485" spans="1:5" ht="15" customHeight="1" x14ac:dyDescent="0.3">
      <c r="C1485" s="1"/>
      <c r="D1485" s="8">
        <v>2023</v>
      </c>
      <c r="E1485" s="14">
        <f>Data!T1485</f>
        <v>6</v>
      </c>
    </row>
    <row r="1486" spans="1:5" ht="15" customHeight="1" x14ac:dyDescent="0.3">
      <c r="C1486" s="1"/>
      <c r="D1486" s="8">
        <v>2024</v>
      </c>
      <c r="E1486" s="14">
        <f>Data!T1486</f>
        <v>6</v>
      </c>
    </row>
    <row r="1487" spans="1:5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Data!T1487</f>
        <v>0</v>
      </c>
    </row>
    <row r="1488" spans="1:5" ht="15" customHeight="1" x14ac:dyDescent="0.3">
      <c r="C1488" s="1"/>
      <c r="D1488" s="8">
        <v>2015</v>
      </c>
      <c r="E1488" s="14">
        <f>Data!T1488</f>
        <v>0</v>
      </c>
    </row>
    <row r="1489" spans="2:5" ht="15" customHeight="1" x14ac:dyDescent="0.3">
      <c r="C1489" s="1"/>
      <c r="D1489" s="8">
        <v>2016</v>
      </c>
      <c r="E1489" s="14">
        <f>Data!T1489</f>
        <v>0</v>
      </c>
    </row>
    <row r="1490" spans="2:5" ht="15" customHeight="1" x14ac:dyDescent="0.3">
      <c r="C1490" s="1"/>
      <c r="D1490" s="8">
        <v>2017</v>
      </c>
      <c r="E1490" s="14">
        <f>Data!T1490</f>
        <v>0</v>
      </c>
    </row>
    <row r="1491" spans="2:5" ht="15" customHeight="1" x14ac:dyDescent="0.3">
      <c r="C1491" s="1"/>
      <c r="D1491" s="8">
        <v>2018</v>
      </c>
      <c r="E1491" s="14">
        <f>Data!T1491</f>
        <v>0</v>
      </c>
    </row>
    <row r="1492" spans="2:5" ht="15" customHeight="1" x14ac:dyDescent="0.3">
      <c r="C1492" s="1"/>
      <c r="D1492" s="8">
        <v>2019</v>
      </c>
      <c r="E1492" s="14">
        <f>Data!T1492</f>
        <v>0</v>
      </c>
    </row>
    <row r="1493" spans="2:5" ht="15" customHeight="1" x14ac:dyDescent="0.3">
      <c r="C1493" s="1"/>
      <c r="D1493" s="8">
        <v>2020</v>
      </c>
      <c r="E1493" s="14">
        <f>Data!T1493</f>
        <v>0</v>
      </c>
    </row>
    <row r="1494" spans="2:5" ht="15" customHeight="1" x14ac:dyDescent="0.3">
      <c r="C1494" s="1"/>
      <c r="D1494" s="8">
        <v>2021</v>
      </c>
      <c r="E1494" s="14">
        <f>Data!T1494</f>
        <v>0</v>
      </c>
    </row>
    <row r="1495" spans="2:5" ht="15" customHeight="1" x14ac:dyDescent="0.3">
      <c r="C1495" s="1"/>
      <c r="D1495" s="8">
        <v>2022</v>
      </c>
      <c r="E1495" s="14">
        <f>Data!T1495</f>
        <v>6</v>
      </c>
    </row>
    <row r="1496" spans="2:5" ht="15" customHeight="1" x14ac:dyDescent="0.3">
      <c r="C1496" s="1"/>
      <c r="D1496" s="8">
        <v>2023</v>
      </c>
      <c r="E1496" s="14">
        <f>Data!T1496</f>
        <v>9</v>
      </c>
    </row>
    <row r="1497" spans="2:5" ht="15" customHeight="1" x14ac:dyDescent="0.3">
      <c r="C1497" s="1"/>
      <c r="D1497" s="8">
        <v>2024</v>
      </c>
      <c r="E1497" s="14">
        <f>Data!T1497</f>
        <v>8</v>
      </c>
    </row>
    <row r="1498" spans="2:5" ht="15" customHeight="1" x14ac:dyDescent="0.3">
      <c r="B1498" s="8">
        <v>137</v>
      </c>
      <c r="C1498" s="1" t="s">
        <v>136</v>
      </c>
      <c r="D1498" s="8">
        <v>2014</v>
      </c>
      <c r="E1498" s="14">
        <f>Data!T1498</f>
        <v>0</v>
      </c>
    </row>
    <row r="1499" spans="2:5" ht="15" customHeight="1" x14ac:dyDescent="0.3">
      <c r="C1499" s="1"/>
      <c r="D1499" s="8">
        <v>2015</v>
      </c>
      <c r="E1499" s="14">
        <f>Data!T1499</f>
        <v>0</v>
      </c>
    </row>
    <row r="1500" spans="2:5" ht="15" customHeight="1" x14ac:dyDescent="0.3">
      <c r="C1500" s="1"/>
      <c r="D1500" s="8">
        <v>2016</v>
      </c>
      <c r="E1500" s="14">
        <f>Data!T1500</f>
        <v>0</v>
      </c>
    </row>
    <row r="1501" spans="2:5" ht="15" customHeight="1" x14ac:dyDescent="0.3">
      <c r="C1501" s="1"/>
      <c r="D1501" s="8">
        <v>2017</v>
      </c>
      <c r="E1501" s="14">
        <f>Data!T1501</f>
        <v>7</v>
      </c>
    </row>
    <row r="1502" spans="2:5" ht="15" customHeight="1" x14ac:dyDescent="0.3">
      <c r="C1502" s="1"/>
      <c r="D1502" s="8">
        <v>2018</v>
      </c>
      <c r="E1502" s="14">
        <f>Data!T1502</f>
        <v>7</v>
      </c>
    </row>
    <row r="1503" spans="2:5" ht="15" customHeight="1" x14ac:dyDescent="0.3">
      <c r="C1503" s="1"/>
      <c r="D1503" s="8">
        <v>2019</v>
      </c>
      <c r="E1503" s="14">
        <f>Data!T1503</f>
        <v>7</v>
      </c>
    </row>
    <row r="1504" spans="2:5" ht="15" customHeight="1" x14ac:dyDescent="0.3">
      <c r="C1504" s="1"/>
      <c r="D1504" s="8">
        <v>2020</v>
      </c>
      <c r="E1504" s="14">
        <f>Data!T1504</f>
        <v>7</v>
      </c>
    </row>
    <row r="1505" spans="2:5" ht="15" customHeight="1" x14ac:dyDescent="0.3">
      <c r="C1505" s="1"/>
      <c r="D1505" s="8">
        <v>2021</v>
      </c>
      <c r="E1505" s="14">
        <f>Data!T1505</f>
        <v>8</v>
      </c>
    </row>
    <row r="1506" spans="2:5" ht="15" customHeight="1" x14ac:dyDescent="0.3">
      <c r="C1506" s="1"/>
      <c r="D1506" s="8">
        <v>2022</v>
      </c>
      <c r="E1506" s="14">
        <f>Data!T1506</f>
        <v>8</v>
      </c>
    </row>
    <row r="1507" spans="2:5" ht="15" customHeight="1" x14ac:dyDescent="0.3">
      <c r="C1507" s="1"/>
      <c r="D1507" s="8">
        <v>2023</v>
      </c>
      <c r="E1507" s="14">
        <f>Data!T1507</f>
        <v>8</v>
      </c>
    </row>
    <row r="1508" spans="2:5" ht="15" customHeight="1" x14ac:dyDescent="0.3">
      <c r="C1508" s="1"/>
      <c r="D1508" s="8">
        <v>2024</v>
      </c>
      <c r="E1508" s="14">
        <f>Data!T1508</f>
        <v>6</v>
      </c>
    </row>
    <row r="1509" spans="2:5" ht="15" customHeight="1" x14ac:dyDescent="0.3">
      <c r="B1509" s="8">
        <v>138</v>
      </c>
      <c r="C1509" s="1" t="s">
        <v>143</v>
      </c>
      <c r="D1509" s="8">
        <v>2014</v>
      </c>
      <c r="E1509" s="14">
        <f>Data!T1509</f>
        <v>0</v>
      </c>
    </row>
    <row r="1510" spans="2:5" ht="15" customHeight="1" x14ac:dyDescent="0.3">
      <c r="C1510" s="1"/>
      <c r="D1510" s="8">
        <v>2015</v>
      </c>
      <c r="E1510" s="14">
        <f>Data!T1510</f>
        <v>0</v>
      </c>
    </row>
    <row r="1511" spans="2:5" ht="15" customHeight="1" x14ac:dyDescent="0.3">
      <c r="C1511" s="1"/>
      <c r="D1511" s="8">
        <v>2016</v>
      </c>
      <c r="E1511" s="14">
        <f>Data!T1511</f>
        <v>0</v>
      </c>
    </row>
    <row r="1512" spans="2:5" ht="15" customHeight="1" x14ac:dyDescent="0.3">
      <c r="C1512" s="1"/>
      <c r="D1512" s="8">
        <v>2017</v>
      </c>
      <c r="E1512" s="14">
        <f>Data!T1512</f>
        <v>0</v>
      </c>
    </row>
    <row r="1513" spans="2:5" ht="15" customHeight="1" x14ac:dyDescent="0.3">
      <c r="C1513" s="1"/>
      <c r="D1513" s="8">
        <v>2018</v>
      </c>
      <c r="E1513" s="14">
        <f>Data!T1513</f>
        <v>0</v>
      </c>
    </row>
    <row r="1514" spans="2:5" ht="15" customHeight="1" x14ac:dyDescent="0.3">
      <c r="C1514" s="1"/>
      <c r="D1514" s="8">
        <v>2019</v>
      </c>
      <c r="E1514" s="14">
        <f>Data!T1514</f>
        <v>0</v>
      </c>
    </row>
    <row r="1515" spans="2:5" ht="15" customHeight="1" x14ac:dyDescent="0.3">
      <c r="C1515" s="1"/>
      <c r="D1515" s="8">
        <v>2020</v>
      </c>
      <c r="E1515" s="14">
        <f>Data!T1515</f>
        <v>0</v>
      </c>
    </row>
    <row r="1516" spans="2:5" ht="15" customHeight="1" x14ac:dyDescent="0.3">
      <c r="C1516" s="1"/>
      <c r="D1516" s="8">
        <v>2021</v>
      </c>
      <c r="E1516" s="14">
        <f>Data!T1516</f>
        <v>0</v>
      </c>
    </row>
    <row r="1517" spans="2:5" ht="15" customHeight="1" x14ac:dyDescent="0.3">
      <c r="C1517" s="1"/>
      <c r="D1517" s="8">
        <v>2022</v>
      </c>
      <c r="E1517" s="14">
        <f>Data!T1517</f>
        <v>0</v>
      </c>
    </row>
    <row r="1518" spans="2:5" ht="15" customHeight="1" x14ac:dyDescent="0.3">
      <c r="C1518" s="1"/>
      <c r="D1518" s="8">
        <v>2023</v>
      </c>
      <c r="E1518" s="14">
        <f>Data!T1518</f>
        <v>0</v>
      </c>
    </row>
    <row r="1519" spans="2:5" ht="15" customHeight="1" x14ac:dyDescent="0.3">
      <c r="C1519" s="1"/>
      <c r="D1519" s="8">
        <v>2024</v>
      </c>
      <c r="E1519" s="14">
        <f>Data!T1519</f>
        <v>6</v>
      </c>
    </row>
    <row r="1520" spans="2:5" ht="15" customHeight="1" x14ac:dyDescent="0.3">
      <c r="B1520" s="8">
        <v>139</v>
      </c>
      <c r="C1520" s="1" t="s">
        <v>137</v>
      </c>
      <c r="D1520" s="8">
        <v>2014</v>
      </c>
      <c r="E1520" s="14">
        <f>Data!T1520</f>
        <v>0</v>
      </c>
    </row>
    <row r="1521" spans="2:5" ht="15" customHeight="1" x14ac:dyDescent="0.3">
      <c r="C1521" s="1"/>
      <c r="D1521" s="8">
        <v>2015</v>
      </c>
      <c r="E1521" s="14">
        <f>Data!T1521</f>
        <v>5</v>
      </c>
    </row>
    <row r="1522" spans="2:5" ht="15" customHeight="1" x14ac:dyDescent="0.3">
      <c r="C1522" s="1"/>
      <c r="D1522" s="8">
        <v>2016</v>
      </c>
      <c r="E1522" s="14">
        <f>Data!T1522</f>
        <v>8</v>
      </c>
    </row>
    <row r="1523" spans="2:5" ht="15" customHeight="1" x14ac:dyDescent="0.3">
      <c r="C1523" s="1"/>
      <c r="D1523" s="8">
        <v>2017</v>
      </c>
      <c r="E1523" s="14">
        <f>Data!T1523</f>
        <v>8</v>
      </c>
    </row>
    <row r="1524" spans="2:5" ht="15" customHeight="1" x14ac:dyDescent="0.3">
      <c r="C1524" s="1"/>
      <c r="D1524" s="8">
        <v>2018</v>
      </c>
      <c r="E1524" s="14">
        <f>Data!T1524</f>
        <v>8</v>
      </c>
    </row>
    <row r="1525" spans="2:5" ht="15" customHeight="1" x14ac:dyDescent="0.3">
      <c r="C1525" s="1"/>
      <c r="D1525" s="8">
        <v>2019</v>
      </c>
      <c r="E1525" s="14">
        <f>Data!T1525</f>
        <v>7</v>
      </c>
    </row>
    <row r="1526" spans="2:5" ht="15" customHeight="1" x14ac:dyDescent="0.3">
      <c r="C1526" s="1"/>
      <c r="D1526" s="8">
        <v>2020</v>
      </c>
      <c r="E1526" s="14">
        <f>Data!T1526</f>
        <v>9</v>
      </c>
    </row>
    <row r="1527" spans="2:5" ht="15" customHeight="1" x14ac:dyDescent="0.3">
      <c r="C1527" s="1"/>
      <c r="D1527" s="8">
        <v>2021</v>
      </c>
      <c r="E1527" s="14">
        <f>Data!T1527</f>
        <v>9</v>
      </c>
    </row>
    <row r="1528" spans="2:5" ht="15" customHeight="1" x14ac:dyDescent="0.3">
      <c r="C1528" s="1"/>
      <c r="D1528" s="8">
        <v>2022</v>
      </c>
      <c r="E1528" s="14">
        <f>Data!T1528</f>
        <v>10</v>
      </c>
    </row>
    <row r="1529" spans="2:5" ht="15" customHeight="1" x14ac:dyDescent="0.3">
      <c r="C1529" s="1"/>
      <c r="D1529" s="8">
        <v>2023</v>
      </c>
      <c r="E1529" s="14">
        <f>Data!T1529</f>
        <v>10</v>
      </c>
    </row>
    <row r="1530" spans="2:5" ht="15" customHeight="1" x14ac:dyDescent="0.3">
      <c r="C1530" s="1"/>
      <c r="D1530" s="8">
        <v>2024</v>
      </c>
      <c r="E1530" s="14">
        <f>Data!T1530</f>
        <v>8</v>
      </c>
    </row>
    <row r="1531" spans="2:5" ht="15" customHeight="1" x14ac:dyDescent="0.3">
      <c r="B1531" s="8">
        <v>140</v>
      </c>
      <c r="C1531" s="1" t="s">
        <v>139</v>
      </c>
      <c r="D1531" s="8">
        <v>2014</v>
      </c>
      <c r="E1531" s="14">
        <f>Data!T1531</f>
        <v>0</v>
      </c>
    </row>
    <row r="1532" spans="2:5" ht="15" customHeight="1" x14ac:dyDescent="0.3">
      <c r="C1532" s="1"/>
      <c r="D1532" s="8">
        <v>2015</v>
      </c>
      <c r="E1532" s="14">
        <f>Data!T1532</f>
        <v>8</v>
      </c>
    </row>
    <row r="1533" spans="2:5" ht="15" customHeight="1" x14ac:dyDescent="0.3">
      <c r="C1533" s="1"/>
      <c r="D1533" s="8">
        <v>2016</v>
      </c>
      <c r="E1533" s="14">
        <f>Data!T1533</f>
        <v>7</v>
      </c>
    </row>
    <row r="1534" spans="2:5" ht="15" customHeight="1" x14ac:dyDescent="0.3">
      <c r="C1534" s="1"/>
      <c r="D1534" s="8">
        <v>2017</v>
      </c>
      <c r="E1534" s="14">
        <f>Data!T1534</f>
        <v>7</v>
      </c>
    </row>
    <row r="1535" spans="2:5" ht="15" customHeight="1" x14ac:dyDescent="0.3">
      <c r="C1535" s="1"/>
      <c r="D1535" s="8">
        <v>2018</v>
      </c>
      <c r="E1535" s="14">
        <f>Data!T1535</f>
        <v>8</v>
      </c>
    </row>
    <row r="1536" spans="2:5" ht="15" customHeight="1" x14ac:dyDescent="0.3">
      <c r="C1536" s="1"/>
      <c r="D1536" s="8">
        <v>2019</v>
      </c>
      <c r="E1536" s="14">
        <f>Data!T1536</f>
        <v>8</v>
      </c>
    </row>
    <row r="1537" spans="2:5" ht="15" customHeight="1" x14ac:dyDescent="0.3">
      <c r="C1537" s="1"/>
      <c r="D1537" s="8">
        <v>2020</v>
      </c>
      <c r="E1537" s="14">
        <f>Data!T1537</f>
        <v>8</v>
      </c>
    </row>
    <row r="1538" spans="2:5" ht="15" customHeight="1" x14ac:dyDescent="0.3">
      <c r="C1538" s="1"/>
      <c r="D1538" s="8">
        <v>2021</v>
      </c>
      <c r="E1538" s="14">
        <f>Data!T1538</f>
        <v>8</v>
      </c>
    </row>
    <row r="1539" spans="2:5" ht="15" customHeight="1" x14ac:dyDescent="0.3">
      <c r="C1539" s="1"/>
      <c r="D1539" s="8">
        <v>2022</v>
      </c>
      <c r="E1539" s="14">
        <f>Data!T1539</f>
        <v>8</v>
      </c>
    </row>
    <row r="1540" spans="2:5" ht="15" customHeight="1" x14ac:dyDescent="0.3">
      <c r="C1540" s="1"/>
      <c r="D1540" s="8">
        <v>2023</v>
      </c>
      <c r="E1540" s="14">
        <f>Data!T1540</f>
        <v>8</v>
      </c>
    </row>
    <row r="1541" spans="2:5" ht="15" customHeight="1" x14ac:dyDescent="0.3">
      <c r="C1541" s="1"/>
      <c r="D1541" s="8">
        <v>2024</v>
      </c>
      <c r="E1541" s="14">
        <f>Data!T1541</f>
        <v>6</v>
      </c>
    </row>
    <row r="1542" spans="2:5" ht="15" customHeight="1" x14ac:dyDescent="0.3">
      <c r="B1542" s="8">
        <v>141</v>
      </c>
      <c r="C1542" s="1" t="s">
        <v>140</v>
      </c>
      <c r="D1542" s="8">
        <v>2014</v>
      </c>
      <c r="E1542" s="14">
        <f>Data!T1542</f>
        <v>0</v>
      </c>
    </row>
    <row r="1543" spans="2:5" ht="15" customHeight="1" x14ac:dyDescent="0.3">
      <c r="C1543" s="1"/>
      <c r="D1543" s="8">
        <v>2015</v>
      </c>
      <c r="E1543" s="14">
        <f>Data!T1543</f>
        <v>6</v>
      </c>
    </row>
    <row r="1544" spans="2:5" ht="15" customHeight="1" x14ac:dyDescent="0.3">
      <c r="C1544" s="1"/>
      <c r="D1544" s="8">
        <v>2016</v>
      </c>
      <c r="E1544" s="14">
        <f>Data!T1544</f>
        <v>6</v>
      </c>
    </row>
    <row r="1545" spans="2:5" ht="15" customHeight="1" x14ac:dyDescent="0.3">
      <c r="C1545" s="1"/>
      <c r="D1545" s="8">
        <v>2017</v>
      </c>
      <c r="E1545" s="14">
        <f>Data!T1545</f>
        <v>0</v>
      </c>
    </row>
    <row r="1546" spans="2:5" ht="15" customHeight="1" x14ac:dyDescent="0.3">
      <c r="C1546" s="1"/>
      <c r="D1546" s="8">
        <v>2018</v>
      </c>
      <c r="E1546" s="14">
        <f>Data!T1546</f>
        <v>8</v>
      </c>
    </row>
    <row r="1547" spans="2:5" ht="15" customHeight="1" x14ac:dyDescent="0.3">
      <c r="C1547" s="1"/>
      <c r="D1547" s="8">
        <v>2019</v>
      </c>
      <c r="E1547" s="14">
        <f>Data!T1547</f>
        <v>7</v>
      </c>
    </row>
    <row r="1548" spans="2:5" ht="15" customHeight="1" x14ac:dyDescent="0.3">
      <c r="C1548" s="1"/>
      <c r="D1548" s="8">
        <v>2020</v>
      </c>
      <c r="E1548" s="14">
        <f>Data!T1548</f>
        <v>8</v>
      </c>
    </row>
    <row r="1549" spans="2:5" ht="15" customHeight="1" x14ac:dyDescent="0.3">
      <c r="C1549" s="1"/>
      <c r="D1549" s="8">
        <v>2021</v>
      </c>
      <c r="E1549" s="14">
        <f>Data!T1549</f>
        <v>8</v>
      </c>
    </row>
    <row r="1550" spans="2:5" ht="15" customHeight="1" x14ac:dyDescent="0.3">
      <c r="C1550" s="1"/>
      <c r="D1550" s="8">
        <v>2022</v>
      </c>
      <c r="E1550" s="14">
        <f>Data!T1550</f>
        <v>8</v>
      </c>
    </row>
    <row r="1551" spans="2:5" ht="15" customHeight="1" x14ac:dyDescent="0.3">
      <c r="C1551" s="1"/>
      <c r="D1551" s="8">
        <v>2023</v>
      </c>
      <c r="E1551" s="14">
        <f>Data!T1551</f>
        <v>6</v>
      </c>
    </row>
    <row r="1552" spans="2:5" ht="15" customHeight="1" x14ac:dyDescent="0.3">
      <c r="C1552" s="1"/>
      <c r="D1552" s="8">
        <v>2024</v>
      </c>
      <c r="E1552" s="14">
        <f>Data!T1552</f>
        <v>8</v>
      </c>
    </row>
    <row r="1553" spans="2:5" ht="15" customHeight="1" x14ac:dyDescent="0.3">
      <c r="B1553" s="8">
        <v>142</v>
      </c>
      <c r="C1553" s="1" t="s">
        <v>138</v>
      </c>
      <c r="D1553" s="8">
        <v>2014</v>
      </c>
      <c r="E1553" s="14">
        <f>Data!T1553</f>
        <v>0</v>
      </c>
    </row>
    <row r="1554" spans="2:5" ht="15" customHeight="1" x14ac:dyDescent="0.3">
      <c r="C1554" s="1"/>
      <c r="D1554" s="8">
        <v>2015</v>
      </c>
      <c r="E1554" s="14">
        <f>Data!T1554</f>
        <v>0</v>
      </c>
    </row>
    <row r="1555" spans="2:5" ht="15" customHeight="1" x14ac:dyDescent="0.3">
      <c r="C1555" s="1"/>
      <c r="D1555" s="8">
        <v>2016</v>
      </c>
      <c r="E1555" s="14">
        <f>Data!T1555</f>
        <v>0</v>
      </c>
    </row>
    <row r="1556" spans="2:5" ht="15" customHeight="1" x14ac:dyDescent="0.3">
      <c r="C1556" s="1"/>
      <c r="D1556" s="8">
        <v>2017</v>
      </c>
      <c r="E1556" s="14">
        <f>Data!T1556</f>
        <v>6</v>
      </c>
    </row>
    <row r="1557" spans="2:5" ht="15" customHeight="1" x14ac:dyDescent="0.3">
      <c r="C1557" s="1"/>
      <c r="D1557" s="8">
        <v>2018</v>
      </c>
      <c r="E1557" s="14">
        <f>Data!T1557</f>
        <v>0</v>
      </c>
    </row>
    <row r="1558" spans="2:5" ht="15" customHeight="1" x14ac:dyDescent="0.3">
      <c r="C1558" s="1"/>
      <c r="D1558" s="8">
        <v>2019</v>
      </c>
      <c r="E1558" s="14">
        <f>Data!T1558</f>
        <v>7</v>
      </c>
    </row>
    <row r="1559" spans="2:5" ht="15" customHeight="1" x14ac:dyDescent="0.3">
      <c r="C1559" s="1"/>
      <c r="D1559" s="8">
        <v>2020</v>
      </c>
      <c r="E1559" s="14">
        <f>Data!T1559</f>
        <v>7</v>
      </c>
    </row>
    <row r="1560" spans="2:5" ht="15" customHeight="1" x14ac:dyDescent="0.3">
      <c r="C1560" s="1"/>
      <c r="D1560" s="8">
        <v>2021</v>
      </c>
      <c r="E1560" s="14">
        <f>Data!T1560</f>
        <v>7</v>
      </c>
    </row>
    <row r="1561" spans="2:5" ht="15" customHeight="1" x14ac:dyDescent="0.3">
      <c r="C1561" s="1"/>
      <c r="D1561" s="8">
        <v>2022</v>
      </c>
      <c r="E1561" s="14">
        <f>Data!T1561</f>
        <v>7</v>
      </c>
    </row>
    <row r="1562" spans="2:5" ht="15" customHeight="1" x14ac:dyDescent="0.3">
      <c r="C1562" s="1"/>
      <c r="D1562" s="8">
        <v>2023</v>
      </c>
      <c r="E1562" s="14">
        <f>Data!T1562</f>
        <v>7</v>
      </c>
    </row>
    <row r="1563" spans="2:5" ht="15" customHeight="1" x14ac:dyDescent="0.3">
      <c r="C1563" s="1"/>
      <c r="D1563" s="8">
        <v>2024</v>
      </c>
      <c r="E1563" s="14">
        <f>Data!T1563</f>
        <v>6</v>
      </c>
    </row>
    <row r="1564" spans="2:5" ht="15" customHeight="1" x14ac:dyDescent="0.3">
      <c r="B1564" s="8">
        <v>143</v>
      </c>
      <c r="C1564" s="1" t="s">
        <v>144</v>
      </c>
      <c r="D1564" s="8">
        <v>2014</v>
      </c>
      <c r="E1564" s="14">
        <f>Data!T1564</f>
        <v>0</v>
      </c>
    </row>
    <row r="1565" spans="2:5" ht="15" customHeight="1" x14ac:dyDescent="0.3">
      <c r="C1565" s="1"/>
      <c r="D1565" s="8">
        <v>2015</v>
      </c>
      <c r="E1565" s="14">
        <f>Data!T1565</f>
        <v>0</v>
      </c>
    </row>
    <row r="1566" spans="2:5" ht="15" customHeight="1" x14ac:dyDescent="0.3">
      <c r="C1566" s="1"/>
      <c r="D1566" s="8">
        <v>2016</v>
      </c>
      <c r="E1566" s="14">
        <f>Data!T1566</f>
        <v>0</v>
      </c>
    </row>
    <row r="1567" spans="2:5" ht="15" customHeight="1" x14ac:dyDescent="0.3">
      <c r="C1567" s="1"/>
      <c r="D1567" s="8">
        <v>2017</v>
      </c>
      <c r="E1567" s="14">
        <f>Data!T1567</f>
        <v>0</v>
      </c>
    </row>
    <row r="1568" spans="2:5" ht="15" customHeight="1" x14ac:dyDescent="0.3">
      <c r="C1568" s="1"/>
      <c r="D1568" s="8">
        <v>2018</v>
      </c>
      <c r="E1568" s="14">
        <f>Data!T1568</f>
        <v>0</v>
      </c>
    </row>
    <row r="1569" spans="2:5" ht="15" customHeight="1" x14ac:dyDescent="0.3">
      <c r="C1569" s="1"/>
      <c r="D1569" s="8">
        <v>2019</v>
      </c>
      <c r="E1569" s="14">
        <f>Data!T1569</f>
        <v>0</v>
      </c>
    </row>
    <row r="1570" spans="2:5" ht="15" customHeight="1" x14ac:dyDescent="0.3">
      <c r="C1570" s="1"/>
      <c r="D1570" s="8">
        <v>2020</v>
      </c>
      <c r="E1570" s="14">
        <f>Data!T1570</f>
        <v>0</v>
      </c>
    </row>
    <row r="1571" spans="2:5" ht="15" customHeight="1" x14ac:dyDescent="0.3">
      <c r="C1571" s="1"/>
      <c r="D1571" s="8">
        <v>2021</v>
      </c>
      <c r="E1571" s="14">
        <f>Data!T1571</f>
        <v>0</v>
      </c>
    </row>
    <row r="1572" spans="2:5" ht="15" customHeight="1" x14ac:dyDescent="0.3">
      <c r="C1572" s="1"/>
      <c r="D1572" s="8">
        <v>2022</v>
      </c>
      <c r="E1572" s="14">
        <f>Data!T1572</f>
        <v>0</v>
      </c>
    </row>
    <row r="1573" spans="2:5" ht="15" customHeight="1" x14ac:dyDescent="0.3">
      <c r="C1573" s="1"/>
      <c r="D1573" s="8">
        <v>2023</v>
      </c>
      <c r="E1573" s="14">
        <f>Data!T1573</f>
        <v>0</v>
      </c>
    </row>
    <row r="1574" spans="2:5" ht="15" customHeight="1" x14ac:dyDescent="0.3">
      <c r="C1574" s="1"/>
      <c r="D1574" s="8">
        <v>2024</v>
      </c>
      <c r="E1574" s="14">
        <f>Data!T1574</f>
        <v>0</v>
      </c>
    </row>
    <row r="1575" spans="2:5" ht="15" customHeight="1" x14ac:dyDescent="0.3">
      <c r="B1575" s="8">
        <v>144</v>
      </c>
      <c r="C1575" s="1" t="s">
        <v>141</v>
      </c>
      <c r="D1575" s="8">
        <v>2014</v>
      </c>
      <c r="E1575" s="14">
        <f>Data!T1575</f>
        <v>0</v>
      </c>
    </row>
    <row r="1576" spans="2:5" ht="15" customHeight="1" x14ac:dyDescent="0.3">
      <c r="C1576" s="1"/>
      <c r="D1576" s="8">
        <v>2015</v>
      </c>
      <c r="E1576" s="14">
        <f>Data!T1576</f>
        <v>0</v>
      </c>
    </row>
    <row r="1577" spans="2:5" ht="15" customHeight="1" x14ac:dyDescent="0.3">
      <c r="C1577" s="1"/>
      <c r="D1577" s="8">
        <v>2016</v>
      </c>
      <c r="E1577" s="14">
        <f>Data!T1577</f>
        <v>0</v>
      </c>
    </row>
    <row r="1578" spans="2:5" ht="15" customHeight="1" x14ac:dyDescent="0.3">
      <c r="C1578" s="1"/>
      <c r="D1578" s="8">
        <v>2017</v>
      </c>
      <c r="E1578" s="14">
        <f>Data!T1578</f>
        <v>0</v>
      </c>
    </row>
    <row r="1579" spans="2:5" ht="15" customHeight="1" x14ac:dyDescent="0.3">
      <c r="C1579" s="1"/>
      <c r="D1579" s="8">
        <v>2018</v>
      </c>
      <c r="E1579" s="14">
        <f>Data!T1579</f>
        <v>9</v>
      </c>
    </row>
    <row r="1580" spans="2:5" ht="15" customHeight="1" x14ac:dyDescent="0.3">
      <c r="C1580" s="1"/>
      <c r="D1580" s="8">
        <v>2019</v>
      </c>
      <c r="E1580" s="14">
        <f>Data!T1580</f>
        <v>8</v>
      </c>
    </row>
    <row r="1581" spans="2:5" ht="15" customHeight="1" x14ac:dyDescent="0.3">
      <c r="C1581" s="1"/>
      <c r="D1581" s="8">
        <v>2020</v>
      </c>
      <c r="E1581" s="14">
        <f>Data!T1581</f>
        <v>8</v>
      </c>
    </row>
    <row r="1582" spans="2:5" ht="15" customHeight="1" x14ac:dyDescent="0.3">
      <c r="C1582" s="1"/>
      <c r="D1582" s="8">
        <v>2021</v>
      </c>
      <c r="E1582" s="14">
        <f>Data!T1582</f>
        <v>8</v>
      </c>
    </row>
    <row r="1583" spans="2:5" ht="15" customHeight="1" x14ac:dyDescent="0.3">
      <c r="C1583" s="1"/>
      <c r="D1583" s="8">
        <v>2022</v>
      </c>
      <c r="E1583" s="14">
        <f>Data!T1583</f>
        <v>8</v>
      </c>
    </row>
    <row r="1584" spans="2:5" ht="15" customHeight="1" x14ac:dyDescent="0.3">
      <c r="C1584" s="1"/>
      <c r="D1584" s="8">
        <v>2023</v>
      </c>
      <c r="E1584" s="14">
        <f>Data!T1584</f>
        <v>8</v>
      </c>
    </row>
    <row r="1585" spans="1:5" ht="15" customHeight="1" x14ac:dyDescent="0.3">
      <c r="C1585" s="1"/>
      <c r="D1585" s="8">
        <v>2024</v>
      </c>
      <c r="E1585" s="14">
        <f>Data!T1585</f>
        <v>8</v>
      </c>
    </row>
    <row r="1586" spans="1:5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Data!T1586</f>
        <v>0</v>
      </c>
    </row>
    <row r="1587" spans="1:5" ht="15" customHeight="1" x14ac:dyDescent="0.3">
      <c r="C1587" s="4"/>
      <c r="D1587" s="8">
        <v>2015</v>
      </c>
      <c r="E1587" s="14">
        <f>Data!T1587</f>
        <v>8</v>
      </c>
    </row>
    <row r="1588" spans="1:5" ht="15" customHeight="1" x14ac:dyDescent="0.3">
      <c r="C1588" s="4"/>
      <c r="D1588" s="8">
        <v>2016</v>
      </c>
      <c r="E1588" s="14">
        <f>Data!T1588</f>
        <v>8</v>
      </c>
    </row>
    <row r="1589" spans="1:5" ht="15" customHeight="1" x14ac:dyDescent="0.3">
      <c r="C1589" s="4"/>
      <c r="D1589" s="8">
        <v>2017</v>
      </c>
      <c r="E1589" s="14">
        <f>Data!T1589</f>
        <v>8</v>
      </c>
    </row>
    <row r="1590" spans="1:5" ht="15" customHeight="1" x14ac:dyDescent="0.3">
      <c r="C1590" s="4"/>
      <c r="D1590" s="8">
        <v>2018</v>
      </c>
      <c r="E1590" s="14">
        <f>Data!T1590</f>
        <v>0</v>
      </c>
    </row>
    <row r="1591" spans="1:5" ht="15" customHeight="1" x14ac:dyDescent="0.3">
      <c r="C1591" s="4"/>
      <c r="D1591" s="8">
        <v>2019</v>
      </c>
      <c r="E1591" s="14">
        <f>Data!T1591</f>
        <v>0</v>
      </c>
    </row>
    <row r="1592" spans="1:5" ht="15" customHeight="1" x14ac:dyDescent="0.3">
      <c r="C1592" s="4"/>
      <c r="D1592" s="8">
        <v>2020</v>
      </c>
      <c r="E1592" s="14">
        <f>Data!T1592</f>
        <v>0</v>
      </c>
    </row>
    <row r="1593" spans="1:5" ht="15" customHeight="1" x14ac:dyDescent="0.3">
      <c r="C1593" s="4"/>
      <c r="D1593" s="8">
        <v>2021</v>
      </c>
      <c r="E1593" s="14">
        <f>Data!T1593</f>
        <v>0</v>
      </c>
    </row>
    <row r="1594" spans="1:5" ht="15" customHeight="1" x14ac:dyDescent="0.3">
      <c r="C1594" s="4"/>
      <c r="D1594" s="8">
        <v>2022</v>
      </c>
      <c r="E1594" s="14">
        <f>Data!T1594</f>
        <v>0</v>
      </c>
    </row>
    <row r="1595" spans="1:5" ht="15" customHeight="1" x14ac:dyDescent="0.3">
      <c r="C1595" s="4"/>
      <c r="D1595" s="8">
        <v>2023</v>
      </c>
      <c r="E1595" s="14">
        <f>Data!T1595</f>
        <v>0</v>
      </c>
    </row>
    <row r="1596" spans="1:5" ht="15" customHeight="1" x14ac:dyDescent="0.3">
      <c r="C1596" s="4"/>
      <c r="D1596" s="8">
        <v>2024</v>
      </c>
      <c r="E1596" s="14">
        <f>Data!T1596</f>
        <v>0</v>
      </c>
    </row>
    <row r="1597" spans="1:5" ht="15" customHeight="1" x14ac:dyDescent="0.3">
      <c r="B1597" s="8">
        <v>146</v>
      </c>
      <c r="C1597" s="4" t="s">
        <v>146</v>
      </c>
      <c r="D1597" s="8">
        <v>2014</v>
      </c>
      <c r="E1597" s="14">
        <f>Data!T1597</f>
        <v>0</v>
      </c>
    </row>
    <row r="1598" spans="1:5" ht="15" customHeight="1" x14ac:dyDescent="0.3">
      <c r="C1598" s="4"/>
      <c r="D1598" s="8">
        <v>2015</v>
      </c>
      <c r="E1598" s="14">
        <f>Data!T1598</f>
        <v>0</v>
      </c>
    </row>
    <row r="1599" spans="1:5" ht="15" customHeight="1" x14ac:dyDescent="0.3">
      <c r="C1599" s="4"/>
      <c r="D1599" s="8">
        <v>2016</v>
      </c>
      <c r="E1599" s="14">
        <f>Data!T1599</f>
        <v>0</v>
      </c>
    </row>
    <row r="1600" spans="1:5" ht="15" customHeight="1" x14ac:dyDescent="0.3">
      <c r="C1600" s="4"/>
      <c r="D1600" s="8">
        <v>2017</v>
      </c>
      <c r="E1600" s="14">
        <f>Data!T1600</f>
        <v>0</v>
      </c>
    </row>
    <row r="1601" spans="1:5" ht="15" customHeight="1" x14ac:dyDescent="0.3">
      <c r="C1601" s="4"/>
      <c r="D1601" s="8">
        <v>2018</v>
      </c>
      <c r="E1601" s="14">
        <f>Data!T1601</f>
        <v>0</v>
      </c>
    </row>
    <row r="1602" spans="1:5" ht="15" customHeight="1" x14ac:dyDescent="0.3">
      <c r="C1602" s="4"/>
      <c r="D1602" s="8">
        <v>2019</v>
      </c>
      <c r="E1602" s="14">
        <f>Data!T1602</f>
        <v>0</v>
      </c>
    </row>
    <row r="1603" spans="1:5" ht="15" customHeight="1" x14ac:dyDescent="0.3">
      <c r="C1603" s="4"/>
      <c r="D1603" s="8">
        <v>2020</v>
      </c>
      <c r="E1603" s="14">
        <f>Data!T1603</f>
        <v>0</v>
      </c>
    </row>
    <row r="1604" spans="1:5" ht="15" customHeight="1" x14ac:dyDescent="0.3">
      <c r="C1604" s="4"/>
      <c r="D1604" s="8">
        <v>2021</v>
      </c>
      <c r="E1604" s="14">
        <f>Data!T1604</f>
        <v>0</v>
      </c>
    </row>
    <row r="1605" spans="1:5" ht="15" customHeight="1" x14ac:dyDescent="0.3">
      <c r="C1605" s="4"/>
      <c r="D1605" s="8">
        <v>2022</v>
      </c>
      <c r="E1605" s="14">
        <f>Data!T1605</f>
        <v>0</v>
      </c>
    </row>
    <row r="1606" spans="1:5" ht="15" customHeight="1" x14ac:dyDescent="0.3">
      <c r="C1606" s="4"/>
      <c r="D1606" s="8">
        <v>2023</v>
      </c>
      <c r="E1606" s="14">
        <f>Data!T1606</f>
        <v>0</v>
      </c>
    </row>
    <row r="1607" spans="1:5" ht="15" customHeight="1" x14ac:dyDescent="0.3">
      <c r="C1607" s="4"/>
      <c r="D1607" s="8">
        <v>2024</v>
      </c>
      <c r="E1607" s="14">
        <f>Data!T1607</f>
        <v>0</v>
      </c>
    </row>
    <row r="1608" spans="1:5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Data!T1608</f>
        <v>0</v>
      </c>
    </row>
    <row r="1609" spans="1:5" ht="15" customHeight="1" x14ac:dyDescent="0.3">
      <c r="C1609" s="4"/>
      <c r="D1609" s="8">
        <v>2015</v>
      </c>
      <c r="E1609" s="14">
        <f>Data!T1609</f>
        <v>8</v>
      </c>
    </row>
    <row r="1610" spans="1:5" ht="15" customHeight="1" x14ac:dyDescent="0.3">
      <c r="C1610" s="4"/>
      <c r="D1610" s="8">
        <v>2016</v>
      </c>
      <c r="E1610" s="14">
        <f>Data!T1610</f>
        <v>8</v>
      </c>
    </row>
    <row r="1611" spans="1:5" ht="15" customHeight="1" x14ac:dyDescent="0.3">
      <c r="C1611" s="4"/>
      <c r="D1611" s="8">
        <v>2017</v>
      </c>
      <c r="E1611" s="14">
        <f>Data!T1611</f>
        <v>8</v>
      </c>
    </row>
    <row r="1612" spans="1:5" ht="15" customHeight="1" x14ac:dyDescent="0.3">
      <c r="C1612" s="4"/>
      <c r="D1612" s="8">
        <v>2018</v>
      </c>
      <c r="E1612" s="14">
        <f>Data!T1612</f>
        <v>8</v>
      </c>
    </row>
    <row r="1613" spans="1:5" ht="15" customHeight="1" x14ac:dyDescent="0.3">
      <c r="C1613" s="4"/>
      <c r="D1613" s="8">
        <v>2019</v>
      </c>
      <c r="E1613" s="14">
        <f>Data!T1613</f>
        <v>8</v>
      </c>
    </row>
    <row r="1614" spans="1:5" ht="15" customHeight="1" x14ac:dyDescent="0.3">
      <c r="C1614" s="4"/>
      <c r="D1614" s="8">
        <v>2020</v>
      </c>
      <c r="E1614" s="14">
        <f>Data!T1614</f>
        <v>8</v>
      </c>
    </row>
    <row r="1615" spans="1:5" ht="15" customHeight="1" x14ac:dyDescent="0.3">
      <c r="C1615" s="4"/>
      <c r="D1615" s="8">
        <v>2021</v>
      </c>
      <c r="E1615" s="14">
        <f>Data!T1615</f>
        <v>8</v>
      </c>
    </row>
    <row r="1616" spans="1:5" ht="15" customHeight="1" x14ac:dyDescent="0.3">
      <c r="C1616" s="4"/>
      <c r="D1616" s="8">
        <v>2022</v>
      </c>
      <c r="E1616" s="14">
        <f>Data!T1616</f>
        <v>8</v>
      </c>
    </row>
    <row r="1617" spans="2:5" ht="15" customHeight="1" x14ac:dyDescent="0.3">
      <c r="C1617" s="4"/>
      <c r="D1617" s="8">
        <v>2023</v>
      </c>
      <c r="E1617" s="14">
        <f>Data!T1617</f>
        <v>8</v>
      </c>
    </row>
    <row r="1618" spans="2:5" ht="15" customHeight="1" x14ac:dyDescent="0.3">
      <c r="C1618" s="4"/>
      <c r="D1618" s="8">
        <v>2024</v>
      </c>
      <c r="E1618" s="14">
        <f>Data!T1618</f>
        <v>8</v>
      </c>
    </row>
    <row r="1619" spans="2:5" ht="15" customHeight="1" x14ac:dyDescent="0.3">
      <c r="B1619" s="8">
        <v>148</v>
      </c>
      <c r="C1619" s="4" t="s">
        <v>148</v>
      </c>
      <c r="D1619" s="8">
        <v>2014</v>
      </c>
      <c r="E1619" s="14">
        <f>Data!T1619</f>
        <v>0</v>
      </c>
    </row>
    <row r="1620" spans="2:5" ht="15" customHeight="1" x14ac:dyDescent="0.3">
      <c r="C1620" s="5"/>
      <c r="D1620" s="8">
        <v>2015</v>
      </c>
      <c r="E1620" s="14">
        <f>Data!T1620</f>
        <v>7</v>
      </c>
    </row>
    <row r="1621" spans="2:5" ht="15" customHeight="1" x14ac:dyDescent="0.3">
      <c r="C1621" s="5"/>
      <c r="D1621" s="8">
        <v>2016</v>
      </c>
      <c r="E1621" s="14">
        <f>Data!T1621</f>
        <v>7</v>
      </c>
    </row>
    <row r="1622" spans="2:5" ht="15" customHeight="1" x14ac:dyDescent="0.3">
      <c r="C1622" s="5"/>
      <c r="D1622" s="8">
        <v>2017</v>
      </c>
      <c r="E1622" s="14">
        <f>Data!T1622</f>
        <v>7</v>
      </c>
    </row>
    <row r="1623" spans="2:5" ht="15" customHeight="1" x14ac:dyDescent="0.3">
      <c r="C1623" s="5"/>
      <c r="D1623" s="8">
        <v>2018</v>
      </c>
      <c r="E1623" s="14">
        <f>Data!T1623</f>
        <v>7</v>
      </c>
    </row>
    <row r="1624" spans="2:5" ht="15" customHeight="1" x14ac:dyDescent="0.3">
      <c r="C1624" s="5"/>
      <c r="D1624" s="8">
        <v>2019</v>
      </c>
      <c r="E1624" s="14">
        <f>Data!T1624</f>
        <v>7</v>
      </c>
    </row>
    <row r="1625" spans="2:5" ht="15" customHeight="1" x14ac:dyDescent="0.3">
      <c r="C1625" s="5"/>
      <c r="D1625" s="8">
        <v>2020</v>
      </c>
      <c r="E1625" s="14">
        <f>Data!T1625</f>
        <v>7</v>
      </c>
    </row>
    <row r="1626" spans="2:5" ht="15" customHeight="1" x14ac:dyDescent="0.3">
      <c r="C1626" s="5"/>
      <c r="D1626" s="8">
        <v>2021</v>
      </c>
      <c r="E1626" s="14">
        <f>Data!T1626</f>
        <v>7</v>
      </c>
    </row>
    <row r="1627" spans="2:5" ht="15" customHeight="1" x14ac:dyDescent="0.3">
      <c r="C1627" s="5"/>
      <c r="D1627" s="8">
        <v>2022</v>
      </c>
      <c r="E1627" s="14">
        <f>Data!T1627</f>
        <v>7</v>
      </c>
    </row>
    <row r="1628" spans="2:5" ht="15" customHeight="1" x14ac:dyDescent="0.3">
      <c r="C1628" s="5"/>
      <c r="D1628" s="8">
        <v>2023</v>
      </c>
      <c r="E1628" s="14">
        <f>Data!T1628</f>
        <v>7</v>
      </c>
    </row>
    <row r="1629" spans="2:5" ht="15" customHeight="1" x14ac:dyDescent="0.3">
      <c r="C1629" s="5"/>
      <c r="D1629" s="8">
        <v>2024</v>
      </c>
      <c r="E1629" s="14">
        <f>Data!T1629</f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B30A-1F2B-4CCA-BF93-12358324E133}">
  <sheetPr codeName="Sheet14"/>
  <dimension ref="A1:E1629"/>
  <sheetViews>
    <sheetView workbookViewId="0">
      <selection activeCell="E2" sqref="E2:E1629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19" style="14" bestFit="1" customWidth="1"/>
    <col min="6" max="6" width="12.109375" bestFit="1" customWidth="1"/>
    <col min="7" max="7" width="11.5546875" bestFit="1" customWidth="1"/>
    <col min="8" max="8" width="11" bestFit="1" customWidth="1"/>
    <col min="9" max="9" width="28.109375" bestFit="1" customWidth="1"/>
    <col min="10" max="10" width="23.33203125" bestFit="1" customWidth="1"/>
    <col min="11" max="11" width="40.6640625" bestFit="1" customWidth="1"/>
  </cols>
  <sheetData>
    <row r="1" spans="1:5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160</v>
      </c>
    </row>
    <row r="2" spans="1:5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Data!G2</f>
        <v>0</v>
      </c>
    </row>
    <row r="3" spans="1:5" ht="15" customHeight="1" x14ac:dyDescent="0.3">
      <c r="C3" s="3"/>
      <c r="D3" s="8">
        <v>2015</v>
      </c>
      <c r="E3" s="14">
        <f>Data!G3</f>
        <v>0</v>
      </c>
    </row>
    <row r="4" spans="1:5" ht="15" customHeight="1" x14ac:dyDescent="0.3">
      <c r="C4" s="3"/>
      <c r="D4" s="8">
        <v>2016</v>
      </c>
      <c r="E4" s="14">
        <f>Data!G4</f>
        <v>0</v>
      </c>
    </row>
    <row r="5" spans="1:5" ht="15" customHeight="1" x14ac:dyDescent="0.3">
      <c r="C5" s="3"/>
      <c r="D5" s="8">
        <v>2017</v>
      </c>
      <c r="E5" s="14">
        <f>Data!G5</f>
        <v>0</v>
      </c>
    </row>
    <row r="6" spans="1:5" ht="15" customHeight="1" x14ac:dyDescent="0.3">
      <c r="C6" s="3"/>
      <c r="D6" s="8">
        <v>2018</v>
      </c>
      <c r="E6" s="14">
        <f>Data!G6</f>
        <v>0</v>
      </c>
    </row>
    <row r="7" spans="1:5" ht="15" customHeight="1" x14ac:dyDescent="0.3">
      <c r="C7" s="3"/>
      <c r="D7" s="8">
        <v>2019</v>
      </c>
      <c r="E7" s="14">
        <f>Data!G7</f>
        <v>0</v>
      </c>
    </row>
    <row r="8" spans="1:5" ht="15" customHeight="1" x14ac:dyDescent="0.3">
      <c r="C8" s="3"/>
      <c r="D8" s="8">
        <v>2020</v>
      </c>
      <c r="E8" s="14">
        <f>Data!G8</f>
        <v>0</v>
      </c>
    </row>
    <row r="9" spans="1:5" ht="15" customHeight="1" x14ac:dyDescent="0.3">
      <c r="C9" s="3"/>
      <c r="D9" s="8">
        <v>2021</v>
      </c>
      <c r="E9" s="14">
        <f>Data!G9</f>
        <v>0</v>
      </c>
    </row>
    <row r="10" spans="1:5" ht="15" customHeight="1" x14ac:dyDescent="0.3">
      <c r="C10" s="3"/>
      <c r="D10" s="8">
        <v>2022</v>
      </c>
      <c r="E10" s="14">
        <f>Data!G10</f>
        <v>0</v>
      </c>
    </row>
    <row r="11" spans="1:5" ht="15" customHeight="1" x14ac:dyDescent="0.3">
      <c r="C11" s="3"/>
      <c r="D11" s="8">
        <v>2023</v>
      </c>
      <c r="E11" s="14">
        <f>Data!G11</f>
        <v>0</v>
      </c>
    </row>
    <row r="12" spans="1:5" ht="15" customHeight="1" x14ac:dyDescent="0.3">
      <c r="C12" s="3"/>
      <c r="D12" s="8">
        <v>2024</v>
      </c>
      <c r="E12" s="14">
        <f>Data!G12</f>
        <v>0</v>
      </c>
    </row>
    <row r="13" spans="1:5" ht="15" customHeight="1" x14ac:dyDescent="0.3">
      <c r="B13" s="8">
        <v>2</v>
      </c>
      <c r="C13" s="3" t="s">
        <v>2</v>
      </c>
      <c r="D13" s="8">
        <v>2014</v>
      </c>
      <c r="E13" s="14">
        <f>Data!G13</f>
        <v>0</v>
      </c>
    </row>
    <row r="14" spans="1:5" ht="15" customHeight="1" x14ac:dyDescent="0.3">
      <c r="C14" s="3"/>
      <c r="D14" s="8">
        <v>2015</v>
      </c>
      <c r="E14" s="14">
        <f>Data!G14</f>
        <v>31860954000000</v>
      </c>
    </row>
    <row r="15" spans="1:5" ht="15" customHeight="1" x14ac:dyDescent="0.3">
      <c r="C15" s="3"/>
      <c r="D15" s="8">
        <v>2016</v>
      </c>
      <c r="E15" s="14">
        <f>Data!G15</f>
        <v>35767906000000</v>
      </c>
    </row>
    <row r="16" spans="1:5" ht="15" customHeight="1" x14ac:dyDescent="0.3">
      <c r="C16" s="3"/>
      <c r="D16" s="8">
        <v>2017</v>
      </c>
      <c r="E16" s="14">
        <f>Data!G16</f>
        <v>44937292000000</v>
      </c>
    </row>
    <row r="17" spans="2:5" ht="15" customHeight="1" x14ac:dyDescent="0.3">
      <c r="C17" s="3"/>
      <c r="D17" s="8">
        <v>2018</v>
      </c>
      <c r="E17" s="14">
        <f>Data!G17</f>
        <v>46562563000000</v>
      </c>
    </row>
    <row r="18" spans="2:5" ht="15" customHeight="1" x14ac:dyDescent="0.3">
      <c r="C18" s="3"/>
      <c r="D18" s="8">
        <v>2019</v>
      </c>
      <c r="E18" s="14">
        <f>Data!G18</f>
        <v>50043024000000</v>
      </c>
    </row>
    <row r="19" spans="2:5" ht="15" customHeight="1" x14ac:dyDescent="0.3">
      <c r="C19" s="3"/>
      <c r="D19" s="8">
        <v>2020</v>
      </c>
      <c r="E19" s="14">
        <f>Data!G19</f>
        <v>53134780000000</v>
      </c>
    </row>
    <row r="20" spans="2:5" ht="15" customHeight="1" x14ac:dyDescent="0.3">
      <c r="C20" s="3"/>
      <c r="D20" s="8">
        <v>2021</v>
      </c>
      <c r="E20" s="14">
        <f>Data!G20</f>
        <v>52330016000000</v>
      </c>
    </row>
    <row r="21" spans="2:5" ht="15" customHeight="1" x14ac:dyDescent="0.3">
      <c r="C21" s="3"/>
      <c r="D21" s="8">
        <v>2022</v>
      </c>
      <c r="E21" s="14">
        <f>Data!G21</f>
        <v>44912325000000</v>
      </c>
    </row>
    <row r="22" spans="2:5" ht="15" customHeight="1" x14ac:dyDescent="0.3">
      <c r="C22" s="3"/>
      <c r="D22" s="8">
        <v>2023</v>
      </c>
      <c r="E22" s="14">
        <f>Data!G22</f>
        <v>41785302000000</v>
      </c>
    </row>
    <row r="23" spans="2:5" ht="15" customHeight="1" x14ac:dyDescent="0.3">
      <c r="C23" s="3"/>
      <c r="D23" s="8">
        <v>2024</v>
      </c>
      <c r="E23" s="14">
        <f>Data!G23</f>
        <v>39899482000000</v>
      </c>
    </row>
    <row r="24" spans="2:5" ht="15" customHeight="1" x14ac:dyDescent="0.3">
      <c r="B24" s="8">
        <v>3</v>
      </c>
      <c r="C24" s="3" t="s">
        <v>3</v>
      </c>
      <c r="D24" s="8">
        <v>2014</v>
      </c>
      <c r="E24" s="14">
        <f>Data!G24</f>
        <v>0</v>
      </c>
    </row>
    <row r="25" spans="2:5" ht="15" customHeight="1" x14ac:dyDescent="0.3">
      <c r="C25" s="3"/>
      <c r="D25" s="8">
        <v>2015</v>
      </c>
      <c r="E25" s="14">
        <f>Data!G25</f>
        <v>27635118000000</v>
      </c>
    </row>
    <row r="26" spans="2:5" ht="15" customHeight="1" x14ac:dyDescent="0.3">
      <c r="C26" s="3"/>
      <c r="D26" s="8">
        <v>2016</v>
      </c>
      <c r="E26" s="14">
        <f>Data!G26</f>
        <v>30294789000000</v>
      </c>
    </row>
    <row r="27" spans="2:5" ht="15" customHeight="1" x14ac:dyDescent="0.3">
      <c r="C27" s="3"/>
      <c r="D27" s="8">
        <v>2017</v>
      </c>
      <c r="E27" s="14">
        <f>Data!G27</f>
        <v>35751863000000</v>
      </c>
    </row>
    <row r="28" spans="2:5" ht="15" customHeight="1" x14ac:dyDescent="0.3">
      <c r="C28" s="3"/>
      <c r="D28" s="8">
        <v>2018</v>
      </c>
      <c r="E28" s="14">
        <f>Data!G28</f>
        <v>35266933000000</v>
      </c>
    </row>
    <row r="29" spans="2:5" ht="15" customHeight="1" x14ac:dyDescent="0.3">
      <c r="C29" s="3"/>
      <c r="D29" s="8">
        <v>2019</v>
      </c>
      <c r="E29" s="14">
        <f>Data!G29</f>
        <v>38345233000000</v>
      </c>
    </row>
    <row r="30" spans="2:5" ht="15" customHeight="1" x14ac:dyDescent="0.3">
      <c r="C30" s="3"/>
      <c r="D30" s="8">
        <v>2020</v>
      </c>
      <c r="E30" s="14">
        <f>Data!G30</f>
        <v>41166712000000</v>
      </c>
    </row>
    <row r="31" spans="2:5" ht="15" customHeight="1" x14ac:dyDescent="0.3">
      <c r="C31" s="3"/>
      <c r="D31" s="8">
        <v>2021</v>
      </c>
      <c r="E31" s="14">
        <f>Data!G31</f>
        <v>42808931000000</v>
      </c>
    </row>
    <row r="32" spans="2:5" ht="15" customHeight="1" x14ac:dyDescent="0.3">
      <c r="C32" s="3"/>
      <c r="D32" s="8">
        <v>2022</v>
      </c>
      <c r="E32" s="14">
        <f>Data!G32</f>
        <v>41194961000000</v>
      </c>
    </row>
    <row r="33" spans="2:5" ht="15" customHeight="1" x14ac:dyDescent="0.3">
      <c r="C33" s="3"/>
      <c r="D33" s="8">
        <v>2023</v>
      </c>
      <c r="E33" s="14">
        <f>Data!G33</f>
        <v>40147448000000</v>
      </c>
    </row>
    <row r="34" spans="2:5" ht="15" customHeight="1" x14ac:dyDescent="0.3">
      <c r="C34" s="3"/>
      <c r="D34" s="8">
        <v>2024</v>
      </c>
      <c r="E34" s="14">
        <f>Data!G34</f>
        <v>39131978000000</v>
      </c>
    </row>
    <row r="35" spans="2:5" ht="15" customHeight="1" x14ac:dyDescent="0.3">
      <c r="B35" s="8">
        <v>4</v>
      </c>
      <c r="C35" s="4" t="s">
        <v>56</v>
      </c>
      <c r="D35" s="8">
        <v>2014</v>
      </c>
      <c r="E35" s="14">
        <f>Data!G35</f>
        <v>0</v>
      </c>
    </row>
    <row r="36" spans="2:5" ht="15" customHeight="1" x14ac:dyDescent="0.3">
      <c r="C36" s="4"/>
      <c r="D36" s="8">
        <v>2015</v>
      </c>
      <c r="E36" s="14">
        <f>Data!G36</f>
        <v>0</v>
      </c>
    </row>
    <row r="37" spans="2:5" ht="15" customHeight="1" x14ac:dyDescent="0.3">
      <c r="C37" s="4"/>
      <c r="D37" s="8">
        <v>2016</v>
      </c>
      <c r="E37" s="14">
        <f>Data!G37</f>
        <v>0</v>
      </c>
    </row>
    <row r="38" spans="2:5" ht="15" customHeight="1" x14ac:dyDescent="0.3">
      <c r="C38" s="4"/>
      <c r="D38" s="8">
        <v>2017</v>
      </c>
      <c r="E38" s="14">
        <f>Data!G38</f>
        <v>0</v>
      </c>
    </row>
    <row r="39" spans="2:5" ht="15" customHeight="1" x14ac:dyDescent="0.3">
      <c r="C39" s="4"/>
      <c r="D39" s="8">
        <v>2018</v>
      </c>
      <c r="E39" s="14">
        <f>Data!G39</f>
        <v>0</v>
      </c>
    </row>
    <row r="40" spans="2:5" ht="15" customHeight="1" x14ac:dyDescent="0.3">
      <c r="C40" s="4"/>
      <c r="D40" s="8">
        <v>2019</v>
      </c>
      <c r="E40" s="14">
        <f>Data!G40</f>
        <v>0</v>
      </c>
    </row>
    <row r="41" spans="2:5" ht="15" customHeight="1" x14ac:dyDescent="0.3">
      <c r="C41" s="4"/>
      <c r="D41" s="8">
        <v>2020</v>
      </c>
      <c r="E41" s="14">
        <f>Data!G41</f>
        <v>0</v>
      </c>
    </row>
    <row r="42" spans="2:5" ht="15" customHeight="1" x14ac:dyDescent="0.3">
      <c r="C42" s="4"/>
      <c r="D42" s="8">
        <v>2021</v>
      </c>
      <c r="E42" s="14">
        <f>Data!G42</f>
        <v>0</v>
      </c>
    </row>
    <row r="43" spans="2:5" ht="15" customHeight="1" x14ac:dyDescent="0.3">
      <c r="C43" s="4"/>
      <c r="D43" s="8">
        <v>2022</v>
      </c>
      <c r="E43" s="14">
        <f>Data!G43</f>
        <v>4337827000000</v>
      </c>
    </row>
    <row r="44" spans="2:5" ht="15" customHeight="1" x14ac:dyDescent="0.3">
      <c r="C44" s="4"/>
      <c r="D44" s="8">
        <v>2023</v>
      </c>
      <c r="E44" s="14">
        <f>Data!G44</f>
        <v>3620310000000</v>
      </c>
    </row>
    <row r="45" spans="2:5" ht="15" customHeight="1" x14ac:dyDescent="0.3">
      <c r="C45" s="4"/>
      <c r="D45" s="8">
        <v>2024</v>
      </c>
      <c r="E45" s="14">
        <f>Data!G45</f>
        <v>3339322000000</v>
      </c>
    </row>
    <row r="46" spans="2:5" ht="15" customHeight="1" x14ac:dyDescent="0.3">
      <c r="B46" s="8">
        <v>5</v>
      </c>
      <c r="C46" s="3" t="s">
        <v>20</v>
      </c>
      <c r="D46" s="8">
        <v>2014</v>
      </c>
      <c r="E46" s="14">
        <f>Data!G46</f>
        <v>0</v>
      </c>
    </row>
    <row r="47" spans="2:5" ht="15" customHeight="1" x14ac:dyDescent="0.3">
      <c r="C47" s="3"/>
      <c r="D47" s="8">
        <v>2015</v>
      </c>
      <c r="E47" s="14">
        <f>Data!G47</f>
        <v>4933308738000</v>
      </c>
    </row>
    <row r="48" spans="2:5" ht="15" customHeight="1" x14ac:dyDescent="0.3">
      <c r="C48" s="3"/>
      <c r="D48" s="8">
        <v>2016</v>
      </c>
      <c r="E48" s="14">
        <f>Data!G48</f>
        <v>6176329027000</v>
      </c>
    </row>
    <row r="49" spans="2:5" ht="15" customHeight="1" x14ac:dyDescent="0.3">
      <c r="C49" s="3"/>
      <c r="D49" s="8">
        <v>2017</v>
      </c>
      <c r="E49" s="14">
        <f>Data!G49</f>
        <v>8162691116000</v>
      </c>
    </row>
    <row r="50" spans="2:5" ht="15" customHeight="1" x14ac:dyDescent="0.3">
      <c r="C50" s="3"/>
      <c r="D50" s="8">
        <v>2018</v>
      </c>
      <c r="E50" s="14">
        <f>Data!G50</f>
        <v>9356504263000</v>
      </c>
    </row>
    <row r="51" spans="2:5" ht="15" customHeight="1" x14ac:dyDescent="0.3">
      <c r="C51" s="3"/>
      <c r="D51" s="8">
        <v>2019</v>
      </c>
      <c r="E51" s="14">
        <f>Data!G51</f>
        <v>11084971000000</v>
      </c>
    </row>
    <row r="52" spans="2:5" ht="15" customHeight="1" x14ac:dyDescent="0.3">
      <c r="C52" s="3"/>
      <c r="D52" s="8">
        <v>2020</v>
      </c>
      <c r="E52" s="14">
        <f>Data!G52</f>
        <v>13044264000000</v>
      </c>
    </row>
    <row r="53" spans="2:5" ht="15" customHeight="1" x14ac:dyDescent="0.3">
      <c r="C53" s="3"/>
      <c r="D53" s="8">
        <v>2021</v>
      </c>
      <c r="E53" s="14">
        <f>Data!G53</f>
        <v>18260736000000</v>
      </c>
    </row>
    <row r="54" spans="2:5" ht="15" customHeight="1" x14ac:dyDescent="0.3">
      <c r="C54" s="3"/>
      <c r="D54" s="8">
        <v>2022</v>
      </c>
      <c r="E54" s="14">
        <f>Data!G54</f>
        <v>21494817000000</v>
      </c>
    </row>
    <row r="55" spans="2:5" ht="15" customHeight="1" x14ac:dyDescent="0.3">
      <c r="C55" s="3"/>
      <c r="D55" s="8">
        <v>2023</v>
      </c>
      <c r="E55" s="14">
        <f>Data!G55</f>
        <v>23552167000000</v>
      </c>
    </row>
    <row r="56" spans="2:5" ht="15" customHeight="1" x14ac:dyDescent="0.3">
      <c r="C56" s="3"/>
      <c r="D56" s="8">
        <v>2024</v>
      </c>
      <c r="E56" s="14">
        <f>Data!G56</f>
        <v>0</v>
      </c>
    </row>
    <row r="57" spans="2:5" ht="15" customHeight="1" x14ac:dyDescent="0.3">
      <c r="B57" s="8">
        <v>6</v>
      </c>
      <c r="C57" s="3" t="s">
        <v>21</v>
      </c>
      <c r="D57" s="8">
        <v>2014</v>
      </c>
      <c r="E57" s="14">
        <f>Data!G57</f>
        <v>0</v>
      </c>
    </row>
    <row r="58" spans="2:5" ht="15" customHeight="1" x14ac:dyDescent="0.3">
      <c r="C58" s="3"/>
      <c r="D58" s="8">
        <v>2015</v>
      </c>
      <c r="E58" s="14">
        <f>Data!G58</f>
        <v>0</v>
      </c>
    </row>
    <row r="59" spans="2:5" ht="15" customHeight="1" x14ac:dyDescent="0.3">
      <c r="C59" s="3"/>
      <c r="D59" s="8">
        <v>2016</v>
      </c>
      <c r="E59" s="14">
        <f>Data!G59</f>
        <v>98507000000</v>
      </c>
    </row>
    <row r="60" spans="2:5" ht="15" customHeight="1" x14ac:dyDescent="0.3">
      <c r="C60" s="3"/>
      <c r="D60" s="8">
        <v>2017</v>
      </c>
      <c r="E60" s="14">
        <f>Data!G60</f>
        <v>116479000000</v>
      </c>
    </row>
    <row r="61" spans="2:5" ht="15" customHeight="1" x14ac:dyDescent="0.3">
      <c r="C61" s="3"/>
      <c r="D61" s="8">
        <v>2018</v>
      </c>
      <c r="E61" s="14">
        <f>Data!G61</f>
        <v>152680000000</v>
      </c>
    </row>
    <row r="62" spans="2:5" ht="15" customHeight="1" x14ac:dyDescent="0.3">
      <c r="C62" s="3"/>
      <c r="D62" s="8">
        <v>2019</v>
      </c>
      <c r="E62" s="14">
        <f>Data!G62</f>
        <v>214472000000</v>
      </c>
    </row>
    <row r="63" spans="2:5" ht="15" customHeight="1" x14ac:dyDescent="0.3">
      <c r="C63" s="3"/>
      <c r="D63" s="8">
        <v>2020</v>
      </c>
      <c r="E63" s="14">
        <f>Data!G63</f>
        <v>278255000000</v>
      </c>
    </row>
    <row r="64" spans="2:5" ht="15" customHeight="1" x14ac:dyDescent="0.3">
      <c r="C64" s="3"/>
      <c r="D64" s="8">
        <v>2021</v>
      </c>
      <c r="E64" s="14">
        <f>Data!G64</f>
        <v>384372000000</v>
      </c>
    </row>
    <row r="65" spans="2:5" ht="15" customHeight="1" x14ac:dyDescent="0.3">
      <c r="C65" s="3"/>
      <c r="D65" s="8">
        <v>2022</v>
      </c>
      <c r="E65" s="14">
        <f>Data!G65</f>
        <v>517439000000</v>
      </c>
    </row>
    <row r="66" spans="2:5" ht="15" customHeight="1" x14ac:dyDescent="0.3">
      <c r="C66" s="3"/>
      <c r="D66" s="8">
        <v>2023</v>
      </c>
      <c r="E66" s="14">
        <f>Data!G66</f>
        <v>714057000000</v>
      </c>
    </row>
    <row r="67" spans="2:5" ht="15" customHeight="1" x14ac:dyDescent="0.3">
      <c r="C67" s="3"/>
      <c r="D67" s="8">
        <v>2024</v>
      </c>
      <c r="E67" s="14">
        <f>Data!G67</f>
        <v>997332000000</v>
      </c>
    </row>
    <row r="68" spans="2:5" ht="15" customHeight="1" x14ac:dyDescent="0.3">
      <c r="B68" s="8">
        <v>7</v>
      </c>
      <c r="C68" s="3" t="s">
        <v>19</v>
      </c>
      <c r="D68" s="8">
        <v>2014</v>
      </c>
      <c r="E68" s="14">
        <f>Data!G68</f>
        <v>0</v>
      </c>
    </row>
    <row r="69" spans="2:5" ht="15" customHeight="1" x14ac:dyDescent="0.3">
      <c r="C69" s="3"/>
      <c r="D69" s="8">
        <v>2015</v>
      </c>
      <c r="E69" s="14">
        <f>Data!G69</f>
        <v>1899837000000</v>
      </c>
    </row>
    <row r="70" spans="2:5" ht="15" customHeight="1" x14ac:dyDescent="0.3">
      <c r="C70" s="3"/>
      <c r="D70" s="8">
        <v>2016</v>
      </c>
      <c r="E70" s="14">
        <f>Data!G70</f>
        <v>3802688000000</v>
      </c>
    </row>
    <row r="71" spans="2:5" ht="15" customHeight="1" x14ac:dyDescent="0.3">
      <c r="C71" s="3"/>
      <c r="D71" s="8">
        <v>2017</v>
      </c>
      <c r="E71" s="14">
        <f>Data!G71</f>
        <v>4315435000000</v>
      </c>
    </row>
    <row r="72" spans="2:5" ht="15" customHeight="1" x14ac:dyDescent="0.3">
      <c r="C72" s="3"/>
      <c r="D72" s="8">
        <v>2018</v>
      </c>
      <c r="E72" s="14">
        <f>Data!G72</f>
        <v>5004717000000</v>
      </c>
    </row>
    <row r="73" spans="2:5" ht="15" customHeight="1" x14ac:dyDescent="0.3">
      <c r="C73" s="3"/>
      <c r="D73" s="8">
        <v>2019</v>
      </c>
      <c r="E73" s="14">
        <f>Data!G73</f>
        <v>5901298000000</v>
      </c>
    </row>
    <row r="74" spans="2:5" ht="15" customHeight="1" x14ac:dyDescent="0.3">
      <c r="C74" s="3"/>
      <c r="D74" s="8">
        <v>2020</v>
      </c>
      <c r="E74" s="14">
        <f>Data!G74</f>
        <v>6587066000000</v>
      </c>
    </row>
    <row r="75" spans="2:5" ht="15" customHeight="1" x14ac:dyDescent="0.3">
      <c r="C75" s="3"/>
      <c r="D75" s="8">
        <v>2021</v>
      </c>
      <c r="E75" s="14">
        <f>Data!G75</f>
        <v>7092935000000</v>
      </c>
    </row>
    <row r="76" spans="2:5" ht="15" customHeight="1" x14ac:dyDescent="0.3">
      <c r="C76" s="3"/>
      <c r="D76" s="8">
        <v>2022</v>
      </c>
      <c r="E76" s="14">
        <f>Data!G76</f>
        <v>7345755000000</v>
      </c>
    </row>
    <row r="77" spans="2:5" ht="15" customHeight="1" x14ac:dyDescent="0.3">
      <c r="C77" s="3"/>
      <c r="D77" s="8">
        <v>2023</v>
      </c>
      <c r="E77" s="14">
        <f>Data!G77</f>
        <v>7501061000000</v>
      </c>
    </row>
    <row r="78" spans="2:5" ht="15" customHeight="1" x14ac:dyDescent="0.3">
      <c r="C78" s="3"/>
      <c r="D78" s="8">
        <v>2024</v>
      </c>
      <c r="E78" s="14">
        <f>Data!G78</f>
        <v>6806055000000</v>
      </c>
    </row>
    <row r="79" spans="2:5" ht="15" customHeight="1" x14ac:dyDescent="0.3">
      <c r="B79" s="8">
        <v>8</v>
      </c>
      <c r="C79" s="3" t="s">
        <v>8</v>
      </c>
      <c r="D79" s="8">
        <v>2014</v>
      </c>
      <c r="E79" s="14">
        <f>Data!G79</f>
        <v>0</v>
      </c>
    </row>
    <row r="80" spans="2:5" ht="15" customHeight="1" x14ac:dyDescent="0.3">
      <c r="C80" s="3"/>
      <c r="D80" s="8">
        <v>2015</v>
      </c>
      <c r="E80" s="14">
        <f>Data!G80</f>
        <v>281282000000</v>
      </c>
    </row>
    <row r="81" spans="2:5" ht="15" customHeight="1" x14ac:dyDescent="0.3">
      <c r="C81" s="3"/>
      <c r="D81" s="8">
        <v>2016</v>
      </c>
      <c r="E81" s="14">
        <f>Data!G81</f>
        <v>385447000000</v>
      </c>
    </row>
    <row r="82" spans="2:5" ht="15" customHeight="1" x14ac:dyDescent="0.3">
      <c r="C82" s="3"/>
      <c r="D82" s="8">
        <v>2017</v>
      </c>
      <c r="E82" s="14">
        <f>Data!G82</f>
        <v>842122000000</v>
      </c>
    </row>
    <row r="83" spans="2:5" ht="15" customHeight="1" x14ac:dyDescent="0.3">
      <c r="C83" s="3"/>
      <c r="D83" s="8">
        <v>2018</v>
      </c>
      <c r="E83" s="14">
        <f>Data!G83</f>
        <v>902876000000</v>
      </c>
    </row>
    <row r="84" spans="2:5" ht="15" customHeight="1" x14ac:dyDescent="0.3">
      <c r="C84" s="3"/>
      <c r="D84" s="8">
        <v>2019</v>
      </c>
      <c r="E84" s="14">
        <f>Data!G84</f>
        <v>1154689000000</v>
      </c>
    </row>
    <row r="85" spans="2:5" ht="15" customHeight="1" x14ac:dyDescent="0.3">
      <c r="C85" s="3"/>
      <c r="D85" s="8">
        <v>2020</v>
      </c>
      <c r="E85" s="14">
        <f>Data!G85</f>
        <v>1467896000000</v>
      </c>
    </row>
    <row r="86" spans="2:5" ht="15" customHeight="1" x14ac:dyDescent="0.3">
      <c r="C86" s="3"/>
      <c r="D86" s="8">
        <v>2021</v>
      </c>
      <c r="E86" s="14">
        <f>Data!G86</f>
        <v>1930213000000</v>
      </c>
    </row>
    <row r="87" spans="2:5" ht="15" customHeight="1" x14ac:dyDescent="0.3">
      <c r="C87" s="3"/>
      <c r="D87" s="8">
        <v>2022</v>
      </c>
      <c r="E87" s="14">
        <f>Data!G87</f>
        <v>2347921000000</v>
      </c>
    </row>
    <row r="88" spans="2:5" ht="15" customHeight="1" x14ac:dyDescent="0.3">
      <c r="C88" s="3"/>
      <c r="D88" s="8">
        <v>2023</v>
      </c>
      <c r="E88" s="14">
        <f>Data!G88</f>
        <v>2878724000000</v>
      </c>
    </row>
    <row r="89" spans="2:5" ht="15" customHeight="1" x14ac:dyDescent="0.3">
      <c r="C89" s="3"/>
      <c r="D89" s="8">
        <v>2024</v>
      </c>
      <c r="E89" s="14">
        <f>Data!G89</f>
        <v>3339666000000</v>
      </c>
    </row>
    <row r="90" spans="2:5" ht="15" customHeight="1" x14ac:dyDescent="0.3">
      <c r="B90" s="8">
        <v>9</v>
      </c>
      <c r="C90" s="3" t="s">
        <v>11</v>
      </c>
      <c r="D90" s="8">
        <v>2014</v>
      </c>
      <c r="E90" s="14">
        <f>Data!G90</f>
        <v>0</v>
      </c>
    </row>
    <row r="91" spans="2:5" ht="15" customHeight="1" x14ac:dyDescent="0.3">
      <c r="C91" s="3"/>
      <c r="D91" s="8">
        <v>2015</v>
      </c>
      <c r="E91" s="14">
        <f>Data!G91</f>
        <v>4598462000000</v>
      </c>
    </row>
    <row r="92" spans="2:5" ht="15" customHeight="1" x14ac:dyDescent="0.3">
      <c r="C92" s="3"/>
      <c r="D92" s="8">
        <v>2016</v>
      </c>
      <c r="E92" s="14">
        <f>Data!G92</f>
        <v>5298273000000</v>
      </c>
    </row>
    <row r="93" spans="2:5" ht="15" customHeight="1" x14ac:dyDescent="0.3">
      <c r="C93" s="3"/>
      <c r="D93" s="8">
        <v>2017</v>
      </c>
      <c r="E93" s="14">
        <f>Data!G93</f>
        <v>5618666000000</v>
      </c>
    </row>
    <row r="94" spans="2:5" ht="15" customHeight="1" x14ac:dyDescent="0.3">
      <c r="C94" s="3"/>
      <c r="D94" s="8">
        <v>2018</v>
      </c>
      <c r="E94" s="14">
        <f>Data!G94</f>
        <v>6696353000000</v>
      </c>
    </row>
    <row r="95" spans="2:5" ht="15" customHeight="1" x14ac:dyDescent="0.3">
      <c r="C95" s="3"/>
      <c r="D95" s="8">
        <v>2019</v>
      </c>
      <c r="E95" s="14">
        <f>Data!G95</f>
        <v>8158087000000</v>
      </c>
    </row>
    <row r="96" spans="2:5" ht="15" customHeight="1" x14ac:dyDescent="0.3">
      <c r="C96" s="3"/>
      <c r="D96" s="8">
        <v>2020</v>
      </c>
      <c r="E96" s="14">
        <f>Data!G96</f>
        <v>8569933000000</v>
      </c>
    </row>
    <row r="97" spans="2:5" ht="15" customHeight="1" x14ac:dyDescent="0.3">
      <c r="C97" s="3"/>
      <c r="D97" s="8">
        <v>2021</v>
      </c>
      <c r="E97" s="14">
        <f>Data!G97</f>
        <v>10111397000000</v>
      </c>
    </row>
    <row r="98" spans="2:5" ht="15" customHeight="1" x14ac:dyDescent="0.3">
      <c r="C98" s="3"/>
      <c r="D98" s="8">
        <v>2022</v>
      </c>
      <c r="E98" s="14">
        <f>Data!G98</f>
        <v>10357588000000</v>
      </c>
    </row>
    <row r="99" spans="2:5" ht="15" customHeight="1" x14ac:dyDescent="0.3">
      <c r="C99" s="3"/>
      <c r="D99" s="8">
        <v>2023</v>
      </c>
      <c r="E99" s="14">
        <f>Data!G99</f>
        <v>11033985000000</v>
      </c>
    </row>
    <row r="100" spans="2:5" ht="15" customHeight="1" x14ac:dyDescent="0.3">
      <c r="C100" s="3"/>
      <c r="D100" s="8">
        <v>2024</v>
      </c>
      <c r="E100" s="14">
        <f>Data!G100</f>
        <v>11181540000000</v>
      </c>
    </row>
    <row r="101" spans="2:5" ht="15" customHeight="1" x14ac:dyDescent="0.3">
      <c r="B101" s="8">
        <v>10</v>
      </c>
      <c r="C101" s="3" t="s">
        <v>13</v>
      </c>
      <c r="D101" s="8">
        <v>2014</v>
      </c>
      <c r="E101" s="14">
        <f>Data!G101</f>
        <v>0</v>
      </c>
    </row>
    <row r="102" spans="2:5" ht="15" customHeight="1" x14ac:dyDescent="0.3">
      <c r="C102" s="3"/>
      <c r="D102" s="8">
        <v>2015</v>
      </c>
      <c r="E102" s="14">
        <f>Data!G102</f>
        <v>4276820000000</v>
      </c>
    </row>
    <row r="103" spans="2:5" ht="15" customHeight="1" x14ac:dyDescent="0.3">
      <c r="C103" s="3"/>
      <c r="D103" s="8">
        <v>2016</v>
      </c>
      <c r="E103" s="14">
        <f>Data!G103</f>
        <v>5419377000000</v>
      </c>
    </row>
    <row r="104" spans="2:5" ht="15" customHeight="1" x14ac:dyDescent="0.3">
      <c r="C104" s="3"/>
      <c r="D104" s="8">
        <v>2017</v>
      </c>
      <c r="E104" s="14">
        <f>Data!G104</f>
        <v>6841389000000</v>
      </c>
    </row>
    <row r="105" spans="2:5" ht="15" customHeight="1" x14ac:dyDescent="0.3">
      <c r="C105" s="3"/>
      <c r="D105" s="8">
        <v>2018</v>
      </c>
      <c r="E105" s="14">
        <f>Data!G105</f>
        <v>6994875000000</v>
      </c>
    </row>
    <row r="106" spans="2:5" ht="15" customHeight="1" x14ac:dyDescent="0.3">
      <c r="C106" s="3"/>
      <c r="D106" s="8">
        <v>2019</v>
      </c>
      <c r="E106" s="14">
        <f>Data!G106</f>
        <v>7060254000000</v>
      </c>
    </row>
    <row r="107" spans="2:5" ht="15" customHeight="1" x14ac:dyDescent="0.3">
      <c r="C107" s="3"/>
      <c r="D107" s="8">
        <v>2020</v>
      </c>
      <c r="E107" s="14">
        <f>Data!G107</f>
        <v>7356577000000</v>
      </c>
    </row>
    <row r="108" spans="2:5" ht="15" customHeight="1" x14ac:dyDescent="0.3">
      <c r="C108" s="3"/>
      <c r="D108" s="8">
        <v>2021</v>
      </c>
      <c r="E108" s="14">
        <f>Data!G108</f>
        <v>7322006000000</v>
      </c>
    </row>
    <row r="109" spans="2:5" ht="15" customHeight="1" x14ac:dyDescent="0.3">
      <c r="C109" s="3"/>
      <c r="D109" s="8">
        <v>2022</v>
      </c>
      <c r="E109" s="14">
        <f>Data!G109</f>
        <v>6140160000000</v>
      </c>
    </row>
    <row r="110" spans="2:5" ht="15" customHeight="1" x14ac:dyDescent="0.3">
      <c r="C110" s="3"/>
      <c r="D110" s="8">
        <v>2023</v>
      </c>
      <c r="E110" s="14">
        <f>Data!G110</f>
        <v>6183771000000</v>
      </c>
    </row>
    <row r="111" spans="2:5" ht="15" customHeight="1" x14ac:dyDescent="0.3">
      <c r="C111" s="3"/>
      <c r="D111" s="8">
        <v>2024</v>
      </c>
      <c r="E111" s="14">
        <f>Data!G111</f>
        <v>5946070000000</v>
      </c>
    </row>
    <row r="112" spans="2:5" ht="15" customHeight="1" x14ac:dyDescent="0.3">
      <c r="B112" s="8">
        <v>11</v>
      </c>
      <c r="C112" s="3" t="s">
        <v>23</v>
      </c>
      <c r="D112" s="8">
        <v>2014</v>
      </c>
      <c r="E112" s="14">
        <f>Data!G112</f>
        <v>0</v>
      </c>
    </row>
    <row r="113" spans="2:5" ht="15" customHeight="1" x14ac:dyDescent="0.3">
      <c r="C113" s="3"/>
      <c r="D113" s="8">
        <v>2015</v>
      </c>
      <c r="E113" s="14">
        <f>Data!G113</f>
        <v>0</v>
      </c>
    </row>
    <row r="114" spans="2:5" ht="15" customHeight="1" x14ac:dyDescent="0.3">
      <c r="C114" s="3"/>
      <c r="D114" s="8">
        <v>2016</v>
      </c>
      <c r="E114" s="14">
        <f>Data!G114</f>
        <v>0</v>
      </c>
    </row>
    <row r="115" spans="2:5" ht="15" customHeight="1" x14ac:dyDescent="0.3">
      <c r="C115" s="3"/>
      <c r="D115" s="8">
        <v>2017</v>
      </c>
      <c r="E115" s="14">
        <f>Data!G115</f>
        <v>0</v>
      </c>
    </row>
    <row r="116" spans="2:5" ht="15" customHeight="1" x14ac:dyDescent="0.3">
      <c r="C116" s="3"/>
      <c r="D116" s="8">
        <v>2018</v>
      </c>
      <c r="E116" s="14">
        <f>Data!G116</f>
        <v>0</v>
      </c>
    </row>
    <row r="117" spans="2:5" ht="15" customHeight="1" x14ac:dyDescent="0.3">
      <c r="C117" s="3"/>
      <c r="D117" s="8">
        <v>2019</v>
      </c>
      <c r="E117" s="14">
        <f>Data!G117</f>
        <v>0</v>
      </c>
    </row>
    <row r="118" spans="2:5" ht="15" customHeight="1" x14ac:dyDescent="0.3">
      <c r="C118" s="3"/>
      <c r="D118" s="8">
        <v>2020</v>
      </c>
      <c r="E118" s="14">
        <f>Data!G118</f>
        <v>153511000000</v>
      </c>
    </row>
    <row r="119" spans="2:5" ht="15" customHeight="1" x14ac:dyDescent="0.3">
      <c r="C119" s="3"/>
      <c r="D119" s="8">
        <v>2021</v>
      </c>
      <c r="E119" s="14">
        <f>Data!G119</f>
        <v>21046070000000</v>
      </c>
    </row>
    <row r="120" spans="2:5" ht="15" customHeight="1" x14ac:dyDescent="0.3">
      <c r="C120" s="3"/>
      <c r="D120" s="8">
        <v>2022</v>
      </c>
      <c r="E120" s="14">
        <f>Data!G120</f>
        <v>30095971000000</v>
      </c>
    </row>
    <row r="121" spans="2:5" ht="15" customHeight="1" x14ac:dyDescent="0.3">
      <c r="C121" s="3"/>
      <c r="D121" s="8">
        <v>2023</v>
      </c>
      <c r="E121" s="14">
        <f>Data!G121</f>
        <v>33088034000000</v>
      </c>
    </row>
    <row r="122" spans="2:5" ht="15" customHeight="1" x14ac:dyDescent="0.3">
      <c r="C122" s="3"/>
      <c r="D122" s="8">
        <v>2024</v>
      </c>
      <c r="E122" s="14">
        <f>Data!G122</f>
        <v>34967966000000</v>
      </c>
    </row>
    <row r="123" spans="2:5" ht="15" customHeight="1" x14ac:dyDescent="0.3">
      <c r="B123" s="8">
        <v>12</v>
      </c>
      <c r="C123" s="3" t="s">
        <v>24</v>
      </c>
      <c r="D123" s="8">
        <v>2014</v>
      </c>
      <c r="E123" s="14">
        <f>Data!G123</f>
        <v>0</v>
      </c>
    </row>
    <row r="124" spans="2:5" ht="15" customHeight="1" x14ac:dyDescent="0.3">
      <c r="C124" s="3"/>
      <c r="D124" s="8">
        <v>2015</v>
      </c>
      <c r="E124" s="14">
        <f>Data!G124</f>
        <v>1841695394740</v>
      </c>
    </row>
    <row r="125" spans="2:5" ht="15" customHeight="1" x14ac:dyDescent="0.3">
      <c r="C125" s="3"/>
      <c r="D125" s="8">
        <v>2016</v>
      </c>
      <c r="E125" s="14">
        <f>Data!G125</f>
        <v>2128604012037</v>
      </c>
    </row>
    <row r="126" spans="2:5" ht="15" customHeight="1" x14ac:dyDescent="0.3">
      <c r="C126" s="3"/>
      <c r="D126" s="8">
        <v>2017</v>
      </c>
      <c r="E126" s="14">
        <f>Data!G126</f>
        <v>2224965279992</v>
      </c>
    </row>
    <row r="127" spans="2:5" ht="15" customHeight="1" x14ac:dyDescent="0.3">
      <c r="C127" s="3"/>
      <c r="D127" s="8">
        <v>2018</v>
      </c>
      <c r="E127" s="14">
        <f>Data!G127</f>
        <v>2146354535548</v>
      </c>
    </row>
    <row r="128" spans="2:5" ht="15" customHeight="1" x14ac:dyDescent="0.3">
      <c r="C128" s="3"/>
      <c r="D128" s="8">
        <v>2019</v>
      </c>
      <c r="E128" s="14">
        <f>Data!G128</f>
        <v>2200245923342</v>
      </c>
    </row>
    <row r="129" spans="2:5" ht="15" customHeight="1" x14ac:dyDescent="0.3">
      <c r="C129" s="3"/>
      <c r="D129" s="8">
        <v>2020</v>
      </c>
      <c r="E129" s="14">
        <f>Data!G129</f>
        <v>2254736989884</v>
      </c>
    </row>
    <row r="130" spans="2:5" ht="15" customHeight="1" x14ac:dyDescent="0.3">
      <c r="C130" s="3"/>
      <c r="D130" s="8">
        <v>2021</v>
      </c>
      <c r="E130" s="14">
        <f>Data!G130</f>
        <v>2524302538621</v>
      </c>
    </row>
    <row r="131" spans="2:5" ht="15" customHeight="1" x14ac:dyDescent="0.3">
      <c r="C131" s="3"/>
      <c r="D131" s="8">
        <v>2022</v>
      </c>
      <c r="E131" s="14">
        <f>Data!G131</f>
        <v>2668916537113</v>
      </c>
    </row>
    <row r="132" spans="2:5" ht="15" customHeight="1" x14ac:dyDescent="0.3">
      <c r="C132" s="3"/>
      <c r="D132" s="8">
        <v>2023</v>
      </c>
      <c r="E132" s="14">
        <f>Data!G132</f>
        <v>2823141641461</v>
      </c>
    </row>
    <row r="133" spans="2:5" ht="15" customHeight="1" x14ac:dyDescent="0.3">
      <c r="C133" s="3"/>
      <c r="D133" s="8">
        <v>2024</v>
      </c>
      <c r="E133" s="14">
        <f>Data!G133</f>
        <v>3609299613555</v>
      </c>
    </row>
    <row r="134" spans="2:5" ht="15" customHeight="1" x14ac:dyDescent="0.3">
      <c r="B134" s="8">
        <v>13</v>
      </c>
      <c r="C134" s="3" t="s">
        <v>18</v>
      </c>
      <c r="D134" s="8">
        <v>2014</v>
      </c>
      <c r="E134" s="14">
        <f>Data!G134</f>
        <v>0</v>
      </c>
    </row>
    <row r="135" spans="2:5" ht="15" customHeight="1" x14ac:dyDescent="0.3">
      <c r="C135" s="3"/>
      <c r="D135" s="8">
        <v>2015</v>
      </c>
      <c r="E135" s="14">
        <f>Data!G135</f>
        <v>36751228000000</v>
      </c>
    </row>
    <row r="136" spans="2:5" ht="15" customHeight="1" x14ac:dyDescent="0.3">
      <c r="C136" s="3"/>
      <c r="D136" s="8">
        <v>2016</v>
      </c>
      <c r="E136" s="14">
        <f>Data!G136</f>
        <v>39719030000000</v>
      </c>
    </row>
    <row r="137" spans="2:5" ht="15" customHeight="1" x14ac:dyDescent="0.3">
      <c r="C137" s="3"/>
      <c r="D137" s="8">
        <v>2017</v>
      </c>
      <c r="E137" s="14">
        <f>Data!G137</f>
        <v>45637074000000</v>
      </c>
    </row>
    <row r="138" spans="2:5" ht="15" customHeight="1" x14ac:dyDescent="0.3">
      <c r="C138" s="3"/>
      <c r="D138" s="8">
        <v>2018</v>
      </c>
      <c r="E138" s="14">
        <f>Data!G138</f>
        <v>45704853000000</v>
      </c>
    </row>
    <row r="139" spans="2:5" ht="15" customHeight="1" x14ac:dyDescent="0.3">
      <c r="C139" s="3"/>
      <c r="D139" s="8">
        <v>2019</v>
      </c>
      <c r="E139" s="14">
        <f>Data!G139</f>
        <v>51009132000000</v>
      </c>
    </row>
    <row r="140" spans="2:5" ht="15" customHeight="1" x14ac:dyDescent="0.3">
      <c r="C140" s="3"/>
      <c r="D140" s="8">
        <v>2020</v>
      </c>
      <c r="E140" s="14">
        <f>Data!G140</f>
        <v>57279397000000</v>
      </c>
    </row>
    <row r="141" spans="2:5" ht="15" customHeight="1" x14ac:dyDescent="0.3">
      <c r="C141" s="3"/>
      <c r="D141" s="8">
        <v>2021</v>
      </c>
      <c r="E141" s="14">
        <f>Data!G141</f>
        <v>59794320000000</v>
      </c>
    </row>
    <row r="142" spans="2:5" ht="15" customHeight="1" x14ac:dyDescent="0.3">
      <c r="C142" s="3"/>
      <c r="D142" s="8">
        <v>2022</v>
      </c>
      <c r="E142" s="14">
        <f>Data!G142</f>
        <v>59078951000000</v>
      </c>
    </row>
    <row r="143" spans="2:5" ht="15" customHeight="1" x14ac:dyDescent="0.3">
      <c r="C143" s="3"/>
      <c r="D143" s="8">
        <v>2023</v>
      </c>
      <c r="E143" s="14">
        <f>Data!G143</f>
        <v>62274577000000</v>
      </c>
    </row>
    <row r="144" spans="2:5" ht="15" customHeight="1" x14ac:dyDescent="0.3">
      <c r="C144" s="3"/>
      <c r="D144" s="8">
        <v>2024</v>
      </c>
      <c r="E144" s="14">
        <f>Data!G144</f>
        <v>61973362000000</v>
      </c>
    </row>
    <row r="145" spans="2:5" ht="15" customHeight="1" x14ac:dyDescent="0.3">
      <c r="B145" s="8">
        <v>14</v>
      </c>
      <c r="C145" s="4" t="s">
        <v>57</v>
      </c>
      <c r="D145" s="8">
        <v>2014</v>
      </c>
      <c r="E145" s="14">
        <f>Data!G145</f>
        <v>0</v>
      </c>
    </row>
    <row r="146" spans="2:5" ht="15" customHeight="1" x14ac:dyDescent="0.3">
      <c r="C146" s="4"/>
      <c r="D146" s="8">
        <v>2015</v>
      </c>
      <c r="E146" s="14">
        <f>Data!G146</f>
        <v>0</v>
      </c>
    </row>
    <row r="147" spans="2:5" ht="15" customHeight="1" x14ac:dyDescent="0.3">
      <c r="C147" s="4"/>
      <c r="D147" s="8">
        <v>2016</v>
      </c>
      <c r="E147" s="14">
        <f>Data!G147</f>
        <v>0</v>
      </c>
    </row>
    <row r="148" spans="2:5" ht="15" customHeight="1" x14ac:dyDescent="0.3">
      <c r="C148" s="4"/>
      <c r="D148" s="8">
        <v>2017</v>
      </c>
      <c r="E148" s="14">
        <f>Data!G148</f>
        <v>0</v>
      </c>
    </row>
    <row r="149" spans="2:5" ht="15" customHeight="1" x14ac:dyDescent="0.3">
      <c r="C149" s="4"/>
      <c r="D149" s="8">
        <v>2018</v>
      </c>
      <c r="E149" s="14">
        <f>Data!G149</f>
        <v>0</v>
      </c>
    </row>
    <row r="150" spans="2:5" ht="15" customHeight="1" x14ac:dyDescent="0.3">
      <c r="C150" s="4"/>
      <c r="D150" s="8">
        <v>2019</v>
      </c>
      <c r="E150" s="14">
        <f>Data!G150</f>
        <v>0</v>
      </c>
    </row>
    <row r="151" spans="2:5" ht="15" customHeight="1" x14ac:dyDescent="0.3">
      <c r="C151" s="4"/>
      <c r="D151" s="8">
        <v>2020</v>
      </c>
      <c r="E151" s="14">
        <f>Data!G151</f>
        <v>0</v>
      </c>
    </row>
    <row r="152" spans="2:5" ht="15" customHeight="1" x14ac:dyDescent="0.3">
      <c r="C152" s="4"/>
      <c r="D152" s="8">
        <v>2021</v>
      </c>
      <c r="E152" s="14">
        <f>Data!G152</f>
        <v>0</v>
      </c>
    </row>
    <row r="153" spans="2:5" ht="15" customHeight="1" x14ac:dyDescent="0.3">
      <c r="C153" s="4"/>
      <c r="D153" s="8">
        <v>2022</v>
      </c>
      <c r="E153" s="14">
        <f>Data!G153</f>
        <v>0</v>
      </c>
    </row>
    <row r="154" spans="2:5" ht="15" customHeight="1" x14ac:dyDescent="0.3">
      <c r="C154" s="4"/>
      <c r="D154" s="8">
        <v>2023</v>
      </c>
      <c r="E154" s="14">
        <f>Data!G154</f>
        <v>0</v>
      </c>
    </row>
    <row r="155" spans="2:5" ht="15" customHeight="1" x14ac:dyDescent="0.3">
      <c r="C155" s="4"/>
      <c r="D155" s="8">
        <v>2024</v>
      </c>
      <c r="E155" s="14">
        <f>Data!G155</f>
        <v>1272836000000</v>
      </c>
    </row>
    <row r="156" spans="2:5" ht="15" customHeight="1" x14ac:dyDescent="0.3">
      <c r="B156" s="8">
        <v>15</v>
      </c>
      <c r="C156" s="3" t="s">
        <v>25</v>
      </c>
      <c r="D156" s="8">
        <v>2014</v>
      </c>
      <c r="E156" s="14">
        <f>Data!G156</f>
        <v>0</v>
      </c>
    </row>
    <row r="157" spans="2:5" ht="15" customHeight="1" x14ac:dyDescent="0.3">
      <c r="C157" s="3"/>
      <c r="D157" s="8">
        <v>2015</v>
      </c>
      <c r="E157" s="14">
        <f>Data!G157</f>
        <v>0</v>
      </c>
    </row>
    <row r="158" spans="2:5" ht="15" customHeight="1" x14ac:dyDescent="0.3">
      <c r="C158" s="3"/>
      <c r="D158" s="8">
        <v>2016</v>
      </c>
      <c r="E158" s="14">
        <f>Data!G158</f>
        <v>0</v>
      </c>
    </row>
    <row r="159" spans="2:5" ht="15" customHeight="1" x14ac:dyDescent="0.3">
      <c r="C159" s="3"/>
      <c r="D159" s="8">
        <v>2017</v>
      </c>
      <c r="E159" s="14">
        <f>Data!G159</f>
        <v>202382380000</v>
      </c>
    </row>
    <row r="160" spans="2:5" ht="15" customHeight="1" x14ac:dyDescent="0.3">
      <c r="C160" s="3"/>
      <c r="D160" s="8">
        <v>2018</v>
      </c>
      <c r="E160" s="14">
        <f>Data!G160</f>
        <v>237879500000</v>
      </c>
    </row>
    <row r="161" spans="2:5" ht="15" customHeight="1" x14ac:dyDescent="0.3">
      <c r="C161" s="3"/>
      <c r="D161" s="8">
        <v>2019</v>
      </c>
      <c r="E161" s="14">
        <f>Data!G161</f>
        <v>254091990000</v>
      </c>
    </row>
    <row r="162" spans="2:5" ht="15" customHeight="1" x14ac:dyDescent="0.3">
      <c r="C162" s="3"/>
      <c r="D162" s="8">
        <v>2020</v>
      </c>
      <c r="E162" s="14">
        <f>Data!G162</f>
        <v>297990000000</v>
      </c>
    </row>
    <row r="163" spans="2:5" ht="15" customHeight="1" x14ac:dyDescent="0.3">
      <c r="C163" s="3"/>
      <c r="D163" s="8">
        <v>2021</v>
      </c>
      <c r="E163" s="14">
        <f>Data!G163</f>
        <v>374138510000</v>
      </c>
    </row>
    <row r="164" spans="2:5" ht="15" customHeight="1" x14ac:dyDescent="0.3">
      <c r="C164" s="3"/>
      <c r="D164" s="8">
        <v>2022</v>
      </c>
      <c r="E164" s="14">
        <f>Data!G164</f>
        <v>431376860000</v>
      </c>
    </row>
    <row r="165" spans="2:5" ht="15" customHeight="1" x14ac:dyDescent="0.3">
      <c r="C165" s="3"/>
      <c r="D165" s="8">
        <v>2023</v>
      </c>
      <c r="E165" s="14">
        <f>Data!G165</f>
        <v>507970770000</v>
      </c>
    </row>
    <row r="166" spans="2:5" ht="15" customHeight="1" x14ac:dyDescent="0.3">
      <c r="C166" s="3"/>
      <c r="D166" s="8">
        <v>2024</v>
      </c>
      <c r="E166" s="14">
        <f>Data!G166</f>
        <v>516246820000</v>
      </c>
    </row>
    <row r="167" spans="2:5" ht="15" customHeight="1" x14ac:dyDescent="0.3">
      <c r="B167" s="8">
        <v>16</v>
      </c>
      <c r="C167" s="3" t="s">
        <v>44</v>
      </c>
      <c r="D167" s="8">
        <v>2014</v>
      </c>
      <c r="E167" s="14">
        <f>Data!G167</f>
        <v>0</v>
      </c>
    </row>
    <row r="168" spans="2:5" ht="15" customHeight="1" x14ac:dyDescent="0.3">
      <c r="C168" s="3"/>
      <c r="D168" s="8">
        <v>2015</v>
      </c>
      <c r="E168" s="14">
        <f>Data!G168</f>
        <v>362414130000</v>
      </c>
    </row>
    <row r="169" spans="2:5" ht="15" customHeight="1" x14ac:dyDescent="0.3">
      <c r="C169" s="3"/>
      <c r="D169" s="8">
        <v>2016</v>
      </c>
      <c r="E169" s="14">
        <f>Data!G169</f>
        <v>436068360000</v>
      </c>
    </row>
    <row r="170" spans="2:5" ht="15" customHeight="1" x14ac:dyDescent="0.3">
      <c r="C170" s="3"/>
      <c r="D170" s="8">
        <v>2017</v>
      </c>
      <c r="E170" s="14">
        <f>Data!G170</f>
        <v>754337470000</v>
      </c>
    </row>
    <row r="171" spans="2:5" ht="15" customHeight="1" x14ac:dyDescent="0.3">
      <c r="C171" s="3"/>
      <c r="D171" s="8">
        <v>2018</v>
      </c>
      <c r="E171" s="14">
        <f>Data!G171</f>
        <v>831082530000</v>
      </c>
    </row>
    <row r="172" spans="2:5" ht="15" customHeight="1" x14ac:dyDescent="0.3">
      <c r="C172" s="3"/>
      <c r="D172" s="8">
        <v>2019</v>
      </c>
      <c r="E172" s="14">
        <f>Data!G172</f>
        <v>805109390000</v>
      </c>
    </row>
    <row r="173" spans="2:5" ht="15" customHeight="1" x14ac:dyDescent="0.3">
      <c r="C173" s="3"/>
      <c r="D173" s="8">
        <v>2020</v>
      </c>
      <c r="E173" s="14">
        <f>Data!G173</f>
        <v>972655010000</v>
      </c>
    </row>
    <row r="174" spans="2:5" ht="15" customHeight="1" x14ac:dyDescent="0.3">
      <c r="C174" s="3"/>
      <c r="D174" s="8">
        <v>2021</v>
      </c>
      <c r="E174" s="14">
        <f>Data!G174</f>
        <v>1191013470000</v>
      </c>
    </row>
    <row r="175" spans="2:5" ht="15" customHeight="1" x14ac:dyDescent="0.3">
      <c r="C175" s="3"/>
      <c r="D175" s="8">
        <v>2022</v>
      </c>
      <c r="E175" s="14">
        <f>Data!G175</f>
        <v>979771550000</v>
      </c>
    </row>
    <row r="176" spans="2:5" ht="15" customHeight="1" x14ac:dyDescent="0.3">
      <c r="C176" s="3"/>
      <c r="D176" s="8">
        <v>2023</v>
      </c>
      <c r="E176" s="14">
        <f>Data!G176</f>
        <v>1073555960000</v>
      </c>
    </row>
    <row r="177" spans="2:5" ht="15" customHeight="1" x14ac:dyDescent="0.3">
      <c r="C177" s="3"/>
      <c r="D177" s="8">
        <v>2024</v>
      </c>
      <c r="E177" s="14">
        <f>Data!G177</f>
        <v>1026468020000</v>
      </c>
    </row>
    <row r="178" spans="2:5" ht="15" customHeight="1" x14ac:dyDescent="0.3">
      <c r="B178" s="8">
        <v>17</v>
      </c>
      <c r="C178" s="3" t="s">
        <v>22</v>
      </c>
      <c r="D178" s="8">
        <v>2014</v>
      </c>
      <c r="E178" s="14">
        <f>Data!G178</f>
        <v>0</v>
      </c>
    </row>
    <row r="179" spans="2:5" ht="15" customHeight="1" x14ac:dyDescent="0.3">
      <c r="C179" s="3"/>
      <c r="D179" s="8">
        <v>2015</v>
      </c>
      <c r="E179" s="14">
        <f>Data!G179</f>
        <v>0</v>
      </c>
    </row>
    <row r="180" spans="2:5" ht="15" customHeight="1" x14ac:dyDescent="0.3">
      <c r="C180" s="3"/>
      <c r="D180" s="8">
        <v>2016</v>
      </c>
      <c r="E180" s="14">
        <f>Data!G180</f>
        <v>0</v>
      </c>
    </row>
    <row r="181" spans="2:5" ht="15" customHeight="1" x14ac:dyDescent="0.3">
      <c r="C181" s="3"/>
      <c r="D181" s="8">
        <v>2017</v>
      </c>
      <c r="E181" s="14">
        <f>Data!G181</f>
        <v>0</v>
      </c>
    </row>
    <row r="182" spans="2:5" ht="15" customHeight="1" x14ac:dyDescent="0.3">
      <c r="C182" s="3"/>
      <c r="D182" s="8">
        <v>2018</v>
      </c>
      <c r="E182" s="14">
        <f>Data!G182</f>
        <v>0</v>
      </c>
    </row>
    <row r="183" spans="2:5" ht="15" customHeight="1" x14ac:dyDescent="0.3">
      <c r="C183" s="3"/>
      <c r="D183" s="8">
        <v>2019</v>
      </c>
      <c r="E183" s="14">
        <f>Data!G183</f>
        <v>90345000000</v>
      </c>
    </row>
    <row r="184" spans="2:5" ht="15" customHeight="1" x14ac:dyDescent="0.3">
      <c r="C184" s="3"/>
      <c r="D184" s="8">
        <v>2020</v>
      </c>
      <c r="E184" s="14">
        <f>Data!G184</f>
        <v>68529000000</v>
      </c>
    </row>
    <row r="185" spans="2:5" ht="15" customHeight="1" x14ac:dyDescent="0.3">
      <c r="C185" s="3"/>
      <c r="D185" s="8">
        <v>2021</v>
      </c>
      <c r="E185" s="14">
        <f>Data!G185</f>
        <v>119565000000</v>
      </c>
    </row>
    <row r="186" spans="2:5" ht="15" customHeight="1" x14ac:dyDescent="0.3">
      <c r="C186" s="3"/>
      <c r="D186" s="8">
        <v>2022</v>
      </c>
      <c r="E186" s="14">
        <f>Data!G186</f>
        <v>144258000000</v>
      </c>
    </row>
    <row r="187" spans="2:5" ht="15" customHeight="1" x14ac:dyDescent="0.3">
      <c r="C187" s="3"/>
      <c r="D187" s="8">
        <v>2023</v>
      </c>
      <c r="E187" s="14">
        <f>Data!G187</f>
        <v>266213000000</v>
      </c>
    </row>
    <row r="188" spans="2:5" ht="15" customHeight="1" x14ac:dyDescent="0.3">
      <c r="C188" s="3"/>
      <c r="D188" s="8">
        <v>2024</v>
      </c>
      <c r="E188" s="14">
        <f>Data!G188</f>
        <v>394077000000</v>
      </c>
    </row>
    <row r="189" spans="2:5" ht="15" customHeight="1" x14ac:dyDescent="0.3">
      <c r="B189" s="8">
        <v>18</v>
      </c>
      <c r="C189" s="3" t="s">
        <v>45</v>
      </c>
      <c r="D189" s="8">
        <v>2014</v>
      </c>
      <c r="E189" s="14">
        <f>Data!G189</f>
        <v>0</v>
      </c>
    </row>
    <row r="190" spans="2:5" ht="15" customHeight="1" x14ac:dyDescent="0.3">
      <c r="C190" s="3"/>
      <c r="D190" s="8">
        <v>2015</v>
      </c>
      <c r="E190" s="14">
        <f>Data!G190</f>
        <v>461158000000</v>
      </c>
    </row>
    <row r="191" spans="2:5" ht="15" customHeight="1" x14ac:dyDescent="0.3">
      <c r="C191" s="3"/>
      <c r="D191" s="8">
        <v>2016</v>
      </c>
      <c r="E191" s="14">
        <f>Data!G191</f>
        <v>484771000000</v>
      </c>
    </row>
    <row r="192" spans="2:5" ht="15" customHeight="1" x14ac:dyDescent="0.3">
      <c r="C192" s="3"/>
      <c r="D192" s="8">
        <v>2017</v>
      </c>
      <c r="E192" s="14">
        <f>Data!G192</f>
        <v>519654000000</v>
      </c>
    </row>
    <row r="193" spans="2:5" ht="15" customHeight="1" x14ac:dyDescent="0.3">
      <c r="C193" s="3"/>
      <c r="D193" s="8">
        <v>2018</v>
      </c>
      <c r="E193" s="14">
        <f>Data!G193</f>
        <v>490309000000</v>
      </c>
    </row>
    <row r="194" spans="2:5" ht="15" customHeight="1" x14ac:dyDescent="0.3">
      <c r="C194" s="3"/>
      <c r="D194" s="8">
        <v>2019</v>
      </c>
      <c r="E194" s="14">
        <f>Data!G194</f>
        <v>504039000000</v>
      </c>
    </row>
    <row r="195" spans="2:5" ht="15" customHeight="1" x14ac:dyDescent="0.3">
      <c r="C195" s="3"/>
      <c r="D195" s="8">
        <v>2020</v>
      </c>
      <c r="E195" s="14">
        <f>Data!G195</f>
        <v>499976000000</v>
      </c>
    </row>
    <row r="196" spans="2:5" ht="15" customHeight="1" x14ac:dyDescent="0.3">
      <c r="C196" s="3"/>
      <c r="D196" s="8">
        <v>2021</v>
      </c>
      <c r="E196" s="14">
        <f>Data!G196</f>
        <v>508600000000</v>
      </c>
    </row>
    <row r="197" spans="2:5" ht="15" customHeight="1" x14ac:dyDescent="0.3">
      <c r="C197" s="3"/>
      <c r="D197" s="8">
        <v>2022</v>
      </c>
      <c r="E197" s="14">
        <f>Data!G197</f>
        <v>491148000000</v>
      </c>
    </row>
    <row r="198" spans="2:5" ht="15" customHeight="1" x14ac:dyDescent="0.3">
      <c r="C198" s="3"/>
      <c r="D198" s="8">
        <v>2023</v>
      </c>
      <c r="E198" s="14">
        <f>Data!G198</f>
        <v>510045000000</v>
      </c>
    </row>
    <row r="199" spans="2:5" ht="15" customHeight="1" x14ac:dyDescent="0.3">
      <c r="C199" s="3"/>
      <c r="D199" s="8">
        <v>2024</v>
      </c>
      <c r="E199" s="14">
        <f>Data!G199</f>
        <v>488793000000</v>
      </c>
    </row>
    <row r="200" spans="2:5" ht="15" customHeight="1" x14ac:dyDescent="0.3">
      <c r="B200" s="8">
        <v>19</v>
      </c>
      <c r="C200" s="3" t="s">
        <v>46</v>
      </c>
      <c r="D200" s="8">
        <v>2014</v>
      </c>
      <c r="E200" s="14">
        <f>Data!G200</f>
        <v>0</v>
      </c>
    </row>
    <row r="201" spans="2:5" ht="15" customHeight="1" x14ac:dyDescent="0.3">
      <c r="C201" s="3"/>
      <c r="D201" s="8">
        <v>2015</v>
      </c>
      <c r="E201" s="14">
        <f>Data!G201</f>
        <v>15369953000000</v>
      </c>
    </row>
    <row r="202" spans="2:5" ht="15" customHeight="1" x14ac:dyDescent="0.3">
      <c r="C202" s="3"/>
      <c r="D202" s="8">
        <v>2016</v>
      </c>
      <c r="E202" s="14">
        <f>Data!G202</f>
        <v>16520666000000</v>
      </c>
    </row>
    <row r="203" spans="2:5" ht="15" customHeight="1" x14ac:dyDescent="0.3">
      <c r="C203" s="3"/>
      <c r="D203" s="8">
        <v>2017</v>
      </c>
      <c r="E203" s="14">
        <f>Data!G203</f>
        <v>18732840000000</v>
      </c>
    </row>
    <row r="204" spans="2:5" ht="15" customHeight="1" x14ac:dyDescent="0.3">
      <c r="C204" s="3"/>
      <c r="D204" s="8">
        <v>2018</v>
      </c>
      <c r="E204" s="14">
        <f>Data!G204</f>
        <v>18420333000000</v>
      </c>
    </row>
    <row r="205" spans="2:5" ht="15" customHeight="1" x14ac:dyDescent="0.3">
      <c r="C205" s="3"/>
      <c r="D205" s="8">
        <v>2019</v>
      </c>
      <c r="E205" s="14">
        <f>Data!G205</f>
        <v>18871652000000</v>
      </c>
    </row>
    <row r="206" spans="2:5" ht="15" customHeight="1" x14ac:dyDescent="0.3">
      <c r="C206" s="3"/>
      <c r="D206" s="8">
        <v>2020</v>
      </c>
      <c r="E206" s="14">
        <f>Data!G206</f>
        <v>19996724000000</v>
      </c>
    </row>
    <row r="207" spans="2:5" ht="15" customHeight="1" x14ac:dyDescent="0.3">
      <c r="C207" s="3"/>
      <c r="D207" s="8">
        <v>2021</v>
      </c>
      <c r="E207" s="14">
        <f>Data!G207</f>
        <v>19215974000000</v>
      </c>
    </row>
    <row r="208" spans="2:5" ht="15" customHeight="1" x14ac:dyDescent="0.3">
      <c r="C208" s="3"/>
      <c r="D208" s="8">
        <v>2022</v>
      </c>
      <c r="E208" s="14">
        <f>Data!G208</f>
        <v>19085714000000</v>
      </c>
    </row>
    <row r="209" spans="2:5" ht="15" customHeight="1" x14ac:dyDescent="0.3">
      <c r="C209" s="3"/>
      <c r="D209" s="8">
        <v>2023</v>
      </c>
      <c r="E209" s="14">
        <f>Data!G209</f>
        <v>19037633000000</v>
      </c>
    </row>
    <row r="210" spans="2:5" ht="15" customHeight="1" x14ac:dyDescent="0.3">
      <c r="C210" s="3"/>
      <c r="D210" s="8">
        <v>2024</v>
      </c>
      <c r="E210" s="14">
        <f>Data!G210</f>
        <v>19145925000000</v>
      </c>
    </row>
    <row r="211" spans="2:5" ht="15" customHeight="1" x14ac:dyDescent="0.3">
      <c r="B211" s="8">
        <v>20</v>
      </c>
      <c r="C211" s="3" t="s">
        <v>27</v>
      </c>
      <c r="D211" s="8">
        <v>2014</v>
      </c>
      <c r="E211" s="14">
        <f>Data!G211</f>
        <v>0</v>
      </c>
    </row>
    <row r="212" spans="2:5" ht="15" customHeight="1" x14ac:dyDescent="0.3">
      <c r="C212" s="3"/>
      <c r="D212" s="8">
        <v>2015</v>
      </c>
      <c r="E212" s="14">
        <f>Data!G212</f>
        <v>0</v>
      </c>
    </row>
    <row r="213" spans="2:5" ht="15" customHeight="1" x14ac:dyDescent="0.3">
      <c r="C213" s="3"/>
      <c r="D213" s="8">
        <v>2016</v>
      </c>
      <c r="E213" s="14">
        <f>Data!G213</f>
        <v>0</v>
      </c>
    </row>
    <row r="214" spans="2:5" ht="15" customHeight="1" x14ac:dyDescent="0.3">
      <c r="C214" s="3"/>
      <c r="D214" s="8">
        <v>2017</v>
      </c>
      <c r="E214" s="14">
        <f>Data!G214</f>
        <v>112089000000</v>
      </c>
    </row>
    <row r="215" spans="2:5" ht="15" customHeight="1" x14ac:dyDescent="0.3">
      <c r="C215" s="3"/>
      <c r="D215" s="8">
        <v>2018</v>
      </c>
      <c r="E215" s="14">
        <f>Data!G215</f>
        <v>211218000000</v>
      </c>
    </row>
    <row r="216" spans="2:5" ht="15" customHeight="1" x14ac:dyDescent="0.3">
      <c r="C216" s="3"/>
      <c r="D216" s="8">
        <v>2019</v>
      </c>
      <c r="E216" s="14">
        <f>Data!G216</f>
        <v>2554055000000</v>
      </c>
    </row>
    <row r="217" spans="2:5" ht="15" customHeight="1" x14ac:dyDescent="0.3">
      <c r="C217" s="3"/>
      <c r="D217" s="8">
        <v>2020</v>
      </c>
      <c r="E217" s="14">
        <f>Data!G217</f>
        <v>2377806000000</v>
      </c>
    </row>
    <row r="218" spans="2:5" ht="15" customHeight="1" x14ac:dyDescent="0.3">
      <c r="C218" s="3"/>
      <c r="D218" s="8">
        <v>2021</v>
      </c>
      <c r="E218" s="14">
        <f>Data!G218</f>
        <v>3481452000000</v>
      </c>
    </row>
    <row r="219" spans="2:5" ht="15" customHeight="1" x14ac:dyDescent="0.3">
      <c r="C219" s="3"/>
      <c r="D219" s="8">
        <v>2022</v>
      </c>
      <c r="E219" s="14">
        <f>Data!G219</f>
        <v>4940936000000</v>
      </c>
    </row>
    <row r="220" spans="2:5" ht="15" customHeight="1" x14ac:dyDescent="0.3">
      <c r="C220" s="3"/>
      <c r="D220" s="8">
        <v>2023</v>
      </c>
      <c r="E220" s="14">
        <f>Data!G220</f>
        <v>4445677000000</v>
      </c>
    </row>
    <row r="221" spans="2:5" ht="15" customHeight="1" x14ac:dyDescent="0.3">
      <c r="C221" s="3"/>
      <c r="D221" s="8">
        <v>2024</v>
      </c>
      <c r="E221" s="14">
        <f>Data!G221</f>
        <v>5304605000000</v>
      </c>
    </row>
    <row r="222" spans="2:5" ht="15" customHeight="1" x14ac:dyDescent="0.3">
      <c r="B222" s="8">
        <v>21</v>
      </c>
      <c r="C222" s="4" t="s">
        <v>52</v>
      </c>
      <c r="D222" s="8">
        <v>2014</v>
      </c>
      <c r="E222" s="14">
        <f>Data!G222</f>
        <v>0</v>
      </c>
    </row>
    <row r="223" spans="2:5" ht="15" customHeight="1" x14ac:dyDescent="0.3">
      <c r="C223" s="4"/>
      <c r="D223" s="8">
        <v>2015</v>
      </c>
      <c r="E223" s="14">
        <f>Data!G223</f>
        <v>488002000000</v>
      </c>
    </row>
    <row r="224" spans="2:5" ht="15" customHeight="1" x14ac:dyDescent="0.3">
      <c r="C224" s="4"/>
      <c r="D224" s="8">
        <v>2016</v>
      </c>
      <c r="E224" s="14">
        <f>Data!G224</f>
        <v>432956000000</v>
      </c>
    </row>
    <row r="225" spans="2:5" ht="15" customHeight="1" x14ac:dyDescent="0.3">
      <c r="C225" s="4"/>
      <c r="D225" s="8">
        <v>2017</v>
      </c>
      <c r="E225" s="14">
        <f>Data!G225</f>
        <v>736721000000</v>
      </c>
    </row>
    <row r="226" spans="2:5" ht="15" customHeight="1" x14ac:dyDescent="0.3">
      <c r="C226" s="4"/>
      <c r="D226" s="8">
        <v>2018</v>
      </c>
      <c r="E226" s="14">
        <f>Data!G226</f>
        <v>623688000000</v>
      </c>
    </row>
    <row r="227" spans="2:5" ht="15" customHeight="1" x14ac:dyDescent="0.3">
      <c r="C227" s="4"/>
      <c r="D227" s="8">
        <v>2019</v>
      </c>
      <c r="E227" s="14">
        <f>Data!G227</f>
        <v>1041986000000</v>
      </c>
    </row>
    <row r="228" spans="2:5" ht="15" customHeight="1" x14ac:dyDescent="0.3">
      <c r="C228" s="4"/>
      <c r="D228" s="8">
        <v>2020</v>
      </c>
      <c r="E228" s="14">
        <f>Data!G228</f>
        <v>1243173000000</v>
      </c>
    </row>
    <row r="229" spans="2:5" ht="15" customHeight="1" x14ac:dyDescent="0.3">
      <c r="C229" s="4"/>
      <c r="D229" s="8">
        <v>2021</v>
      </c>
      <c r="E229" s="14">
        <f>Data!G229</f>
        <v>1459438000000</v>
      </c>
    </row>
    <row r="230" spans="2:5" ht="15" customHeight="1" x14ac:dyDescent="0.3">
      <c r="C230" s="4"/>
      <c r="D230" s="8">
        <v>2022</v>
      </c>
      <c r="E230" s="14">
        <f>Data!G230</f>
        <v>1767079000000</v>
      </c>
    </row>
    <row r="231" spans="2:5" ht="15" customHeight="1" x14ac:dyDescent="0.3">
      <c r="C231" s="4"/>
      <c r="D231" s="8">
        <v>2023</v>
      </c>
      <c r="E231" s="14">
        <f>Data!G231</f>
        <v>2331849000000</v>
      </c>
    </row>
    <row r="232" spans="2:5" ht="15" customHeight="1" x14ac:dyDescent="0.3">
      <c r="C232" s="4"/>
      <c r="D232" s="8">
        <v>2024</v>
      </c>
      <c r="E232" s="14">
        <f>Data!G232</f>
        <v>2985382000000</v>
      </c>
    </row>
    <row r="233" spans="2:5" ht="15" customHeight="1" x14ac:dyDescent="0.3">
      <c r="B233" s="8">
        <v>22</v>
      </c>
      <c r="C233" s="4" t="s">
        <v>53</v>
      </c>
      <c r="D233" s="8">
        <v>2014</v>
      </c>
      <c r="E233" s="14">
        <f>Data!G233</f>
        <v>0</v>
      </c>
    </row>
    <row r="234" spans="2:5" ht="15" customHeight="1" x14ac:dyDescent="0.3">
      <c r="C234" s="4"/>
      <c r="D234" s="8">
        <v>2015</v>
      </c>
      <c r="E234" s="14">
        <f>Data!G234</f>
        <v>0</v>
      </c>
    </row>
    <row r="235" spans="2:5" ht="15" customHeight="1" x14ac:dyDescent="0.3">
      <c r="C235" s="4"/>
      <c r="D235" s="8">
        <v>2016</v>
      </c>
      <c r="E235" s="14">
        <f>Data!G235</f>
        <v>96470000000</v>
      </c>
    </row>
    <row r="236" spans="2:5" ht="15" customHeight="1" x14ac:dyDescent="0.3">
      <c r="C236" s="4"/>
      <c r="D236" s="8">
        <v>2017</v>
      </c>
      <c r="E236" s="14">
        <f>Data!G236</f>
        <v>956998000000</v>
      </c>
    </row>
    <row r="237" spans="2:5" ht="15" customHeight="1" x14ac:dyDescent="0.3">
      <c r="C237" s="4"/>
      <c r="D237" s="8">
        <v>2018</v>
      </c>
      <c r="E237" s="14">
        <f>Data!G237</f>
        <v>891253000000</v>
      </c>
    </row>
    <row r="238" spans="2:5" ht="15" customHeight="1" x14ac:dyDescent="0.3">
      <c r="C238" s="4"/>
      <c r="D238" s="8">
        <v>2019</v>
      </c>
      <c r="E238" s="14">
        <f>Data!G238</f>
        <v>782742000000</v>
      </c>
    </row>
    <row r="239" spans="2:5" ht="15" customHeight="1" x14ac:dyDescent="0.3">
      <c r="C239" s="4"/>
      <c r="D239" s="8">
        <v>2020</v>
      </c>
      <c r="E239" s="14">
        <f>Data!G239</f>
        <v>661899000000</v>
      </c>
    </row>
    <row r="240" spans="2:5" ht="15" customHeight="1" x14ac:dyDescent="0.3">
      <c r="C240" s="4"/>
      <c r="D240" s="8">
        <v>2021</v>
      </c>
      <c r="E240" s="14">
        <f>Data!G240</f>
        <v>561340000000</v>
      </c>
    </row>
    <row r="241" spans="2:5" ht="15" customHeight="1" x14ac:dyDescent="0.3">
      <c r="C241" s="4"/>
      <c r="D241" s="8">
        <v>2022</v>
      </c>
      <c r="E241" s="14">
        <f>Data!G241</f>
        <v>471233000000</v>
      </c>
    </row>
    <row r="242" spans="2:5" ht="15" customHeight="1" x14ac:dyDescent="0.3">
      <c r="C242" s="4"/>
      <c r="D242" s="8">
        <v>2023</v>
      </c>
      <c r="E242" s="14">
        <f>Data!G242</f>
        <v>387763000000</v>
      </c>
    </row>
    <row r="243" spans="2:5" ht="15" customHeight="1" x14ac:dyDescent="0.3">
      <c r="C243" s="4"/>
      <c r="D243" s="8">
        <v>2024</v>
      </c>
      <c r="E243" s="14">
        <f>Data!G243</f>
        <v>350722000000</v>
      </c>
    </row>
    <row r="244" spans="2:5" ht="15" customHeight="1" x14ac:dyDescent="0.3">
      <c r="B244" s="8">
        <v>23</v>
      </c>
      <c r="C244" s="4" t="s">
        <v>51</v>
      </c>
      <c r="D244" s="8">
        <v>2014</v>
      </c>
      <c r="E244" s="14">
        <f>Data!G244</f>
        <v>0</v>
      </c>
    </row>
    <row r="245" spans="2:5" ht="15" customHeight="1" x14ac:dyDescent="0.3">
      <c r="C245" s="4"/>
      <c r="D245" s="8">
        <v>2015</v>
      </c>
      <c r="E245" s="14">
        <f>Data!G245</f>
        <v>66654000000</v>
      </c>
    </row>
    <row r="246" spans="2:5" ht="15" customHeight="1" x14ac:dyDescent="0.3">
      <c r="C246" s="4"/>
      <c r="D246" s="8">
        <v>2016</v>
      </c>
      <c r="E246" s="14">
        <f>Data!G246</f>
        <v>68251000000</v>
      </c>
    </row>
    <row r="247" spans="2:5" ht="15" customHeight="1" x14ac:dyDescent="0.3">
      <c r="C247" s="4"/>
      <c r="D247" s="8">
        <v>2017</v>
      </c>
      <c r="E247" s="14">
        <f>Data!G247</f>
        <v>166267000000</v>
      </c>
    </row>
    <row r="248" spans="2:5" ht="15" customHeight="1" x14ac:dyDescent="0.3">
      <c r="C248" s="4"/>
      <c r="D248" s="8">
        <v>2018</v>
      </c>
      <c r="E248" s="14">
        <f>Data!G248</f>
        <v>179015000000</v>
      </c>
    </row>
    <row r="249" spans="2:5" ht="15" customHeight="1" x14ac:dyDescent="0.3">
      <c r="C249" s="4"/>
      <c r="D249" s="8">
        <v>2019</v>
      </c>
      <c r="E249" s="14">
        <f>Data!G249</f>
        <v>198032000000</v>
      </c>
    </row>
    <row r="250" spans="2:5" ht="15" customHeight="1" x14ac:dyDescent="0.3">
      <c r="C250" s="4"/>
      <c r="D250" s="8">
        <v>2020</v>
      </c>
      <c r="E250" s="14">
        <f>Data!G250</f>
        <v>239408000000</v>
      </c>
    </row>
    <row r="251" spans="2:5" ht="15" customHeight="1" x14ac:dyDescent="0.3">
      <c r="C251" s="4"/>
      <c r="D251" s="8">
        <v>2021</v>
      </c>
      <c r="E251" s="14">
        <f>Data!G251</f>
        <v>249051000000</v>
      </c>
    </row>
    <row r="252" spans="2:5" ht="15" customHeight="1" x14ac:dyDescent="0.3">
      <c r="C252" s="4"/>
      <c r="D252" s="8">
        <v>2022</v>
      </c>
      <c r="E252" s="14">
        <f>Data!G252</f>
        <v>293113000000</v>
      </c>
    </row>
    <row r="253" spans="2:5" ht="15" customHeight="1" x14ac:dyDescent="0.3">
      <c r="C253" s="4"/>
      <c r="D253" s="8">
        <v>2023</v>
      </c>
      <c r="E253" s="14">
        <f>Data!G253</f>
        <v>303072000000</v>
      </c>
    </row>
    <row r="254" spans="2:5" ht="15" customHeight="1" x14ac:dyDescent="0.3">
      <c r="C254" s="4"/>
      <c r="D254" s="8">
        <v>2024</v>
      </c>
      <c r="E254" s="14">
        <f>Data!G254</f>
        <v>306176000000</v>
      </c>
    </row>
    <row r="255" spans="2:5" ht="15" customHeight="1" x14ac:dyDescent="0.3">
      <c r="B255" s="8">
        <v>24</v>
      </c>
      <c r="C255" s="4" t="s">
        <v>50</v>
      </c>
      <c r="D255" s="8">
        <v>2014</v>
      </c>
      <c r="E255" s="14">
        <f>Data!G255</f>
        <v>0</v>
      </c>
    </row>
    <row r="256" spans="2:5" ht="15" customHeight="1" x14ac:dyDescent="0.3">
      <c r="C256" s="4"/>
      <c r="D256" s="8">
        <v>2015</v>
      </c>
      <c r="E256" s="14">
        <f>Data!G256</f>
        <v>71504000000</v>
      </c>
    </row>
    <row r="257" spans="2:5" ht="15" customHeight="1" x14ac:dyDescent="0.3">
      <c r="C257" s="4"/>
      <c r="D257" s="8">
        <v>2016</v>
      </c>
      <c r="E257" s="14">
        <f>Data!G257</f>
        <v>68929000000</v>
      </c>
    </row>
    <row r="258" spans="2:5" ht="15" customHeight="1" x14ac:dyDescent="0.3">
      <c r="C258" s="4"/>
      <c r="D258" s="8">
        <v>2017</v>
      </c>
      <c r="E258" s="14">
        <f>Data!G258</f>
        <v>87746000000</v>
      </c>
    </row>
    <row r="259" spans="2:5" ht="15" customHeight="1" x14ac:dyDescent="0.3">
      <c r="C259" s="4"/>
      <c r="D259" s="8">
        <v>2018</v>
      </c>
      <c r="E259" s="14">
        <f>Data!G259</f>
        <v>96855000000</v>
      </c>
    </row>
    <row r="260" spans="2:5" ht="15" customHeight="1" x14ac:dyDescent="0.3">
      <c r="C260" s="4"/>
      <c r="D260" s="8">
        <v>2019</v>
      </c>
      <c r="E260" s="14">
        <f>Data!G260</f>
        <v>104668000000</v>
      </c>
    </row>
    <row r="261" spans="2:5" ht="15" customHeight="1" x14ac:dyDescent="0.3">
      <c r="C261" s="4"/>
      <c r="D261" s="8">
        <v>2020</v>
      </c>
      <c r="E261" s="14">
        <f>Data!G261</f>
        <v>96960000000</v>
      </c>
    </row>
    <row r="262" spans="2:5" ht="15" customHeight="1" x14ac:dyDescent="0.3">
      <c r="C262" s="4"/>
      <c r="D262" s="8">
        <v>2021</v>
      </c>
      <c r="E262" s="14">
        <f>Data!G262</f>
        <v>95396000000</v>
      </c>
    </row>
    <row r="263" spans="2:5" ht="15" customHeight="1" x14ac:dyDescent="0.3">
      <c r="C263" s="4"/>
      <c r="D263" s="8">
        <v>2022</v>
      </c>
      <c r="E263" s="14">
        <f>Data!G263</f>
        <v>112679000000</v>
      </c>
    </row>
    <row r="264" spans="2:5" ht="15" customHeight="1" x14ac:dyDescent="0.3">
      <c r="C264" s="4"/>
      <c r="D264" s="8">
        <v>2023</v>
      </c>
      <c r="E264" s="14">
        <f>Data!G264</f>
        <v>151981000000</v>
      </c>
    </row>
    <row r="265" spans="2:5" ht="15" customHeight="1" x14ac:dyDescent="0.3">
      <c r="C265" s="4"/>
      <c r="D265" s="8">
        <v>2024</v>
      </c>
      <c r="E265" s="14">
        <f>Data!G265</f>
        <v>179851000000</v>
      </c>
    </row>
    <row r="266" spans="2:5" ht="15" customHeight="1" x14ac:dyDescent="0.3">
      <c r="B266" s="8">
        <v>25</v>
      </c>
      <c r="C266" s="3" t="s">
        <v>28</v>
      </c>
      <c r="D266" s="8">
        <v>2014</v>
      </c>
      <c r="E266" s="14">
        <f>Data!G266</f>
        <v>0</v>
      </c>
    </row>
    <row r="267" spans="2:5" ht="15" customHeight="1" x14ac:dyDescent="0.3">
      <c r="C267" s="3"/>
      <c r="D267" s="8">
        <v>2015</v>
      </c>
      <c r="E267" s="14">
        <f>Data!G267</f>
        <v>2704180000000</v>
      </c>
    </row>
    <row r="268" spans="2:5" ht="15" customHeight="1" x14ac:dyDescent="0.3">
      <c r="C268" s="3"/>
      <c r="D268" s="8">
        <v>2016</v>
      </c>
      <c r="E268" s="14">
        <f>Data!G268</f>
        <v>2966353000000</v>
      </c>
    </row>
    <row r="269" spans="2:5" ht="15" customHeight="1" x14ac:dyDescent="0.3">
      <c r="C269" s="3"/>
      <c r="D269" s="8">
        <v>2017</v>
      </c>
      <c r="E269" s="14">
        <f>Data!G269</f>
        <v>3416166470000</v>
      </c>
    </row>
    <row r="270" spans="2:5" ht="15" customHeight="1" x14ac:dyDescent="0.3">
      <c r="C270" s="3"/>
      <c r="D270" s="8">
        <v>2018</v>
      </c>
      <c r="E270" s="14">
        <f>Data!G270</f>
        <v>3459841500000</v>
      </c>
    </row>
    <row r="271" spans="2:5" ht="15" customHeight="1" x14ac:dyDescent="0.3">
      <c r="C271" s="3"/>
      <c r="D271" s="8">
        <v>2019</v>
      </c>
      <c r="E271" s="14">
        <f>Data!G271</f>
        <v>4490719460000</v>
      </c>
    </row>
    <row r="272" spans="2:5" ht="15" customHeight="1" x14ac:dyDescent="0.3">
      <c r="C272" s="3"/>
      <c r="D272" s="8">
        <v>2020</v>
      </c>
      <c r="E272" s="14">
        <f>Data!G272</f>
        <v>5264244540000</v>
      </c>
    </row>
    <row r="273" spans="2:5" ht="15" customHeight="1" x14ac:dyDescent="0.3">
      <c r="C273" s="3"/>
      <c r="D273" s="8">
        <v>2021</v>
      </c>
      <c r="E273" s="14">
        <f>Data!G273</f>
        <v>6020512330000</v>
      </c>
    </row>
    <row r="274" spans="2:5" ht="15" customHeight="1" x14ac:dyDescent="0.3">
      <c r="C274" s="3"/>
      <c r="D274" s="8">
        <v>2022</v>
      </c>
      <c r="E274" s="14">
        <f>Data!G274</f>
        <v>6600387150000</v>
      </c>
    </row>
    <row r="275" spans="2:5" ht="15" customHeight="1" x14ac:dyDescent="0.3">
      <c r="C275" s="3"/>
      <c r="D275" s="8">
        <v>2023</v>
      </c>
      <c r="E275" s="14">
        <f>Data!G275</f>
        <v>7499012820000</v>
      </c>
    </row>
    <row r="276" spans="2:5" ht="15" customHeight="1" x14ac:dyDescent="0.3">
      <c r="C276" s="3"/>
      <c r="D276" s="8">
        <v>2024</v>
      </c>
      <c r="E276" s="14">
        <f>Data!G276</f>
        <v>8435110859999.999</v>
      </c>
    </row>
    <row r="277" spans="2:5" ht="15" customHeight="1" x14ac:dyDescent="0.3">
      <c r="B277" s="8">
        <v>26</v>
      </c>
      <c r="C277" s="3" t="s">
        <v>42</v>
      </c>
      <c r="D277" s="8">
        <v>2014</v>
      </c>
      <c r="E277" s="14">
        <f>Data!G277</f>
        <v>0</v>
      </c>
    </row>
    <row r="278" spans="2:5" ht="15" customHeight="1" x14ac:dyDescent="0.3">
      <c r="C278" s="3"/>
      <c r="D278" s="8">
        <v>2015</v>
      </c>
      <c r="E278" s="14">
        <f>Data!G278</f>
        <v>0</v>
      </c>
    </row>
    <row r="279" spans="2:5" ht="15" customHeight="1" x14ac:dyDescent="0.3">
      <c r="C279" s="3"/>
      <c r="D279" s="8">
        <v>2016</v>
      </c>
      <c r="E279" s="14">
        <f>Data!G279</f>
        <v>0</v>
      </c>
    </row>
    <row r="280" spans="2:5" ht="15" customHeight="1" x14ac:dyDescent="0.3">
      <c r="C280" s="3"/>
      <c r="D280" s="8">
        <v>2017</v>
      </c>
      <c r="E280" s="14">
        <f>Data!G280</f>
        <v>0</v>
      </c>
    </row>
    <row r="281" spans="2:5" ht="15" customHeight="1" x14ac:dyDescent="0.3">
      <c r="C281" s="3"/>
      <c r="D281" s="8">
        <v>2018</v>
      </c>
      <c r="E281" s="14">
        <f>Data!G281</f>
        <v>0</v>
      </c>
    </row>
    <row r="282" spans="2:5" ht="15" customHeight="1" x14ac:dyDescent="0.3">
      <c r="C282" s="3"/>
      <c r="D282" s="8">
        <v>2019</v>
      </c>
      <c r="E282" s="14">
        <f>Data!G282</f>
        <v>0</v>
      </c>
    </row>
    <row r="283" spans="2:5" ht="15" customHeight="1" x14ac:dyDescent="0.3">
      <c r="C283" s="3"/>
      <c r="D283" s="8">
        <v>2020</v>
      </c>
      <c r="E283" s="14">
        <f>Data!G283</f>
        <v>0</v>
      </c>
    </row>
    <row r="284" spans="2:5" ht="15" customHeight="1" x14ac:dyDescent="0.3">
      <c r="C284" s="3"/>
      <c r="D284" s="8">
        <v>2021</v>
      </c>
      <c r="E284" s="14">
        <f>Data!G284</f>
        <v>0</v>
      </c>
    </row>
    <row r="285" spans="2:5" ht="15" customHeight="1" x14ac:dyDescent="0.3">
      <c r="C285" s="3"/>
      <c r="D285" s="8">
        <v>2022</v>
      </c>
      <c r="E285" s="14">
        <f>Data!G285</f>
        <v>132949170000.00002</v>
      </c>
    </row>
    <row r="286" spans="2:5" ht="15" customHeight="1" x14ac:dyDescent="0.3">
      <c r="C286" s="3"/>
      <c r="D286" s="8">
        <v>2023</v>
      </c>
      <c r="E286" s="14">
        <f>Data!G286</f>
        <v>132473380000</v>
      </c>
    </row>
    <row r="287" spans="2:5" ht="15" customHeight="1" x14ac:dyDescent="0.3">
      <c r="C287" s="3"/>
      <c r="D287" s="8">
        <v>2024</v>
      </c>
      <c r="E287" s="14">
        <f>Data!G287</f>
        <v>159746690000</v>
      </c>
    </row>
    <row r="288" spans="2:5" ht="15" customHeight="1" x14ac:dyDescent="0.3">
      <c r="B288" s="8">
        <v>27</v>
      </c>
      <c r="C288" s="3" t="s">
        <v>29</v>
      </c>
      <c r="D288" s="8">
        <v>2014</v>
      </c>
      <c r="E288" s="14">
        <f>Data!G288</f>
        <v>0</v>
      </c>
    </row>
    <row r="289" spans="2:5" ht="15" customHeight="1" x14ac:dyDescent="0.3">
      <c r="C289" s="3"/>
      <c r="D289" s="8">
        <v>2015</v>
      </c>
      <c r="E289" s="14">
        <f>Data!G289</f>
        <v>1239559000000</v>
      </c>
    </row>
    <row r="290" spans="2:5" ht="15" customHeight="1" x14ac:dyDescent="0.3">
      <c r="C290" s="3"/>
      <c r="D290" s="8">
        <v>2016</v>
      </c>
      <c r="E290" s="14">
        <f>Data!G290</f>
        <v>13122331000000</v>
      </c>
    </row>
    <row r="291" spans="2:5" ht="15" customHeight="1" x14ac:dyDescent="0.3">
      <c r="C291" s="3"/>
      <c r="D291" s="8">
        <v>2017</v>
      </c>
      <c r="E291" s="14">
        <f>Data!G291</f>
        <v>24838435000000</v>
      </c>
    </row>
    <row r="292" spans="2:5" ht="15" customHeight="1" x14ac:dyDescent="0.3">
      <c r="C292" s="3"/>
      <c r="D292" s="8">
        <v>2018</v>
      </c>
      <c r="E292" s="14">
        <f>Data!G292</f>
        <v>30914118000000</v>
      </c>
    </row>
    <row r="293" spans="2:5" ht="15" customHeight="1" x14ac:dyDescent="0.3">
      <c r="C293" s="3"/>
      <c r="D293" s="8">
        <v>2019</v>
      </c>
      <c r="E293" s="14">
        <f>Data!G293</f>
        <v>35182475000000</v>
      </c>
    </row>
    <row r="294" spans="2:5" ht="15" customHeight="1" x14ac:dyDescent="0.3">
      <c r="C294" s="3"/>
      <c r="D294" s="8">
        <v>2020</v>
      </c>
      <c r="E294" s="14">
        <f>Data!G294</f>
        <v>32223291000000</v>
      </c>
    </row>
    <row r="295" spans="2:5" ht="15" customHeight="1" x14ac:dyDescent="0.3">
      <c r="C295" s="3"/>
      <c r="D295" s="8">
        <v>2021</v>
      </c>
      <c r="E295" s="14">
        <f>Data!G295</f>
        <v>33647581000000</v>
      </c>
    </row>
    <row r="296" spans="2:5" ht="15" customHeight="1" x14ac:dyDescent="0.3">
      <c r="C296" s="3"/>
      <c r="D296" s="8">
        <v>2022</v>
      </c>
      <c r="E296" s="14">
        <f>Data!G296</f>
        <v>28879077000000</v>
      </c>
    </row>
    <row r="297" spans="2:5" ht="15" customHeight="1" x14ac:dyDescent="0.3">
      <c r="C297" s="3"/>
      <c r="D297" s="8">
        <v>2023</v>
      </c>
      <c r="E297" s="14">
        <f>Data!G297</f>
        <v>23420850000000</v>
      </c>
    </row>
    <row r="298" spans="2:5" ht="15" customHeight="1" x14ac:dyDescent="0.3">
      <c r="C298" s="3"/>
      <c r="D298" s="8">
        <v>2024</v>
      </c>
      <c r="E298" s="14">
        <f>Data!G298</f>
        <v>24021114000000</v>
      </c>
    </row>
    <row r="299" spans="2:5" ht="15" customHeight="1" x14ac:dyDescent="0.3">
      <c r="B299" s="8">
        <v>28</v>
      </c>
      <c r="C299" s="4" t="s">
        <v>149</v>
      </c>
      <c r="D299" s="8">
        <v>2014</v>
      </c>
      <c r="E299" s="14">
        <f>Data!G299</f>
        <v>0</v>
      </c>
    </row>
    <row r="300" spans="2:5" ht="15" customHeight="1" x14ac:dyDescent="0.3">
      <c r="C300" s="4"/>
      <c r="D300" s="8">
        <v>2015</v>
      </c>
      <c r="E300" s="14">
        <f>Data!G300</f>
        <v>60739000000</v>
      </c>
    </row>
    <row r="301" spans="2:5" ht="15" customHeight="1" x14ac:dyDescent="0.3">
      <c r="C301" s="4"/>
      <c r="D301" s="8">
        <v>2016</v>
      </c>
      <c r="E301" s="14">
        <f>Data!G301</f>
        <v>69732000000</v>
      </c>
    </row>
    <row r="302" spans="2:5" ht="15" customHeight="1" x14ac:dyDescent="0.3">
      <c r="C302" s="4"/>
      <c r="D302" s="8">
        <v>2017</v>
      </c>
      <c r="E302" s="14">
        <f>Data!G302</f>
        <v>74776000000</v>
      </c>
    </row>
    <row r="303" spans="2:5" ht="15" customHeight="1" x14ac:dyDescent="0.3">
      <c r="C303" s="4"/>
      <c r="D303" s="8">
        <v>2018</v>
      </c>
      <c r="E303" s="14">
        <f>Data!G303</f>
        <v>89317000000</v>
      </c>
    </row>
    <row r="304" spans="2:5" ht="15" customHeight="1" x14ac:dyDescent="0.3">
      <c r="C304" s="4"/>
      <c r="D304" s="8">
        <v>2019</v>
      </c>
      <c r="E304" s="14">
        <f>Data!G304</f>
        <v>105000000000</v>
      </c>
    </row>
    <row r="305" spans="2:5" ht="15" customHeight="1" x14ac:dyDescent="0.3">
      <c r="C305" s="4"/>
      <c r="D305" s="8">
        <v>2020</v>
      </c>
      <c r="E305" s="14">
        <f>Data!G305</f>
        <v>121421000000</v>
      </c>
    </row>
    <row r="306" spans="2:5" ht="15" customHeight="1" x14ac:dyDescent="0.3">
      <c r="C306" s="4"/>
      <c r="D306" s="8">
        <v>2021</v>
      </c>
      <c r="E306" s="14">
        <f>Data!G306</f>
        <v>140074000000</v>
      </c>
    </row>
    <row r="307" spans="2:5" ht="15" customHeight="1" x14ac:dyDescent="0.3">
      <c r="C307" s="4"/>
      <c r="D307" s="8">
        <v>2022</v>
      </c>
      <c r="E307" s="14">
        <f>Data!G307</f>
        <v>154307000000</v>
      </c>
    </row>
    <row r="308" spans="2:5" ht="15" customHeight="1" x14ac:dyDescent="0.3">
      <c r="C308" s="4"/>
      <c r="D308" s="8">
        <v>2023</v>
      </c>
      <c r="E308" s="14">
        <f>Data!G308</f>
        <v>154726000000</v>
      </c>
    </row>
    <row r="309" spans="2:5" ht="15" customHeight="1" x14ac:dyDescent="0.3">
      <c r="C309" s="4"/>
      <c r="D309" s="8">
        <v>2024</v>
      </c>
      <c r="E309" s="14">
        <f>Data!G309</f>
        <v>155845000000</v>
      </c>
    </row>
    <row r="310" spans="2:5" ht="15" customHeight="1" x14ac:dyDescent="0.3">
      <c r="B310" s="8">
        <v>29</v>
      </c>
      <c r="C310" s="4" t="s">
        <v>55</v>
      </c>
      <c r="D310" s="8">
        <v>2014</v>
      </c>
      <c r="E310" s="14">
        <f>Data!G310</f>
        <v>0</v>
      </c>
    </row>
    <row r="311" spans="2:5" ht="15" customHeight="1" x14ac:dyDescent="0.3">
      <c r="C311" s="4"/>
      <c r="D311" s="8">
        <v>2015</v>
      </c>
      <c r="E311" s="14">
        <f>Data!G311</f>
        <v>1064512000000</v>
      </c>
    </row>
    <row r="312" spans="2:5" ht="15" customHeight="1" x14ac:dyDescent="0.3">
      <c r="C312" s="4"/>
      <c r="D312" s="8">
        <v>2016</v>
      </c>
      <c r="E312" s="14">
        <f>Data!G312</f>
        <v>1162835000000</v>
      </c>
    </row>
    <row r="313" spans="2:5" ht="15" customHeight="1" x14ac:dyDescent="0.3">
      <c r="C313" s="4"/>
      <c r="D313" s="8">
        <v>2017</v>
      </c>
      <c r="E313" s="14">
        <f>Data!G313</f>
        <v>1660572000000</v>
      </c>
    </row>
    <row r="314" spans="2:5" ht="15" customHeight="1" x14ac:dyDescent="0.3">
      <c r="C314" s="4"/>
      <c r="D314" s="8">
        <v>2018</v>
      </c>
      <c r="E314" s="14">
        <f>Data!G314</f>
        <v>1712378000000</v>
      </c>
    </row>
    <row r="315" spans="2:5" ht="15" customHeight="1" x14ac:dyDescent="0.3">
      <c r="C315" s="4"/>
      <c r="D315" s="8">
        <v>2019</v>
      </c>
      <c r="E315" s="14">
        <f>Data!G315</f>
        <v>1805094000000</v>
      </c>
    </row>
    <row r="316" spans="2:5" ht="15" customHeight="1" x14ac:dyDescent="0.3">
      <c r="C316" s="4"/>
      <c r="D316" s="8">
        <v>2020</v>
      </c>
      <c r="E316" s="14">
        <f>Data!G316</f>
        <v>1821015000000</v>
      </c>
    </row>
    <row r="317" spans="2:5" ht="15" customHeight="1" x14ac:dyDescent="0.3">
      <c r="C317" s="4"/>
      <c r="D317" s="8">
        <v>2021</v>
      </c>
      <c r="E317" s="14">
        <f>Data!G317</f>
        <v>1820850000000</v>
      </c>
    </row>
    <row r="318" spans="2:5" ht="15" customHeight="1" x14ac:dyDescent="0.3">
      <c r="C318" s="4"/>
      <c r="D318" s="8">
        <v>2022</v>
      </c>
      <c r="E318" s="14">
        <f>Data!G318</f>
        <v>1844693000000</v>
      </c>
    </row>
    <row r="319" spans="2:5" ht="15" customHeight="1" x14ac:dyDescent="0.3">
      <c r="C319" s="4"/>
      <c r="D319" s="8">
        <v>2023</v>
      </c>
      <c r="E319" s="14">
        <f>Data!G319</f>
        <v>1791328000000</v>
      </c>
    </row>
    <row r="320" spans="2:5" ht="15" customHeight="1" x14ac:dyDescent="0.3">
      <c r="C320" s="4"/>
      <c r="D320" s="8">
        <v>2024</v>
      </c>
      <c r="E320" s="14">
        <f>Data!G320</f>
        <v>1662152000000</v>
      </c>
    </row>
    <row r="321" spans="2:5" ht="15" customHeight="1" x14ac:dyDescent="0.3">
      <c r="B321" s="8">
        <v>30</v>
      </c>
      <c r="C321" s="3" t="s">
        <v>5</v>
      </c>
      <c r="D321" s="8">
        <v>2014</v>
      </c>
      <c r="E321" s="14">
        <f>Data!G321</f>
        <v>0</v>
      </c>
    </row>
    <row r="322" spans="2:5" ht="15" customHeight="1" x14ac:dyDescent="0.3">
      <c r="C322" s="3"/>
      <c r="D322" s="8">
        <v>2015</v>
      </c>
      <c r="E322" s="14">
        <f>Data!G322</f>
        <v>0</v>
      </c>
    </row>
    <row r="323" spans="2:5" ht="15" customHeight="1" x14ac:dyDescent="0.3">
      <c r="C323" s="3"/>
      <c r="D323" s="8">
        <v>2016</v>
      </c>
      <c r="E323" s="14">
        <f>Data!G323</f>
        <v>0</v>
      </c>
    </row>
    <row r="324" spans="2:5" ht="15" customHeight="1" x14ac:dyDescent="0.3">
      <c r="C324" s="3"/>
      <c r="D324" s="8">
        <v>2017</v>
      </c>
      <c r="E324" s="14">
        <f>Data!G324</f>
        <v>10926484000000</v>
      </c>
    </row>
    <row r="325" spans="2:5" ht="15" customHeight="1" x14ac:dyDescent="0.3">
      <c r="C325" s="3"/>
      <c r="D325" s="8">
        <v>2018</v>
      </c>
      <c r="E325" s="14">
        <f>Data!G325</f>
        <v>10229507000000</v>
      </c>
    </row>
    <row r="326" spans="2:5" ht="15" customHeight="1" x14ac:dyDescent="0.3">
      <c r="C326" s="3"/>
      <c r="D326" s="8">
        <v>2019</v>
      </c>
      <c r="E326" s="14">
        <f>Data!G326</f>
        <v>11985227000000</v>
      </c>
    </row>
    <row r="327" spans="2:5" ht="15" customHeight="1" x14ac:dyDescent="0.3">
      <c r="C327" s="3"/>
      <c r="D327" s="8">
        <v>2020</v>
      </c>
      <c r="E327" s="14">
        <f>Data!G327</f>
        <v>11238753000000</v>
      </c>
    </row>
    <row r="328" spans="2:5" ht="15" customHeight="1" x14ac:dyDescent="0.3">
      <c r="C328" s="3"/>
      <c r="D328" s="8">
        <v>2021</v>
      </c>
      <c r="E328" s="14">
        <f>Data!G328</f>
        <v>9745939000000</v>
      </c>
    </row>
    <row r="329" spans="2:5" ht="15" customHeight="1" x14ac:dyDescent="0.3">
      <c r="C329" s="3"/>
      <c r="D329" s="8">
        <v>2022</v>
      </c>
      <c r="E329" s="14">
        <f>Data!G329</f>
        <v>7080639000000</v>
      </c>
    </row>
    <row r="330" spans="2:5" ht="15" customHeight="1" x14ac:dyDescent="0.3">
      <c r="C330" s="3"/>
      <c r="D330" s="8">
        <v>2023</v>
      </c>
      <c r="E330" s="14">
        <f>Data!G330</f>
        <v>7019115000000</v>
      </c>
    </row>
    <row r="331" spans="2:5" ht="15" customHeight="1" x14ac:dyDescent="0.3">
      <c r="C331" s="3"/>
      <c r="D331" s="8">
        <v>2024</v>
      </c>
      <c r="E331" s="14">
        <f>Data!G331</f>
        <v>6182592000000</v>
      </c>
    </row>
    <row r="332" spans="2:5" ht="15" customHeight="1" x14ac:dyDescent="0.3">
      <c r="B332" s="8">
        <v>31</v>
      </c>
      <c r="C332" s="3" t="s">
        <v>6</v>
      </c>
      <c r="D332" s="8">
        <v>2014</v>
      </c>
      <c r="E332" s="14">
        <f>Data!G332</f>
        <v>0</v>
      </c>
    </row>
    <row r="333" spans="2:5" ht="15" customHeight="1" x14ac:dyDescent="0.3">
      <c r="C333" s="3"/>
      <c r="D333" s="8">
        <v>2015</v>
      </c>
      <c r="E333" s="14">
        <f>Data!G333</f>
        <v>0</v>
      </c>
    </row>
    <row r="334" spans="2:5" ht="15" customHeight="1" x14ac:dyDescent="0.3">
      <c r="C334" s="3"/>
      <c r="D334" s="8">
        <v>2016</v>
      </c>
      <c r="E334" s="14">
        <f>Data!G334</f>
        <v>0</v>
      </c>
    </row>
    <row r="335" spans="2:5" ht="15" customHeight="1" x14ac:dyDescent="0.3">
      <c r="C335" s="3"/>
      <c r="D335" s="8">
        <v>2017</v>
      </c>
      <c r="E335" s="14">
        <f>Data!G335</f>
        <v>0</v>
      </c>
    </row>
    <row r="336" spans="2:5" ht="15" customHeight="1" x14ac:dyDescent="0.3">
      <c r="C336" s="3"/>
      <c r="D336" s="8">
        <v>2018</v>
      </c>
      <c r="E336" s="14">
        <f>Data!G336</f>
        <v>0</v>
      </c>
    </row>
    <row r="337" spans="2:5" ht="15" customHeight="1" x14ac:dyDescent="0.3">
      <c r="C337" s="3"/>
      <c r="D337" s="8">
        <v>2019</v>
      </c>
      <c r="E337" s="14">
        <f>Data!G337</f>
        <v>6174958000000</v>
      </c>
    </row>
    <row r="338" spans="2:5" ht="15" customHeight="1" x14ac:dyDescent="0.3">
      <c r="C338" s="3"/>
      <c r="D338" s="8">
        <v>2020</v>
      </c>
      <c r="E338" s="14">
        <f>Data!G338</f>
        <v>6360147000000</v>
      </c>
    </row>
    <row r="339" spans="2:5" ht="15" customHeight="1" x14ac:dyDescent="0.3">
      <c r="C339" s="3"/>
      <c r="D339" s="8">
        <v>2021</v>
      </c>
      <c r="E339" s="14">
        <f>Data!G339</f>
        <v>6454782000000</v>
      </c>
    </row>
    <row r="340" spans="2:5" ht="15" customHeight="1" x14ac:dyDescent="0.3">
      <c r="C340" s="3"/>
      <c r="D340" s="8">
        <v>2022</v>
      </c>
      <c r="E340" s="14">
        <f>Data!G340</f>
        <v>6650529000000</v>
      </c>
    </row>
    <row r="341" spans="2:5" ht="15" customHeight="1" x14ac:dyDescent="0.3">
      <c r="C341" s="3"/>
      <c r="D341" s="8">
        <v>2023</v>
      </c>
      <c r="E341" s="14">
        <f>Data!G341</f>
        <v>7227612000000</v>
      </c>
    </row>
    <row r="342" spans="2:5" ht="15" customHeight="1" x14ac:dyDescent="0.3">
      <c r="C342" s="3"/>
      <c r="D342" s="8">
        <v>2024</v>
      </c>
      <c r="E342" s="14">
        <f>Data!G342</f>
        <v>6708375000000</v>
      </c>
    </row>
    <row r="343" spans="2:5" ht="15" customHeight="1" x14ac:dyDescent="0.3">
      <c r="B343" s="8">
        <v>32</v>
      </c>
      <c r="C343" s="3" t="s">
        <v>7</v>
      </c>
      <c r="D343" s="8">
        <v>2014</v>
      </c>
      <c r="E343" s="14">
        <f>Data!G343</f>
        <v>0</v>
      </c>
    </row>
    <row r="344" spans="2:5" ht="15" customHeight="1" x14ac:dyDescent="0.3">
      <c r="C344" s="3"/>
      <c r="D344" s="8">
        <v>2015</v>
      </c>
      <c r="E344" s="14">
        <f>Data!G344</f>
        <v>0</v>
      </c>
    </row>
    <row r="345" spans="2:5" ht="15" customHeight="1" x14ac:dyDescent="0.3">
      <c r="C345" s="3"/>
      <c r="D345" s="8">
        <v>2016</v>
      </c>
      <c r="E345" s="14">
        <f>Data!G345</f>
        <v>25983699000000</v>
      </c>
    </row>
    <row r="346" spans="2:5" ht="15" customHeight="1" x14ac:dyDescent="0.3">
      <c r="C346" s="3"/>
      <c r="D346" s="8">
        <v>2017</v>
      </c>
      <c r="E346" s="14">
        <f>Data!G346</f>
        <v>30228537000000</v>
      </c>
    </row>
    <row r="347" spans="2:5" ht="15" customHeight="1" x14ac:dyDescent="0.3">
      <c r="C347" s="3"/>
      <c r="D347" s="8">
        <v>2018</v>
      </c>
      <c r="E347" s="14">
        <f>Data!G347</f>
        <v>29576153000000</v>
      </c>
    </row>
    <row r="348" spans="2:5" ht="15" customHeight="1" x14ac:dyDescent="0.3">
      <c r="C348" s="3"/>
      <c r="D348" s="8">
        <v>2019</v>
      </c>
      <c r="E348" s="14">
        <f>Data!G348</f>
        <v>32753111000000</v>
      </c>
    </row>
    <row r="349" spans="2:5" ht="15" customHeight="1" x14ac:dyDescent="0.3">
      <c r="C349" s="3"/>
      <c r="D349" s="8">
        <v>2020</v>
      </c>
      <c r="E349" s="14">
        <f>Data!G349</f>
        <v>37555991000000</v>
      </c>
    </row>
    <row r="350" spans="2:5" ht="15" customHeight="1" x14ac:dyDescent="0.3">
      <c r="C350" s="3"/>
      <c r="D350" s="8">
        <v>2021</v>
      </c>
      <c r="E350" s="14">
        <f>Data!G350</f>
        <v>41079324000000</v>
      </c>
    </row>
    <row r="351" spans="2:5" ht="15" customHeight="1" x14ac:dyDescent="0.3">
      <c r="C351" s="3"/>
      <c r="D351" s="8">
        <v>2022</v>
      </c>
      <c r="E351" s="14">
        <f>Data!G351</f>
        <v>40154026000000</v>
      </c>
    </row>
    <row r="352" spans="2:5" ht="15" customHeight="1" x14ac:dyDescent="0.3">
      <c r="C352" s="3"/>
      <c r="D352" s="8">
        <v>2023</v>
      </c>
      <c r="E352" s="14">
        <f>Data!G352</f>
        <v>41114473000000</v>
      </c>
    </row>
    <row r="353" spans="2:5" ht="15" customHeight="1" x14ac:dyDescent="0.3">
      <c r="C353" s="3"/>
      <c r="D353" s="8">
        <v>2024</v>
      </c>
      <c r="E353" s="14">
        <f>Data!G353</f>
        <v>41914379000000</v>
      </c>
    </row>
    <row r="354" spans="2:5" ht="15" customHeight="1" x14ac:dyDescent="0.3">
      <c r="B354" s="8">
        <v>33</v>
      </c>
      <c r="C354" s="3" t="s">
        <v>30</v>
      </c>
      <c r="D354" s="8">
        <v>2014</v>
      </c>
      <c r="E354" s="14">
        <f>Data!G354</f>
        <v>0</v>
      </c>
    </row>
    <row r="355" spans="2:5" ht="15" customHeight="1" x14ac:dyDescent="0.3">
      <c r="C355" s="3"/>
      <c r="D355" s="8">
        <v>2015</v>
      </c>
      <c r="E355" s="14">
        <f>Data!G355</f>
        <v>0</v>
      </c>
    </row>
    <row r="356" spans="2:5" ht="15" customHeight="1" x14ac:dyDescent="0.3">
      <c r="C356" s="3"/>
      <c r="D356" s="8">
        <v>2016</v>
      </c>
      <c r="E356" s="14">
        <f>Data!G356</f>
        <v>100237930000</v>
      </c>
    </row>
    <row r="357" spans="2:5" ht="15" customHeight="1" x14ac:dyDescent="0.3">
      <c r="C357" s="3"/>
      <c r="D357" s="8">
        <v>2017</v>
      </c>
      <c r="E357" s="14">
        <f>Data!G357</f>
        <v>1237823420000</v>
      </c>
    </row>
    <row r="358" spans="2:5" ht="15" customHeight="1" x14ac:dyDescent="0.3">
      <c r="C358" s="3"/>
      <c r="D358" s="8">
        <v>2018</v>
      </c>
      <c r="E358" s="14">
        <f>Data!G358</f>
        <v>1679206000000</v>
      </c>
    </row>
    <row r="359" spans="2:5" ht="15" customHeight="1" x14ac:dyDescent="0.3">
      <c r="C359" s="3"/>
      <c r="D359" s="8">
        <v>2019</v>
      </c>
      <c r="E359" s="14">
        <f>Data!G359</f>
        <v>1939912000000</v>
      </c>
    </row>
    <row r="360" spans="2:5" ht="15" customHeight="1" x14ac:dyDescent="0.3">
      <c r="C360" s="3"/>
      <c r="D360" s="8">
        <v>2020</v>
      </c>
      <c r="E360" s="14">
        <f>Data!G360</f>
        <v>1342235000000</v>
      </c>
    </row>
    <row r="361" spans="2:5" ht="15" customHeight="1" x14ac:dyDescent="0.3">
      <c r="C361" s="3"/>
      <c r="D361" s="8">
        <v>2021</v>
      </c>
      <c r="E361" s="14">
        <f>Data!G361</f>
        <v>1434941000000</v>
      </c>
    </row>
    <row r="362" spans="2:5" ht="15" customHeight="1" x14ac:dyDescent="0.3">
      <c r="C362" s="3"/>
      <c r="D362" s="8">
        <v>2022</v>
      </c>
      <c r="E362" s="14">
        <f>Data!G362</f>
        <v>1681509000000</v>
      </c>
    </row>
    <row r="363" spans="2:5" ht="15" customHeight="1" x14ac:dyDescent="0.3">
      <c r="C363" s="3"/>
      <c r="D363" s="8">
        <v>2023</v>
      </c>
      <c r="E363" s="14">
        <f>Data!G363</f>
        <v>1752173000000</v>
      </c>
    </row>
    <row r="364" spans="2:5" ht="15" customHeight="1" x14ac:dyDescent="0.3">
      <c r="C364" s="3"/>
      <c r="D364" s="8">
        <v>2024</v>
      </c>
      <c r="E364" s="14">
        <f>Data!G364</f>
        <v>1434685000000</v>
      </c>
    </row>
    <row r="365" spans="2:5" ht="15" customHeight="1" x14ac:dyDescent="0.3">
      <c r="B365" s="8">
        <v>34</v>
      </c>
      <c r="C365" s="3" t="s">
        <v>9</v>
      </c>
      <c r="D365" s="8">
        <v>2014</v>
      </c>
      <c r="E365" s="14">
        <f>Data!G365</f>
        <v>0</v>
      </c>
    </row>
    <row r="366" spans="2:5" ht="15" customHeight="1" x14ac:dyDescent="0.3">
      <c r="C366" s="3"/>
      <c r="D366" s="8">
        <v>2015</v>
      </c>
      <c r="E366" s="14">
        <f>Data!G366</f>
        <v>9915762000000</v>
      </c>
    </row>
    <row r="367" spans="2:5" ht="15" customHeight="1" x14ac:dyDescent="0.3">
      <c r="C367" s="3"/>
      <c r="D367" s="8">
        <v>2016</v>
      </c>
      <c r="E367" s="14">
        <f>Data!G367</f>
        <v>13069215000000</v>
      </c>
    </row>
    <row r="368" spans="2:5" ht="15" customHeight="1" x14ac:dyDescent="0.3">
      <c r="C368" s="3"/>
      <c r="D368" s="8">
        <v>2017</v>
      </c>
      <c r="E368" s="14">
        <f>Data!G368</f>
        <v>15733814000000</v>
      </c>
    </row>
    <row r="369" spans="2:5" ht="15" customHeight="1" x14ac:dyDescent="0.3">
      <c r="C369" s="3"/>
      <c r="D369" s="8">
        <v>2018</v>
      </c>
      <c r="E369" s="14">
        <f>Data!G369</f>
        <v>16472664000000</v>
      </c>
    </row>
    <row r="370" spans="2:5" ht="15" customHeight="1" x14ac:dyDescent="0.3">
      <c r="C370" s="3"/>
      <c r="D370" s="8">
        <v>2019</v>
      </c>
      <c r="E370" s="14">
        <f>Data!G370</f>
        <v>17356774000000</v>
      </c>
    </row>
    <row r="371" spans="2:5" ht="15" customHeight="1" x14ac:dyDescent="0.3">
      <c r="C371" s="3"/>
      <c r="D371" s="8">
        <v>2020</v>
      </c>
      <c r="E371" s="14">
        <f>Data!G371</f>
        <v>19539925000000</v>
      </c>
    </row>
    <row r="372" spans="2:5" ht="15" customHeight="1" x14ac:dyDescent="0.3">
      <c r="C372" s="3"/>
      <c r="D372" s="8">
        <v>2021</v>
      </c>
      <c r="E372" s="14">
        <f>Data!G372</f>
        <v>21685279000000</v>
      </c>
    </row>
    <row r="373" spans="2:5" ht="15" customHeight="1" x14ac:dyDescent="0.3">
      <c r="C373" s="3"/>
      <c r="D373" s="8">
        <v>2022</v>
      </c>
      <c r="E373" s="14">
        <f>Data!G373</f>
        <v>22212474000000</v>
      </c>
    </row>
    <row r="374" spans="2:5" ht="15" customHeight="1" x14ac:dyDescent="0.3">
      <c r="C374" s="3"/>
      <c r="D374" s="8">
        <v>2023</v>
      </c>
      <c r="E374" s="14">
        <f>Data!G374</f>
        <v>23602266000000</v>
      </c>
    </row>
    <row r="375" spans="2:5" ht="15" customHeight="1" x14ac:dyDescent="0.3">
      <c r="C375" s="3"/>
      <c r="D375" s="8">
        <v>2024</v>
      </c>
      <c r="E375" s="14">
        <f>Data!G375</f>
        <v>25240685000000</v>
      </c>
    </row>
    <row r="376" spans="2:5" ht="15" customHeight="1" x14ac:dyDescent="0.3">
      <c r="B376" s="8">
        <v>35</v>
      </c>
      <c r="C376" s="3" t="s">
        <v>31</v>
      </c>
      <c r="D376" s="8">
        <v>2014</v>
      </c>
      <c r="E376" s="14">
        <f>Data!G376</f>
        <v>0</v>
      </c>
    </row>
    <row r="377" spans="2:5" ht="15" customHeight="1" x14ac:dyDescent="0.3">
      <c r="C377" s="3"/>
      <c r="D377" s="8">
        <v>2015</v>
      </c>
      <c r="E377" s="14">
        <f>Data!G377</f>
        <v>0</v>
      </c>
    </row>
    <row r="378" spans="2:5" ht="15" customHeight="1" x14ac:dyDescent="0.3">
      <c r="C378" s="3"/>
      <c r="D378" s="8">
        <v>2016</v>
      </c>
      <c r="E378" s="14">
        <f>Data!G378</f>
        <v>0</v>
      </c>
    </row>
    <row r="379" spans="2:5" ht="15" customHeight="1" x14ac:dyDescent="0.3">
      <c r="C379" s="3"/>
      <c r="D379" s="8">
        <v>2017</v>
      </c>
      <c r="E379" s="14">
        <f>Data!G379</f>
        <v>0</v>
      </c>
    </row>
    <row r="380" spans="2:5" ht="15" customHeight="1" x14ac:dyDescent="0.3">
      <c r="C380" s="3"/>
      <c r="D380" s="8">
        <v>2018</v>
      </c>
      <c r="E380" s="14">
        <f>Data!G380</f>
        <v>0</v>
      </c>
    </row>
    <row r="381" spans="2:5" ht="15" customHeight="1" x14ac:dyDescent="0.3">
      <c r="C381" s="3"/>
      <c r="D381" s="8">
        <v>2019</v>
      </c>
      <c r="E381" s="14">
        <f>Data!G381</f>
        <v>0</v>
      </c>
    </row>
    <row r="382" spans="2:5" ht="15" customHeight="1" x14ac:dyDescent="0.3">
      <c r="C382" s="3"/>
      <c r="D382" s="8">
        <v>2020</v>
      </c>
      <c r="E382" s="14">
        <f>Data!G382</f>
        <v>6861957190000</v>
      </c>
    </row>
    <row r="383" spans="2:5" ht="15" customHeight="1" x14ac:dyDescent="0.3">
      <c r="C383" s="3"/>
      <c r="D383" s="8">
        <v>2021</v>
      </c>
      <c r="E383" s="14">
        <f>Data!G383</f>
        <v>6975768190000</v>
      </c>
    </row>
    <row r="384" spans="2:5" ht="15" customHeight="1" x14ac:dyDescent="0.3">
      <c r="C384" s="3"/>
      <c r="D384" s="8">
        <v>2022</v>
      </c>
      <c r="E384" s="14">
        <f>Data!G384</f>
        <v>6087701790000</v>
      </c>
    </row>
    <row r="385" spans="2:5" ht="15" customHeight="1" x14ac:dyDescent="0.3">
      <c r="C385" s="3"/>
      <c r="D385" s="8">
        <v>2023</v>
      </c>
      <c r="E385" s="14">
        <f>Data!G385</f>
        <v>4352235559999.9995</v>
      </c>
    </row>
    <row r="386" spans="2:5" ht="15" customHeight="1" x14ac:dyDescent="0.3">
      <c r="C386" s="3"/>
      <c r="D386" s="8">
        <v>2024</v>
      </c>
      <c r="E386" s="14">
        <f>Data!G386</f>
        <v>4260842769999.9995</v>
      </c>
    </row>
    <row r="387" spans="2:5" ht="15" customHeight="1" x14ac:dyDescent="0.3">
      <c r="B387" s="8">
        <v>36</v>
      </c>
      <c r="C387" s="4" t="s">
        <v>54</v>
      </c>
      <c r="D387" s="8">
        <v>2014</v>
      </c>
      <c r="E387" s="14">
        <f>Data!G387</f>
        <v>0</v>
      </c>
    </row>
    <row r="388" spans="2:5" ht="15" customHeight="1" x14ac:dyDescent="0.3">
      <c r="C388" s="4"/>
      <c r="D388" s="8">
        <v>2015</v>
      </c>
      <c r="E388" s="14">
        <f>Data!G388</f>
        <v>0</v>
      </c>
    </row>
    <row r="389" spans="2:5" ht="15" customHeight="1" x14ac:dyDescent="0.3">
      <c r="C389" s="4"/>
      <c r="D389" s="8">
        <v>2016</v>
      </c>
      <c r="E389" s="14">
        <f>Data!G389</f>
        <v>53760200000</v>
      </c>
    </row>
    <row r="390" spans="2:5" ht="15" customHeight="1" x14ac:dyDescent="0.3">
      <c r="C390" s="4"/>
      <c r="D390" s="8">
        <v>2017</v>
      </c>
      <c r="E390" s="14">
        <f>Data!G390</f>
        <v>778476670000</v>
      </c>
    </row>
    <row r="391" spans="2:5" ht="15" customHeight="1" x14ac:dyDescent="0.3">
      <c r="C391" s="4"/>
      <c r="D391" s="8">
        <v>2018</v>
      </c>
      <c r="E391" s="14">
        <f>Data!G391</f>
        <v>1964847040000</v>
      </c>
    </row>
    <row r="392" spans="2:5" ht="15" customHeight="1" x14ac:dyDescent="0.3">
      <c r="C392" s="4"/>
      <c r="D392" s="8">
        <v>2019</v>
      </c>
      <c r="E392" s="14">
        <f>Data!G392</f>
        <v>3207673580000</v>
      </c>
    </row>
    <row r="393" spans="2:5" ht="15" customHeight="1" x14ac:dyDescent="0.3">
      <c r="C393" s="4"/>
      <c r="D393" s="8">
        <v>2020</v>
      </c>
      <c r="E393" s="14">
        <f>Data!G393</f>
        <v>3055349430000</v>
      </c>
    </row>
    <row r="394" spans="2:5" ht="15" customHeight="1" x14ac:dyDescent="0.3">
      <c r="C394" s="4"/>
      <c r="D394" s="8">
        <v>2021</v>
      </c>
      <c r="E394" s="14">
        <f>Data!G394</f>
        <v>3988679990000</v>
      </c>
    </row>
    <row r="395" spans="2:5" ht="15" customHeight="1" x14ac:dyDescent="0.3">
      <c r="C395" s="4"/>
      <c r="D395" s="8">
        <v>2022</v>
      </c>
      <c r="E395" s="14">
        <f>Data!G395</f>
        <v>4245491780000.0005</v>
      </c>
    </row>
    <row r="396" spans="2:5" ht="15" customHeight="1" x14ac:dyDescent="0.3">
      <c r="C396" s="4"/>
      <c r="D396" s="8">
        <v>2023</v>
      </c>
      <c r="E396" s="14">
        <f>Data!G396</f>
        <v>3240789950000</v>
      </c>
    </row>
    <row r="397" spans="2:5" ht="15" customHeight="1" x14ac:dyDescent="0.3">
      <c r="C397" s="4"/>
      <c r="D397" s="8">
        <v>2024</v>
      </c>
      <c r="E397" s="14">
        <f>Data!G397</f>
        <v>0</v>
      </c>
    </row>
    <row r="398" spans="2:5" ht="15" customHeight="1" x14ac:dyDescent="0.3">
      <c r="B398" s="8">
        <v>37</v>
      </c>
      <c r="C398" s="3" t="s">
        <v>10</v>
      </c>
      <c r="D398" s="8">
        <v>2014</v>
      </c>
      <c r="E398" s="14">
        <f>Data!G398</f>
        <v>0</v>
      </c>
    </row>
    <row r="399" spans="2:5" ht="15" customHeight="1" x14ac:dyDescent="0.3">
      <c r="C399" s="3"/>
      <c r="D399" s="8">
        <v>2015</v>
      </c>
      <c r="E399" s="14">
        <f>Data!G399</f>
        <v>0</v>
      </c>
    </row>
    <row r="400" spans="2:5" ht="15" customHeight="1" x14ac:dyDescent="0.3">
      <c r="C400" s="3"/>
      <c r="D400" s="8">
        <v>2016</v>
      </c>
      <c r="E400" s="14">
        <f>Data!G400</f>
        <v>0</v>
      </c>
    </row>
    <row r="401" spans="2:5" ht="15" customHeight="1" x14ac:dyDescent="0.3">
      <c r="C401" s="3"/>
      <c r="D401" s="8">
        <v>2017</v>
      </c>
      <c r="E401" s="14">
        <f>Data!G401</f>
        <v>140505220000</v>
      </c>
    </row>
    <row r="402" spans="2:5" ht="15" customHeight="1" x14ac:dyDescent="0.3">
      <c r="C402" s="3"/>
      <c r="D402" s="8">
        <v>2018</v>
      </c>
      <c r="E402" s="14">
        <f>Data!G402</f>
        <v>143642400000</v>
      </c>
    </row>
    <row r="403" spans="2:5" ht="15" customHeight="1" x14ac:dyDescent="0.3">
      <c r="C403" s="3"/>
      <c r="D403" s="8">
        <v>2019</v>
      </c>
      <c r="E403" s="14">
        <f>Data!G403</f>
        <v>157594280000</v>
      </c>
    </row>
    <row r="404" spans="2:5" ht="15" customHeight="1" x14ac:dyDescent="0.3">
      <c r="C404" s="3"/>
      <c r="D404" s="8">
        <v>2020</v>
      </c>
      <c r="E404" s="14">
        <f>Data!G404</f>
        <v>169752220000</v>
      </c>
    </row>
    <row r="405" spans="2:5" ht="15" customHeight="1" x14ac:dyDescent="0.3">
      <c r="C405" s="3"/>
      <c r="D405" s="8">
        <v>2021</v>
      </c>
      <c r="E405" s="14">
        <f>Data!G405</f>
        <v>171563860000</v>
      </c>
    </row>
    <row r="406" spans="2:5" ht="15" customHeight="1" x14ac:dyDescent="0.3">
      <c r="C406" s="3"/>
      <c r="D406" s="8">
        <v>2022</v>
      </c>
      <c r="E406" s="14">
        <f>Data!G406</f>
        <v>176564460000</v>
      </c>
    </row>
    <row r="407" spans="2:5" ht="15" customHeight="1" x14ac:dyDescent="0.3">
      <c r="C407" s="3"/>
      <c r="D407" s="8">
        <v>2023</v>
      </c>
      <c r="E407" s="14">
        <f>Data!G407</f>
        <v>181228690000</v>
      </c>
    </row>
    <row r="408" spans="2:5" ht="15" customHeight="1" x14ac:dyDescent="0.3">
      <c r="C408" s="3"/>
      <c r="D408" s="8">
        <v>2024</v>
      </c>
      <c r="E408" s="14">
        <f>Data!G408</f>
        <v>207086000000</v>
      </c>
    </row>
    <row r="409" spans="2:5" ht="15" customHeight="1" x14ac:dyDescent="0.3">
      <c r="B409" s="8">
        <v>38</v>
      </c>
      <c r="C409" s="3" t="s">
        <v>32</v>
      </c>
      <c r="D409" s="8">
        <v>2014</v>
      </c>
      <c r="E409" s="14">
        <f>Data!G409</f>
        <v>0</v>
      </c>
    </row>
    <row r="410" spans="2:5" ht="15" customHeight="1" x14ac:dyDescent="0.3">
      <c r="C410" s="3"/>
      <c r="D410" s="8">
        <v>2015</v>
      </c>
      <c r="E410" s="14">
        <f>Data!G410</f>
        <v>0</v>
      </c>
    </row>
    <row r="411" spans="2:5" ht="15" customHeight="1" x14ac:dyDescent="0.3">
      <c r="C411" s="3"/>
      <c r="D411" s="8">
        <v>2016</v>
      </c>
      <c r="E411" s="14">
        <f>Data!G411</f>
        <v>0</v>
      </c>
    </row>
    <row r="412" spans="2:5" ht="15" customHeight="1" x14ac:dyDescent="0.3">
      <c r="C412" s="3"/>
      <c r="D412" s="8">
        <v>2017</v>
      </c>
      <c r="E412" s="14">
        <f>Data!G412</f>
        <v>107161000000</v>
      </c>
    </row>
    <row r="413" spans="2:5" ht="15" customHeight="1" x14ac:dyDescent="0.3">
      <c r="C413" s="3"/>
      <c r="D413" s="8">
        <v>2018</v>
      </c>
      <c r="E413" s="14">
        <f>Data!G413</f>
        <v>382472000000</v>
      </c>
    </row>
    <row r="414" spans="2:5" ht="15" customHeight="1" x14ac:dyDescent="0.3">
      <c r="C414" s="3"/>
      <c r="D414" s="8">
        <v>2019</v>
      </c>
      <c r="E414" s="14">
        <f>Data!G414</f>
        <v>387737000000</v>
      </c>
    </row>
    <row r="415" spans="2:5" ht="15" customHeight="1" x14ac:dyDescent="0.3">
      <c r="C415" s="3"/>
      <c r="D415" s="8">
        <v>2020</v>
      </c>
      <c r="E415" s="14">
        <f>Data!G415</f>
        <v>449491000000</v>
      </c>
    </row>
    <row r="416" spans="2:5" ht="15" customHeight="1" x14ac:dyDescent="0.3">
      <c r="C416" s="3"/>
      <c r="D416" s="8">
        <v>2021</v>
      </c>
      <c r="E416" s="14">
        <f>Data!G416</f>
        <v>425122000000</v>
      </c>
    </row>
    <row r="417" spans="2:5" ht="15" customHeight="1" x14ac:dyDescent="0.3">
      <c r="C417" s="3"/>
      <c r="D417" s="8">
        <v>2022</v>
      </c>
      <c r="E417" s="14">
        <f>Data!G417</f>
        <v>392960000000</v>
      </c>
    </row>
    <row r="418" spans="2:5" ht="15" customHeight="1" x14ac:dyDescent="0.3">
      <c r="C418" s="3"/>
      <c r="D418" s="8">
        <v>2023</v>
      </c>
      <c r="E418" s="14">
        <f>Data!G418</f>
        <v>377348000000</v>
      </c>
    </row>
    <row r="419" spans="2:5" ht="15" customHeight="1" x14ac:dyDescent="0.3">
      <c r="C419" s="3"/>
      <c r="D419" s="8">
        <v>2024</v>
      </c>
      <c r="E419" s="14">
        <f>Data!G419</f>
        <v>378530000000</v>
      </c>
    </row>
    <row r="420" spans="2:5" ht="15" customHeight="1" x14ac:dyDescent="0.3">
      <c r="B420" s="8">
        <v>39</v>
      </c>
      <c r="C420" s="3" t="s">
        <v>33</v>
      </c>
      <c r="D420" s="8">
        <v>2014</v>
      </c>
      <c r="E420" s="14">
        <f>Data!G420</f>
        <v>0</v>
      </c>
    </row>
    <row r="421" spans="2:5" ht="15" customHeight="1" x14ac:dyDescent="0.3">
      <c r="C421" s="3"/>
      <c r="D421" s="8">
        <v>2015</v>
      </c>
      <c r="E421" s="14">
        <f>Data!G421</f>
        <v>1642577000000</v>
      </c>
    </row>
    <row r="422" spans="2:5" ht="15" customHeight="1" x14ac:dyDescent="0.3">
      <c r="C422" s="3"/>
      <c r="D422" s="8">
        <v>2016</v>
      </c>
      <c r="E422" s="14">
        <f>Data!G422</f>
        <v>2028209000000</v>
      </c>
    </row>
    <row r="423" spans="2:5" ht="15" customHeight="1" x14ac:dyDescent="0.3">
      <c r="C423" s="3"/>
      <c r="D423" s="8">
        <v>2017</v>
      </c>
      <c r="E423" s="14">
        <f>Data!G423</f>
        <v>2626619000000</v>
      </c>
    </row>
    <row r="424" spans="2:5" ht="15" customHeight="1" x14ac:dyDescent="0.3">
      <c r="C424" s="3"/>
      <c r="D424" s="8">
        <v>2018</v>
      </c>
      <c r="E424" s="14">
        <f>Data!G424</f>
        <v>2735670000000</v>
      </c>
    </row>
    <row r="425" spans="2:5" ht="15" customHeight="1" x14ac:dyDescent="0.3">
      <c r="C425" s="3"/>
      <c r="D425" s="8">
        <v>2019</v>
      </c>
      <c r="E425" s="14">
        <f>Data!G425</f>
        <v>2726383000000</v>
      </c>
    </row>
    <row r="426" spans="2:5" ht="15" customHeight="1" x14ac:dyDescent="0.3">
      <c r="C426" s="3"/>
      <c r="D426" s="8">
        <v>2020</v>
      </c>
      <c r="E426" s="14">
        <f>Data!G426</f>
        <v>2741223000000</v>
      </c>
    </row>
    <row r="427" spans="2:5" ht="15" customHeight="1" x14ac:dyDescent="0.3">
      <c r="C427" s="3"/>
      <c r="D427" s="8">
        <v>2021</v>
      </c>
      <c r="E427" s="14">
        <f>Data!G427</f>
        <v>2690231000000</v>
      </c>
    </row>
    <row r="428" spans="2:5" ht="15" customHeight="1" x14ac:dyDescent="0.3">
      <c r="C428" s="3"/>
      <c r="D428" s="8">
        <v>2022</v>
      </c>
      <c r="E428" s="14">
        <f>Data!G428</f>
        <v>2650010000000</v>
      </c>
    </row>
    <row r="429" spans="2:5" ht="15" customHeight="1" x14ac:dyDescent="0.3">
      <c r="C429" s="3"/>
      <c r="D429" s="8">
        <v>2023</v>
      </c>
      <c r="E429" s="14">
        <f>Data!G429</f>
        <v>4022226000000</v>
      </c>
    </row>
    <row r="430" spans="2:5" ht="15" customHeight="1" x14ac:dyDescent="0.3">
      <c r="C430" s="3"/>
      <c r="D430" s="8">
        <v>2024</v>
      </c>
      <c r="E430" s="14">
        <f>Data!G430</f>
        <v>3619977000000</v>
      </c>
    </row>
    <row r="431" spans="2:5" ht="15" customHeight="1" x14ac:dyDescent="0.3">
      <c r="B431" s="8">
        <v>40</v>
      </c>
      <c r="C431" s="3" t="s">
        <v>12</v>
      </c>
      <c r="D431" s="8">
        <v>2014</v>
      </c>
      <c r="E431" s="14">
        <f>Data!G431</f>
        <v>0</v>
      </c>
    </row>
    <row r="432" spans="2:5" ht="15" customHeight="1" x14ac:dyDescent="0.3">
      <c r="C432" s="3"/>
      <c r="D432" s="8">
        <v>2015</v>
      </c>
      <c r="E432" s="14">
        <f>Data!G432</f>
        <v>0</v>
      </c>
    </row>
    <row r="433" spans="2:5" ht="15" customHeight="1" x14ac:dyDescent="0.3">
      <c r="C433" s="3"/>
      <c r="D433" s="8">
        <v>2016</v>
      </c>
      <c r="E433" s="14">
        <f>Data!G433</f>
        <v>0</v>
      </c>
    </row>
    <row r="434" spans="2:5" ht="15" customHeight="1" x14ac:dyDescent="0.3">
      <c r="C434" s="3"/>
      <c r="D434" s="8">
        <v>2017</v>
      </c>
      <c r="E434" s="14">
        <f>Data!G434</f>
        <v>0</v>
      </c>
    </row>
    <row r="435" spans="2:5" ht="15" customHeight="1" x14ac:dyDescent="0.3">
      <c r="C435" s="3"/>
      <c r="D435" s="8">
        <v>2018</v>
      </c>
      <c r="E435" s="14">
        <f>Data!G435</f>
        <v>2378498000000</v>
      </c>
    </row>
    <row r="436" spans="2:5" ht="15" customHeight="1" x14ac:dyDescent="0.3">
      <c r="C436" s="3"/>
      <c r="D436" s="8">
        <v>2019</v>
      </c>
      <c r="E436" s="14">
        <f>Data!G436</f>
        <v>2492624000000</v>
      </c>
    </row>
    <row r="437" spans="2:5" ht="15" customHeight="1" x14ac:dyDescent="0.3">
      <c r="C437" s="3"/>
      <c r="D437" s="8">
        <v>2020</v>
      </c>
      <c r="E437" s="14">
        <f>Data!G437</f>
        <v>2412636000000</v>
      </c>
    </row>
    <row r="438" spans="2:5" ht="15" customHeight="1" x14ac:dyDescent="0.3">
      <c r="C438" s="3"/>
      <c r="D438" s="8">
        <v>2021</v>
      </c>
      <c r="E438" s="14">
        <f>Data!G438</f>
        <v>2456501000000</v>
      </c>
    </row>
    <row r="439" spans="2:5" ht="15" customHeight="1" x14ac:dyDescent="0.3">
      <c r="C439" s="3"/>
      <c r="D439" s="8">
        <v>2022</v>
      </c>
      <c r="E439" s="14">
        <f>Data!G439</f>
        <v>2561445000000</v>
      </c>
    </row>
    <row r="440" spans="2:5" ht="15" customHeight="1" x14ac:dyDescent="0.3">
      <c r="C440" s="3"/>
      <c r="D440" s="8">
        <v>2023</v>
      </c>
      <c r="E440" s="14">
        <f>Data!G440</f>
        <v>2481923000000</v>
      </c>
    </row>
    <row r="441" spans="2:5" ht="15" customHeight="1" x14ac:dyDescent="0.3">
      <c r="C441" s="3"/>
      <c r="D441" s="8">
        <v>2024</v>
      </c>
      <c r="E441" s="14">
        <f>Data!G441</f>
        <v>2348307000000</v>
      </c>
    </row>
    <row r="442" spans="2:5" ht="15" customHeight="1" x14ac:dyDescent="0.3">
      <c r="B442" s="8">
        <v>41</v>
      </c>
      <c r="C442" s="3" t="s">
        <v>34</v>
      </c>
      <c r="D442" s="8">
        <v>2014</v>
      </c>
      <c r="E442" s="14">
        <f>Data!G442</f>
        <v>0</v>
      </c>
    </row>
    <row r="443" spans="2:5" ht="15" customHeight="1" x14ac:dyDescent="0.3">
      <c r="C443" s="3"/>
      <c r="D443" s="8">
        <v>2015</v>
      </c>
      <c r="E443" s="14">
        <f>Data!G443</f>
        <v>0</v>
      </c>
    </row>
    <row r="444" spans="2:5" ht="15" customHeight="1" x14ac:dyDescent="0.3">
      <c r="C444" s="3"/>
      <c r="D444" s="8">
        <v>2016</v>
      </c>
      <c r="E444" s="14">
        <f>Data!G444</f>
        <v>0</v>
      </c>
    </row>
    <row r="445" spans="2:5" ht="15" customHeight="1" x14ac:dyDescent="0.3">
      <c r="C445" s="3"/>
      <c r="D445" s="8">
        <v>2017</v>
      </c>
      <c r="E445" s="14">
        <f>Data!G445</f>
        <v>0</v>
      </c>
    </row>
    <row r="446" spans="2:5" ht="15" customHeight="1" x14ac:dyDescent="0.3">
      <c r="C446" s="3"/>
      <c r="D446" s="8">
        <v>2018</v>
      </c>
      <c r="E446" s="14">
        <f>Data!G446</f>
        <v>1484207000000</v>
      </c>
    </row>
    <row r="447" spans="2:5" ht="15" customHeight="1" x14ac:dyDescent="0.3">
      <c r="C447" s="3"/>
      <c r="D447" s="8">
        <v>2019</v>
      </c>
      <c r="E447" s="14">
        <f>Data!G447</f>
        <v>7538924000000</v>
      </c>
    </row>
    <row r="448" spans="2:5" ht="15" customHeight="1" x14ac:dyDescent="0.3">
      <c r="C448" s="3"/>
      <c r="D448" s="8">
        <v>2020</v>
      </c>
      <c r="E448" s="14">
        <f>Data!G448</f>
        <v>13444989000000</v>
      </c>
    </row>
    <row r="449" spans="2:5" ht="15" customHeight="1" x14ac:dyDescent="0.3">
      <c r="C449" s="3"/>
      <c r="D449" s="8">
        <v>2021</v>
      </c>
      <c r="E449" s="14">
        <f>Data!G449</f>
        <v>13618419000000</v>
      </c>
    </row>
    <row r="450" spans="2:5" ht="15" customHeight="1" x14ac:dyDescent="0.3">
      <c r="C450" s="3"/>
      <c r="D450" s="8">
        <v>2022</v>
      </c>
      <c r="E450" s="14">
        <f>Data!G450</f>
        <v>12421466000000</v>
      </c>
    </row>
    <row r="451" spans="2:5" ht="15" customHeight="1" x14ac:dyDescent="0.3">
      <c r="C451" s="3"/>
      <c r="D451" s="8">
        <v>2023</v>
      </c>
      <c r="E451" s="14">
        <f>Data!G451</f>
        <v>9777097000000</v>
      </c>
    </row>
    <row r="452" spans="2:5" ht="15" customHeight="1" x14ac:dyDescent="0.3">
      <c r="C452" s="3"/>
      <c r="D452" s="8">
        <v>2024</v>
      </c>
      <c r="E452" s="14">
        <f>Data!G452</f>
        <v>7842866000000</v>
      </c>
    </row>
    <row r="453" spans="2:5" ht="15" customHeight="1" x14ac:dyDescent="0.3">
      <c r="B453" s="8">
        <v>42</v>
      </c>
      <c r="C453" s="3" t="s">
        <v>14</v>
      </c>
      <c r="D453" s="8">
        <v>2014</v>
      </c>
      <c r="E453" s="14">
        <f>Data!G453</f>
        <v>0</v>
      </c>
    </row>
    <row r="454" spans="2:5" ht="15" customHeight="1" x14ac:dyDescent="0.3">
      <c r="C454" s="3"/>
      <c r="D454" s="8">
        <v>2015</v>
      </c>
      <c r="E454" s="14">
        <f>Data!G454</f>
        <v>2405430040000</v>
      </c>
    </row>
    <row r="455" spans="2:5" ht="15" customHeight="1" x14ac:dyDescent="0.3">
      <c r="C455" s="3"/>
      <c r="D455" s="8">
        <v>2016</v>
      </c>
      <c r="E455" s="14">
        <f>Data!G455</f>
        <v>2607832010000</v>
      </c>
    </row>
    <row r="456" spans="2:5" ht="15" customHeight="1" x14ac:dyDescent="0.3">
      <c r="C456" s="3"/>
      <c r="D456" s="8">
        <v>2017</v>
      </c>
      <c r="E456" s="14">
        <f>Data!G456</f>
        <v>3661165660000</v>
      </c>
    </row>
    <row r="457" spans="2:5" ht="15" customHeight="1" x14ac:dyDescent="0.3">
      <c r="C457" s="3"/>
      <c r="D457" s="8">
        <v>2018</v>
      </c>
      <c r="E457" s="14">
        <f>Data!G457</f>
        <v>4552765330000</v>
      </c>
    </row>
    <row r="458" spans="2:5" ht="15" customHeight="1" x14ac:dyDescent="0.3">
      <c r="C458" s="3"/>
      <c r="D458" s="8">
        <v>2019</v>
      </c>
      <c r="E458" s="14">
        <f>Data!G458</f>
        <v>5934705760000</v>
      </c>
    </row>
    <row r="459" spans="2:5" ht="15" customHeight="1" x14ac:dyDescent="0.3">
      <c r="C459" s="3"/>
      <c r="D459" s="8">
        <v>2020</v>
      </c>
      <c r="E459" s="14">
        <f>Data!G459</f>
        <v>7033128220000</v>
      </c>
    </row>
    <row r="460" spans="2:5" ht="15" customHeight="1" x14ac:dyDescent="0.3">
      <c r="C460" s="3"/>
      <c r="D460" s="8">
        <v>2021</v>
      </c>
      <c r="E460" s="14">
        <f>Data!G460</f>
        <v>8154877340000</v>
      </c>
    </row>
    <row r="461" spans="2:5" ht="15" customHeight="1" x14ac:dyDescent="0.3">
      <c r="C461" s="3"/>
      <c r="D461" s="8">
        <v>2022</v>
      </c>
      <c r="E461" s="14">
        <f>Data!G461</f>
        <v>9927373960000</v>
      </c>
    </row>
    <row r="462" spans="2:5" ht="15" customHeight="1" x14ac:dyDescent="0.3">
      <c r="C462" s="3"/>
      <c r="D462" s="8">
        <v>2023</v>
      </c>
      <c r="E462" s="14">
        <f>Data!G462</f>
        <v>12202897890000</v>
      </c>
    </row>
    <row r="463" spans="2:5" ht="15" customHeight="1" x14ac:dyDescent="0.3">
      <c r="C463" s="3"/>
      <c r="D463" s="8">
        <v>2024</v>
      </c>
      <c r="E463" s="14">
        <f>Data!G463</f>
        <v>13904807770000</v>
      </c>
    </row>
    <row r="464" spans="2:5" ht="15" customHeight="1" x14ac:dyDescent="0.3">
      <c r="B464" s="8">
        <v>43</v>
      </c>
      <c r="C464" s="3" t="s">
        <v>15</v>
      </c>
      <c r="D464" s="8">
        <v>2014</v>
      </c>
      <c r="E464" s="14">
        <f>Data!G464</f>
        <v>0</v>
      </c>
    </row>
    <row r="465" spans="2:5" ht="15" customHeight="1" x14ac:dyDescent="0.3">
      <c r="C465" s="3"/>
      <c r="D465" s="8">
        <v>2015</v>
      </c>
      <c r="E465" s="14">
        <f>Data!G465</f>
        <v>397316560000</v>
      </c>
    </row>
    <row r="466" spans="2:5" ht="15" customHeight="1" x14ac:dyDescent="0.3">
      <c r="C466" s="3"/>
      <c r="D466" s="8">
        <v>2016</v>
      </c>
      <c r="E466" s="14">
        <f>Data!G466</f>
        <v>2179146730000</v>
      </c>
    </row>
    <row r="467" spans="2:5" ht="15" customHeight="1" x14ac:dyDescent="0.3">
      <c r="C467" s="3"/>
      <c r="D467" s="8">
        <v>2017</v>
      </c>
      <c r="E467" s="14">
        <f>Data!G467</f>
        <v>2092063190000</v>
      </c>
    </row>
    <row r="468" spans="2:5" ht="15" customHeight="1" x14ac:dyDescent="0.3">
      <c r="C468" s="3"/>
      <c r="D468" s="8">
        <v>2018</v>
      </c>
      <c r="E468" s="14">
        <f>Data!G468</f>
        <v>2041539070000</v>
      </c>
    </row>
    <row r="469" spans="2:5" ht="15" customHeight="1" x14ac:dyDescent="0.3">
      <c r="C469" s="3"/>
      <c r="D469" s="8">
        <v>2019</v>
      </c>
      <c r="E469" s="14">
        <f>Data!G469</f>
        <v>2042482180000</v>
      </c>
    </row>
    <row r="470" spans="2:5" ht="15" customHeight="1" x14ac:dyDescent="0.3">
      <c r="C470" s="3"/>
      <c r="D470" s="8">
        <v>2020</v>
      </c>
      <c r="E470" s="14">
        <f>Data!G470</f>
        <v>2065906600000</v>
      </c>
    </row>
    <row r="471" spans="2:5" ht="15" customHeight="1" x14ac:dyDescent="0.3">
      <c r="C471" s="3"/>
      <c r="D471" s="8">
        <v>2021</v>
      </c>
      <c r="E471" s="14">
        <f>Data!G471</f>
        <v>2038125650000</v>
      </c>
    </row>
    <row r="472" spans="2:5" ht="15" customHeight="1" x14ac:dyDescent="0.3">
      <c r="C472" s="3"/>
      <c r="D472" s="8">
        <v>2022</v>
      </c>
      <c r="E472" s="14">
        <f>Data!G472</f>
        <v>2063240460000</v>
      </c>
    </row>
    <row r="473" spans="2:5" ht="15" customHeight="1" x14ac:dyDescent="0.3">
      <c r="C473" s="3"/>
      <c r="D473" s="8">
        <v>2023</v>
      </c>
      <c r="E473" s="14">
        <f>Data!G473</f>
        <v>2119874980000</v>
      </c>
    </row>
    <row r="474" spans="2:5" ht="15" customHeight="1" x14ac:dyDescent="0.3">
      <c r="C474" s="3"/>
      <c r="D474" s="8">
        <v>2024</v>
      </c>
      <c r="E474" s="14">
        <f>Data!G474</f>
        <v>2111825970000.0002</v>
      </c>
    </row>
    <row r="475" spans="2:5" ht="15" customHeight="1" x14ac:dyDescent="0.3">
      <c r="B475" s="8">
        <v>44</v>
      </c>
      <c r="C475" s="3" t="s">
        <v>35</v>
      </c>
      <c r="D475" s="8">
        <v>2014</v>
      </c>
      <c r="E475" s="14">
        <f>Data!G475</f>
        <v>0</v>
      </c>
    </row>
    <row r="476" spans="2:5" ht="15" customHeight="1" x14ac:dyDescent="0.3">
      <c r="C476" s="3"/>
      <c r="D476" s="8">
        <v>2015</v>
      </c>
      <c r="E476" s="14">
        <f>Data!G476</f>
        <v>610334000000</v>
      </c>
    </row>
    <row r="477" spans="2:5" ht="15" customHeight="1" x14ac:dyDescent="0.3">
      <c r="C477" s="3"/>
      <c r="D477" s="8">
        <v>2016</v>
      </c>
      <c r="E477" s="14">
        <f>Data!G477</f>
        <v>802706000000</v>
      </c>
    </row>
    <row r="478" spans="2:5" ht="15" customHeight="1" x14ac:dyDescent="0.3">
      <c r="C478" s="3"/>
      <c r="D478" s="8">
        <v>2017</v>
      </c>
      <c r="E478" s="14">
        <f>Data!G478</f>
        <v>978417000000</v>
      </c>
    </row>
    <row r="479" spans="2:5" ht="15" customHeight="1" x14ac:dyDescent="0.3">
      <c r="C479" s="3"/>
      <c r="D479" s="8">
        <v>2018</v>
      </c>
      <c r="E479" s="14">
        <f>Data!G479</f>
        <v>1390323000000</v>
      </c>
    </row>
    <row r="480" spans="2:5" ht="15" customHeight="1" x14ac:dyDescent="0.3">
      <c r="C480" s="3"/>
      <c r="D480" s="8">
        <v>2019</v>
      </c>
      <c r="E480" s="14">
        <f>Data!G480</f>
        <v>1106579000000</v>
      </c>
    </row>
    <row r="481" spans="2:5" ht="15" customHeight="1" x14ac:dyDescent="0.3">
      <c r="C481" s="3"/>
      <c r="D481" s="8">
        <v>2020</v>
      </c>
      <c r="E481" s="14">
        <f>Data!G481</f>
        <v>1002361000000</v>
      </c>
    </row>
    <row r="482" spans="2:5" ht="15" customHeight="1" x14ac:dyDescent="0.3">
      <c r="C482" s="3"/>
      <c r="D482" s="8">
        <v>2021</v>
      </c>
      <c r="E482" s="14">
        <f>Data!G482</f>
        <v>936527000000</v>
      </c>
    </row>
    <row r="483" spans="2:5" ht="15" customHeight="1" x14ac:dyDescent="0.3">
      <c r="C483" s="3"/>
      <c r="D483" s="8">
        <v>2022</v>
      </c>
      <c r="E483" s="14">
        <f>Data!G483</f>
        <v>735547000000</v>
      </c>
    </row>
    <row r="484" spans="2:5" ht="15" customHeight="1" x14ac:dyDescent="0.3">
      <c r="C484" s="3"/>
      <c r="D484" s="8">
        <v>2023</v>
      </c>
      <c r="E484" s="14">
        <f>Data!G484</f>
        <v>962805000000</v>
      </c>
    </row>
    <row r="485" spans="2:5" ht="15" customHeight="1" x14ac:dyDescent="0.3">
      <c r="C485" s="3"/>
      <c r="D485" s="8">
        <v>2024</v>
      </c>
      <c r="E485" s="14">
        <f>Data!G485</f>
        <v>1009145000000</v>
      </c>
    </row>
    <row r="486" spans="2:5" ht="15" customHeight="1" x14ac:dyDescent="0.3">
      <c r="B486" s="8">
        <v>45</v>
      </c>
      <c r="C486" s="3" t="s">
        <v>36</v>
      </c>
      <c r="D486" s="8">
        <v>2014</v>
      </c>
      <c r="E486" s="14">
        <f>Data!G486</f>
        <v>0</v>
      </c>
    </row>
    <row r="487" spans="2:5" ht="15" customHeight="1" x14ac:dyDescent="0.3">
      <c r="C487" s="3"/>
      <c r="D487" s="8">
        <v>2015</v>
      </c>
      <c r="E487" s="14">
        <f>Data!G487</f>
        <v>0</v>
      </c>
    </row>
    <row r="488" spans="2:5" ht="15" customHeight="1" x14ac:dyDescent="0.3">
      <c r="C488" s="3"/>
      <c r="D488" s="8">
        <v>2016</v>
      </c>
      <c r="E488" s="14">
        <f>Data!G488</f>
        <v>0</v>
      </c>
    </row>
    <row r="489" spans="2:5" ht="15" customHeight="1" x14ac:dyDescent="0.3">
      <c r="C489" s="3"/>
      <c r="D489" s="8">
        <v>2017</v>
      </c>
      <c r="E489" s="14">
        <f>Data!G489</f>
        <v>0</v>
      </c>
    </row>
    <row r="490" spans="2:5" ht="15" customHeight="1" x14ac:dyDescent="0.3">
      <c r="C490" s="3"/>
      <c r="D490" s="8">
        <v>2018</v>
      </c>
      <c r="E490" s="14">
        <f>Data!G490</f>
        <v>28475766000000</v>
      </c>
    </row>
    <row r="491" spans="2:5" ht="15" customHeight="1" x14ac:dyDescent="0.3">
      <c r="C491" s="3"/>
      <c r="D491" s="8">
        <v>2019</v>
      </c>
      <c r="E491" s="14">
        <f>Data!G491</f>
        <v>32755714000000</v>
      </c>
    </row>
    <row r="492" spans="2:5" ht="15" customHeight="1" x14ac:dyDescent="0.3">
      <c r="C492" s="3"/>
      <c r="D492" s="8">
        <v>2020</v>
      </c>
      <c r="E492" s="14">
        <f>Data!G492</f>
        <v>28980403000000</v>
      </c>
    </row>
    <row r="493" spans="2:5" ht="15" customHeight="1" x14ac:dyDescent="0.3">
      <c r="C493" s="3"/>
      <c r="D493" s="8">
        <v>2021</v>
      </c>
      <c r="E493" s="14">
        <f>Data!G493</f>
        <v>48671323000000</v>
      </c>
    </row>
    <row r="494" spans="2:5" ht="15" customHeight="1" x14ac:dyDescent="0.3">
      <c r="C494" s="3"/>
      <c r="D494" s="8">
        <v>2022</v>
      </c>
      <c r="E494" s="14">
        <f>Data!G494</f>
        <v>52585440000000</v>
      </c>
    </row>
    <row r="495" spans="2:5" ht="15" customHeight="1" x14ac:dyDescent="0.3">
      <c r="C495" s="3"/>
      <c r="D495" s="8">
        <v>2023</v>
      </c>
      <c r="E495" s="14">
        <f>Data!G495</f>
        <v>55829030000000</v>
      </c>
    </row>
    <row r="496" spans="2:5" ht="15" customHeight="1" x14ac:dyDescent="0.3">
      <c r="C496" s="3"/>
      <c r="D496" s="8">
        <v>2024</v>
      </c>
      <c r="E496" s="14">
        <f>Data!G496</f>
        <v>60598376000000</v>
      </c>
    </row>
    <row r="497" spans="2:5" ht="15" customHeight="1" x14ac:dyDescent="0.3">
      <c r="B497" s="8">
        <v>46</v>
      </c>
      <c r="C497" s="3" t="s">
        <v>16</v>
      </c>
      <c r="D497" s="8">
        <v>2014</v>
      </c>
      <c r="E497" s="14">
        <f>Data!G497</f>
        <v>0</v>
      </c>
    </row>
    <row r="498" spans="2:5" ht="15" customHeight="1" x14ac:dyDescent="0.3">
      <c r="C498" s="3"/>
      <c r="D498" s="8">
        <v>2015</v>
      </c>
      <c r="E498" s="14">
        <f>Data!G498</f>
        <v>0</v>
      </c>
    </row>
    <row r="499" spans="2:5" ht="15" customHeight="1" x14ac:dyDescent="0.3">
      <c r="C499" s="3"/>
      <c r="D499" s="8">
        <v>2016</v>
      </c>
      <c r="E499" s="14">
        <f>Data!G499</f>
        <v>114403000000</v>
      </c>
    </row>
    <row r="500" spans="2:5" ht="15" customHeight="1" x14ac:dyDescent="0.3">
      <c r="C500" s="3"/>
      <c r="D500" s="8">
        <v>2017</v>
      </c>
      <c r="E500" s="14">
        <f>Data!G500</f>
        <v>137120000000</v>
      </c>
    </row>
    <row r="501" spans="2:5" ht="15" customHeight="1" x14ac:dyDescent="0.3">
      <c r="C501" s="3"/>
      <c r="D501" s="8">
        <v>2018</v>
      </c>
      <c r="E501" s="14">
        <f>Data!G501</f>
        <v>162534000000</v>
      </c>
    </row>
    <row r="502" spans="2:5" ht="15" customHeight="1" x14ac:dyDescent="0.3">
      <c r="C502" s="3"/>
      <c r="D502" s="8">
        <v>2019</v>
      </c>
      <c r="E502" s="14">
        <f>Data!G502</f>
        <v>170462000000</v>
      </c>
    </row>
    <row r="503" spans="2:5" ht="15" customHeight="1" x14ac:dyDescent="0.3">
      <c r="C503" s="3"/>
      <c r="D503" s="8">
        <v>2020</v>
      </c>
      <c r="E503" s="14">
        <f>Data!G503</f>
        <v>184950000000</v>
      </c>
    </row>
    <row r="504" spans="2:5" ht="15" customHeight="1" x14ac:dyDescent="0.3">
      <c r="C504" s="3"/>
      <c r="D504" s="8">
        <v>2021</v>
      </c>
      <c r="E504" s="14">
        <f>Data!G504</f>
        <v>235603000000</v>
      </c>
    </row>
    <row r="505" spans="2:5" ht="15" customHeight="1" x14ac:dyDescent="0.3">
      <c r="C505" s="3"/>
      <c r="D505" s="8">
        <v>2022</v>
      </c>
      <c r="E505" s="14">
        <f>Data!G505</f>
        <v>238711000000</v>
      </c>
    </row>
    <row r="506" spans="2:5" ht="15" customHeight="1" x14ac:dyDescent="0.3">
      <c r="C506" s="3"/>
      <c r="D506" s="8">
        <v>2023</v>
      </c>
      <c r="E506" s="14">
        <f>Data!G506</f>
        <v>287420000000</v>
      </c>
    </row>
    <row r="507" spans="2:5" ht="15" customHeight="1" x14ac:dyDescent="0.3">
      <c r="C507" s="3"/>
      <c r="D507" s="8">
        <v>2024</v>
      </c>
      <c r="E507" s="14">
        <f>Data!G507</f>
        <v>306445000000</v>
      </c>
    </row>
    <row r="508" spans="2:5" ht="15" customHeight="1" x14ac:dyDescent="0.3">
      <c r="B508" s="8">
        <v>47</v>
      </c>
      <c r="C508" s="3" t="s">
        <v>17</v>
      </c>
      <c r="D508" s="8">
        <v>2014</v>
      </c>
      <c r="E508" s="14">
        <f>Data!G508</f>
        <v>0</v>
      </c>
    </row>
    <row r="509" spans="2:5" ht="15" customHeight="1" x14ac:dyDescent="0.3">
      <c r="C509" s="3"/>
      <c r="D509" s="8">
        <v>2015</v>
      </c>
      <c r="E509" s="14">
        <f>Data!G509</f>
        <v>0</v>
      </c>
    </row>
    <row r="510" spans="2:5" ht="15" customHeight="1" x14ac:dyDescent="0.3">
      <c r="C510" s="3"/>
      <c r="D510" s="8">
        <v>2016</v>
      </c>
      <c r="E510" s="14">
        <f>Data!G510</f>
        <v>0</v>
      </c>
    </row>
    <row r="511" spans="2:5" ht="15" customHeight="1" x14ac:dyDescent="0.3">
      <c r="C511" s="3"/>
      <c r="D511" s="8">
        <v>2017</v>
      </c>
      <c r="E511" s="14">
        <f>Data!G511</f>
        <v>0</v>
      </c>
    </row>
    <row r="512" spans="2:5" ht="15" customHeight="1" x14ac:dyDescent="0.3">
      <c r="C512" s="3"/>
      <c r="D512" s="8">
        <v>2018</v>
      </c>
      <c r="E512" s="14">
        <f>Data!G512</f>
        <v>0</v>
      </c>
    </row>
    <row r="513" spans="2:5" ht="15" customHeight="1" x14ac:dyDescent="0.3">
      <c r="C513" s="3"/>
      <c r="D513" s="8">
        <v>2019</v>
      </c>
      <c r="E513" s="14">
        <f>Data!G513</f>
        <v>504064360000</v>
      </c>
    </row>
    <row r="514" spans="2:5" ht="15" customHeight="1" x14ac:dyDescent="0.3">
      <c r="C514" s="3"/>
      <c r="D514" s="8">
        <v>2020</v>
      </c>
      <c r="E514" s="14">
        <f>Data!G514</f>
        <v>384395640000</v>
      </c>
    </row>
    <row r="515" spans="2:5" ht="15" customHeight="1" x14ac:dyDescent="0.3">
      <c r="C515" s="3"/>
      <c r="D515" s="8">
        <v>2021</v>
      </c>
      <c r="E515" s="14">
        <f>Data!G515</f>
        <v>376601330000</v>
      </c>
    </row>
    <row r="516" spans="2:5" ht="15" customHeight="1" x14ac:dyDescent="0.3">
      <c r="C516" s="3"/>
      <c r="D516" s="8">
        <v>2022</v>
      </c>
      <c r="E516" s="14">
        <f>Data!G516</f>
        <v>371969000000</v>
      </c>
    </row>
    <row r="517" spans="2:5" ht="15" customHeight="1" x14ac:dyDescent="0.3">
      <c r="C517" s="3"/>
      <c r="D517" s="8">
        <v>2023</v>
      </c>
      <c r="E517" s="14">
        <f>Data!G517</f>
        <v>405875000000</v>
      </c>
    </row>
    <row r="518" spans="2:5" ht="15" customHeight="1" x14ac:dyDescent="0.3">
      <c r="C518" s="3"/>
      <c r="D518" s="8">
        <v>2024</v>
      </c>
      <c r="E518" s="14">
        <f>Data!G518</f>
        <v>693393000000</v>
      </c>
    </row>
    <row r="519" spans="2:5" ht="15" customHeight="1" x14ac:dyDescent="0.3">
      <c r="B519" s="8">
        <v>48</v>
      </c>
      <c r="C519" s="3" t="s">
        <v>26</v>
      </c>
      <c r="D519" s="8">
        <v>2014</v>
      </c>
      <c r="E519" s="14">
        <f>Data!G519</f>
        <v>0</v>
      </c>
    </row>
    <row r="520" spans="2:5" ht="15" customHeight="1" x14ac:dyDescent="0.3">
      <c r="C520" s="3"/>
      <c r="D520" s="8">
        <v>2015</v>
      </c>
      <c r="E520" s="14">
        <f>Data!G520</f>
        <v>15348592390000</v>
      </c>
    </row>
    <row r="521" spans="2:5" ht="15" customHeight="1" x14ac:dyDescent="0.3">
      <c r="C521" s="3"/>
      <c r="D521" s="8">
        <v>2016</v>
      </c>
      <c r="E521" s="14">
        <f>Data!G521</f>
        <v>15860037150000</v>
      </c>
    </row>
    <row r="522" spans="2:5" ht="15" customHeight="1" x14ac:dyDescent="0.3">
      <c r="C522" s="3"/>
      <c r="D522" s="8">
        <v>2017</v>
      </c>
      <c r="E522" s="14">
        <f>Data!G522</f>
        <v>15534781440000</v>
      </c>
    </row>
    <row r="523" spans="2:5" ht="15" customHeight="1" x14ac:dyDescent="0.3">
      <c r="C523" s="3"/>
      <c r="D523" s="8">
        <v>2018</v>
      </c>
      <c r="E523" s="14">
        <f>Data!G523</f>
        <v>14646070810000</v>
      </c>
    </row>
    <row r="524" spans="2:5" ht="15" customHeight="1" x14ac:dyDescent="0.3">
      <c r="C524" s="3"/>
      <c r="D524" s="8">
        <v>2019</v>
      </c>
      <c r="E524" s="14">
        <f>Data!G524</f>
        <v>15520643350000</v>
      </c>
    </row>
    <row r="525" spans="2:5" ht="15" customHeight="1" x14ac:dyDescent="0.3">
      <c r="C525" s="3"/>
      <c r="D525" s="8">
        <v>2020</v>
      </c>
      <c r="E525" s="14">
        <f>Data!G525</f>
        <v>15214292140000</v>
      </c>
    </row>
    <row r="526" spans="2:5" ht="15" customHeight="1" x14ac:dyDescent="0.3">
      <c r="C526" s="3"/>
      <c r="D526" s="8">
        <v>2021</v>
      </c>
      <c r="E526" s="14">
        <f>Data!G526</f>
        <v>15792655920000</v>
      </c>
    </row>
    <row r="527" spans="2:5" ht="15" customHeight="1" x14ac:dyDescent="0.3">
      <c r="C527" s="3"/>
      <c r="D527" s="8">
        <v>2022</v>
      </c>
      <c r="E527" s="14">
        <f>Data!G527</f>
        <v>14863256240000</v>
      </c>
    </row>
    <row r="528" spans="2:5" ht="15" customHeight="1" x14ac:dyDescent="0.3">
      <c r="C528" s="3"/>
      <c r="D528" s="8">
        <v>2023</v>
      </c>
      <c r="E528" s="14">
        <f>Data!G528</f>
        <v>14368742350000</v>
      </c>
    </row>
    <row r="529" spans="2:5" ht="15" customHeight="1" x14ac:dyDescent="0.3">
      <c r="C529" s="3"/>
      <c r="D529" s="8">
        <v>2024</v>
      </c>
      <c r="E529" s="14">
        <f>Data!G529</f>
        <v>14072702040000</v>
      </c>
    </row>
    <row r="530" spans="2:5" ht="15" customHeight="1" x14ac:dyDescent="0.3">
      <c r="B530" s="8">
        <v>49</v>
      </c>
      <c r="C530" s="3" t="s">
        <v>38</v>
      </c>
      <c r="D530" s="8">
        <v>2014</v>
      </c>
      <c r="E530" s="14">
        <f>Data!G530</f>
        <v>0</v>
      </c>
    </row>
    <row r="531" spans="2:5" ht="15" customHeight="1" x14ac:dyDescent="0.3">
      <c r="C531" s="3"/>
      <c r="D531" s="8">
        <v>2015</v>
      </c>
      <c r="E531" s="14">
        <f>Data!G531</f>
        <v>0</v>
      </c>
    </row>
    <row r="532" spans="2:5" ht="15" customHeight="1" x14ac:dyDescent="0.3">
      <c r="C532" s="3"/>
      <c r="D532" s="8">
        <v>2016</v>
      </c>
      <c r="E532" s="14">
        <f>Data!G532</f>
        <v>130830000000</v>
      </c>
    </row>
    <row r="533" spans="2:5" ht="15" customHeight="1" x14ac:dyDescent="0.3">
      <c r="C533" s="3"/>
      <c r="D533" s="8">
        <v>2017</v>
      </c>
      <c r="E533" s="14">
        <f>Data!G533</f>
        <v>113846000000</v>
      </c>
    </row>
    <row r="534" spans="2:5" ht="15" customHeight="1" x14ac:dyDescent="0.3">
      <c r="C534" s="3"/>
      <c r="D534" s="8">
        <v>2018</v>
      </c>
      <c r="E534" s="14">
        <f>Data!G534</f>
        <v>259861000000</v>
      </c>
    </row>
    <row r="535" spans="2:5" ht="15" customHeight="1" x14ac:dyDescent="0.3">
      <c r="C535" s="3"/>
      <c r="D535" s="8">
        <v>2019</v>
      </c>
      <c r="E535" s="14">
        <f>Data!G535</f>
        <v>1042407000000</v>
      </c>
    </row>
    <row r="536" spans="2:5" ht="15" customHeight="1" x14ac:dyDescent="0.3">
      <c r="C536" s="3"/>
      <c r="D536" s="8">
        <v>2020</v>
      </c>
      <c r="E536" s="14">
        <f>Data!G536</f>
        <v>1732276000000</v>
      </c>
    </row>
    <row r="537" spans="2:5" ht="15" customHeight="1" x14ac:dyDescent="0.3">
      <c r="C537" s="3"/>
      <c r="D537" s="8">
        <v>2021</v>
      </c>
      <c r="E537" s="14">
        <f>Data!G537</f>
        <v>2538317000000</v>
      </c>
    </row>
    <row r="538" spans="2:5" ht="15" customHeight="1" x14ac:dyDescent="0.3">
      <c r="C538" s="3"/>
      <c r="D538" s="8">
        <v>2022</v>
      </c>
      <c r="E538" s="14">
        <f>Data!G538</f>
        <v>2772112000000</v>
      </c>
    </row>
    <row r="539" spans="2:5" ht="15" customHeight="1" x14ac:dyDescent="0.3">
      <c r="C539" s="3"/>
      <c r="D539" s="8">
        <v>2023</v>
      </c>
      <c r="E539" s="14">
        <f>Data!G539</f>
        <v>2933798000000</v>
      </c>
    </row>
    <row r="540" spans="2:5" ht="15" customHeight="1" x14ac:dyDescent="0.3">
      <c r="C540" s="3"/>
      <c r="D540" s="8">
        <v>2024</v>
      </c>
      <c r="E540" s="14">
        <f>Data!G540</f>
        <v>3369312000000</v>
      </c>
    </row>
    <row r="541" spans="2:5" ht="15" customHeight="1" x14ac:dyDescent="0.3">
      <c r="B541" s="8">
        <v>50</v>
      </c>
      <c r="C541" s="3" t="s">
        <v>39</v>
      </c>
      <c r="D541" s="8">
        <v>2014</v>
      </c>
      <c r="E541" s="14">
        <f>Data!G541</f>
        <v>0</v>
      </c>
    </row>
    <row r="542" spans="2:5" ht="15" customHeight="1" x14ac:dyDescent="0.3">
      <c r="C542" s="3"/>
      <c r="D542" s="8">
        <v>2015</v>
      </c>
      <c r="E542" s="14">
        <f>Data!G542</f>
        <v>8887980000000</v>
      </c>
    </row>
    <row r="543" spans="2:5" ht="15" customHeight="1" x14ac:dyDescent="0.3">
      <c r="C543" s="3"/>
      <c r="D543" s="8">
        <v>2016</v>
      </c>
      <c r="E543" s="14">
        <f>Data!G543</f>
        <v>9079542000000</v>
      </c>
    </row>
    <row r="544" spans="2:5" ht="15" customHeight="1" x14ac:dyDescent="0.3">
      <c r="C544" s="3"/>
      <c r="D544" s="8">
        <v>2017</v>
      </c>
      <c r="E544" s="14">
        <f>Data!G544</f>
        <v>9158871000000</v>
      </c>
    </row>
    <row r="545" spans="2:5" ht="15" customHeight="1" x14ac:dyDescent="0.3">
      <c r="C545" s="3"/>
      <c r="D545" s="8">
        <v>2018</v>
      </c>
      <c r="E545" s="14">
        <f>Data!G545</f>
        <v>9082567000000</v>
      </c>
    </row>
    <row r="546" spans="2:5" ht="15" customHeight="1" x14ac:dyDescent="0.3">
      <c r="C546" s="3"/>
      <c r="D546" s="8">
        <v>2019</v>
      </c>
      <c r="E546" s="14">
        <f>Data!G546</f>
        <v>9112658000000</v>
      </c>
    </row>
    <row r="547" spans="2:5" ht="15" customHeight="1" x14ac:dyDescent="0.3">
      <c r="C547" s="3"/>
      <c r="D547" s="8">
        <v>2020</v>
      </c>
      <c r="E547" s="14">
        <f>Data!G547</f>
        <v>9641705000000</v>
      </c>
    </row>
    <row r="548" spans="2:5" ht="15" customHeight="1" x14ac:dyDescent="0.3">
      <c r="C548" s="3"/>
      <c r="D548" s="8">
        <v>2021</v>
      </c>
      <c r="E548" s="14">
        <f>Data!G548</f>
        <v>9598517000000</v>
      </c>
    </row>
    <row r="549" spans="2:5" ht="15" customHeight="1" x14ac:dyDescent="0.3">
      <c r="C549" s="3"/>
      <c r="D549" s="8">
        <v>2022</v>
      </c>
      <c r="E549" s="14">
        <f>Data!G549</f>
        <v>8650793000000</v>
      </c>
    </row>
    <row r="550" spans="2:5" ht="15" customHeight="1" x14ac:dyDescent="0.3">
      <c r="C550" s="3"/>
      <c r="D550" s="8">
        <v>2023</v>
      </c>
      <c r="E550" s="14">
        <f>Data!G550</f>
        <v>8978472000000</v>
      </c>
    </row>
    <row r="551" spans="2:5" ht="15" customHeight="1" x14ac:dyDescent="0.3">
      <c r="C551" s="3"/>
      <c r="D551" s="8">
        <v>2024</v>
      </c>
      <c r="E551" s="14">
        <f>Data!G551</f>
        <v>8986258000000</v>
      </c>
    </row>
    <row r="552" spans="2:5" ht="15" customHeight="1" x14ac:dyDescent="0.3">
      <c r="B552" s="8">
        <v>51</v>
      </c>
      <c r="C552" s="3" t="s">
        <v>48</v>
      </c>
      <c r="D552" s="8">
        <v>2014</v>
      </c>
      <c r="E552" s="14">
        <f>Data!G552</f>
        <v>0</v>
      </c>
    </row>
    <row r="553" spans="2:5" ht="15" customHeight="1" x14ac:dyDescent="0.3">
      <c r="C553" s="3"/>
      <c r="D553" s="8">
        <v>2015</v>
      </c>
      <c r="E553" s="14">
        <f>Data!G553</f>
        <v>0</v>
      </c>
    </row>
    <row r="554" spans="2:5" ht="15" customHeight="1" x14ac:dyDescent="0.3">
      <c r="C554" s="3"/>
      <c r="D554" s="8">
        <v>2016</v>
      </c>
      <c r="E554" s="14">
        <f>Data!G554</f>
        <v>0</v>
      </c>
    </row>
    <row r="555" spans="2:5" ht="15" customHeight="1" x14ac:dyDescent="0.3">
      <c r="C555" s="3"/>
      <c r="D555" s="8">
        <v>2017</v>
      </c>
      <c r="E555" s="14">
        <f>Data!G555</f>
        <v>0</v>
      </c>
    </row>
    <row r="556" spans="2:5" ht="15" customHeight="1" x14ac:dyDescent="0.3">
      <c r="C556" s="3"/>
      <c r="D556" s="8">
        <v>2018</v>
      </c>
      <c r="E556" s="14">
        <f>Data!G556</f>
        <v>0</v>
      </c>
    </row>
    <row r="557" spans="2:5" ht="15" customHeight="1" x14ac:dyDescent="0.3">
      <c r="C557" s="3"/>
      <c r="D557" s="8">
        <v>2019</v>
      </c>
      <c r="E557" s="14">
        <f>Data!G557</f>
        <v>1697933000000</v>
      </c>
    </row>
    <row r="558" spans="2:5" ht="15" customHeight="1" x14ac:dyDescent="0.3">
      <c r="C558" s="3"/>
      <c r="D558" s="8">
        <v>2020</v>
      </c>
      <c r="E558" s="14">
        <f>Data!G558</f>
        <v>1957853000000</v>
      </c>
    </row>
    <row r="559" spans="2:5" ht="15" customHeight="1" x14ac:dyDescent="0.3">
      <c r="C559" s="3"/>
      <c r="D559" s="8">
        <v>2021</v>
      </c>
      <c r="E559" s="14">
        <f>Data!G559</f>
        <v>2100153000000</v>
      </c>
    </row>
    <row r="560" spans="2:5" ht="15" customHeight="1" x14ac:dyDescent="0.3">
      <c r="C560" s="3"/>
      <c r="D560" s="8">
        <v>2022</v>
      </c>
      <c r="E560" s="14">
        <f>Data!G560</f>
        <v>2377506000000</v>
      </c>
    </row>
    <row r="561" spans="2:5" ht="15" customHeight="1" x14ac:dyDescent="0.3">
      <c r="C561" s="3"/>
      <c r="D561" s="8">
        <v>2023</v>
      </c>
      <c r="E561" s="14">
        <f>Data!G561</f>
        <v>2877857000000</v>
      </c>
    </row>
    <row r="562" spans="2:5" ht="15" customHeight="1" x14ac:dyDescent="0.3">
      <c r="C562" s="3"/>
      <c r="D562" s="8">
        <v>2024</v>
      </c>
      <c r="E562" s="14">
        <f>Data!G562</f>
        <v>3111702000000</v>
      </c>
    </row>
    <row r="563" spans="2:5" ht="15" customHeight="1" x14ac:dyDescent="0.3">
      <c r="B563" s="8">
        <v>52</v>
      </c>
      <c r="C563" s="3" t="s">
        <v>37</v>
      </c>
      <c r="D563" s="8">
        <v>2014</v>
      </c>
      <c r="E563" s="14">
        <f>Data!G563</f>
        <v>0</v>
      </c>
    </row>
    <row r="564" spans="2:5" ht="15" customHeight="1" x14ac:dyDescent="0.3">
      <c r="C564" s="3"/>
      <c r="D564" s="8">
        <v>2015</v>
      </c>
      <c r="E564" s="14">
        <f>Data!G564</f>
        <v>233945000000</v>
      </c>
    </row>
    <row r="565" spans="2:5" ht="15" customHeight="1" x14ac:dyDescent="0.3">
      <c r="C565" s="3"/>
      <c r="D565" s="8">
        <v>2016</v>
      </c>
      <c r="E565" s="14">
        <f>Data!G565</f>
        <v>423296000000</v>
      </c>
    </row>
    <row r="566" spans="2:5" ht="15" customHeight="1" x14ac:dyDescent="0.3">
      <c r="C566" s="3"/>
      <c r="D566" s="8">
        <v>2017</v>
      </c>
      <c r="E566" s="14">
        <f>Data!G566</f>
        <v>741105000000</v>
      </c>
    </row>
    <row r="567" spans="2:5" ht="15" customHeight="1" x14ac:dyDescent="0.3">
      <c r="C567" s="3"/>
      <c r="D567" s="8">
        <v>2018</v>
      </c>
      <c r="E567" s="14">
        <f>Data!G567</f>
        <v>1011939000000</v>
      </c>
    </row>
    <row r="568" spans="2:5" ht="15" customHeight="1" x14ac:dyDescent="0.3">
      <c r="C568" s="3"/>
      <c r="D568" s="8">
        <v>2019</v>
      </c>
      <c r="E568" s="14">
        <f>Data!G568</f>
        <v>1335416000000</v>
      </c>
    </row>
    <row r="569" spans="2:5" ht="15" customHeight="1" x14ac:dyDescent="0.3">
      <c r="C569" s="3"/>
      <c r="D569" s="8">
        <v>2020</v>
      </c>
      <c r="E569" s="14">
        <f>Data!G569</f>
        <v>1779231000000</v>
      </c>
    </row>
    <row r="570" spans="2:5" ht="15" customHeight="1" x14ac:dyDescent="0.3">
      <c r="C570" s="3"/>
      <c r="D570" s="8">
        <v>2021</v>
      </c>
      <c r="E570" s="14">
        <f>Data!G570</f>
        <v>2080340000000</v>
      </c>
    </row>
    <row r="571" spans="2:5" ht="15" customHeight="1" x14ac:dyDescent="0.3">
      <c r="C571" s="3"/>
      <c r="D571" s="8">
        <v>2022</v>
      </c>
      <c r="E571" s="14">
        <f>Data!G571</f>
        <v>1986810000000</v>
      </c>
    </row>
    <row r="572" spans="2:5" ht="15" customHeight="1" x14ac:dyDescent="0.3">
      <c r="C572" s="3"/>
      <c r="D572" s="8">
        <v>2023</v>
      </c>
      <c r="E572" s="14">
        <f>Data!G572</f>
        <v>2162993000000</v>
      </c>
    </row>
    <row r="573" spans="2:5" ht="15" customHeight="1" x14ac:dyDescent="0.3">
      <c r="C573" s="3"/>
      <c r="D573" s="8">
        <v>2024</v>
      </c>
      <c r="E573" s="14">
        <f>Data!G573</f>
        <v>2029003000000</v>
      </c>
    </row>
    <row r="574" spans="2:5" ht="15" customHeight="1" x14ac:dyDescent="0.3">
      <c r="B574" s="8">
        <v>53</v>
      </c>
      <c r="C574" s="3" t="s">
        <v>43</v>
      </c>
      <c r="D574" s="8">
        <v>2014</v>
      </c>
      <c r="E574" s="14">
        <f>Data!G574</f>
        <v>0</v>
      </c>
    </row>
    <row r="575" spans="2:5" ht="15" customHeight="1" x14ac:dyDescent="0.3">
      <c r="C575" s="3"/>
      <c r="D575" s="8">
        <v>2015</v>
      </c>
      <c r="E575" s="14">
        <f>Data!G575</f>
        <v>0</v>
      </c>
    </row>
    <row r="576" spans="2:5" ht="15" customHeight="1" x14ac:dyDescent="0.3">
      <c r="C576" s="3"/>
      <c r="D576" s="8">
        <v>2016</v>
      </c>
      <c r="E576" s="14">
        <f>Data!G576</f>
        <v>60793273000000</v>
      </c>
    </row>
    <row r="577" spans="2:5" ht="15" customHeight="1" x14ac:dyDescent="0.3">
      <c r="C577" s="3"/>
      <c r="D577" s="8">
        <v>2017</v>
      </c>
      <c r="E577" s="14">
        <f>Data!G577</f>
        <v>71757702000000</v>
      </c>
    </row>
    <row r="578" spans="2:5" ht="15" customHeight="1" x14ac:dyDescent="0.3">
      <c r="C578" s="3"/>
      <c r="D578" s="8">
        <v>2018</v>
      </c>
      <c r="E578" s="14">
        <f>Data!G578</f>
        <v>67767980000000</v>
      </c>
    </row>
    <row r="579" spans="2:5" ht="15" customHeight="1" x14ac:dyDescent="0.3">
      <c r="C579" s="3"/>
      <c r="D579" s="8">
        <v>2019</v>
      </c>
      <c r="E579" s="14">
        <f>Data!G579</f>
        <v>71619133000000</v>
      </c>
    </row>
    <row r="580" spans="2:5" ht="15" customHeight="1" x14ac:dyDescent="0.3">
      <c r="C580" s="3"/>
      <c r="D580" s="8">
        <v>2020</v>
      </c>
      <c r="E580" s="14">
        <f>Data!G580</f>
        <v>67396709000000</v>
      </c>
    </row>
    <row r="581" spans="2:5" ht="15" customHeight="1" x14ac:dyDescent="0.3">
      <c r="C581" s="3"/>
      <c r="D581" s="8">
        <v>2021</v>
      </c>
      <c r="E581" s="14">
        <f>Data!G581</f>
        <v>64403397000000</v>
      </c>
    </row>
    <row r="582" spans="2:5" ht="15" customHeight="1" x14ac:dyDescent="0.3">
      <c r="C582" s="3"/>
      <c r="D582" s="8">
        <v>2022</v>
      </c>
      <c r="E582" s="14">
        <f>Data!G582</f>
        <v>61327114000000</v>
      </c>
    </row>
    <row r="583" spans="2:5" ht="15" customHeight="1" x14ac:dyDescent="0.3">
      <c r="C583" s="3"/>
      <c r="D583" s="8">
        <v>2023</v>
      </c>
      <c r="E583" s="14">
        <f>Data!G583</f>
        <v>60222226000000</v>
      </c>
    </row>
    <row r="584" spans="2:5" ht="15" customHeight="1" x14ac:dyDescent="0.3">
      <c r="C584" s="3"/>
      <c r="D584" s="8">
        <v>2024</v>
      </c>
      <c r="E584" s="14">
        <f>Data!G584</f>
        <v>57560023000000</v>
      </c>
    </row>
    <row r="585" spans="2:5" ht="15" customHeight="1" x14ac:dyDescent="0.3">
      <c r="B585" s="8">
        <v>54</v>
      </c>
      <c r="C585" s="4" t="s">
        <v>150</v>
      </c>
      <c r="D585" s="8">
        <v>2014</v>
      </c>
      <c r="E585" s="14">
        <f>Data!G585</f>
        <v>0</v>
      </c>
    </row>
    <row r="586" spans="2:5" ht="15" customHeight="1" x14ac:dyDescent="0.3">
      <c r="C586" s="4"/>
      <c r="D586" s="8">
        <v>2015</v>
      </c>
      <c r="E586" s="14">
        <f>Data!G586</f>
        <v>0</v>
      </c>
    </row>
    <row r="587" spans="2:5" ht="15" customHeight="1" x14ac:dyDescent="0.3">
      <c r="C587" s="4"/>
      <c r="D587" s="8">
        <v>2016</v>
      </c>
      <c r="E587" s="14">
        <f>Data!G587</f>
        <v>0</v>
      </c>
    </row>
    <row r="588" spans="2:5" ht="15" customHeight="1" x14ac:dyDescent="0.3">
      <c r="C588" s="4"/>
      <c r="D588" s="8">
        <v>2017</v>
      </c>
      <c r="E588" s="14">
        <f>Data!G588</f>
        <v>0</v>
      </c>
    </row>
    <row r="589" spans="2:5" ht="15" customHeight="1" x14ac:dyDescent="0.3">
      <c r="C589" s="4"/>
      <c r="D589" s="8">
        <v>2018</v>
      </c>
      <c r="E589" s="14">
        <f>Data!G589</f>
        <v>0</v>
      </c>
    </row>
    <row r="590" spans="2:5" ht="15" customHeight="1" x14ac:dyDescent="0.3">
      <c r="C590" s="4"/>
      <c r="D590" s="8">
        <v>2019</v>
      </c>
      <c r="E590" s="14">
        <f>Data!G590</f>
        <v>0</v>
      </c>
    </row>
    <row r="591" spans="2:5" ht="15" customHeight="1" x14ac:dyDescent="0.3">
      <c r="C591" s="4"/>
      <c r="D591" s="8">
        <v>2020</v>
      </c>
      <c r="E591" s="14">
        <f>Data!G591</f>
        <v>0</v>
      </c>
    </row>
    <row r="592" spans="2:5" ht="15" customHeight="1" x14ac:dyDescent="0.3">
      <c r="C592" s="4"/>
      <c r="D592" s="8">
        <v>2021</v>
      </c>
      <c r="E592" s="14">
        <f>Data!G592</f>
        <v>101008000000</v>
      </c>
    </row>
    <row r="593" spans="2:5" ht="15" customHeight="1" x14ac:dyDescent="0.3">
      <c r="C593" s="4"/>
      <c r="D593" s="8">
        <v>2022</v>
      </c>
      <c r="E593" s="14">
        <f>Data!G593</f>
        <v>6700834000000</v>
      </c>
    </row>
    <row r="594" spans="2:5" ht="15" customHeight="1" x14ac:dyDescent="0.3">
      <c r="C594" s="4"/>
      <c r="D594" s="8">
        <v>2023</v>
      </c>
      <c r="E594" s="14">
        <f>Data!G594</f>
        <v>6672476000000</v>
      </c>
    </row>
    <row r="595" spans="2:5" ht="15" customHeight="1" x14ac:dyDescent="0.3">
      <c r="C595" s="4"/>
      <c r="D595" s="8">
        <v>2024</v>
      </c>
      <c r="E595" s="14">
        <f>Data!G595</f>
        <v>6628170000000</v>
      </c>
    </row>
    <row r="596" spans="2:5" ht="15" customHeight="1" x14ac:dyDescent="0.3">
      <c r="B596" s="8">
        <v>55</v>
      </c>
      <c r="C596" s="3" t="s">
        <v>40</v>
      </c>
      <c r="D596" s="8">
        <v>2014</v>
      </c>
      <c r="E596" s="14">
        <f>Data!G596</f>
        <v>0</v>
      </c>
    </row>
    <row r="597" spans="2:5" ht="15" customHeight="1" x14ac:dyDescent="0.3">
      <c r="C597" s="3"/>
      <c r="D597" s="8">
        <v>2015</v>
      </c>
      <c r="E597" s="14">
        <f>Data!G597</f>
        <v>6060345000000</v>
      </c>
    </row>
    <row r="598" spans="2:5" ht="15" customHeight="1" x14ac:dyDescent="0.3">
      <c r="C598" s="3"/>
      <c r="D598" s="8">
        <v>2016</v>
      </c>
      <c r="E598" s="14">
        <f>Data!G598</f>
        <v>9618219000000</v>
      </c>
    </row>
    <row r="599" spans="2:5" ht="15" customHeight="1" x14ac:dyDescent="0.3">
      <c r="C599" s="3"/>
      <c r="D599" s="8">
        <v>2017</v>
      </c>
      <c r="E599" s="14">
        <f>Data!G599</f>
        <v>11742806000000</v>
      </c>
    </row>
    <row r="600" spans="2:5" ht="15" customHeight="1" x14ac:dyDescent="0.3">
      <c r="C600" s="3"/>
      <c r="D600" s="8">
        <v>2018</v>
      </c>
      <c r="E600" s="14">
        <f>Data!G600</f>
        <v>11996023000000</v>
      </c>
    </row>
    <row r="601" spans="2:5" ht="15" customHeight="1" x14ac:dyDescent="0.3">
      <c r="C601" s="3"/>
      <c r="D601" s="8">
        <v>2019</v>
      </c>
      <c r="E601" s="14">
        <f>Data!G601</f>
        <v>13386719000000</v>
      </c>
    </row>
    <row r="602" spans="2:5" ht="15" customHeight="1" x14ac:dyDescent="0.3">
      <c r="C602" s="3"/>
      <c r="D602" s="8">
        <v>2020</v>
      </c>
      <c r="E602" s="14">
        <f>Data!G602</f>
        <v>14446272000000</v>
      </c>
    </row>
    <row r="603" spans="2:5" ht="15" customHeight="1" x14ac:dyDescent="0.3">
      <c r="C603" s="3"/>
      <c r="D603" s="8">
        <v>2021</v>
      </c>
      <c r="E603" s="14">
        <f>Data!G603</f>
        <v>15389456000000</v>
      </c>
    </row>
    <row r="604" spans="2:5" ht="15" customHeight="1" x14ac:dyDescent="0.3">
      <c r="C604" s="3"/>
      <c r="D604" s="8">
        <v>2022</v>
      </c>
      <c r="E604" s="14">
        <f>Data!G604</f>
        <v>20936453000000</v>
      </c>
    </row>
    <row r="605" spans="2:5" ht="15" customHeight="1" x14ac:dyDescent="0.3">
      <c r="C605" s="3"/>
      <c r="D605" s="8">
        <v>2023</v>
      </c>
      <c r="E605" s="14">
        <f>Data!G605</f>
        <v>20527159000000</v>
      </c>
    </row>
    <row r="606" spans="2:5" ht="15" customHeight="1" x14ac:dyDescent="0.3">
      <c r="C606" s="3"/>
      <c r="D606" s="8">
        <v>2024</v>
      </c>
      <c r="E606" s="14">
        <f>Data!G606</f>
        <v>19441396000000</v>
      </c>
    </row>
    <row r="607" spans="2:5" ht="15" customHeight="1" x14ac:dyDescent="0.3">
      <c r="B607" s="8">
        <v>56</v>
      </c>
      <c r="C607" s="3" t="s">
        <v>47</v>
      </c>
      <c r="D607" s="8">
        <v>2014</v>
      </c>
      <c r="E607" s="14">
        <f>Data!G607</f>
        <v>0</v>
      </c>
    </row>
    <row r="608" spans="2:5" ht="15" customHeight="1" x14ac:dyDescent="0.3">
      <c r="C608" s="3"/>
      <c r="D608" s="8">
        <v>2015</v>
      </c>
      <c r="E608" s="14">
        <f>Data!G608</f>
        <v>791528000000</v>
      </c>
    </row>
    <row r="609" spans="2:5" ht="15" customHeight="1" x14ac:dyDescent="0.3">
      <c r="C609" s="3"/>
      <c r="D609" s="8">
        <v>2016</v>
      </c>
      <c r="E609" s="14">
        <f>Data!G609</f>
        <v>1192863000000</v>
      </c>
    </row>
    <row r="610" spans="2:5" ht="15" customHeight="1" x14ac:dyDescent="0.3">
      <c r="C610" s="3"/>
      <c r="D610" s="8">
        <v>2017</v>
      </c>
      <c r="E610" s="14">
        <f>Data!G610</f>
        <v>2300432000000</v>
      </c>
    </row>
    <row r="611" spans="2:5" ht="15" customHeight="1" x14ac:dyDescent="0.3">
      <c r="C611" s="3"/>
      <c r="D611" s="8">
        <v>2018</v>
      </c>
      <c r="E611" s="14">
        <f>Data!G611</f>
        <v>2364703000000</v>
      </c>
    </row>
    <row r="612" spans="2:5" ht="15" customHeight="1" x14ac:dyDescent="0.3">
      <c r="C612" s="3"/>
      <c r="D612" s="8">
        <v>2019</v>
      </c>
      <c r="E612" s="14">
        <f>Data!G612</f>
        <v>2454333000000</v>
      </c>
    </row>
    <row r="613" spans="2:5" ht="15" customHeight="1" x14ac:dyDescent="0.3">
      <c r="C613" s="3"/>
      <c r="D613" s="8">
        <v>2020</v>
      </c>
      <c r="E613" s="14">
        <f>Data!G613</f>
        <v>2494484000000</v>
      </c>
    </row>
    <row r="614" spans="2:5" ht="15" customHeight="1" x14ac:dyDescent="0.3">
      <c r="C614" s="3"/>
      <c r="D614" s="8">
        <v>2021</v>
      </c>
      <c r="E614" s="14">
        <f>Data!G614</f>
        <v>2367310000000</v>
      </c>
    </row>
    <row r="615" spans="2:5" ht="15" customHeight="1" x14ac:dyDescent="0.3">
      <c r="C615" s="3"/>
      <c r="D615" s="8">
        <v>2022</v>
      </c>
      <c r="E615" s="14">
        <f>Data!G615</f>
        <v>2250592000000</v>
      </c>
    </row>
    <row r="616" spans="2:5" ht="15" customHeight="1" x14ac:dyDescent="0.3">
      <c r="C616" s="3"/>
      <c r="D616" s="8">
        <v>2023</v>
      </c>
      <c r="E616" s="14">
        <f>Data!G616</f>
        <v>2041725000000</v>
      </c>
    </row>
    <row r="617" spans="2:5" ht="15" customHeight="1" x14ac:dyDescent="0.3">
      <c r="C617" s="3"/>
      <c r="D617" s="8">
        <v>2024</v>
      </c>
      <c r="E617" s="14">
        <f>Data!G617</f>
        <v>1857834000000</v>
      </c>
    </row>
    <row r="618" spans="2:5" ht="15" customHeight="1" x14ac:dyDescent="0.3">
      <c r="B618" s="8">
        <v>57</v>
      </c>
      <c r="C618" s="3" t="s">
        <v>41</v>
      </c>
      <c r="D618" s="8">
        <v>2014</v>
      </c>
      <c r="E618" s="14">
        <f>Data!G618</f>
        <v>0</v>
      </c>
    </row>
    <row r="619" spans="2:5" ht="15" customHeight="1" x14ac:dyDescent="0.3">
      <c r="C619" s="3"/>
      <c r="D619" s="8">
        <v>2015</v>
      </c>
      <c r="E619" s="14">
        <f>Data!G619</f>
        <v>0</v>
      </c>
    </row>
    <row r="620" spans="2:5" ht="15" customHeight="1" x14ac:dyDescent="0.3">
      <c r="C620" s="3"/>
      <c r="D620" s="8">
        <v>2016</v>
      </c>
      <c r="E620" s="14">
        <f>Data!G620</f>
        <v>0</v>
      </c>
    </row>
    <row r="621" spans="2:5" ht="15" customHeight="1" x14ac:dyDescent="0.3">
      <c r="C621" s="3"/>
      <c r="D621" s="8">
        <v>2017</v>
      </c>
      <c r="E621" s="14">
        <f>Data!G621</f>
        <v>198763000000</v>
      </c>
    </row>
    <row r="622" spans="2:5" ht="15" customHeight="1" x14ac:dyDescent="0.3">
      <c r="C622" s="3"/>
      <c r="D622" s="8">
        <v>2018</v>
      </c>
      <c r="E622" s="14">
        <f>Data!G622</f>
        <v>412000000000</v>
      </c>
    </row>
    <row r="623" spans="2:5" ht="15" customHeight="1" x14ac:dyDescent="0.3">
      <c r="C623" s="3"/>
      <c r="D623" s="8">
        <v>2019</v>
      </c>
      <c r="E623" s="14">
        <f>Data!G623</f>
        <v>421315000000</v>
      </c>
    </row>
    <row r="624" spans="2:5" ht="15" customHeight="1" x14ac:dyDescent="0.3">
      <c r="C624" s="3"/>
      <c r="D624" s="8">
        <v>2020</v>
      </c>
      <c r="E624" s="14">
        <f>Data!G624</f>
        <v>257248000000</v>
      </c>
    </row>
    <row r="625" spans="1:5" ht="15" customHeight="1" x14ac:dyDescent="0.3">
      <c r="C625" s="3"/>
      <c r="D625" s="8">
        <v>2021</v>
      </c>
      <c r="E625" s="14">
        <f>Data!G625</f>
        <v>483985000000</v>
      </c>
    </row>
    <row r="626" spans="1:5" ht="15" customHeight="1" x14ac:dyDescent="0.3">
      <c r="C626" s="3"/>
      <c r="D626" s="8">
        <v>2022</v>
      </c>
      <c r="E626" s="14">
        <f>Data!G626</f>
        <v>366488000000</v>
      </c>
    </row>
    <row r="627" spans="1:5" ht="15" customHeight="1" x14ac:dyDescent="0.3">
      <c r="C627" s="3"/>
      <c r="D627" s="8">
        <v>2023</v>
      </c>
      <c r="E627" s="14">
        <f>Data!G627</f>
        <v>148210000000</v>
      </c>
    </row>
    <row r="628" spans="1:5" ht="15" customHeight="1" x14ac:dyDescent="0.3">
      <c r="C628" s="3"/>
      <c r="D628" s="8">
        <v>2024</v>
      </c>
      <c r="E628" s="14">
        <f>Data!G628</f>
        <v>179384000000</v>
      </c>
    </row>
    <row r="629" spans="1:5" ht="15" customHeight="1" x14ac:dyDescent="0.3">
      <c r="B629" s="8">
        <v>58</v>
      </c>
      <c r="C629" s="4" t="s">
        <v>49</v>
      </c>
      <c r="D629" s="8">
        <v>2014</v>
      </c>
      <c r="E629" s="14">
        <f>Data!G629</f>
        <v>0</v>
      </c>
    </row>
    <row r="630" spans="1:5" ht="15" customHeight="1" x14ac:dyDescent="0.3">
      <c r="C630" s="4"/>
      <c r="D630" s="8">
        <v>2015</v>
      </c>
      <c r="E630" s="14">
        <f>Data!G630</f>
        <v>0</v>
      </c>
    </row>
    <row r="631" spans="1:5" ht="15" customHeight="1" x14ac:dyDescent="0.3">
      <c r="C631" s="4"/>
      <c r="D631" s="8">
        <v>2016</v>
      </c>
      <c r="E631" s="14">
        <f>Data!G631</f>
        <v>0</v>
      </c>
    </row>
    <row r="632" spans="1:5" ht="15" customHeight="1" x14ac:dyDescent="0.3">
      <c r="C632" s="4"/>
      <c r="D632" s="8">
        <v>2017</v>
      </c>
      <c r="E632" s="14">
        <f>Data!G632</f>
        <v>0</v>
      </c>
    </row>
    <row r="633" spans="1:5" ht="15" customHeight="1" x14ac:dyDescent="0.3">
      <c r="C633" s="4"/>
      <c r="D633" s="8">
        <v>2018</v>
      </c>
      <c r="E633" s="14">
        <f>Data!G633</f>
        <v>0</v>
      </c>
    </row>
    <row r="634" spans="1:5" ht="15" customHeight="1" x14ac:dyDescent="0.3">
      <c r="C634" s="4"/>
      <c r="D634" s="8">
        <v>2019</v>
      </c>
      <c r="E634" s="14">
        <f>Data!G634</f>
        <v>0</v>
      </c>
    </row>
    <row r="635" spans="1:5" ht="15" customHeight="1" x14ac:dyDescent="0.3">
      <c r="C635" s="4"/>
      <c r="D635" s="8">
        <v>2020</v>
      </c>
      <c r="E635" s="14">
        <f>Data!G635</f>
        <v>1657001000000</v>
      </c>
    </row>
    <row r="636" spans="1:5" ht="15" customHeight="1" x14ac:dyDescent="0.3">
      <c r="C636" s="4"/>
      <c r="D636" s="8">
        <v>2021</v>
      </c>
      <c r="E636" s="14">
        <f>Data!G636</f>
        <v>1706301000000</v>
      </c>
    </row>
    <row r="637" spans="1:5" ht="15" customHeight="1" x14ac:dyDescent="0.3">
      <c r="C637" s="4"/>
      <c r="D637" s="8">
        <v>2022</v>
      </c>
      <c r="E637" s="14">
        <f>Data!G637</f>
        <v>2050028000000</v>
      </c>
    </row>
    <row r="638" spans="1:5" ht="15" customHeight="1" x14ac:dyDescent="0.3">
      <c r="C638" s="4"/>
      <c r="D638" s="8">
        <v>2023</v>
      </c>
      <c r="E638" s="14">
        <f>Data!G638</f>
        <v>2178462000000</v>
      </c>
    </row>
    <row r="639" spans="1:5" ht="15" customHeight="1" x14ac:dyDescent="0.3">
      <c r="C639" s="4"/>
      <c r="D639" s="8">
        <v>2024</v>
      </c>
      <c r="E639" s="14">
        <f>Data!G639</f>
        <v>2347784000000</v>
      </c>
    </row>
    <row r="640" spans="1:5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Data!G640</f>
        <v>0</v>
      </c>
    </row>
    <row r="641" spans="2:5" ht="15" customHeight="1" x14ac:dyDescent="0.3">
      <c r="C641" s="2"/>
      <c r="D641" s="8">
        <v>2015</v>
      </c>
      <c r="E641" s="14">
        <f>Data!G641</f>
        <v>0</v>
      </c>
    </row>
    <row r="642" spans="2:5" ht="15" customHeight="1" x14ac:dyDescent="0.3">
      <c r="C642" s="2"/>
      <c r="D642" s="8">
        <v>2016</v>
      </c>
      <c r="E642" s="14">
        <f>Data!G642</f>
        <v>0</v>
      </c>
    </row>
    <row r="643" spans="2:5" ht="15" customHeight="1" x14ac:dyDescent="0.3">
      <c r="C643" s="2"/>
      <c r="D643" s="8">
        <v>2017</v>
      </c>
      <c r="E643" s="14">
        <f>Data!G643</f>
        <v>0</v>
      </c>
    </row>
    <row r="644" spans="2:5" ht="15" customHeight="1" x14ac:dyDescent="0.3">
      <c r="C644" s="2"/>
      <c r="D644" s="8">
        <v>2018</v>
      </c>
      <c r="E644" s="14">
        <f>Data!G644</f>
        <v>0</v>
      </c>
    </row>
    <row r="645" spans="2:5" ht="15" customHeight="1" x14ac:dyDescent="0.3">
      <c r="C645" s="2"/>
      <c r="D645" s="8">
        <v>2019</v>
      </c>
      <c r="E645" s="14">
        <f>Data!G645</f>
        <v>1222801000000</v>
      </c>
    </row>
    <row r="646" spans="2:5" ht="15" customHeight="1" x14ac:dyDescent="0.3">
      <c r="C646" s="2"/>
      <c r="D646" s="8">
        <v>2020</v>
      </c>
      <c r="E646" s="14">
        <f>Data!G646</f>
        <v>1153735000000</v>
      </c>
    </row>
    <row r="647" spans="2:5" ht="15" customHeight="1" x14ac:dyDescent="0.3">
      <c r="C647" s="2"/>
      <c r="D647" s="8">
        <v>2021</v>
      </c>
      <c r="E647" s="14">
        <f>Data!G647</f>
        <v>1145364000000</v>
      </c>
    </row>
    <row r="648" spans="2:5" ht="15" customHeight="1" x14ac:dyDescent="0.3">
      <c r="C648" s="2"/>
      <c r="D648" s="8">
        <v>2022</v>
      </c>
      <c r="E648" s="14">
        <f>Data!G648</f>
        <v>1200901000000</v>
      </c>
    </row>
    <row r="649" spans="2:5" ht="15" customHeight="1" x14ac:dyDescent="0.3">
      <c r="C649" s="2"/>
      <c r="D649" s="8">
        <v>2023</v>
      </c>
      <c r="E649" s="14">
        <f>Data!G649</f>
        <v>1229251000000</v>
      </c>
    </row>
    <row r="650" spans="2:5" ht="15" customHeight="1" x14ac:dyDescent="0.3">
      <c r="C650" s="2"/>
      <c r="D650" s="8">
        <v>2024</v>
      </c>
      <c r="E650" s="14">
        <f>Data!G650</f>
        <v>1460518000000</v>
      </c>
    </row>
    <row r="651" spans="2:5" ht="15" customHeight="1" x14ac:dyDescent="0.3">
      <c r="B651" s="8">
        <v>60</v>
      </c>
      <c r="C651" s="2" t="s">
        <v>63</v>
      </c>
      <c r="D651" s="8">
        <v>2014</v>
      </c>
      <c r="E651" s="14">
        <f>Data!G651</f>
        <v>0</v>
      </c>
    </row>
    <row r="652" spans="2:5" ht="15" customHeight="1" x14ac:dyDescent="0.3">
      <c r="C652" s="2"/>
      <c r="D652" s="8">
        <v>2015</v>
      </c>
      <c r="E652" s="14">
        <f>Data!G652</f>
        <v>0</v>
      </c>
    </row>
    <row r="653" spans="2:5" ht="15" customHeight="1" x14ac:dyDescent="0.3">
      <c r="C653" s="2"/>
      <c r="D653" s="8">
        <v>2016</v>
      </c>
      <c r="E653" s="14">
        <f>Data!G653</f>
        <v>0</v>
      </c>
    </row>
    <row r="654" spans="2:5" ht="15" customHeight="1" x14ac:dyDescent="0.3">
      <c r="C654" s="2"/>
      <c r="D654" s="8">
        <v>2017</v>
      </c>
      <c r="E654" s="14">
        <f>Data!G654</f>
        <v>0</v>
      </c>
    </row>
    <row r="655" spans="2:5" ht="15" customHeight="1" x14ac:dyDescent="0.3">
      <c r="C655" s="2"/>
      <c r="D655" s="8">
        <v>2018</v>
      </c>
      <c r="E655" s="14">
        <f>Data!G655</f>
        <v>0</v>
      </c>
    </row>
    <row r="656" spans="2:5" ht="15" customHeight="1" x14ac:dyDescent="0.3">
      <c r="C656" s="2"/>
      <c r="D656" s="8">
        <v>2019</v>
      </c>
      <c r="E656" s="14">
        <f>Data!G656</f>
        <v>0</v>
      </c>
    </row>
    <row r="657" spans="2:5" ht="15" customHeight="1" x14ac:dyDescent="0.3">
      <c r="C657" s="2"/>
      <c r="D657" s="8">
        <v>2020</v>
      </c>
      <c r="E657" s="14">
        <f>Data!G657</f>
        <v>426700000000</v>
      </c>
    </row>
    <row r="658" spans="2:5" ht="15" customHeight="1" x14ac:dyDescent="0.3">
      <c r="C658" s="2"/>
      <c r="D658" s="8">
        <v>2021</v>
      </c>
      <c r="E658" s="14">
        <f>Data!G658</f>
        <v>587684000000</v>
      </c>
    </row>
    <row r="659" spans="2:5" ht="15" customHeight="1" x14ac:dyDescent="0.3">
      <c r="C659" s="2"/>
      <c r="D659" s="8">
        <v>2022</v>
      </c>
      <c r="E659" s="14">
        <f>Data!G659</f>
        <v>610818000000</v>
      </c>
    </row>
    <row r="660" spans="2:5" ht="15" customHeight="1" x14ac:dyDescent="0.3">
      <c r="C660" s="2"/>
      <c r="D660" s="8">
        <v>2023</v>
      </c>
      <c r="E660" s="14">
        <f>Data!G660</f>
        <v>594083000000</v>
      </c>
    </row>
    <row r="661" spans="2:5" ht="15" customHeight="1" x14ac:dyDescent="0.3">
      <c r="C661" s="2"/>
      <c r="D661" s="8">
        <v>2024</v>
      </c>
      <c r="E661" s="14">
        <f>Data!G661</f>
        <v>683086000000</v>
      </c>
    </row>
    <row r="662" spans="2:5" ht="15" customHeight="1" x14ac:dyDescent="0.3">
      <c r="B662" s="8">
        <v>61</v>
      </c>
      <c r="C662" s="2" t="s">
        <v>61</v>
      </c>
      <c r="D662" s="8">
        <v>2014</v>
      </c>
      <c r="E662" s="14">
        <f>Data!G662</f>
        <v>0</v>
      </c>
    </row>
    <row r="663" spans="2:5" ht="15" customHeight="1" x14ac:dyDescent="0.3">
      <c r="C663" s="2"/>
      <c r="D663" s="8">
        <v>2015</v>
      </c>
      <c r="E663" s="14">
        <f>Data!G663</f>
        <v>2137811000000</v>
      </c>
    </row>
    <row r="664" spans="2:5" ht="15" customHeight="1" x14ac:dyDescent="0.3">
      <c r="C664" s="2"/>
      <c r="D664" s="8">
        <v>2016</v>
      </c>
      <c r="E664" s="14">
        <f>Data!G664</f>
        <v>1872156000000</v>
      </c>
    </row>
    <row r="665" spans="2:5" ht="15" customHeight="1" x14ac:dyDescent="0.3">
      <c r="C665" s="2"/>
      <c r="D665" s="8">
        <v>2017</v>
      </c>
      <c r="E665" s="14">
        <f>Data!G665</f>
        <v>2305493000000</v>
      </c>
    </row>
    <row r="666" spans="2:5" ht="15" customHeight="1" x14ac:dyDescent="0.3">
      <c r="C666" s="2"/>
      <c r="D666" s="8">
        <v>2018</v>
      </c>
      <c r="E666" s="14">
        <f>Data!G666</f>
        <v>2550221000000</v>
      </c>
    </row>
    <row r="667" spans="2:5" ht="15" customHeight="1" x14ac:dyDescent="0.3">
      <c r="C667" s="2"/>
      <c r="D667" s="8">
        <v>2019</v>
      </c>
      <c r="E667" s="14">
        <f>Data!G667</f>
        <v>2424572000000</v>
      </c>
    </row>
    <row r="668" spans="2:5" ht="15" customHeight="1" x14ac:dyDescent="0.3">
      <c r="C668" s="2"/>
      <c r="D668" s="8">
        <v>2020</v>
      </c>
      <c r="E668" s="14">
        <f>Data!G668</f>
        <v>2420320000000</v>
      </c>
    </row>
    <row r="669" spans="2:5" ht="15" customHeight="1" x14ac:dyDescent="0.3">
      <c r="C669" s="2"/>
      <c r="D669" s="8">
        <v>2021</v>
      </c>
      <c r="E669" s="14">
        <f>Data!G669</f>
        <v>2187497000000</v>
      </c>
    </row>
    <row r="670" spans="2:5" ht="15" customHeight="1" x14ac:dyDescent="0.3">
      <c r="C670" s="2"/>
      <c r="D670" s="8">
        <v>2022</v>
      </c>
      <c r="E670" s="14">
        <f>Data!G670</f>
        <v>2029348000000</v>
      </c>
    </row>
    <row r="671" spans="2:5" ht="15" customHeight="1" x14ac:dyDescent="0.3">
      <c r="C671" s="2"/>
      <c r="D671" s="8">
        <v>2023</v>
      </c>
      <c r="E671" s="14">
        <f>Data!G671</f>
        <v>2056708000000</v>
      </c>
    </row>
    <row r="672" spans="2:5" ht="15" customHeight="1" x14ac:dyDescent="0.3">
      <c r="C672" s="2"/>
      <c r="D672" s="8">
        <v>2024</v>
      </c>
      <c r="E672" s="14">
        <f>Data!G672</f>
        <v>1997940000000</v>
      </c>
    </row>
    <row r="673" spans="2:5" ht="15" customHeight="1" x14ac:dyDescent="0.3">
      <c r="B673" s="8">
        <v>62</v>
      </c>
      <c r="C673" s="2" t="s">
        <v>62</v>
      </c>
      <c r="D673" s="8">
        <v>2014</v>
      </c>
      <c r="E673" s="14">
        <f>Data!G673</f>
        <v>0</v>
      </c>
    </row>
    <row r="674" spans="2:5" ht="15" customHeight="1" x14ac:dyDescent="0.3">
      <c r="C674" s="2"/>
      <c r="D674" s="8">
        <v>2015</v>
      </c>
      <c r="E674" s="14">
        <f>Data!G674</f>
        <v>0</v>
      </c>
    </row>
    <row r="675" spans="2:5" ht="15" customHeight="1" x14ac:dyDescent="0.3">
      <c r="C675" s="2"/>
      <c r="D675" s="8">
        <v>2016</v>
      </c>
      <c r="E675" s="14">
        <f>Data!G675</f>
        <v>0</v>
      </c>
    </row>
    <row r="676" spans="2:5" ht="15" customHeight="1" x14ac:dyDescent="0.3">
      <c r="C676" s="2"/>
      <c r="D676" s="8">
        <v>2017</v>
      </c>
      <c r="E676" s="14">
        <f>Data!G676</f>
        <v>0</v>
      </c>
    </row>
    <row r="677" spans="2:5" ht="15" customHeight="1" x14ac:dyDescent="0.3">
      <c r="C677" s="2"/>
      <c r="D677" s="8">
        <v>2018</v>
      </c>
      <c r="E677" s="14">
        <f>Data!G677</f>
        <v>341369410000</v>
      </c>
    </row>
    <row r="678" spans="2:5" ht="15" customHeight="1" x14ac:dyDescent="0.3">
      <c r="C678" s="2"/>
      <c r="D678" s="8">
        <v>2019</v>
      </c>
      <c r="E678" s="14">
        <f>Data!G678</f>
        <v>369621330000</v>
      </c>
    </row>
    <row r="679" spans="2:5" ht="15" customHeight="1" x14ac:dyDescent="0.3">
      <c r="C679" s="2"/>
      <c r="D679" s="8">
        <v>2020</v>
      </c>
      <c r="E679" s="14">
        <f>Data!G679</f>
        <v>387906760000</v>
      </c>
    </row>
    <row r="680" spans="2:5" ht="15" customHeight="1" x14ac:dyDescent="0.3">
      <c r="C680" s="2"/>
      <c r="D680" s="8">
        <v>2021</v>
      </c>
      <c r="E680" s="14">
        <f>Data!G680</f>
        <v>496279220000</v>
      </c>
    </row>
    <row r="681" spans="2:5" ht="15" customHeight="1" x14ac:dyDescent="0.3">
      <c r="C681" s="2"/>
      <c r="D681" s="8">
        <v>2022</v>
      </c>
      <c r="E681" s="14">
        <f>Data!G681</f>
        <v>516469170000</v>
      </c>
    </row>
    <row r="682" spans="2:5" ht="15" customHeight="1" x14ac:dyDescent="0.3">
      <c r="C682" s="2"/>
      <c r="D682" s="8">
        <v>2023</v>
      </c>
      <c r="E682" s="14">
        <f>Data!G682</f>
        <v>595658540000</v>
      </c>
    </row>
    <row r="683" spans="2:5" ht="15" customHeight="1" x14ac:dyDescent="0.3">
      <c r="C683" s="2"/>
      <c r="D683" s="8">
        <v>2024</v>
      </c>
      <c r="E683" s="14">
        <f>Data!G683</f>
        <v>697102860000</v>
      </c>
    </row>
    <row r="684" spans="2:5" ht="15" customHeight="1" x14ac:dyDescent="0.3">
      <c r="B684" s="8">
        <v>63</v>
      </c>
      <c r="C684" s="2" t="s">
        <v>60</v>
      </c>
      <c r="D684" s="8">
        <v>2014</v>
      </c>
      <c r="E684" s="14">
        <f>Data!G684</f>
        <v>0</v>
      </c>
    </row>
    <row r="685" spans="2:5" ht="15" customHeight="1" x14ac:dyDescent="0.3">
      <c r="C685" s="2"/>
      <c r="D685" s="8">
        <v>2015</v>
      </c>
      <c r="E685" s="14">
        <f>Data!G685</f>
        <v>2091538245349</v>
      </c>
    </row>
    <row r="686" spans="2:5" ht="15" customHeight="1" x14ac:dyDescent="0.3">
      <c r="C686" s="2"/>
      <c r="D686" s="8">
        <v>2016</v>
      </c>
      <c r="E686" s="14">
        <f>Data!G686</f>
        <v>1847306963482</v>
      </c>
    </row>
    <row r="687" spans="2:5" ht="15" customHeight="1" x14ac:dyDescent="0.3">
      <c r="C687" s="2"/>
      <c r="D687" s="8">
        <v>2017</v>
      </c>
      <c r="E687" s="14">
        <f>Data!G687</f>
        <v>1558769299360</v>
      </c>
    </row>
    <row r="688" spans="2:5" ht="15" customHeight="1" x14ac:dyDescent="0.3">
      <c r="C688" s="2"/>
      <c r="D688" s="8">
        <v>2018</v>
      </c>
      <c r="E688" s="14">
        <f>Data!G688</f>
        <v>1504014425963</v>
      </c>
    </row>
    <row r="689" spans="2:5" ht="15" customHeight="1" x14ac:dyDescent="0.3">
      <c r="C689" s="2"/>
      <c r="D689" s="8">
        <v>2019</v>
      </c>
      <c r="E689" s="14">
        <f>Data!G689</f>
        <v>1814324020621</v>
      </c>
    </row>
    <row r="690" spans="2:5" ht="15" customHeight="1" x14ac:dyDescent="0.3">
      <c r="C690" s="2"/>
      <c r="D690" s="8">
        <v>2020</v>
      </c>
      <c r="E690" s="14">
        <f>Data!G690</f>
        <v>1696979239602</v>
      </c>
    </row>
    <row r="691" spans="2:5" ht="15" customHeight="1" x14ac:dyDescent="0.3">
      <c r="C691" s="2"/>
      <c r="D691" s="8">
        <v>2021</v>
      </c>
      <c r="E691" s="14">
        <f>Data!G691</f>
        <v>1696009882944</v>
      </c>
    </row>
    <row r="692" spans="2:5" ht="15" customHeight="1" x14ac:dyDescent="0.3">
      <c r="C692" s="2"/>
      <c r="D692" s="8">
        <v>2022</v>
      </c>
      <c r="E692" s="14">
        <f>Data!G692</f>
        <v>1806935158886</v>
      </c>
    </row>
    <row r="693" spans="2:5" ht="15" customHeight="1" x14ac:dyDescent="0.3">
      <c r="C693" s="2"/>
      <c r="D693" s="8">
        <v>2023</v>
      </c>
      <c r="E693" s="14">
        <f>Data!G693</f>
        <v>2234736630576</v>
      </c>
    </row>
    <row r="694" spans="2:5" ht="15" customHeight="1" x14ac:dyDescent="0.3">
      <c r="C694" s="2"/>
      <c r="D694" s="8">
        <v>2024</v>
      </c>
      <c r="E694" s="14">
        <f>Data!G694</f>
        <v>2539539000000</v>
      </c>
    </row>
    <row r="695" spans="2:5" ht="15" customHeight="1" x14ac:dyDescent="0.3">
      <c r="B695" s="8">
        <v>64</v>
      </c>
      <c r="C695" s="1" t="s">
        <v>131</v>
      </c>
      <c r="D695" s="8">
        <v>2014</v>
      </c>
      <c r="E695" s="14">
        <f>Data!G695</f>
        <v>0</v>
      </c>
    </row>
    <row r="696" spans="2:5" ht="15" customHeight="1" x14ac:dyDescent="0.3">
      <c r="C696" s="1"/>
      <c r="D696" s="8">
        <v>2015</v>
      </c>
      <c r="E696" s="14">
        <f>Data!G696</f>
        <v>0</v>
      </c>
    </row>
    <row r="697" spans="2:5" ht="15" customHeight="1" x14ac:dyDescent="0.3">
      <c r="C697" s="1"/>
      <c r="D697" s="8">
        <v>2016</v>
      </c>
      <c r="E697" s="14">
        <f>Data!G697</f>
        <v>0</v>
      </c>
    </row>
    <row r="698" spans="2:5" ht="15" customHeight="1" x14ac:dyDescent="0.3">
      <c r="C698" s="1"/>
      <c r="D698" s="8">
        <v>2017</v>
      </c>
      <c r="E698" s="14">
        <f>Data!G698</f>
        <v>111934000000</v>
      </c>
    </row>
    <row r="699" spans="2:5" ht="15" customHeight="1" x14ac:dyDescent="0.3">
      <c r="C699" s="1"/>
      <c r="D699" s="8">
        <v>2018</v>
      </c>
      <c r="E699" s="14">
        <f>Data!G699</f>
        <v>532259000000</v>
      </c>
    </row>
    <row r="700" spans="2:5" ht="15" customHeight="1" x14ac:dyDescent="0.3">
      <c r="C700" s="1"/>
      <c r="D700" s="8">
        <v>2019</v>
      </c>
      <c r="E700" s="14">
        <f>Data!G700</f>
        <v>597964000000</v>
      </c>
    </row>
    <row r="701" spans="2:5" ht="15" customHeight="1" x14ac:dyDescent="0.3">
      <c r="C701" s="1"/>
      <c r="D701" s="8">
        <v>2020</v>
      </c>
      <c r="E701" s="14">
        <f>Data!G701</f>
        <v>730449000000</v>
      </c>
    </row>
    <row r="702" spans="2:5" ht="15" customHeight="1" x14ac:dyDescent="0.3">
      <c r="C702" s="1"/>
      <c r="D702" s="8">
        <v>2021</v>
      </c>
      <c r="E702" s="14">
        <f>Data!G702</f>
        <v>882584000000</v>
      </c>
    </row>
    <row r="703" spans="2:5" ht="15" customHeight="1" x14ac:dyDescent="0.3">
      <c r="C703" s="1"/>
      <c r="D703" s="8">
        <v>2022</v>
      </c>
      <c r="E703" s="14">
        <f>Data!G703</f>
        <v>1025085000000</v>
      </c>
    </row>
    <row r="704" spans="2:5" ht="15" customHeight="1" x14ac:dyDescent="0.3">
      <c r="C704" s="1"/>
      <c r="D704" s="8">
        <v>2023</v>
      </c>
      <c r="E704" s="14">
        <f>Data!G704</f>
        <v>1368246000000</v>
      </c>
    </row>
    <row r="705" spans="2:5" ht="15" customHeight="1" x14ac:dyDescent="0.3">
      <c r="C705" s="1"/>
      <c r="D705" s="8">
        <v>2024</v>
      </c>
      <c r="E705" s="14">
        <f>Data!G705</f>
        <v>1631846000000</v>
      </c>
    </row>
    <row r="706" spans="2:5" ht="15" customHeight="1" x14ac:dyDescent="0.3">
      <c r="B706" s="8">
        <v>65</v>
      </c>
      <c r="C706" s="2" t="s">
        <v>64</v>
      </c>
      <c r="D706" s="8">
        <v>2014</v>
      </c>
      <c r="E706" s="14">
        <f>Data!G706</f>
        <v>0</v>
      </c>
    </row>
    <row r="707" spans="2:5" ht="15" customHeight="1" x14ac:dyDescent="0.3">
      <c r="C707" s="2"/>
      <c r="D707" s="8">
        <v>2015</v>
      </c>
      <c r="E707" s="14">
        <f>Data!G707</f>
        <v>0</v>
      </c>
    </row>
    <row r="708" spans="2:5" ht="15" customHeight="1" x14ac:dyDescent="0.3">
      <c r="C708" s="2"/>
      <c r="D708" s="8">
        <v>2016</v>
      </c>
      <c r="E708" s="14">
        <f>Data!G708</f>
        <v>0</v>
      </c>
    </row>
    <row r="709" spans="2:5" ht="15" customHeight="1" x14ac:dyDescent="0.3">
      <c r="C709" s="2"/>
      <c r="D709" s="8">
        <v>2017</v>
      </c>
      <c r="E709" s="14">
        <f>Data!G709</f>
        <v>0</v>
      </c>
    </row>
    <row r="710" spans="2:5" ht="15" customHeight="1" x14ac:dyDescent="0.3">
      <c r="C710" s="2"/>
      <c r="D710" s="8">
        <v>2018</v>
      </c>
      <c r="E710" s="14">
        <f>Data!G710</f>
        <v>0</v>
      </c>
    </row>
    <row r="711" spans="2:5" ht="15" customHeight="1" x14ac:dyDescent="0.3">
      <c r="C711" s="2"/>
      <c r="D711" s="8">
        <v>2019</v>
      </c>
      <c r="E711" s="14">
        <f>Data!G711</f>
        <v>0</v>
      </c>
    </row>
    <row r="712" spans="2:5" ht="15" customHeight="1" x14ac:dyDescent="0.3">
      <c r="C712" s="2"/>
      <c r="D712" s="8">
        <v>2020</v>
      </c>
      <c r="E712" s="14">
        <f>Data!G712</f>
        <v>0</v>
      </c>
    </row>
    <row r="713" spans="2:5" ht="15" customHeight="1" x14ac:dyDescent="0.3">
      <c r="C713" s="2"/>
      <c r="D713" s="8">
        <v>2021</v>
      </c>
      <c r="E713" s="14">
        <f>Data!G713</f>
        <v>0</v>
      </c>
    </row>
    <row r="714" spans="2:5" ht="15" customHeight="1" x14ac:dyDescent="0.3">
      <c r="C714" s="2"/>
      <c r="D714" s="8">
        <v>2022</v>
      </c>
      <c r="E714" s="14">
        <f>Data!G714</f>
        <v>16603575802000</v>
      </c>
    </row>
    <row r="715" spans="2:5" ht="15" customHeight="1" x14ac:dyDescent="0.3">
      <c r="C715" s="2"/>
      <c r="D715" s="8">
        <v>2023</v>
      </c>
      <c r="E715" s="14">
        <f>Data!G715</f>
        <v>18377880959000</v>
      </c>
    </row>
    <row r="716" spans="2:5" ht="15" customHeight="1" x14ac:dyDescent="0.3">
      <c r="C716" s="2"/>
      <c r="D716" s="8">
        <v>2024</v>
      </c>
      <c r="E716" s="14">
        <f>Data!G716</f>
        <v>20178714079000</v>
      </c>
    </row>
    <row r="717" spans="2:5" ht="15" customHeight="1" x14ac:dyDescent="0.3">
      <c r="B717" s="8">
        <v>66</v>
      </c>
      <c r="C717" s="2" t="s">
        <v>67</v>
      </c>
      <c r="D717" s="8">
        <v>2014</v>
      </c>
      <c r="E717" s="14">
        <f>Data!G717</f>
        <v>0</v>
      </c>
    </row>
    <row r="718" spans="2:5" ht="15" customHeight="1" x14ac:dyDescent="0.3">
      <c r="C718" s="2"/>
      <c r="D718" s="8">
        <v>2015</v>
      </c>
      <c r="E718" s="14">
        <f>Data!G718</f>
        <v>2075168653798</v>
      </c>
    </row>
    <row r="719" spans="2:5" ht="15" customHeight="1" x14ac:dyDescent="0.3">
      <c r="C719" s="2"/>
      <c r="D719" s="8">
        <v>2016</v>
      </c>
      <c r="E719" s="14">
        <f>Data!G719</f>
        <v>2313046000000</v>
      </c>
    </row>
    <row r="720" spans="2:5" ht="15" customHeight="1" x14ac:dyDescent="0.3">
      <c r="C720" s="2"/>
      <c r="D720" s="8">
        <v>2017</v>
      </c>
      <c r="E720" s="14">
        <f>Data!G720</f>
        <v>2690394000000</v>
      </c>
    </row>
    <row r="721" spans="2:5" ht="15" customHeight="1" x14ac:dyDescent="0.3">
      <c r="C721" s="2"/>
      <c r="D721" s="8">
        <v>2018</v>
      </c>
      <c r="E721" s="14">
        <f>Data!G721</f>
        <v>2661545000000</v>
      </c>
    </row>
    <row r="722" spans="2:5" ht="15" customHeight="1" x14ac:dyDescent="0.3">
      <c r="C722" s="2"/>
      <c r="D722" s="8">
        <v>2019</v>
      </c>
      <c r="E722" s="14">
        <f>Data!G722</f>
        <v>3040661000000</v>
      </c>
    </row>
    <row r="723" spans="2:5" ht="15" customHeight="1" x14ac:dyDescent="0.3">
      <c r="C723" s="2"/>
      <c r="D723" s="8">
        <v>2020</v>
      </c>
      <c r="E723" s="14">
        <f>Data!G723</f>
        <v>2996972000000</v>
      </c>
    </row>
    <row r="724" spans="2:5" ht="15" customHeight="1" x14ac:dyDescent="0.3">
      <c r="C724" s="2"/>
      <c r="D724" s="8">
        <v>2021</v>
      </c>
      <c r="E724" s="14">
        <f>Data!G724</f>
        <v>3088637000000</v>
      </c>
    </row>
    <row r="725" spans="2:5" ht="15" customHeight="1" x14ac:dyDescent="0.3">
      <c r="C725" s="2"/>
      <c r="D725" s="8">
        <v>2022</v>
      </c>
      <c r="E725" s="14">
        <f>Data!G725</f>
        <v>3550161000000</v>
      </c>
    </row>
    <row r="726" spans="2:5" ht="15" customHeight="1" x14ac:dyDescent="0.3">
      <c r="C726" s="2"/>
      <c r="D726" s="8">
        <v>2023</v>
      </c>
      <c r="E726" s="14">
        <f>Data!G726</f>
        <v>3862435000000</v>
      </c>
    </row>
    <row r="727" spans="2:5" ht="15" customHeight="1" x14ac:dyDescent="0.3">
      <c r="C727" s="2"/>
      <c r="D727" s="8">
        <v>2024</v>
      </c>
      <c r="E727" s="14">
        <f>Data!G727</f>
        <v>0</v>
      </c>
    </row>
    <row r="728" spans="2:5" ht="15" customHeight="1" x14ac:dyDescent="0.3">
      <c r="B728" s="8">
        <v>67</v>
      </c>
      <c r="C728" s="2" t="s">
        <v>68</v>
      </c>
      <c r="D728" s="8">
        <v>2014</v>
      </c>
      <c r="E728" s="14">
        <f>Data!G728</f>
        <v>0</v>
      </c>
    </row>
    <row r="729" spans="2:5" ht="15" customHeight="1" x14ac:dyDescent="0.3">
      <c r="C729" s="2"/>
      <c r="D729" s="8">
        <v>2015</v>
      </c>
      <c r="E729" s="14">
        <f>Data!G729</f>
        <v>180728000000</v>
      </c>
    </row>
    <row r="730" spans="2:5" ht="15" customHeight="1" x14ac:dyDescent="0.3">
      <c r="C730" s="2"/>
      <c r="D730" s="8">
        <v>2016</v>
      </c>
      <c r="E730" s="14">
        <f>Data!G730</f>
        <v>172481000000</v>
      </c>
    </row>
    <row r="731" spans="2:5" ht="15" customHeight="1" x14ac:dyDescent="0.3">
      <c r="C731" s="2"/>
      <c r="D731" s="8">
        <v>2017</v>
      </c>
      <c r="E731" s="14">
        <f>Data!G731</f>
        <v>171728990000</v>
      </c>
    </row>
    <row r="732" spans="2:5" ht="15" customHeight="1" x14ac:dyDescent="0.3">
      <c r="C732" s="2"/>
      <c r="D732" s="8">
        <v>2018</v>
      </c>
      <c r="E732" s="14">
        <f>Data!G732</f>
        <v>171191550000</v>
      </c>
    </row>
    <row r="733" spans="2:5" ht="15" customHeight="1" x14ac:dyDescent="0.3">
      <c r="C733" s="2"/>
      <c r="D733" s="8">
        <v>2019</v>
      </c>
      <c r="E733" s="14">
        <f>Data!G733</f>
        <v>186330430000</v>
      </c>
    </row>
    <row r="734" spans="2:5" ht="15" customHeight="1" x14ac:dyDescent="0.3">
      <c r="C734" s="2"/>
      <c r="D734" s="8">
        <v>2020</v>
      </c>
      <c r="E734" s="14">
        <f>Data!G734</f>
        <v>211221340000</v>
      </c>
    </row>
    <row r="735" spans="2:5" ht="15" customHeight="1" x14ac:dyDescent="0.3">
      <c r="C735" s="2"/>
      <c r="D735" s="8">
        <v>2021</v>
      </c>
      <c r="E735" s="14">
        <f>Data!G735</f>
        <v>208178180000</v>
      </c>
    </row>
    <row r="736" spans="2:5" ht="15" customHeight="1" x14ac:dyDescent="0.3">
      <c r="C736" s="2"/>
      <c r="D736" s="8">
        <v>2022</v>
      </c>
      <c r="E736" s="14">
        <f>Data!G736</f>
        <v>217432640000</v>
      </c>
    </row>
    <row r="737" spans="2:5" ht="15" customHeight="1" x14ac:dyDescent="0.3">
      <c r="C737" s="2"/>
      <c r="D737" s="8">
        <v>2023</v>
      </c>
      <c r="E737" s="14">
        <f>Data!G737</f>
        <v>408529730000</v>
      </c>
    </row>
    <row r="738" spans="2:5" ht="15" customHeight="1" x14ac:dyDescent="0.3">
      <c r="C738" s="2"/>
      <c r="D738" s="8">
        <v>2024</v>
      </c>
      <c r="E738" s="14">
        <f>Data!G738</f>
        <v>308465380000</v>
      </c>
    </row>
    <row r="739" spans="2:5" ht="15" customHeight="1" x14ac:dyDescent="0.3">
      <c r="B739" s="8">
        <v>68</v>
      </c>
      <c r="C739" s="2" t="s">
        <v>69</v>
      </c>
      <c r="D739" s="8">
        <v>2014</v>
      </c>
      <c r="E739" s="14">
        <f>Data!G739</f>
        <v>0</v>
      </c>
    </row>
    <row r="740" spans="2:5" ht="15" customHeight="1" x14ac:dyDescent="0.3">
      <c r="C740" s="2"/>
      <c r="D740" s="8">
        <v>2015</v>
      </c>
      <c r="E740" s="14">
        <f>Data!G740</f>
        <v>2846759759000</v>
      </c>
    </row>
    <row r="741" spans="2:5" ht="15" customHeight="1" x14ac:dyDescent="0.3">
      <c r="C741" s="2"/>
      <c r="D741" s="8">
        <v>2016</v>
      </c>
      <c r="E741" s="14">
        <f>Data!G741</f>
        <v>2813838947000</v>
      </c>
    </row>
    <row r="742" spans="2:5" ht="15" customHeight="1" x14ac:dyDescent="0.3">
      <c r="C742" s="2"/>
      <c r="D742" s="8">
        <v>2017</v>
      </c>
      <c r="E742" s="14">
        <f>Data!G742</f>
        <v>2966605878000</v>
      </c>
    </row>
    <row r="743" spans="2:5" ht="15" customHeight="1" x14ac:dyDescent="0.3">
      <c r="C743" s="2"/>
      <c r="D743" s="8">
        <v>2018</v>
      </c>
      <c r="E743" s="14">
        <f>Data!G743</f>
        <v>2890427512000</v>
      </c>
    </row>
    <row r="744" spans="2:5" ht="15" customHeight="1" x14ac:dyDescent="0.3">
      <c r="C744" s="2"/>
      <c r="D744" s="8">
        <v>2019</v>
      </c>
      <c r="E744" s="14">
        <f>Data!G744</f>
        <v>2579654391000</v>
      </c>
    </row>
    <row r="745" spans="2:5" ht="15" customHeight="1" x14ac:dyDescent="0.3">
      <c r="C745" s="2"/>
      <c r="D745" s="8">
        <v>2020</v>
      </c>
      <c r="E745" s="14">
        <f>Data!G745</f>
        <v>2477781648000</v>
      </c>
    </row>
    <row r="746" spans="2:5" ht="15" customHeight="1" x14ac:dyDescent="0.3">
      <c r="C746" s="2"/>
      <c r="D746" s="8">
        <v>2021</v>
      </c>
      <c r="E746" s="14">
        <f>Data!G746</f>
        <v>2495890568000</v>
      </c>
    </row>
    <row r="747" spans="2:5" ht="15" customHeight="1" x14ac:dyDescent="0.3">
      <c r="C747" s="2"/>
      <c r="D747" s="8">
        <v>2022</v>
      </c>
      <c r="E747" s="14">
        <f>Data!G747</f>
        <v>2472105924000</v>
      </c>
    </row>
    <row r="748" spans="2:5" ht="15" customHeight="1" x14ac:dyDescent="0.3">
      <c r="C748" s="2"/>
      <c r="D748" s="8">
        <v>2023</v>
      </c>
      <c r="E748" s="14">
        <f>Data!G748</f>
        <v>2664450707000</v>
      </c>
    </row>
    <row r="749" spans="2:5" ht="15" customHeight="1" x14ac:dyDescent="0.3">
      <c r="C749" s="2"/>
      <c r="D749" s="8">
        <v>2024</v>
      </c>
      <c r="E749" s="14">
        <f>Data!G749</f>
        <v>2751906616000</v>
      </c>
    </row>
    <row r="750" spans="2:5" ht="15" customHeight="1" x14ac:dyDescent="0.3">
      <c r="B750" s="8">
        <v>69</v>
      </c>
      <c r="C750" s="2" t="s">
        <v>70</v>
      </c>
      <c r="D750" s="8">
        <v>2014</v>
      </c>
      <c r="E750" s="14">
        <f>Data!G750</f>
        <v>0</v>
      </c>
    </row>
    <row r="751" spans="2:5" ht="15" customHeight="1" x14ac:dyDescent="0.3">
      <c r="C751" s="2"/>
      <c r="D751" s="8">
        <v>2015</v>
      </c>
      <c r="E751" s="14">
        <f>Data!G751</f>
        <v>0</v>
      </c>
    </row>
    <row r="752" spans="2:5" ht="15" customHeight="1" x14ac:dyDescent="0.3">
      <c r="C752" s="2"/>
      <c r="D752" s="8">
        <v>2016</v>
      </c>
      <c r="E752" s="14">
        <f>Data!G752</f>
        <v>0</v>
      </c>
    </row>
    <row r="753" spans="2:5" ht="15" customHeight="1" x14ac:dyDescent="0.3">
      <c r="C753" s="2"/>
      <c r="D753" s="8">
        <v>2017</v>
      </c>
      <c r="E753" s="14">
        <f>Data!G753</f>
        <v>390722630000</v>
      </c>
    </row>
    <row r="754" spans="2:5" ht="15" customHeight="1" x14ac:dyDescent="0.3">
      <c r="C754" s="2"/>
      <c r="D754" s="8">
        <v>2018</v>
      </c>
      <c r="E754" s="14">
        <f>Data!G754</f>
        <v>445745740000</v>
      </c>
    </row>
    <row r="755" spans="2:5" ht="15" customHeight="1" x14ac:dyDescent="0.3">
      <c r="C755" s="2"/>
      <c r="D755" s="8">
        <v>2019</v>
      </c>
      <c r="E755" s="14">
        <f>Data!G755</f>
        <v>541929699999.99994</v>
      </c>
    </row>
    <row r="756" spans="2:5" ht="15" customHeight="1" x14ac:dyDescent="0.3">
      <c r="C756" s="2"/>
      <c r="D756" s="8">
        <v>2020</v>
      </c>
      <c r="E756" s="14">
        <f>Data!G756</f>
        <v>651096710000</v>
      </c>
    </row>
    <row r="757" spans="2:5" ht="15" customHeight="1" x14ac:dyDescent="0.3">
      <c r="C757" s="2"/>
      <c r="D757" s="8">
        <v>2021</v>
      </c>
      <c r="E757" s="14">
        <f>Data!G757</f>
        <v>638850140000</v>
      </c>
    </row>
    <row r="758" spans="2:5" ht="15" customHeight="1" x14ac:dyDescent="0.3">
      <c r="C758" s="2"/>
      <c r="D758" s="8">
        <v>2022</v>
      </c>
      <c r="E758" s="14">
        <f>Data!G758</f>
        <v>717529210000</v>
      </c>
    </row>
    <row r="759" spans="2:5" ht="15" customHeight="1" x14ac:dyDescent="0.3">
      <c r="C759" s="2"/>
      <c r="D759" s="8">
        <v>2023</v>
      </c>
      <c r="E759" s="14">
        <f>Data!G759</f>
        <v>862563240000</v>
      </c>
    </row>
    <row r="760" spans="2:5" ht="15" customHeight="1" x14ac:dyDescent="0.3">
      <c r="C760" s="2"/>
      <c r="D760" s="8">
        <v>2024</v>
      </c>
      <c r="E760" s="14">
        <f>Data!G760</f>
        <v>914639760000</v>
      </c>
    </row>
    <row r="761" spans="2:5" ht="15" customHeight="1" x14ac:dyDescent="0.3">
      <c r="B761" s="8">
        <v>70</v>
      </c>
      <c r="C761" s="2" t="s">
        <v>71</v>
      </c>
      <c r="D761" s="8">
        <v>2014</v>
      </c>
      <c r="E761" s="14">
        <f>Data!G761</f>
        <v>0</v>
      </c>
    </row>
    <row r="762" spans="2:5" ht="15" customHeight="1" x14ac:dyDescent="0.3">
      <c r="C762" s="2"/>
      <c r="D762" s="8">
        <v>2015</v>
      </c>
      <c r="E762" s="14">
        <f>Data!G762</f>
        <v>494002999000</v>
      </c>
    </row>
    <row r="763" spans="2:5" ht="15" customHeight="1" x14ac:dyDescent="0.3">
      <c r="C763" s="2"/>
      <c r="D763" s="8">
        <v>2016</v>
      </c>
      <c r="E763" s="14">
        <f>Data!G763</f>
        <v>525898830000</v>
      </c>
    </row>
    <row r="764" spans="2:5" ht="15" customHeight="1" x14ac:dyDescent="0.3">
      <c r="C764" s="2"/>
      <c r="D764" s="8">
        <v>2017</v>
      </c>
      <c r="E764" s="14">
        <f>Data!G764</f>
        <v>738183659000</v>
      </c>
    </row>
    <row r="765" spans="2:5" ht="15" customHeight="1" x14ac:dyDescent="0.3">
      <c r="C765" s="2"/>
      <c r="D765" s="8">
        <v>2018</v>
      </c>
      <c r="E765" s="14">
        <f>Data!G765</f>
        <v>874472888000</v>
      </c>
    </row>
    <row r="766" spans="2:5" ht="15" customHeight="1" x14ac:dyDescent="0.3">
      <c r="C766" s="2"/>
      <c r="D766" s="8">
        <v>2019</v>
      </c>
      <c r="E766" s="14">
        <f>Data!G766</f>
        <v>857520585000</v>
      </c>
    </row>
    <row r="767" spans="2:5" ht="15" customHeight="1" x14ac:dyDescent="0.3">
      <c r="C767" s="2"/>
      <c r="D767" s="8">
        <v>2020</v>
      </c>
      <c r="E767" s="14">
        <f>Data!G767</f>
        <v>871769183000</v>
      </c>
    </row>
    <row r="768" spans="2:5" ht="15" customHeight="1" x14ac:dyDescent="0.3">
      <c r="C768" s="2"/>
      <c r="D768" s="8">
        <v>2021</v>
      </c>
      <c r="E768" s="14">
        <f>Data!G768</f>
        <v>954657152000</v>
      </c>
    </row>
    <row r="769" spans="2:5" ht="15" customHeight="1" x14ac:dyDescent="0.3">
      <c r="C769" s="2"/>
      <c r="D769" s="8">
        <v>2022</v>
      </c>
      <c r="E769" s="14">
        <f>Data!G769</f>
        <v>989810930000</v>
      </c>
    </row>
    <row r="770" spans="2:5" ht="15" customHeight="1" x14ac:dyDescent="0.3">
      <c r="C770" s="2"/>
      <c r="D770" s="8">
        <v>2023</v>
      </c>
      <c r="E770" s="14">
        <f>Data!G770</f>
        <v>970378457000</v>
      </c>
    </row>
    <row r="771" spans="2:5" ht="15" customHeight="1" x14ac:dyDescent="0.3">
      <c r="C771" s="2"/>
      <c r="D771" s="8">
        <v>2024</v>
      </c>
      <c r="E771" s="14">
        <f>Data!G771</f>
        <v>903498744000</v>
      </c>
    </row>
    <row r="772" spans="2:5" ht="15" customHeight="1" x14ac:dyDescent="0.3">
      <c r="B772" s="8">
        <v>71</v>
      </c>
      <c r="C772" s="2" t="s">
        <v>73</v>
      </c>
      <c r="D772" s="8">
        <v>2014</v>
      </c>
      <c r="E772" s="14">
        <f>Data!G772</f>
        <v>0</v>
      </c>
    </row>
    <row r="773" spans="2:5" ht="15" customHeight="1" x14ac:dyDescent="0.3">
      <c r="C773" s="2"/>
      <c r="D773" s="8">
        <v>2015</v>
      </c>
      <c r="E773" s="14">
        <f>Data!G773</f>
        <v>393493000000</v>
      </c>
    </row>
    <row r="774" spans="2:5" ht="15" customHeight="1" x14ac:dyDescent="0.3">
      <c r="C774" s="2"/>
      <c r="D774" s="8">
        <v>2016</v>
      </c>
      <c r="E774" s="14">
        <f>Data!G774</f>
        <v>445968000000</v>
      </c>
    </row>
    <row r="775" spans="2:5" ht="15" customHeight="1" x14ac:dyDescent="0.3">
      <c r="C775" s="2"/>
      <c r="D775" s="8">
        <v>2017</v>
      </c>
      <c r="E775" s="14">
        <f>Data!G775</f>
        <v>413902000000</v>
      </c>
    </row>
    <row r="776" spans="2:5" ht="15" customHeight="1" x14ac:dyDescent="0.3">
      <c r="C776" s="2"/>
      <c r="D776" s="8">
        <v>2018</v>
      </c>
      <c r="E776" s="14">
        <f>Data!G776</f>
        <v>458423000000</v>
      </c>
    </row>
    <row r="777" spans="2:5" ht="15" customHeight="1" x14ac:dyDescent="0.3">
      <c r="C777" s="2"/>
      <c r="D777" s="8">
        <v>2019</v>
      </c>
      <c r="E777" s="14">
        <f>Data!G777</f>
        <v>475599000000</v>
      </c>
    </row>
    <row r="778" spans="2:5" ht="15" customHeight="1" x14ac:dyDescent="0.3">
      <c r="C778" s="2"/>
      <c r="D778" s="8">
        <v>2020</v>
      </c>
      <c r="E778" s="14">
        <f>Data!G778</f>
        <v>491590000000</v>
      </c>
    </row>
    <row r="779" spans="2:5" ht="15" customHeight="1" x14ac:dyDescent="0.3">
      <c r="C779" s="2"/>
      <c r="D779" s="8">
        <v>2021</v>
      </c>
      <c r="E779" s="14">
        <f>Data!G779</f>
        <v>558562000000</v>
      </c>
    </row>
    <row r="780" spans="2:5" ht="15" customHeight="1" x14ac:dyDescent="0.3">
      <c r="C780" s="2"/>
      <c r="D780" s="8">
        <v>2022</v>
      </c>
      <c r="E780" s="14">
        <f>Data!G780</f>
        <v>633061000000</v>
      </c>
    </row>
    <row r="781" spans="2:5" ht="15" customHeight="1" x14ac:dyDescent="0.3">
      <c r="C781" s="2"/>
      <c r="D781" s="8">
        <v>2023</v>
      </c>
      <c r="E781" s="14">
        <f>Data!G781</f>
        <v>720422000000</v>
      </c>
    </row>
    <row r="782" spans="2:5" ht="15" customHeight="1" x14ac:dyDescent="0.3">
      <c r="C782" s="2"/>
      <c r="D782" s="8">
        <v>2024</v>
      </c>
      <c r="E782" s="14">
        <f>Data!G782</f>
        <v>708738000000</v>
      </c>
    </row>
    <row r="783" spans="2:5" ht="15" customHeight="1" x14ac:dyDescent="0.3">
      <c r="B783" s="8">
        <v>72</v>
      </c>
      <c r="C783" s="2" t="s">
        <v>75</v>
      </c>
      <c r="D783" s="8">
        <v>2014</v>
      </c>
      <c r="E783" s="14">
        <f>Data!G783</f>
        <v>0</v>
      </c>
    </row>
    <row r="784" spans="2:5" ht="15" customHeight="1" x14ac:dyDescent="0.3">
      <c r="C784" s="2"/>
      <c r="D784" s="8">
        <v>2015</v>
      </c>
      <c r="E784" s="14">
        <f>Data!G784</f>
        <v>376932000000</v>
      </c>
    </row>
    <row r="785" spans="2:5" ht="15" customHeight="1" x14ac:dyDescent="0.3">
      <c r="C785" s="2"/>
      <c r="D785" s="8">
        <v>2016</v>
      </c>
      <c r="E785" s="14">
        <f>Data!G785</f>
        <v>505969000000</v>
      </c>
    </row>
    <row r="786" spans="2:5" ht="15" customHeight="1" x14ac:dyDescent="0.3">
      <c r="C786" s="2"/>
      <c r="D786" s="8">
        <v>2017</v>
      </c>
      <c r="E786" s="14">
        <f>Data!G786</f>
        <v>786758000000</v>
      </c>
    </row>
    <row r="787" spans="2:5" ht="15" customHeight="1" x14ac:dyDescent="0.3">
      <c r="C787" s="2"/>
      <c r="D787" s="8">
        <v>2018</v>
      </c>
      <c r="E787" s="14">
        <f>Data!G787</f>
        <v>1105918000000</v>
      </c>
    </row>
    <row r="788" spans="2:5" ht="15" customHeight="1" x14ac:dyDescent="0.3">
      <c r="C788" s="2"/>
      <c r="D788" s="8">
        <v>2019</v>
      </c>
      <c r="E788" s="14">
        <f>Data!G788</f>
        <v>1092838000000</v>
      </c>
    </row>
    <row r="789" spans="2:5" ht="15" customHeight="1" x14ac:dyDescent="0.3">
      <c r="C789" s="2"/>
      <c r="D789" s="8">
        <v>2020</v>
      </c>
      <c r="E789" s="14">
        <f>Data!G789</f>
        <v>1071885000000</v>
      </c>
    </row>
    <row r="790" spans="2:5" ht="15" customHeight="1" x14ac:dyDescent="0.3">
      <c r="C790" s="2"/>
      <c r="D790" s="8">
        <v>2021</v>
      </c>
      <c r="E790" s="14">
        <f>Data!G790</f>
        <v>1104816000000</v>
      </c>
    </row>
    <row r="791" spans="2:5" ht="15" customHeight="1" x14ac:dyDescent="0.3">
      <c r="C791" s="2"/>
      <c r="D791" s="8">
        <v>2022</v>
      </c>
      <c r="E791" s="14">
        <f>Data!G791</f>
        <v>1001209000000</v>
      </c>
    </row>
    <row r="792" spans="2:5" ht="15" customHeight="1" x14ac:dyDescent="0.3">
      <c r="C792" s="2"/>
      <c r="D792" s="8">
        <v>2023</v>
      </c>
      <c r="E792" s="14">
        <f>Data!G792</f>
        <v>1085786000000</v>
      </c>
    </row>
    <row r="793" spans="2:5" ht="15" customHeight="1" x14ac:dyDescent="0.3">
      <c r="C793" s="2"/>
      <c r="D793" s="8">
        <v>2024</v>
      </c>
      <c r="E793" s="14">
        <f>Data!G793</f>
        <v>1007550000000</v>
      </c>
    </row>
    <row r="794" spans="2:5" ht="15" customHeight="1" x14ac:dyDescent="0.3">
      <c r="B794" s="8">
        <v>73</v>
      </c>
      <c r="C794" s="2" t="s">
        <v>96</v>
      </c>
      <c r="D794" s="8">
        <v>2014</v>
      </c>
      <c r="E794" s="14">
        <f>Data!G794</f>
        <v>0</v>
      </c>
    </row>
    <row r="795" spans="2:5" ht="15" customHeight="1" x14ac:dyDescent="0.3">
      <c r="C795" s="2"/>
      <c r="D795" s="8">
        <v>2015</v>
      </c>
      <c r="E795" s="14">
        <f>Data!G795</f>
        <v>0</v>
      </c>
    </row>
    <row r="796" spans="2:5" ht="15" customHeight="1" x14ac:dyDescent="0.3">
      <c r="C796" s="2"/>
      <c r="D796" s="8">
        <v>2016</v>
      </c>
      <c r="E796" s="14">
        <f>Data!G796</f>
        <v>0</v>
      </c>
    </row>
    <row r="797" spans="2:5" ht="15" customHeight="1" x14ac:dyDescent="0.3">
      <c r="C797" s="2"/>
      <c r="D797" s="8">
        <v>2017</v>
      </c>
      <c r="E797" s="14">
        <f>Data!G797</f>
        <v>0</v>
      </c>
    </row>
    <row r="798" spans="2:5" ht="15" customHeight="1" x14ac:dyDescent="0.3">
      <c r="C798" s="2"/>
      <c r="D798" s="8">
        <v>2018</v>
      </c>
      <c r="E798" s="14">
        <f>Data!G798</f>
        <v>0</v>
      </c>
    </row>
    <row r="799" spans="2:5" ht="15" customHeight="1" x14ac:dyDescent="0.3">
      <c r="C799" s="2"/>
      <c r="D799" s="8">
        <v>2019</v>
      </c>
      <c r="E799" s="14">
        <f>Data!G799</f>
        <v>200264000000</v>
      </c>
    </row>
    <row r="800" spans="2:5" ht="15" customHeight="1" x14ac:dyDescent="0.3">
      <c r="C800" s="2"/>
      <c r="D800" s="8">
        <v>2020</v>
      </c>
      <c r="E800" s="14">
        <f>Data!G800</f>
        <v>361478000000</v>
      </c>
    </row>
    <row r="801" spans="2:5" ht="15" customHeight="1" x14ac:dyDescent="0.3">
      <c r="C801" s="2"/>
      <c r="D801" s="8">
        <v>2021</v>
      </c>
      <c r="E801" s="14">
        <f>Data!G801</f>
        <v>451600000000</v>
      </c>
    </row>
    <row r="802" spans="2:5" ht="15" customHeight="1" x14ac:dyDescent="0.3">
      <c r="C802" s="2"/>
      <c r="D802" s="8">
        <v>2022</v>
      </c>
      <c r="E802" s="14">
        <f>Data!G802</f>
        <v>513082000000</v>
      </c>
    </row>
    <row r="803" spans="2:5" ht="15" customHeight="1" x14ac:dyDescent="0.3">
      <c r="C803" s="2"/>
      <c r="D803" s="8">
        <v>2023</v>
      </c>
      <c r="E803" s="14">
        <f>Data!G803</f>
        <v>624335000000</v>
      </c>
    </row>
    <row r="804" spans="2:5" ht="15" customHeight="1" x14ac:dyDescent="0.3">
      <c r="C804" s="2"/>
      <c r="D804" s="8">
        <v>2024</v>
      </c>
      <c r="E804" s="14">
        <f>Data!G804</f>
        <v>714332000000</v>
      </c>
    </row>
    <row r="805" spans="2:5" ht="15" customHeight="1" x14ac:dyDescent="0.3">
      <c r="B805" s="8">
        <v>74</v>
      </c>
      <c r="C805" s="2" t="s">
        <v>76</v>
      </c>
      <c r="D805" s="8">
        <v>2014</v>
      </c>
      <c r="E805" s="14">
        <f>Data!G805</f>
        <v>0</v>
      </c>
    </row>
    <row r="806" spans="2:5" ht="15" customHeight="1" x14ac:dyDescent="0.3">
      <c r="C806" s="2"/>
      <c r="D806" s="8">
        <v>2015</v>
      </c>
      <c r="E806" s="14">
        <f>Data!G806</f>
        <v>9225611000000</v>
      </c>
    </row>
    <row r="807" spans="2:5" ht="15" customHeight="1" x14ac:dyDescent="0.3">
      <c r="C807" s="2"/>
      <c r="D807" s="8">
        <v>2016</v>
      </c>
      <c r="E807" s="14">
        <f>Data!G807</f>
        <v>8734642000000</v>
      </c>
    </row>
    <row r="808" spans="2:5" ht="15" customHeight="1" x14ac:dyDescent="0.3">
      <c r="C808" s="2"/>
      <c r="D808" s="8">
        <v>2017</v>
      </c>
      <c r="E808" s="14">
        <f>Data!G808</f>
        <v>8918691000000</v>
      </c>
    </row>
    <row r="809" spans="2:5" ht="15" customHeight="1" x14ac:dyDescent="0.3">
      <c r="C809" s="2"/>
      <c r="D809" s="8">
        <v>2018</v>
      </c>
      <c r="E809" s="14">
        <f>Data!G809</f>
        <v>9398031000000</v>
      </c>
    </row>
    <row r="810" spans="2:5" ht="15" customHeight="1" x14ac:dyDescent="0.3">
      <c r="C810" s="2"/>
      <c r="D810" s="8">
        <v>2019</v>
      </c>
      <c r="E810" s="14">
        <f>Data!G810</f>
        <v>10790332000000</v>
      </c>
    </row>
    <row r="811" spans="2:5" ht="15" customHeight="1" x14ac:dyDescent="0.3">
      <c r="C811" s="2"/>
      <c r="D811" s="8">
        <v>2020</v>
      </c>
      <c r="E811" s="14">
        <f>Data!G811</f>
        <v>10589546000000</v>
      </c>
    </row>
    <row r="812" spans="2:5" ht="15" customHeight="1" x14ac:dyDescent="0.3">
      <c r="C812" s="2"/>
      <c r="D812" s="8">
        <v>2021</v>
      </c>
      <c r="E812" s="14">
        <f>Data!G812</f>
        <v>12170557000000</v>
      </c>
    </row>
    <row r="813" spans="2:5" ht="15" customHeight="1" x14ac:dyDescent="0.3">
      <c r="C813" s="2"/>
      <c r="D813" s="8">
        <v>2022</v>
      </c>
      <c r="E813" s="14">
        <f>Data!G813</f>
        <v>13092783000000</v>
      </c>
    </row>
    <row r="814" spans="2:5" ht="15" customHeight="1" x14ac:dyDescent="0.3">
      <c r="C814" s="2"/>
      <c r="D814" s="8">
        <v>2023</v>
      </c>
      <c r="E814" s="14">
        <f>Data!G814</f>
        <v>14409652000000</v>
      </c>
    </row>
    <row r="815" spans="2:5" ht="15" customHeight="1" x14ac:dyDescent="0.3">
      <c r="C815" s="2"/>
      <c r="D815" s="8">
        <v>2024</v>
      </c>
      <c r="E815" s="14">
        <f>Data!G815</f>
        <v>16164429000000</v>
      </c>
    </row>
    <row r="816" spans="2:5" ht="15" customHeight="1" x14ac:dyDescent="0.3">
      <c r="B816" s="8">
        <v>75</v>
      </c>
      <c r="C816" s="1" t="s">
        <v>130</v>
      </c>
      <c r="D816" s="8">
        <v>2014</v>
      </c>
      <c r="E816" s="14">
        <f>Data!G816</f>
        <v>0</v>
      </c>
    </row>
    <row r="817" spans="2:5" ht="15" customHeight="1" x14ac:dyDescent="0.3">
      <c r="C817" s="1"/>
      <c r="D817" s="8">
        <v>2015</v>
      </c>
      <c r="E817" s="14">
        <f>Data!G817</f>
        <v>0</v>
      </c>
    </row>
    <row r="818" spans="2:5" ht="15" customHeight="1" x14ac:dyDescent="0.3">
      <c r="C818" s="1"/>
      <c r="D818" s="8">
        <v>2016</v>
      </c>
      <c r="E818" s="14">
        <f>Data!G818</f>
        <v>0</v>
      </c>
    </row>
    <row r="819" spans="2:5" ht="15" customHeight="1" x14ac:dyDescent="0.3">
      <c r="C819" s="1"/>
      <c r="D819" s="8">
        <v>2017</v>
      </c>
      <c r="E819" s="14">
        <f>Data!G819</f>
        <v>0</v>
      </c>
    </row>
    <row r="820" spans="2:5" ht="15" customHeight="1" x14ac:dyDescent="0.3">
      <c r="C820" s="1"/>
      <c r="D820" s="8">
        <v>2018</v>
      </c>
      <c r="E820" s="14">
        <f>Data!G820</f>
        <v>0</v>
      </c>
    </row>
    <row r="821" spans="2:5" ht="15" customHeight="1" x14ac:dyDescent="0.3">
      <c r="C821" s="1"/>
      <c r="D821" s="8">
        <v>2019</v>
      </c>
      <c r="E821" s="14">
        <f>Data!G821</f>
        <v>0</v>
      </c>
    </row>
    <row r="822" spans="2:5" ht="15" customHeight="1" x14ac:dyDescent="0.3">
      <c r="C822" s="1"/>
      <c r="D822" s="8">
        <v>2020</v>
      </c>
      <c r="E822" s="14">
        <f>Data!G822</f>
        <v>0</v>
      </c>
    </row>
    <row r="823" spans="2:5" ht="15" customHeight="1" x14ac:dyDescent="0.3">
      <c r="C823" s="1"/>
      <c r="D823" s="8">
        <v>2021</v>
      </c>
      <c r="E823" s="14">
        <f>Data!G823</f>
        <v>0</v>
      </c>
    </row>
    <row r="824" spans="2:5" ht="15" customHeight="1" x14ac:dyDescent="0.3">
      <c r="C824" s="1"/>
      <c r="D824" s="8">
        <v>2022</v>
      </c>
      <c r="E824" s="14">
        <f>Data!G824</f>
        <v>0</v>
      </c>
    </row>
    <row r="825" spans="2:5" ht="15" customHeight="1" x14ac:dyDescent="0.3">
      <c r="C825" s="1"/>
      <c r="D825" s="8">
        <v>2023</v>
      </c>
      <c r="E825" s="14">
        <f>Data!G825</f>
        <v>0</v>
      </c>
    </row>
    <row r="826" spans="2:5" ht="15" customHeight="1" x14ac:dyDescent="0.3">
      <c r="C826" s="1"/>
      <c r="D826" s="8">
        <v>2024</v>
      </c>
      <c r="E826" s="14">
        <f>Data!G826</f>
        <v>0</v>
      </c>
    </row>
    <row r="827" spans="2:5" ht="15" customHeight="1" x14ac:dyDescent="0.3">
      <c r="B827" s="8">
        <v>76</v>
      </c>
      <c r="C827" s="2" t="s">
        <v>79</v>
      </c>
      <c r="D827" s="8">
        <v>2014</v>
      </c>
      <c r="E827" s="14">
        <f>Data!G827</f>
        <v>0</v>
      </c>
    </row>
    <row r="828" spans="2:5" ht="15" customHeight="1" x14ac:dyDescent="0.3">
      <c r="C828" s="2"/>
      <c r="D828" s="8">
        <v>2015</v>
      </c>
      <c r="E828" s="14">
        <f>Data!G828</f>
        <v>0</v>
      </c>
    </row>
    <row r="829" spans="2:5" ht="15" customHeight="1" x14ac:dyDescent="0.3">
      <c r="C829" s="2"/>
      <c r="D829" s="8">
        <v>2016</v>
      </c>
      <c r="E829" s="14">
        <f>Data!G829</f>
        <v>0</v>
      </c>
    </row>
    <row r="830" spans="2:5" ht="15" customHeight="1" x14ac:dyDescent="0.3">
      <c r="C830" s="2"/>
      <c r="D830" s="8">
        <v>2017</v>
      </c>
      <c r="E830" s="14">
        <f>Data!G830</f>
        <v>0</v>
      </c>
    </row>
    <row r="831" spans="2:5" ht="15" customHeight="1" x14ac:dyDescent="0.3">
      <c r="C831" s="2"/>
      <c r="D831" s="8">
        <v>2018</v>
      </c>
      <c r="E831" s="14">
        <f>Data!G831</f>
        <v>0</v>
      </c>
    </row>
    <row r="832" spans="2:5" ht="15" customHeight="1" x14ac:dyDescent="0.3">
      <c r="C832" s="2"/>
      <c r="D832" s="8">
        <v>2019</v>
      </c>
      <c r="E832" s="14">
        <f>Data!G832</f>
        <v>1158038755000</v>
      </c>
    </row>
    <row r="833" spans="2:5" ht="15" customHeight="1" x14ac:dyDescent="0.3">
      <c r="C833" s="2"/>
      <c r="D833" s="8">
        <v>2020</v>
      </c>
      <c r="E833" s="14">
        <f>Data!G833</f>
        <v>859876511000</v>
      </c>
    </row>
    <row r="834" spans="2:5" ht="15" customHeight="1" x14ac:dyDescent="0.3">
      <c r="C834" s="2"/>
      <c r="D834" s="8">
        <v>2021</v>
      </c>
      <c r="E834" s="14">
        <f>Data!G834</f>
        <v>822740369000</v>
      </c>
    </row>
    <row r="835" spans="2:5" ht="15" customHeight="1" x14ac:dyDescent="0.3">
      <c r="C835" s="2"/>
      <c r="D835" s="8">
        <v>2022</v>
      </c>
      <c r="E835" s="14">
        <f>Data!G835</f>
        <v>888973513000</v>
      </c>
    </row>
    <row r="836" spans="2:5" ht="15" customHeight="1" x14ac:dyDescent="0.3">
      <c r="C836" s="2"/>
      <c r="D836" s="8">
        <v>2023</v>
      </c>
      <c r="E836" s="14">
        <f>Data!G836</f>
        <v>982940217000</v>
      </c>
    </row>
    <row r="837" spans="2:5" ht="15" customHeight="1" x14ac:dyDescent="0.3">
      <c r="C837" s="2"/>
      <c r="D837" s="8">
        <v>2024</v>
      </c>
      <c r="E837" s="14">
        <f>Data!G837</f>
        <v>1082550737000</v>
      </c>
    </row>
    <row r="838" spans="2:5" ht="15" customHeight="1" x14ac:dyDescent="0.3">
      <c r="B838" s="8">
        <v>77</v>
      </c>
      <c r="C838" s="2" t="s">
        <v>119</v>
      </c>
      <c r="D838" s="8">
        <v>2014</v>
      </c>
      <c r="E838" s="14">
        <f>Data!G838</f>
        <v>0</v>
      </c>
    </row>
    <row r="839" spans="2:5" ht="15" customHeight="1" x14ac:dyDescent="0.3">
      <c r="C839" s="2"/>
      <c r="D839" s="8">
        <v>2015</v>
      </c>
      <c r="E839" s="14">
        <f>Data!G839</f>
        <v>0</v>
      </c>
    </row>
    <row r="840" spans="2:5" ht="15" customHeight="1" x14ac:dyDescent="0.3">
      <c r="C840" s="2"/>
      <c r="D840" s="8">
        <v>2016</v>
      </c>
      <c r="E840" s="14">
        <f>Data!G840</f>
        <v>0</v>
      </c>
    </row>
    <row r="841" spans="2:5" ht="15" customHeight="1" x14ac:dyDescent="0.3">
      <c r="C841" s="2"/>
      <c r="D841" s="8">
        <v>2017</v>
      </c>
      <c r="E841" s="14">
        <f>Data!G841</f>
        <v>0</v>
      </c>
    </row>
    <row r="842" spans="2:5" ht="15" customHeight="1" x14ac:dyDescent="0.3">
      <c r="C842" s="2"/>
      <c r="D842" s="8">
        <v>2018</v>
      </c>
      <c r="E842" s="14">
        <f>Data!G842</f>
        <v>364590550000</v>
      </c>
    </row>
    <row r="843" spans="2:5" ht="15" customHeight="1" x14ac:dyDescent="0.3">
      <c r="C843" s="2"/>
      <c r="D843" s="8">
        <v>2019</v>
      </c>
      <c r="E843" s="14">
        <f>Data!G843</f>
        <v>255980130000</v>
      </c>
    </row>
    <row r="844" spans="2:5" ht="15" customHeight="1" x14ac:dyDescent="0.3">
      <c r="C844" s="2"/>
      <c r="D844" s="8">
        <v>2020</v>
      </c>
      <c r="E844" s="14">
        <f>Data!G844</f>
        <v>314220790000</v>
      </c>
    </row>
    <row r="845" spans="2:5" ht="15" customHeight="1" x14ac:dyDescent="0.3">
      <c r="C845" s="2"/>
      <c r="D845" s="8">
        <v>2021</v>
      </c>
      <c r="E845" s="14">
        <f>Data!G845</f>
        <v>240789680000</v>
      </c>
    </row>
    <row r="846" spans="2:5" ht="15" customHeight="1" x14ac:dyDescent="0.3">
      <c r="C846" s="2"/>
      <c r="D846" s="8">
        <v>2022</v>
      </c>
      <c r="E846" s="14">
        <f>Data!G846</f>
        <v>218360480000</v>
      </c>
    </row>
    <row r="847" spans="2:5" ht="15" customHeight="1" x14ac:dyDescent="0.3">
      <c r="C847" s="2"/>
      <c r="D847" s="8">
        <v>2023</v>
      </c>
      <c r="E847" s="14">
        <f>Data!G847</f>
        <v>252198000000</v>
      </c>
    </row>
    <row r="848" spans="2:5" ht="15" customHeight="1" x14ac:dyDescent="0.3">
      <c r="C848" s="2"/>
      <c r="D848" s="8">
        <v>2024</v>
      </c>
      <c r="E848" s="14">
        <f>Data!G848</f>
        <v>256066000000</v>
      </c>
    </row>
    <row r="849" spans="2:5" ht="15" customHeight="1" x14ac:dyDescent="0.3">
      <c r="B849" s="8">
        <v>78</v>
      </c>
      <c r="C849" s="2" t="s">
        <v>80</v>
      </c>
      <c r="D849" s="8">
        <v>2014</v>
      </c>
      <c r="E849" s="14">
        <f>Data!G849</f>
        <v>0</v>
      </c>
    </row>
    <row r="850" spans="2:5" ht="15" customHeight="1" x14ac:dyDescent="0.3">
      <c r="C850" s="2"/>
      <c r="D850" s="8">
        <v>2015</v>
      </c>
      <c r="E850" s="14">
        <f>Data!G850</f>
        <v>158115174000</v>
      </c>
    </row>
    <row r="851" spans="2:5" ht="15" customHeight="1" x14ac:dyDescent="0.3">
      <c r="C851" s="2"/>
      <c r="D851" s="8">
        <v>2016</v>
      </c>
      <c r="E851" s="14">
        <f>Data!G851</f>
        <v>157375377000</v>
      </c>
    </row>
    <row r="852" spans="2:5" ht="15" customHeight="1" x14ac:dyDescent="0.3">
      <c r="C852" s="2"/>
      <c r="D852" s="8">
        <v>2017</v>
      </c>
      <c r="E852" s="14">
        <f>Data!G852</f>
        <v>165304046000</v>
      </c>
    </row>
    <row r="853" spans="2:5" ht="15" customHeight="1" x14ac:dyDescent="0.3">
      <c r="C853" s="2"/>
      <c r="D853" s="8">
        <v>2018</v>
      </c>
      <c r="E853" s="14">
        <f>Data!G853</f>
        <v>229521000000</v>
      </c>
    </row>
    <row r="854" spans="2:5" ht="15" customHeight="1" x14ac:dyDescent="0.3">
      <c r="C854" s="2"/>
      <c r="D854" s="8">
        <v>2019</v>
      </c>
      <c r="E854" s="14">
        <f>Data!G854</f>
        <v>211559644000</v>
      </c>
    </row>
    <row r="855" spans="2:5" ht="15" customHeight="1" x14ac:dyDescent="0.3">
      <c r="C855" s="2"/>
      <c r="D855" s="8">
        <v>2020</v>
      </c>
      <c r="E855" s="14">
        <f>Data!G855</f>
        <v>207903297000</v>
      </c>
    </row>
    <row r="856" spans="2:5" ht="15" customHeight="1" x14ac:dyDescent="0.3">
      <c r="C856" s="2"/>
      <c r="D856" s="8">
        <v>2021</v>
      </c>
      <c r="E856" s="14">
        <f>Data!G856</f>
        <v>179676000000</v>
      </c>
    </row>
    <row r="857" spans="2:5" ht="15" customHeight="1" x14ac:dyDescent="0.3">
      <c r="C857" s="2"/>
      <c r="D857" s="8">
        <v>2022</v>
      </c>
      <c r="E857" s="14">
        <f>Data!G857</f>
        <v>269647000000</v>
      </c>
    </row>
    <row r="858" spans="2:5" ht="15" customHeight="1" x14ac:dyDescent="0.3">
      <c r="C858" s="2"/>
      <c r="D858" s="8">
        <v>2023</v>
      </c>
      <c r="E858" s="14">
        <f>Data!G858</f>
        <v>387608000000</v>
      </c>
    </row>
    <row r="859" spans="2:5" ht="15" customHeight="1" x14ac:dyDescent="0.3">
      <c r="C859" s="2"/>
      <c r="D859" s="8">
        <v>2024</v>
      </c>
      <c r="E859" s="14">
        <f>Data!G859</f>
        <v>576261000000</v>
      </c>
    </row>
    <row r="860" spans="2:5" ht="15" customHeight="1" x14ac:dyDescent="0.3">
      <c r="B860" s="8">
        <v>79</v>
      </c>
      <c r="C860" s="2" t="s">
        <v>97</v>
      </c>
      <c r="D860" s="8">
        <v>2014</v>
      </c>
      <c r="E860" s="14">
        <f>Data!G860</f>
        <v>0</v>
      </c>
    </row>
    <row r="861" spans="2:5" ht="15" customHeight="1" x14ac:dyDescent="0.3">
      <c r="C861" s="2"/>
      <c r="D861" s="8">
        <v>2015</v>
      </c>
      <c r="E861" s="14">
        <f>Data!G861</f>
        <v>726345620000</v>
      </c>
    </row>
    <row r="862" spans="2:5" ht="15" customHeight="1" x14ac:dyDescent="0.3">
      <c r="C862" s="2"/>
      <c r="D862" s="8">
        <v>2016</v>
      </c>
      <c r="E862" s="14">
        <f>Data!G862</f>
        <v>865785160000</v>
      </c>
    </row>
    <row r="863" spans="2:5" ht="15" customHeight="1" x14ac:dyDescent="0.3">
      <c r="C863" s="2"/>
      <c r="D863" s="8">
        <v>2017</v>
      </c>
      <c r="E863" s="14">
        <f>Data!G863</f>
        <v>927525210000</v>
      </c>
    </row>
    <row r="864" spans="2:5" ht="15" customHeight="1" x14ac:dyDescent="0.3">
      <c r="C864" s="2"/>
      <c r="D864" s="8">
        <v>2018</v>
      </c>
      <c r="E864" s="14">
        <f>Data!G864</f>
        <v>1045273900000</v>
      </c>
    </row>
    <row r="865" spans="2:5" ht="15" customHeight="1" x14ac:dyDescent="0.3">
      <c r="C865" s="2"/>
      <c r="D865" s="8">
        <v>2019</v>
      </c>
      <c r="E865" s="14">
        <f>Data!G865</f>
        <v>617588470000</v>
      </c>
    </row>
    <row r="866" spans="2:5" ht="15" customHeight="1" x14ac:dyDescent="0.3">
      <c r="C866" s="2"/>
      <c r="D866" s="8">
        <v>2020</v>
      </c>
      <c r="E866" s="14">
        <f>Data!G866</f>
        <v>1015763000000</v>
      </c>
    </row>
    <row r="867" spans="2:5" ht="15" customHeight="1" x14ac:dyDescent="0.3">
      <c r="C867" s="2"/>
      <c r="D867" s="8">
        <v>2021</v>
      </c>
      <c r="E867" s="14">
        <f>Data!G867</f>
        <v>1306165000000</v>
      </c>
    </row>
    <row r="868" spans="2:5" ht="15" customHeight="1" x14ac:dyDescent="0.3">
      <c r="C868" s="2"/>
      <c r="D868" s="8">
        <v>2022</v>
      </c>
      <c r="E868" s="14">
        <f>Data!G868</f>
        <v>1207430000000</v>
      </c>
    </row>
    <row r="869" spans="2:5" ht="15" customHeight="1" x14ac:dyDescent="0.3">
      <c r="C869" s="2"/>
      <c r="D869" s="8">
        <v>2023</v>
      </c>
      <c r="E869" s="14">
        <f>Data!G869</f>
        <v>952959000000</v>
      </c>
    </row>
    <row r="870" spans="2:5" ht="15" customHeight="1" x14ac:dyDescent="0.3">
      <c r="C870" s="2"/>
      <c r="D870" s="8">
        <v>2024</v>
      </c>
      <c r="E870" s="14">
        <f>Data!G870</f>
        <v>880166000000</v>
      </c>
    </row>
    <row r="871" spans="2:5" ht="15" customHeight="1" x14ac:dyDescent="0.3">
      <c r="B871" s="8">
        <v>80</v>
      </c>
      <c r="C871" s="2" t="s">
        <v>81</v>
      </c>
      <c r="D871" s="8">
        <v>2014</v>
      </c>
      <c r="E871" s="14">
        <f>Data!G871</f>
        <v>0</v>
      </c>
    </row>
    <row r="872" spans="2:5" ht="15" customHeight="1" x14ac:dyDescent="0.3">
      <c r="C872" s="2"/>
      <c r="D872" s="8">
        <v>2015</v>
      </c>
      <c r="E872" s="14">
        <f>Data!G872</f>
        <v>1425414000000</v>
      </c>
    </row>
    <row r="873" spans="2:5" ht="15" customHeight="1" x14ac:dyDescent="0.3">
      <c r="C873" s="2"/>
      <c r="D873" s="8">
        <v>2016</v>
      </c>
      <c r="E873" s="14">
        <f>Data!G873</f>
        <v>1447531000000</v>
      </c>
    </row>
    <row r="874" spans="2:5" ht="15" customHeight="1" x14ac:dyDescent="0.3">
      <c r="C874" s="2"/>
      <c r="D874" s="8">
        <v>2017</v>
      </c>
      <c r="E874" s="14">
        <f>Data!G874</f>
        <v>1546804000000</v>
      </c>
    </row>
    <row r="875" spans="2:5" ht="15" customHeight="1" x14ac:dyDescent="0.3">
      <c r="C875" s="2"/>
      <c r="D875" s="8">
        <v>2018</v>
      </c>
      <c r="E875" s="14">
        <f>Data!G875</f>
        <v>1778439000000</v>
      </c>
    </row>
    <row r="876" spans="2:5" ht="15" customHeight="1" x14ac:dyDescent="0.3">
      <c r="C876" s="2"/>
      <c r="D876" s="8">
        <v>2019</v>
      </c>
      <c r="E876" s="14">
        <f>Data!G876</f>
        <v>1785466000000</v>
      </c>
    </row>
    <row r="877" spans="2:5" ht="15" customHeight="1" x14ac:dyDescent="0.3">
      <c r="C877" s="2"/>
      <c r="D877" s="8">
        <v>2020</v>
      </c>
      <c r="E877" s="14">
        <f>Data!G877</f>
        <v>1618403000000</v>
      </c>
    </row>
    <row r="878" spans="2:5" ht="15" customHeight="1" x14ac:dyDescent="0.3">
      <c r="C878" s="2"/>
      <c r="D878" s="8">
        <v>2021</v>
      </c>
      <c r="E878" s="14">
        <f>Data!G878</f>
        <v>1662278000000</v>
      </c>
    </row>
    <row r="879" spans="2:5" ht="15" customHeight="1" x14ac:dyDescent="0.3">
      <c r="C879" s="2"/>
      <c r="D879" s="8">
        <v>2022</v>
      </c>
      <c r="E879" s="14">
        <f>Data!G879</f>
        <v>2086886000000</v>
      </c>
    </row>
    <row r="880" spans="2:5" ht="15" customHeight="1" x14ac:dyDescent="0.3">
      <c r="C880" s="2"/>
      <c r="D880" s="8">
        <v>2023</v>
      </c>
      <c r="E880" s="14">
        <f>Data!G880</f>
        <v>1616151000000</v>
      </c>
    </row>
    <row r="881" spans="2:5" ht="15" customHeight="1" x14ac:dyDescent="0.3">
      <c r="C881" s="2"/>
      <c r="D881" s="8">
        <v>2024</v>
      </c>
      <c r="E881" s="14">
        <f>Data!G881</f>
        <v>1596064000000</v>
      </c>
    </row>
    <row r="882" spans="2:5" ht="15" customHeight="1" x14ac:dyDescent="0.3">
      <c r="B882" s="8">
        <v>81</v>
      </c>
      <c r="C882" s="2" t="s">
        <v>82</v>
      </c>
      <c r="D882" s="8">
        <v>2014</v>
      </c>
      <c r="E882" s="14">
        <f>Data!G882</f>
        <v>0</v>
      </c>
    </row>
    <row r="883" spans="2:5" ht="15" customHeight="1" x14ac:dyDescent="0.3">
      <c r="C883" s="2"/>
      <c r="D883" s="8">
        <v>2015</v>
      </c>
      <c r="E883" s="14">
        <f>Data!G883</f>
        <v>0</v>
      </c>
    </row>
    <row r="884" spans="2:5" ht="15" customHeight="1" x14ac:dyDescent="0.3">
      <c r="C884" s="2"/>
      <c r="D884" s="8">
        <v>2016</v>
      </c>
      <c r="E884" s="14">
        <f>Data!G884</f>
        <v>0</v>
      </c>
    </row>
    <row r="885" spans="2:5" ht="15" customHeight="1" x14ac:dyDescent="0.3">
      <c r="C885" s="2"/>
      <c r="D885" s="8">
        <v>2017</v>
      </c>
      <c r="E885" s="14">
        <f>Data!G885</f>
        <v>0</v>
      </c>
    </row>
    <row r="886" spans="2:5" ht="15" customHeight="1" x14ac:dyDescent="0.3">
      <c r="C886" s="2"/>
      <c r="D886" s="8">
        <v>2018</v>
      </c>
      <c r="E886" s="14">
        <f>Data!G886</f>
        <v>628464862000</v>
      </c>
    </row>
    <row r="887" spans="2:5" ht="15" customHeight="1" x14ac:dyDescent="0.3">
      <c r="C887" s="2"/>
      <c r="D887" s="8">
        <v>2019</v>
      </c>
      <c r="E887" s="14">
        <f>Data!G887</f>
        <v>582236244000</v>
      </c>
    </row>
    <row r="888" spans="2:5" ht="15" customHeight="1" x14ac:dyDescent="0.3">
      <c r="C888" s="2"/>
      <c r="D888" s="8">
        <v>2020</v>
      </c>
      <c r="E888" s="14">
        <f>Data!G888</f>
        <v>577744818000</v>
      </c>
    </row>
    <row r="889" spans="2:5" ht="15" customHeight="1" x14ac:dyDescent="0.3">
      <c r="C889" s="2"/>
      <c r="D889" s="8">
        <v>2021</v>
      </c>
      <c r="E889" s="14">
        <f>Data!G889</f>
        <v>666903763000</v>
      </c>
    </row>
    <row r="890" spans="2:5" ht="15" customHeight="1" x14ac:dyDescent="0.3">
      <c r="C890" s="2"/>
      <c r="D890" s="8">
        <v>2022</v>
      </c>
      <c r="E890" s="14">
        <f>Data!G890</f>
        <v>933279448000</v>
      </c>
    </row>
    <row r="891" spans="2:5" ht="15" customHeight="1" x14ac:dyDescent="0.3">
      <c r="C891" s="2"/>
      <c r="D891" s="8">
        <v>2023</v>
      </c>
      <c r="E891" s="14">
        <f>Data!G891</f>
        <v>997499063000</v>
      </c>
    </row>
    <row r="892" spans="2:5" ht="15" customHeight="1" x14ac:dyDescent="0.3">
      <c r="C892" s="2"/>
      <c r="D892" s="8">
        <v>2024</v>
      </c>
      <c r="E892" s="14">
        <f>Data!G892</f>
        <v>1071029173000</v>
      </c>
    </row>
    <row r="893" spans="2:5" ht="15" customHeight="1" x14ac:dyDescent="0.3">
      <c r="B893" s="8">
        <v>82</v>
      </c>
      <c r="C893" s="2" t="s">
        <v>83</v>
      </c>
      <c r="D893" s="8">
        <v>2014</v>
      </c>
      <c r="E893" s="14">
        <f>Data!G893</f>
        <v>0</v>
      </c>
    </row>
    <row r="894" spans="2:5" ht="15" customHeight="1" x14ac:dyDescent="0.3">
      <c r="C894" s="2"/>
      <c r="D894" s="8">
        <v>2015</v>
      </c>
      <c r="E894" s="14">
        <f>Data!G894</f>
        <v>0</v>
      </c>
    </row>
    <row r="895" spans="2:5" ht="15" customHeight="1" x14ac:dyDescent="0.3">
      <c r="C895" s="2"/>
      <c r="D895" s="8">
        <v>2016</v>
      </c>
      <c r="E895" s="14">
        <f>Data!G895</f>
        <v>0</v>
      </c>
    </row>
    <row r="896" spans="2:5" ht="15" customHeight="1" x14ac:dyDescent="0.3">
      <c r="C896" s="2"/>
      <c r="D896" s="8">
        <v>2017</v>
      </c>
      <c r="E896" s="14">
        <f>Data!G896</f>
        <v>0</v>
      </c>
    </row>
    <row r="897" spans="2:5" ht="15" customHeight="1" x14ac:dyDescent="0.3">
      <c r="C897" s="2"/>
      <c r="D897" s="8">
        <v>2018</v>
      </c>
      <c r="E897" s="14">
        <f>Data!G897</f>
        <v>0</v>
      </c>
    </row>
    <row r="898" spans="2:5" ht="15" customHeight="1" x14ac:dyDescent="0.3">
      <c r="C898" s="2"/>
      <c r="D898" s="8">
        <v>2019</v>
      </c>
      <c r="E898" s="14">
        <f>Data!G898</f>
        <v>0</v>
      </c>
    </row>
    <row r="899" spans="2:5" ht="15" customHeight="1" x14ac:dyDescent="0.3">
      <c r="C899" s="2"/>
      <c r="D899" s="8">
        <v>2020</v>
      </c>
      <c r="E899" s="14">
        <f>Data!G899</f>
        <v>268957000000</v>
      </c>
    </row>
    <row r="900" spans="2:5" ht="15" customHeight="1" x14ac:dyDescent="0.3">
      <c r="C900" s="2"/>
      <c r="D900" s="8">
        <v>2021</v>
      </c>
      <c r="E900" s="14">
        <f>Data!G900</f>
        <v>300393000000</v>
      </c>
    </row>
    <row r="901" spans="2:5" ht="15" customHeight="1" x14ac:dyDescent="0.3">
      <c r="C901" s="2"/>
      <c r="D901" s="8">
        <v>2022</v>
      </c>
      <c r="E901" s="14">
        <f>Data!G901</f>
        <v>335530000000</v>
      </c>
    </row>
    <row r="902" spans="2:5" ht="15" customHeight="1" x14ac:dyDescent="0.3">
      <c r="C902" s="2"/>
      <c r="D902" s="8">
        <v>2023</v>
      </c>
      <c r="E902" s="14">
        <f>Data!G902</f>
        <v>512116000000</v>
      </c>
    </row>
    <row r="903" spans="2:5" ht="15" customHeight="1" x14ac:dyDescent="0.3">
      <c r="C903" s="2"/>
      <c r="D903" s="8">
        <v>2024</v>
      </c>
      <c r="E903" s="14">
        <f>Data!G903</f>
        <v>554465000000</v>
      </c>
    </row>
    <row r="904" spans="2:5" ht="15" customHeight="1" x14ac:dyDescent="0.3">
      <c r="B904" s="8">
        <v>83</v>
      </c>
      <c r="C904" s="2" t="s">
        <v>98</v>
      </c>
      <c r="D904" s="8">
        <v>2014</v>
      </c>
      <c r="E904" s="14">
        <f>Data!G904</f>
        <v>0</v>
      </c>
    </row>
    <row r="905" spans="2:5" ht="15" customHeight="1" x14ac:dyDescent="0.3">
      <c r="C905" s="2"/>
      <c r="D905" s="8">
        <v>2015</v>
      </c>
      <c r="E905" s="14">
        <f>Data!G905</f>
        <v>11393914000000</v>
      </c>
    </row>
    <row r="906" spans="2:5" ht="15" customHeight="1" x14ac:dyDescent="0.3">
      <c r="C906" s="2"/>
      <c r="D906" s="8">
        <v>2016</v>
      </c>
      <c r="E906" s="14">
        <f>Data!G906</f>
        <v>12076472000000</v>
      </c>
    </row>
    <row r="907" spans="2:5" ht="15" customHeight="1" x14ac:dyDescent="0.3">
      <c r="C907" s="2"/>
      <c r="D907" s="8">
        <v>2017</v>
      </c>
      <c r="E907" s="14">
        <f>Data!G907</f>
        <v>11752706000000</v>
      </c>
    </row>
    <row r="908" spans="2:5" ht="15" customHeight="1" x14ac:dyDescent="0.3">
      <c r="C908" s="2"/>
      <c r="D908" s="8">
        <v>2018</v>
      </c>
      <c r="E908" s="14">
        <f>Data!G908</f>
        <v>13475850000000</v>
      </c>
    </row>
    <row r="909" spans="2:5" ht="15" customHeight="1" x14ac:dyDescent="0.3">
      <c r="C909" s="2"/>
      <c r="D909" s="8">
        <v>2019</v>
      </c>
      <c r="E909" s="14">
        <f>Data!G909</f>
        <v>12688036000000</v>
      </c>
    </row>
    <row r="910" spans="2:5" ht="15" customHeight="1" x14ac:dyDescent="0.3">
      <c r="C910" s="2"/>
      <c r="D910" s="8">
        <v>2020</v>
      </c>
      <c r="E910" s="14">
        <f>Data!G910</f>
        <v>13914348000000</v>
      </c>
    </row>
    <row r="911" spans="2:5" ht="15" customHeight="1" x14ac:dyDescent="0.3">
      <c r="C911" s="2"/>
      <c r="D911" s="8">
        <v>2021</v>
      </c>
      <c r="E911" s="14">
        <f>Data!G911</f>
        <v>14077069000000</v>
      </c>
    </row>
    <row r="912" spans="2:5" ht="15" customHeight="1" x14ac:dyDescent="0.3">
      <c r="C912" s="2"/>
      <c r="D912" s="8">
        <v>2022</v>
      </c>
      <c r="E912" s="14">
        <f>Data!G912</f>
        <v>12576512000000</v>
      </c>
    </row>
    <row r="913" spans="2:5" ht="15" customHeight="1" x14ac:dyDescent="0.3">
      <c r="C913" s="2"/>
      <c r="D913" s="8">
        <v>2023</v>
      </c>
      <c r="E913" s="14">
        <f>Data!G913</f>
        <v>12154715000000</v>
      </c>
    </row>
    <row r="914" spans="2:5" ht="15" customHeight="1" x14ac:dyDescent="0.3">
      <c r="C914" s="2"/>
      <c r="D914" s="8">
        <v>2024</v>
      </c>
      <c r="E914" s="14">
        <f>Data!G914</f>
        <v>15005896000000</v>
      </c>
    </row>
    <row r="915" spans="2:5" ht="15" customHeight="1" x14ac:dyDescent="0.3">
      <c r="B915" s="8">
        <v>84</v>
      </c>
      <c r="C915" s="2" t="s">
        <v>84</v>
      </c>
      <c r="D915" s="8">
        <v>2014</v>
      </c>
      <c r="E915" s="14">
        <f>Data!G915</f>
        <v>0</v>
      </c>
    </row>
    <row r="916" spans="2:5" ht="15" customHeight="1" x14ac:dyDescent="0.3">
      <c r="C916" s="2"/>
      <c r="D916" s="8">
        <v>2015</v>
      </c>
      <c r="E916" s="14">
        <f>Data!G916</f>
        <v>390083000000</v>
      </c>
    </row>
    <row r="917" spans="2:5" ht="15" customHeight="1" x14ac:dyDescent="0.3">
      <c r="C917" s="2"/>
      <c r="D917" s="8">
        <v>2016</v>
      </c>
      <c r="E917" s="14">
        <f>Data!G917</f>
        <v>427049000000</v>
      </c>
    </row>
    <row r="918" spans="2:5" ht="15" customHeight="1" x14ac:dyDescent="0.3">
      <c r="C918" s="2"/>
      <c r="D918" s="8">
        <v>2017</v>
      </c>
      <c r="E918" s="14">
        <f>Data!G918</f>
        <v>446108000000</v>
      </c>
    </row>
    <row r="919" spans="2:5" ht="15" customHeight="1" x14ac:dyDescent="0.3">
      <c r="C919" s="2"/>
      <c r="D919" s="8">
        <v>2018</v>
      </c>
      <c r="E919" s="14">
        <f>Data!G919</f>
        <v>478439000000</v>
      </c>
    </row>
    <row r="920" spans="2:5" ht="15" customHeight="1" x14ac:dyDescent="0.3">
      <c r="C920" s="2"/>
      <c r="D920" s="8">
        <v>2019</v>
      </c>
      <c r="E920" s="14">
        <f>Data!G920</f>
        <v>447670000000</v>
      </c>
    </row>
    <row r="921" spans="2:5" ht="15" customHeight="1" x14ac:dyDescent="0.3">
      <c r="C921" s="2"/>
      <c r="D921" s="8">
        <v>2020</v>
      </c>
      <c r="E921" s="14">
        <f>Data!G921</f>
        <v>365764000000</v>
      </c>
    </row>
    <row r="922" spans="2:5" ht="15" customHeight="1" x14ac:dyDescent="0.3">
      <c r="C922" s="2"/>
      <c r="D922" s="8">
        <v>2021</v>
      </c>
      <c r="E922" s="14">
        <f>Data!G922</f>
        <v>527852000000</v>
      </c>
    </row>
    <row r="923" spans="2:5" ht="15" customHeight="1" x14ac:dyDescent="0.3">
      <c r="C923" s="2"/>
      <c r="D923" s="8">
        <v>2022</v>
      </c>
      <c r="E923" s="14">
        <f>Data!G923</f>
        <v>499032000000</v>
      </c>
    </row>
    <row r="924" spans="2:5" ht="15" customHeight="1" x14ac:dyDescent="0.3">
      <c r="C924" s="2"/>
      <c r="D924" s="8">
        <v>2023</v>
      </c>
      <c r="E924" s="14">
        <f>Data!G924</f>
        <v>498723000000</v>
      </c>
    </row>
    <row r="925" spans="2:5" ht="15" customHeight="1" x14ac:dyDescent="0.3">
      <c r="C925" s="2"/>
      <c r="D925" s="8">
        <v>2024</v>
      </c>
      <c r="E925" s="14">
        <f>Data!G925</f>
        <v>573438000000</v>
      </c>
    </row>
    <row r="926" spans="2:5" ht="15" customHeight="1" x14ac:dyDescent="0.3">
      <c r="B926" s="8">
        <v>85</v>
      </c>
      <c r="C926" s="2" t="s">
        <v>99</v>
      </c>
      <c r="D926" s="8">
        <v>2014</v>
      </c>
      <c r="E926" s="14">
        <f>Data!G926</f>
        <v>0</v>
      </c>
    </row>
    <row r="927" spans="2:5" ht="15" customHeight="1" x14ac:dyDescent="0.3">
      <c r="C927" s="2"/>
      <c r="D927" s="8">
        <v>2015</v>
      </c>
      <c r="E927" s="14">
        <f>Data!G927</f>
        <v>1561827000000</v>
      </c>
    </row>
    <row r="928" spans="2:5" ht="15" customHeight="1" x14ac:dyDescent="0.3">
      <c r="C928" s="2"/>
      <c r="D928" s="8">
        <v>2016</v>
      </c>
      <c r="E928" s="14">
        <f>Data!G928</f>
        <v>1616165000000</v>
      </c>
    </row>
    <row r="929" spans="2:5" ht="15" customHeight="1" x14ac:dyDescent="0.3">
      <c r="C929" s="2"/>
      <c r="D929" s="8">
        <v>2017</v>
      </c>
      <c r="E929" s="14">
        <f>Data!G929</f>
        <v>1972319000000</v>
      </c>
    </row>
    <row r="930" spans="2:5" ht="15" customHeight="1" x14ac:dyDescent="0.3">
      <c r="C930" s="2"/>
      <c r="D930" s="8">
        <v>2018</v>
      </c>
      <c r="E930" s="14">
        <f>Data!G930</f>
        <v>2152910000000</v>
      </c>
    </row>
    <row r="931" spans="2:5" ht="15" customHeight="1" x14ac:dyDescent="0.3">
      <c r="C931" s="2"/>
      <c r="D931" s="8">
        <v>2019</v>
      </c>
      <c r="E931" s="14">
        <f>Data!G931</f>
        <v>3001696000000</v>
      </c>
    </row>
    <row r="932" spans="2:5" ht="15" customHeight="1" x14ac:dyDescent="0.3">
      <c r="C932" s="2"/>
      <c r="D932" s="8">
        <v>2020</v>
      </c>
      <c r="E932" s="14">
        <f>Data!G932</f>
        <v>3337722000000</v>
      </c>
    </row>
    <row r="933" spans="2:5" ht="15" customHeight="1" x14ac:dyDescent="0.3">
      <c r="C933" s="2"/>
      <c r="D933" s="8">
        <v>2021</v>
      </c>
      <c r="E933" s="14">
        <f>Data!G933</f>
        <v>3327804000000</v>
      </c>
    </row>
    <row r="934" spans="2:5" ht="15" customHeight="1" x14ac:dyDescent="0.3">
      <c r="C934" s="2"/>
      <c r="D934" s="8">
        <v>2022</v>
      </c>
      <c r="E934" s="14">
        <f>Data!G934</f>
        <v>3595146000000</v>
      </c>
    </row>
    <row r="935" spans="2:5" ht="15" customHeight="1" x14ac:dyDescent="0.3">
      <c r="C935" s="2"/>
      <c r="D935" s="8">
        <v>2023</v>
      </c>
      <c r="E935" s="14">
        <f>Data!G935</f>
        <v>4115086000000</v>
      </c>
    </row>
    <row r="936" spans="2:5" ht="15" customHeight="1" x14ac:dyDescent="0.3">
      <c r="C936" s="2"/>
      <c r="D936" s="8">
        <v>2024</v>
      </c>
      <c r="E936" s="14">
        <f>Data!G936</f>
        <v>4320584000000</v>
      </c>
    </row>
    <row r="937" spans="2:5" ht="15" customHeight="1" x14ac:dyDescent="0.3">
      <c r="B937" s="8">
        <v>86</v>
      </c>
      <c r="C937" s="1" t="s">
        <v>132</v>
      </c>
      <c r="D937" s="8">
        <v>2014</v>
      </c>
      <c r="E937" s="14">
        <f>Data!G937</f>
        <v>0</v>
      </c>
    </row>
    <row r="938" spans="2:5" ht="15" customHeight="1" x14ac:dyDescent="0.3">
      <c r="C938" s="1"/>
      <c r="D938" s="8">
        <v>2015</v>
      </c>
      <c r="E938" s="14">
        <f>Data!G938</f>
        <v>0</v>
      </c>
    </row>
    <row r="939" spans="2:5" ht="15" customHeight="1" x14ac:dyDescent="0.3">
      <c r="C939" s="1"/>
      <c r="D939" s="8">
        <v>2016</v>
      </c>
      <c r="E939" s="14">
        <f>Data!G939</f>
        <v>259049000000</v>
      </c>
    </row>
    <row r="940" spans="2:5" ht="15" customHeight="1" x14ac:dyDescent="0.3">
      <c r="C940" s="1"/>
      <c r="D940" s="8">
        <v>2017</v>
      </c>
      <c r="E940" s="14">
        <f>Data!G940</f>
        <v>262108000000</v>
      </c>
    </row>
    <row r="941" spans="2:5" ht="15" customHeight="1" x14ac:dyDescent="0.3">
      <c r="C941" s="1"/>
      <c r="D941" s="8">
        <v>2018</v>
      </c>
      <c r="E941" s="14">
        <f>Data!G941</f>
        <v>256197000000</v>
      </c>
    </row>
    <row r="942" spans="2:5" ht="15" customHeight="1" x14ac:dyDescent="0.3">
      <c r="C942" s="1"/>
      <c r="D942" s="8">
        <v>2019</v>
      </c>
      <c r="E942" s="14">
        <f>Data!G942</f>
        <v>300364000000</v>
      </c>
    </row>
    <row r="943" spans="2:5" ht="15" customHeight="1" x14ac:dyDescent="0.3">
      <c r="C943" s="1"/>
      <c r="D943" s="8">
        <v>2020</v>
      </c>
      <c r="E943" s="14">
        <f>Data!G943</f>
        <v>462210000000</v>
      </c>
    </row>
    <row r="944" spans="2:5" ht="15" customHeight="1" x14ac:dyDescent="0.3">
      <c r="C944" s="1"/>
      <c r="D944" s="8">
        <v>2021</v>
      </c>
      <c r="E944" s="14">
        <f>Data!G944</f>
        <v>430360000000</v>
      </c>
    </row>
    <row r="945" spans="2:5" ht="15" customHeight="1" x14ac:dyDescent="0.3">
      <c r="C945" s="1"/>
      <c r="D945" s="8">
        <v>2022</v>
      </c>
      <c r="E945" s="14">
        <f>Data!G945</f>
        <v>567878000000</v>
      </c>
    </row>
    <row r="946" spans="2:5" ht="15" customHeight="1" x14ac:dyDescent="0.3">
      <c r="C946" s="1"/>
      <c r="D946" s="8">
        <v>2023</v>
      </c>
      <c r="E946" s="14">
        <f>Data!G946</f>
        <v>580720000000</v>
      </c>
    </row>
    <row r="947" spans="2:5" ht="15" customHeight="1" x14ac:dyDescent="0.3">
      <c r="C947" s="1"/>
      <c r="D947" s="8">
        <v>2024</v>
      </c>
      <c r="E947" s="14">
        <f>Data!G947</f>
        <v>603899000000</v>
      </c>
    </row>
    <row r="948" spans="2:5" ht="15" customHeight="1" x14ac:dyDescent="0.3">
      <c r="B948" s="8">
        <v>87</v>
      </c>
      <c r="C948" s="4" t="s">
        <v>129</v>
      </c>
      <c r="D948" s="8">
        <v>2014</v>
      </c>
      <c r="E948" s="14">
        <f>Data!G948</f>
        <v>0</v>
      </c>
    </row>
    <row r="949" spans="2:5" ht="15" customHeight="1" x14ac:dyDescent="0.3">
      <c r="C949" s="4"/>
      <c r="D949" s="8">
        <v>2015</v>
      </c>
      <c r="E949" s="14">
        <f>Data!G949</f>
        <v>0</v>
      </c>
    </row>
    <row r="950" spans="2:5" ht="15" customHeight="1" x14ac:dyDescent="0.3">
      <c r="C950" s="4"/>
      <c r="D950" s="8">
        <v>2016</v>
      </c>
      <c r="E950" s="14">
        <f>Data!G950</f>
        <v>0</v>
      </c>
    </row>
    <row r="951" spans="2:5" ht="15" customHeight="1" x14ac:dyDescent="0.3">
      <c r="C951" s="4"/>
      <c r="D951" s="8">
        <v>2017</v>
      </c>
      <c r="E951" s="14">
        <f>Data!G951</f>
        <v>0</v>
      </c>
    </row>
    <row r="952" spans="2:5" ht="15" customHeight="1" x14ac:dyDescent="0.3">
      <c r="C952" s="4"/>
      <c r="D952" s="8">
        <v>2018</v>
      </c>
      <c r="E952" s="14">
        <f>Data!G952</f>
        <v>0</v>
      </c>
    </row>
    <row r="953" spans="2:5" ht="15" customHeight="1" x14ac:dyDescent="0.3">
      <c r="C953" s="4"/>
      <c r="D953" s="8">
        <v>2019</v>
      </c>
      <c r="E953" s="14">
        <f>Data!G953</f>
        <v>0</v>
      </c>
    </row>
    <row r="954" spans="2:5" ht="15" customHeight="1" x14ac:dyDescent="0.3">
      <c r="C954" s="4"/>
      <c r="D954" s="8">
        <v>2020</v>
      </c>
      <c r="E954" s="14">
        <f>Data!G954</f>
        <v>0</v>
      </c>
    </row>
    <row r="955" spans="2:5" ht="15" customHeight="1" x14ac:dyDescent="0.3">
      <c r="C955" s="4"/>
      <c r="D955" s="8">
        <v>2021</v>
      </c>
      <c r="E955" s="14">
        <f>Data!G955</f>
        <v>0</v>
      </c>
    </row>
    <row r="956" spans="2:5" ht="15" customHeight="1" x14ac:dyDescent="0.3">
      <c r="C956" s="4"/>
      <c r="D956" s="8">
        <v>2022</v>
      </c>
      <c r="E956" s="14">
        <f>Data!G956</f>
        <v>0</v>
      </c>
    </row>
    <row r="957" spans="2:5" ht="15" customHeight="1" x14ac:dyDescent="0.3">
      <c r="C957" s="4"/>
      <c r="D957" s="8">
        <v>2023</v>
      </c>
      <c r="E957" s="14">
        <f>Data!G957</f>
        <v>0</v>
      </c>
    </row>
    <row r="958" spans="2:5" ht="15" customHeight="1" x14ac:dyDescent="0.3">
      <c r="C958" s="4"/>
      <c r="D958" s="8">
        <v>2024</v>
      </c>
      <c r="E958" s="14">
        <f>Data!G958</f>
        <v>0</v>
      </c>
    </row>
    <row r="959" spans="2:5" ht="15" customHeight="1" x14ac:dyDescent="0.3">
      <c r="B959" s="8">
        <v>88</v>
      </c>
      <c r="C959" s="2" t="s">
        <v>100</v>
      </c>
      <c r="D959" s="8">
        <v>2014</v>
      </c>
      <c r="E959" s="14">
        <f>Data!G959</f>
        <v>0</v>
      </c>
    </row>
    <row r="960" spans="2:5" ht="15" customHeight="1" x14ac:dyDescent="0.3">
      <c r="C960" s="2"/>
      <c r="D960" s="8">
        <v>2015</v>
      </c>
      <c r="E960" s="14">
        <f>Data!G960</f>
        <v>0</v>
      </c>
    </row>
    <row r="961" spans="2:5" ht="15" customHeight="1" x14ac:dyDescent="0.3">
      <c r="C961" s="2"/>
      <c r="D961" s="8">
        <v>2016</v>
      </c>
      <c r="E961" s="14">
        <f>Data!G961</f>
        <v>0</v>
      </c>
    </row>
    <row r="962" spans="2:5" ht="15" customHeight="1" x14ac:dyDescent="0.3">
      <c r="C962" s="2"/>
      <c r="D962" s="8">
        <v>2017</v>
      </c>
      <c r="E962" s="14">
        <f>Data!G962</f>
        <v>0</v>
      </c>
    </row>
    <row r="963" spans="2:5" ht="15" customHeight="1" x14ac:dyDescent="0.3">
      <c r="C963" s="2"/>
      <c r="D963" s="8">
        <v>2018</v>
      </c>
      <c r="E963" s="14">
        <f>Data!G963</f>
        <v>0</v>
      </c>
    </row>
    <row r="964" spans="2:5" ht="15" customHeight="1" x14ac:dyDescent="0.3">
      <c r="C964" s="2"/>
      <c r="D964" s="8">
        <v>2019</v>
      </c>
      <c r="E964" s="14">
        <f>Data!G964</f>
        <v>0</v>
      </c>
    </row>
    <row r="965" spans="2:5" ht="15" customHeight="1" x14ac:dyDescent="0.3">
      <c r="C965" s="2"/>
      <c r="D965" s="8">
        <v>2020</v>
      </c>
      <c r="E965" s="14">
        <f>Data!G965</f>
        <v>0</v>
      </c>
    </row>
    <row r="966" spans="2:5" ht="15" customHeight="1" x14ac:dyDescent="0.3">
      <c r="C966" s="2"/>
      <c r="D966" s="8">
        <v>2021</v>
      </c>
      <c r="E966" s="14">
        <f>Data!G966</f>
        <v>0</v>
      </c>
    </row>
    <row r="967" spans="2:5" ht="15" customHeight="1" x14ac:dyDescent="0.3">
      <c r="C967" s="2"/>
      <c r="D967" s="8">
        <v>2022</v>
      </c>
      <c r="E967" s="14">
        <f>Data!G967</f>
        <v>0</v>
      </c>
    </row>
    <row r="968" spans="2:5" ht="15" customHeight="1" x14ac:dyDescent="0.3">
      <c r="C968" s="2"/>
      <c r="D968" s="8">
        <v>2023</v>
      </c>
      <c r="E968" s="14">
        <f>Data!G968</f>
        <v>0</v>
      </c>
    </row>
    <row r="969" spans="2:5" ht="15" customHeight="1" x14ac:dyDescent="0.3">
      <c r="C969" s="2"/>
      <c r="D969" s="8">
        <v>2024</v>
      </c>
      <c r="E969" s="14">
        <f>Data!G969</f>
        <v>0</v>
      </c>
    </row>
    <row r="970" spans="2:5" ht="15" customHeight="1" x14ac:dyDescent="0.3">
      <c r="B970" s="8">
        <v>89</v>
      </c>
      <c r="C970" s="2" t="s">
        <v>101</v>
      </c>
      <c r="D970" s="8">
        <v>2014</v>
      </c>
      <c r="E970" s="14">
        <f>Data!G970</f>
        <v>0</v>
      </c>
    </row>
    <row r="971" spans="2:5" ht="15" customHeight="1" x14ac:dyDescent="0.3">
      <c r="C971" s="2"/>
      <c r="D971" s="8">
        <v>2015</v>
      </c>
      <c r="E971" s="14">
        <f>Data!G971</f>
        <v>559080454850</v>
      </c>
    </row>
    <row r="972" spans="2:5" ht="15" customHeight="1" x14ac:dyDescent="0.3">
      <c r="C972" s="2"/>
      <c r="D972" s="8">
        <v>2016</v>
      </c>
      <c r="E972" s="14">
        <f>Data!G972</f>
        <v>617651155745</v>
      </c>
    </row>
    <row r="973" spans="2:5" ht="15" customHeight="1" x14ac:dyDescent="0.3">
      <c r="C973" s="2"/>
      <c r="D973" s="8">
        <v>2017</v>
      </c>
      <c r="E973" s="14">
        <f>Data!G973</f>
        <v>858490283480</v>
      </c>
    </row>
    <row r="974" spans="2:5" ht="15" customHeight="1" x14ac:dyDescent="0.3">
      <c r="C974" s="2"/>
      <c r="D974" s="8">
        <v>2018</v>
      </c>
      <c r="E974" s="14">
        <f>Data!G974</f>
        <v>969866560976</v>
      </c>
    </row>
    <row r="975" spans="2:5" ht="15" customHeight="1" x14ac:dyDescent="0.3">
      <c r="C975" s="2"/>
      <c r="D975" s="8">
        <v>2019</v>
      </c>
      <c r="E975" s="14">
        <f>Data!G975</f>
        <v>975687462693</v>
      </c>
    </row>
    <row r="976" spans="2:5" ht="15" customHeight="1" x14ac:dyDescent="0.3">
      <c r="C976" s="2"/>
      <c r="D976" s="8">
        <v>2020</v>
      </c>
      <c r="E976" s="14">
        <f>Data!G976</f>
        <v>990991744064</v>
      </c>
    </row>
    <row r="977" spans="2:5" ht="15" customHeight="1" x14ac:dyDescent="0.3">
      <c r="C977" s="2"/>
      <c r="D977" s="8">
        <v>2021</v>
      </c>
      <c r="E977" s="14">
        <f>Data!G977</f>
        <v>981089572950</v>
      </c>
    </row>
    <row r="978" spans="2:5" ht="15" customHeight="1" x14ac:dyDescent="0.3">
      <c r="C978" s="2"/>
      <c r="D978" s="8">
        <v>2022</v>
      </c>
      <c r="E978" s="14">
        <f>Data!G978</f>
        <v>1063470852516</v>
      </c>
    </row>
    <row r="979" spans="2:5" ht="15" customHeight="1" x14ac:dyDescent="0.3">
      <c r="C979" s="2"/>
      <c r="D979" s="8">
        <v>2023</v>
      </c>
      <c r="E979" s="14">
        <f>Data!G979</f>
        <v>961063073477</v>
      </c>
    </row>
    <row r="980" spans="2:5" ht="15" customHeight="1" x14ac:dyDescent="0.3">
      <c r="C980" s="2"/>
      <c r="D980" s="8">
        <v>2024</v>
      </c>
      <c r="E980" s="14">
        <f>Data!G980</f>
        <v>1108514523644</v>
      </c>
    </row>
    <row r="981" spans="2:5" ht="15" customHeight="1" x14ac:dyDescent="0.3">
      <c r="B981" s="8">
        <v>90</v>
      </c>
      <c r="C981" s="2" t="s">
        <v>93</v>
      </c>
      <c r="D981" s="8">
        <v>2014</v>
      </c>
      <c r="E981" s="14">
        <f>Data!G981</f>
        <v>0</v>
      </c>
    </row>
    <row r="982" spans="2:5" ht="15" customHeight="1" x14ac:dyDescent="0.3">
      <c r="C982" s="2"/>
      <c r="D982" s="8">
        <v>2015</v>
      </c>
      <c r="E982" s="14">
        <f>Data!G982</f>
        <v>431955000000</v>
      </c>
    </row>
    <row r="983" spans="2:5" ht="15" customHeight="1" x14ac:dyDescent="0.3">
      <c r="C983" s="2"/>
      <c r="D983" s="8">
        <v>2016</v>
      </c>
      <c r="E983" s="14">
        <f>Data!G983</f>
        <v>594080000000</v>
      </c>
    </row>
    <row r="984" spans="2:5" ht="15" customHeight="1" x14ac:dyDescent="0.3">
      <c r="C984" s="2"/>
      <c r="D984" s="8">
        <v>2017</v>
      </c>
      <c r="E984" s="14">
        <f>Data!G984</f>
        <v>782898000000</v>
      </c>
    </row>
    <row r="985" spans="2:5" ht="15" customHeight="1" x14ac:dyDescent="0.3">
      <c r="C985" s="2"/>
      <c r="D985" s="8">
        <v>2018</v>
      </c>
      <c r="E985" s="14">
        <f>Data!G985</f>
        <v>1026523000000</v>
      </c>
    </row>
    <row r="986" spans="2:5" ht="15" customHeight="1" x14ac:dyDescent="0.3">
      <c r="C986" s="2"/>
      <c r="D986" s="8">
        <v>2019</v>
      </c>
      <c r="E986" s="14">
        <f>Data!G986</f>
        <v>1118465000000</v>
      </c>
    </row>
    <row r="987" spans="2:5" ht="15" customHeight="1" x14ac:dyDescent="0.3">
      <c r="C987" s="2"/>
      <c r="D987" s="8">
        <v>2020</v>
      </c>
      <c r="E987" s="14">
        <f>Data!G987</f>
        <v>1702005000000</v>
      </c>
    </row>
    <row r="988" spans="2:5" ht="15" customHeight="1" x14ac:dyDescent="0.3">
      <c r="C988" s="2"/>
      <c r="D988" s="8">
        <v>2021</v>
      </c>
      <c r="E988" s="14">
        <f>Data!G988</f>
        <v>2024029000000</v>
      </c>
    </row>
    <row r="989" spans="2:5" ht="15" customHeight="1" x14ac:dyDescent="0.3">
      <c r="C989" s="2"/>
      <c r="D989" s="8">
        <v>2022</v>
      </c>
      <c r="E989" s="14">
        <f>Data!G989</f>
        <v>2022456000000</v>
      </c>
    </row>
    <row r="990" spans="2:5" ht="15" customHeight="1" x14ac:dyDescent="0.3">
      <c r="C990" s="2"/>
      <c r="D990" s="8">
        <v>2023</v>
      </c>
      <c r="E990" s="14">
        <f>Data!G990</f>
        <v>2148834000000</v>
      </c>
    </row>
    <row r="991" spans="2:5" ht="15" customHeight="1" x14ac:dyDescent="0.3">
      <c r="C991" s="2"/>
      <c r="D991" s="8">
        <v>2024</v>
      </c>
      <c r="E991" s="14">
        <f>Data!G991</f>
        <v>2133757000000</v>
      </c>
    </row>
    <row r="992" spans="2:5" ht="15" customHeight="1" x14ac:dyDescent="0.3">
      <c r="B992" s="8">
        <v>91</v>
      </c>
      <c r="C992" s="2" t="s">
        <v>88</v>
      </c>
      <c r="D992" s="8">
        <v>2014</v>
      </c>
      <c r="E992" s="14">
        <f>Data!G992</f>
        <v>0</v>
      </c>
    </row>
    <row r="993" spans="2:5" ht="15" customHeight="1" x14ac:dyDescent="0.3">
      <c r="C993" s="2"/>
      <c r="D993" s="8">
        <v>2015</v>
      </c>
      <c r="E993" s="14">
        <f>Data!G993</f>
        <v>2926660000000</v>
      </c>
    </row>
    <row r="994" spans="2:5" ht="15" customHeight="1" x14ac:dyDescent="0.3">
      <c r="C994" s="2"/>
      <c r="D994" s="8">
        <v>2016</v>
      </c>
      <c r="E994" s="14">
        <f>Data!G994</f>
        <v>2513178000000</v>
      </c>
    </row>
    <row r="995" spans="2:5" ht="15" customHeight="1" x14ac:dyDescent="0.3">
      <c r="C995" s="2"/>
      <c r="D995" s="8">
        <v>2017</v>
      </c>
      <c r="E995" s="14">
        <f>Data!G995</f>
        <v>2547394000000</v>
      </c>
    </row>
    <row r="996" spans="2:5" ht="15" customHeight="1" x14ac:dyDescent="0.3">
      <c r="C996" s="2"/>
      <c r="D996" s="8">
        <v>2018</v>
      </c>
      <c r="E996" s="14">
        <f>Data!G996</f>
        <v>3374090000000</v>
      </c>
    </row>
    <row r="997" spans="2:5" ht="15" customHeight="1" x14ac:dyDescent="0.3">
      <c r="C997" s="2"/>
      <c r="D997" s="8">
        <v>2019</v>
      </c>
      <c r="E997" s="14">
        <f>Data!G997</f>
        <v>3475230000000</v>
      </c>
    </row>
    <row r="998" spans="2:5" ht="15" customHeight="1" x14ac:dyDescent="0.3">
      <c r="C998" s="2"/>
      <c r="D998" s="8">
        <v>2020</v>
      </c>
      <c r="E998" s="14">
        <f>Data!G998</f>
        <v>5184821000000</v>
      </c>
    </row>
    <row r="999" spans="2:5" ht="15" customHeight="1" x14ac:dyDescent="0.3">
      <c r="C999" s="2"/>
      <c r="D999" s="8">
        <v>2021</v>
      </c>
      <c r="E999" s="14">
        <f>Data!G999</f>
        <v>5087106000000</v>
      </c>
    </row>
    <row r="1000" spans="2:5" ht="15" customHeight="1" x14ac:dyDescent="0.3">
      <c r="C1000" s="2"/>
      <c r="D1000" s="8">
        <v>2022</v>
      </c>
      <c r="E1000" s="14">
        <f>Data!G1000</f>
        <v>4655875000000</v>
      </c>
    </row>
    <row r="1001" spans="2:5" ht="15" customHeight="1" x14ac:dyDescent="0.3">
      <c r="C1001" s="2"/>
      <c r="D1001" s="8">
        <v>2023</v>
      </c>
      <c r="E1001" s="14">
        <f>Data!G1001</f>
        <v>4304220000000</v>
      </c>
    </row>
    <row r="1002" spans="2:5" ht="15" customHeight="1" x14ac:dyDescent="0.3">
      <c r="C1002" s="2"/>
      <c r="D1002" s="8">
        <v>2024</v>
      </c>
      <c r="E1002" s="14">
        <f>Data!G1002</f>
        <v>4131880000000</v>
      </c>
    </row>
    <row r="1003" spans="2:5" ht="15" customHeight="1" x14ac:dyDescent="0.3">
      <c r="B1003" s="8">
        <v>92</v>
      </c>
      <c r="C1003" s="2" t="s">
        <v>94</v>
      </c>
      <c r="D1003" s="8">
        <v>2014</v>
      </c>
      <c r="E1003" s="14">
        <f>Data!G1003</f>
        <v>0</v>
      </c>
    </row>
    <row r="1004" spans="2:5" ht="15" customHeight="1" x14ac:dyDescent="0.3">
      <c r="C1004" s="2"/>
      <c r="D1004" s="8">
        <v>2015</v>
      </c>
      <c r="E1004" s="14">
        <f>Data!G1004</f>
        <v>2627811764000</v>
      </c>
    </row>
    <row r="1005" spans="2:5" ht="15" customHeight="1" x14ac:dyDescent="0.3">
      <c r="C1005" s="2"/>
      <c r="D1005" s="8">
        <v>2016</v>
      </c>
      <c r="E1005" s="14">
        <f>Data!G1005</f>
        <v>3436388457000</v>
      </c>
    </row>
    <row r="1006" spans="2:5" ht="15" customHeight="1" x14ac:dyDescent="0.3">
      <c r="C1006" s="2"/>
      <c r="D1006" s="8">
        <v>2017</v>
      </c>
      <c r="E1006" s="14">
        <f>Data!G1006</f>
        <v>3886960940000</v>
      </c>
    </row>
    <row r="1007" spans="2:5" ht="15" customHeight="1" x14ac:dyDescent="0.3">
      <c r="C1007" s="2"/>
      <c r="D1007" s="8">
        <v>2018</v>
      </c>
      <c r="E1007" s="14">
        <f>Data!G1007</f>
        <v>4280729979000</v>
      </c>
    </row>
    <row r="1008" spans="2:5" ht="15" customHeight="1" x14ac:dyDescent="0.3">
      <c r="C1008" s="2"/>
      <c r="D1008" s="8">
        <v>2019</v>
      </c>
      <c r="E1008" s="14">
        <f>Data!G1008</f>
        <v>4626630367000</v>
      </c>
    </row>
    <row r="1009" spans="2:5" ht="15" customHeight="1" x14ac:dyDescent="0.3">
      <c r="C1009" s="2"/>
      <c r="D1009" s="8">
        <v>2020</v>
      </c>
      <c r="E1009" s="14">
        <f>Data!G1009</f>
        <v>4737130041000</v>
      </c>
    </row>
    <row r="1010" spans="2:5" ht="15" customHeight="1" x14ac:dyDescent="0.3">
      <c r="C1010" s="2"/>
      <c r="D1010" s="8">
        <v>2021</v>
      </c>
      <c r="E1010" s="14">
        <f>Data!G1010</f>
        <v>4652817906000</v>
      </c>
    </row>
    <row r="1011" spans="2:5" ht="15" customHeight="1" x14ac:dyDescent="0.3">
      <c r="C1011" s="2"/>
      <c r="D1011" s="8">
        <v>2022</v>
      </c>
      <c r="E1011" s="14">
        <f>Data!G1011</f>
        <v>4705846343000</v>
      </c>
    </row>
    <row r="1012" spans="2:5" ht="15" customHeight="1" x14ac:dyDescent="0.3">
      <c r="C1012" s="2"/>
      <c r="D1012" s="8">
        <v>2023</v>
      </c>
      <c r="E1012" s="14">
        <f>Data!G1012</f>
        <v>5116000794000</v>
      </c>
    </row>
    <row r="1013" spans="2:5" ht="15" customHeight="1" x14ac:dyDescent="0.3">
      <c r="C1013" s="2"/>
      <c r="D1013" s="8">
        <v>2024</v>
      </c>
      <c r="E1013" s="14">
        <f>Data!G1013</f>
        <v>5366438278000</v>
      </c>
    </row>
    <row r="1014" spans="2:5" ht="15" customHeight="1" x14ac:dyDescent="0.3">
      <c r="B1014" s="8">
        <v>93</v>
      </c>
      <c r="C1014" s="2" t="s">
        <v>102</v>
      </c>
      <c r="D1014" s="8">
        <v>2014</v>
      </c>
      <c r="E1014" s="14">
        <f>Data!G1014</f>
        <v>0</v>
      </c>
    </row>
    <row r="1015" spans="2:5" ht="15" customHeight="1" x14ac:dyDescent="0.3">
      <c r="C1015" s="2"/>
      <c r="D1015" s="8">
        <v>2015</v>
      </c>
      <c r="E1015" s="14">
        <f>Data!G1015</f>
        <v>688536000000</v>
      </c>
    </row>
    <row r="1016" spans="2:5" ht="15" customHeight="1" x14ac:dyDescent="0.3">
      <c r="C1016" s="2"/>
      <c r="D1016" s="8">
        <v>2016</v>
      </c>
      <c r="E1016" s="14">
        <f>Data!G1016</f>
        <v>585160000000</v>
      </c>
    </row>
    <row r="1017" spans="2:5" ht="15" customHeight="1" x14ac:dyDescent="0.3">
      <c r="C1017" s="2"/>
      <c r="D1017" s="8">
        <v>2017</v>
      </c>
      <c r="E1017" s="14">
        <f>Data!G1017</f>
        <v>803478000000</v>
      </c>
    </row>
    <row r="1018" spans="2:5" ht="15" customHeight="1" x14ac:dyDescent="0.3">
      <c r="C1018" s="2"/>
      <c r="D1018" s="8">
        <v>2018</v>
      </c>
      <c r="E1018" s="14">
        <f>Data!G1018</f>
        <v>1041532000000</v>
      </c>
    </row>
    <row r="1019" spans="2:5" ht="15" customHeight="1" x14ac:dyDescent="0.3">
      <c r="C1019" s="2"/>
      <c r="D1019" s="8">
        <v>2019</v>
      </c>
      <c r="E1019" s="14">
        <f>Data!G1019</f>
        <v>1221480000000</v>
      </c>
    </row>
    <row r="1020" spans="2:5" ht="15" customHeight="1" x14ac:dyDescent="0.3">
      <c r="C1020" s="2"/>
      <c r="D1020" s="8">
        <v>2020</v>
      </c>
      <c r="E1020" s="14">
        <f>Data!G1020</f>
        <v>1204013000000</v>
      </c>
    </row>
    <row r="1021" spans="2:5" ht="15" customHeight="1" x14ac:dyDescent="0.3">
      <c r="C1021" s="2"/>
      <c r="D1021" s="8">
        <v>2021</v>
      </c>
      <c r="E1021" s="14">
        <f>Data!G1021</f>
        <v>1538686000000</v>
      </c>
    </row>
    <row r="1022" spans="2:5" ht="15" customHeight="1" x14ac:dyDescent="0.3">
      <c r="C1022" s="2"/>
      <c r="D1022" s="8">
        <v>2022</v>
      </c>
      <c r="E1022" s="14">
        <f>Data!G1022</f>
        <v>1734932000000</v>
      </c>
    </row>
    <row r="1023" spans="2:5" ht="15" customHeight="1" x14ac:dyDescent="0.3">
      <c r="C1023" s="2"/>
      <c r="D1023" s="8">
        <v>2023</v>
      </c>
      <c r="E1023" s="14">
        <f>Data!G1023</f>
        <v>1763338000000</v>
      </c>
    </row>
    <row r="1024" spans="2:5" ht="15" customHeight="1" x14ac:dyDescent="0.3">
      <c r="C1024" s="2"/>
      <c r="D1024" s="8">
        <v>2024</v>
      </c>
      <c r="E1024" s="14">
        <f>Data!G1024</f>
        <v>6304848000000</v>
      </c>
    </row>
    <row r="1025" spans="2:5" ht="15" customHeight="1" x14ac:dyDescent="0.3">
      <c r="B1025" s="8">
        <v>94</v>
      </c>
      <c r="C1025" s="2" t="s">
        <v>114</v>
      </c>
      <c r="D1025" s="8">
        <v>2014</v>
      </c>
      <c r="E1025" s="14">
        <f>Data!G1025</f>
        <v>0</v>
      </c>
    </row>
    <row r="1026" spans="2:5" ht="15" customHeight="1" x14ac:dyDescent="0.3">
      <c r="C1026" s="2"/>
      <c r="D1026" s="8">
        <v>2015</v>
      </c>
      <c r="E1026" s="14">
        <f>Data!G1026</f>
        <v>1609399500000</v>
      </c>
    </row>
    <row r="1027" spans="2:5" ht="15" customHeight="1" x14ac:dyDescent="0.3">
      <c r="C1027" s="2"/>
      <c r="D1027" s="8">
        <v>2016</v>
      </c>
      <c r="E1027" s="14">
        <f>Data!G1027</f>
        <v>1527605960000</v>
      </c>
    </row>
    <row r="1028" spans="2:5" ht="15" customHeight="1" x14ac:dyDescent="0.3">
      <c r="C1028" s="2"/>
      <c r="D1028" s="8">
        <v>2017</v>
      </c>
      <c r="E1028" s="14">
        <f>Data!G1028</f>
        <v>1595563000000</v>
      </c>
    </row>
    <row r="1029" spans="2:5" ht="15" customHeight="1" x14ac:dyDescent="0.3">
      <c r="C1029" s="2"/>
      <c r="D1029" s="8">
        <v>2018</v>
      </c>
      <c r="E1029" s="14">
        <f>Data!G1029</f>
        <v>1741510000000</v>
      </c>
    </row>
    <row r="1030" spans="2:5" ht="15" customHeight="1" x14ac:dyDescent="0.3">
      <c r="C1030" s="2"/>
      <c r="D1030" s="8">
        <v>2019</v>
      </c>
      <c r="E1030" s="14">
        <f>Data!G1030</f>
        <v>1763884000000</v>
      </c>
    </row>
    <row r="1031" spans="2:5" ht="15" customHeight="1" x14ac:dyDescent="0.3">
      <c r="C1031" s="2"/>
      <c r="D1031" s="8">
        <v>2020</v>
      </c>
      <c r="E1031" s="14">
        <f>Data!G1031</f>
        <v>1554564000000</v>
      </c>
    </row>
    <row r="1032" spans="2:5" ht="15" customHeight="1" x14ac:dyDescent="0.3">
      <c r="C1032" s="2"/>
      <c r="D1032" s="8">
        <v>2021</v>
      </c>
      <c r="E1032" s="14">
        <f>Data!G1032</f>
        <v>1639874000000</v>
      </c>
    </row>
    <row r="1033" spans="2:5" ht="15" customHeight="1" x14ac:dyDescent="0.3">
      <c r="C1033" s="2"/>
      <c r="D1033" s="8">
        <v>2022</v>
      </c>
      <c r="E1033" s="14">
        <f>Data!G1033</f>
        <v>1939292000000</v>
      </c>
    </row>
    <row r="1034" spans="2:5" ht="15" customHeight="1" x14ac:dyDescent="0.3">
      <c r="C1034" s="2"/>
      <c r="D1034" s="8">
        <v>2023</v>
      </c>
      <c r="E1034" s="14">
        <f>Data!G1034</f>
        <v>2186737000000</v>
      </c>
    </row>
    <row r="1035" spans="2:5" ht="15" customHeight="1" x14ac:dyDescent="0.3">
      <c r="C1035" s="2"/>
      <c r="D1035" s="8">
        <v>2024</v>
      </c>
      <c r="E1035" s="14">
        <f>Data!G1035</f>
        <v>2288683000000</v>
      </c>
    </row>
    <row r="1036" spans="2:5" ht="15" customHeight="1" x14ac:dyDescent="0.3">
      <c r="B1036" s="8">
        <v>95</v>
      </c>
      <c r="C1036" s="2" t="s">
        <v>115</v>
      </c>
      <c r="D1036" s="8">
        <v>2014</v>
      </c>
      <c r="E1036" s="14">
        <f>Data!G1036</f>
        <v>0</v>
      </c>
    </row>
    <row r="1037" spans="2:5" ht="15" customHeight="1" x14ac:dyDescent="0.3">
      <c r="C1037" s="2"/>
      <c r="D1037" s="8">
        <v>2015</v>
      </c>
      <c r="E1037" s="14">
        <f>Data!G1037</f>
        <v>0</v>
      </c>
    </row>
    <row r="1038" spans="2:5" ht="15" customHeight="1" x14ac:dyDescent="0.3">
      <c r="C1038" s="2"/>
      <c r="D1038" s="8">
        <v>2016</v>
      </c>
      <c r="E1038" s="14">
        <f>Data!G1038</f>
        <v>0</v>
      </c>
    </row>
    <row r="1039" spans="2:5" ht="15" customHeight="1" x14ac:dyDescent="0.3">
      <c r="C1039" s="2"/>
      <c r="D1039" s="8">
        <v>2017</v>
      </c>
      <c r="E1039" s="14">
        <f>Data!G1039</f>
        <v>0</v>
      </c>
    </row>
    <row r="1040" spans="2:5" ht="15" customHeight="1" x14ac:dyDescent="0.3">
      <c r="C1040" s="2"/>
      <c r="D1040" s="8">
        <v>2018</v>
      </c>
      <c r="E1040" s="14">
        <f>Data!G1040</f>
        <v>0</v>
      </c>
    </row>
    <row r="1041" spans="2:5" ht="15" customHeight="1" x14ac:dyDescent="0.3">
      <c r="C1041" s="2"/>
      <c r="D1041" s="8">
        <v>2019</v>
      </c>
      <c r="E1041" s="14">
        <f>Data!G1041</f>
        <v>196174651501</v>
      </c>
    </row>
    <row r="1042" spans="2:5" ht="15" customHeight="1" x14ac:dyDescent="0.3">
      <c r="C1042" s="2"/>
      <c r="D1042" s="8">
        <v>2020</v>
      </c>
      <c r="E1042" s="14">
        <f>Data!G1042</f>
        <v>199744000000</v>
      </c>
    </row>
    <row r="1043" spans="2:5" ht="15" customHeight="1" x14ac:dyDescent="0.3">
      <c r="C1043" s="2"/>
      <c r="D1043" s="8">
        <v>2021</v>
      </c>
      <c r="E1043" s="14">
        <f>Data!G1043</f>
        <v>173288000000</v>
      </c>
    </row>
    <row r="1044" spans="2:5" ht="15" customHeight="1" x14ac:dyDescent="0.3">
      <c r="C1044" s="2"/>
      <c r="D1044" s="8">
        <v>2022</v>
      </c>
      <c r="E1044" s="14">
        <f>Data!G1044</f>
        <v>163542000000</v>
      </c>
    </row>
    <row r="1045" spans="2:5" ht="15" customHeight="1" x14ac:dyDescent="0.3">
      <c r="C1045" s="2"/>
      <c r="D1045" s="8">
        <v>2023</v>
      </c>
      <c r="E1045" s="14">
        <f>Data!G1045</f>
        <v>180812000000</v>
      </c>
    </row>
    <row r="1046" spans="2:5" ht="15" customHeight="1" x14ac:dyDescent="0.3">
      <c r="C1046" s="2"/>
      <c r="D1046" s="8">
        <v>2024</v>
      </c>
      <c r="E1046" s="14">
        <f>Data!G1046</f>
        <v>237329000000</v>
      </c>
    </row>
    <row r="1047" spans="2:5" ht="15" customHeight="1" x14ac:dyDescent="0.3">
      <c r="B1047" s="8">
        <v>96</v>
      </c>
      <c r="C1047" s="2" t="s">
        <v>116</v>
      </c>
      <c r="D1047" s="8">
        <v>2014</v>
      </c>
      <c r="E1047" s="14">
        <f>Data!G1047</f>
        <v>0</v>
      </c>
    </row>
    <row r="1048" spans="2:5" ht="15" customHeight="1" x14ac:dyDescent="0.3">
      <c r="C1048" s="2"/>
      <c r="D1048" s="8">
        <v>2015</v>
      </c>
      <c r="E1048" s="14">
        <f>Data!G1048</f>
        <v>1422094069358</v>
      </c>
    </row>
    <row r="1049" spans="2:5" ht="15" customHeight="1" x14ac:dyDescent="0.3">
      <c r="C1049" s="2"/>
      <c r="D1049" s="8">
        <v>2016</v>
      </c>
      <c r="E1049" s="14">
        <f>Data!G1049</f>
        <v>1434654843880</v>
      </c>
    </row>
    <row r="1050" spans="2:5" ht="15" customHeight="1" x14ac:dyDescent="0.3">
      <c r="C1050" s="2"/>
      <c r="D1050" s="8">
        <v>2017</v>
      </c>
      <c r="E1050" s="14">
        <f>Data!G1050</f>
        <v>1418524795003</v>
      </c>
    </row>
    <row r="1051" spans="2:5" ht="15" customHeight="1" x14ac:dyDescent="0.3">
      <c r="C1051" s="2"/>
      <c r="D1051" s="8">
        <v>2018</v>
      </c>
      <c r="E1051" s="14">
        <f>Data!G1051</f>
        <v>1478007061719</v>
      </c>
    </row>
    <row r="1052" spans="2:5" ht="15" customHeight="1" x14ac:dyDescent="0.3">
      <c r="C1052" s="2"/>
      <c r="D1052" s="8">
        <v>2019</v>
      </c>
      <c r="E1052" s="14">
        <f>Data!G1052</f>
        <v>1548001829554</v>
      </c>
    </row>
    <row r="1053" spans="2:5" ht="15" customHeight="1" x14ac:dyDescent="0.3">
      <c r="C1053" s="2"/>
      <c r="D1053" s="8">
        <v>2020</v>
      </c>
      <c r="E1053" s="14">
        <f>Data!G1053</f>
        <v>1516562973028</v>
      </c>
    </row>
    <row r="1054" spans="2:5" ht="15" customHeight="1" x14ac:dyDescent="0.3">
      <c r="C1054" s="2"/>
      <c r="D1054" s="8">
        <v>2021</v>
      </c>
      <c r="E1054" s="14">
        <f>Data!G1054</f>
        <v>1411160148272</v>
      </c>
    </row>
    <row r="1055" spans="2:5" ht="15" customHeight="1" x14ac:dyDescent="0.3">
      <c r="C1055" s="2"/>
      <c r="D1055" s="8">
        <v>2022</v>
      </c>
      <c r="E1055" s="14">
        <f>Data!G1055</f>
        <v>1627241657686</v>
      </c>
    </row>
    <row r="1056" spans="2:5" ht="15" customHeight="1" x14ac:dyDescent="0.3">
      <c r="C1056" s="2"/>
      <c r="D1056" s="8">
        <v>2023</v>
      </c>
      <c r="E1056" s="14">
        <f>Data!G1056</f>
        <v>1850769013354</v>
      </c>
    </row>
    <row r="1057" spans="2:5" ht="15" customHeight="1" x14ac:dyDescent="0.3">
      <c r="C1057" s="2"/>
      <c r="D1057" s="8">
        <v>2024</v>
      </c>
      <c r="E1057" s="14">
        <f>Data!G1057</f>
        <v>1748726624469</v>
      </c>
    </row>
    <row r="1058" spans="2:5" ht="15" customHeight="1" x14ac:dyDescent="0.3">
      <c r="B1058" s="8">
        <v>97</v>
      </c>
      <c r="C1058" s="2" t="s">
        <v>117</v>
      </c>
      <c r="D1058" s="8">
        <v>2014</v>
      </c>
      <c r="E1058" s="14">
        <f>Data!G1058</f>
        <v>0</v>
      </c>
    </row>
    <row r="1059" spans="2:5" ht="15" customHeight="1" x14ac:dyDescent="0.3">
      <c r="C1059" s="2"/>
      <c r="D1059" s="8">
        <v>2015</v>
      </c>
      <c r="E1059" s="14">
        <f>Data!G1059</f>
        <v>0</v>
      </c>
    </row>
    <row r="1060" spans="2:5" ht="15" customHeight="1" x14ac:dyDescent="0.3">
      <c r="C1060" s="2"/>
      <c r="D1060" s="8">
        <v>2016</v>
      </c>
      <c r="E1060" s="14">
        <f>Data!G1060</f>
        <v>0</v>
      </c>
    </row>
    <row r="1061" spans="2:5" ht="15" customHeight="1" x14ac:dyDescent="0.3">
      <c r="C1061" s="2"/>
      <c r="D1061" s="8">
        <v>2017</v>
      </c>
      <c r="E1061" s="14">
        <f>Data!G1061</f>
        <v>443187000000</v>
      </c>
    </row>
    <row r="1062" spans="2:5" ht="15" customHeight="1" x14ac:dyDescent="0.3">
      <c r="C1062" s="2"/>
      <c r="D1062" s="8">
        <v>2018</v>
      </c>
      <c r="E1062" s="14">
        <f>Data!G1062</f>
        <v>543888000000</v>
      </c>
    </row>
    <row r="1063" spans="2:5" ht="15" customHeight="1" x14ac:dyDescent="0.3">
      <c r="C1063" s="2"/>
      <c r="D1063" s="8">
        <v>2019</v>
      </c>
      <c r="E1063" s="14">
        <f>Data!G1063</f>
        <v>606281000000</v>
      </c>
    </row>
    <row r="1064" spans="2:5" ht="15" customHeight="1" x14ac:dyDescent="0.3">
      <c r="C1064" s="2"/>
      <c r="D1064" s="8">
        <v>2020</v>
      </c>
      <c r="E1064" s="14">
        <f>Data!G1064</f>
        <v>606330000000</v>
      </c>
    </row>
    <row r="1065" spans="2:5" ht="15" customHeight="1" x14ac:dyDescent="0.3">
      <c r="C1065" s="2"/>
      <c r="D1065" s="8">
        <v>2021</v>
      </c>
      <c r="E1065" s="14">
        <f>Data!G1065</f>
        <v>734486000000</v>
      </c>
    </row>
    <row r="1066" spans="2:5" ht="15" customHeight="1" x14ac:dyDescent="0.3">
      <c r="C1066" s="2"/>
      <c r="D1066" s="8">
        <v>2022</v>
      </c>
      <c r="E1066" s="14">
        <f>Data!G1066</f>
        <v>693414000000</v>
      </c>
    </row>
    <row r="1067" spans="2:5" ht="15" customHeight="1" x14ac:dyDescent="0.3">
      <c r="C1067" s="2"/>
      <c r="D1067" s="8">
        <v>2023</v>
      </c>
      <c r="E1067" s="14">
        <f>Data!G1067</f>
        <v>842799000000</v>
      </c>
    </row>
    <row r="1068" spans="2:5" ht="15" customHeight="1" x14ac:dyDescent="0.3">
      <c r="C1068" s="2"/>
      <c r="D1068" s="8">
        <v>2024</v>
      </c>
      <c r="E1068" s="14">
        <f>Data!G1068</f>
        <v>965173000000</v>
      </c>
    </row>
    <row r="1069" spans="2:5" ht="15" customHeight="1" x14ac:dyDescent="0.3">
      <c r="B1069" s="8">
        <v>98</v>
      </c>
      <c r="C1069" s="2" t="s">
        <v>103</v>
      </c>
      <c r="D1069" s="8">
        <v>2014</v>
      </c>
      <c r="E1069" s="14">
        <f>Data!G1069</f>
        <v>0</v>
      </c>
    </row>
    <row r="1070" spans="2:5" ht="15" customHeight="1" x14ac:dyDescent="0.3">
      <c r="C1070" s="2"/>
      <c r="D1070" s="8">
        <v>2015</v>
      </c>
      <c r="E1070" s="14">
        <f>Data!G1070</f>
        <v>0</v>
      </c>
    </row>
    <row r="1071" spans="2:5" ht="15" customHeight="1" x14ac:dyDescent="0.3">
      <c r="C1071" s="2"/>
      <c r="D1071" s="8">
        <v>2016</v>
      </c>
      <c r="E1071" s="14">
        <f>Data!G1071</f>
        <v>0</v>
      </c>
    </row>
    <row r="1072" spans="2:5" ht="15" customHeight="1" x14ac:dyDescent="0.3">
      <c r="C1072" s="2"/>
      <c r="D1072" s="8">
        <v>2017</v>
      </c>
      <c r="E1072" s="14">
        <f>Data!G1072</f>
        <v>438728480000</v>
      </c>
    </row>
    <row r="1073" spans="2:5" ht="15" customHeight="1" x14ac:dyDescent="0.3">
      <c r="C1073" s="2"/>
      <c r="D1073" s="8">
        <v>2018</v>
      </c>
      <c r="E1073" s="14">
        <f>Data!G1073</f>
        <v>465529950000</v>
      </c>
    </row>
    <row r="1074" spans="2:5" ht="15" customHeight="1" x14ac:dyDescent="0.3">
      <c r="C1074" s="2"/>
      <c r="D1074" s="8">
        <v>2019</v>
      </c>
      <c r="E1074" s="14">
        <f>Data!G1074</f>
        <v>530838510000</v>
      </c>
    </row>
    <row r="1075" spans="2:5" ht="15" customHeight="1" x14ac:dyDescent="0.3">
      <c r="C1075" s="2"/>
      <c r="D1075" s="8">
        <v>2020</v>
      </c>
      <c r="E1075" s="14">
        <f>Data!G1075</f>
        <v>602525150000</v>
      </c>
    </row>
    <row r="1076" spans="2:5" ht="15" customHeight="1" x14ac:dyDescent="0.3">
      <c r="C1076" s="2"/>
      <c r="D1076" s="8">
        <v>2021</v>
      </c>
      <c r="E1076" s="14">
        <f>Data!G1076</f>
        <v>612411540000</v>
      </c>
    </row>
    <row r="1077" spans="2:5" ht="15" customHeight="1" x14ac:dyDescent="0.3">
      <c r="C1077" s="2"/>
      <c r="D1077" s="8">
        <v>2022</v>
      </c>
      <c r="E1077" s="14">
        <f>Data!G1077</f>
        <v>767599240000</v>
      </c>
    </row>
    <row r="1078" spans="2:5" ht="15" customHeight="1" x14ac:dyDescent="0.3">
      <c r="C1078" s="2"/>
      <c r="D1078" s="8">
        <v>2023</v>
      </c>
      <c r="E1078" s="14">
        <f>Data!G1078</f>
        <v>914778240000</v>
      </c>
    </row>
    <row r="1079" spans="2:5" ht="15" customHeight="1" x14ac:dyDescent="0.3">
      <c r="C1079" s="2"/>
      <c r="D1079" s="8">
        <v>2024</v>
      </c>
      <c r="E1079" s="14">
        <f>Data!G1079</f>
        <v>896022680000</v>
      </c>
    </row>
    <row r="1080" spans="2:5" ht="15" customHeight="1" x14ac:dyDescent="0.3">
      <c r="B1080" s="8">
        <v>99</v>
      </c>
      <c r="C1080" s="2" t="s">
        <v>118</v>
      </c>
      <c r="D1080" s="8">
        <v>2014</v>
      </c>
      <c r="E1080" s="14">
        <f>Data!G1080</f>
        <v>0</v>
      </c>
    </row>
    <row r="1081" spans="2:5" ht="15" customHeight="1" x14ac:dyDescent="0.3">
      <c r="C1081" s="2"/>
      <c r="D1081" s="8">
        <v>2015</v>
      </c>
      <c r="E1081" s="14">
        <f>Data!G1081</f>
        <v>0</v>
      </c>
    </row>
    <row r="1082" spans="2:5" ht="15" customHeight="1" x14ac:dyDescent="0.3">
      <c r="C1082" s="2"/>
      <c r="D1082" s="8">
        <v>2016</v>
      </c>
      <c r="E1082" s="14">
        <f>Data!G1082</f>
        <v>0</v>
      </c>
    </row>
    <row r="1083" spans="2:5" ht="15" customHeight="1" x14ac:dyDescent="0.3">
      <c r="C1083" s="2"/>
      <c r="D1083" s="8">
        <v>2017</v>
      </c>
      <c r="E1083" s="14">
        <f>Data!G1083</f>
        <v>0</v>
      </c>
    </row>
    <row r="1084" spans="2:5" ht="15" customHeight="1" x14ac:dyDescent="0.3">
      <c r="C1084" s="2"/>
      <c r="D1084" s="8">
        <v>2018</v>
      </c>
      <c r="E1084" s="14">
        <f>Data!G1084</f>
        <v>0</v>
      </c>
    </row>
    <row r="1085" spans="2:5" ht="15" customHeight="1" x14ac:dyDescent="0.3">
      <c r="C1085" s="2"/>
      <c r="D1085" s="8">
        <v>2019</v>
      </c>
      <c r="E1085" s="14">
        <f>Data!G1085</f>
        <v>0</v>
      </c>
    </row>
    <row r="1086" spans="2:5" ht="15" customHeight="1" x14ac:dyDescent="0.3">
      <c r="C1086" s="2"/>
      <c r="D1086" s="8">
        <v>2020</v>
      </c>
      <c r="E1086" s="14">
        <f>Data!G1086</f>
        <v>0</v>
      </c>
    </row>
    <row r="1087" spans="2:5" ht="15" customHeight="1" x14ac:dyDescent="0.3">
      <c r="C1087" s="2"/>
      <c r="D1087" s="8">
        <v>2021</v>
      </c>
      <c r="E1087" s="14">
        <f>Data!G1087</f>
        <v>1386012000000</v>
      </c>
    </row>
    <row r="1088" spans="2:5" ht="15" customHeight="1" x14ac:dyDescent="0.3">
      <c r="C1088" s="2"/>
      <c r="D1088" s="8">
        <v>2022</v>
      </c>
      <c r="E1088" s="14">
        <f>Data!G1088</f>
        <v>1289972000000</v>
      </c>
    </row>
    <row r="1089" spans="2:5" ht="15" customHeight="1" x14ac:dyDescent="0.3">
      <c r="C1089" s="2"/>
      <c r="D1089" s="8">
        <v>2023</v>
      </c>
      <c r="E1089" s="14">
        <f>Data!G1089</f>
        <v>1334934000000</v>
      </c>
    </row>
    <row r="1090" spans="2:5" ht="15" customHeight="1" x14ac:dyDescent="0.3">
      <c r="C1090" s="2"/>
      <c r="D1090" s="8">
        <v>2024</v>
      </c>
      <c r="E1090" s="14">
        <f>Data!G1090</f>
        <v>1374888000000</v>
      </c>
    </row>
    <row r="1091" spans="2:5" ht="15" customHeight="1" x14ac:dyDescent="0.3">
      <c r="B1091" s="8">
        <v>100</v>
      </c>
      <c r="C1091" s="2" t="s">
        <v>104</v>
      </c>
      <c r="D1091" s="8">
        <v>2014</v>
      </c>
      <c r="E1091" s="14">
        <f>Data!G1091</f>
        <v>0</v>
      </c>
    </row>
    <row r="1092" spans="2:5" ht="15" customHeight="1" x14ac:dyDescent="0.3">
      <c r="C1092" s="2"/>
      <c r="D1092" s="8">
        <v>2015</v>
      </c>
      <c r="E1092" s="14">
        <f>Data!G1092</f>
        <v>122165000000</v>
      </c>
    </row>
    <row r="1093" spans="2:5" ht="15" customHeight="1" x14ac:dyDescent="0.3">
      <c r="C1093" s="2"/>
      <c r="D1093" s="8">
        <v>2016</v>
      </c>
      <c r="E1093" s="14">
        <f>Data!G1093</f>
        <v>130238000000</v>
      </c>
    </row>
    <row r="1094" spans="2:5" ht="15" customHeight="1" x14ac:dyDescent="0.3">
      <c r="C1094" s="2"/>
      <c r="D1094" s="8">
        <v>2017</v>
      </c>
      <c r="E1094" s="14">
        <f>Data!G1094</f>
        <v>177485000000</v>
      </c>
    </row>
    <row r="1095" spans="2:5" ht="15" customHeight="1" x14ac:dyDescent="0.3">
      <c r="C1095" s="2"/>
      <c r="D1095" s="8">
        <v>2018</v>
      </c>
      <c r="E1095" s="14">
        <f>Data!G1095</f>
        <v>311845000000</v>
      </c>
    </row>
    <row r="1096" spans="2:5" ht="15" customHeight="1" x14ac:dyDescent="0.3">
      <c r="C1096" s="2"/>
      <c r="D1096" s="8">
        <v>2019</v>
      </c>
      <c r="E1096" s="14">
        <f>Data!G1096</f>
        <v>889636000000</v>
      </c>
    </row>
    <row r="1097" spans="2:5" ht="15" customHeight="1" x14ac:dyDescent="0.3">
      <c r="C1097" s="2"/>
      <c r="D1097" s="8">
        <v>2020</v>
      </c>
      <c r="E1097" s="14">
        <f>Data!G1097</f>
        <v>767127000000</v>
      </c>
    </row>
    <row r="1098" spans="2:5" ht="15" customHeight="1" x14ac:dyDescent="0.3">
      <c r="C1098" s="2"/>
      <c r="D1098" s="8">
        <v>2021</v>
      </c>
      <c r="E1098" s="14">
        <f>Data!G1098</f>
        <v>808290000000</v>
      </c>
    </row>
    <row r="1099" spans="2:5" ht="15" customHeight="1" x14ac:dyDescent="0.3">
      <c r="C1099" s="2"/>
      <c r="D1099" s="8">
        <v>2022</v>
      </c>
      <c r="E1099" s="14">
        <f>Data!G1099</f>
        <v>920252000000</v>
      </c>
    </row>
    <row r="1100" spans="2:5" ht="15" customHeight="1" x14ac:dyDescent="0.3">
      <c r="C1100" s="2"/>
      <c r="D1100" s="8">
        <v>2023</v>
      </c>
      <c r="E1100" s="14">
        <f>Data!G1100</f>
        <v>1176944000000</v>
      </c>
    </row>
    <row r="1101" spans="2:5" ht="15" customHeight="1" x14ac:dyDescent="0.3">
      <c r="C1101" s="2"/>
      <c r="D1101" s="8">
        <v>2024</v>
      </c>
      <c r="E1101" s="14">
        <f>Data!G1101</f>
        <v>1733065000000</v>
      </c>
    </row>
    <row r="1102" spans="2:5" ht="15" customHeight="1" x14ac:dyDescent="0.3">
      <c r="B1102" s="8">
        <v>101</v>
      </c>
      <c r="C1102" s="2" t="s">
        <v>120</v>
      </c>
      <c r="D1102" s="8">
        <v>2014</v>
      </c>
      <c r="E1102" s="14">
        <f>Data!G1102</f>
        <v>0</v>
      </c>
    </row>
    <row r="1103" spans="2:5" ht="15" customHeight="1" x14ac:dyDescent="0.3">
      <c r="C1103" s="2"/>
      <c r="D1103" s="8">
        <v>2015</v>
      </c>
      <c r="E1103" s="14">
        <f>Data!G1103</f>
        <v>6191014000000</v>
      </c>
    </row>
    <row r="1104" spans="2:5" ht="15" customHeight="1" x14ac:dyDescent="0.3">
      <c r="C1104" s="2"/>
      <c r="D1104" s="8">
        <v>2016</v>
      </c>
      <c r="E1104" s="14">
        <f>Data!G1104</f>
        <v>5916686000000</v>
      </c>
    </row>
    <row r="1105" spans="2:5" ht="15" customHeight="1" x14ac:dyDescent="0.3">
      <c r="C1105" s="2"/>
      <c r="D1105" s="8">
        <v>2017</v>
      </c>
      <c r="E1105" s="14">
        <f>Data!G1105</f>
        <v>31271077000000</v>
      </c>
    </row>
    <row r="1106" spans="2:5" ht="15" customHeight="1" x14ac:dyDescent="0.3">
      <c r="C1106" s="2"/>
      <c r="D1106" s="8">
        <v>2018</v>
      </c>
      <c r="E1106" s="14">
        <f>Data!G1106</f>
        <v>39097329000000</v>
      </c>
    </row>
    <row r="1107" spans="2:5" ht="15" customHeight="1" x14ac:dyDescent="0.3">
      <c r="C1107" s="2"/>
      <c r="D1107" s="8">
        <v>2019</v>
      </c>
      <c r="E1107" s="14">
        <f>Data!G1107</f>
        <v>44577624000000</v>
      </c>
    </row>
    <row r="1108" spans="2:5" ht="15" customHeight="1" x14ac:dyDescent="0.3">
      <c r="C1108" s="2"/>
      <c r="D1108" s="8">
        <v>2020</v>
      </c>
      <c r="E1108" s="14">
        <f>Data!G1108</f>
        <v>44790941000000</v>
      </c>
    </row>
    <row r="1109" spans="2:5" ht="15" customHeight="1" x14ac:dyDescent="0.3">
      <c r="C1109" s="2"/>
      <c r="D1109" s="8">
        <v>2021</v>
      </c>
      <c r="E1109" s="14">
        <f>Data!G1109</f>
        <v>47706642000000</v>
      </c>
    </row>
    <row r="1110" spans="2:5" ht="15" customHeight="1" x14ac:dyDescent="0.3">
      <c r="C1110" s="2"/>
      <c r="D1110" s="8">
        <v>2022</v>
      </c>
      <c r="E1110" s="14">
        <f>Data!G1110</f>
        <v>45035755000000</v>
      </c>
    </row>
    <row r="1111" spans="2:5" ht="15" customHeight="1" x14ac:dyDescent="0.3">
      <c r="C1111" s="2"/>
      <c r="D1111" s="8">
        <v>2023</v>
      </c>
      <c r="E1111" s="14">
        <f>Data!G1111</f>
        <v>40386010000000</v>
      </c>
    </row>
    <row r="1112" spans="2:5" ht="15" customHeight="1" x14ac:dyDescent="0.3">
      <c r="C1112" s="2"/>
      <c r="D1112" s="8">
        <v>2024</v>
      </c>
      <c r="E1112" s="14">
        <f>Data!G1112</f>
        <v>40268335000000</v>
      </c>
    </row>
    <row r="1113" spans="2:5" ht="15" customHeight="1" x14ac:dyDescent="0.3">
      <c r="B1113" s="8">
        <v>102</v>
      </c>
      <c r="C1113" s="1" t="s">
        <v>134</v>
      </c>
      <c r="D1113" s="8">
        <v>2014</v>
      </c>
      <c r="E1113" s="14">
        <f>Data!G1113</f>
        <v>0</v>
      </c>
    </row>
    <row r="1114" spans="2:5" ht="15" customHeight="1" x14ac:dyDescent="0.3">
      <c r="C1114" s="1"/>
      <c r="D1114" s="8">
        <v>2015</v>
      </c>
      <c r="E1114" s="14">
        <f>Data!G1114</f>
        <v>61417000000</v>
      </c>
    </row>
    <row r="1115" spans="2:5" ht="15" customHeight="1" x14ac:dyDescent="0.3">
      <c r="C1115" s="1"/>
      <c r="D1115" s="8">
        <v>2016</v>
      </c>
      <c r="E1115" s="14">
        <f>Data!G1115</f>
        <v>65069000000</v>
      </c>
    </row>
    <row r="1116" spans="2:5" ht="15" customHeight="1" x14ac:dyDescent="0.3">
      <c r="C1116" s="1"/>
      <c r="D1116" s="8">
        <v>2017</v>
      </c>
      <c r="E1116" s="14">
        <f>Data!G1116</f>
        <v>66934000000</v>
      </c>
    </row>
    <row r="1117" spans="2:5" ht="15" customHeight="1" x14ac:dyDescent="0.3">
      <c r="C1117" s="1"/>
      <c r="D1117" s="8">
        <v>2018</v>
      </c>
      <c r="E1117" s="14">
        <f>Data!G1117</f>
        <v>79330000000</v>
      </c>
    </row>
    <row r="1118" spans="2:5" ht="15" customHeight="1" x14ac:dyDescent="0.3">
      <c r="C1118" s="1"/>
      <c r="D1118" s="8">
        <v>2019</v>
      </c>
      <c r="E1118" s="14">
        <f>Data!G1118</f>
        <v>78593000000</v>
      </c>
    </row>
    <row r="1119" spans="2:5" ht="15" customHeight="1" x14ac:dyDescent="0.3">
      <c r="C1119" s="1"/>
      <c r="D1119" s="8">
        <v>2020</v>
      </c>
      <c r="E1119" s="14">
        <f>Data!G1119</f>
        <v>74531000000</v>
      </c>
    </row>
    <row r="1120" spans="2:5" ht="15" customHeight="1" x14ac:dyDescent="0.3">
      <c r="C1120" s="1"/>
      <c r="D1120" s="8">
        <v>2021</v>
      </c>
      <c r="E1120" s="14">
        <f>Data!G1120</f>
        <v>74654000000</v>
      </c>
    </row>
    <row r="1121" spans="2:5" ht="15" customHeight="1" x14ac:dyDescent="0.3">
      <c r="C1121" s="1"/>
      <c r="D1121" s="8">
        <v>2022</v>
      </c>
      <c r="E1121" s="14">
        <f>Data!G1121</f>
        <v>73360000000</v>
      </c>
    </row>
    <row r="1122" spans="2:5" ht="15" customHeight="1" x14ac:dyDescent="0.3">
      <c r="C1122" s="1"/>
      <c r="D1122" s="8">
        <v>2023</v>
      </c>
      <c r="E1122" s="14">
        <f>Data!G1122</f>
        <v>74204000000</v>
      </c>
    </row>
    <row r="1123" spans="2:5" ht="15" customHeight="1" x14ac:dyDescent="0.3">
      <c r="C1123" s="1"/>
      <c r="D1123" s="8">
        <v>2024</v>
      </c>
      <c r="E1123" s="14">
        <f>Data!G1123</f>
        <v>67569000000</v>
      </c>
    </row>
    <row r="1124" spans="2:5" ht="15" customHeight="1" x14ac:dyDescent="0.3">
      <c r="B1124" s="8">
        <v>103</v>
      </c>
      <c r="C1124" s="2" t="s">
        <v>122</v>
      </c>
      <c r="D1124" s="8">
        <v>2014</v>
      </c>
      <c r="E1124" s="14">
        <f>Data!G1124</f>
        <v>0</v>
      </c>
    </row>
    <row r="1125" spans="2:5" ht="15" customHeight="1" x14ac:dyDescent="0.3">
      <c r="C1125" s="2"/>
      <c r="D1125" s="8">
        <v>2015</v>
      </c>
      <c r="E1125" s="14">
        <f>Data!G1125</f>
        <v>261120000000</v>
      </c>
    </row>
    <row r="1126" spans="2:5" ht="15" customHeight="1" x14ac:dyDescent="0.3">
      <c r="C1126" s="2"/>
      <c r="D1126" s="8">
        <v>2016</v>
      </c>
      <c r="E1126" s="14">
        <f>Data!G1126</f>
        <v>204210000000</v>
      </c>
    </row>
    <row r="1127" spans="2:5" ht="15" customHeight="1" x14ac:dyDescent="0.3">
      <c r="C1127" s="2"/>
      <c r="D1127" s="8">
        <v>2017</v>
      </c>
      <c r="E1127" s="14">
        <f>Data!G1127</f>
        <v>213492000000</v>
      </c>
    </row>
    <row r="1128" spans="2:5" ht="15" customHeight="1" x14ac:dyDescent="0.3">
      <c r="C1128" s="2"/>
      <c r="D1128" s="8">
        <v>2018</v>
      </c>
      <c r="E1128" s="14">
        <f>Data!G1128</f>
        <v>227819000000</v>
      </c>
    </row>
    <row r="1129" spans="2:5" ht="15" customHeight="1" x14ac:dyDescent="0.3">
      <c r="C1129" s="2"/>
      <c r="D1129" s="8">
        <v>2019</v>
      </c>
      <c r="E1129" s="14">
        <f>Data!G1129</f>
        <v>238823000000</v>
      </c>
    </row>
    <row r="1130" spans="2:5" ht="15" customHeight="1" x14ac:dyDescent="0.3">
      <c r="C1130" s="2"/>
      <c r="D1130" s="8">
        <v>2020</v>
      </c>
      <c r="E1130" s="14">
        <f>Data!G1130</f>
        <v>298910000000</v>
      </c>
    </row>
    <row r="1131" spans="2:5" ht="15" customHeight="1" x14ac:dyDescent="0.3">
      <c r="C1131" s="2"/>
      <c r="D1131" s="8">
        <v>2021</v>
      </c>
      <c r="E1131" s="14">
        <f>Data!G1131</f>
        <v>348144000000</v>
      </c>
    </row>
    <row r="1132" spans="2:5" ht="15" customHeight="1" x14ac:dyDescent="0.3">
      <c r="C1132" s="2"/>
      <c r="D1132" s="8">
        <v>2022</v>
      </c>
      <c r="E1132" s="14">
        <f>Data!G1132</f>
        <v>362411000000</v>
      </c>
    </row>
    <row r="1133" spans="2:5" ht="15" customHeight="1" x14ac:dyDescent="0.3">
      <c r="C1133" s="2"/>
      <c r="D1133" s="8">
        <v>2023</v>
      </c>
      <c r="E1133" s="14">
        <f>Data!G1133</f>
        <v>369134000000</v>
      </c>
    </row>
    <row r="1134" spans="2:5" ht="15" customHeight="1" x14ac:dyDescent="0.3">
      <c r="C1134" s="2"/>
      <c r="D1134" s="8">
        <v>2024</v>
      </c>
      <c r="E1134" s="14">
        <f>Data!G1134</f>
        <v>574269000000</v>
      </c>
    </row>
    <row r="1135" spans="2:5" ht="15" customHeight="1" x14ac:dyDescent="0.3">
      <c r="B1135" s="8">
        <v>104</v>
      </c>
      <c r="C1135" s="2" t="s">
        <v>123</v>
      </c>
      <c r="D1135" s="8">
        <v>2014</v>
      </c>
      <c r="E1135" s="14">
        <f>Data!G1135</f>
        <v>0</v>
      </c>
    </row>
    <row r="1136" spans="2:5" ht="15" customHeight="1" x14ac:dyDescent="0.3">
      <c r="C1136" s="2"/>
      <c r="D1136" s="8">
        <v>2015</v>
      </c>
      <c r="E1136" s="14">
        <f>Data!G1136</f>
        <v>580123000000</v>
      </c>
    </row>
    <row r="1137" spans="2:5" ht="15" customHeight="1" x14ac:dyDescent="0.3">
      <c r="C1137" s="2"/>
      <c r="D1137" s="8">
        <v>2016</v>
      </c>
      <c r="E1137" s="14">
        <f>Data!G1137</f>
        <v>580699000000</v>
      </c>
    </row>
    <row r="1138" spans="2:5" ht="15" customHeight="1" x14ac:dyDescent="0.3">
      <c r="C1138" s="2"/>
      <c r="D1138" s="8">
        <v>2017</v>
      </c>
      <c r="E1138" s="14">
        <f>Data!G1138</f>
        <v>582719000000</v>
      </c>
    </row>
    <row r="1139" spans="2:5" ht="15" customHeight="1" x14ac:dyDescent="0.3">
      <c r="C1139" s="2"/>
      <c r="D1139" s="8">
        <v>2018</v>
      </c>
      <c r="E1139" s="14">
        <f>Data!G1139</f>
        <v>584313000000</v>
      </c>
    </row>
    <row r="1140" spans="2:5" ht="15" customHeight="1" x14ac:dyDescent="0.3">
      <c r="C1140" s="2"/>
      <c r="D1140" s="8">
        <v>2019</v>
      </c>
      <c r="E1140" s="14">
        <f>Data!G1140</f>
        <v>492869000000</v>
      </c>
    </row>
    <row r="1141" spans="2:5" ht="15" customHeight="1" x14ac:dyDescent="0.3">
      <c r="C1141" s="2"/>
      <c r="D1141" s="8">
        <v>2020</v>
      </c>
      <c r="E1141" s="14">
        <f>Data!G1141</f>
        <v>330001000000</v>
      </c>
    </row>
    <row r="1142" spans="2:5" ht="15" customHeight="1" x14ac:dyDescent="0.3">
      <c r="C1142" s="2"/>
      <c r="D1142" s="8">
        <v>2021</v>
      </c>
      <c r="E1142" s="14">
        <f>Data!G1142</f>
        <v>321358000000</v>
      </c>
    </row>
    <row r="1143" spans="2:5" ht="15" customHeight="1" x14ac:dyDescent="0.3">
      <c r="C1143" s="2"/>
      <c r="D1143" s="8">
        <v>2022</v>
      </c>
      <c r="E1143" s="14">
        <f>Data!G1143</f>
        <v>390637000000</v>
      </c>
    </row>
    <row r="1144" spans="2:5" ht="15" customHeight="1" x14ac:dyDescent="0.3">
      <c r="C1144" s="2"/>
      <c r="D1144" s="8">
        <v>2023</v>
      </c>
      <c r="E1144" s="14">
        <f>Data!G1144</f>
        <v>495889000000</v>
      </c>
    </row>
    <row r="1145" spans="2:5" ht="15" customHeight="1" x14ac:dyDescent="0.3">
      <c r="C1145" s="2"/>
      <c r="D1145" s="8">
        <v>2024</v>
      </c>
      <c r="E1145" s="14">
        <f>Data!G1145</f>
        <v>637359000000</v>
      </c>
    </row>
    <row r="1146" spans="2:5" ht="15" customHeight="1" x14ac:dyDescent="0.3">
      <c r="B1146" s="8">
        <v>105</v>
      </c>
      <c r="C1146" s="1" t="s">
        <v>135</v>
      </c>
      <c r="D1146" s="8">
        <v>2014</v>
      </c>
      <c r="E1146" s="14">
        <f>Data!G1146</f>
        <v>0</v>
      </c>
    </row>
    <row r="1147" spans="2:5" ht="15" customHeight="1" x14ac:dyDescent="0.3">
      <c r="C1147" s="1"/>
      <c r="D1147" s="8">
        <v>2015</v>
      </c>
      <c r="E1147" s="14">
        <f>Data!G1147</f>
        <v>0</v>
      </c>
    </row>
    <row r="1148" spans="2:5" ht="15" customHeight="1" x14ac:dyDescent="0.3">
      <c r="C1148" s="1"/>
      <c r="D1148" s="8">
        <v>2016</v>
      </c>
      <c r="E1148" s="14">
        <f>Data!G1148</f>
        <v>133494000000</v>
      </c>
    </row>
    <row r="1149" spans="2:5" ht="15" customHeight="1" x14ac:dyDescent="0.3">
      <c r="C1149" s="1"/>
      <c r="D1149" s="8">
        <v>2017</v>
      </c>
      <c r="E1149" s="14">
        <f>Data!G1149</f>
        <v>81636000000</v>
      </c>
    </row>
    <row r="1150" spans="2:5" ht="15" customHeight="1" x14ac:dyDescent="0.3">
      <c r="C1150" s="1"/>
      <c r="D1150" s="8">
        <v>2018</v>
      </c>
      <c r="E1150" s="14">
        <f>Data!G1150</f>
        <v>130776000000</v>
      </c>
    </row>
    <row r="1151" spans="2:5" ht="15" customHeight="1" x14ac:dyDescent="0.3">
      <c r="C1151" s="1"/>
      <c r="D1151" s="8">
        <v>2019</v>
      </c>
      <c r="E1151" s="14">
        <f>Data!G1151</f>
        <v>158605000000</v>
      </c>
    </row>
    <row r="1152" spans="2:5" ht="15" customHeight="1" x14ac:dyDescent="0.3">
      <c r="C1152" s="1"/>
      <c r="D1152" s="8">
        <v>2020</v>
      </c>
      <c r="E1152" s="14">
        <f>Data!G1152</f>
        <v>189052000000</v>
      </c>
    </row>
    <row r="1153" spans="2:5" ht="15" customHeight="1" x14ac:dyDescent="0.3">
      <c r="C1153" s="1"/>
      <c r="D1153" s="8">
        <v>2021</v>
      </c>
      <c r="E1153" s="14">
        <f>Data!G1153</f>
        <v>214266000000</v>
      </c>
    </row>
    <row r="1154" spans="2:5" ht="15" customHeight="1" x14ac:dyDescent="0.3">
      <c r="C1154" s="1"/>
      <c r="D1154" s="8">
        <v>2022</v>
      </c>
      <c r="E1154" s="14">
        <f>Data!G1154</f>
        <v>294328000000</v>
      </c>
    </row>
    <row r="1155" spans="2:5" ht="15" customHeight="1" x14ac:dyDescent="0.3">
      <c r="C1155" s="1"/>
      <c r="D1155" s="8">
        <v>2023</v>
      </c>
      <c r="E1155" s="14">
        <f>Data!G1155</f>
        <v>360413000000</v>
      </c>
    </row>
    <row r="1156" spans="2:5" ht="15" customHeight="1" x14ac:dyDescent="0.3">
      <c r="C1156" s="1"/>
      <c r="D1156" s="8">
        <v>2024</v>
      </c>
      <c r="E1156" s="14">
        <f>Data!G1156</f>
        <v>365145000000</v>
      </c>
    </row>
    <row r="1157" spans="2:5" ht="15" customHeight="1" x14ac:dyDescent="0.3">
      <c r="B1157" s="8">
        <v>106</v>
      </c>
      <c r="C1157" s="2" t="s">
        <v>124</v>
      </c>
      <c r="D1157" s="8">
        <v>2014</v>
      </c>
      <c r="E1157" s="14">
        <f>Data!G1157</f>
        <v>0</v>
      </c>
    </row>
    <row r="1158" spans="2:5" ht="15" customHeight="1" x14ac:dyDescent="0.3">
      <c r="C1158" s="2"/>
      <c r="D1158" s="8">
        <v>2015</v>
      </c>
      <c r="E1158" s="14">
        <f>Data!G1158</f>
        <v>2895488000000</v>
      </c>
    </row>
    <row r="1159" spans="2:5" ht="15" customHeight="1" x14ac:dyDescent="0.3">
      <c r="C1159" s="2"/>
      <c r="D1159" s="8">
        <v>2016</v>
      </c>
      <c r="E1159" s="14">
        <f>Data!G1159</f>
        <v>2337953000000</v>
      </c>
    </row>
    <row r="1160" spans="2:5" ht="15" customHeight="1" x14ac:dyDescent="0.3">
      <c r="C1160" s="2"/>
      <c r="D1160" s="8">
        <v>2017</v>
      </c>
      <c r="E1160" s="14">
        <f>Data!G1160</f>
        <v>2337953000000</v>
      </c>
    </row>
    <row r="1161" spans="2:5" ht="15" customHeight="1" x14ac:dyDescent="0.3">
      <c r="C1161" s="2"/>
      <c r="D1161" s="8">
        <v>2018</v>
      </c>
      <c r="E1161" s="14">
        <f>Data!G1161</f>
        <v>2952776000000</v>
      </c>
    </row>
    <row r="1162" spans="2:5" ht="15" customHeight="1" x14ac:dyDescent="0.3">
      <c r="C1162" s="2"/>
      <c r="D1162" s="8">
        <v>2019</v>
      </c>
      <c r="E1162" s="14">
        <f>Data!G1162</f>
        <v>3421606000000</v>
      </c>
    </row>
    <row r="1163" spans="2:5" ht="15" customHeight="1" x14ac:dyDescent="0.3">
      <c r="C1163" s="2"/>
      <c r="D1163" s="8">
        <v>2020</v>
      </c>
      <c r="E1163" s="14">
        <f>Data!G1163</f>
        <v>3929286000000</v>
      </c>
    </row>
    <row r="1164" spans="2:5" ht="15" customHeight="1" x14ac:dyDescent="0.3">
      <c r="C1164" s="2"/>
      <c r="D1164" s="8">
        <v>2021</v>
      </c>
      <c r="E1164" s="14">
        <f>Data!G1164</f>
        <v>4358974000000</v>
      </c>
    </row>
    <row r="1165" spans="2:5" ht="15" customHeight="1" x14ac:dyDescent="0.3">
      <c r="C1165" s="2"/>
      <c r="D1165" s="8">
        <v>2022</v>
      </c>
      <c r="E1165" s="14">
        <f>Data!G1165</f>
        <v>4638732000000</v>
      </c>
    </row>
    <row r="1166" spans="2:5" ht="15" customHeight="1" x14ac:dyDescent="0.3">
      <c r="C1166" s="2"/>
      <c r="D1166" s="8">
        <v>2023</v>
      </c>
      <c r="E1166" s="14">
        <f>Data!G1166</f>
        <v>5986249000000</v>
      </c>
    </row>
    <row r="1167" spans="2:5" ht="15" customHeight="1" x14ac:dyDescent="0.3">
      <c r="C1167" s="2"/>
      <c r="D1167" s="8">
        <v>2024</v>
      </c>
      <c r="E1167" s="14">
        <f>Data!G1167</f>
        <v>5352761000000</v>
      </c>
    </row>
    <row r="1168" spans="2:5" ht="15" customHeight="1" x14ac:dyDescent="0.3">
      <c r="B1168" s="8">
        <v>107</v>
      </c>
      <c r="C1168" s="2" t="s">
        <v>105</v>
      </c>
      <c r="D1168" s="8">
        <v>2014</v>
      </c>
      <c r="E1168" s="14">
        <f>Data!G1168</f>
        <v>0</v>
      </c>
    </row>
    <row r="1169" spans="2:5" ht="15" customHeight="1" x14ac:dyDescent="0.3">
      <c r="C1169" s="2"/>
      <c r="D1169" s="8">
        <v>2015</v>
      </c>
      <c r="E1169" s="14">
        <f>Data!G1169</f>
        <v>0</v>
      </c>
    </row>
    <row r="1170" spans="2:5" ht="15" customHeight="1" x14ac:dyDescent="0.3">
      <c r="C1170" s="2"/>
      <c r="D1170" s="8">
        <v>2016</v>
      </c>
      <c r="E1170" s="14">
        <f>Data!G1170</f>
        <v>0</v>
      </c>
    </row>
    <row r="1171" spans="2:5" ht="15" customHeight="1" x14ac:dyDescent="0.3">
      <c r="C1171" s="2"/>
      <c r="D1171" s="8">
        <v>2017</v>
      </c>
      <c r="E1171" s="14">
        <f>Data!G1171</f>
        <v>0</v>
      </c>
    </row>
    <row r="1172" spans="2:5" ht="15" customHeight="1" x14ac:dyDescent="0.3">
      <c r="C1172" s="2"/>
      <c r="D1172" s="8">
        <v>2018</v>
      </c>
      <c r="E1172" s="14">
        <f>Data!G1172</f>
        <v>0</v>
      </c>
    </row>
    <row r="1173" spans="2:5" ht="15" customHeight="1" x14ac:dyDescent="0.3">
      <c r="C1173" s="2"/>
      <c r="D1173" s="8">
        <v>2019</v>
      </c>
      <c r="E1173" s="14">
        <f>Data!G1173</f>
        <v>421963000000</v>
      </c>
    </row>
    <row r="1174" spans="2:5" ht="15" customHeight="1" x14ac:dyDescent="0.3">
      <c r="C1174" s="2"/>
      <c r="D1174" s="8">
        <v>2020</v>
      </c>
      <c r="E1174" s="14">
        <f>Data!G1174</f>
        <v>574266000000</v>
      </c>
    </row>
    <row r="1175" spans="2:5" ht="15" customHeight="1" x14ac:dyDescent="0.3">
      <c r="C1175" s="2"/>
      <c r="D1175" s="8">
        <v>2021</v>
      </c>
      <c r="E1175" s="14">
        <f>Data!G1175</f>
        <v>744732000000</v>
      </c>
    </row>
    <row r="1176" spans="2:5" ht="15" customHeight="1" x14ac:dyDescent="0.3">
      <c r="C1176" s="2"/>
      <c r="D1176" s="8">
        <v>2022</v>
      </c>
      <c r="E1176" s="14">
        <f>Data!G1176</f>
        <v>918561000000</v>
      </c>
    </row>
    <row r="1177" spans="2:5" ht="15" customHeight="1" x14ac:dyDescent="0.3">
      <c r="C1177" s="2"/>
      <c r="D1177" s="8">
        <v>2023</v>
      </c>
      <c r="E1177" s="14">
        <f>Data!G1177</f>
        <v>1085789000000</v>
      </c>
    </row>
    <row r="1178" spans="2:5" ht="15" customHeight="1" x14ac:dyDescent="0.3">
      <c r="C1178" s="2"/>
      <c r="D1178" s="8">
        <v>2024</v>
      </c>
      <c r="E1178" s="14">
        <f>Data!G1178</f>
        <v>1280162000000</v>
      </c>
    </row>
    <row r="1179" spans="2:5" ht="15" customHeight="1" x14ac:dyDescent="0.3">
      <c r="B1179" s="8">
        <v>108</v>
      </c>
      <c r="C1179" s="1" t="s">
        <v>125</v>
      </c>
      <c r="D1179" s="8">
        <v>2014</v>
      </c>
      <c r="E1179" s="14">
        <f>Data!G1179</f>
        <v>0</v>
      </c>
    </row>
    <row r="1180" spans="2:5" ht="15" customHeight="1" x14ac:dyDescent="0.3">
      <c r="C1180" s="1"/>
      <c r="D1180" s="8">
        <v>2015</v>
      </c>
      <c r="E1180" s="14">
        <f>Data!G1180</f>
        <v>1342781000000</v>
      </c>
    </row>
    <row r="1181" spans="2:5" ht="15" customHeight="1" x14ac:dyDescent="0.3">
      <c r="C1181" s="1"/>
      <c r="D1181" s="8">
        <v>2016</v>
      </c>
      <c r="E1181" s="14">
        <f>Data!G1181</f>
        <v>1316613000000</v>
      </c>
    </row>
    <row r="1182" spans="2:5" ht="15" customHeight="1" x14ac:dyDescent="0.3">
      <c r="C1182" s="1"/>
      <c r="D1182" s="8">
        <v>2017</v>
      </c>
      <c r="E1182" s="14">
        <f>Data!G1182</f>
        <v>1393354000000</v>
      </c>
    </row>
    <row r="1183" spans="2:5" ht="15" customHeight="1" x14ac:dyDescent="0.3">
      <c r="C1183" s="1"/>
      <c r="D1183" s="8">
        <v>2018</v>
      </c>
      <c r="E1183" s="14">
        <f>Data!G1183</f>
        <v>1768434000000</v>
      </c>
    </row>
    <row r="1184" spans="2:5" ht="15" customHeight="1" x14ac:dyDescent="0.3">
      <c r="C1184" s="1"/>
      <c r="D1184" s="8">
        <v>2019</v>
      </c>
      <c r="E1184" s="14">
        <f>Data!G1184</f>
        <v>1704845000000</v>
      </c>
    </row>
    <row r="1185" spans="2:5" ht="15" customHeight="1" x14ac:dyDescent="0.3">
      <c r="C1185" s="1"/>
      <c r="D1185" s="8">
        <v>2020</v>
      </c>
      <c r="E1185" s="14">
        <f>Data!G1185</f>
        <v>1867407000000</v>
      </c>
    </row>
    <row r="1186" spans="2:5" ht="15" customHeight="1" x14ac:dyDescent="0.3">
      <c r="C1186" s="1"/>
      <c r="D1186" s="8">
        <v>2021</v>
      </c>
      <c r="E1186" s="14">
        <f>Data!G1186</f>
        <v>2331114000000</v>
      </c>
    </row>
    <row r="1187" spans="2:5" ht="15" customHeight="1" x14ac:dyDescent="0.3">
      <c r="C1187" s="1"/>
      <c r="D1187" s="8">
        <v>2022</v>
      </c>
      <c r="E1187" s="14">
        <f>Data!G1187</f>
        <v>2797976000000</v>
      </c>
    </row>
    <row r="1188" spans="2:5" ht="15" customHeight="1" x14ac:dyDescent="0.3">
      <c r="C1188" s="1"/>
      <c r="D1188" s="8">
        <v>2023</v>
      </c>
      <c r="E1188" s="14">
        <f>Data!G1188</f>
        <v>3492067000000</v>
      </c>
    </row>
    <row r="1189" spans="2:5" ht="15" customHeight="1" x14ac:dyDescent="0.3">
      <c r="C1189" s="1"/>
      <c r="D1189" s="8">
        <v>2024</v>
      </c>
      <c r="E1189" s="14">
        <f>Data!G1189</f>
        <v>3901353000000</v>
      </c>
    </row>
    <row r="1190" spans="2:5" ht="15" customHeight="1" x14ac:dyDescent="0.3">
      <c r="B1190" s="8">
        <v>109</v>
      </c>
      <c r="C1190" s="2" t="s">
        <v>106</v>
      </c>
      <c r="D1190" s="8">
        <v>2014</v>
      </c>
      <c r="E1190" s="14">
        <f>Data!G1190</f>
        <v>0</v>
      </c>
    </row>
    <row r="1191" spans="2:5" ht="15" customHeight="1" x14ac:dyDescent="0.3">
      <c r="C1191" s="2"/>
      <c r="D1191" s="8">
        <v>2015</v>
      </c>
      <c r="E1191" s="14">
        <f>Data!G1191</f>
        <v>9091174000000</v>
      </c>
    </row>
    <row r="1192" spans="2:5" ht="15" customHeight="1" x14ac:dyDescent="0.3">
      <c r="C1192" s="2"/>
      <c r="D1192" s="8">
        <v>2016</v>
      </c>
      <c r="E1192" s="14">
        <f>Data!G1192</f>
        <v>8872768000000</v>
      </c>
    </row>
    <row r="1193" spans="2:5" ht="15" customHeight="1" x14ac:dyDescent="0.3">
      <c r="C1193" s="2"/>
      <c r="D1193" s="8">
        <v>2017</v>
      </c>
      <c r="E1193" s="14">
        <f>Data!G1193</f>
        <v>8165389000000</v>
      </c>
    </row>
    <row r="1194" spans="2:5" ht="15" customHeight="1" x14ac:dyDescent="0.3">
      <c r="C1194" s="2"/>
      <c r="D1194" s="8">
        <v>2018</v>
      </c>
      <c r="E1194" s="14">
        <f>Data!G1194</f>
        <v>10452506000000</v>
      </c>
    </row>
    <row r="1195" spans="2:5" ht="15" customHeight="1" x14ac:dyDescent="0.3">
      <c r="C1195" s="2"/>
      <c r="D1195" s="8">
        <v>2019</v>
      </c>
      <c r="E1195" s="14">
        <f>Data!G1195</f>
        <v>12848766000000</v>
      </c>
    </row>
    <row r="1196" spans="2:5" ht="15" customHeight="1" x14ac:dyDescent="0.3">
      <c r="C1196" s="2"/>
      <c r="D1196" s="8">
        <v>2020</v>
      </c>
      <c r="E1196" s="14">
        <f>Data!G1196</f>
        <v>12366469000000</v>
      </c>
    </row>
    <row r="1197" spans="2:5" ht="15" customHeight="1" x14ac:dyDescent="0.3">
      <c r="C1197" s="2"/>
      <c r="D1197" s="8">
        <v>2021</v>
      </c>
      <c r="E1197" s="14">
        <f>Data!G1197</f>
        <v>12838271000000</v>
      </c>
    </row>
    <row r="1198" spans="2:5" ht="15" customHeight="1" x14ac:dyDescent="0.3">
      <c r="C1198" s="2"/>
      <c r="D1198" s="8">
        <v>2022</v>
      </c>
      <c r="E1198" s="14">
        <f>Data!G1198</f>
        <v>13358610000000</v>
      </c>
    </row>
    <row r="1199" spans="2:5" ht="15" customHeight="1" x14ac:dyDescent="0.3">
      <c r="C1199" s="2"/>
      <c r="D1199" s="8">
        <v>2023</v>
      </c>
      <c r="E1199" s="14">
        <f>Data!G1199</f>
        <v>16003743000000</v>
      </c>
    </row>
    <row r="1200" spans="2:5" ht="15" customHeight="1" x14ac:dyDescent="0.3">
      <c r="C1200" s="2"/>
      <c r="D1200" s="8">
        <v>2024</v>
      </c>
      <c r="E1200" s="14">
        <f>Data!G1200</f>
        <v>15761233000000</v>
      </c>
    </row>
    <row r="1201" spans="2:5" ht="15" customHeight="1" x14ac:dyDescent="0.3">
      <c r="B1201" s="8">
        <v>110</v>
      </c>
      <c r="C1201" s="2" t="s">
        <v>66</v>
      </c>
      <c r="D1201" s="8">
        <v>2014</v>
      </c>
      <c r="E1201" s="14">
        <f>Data!G1201</f>
        <v>0</v>
      </c>
    </row>
    <row r="1202" spans="2:5" ht="15" customHeight="1" x14ac:dyDescent="0.3">
      <c r="C1202" s="2"/>
      <c r="D1202" s="8">
        <v>2015</v>
      </c>
      <c r="E1202" s="14">
        <f>Data!G1202</f>
        <v>898627000000</v>
      </c>
    </row>
    <row r="1203" spans="2:5" ht="15" customHeight="1" x14ac:dyDescent="0.3">
      <c r="C1203" s="2"/>
      <c r="D1203" s="8">
        <v>2016</v>
      </c>
      <c r="E1203" s="14">
        <f>Data!G1203</f>
        <v>1133794000000</v>
      </c>
    </row>
    <row r="1204" spans="2:5" ht="15" customHeight="1" x14ac:dyDescent="0.3">
      <c r="C1204" s="2"/>
      <c r="D1204" s="8">
        <v>2017</v>
      </c>
      <c r="E1204" s="14">
        <f>Data!G1204</f>
        <v>1430475000000</v>
      </c>
    </row>
    <row r="1205" spans="2:5" ht="15" customHeight="1" x14ac:dyDescent="0.3">
      <c r="C1205" s="2"/>
      <c r="D1205" s="8">
        <v>2018</v>
      </c>
      <c r="E1205" s="14">
        <f>Data!G1205</f>
        <v>1765350000000</v>
      </c>
    </row>
    <row r="1206" spans="2:5" ht="15" customHeight="1" x14ac:dyDescent="0.3">
      <c r="C1206" s="2"/>
      <c r="D1206" s="8">
        <v>2019</v>
      </c>
      <c r="E1206" s="14">
        <f>Data!G1206</f>
        <v>2060362000000</v>
      </c>
    </row>
    <row r="1207" spans="2:5" ht="15" customHeight="1" x14ac:dyDescent="0.3">
      <c r="C1207" s="2"/>
      <c r="D1207" s="8">
        <v>2020</v>
      </c>
      <c r="E1207" s="14">
        <f>Data!G1207</f>
        <v>2127340000000</v>
      </c>
    </row>
    <row r="1208" spans="2:5" ht="15" customHeight="1" x14ac:dyDescent="0.3">
      <c r="C1208" s="2"/>
      <c r="D1208" s="8">
        <v>2021</v>
      </c>
      <c r="E1208" s="14">
        <f>Data!G1208</f>
        <v>2305472000000</v>
      </c>
    </row>
    <row r="1209" spans="2:5" ht="15" customHeight="1" x14ac:dyDescent="0.3">
      <c r="C1209" s="2"/>
      <c r="D1209" s="8">
        <v>2022</v>
      </c>
      <c r="E1209" s="14">
        <f>Data!G1209</f>
        <v>2431927000000</v>
      </c>
    </row>
    <row r="1210" spans="2:5" ht="15" customHeight="1" x14ac:dyDescent="0.3">
      <c r="C1210" s="2"/>
      <c r="D1210" s="8">
        <v>2023</v>
      </c>
      <c r="E1210" s="14">
        <f>Data!G1210</f>
        <v>3005651000000</v>
      </c>
    </row>
    <row r="1211" spans="2:5" ht="15" customHeight="1" x14ac:dyDescent="0.3">
      <c r="C1211" s="2"/>
      <c r="D1211" s="8">
        <v>2024</v>
      </c>
      <c r="E1211" s="14">
        <f>Data!G1211</f>
        <v>3382556000000</v>
      </c>
    </row>
    <row r="1212" spans="2:5" ht="15" customHeight="1" x14ac:dyDescent="0.3">
      <c r="B1212" s="8">
        <v>111</v>
      </c>
      <c r="C1212" s="2" t="s">
        <v>74</v>
      </c>
      <c r="D1212" s="8">
        <v>2014</v>
      </c>
      <c r="E1212" s="14">
        <f>Data!G1212</f>
        <v>0</v>
      </c>
    </row>
    <row r="1213" spans="2:5" ht="15" customHeight="1" x14ac:dyDescent="0.3">
      <c r="C1213" s="2"/>
      <c r="D1213" s="8">
        <v>2015</v>
      </c>
      <c r="E1213" s="14">
        <f>Data!G1213</f>
        <v>655205000000</v>
      </c>
    </row>
    <row r="1214" spans="2:5" ht="15" customHeight="1" x14ac:dyDescent="0.3">
      <c r="C1214" s="2"/>
      <c r="D1214" s="8">
        <v>2016</v>
      </c>
      <c r="E1214" s="14">
        <f>Data!G1214</f>
        <v>719020000000</v>
      </c>
    </row>
    <row r="1215" spans="2:5" ht="15" customHeight="1" x14ac:dyDescent="0.3">
      <c r="C1215" s="2"/>
      <c r="D1215" s="8">
        <v>2017</v>
      </c>
      <c r="E1215" s="14">
        <f>Data!G1215</f>
        <v>736964000000</v>
      </c>
    </row>
    <row r="1216" spans="2:5" ht="15" customHeight="1" x14ac:dyDescent="0.3">
      <c r="C1216" s="2"/>
      <c r="D1216" s="8">
        <v>2018</v>
      </c>
      <c r="E1216" s="14">
        <f>Data!G1216</f>
        <v>845010000000</v>
      </c>
    </row>
    <row r="1217" spans="2:5" ht="15" customHeight="1" x14ac:dyDescent="0.3">
      <c r="C1217" s="2"/>
      <c r="D1217" s="8">
        <v>2019</v>
      </c>
      <c r="E1217" s="14">
        <f>Data!G1217</f>
        <v>744475000000</v>
      </c>
    </row>
    <row r="1218" spans="2:5" ht="15" customHeight="1" x14ac:dyDescent="0.3">
      <c r="C1218" s="2"/>
      <c r="D1218" s="8">
        <v>2020</v>
      </c>
      <c r="E1218" s="14">
        <f>Data!G1218</f>
        <v>709777000000</v>
      </c>
    </row>
    <row r="1219" spans="2:5" ht="15" customHeight="1" x14ac:dyDescent="0.3">
      <c r="C1219" s="2"/>
      <c r="D1219" s="8">
        <v>2021</v>
      </c>
      <c r="E1219" s="14">
        <f>Data!G1219</f>
        <v>733503000000</v>
      </c>
    </row>
    <row r="1220" spans="2:5" ht="15" customHeight="1" x14ac:dyDescent="0.3">
      <c r="C1220" s="2"/>
      <c r="D1220" s="8">
        <v>2022</v>
      </c>
      <c r="E1220" s="14">
        <f>Data!G1220</f>
        <v>804217000000</v>
      </c>
    </row>
    <row r="1221" spans="2:5" ht="15" customHeight="1" x14ac:dyDescent="0.3">
      <c r="C1221" s="2"/>
      <c r="D1221" s="8">
        <v>2023</v>
      </c>
      <c r="E1221" s="14">
        <f>Data!G1221</f>
        <v>824850000000</v>
      </c>
    </row>
    <row r="1222" spans="2:5" ht="15" customHeight="1" x14ac:dyDescent="0.3">
      <c r="C1222" s="2"/>
      <c r="D1222" s="8">
        <v>2024</v>
      </c>
      <c r="E1222" s="14">
        <f>Data!G1222</f>
        <v>817749000000</v>
      </c>
    </row>
    <row r="1223" spans="2:5" ht="15" customHeight="1" x14ac:dyDescent="0.3">
      <c r="B1223" s="8">
        <v>112</v>
      </c>
      <c r="C1223" s="2" t="s">
        <v>91</v>
      </c>
      <c r="D1223" s="8">
        <v>2014</v>
      </c>
      <c r="E1223" s="14">
        <f>Data!G1223</f>
        <v>0</v>
      </c>
    </row>
    <row r="1224" spans="2:5" ht="15" customHeight="1" x14ac:dyDescent="0.3">
      <c r="C1224" s="2"/>
      <c r="D1224" s="8">
        <v>2015</v>
      </c>
      <c r="E1224" s="14">
        <f>Data!G1224</f>
        <v>906989000000</v>
      </c>
    </row>
    <row r="1225" spans="2:5" ht="15" customHeight="1" x14ac:dyDescent="0.3">
      <c r="C1225" s="2"/>
      <c r="D1225" s="8">
        <v>2016</v>
      </c>
      <c r="E1225" s="14">
        <f>Data!G1225</f>
        <v>886222000000</v>
      </c>
    </row>
    <row r="1226" spans="2:5" ht="15" customHeight="1" x14ac:dyDescent="0.3">
      <c r="C1226" s="2"/>
      <c r="D1226" s="8">
        <v>2017</v>
      </c>
      <c r="E1226" s="14">
        <f>Data!G1226</f>
        <v>910239000000</v>
      </c>
    </row>
    <row r="1227" spans="2:5" ht="15" customHeight="1" x14ac:dyDescent="0.3">
      <c r="C1227" s="2"/>
      <c r="D1227" s="8">
        <v>2018</v>
      </c>
      <c r="E1227" s="14">
        <f>Data!G1227</f>
        <v>1068562000000</v>
      </c>
    </row>
    <row r="1228" spans="2:5" ht="15" customHeight="1" x14ac:dyDescent="0.3">
      <c r="C1228" s="2"/>
      <c r="D1228" s="8">
        <v>2019</v>
      </c>
      <c r="E1228" s="14">
        <f>Data!G1228</f>
        <v>1098507000000</v>
      </c>
    </row>
    <row r="1229" spans="2:5" ht="15" customHeight="1" x14ac:dyDescent="0.3">
      <c r="C1229" s="2"/>
      <c r="D1229" s="8">
        <v>2020</v>
      </c>
      <c r="E1229" s="14">
        <f>Data!G1229</f>
        <v>939785000000</v>
      </c>
    </row>
    <row r="1230" spans="2:5" ht="15" customHeight="1" x14ac:dyDescent="0.3">
      <c r="C1230" s="2"/>
      <c r="D1230" s="8">
        <v>2021</v>
      </c>
      <c r="E1230" s="14">
        <f>Data!G1230</f>
        <v>1057639000000</v>
      </c>
    </row>
    <row r="1231" spans="2:5" ht="15" customHeight="1" x14ac:dyDescent="0.3">
      <c r="C1231" s="2"/>
      <c r="D1231" s="8">
        <v>2022</v>
      </c>
      <c r="E1231" s="14">
        <f>Data!G1231</f>
        <v>1338220000000</v>
      </c>
    </row>
    <row r="1232" spans="2:5" ht="15" customHeight="1" x14ac:dyDescent="0.3">
      <c r="C1232" s="2"/>
      <c r="D1232" s="8">
        <v>2023</v>
      </c>
      <c r="E1232" s="14">
        <f>Data!G1232</f>
        <v>1759417000000</v>
      </c>
    </row>
    <row r="1233" spans="2:5" ht="15" customHeight="1" x14ac:dyDescent="0.3">
      <c r="C1233" s="2"/>
      <c r="D1233" s="8">
        <v>2024</v>
      </c>
      <c r="E1233" s="14">
        <f>Data!G1233</f>
        <v>1793696000000</v>
      </c>
    </row>
    <row r="1234" spans="2:5" ht="15" customHeight="1" x14ac:dyDescent="0.3">
      <c r="B1234" s="8">
        <v>113</v>
      </c>
      <c r="C1234" s="2" t="s">
        <v>90</v>
      </c>
      <c r="D1234" s="8">
        <v>2014</v>
      </c>
      <c r="E1234" s="14">
        <f>Data!G1234</f>
        <v>0</v>
      </c>
    </row>
    <row r="1235" spans="2:5" ht="15" customHeight="1" x14ac:dyDescent="0.3">
      <c r="C1235" s="2"/>
      <c r="D1235" s="8">
        <v>2015</v>
      </c>
      <c r="E1235" s="14">
        <f>Data!G1235</f>
        <v>0</v>
      </c>
    </row>
    <row r="1236" spans="2:5" ht="15" customHeight="1" x14ac:dyDescent="0.3">
      <c r="C1236" s="2"/>
      <c r="D1236" s="8">
        <v>2016</v>
      </c>
      <c r="E1236" s="14">
        <f>Data!G1236</f>
        <v>0</v>
      </c>
    </row>
    <row r="1237" spans="2:5" ht="15" customHeight="1" x14ac:dyDescent="0.3">
      <c r="C1237" s="2"/>
      <c r="D1237" s="8">
        <v>2017</v>
      </c>
      <c r="E1237" s="14">
        <f>Data!G1237</f>
        <v>0</v>
      </c>
    </row>
    <row r="1238" spans="2:5" ht="15" customHeight="1" x14ac:dyDescent="0.3">
      <c r="C1238" s="2"/>
      <c r="D1238" s="8">
        <v>2018</v>
      </c>
      <c r="E1238" s="14">
        <f>Data!G1238</f>
        <v>378337000000</v>
      </c>
    </row>
    <row r="1239" spans="2:5" ht="15" customHeight="1" x14ac:dyDescent="0.3">
      <c r="C1239" s="2"/>
      <c r="D1239" s="8">
        <v>2019</v>
      </c>
      <c r="E1239" s="14">
        <f>Data!G1239</f>
        <v>460747000000</v>
      </c>
    </row>
    <row r="1240" spans="2:5" ht="15" customHeight="1" x14ac:dyDescent="0.3">
      <c r="C1240" s="2"/>
      <c r="D1240" s="8">
        <v>2020</v>
      </c>
      <c r="E1240" s="14">
        <f>Data!G1240</f>
        <v>422492000000</v>
      </c>
    </row>
    <row r="1241" spans="2:5" ht="15" customHeight="1" x14ac:dyDescent="0.3">
      <c r="C1241" s="2"/>
      <c r="D1241" s="8">
        <v>2021</v>
      </c>
      <c r="E1241" s="14">
        <f>Data!G1241</f>
        <v>336360000000</v>
      </c>
    </row>
    <row r="1242" spans="2:5" ht="15" customHeight="1" x14ac:dyDescent="0.3">
      <c r="C1242" s="2"/>
      <c r="D1242" s="8">
        <v>2022</v>
      </c>
      <c r="E1242" s="14">
        <f>Data!G1242</f>
        <v>386436000000</v>
      </c>
    </row>
    <row r="1243" spans="2:5" ht="15" customHeight="1" x14ac:dyDescent="0.3">
      <c r="C1243" s="2"/>
      <c r="D1243" s="8">
        <v>2023</v>
      </c>
      <c r="E1243" s="14">
        <f>Data!G1243</f>
        <v>336366000000</v>
      </c>
    </row>
    <row r="1244" spans="2:5" ht="15" customHeight="1" x14ac:dyDescent="0.3">
      <c r="C1244" s="2"/>
      <c r="D1244" s="8">
        <v>2024</v>
      </c>
      <c r="E1244" s="14">
        <f>Data!G1244</f>
        <v>361307000000</v>
      </c>
    </row>
    <row r="1245" spans="2:5" ht="15" customHeight="1" x14ac:dyDescent="0.3">
      <c r="B1245" s="8">
        <v>114</v>
      </c>
      <c r="C1245" s="2" t="s">
        <v>107</v>
      </c>
      <c r="D1245" s="8">
        <v>2014</v>
      </c>
      <c r="E1245" s="14">
        <f>Data!G1245</f>
        <v>0</v>
      </c>
    </row>
    <row r="1246" spans="2:5" ht="15" customHeight="1" x14ac:dyDescent="0.3">
      <c r="C1246" s="2"/>
      <c r="D1246" s="8">
        <v>2015</v>
      </c>
      <c r="E1246" s="14">
        <f>Data!G1246</f>
        <v>159252900000</v>
      </c>
    </row>
    <row r="1247" spans="2:5" ht="15" customHeight="1" x14ac:dyDescent="0.3">
      <c r="C1247" s="2"/>
      <c r="D1247" s="8">
        <v>2016</v>
      </c>
      <c r="E1247" s="14">
        <f>Data!G1247</f>
        <v>161493870000</v>
      </c>
    </row>
    <row r="1248" spans="2:5" ht="15" customHeight="1" x14ac:dyDescent="0.3">
      <c r="C1248" s="2"/>
      <c r="D1248" s="8">
        <v>2017</v>
      </c>
      <c r="E1248" s="14">
        <f>Data!G1248</f>
        <v>161558950000</v>
      </c>
    </row>
    <row r="1249" spans="2:5" ht="15" customHeight="1" x14ac:dyDescent="0.3">
      <c r="C1249" s="2"/>
      <c r="D1249" s="8">
        <v>2018</v>
      </c>
      <c r="E1249" s="14">
        <f>Data!G1249</f>
        <v>163247530000</v>
      </c>
    </row>
    <row r="1250" spans="2:5" ht="15" customHeight="1" x14ac:dyDescent="0.3">
      <c r="C1250" s="2"/>
      <c r="D1250" s="8">
        <v>2019</v>
      </c>
      <c r="E1250" s="14">
        <f>Data!G1250</f>
        <v>190280030000</v>
      </c>
    </row>
    <row r="1251" spans="2:5" ht="15" customHeight="1" x14ac:dyDescent="0.3">
      <c r="C1251" s="2"/>
      <c r="D1251" s="8">
        <v>2020</v>
      </c>
      <c r="E1251" s="14">
        <f>Data!G1251</f>
        <v>199137730000</v>
      </c>
    </row>
    <row r="1252" spans="2:5" ht="15" customHeight="1" x14ac:dyDescent="0.3">
      <c r="C1252" s="2"/>
      <c r="D1252" s="8">
        <v>2021</v>
      </c>
      <c r="E1252" s="14">
        <f>Data!G1252</f>
        <v>218288880000</v>
      </c>
    </row>
    <row r="1253" spans="2:5" ht="15" customHeight="1" x14ac:dyDescent="0.3">
      <c r="C1253" s="2"/>
      <c r="D1253" s="8">
        <v>2022</v>
      </c>
      <c r="E1253" s="14">
        <f>Data!G1253</f>
        <v>224731410000</v>
      </c>
    </row>
    <row r="1254" spans="2:5" ht="15" customHeight="1" x14ac:dyDescent="0.3">
      <c r="C1254" s="2"/>
      <c r="D1254" s="8">
        <v>2023</v>
      </c>
      <c r="E1254" s="14">
        <f>Data!G1254</f>
        <v>241455130000</v>
      </c>
    </row>
    <row r="1255" spans="2:5" ht="15" customHeight="1" x14ac:dyDescent="0.3">
      <c r="C1255" s="2"/>
      <c r="D1255" s="8">
        <v>2024</v>
      </c>
      <c r="E1255" s="14">
        <f>Data!G1255</f>
        <v>218925830000</v>
      </c>
    </row>
    <row r="1256" spans="2:5" ht="15" customHeight="1" x14ac:dyDescent="0.3">
      <c r="B1256" s="8">
        <v>115</v>
      </c>
      <c r="C1256" s="1" t="s">
        <v>128</v>
      </c>
      <c r="D1256" s="8">
        <v>2014</v>
      </c>
      <c r="E1256" s="14">
        <f>Data!G1256</f>
        <v>0</v>
      </c>
    </row>
    <row r="1257" spans="2:5" ht="15" customHeight="1" x14ac:dyDescent="0.3">
      <c r="C1257" s="1"/>
      <c r="D1257" s="8">
        <v>2015</v>
      </c>
      <c r="E1257" s="14">
        <f>Data!G1257</f>
        <v>0</v>
      </c>
    </row>
    <row r="1258" spans="2:5" ht="15" customHeight="1" x14ac:dyDescent="0.3">
      <c r="C1258" s="1"/>
      <c r="D1258" s="8">
        <v>2016</v>
      </c>
      <c r="E1258" s="14">
        <f>Data!G1258</f>
        <v>0</v>
      </c>
    </row>
    <row r="1259" spans="2:5" ht="15" customHeight="1" x14ac:dyDescent="0.3">
      <c r="C1259" s="1"/>
      <c r="D1259" s="8">
        <v>2017</v>
      </c>
      <c r="E1259" s="14">
        <f>Data!G1259</f>
        <v>0</v>
      </c>
    </row>
    <row r="1260" spans="2:5" ht="15" customHeight="1" x14ac:dyDescent="0.3">
      <c r="C1260" s="1"/>
      <c r="D1260" s="8">
        <v>2018</v>
      </c>
      <c r="E1260" s="14">
        <f>Data!G1260</f>
        <v>0</v>
      </c>
    </row>
    <row r="1261" spans="2:5" ht="15" customHeight="1" x14ac:dyDescent="0.3">
      <c r="C1261" s="1"/>
      <c r="D1261" s="8">
        <v>2019</v>
      </c>
      <c r="E1261" s="14">
        <f>Data!G1261</f>
        <v>0</v>
      </c>
    </row>
    <row r="1262" spans="2:5" ht="15" customHeight="1" x14ac:dyDescent="0.3">
      <c r="C1262" s="1"/>
      <c r="D1262" s="8">
        <v>2020</v>
      </c>
      <c r="E1262" s="14">
        <f>Data!G1262</f>
        <v>0</v>
      </c>
    </row>
    <row r="1263" spans="2:5" ht="15" customHeight="1" x14ac:dyDescent="0.3">
      <c r="C1263" s="1"/>
      <c r="D1263" s="8">
        <v>2021</v>
      </c>
      <c r="E1263" s="14">
        <f>Data!G1263</f>
        <v>0</v>
      </c>
    </row>
    <row r="1264" spans="2:5" ht="15" customHeight="1" x14ac:dyDescent="0.3">
      <c r="C1264" s="1"/>
      <c r="D1264" s="8">
        <v>2022</v>
      </c>
      <c r="E1264" s="14">
        <f>Data!G1264</f>
        <v>151070430000</v>
      </c>
    </row>
    <row r="1265" spans="2:5" ht="15" customHeight="1" x14ac:dyDescent="0.3">
      <c r="C1265" s="1"/>
      <c r="D1265" s="8">
        <v>2023</v>
      </c>
      <c r="E1265" s="14">
        <f>Data!G1265</f>
        <v>141458760000</v>
      </c>
    </row>
    <row r="1266" spans="2:5" ht="15" customHeight="1" x14ac:dyDescent="0.3">
      <c r="C1266" s="1"/>
      <c r="D1266" s="8">
        <v>2024</v>
      </c>
      <c r="E1266" s="14">
        <f>Data!G1266</f>
        <v>160317650000</v>
      </c>
    </row>
    <row r="1267" spans="2:5" ht="15" customHeight="1" x14ac:dyDescent="0.3">
      <c r="B1267" s="8">
        <v>116</v>
      </c>
      <c r="C1267" s="1" t="s">
        <v>127</v>
      </c>
      <c r="D1267" s="8">
        <v>2014</v>
      </c>
      <c r="E1267" s="14">
        <f>Data!G1267</f>
        <v>0</v>
      </c>
    </row>
    <row r="1268" spans="2:5" ht="15" customHeight="1" x14ac:dyDescent="0.3">
      <c r="C1268" s="1"/>
      <c r="D1268" s="8">
        <v>2015</v>
      </c>
      <c r="E1268" s="14">
        <f>Data!G1268</f>
        <v>3020355000000</v>
      </c>
    </row>
    <row r="1269" spans="2:5" ht="15" customHeight="1" x14ac:dyDescent="0.3">
      <c r="C1269" s="1"/>
      <c r="D1269" s="8">
        <v>2016</v>
      </c>
      <c r="E1269" s="14">
        <f>Data!G1269</f>
        <v>3142807000000</v>
      </c>
    </row>
    <row r="1270" spans="2:5" ht="15" customHeight="1" x14ac:dyDescent="0.3">
      <c r="C1270" s="1"/>
      <c r="D1270" s="8">
        <v>2017</v>
      </c>
      <c r="E1270" s="14">
        <f>Data!G1270</f>
        <v>3282298000000</v>
      </c>
    </row>
    <row r="1271" spans="2:5" ht="15" customHeight="1" x14ac:dyDescent="0.3">
      <c r="C1271" s="1"/>
      <c r="D1271" s="8">
        <v>2018</v>
      </c>
      <c r="E1271" s="14">
        <f>Data!G1271</f>
        <v>3605680000000</v>
      </c>
    </row>
    <row r="1272" spans="2:5" ht="15" customHeight="1" x14ac:dyDescent="0.3">
      <c r="C1272" s="1"/>
      <c r="D1272" s="8">
        <v>2019</v>
      </c>
      <c r="E1272" s="14">
        <f>Data!G1272</f>
        <v>3868218000000</v>
      </c>
    </row>
    <row r="1273" spans="2:5" ht="15" customHeight="1" x14ac:dyDescent="0.3">
      <c r="C1273" s="1"/>
      <c r="D1273" s="8">
        <v>2020</v>
      </c>
      <c r="E1273" s="14">
        <f>Data!G1273</f>
        <v>4233124000000</v>
      </c>
    </row>
    <row r="1274" spans="2:5" ht="15" customHeight="1" x14ac:dyDescent="0.3">
      <c r="C1274" s="1"/>
      <c r="D1274" s="8">
        <v>2021</v>
      </c>
      <c r="E1274" s="14">
        <f>Data!G1274</f>
        <v>4261374000000</v>
      </c>
    </row>
    <row r="1275" spans="2:5" ht="15" customHeight="1" x14ac:dyDescent="0.3">
      <c r="C1275" s="1"/>
      <c r="D1275" s="8">
        <v>2022</v>
      </c>
      <c r="E1275" s="14">
        <f>Data!G1275</f>
        <v>4365214000000</v>
      </c>
    </row>
    <row r="1276" spans="2:5" ht="15" customHeight="1" x14ac:dyDescent="0.3">
      <c r="C1276" s="1"/>
      <c r="D1276" s="8">
        <v>2023</v>
      </c>
      <c r="E1276" s="14">
        <f>Data!G1276</f>
        <v>5010127000000</v>
      </c>
    </row>
    <row r="1277" spans="2:5" ht="15" customHeight="1" x14ac:dyDescent="0.3">
      <c r="C1277" s="1"/>
      <c r="D1277" s="8">
        <v>2024</v>
      </c>
      <c r="E1277" s="14">
        <f>Data!G1277</f>
        <v>5226747000000</v>
      </c>
    </row>
    <row r="1278" spans="2:5" ht="15" customHeight="1" x14ac:dyDescent="0.3">
      <c r="B1278" s="8">
        <v>117</v>
      </c>
      <c r="C1278" s="2" t="s">
        <v>65</v>
      </c>
      <c r="D1278" s="8">
        <v>2014</v>
      </c>
      <c r="E1278" s="14">
        <f>Data!G1278</f>
        <v>0</v>
      </c>
    </row>
    <row r="1279" spans="2:5" ht="15" customHeight="1" x14ac:dyDescent="0.3">
      <c r="C1279" s="2"/>
      <c r="D1279" s="8">
        <v>2015</v>
      </c>
      <c r="E1279" s="14">
        <f>Data!G1279</f>
        <v>196838000000</v>
      </c>
    </row>
    <row r="1280" spans="2:5" ht="15" customHeight="1" x14ac:dyDescent="0.3">
      <c r="C1280" s="2"/>
      <c r="D1280" s="8">
        <v>2016</v>
      </c>
      <c r="E1280" s="14">
        <f>Data!G1280</f>
        <v>212248000000</v>
      </c>
    </row>
    <row r="1281" spans="2:5" ht="15" customHeight="1" x14ac:dyDescent="0.3">
      <c r="C1281" s="2"/>
      <c r="D1281" s="8">
        <v>2017</v>
      </c>
      <c r="E1281" s="14">
        <f>Data!G1281</f>
        <v>246935000000</v>
      </c>
    </row>
    <row r="1282" spans="2:5" ht="15" customHeight="1" x14ac:dyDescent="0.3">
      <c r="C1282" s="2"/>
      <c r="D1282" s="8">
        <v>2018</v>
      </c>
      <c r="E1282" s="14">
        <f>Data!G1282</f>
        <v>275638000000</v>
      </c>
    </row>
    <row r="1283" spans="2:5" ht="15" customHeight="1" x14ac:dyDescent="0.3">
      <c r="C1283" s="2"/>
      <c r="D1283" s="8">
        <v>2019</v>
      </c>
      <c r="E1283" s="14">
        <f>Data!G1283</f>
        <v>430332000000</v>
      </c>
    </row>
    <row r="1284" spans="2:5" ht="15" customHeight="1" x14ac:dyDescent="0.3">
      <c r="C1284" s="2"/>
      <c r="D1284" s="8">
        <v>2020</v>
      </c>
      <c r="E1284" s="14">
        <f>Data!G1284</f>
        <v>432693000000</v>
      </c>
    </row>
    <row r="1285" spans="2:5" ht="15" customHeight="1" x14ac:dyDescent="0.3">
      <c r="C1285" s="2"/>
      <c r="D1285" s="8">
        <v>2021</v>
      </c>
      <c r="E1285" s="14">
        <f>Data!G1285</f>
        <v>469764000000</v>
      </c>
    </row>
    <row r="1286" spans="2:5" ht="15" customHeight="1" x14ac:dyDescent="0.3">
      <c r="C1286" s="2"/>
      <c r="D1286" s="8">
        <v>2022</v>
      </c>
      <c r="E1286" s="14">
        <f>Data!G1286</f>
        <v>486808000000</v>
      </c>
    </row>
    <row r="1287" spans="2:5" ht="15" customHeight="1" x14ac:dyDescent="0.3">
      <c r="C1287" s="2"/>
      <c r="D1287" s="8">
        <v>2023</v>
      </c>
      <c r="E1287" s="14">
        <f>Data!G1287</f>
        <v>566834000000</v>
      </c>
    </row>
    <row r="1288" spans="2:5" ht="15" customHeight="1" x14ac:dyDescent="0.3">
      <c r="C1288" s="2"/>
      <c r="D1288" s="8">
        <v>2024</v>
      </c>
      <c r="E1288" s="14">
        <f>Data!G1288</f>
        <v>810868000000</v>
      </c>
    </row>
    <row r="1289" spans="2:5" ht="15" customHeight="1" x14ac:dyDescent="0.3">
      <c r="B1289" s="8">
        <v>118</v>
      </c>
      <c r="C1289" s="3" t="s">
        <v>89</v>
      </c>
      <c r="D1289" s="8">
        <v>2014</v>
      </c>
      <c r="E1289" s="14">
        <f>Data!G1289</f>
        <v>0</v>
      </c>
    </row>
    <row r="1290" spans="2:5" ht="15" customHeight="1" x14ac:dyDescent="0.3">
      <c r="C1290" s="3"/>
      <c r="D1290" s="8">
        <v>2015</v>
      </c>
      <c r="E1290" s="14">
        <f>Data!G1290</f>
        <v>0</v>
      </c>
    </row>
    <row r="1291" spans="2:5" ht="15" customHeight="1" x14ac:dyDescent="0.3">
      <c r="C1291" s="3"/>
      <c r="D1291" s="8">
        <v>2016</v>
      </c>
      <c r="E1291" s="14">
        <f>Data!G1291</f>
        <v>0</v>
      </c>
    </row>
    <row r="1292" spans="2:5" ht="15" customHeight="1" x14ac:dyDescent="0.3">
      <c r="C1292" s="3"/>
      <c r="D1292" s="8">
        <v>2017</v>
      </c>
      <c r="E1292" s="14">
        <f>Data!G1292</f>
        <v>0</v>
      </c>
    </row>
    <row r="1293" spans="2:5" ht="15" customHeight="1" x14ac:dyDescent="0.3">
      <c r="C1293" s="3"/>
      <c r="D1293" s="8">
        <v>2018</v>
      </c>
      <c r="E1293" s="14">
        <f>Data!G1293</f>
        <v>2759490493000</v>
      </c>
    </row>
    <row r="1294" spans="2:5" ht="15" customHeight="1" x14ac:dyDescent="0.3">
      <c r="C1294" s="3"/>
      <c r="D1294" s="8">
        <v>2019</v>
      </c>
      <c r="E1294" s="14">
        <f>Data!G1294</f>
        <v>2404841887000</v>
      </c>
    </row>
    <row r="1295" spans="2:5" ht="15" customHeight="1" x14ac:dyDescent="0.3">
      <c r="C1295" s="3"/>
      <c r="D1295" s="8">
        <v>2020</v>
      </c>
      <c r="E1295" s="14">
        <f>Data!G1295</f>
        <v>2701070570000</v>
      </c>
    </row>
    <row r="1296" spans="2:5" ht="15" customHeight="1" x14ac:dyDescent="0.3">
      <c r="C1296" s="3"/>
      <c r="D1296" s="8">
        <v>2021</v>
      </c>
      <c r="E1296" s="14">
        <f>Data!G1296</f>
        <v>2509362304000</v>
      </c>
    </row>
    <row r="1297" spans="2:5" ht="15" customHeight="1" x14ac:dyDescent="0.3">
      <c r="C1297" s="3"/>
      <c r="D1297" s="8">
        <v>2022</v>
      </c>
      <c r="E1297" s="14">
        <f>Data!G1297</f>
        <v>2534662345000</v>
      </c>
    </row>
    <row r="1298" spans="2:5" ht="15" customHeight="1" x14ac:dyDescent="0.3">
      <c r="C1298" s="3"/>
      <c r="D1298" s="8">
        <v>2023</v>
      </c>
      <c r="E1298" s="14">
        <f>Data!G1298</f>
        <v>2567838757000</v>
      </c>
    </row>
    <row r="1299" spans="2:5" ht="15" customHeight="1" x14ac:dyDescent="0.3">
      <c r="C1299" s="3"/>
      <c r="D1299" s="8">
        <v>2024</v>
      </c>
      <c r="E1299" s="14">
        <f>Data!G1299</f>
        <v>2544622608000</v>
      </c>
    </row>
    <row r="1300" spans="2:5" ht="15" customHeight="1" x14ac:dyDescent="0.3">
      <c r="B1300" s="8">
        <v>119</v>
      </c>
      <c r="C1300" s="2" t="s">
        <v>72</v>
      </c>
      <c r="D1300" s="8">
        <v>2014</v>
      </c>
      <c r="E1300" s="14">
        <f>Data!G1300</f>
        <v>0</v>
      </c>
    </row>
    <row r="1301" spans="2:5" ht="15" customHeight="1" x14ac:dyDescent="0.3">
      <c r="C1301" s="2"/>
      <c r="D1301" s="8">
        <v>2015</v>
      </c>
      <c r="E1301" s="14">
        <f>Data!G1301</f>
        <v>277472000000</v>
      </c>
    </row>
    <row r="1302" spans="2:5" ht="15" customHeight="1" x14ac:dyDescent="0.3">
      <c r="C1302" s="2"/>
      <c r="D1302" s="8">
        <v>2016</v>
      </c>
      <c r="E1302" s="14">
        <f>Data!G1302</f>
        <v>300402000000</v>
      </c>
    </row>
    <row r="1303" spans="2:5" ht="15" customHeight="1" x14ac:dyDescent="0.3">
      <c r="C1303" s="2"/>
      <c r="D1303" s="8">
        <v>2017</v>
      </c>
      <c r="E1303" s="14">
        <f>Data!G1303</f>
        <v>291577000000</v>
      </c>
    </row>
    <row r="1304" spans="2:5" ht="15" customHeight="1" x14ac:dyDescent="0.3">
      <c r="C1304" s="2"/>
      <c r="D1304" s="8">
        <v>2018</v>
      </c>
      <c r="E1304" s="14">
        <f>Data!G1304</f>
        <v>353211000000</v>
      </c>
    </row>
    <row r="1305" spans="2:5" ht="15" customHeight="1" x14ac:dyDescent="0.3">
      <c r="C1305" s="2"/>
      <c r="D1305" s="8">
        <v>2019</v>
      </c>
      <c r="E1305" s="14">
        <f>Data!G1305</f>
        <v>399341000000</v>
      </c>
    </row>
    <row r="1306" spans="2:5" ht="15" customHeight="1" x14ac:dyDescent="0.3">
      <c r="C1306" s="2"/>
      <c r="D1306" s="8">
        <v>2020</v>
      </c>
      <c r="E1306" s="14">
        <f>Data!G1306</f>
        <v>439686000000</v>
      </c>
    </row>
    <row r="1307" spans="2:5" ht="15" customHeight="1" x14ac:dyDescent="0.3">
      <c r="C1307" s="2"/>
      <c r="D1307" s="8">
        <v>2021</v>
      </c>
      <c r="E1307" s="14">
        <f>Data!G1307</f>
        <v>470433000000</v>
      </c>
    </row>
    <row r="1308" spans="2:5" ht="15" customHeight="1" x14ac:dyDescent="0.3">
      <c r="C1308" s="2"/>
      <c r="D1308" s="8">
        <v>2022</v>
      </c>
      <c r="E1308" s="14">
        <f>Data!G1308</f>
        <v>455182000000</v>
      </c>
    </row>
    <row r="1309" spans="2:5" ht="15" customHeight="1" x14ac:dyDescent="0.3">
      <c r="C1309" s="2"/>
      <c r="D1309" s="8">
        <v>2023</v>
      </c>
      <c r="E1309" s="14">
        <f>Data!G1309</f>
        <v>526635000000</v>
      </c>
    </row>
    <row r="1310" spans="2:5" ht="15" customHeight="1" x14ac:dyDescent="0.3">
      <c r="C1310" s="2"/>
      <c r="D1310" s="8">
        <v>2024</v>
      </c>
      <c r="E1310" s="14">
        <f>Data!G1310</f>
        <v>0</v>
      </c>
    </row>
    <row r="1311" spans="2:5" ht="15" customHeight="1" x14ac:dyDescent="0.3">
      <c r="B1311" s="8">
        <v>120</v>
      </c>
      <c r="C1311" s="2" t="s">
        <v>108</v>
      </c>
      <c r="D1311" s="8">
        <v>2014</v>
      </c>
      <c r="E1311" s="14">
        <f>Data!G1311</f>
        <v>0</v>
      </c>
    </row>
    <row r="1312" spans="2:5" ht="15" customHeight="1" x14ac:dyDescent="0.3">
      <c r="C1312" s="2"/>
      <c r="D1312" s="8">
        <v>2015</v>
      </c>
      <c r="E1312" s="14">
        <f>Data!G1312</f>
        <v>1733310000000</v>
      </c>
    </row>
    <row r="1313" spans="2:5" ht="15" customHeight="1" x14ac:dyDescent="0.3">
      <c r="C1313" s="2"/>
      <c r="D1313" s="8">
        <v>2016</v>
      </c>
      <c r="E1313" s="14">
        <f>Data!G1313</f>
        <v>2072228000000</v>
      </c>
    </row>
    <row r="1314" spans="2:5" ht="15" customHeight="1" x14ac:dyDescent="0.3">
      <c r="C1314" s="2"/>
      <c r="D1314" s="8">
        <v>2017</v>
      </c>
      <c r="E1314" s="14">
        <f>Data!G1314</f>
        <v>2177932000000</v>
      </c>
    </row>
    <row r="1315" spans="2:5" ht="15" customHeight="1" x14ac:dyDescent="0.3">
      <c r="C1315" s="2"/>
      <c r="D1315" s="8">
        <v>2018</v>
      </c>
      <c r="E1315" s="14">
        <f>Data!G1315</f>
        <v>2345549000000</v>
      </c>
    </row>
    <row r="1316" spans="2:5" ht="15" customHeight="1" x14ac:dyDescent="0.3">
      <c r="C1316" s="2"/>
      <c r="D1316" s="8">
        <v>2019</v>
      </c>
      <c r="E1316" s="14">
        <f>Data!G1316</f>
        <v>2592413000000</v>
      </c>
    </row>
    <row r="1317" spans="2:5" ht="15" customHeight="1" x14ac:dyDescent="0.3">
      <c r="C1317" s="2"/>
      <c r="D1317" s="8">
        <v>2020</v>
      </c>
      <c r="E1317" s="14">
        <f>Data!G1317</f>
        <v>2952533000000</v>
      </c>
    </row>
    <row r="1318" spans="2:5" ht="15" customHeight="1" x14ac:dyDescent="0.3">
      <c r="C1318" s="2"/>
      <c r="D1318" s="8">
        <v>2021</v>
      </c>
      <c r="E1318" s="14">
        <f>Data!G1318</f>
        <v>3711223000000</v>
      </c>
    </row>
    <row r="1319" spans="2:5" ht="15" customHeight="1" x14ac:dyDescent="0.3">
      <c r="C1319" s="2"/>
      <c r="D1319" s="8">
        <v>2022</v>
      </c>
      <c r="E1319" s="14">
        <f>Data!G1319</f>
        <v>4715082000000</v>
      </c>
    </row>
    <row r="1320" spans="2:5" ht="15" customHeight="1" x14ac:dyDescent="0.3">
      <c r="C1320" s="2"/>
      <c r="D1320" s="8">
        <v>2023</v>
      </c>
      <c r="E1320" s="14">
        <f>Data!G1320</f>
        <v>6222550000000</v>
      </c>
    </row>
    <row r="1321" spans="2:5" ht="15" customHeight="1" x14ac:dyDescent="0.3">
      <c r="C1321" s="2"/>
      <c r="D1321" s="8">
        <v>2024</v>
      </c>
      <c r="E1321" s="14">
        <f>Data!G1321</f>
        <v>7402327000000</v>
      </c>
    </row>
    <row r="1322" spans="2:5" ht="15" customHeight="1" x14ac:dyDescent="0.3">
      <c r="B1322" s="8">
        <v>121</v>
      </c>
      <c r="C1322" s="2" t="s">
        <v>77</v>
      </c>
      <c r="D1322" s="8">
        <v>2014</v>
      </c>
      <c r="E1322" s="14">
        <f>Data!G1322</f>
        <v>0</v>
      </c>
    </row>
    <row r="1323" spans="2:5" ht="15" customHeight="1" x14ac:dyDescent="0.3">
      <c r="C1323" s="2"/>
      <c r="D1323" s="8">
        <v>2015</v>
      </c>
      <c r="E1323" s="14">
        <f>Data!G1323</f>
        <v>515144000000</v>
      </c>
    </row>
    <row r="1324" spans="2:5" ht="15" customHeight="1" x14ac:dyDescent="0.3">
      <c r="C1324" s="2"/>
      <c r="D1324" s="8">
        <v>2016</v>
      </c>
      <c r="E1324" s="14">
        <f>Data!G1324</f>
        <v>711321000000</v>
      </c>
    </row>
    <row r="1325" spans="2:5" ht="15" customHeight="1" x14ac:dyDescent="0.3">
      <c r="C1325" s="2"/>
      <c r="D1325" s="8">
        <v>2017</v>
      </c>
      <c r="E1325" s="14">
        <f>Data!G1325</f>
        <v>846759000000</v>
      </c>
    </row>
    <row r="1326" spans="2:5" ht="15" customHeight="1" x14ac:dyDescent="0.3">
      <c r="C1326" s="2"/>
      <c r="D1326" s="8">
        <v>2018</v>
      </c>
      <c r="E1326" s="14">
        <f>Data!G1326</f>
        <v>997698000000</v>
      </c>
    </row>
    <row r="1327" spans="2:5" ht="15" customHeight="1" x14ac:dyDescent="0.3">
      <c r="C1327" s="2"/>
      <c r="D1327" s="8">
        <v>2019</v>
      </c>
      <c r="E1327" s="14">
        <f>Data!G1327</f>
        <v>1277790000000</v>
      </c>
    </row>
    <row r="1328" spans="2:5" ht="15" customHeight="1" x14ac:dyDescent="0.3">
      <c r="C1328" s="2"/>
      <c r="D1328" s="8">
        <v>2020</v>
      </c>
      <c r="E1328" s="14">
        <f>Data!G1328</f>
        <v>1557316000000</v>
      </c>
    </row>
    <row r="1329" spans="2:5" ht="15" customHeight="1" x14ac:dyDescent="0.3">
      <c r="C1329" s="2"/>
      <c r="D1329" s="8">
        <v>2021</v>
      </c>
      <c r="E1329" s="14">
        <f>Data!G1329</f>
        <v>1610433000000</v>
      </c>
    </row>
    <row r="1330" spans="2:5" ht="15" customHeight="1" x14ac:dyDescent="0.3">
      <c r="C1330" s="2"/>
      <c r="D1330" s="8">
        <v>2022</v>
      </c>
      <c r="E1330" s="14">
        <f>Data!G1330</f>
        <v>1483962000000</v>
      </c>
    </row>
    <row r="1331" spans="2:5" ht="15" customHeight="1" x14ac:dyDescent="0.3">
      <c r="C1331" s="2"/>
      <c r="D1331" s="8">
        <v>2023</v>
      </c>
      <c r="E1331" s="14">
        <f>Data!G1331</f>
        <v>2239940000000</v>
      </c>
    </row>
    <row r="1332" spans="2:5" ht="15" customHeight="1" x14ac:dyDescent="0.3">
      <c r="C1332" s="2"/>
      <c r="D1332" s="8">
        <v>2024</v>
      </c>
      <c r="E1332" s="14">
        <f>Data!G1332</f>
        <v>2280698000000</v>
      </c>
    </row>
    <row r="1333" spans="2:5" ht="15" customHeight="1" x14ac:dyDescent="0.3">
      <c r="B1333" s="8">
        <v>122</v>
      </c>
      <c r="C1333" s="2" t="s">
        <v>109</v>
      </c>
      <c r="D1333" s="8">
        <v>2014</v>
      </c>
      <c r="E1333" s="14">
        <f>Data!G1333</f>
        <v>0</v>
      </c>
    </row>
    <row r="1334" spans="2:5" ht="15" customHeight="1" x14ac:dyDescent="0.3">
      <c r="C1334" s="2"/>
      <c r="D1334" s="8">
        <v>2015</v>
      </c>
      <c r="E1334" s="14">
        <f>Data!G1334</f>
        <v>0</v>
      </c>
    </row>
    <row r="1335" spans="2:5" ht="15" customHeight="1" x14ac:dyDescent="0.3">
      <c r="C1335" s="2"/>
      <c r="D1335" s="8">
        <v>2016</v>
      </c>
      <c r="E1335" s="14">
        <f>Data!G1335</f>
        <v>0</v>
      </c>
    </row>
    <row r="1336" spans="2:5" ht="15" customHeight="1" x14ac:dyDescent="0.3">
      <c r="C1336" s="2"/>
      <c r="D1336" s="8">
        <v>2017</v>
      </c>
      <c r="E1336" s="14">
        <f>Data!G1336</f>
        <v>0</v>
      </c>
    </row>
    <row r="1337" spans="2:5" ht="15" customHeight="1" x14ac:dyDescent="0.3">
      <c r="C1337" s="2"/>
      <c r="D1337" s="8">
        <v>2018</v>
      </c>
      <c r="E1337" s="14">
        <f>Data!G1337</f>
        <v>0</v>
      </c>
    </row>
    <row r="1338" spans="2:5" ht="15" customHeight="1" x14ac:dyDescent="0.3">
      <c r="C1338" s="2"/>
      <c r="D1338" s="8">
        <v>2019</v>
      </c>
      <c r="E1338" s="14">
        <f>Data!G1338</f>
        <v>0</v>
      </c>
    </row>
    <row r="1339" spans="2:5" ht="15" customHeight="1" x14ac:dyDescent="0.3">
      <c r="C1339" s="2"/>
      <c r="D1339" s="8">
        <v>2020</v>
      </c>
      <c r="E1339" s="14">
        <f>Data!G1339</f>
        <v>0</v>
      </c>
    </row>
    <row r="1340" spans="2:5" ht="15" customHeight="1" x14ac:dyDescent="0.3">
      <c r="C1340" s="2"/>
      <c r="D1340" s="8">
        <v>2021</v>
      </c>
      <c r="E1340" s="14">
        <f>Data!G1340</f>
        <v>0</v>
      </c>
    </row>
    <row r="1341" spans="2:5" ht="15" customHeight="1" x14ac:dyDescent="0.3">
      <c r="C1341" s="2"/>
      <c r="D1341" s="8">
        <v>2022</v>
      </c>
      <c r="E1341" s="14">
        <f>Data!G1341</f>
        <v>0</v>
      </c>
    </row>
    <row r="1342" spans="2:5" ht="15" customHeight="1" x14ac:dyDescent="0.3">
      <c r="C1342" s="2"/>
      <c r="D1342" s="8">
        <v>2023</v>
      </c>
      <c r="E1342" s="14">
        <f>Data!G1342</f>
        <v>0</v>
      </c>
    </row>
    <row r="1343" spans="2:5" ht="15" customHeight="1" x14ac:dyDescent="0.3">
      <c r="C1343" s="2"/>
      <c r="D1343" s="8">
        <v>2024</v>
      </c>
      <c r="E1343" s="14">
        <f>Data!G1343</f>
        <v>0</v>
      </c>
    </row>
    <row r="1344" spans="2:5" ht="15" customHeight="1" x14ac:dyDescent="0.3">
      <c r="B1344" s="8">
        <v>123</v>
      </c>
      <c r="C1344" s="2" t="s">
        <v>78</v>
      </c>
      <c r="D1344" s="8">
        <v>2014</v>
      </c>
      <c r="E1344" s="14">
        <f>Data!G1344</f>
        <v>0</v>
      </c>
    </row>
    <row r="1345" spans="2:5" ht="15" customHeight="1" x14ac:dyDescent="0.3">
      <c r="C1345" s="2"/>
      <c r="D1345" s="8">
        <v>2015</v>
      </c>
      <c r="E1345" s="14">
        <f>Data!G1345</f>
        <v>0</v>
      </c>
    </row>
    <row r="1346" spans="2:5" ht="15" customHeight="1" x14ac:dyDescent="0.3">
      <c r="C1346" s="2"/>
      <c r="D1346" s="8">
        <v>2016</v>
      </c>
      <c r="E1346" s="14">
        <f>Data!G1346</f>
        <v>0</v>
      </c>
    </row>
    <row r="1347" spans="2:5" ht="15" customHeight="1" x14ac:dyDescent="0.3">
      <c r="C1347" s="2"/>
      <c r="D1347" s="8">
        <v>2017</v>
      </c>
      <c r="E1347" s="14">
        <f>Data!G1347</f>
        <v>0</v>
      </c>
    </row>
    <row r="1348" spans="2:5" ht="15" customHeight="1" x14ac:dyDescent="0.3">
      <c r="C1348" s="2"/>
      <c r="D1348" s="8">
        <v>2018</v>
      </c>
      <c r="E1348" s="14">
        <f>Data!G1348</f>
        <v>0</v>
      </c>
    </row>
    <row r="1349" spans="2:5" ht="15" customHeight="1" x14ac:dyDescent="0.3">
      <c r="C1349" s="2"/>
      <c r="D1349" s="8">
        <v>2019</v>
      </c>
      <c r="E1349" s="14">
        <f>Data!G1349</f>
        <v>348268361065</v>
      </c>
    </row>
    <row r="1350" spans="2:5" ht="15" customHeight="1" x14ac:dyDescent="0.3">
      <c r="C1350" s="2"/>
      <c r="D1350" s="8">
        <v>2020</v>
      </c>
      <c r="E1350" s="14">
        <f>Data!G1350</f>
        <v>394436443248</v>
      </c>
    </row>
    <row r="1351" spans="2:5" ht="15" customHeight="1" x14ac:dyDescent="0.3">
      <c r="C1351" s="2"/>
      <c r="D1351" s="8">
        <v>2021</v>
      </c>
      <c r="E1351" s="14">
        <f>Data!G1351</f>
        <v>268539063091</v>
      </c>
    </row>
    <row r="1352" spans="2:5" ht="15" customHeight="1" x14ac:dyDescent="0.3">
      <c r="C1352" s="2"/>
      <c r="D1352" s="8">
        <v>2022</v>
      </c>
      <c r="E1352" s="14">
        <f>Data!G1352</f>
        <v>410446680382</v>
      </c>
    </row>
    <row r="1353" spans="2:5" ht="15" customHeight="1" x14ac:dyDescent="0.3">
      <c r="C1353" s="2"/>
      <c r="D1353" s="8">
        <v>2023</v>
      </c>
      <c r="E1353" s="14">
        <f>Data!G1353</f>
        <v>862379828144</v>
      </c>
    </row>
    <row r="1354" spans="2:5" ht="15" customHeight="1" x14ac:dyDescent="0.3">
      <c r="C1354" s="2"/>
      <c r="D1354" s="8">
        <v>2024</v>
      </c>
      <c r="E1354" s="14">
        <f>Data!G1354</f>
        <v>930448689416</v>
      </c>
    </row>
    <row r="1355" spans="2:5" ht="15" customHeight="1" x14ac:dyDescent="0.3">
      <c r="B1355" s="8">
        <v>124</v>
      </c>
      <c r="C1355" s="2" t="s">
        <v>110</v>
      </c>
      <c r="D1355" s="8">
        <v>2014</v>
      </c>
      <c r="E1355" s="14">
        <f>Data!G1355</f>
        <v>0</v>
      </c>
    </row>
    <row r="1356" spans="2:5" ht="15" customHeight="1" x14ac:dyDescent="0.3">
      <c r="C1356" s="2"/>
      <c r="D1356" s="8">
        <v>2015</v>
      </c>
      <c r="E1356" s="14">
        <f>Data!G1356</f>
        <v>921927252120</v>
      </c>
    </row>
    <row r="1357" spans="2:5" ht="15" customHeight="1" x14ac:dyDescent="0.3">
      <c r="C1357" s="2"/>
      <c r="D1357" s="8">
        <v>2016</v>
      </c>
      <c r="E1357" s="14">
        <f>Data!G1357</f>
        <v>1136810730112</v>
      </c>
    </row>
    <row r="1358" spans="2:5" ht="15" customHeight="1" x14ac:dyDescent="0.3">
      <c r="C1358" s="2"/>
      <c r="D1358" s="8">
        <v>2017</v>
      </c>
      <c r="E1358" s="14">
        <f>Data!G1358</f>
        <v>1327250439408</v>
      </c>
    </row>
    <row r="1359" spans="2:5" ht="15" customHeight="1" x14ac:dyDescent="0.3">
      <c r="C1359" s="2"/>
      <c r="D1359" s="8">
        <v>2018</v>
      </c>
      <c r="E1359" s="14">
        <f>Data!G1359</f>
        <v>1242415000000</v>
      </c>
    </row>
    <row r="1360" spans="2:5" ht="15" customHeight="1" x14ac:dyDescent="0.3">
      <c r="C1360" s="2"/>
      <c r="D1360" s="8">
        <v>2019</v>
      </c>
      <c r="E1360" s="14">
        <f>Data!G1360</f>
        <v>1149812000000</v>
      </c>
    </row>
    <row r="1361" spans="2:5" ht="15" customHeight="1" x14ac:dyDescent="0.3">
      <c r="C1361" s="2"/>
      <c r="D1361" s="8">
        <v>2020</v>
      </c>
      <c r="E1361" s="14">
        <f>Data!G1361</f>
        <v>1148806000000</v>
      </c>
    </row>
    <row r="1362" spans="2:5" ht="15" customHeight="1" x14ac:dyDescent="0.3">
      <c r="C1362" s="2"/>
      <c r="D1362" s="8">
        <v>2021</v>
      </c>
      <c r="E1362" s="14">
        <f>Data!G1362</f>
        <v>1197031000000</v>
      </c>
    </row>
    <row r="1363" spans="2:5" ht="15" customHeight="1" x14ac:dyDescent="0.3">
      <c r="C1363" s="2"/>
      <c r="D1363" s="8">
        <v>2022</v>
      </c>
      <c r="E1363" s="14">
        <f>Data!G1363</f>
        <v>1513163000000</v>
      </c>
    </row>
    <row r="1364" spans="2:5" ht="15" customHeight="1" x14ac:dyDescent="0.3">
      <c r="C1364" s="2"/>
      <c r="D1364" s="8">
        <v>2023</v>
      </c>
      <c r="E1364" s="14">
        <f>Data!G1364</f>
        <v>1580050000000</v>
      </c>
    </row>
    <row r="1365" spans="2:5" ht="15" customHeight="1" x14ac:dyDescent="0.3">
      <c r="C1365" s="2"/>
      <c r="D1365" s="8">
        <v>2024</v>
      </c>
      <c r="E1365" s="14">
        <f>Data!G1365</f>
        <v>1618363000000</v>
      </c>
    </row>
    <row r="1366" spans="2:5" ht="15" customHeight="1" x14ac:dyDescent="0.3">
      <c r="B1366" s="8">
        <v>125</v>
      </c>
      <c r="C1366" s="2" t="s">
        <v>111</v>
      </c>
      <c r="D1366" s="8">
        <v>2014</v>
      </c>
      <c r="E1366" s="14">
        <f>Data!G1366</f>
        <v>0</v>
      </c>
    </row>
    <row r="1367" spans="2:5" ht="15" customHeight="1" x14ac:dyDescent="0.3">
      <c r="C1367" s="2"/>
      <c r="D1367" s="8">
        <v>2015</v>
      </c>
      <c r="E1367" s="14">
        <f>Data!G1367</f>
        <v>0</v>
      </c>
    </row>
    <row r="1368" spans="2:5" ht="15" customHeight="1" x14ac:dyDescent="0.3">
      <c r="C1368" s="2"/>
      <c r="D1368" s="8">
        <v>2016</v>
      </c>
      <c r="E1368" s="14">
        <f>Data!G1368</f>
        <v>0</v>
      </c>
    </row>
    <row r="1369" spans="2:5" ht="15" customHeight="1" x14ac:dyDescent="0.3">
      <c r="C1369" s="2"/>
      <c r="D1369" s="8">
        <v>2017</v>
      </c>
      <c r="E1369" s="14">
        <f>Data!G1369</f>
        <v>0</v>
      </c>
    </row>
    <row r="1370" spans="2:5" ht="15" customHeight="1" x14ac:dyDescent="0.3">
      <c r="C1370" s="2"/>
      <c r="D1370" s="8">
        <v>2018</v>
      </c>
      <c r="E1370" s="14">
        <f>Data!G1370</f>
        <v>0</v>
      </c>
    </row>
    <row r="1371" spans="2:5" ht="15" customHeight="1" x14ac:dyDescent="0.3">
      <c r="C1371" s="2"/>
      <c r="D1371" s="8">
        <v>2019</v>
      </c>
      <c r="E1371" s="14">
        <f>Data!G1371</f>
        <v>0</v>
      </c>
    </row>
    <row r="1372" spans="2:5" ht="15" customHeight="1" x14ac:dyDescent="0.3">
      <c r="C1372" s="2"/>
      <c r="D1372" s="8">
        <v>2020</v>
      </c>
      <c r="E1372" s="14">
        <f>Data!G1372</f>
        <v>0</v>
      </c>
    </row>
    <row r="1373" spans="2:5" ht="15" customHeight="1" x14ac:dyDescent="0.3">
      <c r="C1373" s="2"/>
      <c r="D1373" s="8">
        <v>2021</v>
      </c>
      <c r="E1373" s="14">
        <f>Data!G1373</f>
        <v>0</v>
      </c>
    </row>
    <row r="1374" spans="2:5" ht="15" customHeight="1" x14ac:dyDescent="0.3">
      <c r="C1374" s="2"/>
      <c r="D1374" s="8">
        <v>2022</v>
      </c>
      <c r="E1374" s="14">
        <f>Data!G1374</f>
        <v>0</v>
      </c>
    </row>
    <row r="1375" spans="2:5" ht="15" customHeight="1" x14ac:dyDescent="0.3">
      <c r="C1375" s="2"/>
      <c r="D1375" s="8">
        <v>2023</v>
      </c>
      <c r="E1375" s="14">
        <f>Data!G1375</f>
        <v>0</v>
      </c>
    </row>
    <row r="1376" spans="2:5" ht="15" customHeight="1" x14ac:dyDescent="0.3">
      <c r="C1376" s="2"/>
      <c r="D1376" s="8">
        <v>2024</v>
      </c>
      <c r="E1376" s="14">
        <f>Data!G1376</f>
        <v>0</v>
      </c>
    </row>
    <row r="1377" spans="2:5" ht="15" customHeight="1" x14ac:dyDescent="0.3">
      <c r="B1377" s="8">
        <v>126</v>
      </c>
      <c r="C1377" s="2" t="s">
        <v>86</v>
      </c>
      <c r="D1377" s="8">
        <v>2014</v>
      </c>
      <c r="E1377" s="14">
        <f>Data!G1377</f>
        <v>0</v>
      </c>
    </row>
    <row r="1378" spans="2:5" ht="15" customHeight="1" x14ac:dyDescent="0.3">
      <c r="C1378" s="2"/>
      <c r="D1378" s="8">
        <v>2015</v>
      </c>
      <c r="E1378" s="14">
        <f>Data!G1378</f>
        <v>0</v>
      </c>
    </row>
    <row r="1379" spans="2:5" ht="15" customHeight="1" x14ac:dyDescent="0.3">
      <c r="C1379" s="2"/>
      <c r="D1379" s="8">
        <v>2016</v>
      </c>
      <c r="E1379" s="14">
        <f>Data!G1379</f>
        <v>2300958312318</v>
      </c>
    </row>
    <row r="1380" spans="2:5" ht="15" customHeight="1" x14ac:dyDescent="0.3">
      <c r="C1380" s="2"/>
      <c r="D1380" s="8">
        <v>2017</v>
      </c>
      <c r="E1380" s="14">
        <f>Data!G1380</f>
        <v>2363109344956</v>
      </c>
    </row>
    <row r="1381" spans="2:5" ht="15" customHeight="1" x14ac:dyDescent="0.3">
      <c r="C1381" s="2"/>
      <c r="D1381" s="8">
        <v>2018</v>
      </c>
      <c r="E1381" s="14">
        <f>Data!G1381</f>
        <v>2485186649117</v>
      </c>
    </row>
    <row r="1382" spans="2:5" ht="15" customHeight="1" x14ac:dyDescent="0.3">
      <c r="C1382" s="2"/>
      <c r="D1382" s="8">
        <v>2019</v>
      </c>
      <c r="E1382" s="14">
        <f>Data!G1382</f>
        <v>2423706043201</v>
      </c>
    </row>
    <row r="1383" spans="2:5" ht="15" customHeight="1" x14ac:dyDescent="0.3">
      <c r="C1383" s="2"/>
      <c r="D1383" s="8">
        <v>2020</v>
      </c>
      <c r="E1383" s="14">
        <f>Data!G1383</f>
        <v>2815578393095</v>
      </c>
    </row>
    <row r="1384" spans="2:5" ht="15" customHeight="1" x14ac:dyDescent="0.3">
      <c r="C1384" s="2"/>
      <c r="D1384" s="8">
        <v>2021</v>
      </c>
      <c r="E1384" s="14">
        <f>Data!G1384</f>
        <v>2923286260687</v>
      </c>
    </row>
    <row r="1385" spans="2:5" ht="15" customHeight="1" x14ac:dyDescent="0.3">
      <c r="C1385" s="2"/>
      <c r="D1385" s="8">
        <v>2022</v>
      </c>
      <c r="E1385" s="14">
        <f>Data!G1385</f>
        <v>2930664711078</v>
      </c>
    </row>
    <row r="1386" spans="2:5" ht="15" customHeight="1" x14ac:dyDescent="0.3">
      <c r="C1386" s="2"/>
      <c r="D1386" s="8">
        <v>2023</v>
      </c>
      <c r="E1386" s="14">
        <f>Data!G1386</f>
        <v>2769428113972</v>
      </c>
    </row>
    <row r="1387" spans="2:5" ht="15" customHeight="1" x14ac:dyDescent="0.3">
      <c r="C1387" s="2"/>
      <c r="D1387" s="8">
        <v>2024</v>
      </c>
      <c r="E1387" s="14">
        <f>Data!G1387</f>
        <v>3074044644967</v>
      </c>
    </row>
    <row r="1388" spans="2:5" ht="15" customHeight="1" x14ac:dyDescent="0.3">
      <c r="B1388" s="8">
        <v>127</v>
      </c>
      <c r="C1388" s="2" t="s">
        <v>112</v>
      </c>
      <c r="D1388" s="8">
        <v>2014</v>
      </c>
      <c r="E1388" s="14">
        <f>Data!G1388</f>
        <v>0</v>
      </c>
    </row>
    <row r="1389" spans="2:5" ht="15" customHeight="1" x14ac:dyDescent="0.3">
      <c r="C1389" s="2"/>
      <c r="D1389" s="8">
        <v>2015</v>
      </c>
      <c r="E1389" s="14">
        <f>Data!G1389</f>
        <v>0</v>
      </c>
    </row>
    <row r="1390" spans="2:5" ht="15" customHeight="1" x14ac:dyDescent="0.3">
      <c r="C1390" s="2"/>
      <c r="D1390" s="8">
        <v>2016</v>
      </c>
      <c r="E1390" s="14">
        <f>Data!G1390</f>
        <v>276987702218</v>
      </c>
    </row>
    <row r="1391" spans="2:5" ht="15" customHeight="1" x14ac:dyDescent="0.3">
      <c r="C1391" s="2"/>
      <c r="D1391" s="8">
        <v>2017</v>
      </c>
      <c r="E1391" s="14">
        <f>Data!G1391</f>
        <v>299619149119</v>
      </c>
    </row>
    <row r="1392" spans="2:5" ht="15" customHeight="1" x14ac:dyDescent="0.3">
      <c r="C1392" s="2"/>
      <c r="D1392" s="8">
        <v>2018</v>
      </c>
      <c r="E1392" s="14">
        <f>Data!G1392</f>
        <v>320972898768</v>
      </c>
    </row>
    <row r="1393" spans="2:5" ht="15" customHeight="1" x14ac:dyDescent="0.3">
      <c r="C1393" s="2"/>
      <c r="D1393" s="8">
        <v>2019</v>
      </c>
      <c r="E1393" s="14">
        <f>Data!G1393</f>
        <v>423659163508</v>
      </c>
    </row>
    <row r="1394" spans="2:5" ht="15" customHeight="1" x14ac:dyDescent="0.3">
      <c r="C1394" s="2"/>
      <c r="D1394" s="8">
        <v>2020</v>
      </c>
      <c r="E1394" s="14">
        <f>Data!G1394</f>
        <v>551011466072</v>
      </c>
    </row>
    <row r="1395" spans="2:5" ht="15" customHeight="1" x14ac:dyDescent="0.3">
      <c r="C1395" s="2"/>
      <c r="D1395" s="8">
        <v>2021</v>
      </c>
      <c r="E1395" s="14">
        <f>Data!G1395</f>
        <v>534962808558</v>
      </c>
    </row>
    <row r="1396" spans="2:5" ht="15" customHeight="1" x14ac:dyDescent="0.3">
      <c r="C1396" s="2"/>
      <c r="D1396" s="8">
        <v>2022</v>
      </c>
      <c r="E1396" s="14">
        <f>Data!G1396</f>
        <v>989741834422</v>
      </c>
    </row>
    <row r="1397" spans="2:5" ht="15" customHeight="1" x14ac:dyDescent="0.3">
      <c r="C1397" s="2"/>
      <c r="D1397" s="8">
        <v>2023</v>
      </c>
      <c r="E1397" s="14">
        <f>Data!G1397</f>
        <v>1627392898057</v>
      </c>
    </row>
    <row r="1398" spans="2:5" ht="15" customHeight="1" x14ac:dyDescent="0.3">
      <c r="C1398" s="2"/>
      <c r="D1398" s="8">
        <v>2024</v>
      </c>
      <c r="E1398" s="14">
        <f>Data!G1398</f>
        <v>2562013170057</v>
      </c>
    </row>
    <row r="1399" spans="2:5" ht="15" customHeight="1" x14ac:dyDescent="0.3">
      <c r="B1399" s="8">
        <v>128</v>
      </c>
      <c r="C1399" s="2" t="s">
        <v>92</v>
      </c>
      <c r="D1399" s="8">
        <v>2014</v>
      </c>
      <c r="E1399" s="14">
        <f>Data!G1399</f>
        <v>0</v>
      </c>
    </row>
    <row r="1400" spans="2:5" ht="15" customHeight="1" x14ac:dyDescent="0.3">
      <c r="C1400" s="2"/>
      <c r="D1400" s="8">
        <v>2015</v>
      </c>
      <c r="E1400" s="14">
        <f>Data!G1400</f>
        <v>0</v>
      </c>
    </row>
    <row r="1401" spans="2:5" ht="15" customHeight="1" x14ac:dyDescent="0.3">
      <c r="C1401" s="2"/>
      <c r="D1401" s="8">
        <v>2016</v>
      </c>
      <c r="E1401" s="14">
        <f>Data!G1401</f>
        <v>0</v>
      </c>
    </row>
    <row r="1402" spans="2:5" ht="15" customHeight="1" x14ac:dyDescent="0.3">
      <c r="C1402" s="2"/>
      <c r="D1402" s="8">
        <v>2017</v>
      </c>
      <c r="E1402" s="14">
        <f>Data!G1402</f>
        <v>0</v>
      </c>
    </row>
    <row r="1403" spans="2:5" ht="15" customHeight="1" x14ac:dyDescent="0.3">
      <c r="C1403" s="2"/>
      <c r="D1403" s="8">
        <v>2018</v>
      </c>
      <c r="E1403" s="14">
        <f>Data!G1403</f>
        <v>351591000000</v>
      </c>
    </row>
    <row r="1404" spans="2:5" ht="15" customHeight="1" x14ac:dyDescent="0.3">
      <c r="C1404" s="2"/>
      <c r="D1404" s="8">
        <v>2019</v>
      </c>
      <c r="E1404" s="14">
        <f>Data!G1404</f>
        <v>495110000000</v>
      </c>
    </row>
    <row r="1405" spans="2:5" ht="15" customHeight="1" x14ac:dyDescent="0.3">
      <c r="C1405" s="2"/>
      <c r="D1405" s="8">
        <v>2020</v>
      </c>
      <c r="E1405" s="14">
        <f>Data!G1405</f>
        <v>508956000000</v>
      </c>
    </row>
    <row r="1406" spans="2:5" ht="15" customHeight="1" x14ac:dyDescent="0.3">
      <c r="C1406" s="2"/>
      <c r="D1406" s="8">
        <v>2021</v>
      </c>
      <c r="E1406" s="14">
        <f>Data!G1406</f>
        <v>575553000000</v>
      </c>
    </row>
    <row r="1407" spans="2:5" ht="15" customHeight="1" x14ac:dyDescent="0.3">
      <c r="C1407" s="2"/>
      <c r="D1407" s="8">
        <v>2022</v>
      </c>
      <c r="E1407" s="14">
        <f>Data!G1407</f>
        <v>703772000000</v>
      </c>
    </row>
    <row r="1408" spans="2:5" ht="15" customHeight="1" x14ac:dyDescent="0.3">
      <c r="C1408" s="2"/>
      <c r="D1408" s="8">
        <v>2023</v>
      </c>
      <c r="E1408" s="14">
        <f>Data!G1408</f>
        <v>773247000000</v>
      </c>
    </row>
    <row r="1409" spans="2:5" ht="15" customHeight="1" x14ac:dyDescent="0.3">
      <c r="C1409" s="2"/>
      <c r="D1409" s="8">
        <v>2024</v>
      </c>
      <c r="E1409" s="14">
        <f>Data!G1409</f>
        <v>553767000000</v>
      </c>
    </row>
    <row r="1410" spans="2:5" ht="15" customHeight="1" x14ac:dyDescent="0.3">
      <c r="B1410" s="8">
        <v>129</v>
      </c>
      <c r="C1410" s="2" t="s">
        <v>87</v>
      </c>
      <c r="D1410" s="8">
        <v>2014</v>
      </c>
      <c r="E1410" s="14">
        <f>Data!G1410</f>
        <v>0</v>
      </c>
    </row>
    <row r="1411" spans="2:5" ht="15" customHeight="1" x14ac:dyDescent="0.3">
      <c r="C1411" s="2"/>
      <c r="D1411" s="8">
        <v>2015</v>
      </c>
      <c r="E1411" s="14">
        <f>Data!G1411</f>
        <v>335374000000</v>
      </c>
    </row>
    <row r="1412" spans="2:5" ht="15" customHeight="1" x14ac:dyDescent="0.3">
      <c r="C1412" s="2"/>
      <c r="D1412" s="8">
        <v>2016</v>
      </c>
      <c r="E1412" s="14">
        <f>Data!G1412</f>
        <v>419115000000</v>
      </c>
    </row>
    <row r="1413" spans="2:5" ht="15" customHeight="1" x14ac:dyDescent="0.3">
      <c r="C1413" s="2"/>
      <c r="D1413" s="8">
        <v>2017</v>
      </c>
      <c r="E1413" s="14">
        <f>Data!G1413</f>
        <v>569073000000</v>
      </c>
    </row>
    <row r="1414" spans="2:5" ht="15" customHeight="1" x14ac:dyDescent="0.3">
      <c r="C1414" s="2"/>
      <c r="D1414" s="8">
        <v>2018</v>
      </c>
      <c r="E1414" s="14">
        <f>Data!G1414</f>
        <v>483420000000</v>
      </c>
    </row>
    <row r="1415" spans="2:5" ht="15" customHeight="1" x14ac:dyDescent="0.3">
      <c r="C1415" s="2"/>
      <c r="D1415" s="8">
        <v>2019</v>
      </c>
      <c r="E1415" s="14">
        <f>Data!G1415</f>
        <v>596201000000</v>
      </c>
    </row>
    <row r="1416" spans="2:5" ht="15" customHeight="1" x14ac:dyDescent="0.3">
      <c r="C1416" s="2"/>
      <c r="D1416" s="8">
        <v>2020</v>
      </c>
      <c r="E1416" s="14">
        <f>Data!G1416</f>
        <v>566735000000</v>
      </c>
    </row>
    <row r="1417" spans="2:5" ht="15" customHeight="1" x14ac:dyDescent="0.3">
      <c r="C1417" s="2"/>
      <c r="D1417" s="8">
        <v>2021</v>
      </c>
      <c r="E1417" s="14">
        <f>Data!G1417</f>
        <v>591157000000</v>
      </c>
    </row>
    <row r="1418" spans="2:5" ht="15" customHeight="1" x14ac:dyDescent="0.3">
      <c r="C1418" s="2"/>
      <c r="D1418" s="8">
        <v>2022</v>
      </c>
      <c r="E1418" s="14">
        <f>Data!G1418</f>
        <v>635138000000</v>
      </c>
    </row>
    <row r="1419" spans="2:5" ht="15" customHeight="1" x14ac:dyDescent="0.3">
      <c r="C1419" s="2"/>
      <c r="D1419" s="8">
        <v>2023</v>
      </c>
      <c r="E1419" s="14">
        <f>Data!G1419</f>
        <v>678719000000</v>
      </c>
    </row>
    <row r="1420" spans="2:5" ht="15" customHeight="1" x14ac:dyDescent="0.3">
      <c r="C1420" s="2"/>
      <c r="D1420" s="8">
        <v>2024</v>
      </c>
      <c r="E1420" s="14">
        <f>Data!G1420</f>
        <v>635835000000</v>
      </c>
    </row>
    <row r="1421" spans="2:5" ht="15" customHeight="1" x14ac:dyDescent="0.3">
      <c r="B1421" s="8">
        <v>130</v>
      </c>
      <c r="C1421" s="2" t="s">
        <v>113</v>
      </c>
      <c r="D1421" s="8">
        <v>2014</v>
      </c>
      <c r="E1421" s="14">
        <f>Data!G1421</f>
        <v>0</v>
      </c>
    </row>
    <row r="1422" spans="2:5" ht="15" customHeight="1" x14ac:dyDescent="0.3">
      <c r="C1422" s="2"/>
      <c r="D1422" s="8">
        <v>2015</v>
      </c>
      <c r="E1422" s="14">
        <f>Data!G1422</f>
        <v>0</v>
      </c>
    </row>
    <row r="1423" spans="2:5" ht="15" customHeight="1" x14ac:dyDescent="0.3">
      <c r="C1423" s="2"/>
      <c r="D1423" s="8">
        <v>2016</v>
      </c>
      <c r="E1423" s="14">
        <f>Data!G1423</f>
        <v>0</v>
      </c>
    </row>
    <row r="1424" spans="2:5" ht="15" customHeight="1" x14ac:dyDescent="0.3">
      <c r="C1424" s="2"/>
      <c r="D1424" s="8">
        <v>2017</v>
      </c>
      <c r="E1424" s="14">
        <f>Data!G1424</f>
        <v>0</v>
      </c>
    </row>
    <row r="1425" spans="2:5" ht="15" customHeight="1" x14ac:dyDescent="0.3">
      <c r="C1425" s="2"/>
      <c r="D1425" s="8">
        <v>2018</v>
      </c>
      <c r="E1425" s="14">
        <f>Data!G1425</f>
        <v>0</v>
      </c>
    </row>
    <row r="1426" spans="2:5" ht="15" customHeight="1" x14ac:dyDescent="0.3">
      <c r="C1426" s="2"/>
      <c r="D1426" s="8">
        <v>2019</v>
      </c>
      <c r="E1426" s="14">
        <f>Data!G1426</f>
        <v>927221000000</v>
      </c>
    </row>
    <row r="1427" spans="2:5" ht="15" customHeight="1" x14ac:dyDescent="0.3">
      <c r="C1427" s="2"/>
      <c r="D1427" s="8">
        <v>2020</v>
      </c>
      <c r="E1427" s="14">
        <f>Data!G1427</f>
        <v>704994000000</v>
      </c>
    </row>
    <row r="1428" spans="2:5" ht="15" customHeight="1" x14ac:dyDescent="0.3">
      <c r="C1428" s="2"/>
      <c r="D1428" s="8">
        <v>2021</v>
      </c>
      <c r="E1428" s="14">
        <f>Data!G1428</f>
        <v>687707000000</v>
      </c>
    </row>
    <row r="1429" spans="2:5" ht="15" customHeight="1" x14ac:dyDescent="0.3">
      <c r="C1429" s="2"/>
      <c r="D1429" s="8">
        <v>2022</v>
      </c>
      <c r="E1429" s="14">
        <f>Data!G1429</f>
        <v>490826000000</v>
      </c>
    </row>
    <row r="1430" spans="2:5" ht="15" customHeight="1" x14ac:dyDescent="0.3">
      <c r="C1430" s="2"/>
      <c r="D1430" s="8">
        <v>2023</v>
      </c>
      <c r="E1430" s="14">
        <f>Data!G1430</f>
        <v>587866000000</v>
      </c>
    </row>
    <row r="1431" spans="2:5" ht="15" customHeight="1" x14ac:dyDescent="0.3">
      <c r="C1431" s="2"/>
      <c r="D1431" s="8">
        <v>2024</v>
      </c>
      <c r="E1431" s="14">
        <f>Data!G1431</f>
        <v>541991000000</v>
      </c>
    </row>
    <row r="1432" spans="2:5" ht="15" customHeight="1" x14ac:dyDescent="0.3">
      <c r="B1432" s="8">
        <v>131</v>
      </c>
      <c r="C1432" s="2" t="s">
        <v>121</v>
      </c>
      <c r="D1432" s="8">
        <v>2014</v>
      </c>
      <c r="E1432" s="14">
        <f>Data!G1432</f>
        <v>0</v>
      </c>
    </row>
    <row r="1433" spans="2:5" ht="15" customHeight="1" x14ac:dyDescent="0.3">
      <c r="C1433" s="2"/>
      <c r="D1433" s="8">
        <v>2015</v>
      </c>
      <c r="E1433" s="14">
        <f>Data!G1433</f>
        <v>1654879000000</v>
      </c>
    </row>
    <row r="1434" spans="2:5" ht="15" customHeight="1" x14ac:dyDescent="0.3">
      <c r="C1434" s="2"/>
      <c r="D1434" s="8">
        <v>2016</v>
      </c>
      <c r="E1434" s="14">
        <f>Data!G1434</f>
        <v>2081528000000</v>
      </c>
    </row>
    <row r="1435" spans="2:5" ht="15" customHeight="1" x14ac:dyDescent="0.3">
      <c r="C1435" s="2"/>
      <c r="D1435" s="8">
        <v>2017</v>
      </c>
      <c r="E1435" s="14">
        <f>Data!G1435</f>
        <v>2509102000000</v>
      </c>
    </row>
    <row r="1436" spans="2:5" ht="15" customHeight="1" x14ac:dyDescent="0.3">
      <c r="C1436" s="2"/>
      <c r="D1436" s="8">
        <v>2018</v>
      </c>
      <c r="E1436" s="14">
        <f>Data!G1436</f>
        <v>3176819000000</v>
      </c>
    </row>
    <row r="1437" spans="2:5" ht="15" customHeight="1" x14ac:dyDescent="0.3">
      <c r="C1437" s="2"/>
      <c r="D1437" s="8">
        <v>2019</v>
      </c>
      <c r="E1437" s="14">
        <f>Data!G1437</f>
        <v>3778141000000</v>
      </c>
    </row>
    <row r="1438" spans="2:5" ht="15" customHeight="1" x14ac:dyDescent="0.3">
      <c r="C1438" s="2"/>
      <c r="D1438" s="8">
        <v>2020</v>
      </c>
      <c r="E1438" s="14">
        <f>Data!G1438</f>
        <v>3977183000000</v>
      </c>
    </row>
    <row r="1439" spans="2:5" ht="15" customHeight="1" x14ac:dyDescent="0.3">
      <c r="C1439" s="2"/>
      <c r="D1439" s="8">
        <v>2021</v>
      </c>
      <c r="E1439" s="14">
        <f>Data!G1439</f>
        <v>3813210000000</v>
      </c>
    </row>
    <row r="1440" spans="2:5" ht="15" customHeight="1" x14ac:dyDescent="0.3">
      <c r="C1440" s="2"/>
      <c r="D1440" s="8">
        <v>2022</v>
      </c>
      <c r="E1440" s="14">
        <f>Data!G1440</f>
        <v>4182576000000</v>
      </c>
    </row>
    <row r="1441" spans="2:5" ht="15" customHeight="1" x14ac:dyDescent="0.3">
      <c r="C1441" s="2"/>
      <c r="D1441" s="8">
        <v>2023</v>
      </c>
      <c r="E1441" s="14">
        <f>Data!G1441</f>
        <v>3974838000000</v>
      </c>
    </row>
    <row r="1442" spans="2:5" ht="15" customHeight="1" x14ac:dyDescent="0.3">
      <c r="C1442" s="2"/>
      <c r="D1442" s="8">
        <v>2024</v>
      </c>
      <c r="E1442" s="14">
        <f>Data!G1442</f>
        <v>4478676000000</v>
      </c>
    </row>
    <row r="1443" spans="2:5" ht="15" customHeight="1" x14ac:dyDescent="0.3">
      <c r="B1443" s="8">
        <v>132</v>
      </c>
      <c r="C1443" s="2" t="s">
        <v>85</v>
      </c>
      <c r="D1443" s="8">
        <v>2014</v>
      </c>
      <c r="E1443" s="14">
        <f>Data!G1443</f>
        <v>0</v>
      </c>
    </row>
    <row r="1444" spans="2:5" ht="15" customHeight="1" x14ac:dyDescent="0.3">
      <c r="C1444" s="2"/>
      <c r="D1444" s="8">
        <v>2015</v>
      </c>
      <c r="E1444" s="14">
        <f>Data!G1444</f>
        <v>0</v>
      </c>
    </row>
    <row r="1445" spans="2:5" ht="15" customHeight="1" x14ac:dyDescent="0.3">
      <c r="C1445" s="2"/>
      <c r="D1445" s="8">
        <v>2016</v>
      </c>
      <c r="E1445" s="14">
        <f>Data!G1445</f>
        <v>401317000000</v>
      </c>
    </row>
    <row r="1446" spans="2:5" ht="15" customHeight="1" x14ac:dyDescent="0.3">
      <c r="C1446" s="2"/>
      <c r="D1446" s="8">
        <v>2017</v>
      </c>
      <c r="E1446" s="14">
        <f>Data!G1446</f>
        <v>398393000000</v>
      </c>
    </row>
    <row r="1447" spans="2:5" ht="15" customHeight="1" x14ac:dyDescent="0.3">
      <c r="C1447" s="2"/>
      <c r="D1447" s="8">
        <v>2018</v>
      </c>
      <c r="E1447" s="14">
        <f>Data!G1447</f>
        <v>424899000000</v>
      </c>
    </row>
    <row r="1448" spans="2:5" ht="15" customHeight="1" x14ac:dyDescent="0.3">
      <c r="C1448" s="2"/>
      <c r="D1448" s="8">
        <v>2019</v>
      </c>
      <c r="E1448" s="14">
        <f>Data!G1448</f>
        <v>436899000000</v>
      </c>
    </row>
    <row r="1449" spans="2:5" ht="15" customHeight="1" x14ac:dyDescent="0.3">
      <c r="C1449" s="2"/>
      <c r="D1449" s="8">
        <v>2020</v>
      </c>
      <c r="E1449" s="14">
        <f>Data!G1449</f>
        <v>560015000000</v>
      </c>
    </row>
    <row r="1450" spans="2:5" ht="15" customHeight="1" x14ac:dyDescent="0.3">
      <c r="C1450" s="2"/>
      <c r="D1450" s="8">
        <v>2021</v>
      </c>
      <c r="E1450" s="14">
        <f>Data!G1450</f>
        <v>722678000000</v>
      </c>
    </row>
    <row r="1451" spans="2:5" ht="15" customHeight="1" x14ac:dyDescent="0.3">
      <c r="C1451" s="2"/>
      <c r="D1451" s="8">
        <v>2022</v>
      </c>
      <c r="E1451" s="14">
        <f>Data!G1451</f>
        <v>647073000000</v>
      </c>
    </row>
    <row r="1452" spans="2:5" ht="15" customHeight="1" x14ac:dyDescent="0.3">
      <c r="C1452" s="2"/>
      <c r="D1452" s="8">
        <v>2023</v>
      </c>
      <c r="E1452" s="14">
        <f>Data!G1452</f>
        <v>768681000000</v>
      </c>
    </row>
    <row r="1453" spans="2:5" ht="15" customHeight="1" x14ac:dyDescent="0.3">
      <c r="C1453" s="2"/>
      <c r="D1453" s="8">
        <v>2024</v>
      </c>
      <c r="E1453" s="14">
        <f>Data!G1453</f>
        <v>660490000000</v>
      </c>
    </row>
    <row r="1454" spans="2:5" ht="15" customHeight="1" x14ac:dyDescent="0.3">
      <c r="B1454" s="8">
        <v>133</v>
      </c>
      <c r="C1454" s="1" t="s">
        <v>126</v>
      </c>
      <c r="D1454" s="8">
        <v>2014</v>
      </c>
      <c r="E1454" s="14">
        <f>Data!G1454</f>
        <v>0</v>
      </c>
    </row>
    <row r="1455" spans="2:5" ht="15" customHeight="1" x14ac:dyDescent="0.3">
      <c r="C1455" s="1"/>
      <c r="D1455" s="8">
        <v>2015</v>
      </c>
      <c r="E1455" s="14">
        <f>Data!G1455</f>
        <v>210608052893</v>
      </c>
    </row>
    <row r="1456" spans="2:5" ht="15" customHeight="1" x14ac:dyDescent="0.3">
      <c r="C1456" s="1"/>
      <c r="D1456" s="8">
        <v>2016</v>
      </c>
      <c r="E1456" s="14">
        <f>Data!G1456</f>
        <v>233874624756</v>
      </c>
    </row>
    <row r="1457" spans="2:5" ht="15" customHeight="1" x14ac:dyDescent="0.3">
      <c r="C1457" s="1"/>
      <c r="D1457" s="8">
        <v>2017</v>
      </c>
      <c r="E1457" s="14">
        <f>Data!G1457</f>
        <v>253642764681</v>
      </c>
    </row>
    <row r="1458" spans="2:5" ht="15" customHeight="1" x14ac:dyDescent="0.3">
      <c r="C1458" s="1"/>
      <c r="D1458" s="8">
        <v>2018</v>
      </c>
      <c r="E1458" s="14">
        <f>Data!G1458</f>
        <v>262118630829</v>
      </c>
    </row>
    <row r="1459" spans="2:5" ht="15" customHeight="1" x14ac:dyDescent="0.3">
      <c r="C1459" s="1"/>
      <c r="D1459" s="8">
        <v>2019</v>
      </c>
      <c r="E1459" s="14">
        <f>Data!G1459</f>
        <v>284170955431</v>
      </c>
    </row>
    <row r="1460" spans="2:5" ht="15" customHeight="1" x14ac:dyDescent="0.3">
      <c r="C1460" s="1"/>
      <c r="D1460" s="8">
        <v>2020</v>
      </c>
      <c r="E1460" s="14">
        <f>Data!G1460</f>
        <v>322342387320</v>
      </c>
    </row>
    <row r="1461" spans="2:5" ht="15" customHeight="1" x14ac:dyDescent="0.3">
      <c r="C1461" s="1"/>
      <c r="D1461" s="8">
        <v>2021</v>
      </c>
      <c r="E1461" s="14">
        <f>Data!G1461</f>
        <v>356588372475</v>
      </c>
    </row>
    <row r="1462" spans="2:5" ht="15" customHeight="1" x14ac:dyDescent="0.3">
      <c r="C1462" s="1"/>
      <c r="D1462" s="8">
        <v>2022</v>
      </c>
      <c r="E1462" s="14">
        <f>Data!G1462</f>
        <v>297046208202</v>
      </c>
    </row>
    <row r="1463" spans="2:5" ht="15" customHeight="1" x14ac:dyDescent="0.3">
      <c r="C1463" s="1"/>
      <c r="D1463" s="8">
        <v>2023</v>
      </c>
      <c r="E1463" s="14">
        <f>Data!G1463</f>
        <v>242935248490</v>
      </c>
    </row>
    <row r="1464" spans="2:5" ht="15" customHeight="1" x14ac:dyDescent="0.3">
      <c r="C1464" s="1"/>
      <c r="D1464" s="8">
        <v>2024</v>
      </c>
      <c r="E1464" s="14">
        <f>Data!G1464</f>
        <v>243101289401</v>
      </c>
    </row>
    <row r="1465" spans="2:5" ht="15" customHeight="1" x14ac:dyDescent="0.3">
      <c r="B1465" s="8">
        <v>134</v>
      </c>
      <c r="C1465" s="2" t="s">
        <v>95</v>
      </c>
      <c r="D1465" s="8">
        <v>2014</v>
      </c>
      <c r="E1465" s="14">
        <f>Data!G1465</f>
        <v>0</v>
      </c>
    </row>
    <row r="1466" spans="2:5" ht="15" customHeight="1" x14ac:dyDescent="0.3">
      <c r="C1466" s="2"/>
      <c r="D1466" s="8">
        <v>2015</v>
      </c>
      <c r="E1466" s="14">
        <f>Data!G1466</f>
        <v>0</v>
      </c>
    </row>
    <row r="1467" spans="2:5" ht="15" customHeight="1" x14ac:dyDescent="0.3">
      <c r="C1467" s="2"/>
      <c r="D1467" s="8">
        <v>2016</v>
      </c>
      <c r="E1467" s="14">
        <f>Data!G1467</f>
        <v>0</v>
      </c>
    </row>
    <row r="1468" spans="2:5" ht="15" customHeight="1" x14ac:dyDescent="0.3">
      <c r="C1468" s="2"/>
      <c r="D1468" s="8">
        <v>2017</v>
      </c>
      <c r="E1468" s="14">
        <f>Data!G1468</f>
        <v>0</v>
      </c>
    </row>
    <row r="1469" spans="2:5" ht="15" customHeight="1" x14ac:dyDescent="0.3">
      <c r="C1469" s="2"/>
      <c r="D1469" s="8">
        <v>2018</v>
      </c>
      <c r="E1469" s="14">
        <f>Data!G1469</f>
        <v>0</v>
      </c>
    </row>
    <row r="1470" spans="2:5" ht="15" customHeight="1" x14ac:dyDescent="0.3">
      <c r="C1470" s="2"/>
      <c r="D1470" s="8">
        <v>2019</v>
      </c>
      <c r="E1470" s="14">
        <f>Data!G1470</f>
        <v>0</v>
      </c>
    </row>
    <row r="1471" spans="2:5" ht="15" customHeight="1" x14ac:dyDescent="0.3">
      <c r="C1471" s="2"/>
      <c r="D1471" s="8">
        <v>2020</v>
      </c>
      <c r="E1471" s="14">
        <f>Data!G1471</f>
        <v>9083071000000</v>
      </c>
    </row>
    <row r="1472" spans="2:5" ht="15" customHeight="1" x14ac:dyDescent="0.3">
      <c r="C1472" s="2"/>
      <c r="D1472" s="8">
        <v>2021</v>
      </c>
      <c r="E1472" s="14">
        <f>Data!G1472</f>
        <v>8736337000000</v>
      </c>
    </row>
    <row r="1473" spans="1:5" ht="15" customHeight="1" x14ac:dyDescent="0.3">
      <c r="C1473" s="2"/>
      <c r="D1473" s="8">
        <v>2022</v>
      </c>
      <c r="E1473" s="14">
        <f>Data!G1473</f>
        <v>9007172000000</v>
      </c>
    </row>
    <row r="1474" spans="1:5" ht="15" customHeight="1" x14ac:dyDescent="0.3">
      <c r="C1474" s="2"/>
      <c r="D1474" s="8">
        <v>2023</v>
      </c>
      <c r="E1474" s="14">
        <f>Data!G1474</f>
        <v>9230856000000</v>
      </c>
    </row>
    <row r="1475" spans="1:5" ht="15" customHeight="1" x14ac:dyDescent="0.3">
      <c r="C1475" s="2"/>
      <c r="D1475" s="8">
        <v>2024</v>
      </c>
      <c r="E1475" s="14">
        <f>Data!G1475</f>
        <v>9328004000000</v>
      </c>
    </row>
    <row r="1476" spans="1:5" ht="15" customHeight="1" x14ac:dyDescent="0.3">
      <c r="B1476" s="8">
        <v>135</v>
      </c>
      <c r="C1476" s="1" t="s">
        <v>133</v>
      </c>
      <c r="D1476" s="8">
        <v>2014</v>
      </c>
      <c r="E1476" s="14">
        <f>Data!G1476</f>
        <v>0</v>
      </c>
    </row>
    <row r="1477" spans="1:5" ht="15" customHeight="1" x14ac:dyDescent="0.3">
      <c r="C1477" s="1"/>
      <c r="D1477" s="8">
        <v>2015</v>
      </c>
      <c r="E1477" s="14">
        <f>Data!G1477</f>
        <v>0</v>
      </c>
    </row>
    <row r="1478" spans="1:5" ht="15" customHeight="1" x14ac:dyDescent="0.3">
      <c r="C1478" s="1"/>
      <c r="D1478" s="8">
        <v>2016</v>
      </c>
      <c r="E1478" s="14">
        <f>Data!G1478</f>
        <v>0</v>
      </c>
    </row>
    <row r="1479" spans="1:5" ht="15" customHeight="1" x14ac:dyDescent="0.3">
      <c r="C1479" s="1"/>
      <c r="D1479" s="8">
        <v>2017</v>
      </c>
      <c r="E1479" s="14">
        <f>Data!G1479</f>
        <v>0</v>
      </c>
    </row>
    <row r="1480" spans="1:5" ht="15" customHeight="1" x14ac:dyDescent="0.3">
      <c r="C1480" s="1"/>
      <c r="D1480" s="8">
        <v>2018</v>
      </c>
      <c r="E1480" s="14">
        <f>Data!G1480</f>
        <v>0</v>
      </c>
    </row>
    <row r="1481" spans="1:5" ht="15" customHeight="1" x14ac:dyDescent="0.3">
      <c r="C1481" s="1"/>
      <c r="D1481" s="8">
        <v>2019</v>
      </c>
      <c r="E1481" s="14">
        <f>Data!G1481</f>
        <v>0</v>
      </c>
    </row>
    <row r="1482" spans="1:5" ht="15" customHeight="1" x14ac:dyDescent="0.3">
      <c r="C1482" s="1"/>
      <c r="D1482" s="8">
        <v>2020</v>
      </c>
      <c r="E1482" s="14">
        <f>Data!G1482</f>
        <v>1619009000000</v>
      </c>
    </row>
    <row r="1483" spans="1:5" ht="15" customHeight="1" x14ac:dyDescent="0.3">
      <c r="C1483" s="1"/>
      <c r="D1483" s="8">
        <v>2021</v>
      </c>
      <c r="E1483" s="14">
        <f>Data!G1483</f>
        <v>1126499000000</v>
      </c>
    </row>
    <row r="1484" spans="1:5" ht="15" customHeight="1" x14ac:dyDescent="0.3">
      <c r="C1484" s="1"/>
      <c r="D1484" s="8">
        <v>2022</v>
      </c>
      <c r="E1484" s="14">
        <f>Data!G1484</f>
        <v>1304211000000</v>
      </c>
    </row>
    <row r="1485" spans="1:5" ht="15" customHeight="1" x14ac:dyDescent="0.3">
      <c r="C1485" s="1"/>
      <c r="D1485" s="8">
        <v>2023</v>
      </c>
      <c r="E1485" s="14">
        <f>Data!G1485</f>
        <v>1559910000000</v>
      </c>
    </row>
    <row r="1486" spans="1:5" ht="15" customHeight="1" x14ac:dyDescent="0.3">
      <c r="C1486" s="1"/>
      <c r="D1486" s="8">
        <v>2024</v>
      </c>
      <c r="E1486" s="14">
        <f>Data!G1486</f>
        <v>1725230000000</v>
      </c>
    </row>
    <row r="1487" spans="1:5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Data!G1487</f>
        <v>0</v>
      </c>
    </row>
    <row r="1488" spans="1:5" ht="15" customHeight="1" x14ac:dyDescent="0.3">
      <c r="C1488" s="1"/>
      <c r="D1488" s="8">
        <v>2015</v>
      </c>
      <c r="E1488" s="14">
        <f>Data!G1488</f>
        <v>0</v>
      </c>
    </row>
    <row r="1489" spans="2:5" ht="15" customHeight="1" x14ac:dyDescent="0.3">
      <c r="C1489" s="1"/>
      <c r="D1489" s="8">
        <v>2016</v>
      </c>
      <c r="E1489" s="14">
        <f>Data!G1489</f>
        <v>0</v>
      </c>
    </row>
    <row r="1490" spans="2:5" ht="15" customHeight="1" x14ac:dyDescent="0.3">
      <c r="C1490" s="1"/>
      <c r="D1490" s="8">
        <v>2017</v>
      </c>
      <c r="E1490" s="14">
        <f>Data!G1490</f>
        <v>0</v>
      </c>
    </row>
    <row r="1491" spans="2:5" ht="15" customHeight="1" x14ac:dyDescent="0.3">
      <c r="C1491" s="1"/>
      <c r="D1491" s="8">
        <v>2018</v>
      </c>
      <c r="E1491" s="14">
        <f>Data!G1491</f>
        <v>0</v>
      </c>
    </row>
    <row r="1492" spans="2:5" ht="15" customHeight="1" x14ac:dyDescent="0.3">
      <c r="C1492" s="1"/>
      <c r="D1492" s="8">
        <v>2019</v>
      </c>
      <c r="E1492" s="14">
        <f>Data!G1492</f>
        <v>0</v>
      </c>
    </row>
    <row r="1493" spans="2:5" ht="15" customHeight="1" x14ac:dyDescent="0.3">
      <c r="C1493" s="1"/>
      <c r="D1493" s="8">
        <v>2020</v>
      </c>
      <c r="E1493" s="14">
        <f>Data!G1493</f>
        <v>0</v>
      </c>
    </row>
    <row r="1494" spans="2:5" ht="15" customHeight="1" x14ac:dyDescent="0.3">
      <c r="C1494" s="1"/>
      <c r="D1494" s="8">
        <v>2021</v>
      </c>
      <c r="E1494" s="14">
        <f>Data!G1494</f>
        <v>0</v>
      </c>
    </row>
    <row r="1495" spans="2:5" ht="15" customHeight="1" x14ac:dyDescent="0.3">
      <c r="C1495" s="1"/>
      <c r="D1495" s="8">
        <v>2022</v>
      </c>
      <c r="E1495" s="14">
        <f>Data!G1495</f>
        <v>381774000000</v>
      </c>
    </row>
    <row r="1496" spans="2:5" ht="15" customHeight="1" x14ac:dyDescent="0.3">
      <c r="C1496" s="1"/>
      <c r="D1496" s="8">
        <v>2023</v>
      </c>
      <c r="E1496" s="14">
        <f>Data!G1496</f>
        <v>786371000000</v>
      </c>
    </row>
    <row r="1497" spans="2:5" ht="15" customHeight="1" x14ac:dyDescent="0.3">
      <c r="C1497" s="1"/>
      <c r="D1497" s="8">
        <v>2024</v>
      </c>
      <c r="E1497" s="14">
        <f>Data!G1497</f>
        <v>1543840000000</v>
      </c>
    </row>
    <row r="1498" spans="2:5" ht="15" customHeight="1" x14ac:dyDescent="0.3">
      <c r="B1498" s="8">
        <v>137</v>
      </c>
      <c r="C1498" s="1" t="s">
        <v>136</v>
      </c>
      <c r="D1498" s="8">
        <v>2014</v>
      </c>
      <c r="E1498" s="14">
        <f>Data!G1498</f>
        <v>0</v>
      </c>
    </row>
    <row r="1499" spans="2:5" ht="15" customHeight="1" x14ac:dyDescent="0.3">
      <c r="C1499" s="1"/>
      <c r="D1499" s="8">
        <v>2015</v>
      </c>
      <c r="E1499" s="14">
        <f>Data!G1499</f>
        <v>0</v>
      </c>
    </row>
    <row r="1500" spans="2:5" ht="15" customHeight="1" x14ac:dyDescent="0.3">
      <c r="C1500" s="1"/>
      <c r="D1500" s="8">
        <v>2016</v>
      </c>
      <c r="E1500" s="14">
        <f>Data!G1500</f>
        <v>1833551000000</v>
      </c>
    </row>
    <row r="1501" spans="2:5" ht="15" customHeight="1" x14ac:dyDescent="0.3">
      <c r="C1501" s="1"/>
      <c r="D1501" s="8">
        <v>2017</v>
      </c>
      <c r="E1501" s="14">
        <f>Data!G1501</f>
        <v>2879988000000</v>
      </c>
    </row>
    <row r="1502" spans="2:5" ht="15" customHeight="1" x14ac:dyDescent="0.3">
      <c r="C1502" s="1"/>
      <c r="D1502" s="8">
        <v>2018</v>
      </c>
      <c r="E1502" s="14">
        <f>Data!G1502</f>
        <v>3426618000000</v>
      </c>
    </row>
    <row r="1503" spans="2:5" ht="15" customHeight="1" x14ac:dyDescent="0.3">
      <c r="C1503" s="1"/>
      <c r="D1503" s="8">
        <v>2019</v>
      </c>
      <c r="E1503" s="14">
        <f>Data!G1503</f>
        <v>3915599000000</v>
      </c>
    </row>
    <row r="1504" spans="2:5" ht="15" customHeight="1" x14ac:dyDescent="0.3">
      <c r="C1504" s="1"/>
      <c r="D1504" s="8">
        <v>2020</v>
      </c>
      <c r="E1504" s="14">
        <f>Data!G1504</f>
        <v>4203345000000</v>
      </c>
    </row>
    <row r="1505" spans="2:5" ht="15" customHeight="1" x14ac:dyDescent="0.3">
      <c r="C1505" s="1"/>
      <c r="D1505" s="8">
        <v>2021</v>
      </c>
      <c r="E1505" s="14">
        <f>Data!G1505</f>
        <v>3981209000000</v>
      </c>
    </row>
    <row r="1506" spans="2:5" ht="15" customHeight="1" x14ac:dyDescent="0.3">
      <c r="C1506" s="1"/>
      <c r="D1506" s="8">
        <v>2022</v>
      </c>
      <c r="E1506" s="14">
        <f>Data!G1506</f>
        <v>4286126000000</v>
      </c>
    </row>
    <row r="1507" spans="2:5" ht="15" customHeight="1" x14ac:dyDescent="0.3">
      <c r="C1507" s="1"/>
      <c r="D1507" s="8">
        <v>2023</v>
      </c>
      <c r="E1507" s="14">
        <f>Data!G1507</f>
        <v>4772681000000</v>
      </c>
    </row>
    <row r="1508" spans="2:5" ht="15" customHeight="1" x14ac:dyDescent="0.3">
      <c r="C1508" s="1"/>
      <c r="D1508" s="8">
        <v>2024</v>
      </c>
      <c r="E1508" s="14">
        <f>Data!G1508</f>
        <v>4965832000000</v>
      </c>
    </row>
    <row r="1509" spans="2:5" ht="15" customHeight="1" x14ac:dyDescent="0.3">
      <c r="B1509" s="8">
        <v>138</v>
      </c>
      <c r="C1509" s="1" t="s">
        <v>143</v>
      </c>
      <c r="D1509" s="8">
        <v>2014</v>
      </c>
      <c r="E1509" s="14">
        <f>Data!G1509</f>
        <v>0</v>
      </c>
    </row>
    <row r="1510" spans="2:5" ht="15" customHeight="1" x14ac:dyDescent="0.3">
      <c r="C1510" s="1"/>
      <c r="D1510" s="8">
        <v>2015</v>
      </c>
      <c r="E1510" s="14">
        <f>Data!G1510</f>
        <v>0</v>
      </c>
    </row>
    <row r="1511" spans="2:5" ht="15" customHeight="1" x14ac:dyDescent="0.3">
      <c r="C1511" s="1"/>
      <c r="D1511" s="8">
        <v>2016</v>
      </c>
      <c r="E1511" s="14">
        <f>Data!G1511</f>
        <v>0</v>
      </c>
    </row>
    <row r="1512" spans="2:5" ht="15" customHeight="1" x14ac:dyDescent="0.3">
      <c r="C1512" s="1"/>
      <c r="D1512" s="8">
        <v>2017</v>
      </c>
      <c r="E1512" s="14">
        <f>Data!G1512</f>
        <v>0</v>
      </c>
    </row>
    <row r="1513" spans="2:5" ht="15" customHeight="1" x14ac:dyDescent="0.3">
      <c r="C1513" s="1"/>
      <c r="D1513" s="8">
        <v>2018</v>
      </c>
      <c r="E1513" s="14">
        <f>Data!G1513</f>
        <v>0</v>
      </c>
    </row>
    <row r="1514" spans="2:5" ht="15" customHeight="1" x14ac:dyDescent="0.3">
      <c r="C1514" s="1"/>
      <c r="D1514" s="8">
        <v>2019</v>
      </c>
      <c r="E1514" s="14">
        <f>Data!G1514</f>
        <v>0</v>
      </c>
    </row>
    <row r="1515" spans="2:5" ht="15" customHeight="1" x14ac:dyDescent="0.3">
      <c r="C1515" s="1"/>
      <c r="D1515" s="8">
        <v>2020</v>
      </c>
      <c r="E1515" s="14">
        <f>Data!G1515</f>
        <v>0</v>
      </c>
    </row>
    <row r="1516" spans="2:5" ht="15" customHeight="1" x14ac:dyDescent="0.3">
      <c r="C1516" s="1"/>
      <c r="D1516" s="8">
        <v>2021</v>
      </c>
      <c r="E1516" s="14">
        <f>Data!G1516</f>
        <v>0</v>
      </c>
    </row>
    <row r="1517" spans="2:5" ht="15" customHeight="1" x14ac:dyDescent="0.3">
      <c r="C1517" s="1"/>
      <c r="D1517" s="8">
        <v>2022</v>
      </c>
      <c r="E1517" s="14">
        <f>Data!G1517</f>
        <v>0</v>
      </c>
    </row>
    <row r="1518" spans="2:5" ht="15" customHeight="1" x14ac:dyDescent="0.3">
      <c r="C1518" s="1"/>
      <c r="D1518" s="8">
        <v>2023</v>
      </c>
      <c r="E1518" s="14">
        <f>Data!G1518</f>
        <v>0</v>
      </c>
    </row>
    <row r="1519" spans="2:5" ht="15" customHeight="1" x14ac:dyDescent="0.3">
      <c r="C1519" s="1"/>
      <c r="D1519" s="8">
        <v>2024</v>
      </c>
      <c r="E1519" s="14">
        <f>Data!G1519</f>
        <v>548427000000</v>
      </c>
    </row>
    <row r="1520" spans="2:5" ht="15" customHeight="1" x14ac:dyDescent="0.3">
      <c r="B1520" s="8">
        <v>139</v>
      </c>
      <c r="C1520" s="1" t="s">
        <v>137</v>
      </c>
      <c r="D1520" s="8">
        <v>2014</v>
      </c>
      <c r="E1520" s="14">
        <f>Data!G1520</f>
        <v>0</v>
      </c>
    </row>
    <row r="1521" spans="2:5" ht="15" customHeight="1" x14ac:dyDescent="0.3">
      <c r="C1521" s="1"/>
      <c r="D1521" s="8">
        <v>2015</v>
      </c>
      <c r="E1521" s="14">
        <f>Data!G1521</f>
        <v>6542316085964</v>
      </c>
    </row>
    <row r="1522" spans="2:5" ht="15" customHeight="1" x14ac:dyDescent="0.3">
      <c r="C1522" s="1"/>
      <c r="D1522" s="8">
        <v>2016</v>
      </c>
      <c r="E1522" s="14">
        <f>Data!G1522</f>
        <v>7102552587845</v>
      </c>
    </row>
    <row r="1523" spans="2:5" ht="15" customHeight="1" x14ac:dyDescent="0.3">
      <c r="C1523" s="1"/>
      <c r="D1523" s="8">
        <v>2017</v>
      </c>
      <c r="E1523" s="14">
        <f>Data!G1523</f>
        <v>8087703411676</v>
      </c>
    </row>
    <row r="1524" spans="2:5" ht="15" customHeight="1" x14ac:dyDescent="0.3">
      <c r="C1524" s="1"/>
      <c r="D1524" s="8">
        <v>2018</v>
      </c>
      <c r="E1524" s="14">
        <f>Data!G1524</f>
        <v>8691696386615</v>
      </c>
    </row>
    <row r="1525" spans="2:5" ht="15" customHeight="1" x14ac:dyDescent="0.3">
      <c r="C1525" s="1"/>
      <c r="D1525" s="8">
        <v>2019</v>
      </c>
      <c r="E1525" s="14">
        <f>Data!G1525</f>
        <v>9783822105104</v>
      </c>
    </row>
    <row r="1526" spans="2:5" ht="15" customHeight="1" x14ac:dyDescent="0.3">
      <c r="C1526" s="1"/>
      <c r="D1526" s="8">
        <v>2020</v>
      </c>
      <c r="E1526" s="14">
        <f>Data!G1526</f>
        <v>10491570839836</v>
      </c>
    </row>
    <row r="1527" spans="2:5" ht="15" customHeight="1" x14ac:dyDescent="0.3">
      <c r="C1527" s="1"/>
      <c r="D1527" s="8">
        <v>2021</v>
      </c>
      <c r="E1527" s="14">
        <f>Data!G1527</f>
        <v>11125019322948</v>
      </c>
    </row>
    <row r="1528" spans="2:5" ht="15" customHeight="1" x14ac:dyDescent="0.3">
      <c r="C1528" s="1"/>
      <c r="D1528" s="8">
        <v>2022</v>
      </c>
      <c r="E1528" s="14">
        <f>Data!G1528</f>
        <v>11382483837823</v>
      </c>
    </row>
    <row r="1529" spans="2:5" ht="15" customHeight="1" x14ac:dyDescent="0.3">
      <c r="C1529" s="1"/>
      <c r="D1529" s="8">
        <v>2023</v>
      </c>
      <c r="E1529" s="14">
        <f>Data!G1529</f>
        <v>14206716404940</v>
      </c>
    </row>
    <row r="1530" spans="2:5" ht="15" customHeight="1" x14ac:dyDescent="0.3">
      <c r="C1530" s="1"/>
      <c r="D1530" s="8">
        <v>2024</v>
      </c>
      <c r="E1530" s="14">
        <f>Data!G1530</f>
        <v>15296696649798</v>
      </c>
    </row>
    <row r="1531" spans="2:5" ht="15" customHeight="1" x14ac:dyDescent="0.3">
      <c r="B1531" s="8">
        <v>140</v>
      </c>
      <c r="C1531" s="1" t="s">
        <v>139</v>
      </c>
      <c r="D1531" s="8">
        <v>2014</v>
      </c>
      <c r="E1531" s="14">
        <f>Data!G1531</f>
        <v>0</v>
      </c>
    </row>
    <row r="1532" spans="2:5" ht="15" customHeight="1" x14ac:dyDescent="0.3">
      <c r="C1532" s="1"/>
      <c r="D1532" s="8">
        <v>2015</v>
      </c>
      <c r="E1532" s="14">
        <f>Data!G1532</f>
        <v>488607000000</v>
      </c>
    </row>
    <row r="1533" spans="2:5" ht="15" customHeight="1" x14ac:dyDescent="0.3">
      <c r="C1533" s="1"/>
      <c r="D1533" s="8">
        <v>2016</v>
      </c>
      <c r="E1533" s="14">
        <f>Data!G1533</f>
        <v>513507000000</v>
      </c>
    </row>
    <row r="1534" spans="2:5" ht="15" customHeight="1" x14ac:dyDescent="0.3">
      <c r="C1534" s="1"/>
      <c r="D1534" s="8">
        <v>2017</v>
      </c>
      <c r="E1534" s="14">
        <f>Data!G1534</f>
        <v>589348000000</v>
      </c>
    </row>
    <row r="1535" spans="2:5" ht="15" customHeight="1" x14ac:dyDescent="0.3">
      <c r="C1535" s="1"/>
      <c r="D1535" s="8">
        <v>2018</v>
      </c>
      <c r="E1535" s="14">
        <f>Data!G1535</f>
        <v>980249000000</v>
      </c>
    </row>
    <row r="1536" spans="2:5" ht="15" customHeight="1" x14ac:dyDescent="0.3">
      <c r="C1536" s="1"/>
      <c r="D1536" s="8">
        <v>2019</v>
      </c>
      <c r="E1536" s="14">
        <f>Data!G1536</f>
        <v>864815000000</v>
      </c>
    </row>
    <row r="1537" spans="2:5" ht="15" customHeight="1" x14ac:dyDescent="0.3">
      <c r="C1537" s="1"/>
      <c r="D1537" s="8">
        <v>2020</v>
      </c>
      <c r="E1537" s="14">
        <f>Data!G1537</f>
        <v>822014000000</v>
      </c>
    </row>
    <row r="1538" spans="2:5" ht="15" customHeight="1" x14ac:dyDescent="0.3">
      <c r="C1538" s="1"/>
      <c r="D1538" s="8">
        <v>2021</v>
      </c>
      <c r="E1538" s="14">
        <f>Data!G1538</f>
        <v>871603000000</v>
      </c>
    </row>
    <row r="1539" spans="2:5" ht="15" customHeight="1" x14ac:dyDescent="0.3">
      <c r="C1539" s="1"/>
      <c r="D1539" s="8">
        <v>2022</v>
      </c>
      <c r="E1539" s="14">
        <f>Data!G1539</f>
        <v>935775000000</v>
      </c>
    </row>
    <row r="1540" spans="2:5" ht="15" customHeight="1" x14ac:dyDescent="0.3">
      <c r="C1540" s="1"/>
      <c r="D1540" s="8">
        <v>2023</v>
      </c>
      <c r="E1540" s="14">
        <f>Data!G1540</f>
        <v>1015192000000</v>
      </c>
    </row>
    <row r="1541" spans="2:5" ht="15" customHeight="1" x14ac:dyDescent="0.3">
      <c r="C1541" s="1"/>
      <c r="D1541" s="8">
        <v>2024</v>
      </c>
      <c r="E1541" s="14">
        <f>Data!G1541</f>
        <v>1053668000000</v>
      </c>
    </row>
    <row r="1542" spans="2:5" ht="15" customHeight="1" x14ac:dyDescent="0.3">
      <c r="B1542" s="8">
        <v>141</v>
      </c>
      <c r="C1542" s="1" t="s">
        <v>140</v>
      </c>
      <c r="D1542" s="8">
        <v>2014</v>
      </c>
      <c r="E1542" s="14">
        <f>Data!G1542</f>
        <v>0</v>
      </c>
    </row>
    <row r="1543" spans="2:5" ht="15" customHeight="1" x14ac:dyDescent="0.3">
      <c r="C1543" s="1"/>
      <c r="D1543" s="8">
        <v>2015</v>
      </c>
      <c r="E1543" s="14">
        <f>Data!G1543</f>
        <v>4116425000000</v>
      </c>
    </row>
    <row r="1544" spans="2:5" ht="15" customHeight="1" x14ac:dyDescent="0.3">
      <c r="C1544" s="1"/>
      <c r="D1544" s="8">
        <v>2016</v>
      </c>
      <c r="E1544" s="14">
        <f>Data!G1544</f>
        <v>4799748000000</v>
      </c>
    </row>
    <row r="1545" spans="2:5" ht="15" customHeight="1" x14ac:dyDescent="0.3">
      <c r="C1545" s="1"/>
      <c r="D1545" s="8">
        <v>2017</v>
      </c>
      <c r="E1545" s="14">
        <f>Data!G1545</f>
        <v>0</v>
      </c>
    </row>
    <row r="1546" spans="2:5" ht="15" customHeight="1" x14ac:dyDescent="0.3">
      <c r="C1546" s="1"/>
      <c r="D1546" s="8">
        <v>2018</v>
      </c>
      <c r="E1546" s="14">
        <f>Data!G1546</f>
        <v>5493920000000</v>
      </c>
    </row>
    <row r="1547" spans="2:5" ht="15" customHeight="1" x14ac:dyDescent="0.3">
      <c r="C1547" s="1"/>
      <c r="D1547" s="8">
        <v>2019</v>
      </c>
      <c r="E1547" s="14">
        <f>Data!G1547</f>
        <v>6324607000000</v>
      </c>
    </row>
    <row r="1548" spans="2:5" ht="15" customHeight="1" x14ac:dyDescent="0.3">
      <c r="C1548" s="1"/>
      <c r="D1548" s="8">
        <v>2020</v>
      </c>
      <c r="E1548" s="14">
        <f>Data!G1548</f>
        <v>7987733000000</v>
      </c>
    </row>
    <row r="1549" spans="2:5" ht="15" customHeight="1" x14ac:dyDescent="0.3">
      <c r="C1549" s="1"/>
      <c r="D1549" s="8">
        <v>2021</v>
      </c>
      <c r="E1549" s="14">
        <f>Data!G1549</f>
        <v>10521525000000</v>
      </c>
    </row>
    <row r="1550" spans="2:5" ht="15" customHeight="1" x14ac:dyDescent="0.3">
      <c r="C1550" s="1"/>
      <c r="D1550" s="8">
        <v>2022</v>
      </c>
      <c r="E1550" s="14">
        <f>Data!G1550</f>
        <v>11650082000000</v>
      </c>
    </row>
    <row r="1551" spans="2:5" ht="15" customHeight="1" x14ac:dyDescent="0.3">
      <c r="C1551" s="1"/>
      <c r="D1551" s="8">
        <v>2023</v>
      </c>
      <c r="E1551" s="14">
        <f>Data!G1551</f>
        <v>11119311000000</v>
      </c>
    </row>
    <row r="1552" spans="2:5" ht="15" customHeight="1" x14ac:dyDescent="0.3">
      <c r="C1552" s="1"/>
      <c r="D1552" s="8">
        <v>2024</v>
      </c>
      <c r="E1552" s="14">
        <f>Data!G1552</f>
        <v>9361527000000</v>
      </c>
    </row>
    <row r="1553" spans="2:5" ht="15" customHeight="1" x14ac:dyDescent="0.3">
      <c r="B1553" s="8">
        <v>142</v>
      </c>
      <c r="C1553" s="1" t="s">
        <v>138</v>
      </c>
      <c r="D1553" s="8">
        <v>2014</v>
      </c>
      <c r="E1553" s="14">
        <f>Data!G1553</f>
        <v>0</v>
      </c>
    </row>
    <row r="1554" spans="2:5" ht="15" customHeight="1" x14ac:dyDescent="0.3">
      <c r="C1554" s="1"/>
      <c r="D1554" s="8">
        <v>2015</v>
      </c>
      <c r="E1554" s="14">
        <f>Data!G1554</f>
        <v>0</v>
      </c>
    </row>
    <row r="1555" spans="2:5" ht="15" customHeight="1" x14ac:dyDescent="0.3">
      <c r="C1555" s="1"/>
      <c r="D1555" s="8">
        <v>2016</v>
      </c>
      <c r="E1555" s="14">
        <f>Data!G1555</f>
        <v>0</v>
      </c>
    </row>
    <row r="1556" spans="2:5" ht="15" customHeight="1" x14ac:dyDescent="0.3">
      <c r="C1556" s="1"/>
      <c r="D1556" s="8">
        <v>2017</v>
      </c>
      <c r="E1556" s="14">
        <f>Data!G1556</f>
        <v>392736000000</v>
      </c>
    </row>
    <row r="1557" spans="2:5" ht="15" customHeight="1" x14ac:dyDescent="0.3">
      <c r="C1557" s="1"/>
      <c r="D1557" s="8">
        <v>2018</v>
      </c>
      <c r="E1557" s="14">
        <f>Data!G1557</f>
        <v>0</v>
      </c>
    </row>
    <row r="1558" spans="2:5" ht="15" customHeight="1" x14ac:dyDescent="0.3">
      <c r="C1558" s="1"/>
      <c r="D1558" s="8">
        <v>2019</v>
      </c>
      <c r="E1558" s="14">
        <f>Data!G1558</f>
        <v>1168609000000</v>
      </c>
    </row>
    <row r="1559" spans="2:5" ht="15" customHeight="1" x14ac:dyDescent="0.3">
      <c r="C1559" s="1"/>
      <c r="D1559" s="8">
        <v>2020</v>
      </c>
      <c r="E1559" s="14">
        <f>Data!G1559</f>
        <v>2088765000000</v>
      </c>
    </row>
    <row r="1560" spans="2:5" ht="15" customHeight="1" x14ac:dyDescent="0.3">
      <c r="C1560" s="1"/>
      <c r="D1560" s="8">
        <v>2021</v>
      </c>
      <c r="E1560" s="14">
        <f>Data!G1560</f>
        <v>1864949000000</v>
      </c>
    </row>
    <row r="1561" spans="2:5" ht="15" customHeight="1" x14ac:dyDescent="0.3">
      <c r="C1561" s="1"/>
      <c r="D1561" s="8">
        <v>2022</v>
      </c>
      <c r="E1561" s="14">
        <f>Data!G1561</f>
        <v>3039089000000</v>
      </c>
    </row>
    <row r="1562" spans="2:5" ht="15" customHeight="1" x14ac:dyDescent="0.3">
      <c r="C1562" s="1"/>
      <c r="D1562" s="8">
        <v>2023</v>
      </c>
      <c r="E1562" s="14">
        <f>Data!G1562</f>
        <v>3090740000000</v>
      </c>
    </row>
    <row r="1563" spans="2:5" ht="15" customHeight="1" x14ac:dyDescent="0.3">
      <c r="C1563" s="1"/>
      <c r="D1563" s="8">
        <v>2024</v>
      </c>
      <c r="E1563" s="14">
        <f>Data!G1563</f>
        <v>3235975000000</v>
      </c>
    </row>
    <row r="1564" spans="2:5" ht="15" customHeight="1" x14ac:dyDescent="0.3">
      <c r="B1564" s="8">
        <v>143</v>
      </c>
      <c r="C1564" s="1" t="s">
        <v>144</v>
      </c>
      <c r="D1564" s="8">
        <v>2014</v>
      </c>
      <c r="E1564" s="14">
        <f>Data!G1564</f>
        <v>0</v>
      </c>
    </row>
    <row r="1565" spans="2:5" ht="15" customHeight="1" x14ac:dyDescent="0.3">
      <c r="C1565" s="1"/>
      <c r="D1565" s="8">
        <v>2015</v>
      </c>
      <c r="E1565" s="14">
        <f>Data!G1565</f>
        <v>0</v>
      </c>
    </row>
    <row r="1566" spans="2:5" ht="15" customHeight="1" x14ac:dyDescent="0.3">
      <c r="C1566" s="1"/>
      <c r="D1566" s="8">
        <v>2016</v>
      </c>
      <c r="E1566" s="14">
        <f>Data!G1566</f>
        <v>0</v>
      </c>
    </row>
    <row r="1567" spans="2:5" ht="15" customHeight="1" x14ac:dyDescent="0.3">
      <c r="C1567" s="1"/>
      <c r="D1567" s="8">
        <v>2017</v>
      </c>
      <c r="E1567" s="14">
        <f>Data!G1567</f>
        <v>0</v>
      </c>
    </row>
    <row r="1568" spans="2:5" ht="15" customHeight="1" x14ac:dyDescent="0.3">
      <c r="C1568" s="1"/>
      <c r="D1568" s="8">
        <v>2018</v>
      </c>
      <c r="E1568" s="14">
        <f>Data!G1568</f>
        <v>0</v>
      </c>
    </row>
    <row r="1569" spans="2:5" ht="15" customHeight="1" x14ac:dyDescent="0.3">
      <c r="C1569" s="1"/>
      <c r="D1569" s="8">
        <v>2019</v>
      </c>
      <c r="E1569" s="14">
        <f>Data!G1569</f>
        <v>0</v>
      </c>
    </row>
    <row r="1570" spans="2:5" ht="15" customHeight="1" x14ac:dyDescent="0.3">
      <c r="C1570" s="1"/>
      <c r="D1570" s="8">
        <v>2020</v>
      </c>
      <c r="E1570" s="14">
        <f>Data!G1570</f>
        <v>0</v>
      </c>
    </row>
    <row r="1571" spans="2:5" ht="15" customHeight="1" x14ac:dyDescent="0.3">
      <c r="C1571" s="1"/>
      <c r="D1571" s="8">
        <v>2021</v>
      </c>
      <c r="E1571" s="14">
        <f>Data!G1571</f>
        <v>0</v>
      </c>
    </row>
    <row r="1572" spans="2:5" ht="15" customHeight="1" x14ac:dyDescent="0.3">
      <c r="C1572" s="1"/>
      <c r="D1572" s="8">
        <v>2022</v>
      </c>
      <c r="E1572" s="14">
        <f>Data!G1572</f>
        <v>0</v>
      </c>
    </row>
    <row r="1573" spans="2:5" ht="15" customHeight="1" x14ac:dyDescent="0.3">
      <c r="C1573" s="1"/>
      <c r="D1573" s="8">
        <v>2023</v>
      </c>
      <c r="E1573" s="14">
        <f>Data!G1573</f>
        <v>0</v>
      </c>
    </row>
    <row r="1574" spans="2:5" ht="15" customHeight="1" x14ac:dyDescent="0.3">
      <c r="C1574" s="1"/>
      <c r="D1574" s="8">
        <v>2024</v>
      </c>
      <c r="E1574" s="14">
        <f>Data!G1574</f>
        <v>0</v>
      </c>
    </row>
    <row r="1575" spans="2:5" ht="15" customHeight="1" x14ac:dyDescent="0.3">
      <c r="B1575" s="8">
        <v>144</v>
      </c>
      <c r="C1575" s="1" t="s">
        <v>141</v>
      </c>
      <c r="D1575" s="8">
        <v>2014</v>
      </c>
      <c r="E1575" s="14">
        <f>Data!G1575</f>
        <v>0</v>
      </c>
    </row>
    <row r="1576" spans="2:5" ht="15" customHeight="1" x14ac:dyDescent="0.3">
      <c r="C1576" s="1"/>
      <c r="D1576" s="8">
        <v>2015</v>
      </c>
      <c r="E1576" s="14">
        <f>Data!G1576</f>
        <v>0</v>
      </c>
    </row>
    <row r="1577" spans="2:5" ht="15" customHeight="1" x14ac:dyDescent="0.3">
      <c r="C1577" s="1"/>
      <c r="D1577" s="8">
        <v>2016</v>
      </c>
      <c r="E1577" s="14">
        <f>Data!G1577</f>
        <v>0</v>
      </c>
    </row>
    <row r="1578" spans="2:5" ht="15" customHeight="1" x14ac:dyDescent="0.3">
      <c r="C1578" s="1"/>
      <c r="D1578" s="8">
        <v>2017</v>
      </c>
      <c r="E1578" s="14">
        <f>Data!G1578</f>
        <v>3465727000000</v>
      </c>
    </row>
    <row r="1579" spans="2:5" ht="15" customHeight="1" x14ac:dyDescent="0.3">
      <c r="C1579" s="1"/>
      <c r="D1579" s="8">
        <v>2018</v>
      </c>
      <c r="E1579" s="14">
        <f>Data!G1579</f>
        <v>3558941000000</v>
      </c>
    </row>
    <row r="1580" spans="2:5" ht="15" customHeight="1" x14ac:dyDescent="0.3">
      <c r="C1580" s="1"/>
      <c r="D1580" s="8">
        <v>2019</v>
      </c>
      <c r="E1580" s="14">
        <f>Data!G1580</f>
        <v>4941031000000</v>
      </c>
    </row>
    <row r="1581" spans="2:5" ht="15" customHeight="1" x14ac:dyDescent="0.3">
      <c r="C1581" s="1"/>
      <c r="D1581" s="8">
        <v>2020</v>
      </c>
      <c r="E1581" s="14">
        <f>Data!G1581</f>
        <v>4450772000000</v>
      </c>
    </row>
    <row r="1582" spans="2:5" ht="15" customHeight="1" x14ac:dyDescent="0.3">
      <c r="C1582" s="1"/>
      <c r="D1582" s="8">
        <v>2021</v>
      </c>
      <c r="E1582" s="14">
        <f>Data!G1582</f>
        <v>4351906000000</v>
      </c>
    </row>
    <row r="1583" spans="2:5" ht="15" customHeight="1" x14ac:dyDescent="0.3">
      <c r="C1583" s="1"/>
      <c r="D1583" s="8">
        <v>2022</v>
      </c>
      <c r="E1583" s="14">
        <f>Data!G1583</f>
        <v>5241287000000</v>
      </c>
    </row>
    <row r="1584" spans="2:5" ht="15" customHeight="1" x14ac:dyDescent="0.3">
      <c r="C1584" s="1"/>
      <c r="D1584" s="8">
        <v>2023</v>
      </c>
      <c r="E1584" s="14">
        <f>Data!G1584</f>
        <v>5915931000000</v>
      </c>
    </row>
    <row r="1585" spans="1:5" ht="15" customHeight="1" x14ac:dyDescent="0.3">
      <c r="C1585" s="1"/>
      <c r="D1585" s="8">
        <v>2024</v>
      </c>
      <c r="E1585" s="14">
        <f>Data!G1585</f>
        <v>5942450000000</v>
      </c>
    </row>
    <row r="1586" spans="1:5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Data!G1586</f>
        <v>0</v>
      </c>
    </row>
    <row r="1587" spans="1:5" ht="15" customHeight="1" x14ac:dyDescent="0.3">
      <c r="C1587" s="4"/>
      <c r="D1587" s="8">
        <v>2015</v>
      </c>
      <c r="E1587" s="14">
        <f>Data!G1587</f>
        <v>32312555000000</v>
      </c>
    </row>
    <row r="1588" spans="1:5" ht="15" customHeight="1" x14ac:dyDescent="0.3">
      <c r="C1588" s="4"/>
      <c r="D1588" s="8">
        <v>2016</v>
      </c>
      <c r="E1588" s="14">
        <f>Data!G1588</f>
        <v>36595437000000</v>
      </c>
    </row>
    <row r="1589" spans="1:5" ht="15" customHeight="1" x14ac:dyDescent="0.3">
      <c r="C1589" s="4"/>
      <c r="D1589" s="8">
        <v>2017</v>
      </c>
      <c r="E1589" s="14">
        <f>Data!G1589</f>
        <v>44801865000000</v>
      </c>
    </row>
    <row r="1590" spans="1:5" ht="15" customHeight="1" x14ac:dyDescent="0.3">
      <c r="C1590" s="4"/>
      <c r="D1590" s="8">
        <v>2018</v>
      </c>
      <c r="E1590" s="14">
        <f>Data!G1590</f>
        <v>0</v>
      </c>
    </row>
    <row r="1591" spans="1:5" ht="15" customHeight="1" x14ac:dyDescent="0.3">
      <c r="C1591" s="4"/>
      <c r="D1591" s="8">
        <v>2019</v>
      </c>
      <c r="E1591" s="14">
        <f>Data!G1591</f>
        <v>0</v>
      </c>
    </row>
    <row r="1592" spans="1:5" ht="15" customHeight="1" x14ac:dyDescent="0.3">
      <c r="C1592" s="4"/>
      <c r="D1592" s="8">
        <v>2020</v>
      </c>
      <c r="E1592" s="14">
        <f>Data!G1592</f>
        <v>0</v>
      </c>
    </row>
    <row r="1593" spans="1:5" ht="15" customHeight="1" x14ac:dyDescent="0.3">
      <c r="C1593" s="4"/>
      <c r="D1593" s="8">
        <v>2021</v>
      </c>
      <c r="E1593" s="14">
        <f>Data!G1593</f>
        <v>0</v>
      </c>
    </row>
    <row r="1594" spans="1:5" ht="15" customHeight="1" x14ac:dyDescent="0.3">
      <c r="C1594" s="4"/>
      <c r="D1594" s="8">
        <v>2022</v>
      </c>
      <c r="E1594" s="14">
        <f>Data!G1594</f>
        <v>0</v>
      </c>
    </row>
    <row r="1595" spans="1:5" ht="15" customHeight="1" x14ac:dyDescent="0.3">
      <c r="C1595" s="4"/>
      <c r="D1595" s="8">
        <v>2023</v>
      </c>
      <c r="E1595" s="14">
        <f>Data!G1595</f>
        <v>0</v>
      </c>
    </row>
    <row r="1596" spans="1:5" ht="15" customHeight="1" x14ac:dyDescent="0.3">
      <c r="C1596" s="4"/>
      <c r="D1596" s="8">
        <v>2024</v>
      </c>
      <c r="E1596" s="14">
        <f>Data!G1596</f>
        <v>0</v>
      </c>
    </row>
    <row r="1597" spans="1:5" ht="15" customHeight="1" x14ac:dyDescent="0.3">
      <c r="B1597" s="8">
        <v>146</v>
      </c>
      <c r="C1597" s="4" t="s">
        <v>146</v>
      </c>
      <c r="D1597" s="8">
        <v>2014</v>
      </c>
      <c r="E1597" s="14">
        <f>Data!G1597</f>
        <v>0</v>
      </c>
    </row>
    <row r="1598" spans="1:5" ht="15" customHeight="1" x14ac:dyDescent="0.3">
      <c r="C1598" s="4"/>
      <c r="D1598" s="8">
        <v>2015</v>
      </c>
      <c r="E1598" s="14">
        <f>Data!G1598</f>
        <v>0</v>
      </c>
    </row>
    <row r="1599" spans="1:5" ht="15" customHeight="1" x14ac:dyDescent="0.3">
      <c r="C1599" s="4"/>
      <c r="D1599" s="8">
        <v>2016</v>
      </c>
      <c r="E1599" s="14">
        <f>Data!G1599</f>
        <v>0</v>
      </c>
    </row>
    <row r="1600" spans="1:5" ht="15" customHeight="1" x14ac:dyDescent="0.3">
      <c r="C1600" s="4"/>
      <c r="D1600" s="8">
        <v>2017</v>
      </c>
      <c r="E1600" s="14">
        <f>Data!G1600</f>
        <v>0</v>
      </c>
    </row>
    <row r="1601" spans="1:5" ht="15" customHeight="1" x14ac:dyDescent="0.3">
      <c r="C1601" s="4"/>
      <c r="D1601" s="8">
        <v>2018</v>
      </c>
      <c r="E1601" s="14">
        <f>Data!G1601</f>
        <v>0</v>
      </c>
    </row>
    <row r="1602" spans="1:5" ht="15" customHeight="1" x14ac:dyDescent="0.3">
      <c r="C1602" s="4"/>
      <c r="D1602" s="8">
        <v>2019</v>
      </c>
      <c r="E1602" s="14">
        <f>Data!G1602</f>
        <v>0</v>
      </c>
    </row>
    <row r="1603" spans="1:5" ht="15" customHeight="1" x14ac:dyDescent="0.3">
      <c r="C1603" s="4"/>
      <c r="D1603" s="8">
        <v>2020</v>
      </c>
      <c r="E1603" s="14">
        <f>Data!G1603</f>
        <v>0</v>
      </c>
    </row>
    <row r="1604" spans="1:5" ht="15" customHeight="1" x14ac:dyDescent="0.3">
      <c r="C1604" s="4"/>
      <c r="D1604" s="8">
        <v>2021</v>
      </c>
      <c r="E1604" s="14">
        <f>Data!G1604</f>
        <v>0</v>
      </c>
    </row>
    <row r="1605" spans="1:5" ht="15" customHeight="1" x14ac:dyDescent="0.3">
      <c r="C1605" s="4"/>
      <c r="D1605" s="8">
        <v>2022</v>
      </c>
      <c r="E1605" s="14">
        <f>Data!G1605</f>
        <v>0</v>
      </c>
    </row>
    <row r="1606" spans="1:5" ht="15" customHeight="1" x14ac:dyDescent="0.3">
      <c r="C1606" s="4"/>
      <c r="D1606" s="8">
        <v>2023</v>
      </c>
      <c r="E1606" s="14">
        <f>Data!G1606</f>
        <v>0</v>
      </c>
    </row>
    <row r="1607" spans="1:5" ht="15" customHeight="1" x14ac:dyDescent="0.3">
      <c r="C1607" s="4"/>
      <c r="D1607" s="8">
        <v>2024</v>
      </c>
      <c r="E1607" s="14">
        <f>Data!G1607</f>
        <v>0</v>
      </c>
    </row>
    <row r="1608" spans="1:5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Data!G1608</f>
        <v>0</v>
      </c>
    </row>
    <row r="1609" spans="1:5" ht="15" customHeight="1" x14ac:dyDescent="0.3">
      <c r="C1609" s="4"/>
      <c r="D1609" s="8">
        <v>2015</v>
      </c>
      <c r="E1609" s="14">
        <f>Data!G1609</f>
        <v>12150125000000</v>
      </c>
    </row>
    <row r="1610" spans="1:5" ht="15" customHeight="1" x14ac:dyDescent="0.3">
      <c r="C1610" s="4"/>
      <c r="D1610" s="8">
        <v>2016</v>
      </c>
      <c r="E1610" s="14">
        <f>Data!G1610</f>
        <v>12167652000000</v>
      </c>
    </row>
    <row r="1611" spans="1:5" ht="15" customHeight="1" x14ac:dyDescent="0.3">
      <c r="C1611" s="4"/>
      <c r="D1611" s="8">
        <v>2017</v>
      </c>
      <c r="E1611" s="14">
        <f>Data!G1611</f>
        <v>12600792000000</v>
      </c>
    </row>
    <row r="1612" spans="1:5" ht="15" customHeight="1" x14ac:dyDescent="0.3">
      <c r="C1612" s="4"/>
      <c r="D1612" s="8">
        <v>2018</v>
      </c>
      <c r="E1612" s="14">
        <f>Data!G1612</f>
        <v>12690713000000</v>
      </c>
    </row>
    <row r="1613" spans="1:5" ht="15" customHeight="1" x14ac:dyDescent="0.3">
      <c r="C1613" s="4"/>
      <c r="D1613" s="8">
        <v>2019</v>
      </c>
      <c r="E1613" s="14">
        <f>Data!G1613</f>
        <v>13262092000000</v>
      </c>
    </row>
    <row r="1614" spans="1:5" ht="15" customHeight="1" x14ac:dyDescent="0.3">
      <c r="C1614" s="4"/>
      <c r="D1614" s="8">
        <v>2020</v>
      </c>
      <c r="E1614" s="14">
        <f>Data!G1614</f>
        <v>13372478000000</v>
      </c>
    </row>
    <row r="1615" spans="1:5" ht="15" customHeight="1" x14ac:dyDescent="0.3">
      <c r="C1615" s="4"/>
      <c r="D1615" s="8">
        <v>2021</v>
      </c>
      <c r="E1615" s="14">
        <f>Data!G1615</f>
        <v>13991723000000</v>
      </c>
    </row>
    <row r="1616" spans="1:5" ht="15" customHeight="1" x14ac:dyDescent="0.3">
      <c r="C1616" s="4"/>
      <c r="D1616" s="8">
        <v>2022</v>
      </c>
      <c r="E1616" s="14">
        <f>Data!G1616</f>
        <v>14146679000000</v>
      </c>
    </row>
    <row r="1617" spans="2:5" ht="15" customHeight="1" x14ac:dyDescent="0.3">
      <c r="C1617" s="4"/>
      <c r="D1617" s="8">
        <v>2023</v>
      </c>
      <c r="E1617" s="14">
        <f>Data!G1617</f>
        <v>12884607000000</v>
      </c>
    </row>
    <row r="1618" spans="2:5" ht="15" customHeight="1" x14ac:dyDescent="0.3">
      <c r="C1618" s="4"/>
      <c r="D1618" s="8">
        <v>2024</v>
      </c>
      <c r="E1618" s="14">
        <f>Data!G1618</f>
        <v>13457903000000</v>
      </c>
    </row>
    <row r="1619" spans="2:5" ht="15" customHeight="1" x14ac:dyDescent="0.3">
      <c r="B1619" s="8">
        <v>148</v>
      </c>
      <c r="C1619" s="4" t="s">
        <v>148</v>
      </c>
      <c r="D1619" s="8">
        <v>2014</v>
      </c>
      <c r="E1619" s="14">
        <f>Data!G1619</f>
        <v>0</v>
      </c>
    </row>
    <row r="1620" spans="2:5" ht="15" customHeight="1" x14ac:dyDescent="0.3">
      <c r="C1620" s="5"/>
      <c r="D1620" s="8">
        <v>2015</v>
      </c>
      <c r="E1620" s="14">
        <f>Data!G1620</f>
        <v>11080636000000</v>
      </c>
    </row>
    <row r="1621" spans="2:5" ht="15" customHeight="1" x14ac:dyDescent="0.3">
      <c r="C1621" s="5"/>
      <c r="D1621" s="8">
        <v>2016</v>
      </c>
      <c r="E1621" s="14">
        <f>Data!G1621</f>
        <v>13369971000000</v>
      </c>
    </row>
    <row r="1622" spans="2:5" ht="15" customHeight="1" x14ac:dyDescent="0.3">
      <c r="C1622" s="5"/>
      <c r="D1622" s="8">
        <v>2017</v>
      </c>
      <c r="E1622" s="14">
        <f>Data!G1622</f>
        <v>14455702000000</v>
      </c>
    </row>
    <row r="1623" spans="2:5" ht="15" customHeight="1" x14ac:dyDescent="0.3">
      <c r="C1623" s="5"/>
      <c r="D1623" s="8">
        <v>2018</v>
      </c>
      <c r="E1623" s="14">
        <f>Data!G1623</f>
        <v>14924414000000</v>
      </c>
    </row>
    <row r="1624" spans="2:5" ht="15" customHeight="1" x14ac:dyDescent="0.3">
      <c r="C1624" s="5"/>
      <c r="D1624" s="8">
        <v>2019</v>
      </c>
      <c r="E1624" s="14">
        <f>Data!G1624</f>
        <v>15837343000000</v>
      </c>
    </row>
    <row r="1625" spans="2:5" ht="15" customHeight="1" x14ac:dyDescent="0.3">
      <c r="C1625" s="5"/>
      <c r="D1625" s="8">
        <v>2020</v>
      </c>
      <c r="E1625" s="14">
        <f>Data!G1625</f>
        <v>15801971000000</v>
      </c>
    </row>
    <row r="1626" spans="2:5" ht="15" customHeight="1" x14ac:dyDescent="0.3">
      <c r="C1626" s="5"/>
      <c r="D1626" s="8">
        <v>2021</v>
      </c>
      <c r="E1626" s="14">
        <f>Data!G1626</f>
        <v>16149482000000</v>
      </c>
    </row>
    <row r="1627" spans="2:5" ht="15" customHeight="1" x14ac:dyDescent="0.3">
      <c r="C1627" s="5"/>
      <c r="D1627" s="8">
        <v>2022</v>
      </c>
      <c r="E1627" s="14">
        <f>Data!G1627</f>
        <v>16468014000000</v>
      </c>
    </row>
    <row r="1628" spans="2:5" ht="15" customHeight="1" x14ac:dyDescent="0.3">
      <c r="C1628" s="5"/>
      <c r="D1628" s="8">
        <v>2023</v>
      </c>
      <c r="E1628" s="14">
        <f>Data!G1628</f>
        <v>16787071000000</v>
      </c>
    </row>
    <row r="1629" spans="2:5" ht="15" customHeight="1" x14ac:dyDescent="0.3">
      <c r="C1629" s="5"/>
      <c r="D1629" s="8">
        <v>2024</v>
      </c>
      <c r="E1629" s="14">
        <f>Data!G1629</f>
        <v>16807910000000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02D9-8125-467D-955F-D1C813EF1C00}">
  <sheetPr codeName="Sheet15"/>
  <dimension ref="A1:F1629"/>
  <sheetViews>
    <sheetView workbookViewId="0">
      <selection activeCell="F2" sqref="F2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5" width="24.5546875" style="14" bestFit="1" customWidth="1"/>
    <col min="6" max="6" width="32" customWidth="1"/>
    <col min="7" max="7" width="11.5546875" bestFit="1" customWidth="1"/>
    <col min="8" max="8" width="11" bestFit="1" customWidth="1"/>
    <col min="9" max="9" width="28.109375" bestFit="1" customWidth="1"/>
    <col min="10" max="10" width="23.33203125" bestFit="1" customWidth="1"/>
    <col min="11" max="11" width="40.6640625" bestFit="1" customWidth="1"/>
  </cols>
  <sheetData>
    <row r="1" spans="1:6" s="6" customFormat="1" ht="15" customHeight="1" x14ac:dyDescent="0.3">
      <c r="A1" s="6" t="s">
        <v>151</v>
      </c>
      <c r="B1" s="7" t="s">
        <v>0</v>
      </c>
      <c r="C1" s="6" t="s">
        <v>1</v>
      </c>
      <c r="D1" s="7" t="s">
        <v>152</v>
      </c>
      <c r="E1" s="13" t="s">
        <v>163</v>
      </c>
      <c r="F1" s="6" t="s">
        <v>272</v>
      </c>
    </row>
    <row r="2" spans="1:6" ht="15" customHeight="1" x14ac:dyDescent="0.3">
      <c r="A2" t="s">
        <v>153</v>
      </c>
      <c r="B2" s="8">
        <v>1</v>
      </c>
      <c r="C2" s="3" t="s">
        <v>4</v>
      </c>
      <c r="D2" s="8">
        <v>2014</v>
      </c>
      <c r="E2" s="14">
        <f>Data!L2</f>
        <v>0</v>
      </c>
      <c r="F2" s="12">
        <f>IFERROR((E2-E1)/E1,0)</f>
        <v>0</v>
      </c>
    </row>
    <row r="3" spans="1:6" ht="15" customHeight="1" x14ac:dyDescent="0.3">
      <c r="C3" s="3"/>
      <c r="D3" s="8">
        <v>2015</v>
      </c>
      <c r="E3" s="14">
        <f>Data!L3</f>
        <v>0</v>
      </c>
      <c r="F3" s="12">
        <f t="shared" ref="F3:F66" si="0">IFERROR((E3-E2)/E2,0)</f>
        <v>0</v>
      </c>
    </row>
    <row r="4" spans="1:6" ht="15" customHeight="1" x14ac:dyDescent="0.3">
      <c r="C4" s="3"/>
      <c r="D4" s="8">
        <v>2016</v>
      </c>
      <c r="E4" s="14">
        <f>Data!L4</f>
        <v>0</v>
      </c>
      <c r="F4" s="12">
        <f t="shared" si="0"/>
        <v>0</v>
      </c>
    </row>
    <row r="5" spans="1:6" ht="15" customHeight="1" x14ac:dyDescent="0.3">
      <c r="C5" s="3"/>
      <c r="D5" s="8">
        <v>2017</v>
      </c>
      <c r="E5" s="14">
        <f>Data!L5</f>
        <v>0</v>
      </c>
      <c r="F5" s="12">
        <f t="shared" si="0"/>
        <v>0</v>
      </c>
    </row>
    <row r="6" spans="1:6" ht="15" customHeight="1" x14ac:dyDescent="0.3">
      <c r="C6" s="3"/>
      <c r="D6" s="8">
        <v>2018</v>
      </c>
      <c r="E6" s="14">
        <f>Data!L6</f>
        <v>0</v>
      </c>
      <c r="F6" s="12">
        <f t="shared" si="0"/>
        <v>0</v>
      </c>
    </row>
    <row r="7" spans="1:6" ht="15" customHeight="1" x14ac:dyDescent="0.3">
      <c r="C7" s="3"/>
      <c r="D7" s="8">
        <v>2019</v>
      </c>
      <c r="E7" s="14">
        <f>Data!L7</f>
        <v>0</v>
      </c>
      <c r="F7" s="12">
        <f t="shared" si="0"/>
        <v>0</v>
      </c>
    </row>
    <row r="8" spans="1:6" ht="15" customHeight="1" x14ac:dyDescent="0.3">
      <c r="C8" s="3"/>
      <c r="D8" s="8">
        <v>2020</v>
      </c>
      <c r="E8" s="14">
        <f>Data!L8</f>
        <v>0</v>
      </c>
      <c r="F8" s="12">
        <f t="shared" si="0"/>
        <v>0</v>
      </c>
    </row>
    <row r="9" spans="1:6" ht="15" customHeight="1" x14ac:dyDescent="0.3">
      <c r="C9" s="3"/>
      <c r="D9" s="8">
        <v>2021</v>
      </c>
      <c r="E9" s="14">
        <f>Data!L9</f>
        <v>0</v>
      </c>
      <c r="F9" s="12">
        <f t="shared" si="0"/>
        <v>0</v>
      </c>
    </row>
    <row r="10" spans="1:6" ht="15" customHeight="1" x14ac:dyDescent="0.3">
      <c r="C10" s="3"/>
      <c r="D10" s="8">
        <v>2022</v>
      </c>
      <c r="E10" s="14">
        <f>Data!L10</f>
        <v>0</v>
      </c>
      <c r="F10" s="12">
        <f t="shared" si="0"/>
        <v>0</v>
      </c>
    </row>
    <row r="11" spans="1:6" ht="15" customHeight="1" x14ac:dyDescent="0.3">
      <c r="C11" s="3"/>
      <c r="D11" s="8">
        <v>2023</v>
      </c>
      <c r="E11" s="14">
        <f>Data!L11</f>
        <v>0</v>
      </c>
      <c r="F11" s="12">
        <f t="shared" si="0"/>
        <v>0</v>
      </c>
    </row>
    <row r="12" spans="1:6" ht="15" customHeight="1" x14ac:dyDescent="0.3">
      <c r="C12" s="3"/>
      <c r="D12" s="8">
        <v>2024</v>
      </c>
      <c r="E12" s="14">
        <f>Data!L12</f>
        <v>0</v>
      </c>
      <c r="F12" s="12">
        <f t="shared" si="0"/>
        <v>0</v>
      </c>
    </row>
    <row r="13" spans="1:6" ht="15" customHeight="1" x14ac:dyDescent="0.3">
      <c r="B13" s="8">
        <v>2</v>
      </c>
      <c r="C13" s="3" t="s">
        <v>2</v>
      </c>
      <c r="D13" s="8">
        <v>2014</v>
      </c>
      <c r="E13" s="14">
        <f>Data!L13</f>
        <v>11948691000000</v>
      </c>
      <c r="F13" s="12">
        <f t="shared" si="0"/>
        <v>0</v>
      </c>
    </row>
    <row r="14" spans="1:6" ht="15" customHeight="1" x14ac:dyDescent="0.3">
      <c r="C14" s="3"/>
      <c r="D14" s="8">
        <v>2015</v>
      </c>
      <c r="E14" s="14">
        <f>Data!L14</f>
        <v>8985907000000</v>
      </c>
      <c r="F14" s="12">
        <f t="shared" si="0"/>
        <v>-0.24795887683429088</v>
      </c>
    </row>
    <row r="15" spans="1:6" ht="15" customHeight="1" x14ac:dyDescent="0.3">
      <c r="C15" s="3"/>
      <c r="D15" s="8">
        <v>2016</v>
      </c>
      <c r="E15" s="14">
        <f>Data!L15</f>
        <v>13264521000000</v>
      </c>
      <c r="F15" s="12">
        <f t="shared" si="0"/>
        <v>0.47614714908578509</v>
      </c>
    </row>
    <row r="16" spans="1:6" ht="15" customHeight="1" x14ac:dyDescent="0.3">
      <c r="C16" s="3"/>
      <c r="D16" s="8">
        <v>2017</v>
      </c>
      <c r="E16" s="14">
        <f>Data!L16</f>
        <v>15523134000000</v>
      </c>
      <c r="F16" s="12">
        <f t="shared" si="0"/>
        <v>0.17027475021525465</v>
      </c>
    </row>
    <row r="17" spans="2:6" ht="15" customHeight="1" x14ac:dyDescent="0.3">
      <c r="C17" s="3"/>
      <c r="D17" s="8">
        <v>2018</v>
      </c>
      <c r="E17" s="14">
        <f>Data!L17</f>
        <v>12786352000000</v>
      </c>
      <c r="F17" s="12">
        <f t="shared" si="0"/>
        <v>-0.17630344491002911</v>
      </c>
    </row>
    <row r="18" spans="2:6" ht="15" customHeight="1" x14ac:dyDescent="0.3">
      <c r="C18" s="3"/>
      <c r="D18" s="8">
        <v>2019</v>
      </c>
      <c r="E18" s="14">
        <f>Data!L18</f>
        <v>15545577000000</v>
      </c>
      <c r="F18" s="12">
        <f t="shared" si="0"/>
        <v>0.21579454405760143</v>
      </c>
    </row>
    <row r="19" spans="2:6" ht="15" customHeight="1" x14ac:dyDescent="0.3">
      <c r="C19" s="3"/>
      <c r="D19" s="8">
        <v>2020</v>
      </c>
      <c r="E19" s="14">
        <f>Data!L19</f>
        <v>15658951000000</v>
      </c>
      <c r="F19" s="12">
        <f t="shared" si="0"/>
        <v>7.2930068790627717E-3</v>
      </c>
    </row>
    <row r="20" spans="2:6" ht="15" customHeight="1" x14ac:dyDescent="0.3">
      <c r="C20" s="3"/>
      <c r="D20" s="8">
        <v>2021</v>
      </c>
      <c r="E20" s="14">
        <f>Data!L20</f>
        <v>15671921000000</v>
      </c>
      <c r="F20" s="12">
        <f t="shared" si="0"/>
        <v>8.2828025964191347E-4</v>
      </c>
    </row>
    <row r="21" spans="2:6" ht="15" customHeight="1" x14ac:dyDescent="0.3">
      <c r="C21" s="3"/>
      <c r="D21" s="8">
        <v>2022</v>
      </c>
      <c r="E21" s="14">
        <f>Data!L21</f>
        <v>11948182000000</v>
      </c>
      <c r="F21" s="12">
        <f t="shared" si="0"/>
        <v>-0.23760577915113279</v>
      </c>
    </row>
    <row r="22" spans="2:6" ht="15" customHeight="1" x14ac:dyDescent="0.3">
      <c r="C22" s="3"/>
      <c r="D22" s="8">
        <v>2023</v>
      </c>
      <c r="E22" s="14">
        <f>Data!L22</f>
        <v>12931853000000</v>
      </c>
      <c r="F22" s="12">
        <f t="shared" si="0"/>
        <v>8.2328089746205743E-2</v>
      </c>
    </row>
    <row r="23" spans="2:6" ht="15" customHeight="1" x14ac:dyDescent="0.3">
      <c r="C23" s="3"/>
      <c r="D23" s="8">
        <v>2024</v>
      </c>
      <c r="E23" s="14">
        <f>Data!L23</f>
        <v>10095098000000</v>
      </c>
      <c r="F23" s="12">
        <f t="shared" si="0"/>
        <v>-0.21936183468834666</v>
      </c>
    </row>
    <row r="24" spans="2:6" ht="15" customHeight="1" x14ac:dyDescent="0.3">
      <c r="B24" s="8">
        <v>3</v>
      </c>
      <c r="C24" s="3" t="s">
        <v>3</v>
      </c>
      <c r="D24" s="8">
        <v>2014</v>
      </c>
      <c r="E24" s="14">
        <f>Data!L24</f>
        <v>12354658000000</v>
      </c>
      <c r="F24" s="12">
        <f t="shared" si="0"/>
        <v>0.2238274457563463</v>
      </c>
    </row>
    <row r="25" spans="2:6" ht="15" customHeight="1" x14ac:dyDescent="0.3">
      <c r="C25" s="3"/>
      <c r="D25" s="8">
        <v>2015</v>
      </c>
      <c r="E25" s="14">
        <f>Data!L25</f>
        <v>8593467000000</v>
      </c>
      <c r="F25" s="12">
        <f t="shared" si="0"/>
        <v>-0.30443505599264664</v>
      </c>
    </row>
    <row r="26" spans="2:6" ht="15" customHeight="1" x14ac:dyDescent="0.3">
      <c r="C26" s="3"/>
      <c r="D26" s="8">
        <v>2016</v>
      </c>
      <c r="E26" s="14">
        <f>Data!L26</f>
        <v>11372680000000</v>
      </c>
      <c r="F26" s="12">
        <f t="shared" si="0"/>
        <v>0.32340998109377739</v>
      </c>
    </row>
    <row r="27" spans="2:6" ht="15" customHeight="1" x14ac:dyDescent="0.3">
      <c r="C27" s="3"/>
      <c r="D27" s="8">
        <v>2017</v>
      </c>
      <c r="E27" s="14">
        <f>Data!L27</f>
        <v>13302120000000</v>
      </c>
      <c r="F27" s="12">
        <f t="shared" si="0"/>
        <v>0.16965570120675161</v>
      </c>
    </row>
    <row r="28" spans="2:6" ht="15" customHeight="1" x14ac:dyDescent="0.3">
      <c r="C28" s="3"/>
      <c r="D28" s="8">
        <v>2018</v>
      </c>
      <c r="E28" s="14">
        <f>Data!L28</f>
        <v>10531156000000</v>
      </c>
      <c r="F28" s="12">
        <f t="shared" si="0"/>
        <v>-0.20830995360138083</v>
      </c>
    </row>
    <row r="29" spans="2:6" ht="15" customHeight="1" x14ac:dyDescent="0.3">
      <c r="C29" s="3"/>
      <c r="D29" s="8">
        <v>2019</v>
      </c>
      <c r="E29" s="14">
        <f>Data!L29</f>
        <v>15153459000000</v>
      </c>
      <c r="F29" s="12">
        <f t="shared" si="0"/>
        <v>0.43891696220244009</v>
      </c>
    </row>
    <row r="30" spans="2:6" ht="15" customHeight="1" x14ac:dyDescent="0.3">
      <c r="C30" s="3"/>
      <c r="D30" s="8">
        <v>2020</v>
      </c>
      <c r="E30" s="14">
        <f>Data!L30</f>
        <v>18812789000000</v>
      </c>
      <c r="F30" s="12">
        <f t="shared" si="0"/>
        <v>0.24148479894920361</v>
      </c>
    </row>
    <row r="31" spans="2:6" ht="15" customHeight="1" x14ac:dyDescent="0.3">
      <c r="C31" s="3"/>
      <c r="D31" s="8">
        <v>2021</v>
      </c>
      <c r="E31" s="14">
        <f>Data!L31</f>
        <v>20725660000000</v>
      </c>
      <c r="F31" s="12">
        <f t="shared" si="0"/>
        <v>0.10167928848827253</v>
      </c>
    </row>
    <row r="32" spans="2:6" ht="15" customHeight="1" x14ac:dyDescent="0.3">
      <c r="C32" s="3"/>
      <c r="D32" s="8">
        <v>2022</v>
      </c>
      <c r="E32" s="14">
        <f>Data!L32</f>
        <v>14203983000000</v>
      </c>
      <c r="F32" s="12">
        <f t="shared" si="0"/>
        <v>-0.31466679468832354</v>
      </c>
    </row>
    <row r="33" spans="2:6" ht="15" customHeight="1" x14ac:dyDescent="0.3">
      <c r="C33" s="3"/>
      <c r="D33" s="8">
        <v>2023</v>
      </c>
      <c r="E33" s="14">
        <f>Data!L33</f>
        <v>17375945000000</v>
      </c>
      <c r="F33" s="12">
        <f t="shared" si="0"/>
        <v>0.2233149673580995</v>
      </c>
    </row>
    <row r="34" spans="2:6" ht="15" customHeight="1" x14ac:dyDescent="0.3">
      <c r="C34" s="3"/>
      <c r="D34" s="8">
        <v>2024</v>
      </c>
      <c r="E34" s="14">
        <f>Data!L34</f>
        <v>18185132000000</v>
      </c>
      <c r="F34" s="12">
        <f t="shared" si="0"/>
        <v>4.656938083079798E-2</v>
      </c>
    </row>
    <row r="35" spans="2:6" ht="15" customHeight="1" x14ac:dyDescent="0.3">
      <c r="B35" s="8">
        <v>4</v>
      </c>
      <c r="C35" s="4" t="s">
        <v>56</v>
      </c>
      <c r="D35" s="8">
        <v>2014</v>
      </c>
      <c r="E35" s="14">
        <f>Data!L35</f>
        <v>0</v>
      </c>
      <c r="F35" s="12">
        <v>0</v>
      </c>
    </row>
    <row r="36" spans="2:6" ht="15" customHeight="1" x14ac:dyDescent="0.3">
      <c r="C36" s="4"/>
      <c r="D36" s="8">
        <v>2015</v>
      </c>
      <c r="E36" s="14">
        <f>Data!L36</f>
        <v>0</v>
      </c>
      <c r="F36" s="12">
        <f t="shared" si="0"/>
        <v>0</v>
      </c>
    </row>
    <row r="37" spans="2:6" ht="15" customHeight="1" x14ac:dyDescent="0.3">
      <c r="C37" s="4"/>
      <c r="D37" s="8">
        <v>2016</v>
      </c>
      <c r="E37" s="14">
        <f>Data!L37</f>
        <v>0</v>
      </c>
      <c r="F37" s="12">
        <f t="shared" si="0"/>
        <v>0</v>
      </c>
    </row>
    <row r="38" spans="2:6" ht="15" customHeight="1" x14ac:dyDescent="0.3">
      <c r="C38" s="4"/>
      <c r="D38" s="8">
        <v>2017</v>
      </c>
      <c r="E38" s="14">
        <f>Data!L38</f>
        <v>0</v>
      </c>
      <c r="F38" s="12">
        <f t="shared" si="0"/>
        <v>0</v>
      </c>
    </row>
    <row r="39" spans="2:6" ht="15" customHeight="1" x14ac:dyDescent="0.3">
      <c r="C39" s="4"/>
      <c r="D39" s="8">
        <v>2018</v>
      </c>
      <c r="E39" s="14">
        <f>Data!L39</f>
        <v>0</v>
      </c>
      <c r="F39" s="12">
        <f t="shared" si="0"/>
        <v>0</v>
      </c>
    </row>
    <row r="40" spans="2:6" ht="15" customHeight="1" x14ac:dyDescent="0.3">
      <c r="C40" s="4"/>
      <c r="D40" s="8">
        <v>2019</v>
      </c>
      <c r="E40" s="14">
        <f>Data!L40</f>
        <v>0</v>
      </c>
      <c r="F40" s="12">
        <f t="shared" si="0"/>
        <v>0</v>
      </c>
    </row>
    <row r="41" spans="2:6" ht="15" customHeight="1" x14ac:dyDescent="0.3">
      <c r="C41" s="4"/>
      <c r="D41" s="8">
        <v>2020</v>
      </c>
      <c r="E41" s="14">
        <f>Data!L41</f>
        <v>0</v>
      </c>
      <c r="F41" s="12">
        <f t="shared" si="0"/>
        <v>0</v>
      </c>
    </row>
    <row r="42" spans="2:6" ht="15" customHeight="1" x14ac:dyDescent="0.3">
      <c r="C42" s="4"/>
      <c r="D42" s="8">
        <v>2021</v>
      </c>
      <c r="E42" s="14">
        <f>Data!L42</f>
        <v>0</v>
      </c>
      <c r="F42" s="12">
        <f t="shared" si="0"/>
        <v>0</v>
      </c>
    </row>
    <row r="43" spans="2:6" ht="15" customHeight="1" x14ac:dyDescent="0.3">
      <c r="C43" s="4"/>
      <c r="D43" s="8">
        <v>2022</v>
      </c>
      <c r="E43" s="14">
        <f>Data!L43</f>
        <v>1070003000000</v>
      </c>
      <c r="F43" s="12">
        <f t="shared" si="0"/>
        <v>0</v>
      </c>
    </row>
    <row r="44" spans="2:6" ht="15" customHeight="1" x14ac:dyDescent="0.3">
      <c r="C44" s="4"/>
      <c r="D44" s="8">
        <v>2023</v>
      </c>
      <c r="E44" s="14">
        <f>Data!L44</f>
        <v>1217667000000</v>
      </c>
      <c r="F44" s="12">
        <f t="shared" si="0"/>
        <v>0.13800335139247275</v>
      </c>
    </row>
    <row r="45" spans="2:6" ht="15" customHeight="1" x14ac:dyDescent="0.3">
      <c r="C45" s="4"/>
      <c r="D45" s="8">
        <v>2024</v>
      </c>
      <c r="E45" s="14">
        <f>Data!L45</f>
        <v>1130418000000</v>
      </c>
      <c r="F45" s="12">
        <f t="shared" si="0"/>
        <v>-7.1652594674898804E-2</v>
      </c>
    </row>
    <row r="46" spans="2:6" ht="15" customHeight="1" x14ac:dyDescent="0.3">
      <c r="B46" s="8">
        <v>5</v>
      </c>
      <c r="C46" s="3" t="s">
        <v>20</v>
      </c>
      <c r="D46" s="8">
        <v>2014</v>
      </c>
      <c r="E46" s="14">
        <f>Data!L46</f>
        <v>0</v>
      </c>
      <c r="F46" s="12">
        <f t="shared" si="0"/>
        <v>-1</v>
      </c>
    </row>
    <row r="47" spans="2:6" ht="15" customHeight="1" x14ac:dyDescent="0.3">
      <c r="C47" s="3"/>
      <c r="D47" s="8">
        <v>2015</v>
      </c>
      <c r="E47" s="14">
        <f>Data!L47</f>
        <v>0</v>
      </c>
      <c r="F47" s="12">
        <f t="shared" si="0"/>
        <v>0</v>
      </c>
    </row>
    <row r="48" spans="2:6" ht="15" customHeight="1" x14ac:dyDescent="0.3">
      <c r="C48" s="3"/>
      <c r="D48" s="8">
        <v>2016</v>
      </c>
      <c r="E48" s="14">
        <f>Data!L48</f>
        <v>3542155857000</v>
      </c>
      <c r="F48" s="12">
        <f t="shared" si="0"/>
        <v>0</v>
      </c>
    </row>
    <row r="49" spans="2:6" ht="15" customHeight="1" x14ac:dyDescent="0.3">
      <c r="C49" s="3"/>
      <c r="D49" s="8">
        <v>2017</v>
      </c>
      <c r="E49" s="14">
        <f>Data!L49</f>
        <v>4403365381000</v>
      </c>
      <c r="F49" s="12">
        <f t="shared" si="0"/>
        <v>0.24313145970075817</v>
      </c>
    </row>
    <row r="50" spans="2:6" ht="15" customHeight="1" x14ac:dyDescent="0.3">
      <c r="C50" s="3"/>
      <c r="D50" s="8">
        <v>2018</v>
      </c>
      <c r="E50" s="14">
        <f>Data!L50</f>
        <v>4872269263000</v>
      </c>
      <c r="F50" s="12">
        <f t="shared" si="0"/>
        <v>0.10648761604550572</v>
      </c>
    </row>
    <row r="51" spans="2:6" ht="15" customHeight="1" x14ac:dyDescent="0.3">
      <c r="C51" s="3"/>
      <c r="D51" s="8">
        <v>2019</v>
      </c>
      <c r="E51" s="14">
        <f>Data!L51</f>
        <v>5671048000000</v>
      </c>
      <c r="F51" s="12">
        <f t="shared" si="0"/>
        <v>0.1639438819742422</v>
      </c>
    </row>
    <row r="52" spans="2:6" ht="15" customHeight="1" x14ac:dyDescent="0.3">
      <c r="C52" s="3"/>
      <c r="D52" s="8">
        <v>2020</v>
      </c>
      <c r="E52" s="14">
        <f>Data!L52</f>
        <v>6379851000000</v>
      </c>
      <c r="F52" s="12">
        <f t="shared" si="0"/>
        <v>0.12498624592844215</v>
      </c>
    </row>
    <row r="53" spans="2:6" ht="15" customHeight="1" x14ac:dyDescent="0.3">
      <c r="C53" s="3"/>
      <c r="D53" s="8">
        <v>2021</v>
      </c>
      <c r="E53" s="14">
        <f>Data!L53</f>
        <v>7264440000000</v>
      </c>
      <c r="F53" s="12">
        <f t="shared" si="0"/>
        <v>0.13865355162683266</v>
      </c>
    </row>
    <row r="54" spans="2:6" ht="15" customHeight="1" x14ac:dyDescent="0.3">
      <c r="C54" s="3"/>
      <c r="D54" s="8">
        <v>2022</v>
      </c>
      <c r="E54" s="14">
        <f>Data!L54</f>
        <v>9141344000000</v>
      </c>
      <c r="F54" s="12">
        <f t="shared" si="0"/>
        <v>0.25836871114635129</v>
      </c>
    </row>
    <row r="55" spans="2:6" ht="15" customHeight="1" x14ac:dyDescent="0.3">
      <c r="C55" s="3"/>
      <c r="D55" s="8">
        <v>2023</v>
      </c>
      <c r="E55" s="14">
        <f>Data!L55</f>
        <v>9194450000000</v>
      </c>
      <c r="F55" s="12">
        <f t="shared" si="0"/>
        <v>5.8094302106998707E-3</v>
      </c>
    </row>
    <row r="56" spans="2:6" ht="15" customHeight="1" x14ac:dyDescent="0.3">
      <c r="C56" s="3"/>
      <c r="D56" s="8">
        <v>2024</v>
      </c>
      <c r="E56" s="14">
        <f>Data!L56</f>
        <v>0</v>
      </c>
      <c r="F56" s="12">
        <f t="shared" si="0"/>
        <v>-1</v>
      </c>
    </row>
    <row r="57" spans="2:6" ht="15" customHeight="1" x14ac:dyDescent="0.3">
      <c r="B57" s="8">
        <v>6</v>
      </c>
      <c r="C57" s="3" t="s">
        <v>21</v>
      </c>
      <c r="D57" s="8">
        <v>2014</v>
      </c>
      <c r="E57" s="14">
        <f>Data!L57</f>
        <v>0</v>
      </c>
      <c r="F57" s="12">
        <f t="shared" si="0"/>
        <v>0</v>
      </c>
    </row>
    <row r="58" spans="2:6" ht="15" customHeight="1" x14ac:dyDescent="0.3">
      <c r="C58" s="3"/>
      <c r="D58" s="8">
        <v>2015</v>
      </c>
      <c r="E58" s="14">
        <f>Data!L58</f>
        <v>0</v>
      </c>
      <c r="F58" s="12">
        <f t="shared" si="0"/>
        <v>0</v>
      </c>
    </row>
    <row r="59" spans="2:6" ht="15" customHeight="1" x14ac:dyDescent="0.3">
      <c r="C59" s="3"/>
      <c r="D59" s="8">
        <v>2016</v>
      </c>
      <c r="E59" s="14">
        <f>Data!L59</f>
        <v>3041000000</v>
      </c>
      <c r="F59" s="12">
        <f t="shared" si="0"/>
        <v>0</v>
      </c>
    </row>
    <row r="60" spans="2:6" ht="15" customHeight="1" x14ac:dyDescent="0.3">
      <c r="C60" s="3"/>
      <c r="D60" s="8">
        <v>2017</v>
      </c>
      <c r="E60" s="14">
        <f>Data!L60</f>
        <v>13468000000</v>
      </c>
      <c r="F60" s="12">
        <f t="shared" si="0"/>
        <v>3.4288063137125944</v>
      </c>
    </row>
    <row r="61" spans="2:6" ht="15" customHeight="1" x14ac:dyDescent="0.3">
      <c r="C61" s="3"/>
      <c r="D61" s="8">
        <v>2018</v>
      </c>
      <c r="E61" s="14">
        <f>Data!L61</f>
        <v>59888000000</v>
      </c>
      <c r="F61" s="12">
        <f t="shared" si="0"/>
        <v>3.4466884466884466</v>
      </c>
    </row>
    <row r="62" spans="2:6" ht="15" customHeight="1" x14ac:dyDescent="0.3">
      <c r="C62" s="3"/>
      <c r="D62" s="8">
        <v>2019</v>
      </c>
      <c r="E62" s="14">
        <f>Data!L62</f>
        <v>104287000000</v>
      </c>
      <c r="F62" s="12">
        <f t="shared" si="0"/>
        <v>0.74136721880844247</v>
      </c>
    </row>
    <row r="63" spans="2:6" ht="15" customHeight="1" x14ac:dyDescent="0.3">
      <c r="C63" s="3"/>
      <c r="D63" s="8">
        <v>2020</v>
      </c>
      <c r="E63" s="14">
        <f>Data!L63</f>
        <v>110130000000</v>
      </c>
      <c r="F63" s="12">
        <f t="shared" si="0"/>
        <v>5.6028076366181789E-2</v>
      </c>
    </row>
    <row r="64" spans="2:6" ht="15" customHeight="1" x14ac:dyDescent="0.3">
      <c r="C64" s="3"/>
      <c r="D64" s="8">
        <v>2021</v>
      </c>
      <c r="E64" s="14">
        <f>Data!L64</f>
        <v>244885000000</v>
      </c>
      <c r="F64" s="12">
        <f t="shared" si="0"/>
        <v>1.2235993825478979</v>
      </c>
    </row>
    <row r="65" spans="2:6" ht="15" customHeight="1" x14ac:dyDescent="0.3">
      <c r="C65" s="3"/>
      <c r="D65" s="8">
        <v>2022</v>
      </c>
      <c r="E65" s="14">
        <f>Data!L65</f>
        <v>334681000000</v>
      </c>
      <c r="F65" s="12">
        <f t="shared" si="0"/>
        <v>0.36668640382220224</v>
      </c>
    </row>
    <row r="66" spans="2:6" ht="15" customHeight="1" x14ac:dyDescent="0.3">
      <c r="C66" s="3"/>
      <c r="D66" s="8">
        <v>2023</v>
      </c>
      <c r="E66" s="14">
        <f>Data!L66</f>
        <v>467731000000</v>
      </c>
      <c r="F66" s="12">
        <f t="shared" si="0"/>
        <v>0.39754273472351281</v>
      </c>
    </row>
    <row r="67" spans="2:6" ht="15" customHeight="1" x14ac:dyDescent="0.3">
      <c r="C67" s="3"/>
      <c r="D67" s="8">
        <v>2024</v>
      </c>
      <c r="E67" s="14">
        <f>Data!L67</f>
        <v>587025000000</v>
      </c>
      <c r="F67" s="12">
        <f t="shared" ref="F67:F130" si="1">IFERROR((E67-E66)/E66,0)</f>
        <v>0.25504830768112441</v>
      </c>
    </row>
    <row r="68" spans="2:6" ht="15" customHeight="1" x14ac:dyDescent="0.3">
      <c r="B68" s="8">
        <v>7</v>
      </c>
      <c r="C68" s="3" t="s">
        <v>19</v>
      </c>
      <c r="D68" s="8">
        <v>2014</v>
      </c>
      <c r="E68" s="14">
        <f>Data!L68</f>
        <v>613328000000</v>
      </c>
      <c r="F68" s="12">
        <f t="shared" si="1"/>
        <v>4.4807291001235039E-2</v>
      </c>
    </row>
    <row r="69" spans="2:6" ht="15" customHeight="1" x14ac:dyDescent="0.3">
      <c r="C69" s="3"/>
      <c r="D69" s="8">
        <v>2015</v>
      </c>
      <c r="E69" s="14">
        <f>Data!L69</f>
        <v>1310956000000</v>
      </c>
      <c r="F69" s="12">
        <f t="shared" si="1"/>
        <v>1.1374468473638901</v>
      </c>
    </row>
    <row r="70" spans="2:6" ht="15" customHeight="1" x14ac:dyDescent="0.3">
      <c r="C70" s="3"/>
      <c r="D70" s="8">
        <v>2016</v>
      </c>
      <c r="E70" s="14">
        <f>Data!L70</f>
        <v>2981581000000</v>
      </c>
      <c r="F70" s="12">
        <f t="shared" si="1"/>
        <v>1.2743562713012488</v>
      </c>
    </row>
    <row r="71" spans="2:6" ht="15" customHeight="1" x14ac:dyDescent="0.3">
      <c r="C71" s="3"/>
      <c r="D71" s="8">
        <v>2017</v>
      </c>
      <c r="E71" s="14">
        <f>Data!L71</f>
        <v>3796659000000</v>
      </c>
      <c r="F71" s="12">
        <f t="shared" si="1"/>
        <v>0.27337107393694821</v>
      </c>
    </row>
    <row r="72" spans="2:6" ht="15" customHeight="1" x14ac:dyDescent="0.3">
      <c r="C72" s="3"/>
      <c r="D72" s="8">
        <v>2018</v>
      </c>
      <c r="E72" s="14">
        <f>Data!L72</f>
        <v>3611633000000</v>
      </c>
      <c r="F72" s="12">
        <f t="shared" si="1"/>
        <v>-4.8733899989438084E-2</v>
      </c>
    </row>
    <row r="73" spans="2:6" ht="15" customHeight="1" x14ac:dyDescent="0.3">
      <c r="C73" s="3"/>
      <c r="D73" s="8">
        <v>2019</v>
      </c>
      <c r="E73" s="14">
        <f>Data!L73</f>
        <v>3346426000000</v>
      </c>
      <c r="F73" s="12">
        <f t="shared" si="1"/>
        <v>-7.3431325940371023E-2</v>
      </c>
    </row>
    <row r="74" spans="2:6" ht="15" customHeight="1" x14ac:dyDescent="0.3">
      <c r="C74" s="3"/>
      <c r="D74" s="8">
        <v>2020</v>
      </c>
      <c r="E74" s="14">
        <f>Data!L74</f>
        <v>3645793000000</v>
      </c>
      <c r="F74" s="12">
        <f t="shared" si="1"/>
        <v>8.9458724023779398E-2</v>
      </c>
    </row>
    <row r="75" spans="2:6" ht="15" customHeight="1" x14ac:dyDescent="0.3">
      <c r="C75" s="3"/>
      <c r="D75" s="8">
        <v>2021</v>
      </c>
      <c r="E75" s="14">
        <f>Data!L75</f>
        <v>5769733000000</v>
      </c>
      <c r="F75" s="12">
        <f t="shared" si="1"/>
        <v>0.58257284492015871</v>
      </c>
    </row>
    <row r="76" spans="2:6" ht="15" customHeight="1" x14ac:dyDescent="0.3">
      <c r="C76" s="3"/>
      <c r="D76" s="8">
        <v>2022</v>
      </c>
      <c r="E76" s="14">
        <f>Data!L76</f>
        <v>5918222000000</v>
      </c>
      <c r="F76" s="12">
        <f t="shared" si="1"/>
        <v>2.5735852941548596E-2</v>
      </c>
    </row>
    <row r="77" spans="2:6" ht="15" customHeight="1" x14ac:dyDescent="0.3">
      <c r="C77" s="3"/>
      <c r="D77" s="8">
        <v>2023</v>
      </c>
      <c r="E77" s="14">
        <f>Data!L77</f>
        <v>6350888000000</v>
      </c>
      <c r="F77" s="12">
        <f t="shared" si="1"/>
        <v>7.3107429900399146E-2</v>
      </c>
    </row>
    <row r="78" spans="2:6" ht="15" customHeight="1" x14ac:dyDescent="0.3">
      <c r="C78" s="3"/>
      <c r="D78" s="8">
        <v>2024</v>
      </c>
      <c r="E78" s="14">
        <f>Data!L78</f>
        <v>5855479000000</v>
      </c>
      <c r="F78" s="12">
        <f t="shared" si="1"/>
        <v>-7.8006256762833792E-2</v>
      </c>
    </row>
    <row r="79" spans="2:6" ht="15" customHeight="1" x14ac:dyDescent="0.3">
      <c r="B79" s="8">
        <v>8</v>
      </c>
      <c r="C79" s="3" t="s">
        <v>8</v>
      </c>
      <c r="D79" s="8">
        <v>2014</v>
      </c>
      <c r="E79" s="14">
        <f>Data!L79</f>
        <v>17340000000</v>
      </c>
      <c r="F79" s="12">
        <f t="shared" si="1"/>
        <v>-0.9970386709609923</v>
      </c>
    </row>
    <row r="80" spans="2:6" ht="15" customHeight="1" x14ac:dyDescent="0.3">
      <c r="C80" s="3"/>
      <c r="D80" s="8">
        <v>2015</v>
      </c>
      <c r="E80" s="14">
        <f>Data!L80</f>
        <v>108628000000</v>
      </c>
      <c r="F80" s="12">
        <f t="shared" si="1"/>
        <v>5.2645905420991923</v>
      </c>
    </row>
    <row r="81" spans="2:6" ht="15" customHeight="1" x14ac:dyDescent="0.3">
      <c r="C81" s="3"/>
      <c r="D81" s="8">
        <v>2016</v>
      </c>
      <c r="E81" s="14">
        <f>Data!L81</f>
        <v>289387000000</v>
      </c>
      <c r="F81" s="12">
        <f t="shared" si="1"/>
        <v>1.6640184851051294</v>
      </c>
    </row>
    <row r="82" spans="2:6" ht="15" customHeight="1" x14ac:dyDescent="0.3">
      <c r="C82" s="3"/>
      <c r="D82" s="8">
        <v>2017</v>
      </c>
      <c r="E82" s="14">
        <f>Data!L82</f>
        <v>445563000000</v>
      </c>
      <c r="F82" s="12">
        <f t="shared" si="1"/>
        <v>0.53967870014893549</v>
      </c>
    </row>
    <row r="83" spans="2:6" ht="15" customHeight="1" x14ac:dyDescent="0.3">
      <c r="C83" s="3"/>
      <c r="D83" s="8">
        <v>2018</v>
      </c>
      <c r="E83" s="14">
        <f>Data!L83</f>
        <v>585605000000</v>
      </c>
      <c r="F83" s="12">
        <f t="shared" si="1"/>
        <v>0.31430347672495246</v>
      </c>
    </row>
    <row r="84" spans="2:6" ht="15" customHeight="1" x14ac:dyDescent="0.3">
      <c r="C84" s="3"/>
      <c r="D84" s="8">
        <v>2019</v>
      </c>
      <c r="E84" s="14">
        <f>Data!L84</f>
        <v>800269000000</v>
      </c>
      <c r="F84" s="12">
        <f t="shared" si="1"/>
        <v>0.36656790840242143</v>
      </c>
    </row>
    <row r="85" spans="2:6" ht="15" customHeight="1" x14ac:dyDescent="0.3">
      <c r="C85" s="3"/>
      <c r="D85" s="8">
        <v>2020</v>
      </c>
      <c r="E85" s="14">
        <f>Data!L85</f>
        <v>991129000000</v>
      </c>
      <c r="F85" s="12">
        <f t="shared" si="1"/>
        <v>0.23849480612144167</v>
      </c>
    </row>
    <row r="86" spans="2:6" ht="15" customHeight="1" x14ac:dyDescent="0.3">
      <c r="C86" s="3"/>
      <c r="D86" s="8">
        <v>2021</v>
      </c>
      <c r="E86" s="14">
        <f>Data!L86</f>
        <v>1316137000000</v>
      </c>
      <c r="F86" s="12">
        <f t="shared" si="1"/>
        <v>0.32791695127475839</v>
      </c>
    </row>
    <row r="87" spans="2:6" ht="15" customHeight="1" x14ac:dyDescent="0.3">
      <c r="C87" s="3"/>
      <c r="D87" s="8">
        <v>2022</v>
      </c>
      <c r="E87" s="14">
        <f>Data!L87</f>
        <v>1382687000000</v>
      </c>
      <c r="F87" s="12">
        <f t="shared" si="1"/>
        <v>5.0564644865997994E-2</v>
      </c>
    </row>
    <row r="88" spans="2:6" ht="15" customHeight="1" x14ac:dyDescent="0.3">
      <c r="C88" s="3"/>
      <c r="D88" s="8">
        <v>2023</v>
      </c>
      <c r="E88" s="14">
        <f>Data!L88</f>
        <v>1576409000000</v>
      </c>
      <c r="F88" s="12">
        <f t="shared" si="1"/>
        <v>0.14010546132277227</v>
      </c>
    </row>
    <row r="89" spans="2:6" ht="15" customHeight="1" x14ac:dyDescent="0.3">
      <c r="C89" s="3"/>
      <c r="D89" s="8">
        <v>2024</v>
      </c>
      <c r="E89" s="14">
        <f>Data!L89</f>
        <v>1481484000000</v>
      </c>
      <c r="F89" s="12">
        <f t="shared" si="1"/>
        <v>-6.0215971870244335E-2</v>
      </c>
    </row>
    <row r="90" spans="2:6" ht="15" customHeight="1" x14ac:dyDescent="0.3">
      <c r="B90" s="8">
        <v>9</v>
      </c>
      <c r="C90" s="3" t="s">
        <v>11</v>
      </c>
      <c r="D90" s="8">
        <v>2014</v>
      </c>
      <c r="E90" s="14">
        <f>Data!L90</f>
        <v>1111447000000</v>
      </c>
      <c r="F90" s="12">
        <f t="shared" si="1"/>
        <v>-0.24977455038326435</v>
      </c>
    </row>
    <row r="91" spans="2:6" ht="15" customHeight="1" x14ac:dyDescent="0.3">
      <c r="C91" s="3"/>
      <c r="D91" s="8">
        <v>2015</v>
      </c>
      <c r="E91" s="14">
        <f>Data!L91</f>
        <v>1157281000000</v>
      </c>
      <c r="F91" s="12">
        <f t="shared" si="1"/>
        <v>4.1238133712178805E-2</v>
      </c>
    </row>
    <row r="92" spans="2:6" ht="15" customHeight="1" x14ac:dyDescent="0.3">
      <c r="C92" s="3"/>
      <c r="D92" s="8">
        <v>2016</v>
      </c>
      <c r="E92" s="14">
        <f>Data!L92</f>
        <v>1932573000000</v>
      </c>
      <c r="F92" s="12">
        <f t="shared" si="1"/>
        <v>0.66992545457844721</v>
      </c>
    </row>
    <row r="93" spans="2:6" ht="15" customHeight="1" x14ac:dyDescent="0.3">
      <c r="C93" s="3"/>
      <c r="D93" s="8">
        <v>2017</v>
      </c>
      <c r="E93" s="14">
        <f>Data!L93</f>
        <v>2584123000000</v>
      </c>
      <c r="F93" s="12">
        <f t="shared" si="1"/>
        <v>0.33714121018973153</v>
      </c>
    </row>
    <row r="94" spans="2:6" ht="15" customHeight="1" x14ac:dyDescent="0.3">
      <c r="C94" s="3"/>
      <c r="D94" s="8">
        <v>2018</v>
      </c>
      <c r="E94" s="14">
        <f>Data!L94</f>
        <v>2626306000000</v>
      </c>
      <c r="F94" s="12">
        <f t="shared" si="1"/>
        <v>1.6323913374092489E-2</v>
      </c>
    </row>
    <row r="95" spans="2:6" ht="15" customHeight="1" x14ac:dyDescent="0.3">
      <c r="C95" s="3"/>
      <c r="D95" s="8">
        <v>2019</v>
      </c>
      <c r="E95" s="14">
        <f>Data!L95</f>
        <v>3015912000000</v>
      </c>
      <c r="F95" s="12">
        <f t="shared" si="1"/>
        <v>0.14834752690661332</v>
      </c>
    </row>
    <row r="96" spans="2:6" ht="15" customHeight="1" x14ac:dyDescent="0.3">
      <c r="C96" s="3"/>
      <c r="D96" s="8">
        <v>2020</v>
      </c>
      <c r="E96" s="14">
        <f>Data!L96</f>
        <v>2727108000000</v>
      </c>
      <c r="F96" s="12">
        <f t="shared" si="1"/>
        <v>-9.5760088490645615E-2</v>
      </c>
    </row>
    <row r="97" spans="2:6" ht="15" customHeight="1" x14ac:dyDescent="0.3">
      <c r="C97" s="3"/>
      <c r="D97" s="8">
        <v>2021</v>
      </c>
      <c r="E97" s="14">
        <f>Data!L97</f>
        <v>2794098000000</v>
      </c>
      <c r="F97" s="12">
        <f t="shared" si="1"/>
        <v>2.4564483694815165E-2</v>
      </c>
    </row>
    <row r="98" spans="2:6" ht="15" customHeight="1" x14ac:dyDescent="0.3">
      <c r="C98" s="3"/>
      <c r="D98" s="8">
        <v>2022</v>
      </c>
      <c r="E98" s="14">
        <f>Data!L98</f>
        <v>2587182000000</v>
      </c>
      <c r="F98" s="12">
        <f t="shared" si="1"/>
        <v>-7.405466808966614E-2</v>
      </c>
    </row>
    <row r="99" spans="2:6" ht="15" customHeight="1" x14ac:dyDescent="0.3">
      <c r="C99" s="3"/>
      <c r="D99" s="8">
        <v>2023</v>
      </c>
      <c r="E99" s="14">
        <f>Data!L99</f>
        <v>2996848000000</v>
      </c>
      <c r="F99" s="12">
        <f t="shared" si="1"/>
        <v>0.15834448446224503</v>
      </c>
    </row>
    <row r="100" spans="2:6" ht="15" customHeight="1" x14ac:dyDescent="0.3">
      <c r="C100" s="3"/>
      <c r="D100" s="8">
        <v>2024</v>
      </c>
      <c r="E100" s="14">
        <f>Data!L100</f>
        <v>2435099000000</v>
      </c>
      <c r="F100" s="12">
        <f t="shared" si="1"/>
        <v>-0.18744661057217449</v>
      </c>
    </row>
    <row r="101" spans="2:6" ht="15" customHeight="1" x14ac:dyDescent="0.3">
      <c r="B101" s="8">
        <v>10</v>
      </c>
      <c r="C101" s="3" t="s">
        <v>13</v>
      </c>
      <c r="D101" s="8">
        <v>2014</v>
      </c>
      <c r="E101" s="14">
        <f>Data!L101</f>
        <v>2037233000000</v>
      </c>
      <c r="F101" s="12">
        <f t="shared" si="1"/>
        <v>-0.16338801831054919</v>
      </c>
    </row>
    <row r="102" spans="2:6" ht="15" customHeight="1" x14ac:dyDescent="0.3">
      <c r="C102" s="3"/>
      <c r="D102" s="8">
        <v>2015</v>
      </c>
      <c r="E102" s="14">
        <f>Data!L102</f>
        <v>1932086000000</v>
      </c>
      <c r="F102" s="12">
        <f t="shared" si="1"/>
        <v>-5.1612653044595294E-2</v>
      </c>
    </row>
    <row r="103" spans="2:6" ht="15" customHeight="1" x14ac:dyDescent="0.3">
      <c r="C103" s="3"/>
      <c r="D103" s="8">
        <v>2016</v>
      </c>
      <c r="E103" s="14">
        <f>Data!L103</f>
        <v>2989563000000</v>
      </c>
      <c r="F103" s="12">
        <f t="shared" si="1"/>
        <v>0.54732398040252872</v>
      </c>
    </row>
    <row r="104" spans="2:6" ht="15" customHeight="1" x14ac:dyDescent="0.3">
      <c r="C104" s="3"/>
      <c r="D104" s="8">
        <v>2017</v>
      </c>
      <c r="E104" s="14">
        <f>Data!L104</f>
        <v>3887694000000</v>
      </c>
      <c r="F104" s="12">
        <f t="shared" si="1"/>
        <v>0.30042216872499428</v>
      </c>
    </row>
    <row r="105" spans="2:6" ht="15" customHeight="1" x14ac:dyDescent="0.3">
      <c r="C105" s="3"/>
      <c r="D105" s="8">
        <v>2018</v>
      </c>
      <c r="E105" s="14">
        <f>Data!L105</f>
        <v>2980509000000</v>
      </c>
      <c r="F105" s="12">
        <f t="shared" si="1"/>
        <v>-0.23334784064795222</v>
      </c>
    </row>
    <row r="106" spans="2:6" ht="15" customHeight="1" x14ac:dyDescent="0.3">
      <c r="C106" s="3"/>
      <c r="D106" s="8">
        <v>2019</v>
      </c>
      <c r="E106" s="14">
        <f>Data!L106</f>
        <v>2987343000000</v>
      </c>
      <c r="F106" s="12">
        <f t="shared" si="1"/>
        <v>2.2928969514938555E-3</v>
      </c>
    </row>
    <row r="107" spans="2:6" ht="15" customHeight="1" x14ac:dyDescent="0.3">
      <c r="C107" s="3"/>
      <c r="D107" s="8">
        <v>2020</v>
      </c>
      <c r="E107" s="14">
        <f>Data!L107</f>
        <v>3009798000000</v>
      </c>
      <c r="F107" s="12">
        <f t="shared" si="1"/>
        <v>7.5167130121984657E-3</v>
      </c>
    </row>
    <row r="108" spans="2:6" ht="15" customHeight="1" x14ac:dyDescent="0.3">
      <c r="C108" s="3"/>
      <c r="D108" s="8">
        <v>2021</v>
      </c>
      <c r="E108" s="14">
        <f>Data!L108</f>
        <v>3190574000000</v>
      </c>
      <c r="F108" s="12">
        <f t="shared" si="1"/>
        <v>6.0062502533392605E-2</v>
      </c>
    </row>
    <row r="109" spans="2:6" ht="15" customHeight="1" x14ac:dyDescent="0.3">
      <c r="C109" s="3"/>
      <c r="D109" s="8">
        <v>2022</v>
      </c>
      <c r="E109" s="14">
        <f>Data!L109</f>
        <v>2164399000000</v>
      </c>
      <c r="F109" s="12">
        <f t="shared" si="1"/>
        <v>-0.32162708026831538</v>
      </c>
    </row>
    <row r="110" spans="2:6" ht="15" customHeight="1" x14ac:dyDescent="0.3">
      <c r="C110" s="3"/>
      <c r="D110" s="8">
        <v>2023</v>
      </c>
      <c r="E110" s="14">
        <f>Data!L110</f>
        <v>3006032000000</v>
      </c>
      <c r="F110" s="12">
        <f t="shared" si="1"/>
        <v>0.38885297951070946</v>
      </c>
    </row>
    <row r="111" spans="2:6" ht="15" customHeight="1" x14ac:dyDescent="0.3">
      <c r="C111" s="3"/>
      <c r="D111" s="8">
        <v>2024</v>
      </c>
      <c r="E111" s="14">
        <f>Data!L111</f>
        <v>3109090000000</v>
      </c>
      <c r="F111" s="12">
        <f t="shared" si="1"/>
        <v>3.4283733506496272E-2</v>
      </c>
    </row>
    <row r="112" spans="2:6" ht="15" customHeight="1" x14ac:dyDescent="0.3">
      <c r="B112" s="8">
        <v>11</v>
      </c>
      <c r="C112" s="3" t="s">
        <v>23</v>
      </c>
      <c r="D112" s="8">
        <v>2014</v>
      </c>
      <c r="E112" s="14">
        <f>Data!L112</f>
        <v>0</v>
      </c>
      <c r="F112" s="12">
        <f t="shared" si="1"/>
        <v>-1</v>
      </c>
    </row>
    <row r="113" spans="2:6" ht="15" customHeight="1" x14ac:dyDescent="0.3">
      <c r="C113" s="3"/>
      <c r="D113" s="8">
        <v>2015</v>
      </c>
      <c r="E113" s="14">
        <f>Data!L113</f>
        <v>0</v>
      </c>
      <c r="F113" s="12">
        <f t="shared" si="1"/>
        <v>0</v>
      </c>
    </row>
    <row r="114" spans="2:6" ht="15" customHeight="1" x14ac:dyDescent="0.3">
      <c r="C114" s="3"/>
      <c r="D114" s="8">
        <v>2016</v>
      </c>
      <c r="E114" s="14">
        <f>Data!L114</f>
        <v>0</v>
      </c>
      <c r="F114" s="12">
        <f t="shared" si="1"/>
        <v>0</v>
      </c>
    </row>
    <row r="115" spans="2:6" ht="15" customHeight="1" x14ac:dyDescent="0.3">
      <c r="C115" s="3"/>
      <c r="D115" s="8">
        <v>2017</v>
      </c>
      <c r="E115" s="14">
        <f>Data!L115</f>
        <v>0</v>
      </c>
      <c r="F115" s="12">
        <f t="shared" si="1"/>
        <v>0</v>
      </c>
    </row>
    <row r="116" spans="2:6" ht="15" customHeight="1" x14ac:dyDescent="0.3">
      <c r="C116" s="3"/>
      <c r="D116" s="8">
        <v>2018</v>
      </c>
      <c r="E116" s="14">
        <f>Data!L116</f>
        <v>0</v>
      </c>
      <c r="F116" s="12">
        <f t="shared" si="1"/>
        <v>0</v>
      </c>
    </row>
    <row r="117" spans="2:6" ht="15" customHeight="1" x14ac:dyDescent="0.3">
      <c r="C117" s="3"/>
      <c r="D117" s="8">
        <v>2019</v>
      </c>
      <c r="E117" s="14">
        <f>Data!L117</f>
        <v>0</v>
      </c>
      <c r="F117" s="12">
        <f t="shared" si="1"/>
        <v>0</v>
      </c>
    </row>
    <row r="118" spans="2:6" ht="15" customHeight="1" x14ac:dyDescent="0.3">
      <c r="C118" s="3"/>
      <c r="D118" s="8">
        <v>2020</v>
      </c>
      <c r="E118" s="14">
        <f>Data!L118</f>
        <v>332820000</v>
      </c>
      <c r="F118" s="12">
        <f t="shared" si="1"/>
        <v>0</v>
      </c>
    </row>
    <row r="119" spans="2:6" ht="15" customHeight="1" x14ac:dyDescent="0.3">
      <c r="C119" s="3"/>
      <c r="D119" s="8">
        <v>2021</v>
      </c>
      <c r="E119" s="14">
        <f>Data!L119</f>
        <v>73807000000</v>
      </c>
      <c r="F119" s="12">
        <f t="shared" si="1"/>
        <v>220.76251427197886</v>
      </c>
    </row>
    <row r="120" spans="2:6" ht="15" customHeight="1" x14ac:dyDescent="0.3">
      <c r="C120" s="3"/>
      <c r="D120" s="8">
        <v>2022</v>
      </c>
      <c r="E120" s="14">
        <f>Data!L120</f>
        <v>2387320000000</v>
      </c>
      <c r="F120" s="12">
        <f t="shared" si="1"/>
        <v>31.345441489289634</v>
      </c>
    </row>
    <row r="121" spans="2:6" ht="15" customHeight="1" x14ac:dyDescent="0.3">
      <c r="C121" s="3"/>
      <c r="D121" s="8">
        <v>2023</v>
      </c>
      <c r="E121" s="14">
        <f>Data!L121</f>
        <v>2695259000000</v>
      </c>
      <c r="F121" s="12">
        <f t="shared" si="1"/>
        <v>0.1289894107199705</v>
      </c>
    </row>
    <row r="122" spans="2:6" ht="15" customHeight="1" x14ac:dyDescent="0.3">
      <c r="C122" s="3"/>
      <c r="D122" s="8">
        <v>2024</v>
      </c>
      <c r="E122" s="14">
        <f>Data!L122</f>
        <v>7295227000000</v>
      </c>
      <c r="F122" s="12">
        <f t="shared" si="1"/>
        <v>1.7066886707362818</v>
      </c>
    </row>
    <row r="123" spans="2:6" ht="15" customHeight="1" x14ac:dyDescent="0.3">
      <c r="B123" s="8">
        <v>12</v>
      </c>
      <c r="C123" s="3" t="s">
        <v>24</v>
      </c>
      <c r="D123" s="8">
        <v>2014</v>
      </c>
      <c r="E123" s="14">
        <f>Data!L123</f>
        <v>1400387532448</v>
      </c>
      <c r="F123" s="12">
        <f t="shared" si="1"/>
        <v>-0.80804058154078007</v>
      </c>
    </row>
    <row r="124" spans="2:6" ht="15" customHeight="1" x14ac:dyDescent="0.3">
      <c r="C124" s="3"/>
      <c r="D124" s="8">
        <v>2015</v>
      </c>
      <c r="E124" s="14">
        <f>Data!L124</f>
        <v>1431582504221</v>
      </c>
      <c r="F124" s="12">
        <f t="shared" si="1"/>
        <v>2.2275956512172356E-2</v>
      </c>
    </row>
    <row r="125" spans="2:6" ht="15" customHeight="1" x14ac:dyDescent="0.3">
      <c r="C125" s="3"/>
      <c r="D125" s="8">
        <v>2016</v>
      </c>
      <c r="E125" s="14">
        <f>Data!L125</f>
        <v>1580786997174</v>
      </c>
      <c r="F125" s="12">
        <f t="shared" si="1"/>
        <v>0.10422346774501137</v>
      </c>
    </row>
    <row r="126" spans="2:6" ht="15" customHeight="1" x14ac:dyDescent="0.3">
      <c r="C126" s="3"/>
      <c r="D126" s="8">
        <v>2017</v>
      </c>
      <c r="E126" s="14">
        <f>Data!L126</f>
        <v>1838029364958</v>
      </c>
      <c r="F126" s="12">
        <f t="shared" si="1"/>
        <v>0.16273056916831716</v>
      </c>
    </row>
    <row r="127" spans="2:6" ht="15" customHeight="1" x14ac:dyDescent="0.3">
      <c r="C127" s="3"/>
      <c r="D127" s="8">
        <v>2018</v>
      </c>
      <c r="E127" s="14">
        <f>Data!L127</f>
        <v>1847483535751</v>
      </c>
      <c r="F127" s="12">
        <f t="shared" si="1"/>
        <v>5.1436451306184836E-3</v>
      </c>
    </row>
    <row r="128" spans="2:6" ht="15" customHeight="1" x14ac:dyDescent="0.3">
      <c r="C128" s="3"/>
      <c r="D128" s="8">
        <v>2019</v>
      </c>
      <c r="E128" s="14">
        <f>Data!L128</f>
        <v>2137797806615</v>
      </c>
      <c r="F128" s="12">
        <f t="shared" si="1"/>
        <v>0.15714038325434254</v>
      </c>
    </row>
    <row r="129" spans="2:6" ht="15" customHeight="1" x14ac:dyDescent="0.3">
      <c r="C129" s="3"/>
      <c r="D129" s="8">
        <v>2020</v>
      </c>
      <c r="E129" s="14">
        <f>Data!L129</f>
        <v>2247728825781</v>
      </c>
      <c r="F129" s="12">
        <f t="shared" si="1"/>
        <v>5.1422552135585421E-2</v>
      </c>
    </row>
    <row r="130" spans="2:6" ht="15" customHeight="1" x14ac:dyDescent="0.3">
      <c r="C130" s="3"/>
      <c r="D130" s="8">
        <v>2021</v>
      </c>
      <c r="E130" s="14">
        <f>Data!L130</f>
        <v>2254505776391</v>
      </c>
      <c r="F130" s="12">
        <f t="shared" si="1"/>
        <v>3.0150214439881415E-3</v>
      </c>
    </row>
    <row r="131" spans="2:6" ht="15" customHeight="1" x14ac:dyDescent="0.3">
      <c r="C131" s="3"/>
      <c r="D131" s="8">
        <v>2022</v>
      </c>
      <c r="E131" s="14">
        <f>Data!L131</f>
        <v>2584816871951</v>
      </c>
      <c r="F131" s="12">
        <f t="shared" ref="F131:F194" si="2">IFERROR((E131-E130)/E130,0)</f>
        <v>0.14651153215883977</v>
      </c>
    </row>
    <row r="132" spans="2:6" ht="15" customHeight="1" x14ac:dyDescent="0.3">
      <c r="C132" s="3"/>
      <c r="D132" s="8">
        <v>2023</v>
      </c>
      <c r="E132" s="14">
        <f>Data!L132</f>
        <v>2895933661725</v>
      </c>
      <c r="F132" s="12">
        <f t="shared" si="2"/>
        <v>0.12036318439037866</v>
      </c>
    </row>
    <row r="133" spans="2:6" ht="15" customHeight="1" x14ac:dyDescent="0.3">
      <c r="C133" s="3"/>
      <c r="D133" s="8">
        <v>2024</v>
      </c>
      <c r="E133" s="14">
        <f>Data!L133</f>
        <v>3777737267748</v>
      </c>
      <c r="F133" s="12">
        <f t="shared" si="2"/>
        <v>0.30449717052487396</v>
      </c>
    </row>
    <row r="134" spans="2:6" ht="15" customHeight="1" x14ac:dyDescent="0.3">
      <c r="B134" s="8">
        <v>13</v>
      </c>
      <c r="C134" s="3" t="s">
        <v>18</v>
      </c>
      <c r="D134" s="8">
        <v>2014</v>
      </c>
      <c r="E134" s="14">
        <f>Data!L134</f>
        <v>11829123000000</v>
      </c>
      <c r="F134" s="12">
        <f t="shared" si="2"/>
        <v>2.1312720185677771</v>
      </c>
    </row>
    <row r="135" spans="2:6" ht="15" customHeight="1" x14ac:dyDescent="0.3">
      <c r="C135" s="3"/>
      <c r="D135" s="8">
        <v>2015</v>
      </c>
      <c r="E135" s="14">
        <f>Data!L135</f>
        <v>8649082000000</v>
      </c>
      <c r="F135" s="12">
        <f t="shared" si="2"/>
        <v>-0.26883151016351764</v>
      </c>
    </row>
    <row r="136" spans="2:6" ht="15" customHeight="1" x14ac:dyDescent="0.3">
      <c r="C136" s="3"/>
      <c r="D136" s="8">
        <v>2016</v>
      </c>
      <c r="E136" s="14">
        <f>Data!L136</f>
        <v>11757985000000</v>
      </c>
      <c r="F136" s="12">
        <f t="shared" si="2"/>
        <v>0.35944889873861757</v>
      </c>
    </row>
    <row r="137" spans="2:6" ht="15" customHeight="1" x14ac:dyDescent="0.3">
      <c r="C137" s="3"/>
      <c r="D137" s="8">
        <v>2017</v>
      </c>
      <c r="E137" s="14">
        <f>Data!L137</f>
        <v>11967658000000</v>
      </c>
      <c r="F137" s="12">
        <f t="shared" si="2"/>
        <v>1.7832392199853973E-2</v>
      </c>
    </row>
    <row r="138" spans="2:6" ht="15" customHeight="1" x14ac:dyDescent="0.3">
      <c r="C138" s="3"/>
      <c r="D138" s="8">
        <v>2018</v>
      </c>
      <c r="E138" s="14">
        <f>Data!L138</f>
        <v>11029850000000</v>
      </c>
      <c r="F138" s="12">
        <f t="shared" si="2"/>
        <v>-7.8361864953025898E-2</v>
      </c>
    </row>
    <row r="139" spans="2:6" ht="15" customHeight="1" x14ac:dyDescent="0.3">
      <c r="C139" s="3"/>
      <c r="D139" s="8">
        <v>2019</v>
      </c>
      <c r="E139" s="14">
        <f>Data!L139</f>
        <v>11257713000000</v>
      </c>
      <c r="F139" s="12">
        <f t="shared" si="2"/>
        <v>2.0658757825355738E-2</v>
      </c>
    </row>
    <row r="140" spans="2:6" ht="15" customHeight="1" x14ac:dyDescent="0.3">
      <c r="C140" s="3"/>
      <c r="D140" s="8">
        <v>2020</v>
      </c>
      <c r="E140" s="14">
        <f>Data!L140</f>
        <v>12505875000000</v>
      </c>
      <c r="F140" s="12">
        <f t="shared" si="2"/>
        <v>0.11087171968231914</v>
      </c>
    </row>
    <row r="141" spans="2:6" ht="15" customHeight="1" x14ac:dyDescent="0.3">
      <c r="C141" s="3"/>
      <c r="D141" s="8">
        <v>2021</v>
      </c>
      <c r="E141" s="14">
        <f>Data!L141</f>
        <v>15641844000000</v>
      </c>
      <c r="F141" s="12">
        <f t="shared" si="2"/>
        <v>0.25075966295840957</v>
      </c>
    </row>
    <row r="142" spans="2:6" ht="15" customHeight="1" x14ac:dyDescent="0.3">
      <c r="C142" s="3"/>
      <c r="D142" s="8">
        <v>2022</v>
      </c>
      <c r="E142" s="14">
        <f>Data!L142</f>
        <v>11832135000000</v>
      </c>
      <c r="F142" s="12">
        <f t="shared" si="2"/>
        <v>-0.24355881569973464</v>
      </c>
    </row>
    <row r="143" spans="2:6" ht="15" customHeight="1" x14ac:dyDescent="0.3">
      <c r="C143" s="3"/>
      <c r="D143" s="8">
        <v>2023</v>
      </c>
      <c r="E143" s="14">
        <f>Data!L143</f>
        <v>13679103000000</v>
      </c>
      <c r="F143" s="12">
        <f t="shared" si="2"/>
        <v>0.15609761044815665</v>
      </c>
    </row>
    <row r="144" spans="2:6" ht="15" customHeight="1" x14ac:dyDescent="0.3">
      <c r="C144" s="3"/>
      <c r="D144" s="8">
        <v>2024</v>
      </c>
      <c r="E144" s="14">
        <f>Data!L144</f>
        <v>12880538000000</v>
      </c>
      <c r="F144" s="12">
        <f t="shared" si="2"/>
        <v>-5.8378462388944653E-2</v>
      </c>
    </row>
    <row r="145" spans="2:6" ht="15" customHeight="1" x14ac:dyDescent="0.3">
      <c r="B145" s="8">
        <v>14</v>
      </c>
      <c r="C145" s="4" t="s">
        <v>57</v>
      </c>
      <c r="D145" s="8">
        <v>2014</v>
      </c>
      <c r="E145" s="14">
        <f>Data!L145</f>
        <v>0</v>
      </c>
      <c r="F145" s="12">
        <f t="shared" si="2"/>
        <v>-1</v>
      </c>
    </row>
    <row r="146" spans="2:6" ht="15" customHeight="1" x14ac:dyDescent="0.3">
      <c r="C146" s="4"/>
      <c r="D146" s="8">
        <v>2015</v>
      </c>
      <c r="E146" s="14">
        <f>Data!L146</f>
        <v>0</v>
      </c>
      <c r="F146" s="12">
        <f t="shared" si="2"/>
        <v>0</v>
      </c>
    </row>
    <row r="147" spans="2:6" ht="15" customHeight="1" x14ac:dyDescent="0.3">
      <c r="C147" s="4"/>
      <c r="D147" s="8">
        <v>2016</v>
      </c>
      <c r="E147" s="14">
        <f>Data!L147</f>
        <v>0</v>
      </c>
      <c r="F147" s="12">
        <f t="shared" si="2"/>
        <v>0</v>
      </c>
    </row>
    <row r="148" spans="2:6" ht="15" customHeight="1" x14ac:dyDescent="0.3">
      <c r="C148" s="4"/>
      <c r="D148" s="8">
        <v>2017</v>
      </c>
      <c r="E148" s="14">
        <f>Data!L148</f>
        <v>0</v>
      </c>
      <c r="F148" s="12">
        <f t="shared" si="2"/>
        <v>0</v>
      </c>
    </row>
    <row r="149" spans="2:6" ht="15" customHeight="1" x14ac:dyDescent="0.3">
      <c r="C149" s="4"/>
      <c r="D149" s="8">
        <v>2018</v>
      </c>
      <c r="E149" s="14">
        <f>Data!L149</f>
        <v>0</v>
      </c>
      <c r="F149" s="12">
        <f t="shared" si="2"/>
        <v>0</v>
      </c>
    </row>
    <row r="150" spans="2:6" ht="15" customHeight="1" x14ac:dyDescent="0.3">
      <c r="C150" s="4"/>
      <c r="D150" s="8">
        <v>2019</v>
      </c>
      <c r="E150" s="14">
        <f>Data!L150</f>
        <v>0</v>
      </c>
      <c r="F150" s="12">
        <f t="shared" si="2"/>
        <v>0</v>
      </c>
    </row>
    <row r="151" spans="2:6" ht="15" customHeight="1" x14ac:dyDescent="0.3">
      <c r="C151" s="4"/>
      <c r="D151" s="8">
        <v>2020</v>
      </c>
      <c r="E151" s="14">
        <f>Data!L151</f>
        <v>0</v>
      </c>
      <c r="F151" s="12">
        <f t="shared" si="2"/>
        <v>0</v>
      </c>
    </row>
    <row r="152" spans="2:6" ht="15" customHeight="1" x14ac:dyDescent="0.3">
      <c r="C152" s="4"/>
      <c r="D152" s="8">
        <v>2021</v>
      </c>
      <c r="E152" s="14">
        <f>Data!L152</f>
        <v>0</v>
      </c>
      <c r="F152" s="12">
        <f t="shared" si="2"/>
        <v>0</v>
      </c>
    </row>
    <row r="153" spans="2:6" ht="15" customHeight="1" x14ac:dyDescent="0.3">
      <c r="C153" s="4"/>
      <c r="D153" s="8">
        <v>2022</v>
      </c>
      <c r="E153" s="14">
        <f>Data!L153</f>
        <v>0</v>
      </c>
      <c r="F153" s="12">
        <f t="shared" si="2"/>
        <v>0</v>
      </c>
    </row>
    <row r="154" spans="2:6" ht="15" customHeight="1" x14ac:dyDescent="0.3">
      <c r="C154" s="4"/>
      <c r="D154" s="8">
        <v>2023</v>
      </c>
      <c r="E154" s="14">
        <f>Data!L154</f>
        <v>0</v>
      </c>
      <c r="F154" s="12">
        <f t="shared" si="2"/>
        <v>0</v>
      </c>
    </row>
    <row r="155" spans="2:6" ht="15" customHeight="1" x14ac:dyDescent="0.3">
      <c r="C155" s="4"/>
      <c r="D155" s="8">
        <v>2024</v>
      </c>
      <c r="E155" s="14">
        <f>Data!L155</f>
        <v>66464000000</v>
      </c>
      <c r="F155" s="12">
        <f t="shared" si="2"/>
        <v>0</v>
      </c>
    </row>
    <row r="156" spans="2:6" ht="15" customHeight="1" x14ac:dyDescent="0.3">
      <c r="B156" s="8">
        <v>15</v>
      </c>
      <c r="C156" s="3" t="s">
        <v>25</v>
      </c>
      <c r="D156" s="8">
        <v>2014</v>
      </c>
      <c r="E156" s="14">
        <f>Data!L156</f>
        <v>0</v>
      </c>
      <c r="F156" s="12">
        <f t="shared" si="2"/>
        <v>-1</v>
      </c>
    </row>
    <row r="157" spans="2:6" ht="15" customHeight="1" x14ac:dyDescent="0.3">
      <c r="C157" s="3"/>
      <c r="D157" s="8">
        <v>2015</v>
      </c>
      <c r="E157" s="14">
        <f>Data!L157</f>
        <v>0</v>
      </c>
      <c r="F157" s="12">
        <f t="shared" si="2"/>
        <v>0</v>
      </c>
    </row>
    <row r="158" spans="2:6" ht="15" customHeight="1" x14ac:dyDescent="0.3">
      <c r="C158" s="3"/>
      <c r="D158" s="8">
        <v>2016</v>
      </c>
      <c r="E158" s="14">
        <f>Data!L158</f>
        <v>0</v>
      </c>
      <c r="F158" s="12">
        <f t="shared" si="2"/>
        <v>0</v>
      </c>
    </row>
    <row r="159" spans="2:6" ht="15" customHeight="1" x14ac:dyDescent="0.3">
      <c r="C159" s="3"/>
      <c r="D159" s="8">
        <v>2017</v>
      </c>
      <c r="E159" s="14">
        <f>Data!L159</f>
        <v>25110390000</v>
      </c>
      <c r="F159" s="12">
        <f t="shared" si="2"/>
        <v>0</v>
      </c>
    </row>
    <row r="160" spans="2:6" ht="15" customHeight="1" x14ac:dyDescent="0.3">
      <c r="C160" s="3"/>
      <c r="D160" s="8">
        <v>2018</v>
      </c>
      <c r="E160" s="14">
        <f>Data!L160</f>
        <v>50628930000</v>
      </c>
      <c r="F160" s="12">
        <f t="shared" si="2"/>
        <v>1.0162542278315869</v>
      </c>
    </row>
    <row r="161" spans="2:6" ht="15" customHeight="1" x14ac:dyDescent="0.3">
      <c r="C161" s="3"/>
      <c r="D161" s="8">
        <v>2019</v>
      </c>
      <c r="E161" s="14">
        <f>Data!L161</f>
        <v>63371110000</v>
      </c>
      <c r="F161" s="12">
        <f t="shared" si="2"/>
        <v>0.25167784505815155</v>
      </c>
    </row>
    <row r="162" spans="2:6" ht="15" customHeight="1" x14ac:dyDescent="0.3">
      <c r="C162" s="3"/>
      <c r="D162" s="8">
        <v>2020</v>
      </c>
      <c r="E162" s="14">
        <f>Data!L162</f>
        <v>85058940000</v>
      </c>
      <c r="F162" s="12">
        <f t="shared" si="2"/>
        <v>0.34223528671030062</v>
      </c>
    </row>
    <row r="163" spans="2:6" ht="15" customHeight="1" x14ac:dyDescent="0.3">
      <c r="C163" s="3"/>
      <c r="D163" s="8">
        <v>2021</v>
      </c>
      <c r="E163" s="14">
        <f>Data!L163</f>
        <v>107419400000</v>
      </c>
      <c r="F163" s="12">
        <f t="shared" si="2"/>
        <v>0.26288194985735774</v>
      </c>
    </row>
    <row r="164" spans="2:6" ht="15" customHeight="1" x14ac:dyDescent="0.3">
      <c r="C164" s="3"/>
      <c r="D164" s="8">
        <v>2022</v>
      </c>
      <c r="E164" s="14">
        <f>Data!L164</f>
        <v>166943710000</v>
      </c>
      <c r="F164" s="12">
        <f t="shared" si="2"/>
        <v>0.55412998024565396</v>
      </c>
    </row>
    <row r="165" spans="2:6" ht="15" customHeight="1" x14ac:dyDescent="0.3">
      <c r="C165" s="3"/>
      <c r="D165" s="8">
        <v>2023</v>
      </c>
      <c r="E165" s="14">
        <f>Data!L165</f>
        <v>187754620000</v>
      </c>
      <c r="F165" s="12">
        <f t="shared" si="2"/>
        <v>0.12465824558469439</v>
      </c>
    </row>
    <row r="166" spans="2:6" ht="15" customHeight="1" x14ac:dyDescent="0.3">
      <c r="C166" s="3"/>
      <c r="D166" s="8">
        <v>2024</v>
      </c>
      <c r="E166" s="14">
        <f>Data!L166</f>
        <v>318804320000</v>
      </c>
      <c r="F166" s="12">
        <f t="shared" si="2"/>
        <v>0.69798388982385628</v>
      </c>
    </row>
    <row r="167" spans="2:6" ht="15" customHeight="1" x14ac:dyDescent="0.3">
      <c r="B167" s="8">
        <v>16</v>
      </c>
      <c r="C167" s="3" t="s">
        <v>44</v>
      </c>
      <c r="D167" s="8">
        <v>2014</v>
      </c>
      <c r="E167" s="14">
        <f>Data!L167</f>
        <v>0</v>
      </c>
      <c r="F167" s="12">
        <f t="shared" si="2"/>
        <v>-1</v>
      </c>
    </row>
    <row r="168" spans="2:6" ht="15" customHeight="1" x14ac:dyDescent="0.3">
      <c r="C168" s="3"/>
      <c r="D168" s="8">
        <v>2015</v>
      </c>
      <c r="E168" s="14">
        <f>Data!L168</f>
        <v>75007470000</v>
      </c>
      <c r="F168" s="12">
        <f t="shared" si="2"/>
        <v>0</v>
      </c>
    </row>
    <row r="169" spans="2:6" ht="15" customHeight="1" x14ac:dyDescent="0.3">
      <c r="C169" s="3"/>
      <c r="D169" s="8">
        <v>2016</v>
      </c>
      <c r="E169" s="14">
        <f>Data!L169</f>
        <v>131553030000</v>
      </c>
      <c r="F169" s="12">
        <f t="shared" si="2"/>
        <v>0.75386571497478849</v>
      </c>
    </row>
    <row r="170" spans="2:6" ht="15" customHeight="1" x14ac:dyDescent="0.3">
      <c r="C170" s="3"/>
      <c r="D170" s="8">
        <v>2017</v>
      </c>
      <c r="E170" s="14">
        <f>Data!L170</f>
        <v>168896700000</v>
      </c>
      <c r="F170" s="12">
        <f t="shared" si="2"/>
        <v>0.2838678060094853</v>
      </c>
    </row>
    <row r="171" spans="2:6" ht="15" customHeight="1" x14ac:dyDescent="0.3">
      <c r="C171" s="3"/>
      <c r="D171" s="8">
        <v>2018</v>
      </c>
      <c r="E171" s="14">
        <f>Data!L171</f>
        <v>153681640000</v>
      </c>
      <c r="F171" s="12">
        <f t="shared" si="2"/>
        <v>-9.008500462116785E-2</v>
      </c>
    </row>
    <row r="172" spans="2:6" ht="15" customHeight="1" x14ac:dyDescent="0.3">
      <c r="C172" s="3"/>
      <c r="D172" s="8">
        <v>2019</v>
      </c>
      <c r="E172" s="14">
        <f>Data!L172</f>
        <v>112147020000</v>
      </c>
      <c r="F172" s="12">
        <f t="shared" si="2"/>
        <v>-0.27026403414226968</v>
      </c>
    </row>
    <row r="173" spans="2:6" ht="15" customHeight="1" x14ac:dyDescent="0.3">
      <c r="C173" s="3"/>
      <c r="D173" s="8">
        <v>2020</v>
      </c>
      <c r="E173" s="14">
        <f>Data!L173</f>
        <v>144736577000</v>
      </c>
      <c r="F173" s="12">
        <f t="shared" si="2"/>
        <v>0.29059672740301079</v>
      </c>
    </row>
    <row r="174" spans="2:6" ht="15" customHeight="1" x14ac:dyDescent="0.3">
      <c r="C174" s="3"/>
      <c r="D174" s="8">
        <v>2021</v>
      </c>
      <c r="E174" s="14">
        <f>Data!L174</f>
        <v>277044210000</v>
      </c>
      <c r="F174" s="12">
        <f t="shared" si="2"/>
        <v>0.91412713871214457</v>
      </c>
    </row>
    <row r="175" spans="2:6" ht="15" customHeight="1" x14ac:dyDescent="0.3">
      <c r="C175" s="3"/>
      <c r="D175" s="8">
        <v>2022</v>
      </c>
      <c r="E175" s="14">
        <f>Data!L175</f>
        <v>221722880000</v>
      </c>
      <c r="F175" s="12">
        <f t="shared" si="2"/>
        <v>-0.19968412261710866</v>
      </c>
    </row>
    <row r="176" spans="2:6" ht="15" customHeight="1" x14ac:dyDescent="0.3">
      <c r="C176" s="3"/>
      <c r="D176" s="8">
        <v>2023</v>
      </c>
      <c r="E176" s="14">
        <f>Data!L176</f>
        <v>360053660000</v>
      </c>
      <c r="F176" s="12">
        <f t="shared" si="2"/>
        <v>0.62389041672199097</v>
      </c>
    </row>
    <row r="177" spans="2:6" ht="15" customHeight="1" x14ac:dyDescent="0.3">
      <c r="C177" s="3"/>
      <c r="D177" s="8">
        <v>2024</v>
      </c>
      <c r="E177" s="14">
        <f>Data!L177</f>
        <v>345390200000</v>
      </c>
      <c r="F177" s="12">
        <f t="shared" si="2"/>
        <v>-4.0725762932114065E-2</v>
      </c>
    </row>
    <row r="178" spans="2:6" ht="15" customHeight="1" x14ac:dyDescent="0.3">
      <c r="B178" s="8">
        <v>17</v>
      </c>
      <c r="C178" s="3" t="s">
        <v>22</v>
      </c>
      <c r="D178" s="8">
        <v>2014</v>
      </c>
      <c r="E178" s="14">
        <f>Data!L178</f>
        <v>0</v>
      </c>
      <c r="F178" s="12">
        <f t="shared" si="2"/>
        <v>-1</v>
      </c>
    </row>
    <row r="179" spans="2:6" ht="15" customHeight="1" x14ac:dyDescent="0.3">
      <c r="C179" s="3"/>
      <c r="D179" s="8">
        <v>2015</v>
      </c>
      <c r="E179" s="14">
        <f>Data!L179</f>
        <v>0</v>
      </c>
      <c r="F179" s="12">
        <f t="shared" si="2"/>
        <v>0</v>
      </c>
    </row>
    <row r="180" spans="2:6" ht="15" customHeight="1" x14ac:dyDescent="0.3">
      <c r="C180" s="3"/>
      <c r="D180" s="8">
        <v>2016</v>
      </c>
      <c r="E180" s="14">
        <f>Data!L180</f>
        <v>0</v>
      </c>
      <c r="F180" s="12">
        <f t="shared" si="2"/>
        <v>0</v>
      </c>
    </row>
    <row r="181" spans="2:6" ht="15" customHeight="1" x14ac:dyDescent="0.3">
      <c r="C181" s="3"/>
      <c r="D181" s="8">
        <v>2017</v>
      </c>
      <c r="E181" s="14">
        <f>Data!L181</f>
        <v>0</v>
      </c>
      <c r="F181" s="12">
        <f t="shared" si="2"/>
        <v>0</v>
      </c>
    </row>
    <row r="182" spans="2:6" ht="15" customHeight="1" x14ac:dyDescent="0.3">
      <c r="C182" s="3"/>
      <c r="D182" s="8">
        <v>2018</v>
      </c>
      <c r="E182" s="14">
        <f>Data!L182</f>
        <v>0</v>
      </c>
      <c r="F182" s="12">
        <f t="shared" si="2"/>
        <v>0</v>
      </c>
    </row>
    <row r="183" spans="2:6" ht="15" customHeight="1" x14ac:dyDescent="0.3">
      <c r="C183" s="3"/>
      <c r="D183" s="8">
        <v>2019</v>
      </c>
      <c r="E183" s="14">
        <f>Data!L183</f>
        <v>-62952000000</v>
      </c>
      <c r="F183" s="12">
        <f t="shared" si="2"/>
        <v>0</v>
      </c>
    </row>
    <row r="184" spans="2:6" ht="15" customHeight="1" x14ac:dyDescent="0.3">
      <c r="C184" s="3"/>
      <c r="D184" s="8">
        <v>2020</v>
      </c>
      <c r="E184" s="14">
        <f>Data!L184</f>
        <v>15233000000</v>
      </c>
      <c r="F184" s="12">
        <f t="shared" si="2"/>
        <v>-1.2419780149955522</v>
      </c>
    </row>
    <row r="185" spans="2:6" ht="15" customHeight="1" x14ac:dyDescent="0.3">
      <c r="C185" s="3"/>
      <c r="D185" s="8">
        <v>2021</v>
      </c>
      <c r="E185" s="14">
        <f>Data!L185</f>
        <v>-28472000000</v>
      </c>
      <c r="F185" s="12">
        <f t="shared" si="2"/>
        <v>-2.869099980305915</v>
      </c>
    </row>
    <row r="186" spans="2:6" ht="15" customHeight="1" x14ac:dyDescent="0.3">
      <c r="C186" s="3"/>
      <c r="D186" s="8">
        <v>2022</v>
      </c>
      <c r="E186" s="14">
        <f>Data!L186</f>
        <v>11106000000</v>
      </c>
      <c r="F186" s="12">
        <f t="shared" si="2"/>
        <v>-1.3900674346726609</v>
      </c>
    </row>
    <row r="187" spans="2:6" ht="15" customHeight="1" x14ac:dyDescent="0.3">
      <c r="C187" s="3"/>
      <c r="D187" s="8">
        <v>2023</v>
      </c>
      <c r="E187" s="14">
        <f>Data!L187</f>
        <v>110788000000</v>
      </c>
      <c r="F187" s="12">
        <f t="shared" si="2"/>
        <v>8.975508734017648</v>
      </c>
    </row>
    <row r="188" spans="2:6" ht="15" customHeight="1" x14ac:dyDescent="0.3">
      <c r="C188" s="3"/>
      <c r="D188" s="8">
        <v>2024</v>
      </c>
      <c r="E188" s="14">
        <f>Data!L188</f>
        <v>164460000000</v>
      </c>
      <c r="F188" s="12">
        <f t="shared" si="2"/>
        <v>0.48445680037549194</v>
      </c>
    </row>
    <row r="189" spans="2:6" ht="15" customHeight="1" x14ac:dyDescent="0.3">
      <c r="B189" s="8">
        <v>18</v>
      </c>
      <c r="C189" s="3" t="s">
        <v>45</v>
      </c>
      <c r="D189" s="8">
        <v>2014</v>
      </c>
      <c r="E189" s="14">
        <f>Data!L189</f>
        <v>72618000000</v>
      </c>
      <c r="F189" s="12">
        <f t="shared" si="2"/>
        <v>-0.55844582269244802</v>
      </c>
    </row>
    <row r="190" spans="2:6" ht="15" customHeight="1" x14ac:dyDescent="0.3">
      <c r="C190" s="3"/>
      <c r="D190" s="8">
        <v>2015</v>
      </c>
      <c r="E190" s="14">
        <f>Data!L190</f>
        <v>77370000000</v>
      </c>
      <c r="F190" s="12">
        <f t="shared" si="2"/>
        <v>6.5438321077418815E-2</v>
      </c>
    </row>
    <row r="191" spans="2:6" ht="15" customHeight="1" x14ac:dyDescent="0.3">
      <c r="C191" s="3"/>
      <c r="D191" s="8">
        <v>2016</v>
      </c>
      <c r="E191" s="14">
        <f>Data!L191</f>
        <v>74738000000</v>
      </c>
      <c r="F191" s="12">
        <f t="shared" si="2"/>
        <v>-3.4018353366938092E-2</v>
      </c>
    </row>
    <row r="192" spans="2:6" ht="15" customHeight="1" x14ac:dyDescent="0.3">
      <c r="C192" s="3"/>
      <c r="D192" s="8">
        <v>2017</v>
      </c>
      <c r="E192" s="14">
        <f>Data!L192</f>
        <v>94242000000</v>
      </c>
      <c r="F192" s="12">
        <f t="shared" si="2"/>
        <v>0.26096497096523857</v>
      </c>
    </row>
    <row r="193" spans="2:6" ht="15" customHeight="1" x14ac:dyDescent="0.3">
      <c r="C193" s="3"/>
      <c r="D193" s="8">
        <v>2018</v>
      </c>
      <c r="E193" s="14">
        <f>Data!L193</f>
        <v>64629000000</v>
      </c>
      <c r="F193" s="12">
        <f t="shared" si="2"/>
        <v>-0.31422295791685234</v>
      </c>
    </row>
    <row r="194" spans="2:6" ht="15" customHeight="1" x14ac:dyDescent="0.3">
      <c r="C194" s="3"/>
      <c r="D194" s="8">
        <v>2019</v>
      </c>
      <c r="E194" s="14">
        <f>Data!L194</f>
        <v>93387000000</v>
      </c>
      <c r="F194" s="12">
        <f t="shared" si="2"/>
        <v>0.4449705240681428</v>
      </c>
    </row>
    <row r="195" spans="2:6" ht="15" customHeight="1" x14ac:dyDescent="0.3">
      <c r="C195" s="3"/>
      <c r="D195" s="8">
        <v>2020</v>
      </c>
      <c r="E195" s="14">
        <f>Data!L195</f>
        <v>68530000000</v>
      </c>
      <c r="F195" s="12">
        <f t="shared" ref="F195:F258" si="3">IFERROR((E195-E194)/E194,0)</f>
        <v>-0.26617195112810133</v>
      </c>
    </row>
    <row r="196" spans="2:6" ht="15" customHeight="1" x14ac:dyDescent="0.3">
      <c r="C196" s="3"/>
      <c r="D196" s="8">
        <v>2021</v>
      </c>
      <c r="E196" s="14">
        <f>Data!L196</f>
        <v>78144000000</v>
      </c>
      <c r="F196" s="12">
        <f t="shared" si="3"/>
        <v>0.14028892455858749</v>
      </c>
    </row>
    <row r="197" spans="2:6" ht="15" customHeight="1" x14ac:dyDescent="0.3">
      <c r="C197" s="3"/>
      <c r="D197" s="8">
        <v>2022</v>
      </c>
      <c r="E197" s="14">
        <f>Data!L197</f>
        <v>71021000000</v>
      </c>
      <c r="F197" s="12">
        <f t="shared" si="3"/>
        <v>-9.1152231777231779E-2</v>
      </c>
    </row>
    <row r="198" spans="2:6" ht="15" customHeight="1" x14ac:dyDescent="0.3">
      <c r="C198" s="3"/>
      <c r="D198" s="8">
        <v>2023</v>
      </c>
      <c r="E198" s="14">
        <f>Data!L198</f>
        <v>100267000000</v>
      </c>
      <c r="F198" s="12">
        <f t="shared" si="3"/>
        <v>0.4117936948226581</v>
      </c>
    </row>
    <row r="199" spans="2:6" ht="15" customHeight="1" x14ac:dyDescent="0.3">
      <c r="C199" s="3"/>
      <c r="D199" s="8">
        <v>2024</v>
      </c>
      <c r="E199" s="14">
        <f>Data!L199</f>
        <v>183905000000</v>
      </c>
      <c r="F199" s="12">
        <f t="shared" si="3"/>
        <v>0.83415281199198144</v>
      </c>
    </row>
    <row r="200" spans="2:6" ht="15" customHeight="1" x14ac:dyDescent="0.3">
      <c r="B200" s="8">
        <v>19</v>
      </c>
      <c r="C200" s="3" t="s">
        <v>46</v>
      </c>
      <c r="D200" s="8">
        <v>2014</v>
      </c>
      <c r="E200" s="14">
        <f>Data!L200</f>
        <v>4177317000000</v>
      </c>
      <c r="F200" s="12">
        <f t="shared" si="3"/>
        <v>21.714537397025637</v>
      </c>
    </row>
    <row r="201" spans="2:6" ht="15" customHeight="1" x14ac:dyDescent="0.3">
      <c r="C201" s="3"/>
      <c r="D201" s="8">
        <v>2015</v>
      </c>
      <c r="E201" s="14">
        <f>Data!L201</f>
        <v>3749972000000</v>
      </c>
      <c r="F201" s="12">
        <f t="shared" si="3"/>
        <v>-0.10230130966838284</v>
      </c>
    </row>
    <row r="202" spans="2:6" ht="15" customHeight="1" x14ac:dyDescent="0.3">
      <c r="C202" s="3"/>
      <c r="D202" s="8">
        <v>2016</v>
      </c>
      <c r="E202" s="14">
        <f>Data!L202</f>
        <v>4687411000000</v>
      </c>
      <c r="F202" s="12">
        <f t="shared" si="3"/>
        <v>0.2499855998924792</v>
      </c>
    </row>
    <row r="203" spans="2:6" ht="15" customHeight="1" x14ac:dyDescent="0.3">
      <c r="C203" s="3"/>
      <c r="D203" s="8">
        <v>2017</v>
      </c>
      <c r="E203" s="14">
        <f>Data!L203</f>
        <v>5407699000000</v>
      </c>
      <c r="F203" s="12">
        <f t="shared" si="3"/>
        <v>0.15366435757393582</v>
      </c>
    </row>
    <row r="204" spans="2:6" ht="15" customHeight="1" x14ac:dyDescent="0.3">
      <c r="C204" s="3"/>
      <c r="D204" s="8">
        <v>2018</v>
      </c>
      <c r="E204" s="14">
        <f>Data!L204</f>
        <v>3493485000000</v>
      </c>
      <c r="F204" s="12">
        <f t="shared" si="3"/>
        <v>-0.35397939123460831</v>
      </c>
    </row>
    <row r="205" spans="2:6" ht="15" customHeight="1" x14ac:dyDescent="0.3">
      <c r="C205" s="3"/>
      <c r="D205" s="8">
        <v>2019</v>
      </c>
      <c r="E205" s="14">
        <f>Data!L205</f>
        <v>4443975000000</v>
      </c>
      <c r="F205" s="12">
        <f t="shared" si="3"/>
        <v>0.27207501964370823</v>
      </c>
    </row>
    <row r="206" spans="2:6" ht="15" customHeight="1" x14ac:dyDescent="0.3">
      <c r="C206" s="3"/>
      <c r="D206" s="8">
        <v>2020</v>
      </c>
      <c r="E206" s="14">
        <f>Data!L206</f>
        <v>3909558000000</v>
      </c>
      <c r="F206" s="12">
        <f t="shared" si="3"/>
        <v>-0.12025652709567448</v>
      </c>
    </row>
    <row r="207" spans="2:6" ht="15" customHeight="1" x14ac:dyDescent="0.3">
      <c r="C207" s="3"/>
      <c r="D207" s="8">
        <v>2021</v>
      </c>
      <c r="E207" s="14">
        <f>Data!L207</f>
        <v>3593844000000</v>
      </c>
      <c r="F207" s="12">
        <f t="shared" si="3"/>
        <v>-8.0754397300155156E-2</v>
      </c>
    </row>
    <row r="208" spans="2:6" ht="15" customHeight="1" x14ac:dyDescent="0.3">
      <c r="C208" s="3"/>
      <c r="D208" s="8">
        <v>2022</v>
      </c>
      <c r="E208" s="14">
        <f>Data!L208</f>
        <v>3564387000000</v>
      </c>
      <c r="F208" s="12">
        <f t="shared" si="3"/>
        <v>-8.1965160424325601E-3</v>
      </c>
    </row>
    <row r="209" spans="2:6" ht="15" customHeight="1" x14ac:dyDescent="0.3">
      <c r="C209" s="3"/>
      <c r="D209" s="8">
        <v>2023</v>
      </c>
      <c r="E209" s="14">
        <f>Data!L209</f>
        <v>3855345000000</v>
      </c>
      <c r="F209" s="12">
        <f t="shared" si="3"/>
        <v>8.1629183363086E-2</v>
      </c>
    </row>
    <row r="210" spans="2:6" ht="15" customHeight="1" x14ac:dyDescent="0.3">
      <c r="C210" s="3"/>
      <c r="D210" s="8">
        <v>2024</v>
      </c>
      <c r="E210" s="14">
        <f>Data!L210</f>
        <v>3922126000000</v>
      </c>
      <c r="F210" s="12">
        <f t="shared" si="3"/>
        <v>1.732166641377101E-2</v>
      </c>
    </row>
    <row r="211" spans="2:6" ht="15" customHeight="1" x14ac:dyDescent="0.3">
      <c r="B211" s="8">
        <v>20</v>
      </c>
      <c r="C211" s="3" t="s">
        <v>27</v>
      </c>
      <c r="D211" s="8">
        <v>2014</v>
      </c>
      <c r="E211" s="14">
        <f>Data!L211</f>
        <v>0</v>
      </c>
      <c r="F211" s="12">
        <f t="shared" si="3"/>
        <v>-1</v>
      </c>
    </row>
    <row r="212" spans="2:6" ht="15" customHeight="1" x14ac:dyDescent="0.3">
      <c r="C212" s="3"/>
      <c r="D212" s="8">
        <v>2015</v>
      </c>
      <c r="E212" s="14">
        <f>Data!L212</f>
        <v>0</v>
      </c>
      <c r="F212" s="12">
        <f t="shared" si="3"/>
        <v>0</v>
      </c>
    </row>
    <row r="213" spans="2:6" ht="15" customHeight="1" x14ac:dyDescent="0.3">
      <c r="C213" s="3"/>
      <c r="D213" s="8">
        <v>2016</v>
      </c>
      <c r="E213" s="14">
        <f>Data!L213</f>
        <v>0</v>
      </c>
      <c r="F213" s="12">
        <f t="shared" si="3"/>
        <v>0</v>
      </c>
    </row>
    <row r="214" spans="2:6" ht="15" customHeight="1" x14ac:dyDescent="0.3">
      <c r="C214" s="3"/>
      <c r="D214" s="8">
        <v>2017</v>
      </c>
      <c r="E214" s="14">
        <f>Data!L214</f>
        <v>6212000000</v>
      </c>
      <c r="F214" s="12">
        <f t="shared" si="3"/>
        <v>0</v>
      </c>
    </row>
    <row r="215" spans="2:6" ht="15" customHeight="1" x14ac:dyDescent="0.3">
      <c r="C215" s="3"/>
      <c r="D215" s="8">
        <v>2018</v>
      </c>
      <c r="E215" s="14">
        <f>Data!L215</f>
        <v>6023000000</v>
      </c>
      <c r="F215" s="12">
        <f t="shared" si="3"/>
        <v>-3.0424983902124919E-2</v>
      </c>
    </row>
    <row r="216" spans="2:6" ht="15" customHeight="1" x14ac:dyDescent="0.3">
      <c r="C216" s="3"/>
      <c r="D216" s="8">
        <v>2019</v>
      </c>
      <c r="E216" s="14">
        <f>Data!L216</f>
        <v>2842715000000</v>
      </c>
      <c r="F216" s="12">
        <f t="shared" si="3"/>
        <v>470.97658973933255</v>
      </c>
    </row>
    <row r="217" spans="2:6" ht="15" customHeight="1" x14ac:dyDescent="0.3">
      <c r="C217" s="3"/>
      <c r="D217" s="8">
        <v>2020</v>
      </c>
      <c r="E217" s="14">
        <f>Data!L217</f>
        <v>2041768000000</v>
      </c>
      <c r="F217" s="12">
        <f t="shared" si="3"/>
        <v>-0.28175423846569214</v>
      </c>
    </row>
    <row r="218" spans="2:6" ht="15" customHeight="1" x14ac:dyDescent="0.3">
      <c r="C218" s="3"/>
      <c r="D218" s="8">
        <v>2021</v>
      </c>
      <c r="E218" s="14">
        <f>Data!L218</f>
        <v>2872190000000</v>
      </c>
      <c r="F218" s="12">
        <f t="shared" si="3"/>
        <v>0.4067171196727542</v>
      </c>
    </row>
    <row r="219" spans="2:6" ht="15" customHeight="1" x14ac:dyDescent="0.3">
      <c r="C219" s="3"/>
      <c r="D219" s="8">
        <v>2022</v>
      </c>
      <c r="E219" s="14">
        <f>Data!L219</f>
        <v>4304082000000</v>
      </c>
      <c r="F219" s="12">
        <f t="shared" si="3"/>
        <v>0.49853665669750258</v>
      </c>
    </row>
    <row r="220" spans="2:6" ht="15" customHeight="1" x14ac:dyDescent="0.3">
      <c r="C220" s="3"/>
      <c r="D220" s="8">
        <v>2023</v>
      </c>
      <c r="E220" s="14">
        <f>Data!L220</f>
        <v>2747521000000</v>
      </c>
      <c r="F220" s="12">
        <f t="shared" si="3"/>
        <v>-0.36164761730840628</v>
      </c>
    </row>
    <row r="221" spans="2:6" ht="15" customHeight="1" x14ac:dyDescent="0.3">
      <c r="C221" s="3"/>
      <c r="D221" s="8">
        <v>2024</v>
      </c>
      <c r="E221" s="14">
        <f>Data!L221</f>
        <v>2978648000000</v>
      </c>
      <c r="F221" s="12">
        <f t="shared" si="3"/>
        <v>8.4122013990065955E-2</v>
      </c>
    </row>
    <row r="222" spans="2:6" ht="15" customHeight="1" x14ac:dyDescent="0.3">
      <c r="B222" s="8">
        <v>21</v>
      </c>
      <c r="C222" s="4" t="s">
        <v>52</v>
      </c>
      <c r="D222" s="8">
        <v>2014</v>
      </c>
      <c r="E222" s="14">
        <f>Data!L222</f>
        <v>67607000000</v>
      </c>
      <c r="F222" s="12">
        <f t="shared" si="3"/>
        <v>-0.97730278972204843</v>
      </c>
    </row>
    <row r="223" spans="2:6" ht="15" customHeight="1" x14ac:dyDescent="0.3">
      <c r="C223" s="4"/>
      <c r="D223" s="8">
        <v>2015</v>
      </c>
      <c r="E223" s="14">
        <f>Data!L223</f>
        <v>71339000000</v>
      </c>
      <c r="F223" s="12">
        <f t="shared" si="3"/>
        <v>5.5201384472022129E-2</v>
      </c>
    </row>
    <row r="224" spans="2:6" ht="15" customHeight="1" x14ac:dyDescent="0.3">
      <c r="C224" s="4"/>
      <c r="D224" s="8">
        <v>2016</v>
      </c>
      <c r="E224" s="14">
        <f>Data!L224</f>
        <v>69749000000</v>
      </c>
      <c r="F224" s="12">
        <f t="shared" si="3"/>
        <v>-2.2287949088156549E-2</v>
      </c>
    </row>
    <row r="225" spans="2:6" ht="15" customHeight="1" x14ac:dyDescent="0.3">
      <c r="C225" s="4"/>
      <c r="D225" s="8">
        <v>2017</v>
      </c>
      <c r="E225" s="14">
        <f>Data!L225</f>
        <v>157139000000</v>
      </c>
      <c r="F225" s="12">
        <f t="shared" si="3"/>
        <v>1.2529211888342484</v>
      </c>
    </row>
    <row r="226" spans="2:6" ht="15" customHeight="1" x14ac:dyDescent="0.3">
      <c r="C226" s="4"/>
      <c r="D226" s="8">
        <v>2018</v>
      </c>
      <c r="E226" s="14">
        <f>Data!L226</f>
        <v>155016000000</v>
      </c>
      <c r="F226" s="12">
        <f t="shared" si="3"/>
        <v>-1.3510331617230606E-2</v>
      </c>
    </row>
    <row r="227" spans="2:6" ht="15" customHeight="1" x14ac:dyDescent="0.3">
      <c r="C227" s="4"/>
      <c r="D227" s="8">
        <v>2019</v>
      </c>
      <c r="E227" s="14">
        <f>Data!L227</f>
        <v>197170000000</v>
      </c>
      <c r="F227" s="12">
        <f t="shared" si="3"/>
        <v>0.27193321979666613</v>
      </c>
    </row>
    <row r="228" spans="2:6" ht="15" customHeight="1" x14ac:dyDescent="0.3">
      <c r="C228" s="4"/>
      <c r="D228" s="8">
        <v>2020</v>
      </c>
      <c r="E228" s="14">
        <f>Data!L228</f>
        <v>277917000000</v>
      </c>
      <c r="F228" s="12">
        <f t="shared" si="3"/>
        <v>0.40952984733985903</v>
      </c>
    </row>
    <row r="229" spans="2:6" ht="15" customHeight="1" x14ac:dyDescent="0.3">
      <c r="C229" s="4"/>
      <c r="D229" s="8">
        <v>2021</v>
      </c>
      <c r="E229" s="14">
        <f>Data!L229</f>
        <v>332887000000</v>
      </c>
      <c r="F229" s="12">
        <f t="shared" si="3"/>
        <v>0.19779286621545281</v>
      </c>
    </row>
    <row r="230" spans="2:6" ht="15" customHeight="1" x14ac:dyDescent="0.3">
      <c r="C230" s="4"/>
      <c r="D230" s="8">
        <v>2022</v>
      </c>
      <c r="E230" s="14">
        <f>Data!L230</f>
        <v>540219000000</v>
      </c>
      <c r="F230" s="12">
        <f t="shared" si="3"/>
        <v>0.62282996932893142</v>
      </c>
    </row>
    <row r="231" spans="2:6" ht="15" customHeight="1" x14ac:dyDescent="0.3">
      <c r="C231" s="4"/>
      <c r="D231" s="8">
        <v>2023</v>
      </c>
      <c r="E231" s="14">
        <f>Data!L231</f>
        <v>642675000000</v>
      </c>
      <c r="F231" s="12">
        <f t="shared" si="3"/>
        <v>0.18965641711972367</v>
      </c>
    </row>
    <row r="232" spans="2:6" ht="15" customHeight="1" x14ac:dyDescent="0.3">
      <c r="C232" s="4"/>
      <c r="D232" s="8">
        <v>2024</v>
      </c>
      <c r="E232" s="14">
        <f>Data!L232</f>
        <v>738207000000</v>
      </c>
      <c r="F232" s="12">
        <f t="shared" si="3"/>
        <v>0.14864745011086475</v>
      </c>
    </row>
    <row r="233" spans="2:6" ht="15" customHeight="1" x14ac:dyDescent="0.3">
      <c r="B233" s="8">
        <v>22</v>
      </c>
      <c r="C233" s="4" t="s">
        <v>53</v>
      </c>
      <c r="D233" s="8">
        <v>2014</v>
      </c>
      <c r="E233" s="14">
        <f>Data!L233</f>
        <v>0</v>
      </c>
      <c r="F233" s="12">
        <f t="shared" si="3"/>
        <v>-1</v>
      </c>
    </row>
    <row r="234" spans="2:6" ht="15" customHeight="1" x14ac:dyDescent="0.3">
      <c r="C234" s="4"/>
      <c r="D234" s="8">
        <v>2015</v>
      </c>
      <c r="E234" s="14">
        <f>Data!L234</f>
        <v>0</v>
      </c>
      <c r="F234" s="12">
        <f t="shared" si="3"/>
        <v>0</v>
      </c>
    </row>
    <row r="235" spans="2:6" ht="15" customHeight="1" x14ac:dyDescent="0.3">
      <c r="C235" s="4"/>
      <c r="D235" s="8">
        <v>2016</v>
      </c>
      <c r="E235" s="14">
        <f>Data!L235</f>
        <v>1515000000</v>
      </c>
      <c r="F235" s="12">
        <f t="shared" si="3"/>
        <v>0</v>
      </c>
    </row>
    <row r="236" spans="2:6" ht="15" customHeight="1" x14ac:dyDescent="0.3">
      <c r="C236" s="4"/>
      <c r="D236" s="8">
        <v>2017</v>
      </c>
      <c r="E236" s="14">
        <f>Data!L236</f>
        <v>24220000000</v>
      </c>
      <c r="F236" s="12">
        <f t="shared" si="3"/>
        <v>14.986798679867986</v>
      </c>
    </row>
    <row r="237" spans="2:6" ht="15" customHeight="1" x14ac:dyDescent="0.3">
      <c r="C237" s="4"/>
      <c r="D237" s="8">
        <v>2018</v>
      </c>
      <c r="E237" s="14">
        <f>Data!L237</f>
        <v>39849000000</v>
      </c>
      <c r="F237" s="12">
        <f t="shared" si="3"/>
        <v>0.64529314616019817</v>
      </c>
    </row>
    <row r="238" spans="2:6" ht="15" customHeight="1" x14ac:dyDescent="0.3">
      <c r="C238" s="4"/>
      <c r="D238" s="8">
        <v>2019</v>
      </c>
      <c r="E238" s="14">
        <f>Data!L238</f>
        <v>20661000000</v>
      </c>
      <c r="F238" s="12">
        <f t="shared" si="3"/>
        <v>-0.48151772942859294</v>
      </c>
    </row>
    <row r="239" spans="2:6" ht="15" customHeight="1" x14ac:dyDescent="0.3">
      <c r="C239" s="4"/>
      <c r="D239" s="8">
        <v>2020</v>
      </c>
      <c r="E239" s="14">
        <f>Data!L239</f>
        <v>16597000000</v>
      </c>
      <c r="F239" s="12">
        <f t="shared" si="3"/>
        <v>-0.19669909491312135</v>
      </c>
    </row>
    <row r="240" spans="2:6" ht="15" customHeight="1" x14ac:dyDescent="0.3">
      <c r="C240" s="4"/>
      <c r="D240" s="8">
        <v>2021</v>
      </c>
      <c r="E240" s="14">
        <f>Data!L240</f>
        <v>16328000000</v>
      </c>
      <c r="F240" s="12">
        <f t="shared" si="3"/>
        <v>-1.620774838826294E-2</v>
      </c>
    </row>
    <row r="241" spans="2:6" ht="15" customHeight="1" x14ac:dyDescent="0.3">
      <c r="C241" s="4"/>
      <c r="D241" s="8">
        <v>2022</v>
      </c>
      <c r="E241" s="14">
        <f>Data!L241</f>
        <v>12402000000</v>
      </c>
      <c r="F241" s="12">
        <f t="shared" si="3"/>
        <v>-0.24044585987261147</v>
      </c>
    </row>
    <row r="242" spans="2:6" ht="15" customHeight="1" x14ac:dyDescent="0.3">
      <c r="C242" s="4"/>
      <c r="D242" s="8">
        <v>2023</v>
      </c>
      <c r="E242" s="14">
        <f>Data!L242</f>
        <v>9694000000</v>
      </c>
      <c r="F242" s="12">
        <f t="shared" si="3"/>
        <v>-0.21835187872923723</v>
      </c>
    </row>
    <row r="243" spans="2:6" ht="15" customHeight="1" x14ac:dyDescent="0.3">
      <c r="C243" s="4"/>
      <c r="D243" s="8">
        <v>2024</v>
      </c>
      <c r="E243" s="14">
        <f>Data!L243</f>
        <v>9208000000</v>
      </c>
      <c r="F243" s="12">
        <f t="shared" si="3"/>
        <v>-5.0134103569218075E-2</v>
      </c>
    </row>
    <row r="244" spans="2:6" ht="15" customHeight="1" x14ac:dyDescent="0.3">
      <c r="B244" s="8">
        <v>23</v>
      </c>
      <c r="C244" s="4" t="s">
        <v>51</v>
      </c>
      <c r="D244" s="8">
        <v>2014</v>
      </c>
      <c r="E244" s="14">
        <f>Data!L244</f>
        <v>809000000</v>
      </c>
      <c r="F244" s="12">
        <f t="shared" si="3"/>
        <v>-0.912141615986099</v>
      </c>
    </row>
    <row r="245" spans="2:6" ht="15" customHeight="1" x14ac:dyDescent="0.3">
      <c r="C245" s="4"/>
      <c r="D245" s="8">
        <v>2015</v>
      </c>
      <c r="E245" s="14">
        <f>Data!L245</f>
        <v>6062000000</v>
      </c>
      <c r="F245" s="12">
        <f t="shared" si="3"/>
        <v>6.4932014833127321</v>
      </c>
    </row>
    <row r="246" spans="2:6" ht="15" customHeight="1" x14ac:dyDescent="0.3">
      <c r="C246" s="4"/>
      <c r="D246" s="8">
        <v>2016</v>
      </c>
      <c r="E246" s="14">
        <f>Data!L246</f>
        <v>6499000000</v>
      </c>
      <c r="F246" s="12">
        <f t="shared" si="3"/>
        <v>7.2088419663477399E-2</v>
      </c>
    </row>
    <row r="247" spans="2:6" ht="15" customHeight="1" x14ac:dyDescent="0.3">
      <c r="C247" s="4"/>
      <c r="D247" s="8">
        <v>2017</v>
      </c>
      <c r="E247" s="14">
        <f>Data!L247</f>
        <v>8023000000</v>
      </c>
      <c r="F247" s="12">
        <f t="shared" si="3"/>
        <v>0.23449761501769503</v>
      </c>
    </row>
    <row r="248" spans="2:6" ht="15" customHeight="1" x14ac:dyDescent="0.3">
      <c r="C248" s="4"/>
      <c r="D248" s="8">
        <v>2018</v>
      </c>
      <c r="E248" s="14">
        <f>Data!L248</f>
        <v>14793000000</v>
      </c>
      <c r="F248" s="12">
        <f t="shared" si="3"/>
        <v>0.8438240059827995</v>
      </c>
    </row>
    <row r="249" spans="2:6" ht="15" customHeight="1" x14ac:dyDescent="0.3">
      <c r="C249" s="4"/>
      <c r="D249" s="8">
        <v>2019</v>
      </c>
      <c r="E249" s="14">
        <f>Data!L249</f>
        <v>30942000000</v>
      </c>
      <c r="F249" s="12">
        <f t="shared" si="3"/>
        <v>1.0916649766781585</v>
      </c>
    </row>
    <row r="250" spans="2:6" ht="15" customHeight="1" x14ac:dyDescent="0.3">
      <c r="C250" s="4"/>
      <c r="D250" s="8">
        <v>2020</v>
      </c>
      <c r="E250" s="14">
        <f>Data!L250</f>
        <v>44418000000</v>
      </c>
      <c r="F250" s="12">
        <f t="shared" si="3"/>
        <v>0.43552452976536749</v>
      </c>
    </row>
    <row r="251" spans="2:6" ht="15" customHeight="1" x14ac:dyDescent="0.3">
      <c r="C251" s="4"/>
      <c r="D251" s="8">
        <v>2021</v>
      </c>
      <c r="E251" s="14">
        <f>Data!L251</f>
        <v>53024000000</v>
      </c>
      <c r="F251" s="12">
        <f t="shared" si="3"/>
        <v>0.19375028141744338</v>
      </c>
    </row>
    <row r="252" spans="2:6" ht="15" customHeight="1" x14ac:dyDescent="0.3">
      <c r="C252" s="4"/>
      <c r="D252" s="8">
        <v>2022</v>
      </c>
      <c r="E252" s="14">
        <f>Data!L252</f>
        <v>48831000000</v>
      </c>
      <c r="F252" s="12">
        <f t="shared" si="3"/>
        <v>-7.9077398913699457E-2</v>
      </c>
    </row>
    <row r="253" spans="2:6" ht="15" customHeight="1" x14ac:dyDescent="0.3">
      <c r="C253" s="4"/>
      <c r="D253" s="8">
        <v>2023</v>
      </c>
      <c r="E253" s="14">
        <f>Data!L253</f>
        <v>72645000000</v>
      </c>
      <c r="F253" s="12">
        <f t="shared" si="3"/>
        <v>0.4876820052835289</v>
      </c>
    </row>
    <row r="254" spans="2:6" ht="15" customHeight="1" x14ac:dyDescent="0.3">
      <c r="C254" s="4"/>
      <c r="D254" s="8">
        <v>2024</v>
      </c>
      <c r="E254" s="14">
        <f>Data!L254</f>
        <v>79470000000</v>
      </c>
      <c r="F254" s="12">
        <f t="shared" si="3"/>
        <v>9.3950030972537679E-2</v>
      </c>
    </row>
    <row r="255" spans="2:6" ht="15" customHeight="1" x14ac:dyDescent="0.3">
      <c r="B255" s="8">
        <v>24</v>
      </c>
      <c r="C255" s="4" t="s">
        <v>50</v>
      </c>
      <c r="D255" s="8">
        <v>2014</v>
      </c>
      <c r="E255" s="14">
        <f>Data!L255</f>
        <v>14182000000</v>
      </c>
      <c r="F255" s="12">
        <f t="shared" si="3"/>
        <v>-0.821542720523468</v>
      </c>
    </row>
    <row r="256" spans="2:6" ht="15" customHeight="1" x14ac:dyDescent="0.3">
      <c r="C256" s="4"/>
      <c r="D256" s="8">
        <v>2015</v>
      </c>
      <c r="E256" s="14">
        <f>Data!L256</f>
        <v>10169000000</v>
      </c>
      <c r="F256" s="12">
        <f t="shared" si="3"/>
        <v>-0.28296432097024399</v>
      </c>
    </row>
    <row r="257" spans="2:6" ht="15" customHeight="1" x14ac:dyDescent="0.3">
      <c r="C257" s="4"/>
      <c r="D257" s="8">
        <v>2016</v>
      </c>
      <c r="E257" s="14">
        <f>Data!L257</f>
        <v>12683000000</v>
      </c>
      <c r="F257" s="12">
        <f t="shared" si="3"/>
        <v>0.24722194906087128</v>
      </c>
    </row>
    <row r="258" spans="2:6" ht="15" customHeight="1" x14ac:dyDescent="0.3">
      <c r="C258" s="4"/>
      <c r="D258" s="8">
        <v>2017</v>
      </c>
      <c r="E258" s="14">
        <f>Data!L258</f>
        <v>14716000000</v>
      </c>
      <c r="F258" s="12">
        <f t="shared" si="3"/>
        <v>0.1602933060001577</v>
      </c>
    </row>
    <row r="259" spans="2:6" ht="15" customHeight="1" x14ac:dyDescent="0.3">
      <c r="C259" s="4"/>
      <c r="D259" s="8">
        <v>2018</v>
      </c>
      <c r="E259" s="14">
        <f>Data!L259</f>
        <v>26538000000</v>
      </c>
      <c r="F259" s="12">
        <f t="shared" ref="F259:F322" si="4">IFERROR((E259-E258)/E258,0)</f>
        <v>0.80334329980973096</v>
      </c>
    </row>
    <row r="260" spans="2:6" ht="15" customHeight="1" x14ac:dyDescent="0.3">
      <c r="C260" s="4"/>
      <c r="D260" s="8">
        <v>2019</v>
      </c>
      <c r="E260" s="14">
        <f>Data!L260</f>
        <v>52677000000</v>
      </c>
      <c r="F260" s="12">
        <f t="shared" si="4"/>
        <v>0.98496495591227673</v>
      </c>
    </row>
    <row r="261" spans="2:6" ht="15" customHeight="1" x14ac:dyDescent="0.3">
      <c r="C261" s="4"/>
      <c r="D261" s="8">
        <v>2020</v>
      </c>
      <c r="E261" s="14">
        <f>Data!L261</f>
        <v>29519000000</v>
      </c>
      <c r="F261" s="12">
        <f t="shared" si="4"/>
        <v>-0.43962260569128842</v>
      </c>
    </row>
    <row r="262" spans="2:6" ht="15" customHeight="1" x14ac:dyDescent="0.3">
      <c r="C262" s="4"/>
      <c r="D262" s="8">
        <v>2021</v>
      </c>
      <c r="E262" s="14">
        <f>Data!L262</f>
        <v>27892000000</v>
      </c>
      <c r="F262" s="12">
        <f t="shared" si="4"/>
        <v>-5.5117043260273044E-2</v>
      </c>
    </row>
    <row r="263" spans="2:6" ht="15" customHeight="1" x14ac:dyDescent="0.3">
      <c r="C263" s="4"/>
      <c r="D263" s="8">
        <v>2022</v>
      </c>
      <c r="E263" s="14">
        <f>Data!L263</f>
        <v>39410000000</v>
      </c>
      <c r="F263" s="12">
        <f t="shared" si="4"/>
        <v>0.4129499498063961</v>
      </c>
    </row>
    <row r="264" spans="2:6" ht="15" customHeight="1" x14ac:dyDescent="0.3">
      <c r="C264" s="4"/>
      <c r="D264" s="8">
        <v>2023</v>
      </c>
      <c r="E264" s="14">
        <f>Data!L264</f>
        <v>62339000000</v>
      </c>
      <c r="F264" s="12">
        <f t="shared" si="4"/>
        <v>0.58180664805886828</v>
      </c>
    </row>
    <row r="265" spans="2:6" ht="15" customHeight="1" x14ac:dyDescent="0.3">
      <c r="C265" s="4"/>
      <c r="D265" s="8">
        <v>2024</v>
      </c>
      <c r="E265" s="14">
        <f>Data!L265</f>
        <v>72560000000</v>
      </c>
      <c r="F265" s="12">
        <f t="shared" si="4"/>
        <v>0.16395835672692857</v>
      </c>
    </row>
    <row r="266" spans="2:6" ht="15" customHeight="1" x14ac:dyDescent="0.3">
      <c r="B266" s="8">
        <v>25</v>
      </c>
      <c r="C266" s="3" t="s">
        <v>28</v>
      </c>
      <c r="D266" s="8">
        <v>2014</v>
      </c>
      <c r="E266" s="14">
        <f>Data!L266</f>
        <v>151219000000</v>
      </c>
      <c r="F266" s="12">
        <f t="shared" si="4"/>
        <v>1.0840545755237045</v>
      </c>
    </row>
    <row r="267" spans="2:6" ht="15" customHeight="1" x14ac:dyDescent="0.3">
      <c r="C267" s="3"/>
      <c r="D267" s="8">
        <v>2015</v>
      </c>
      <c r="E267" s="14">
        <f>Data!L267</f>
        <v>290207000000</v>
      </c>
      <c r="F267" s="12">
        <f t="shared" si="4"/>
        <v>0.91911730668765168</v>
      </c>
    </row>
    <row r="268" spans="2:6" ht="15" customHeight="1" x14ac:dyDescent="0.3">
      <c r="C268" s="3"/>
      <c r="D268" s="8">
        <v>2016</v>
      </c>
      <c r="E268" s="14">
        <f>Data!L268</f>
        <v>571445000000</v>
      </c>
      <c r="F268" s="12">
        <f t="shared" si="4"/>
        <v>0.96909447394446036</v>
      </c>
    </row>
    <row r="269" spans="2:6" ht="15" customHeight="1" x14ac:dyDescent="0.3">
      <c r="C269" s="3"/>
      <c r="D269" s="8">
        <v>2017</v>
      </c>
      <c r="E269" s="14">
        <f>Data!L269</f>
        <v>680032000000</v>
      </c>
      <c r="F269" s="12">
        <f t="shared" si="4"/>
        <v>0.19002178687362739</v>
      </c>
    </row>
    <row r="270" spans="2:6" ht="15" customHeight="1" x14ac:dyDescent="0.3">
      <c r="C270" s="3"/>
      <c r="D270" s="8">
        <v>2018</v>
      </c>
      <c r="E270" s="14">
        <f>Data!L270</f>
        <v>738454490000</v>
      </c>
      <c r="F270" s="12">
        <f t="shared" si="4"/>
        <v>8.591138358194908E-2</v>
      </c>
    </row>
    <row r="271" spans="2:6" ht="15" customHeight="1" x14ac:dyDescent="0.3">
      <c r="C271" s="3"/>
      <c r="D271" s="8">
        <v>2019</v>
      </c>
      <c r="E271" s="14">
        <f>Data!L271</f>
        <v>1727762640000</v>
      </c>
      <c r="F271" s="12">
        <f t="shared" si="4"/>
        <v>1.3397009069577193</v>
      </c>
    </row>
    <row r="272" spans="2:6" ht="15" customHeight="1" x14ac:dyDescent="0.3">
      <c r="C272" s="3"/>
      <c r="D272" s="8">
        <v>2020</v>
      </c>
      <c r="E272" s="14">
        <f>Data!L272</f>
        <v>1414536370000</v>
      </c>
      <c r="F272" s="12">
        <f t="shared" si="4"/>
        <v>-0.1812901047565191</v>
      </c>
    </row>
    <row r="273" spans="2:6" ht="15" customHeight="1" x14ac:dyDescent="0.3">
      <c r="C273" s="3"/>
      <c r="D273" s="8">
        <v>2021</v>
      </c>
      <c r="E273" s="14">
        <f>Data!L273</f>
        <v>1673072530000</v>
      </c>
      <c r="F273" s="12">
        <f t="shared" si="4"/>
        <v>0.18277095271859287</v>
      </c>
    </row>
    <row r="274" spans="2:6" ht="15" customHeight="1" x14ac:dyDescent="0.3">
      <c r="C274" s="3"/>
      <c r="D274" s="8">
        <v>2022</v>
      </c>
      <c r="E274" s="14">
        <f>Data!L274</f>
        <v>1810753660000</v>
      </c>
      <c r="F274" s="12">
        <f t="shared" si="4"/>
        <v>8.2292385734167778E-2</v>
      </c>
    </row>
    <row r="275" spans="2:6" ht="15" customHeight="1" x14ac:dyDescent="0.3">
      <c r="C275" s="3"/>
      <c r="D275" s="8">
        <v>2023</v>
      </c>
      <c r="E275" s="14">
        <f>Data!L275</f>
        <v>1762308800000</v>
      </c>
      <c r="F275" s="12">
        <f t="shared" si="4"/>
        <v>-2.6753976021233059E-2</v>
      </c>
    </row>
    <row r="276" spans="2:6" ht="15" customHeight="1" x14ac:dyDescent="0.3">
      <c r="C276" s="3"/>
      <c r="D276" s="8">
        <v>2024</v>
      </c>
      <c r="E276" s="14">
        <f>Data!L276</f>
        <v>2095187570000</v>
      </c>
      <c r="F276" s="12">
        <f t="shared" si="4"/>
        <v>0.18888787821975353</v>
      </c>
    </row>
    <row r="277" spans="2:6" ht="15" customHeight="1" x14ac:dyDescent="0.3">
      <c r="B277" s="8">
        <v>26</v>
      </c>
      <c r="C277" s="3" t="s">
        <v>42</v>
      </c>
      <c r="D277" s="8">
        <v>2014</v>
      </c>
      <c r="E277" s="14">
        <f>Data!L277</f>
        <v>0</v>
      </c>
      <c r="F277" s="12">
        <f t="shared" si="4"/>
        <v>-1</v>
      </c>
    </row>
    <row r="278" spans="2:6" ht="15" customHeight="1" x14ac:dyDescent="0.3">
      <c r="C278" s="3"/>
      <c r="D278" s="8">
        <v>2015</v>
      </c>
      <c r="E278" s="14">
        <f>Data!L278</f>
        <v>0</v>
      </c>
      <c r="F278" s="12">
        <f t="shared" si="4"/>
        <v>0</v>
      </c>
    </row>
    <row r="279" spans="2:6" ht="15" customHeight="1" x14ac:dyDescent="0.3">
      <c r="C279" s="3"/>
      <c r="D279" s="8">
        <v>2016</v>
      </c>
      <c r="E279" s="14">
        <f>Data!L279</f>
        <v>0</v>
      </c>
      <c r="F279" s="12">
        <f t="shared" si="4"/>
        <v>0</v>
      </c>
    </row>
    <row r="280" spans="2:6" ht="15" customHeight="1" x14ac:dyDescent="0.3">
      <c r="C280" s="3"/>
      <c r="D280" s="8">
        <v>2017</v>
      </c>
      <c r="E280" s="14">
        <f>Data!L280</f>
        <v>0</v>
      </c>
      <c r="F280" s="12">
        <f t="shared" si="4"/>
        <v>0</v>
      </c>
    </row>
    <row r="281" spans="2:6" ht="15" customHeight="1" x14ac:dyDescent="0.3">
      <c r="C281" s="3"/>
      <c r="D281" s="8">
        <v>2018</v>
      </c>
      <c r="E281" s="14">
        <f>Data!L281</f>
        <v>0</v>
      </c>
      <c r="F281" s="12">
        <f t="shared" si="4"/>
        <v>0</v>
      </c>
    </row>
    <row r="282" spans="2:6" ht="15" customHeight="1" x14ac:dyDescent="0.3">
      <c r="C282" s="3"/>
      <c r="D282" s="8">
        <v>2019</v>
      </c>
      <c r="E282" s="14">
        <f>Data!L282</f>
        <v>0</v>
      </c>
      <c r="F282" s="12">
        <f t="shared" si="4"/>
        <v>0</v>
      </c>
    </row>
    <row r="283" spans="2:6" ht="15" customHeight="1" x14ac:dyDescent="0.3">
      <c r="C283" s="3"/>
      <c r="D283" s="8">
        <v>2020</v>
      </c>
      <c r="E283" s="14">
        <f>Data!L283</f>
        <v>0</v>
      </c>
      <c r="F283" s="12">
        <f t="shared" si="4"/>
        <v>0</v>
      </c>
    </row>
    <row r="284" spans="2:6" ht="15" customHeight="1" x14ac:dyDescent="0.3">
      <c r="C284" s="3"/>
      <c r="D284" s="8">
        <v>2021</v>
      </c>
      <c r="E284" s="14">
        <f>Data!L284</f>
        <v>0</v>
      </c>
      <c r="F284" s="12">
        <f t="shared" si="4"/>
        <v>0</v>
      </c>
    </row>
    <row r="285" spans="2:6" ht="15" customHeight="1" x14ac:dyDescent="0.3">
      <c r="C285" s="3"/>
      <c r="D285" s="8">
        <v>2022</v>
      </c>
      <c r="E285" s="14">
        <f>Data!L285</f>
        <v>1705660000</v>
      </c>
      <c r="F285" s="12">
        <f t="shared" si="4"/>
        <v>0</v>
      </c>
    </row>
    <row r="286" spans="2:6" ht="15" customHeight="1" x14ac:dyDescent="0.3">
      <c r="C286" s="3"/>
      <c r="D286" s="8">
        <v>2023</v>
      </c>
      <c r="E286" s="14">
        <f>Data!L286</f>
        <v>2207060000</v>
      </c>
      <c r="F286" s="12">
        <f t="shared" si="4"/>
        <v>0.29396245441647223</v>
      </c>
    </row>
    <row r="287" spans="2:6" ht="15" customHeight="1" x14ac:dyDescent="0.3">
      <c r="C287" s="3"/>
      <c r="D287" s="8">
        <v>2024</v>
      </c>
      <c r="E287" s="14">
        <f>Data!L287</f>
        <v>12873320000</v>
      </c>
      <c r="F287" s="12">
        <f t="shared" si="4"/>
        <v>4.8327911339066452</v>
      </c>
    </row>
    <row r="288" spans="2:6" ht="15" customHeight="1" x14ac:dyDescent="0.3">
      <c r="B288" s="8">
        <v>27</v>
      </c>
      <c r="C288" s="3" t="s">
        <v>29</v>
      </c>
      <c r="D288" s="8">
        <v>2014</v>
      </c>
      <c r="E288" s="14">
        <f>Data!L288</f>
        <v>1157923000000</v>
      </c>
      <c r="F288" s="12">
        <f t="shared" si="4"/>
        <v>88.94750382962593</v>
      </c>
    </row>
    <row r="289" spans="2:6" ht="15" customHeight="1" x14ac:dyDescent="0.3">
      <c r="C289" s="3"/>
      <c r="D289" s="8">
        <v>2015</v>
      </c>
      <c r="E289" s="14">
        <f>Data!L289</f>
        <v>585626000000</v>
      </c>
      <c r="F289" s="12">
        <f t="shared" si="4"/>
        <v>-0.49424443594263179</v>
      </c>
    </row>
    <row r="290" spans="2:6" ht="15" customHeight="1" x14ac:dyDescent="0.3">
      <c r="C290" s="3"/>
      <c r="D290" s="8">
        <v>2016</v>
      </c>
      <c r="E290" s="14">
        <f>Data!L290</f>
        <v>13613117000000</v>
      </c>
      <c r="F290" s="12">
        <f t="shared" si="4"/>
        <v>22.245410893642017</v>
      </c>
    </row>
    <row r="291" spans="2:6" ht="15" customHeight="1" x14ac:dyDescent="0.3">
      <c r="C291" s="3"/>
      <c r="D291" s="8">
        <v>2017</v>
      </c>
      <c r="E291" s="14">
        <f>Data!L291</f>
        <v>18238613000000</v>
      </c>
      <c r="F291" s="12">
        <f t="shared" si="4"/>
        <v>0.33978228498293228</v>
      </c>
    </row>
    <row r="292" spans="2:6" ht="15" customHeight="1" x14ac:dyDescent="0.3">
      <c r="C292" s="3"/>
      <c r="D292" s="8">
        <v>2018</v>
      </c>
      <c r="E292" s="14">
        <f>Data!L292</f>
        <v>20288330000000</v>
      </c>
      <c r="F292" s="12">
        <f t="shared" si="4"/>
        <v>0.11238338134593898</v>
      </c>
    </row>
    <row r="293" spans="2:6" ht="15" customHeight="1" x14ac:dyDescent="0.3">
      <c r="C293" s="3"/>
      <c r="D293" s="8">
        <v>2019</v>
      </c>
      <c r="E293" s="14">
        <f>Data!L293</f>
        <v>21168879000000</v>
      </c>
      <c r="F293" s="12">
        <f t="shared" si="4"/>
        <v>4.3401748690010462E-2</v>
      </c>
    </row>
    <row r="294" spans="2:6" ht="15" customHeight="1" x14ac:dyDescent="0.3">
      <c r="C294" s="3"/>
      <c r="D294" s="8">
        <v>2020</v>
      </c>
      <c r="E294" s="14">
        <f>Data!L294</f>
        <v>19533911000000</v>
      </c>
      <c r="F294" s="12">
        <f t="shared" si="4"/>
        <v>-7.7234510150490251E-2</v>
      </c>
    </row>
    <row r="295" spans="2:6" ht="15" customHeight="1" x14ac:dyDescent="0.3">
      <c r="C295" s="3"/>
      <c r="D295" s="8">
        <v>2021</v>
      </c>
      <c r="E295" s="14">
        <f>Data!L295</f>
        <v>20295327000000</v>
      </c>
      <c r="F295" s="12">
        <f t="shared" si="4"/>
        <v>3.8979188550618458E-2</v>
      </c>
    </row>
    <row r="296" spans="2:6" ht="15" customHeight="1" x14ac:dyDescent="0.3">
      <c r="C296" s="3"/>
      <c r="D296" s="8">
        <v>2022</v>
      </c>
      <c r="E296" s="14">
        <f>Data!L296</f>
        <v>15634323000000</v>
      </c>
      <c r="F296" s="12">
        <f t="shared" si="4"/>
        <v>-0.22965897519167836</v>
      </c>
    </row>
    <row r="297" spans="2:6" ht="15" customHeight="1" x14ac:dyDescent="0.3">
      <c r="C297" s="3"/>
      <c r="D297" s="8">
        <v>2023</v>
      </c>
      <c r="E297" s="14">
        <f>Data!L297</f>
        <v>7778489000000</v>
      </c>
      <c r="F297" s="12">
        <f t="shared" si="4"/>
        <v>-0.50247356409356514</v>
      </c>
    </row>
    <row r="298" spans="2:6" ht="15" customHeight="1" x14ac:dyDescent="0.3">
      <c r="C298" s="3"/>
      <c r="D298" s="8">
        <v>2024</v>
      </c>
      <c r="E298" s="14">
        <f>Data!L298</f>
        <v>8529903000000</v>
      </c>
      <c r="F298" s="12">
        <f t="shared" si="4"/>
        <v>9.6601537907940738E-2</v>
      </c>
    </row>
    <row r="299" spans="2:6" ht="15" customHeight="1" x14ac:dyDescent="0.3">
      <c r="B299" s="8">
        <v>28</v>
      </c>
      <c r="C299" s="4" t="s">
        <v>149</v>
      </c>
      <c r="D299" s="8">
        <v>2014</v>
      </c>
      <c r="E299" s="14">
        <f>Data!L299</f>
        <v>0</v>
      </c>
      <c r="F299" s="12">
        <f t="shared" si="4"/>
        <v>-1</v>
      </c>
    </row>
    <row r="300" spans="2:6" ht="15" customHeight="1" x14ac:dyDescent="0.3">
      <c r="C300" s="4"/>
      <c r="D300" s="8">
        <v>2015</v>
      </c>
      <c r="E300" s="14">
        <f>Data!L300</f>
        <v>2217000000</v>
      </c>
      <c r="F300" s="12">
        <f t="shared" si="4"/>
        <v>0</v>
      </c>
    </row>
    <row r="301" spans="2:6" ht="15" customHeight="1" x14ac:dyDescent="0.3">
      <c r="C301" s="4"/>
      <c r="D301" s="8">
        <v>2016</v>
      </c>
      <c r="E301" s="14">
        <f>Data!L301</f>
        <v>12167000000</v>
      </c>
      <c r="F301" s="12">
        <f t="shared" si="4"/>
        <v>4.4880469102390617</v>
      </c>
    </row>
    <row r="302" spans="2:6" ht="15" customHeight="1" x14ac:dyDescent="0.3">
      <c r="C302" s="4"/>
      <c r="D302" s="8">
        <v>2017</v>
      </c>
      <c r="E302" s="14">
        <f>Data!L302</f>
        <v>14015000000</v>
      </c>
      <c r="F302" s="12">
        <f t="shared" si="4"/>
        <v>0.15188624969178927</v>
      </c>
    </row>
    <row r="303" spans="2:6" ht="15" customHeight="1" x14ac:dyDescent="0.3">
      <c r="C303" s="4"/>
      <c r="D303" s="8">
        <v>2018</v>
      </c>
      <c r="E303" s="14">
        <f>Data!L303</f>
        <v>14237000000</v>
      </c>
      <c r="F303" s="12">
        <f t="shared" si="4"/>
        <v>1.5840171245094542E-2</v>
      </c>
    </row>
    <row r="304" spans="2:6" ht="15" customHeight="1" x14ac:dyDescent="0.3">
      <c r="C304" s="4"/>
      <c r="D304" s="8">
        <v>2019</v>
      </c>
      <c r="E304" s="14">
        <f>Data!L304</f>
        <v>20015000000</v>
      </c>
      <c r="F304" s="12">
        <f t="shared" si="4"/>
        <v>0.40584392779377676</v>
      </c>
    </row>
    <row r="305" spans="2:6" ht="15" customHeight="1" x14ac:dyDescent="0.3">
      <c r="C305" s="4"/>
      <c r="D305" s="8">
        <v>2020</v>
      </c>
      <c r="E305" s="14">
        <f>Data!L305</f>
        <v>20394000000</v>
      </c>
      <c r="F305" s="12">
        <f t="shared" si="4"/>
        <v>1.8935798151386459E-2</v>
      </c>
    </row>
    <row r="306" spans="2:6" ht="15" customHeight="1" x14ac:dyDescent="0.3">
      <c r="C306" s="4"/>
      <c r="D306" s="8">
        <v>2021</v>
      </c>
      <c r="E306" s="14">
        <f>Data!L306</f>
        <v>19341000000</v>
      </c>
      <c r="F306" s="12">
        <f t="shared" si="4"/>
        <v>-5.1632833186231242E-2</v>
      </c>
    </row>
    <row r="307" spans="2:6" ht="15" customHeight="1" x14ac:dyDescent="0.3">
      <c r="C307" s="4"/>
      <c r="D307" s="8">
        <v>2022</v>
      </c>
      <c r="E307" s="14">
        <f>Data!L307</f>
        <v>20992000000</v>
      </c>
      <c r="F307" s="12">
        <f t="shared" si="4"/>
        <v>8.5362700997880153E-2</v>
      </c>
    </row>
    <row r="308" spans="2:6" ht="15" customHeight="1" x14ac:dyDescent="0.3">
      <c r="C308" s="4"/>
      <c r="D308" s="8">
        <v>2023</v>
      </c>
      <c r="E308" s="14">
        <f>Data!L308</f>
        <v>28419000000</v>
      </c>
      <c r="F308" s="12">
        <f t="shared" si="4"/>
        <v>0.35380144817073172</v>
      </c>
    </row>
    <row r="309" spans="2:6" ht="15" customHeight="1" x14ac:dyDescent="0.3">
      <c r="C309" s="4"/>
      <c r="D309" s="8">
        <v>2024</v>
      </c>
      <c r="E309" s="14">
        <f>Data!L309</f>
        <v>24190000000</v>
      </c>
      <c r="F309" s="12">
        <f t="shared" si="4"/>
        <v>-0.1488088954572645</v>
      </c>
    </row>
    <row r="310" spans="2:6" ht="15" customHeight="1" x14ac:dyDescent="0.3">
      <c r="B310" s="8">
        <v>29</v>
      </c>
      <c r="C310" s="4" t="s">
        <v>55</v>
      </c>
      <c r="D310" s="8">
        <v>2014</v>
      </c>
      <c r="E310" s="14">
        <f>Data!L310</f>
        <v>130929000000</v>
      </c>
      <c r="F310" s="12">
        <f t="shared" si="4"/>
        <v>4.4125258371227778</v>
      </c>
    </row>
    <row r="311" spans="2:6" ht="15" customHeight="1" x14ac:dyDescent="0.3">
      <c r="C311" s="4"/>
      <c r="D311" s="8">
        <v>2015</v>
      </c>
      <c r="E311" s="14">
        <f>Data!L311</f>
        <v>120387000000</v>
      </c>
      <c r="F311" s="12">
        <f t="shared" si="4"/>
        <v>-8.0516921384872722E-2</v>
      </c>
    </row>
    <row r="312" spans="2:6" ht="15" customHeight="1" x14ac:dyDescent="0.3">
      <c r="C312" s="4"/>
      <c r="D312" s="8">
        <v>2016</v>
      </c>
      <c r="E312" s="14">
        <f>Data!L312</f>
        <v>132241000000</v>
      </c>
      <c r="F312" s="12">
        <f t="shared" si="4"/>
        <v>9.8465781188998819E-2</v>
      </c>
    </row>
    <row r="313" spans="2:6" ht="15" customHeight="1" x14ac:dyDescent="0.3">
      <c r="C313" s="4"/>
      <c r="D313" s="8">
        <v>2017</v>
      </c>
      <c r="E313" s="14">
        <f>Data!L313</f>
        <v>105534000000</v>
      </c>
      <c r="F313" s="12">
        <f t="shared" si="4"/>
        <v>-0.20195703299279347</v>
      </c>
    </row>
    <row r="314" spans="2:6" ht="15" customHeight="1" x14ac:dyDescent="0.3">
      <c r="C314" s="4"/>
      <c r="D314" s="8">
        <v>2018</v>
      </c>
      <c r="E314" s="14">
        <f>Data!L314</f>
        <v>110494000000</v>
      </c>
      <c r="F314" s="12">
        <f t="shared" si="4"/>
        <v>4.6999071389315292E-2</v>
      </c>
    </row>
    <row r="315" spans="2:6" ht="15" customHeight="1" x14ac:dyDescent="0.3">
      <c r="C315" s="4"/>
      <c r="D315" s="8">
        <v>2019</v>
      </c>
      <c r="E315" s="14">
        <f>Data!L315</f>
        <v>126280000000</v>
      </c>
      <c r="F315" s="12">
        <f t="shared" si="4"/>
        <v>0.14286748601734031</v>
      </c>
    </row>
    <row r="316" spans="2:6" ht="15" customHeight="1" x14ac:dyDescent="0.3">
      <c r="C316" s="4"/>
      <c r="D316" s="8">
        <v>2020</v>
      </c>
      <c r="E316" s="14">
        <f>Data!L316</f>
        <v>112320000000</v>
      </c>
      <c r="F316" s="12">
        <f t="shared" si="4"/>
        <v>-0.11054798859676908</v>
      </c>
    </row>
    <row r="317" spans="2:6" ht="15" customHeight="1" x14ac:dyDescent="0.3">
      <c r="C317" s="4"/>
      <c r="D317" s="8">
        <v>2021</v>
      </c>
      <c r="E317" s="14">
        <f>Data!L317</f>
        <v>112684000000</v>
      </c>
      <c r="F317" s="12">
        <f t="shared" si="4"/>
        <v>3.2407407407407406E-3</v>
      </c>
    </row>
    <row r="318" spans="2:6" ht="15" customHeight="1" x14ac:dyDescent="0.3">
      <c r="C318" s="4"/>
      <c r="D318" s="8">
        <v>2022</v>
      </c>
      <c r="E318" s="14">
        <f>Data!L318</f>
        <v>109205000000</v>
      </c>
      <c r="F318" s="12">
        <f t="shared" si="4"/>
        <v>-3.0873948386638744E-2</v>
      </c>
    </row>
    <row r="319" spans="2:6" ht="15" customHeight="1" x14ac:dyDescent="0.3">
      <c r="C319" s="4"/>
      <c r="D319" s="8">
        <v>2023</v>
      </c>
      <c r="E319" s="14">
        <f>Data!L319</f>
        <v>118909000000</v>
      </c>
      <c r="F319" s="12">
        <f t="shared" si="4"/>
        <v>8.8860400164827616E-2</v>
      </c>
    </row>
    <row r="320" spans="2:6" ht="15" customHeight="1" x14ac:dyDescent="0.3">
      <c r="C320" s="4"/>
      <c r="D320" s="8">
        <v>2024</v>
      </c>
      <c r="E320" s="14">
        <f>Data!L320</f>
        <v>145340000000</v>
      </c>
      <c r="F320" s="12">
        <f t="shared" si="4"/>
        <v>0.22227922192601066</v>
      </c>
    </row>
    <row r="321" spans="2:6" ht="15" customHeight="1" x14ac:dyDescent="0.3">
      <c r="B321" s="8">
        <v>30</v>
      </c>
      <c r="C321" s="3" t="s">
        <v>5</v>
      </c>
      <c r="D321" s="8">
        <v>2014</v>
      </c>
      <c r="E321" s="14">
        <f>Data!L321</f>
        <v>0</v>
      </c>
      <c r="F321" s="12">
        <f t="shared" si="4"/>
        <v>-1</v>
      </c>
    </row>
    <row r="322" spans="2:6" ht="15" customHeight="1" x14ac:dyDescent="0.3">
      <c r="C322" s="3"/>
      <c r="D322" s="8">
        <v>2015</v>
      </c>
      <c r="E322" s="14">
        <f>Data!L322</f>
        <v>0</v>
      </c>
      <c r="F322" s="12">
        <f t="shared" si="4"/>
        <v>0</v>
      </c>
    </row>
    <row r="323" spans="2:6" ht="15" customHeight="1" x14ac:dyDescent="0.3">
      <c r="C323" s="3"/>
      <c r="D323" s="8">
        <v>2016</v>
      </c>
      <c r="E323" s="14">
        <f>Data!L323</f>
        <v>0</v>
      </c>
      <c r="F323" s="12">
        <f t="shared" ref="F323:F386" si="5">IFERROR((E323-E322)/E322,0)</f>
        <v>0</v>
      </c>
    </row>
    <row r="324" spans="2:6" ht="15" customHeight="1" x14ac:dyDescent="0.3">
      <c r="C324" s="3"/>
      <c r="D324" s="8">
        <v>2017</v>
      </c>
      <c r="E324" s="14">
        <f>Data!L324</f>
        <v>2826530000000</v>
      </c>
      <c r="F324" s="12">
        <f t="shared" si="5"/>
        <v>0</v>
      </c>
    </row>
    <row r="325" spans="2:6" ht="15" customHeight="1" x14ac:dyDescent="0.3">
      <c r="C325" s="3"/>
      <c r="D325" s="8">
        <v>2018</v>
      </c>
      <c r="E325" s="14">
        <f>Data!L325</f>
        <v>2121294000000</v>
      </c>
      <c r="F325" s="12">
        <f t="shared" si="5"/>
        <v>-0.24950593130092374</v>
      </c>
    </row>
    <row r="326" spans="2:6" ht="15" customHeight="1" x14ac:dyDescent="0.3">
      <c r="C326" s="3"/>
      <c r="D326" s="8">
        <v>2019</v>
      </c>
      <c r="E326" s="14">
        <f>Data!L326</f>
        <v>3900366000000</v>
      </c>
      <c r="F326" s="12">
        <f t="shared" si="5"/>
        <v>0.83867299865082345</v>
      </c>
    </row>
    <row r="327" spans="2:6" ht="15" customHeight="1" x14ac:dyDescent="0.3">
      <c r="C327" s="3"/>
      <c r="D327" s="8">
        <v>2020</v>
      </c>
      <c r="E327" s="14">
        <f>Data!L327</f>
        <v>1764941000000</v>
      </c>
      <c r="F327" s="12">
        <f t="shared" si="5"/>
        <v>-0.54749349163642591</v>
      </c>
    </row>
    <row r="328" spans="2:6" ht="15" customHeight="1" x14ac:dyDescent="0.3">
      <c r="C328" s="3"/>
      <c r="D328" s="8">
        <v>2021</v>
      </c>
      <c r="E328" s="14">
        <f>Data!L328</f>
        <v>1219468000000</v>
      </c>
      <c r="F328" s="12">
        <f t="shared" si="5"/>
        <v>-0.30906018954741266</v>
      </c>
    </row>
    <row r="329" spans="2:6" ht="15" customHeight="1" x14ac:dyDescent="0.3">
      <c r="C329" s="3"/>
      <c r="D329" s="8">
        <v>2022</v>
      </c>
      <c r="E329" s="14">
        <f>Data!L329</f>
        <v>1491898000000</v>
      </c>
      <c r="F329" s="12">
        <f t="shared" si="5"/>
        <v>0.22340069604122453</v>
      </c>
    </row>
    <row r="330" spans="2:6" ht="15" customHeight="1" x14ac:dyDescent="0.3">
      <c r="C330" s="3"/>
      <c r="D330" s="8">
        <v>2023</v>
      </c>
      <c r="E330" s="14">
        <f>Data!L330</f>
        <v>1203626000000</v>
      </c>
      <c r="F330" s="12">
        <f t="shared" si="5"/>
        <v>-0.19322500599906964</v>
      </c>
    </row>
    <row r="331" spans="2:6" ht="15" customHeight="1" x14ac:dyDescent="0.3">
      <c r="C331" s="3"/>
      <c r="D331" s="8">
        <v>2024</v>
      </c>
      <c r="E331" s="14">
        <f>Data!L331</f>
        <v>923439000000</v>
      </c>
      <c r="F331" s="12">
        <f t="shared" si="5"/>
        <v>-0.23278576567804285</v>
      </c>
    </row>
    <row r="332" spans="2:6" ht="15" customHeight="1" x14ac:dyDescent="0.3">
      <c r="B332" s="8">
        <v>31</v>
      </c>
      <c r="C332" s="3" t="s">
        <v>6</v>
      </c>
      <c r="D332" s="8">
        <v>2014</v>
      </c>
      <c r="E332" s="14">
        <f>Data!L332</f>
        <v>0</v>
      </c>
      <c r="F332" s="12">
        <f t="shared" si="5"/>
        <v>-1</v>
      </c>
    </row>
    <row r="333" spans="2:6" ht="15" customHeight="1" x14ac:dyDescent="0.3">
      <c r="C333" s="3"/>
      <c r="D333" s="8">
        <v>2015</v>
      </c>
      <c r="E333" s="14">
        <f>Data!L333</f>
        <v>0</v>
      </c>
      <c r="F333" s="12">
        <f t="shared" si="5"/>
        <v>0</v>
      </c>
    </row>
    <row r="334" spans="2:6" ht="15" customHeight="1" x14ac:dyDescent="0.3">
      <c r="C334" s="3"/>
      <c r="D334" s="8">
        <v>2016</v>
      </c>
      <c r="E334" s="14">
        <f>Data!L334</f>
        <v>0</v>
      </c>
      <c r="F334" s="12">
        <f t="shared" si="5"/>
        <v>0</v>
      </c>
    </row>
    <row r="335" spans="2:6" ht="15" customHeight="1" x14ac:dyDescent="0.3">
      <c r="C335" s="3"/>
      <c r="D335" s="8">
        <v>2017</v>
      </c>
      <c r="E335" s="14">
        <f>Data!L335</f>
        <v>0</v>
      </c>
      <c r="F335" s="12">
        <f t="shared" si="5"/>
        <v>0</v>
      </c>
    </row>
    <row r="336" spans="2:6" ht="15" customHeight="1" x14ac:dyDescent="0.3">
      <c r="C336" s="3"/>
      <c r="D336" s="8">
        <v>2018</v>
      </c>
      <c r="E336" s="14">
        <f>Data!L336</f>
        <v>0</v>
      </c>
      <c r="F336" s="12">
        <f t="shared" si="5"/>
        <v>0</v>
      </c>
    </row>
    <row r="337" spans="2:6" ht="15" customHeight="1" x14ac:dyDescent="0.3">
      <c r="C337" s="3"/>
      <c r="D337" s="8">
        <v>2019</v>
      </c>
      <c r="E337" s="14">
        <f>Data!L337</f>
        <v>1602762000000</v>
      </c>
      <c r="F337" s="12">
        <f t="shared" si="5"/>
        <v>0</v>
      </c>
    </row>
    <row r="338" spans="2:6" ht="15" customHeight="1" x14ac:dyDescent="0.3">
      <c r="C338" s="3"/>
      <c r="D338" s="8">
        <v>2020</v>
      </c>
      <c r="E338" s="14">
        <f>Data!L338</f>
        <v>1357217000000</v>
      </c>
      <c r="F338" s="12">
        <f t="shared" si="5"/>
        <v>-0.15320116149496932</v>
      </c>
    </row>
    <row r="339" spans="2:6" ht="15" customHeight="1" x14ac:dyDescent="0.3">
      <c r="C339" s="3"/>
      <c r="D339" s="8">
        <v>2021</v>
      </c>
      <c r="E339" s="14">
        <f>Data!L339</f>
        <v>1440703000000</v>
      </c>
      <c r="F339" s="12">
        <f t="shared" si="5"/>
        <v>6.1512639467380677E-2</v>
      </c>
    </row>
    <row r="340" spans="2:6" ht="15" customHeight="1" x14ac:dyDescent="0.3">
      <c r="C340" s="3"/>
      <c r="D340" s="8">
        <v>2022</v>
      </c>
      <c r="E340" s="14">
        <f>Data!L340</f>
        <v>1448230000000</v>
      </c>
      <c r="F340" s="12">
        <f t="shared" si="5"/>
        <v>5.2245327454721758E-3</v>
      </c>
    </row>
    <row r="341" spans="2:6" ht="15" customHeight="1" x14ac:dyDescent="0.3">
      <c r="C341" s="3"/>
      <c r="D341" s="8">
        <v>2023</v>
      </c>
      <c r="E341" s="14">
        <f>Data!L341</f>
        <v>1712162000000</v>
      </c>
      <c r="F341" s="12">
        <f t="shared" si="5"/>
        <v>0.18224453298163965</v>
      </c>
    </row>
    <row r="342" spans="2:6" ht="15" customHeight="1" x14ac:dyDescent="0.3">
      <c r="C342" s="3"/>
      <c r="D342" s="8">
        <v>2024</v>
      </c>
      <c r="E342" s="14">
        <f>Data!L342</f>
        <v>1839965000000</v>
      </c>
      <c r="F342" s="12">
        <f t="shared" si="5"/>
        <v>7.4644221750044676E-2</v>
      </c>
    </row>
    <row r="343" spans="2:6" ht="15" customHeight="1" x14ac:dyDescent="0.3">
      <c r="B343" s="8">
        <v>32</v>
      </c>
      <c r="C343" s="3" t="s">
        <v>7</v>
      </c>
      <c r="D343" s="8">
        <v>2014</v>
      </c>
      <c r="E343" s="14">
        <f>Data!L343</f>
        <v>0</v>
      </c>
      <c r="F343" s="12">
        <f t="shared" si="5"/>
        <v>-1</v>
      </c>
    </row>
    <row r="344" spans="2:6" ht="15" customHeight="1" x14ac:dyDescent="0.3">
      <c r="C344" s="3"/>
      <c r="D344" s="8">
        <v>2015</v>
      </c>
      <c r="E344" s="14">
        <f>Data!L344</f>
        <v>0</v>
      </c>
      <c r="F344" s="12">
        <f t="shared" si="5"/>
        <v>0</v>
      </c>
    </row>
    <row r="345" spans="2:6" ht="15" customHeight="1" x14ac:dyDescent="0.3">
      <c r="C345" s="3"/>
      <c r="D345" s="8">
        <v>2016</v>
      </c>
      <c r="E345" s="14">
        <f>Data!L345</f>
        <v>10257277000000</v>
      </c>
      <c r="F345" s="12">
        <f t="shared" si="5"/>
        <v>0</v>
      </c>
    </row>
    <row r="346" spans="2:6" ht="15" customHeight="1" x14ac:dyDescent="0.3">
      <c r="C346" s="3"/>
      <c r="D346" s="8">
        <v>2017</v>
      </c>
      <c r="E346" s="14">
        <f>Data!L346</f>
        <v>12761157000000</v>
      </c>
      <c r="F346" s="12">
        <f t="shared" si="5"/>
        <v>0.24410767107098696</v>
      </c>
    </row>
    <row r="347" spans="2:6" ht="15" customHeight="1" x14ac:dyDescent="0.3">
      <c r="C347" s="3"/>
      <c r="D347" s="8">
        <v>2018</v>
      </c>
      <c r="E347" s="14">
        <f>Data!L347</f>
        <v>7434182000000</v>
      </c>
      <c r="F347" s="12">
        <f t="shared" si="5"/>
        <v>-0.41743667913497184</v>
      </c>
    </row>
    <row r="348" spans="2:6" ht="15" customHeight="1" x14ac:dyDescent="0.3">
      <c r="C348" s="3"/>
      <c r="D348" s="8">
        <v>2019</v>
      </c>
      <c r="E348" s="14">
        <f>Data!L348</f>
        <v>10738420000000</v>
      </c>
      <c r="F348" s="12">
        <f t="shared" si="5"/>
        <v>0.44446557805552783</v>
      </c>
    </row>
    <row r="349" spans="2:6" ht="15" customHeight="1" x14ac:dyDescent="0.3">
      <c r="C349" s="3"/>
      <c r="D349" s="8">
        <v>2020</v>
      </c>
      <c r="E349" s="14">
        <f>Data!L349</f>
        <v>12145888000000</v>
      </c>
      <c r="F349" s="12">
        <f t="shared" si="5"/>
        <v>0.13106844396102965</v>
      </c>
    </row>
    <row r="350" spans="2:6" ht="15" customHeight="1" x14ac:dyDescent="0.3">
      <c r="C350" s="3"/>
      <c r="D350" s="8">
        <v>2021</v>
      </c>
      <c r="E350" s="14">
        <f>Data!L350</f>
        <v>14996536000000</v>
      </c>
      <c r="F350" s="12">
        <f t="shared" si="5"/>
        <v>0.23470066577264667</v>
      </c>
    </row>
    <row r="351" spans="2:6" ht="15" customHeight="1" x14ac:dyDescent="0.3">
      <c r="C351" s="3"/>
      <c r="D351" s="8">
        <v>2022</v>
      </c>
      <c r="E351" s="14">
        <f>Data!L351</f>
        <v>14627604000000</v>
      </c>
      <c r="F351" s="12">
        <f t="shared" si="5"/>
        <v>-2.4601147891753137E-2</v>
      </c>
    </row>
    <row r="352" spans="2:6" ht="15" customHeight="1" x14ac:dyDescent="0.3">
      <c r="C352" s="3"/>
      <c r="D352" s="8">
        <v>2023</v>
      </c>
      <c r="E352" s="14">
        <f>Data!L352</f>
        <v>14024267000000</v>
      </c>
      <c r="F352" s="12">
        <f t="shared" si="5"/>
        <v>-4.1246467979308164E-2</v>
      </c>
    </row>
    <row r="353" spans="2:6" ht="15" customHeight="1" x14ac:dyDescent="0.3">
      <c r="C353" s="3"/>
      <c r="D353" s="8">
        <v>2024</v>
      </c>
      <c r="E353" s="14">
        <f>Data!L353</f>
        <v>12458602000000</v>
      </c>
      <c r="F353" s="12">
        <f t="shared" si="5"/>
        <v>-0.11163970280942312</v>
      </c>
    </row>
    <row r="354" spans="2:6" ht="15" customHeight="1" x14ac:dyDescent="0.3">
      <c r="B354" s="8">
        <v>33</v>
      </c>
      <c r="C354" s="3" t="s">
        <v>30</v>
      </c>
      <c r="D354" s="8">
        <v>2014</v>
      </c>
      <c r="E354" s="14">
        <f>Data!L356</f>
        <v>236930000</v>
      </c>
      <c r="F354" s="12">
        <f t="shared" si="5"/>
        <v>-0.99998098261747181</v>
      </c>
    </row>
    <row r="355" spans="2:6" ht="15" customHeight="1" x14ac:dyDescent="0.3">
      <c r="C355" s="3"/>
      <c r="D355" s="8">
        <v>2015</v>
      </c>
      <c r="E355" s="14">
        <f>Data!L357</f>
        <v>755309118000</v>
      </c>
      <c r="F355" s="12">
        <f t="shared" si="5"/>
        <v>3186.8998776009794</v>
      </c>
    </row>
    <row r="356" spans="2:6" ht="15" customHeight="1" x14ac:dyDescent="0.3">
      <c r="C356" s="3"/>
      <c r="D356" s="8">
        <v>2016</v>
      </c>
      <c r="E356" s="14" t="e">
        <f>Data!#REF!</f>
        <v>#REF!</v>
      </c>
      <c r="F356" s="12">
        <f t="shared" si="5"/>
        <v>0</v>
      </c>
    </row>
    <row r="357" spans="2:6" ht="15" customHeight="1" x14ac:dyDescent="0.3">
      <c r="C357" s="3"/>
      <c r="D357" s="8">
        <v>2017</v>
      </c>
      <c r="E357" s="14" t="e">
        <f>Data!#REF!</f>
        <v>#REF!</v>
      </c>
      <c r="F357" s="12">
        <f t="shared" si="5"/>
        <v>0</v>
      </c>
    </row>
    <row r="358" spans="2:6" ht="15" customHeight="1" x14ac:dyDescent="0.3">
      <c r="C358" s="3"/>
      <c r="D358" s="8">
        <v>2018</v>
      </c>
      <c r="E358" s="14">
        <f>Data!L358</f>
        <v>1064133000000</v>
      </c>
      <c r="F358" s="12">
        <f t="shared" si="5"/>
        <v>0</v>
      </c>
    </row>
    <row r="359" spans="2:6" ht="15" customHeight="1" x14ac:dyDescent="0.3">
      <c r="C359" s="3"/>
      <c r="D359" s="8">
        <v>2019</v>
      </c>
      <c r="E359" s="14">
        <f>Data!L359</f>
        <v>1072501000000</v>
      </c>
      <c r="F359" s="12">
        <f t="shared" si="5"/>
        <v>7.8636786942985516E-3</v>
      </c>
    </row>
    <row r="360" spans="2:6" ht="15" customHeight="1" x14ac:dyDescent="0.3">
      <c r="C360" s="3"/>
      <c r="D360" s="8">
        <v>2020</v>
      </c>
      <c r="E360" s="14">
        <f>Data!L360</f>
        <v>682486000000</v>
      </c>
      <c r="F360" s="12">
        <f t="shared" si="5"/>
        <v>-0.36365001058274071</v>
      </c>
    </row>
    <row r="361" spans="2:6" ht="15" customHeight="1" x14ac:dyDescent="0.3">
      <c r="C361" s="3"/>
      <c r="D361" s="8">
        <v>2021</v>
      </c>
      <c r="E361" s="14">
        <f>Data!L361</f>
        <v>629690000000</v>
      </c>
      <c r="F361" s="12">
        <f t="shared" si="5"/>
        <v>-7.7358363395000046E-2</v>
      </c>
    </row>
    <row r="362" spans="2:6" ht="15" customHeight="1" x14ac:dyDescent="0.3">
      <c r="C362" s="3"/>
      <c r="D362" s="8">
        <v>2022</v>
      </c>
      <c r="E362" s="14">
        <f>Data!L362</f>
        <v>758176000000</v>
      </c>
      <c r="F362" s="12">
        <f t="shared" si="5"/>
        <v>0.20404643554765042</v>
      </c>
    </row>
    <row r="363" spans="2:6" ht="15" customHeight="1" x14ac:dyDescent="0.3">
      <c r="C363" s="3"/>
      <c r="D363" s="8">
        <v>2023</v>
      </c>
      <c r="E363" s="14">
        <f>Data!L363</f>
        <v>828007000000</v>
      </c>
      <c r="F363" s="12">
        <f t="shared" si="5"/>
        <v>9.2103944202929139E-2</v>
      </c>
    </row>
    <row r="364" spans="2:6" ht="15" customHeight="1" x14ac:dyDescent="0.3">
      <c r="C364" s="3"/>
      <c r="D364" s="8">
        <v>2024</v>
      </c>
      <c r="E364" s="14">
        <f>Data!L364</f>
        <v>989710000000</v>
      </c>
      <c r="F364" s="12">
        <f t="shared" si="5"/>
        <v>0.19529182724300639</v>
      </c>
    </row>
    <row r="365" spans="2:6" ht="15" customHeight="1" x14ac:dyDescent="0.3">
      <c r="B365" s="8">
        <v>34</v>
      </c>
      <c r="C365" s="3" t="s">
        <v>9</v>
      </c>
      <c r="D365" s="8">
        <v>2014</v>
      </c>
      <c r="E365" s="14">
        <f>Data!L365</f>
        <v>1950148000000</v>
      </c>
      <c r="F365" s="12">
        <f t="shared" si="5"/>
        <v>0.97042365945580022</v>
      </c>
    </row>
    <row r="366" spans="2:6" ht="15" customHeight="1" x14ac:dyDescent="0.3">
      <c r="C366" s="3"/>
      <c r="D366" s="8">
        <v>2015</v>
      </c>
      <c r="E366" s="14">
        <f>Data!L366</f>
        <v>3644315000000</v>
      </c>
      <c r="F366" s="12">
        <f t="shared" si="5"/>
        <v>0.86873765478312415</v>
      </c>
    </row>
    <row r="367" spans="2:6" ht="15" customHeight="1" x14ac:dyDescent="0.3">
      <c r="C367" s="3"/>
      <c r="D367" s="8">
        <v>2016</v>
      </c>
      <c r="E367" s="14">
        <f>Data!L367</f>
        <v>5721415000000</v>
      </c>
      <c r="F367" s="12">
        <f t="shared" si="5"/>
        <v>0.56995621948157615</v>
      </c>
    </row>
    <row r="368" spans="2:6" ht="15" customHeight="1" x14ac:dyDescent="0.3">
      <c r="C368" s="3"/>
      <c r="D368" s="8">
        <v>2017</v>
      </c>
      <c r="E368" s="14">
        <f>Data!L368</f>
        <v>6966525000000</v>
      </c>
      <c r="F368" s="12">
        <f t="shared" si="5"/>
        <v>0.21762273843096508</v>
      </c>
    </row>
    <row r="369" spans="2:6" ht="15" customHeight="1" x14ac:dyDescent="0.3">
      <c r="C369" s="3"/>
      <c r="D369" s="8">
        <v>2018</v>
      </c>
      <c r="E369" s="14">
        <f>Data!L369</f>
        <v>6123301000000</v>
      </c>
      <c r="F369" s="12">
        <f t="shared" si="5"/>
        <v>-0.12103939912653726</v>
      </c>
    </row>
    <row r="370" spans="2:6" ht="15" customHeight="1" x14ac:dyDescent="0.3">
      <c r="C370" s="3"/>
      <c r="D370" s="8">
        <v>2019</v>
      </c>
      <c r="E370" s="14">
        <f>Data!L370</f>
        <v>6184355000000</v>
      </c>
      <c r="F370" s="12">
        <f t="shared" si="5"/>
        <v>9.9707657683331258E-3</v>
      </c>
    </row>
    <row r="371" spans="2:6" ht="15" customHeight="1" x14ac:dyDescent="0.3">
      <c r="C371" s="3"/>
      <c r="D371" s="8">
        <v>2020</v>
      </c>
      <c r="E371" s="14">
        <f>Data!L371</f>
        <v>5413062000000</v>
      </c>
      <c r="F371" s="12">
        <f t="shared" si="5"/>
        <v>-0.12471680555207455</v>
      </c>
    </row>
    <row r="372" spans="2:6" ht="15" customHeight="1" x14ac:dyDescent="0.3">
      <c r="C372" s="3"/>
      <c r="D372" s="8">
        <v>2021</v>
      </c>
      <c r="E372" s="14">
        <f>Data!L372</f>
        <v>5870860000000</v>
      </c>
      <c r="F372" s="12">
        <f t="shared" si="5"/>
        <v>8.4572835116242889E-2</v>
      </c>
    </row>
    <row r="373" spans="2:6" ht="15" customHeight="1" x14ac:dyDescent="0.3">
      <c r="C373" s="3"/>
      <c r="D373" s="8">
        <v>2022</v>
      </c>
      <c r="E373" s="14">
        <f>Data!L374</f>
        <v>6856342000000</v>
      </c>
      <c r="F373" s="12">
        <f t="shared" si="5"/>
        <v>0.16785990468176723</v>
      </c>
    </row>
    <row r="374" spans="2:6" ht="15" customHeight="1" x14ac:dyDescent="0.3">
      <c r="C374" s="3"/>
      <c r="D374" s="8">
        <v>2023</v>
      </c>
      <c r="E374" s="14" t="e">
        <f>Data!#REF!</f>
        <v>#REF!</v>
      </c>
      <c r="F374" s="12">
        <f t="shared" si="5"/>
        <v>0</v>
      </c>
    </row>
    <row r="375" spans="2:6" ht="15" customHeight="1" x14ac:dyDescent="0.3">
      <c r="C375" s="3"/>
      <c r="D375" s="8">
        <v>2024</v>
      </c>
      <c r="E375" s="14">
        <f>Data!L375</f>
        <v>6747224000000</v>
      </c>
      <c r="F375" s="12">
        <f t="shared" si="5"/>
        <v>0</v>
      </c>
    </row>
    <row r="376" spans="2:6" ht="15" customHeight="1" x14ac:dyDescent="0.3">
      <c r="B376" s="8">
        <v>35</v>
      </c>
      <c r="C376" s="3" t="s">
        <v>31</v>
      </c>
      <c r="D376" s="8">
        <v>2014</v>
      </c>
      <c r="E376" s="14">
        <f>Data!L376</f>
        <v>0</v>
      </c>
      <c r="F376" s="12">
        <f t="shared" si="5"/>
        <v>-1</v>
      </c>
    </row>
    <row r="377" spans="2:6" ht="15" customHeight="1" x14ac:dyDescent="0.3">
      <c r="C377" s="3"/>
      <c r="D377" s="8">
        <v>2015</v>
      </c>
      <c r="E377" s="14">
        <f>Data!L377</f>
        <v>0</v>
      </c>
      <c r="F377" s="12">
        <f t="shared" si="5"/>
        <v>0</v>
      </c>
    </row>
    <row r="378" spans="2:6" ht="15" customHeight="1" x14ac:dyDescent="0.3">
      <c r="C378" s="3"/>
      <c r="D378" s="8">
        <v>2016</v>
      </c>
      <c r="E378" s="14">
        <f>Data!L378</f>
        <v>0</v>
      </c>
      <c r="F378" s="12">
        <f t="shared" si="5"/>
        <v>0</v>
      </c>
    </row>
    <row r="379" spans="2:6" ht="15" customHeight="1" x14ac:dyDescent="0.3">
      <c r="C379" s="3"/>
      <c r="D379" s="8">
        <v>2017</v>
      </c>
      <c r="E379" s="14">
        <f>Data!L379</f>
        <v>0</v>
      </c>
      <c r="F379" s="12">
        <f t="shared" si="5"/>
        <v>0</v>
      </c>
    </row>
    <row r="380" spans="2:6" ht="15" customHeight="1" x14ac:dyDescent="0.3">
      <c r="C380" s="3"/>
      <c r="D380" s="8">
        <v>2018</v>
      </c>
      <c r="E380" s="14">
        <f>Data!L380</f>
        <v>0</v>
      </c>
      <c r="F380" s="12">
        <f t="shared" si="5"/>
        <v>0</v>
      </c>
    </row>
    <row r="381" spans="2:6" ht="15" customHeight="1" x14ac:dyDescent="0.3">
      <c r="C381" s="3"/>
      <c r="D381" s="8">
        <v>2019</v>
      </c>
      <c r="E381" s="14">
        <f>Data!L381</f>
        <v>0</v>
      </c>
      <c r="F381" s="12">
        <f t="shared" si="5"/>
        <v>0</v>
      </c>
    </row>
    <row r="382" spans="2:6" ht="15" customHeight="1" x14ac:dyDescent="0.3">
      <c r="C382" s="3"/>
      <c r="D382" s="8">
        <v>2020</v>
      </c>
      <c r="E382" s="14">
        <f>Data!L382</f>
        <v>10195068670000</v>
      </c>
      <c r="F382" s="12">
        <f t="shared" si="5"/>
        <v>0</v>
      </c>
    </row>
    <row r="383" spans="2:6" ht="15" customHeight="1" x14ac:dyDescent="0.3">
      <c r="C383" s="3"/>
      <c r="D383" s="8">
        <v>2021</v>
      </c>
      <c r="E383" s="14">
        <f>Data!L383</f>
        <v>13641201430000</v>
      </c>
      <c r="F383" s="12">
        <f t="shared" si="5"/>
        <v>0.33801957314329695</v>
      </c>
    </row>
    <row r="384" spans="2:6" ht="15" customHeight="1" x14ac:dyDescent="0.3">
      <c r="C384" s="3"/>
      <c r="D384" s="8">
        <v>2022</v>
      </c>
      <c r="E384" s="14">
        <f>Data!L384</f>
        <v>9213402160000</v>
      </c>
      <c r="F384" s="12">
        <f t="shared" si="5"/>
        <v>-0.32459012446383911</v>
      </c>
    </row>
    <row r="385" spans="2:6" ht="15" customHeight="1" x14ac:dyDescent="0.3">
      <c r="C385" s="3"/>
      <c r="D385" s="8">
        <v>2023</v>
      </c>
      <c r="E385" s="14">
        <f>Data!L385</f>
        <v>5501843010000</v>
      </c>
      <c r="F385" s="12">
        <f t="shared" si="5"/>
        <v>-0.40284349749908238</v>
      </c>
    </row>
    <row r="386" spans="2:6" ht="15" customHeight="1" x14ac:dyDescent="0.3">
      <c r="C386" s="3"/>
      <c r="D386" s="8">
        <v>2024</v>
      </c>
      <c r="E386" s="14">
        <f>Data!L386</f>
        <v>4433818350000</v>
      </c>
      <c r="F386" s="12">
        <f t="shared" si="5"/>
        <v>-0.19412125319802609</v>
      </c>
    </row>
    <row r="387" spans="2:6" ht="15" customHeight="1" x14ac:dyDescent="0.3">
      <c r="B387" s="8">
        <v>36</v>
      </c>
      <c r="C387" s="4" t="s">
        <v>54</v>
      </c>
      <c r="D387" s="8">
        <v>2014</v>
      </c>
      <c r="E387" s="14">
        <f>Data!L387</f>
        <v>0</v>
      </c>
      <c r="F387" s="12">
        <f t="shared" ref="F387:F450" si="6">IFERROR((E387-E386)/E386,0)</f>
        <v>-1</v>
      </c>
    </row>
    <row r="388" spans="2:6" ht="15" customHeight="1" x14ac:dyDescent="0.3">
      <c r="C388" s="4"/>
      <c r="D388" s="8">
        <v>2015</v>
      </c>
      <c r="E388" s="14">
        <f>Data!L388</f>
        <v>0</v>
      </c>
      <c r="F388" s="12">
        <f t="shared" si="6"/>
        <v>0</v>
      </c>
    </row>
    <row r="389" spans="2:6" ht="15" customHeight="1" x14ac:dyDescent="0.3">
      <c r="C389" s="4"/>
      <c r="D389" s="8">
        <v>2016</v>
      </c>
      <c r="E389" s="14">
        <f>Data!L389</f>
        <v>834820000</v>
      </c>
      <c r="F389" s="12">
        <f t="shared" si="6"/>
        <v>0</v>
      </c>
    </row>
    <row r="390" spans="2:6" ht="15" customHeight="1" x14ac:dyDescent="0.3">
      <c r="C390" s="4"/>
      <c r="D390" s="8">
        <v>2017</v>
      </c>
      <c r="E390" s="14">
        <f>Data!L390</f>
        <v>14367590000</v>
      </c>
      <c r="F390" s="12">
        <f t="shared" si="6"/>
        <v>16.210404638125585</v>
      </c>
    </row>
    <row r="391" spans="2:6" ht="15" customHeight="1" x14ac:dyDescent="0.3">
      <c r="C391" s="4"/>
      <c r="D391" s="8">
        <v>2018</v>
      </c>
      <c r="E391" s="14">
        <f>Data!L391</f>
        <v>48070210000</v>
      </c>
      <c r="F391" s="12">
        <f t="shared" si="6"/>
        <v>2.345739264553067</v>
      </c>
    </row>
    <row r="392" spans="2:6" ht="15" customHeight="1" x14ac:dyDescent="0.3">
      <c r="C392" s="4"/>
      <c r="D392" s="8">
        <v>2019</v>
      </c>
      <c r="E392" s="14">
        <f>Data!L392</f>
        <v>112243420000</v>
      </c>
      <c r="F392" s="12">
        <f t="shared" si="6"/>
        <v>1.3349891752085128</v>
      </c>
    </row>
    <row r="393" spans="2:6" ht="15" customHeight="1" x14ac:dyDescent="0.3">
      <c r="C393" s="4"/>
      <c r="D393" s="8">
        <v>2020</v>
      </c>
      <c r="E393" s="14">
        <f>Data!L393</f>
        <v>112865650000</v>
      </c>
      <c r="F393" s="12">
        <f t="shared" si="6"/>
        <v>5.5435766301490099E-3</v>
      </c>
    </row>
    <row r="394" spans="2:6" ht="15" customHeight="1" x14ac:dyDescent="0.3">
      <c r="C394" s="4"/>
      <c r="D394" s="8">
        <v>2021</v>
      </c>
      <c r="E394" s="14">
        <f>Data!L394</f>
        <v>172277280000</v>
      </c>
      <c r="F394" s="12">
        <f t="shared" si="6"/>
        <v>0.52639248522468973</v>
      </c>
    </row>
    <row r="395" spans="2:6" ht="15" customHeight="1" x14ac:dyDescent="0.3">
      <c r="C395" s="4"/>
      <c r="D395" s="8">
        <v>2022</v>
      </c>
      <c r="E395" s="14">
        <f>Data!L395</f>
        <v>213852780000</v>
      </c>
      <c r="F395" s="12">
        <f t="shared" si="6"/>
        <v>0.2413289784932755</v>
      </c>
    </row>
    <row r="396" spans="2:6" ht="15" customHeight="1" x14ac:dyDescent="0.3">
      <c r="C396" s="4"/>
      <c r="D396" s="8">
        <v>2023</v>
      </c>
      <c r="E396" s="14">
        <f>Data!L396</f>
        <v>212140030000</v>
      </c>
      <c r="F396" s="12">
        <f t="shared" si="6"/>
        <v>-8.0090144257184779E-3</v>
      </c>
    </row>
    <row r="397" spans="2:6" ht="15" customHeight="1" x14ac:dyDescent="0.3">
      <c r="C397" s="4"/>
      <c r="D397" s="8">
        <v>2024</v>
      </c>
      <c r="E397" s="14">
        <f>Data!L397</f>
        <v>0</v>
      </c>
      <c r="F397" s="12">
        <f t="shared" si="6"/>
        <v>-1</v>
      </c>
    </row>
    <row r="398" spans="2:6" ht="15" customHeight="1" x14ac:dyDescent="0.3">
      <c r="B398" s="8">
        <v>37</v>
      </c>
      <c r="C398" s="3" t="s">
        <v>10</v>
      </c>
      <c r="D398" s="8">
        <v>2014</v>
      </c>
      <c r="E398" s="14">
        <f>Data!L398</f>
        <v>0</v>
      </c>
      <c r="F398" s="12">
        <f t="shared" si="6"/>
        <v>0</v>
      </c>
    </row>
    <row r="399" spans="2:6" ht="15" customHeight="1" x14ac:dyDescent="0.3">
      <c r="C399" s="3"/>
      <c r="D399" s="8">
        <v>2015</v>
      </c>
      <c r="E399" s="14">
        <f>Data!L399</f>
        <v>0</v>
      </c>
      <c r="F399" s="12">
        <f t="shared" si="6"/>
        <v>0</v>
      </c>
    </row>
    <row r="400" spans="2:6" ht="15" customHeight="1" x14ac:dyDescent="0.3">
      <c r="C400" s="3"/>
      <c r="D400" s="8">
        <v>2016</v>
      </c>
      <c r="E400" s="14">
        <f>Data!L400</f>
        <v>0</v>
      </c>
      <c r="F400" s="12">
        <f t="shared" si="6"/>
        <v>0</v>
      </c>
    </row>
    <row r="401" spans="2:6" ht="15" customHeight="1" x14ac:dyDescent="0.3">
      <c r="C401" s="3"/>
      <c r="D401" s="8">
        <v>2017</v>
      </c>
      <c r="E401" s="14">
        <f>Data!L401</f>
        <v>39561670000</v>
      </c>
      <c r="F401" s="12">
        <f t="shared" si="6"/>
        <v>0</v>
      </c>
    </row>
    <row r="402" spans="2:6" ht="15" customHeight="1" x14ac:dyDescent="0.3">
      <c r="C402" s="3"/>
      <c r="D402" s="8">
        <v>2018</v>
      </c>
      <c r="E402" s="14">
        <f>Data!L402</f>
        <v>41616860000</v>
      </c>
      <c r="F402" s="12">
        <f t="shared" si="6"/>
        <v>5.1949020352275319E-2</v>
      </c>
    </row>
    <row r="403" spans="2:6" ht="15" customHeight="1" x14ac:dyDescent="0.3">
      <c r="C403" s="3"/>
      <c r="D403" s="8">
        <v>2019</v>
      </c>
      <c r="E403" s="14">
        <f>Data!L403</f>
        <v>49682230000</v>
      </c>
      <c r="F403" s="12">
        <f t="shared" si="6"/>
        <v>0.19380054141518605</v>
      </c>
    </row>
    <row r="404" spans="2:6" ht="15" customHeight="1" x14ac:dyDescent="0.3">
      <c r="C404" s="3"/>
      <c r="D404" s="8">
        <v>2020</v>
      </c>
      <c r="E404" s="14">
        <f>Data!L404</f>
        <v>50141460000</v>
      </c>
      <c r="F404" s="12">
        <f t="shared" si="6"/>
        <v>9.2433451558031916E-3</v>
      </c>
    </row>
    <row r="405" spans="2:6" ht="15" customHeight="1" x14ac:dyDescent="0.3">
      <c r="C405" s="3"/>
      <c r="D405" s="8">
        <v>2021</v>
      </c>
      <c r="E405" s="14">
        <f>Data!L405</f>
        <v>42027800000</v>
      </c>
      <c r="F405" s="12">
        <f t="shared" si="6"/>
        <v>-0.16181539189325561</v>
      </c>
    </row>
    <row r="406" spans="2:6" ht="15" customHeight="1" x14ac:dyDescent="0.3">
      <c r="C406" s="3"/>
      <c r="D406" s="8">
        <v>2022</v>
      </c>
      <c r="E406" s="14">
        <f>Data!L406</f>
        <v>44009640000</v>
      </c>
      <c r="F406" s="12">
        <f t="shared" si="6"/>
        <v>4.7155454246950827E-2</v>
      </c>
    </row>
    <row r="407" spans="2:6" ht="15" customHeight="1" x14ac:dyDescent="0.3">
      <c r="C407" s="3"/>
      <c r="D407" s="8">
        <v>2023</v>
      </c>
      <c r="E407" s="14">
        <f>Data!L407</f>
        <v>41351630000</v>
      </c>
      <c r="F407" s="12">
        <f t="shared" si="6"/>
        <v>-6.0396085948442202E-2</v>
      </c>
    </row>
    <row r="408" spans="2:6" ht="15" customHeight="1" x14ac:dyDescent="0.3">
      <c r="C408" s="3"/>
      <c r="D408" s="8">
        <v>2024</v>
      </c>
      <c r="E408" s="14">
        <f>Data!L408</f>
        <v>40644000000</v>
      </c>
      <c r="F408" s="12">
        <f t="shared" si="6"/>
        <v>-1.7112505601351143E-2</v>
      </c>
    </row>
    <row r="409" spans="2:6" ht="15" customHeight="1" x14ac:dyDescent="0.3">
      <c r="B409" s="8">
        <v>38</v>
      </c>
      <c r="C409" s="3" t="s">
        <v>32</v>
      </c>
      <c r="D409" s="8">
        <v>2014</v>
      </c>
      <c r="E409" s="14">
        <f>Data!L409</f>
        <v>0</v>
      </c>
      <c r="F409" s="12">
        <f t="shared" si="6"/>
        <v>-1</v>
      </c>
    </row>
    <row r="410" spans="2:6" ht="15" customHeight="1" x14ac:dyDescent="0.3">
      <c r="C410" s="3"/>
      <c r="D410" s="8">
        <v>2015</v>
      </c>
      <c r="E410" s="14">
        <f>Data!L410</f>
        <v>0</v>
      </c>
      <c r="F410" s="12">
        <f t="shared" si="6"/>
        <v>0</v>
      </c>
    </row>
    <row r="411" spans="2:6" ht="15" customHeight="1" x14ac:dyDescent="0.3">
      <c r="C411" s="3"/>
      <c r="D411" s="8">
        <v>2016</v>
      </c>
      <c r="E411" s="14">
        <f>Data!L411</f>
        <v>0</v>
      </c>
      <c r="F411" s="12">
        <f t="shared" si="6"/>
        <v>0</v>
      </c>
    </row>
    <row r="412" spans="2:6" ht="15" customHeight="1" x14ac:dyDescent="0.3">
      <c r="C412" s="3"/>
      <c r="D412" s="8">
        <v>2017</v>
      </c>
      <c r="E412" s="14">
        <f>Data!L412</f>
        <v>7857000000</v>
      </c>
      <c r="F412" s="12">
        <f t="shared" si="6"/>
        <v>0</v>
      </c>
    </row>
    <row r="413" spans="2:6" ht="15" customHeight="1" x14ac:dyDescent="0.3">
      <c r="C413" s="3"/>
      <c r="D413" s="8">
        <v>2018</v>
      </c>
      <c r="E413" s="14">
        <f>Data!L413</f>
        <v>14708000000</v>
      </c>
      <c r="F413" s="12">
        <f t="shared" si="6"/>
        <v>0.87196130838742525</v>
      </c>
    </row>
    <row r="414" spans="2:6" ht="15" customHeight="1" x14ac:dyDescent="0.3">
      <c r="C414" s="3"/>
      <c r="D414" s="8">
        <v>2019</v>
      </c>
      <c r="E414" s="14">
        <f>Data!L414</f>
        <v>27542000000</v>
      </c>
      <c r="F414" s="12">
        <f t="shared" si="6"/>
        <v>0.87258634756595055</v>
      </c>
    </row>
    <row r="415" spans="2:6" ht="15" customHeight="1" x14ac:dyDescent="0.3">
      <c r="C415" s="3"/>
      <c r="D415" s="8">
        <v>2020</v>
      </c>
      <c r="E415" s="14">
        <f>Data!L415</f>
        <v>35000000000</v>
      </c>
      <c r="F415" s="12">
        <f t="shared" si="6"/>
        <v>0.27078643526250817</v>
      </c>
    </row>
    <row r="416" spans="2:6" ht="15" customHeight="1" x14ac:dyDescent="0.3">
      <c r="C416" s="3"/>
      <c r="D416" s="8">
        <v>2021</v>
      </c>
      <c r="E416" s="14">
        <f>Data!L416</f>
        <v>24578000000</v>
      </c>
      <c r="F416" s="12">
        <f t="shared" si="6"/>
        <v>-0.29777142857142858</v>
      </c>
    </row>
    <row r="417" spans="2:6" ht="15" customHeight="1" x14ac:dyDescent="0.3">
      <c r="C417" s="3"/>
      <c r="D417" s="8">
        <v>2022</v>
      </c>
      <c r="E417" s="14">
        <f>Data!L417</f>
        <v>26881000000</v>
      </c>
      <c r="F417" s="12">
        <f t="shared" si="6"/>
        <v>9.3701684433232971E-2</v>
      </c>
    </row>
    <row r="418" spans="2:6" ht="15" customHeight="1" x14ac:dyDescent="0.3">
      <c r="C418" s="3"/>
      <c r="D418" s="8">
        <v>2023</v>
      </c>
      <c r="E418" s="14">
        <f>Data!L418</f>
        <v>57439000000</v>
      </c>
      <c r="F418" s="12">
        <f t="shared" si="6"/>
        <v>1.1367880659201666</v>
      </c>
    </row>
    <row r="419" spans="2:6" ht="15" customHeight="1" x14ac:dyDescent="0.3">
      <c r="C419" s="3"/>
      <c r="D419" s="8">
        <v>2024</v>
      </c>
      <c r="E419" s="14">
        <f>Data!L419</f>
        <v>42924000000</v>
      </c>
      <c r="F419" s="12">
        <f t="shared" si="6"/>
        <v>-0.25270286738975262</v>
      </c>
    </row>
    <row r="420" spans="2:6" ht="15" customHeight="1" x14ac:dyDescent="0.3">
      <c r="B420" s="8">
        <v>39</v>
      </c>
      <c r="C420" s="3" t="s">
        <v>33</v>
      </c>
      <c r="D420" s="8">
        <v>2014</v>
      </c>
      <c r="E420" s="14">
        <f>Data!L420</f>
        <v>1062779000000</v>
      </c>
      <c r="F420" s="12">
        <f t="shared" si="6"/>
        <v>23.759551765911844</v>
      </c>
    </row>
    <row r="421" spans="2:6" ht="15" customHeight="1" x14ac:dyDescent="0.3">
      <c r="C421" s="3"/>
      <c r="D421" s="8">
        <v>2015</v>
      </c>
      <c r="E421" s="14">
        <f>Data!L421</f>
        <v>1148868000000</v>
      </c>
      <c r="F421" s="12">
        <f t="shared" si="6"/>
        <v>8.1003670565564428E-2</v>
      </c>
    </row>
    <row r="422" spans="2:6" ht="15" customHeight="1" x14ac:dyDescent="0.3">
      <c r="C422" s="3"/>
      <c r="D422" s="8">
        <v>2016</v>
      </c>
      <c r="E422" s="14">
        <f>Data!L422</f>
        <v>1297865000000</v>
      </c>
      <c r="F422" s="12">
        <f t="shared" si="6"/>
        <v>0.12969026903003653</v>
      </c>
    </row>
    <row r="423" spans="2:6" ht="15" customHeight="1" x14ac:dyDescent="0.3">
      <c r="C423" s="3"/>
      <c r="D423" s="8">
        <v>2017</v>
      </c>
      <c r="E423" s="14">
        <f>Data!L423</f>
        <v>1581693000000</v>
      </c>
      <c r="F423" s="12">
        <f t="shared" si="6"/>
        <v>0.21868838438512481</v>
      </c>
    </row>
    <row r="424" spans="2:6" ht="15" customHeight="1" x14ac:dyDescent="0.3">
      <c r="C424" s="3"/>
      <c r="D424" s="8">
        <v>2018</v>
      </c>
      <c r="E424" s="14">
        <f>Data!L435</f>
        <v>811679000000</v>
      </c>
      <c r="F424" s="12">
        <f t="shared" si="6"/>
        <v>-0.48682898640886696</v>
      </c>
    </row>
    <row r="425" spans="2:6" ht="15" customHeight="1" x14ac:dyDescent="0.3">
      <c r="C425" s="3"/>
      <c r="D425" s="8">
        <v>2019</v>
      </c>
      <c r="E425" s="14">
        <f>Data!L436</f>
        <v>926472000000</v>
      </c>
      <c r="F425" s="12">
        <f t="shared" si="6"/>
        <v>0.14142659844593738</v>
      </c>
    </row>
    <row r="426" spans="2:6" ht="15" customHeight="1" x14ac:dyDescent="0.3">
      <c r="C426" s="3"/>
      <c r="D426" s="8">
        <v>2020</v>
      </c>
      <c r="E426" s="14">
        <f>Data!L437</f>
        <v>809935000000</v>
      </c>
      <c r="F426" s="12">
        <f t="shared" si="6"/>
        <v>-0.12578577658040394</v>
      </c>
    </row>
    <row r="427" spans="2:6" ht="15" customHeight="1" x14ac:dyDescent="0.3">
      <c r="C427" s="3"/>
      <c r="D427" s="8">
        <v>2021</v>
      </c>
      <c r="E427" s="14">
        <f>Data!L438</f>
        <v>1007902000000</v>
      </c>
      <c r="F427" s="12">
        <f t="shared" si="6"/>
        <v>0.24442331792057387</v>
      </c>
    </row>
    <row r="428" spans="2:6" ht="15" customHeight="1" x14ac:dyDescent="0.3">
      <c r="C428" s="3"/>
      <c r="D428" s="8">
        <v>2022</v>
      </c>
      <c r="E428" s="14">
        <f>Data!L439</f>
        <v>940232000000</v>
      </c>
      <c r="F428" s="12">
        <f t="shared" si="6"/>
        <v>-6.7139463955821099E-2</v>
      </c>
    </row>
    <row r="429" spans="2:6" ht="15" customHeight="1" x14ac:dyDescent="0.3">
      <c r="C429" s="3"/>
      <c r="D429" s="8">
        <v>2023</v>
      </c>
      <c r="E429" s="14">
        <f>Data!L440</f>
        <v>858772000000</v>
      </c>
      <c r="F429" s="12">
        <f t="shared" si="6"/>
        <v>-8.6638191425095087E-2</v>
      </c>
    </row>
    <row r="430" spans="2:6" ht="15" customHeight="1" x14ac:dyDescent="0.3">
      <c r="C430" s="3"/>
      <c r="D430" s="8">
        <v>2024</v>
      </c>
      <c r="E430" s="14">
        <f>Data!L441</f>
        <v>793409000000</v>
      </c>
      <c r="F430" s="12">
        <f t="shared" si="6"/>
        <v>-7.6112169469894214E-2</v>
      </c>
    </row>
    <row r="431" spans="2:6" ht="15" customHeight="1" x14ac:dyDescent="0.3">
      <c r="B431" s="8">
        <v>40</v>
      </c>
      <c r="C431" s="3" t="s">
        <v>12</v>
      </c>
      <c r="D431" s="8">
        <v>2014</v>
      </c>
      <c r="E431" s="14">
        <f>Data!L431</f>
        <v>0</v>
      </c>
      <c r="F431" s="12">
        <f t="shared" si="6"/>
        <v>-1</v>
      </c>
    </row>
    <row r="432" spans="2:6" ht="15" customHeight="1" x14ac:dyDescent="0.3">
      <c r="C432" s="3"/>
      <c r="D432" s="8">
        <v>2015</v>
      </c>
      <c r="E432" s="14">
        <f>Data!L432</f>
        <v>0</v>
      </c>
      <c r="F432" s="12">
        <f t="shared" si="6"/>
        <v>0</v>
      </c>
    </row>
    <row r="433" spans="2:6" ht="15" customHeight="1" x14ac:dyDescent="0.3">
      <c r="C433" s="3"/>
      <c r="D433" s="8">
        <v>2016</v>
      </c>
      <c r="E433" s="14">
        <f>Data!L433</f>
        <v>0</v>
      </c>
      <c r="F433" s="12">
        <f t="shared" si="6"/>
        <v>0</v>
      </c>
    </row>
    <row r="434" spans="2:6" ht="15" customHeight="1" x14ac:dyDescent="0.3">
      <c r="C434" s="3"/>
      <c r="D434" s="8">
        <v>2017</v>
      </c>
      <c r="E434" s="14">
        <f>Data!L434</f>
        <v>0</v>
      </c>
      <c r="F434" s="12">
        <f t="shared" si="6"/>
        <v>0</v>
      </c>
    </row>
    <row r="435" spans="2:6" ht="15" customHeight="1" x14ac:dyDescent="0.3">
      <c r="C435" s="3"/>
      <c r="D435" s="8">
        <v>2018</v>
      </c>
      <c r="E435" s="14" t="e">
        <f>Data!#REF!</f>
        <v>#REF!</v>
      </c>
      <c r="F435" s="12">
        <f t="shared" si="6"/>
        <v>0</v>
      </c>
    </row>
    <row r="436" spans="2:6" ht="15" customHeight="1" x14ac:dyDescent="0.3">
      <c r="C436" s="3"/>
      <c r="D436" s="8">
        <v>2019</v>
      </c>
      <c r="E436" s="14" t="e">
        <f>Data!#REF!</f>
        <v>#REF!</v>
      </c>
      <c r="F436" s="12">
        <f t="shared" si="6"/>
        <v>0</v>
      </c>
    </row>
    <row r="437" spans="2:6" ht="15" customHeight="1" x14ac:dyDescent="0.3">
      <c r="C437" s="3"/>
      <c r="D437" s="8">
        <v>2020</v>
      </c>
      <c r="E437" s="14" t="e">
        <f>Data!#REF!</f>
        <v>#REF!</v>
      </c>
      <c r="F437" s="12">
        <f t="shared" si="6"/>
        <v>0</v>
      </c>
    </row>
    <row r="438" spans="2:6" ht="15" customHeight="1" x14ac:dyDescent="0.3">
      <c r="C438" s="3"/>
      <c r="D438" s="8">
        <v>2021</v>
      </c>
      <c r="E438" s="14" t="e">
        <f>Data!#REF!</f>
        <v>#REF!</v>
      </c>
      <c r="F438" s="12">
        <f t="shared" si="6"/>
        <v>0</v>
      </c>
    </row>
    <row r="439" spans="2:6" ht="15" customHeight="1" x14ac:dyDescent="0.3">
      <c r="C439" s="3"/>
      <c r="D439" s="8">
        <v>2022</v>
      </c>
      <c r="E439" s="14" t="e">
        <f>Data!#REF!</f>
        <v>#REF!</v>
      </c>
      <c r="F439" s="12">
        <f t="shared" si="6"/>
        <v>0</v>
      </c>
    </row>
    <row r="440" spans="2:6" ht="15" customHeight="1" x14ac:dyDescent="0.3">
      <c r="C440" s="3"/>
      <c r="D440" s="8">
        <v>2023</v>
      </c>
      <c r="E440" s="14" t="e">
        <f>Data!#REF!</f>
        <v>#REF!</v>
      </c>
      <c r="F440" s="12">
        <f t="shared" si="6"/>
        <v>0</v>
      </c>
    </row>
    <row r="441" spans="2:6" ht="15" customHeight="1" x14ac:dyDescent="0.3">
      <c r="C441" s="3"/>
      <c r="D441" s="8">
        <v>2024</v>
      </c>
      <c r="E441" s="14" t="e">
        <f>Data!#REF!</f>
        <v>#REF!</v>
      </c>
      <c r="F441" s="12">
        <f t="shared" si="6"/>
        <v>0</v>
      </c>
    </row>
    <row r="442" spans="2:6" ht="15" customHeight="1" x14ac:dyDescent="0.3">
      <c r="B442" s="8">
        <v>41</v>
      </c>
      <c r="C442" s="3" t="s">
        <v>34</v>
      </c>
      <c r="D442" s="8">
        <v>2014</v>
      </c>
      <c r="E442" s="14">
        <f>Data!L442</f>
        <v>0</v>
      </c>
      <c r="F442" s="12">
        <f t="shared" si="6"/>
        <v>0</v>
      </c>
    </row>
    <row r="443" spans="2:6" ht="15" customHeight="1" x14ac:dyDescent="0.3">
      <c r="C443" s="3"/>
      <c r="D443" s="8">
        <v>2015</v>
      </c>
      <c r="E443" s="14">
        <f>Data!L443</f>
        <v>0</v>
      </c>
      <c r="F443" s="12">
        <f t="shared" si="6"/>
        <v>0</v>
      </c>
    </row>
    <row r="444" spans="2:6" ht="15" customHeight="1" x14ac:dyDescent="0.3">
      <c r="C444" s="3"/>
      <c r="D444" s="8">
        <v>2016</v>
      </c>
      <c r="E444" s="14">
        <f>Data!L444</f>
        <v>0</v>
      </c>
      <c r="F444" s="12">
        <f t="shared" si="6"/>
        <v>0</v>
      </c>
    </row>
    <row r="445" spans="2:6" ht="15" customHeight="1" x14ac:dyDescent="0.3">
      <c r="C445" s="3"/>
      <c r="D445" s="8">
        <v>2017</v>
      </c>
      <c r="E445" s="14">
        <f>Data!L445</f>
        <v>0</v>
      </c>
      <c r="F445" s="12">
        <f t="shared" si="6"/>
        <v>0</v>
      </c>
    </row>
    <row r="446" spans="2:6" ht="15" customHeight="1" x14ac:dyDescent="0.3">
      <c r="C446" s="3"/>
      <c r="D446" s="8">
        <v>2018</v>
      </c>
      <c r="E446" s="14">
        <f>Data!L446</f>
        <v>602871000000</v>
      </c>
      <c r="F446" s="12">
        <f t="shared" si="6"/>
        <v>0</v>
      </c>
    </row>
    <row r="447" spans="2:6" ht="15" customHeight="1" x14ac:dyDescent="0.3">
      <c r="C447" s="3"/>
      <c r="D447" s="8">
        <v>2019</v>
      </c>
      <c r="E447" s="14">
        <f>Data!L447</f>
        <v>1023903000000</v>
      </c>
      <c r="F447" s="12">
        <f t="shared" si="6"/>
        <v>0.69837826002577663</v>
      </c>
    </row>
    <row r="448" spans="2:6" ht="15" customHeight="1" x14ac:dyDescent="0.3">
      <c r="C448" s="3"/>
      <c r="D448" s="8">
        <v>2020</v>
      </c>
      <c r="E448" s="14">
        <f>Data!L448</f>
        <v>2965679000000</v>
      </c>
      <c r="F448" s="12">
        <f t="shared" si="6"/>
        <v>1.8964452687412772</v>
      </c>
    </row>
    <row r="449" spans="2:6" ht="15" customHeight="1" x14ac:dyDescent="0.3">
      <c r="C449" s="3"/>
      <c r="D449" s="8">
        <v>2021</v>
      </c>
      <c r="E449" s="14">
        <f>Data!L449</f>
        <v>2933681000000</v>
      </c>
      <c r="F449" s="12">
        <f t="shared" si="6"/>
        <v>-1.0789434729787007E-2</v>
      </c>
    </row>
    <row r="450" spans="2:6" ht="15" customHeight="1" x14ac:dyDescent="0.3">
      <c r="C450" s="3"/>
      <c r="D450" s="8">
        <v>2022</v>
      </c>
      <c r="E450" s="14">
        <f>Data!L450</f>
        <v>2551416000000</v>
      </c>
      <c r="F450" s="12">
        <f t="shared" si="6"/>
        <v>-0.13030216986782134</v>
      </c>
    </row>
    <row r="451" spans="2:6" ht="15" customHeight="1" x14ac:dyDescent="0.3">
      <c r="C451" s="3"/>
      <c r="D451" s="8">
        <v>2023</v>
      </c>
      <c r="E451" s="14">
        <f>Data!L451</f>
        <v>2862880000000</v>
      </c>
      <c r="F451" s="12">
        <f t="shared" ref="F451:F514" si="7">IFERROR((E451-E450)/E450,0)</f>
        <v>0.12207495759217626</v>
      </c>
    </row>
    <row r="452" spans="2:6" ht="15" customHeight="1" x14ac:dyDescent="0.3">
      <c r="C452" s="3"/>
      <c r="D452" s="8">
        <v>2024</v>
      </c>
      <c r="E452" s="14">
        <f>Data!L452</f>
        <v>2347066000000</v>
      </c>
      <c r="F452" s="12">
        <f t="shared" si="7"/>
        <v>-0.18017311239032024</v>
      </c>
    </row>
    <row r="453" spans="2:6" ht="15" customHeight="1" x14ac:dyDescent="0.3">
      <c r="B453" s="8">
        <v>42</v>
      </c>
      <c r="C453" s="3" t="s">
        <v>14</v>
      </c>
      <c r="D453" s="8">
        <v>2014</v>
      </c>
      <c r="E453" s="14">
        <f>Data!L453</f>
        <v>1258079250000</v>
      </c>
      <c r="F453" s="12">
        <f t="shared" si="7"/>
        <v>-0.46397789836331826</v>
      </c>
    </row>
    <row r="454" spans="2:6" ht="15" customHeight="1" x14ac:dyDescent="0.3">
      <c r="C454" s="3"/>
      <c r="D454" s="8">
        <v>2015</v>
      </c>
      <c r="E454" s="14">
        <f>Data!L454</f>
        <v>890393270000</v>
      </c>
      <c r="F454" s="12">
        <f t="shared" si="7"/>
        <v>-0.29225979205999941</v>
      </c>
    </row>
    <row r="455" spans="2:6" ht="15" customHeight="1" x14ac:dyDescent="0.3">
      <c r="C455" s="3"/>
      <c r="D455" s="8">
        <v>2016</v>
      </c>
      <c r="E455" s="14">
        <f>Data!L455</f>
        <v>1172898060000</v>
      </c>
      <c r="F455" s="12">
        <f t="shared" si="7"/>
        <v>0.31728091341031811</v>
      </c>
    </row>
    <row r="456" spans="2:6" ht="15" customHeight="1" x14ac:dyDescent="0.3">
      <c r="C456" s="3"/>
      <c r="D456" s="8">
        <v>2017</v>
      </c>
      <c r="E456" s="14">
        <f>Data!L456</f>
        <v>1511974180000</v>
      </c>
      <c r="F456" s="12">
        <f t="shared" si="7"/>
        <v>0.28909257467780275</v>
      </c>
    </row>
    <row r="457" spans="2:6" ht="15" customHeight="1" x14ac:dyDescent="0.3">
      <c r="C457" s="3"/>
      <c r="D457" s="8">
        <v>2018</v>
      </c>
      <c r="E457" s="14">
        <f>Data!L457</f>
        <v>1904599980000</v>
      </c>
      <c r="F457" s="12">
        <f t="shared" si="7"/>
        <v>0.25967758258940637</v>
      </c>
    </row>
    <row r="458" spans="2:6" ht="15" customHeight="1" x14ac:dyDescent="0.3">
      <c r="C458" s="3"/>
      <c r="D458" s="8">
        <v>2019</v>
      </c>
      <c r="E458" s="14">
        <f>Data!L458</f>
        <v>2213221600000</v>
      </c>
      <c r="F458" s="12">
        <f t="shared" si="7"/>
        <v>0.16204012561209835</v>
      </c>
    </row>
    <row r="459" spans="2:6" ht="15" customHeight="1" x14ac:dyDescent="0.3">
      <c r="C459" s="3"/>
      <c r="D459" s="8">
        <v>2020</v>
      </c>
      <c r="E459" s="14">
        <f>Data!L459</f>
        <v>1944866410000</v>
      </c>
      <c r="F459" s="12">
        <f t="shared" si="7"/>
        <v>-0.12125093574000904</v>
      </c>
    </row>
    <row r="460" spans="2:6" ht="15" customHeight="1" x14ac:dyDescent="0.3">
      <c r="C460" s="3"/>
      <c r="D460" s="8">
        <v>2021</v>
      </c>
      <c r="E460" s="14">
        <f>Data!L460</f>
        <v>2492561790000</v>
      </c>
      <c r="F460" s="12">
        <f t="shared" si="7"/>
        <v>0.28161079711382336</v>
      </c>
    </row>
    <row r="461" spans="2:6" ht="15" customHeight="1" x14ac:dyDescent="0.3">
      <c r="C461" s="3"/>
      <c r="D461" s="8">
        <v>2022</v>
      </c>
      <c r="E461" s="14">
        <f>Data!L461</f>
        <v>3963998540000</v>
      </c>
      <c r="F461" s="12">
        <f t="shared" si="7"/>
        <v>0.5903311026845196</v>
      </c>
    </row>
    <row r="462" spans="2:6" ht="15" customHeight="1" x14ac:dyDescent="0.3">
      <c r="C462" s="3"/>
      <c r="D462" s="8">
        <v>2023</v>
      </c>
      <c r="E462" s="14">
        <f>Data!L462</f>
        <v>4106181060000</v>
      </c>
      <c r="F462" s="12">
        <f t="shared" si="7"/>
        <v>3.5868459225012729E-2</v>
      </c>
    </row>
    <row r="463" spans="2:6" ht="15" customHeight="1" x14ac:dyDescent="0.3">
      <c r="C463" s="3"/>
      <c r="D463" s="8">
        <v>2024</v>
      </c>
      <c r="E463" s="14">
        <f>Data!L463</f>
        <v>4339933250000</v>
      </c>
      <c r="F463" s="12">
        <f t="shared" si="7"/>
        <v>5.6926907650779533E-2</v>
      </c>
    </row>
    <row r="464" spans="2:6" ht="15" customHeight="1" x14ac:dyDescent="0.3">
      <c r="B464" s="8">
        <v>43</v>
      </c>
      <c r="C464" s="3" t="s">
        <v>15</v>
      </c>
      <c r="D464" s="8">
        <v>2014</v>
      </c>
      <c r="E464" s="14">
        <f>Data!L464</f>
        <v>15534570000</v>
      </c>
      <c r="F464" s="12">
        <f t="shared" si="7"/>
        <v>-0.99642055093819704</v>
      </c>
    </row>
    <row r="465" spans="2:6" ht="15" customHeight="1" x14ac:dyDescent="0.3">
      <c r="C465" s="3"/>
      <c r="D465" s="8">
        <v>2015</v>
      </c>
      <c r="E465" s="14">
        <f>Data!L465</f>
        <v>64228260000</v>
      </c>
      <c r="F465" s="12">
        <f t="shared" si="7"/>
        <v>3.1345373576481359</v>
      </c>
    </row>
    <row r="466" spans="2:6" ht="15" customHeight="1" x14ac:dyDescent="0.3">
      <c r="C466" s="3"/>
      <c r="D466" s="8">
        <v>2016</v>
      </c>
      <c r="E466" s="14">
        <f>Data!L466</f>
        <v>192284840000</v>
      </c>
      <c r="F466" s="12">
        <f t="shared" si="7"/>
        <v>1.9937731459640975</v>
      </c>
    </row>
    <row r="467" spans="2:6" ht="15" customHeight="1" x14ac:dyDescent="0.3">
      <c r="C467" s="3"/>
      <c r="D467" s="8">
        <v>2017</v>
      </c>
      <c r="E467" s="14">
        <f>Data!L467</f>
        <v>247528580000</v>
      </c>
      <c r="F467" s="12">
        <f t="shared" si="7"/>
        <v>0.2873015886223792</v>
      </c>
    </row>
    <row r="468" spans="2:6" ht="15" customHeight="1" x14ac:dyDescent="0.3">
      <c r="C468" s="3"/>
      <c r="D468" s="8">
        <v>2018</v>
      </c>
      <c r="E468" s="14">
        <f>Data!L468</f>
        <v>195732790000</v>
      </c>
      <c r="F468" s="12">
        <f t="shared" si="7"/>
        <v>-0.20925175589824818</v>
      </c>
    </row>
    <row r="469" spans="2:6" ht="15" customHeight="1" x14ac:dyDescent="0.3">
      <c r="C469" s="3"/>
      <c r="D469" s="8">
        <v>2019</v>
      </c>
      <c r="E469" s="14">
        <f>Data!L469</f>
        <v>189454050000</v>
      </c>
      <c r="F469" s="12">
        <f t="shared" si="7"/>
        <v>-3.2078120380340976E-2</v>
      </c>
    </row>
    <row r="470" spans="2:6" ht="15" customHeight="1" x14ac:dyDescent="0.3">
      <c r="C470" s="3"/>
      <c r="D470" s="8">
        <v>2020</v>
      </c>
      <c r="E470" s="14">
        <f>Data!L470</f>
        <v>201081100000</v>
      </c>
      <c r="F470" s="12">
        <f t="shared" si="7"/>
        <v>6.1371345716811014E-2</v>
      </c>
    </row>
    <row r="471" spans="2:6" ht="15" customHeight="1" x14ac:dyDescent="0.3">
      <c r="C471" s="3"/>
      <c r="D471" s="8">
        <v>2021</v>
      </c>
      <c r="E471" s="14">
        <f>Data!L471</f>
        <v>223764130000</v>
      </c>
      <c r="F471" s="12">
        <f t="shared" si="7"/>
        <v>0.11280538051562281</v>
      </c>
    </row>
    <row r="472" spans="2:6" ht="15" customHeight="1" x14ac:dyDescent="0.3">
      <c r="C472" s="3"/>
      <c r="D472" s="8">
        <v>2022</v>
      </c>
      <c r="E472" s="14">
        <f>Data!L472</f>
        <v>215858580000</v>
      </c>
      <c r="F472" s="12">
        <f t="shared" si="7"/>
        <v>-3.5329835930361132E-2</v>
      </c>
    </row>
    <row r="473" spans="2:6" ht="15" customHeight="1" x14ac:dyDescent="0.3">
      <c r="C473" s="3"/>
      <c r="D473" s="8">
        <v>2023</v>
      </c>
      <c r="E473" s="14">
        <f>Data!L473</f>
        <v>255604580000</v>
      </c>
      <c r="F473" s="12">
        <f t="shared" si="7"/>
        <v>0.18412981313969545</v>
      </c>
    </row>
    <row r="474" spans="2:6" ht="15" customHeight="1" x14ac:dyDescent="0.3">
      <c r="C474" s="3"/>
      <c r="D474" s="8">
        <v>2024</v>
      </c>
      <c r="E474" s="14">
        <f>Data!L474</f>
        <v>281164970000</v>
      </c>
      <c r="F474" s="12">
        <f t="shared" si="7"/>
        <v>9.9999733964078422E-2</v>
      </c>
    </row>
    <row r="475" spans="2:6" ht="15" customHeight="1" x14ac:dyDescent="0.3">
      <c r="B475" s="8">
        <v>44</v>
      </c>
      <c r="C475" s="3" t="s">
        <v>35</v>
      </c>
      <c r="D475" s="8">
        <v>2014</v>
      </c>
      <c r="E475" s="14">
        <f>Data!L490</f>
        <v>12832078000000</v>
      </c>
      <c r="F475" s="12">
        <f t="shared" si="7"/>
        <v>44.638964199558714</v>
      </c>
    </row>
    <row r="476" spans="2:6" ht="15" customHeight="1" x14ac:dyDescent="0.3">
      <c r="C476" s="3"/>
      <c r="D476" s="8">
        <v>2015</v>
      </c>
      <c r="E476" s="14">
        <f>Data!L491</f>
        <v>13290306000000</v>
      </c>
      <c r="F476" s="12">
        <f t="shared" si="7"/>
        <v>3.5709570967383461E-2</v>
      </c>
    </row>
    <row r="477" spans="2:6" ht="15" customHeight="1" x14ac:dyDescent="0.3">
      <c r="C477" s="3"/>
      <c r="D477" s="8">
        <v>2016</v>
      </c>
      <c r="E477" s="14">
        <f>Data!L477</f>
        <v>297306000000</v>
      </c>
      <c r="F477" s="12">
        <f t="shared" si="7"/>
        <v>-0.97762986044113653</v>
      </c>
    </row>
    <row r="478" spans="2:6" ht="15" customHeight="1" x14ac:dyDescent="0.3">
      <c r="C478" s="3"/>
      <c r="D478" s="8">
        <v>2017</v>
      </c>
      <c r="E478" s="14">
        <f>Data!L478</f>
        <v>436135000000</v>
      </c>
      <c r="F478" s="12">
        <f t="shared" si="7"/>
        <v>0.46695660363396635</v>
      </c>
    </row>
    <row r="479" spans="2:6" ht="15" customHeight="1" x14ac:dyDescent="0.3">
      <c r="C479" s="3"/>
      <c r="D479" s="8">
        <v>2018</v>
      </c>
      <c r="E479" s="14" t="e">
        <f>Data!#REF!</f>
        <v>#REF!</v>
      </c>
      <c r="F479" s="12">
        <f t="shared" si="7"/>
        <v>0</v>
      </c>
    </row>
    <row r="480" spans="2:6" ht="15" customHeight="1" x14ac:dyDescent="0.3">
      <c r="C480" s="3"/>
      <c r="D480" s="8">
        <v>2019</v>
      </c>
      <c r="E480" s="14" t="e">
        <f>Data!#REF!</f>
        <v>#REF!</v>
      </c>
      <c r="F480" s="12">
        <f t="shared" si="7"/>
        <v>0</v>
      </c>
    </row>
    <row r="481" spans="2:6" ht="15" customHeight="1" x14ac:dyDescent="0.3">
      <c r="C481" s="3"/>
      <c r="D481" s="8">
        <v>2020</v>
      </c>
      <c r="E481" s="14">
        <f>Data!L481</f>
        <v>822804000000</v>
      </c>
      <c r="F481" s="12">
        <f t="shared" si="7"/>
        <v>0</v>
      </c>
    </row>
    <row r="482" spans="2:6" ht="15" customHeight="1" x14ac:dyDescent="0.3">
      <c r="C482" s="3"/>
      <c r="D482" s="8">
        <v>2021</v>
      </c>
      <c r="E482" s="14">
        <f>Data!L482</f>
        <v>1445099000000</v>
      </c>
      <c r="F482" s="12">
        <f t="shared" si="7"/>
        <v>0.7563101297514353</v>
      </c>
    </row>
    <row r="483" spans="2:6" ht="15" customHeight="1" x14ac:dyDescent="0.3">
      <c r="C483" s="3"/>
      <c r="D483" s="8">
        <v>2022</v>
      </c>
      <c r="E483" s="14">
        <f>Data!L483</f>
        <v>1019434000000</v>
      </c>
      <c r="F483" s="12">
        <f t="shared" si="7"/>
        <v>-0.29455767390331045</v>
      </c>
    </row>
    <row r="484" spans="2:6" ht="15" customHeight="1" x14ac:dyDescent="0.3">
      <c r="C484" s="3"/>
      <c r="D484" s="8">
        <v>2023</v>
      </c>
      <c r="E484" s="14">
        <f>Data!L484</f>
        <v>1243549000000</v>
      </c>
      <c r="F484" s="12">
        <f t="shared" si="7"/>
        <v>0.21984257931361911</v>
      </c>
    </row>
    <row r="485" spans="2:6" ht="15" customHeight="1" x14ac:dyDescent="0.3">
      <c r="C485" s="3"/>
      <c r="D485" s="8">
        <v>2024</v>
      </c>
      <c r="E485" s="14">
        <f>Data!L485</f>
        <v>1245566000000</v>
      </c>
      <c r="F485" s="12">
        <f t="shared" si="7"/>
        <v>1.6219706662141983E-3</v>
      </c>
    </row>
    <row r="486" spans="2:6" ht="15" customHeight="1" x14ac:dyDescent="0.3">
      <c r="B486" s="8">
        <v>45</v>
      </c>
      <c r="C486" s="3" t="s">
        <v>36</v>
      </c>
      <c r="D486" s="8">
        <v>2014</v>
      </c>
      <c r="E486" s="14">
        <f>Data!L486</f>
        <v>0</v>
      </c>
      <c r="F486" s="12">
        <f t="shared" si="7"/>
        <v>-1</v>
      </c>
    </row>
    <row r="487" spans="2:6" ht="15" customHeight="1" x14ac:dyDescent="0.3">
      <c r="C487" s="3"/>
      <c r="D487" s="8">
        <v>2015</v>
      </c>
      <c r="E487" s="14">
        <f>Data!L487</f>
        <v>0</v>
      </c>
      <c r="F487" s="12">
        <f t="shared" si="7"/>
        <v>0</v>
      </c>
    </row>
    <row r="488" spans="2:6" ht="15" customHeight="1" x14ac:dyDescent="0.3">
      <c r="C488" s="3"/>
      <c r="D488" s="8">
        <v>2016</v>
      </c>
      <c r="E488" s="14">
        <f>Data!L488</f>
        <v>0</v>
      </c>
      <c r="F488" s="12">
        <f t="shared" si="7"/>
        <v>0</v>
      </c>
    </row>
    <row r="489" spans="2:6" ht="15" customHeight="1" x14ac:dyDescent="0.3">
      <c r="C489" s="3"/>
      <c r="D489" s="8">
        <v>2017</v>
      </c>
      <c r="E489" s="14">
        <f>Data!L489</f>
        <v>0</v>
      </c>
      <c r="F489" s="12">
        <f t="shared" si="7"/>
        <v>0</v>
      </c>
    </row>
    <row r="490" spans="2:6" ht="15" customHeight="1" x14ac:dyDescent="0.3">
      <c r="C490" s="3"/>
      <c r="D490" s="8">
        <v>2018</v>
      </c>
      <c r="E490" s="14" t="e">
        <f>Data!#REF!</f>
        <v>#REF!</v>
      </c>
      <c r="F490" s="12">
        <f t="shared" si="7"/>
        <v>0</v>
      </c>
    </row>
    <row r="491" spans="2:6" ht="15" customHeight="1" x14ac:dyDescent="0.3">
      <c r="C491" s="3"/>
      <c r="D491" s="8">
        <v>2019</v>
      </c>
      <c r="E491" s="14" t="e">
        <f>Data!#REF!</f>
        <v>#REF!</v>
      </c>
      <c r="F491" s="12">
        <f t="shared" si="7"/>
        <v>0</v>
      </c>
    </row>
    <row r="492" spans="2:6" ht="15" customHeight="1" x14ac:dyDescent="0.3">
      <c r="C492" s="3"/>
      <c r="D492" s="8">
        <v>2020</v>
      </c>
      <c r="E492" s="14">
        <f>Data!L492</f>
        <v>12792471000000</v>
      </c>
      <c r="F492" s="12">
        <f t="shared" si="7"/>
        <v>0</v>
      </c>
    </row>
    <row r="493" spans="2:6" ht="15" customHeight="1" x14ac:dyDescent="0.3">
      <c r="C493" s="3"/>
      <c r="D493" s="8">
        <v>2021</v>
      </c>
      <c r="E493" s="14">
        <f>Data!L493</f>
        <v>15929160000000</v>
      </c>
      <c r="F493" s="12">
        <f t="shared" si="7"/>
        <v>0.24519805438683426</v>
      </c>
    </row>
    <row r="494" spans="2:6" ht="15" customHeight="1" x14ac:dyDescent="0.3">
      <c r="C494" s="3"/>
      <c r="D494" s="8">
        <v>2022</v>
      </c>
      <c r="E494" s="14">
        <f>Data!L494</f>
        <v>15542230000000</v>
      </c>
      <c r="F494" s="12">
        <f t="shared" si="7"/>
        <v>-2.4290671950058886E-2</v>
      </c>
    </row>
    <row r="495" spans="2:6" ht="15" customHeight="1" x14ac:dyDescent="0.3">
      <c r="C495" s="3"/>
      <c r="D495" s="8">
        <v>2023</v>
      </c>
      <c r="E495" s="14">
        <f>Data!L495</f>
        <v>15246341000000</v>
      </c>
      <c r="F495" s="12">
        <f t="shared" si="7"/>
        <v>-1.9037744261923804E-2</v>
      </c>
    </row>
    <row r="496" spans="2:6" ht="15" customHeight="1" x14ac:dyDescent="0.3">
      <c r="C496" s="3"/>
      <c r="D496" s="8">
        <v>2024</v>
      </c>
      <c r="E496" s="14">
        <f>Data!L496</f>
        <v>16433638000000</v>
      </c>
      <c r="F496" s="12">
        <f t="shared" si="7"/>
        <v>7.7874225691265855E-2</v>
      </c>
    </row>
    <row r="497" spans="2:6" ht="15" customHeight="1" x14ac:dyDescent="0.3">
      <c r="B497" s="8">
        <v>46</v>
      </c>
      <c r="C497" s="3" t="s">
        <v>16</v>
      </c>
      <c r="D497" s="8">
        <v>2014</v>
      </c>
      <c r="E497" s="14">
        <f>Data!L499</f>
        <v>16350000000</v>
      </c>
      <c r="F497" s="12">
        <f t="shared" si="7"/>
        <v>-0.99900508943911259</v>
      </c>
    </row>
    <row r="498" spans="2:6" ht="15" customHeight="1" x14ac:dyDescent="0.3">
      <c r="C498" s="3"/>
      <c r="D498" s="8">
        <v>2015</v>
      </c>
      <c r="E498" s="14">
        <f>Data!L500</f>
        <v>17596000000</v>
      </c>
      <c r="F498" s="12">
        <f t="shared" si="7"/>
        <v>7.6207951070336385E-2</v>
      </c>
    </row>
    <row r="499" spans="2:6" ht="15" customHeight="1" x14ac:dyDescent="0.3">
      <c r="C499" s="3"/>
      <c r="D499" s="8">
        <v>2016</v>
      </c>
      <c r="E499" s="14">
        <f>Data!L501</f>
        <v>60120000000</v>
      </c>
      <c r="F499" s="12">
        <f t="shared" si="7"/>
        <v>2.4166856103659922</v>
      </c>
    </row>
    <row r="500" spans="2:6" ht="15" customHeight="1" x14ac:dyDescent="0.3">
      <c r="C500" s="3"/>
      <c r="D500" s="8">
        <v>2017</v>
      </c>
      <c r="E500" s="14" t="e">
        <f>Data!#REF!</f>
        <v>#REF!</v>
      </c>
      <c r="F500" s="12">
        <f t="shared" si="7"/>
        <v>0</v>
      </c>
    </row>
    <row r="501" spans="2:6" ht="15" customHeight="1" x14ac:dyDescent="0.3">
      <c r="C501" s="3"/>
      <c r="D501" s="8">
        <v>2018</v>
      </c>
      <c r="E501" s="14" t="e">
        <f>Data!#REF!</f>
        <v>#REF!</v>
      </c>
      <c r="F501" s="12">
        <f t="shared" si="7"/>
        <v>0</v>
      </c>
    </row>
    <row r="502" spans="2:6" ht="15" customHeight="1" x14ac:dyDescent="0.3">
      <c r="C502" s="3"/>
      <c r="D502" s="8">
        <v>2019</v>
      </c>
      <c r="E502" s="14">
        <f>Data!L502</f>
        <v>32771000000</v>
      </c>
      <c r="F502" s="12">
        <f t="shared" si="7"/>
        <v>0</v>
      </c>
    </row>
    <row r="503" spans="2:6" ht="15" customHeight="1" x14ac:dyDescent="0.3">
      <c r="C503" s="3"/>
      <c r="D503" s="8">
        <v>2020</v>
      </c>
      <c r="E503" s="14">
        <f>Data!L503</f>
        <v>22461000000</v>
      </c>
      <c r="F503" s="12">
        <f t="shared" si="7"/>
        <v>-0.31460742729852614</v>
      </c>
    </row>
    <row r="504" spans="2:6" ht="15" customHeight="1" x14ac:dyDescent="0.3">
      <c r="C504" s="3"/>
      <c r="D504" s="8">
        <v>2021</v>
      </c>
      <c r="E504" s="14">
        <f>Data!L504</f>
        <v>61460000000</v>
      </c>
      <c r="F504" s="12">
        <f t="shared" si="7"/>
        <v>1.7362984729085971</v>
      </c>
    </row>
    <row r="505" spans="2:6" ht="15" customHeight="1" x14ac:dyDescent="0.3">
      <c r="C505" s="3"/>
      <c r="D505" s="8">
        <v>2022</v>
      </c>
      <c r="E505" s="14">
        <f>Data!L505</f>
        <v>62965000000</v>
      </c>
      <c r="F505" s="12">
        <f t="shared" si="7"/>
        <v>2.44874715261959E-2</v>
      </c>
    </row>
    <row r="506" spans="2:6" ht="15" customHeight="1" x14ac:dyDescent="0.3">
      <c r="C506" s="3"/>
      <c r="D506" s="8">
        <v>2023</v>
      </c>
      <c r="E506" s="14">
        <f>Data!L506</f>
        <v>92968000000</v>
      </c>
      <c r="F506" s="12">
        <f t="shared" si="7"/>
        <v>0.47650281902644326</v>
      </c>
    </row>
    <row r="507" spans="2:6" ht="15" customHeight="1" x14ac:dyDescent="0.3">
      <c r="C507" s="3"/>
      <c r="D507" s="8">
        <v>2024</v>
      </c>
      <c r="E507" s="14">
        <f>Data!L507</f>
        <v>124384000000</v>
      </c>
      <c r="F507" s="12">
        <f t="shared" si="7"/>
        <v>0.33792272609930296</v>
      </c>
    </row>
    <row r="508" spans="2:6" ht="15" customHeight="1" x14ac:dyDescent="0.3">
      <c r="B508" s="8">
        <v>47</v>
      </c>
      <c r="C508" s="3" t="s">
        <v>17</v>
      </c>
      <c r="D508" s="8">
        <v>2014</v>
      </c>
      <c r="E508" s="14">
        <f>Data!L508</f>
        <v>0</v>
      </c>
      <c r="F508" s="12">
        <f t="shared" si="7"/>
        <v>-1</v>
      </c>
    </row>
    <row r="509" spans="2:6" ht="15" customHeight="1" x14ac:dyDescent="0.3">
      <c r="C509" s="3"/>
      <c r="D509" s="8">
        <v>2015</v>
      </c>
      <c r="E509" s="14">
        <f>Data!L509</f>
        <v>0</v>
      </c>
      <c r="F509" s="12">
        <f t="shared" si="7"/>
        <v>0</v>
      </c>
    </row>
    <row r="510" spans="2:6" ht="15" customHeight="1" x14ac:dyDescent="0.3">
      <c r="C510" s="3"/>
      <c r="D510" s="8">
        <v>2016</v>
      </c>
      <c r="E510" s="14">
        <f>Data!L510</f>
        <v>0</v>
      </c>
      <c r="F510" s="12">
        <f t="shared" si="7"/>
        <v>0</v>
      </c>
    </row>
    <row r="511" spans="2:6" ht="15" customHeight="1" x14ac:dyDescent="0.3">
      <c r="C511" s="3"/>
      <c r="D511" s="8">
        <v>2017</v>
      </c>
      <c r="E511" s="14">
        <f>Data!L511</f>
        <v>0</v>
      </c>
      <c r="F511" s="12">
        <f t="shared" si="7"/>
        <v>0</v>
      </c>
    </row>
    <row r="512" spans="2:6" ht="15" customHeight="1" x14ac:dyDescent="0.3">
      <c r="C512" s="3"/>
      <c r="D512" s="8">
        <v>2018</v>
      </c>
      <c r="E512" s="14">
        <f>Data!L512</f>
        <v>0</v>
      </c>
      <c r="F512" s="12">
        <f t="shared" si="7"/>
        <v>0</v>
      </c>
    </row>
    <row r="513" spans="2:6" ht="15" customHeight="1" x14ac:dyDescent="0.3">
      <c r="C513" s="3"/>
      <c r="D513" s="8">
        <v>2019</v>
      </c>
      <c r="E513" s="14">
        <f>Data!L513</f>
        <v>368855960000</v>
      </c>
      <c r="F513" s="12">
        <f t="shared" si="7"/>
        <v>0</v>
      </c>
    </row>
    <row r="514" spans="2:6" ht="15" customHeight="1" x14ac:dyDescent="0.3">
      <c r="C514" s="3"/>
      <c r="D514" s="8">
        <v>2020</v>
      </c>
      <c r="E514" s="14">
        <f>Data!L514</f>
        <v>275257530000</v>
      </c>
      <c r="F514" s="12">
        <f t="shared" si="7"/>
        <v>-0.25375333504167857</v>
      </c>
    </row>
    <row r="515" spans="2:6" ht="15" customHeight="1" x14ac:dyDescent="0.3">
      <c r="C515" s="3"/>
      <c r="D515" s="8">
        <v>2021</v>
      </c>
      <c r="E515" s="14">
        <f>Data!L515</f>
        <v>224439490000</v>
      </c>
      <c r="F515" s="12">
        <f t="shared" ref="F515:F578" si="8">IFERROR((E515-E514)/E514,0)</f>
        <v>-0.18461998115001613</v>
      </c>
    </row>
    <row r="516" spans="2:6" ht="15" customHeight="1" x14ac:dyDescent="0.3">
      <c r="C516" s="3"/>
      <c r="D516" s="8">
        <v>2022</v>
      </c>
      <c r="E516" s="14">
        <f>Data!L516</f>
        <v>279789000000</v>
      </c>
      <c r="F516" s="12">
        <f t="shared" si="8"/>
        <v>0.24661217150333037</v>
      </c>
    </row>
    <row r="517" spans="2:6" ht="15" customHeight="1" x14ac:dyDescent="0.3">
      <c r="C517" s="3"/>
      <c r="D517" s="8">
        <v>2023</v>
      </c>
      <c r="E517" s="14">
        <f>Data!L517</f>
        <v>303943000000</v>
      </c>
      <c r="F517" s="12">
        <f t="shared" si="8"/>
        <v>8.6329341039140209E-2</v>
      </c>
    </row>
    <row r="518" spans="2:6" ht="15" customHeight="1" x14ac:dyDescent="0.3">
      <c r="C518" s="3"/>
      <c r="D518" s="8">
        <v>2024</v>
      </c>
      <c r="E518" s="14">
        <f>Data!L518</f>
        <v>686531000000</v>
      </c>
      <c r="F518" s="12">
        <f t="shared" si="8"/>
        <v>1.2587491733647427</v>
      </c>
    </row>
    <row r="519" spans="2:6" ht="15" customHeight="1" x14ac:dyDescent="0.3">
      <c r="B519" s="8">
        <v>48</v>
      </c>
      <c r="C519" s="3" t="s">
        <v>26</v>
      </c>
      <c r="D519" s="8">
        <v>2014</v>
      </c>
      <c r="E519" s="14" t="e">
        <f>Data!#REF!</f>
        <v>#REF!</v>
      </c>
      <c r="F519" s="12">
        <f t="shared" si="8"/>
        <v>0</v>
      </c>
    </row>
    <row r="520" spans="2:6" ht="15" customHeight="1" x14ac:dyDescent="0.3">
      <c r="C520" s="3"/>
      <c r="D520" s="8">
        <v>2015</v>
      </c>
      <c r="E520" s="14">
        <f>Data!L519</f>
        <v>8327184000000</v>
      </c>
      <c r="F520" s="12">
        <f t="shared" si="8"/>
        <v>0</v>
      </c>
    </row>
    <row r="521" spans="2:6" ht="15" customHeight="1" x14ac:dyDescent="0.3">
      <c r="C521" s="3"/>
      <c r="D521" s="8">
        <v>2016</v>
      </c>
      <c r="E521" s="14">
        <f>Data!L532</f>
        <v>3721000000</v>
      </c>
      <c r="F521" s="12">
        <f t="shared" si="8"/>
        <v>-0.99955315026064029</v>
      </c>
    </row>
    <row r="522" spans="2:6" ht="15" customHeight="1" x14ac:dyDescent="0.3">
      <c r="C522" s="3"/>
      <c r="D522" s="8">
        <v>2017</v>
      </c>
      <c r="E522" s="14">
        <f>Data!L533</f>
        <v>9768000000</v>
      </c>
      <c r="F522" s="12">
        <f t="shared" si="8"/>
        <v>1.6251007793603869</v>
      </c>
    </row>
    <row r="523" spans="2:6" ht="15" customHeight="1" x14ac:dyDescent="0.3">
      <c r="C523" s="3"/>
      <c r="D523" s="8">
        <v>2018</v>
      </c>
      <c r="E523" s="14">
        <f>Data!L523</f>
        <v>5336891010000</v>
      </c>
      <c r="F523" s="12">
        <f t="shared" si="8"/>
        <v>545.36476351351348</v>
      </c>
    </row>
    <row r="524" spans="2:6" ht="15" customHeight="1" x14ac:dyDescent="0.3">
      <c r="C524" s="3"/>
      <c r="D524" s="8">
        <v>2019</v>
      </c>
      <c r="E524" s="14">
        <f>Data!L524</f>
        <v>4657274110000</v>
      </c>
      <c r="F524" s="12">
        <f t="shared" si="8"/>
        <v>-0.12734322262279063</v>
      </c>
    </row>
    <row r="525" spans="2:6" ht="15" customHeight="1" x14ac:dyDescent="0.3">
      <c r="C525" s="3"/>
      <c r="D525" s="8">
        <v>2020</v>
      </c>
      <c r="E525" s="14">
        <f>Data!L525</f>
        <v>4666016570000</v>
      </c>
      <c r="F525" s="12">
        <f t="shared" si="8"/>
        <v>1.8771624331126175E-3</v>
      </c>
    </row>
    <row r="526" spans="2:6" ht="15" customHeight="1" x14ac:dyDescent="0.3">
      <c r="C526" s="3"/>
      <c r="D526" s="8">
        <v>2021</v>
      </c>
      <c r="E526" s="14">
        <f>Data!L526</f>
        <v>4382318610000.0005</v>
      </c>
      <c r="F526" s="12">
        <f t="shared" si="8"/>
        <v>-6.0800889954833466E-2</v>
      </c>
    </row>
    <row r="527" spans="2:6" ht="15" customHeight="1" x14ac:dyDescent="0.3">
      <c r="C527" s="3"/>
      <c r="D527" s="8">
        <v>2022</v>
      </c>
      <c r="E527" s="14">
        <f>Data!L527</f>
        <v>3883960760000</v>
      </c>
      <c r="F527" s="12">
        <f t="shared" si="8"/>
        <v>-0.11372013181853075</v>
      </c>
    </row>
    <row r="528" spans="2:6" ht="15" customHeight="1" x14ac:dyDescent="0.3">
      <c r="C528" s="3"/>
      <c r="D528" s="8">
        <v>2023</v>
      </c>
      <c r="E528" s="14">
        <f>Data!L528</f>
        <v>3759759120000</v>
      </c>
      <c r="F528" s="12">
        <f t="shared" si="8"/>
        <v>-3.1978088264722843E-2</v>
      </c>
    </row>
    <row r="529" spans="2:6" ht="15" customHeight="1" x14ac:dyDescent="0.3">
      <c r="C529" s="3"/>
      <c r="D529" s="8">
        <v>2024</v>
      </c>
      <c r="E529" s="14">
        <f>Data!L529</f>
        <v>4049259250000</v>
      </c>
      <c r="F529" s="12">
        <f t="shared" si="8"/>
        <v>7.6999648317895436E-2</v>
      </c>
    </row>
    <row r="530" spans="2:6" ht="15" customHeight="1" x14ac:dyDescent="0.3">
      <c r="B530" s="8">
        <v>49</v>
      </c>
      <c r="C530" s="3" t="s">
        <v>38</v>
      </c>
      <c r="D530" s="8">
        <v>2014</v>
      </c>
      <c r="E530" s="14">
        <f>Data!L530</f>
        <v>0</v>
      </c>
      <c r="F530" s="12">
        <f t="shared" si="8"/>
        <v>-1</v>
      </c>
    </row>
    <row r="531" spans="2:6" ht="15" customHeight="1" x14ac:dyDescent="0.3">
      <c r="C531" s="3"/>
      <c r="D531" s="8">
        <v>2015</v>
      </c>
      <c r="E531" s="14">
        <f>Data!L531</f>
        <v>0</v>
      </c>
      <c r="F531" s="12">
        <f t="shared" si="8"/>
        <v>0</v>
      </c>
    </row>
    <row r="532" spans="2:6" ht="15" customHeight="1" x14ac:dyDescent="0.3">
      <c r="C532" s="3"/>
      <c r="D532" s="8">
        <v>2016</v>
      </c>
      <c r="E532" s="14" t="e">
        <f>Data!#REF!</f>
        <v>#REF!</v>
      </c>
      <c r="F532" s="12">
        <f t="shared" si="8"/>
        <v>0</v>
      </c>
    </row>
    <row r="533" spans="2:6" ht="15" customHeight="1" x14ac:dyDescent="0.3">
      <c r="C533" s="3"/>
      <c r="D533" s="8">
        <v>2017</v>
      </c>
      <c r="E533" s="14" t="e">
        <f>Data!#REF!</f>
        <v>#REF!</v>
      </c>
      <c r="F533" s="12">
        <f t="shared" si="8"/>
        <v>0</v>
      </c>
    </row>
    <row r="534" spans="2:6" ht="15" customHeight="1" x14ac:dyDescent="0.3">
      <c r="C534" s="3"/>
      <c r="D534" s="8">
        <v>2018</v>
      </c>
      <c r="E534" s="14">
        <f>Data!L534</f>
        <v>188782000000</v>
      </c>
      <c r="F534" s="12">
        <f t="shared" si="8"/>
        <v>0</v>
      </c>
    </row>
    <row r="535" spans="2:6" ht="15" customHeight="1" x14ac:dyDescent="0.3">
      <c r="C535" s="3"/>
      <c r="D535" s="8">
        <v>2019</v>
      </c>
      <c r="E535" s="14">
        <f>Data!L535</f>
        <v>968921000000</v>
      </c>
      <c r="F535" s="12">
        <f t="shared" si="8"/>
        <v>4.1324861480437756</v>
      </c>
    </row>
    <row r="536" spans="2:6" ht="15" customHeight="1" x14ac:dyDescent="0.3">
      <c r="C536" s="3"/>
      <c r="D536" s="8">
        <v>2020</v>
      </c>
      <c r="E536" s="14">
        <f>Data!L536</f>
        <v>1993925000000</v>
      </c>
      <c r="F536" s="12">
        <f t="shared" si="8"/>
        <v>1.0578819119412213</v>
      </c>
    </row>
    <row r="537" spans="2:6" ht="15" customHeight="1" x14ac:dyDescent="0.3">
      <c r="C537" s="3"/>
      <c r="D537" s="8">
        <v>2021</v>
      </c>
      <c r="E537" s="14">
        <f>Data!L537</f>
        <v>1814955000000</v>
      </c>
      <c r="F537" s="12">
        <f t="shared" si="8"/>
        <v>-8.975763882793987E-2</v>
      </c>
    </row>
    <row r="538" spans="2:6" ht="15" customHeight="1" x14ac:dyDescent="0.3">
      <c r="C538" s="3"/>
      <c r="D538" s="8">
        <v>2022</v>
      </c>
      <c r="E538" s="14">
        <f>Data!L538</f>
        <v>1961068000000</v>
      </c>
      <c r="F538" s="12">
        <f t="shared" si="8"/>
        <v>8.0505026295417795E-2</v>
      </c>
    </row>
    <row r="539" spans="2:6" ht="15" customHeight="1" x14ac:dyDescent="0.3">
      <c r="C539" s="3"/>
      <c r="D539" s="8">
        <v>2023</v>
      </c>
      <c r="E539" s="14">
        <f>Data!L539</f>
        <v>1809911000000</v>
      </c>
      <c r="F539" s="12">
        <f t="shared" si="8"/>
        <v>-7.7078918222111631E-2</v>
      </c>
    </row>
    <row r="540" spans="2:6" ht="15" customHeight="1" x14ac:dyDescent="0.3">
      <c r="C540" s="3"/>
      <c r="D540" s="8">
        <v>2024</v>
      </c>
      <c r="E540" s="14">
        <f>Data!L540</f>
        <v>1905784000000</v>
      </c>
      <c r="F540" s="12">
        <f t="shared" si="8"/>
        <v>5.2971112944227641E-2</v>
      </c>
    </row>
    <row r="541" spans="2:6" ht="15" customHeight="1" x14ac:dyDescent="0.3">
      <c r="B541" s="8">
        <v>50</v>
      </c>
      <c r="C541" s="3" t="s">
        <v>39</v>
      </c>
      <c r="D541" s="8">
        <v>2014</v>
      </c>
      <c r="E541" s="14">
        <f>Data!L541</f>
        <v>4517540000000</v>
      </c>
      <c r="F541" s="12">
        <f t="shared" si="8"/>
        <v>1.3704365237613496</v>
      </c>
    </row>
    <row r="542" spans="2:6" ht="15" customHeight="1" x14ac:dyDescent="0.3">
      <c r="C542" s="3"/>
      <c r="D542" s="8">
        <v>2015</v>
      </c>
      <c r="E542" s="14">
        <f>Data!L542</f>
        <v>4294471000000</v>
      </c>
      <c r="F542" s="12">
        <f t="shared" si="8"/>
        <v>-4.9378422769914602E-2</v>
      </c>
    </row>
    <row r="543" spans="2:6" ht="15" customHeight="1" x14ac:dyDescent="0.3">
      <c r="C543" s="3"/>
      <c r="D543" s="8">
        <v>2016</v>
      </c>
      <c r="E543" s="14">
        <f>Data!M543</f>
        <v>341420000000</v>
      </c>
      <c r="F543" s="12">
        <f t="shared" si="8"/>
        <v>-0.92049777492967122</v>
      </c>
    </row>
    <row r="544" spans="2:6" ht="15" customHeight="1" x14ac:dyDescent="0.3">
      <c r="C544" s="3"/>
      <c r="D544" s="8">
        <v>2017</v>
      </c>
      <c r="E544" s="14">
        <f>Data!L544</f>
        <v>4921585000000</v>
      </c>
      <c r="F544" s="12">
        <f t="shared" si="8"/>
        <v>13.415045984418018</v>
      </c>
    </row>
    <row r="545" spans="2:6" ht="15" customHeight="1" x14ac:dyDescent="0.3">
      <c r="C545" s="3"/>
      <c r="D545" s="8">
        <v>2018</v>
      </c>
      <c r="E545" s="14">
        <f>Data!L545</f>
        <v>4208934000000</v>
      </c>
      <c r="F545" s="12">
        <f t="shared" si="8"/>
        <v>-0.14480111590067021</v>
      </c>
    </row>
    <row r="546" spans="2:6" ht="15" customHeight="1" x14ac:dyDescent="0.3">
      <c r="C546" s="3"/>
      <c r="D546" s="8">
        <v>2019</v>
      </c>
      <c r="E546" s="14">
        <f>Data!L546</f>
        <v>4345798000000</v>
      </c>
      <c r="F546" s="12">
        <f t="shared" si="8"/>
        <v>3.2517497304543147E-2</v>
      </c>
    </row>
    <row r="547" spans="2:6" ht="15" customHeight="1" x14ac:dyDescent="0.3">
      <c r="C547" s="3"/>
      <c r="D547" s="8">
        <v>2020</v>
      </c>
      <c r="E547" s="14">
        <f>Data!L547</f>
        <v>2792914000000</v>
      </c>
      <c r="F547" s="12">
        <f t="shared" si="8"/>
        <v>-0.35733000015187083</v>
      </c>
    </row>
    <row r="548" spans="2:6" ht="15" customHeight="1" x14ac:dyDescent="0.3">
      <c r="C548" s="3"/>
      <c r="D548" s="8">
        <v>2021</v>
      </c>
      <c r="E548" s="14">
        <f>Data!L548</f>
        <v>2693933000000</v>
      </c>
      <c r="F548" s="12">
        <f t="shared" si="8"/>
        <v>-3.5440045772981196E-2</v>
      </c>
    </row>
    <row r="549" spans="2:6" ht="15" customHeight="1" x14ac:dyDescent="0.3">
      <c r="C549" s="3"/>
      <c r="D549" s="8">
        <v>2022</v>
      </c>
      <c r="E549" s="14">
        <f>Data!L549</f>
        <v>2571759000000</v>
      </c>
      <c r="F549" s="12">
        <f t="shared" si="8"/>
        <v>-4.535153621118268E-2</v>
      </c>
    </row>
    <row r="550" spans="2:6" ht="15" customHeight="1" x14ac:dyDescent="0.3">
      <c r="C550" s="3"/>
      <c r="D550" s="8">
        <v>2023</v>
      </c>
      <c r="E550" s="14">
        <f>Data!L550</f>
        <v>2538508000000</v>
      </c>
      <c r="F550" s="12">
        <f t="shared" si="8"/>
        <v>-1.2929283031574887E-2</v>
      </c>
    </row>
    <row r="551" spans="2:6" ht="15" customHeight="1" x14ac:dyDescent="0.3">
      <c r="C551" s="3"/>
      <c r="D551" s="8">
        <v>2024</v>
      </c>
      <c r="E551" s="14">
        <f>Data!L551</f>
        <v>2385587000000</v>
      </c>
      <c r="F551" s="12">
        <f t="shared" si="8"/>
        <v>-6.0240503476845453E-2</v>
      </c>
    </row>
    <row r="552" spans="2:6" ht="15" customHeight="1" x14ac:dyDescent="0.3">
      <c r="B552" s="8">
        <v>51</v>
      </c>
      <c r="C552" s="3" t="s">
        <v>48</v>
      </c>
      <c r="D552" s="8">
        <v>2014</v>
      </c>
      <c r="E552" s="14">
        <f>Data!L552</f>
        <v>0</v>
      </c>
      <c r="F552" s="12">
        <f t="shared" si="8"/>
        <v>-1</v>
      </c>
    </row>
    <row r="553" spans="2:6" ht="15" customHeight="1" x14ac:dyDescent="0.3">
      <c r="C553" s="3"/>
      <c r="D553" s="8">
        <v>2015</v>
      </c>
      <c r="E553" s="14">
        <f>Data!L553</f>
        <v>0</v>
      </c>
      <c r="F553" s="12">
        <f t="shared" si="8"/>
        <v>0</v>
      </c>
    </row>
    <row r="554" spans="2:6" ht="15" customHeight="1" x14ac:dyDescent="0.3">
      <c r="C554" s="3"/>
      <c r="D554" s="8">
        <v>2016</v>
      </c>
      <c r="E554" s="14">
        <f>Data!L554</f>
        <v>0</v>
      </c>
      <c r="F554" s="12">
        <f t="shared" si="8"/>
        <v>0</v>
      </c>
    </row>
    <row r="555" spans="2:6" ht="15" customHeight="1" x14ac:dyDescent="0.3">
      <c r="C555" s="3"/>
      <c r="D555" s="8">
        <v>2017</v>
      </c>
      <c r="E555" s="14">
        <f>Data!L555</f>
        <v>0</v>
      </c>
      <c r="F555" s="12">
        <f t="shared" si="8"/>
        <v>0</v>
      </c>
    </row>
    <row r="556" spans="2:6" ht="15" customHeight="1" x14ac:dyDescent="0.3">
      <c r="C556" s="3"/>
      <c r="D556" s="8">
        <v>2018</v>
      </c>
      <c r="E556" s="14">
        <f>Data!L556</f>
        <v>0</v>
      </c>
      <c r="F556" s="12">
        <f t="shared" si="8"/>
        <v>0</v>
      </c>
    </row>
    <row r="557" spans="2:6" ht="15" customHeight="1" x14ac:dyDescent="0.3">
      <c r="C557" s="3"/>
      <c r="D557" s="8">
        <v>2019</v>
      </c>
      <c r="E557" s="14">
        <f>Data!L557</f>
        <v>696810000000</v>
      </c>
      <c r="F557" s="12">
        <f t="shared" si="8"/>
        <v>0</v>
      </c>
    </row>
    <row r="558" spans="2:6" ht="15" customHeight="1" x14ac:dyDescent="0.3">
      <c r="C558" s="3"/>
      <c r="D558" s="8">
        <v>2020</v>
      </c>
      <c r="E558" s="14">
        <f>Data!L558</f>
        <v>536949000000</v>
      </c>
      <c r="F558" s="12">
        <f t="shared" si="8"/>
        <v>-0.22941834933482586</v>
      </c>
    </row>
    <row r="559" spans="2:6" ht="15" customHeight="1" x14ac:dyDescent="0.3">
      <c r="C559" s="3"/>
      <c r="D559" s="8">
        <v>2021</v>
      </c>
      <c r="E559" s="14">
        <f>Data!L559</f>
        <v>566930000000</v>
      </c>
      <c r="F559" s="12">
        <f t="shared" si="8"/>
        <v>5.5835842882657381E-2</v>
      </c>
    </row>
    <row r="560" spans="2:6" ht="15" customHeight="1" x14ac:dyDescent="0.3">
      <c r="C560" s="3"/>
      <c r="D560" s="8">
        <v>2022</v>
      </c>
      <c r="E560" s="14">
        <f>Data!L560</f>
        <v>793256000000</v>
      </c>
      <c r="F560" s="12">
        <f t="shared" si="8"/>
        <v>0.39921330675744798</v>
      </c>
    </row>
    <row r="561" spans="2:6" ht="15" customHeight="1" x14ac:dyDescent="0.3">
      <c r="C561" s="3"/>
      <c r="D561" s="8">
        <v>2023</v>
      </c>
      <c r="E561" s="14">
        <f>Data!L561</f>
        <v>1070524000000</v>
      </c>
      <c r="F561" s="12">
        <f t="shared" si="8"/>
        <v>0.34953155097471689</v>
      </c>
    </row>
    <row r="562" spans="2:6" ht="15" customHeight="1" x14ac:dyDescent="0.3">
      <c r="C562" s="3"/>
      <c r="D562" s="8">
        <v>2024</v>
      </c>
      <c r="E562" s="14">
        <f>Data!L562</f>
        <v>1370324000000</v>
      </c>
      <c r="F562" s="12">
        <f t="shared" si="8"/>
        <v>0.2800497700191682</v>
      </c>
    </row>
    <row r="563" spans="2:6" ht="15" customHeight="1" x14ac:dyDescent="0.3">
      <c r="B563" s="8">
        <v>52</v>
      </c>
      <c r="C563" s="3" t="s">
        <v>37</v>
      </c>
      <c r="D563" s="8">
        <v>2014</v>
      </c>
      <c r="E563" s="14">
        <f>Data!L563</f>
        <v>47938560000</v>
      </c>
      <c r="F563" s="12">
        <f t="shared" si="8"/>
        <v>-0.96501662380575692</v>
      </c>
    </row>
    <row r="564" spans="2:6" ht="15" customHeight="1" x14ac:dyDescent="0.3">
      <c r="C564" s="3"/>
      <c r="D564" s="8">
        <v>2015</v>
      </c>
      <c r="E564" s="14">
        <f>Data!L564</f>
        <v>199837000000</v>
      </c>
      <c r="F564" s="12">
        <f t="shared" si="8"/>
        <v>3.1686066498451351</v>
      </c>
    </row>
    <row r="565" spans="2:6" ht="15" customHeight="1" x14ac:dyDescent="0.3">
      <c r="C565" s="3"/>
      <c r="D565" s="8">
        <v>2016</v>
      </c>
      <c r="E565" s="14">
        <f>Data!L565</f>
        <v>366750000000</v>
      </c>
      <c r="F565" s="12">
        <f t="shared" si="8"/>
        <v>0.83524572526609187</v>
      </c>
    </row>
    <row r="566" spans="2:6" ht="15" customHeight="1" x14ac:dyDescent="0.3">
      <c r="C566" s="3"/>
      <c r="D566" s="8">
        <v>2017</v>
      </c>
      <c r="E566" s="14">
        <f>Data!L566</f>
        <v>613079000000</v>
      </c>
      <c r="F566" s="12">
        <f t="shared" si="8"/>
        <v>0.67165371506475802</v>
      </c>
    </row>
    <row r="567" spans="2:6" ht="15" customHeight="1" x14ac:dyDescent="0.3">
      <c r="C567" s="3"/>
      <c r="D567" s="8">
        <v>2018</v>
      </c>
      <c r="E567" s="14">
        <f>Data!L567</f>
        <v>730541000000</v>
      </c>
      <c r="F567" s="12">
        <f t="shared" si="8"/>
        <v>0.19159357929402246</v>
      </c>
    </row>
    <row r="568" spans="2:6" ht="15" customHeight="1" x14ac:dyDescent="0.3">
      <c r="C568" s="3"/>
      <c r="D568" s="8">
        <v>2019</v>
      </c>
      <c r="E568" s="14">
        <f>Data!L568</f>
        <v>787264000000</v>
      </c>
      <c r="F568" s="12">
        <f t="shared" si="8"/>
        <v>7.7645197189480125E-2</v>
      </c>
    </row>
    <row r="569" spans="2:6" ht="15" customHeight="1" x14ac:dyDescent="0.3">
      <c r="C569" s="3"/>
      <c r="D569" s="8">
        <v>2020</v>
      </c>
      <c r="E569" s="14">
        <f>Data!L569</f>
        <v>876812000000</v>
      </c>
      <c r="F569" s="12">
        <f t="shared" si="8"/>
        <v>0.11374583367205918</v>
      </c>
    </row>
    <row r="570" spans="2:6" ht="15" customHeight="1" x14ac:dyDescent="0.3">
      <c r="C570" s="3"/>
      <c r="D570" s="8">
        <v>2021</v>
      </c>
      <c r="E570" s="14">
        <f>Data!L570</f>
        <v>981091000000</v>
      </c>
      <c r="F570" s="12">
        <f t="shared" si="8"/>
        <v>0.11892971355319042</v>
      </c>
    </row>
    <row r="571" spans="2:6" ht="15" customHeight="1" x14ac:dyDescent="0.3">
      <c r="C571" s="3"/>
      <c r="D571" s="8">
        <v>2022</v>
      </c>
      <c r="E571" s="14">
        <f>Data!L571</f>
        <v>541248000000</v>
      </c>
      <c r="F571" s="12">
        <f t="shared" si="8"/>
        <v>-0.44832028833207116</v>
      </c>
    </row>
    <row r="572" spans="2:6" ht="15" customHeight="1" x14ac:dyDescent="0.3">
      <c r="C572" s="3"/>
      <c r="D572" s="8">
        <v>2023</v>
      </c>
      <c r="E572" s="14">
        <f>Data!L572</f>
        <v>814433000000</v>
      </c>
      <c r="F572" s="12">
        <f t="shared" si="8"/>
        <v>0.50473165720704738</v>
      </c>
    </row>
    <row r="573" spans="2:6" ht="15" customHeight="1" x14ac:dyDescent="0.3">
      <c r="C573" s="3"/>
      <c r="D573" s="8">
        <v>2024</v>
      </c>
      <c r="E573" s="14">
        <f>Data!L573</f>
        <v>498333000000</v>
      </c>
      <c r="F573" s="12">
        <f t="shared" si="8"/>
        <v>-0.38812277989718003</v>
      </c>
    </row>
    <row r="574" spans="2:6" ht="15" customHeight="1" x14ac:dyDescent="0.3">
      <c r="B574" s="8">
        <v>53</v>
      </c>
      <c r="C574" s="3" t="s">
        <v>43</v>
      </c>
      <c r="D574" s="8">
        <v>2014</v>
      </c>
      <c r="E574" s="14">
        <f>Data!L574</f>
        <v>0</v>
      </c>
      <c r="F574" s="12">
        <f t="shared" si="8"/>
        <v>-1</v>
      </c>
    </row>
    <row r="575" spans="2:6" ht="15" customHeight="1" x14ac:dyDescent="0.3">
      <c r="C575" s="3"/>
      <c r="D575" s="8">
        <v>2015</v>
      </c>
      <c r="E575" s="14">
        <f>Data!L575</f>
        <v>0</v>
      </c>
      <c r="F575" s="12">
        <f t="shared" si="8"/>
        <v>0</v>
      </c>
    </row>
    <row r="576" spans="2:6" ht="15" customHeight="1" x14ac:dyDescent="0.3">
      <c r="C576" s="3"/>
      <c r="D576" s="8">
        <v>2016</v>
      </c>
      <c r="E576" s="14">
        <f>Data!L576</f>
        <v>29178392000000</v>
      </c>
      <c r="F576" s="12">
        <f t="shared" si="8"/>
        <v>0</v>
      </c>
    </row>
    <row r="577" spans="2:6" ht="15" customHeight="1" x14ac:dyDescent="0.3">
      <c r="C577" s="3"/>
      <c r="D577" s="8">
        <v>2017</v>
      </c>
      <c r="E577" s="14">
        <f>Data!L577</f>
        <v>35586650000000</v>
      </c>
      <c r="F577" s="12">
        <f t="shared" si="8"/>
        <v>0.21962341173564329</v>
      </c>
    </row>
    <row r="578" spans="2:6" ht="15" customHeight="1" x14ac:dyDescent="0.3">
      <c r="C578" s="3"/>
      <c r="D578" s="8">
        <v>2018</v>
      </c>
      <c r="E578" s="14">
        <f>Data!L578</f>
        <v>22028628000000</v>
      </c>
      <c r="F578" s="12">
        <f t="shared" si="8"/>
        <v>-0.38098618442590126</v>
      </c>
    </row>
    <row r="579" spans="2:6" ht="15" customHeight="1" x14ac:dyDescent="0.3">
      <c r="C579" s="3"/>
      <c r="D579" s="8">
        <v>2019</v>
      </c>
      <c r="E579" s="14">
        <f>Data!L579</f>
        <v>27574236000000</v>
      </c>
      <c r="F579" s="12">
        <f t="shared" ref="F579:F642" si="9">IFERROR((E579-E578)/E578,0)</f>
        <v>0.2517455013539654</v>
      </c>
    </row>
    <row r="580" spans="2:6" ht="15" customHeight="1" x14ac:dyDescent="0.3">
      <c r="C580" s="3"/>
      <c r="D580" s="8">
        <v>2020</v>
      </c>
      <c r="E580" s="14">
        <f>Data!L580</f>
        <v>20331240000000</v>
      </c>
      <c r="F580" s="12">
        <f t="shared" si="9"/>
        <v>-0.26267259045726599</v>
      </c>
    </row>
    <row r="581" spans="2:6" ht="15" customHeight="1" x14ac:dyDescent="0.3">
      <c r="C581" s="3"/>
      <c r="D581" s="8">
        <v>2021</v>
      </c>
      <c r="E581" s="14">
        <f>Data!L581</f>
        <v>22889988000000</v>
      </c>
      <c r="F581" s="12">
        <f t="shared" si="9"/>
        <v>0.12585302224556888</v>
      </c>
    </row>
    <row r="582" spans="2:6" ht="15" customHeight="1" x14ac:dyDescent="0.3">
      <c r="C582" s="3"/>
      <c r="D582" s="8">
        <v>2022</v>
      </c>
      <c r="E582" s="14">
        <f>Data!L582</f>
        <v>20934106000000</v>
      </c>
      <c r="F582" s="12">
        <f t="shared" si="9"/>
        <v>-8.5447052222133099E-2</v>
      </c>
    </row>
    <row r="583" spans="2:6" ht="15" customHeight="1" x14ac:dyDescent="0.3">
      <c r="C583" s="3"/>
      <c r="D583" s="8">
        <v>2023</v>
      </c>
      <c r="E583" s="14">
        <f>Data!L583</f>
        <v>23629695000000</v>
      </c>
      <c r="F583" s="12">
        <f t="shared" si="9"/>
        <v>0.12876542232087676</v>
      </c>
    </row>
    <row r="584" spans="2:6" ht="15" customHeight="1" x14ac:dyDescent="0.3">
      <c r="C584" s="3"/>
      <c r="D584" s="8">
        <v>2024</v>
      </c>
      <c r="E584" s="14">
        <f>Data!L584</f>
        <v>21974346000000</v>
      </c>
      <c r="F584" s="12">
        <f t="shared" si="9"/>
        <v>-7.0053760744690108E-2</v>
      </c>
    </row>
    <row r="585" spans="2:6" ht="15" customHeight="1" x14ac:dyDescent="0.3">
      <c r="B585" s="8">
        <v>54</v>
      </c>
      <c r="C585" s="4" t="s">
        <v>150</v>
      </c>
      <c r="D585" s="8">
        <v>2014</v>
      </c>
      <c r="E585" s="14">
        <f>Data!L596</f>
        <v>1723072000000</v>
      </c>
      <c r="F585" s="12">
        <f t="shared" si="9"/>
        <v>-0.92158710889507245</v>
      </c>
    </row>
    <row r="586" spans="2:6" ht="15" customHeight="1" x14ac:dyDescent="0.3">
      <c r="C586" s="4"/>
      <c r="D586" s="8">
        <v>2015</v>
      </c>
      <c r="E586" s="14">
        <f>Data!L597</f>
        <v>1238066000000</v>
      </c>
      <c r="F586" s="12">
        <f t="shared" si="9"/>
        <v>-0.28147750065000188</v>
      </c>
    </row>
    <row r="587" spans="2:6" ht="15" customHeight="1" x14ac:dyDescent="0.3">
      <c r="C587" s="4"/>
      <c r="D587" s="8">
        <v>2016</v>
      </c>
      <c r="E587" s="14">
        <f>Data!L598</f>
        <v>2218993000000</v>
      </c>
      <c r="F587" s="12">
        <f t="shared" si="9"/>
        <v>0.79230590291632275</v>
      </c>
    </row>
    <row r="588" spans="2:6" ht="15" customHeight="1" x14ac:dyDescent="0.3">
      <c r="C588" s="4"/>
      <c r="D588" s="8">
        <v>2017</v>
      </c>
      <c r="E588" s="14">
        <f>Data!L599</f>
        <v>3961709000000</v>
      </c>
      <c r="F588" s="12">
        <f t="shared" si="9"/>
        <v>0.78536345089867343</v>
      </c>
    </row>
    <row r="589" spans="2:6" ht="15" customHeight="1" x14ac:dyDescent="0.3">
      <c r="C589" s="4"/>
      <c r="D589" s="8">
        <v>2018</v>
      </c>
      <c r="E589" s="14">
        <f>Data!L600</f>
        <v>3060261000000</v>
      </c>
      <c r="F589" s="12">
        <f t="shared" si="9"/>
        <v>-0.22754018530891593</v>
      </c>
    </row>
    <row r="590" spans="2:6" ht="15" customHeight="1" x14ac:dyDescent="0.3">
      <c r="C590" s="4"/>
      <c r="D590" s="8">
        <v>2019</v>
      </c>
      <c r="E590" s="14">
        <f>Data!L601</f>
        <v>4186864000000</v>
      </c>
      <c r="F590" s="12">
        <f t="shared" si="9"/>
        <v>0.36813951489758551</v>
      </c>
    </row>
    <row r="591" spans="2:6" ht="15" customHeight="1" x14ac:dyDescent="0.3">
      <c r="C591" s="4"/>
      <c r="D591" s="8">
        <v>2020</v>
      </c>
      <c r="E591" s="14">
        <f>Data!L602</f>
        <v>3860580000000</v>
      </c>
      <c r="F591" s="12">
        <f t="shared" si="9"/>
        <v>-7.7930403280354943E-2</v>
      </c>
    </row>
    <row r="592" spans="2:6" ht="15" customHeight="1" x14ac:dyDescent="0.3">
      <c r="C592" s="4"/>
      <c r="D592" s="8">
        <v>2021</v>
      </c>
      <c r="E592" s="14">
        <f>Data!L603</f>
        <v>4632725000000</v>
      </c>
      <c r="F592" s="12">
        <f t="shared" si="9"/>
        <v>0.2000075118246481</v>
      </c>
    </row>
    <row r="593" spans="2:6" ht="15" customHeight="1" x14ac:dyDescent="0.3">
      <c r="C593" s="4"/>
      <c r="D593" s="8">
        <v>2022</v>
      </c>
      <c r="E593" s="14">
        <f>Data!L604</f>
        <v>5012314000000</v>
      </c>
      <c r="F593" s="12">
        <f t="shared" si="9"/>
        <v>8.1936441295349924E-2</v>
      </c>
    </row>
    <row r="594" spans="2:6" ht="15" customHeight="1" x14ac:dyDescent="0.3">
      <c r="C594" s="4"/>
      <c r="D594" s="8">
        <v>2023</v>
      </c>
      <c r="E594" s="14">
        <f>Data!L605</f>
        <v>4525904000000</v>
      </c>
      <c r="F594" s="12">
        <f t="shared" si="9"/>
        <v>-9.704300249345911E-2</v>
      </c>
    </row>
    <row r="595" spans="2:6" ht="15" customHeight="1" x14ac:dyDescent="0.3">
      <c r="C595" s="4"/>
      <c r="D595" s="8">
        <v>2024</v>
      </c>
      <c r="E595" s="14">
        <f>Data!L606</f>
        <v>3644303000000</v>
      </c>
      <c r="F595" s="12">
        <f t="shared" si="9"/>
        <v>-0.19479003531670136</v>
      </c>
    </row>
    <row r="596" spans="2:6" ht="15" customHeight="1" x14ac:dyDescent="0.3">
      <c r="B596" s="8">
        <v>55</v>
      </c>
      <c r="C596" s="3" t="s">
        <v>40</v>
      </c>
      <c r="D596" s="8">
        <v>2014</v>
      </c>
      <c r="E596" s="14">
        <f>Data!L607</f>
        <v>128999000000</v>
      </c>
      <c r="F596" s="12">
        <f t="shared" si="9"/>
        <v>-0.9646025591176145</v>
      </c>
    </row>
    <row r="597" spans="2:6" ht="15" customHeight="1" x14ac:dyDescent="0.3">
      <c r="C597" s="3"/>
      <c r="D597" s="8">
        <v>2015</v>
      </c>
      <c r="E597" s="14">
        <f>Data!L608</f>
        <v>195573000000</v>
      </c>
      <c r="F597" s="12">
        <f t="shared" si="9"/>
        <v>0.51608152001178309</v>
      </c>
    </row>
    <row r="598" spans="2:6" ht="15" customHeight="1" x14ac:dyDescent="0.3">
      <c r="C598" s="3"/>
      <c r="D598" s="8">
        <v>2016</v>
      </c>
      <c r="E598" s="14" t="e">
        <f>Data!#REF!</f>
        <v>#REF!</v>
      </c>
      <c r="F598" s="12">
        <f t="shared" si="9"/>
        <v>0</v>
      </c>
    </row>
    <row r="599" spans="2:6" ht="15" customHeight="1" x14ac:dyDescent="0.3">
      <c r="C599" s="3"/>
      <c r="D599" s="8">
        <v>2017</v>
      </c>
      <c r="E599" s="14" t="e">
        <f>Data!#REF!</f>
        <v>#REF!</v>
      </c>
      <c r="F599" s="12">
        <f t="shared" si="9"/>
        <v>0</v>
      </c>
    </row>
    <row r="600" spans="2:6" ht="15" customHeight="1" x14ac:dyDescent="0.3">
      <c r="C600" s="3"/>
      <c r="D600" s="8">
        <v>2018</v>
      </c>
      <c r="E600" s="14" t="e">
        <f>Data!#REF!</f>
        <v>#REF!</v>
      </c>
      <c r="F600" s="12">
        <f t="shared" si="9"/>
        <v>0</v>
      </c>
    </row>
    <row r="601" spans="2:6" ht="15" customHeight="1" x14ac:dyDescent="0.3">
      <c r="C601" s="3"/>
      <c r="D601" s="8">
        <v>2019</v>
      </c>
      <c r="E601" s="14" t="e">
        <f>Data!#REF!</f>
        <v>#REF!</v>
      </c>
      <c r="F601" s="12">
        <f t="shared" si="9"/>
        <v>0</v>
      </c>
    </row>
    <row r="602" spans="2:6" ht="15" customHeight="1" x14ac:dyDescent="0.3">
      <c r="C602" s="3"/>
      <c r="D602" s="8">
        <v>2020</v>
      </c>
      <c r="E602" s="14" t="e">
        <f>Data!#REF!</f>
        <v>#REF!</v>
      </c>
      <c r="F602" s="12">
        <f t="shared" si="9"/>
        <v>0</v>
      </c>
    </row>
    <row r="603" spans="2:6" ht="15" customHeight="1" x14ac:dyDescent="0.3">
      <c r="C603" s="3"/>
      <c r="D603" s="8">
        <v>2021</v>
      </c>
      <c r="E603" s="14" t="e">
        <f>Data!#REF!</f>
        <v>#REF!</v>
      </c>
      <c r="F603" s="12">
        <f t="shared" si="9"/>
        <v>0</v>
      </c>
    </row>
    <row r="604" spans="2:6" ht="15" customHeight="1" x14ac:dyDescent="0.3">
      <c r="C604" s="3"/>
      <c r="D604" s="8">
        <v>2022</v>
      </c>
      <c r="E604" s="14" t="e">
        <f>Data!#REF!</f>
        <v>#REF!</v>
      </c>
      <c r="F604" s="12">
        <f t="shared" si="9"/>
        <v>0</v>
      </c>
    </row>
    <row r="605" spans="2:6" ht="15" customHeight="1" x14ac:dyDescent="0.3">
      <c r="C605" s="3"/>
      <c r="D605" s="8">
        <v>2023</v>
      </c>
      <c r="E605" s="14" t="e">
        <f>Data!#REF!</f>
        <v>#REF!</v>
      </c>
      <c r="F605" s="12">
        <f t="shared" si="9"/>
        <v>0</v>
      </c>
    </row>
    <row r="606" spans="2:6" ht="15" customHeight="1" x14ac:dyDescent="0.3">
      <c r="C606" s="3"/>
      <c r="D606" s="8">
        <v>2024</v>
      </c>
      <c r="E606" s="14" t="e">
        <f>Data!#REF!</f>
        <v>#REF!</v>
      </c>
      <c r="F606" s="12">
        <f t="shared" si="9"/>
        <v>0</v>
      </c>
    </row>
    <row r="607" spans="2:6" ht="15" customHeight="1" x14ac:dyDescent="0.3">
      <c r="B607" s="8">
        <v>56</v>
      </c>
      <c r="C607" s="3" t="s">
        <v>47</v>
      </c>
      <c r="D607" s="8">
        <v>2014</v>
      </c>
      <c r="E607" s="14" t="e">
        <f>Data!#REF!</f>
        <v>#REF!</v>
      </c>
      <c r="F607" s="12">
        <f t="shared" si="9"/>
        <v>0</v>
      </c>
    </row>
    <row r="608" spans="2:6" ht="15" customHeight="1" x14ac:dyDescent="0.3">
      <c r="C608" s="3"/>
      <c r="D608" s="8">
        <v>2015</v>
      </c>
      <c r="E608" s="14" t="e">
        <f>Data!#REF!</f>
        <v>#REF!</v>
      </c>
      <c r="F608" s="12">
        <f t="shared" si="9"/>
        <v>0</v>
      </c>
    </row>
    <row r="609" spans="2:6" ht="15" customHeight="1" x14ac:dyDescent="0.3">
      <c r="C609" s="3"/>
      <c r="D609" s="8">
        <v>2016</v>
      </c>
      <c r="E609" s="14">
        <f>Data!L609</f>
        <v>448400000000</v>
      </c>
      <c r="F609" s="12">
        <f t="shared" si="9"/>
        <v>0</v>
      </c>
    </row>
    <row r="610" spans="2:6" ht="15" customHeight="1" x14ac:dyDescent="0.3">
      <c r="C610" s="3"/>
      <c r="D610" s="8">
        <v>2017</v>
      </c>
      <c r="E610" s="14">
        <f>Data!L610</f>
        <v>574741000000</v>
      </c>
      <c r="F610" s="12">
        <f t="shared" si="9"/>
        <v>0.28175958965209635</v>
      </c>
    </row>
    <row r="611" spans="2:6" ht="15" customHeight="1" x14ac:dyDescent="0.3">
      <c r="C611" s="3"/>
      <c r="D611" s="8">
        <v>2018</v>
      </c>
      <c r="E611" s="14">
        <f>Data!L611</f>
        <v>567430000000</v>
      </c>
      <c r="F611" s="12">
        <f t="shared" si="9"/>
        <v>-1.2720512369919668E-2</v>
      </c>
    </row>
    <row r="612" spans="2:6" ht="15" customHeight="1" x14ac:dyDescent="0.3">
      <c r="C612" s="3"/>
      <c r="D612" s="8">
        <v>2019</v>
      </c>
      <c r="E612" s="14">
        <f>Data!L612</f>
        <v>781453000000</v>
      </c>
      <c r="F612" s="12">
        <f t="shared" si="9"/>
        <v>0.37717956399908359</v>
      </c>
    </row>
    <row r="613" spans="2:6" ht="15" customHeight="1" x14ac:dyDescent="0.3">
      <c r="C613" s="3"/>
      <c r="D613" s="8">
        <v>2020</v>
      </c>
      <c r="E613" s="14">
        <f>Data!L613</f>
        <v>603900000000</v>
      </c>
      <c r="F613" s="12">
        <f t="shared" si="9"/>
        <v>-0.22720880206487146</v>
      </c>
    </row>
    <row r="614" spans="2:6" ht="15" customHeight="1" x14ac:dyDescent="0.3">
      <c r="C614" s="3"/>
      <c r="D614" s="8">
        <v>2021</v>
      </c>
      <c r="E614" s="14">
        <f>Data!L614</f>
        <v>599499000000</v>
      </c>
      <c r="F614" s="12">
        <f t="shared" si="9"/>
        <v>-7.2876304023845005E-3</v>
      </c>
    </row>
    <row r="615" spans="2:6" ht="15" customHeight="1" x14ac:dyDescent="0.3">
      <c r="C615" s="3"/>
      <c r="D615" s="8">
        <v>2022</v>
      </c>
      <c r="E615" s="14">
        <f>Data!L615</f>
        <v>825458000000</v>
      </c>
      <c r="F615" s="12">
        <f t="shared" si="9"/>
        <v>0.37691305573487194</v>
      </c>
    </row>
    <row r="616" spans="2:6" ht="15" customHeight="1" x14ac:dyDescent="0.3">
      <c r="C616" s="3"/>
      <c r="D616" s="8">
        <v>2023</v>
      </c>
      <c r="E616" s="14">
        <f>Data!L616</f>
        <v>717570000000</v>
      </c>
      <c r="F616" s="12">
        <f t="shared" si="9"/>
        <v>-0.13070077460028251</v>
      </c>
    </row>
    <row r="617" spans="2:6" ht="15" customHeight="1" x14ac:dyDescent="0.3">
      <c r="C617" s="3"/>
      <c r="D617" s="8">
        <v>2024</v>
      </c>
      <c r="E617" s="14">
        <f>Data!L617</f>
        <v>714813000000</v>
      </c>
      <c r="F617" s="12">
        <f t="shared" si="9"/>
        <v>-3.8421338684727622E-3</v>
      </c>
    </row>
    <row r="618" spans="2:6" ht="15" customHeight="1" x14ac:dyDescent="0.3">
      <c r="B618" s="8">
        <v>57</v>
      </c>
      <c r="C618" s="3" t="s">
        <v>41</v>
      </c>
      <c r="D618" s="8">
        <v>2014</v>
      </c>
      <c r="E618" s="14">
        <f>Data!L618</f>
        <v>0</v>
      </c>
      <c r="F618" s="12">
        <f t="shared" si="9"/>
        <v>-1</v>
      </c>
    </row>
    <row r="619" spans="2:6" ht="15" customHeight="1" x14ac:dyDescent="0.3">
      <c r="C619" s="3"/>
      <c r="D619" s="8">
        <v>2015</v>
      </c>
      <c r="E619" s="14">
        <f>Data!L619</f>
        <v>0</v>
      </c>
      <c r="F619" s="12">
        <f t="shared" si="9"/>
        <v>0</v>
      </c>
    </row>
    <row r="620" spans="2:6" ht="15" customHeight="1" x14ac:dyDescent="0.3">
      <c r="C620" s="3"/>
      <c r="D620" s="8">
        <v>2016</v>
      </c>
      <c r="E620" s="14">
        <f>Data!L620</f>
        <v>0</v>
      </c>
      <c r="F620" s="12">
        <f t="shared" si="9"/>
        <v>0</v>
      </c>
    </row>
    <row r="621" spans="2:6" ht="15" customHeight="1" x14ac:dyDescent="0.3">
      <c r="C621" s="3"/>
      <c r="D621" s="8">
        <v>2017</v>
      </c>
      <c r="E621" s="14">
        <f>Data!L621</f>
        <v>42922000000</v>
      </c>
      <c r="F621" s="12">
        <f t="shared" si="9"/>
        <v>0</v>
      </c>
    </row>
    <row r="622" spans="2:6" ht="15" customHeight="1" x14ac:dyDescent="0.3">
      <c r="C622" s="3"/>
      <c r="D622" s="8">
        <v>2018</v>
      </c>
      <c r="E622" s="14">
        <f>Data!L622</f>
        <v>261891000000</v>
      </c>
      <c r="F622" s="12">
        <f t="shared" si="9"/>
        <v>5.1015563114486744</v>
      </c>
    </row>
    <row r="623" spans="2:6" ht="15" customHeight="1" x14ac:dyDescent="0.3">
      <c r="C623" s="3"/>
      <c r="D623" s="8">
        <v>2019</v>
      </c>
      <c r="E623" s="14">
        <f>Data!L623</f>
        <v>385912000000</v>
      </c>
      <c r="F623" s="12">
        <f t="shared" si="9"/>
        <v>0.47355961067772473</v>
      </c>
    </row>
    <row r="624" spans="2:6" ht="15" customHeight="1" x14ac:dyDescent="0.3">
      <c r="C624" s="3"/>
      <c r="D624" s="8">
        <v>2020</v>
      </c>
      <c r="E624" s="14">
        <f>Data!L624</f>
        <v>132298000000</v>
      </c>
      <c r="F624" s="12">
        <f t="shared" si="9"/>
        <v>-0.6571809117104418</v>
      </c>
    </row>
    <row r="625" spans="1:6" ht="15" customHeight="1" x14ac:dyDescent="0.3">
      <c r="C625" s="3"/>
      <c r="D625" s="8">
        <v>2021</v>
      </c>
      <c r="E625" s="14">
        <f>Data!L625</f>
        <v>278853000000</v>
      </c>
      <c r="F625" s="12">
        <f t="shared" si="9"/>
        <v>1.107764289709595</v>
      </c>
    </row>
    <row r="626" spans="1:6" ht="15" customHeight="1" x14ac:dyDescent="0.3">
      <c r="C626" s="3"/>
      <c r="D626" s="8">
        <v>2022</v>
      </c>
      <c r="E626" s="14">
        <f>Data!L626</f>
        <v>350408000000</v>
      </c>
      <c r="F626" s="12">
        <f t="shared" si="9"/>
        <v>0.2566047343941073</v>
      </c>
    </row>
    <row r="627" spans="1:6" ht="15" customHeight="1" x14ac:dyDescent="0.3">
      <c r="C627" s="3"/>
      <c r="D627" s="8">
        <v>2023</v>
      </c>
      <c r="E627" s="14">
        <f>Data!L627</f>
        <v>28443000000</v>
      </c>
      <c r="F627" s="12">
        <f t="shared" si="9"/>
        <v>-0.91882890801579875</v>
      </c>
    </row>
    <row r="628" spans="1:6" ht="15" customHeight="1" x14ac:dyDescent="0.3">
      <c r="C628" s="3"/>
      <c r="D628" s="8">
        <v>2024</v>
      </c>
      <c r="E628" s="14">
        <f>Data!L628</f>
        <v>46996000000</v>
      </c>
      <c r="F628" s="12">
        <f t="shared" si="9"/>
        <v>0.6522870302007524</v>
      </c>
    </row>
    <row r="629" spans="1:6" ht="15" customHeight="1" x14ac:dyDescent="0.3">
      <c r="B629" s="8">
        <v>58</v>
      </c>
      <c r="C629" s="4" t="s">
        <v>49</v>
      </c>
      <c r="D629" s="8">
        <v>2014</v>
      </c>
      <c r="E629" s="14">
        <f>Data!L629</f>
        <v>0</v>
      </c>
      <c r="F629" s="12">
        <f t="shared" si="9"/>
        <v>-1</v>
      </c>
    </row>
    <row r="630" spans="1:6" ht="15" customHeight="1" x14ac:dyDescent="0.3">
      <c r="C630" s="4"/>
      <c r="D630" s="8">
        <v>2015</v>
      </c>
      <c r="E630" s="14">
        <f>Data!L630</f>
        <v>0</v>
      </c>
      <c r="F630" s="12">
        <f t="shared" si="9"/>
        <v>0</v>
      </c>
    </row>
    <row r="631" spans="1:6" ht="15" customHeight="1" x14ac:dyDescent="0.3">
      <c r="C631" s="4"/>
      <c r="D631" s="8">
        <v>2016</v>
      </c>
      <c r="E631" s="14">
        <f>Data!L631</f>
        <v>0</v>
      </c>
      <c r="F631" s="12">
        <f t="shared" si="9"/>
        <v>0</v>
      </c>
    </row>
    <row r="632" spans="1:6" ht="15" customHeight="1" x14ac:dyDescent="0.3">
      <c r="C632" s="4"/>
      <c r="D632" s="8">
        <v>2017</v>
      </c>
      <c r="E632" s="14">
        <f>Data!L632</f>
        <v>0</v>
      </c>
      <c r="F632" s="12">
        <f t="shared" si="9"/>
        <v>0</v>
      </c>
    </row>
    <row r="633" spans="1:6" ht="15" customHeight="1" x14ac:dyDescent="0.3">
      <c r="C633" s="4"/>
      <c r="D633" s="8">
        <v>2018</v>
      </c>
      <c r="E633" s="14">
        <f>Data!L633</f>
        <v>0</v>
      </c>
      <c r="F633" s="12">
        <f t="shared" si="9"/>
        <v>0</v>
      </c>
    </row>
    <row r="634" spans="1:6" ht="15" customHeight="1" x14ac:dyDescent="0.3">
      <c r="C634" s="4"/>
      <c r="D634" s="8">
        <v>2019</v>
      </c>
      <c r="E634" s="14">
        <f>Data!L634</f>
        <v>0</v>
      </c>
      <c r="F634" s="12">
        <f t="shared" si="9"/>
        <v>0</v>
      </c>
    </row>
    <row r="635" spans="1:6" ht="15" customHeight="1" x14ac:dyDescent="0.3">
      <c r="C635" s="4"/>
      <c r="D635" s="8">
        <v>2020</v>
      </c>
      <c r="E635" s="14">
        <f>Data!L635</f>
        <v>747357000000</v>
      </c>
      <c r="F635" s="12">
        <f t="shared" si="9"/>
        <v>0</v>
      </c>
    </row>
    <row r="636" spans="1:6" ht="15" customHeight="1" x14ac:dyDescent="0.3">
      <c r="C636" s="4"/>
      <c r="D636" s="8">
        <v>2021</v>
      </c>
      <c r="E636" s="14">
        <f>Data!L636</f>
        <v>814562000000</v>
      </c>
      <c r="F636" s="12">
        <f t="shared" si="9"/>
        <v>8.9923557282530306E-2</v>
      </c>
    </row>
    <row r="637" spans="1:6" ht="15" customHeight="1" x14ac:dyDescent="0.3">
      <c r="C637" s="4"/>
      <c r="D637" s="8">
        <v>2022</v>
      </c>
      <c r="E637" s="14">
        <f>Data!L637</f>
        <v>956647000000</v>
      </c>
      <c r="F637" s="12">
        <f t="shared" si="9"/>
        <v>0.1744311666883552</v>
      </c>
    </row>
    <row r="638" spans="1:6" ht="15" customHeight="1" x14ac:dyDescent="0.3">
      <c r="C638" s="4"/>
      <c r="D638" s="8">
        <v>2023</v>
      </c>
      <c r="E638" s="14">
        <f>Data!L638</f>
        <v>894928000000</v>
      </c>
      <c r="F638" s="12">
        <f t="shared" si="9"/>
        <v>-6.4515960432636077E-2</v>
      </c>
    </row>
    <row r="639" spans="1:6" ht="15" customHeight="1" x14ac:dyDescent="0.3">
      <c r="C639" s="4"/>
      <c r="D639" s="8">
        <v>2024</v>
      </c>
      <c r="E639" s="14">
        <f>Data!L639</f>
        <v>851398000000</v>
      </c>
      <c r="F639" s="12">
        <f t="shared" si="9"/>
        <v>-4.8640784510038795E-2</v>
      </c>
    </row>
    <row r="640" spans="1:6" ht="15" customHeight="1" x14ac:dyDescent="0.3">
      <c r="A640" t="s">
        <v>154</v>
      </c>
      <c r="B640" s="8">
        <v>59</v>
      </c>
      <c r="C640" s="2" t="s">
        <v>59</v>
      </c>
      <c r="D640" s="8">
        <v>2014</v>
      </c>
      <c r="E640" s="14">
        <f>Data!L640</f>
        <v>0</v>
      </c>
      <c r="F640" s="12">
        <f t="shared" si="9"/>
        <v>-1</v>
      </c>
    </row>
    <row r="641" spans="2:6" ht="15" customHeight="1" x14ac:dyDescent="0.3">
      <c r="C641" s="2"/>
      <c r="D641" s="8">
        <v>2015</v>
      </c>
      <c r="E641" s="14">
        <f>Data!L641</f>
        <v>0</v>
      </c>
      <c r="F641" s="12">
        <f t="shared" si="9"/>
        <v>0</v>
      </c>
    </row>
    <row r="642" spans="2:6" ht="15" customHeight="1" x14ac:dyDescent="0.3">
      <c r="C642" s="2"/>
      <c r="D642" s="8">
        <v>2016</v>
      </c>
      <c r="E642" s="14">
        <f>Data!L642</f>
        <v>0</v>
      </c>
      <c r="F642" s="12">
        <f t="shared" si="9"/>
        <v>0</v>
      </c>
    </row>
    <row r="643" spans="2:6" ht="15" customHeight="1" x14ac:dyDescent="0.3">
      <c r="C643" s="2"/>
      <c r="D643" s="8">
        <v>2017</v>
      </c>
      <c r="E643" s="14">
        <f>Data!L643</f>
        <v>0</v>
      </c>
      <c r="F643" s="12">
        <f t="shared" ref="F643:F706" si="10">IFERROR((E643-E642)/E642,0)</f>
        <v>0</v>
      </c>
    </row>
    <row r="644" spans="2:6" ht="15" customHeight="1" x14ac:dyDescent="0.3">
      <c r="C644" s="2"/>
      <c r="D644" s="8">
        <v>2018</v>
      </c>
      <c r="E644" s="14">
        <f>Data!L644</f>
        <v>0</v>
      </c>
      <c r="F644" s="12">
        <f t="shared" si="10"/>
        <v>0</v>
      </c>
    </row>
    <row r="645" spans="2:6" ht="15" customHeight="1" x14ac:dyDescent="0.3">
      <c r="C645" s="2"/>
      <c r="D645" s="8">
        <v>2019</v>
      </c>
      <c r="E645" s="14">
        <f>Data!L645</f>
        <v>250196000000</v>
      </c>
      <c r="F645" s="12">
        <f t="shared" si="10"/>
        <v>0</v>
      </c>
    </row>
    <row r="646" spans="2:6" ht="15" customHeight="1" x14ac:dyDescent="0.3">
      <c r="C646" s="2"/>
      <c r="D646" s="8">
        <v>2020</v>
      </c>
      <c r="E646" s="14">
        <f>Data!L646</f>
        <v>152690000000</v>
      </c>
      <c r="F646" s="12">
        <f t="shared" si="10"/>
        <v>-0.38971846072679017</v>
      </c>
    </row>
    <row r="647" spans="2:6" ht="15" customHeight="1" x14ac:dyDescent="0.3">
      <c r="C647" s="2"/>
      <c r="D647" s="8">
        <v>2021</v>
      </c>
      <c r="E647" s="14">
        <f>Data!L647</f>
        <v>149716000000</v>
      </c>
      <c r="F647" s="12">
        <f t="shared" si="10"/>
        <v>-1.9477372453991747E-2</v>
      </c>
    </row>
    <row r="648" spans="2:6" ht="15" customHeight="1" x14ac:dyDescent="0.3">
      <c r="C648" s="2"/>
      <c r="D648" s="8">
        <v>2022</v>
      </c>
      <c r="E648" s="14">
        <f>Data!L648</f>
        <v>157409000000</v>
      </c>
      <c r="F648" s="12">
        <f t="shared" si="10"/>
        <v>5.1383953618851695E-2</v>
      </c>
    </row>
    <row r="649" spans="2:6" ht="15" customHeight="1" x14ac:dyDescent="0.3">
      <c r="C649" s="2"/>
      <c r="D649" s="8">
        <v>2023</v>
      </c>
      <c r="E649" s="14">
        <f>Data!L649</f>
        <v>199244000000</v>
      </c>
      <c r="F649" s="12">
        <f t="shared" si="10"/>
        <v>0.26577260512423051</v>
      </c>
    </row>
    <row r="650" spans="2:6" ht="15" customHeight="1" x14ac:dyDescent="0.3">
      <c r="C650" s="2"/>
      <c r="D650" s="8">
        <v>2024</v>
      </c>
      <c r="E650" s="14">
        <f>Data!L650</f>
        <v>219787000000</v>
      </c>
      <c r="F650" s="12">
        <f t="shared" si="10"/>
        <v>0.10310473590170846</v>
      </c>
    </row>
    <row r="651" spans="2:6" ht="15" customHeight="1" x14ac:dyDescent="0.3">
      <c r="B651" s="8">
        <v>60</v>
      </c>
      <c r="C651" s="2" t="s">
        <v>63</v>
      </c>
      <c r="D651" s="8">
        <v>2014</v>
      </c>
      <c r="E651" s="14">
        <f>Data!L651</f>
        <v>0</v>
      </c>
      <c r="F651" s="12">
        <f t="shared" si="10"/>
        <v>-1</v>
      </c>
    </row>
    <row r="652" spans="2:6" ht="15" customHeight="1" x14ac:dyDescent="0.3">
      <c r="C652" s="2"/>
      <c r="D652" s="8">
        <v>2015</v>
      </c>
      <c r="E652" s="14">
        <f>Data!L652</f>
        <v>0</v>
      </c>
      <c r="F652" s="12">
        <f t="shared" si="10"/>
        <v>0</v>
      </c>
    </row>
    <row r="653" spans="2:6" ht="15" customHeight="1" x14ac:dyDescent="0.3">
      <c r="C653" s="2"/>
      <c r="D653" s="8">
        <v>2016</v>
      </c>
      <c r="E653" s="14">
        <f>Data!L653</f>
        <v>0</v>
      </c>
      <c r="F653" s="12">
        <f t="shared" si="10"/>
        <v>0</v>
      </c>
    </row>
    <row r="654" spans="2:6" ht="15" customHeight="1" x14ac:dyDescent="0.3">
      <c r="C654" s="2"/>
      <c r="D654" s="8">
        <v>2017</v>
      </c>
      <c r="E654" s="14">
        <f>Data!L654</f>
        <v>0</v>
      </c>
      <c r="F654" s="12">
        <f t="shared" si="10"/>
        <v>0</v>
      </c>
    </row>
    <row r="655" spans="2:6" ht="15" customHeight="1" x14ac:dyDescent="0.3">
      <c r="C655" s="2"/>
      <c r="D655" s="8">
        <v>2018</v>
      </c>
      <c r="E655" s="14">
        <f>Data!L655</f>
        <v>0</v>
      </c>
      <c r="F655" s="12">
        <f t="shared" si="10"/>
        <v>0</v>
      </c>
    </row>
    <row r="656" spans="2:6" ht="15" customHeight="1" x14ac:dyDescent="0.3">
      <c r="C656" s="2"/>
      <c r="D656" s="8">
        <v>2019</v>
      </c>
      <c r="E656" s="14">
        <f>Data!L656</f>
        <v>0</v>
      </c>
      <c r="F656" s="12">
        <f t="shared" si="10"/>
        <v>0</v>
      </c>
    </row>
    <row r="657" spans="2:6" ht="15" customHeight="1" x14ac:dyDescent="0.3">
      <c r="C657" s="2"/>
      <c r="D657" s="8">
        <v>2020</v>
      </c>
      <c r="E657" s="14">
        <f>Data!L657</f>
        <v>102511000000</v>
      </c>
      <c r="F657" s="12">
        <f t="shared" si="10"/>
        <v>0</v>
      </c>
    </row>
    <row r="658" spans="2:6" ht="15" customHeight="1" x14ac:dyDescent="0.3">
      <c r="C658" s="2"/>
      <c r="D658" s="8">
        <v>2021</v>
      </c>
      <c r="E658" s="14">
        <f>Data!L658</f>
        <v>95301000000</v>
      </c>
      <c r="F658" s="12">
        <f t="shared" si="10"/>
        <v>-7.0333915384690429E-2</v>
      </c>
    </row>
    <row r="659" spans="2:6" ht="15" customHeight="1" x14ac:dyDescent="0.3">
      <c r="C659" s="2"/>
      <c r="D659" s="8">
        <v>2022</v>
      </c>
      <c r="E659" s="14">
        <f>Data!L659</f>
        <v>109295000000</v>
      </c>
      <c r="F659" s="12">
        <f t="shared" si="10"/>
        <v>0.14684001217196041</v>
      </c>
    </row>
    <row r="660" spans="2:6" ht="15" customHeight="1" x14ac:dyDescent="0.3">
      <c r="C660" s="2"/>
      <c r="D660" s="8">
        <v>2023</v>
      </c>
      <c r="E660" s="14">
        <f>Data!L660</f>
        <v>108744000000</v>
      </c>
      <c r="F660" s="12">
        <f t="shared" si="10"/>
        <v>-5.0414017109657351E-3</v>
      </c>
    </row>
    <row r="661" spans="2:6" ht="15" customHeight="1" x14ac:dyDescent="0.3">
      <c r="C661" s="2"/>
      <c r="D661" s="8">
        <v>2024</v>
      </c>
      <c r="E661" s="14">
        <f>Data!L661</f>
        <v>105302000000</v>
      </c>
      <c r="F661" s="12">
        <f t="shared" si="10"/>
        <v>-3.1652321047598027E-2</v>
      </c>
    </row>
    <row r="662" spans="2:6" ht="15" customHeight="1" x14ac:dyDescent="0.3">
      <c r="B662" s="8">
        <v>61</v>
      </c>
      <c r="C662" s="2" t="s">
        <v>61</v>
      </c>
      <c r="D662" s="8">
        <v>2014</v>
      </c>
      <c r="E662" s="14">
        <f>Data!L662</f>
        <v>438295000000</v>
      </c>
      <c r="F662" s="12">
        <f t="shared" si="10"/>
        <v>3.1622666236158858</v>
      </c>
    </row>
    <row r="663" spans="2:6" ht="15" customHeight="1" x14ac:dyDescent="0.3">
      <c r="C663" s="2"/>
      <c r="D663" s="8">
        <v>2015</v>
      </c>
      <c r="E663" s="14">
        <f>Data!L663</f>
        <v>516969000000</v>
      </c>
      <c r="F663" s="12">
        <f t="shared" si="10"/>
        <v>0.17950010837449662</v>
      </c>
    </row>
    <row r="664" spans="2:6" ht="15" customHeight="1" x14ac:dyDescent="0.3">
      <c r="C664" s="2"/>
      <c r="D664" s="8">
        <v>2016</v>
      </c>
      <c r="E664" s="14">
        <f>Data!L664</f>
        <v>493786000000</v>
      </c>
      <c r="F664" s="12">
        <f t="shared" si="10"/>
        <v>-4.4844081560016173E-2</v>
      </c>
    </row>
    <row r="665" spans="2:6" ht="15" customHeight="1" x14ac:dyDescent="0.3">
      <c r="C665" s="2"/>
      <c r="D665" s="8">
        <v>2017</v>
      </c>
      <c r="E665" s="14">
        <f>Data!L665</f>
        <v>489354000000</v>
      </c>
      <c r="F665" s="12">
        <f t="shared" si="10"/>
        <v>-8.9755481119351294E-3</v>
      </c>
    </row>
    <row r="666" spans="2:6" ht="15" customHeight="1" x14ac:dyDescent="0.3">
      <c r="C666" s="2"/>
      <c r="D666" s="8">
        <v>2018</v>
      </c>
      <c r="E666" s="14">
        <f>Data!L666</f>
        <v>547852000000</v>
      </c>
      <c r="F666" s="12">
        <f t="shared" si="10"/>
        <v>0.11954127278003245</v>
      </c>
    </row>
    <row r="667" spans="2:6" ht="15" customHeight="1" x14ac:dyDescent="0.3">
      <c r="C667" s="2"/>
      <c r="D667" s="8">
        <v>2019</v>
      </c>
      <c r="E667" s="14">
        <f>Data!L667</f>
        <v>650695000000</v>
      </c>
      <c r="F667" s="12">
        <f t="shared" si="10"/>
        <v>0.18772040624110162</v>
      </c>
    </row>
    <row r="668" spans="2:6" ht="15" customHeight="1" x14ac:dyDescent="0.3">
      <c r="C668" s="2"/>
      <c r="D668" s="8">
        <v>2020</v>
      </c>
      <c r="E668" s="14">
        <f>Data!L668</f>
        <v>480255000000</v>
      </c>
      <c r="F668" s="12">
        <f t="shared" si="10"/>
        <v>-0.26193531531669983</v>
      </c>
    </row>
    <row r="669" spans="2:6" ht="15" customHeight="1" x14ac:dyDescent="0.3">
      <c r="C669" s="2"/>
      <c r="D669" s="8">
        <v>2021</v>
      </c>
      <c r="E669" s="14">
        <f>Data!L669</f>
        <v>260859000000</v>
      </c>
      <c r="F669" s="12">
        <f t="shared" si="10"/>
        <v>-0.45683230783646189</v>
      </c>
    </row>
    <row r="670" spans="2:6" ht="15" customHeight="1" x14ac:dyDescent="0.3">
      <c r="C670" s="2"/>
      <c r="D670" s="8">
        <v>2022</v>
      </c>
      <c r="E670" s="14">
        <f>Data!L670</f>
        <v>248679000000</v>
      </c>
      <c r="F670" s="12">
        <f t="shared" si="10"/>
        <v>-4.6691891021586371E-2</v>
      </c>
    </row>
    <row r="671" spans="2:6" ht="15" customHeight="1" x14ac:dyDescent="0.3">
      <c r="C671" s="2"/>
      <c r="D671" s="8">
        <v>2023</v>
      </c>
      <c r="E671" s="14">
        <f>Data!L671</f>
        <v>293316000000</v>
      </c>
      <c r="F671" s="12">
        <f t="shared" si="10"/>
        <v>0.17949645929089308</v>
      </c>
    </row>
    <row r="672" spans="2:6" ht="15" customHeight="1" x14ac:dyDescent="0.3">
      <c r="C672" s="2"/>
      <c r="D672" s="8">
        <v>2024</v>
      </c>
      <c r="E672" s="14">
        <f>Data!L672</f>
        <v>302030000000</v>
      </c>
      <c r="F672" s="12">
        <f t="shared" si="10"/>
        <v>2.9708573688445226E-2</v>
      </c>
    </row>
    <row r="673" spans="2:6" ht="15" customHeight="1" x14ac:dyDescent="0.3">
      <c r="B673" s="8">
        <v>62</v>
      </c>
      <c r="C673" s="2" t="s">
        <v>62</v>
      </c>
      <c r="D673" s="8">
        <v>2014</v>
      </c>
      <c r="E673" s="14">
        <f>Data!L673</f>
        <v>0</v>
      </c>
      <c r="F673" s="12">
        <f t="shared" si="10"/>
        <v>-1</v>
      </c>
    </row>
    <row r="674" spans="2:6" ht="15" customHeight="1" x14ac:dyDescent="0.3">
      <c r="C674" s="2"/>
      <c r="D674" s="8">
        <v>2015</v>
      </c>
      <c r="E674" s="14">
        <f>Data!L674</f>
        <v>0</v>
      </c>
      <c r="F674" s="12">
        <f t="shared" si="10"/>
        <v>0</v>
      </c>
    </row>
    <row r="675" spans="2:6" ht="15" customHeight="1" x14ac:dyDescent="0.3">
      <c r="C675" s="2"/>
      <c r="D675" s="8">
        <v>2016</v>
      </c>
      <c r="E675" s="14">
        <f>Data!L675</f>
        <v>0</v>
      </c>
      <c r="F675" s="12">
        <f t="shared" si="10"/>
        <v>0</v>
      </c>
    </row>
    <row r="676" spans="2:6" ht="15" customHeight="1" x14ac:dyDescent="0.3">
      <c r="C676" s="2"/>
      <c r="D676" s="8">
        <v>2017</v>
      </c>
      <c r="E676" s="14">
        <f>Data!L676</f>
        <v>0</v>
      </c>
      <c r="F676" s="12">
        <f t="shared" si="10"/>
        <v>0</v>
      </c>
    </row>
    <row r="677" spans="2:6" ht="15" customHeight="1" x14ac:dyDescent="0.3">
      <c r="C677" s="2"/>
      <c r="D677" s="8">
        <v>2018</v>
      </c>
      <c r="E677" s="14">
        <f>Data!L677</f>
        <v>63456620000</v>
      </c>
      <c r="F677" s="12">
        <f t="shared" si="10"/>
        <v>0</v>
      </c>
    </row>
    <row r="678" spans="2:6" ht="15" customHeight="1" x14ac:dyDescent="0.3">
      <c r="C678" s="2"/>
      <c r="D678" s="8">
        <v>2019</v>
      </c>
      <c r="E678" s="14">
        <f>Data!L678</f>
        <v>75559860000</v>
      </c>
      <c r="F678" s="12">
        <f t="shared" si="10"/>
        <v>0.19073250355912433</v>
      </c>
    </row>
    <row r="679" spans="2:6" ht="15" customHeight="1" x14ac:dyDescent="0.3">
      <c r="C679" s="2"/>
      <c r="D679" s="8">
        <v>2020</v>
      </c>
      <c r="E679" s="14">
        <f>Data!L679</f>
        <v>77902500000</v>
      </c>
      <c r="F679" s="12">
        <f t="shared" si="10"/>
        <v>3.1003763109142872E-2</v>
      </c>
    </row>
    <row r="680" spans="2:6" ht="15" customHeight="1" x14ac:dyDescent="0.3">
      <c r="C680" s="2"/>
      <c r="D680" s="8">
        <v>2021</v>
      </c>
      <c r="E680" s="14">
        <f>Data!L680</f>
        <v>91812520000</v>
      </c>
      <c r="F680" s="12">
        <f t="shared" si="10"/>
        <v>0.17855678572574693</v>
      </c>
    </row>
    <row r="681" spans="2:6" ht="15" customHeight="1" x14ac:dyDescent="0.3">
      <c r="C681" s="2"/>
      <c r="D681" s="8">
        <v>2022</v>
      </c>
      <c r="E681" s="14">
        <f>Data!L681</f>
        <v>109315670000</v>
      </c>
      <c r="F681" s="12">
        <f t="shared" si="10"/>
        <v>0.19064012184830564</v>
      </c>
    </row>
    <row r="682" spans="2:6" ht="15" customHeight="1" x14ac:dyDescent="0.3">
      <c r="C682" s="2"/>
      <c r="D682" s="8">
        <v>2023</v>
      </c>
      <c r="E682" s="14">
        <f>Data!L682</f>
        <v>140013240000</v>
      </c>
      <c r="F682" s="12">
        <f t="shared" si="10"/>
        <v>0.28081582448335174</v>
      </c>
    </row>
    <row r="683" spans="2:6" ht="15" customHeight="1" x14ac:dyDescent="0.3">
      <c r="C683" s="2"/>
      <c r="D683" s="8">
        <v>2024</v>
      </c>
      <c r="E683" s="14">
        <f>Data!L683</f>
        <v>166119960000</v>
      </c>
      <c r="F683" s="12">
        <f t="shared" si="10"/>
        <v>0.18645893774045941</v>
      </c>
    </row>
    <row r="684" spans="2:6" ht="15" customHeight="1" x14ac:dyDescent="0.3">
      <c r="B684" s="8">
        <v>63</v>
      </c>
      <c r="C684" s="2" t="s">
        <v>60</v>
      </c>
      <c r="D684" s="8">
        <v>2014</v>
      </c>
      <c r="E684" s="14">
        <f>Data!L684</f>
        <v>10988151687</v>
      </c>
      <c r="F684" s="12">
        <f t="shared" si="10"/>
        <v>-0.93385411550183373</v>
      </c>
    </row>
    <row r="685" spans="2:6" ht="15" customHeight="1" x14ac:dyDescent="0.3">
      <c r="C685" s="2"/>
      <c r="D685" s="8">
        <v>2015</v>
      </c>
      <c r="E685" s="14">
        <f>Data!L685</f>
        <v>404504466904</v>
      </c>
      <c r="F685" s="12">
        <f t="shared" si="10"/>
        <v>35.812785118589709</v>
      </c>
    </row>
    <row r="686" spans="2:6" ht="15" customHeight="1" x14ac:dyDescent="0.3">
      <c r="C686" s="2"/>
      <c r="D686" s="8">
        <v>2016</v>
      </c>
      <c r="E686" s="14">
        <f>Data!L686</f>
        <v>235728975561</v>
      </c>
      <c r="F686" s="12">
        <f t="shared" si="10"/>
        <v>-0.41724011760556168</v>
      </c>
    </row>
    <row r="687" spans="2:6" ht="15" customHeight="1" x14ac:dyDescent="0.3">
      <c r="C687" s="2"/>
      <c r="D687" s="8">
        <v>2017</v>
      </c>
      <c r="E687" s="14">
        <f>Data!L687</f>
        <v>238883039983</v>
      </c>
      <c r="F687" s="12">
        <f t="shared" si="10"/>
        <v>1.3380045514107014E-2</v>
      </c>
    </row>
    <row r="688" spans="2:6" ht="15" customHeight="1" x14ac:dyDescent="0.3">
      <c r="C688" s="2"/>
      <c r="D688" s="8">
        <v>2018</v>
      </c>
      <c r="E688" s="14">
        <f>Data!L688</f>
        <v>171562632066</v>
      </c>
      <c r="F688" s="12">
        <f t="shared" si="10"/>
        <v>-0.28181325857955769</v>
      </c>
    </row>
    <row r="689" spans="2:6" ht="15" customHeight="1" x14ac:dyDescent="0.3">
      <c r="C689" s="2"/>
      <c r="D689" s="8">
        <v>2019</v>
      </c>
      <c r="E689" s="14">
        <f>Data!L689</f>
        <v>181917321292</v>
      </c>
      <c r="F689" s="12">
        <f t="shared" si="10"/>
        <v>6.035515485689541E-2</v>
      </c>
    </row>
    <row r="690" spans="2:6" ht="15" customHeight="1" x14ac:dyDescent="0.3">
      <c r="C690" s="2"/>
      <c r="D690" s="8">
        <v>2020</v>
      </c>
      <c r="E690" s="14">
        <f>Data!L690</f>
        <v>127647349449</v>
      </c>
      <c r="F690" s="12">
        <f t="shared" si="10"/>
        <v>-0.29832217986482951</v>
      </c>
    </row>
    <row r="691" spans="2:6" ht="15" customHeight="1" x14ac:dyDescent="0.3">
      <c r="C691" s="2"/>
      <c r="D691" s="8">
        <v>2021</v>
      </c>
      <c r="E691" s="14">
        <f>Data!L691</f>
        <v>174162389426</v>
      </c>
      <c r="F691" s="12">
        <f t="shared" si="10"/>
        <v>0.36440270932209634</v>
      </c>
    </row>
    <row r="692" spans="2:6" ht="15" customHeight="1" x14ac:dyDescent="0.3">
      <c r="C692" s="2"/>
      <c r="D692" s="8">
        <v>2022</v>
      </c>
      <c r="E692" s="14">
        <f>Data!L692</f>
        <v>170519596149</v>
      </c>
      <c r="F692" s="12">
        <f t="shared" si="10"/>
        <v>-2.0916073148776988E-2</v>
      </c>
    </row>
    <row r="693" spans="2:6" ht="15" customHeight="1" x14ac:dyDescent="0.3">
      <c r="C693" s="2"/>
      <c r="D693" s="8">
        <v>2023</v>
      </c>
      <c r="E693" s="14">
        <f>Data!L693</f>
        <v>125200905143</v>
      </c>
      <c r="F693" s="12">
        <f t="shared" si="10"/>
        <v>-0.26576822857591414</v>
      </c>
    </row>
    <row r="694" spans="2:6" ht="15" customHeight="1" x14ac:dyDescent="0.3">
      <c r="C694" s="2"/>
      <c r="D694" s="8">
        <v>2024</v>
      </c>
      <c r="E694" s="14">
        <f>Data!L694</f>
        <v>95407000000</v>
      </c>
      <c r="F694" s="12">
        <f t="shared" si="10"/>
        <v>-0.23796876794916511</v>
      </c>
    </row>
    <row r="695" spans="2:6" ht="15" customHeight="1" x14ac:dyDescent="0.3">
      <c r="B695" s="8">
        <v>64</v>
      </c>
      <c r="C695" s="1" t="s">
        <v>131</v>
      </c>
      <c r="D695" s="8">
        <v>2014</v>
      </c>
      <c r="E695" s="14">
        <f>Data!L695</f>
        <v>0</v>
      </c>
      <c r="F695" s="12">
        <f t="shared" si="10"/>
        <v>-1</v>
      </c>
    </row>
    <row r="696" spans="2:6" ht="15" customHeight="1" x14ac:dyDescent="0.3">
      <c r="C696" s="1"/>
      <c r="D696" s="8">
        <v>2015</v>
      </c>
      <c r="E696" s="14">
        <f>Data!L696</f>
        <v>0</v>
      </c>
      <c r="F696" s="12">
        <f t="shared" si="10"/>
        <v>0</v>
      </c>
    </row>
    <row r="697" spans="2:6" ht="15" customHeight="1" x14ac:dyDescent="0.3">
      <c r="C697" s="1"/>
      <c r="D697" s="8">
        <v>2016</v>
      </c>
      <c r="E697" s="14">
        <f>Data!L697</f>
        <v>0</v>
      </c>
      <c r="F697" s="12">
        <f t="shared" si="10"/>
        <v>0</v>
      </c>
    </row>
    <row r="698" spans="2:6" ht="15" customHeight="1" x14ac:dyDescent="0.3">
      <c r="C698" s="1"/>
      <c r="D698" s="8">
        <v>2017</v>
      </c>
      <c r="E698" s="14">
        <f>Data!L698</f>
        <v>410000000</v>
      </c>
      <c r="F698" s="12">
        <f t="shared" si="10"/>
        <v>0</v>
      </c>
    </row>
    <row r="699" spans="2:6" ht="15" customHeight="1" x14ac:dyDescent="0.3">
      <c r="C699" s="1"/>
      <c r="D699" s="8">
        <v>2018</v>
      </c>
      <c r="E699" s="14">
        <f>Data!L699</f>
        <v>218342000000</v>
      </c>
      <c r="F699" s="12">
        <f t="shared" si="10"/>
        <v>531.54146341463411</v>
      </c>
    </row>
    <row r="700" spans="2:6" ht="15" customHeight="1" x14ac:dyDescent="0.3">
      <c r="C700" s="1"/>
      <c r="D700" s="8">
        <v>2019</v>
      </c>
      <c r="E700" s="14">
        <f>Data!L700</f>
        <v>215412000000</v>
      </c>
      <c r="F700" s="12">
        <f t="shared" si="10"/>
        <v>-1.3419314653158806E-2</v>
      </c>
    </row>
    <row r="701" spans="2:6" ht="15" customHeight="1" x14ac:dyDescent="0.3">
      <c r="C701" s="1"/>
      <c r="D701" s="8">
        <v>2020</v>
      </c>
      <c r="E701" s="14">
        <f>Data!L701</f>
        <v>248528000000</v>
      </c>
      <c r="F701" s="12">
        <f t="shared" si="10"/>
        <v>0.15373331105045215</v>
      </c>
    </row>
    <row r="702" spans="2:6" ht="15" customHeight="1" x14ac:dyDescent="0.3">
      <c r="C702" s="1"/>
      <c r="D702" s="8">
        <v>2021</v>
      </c>
      <c r="E702" s="14">
        <f>Data!L702</f>
        <v>359483000000</v>
      </c>
      <c r="F702" s="12">
        <f t="shared" si="10"/>
        <v>0.44644868988604908</v>
      </c>
    </row>
    <row r="703" spans="2:6" ht="15" customHeight="1" x14ac:dyDescent="0.3">
      <c r="C703" s="1"/>
      <c r="D703" s="8">
        <v>2022</v>
      </c>
      <c r="E703" s="14">
        <f>Data!L703</f>
        <v>435833000000</v>
      </c>
      <c r="F703" s="12">
        <f t="shared" si="10"/>
        <v>0.21238834659775288</v>
      </c>
    </row>
    <row r="704" spans="2:6" ht="15" customHeight="1" x14ac:dyDescent="0.3">
      <c r="C704" s="1"/>
      <c r="D704" s="8">
        <v>2023</v>
      </c>
      <c r="E704" s="14">
        <f>Data!L704</f>
        <v>495125000000</v>
      </c>
      <c r="F704" s="12">
        <f t="shared" si="10"/>
        <v>0.13604293387604885</v>
      </c>
    </row>
    <row r="705" spans="2:6" ht="15" customHeight="1" x14ac:dyDescent="0.3">
      <c r="C705" s="1"/>
      <c r="D705" s="8">
        <v>2024</v>
      </c>
      <c r="E705" s="14">
        <f>Data!L705</f>
        <v>489801000000</v>
      </c>
      <c r="F705" s="12">
        <f t="shared" si="10"/>
        <v>-1.0752840191870739E-2</v>
      </c>
    </row>
    <row r="706" spans="2:6" ht="15" customHeight="1" x14ac:dyDescent="0.3">
      <c r="B706" s="8">
        <v>65</v>
      </c>
      <c r="C706" s="2" t="s">
        <v>64</v>
      </c>
      <c r="D706" s="8">
        <v>2014</v>
      </c>
      <c r="E706" s="14">
        <f>Data!L706</f>
        <v>0</v>
      </c>
      <c r="F706" s="12">
        <f t="shared" si="10"/>
        <v>-1</v>
      </c>
    </row>
    <row r="707" spans="2:6" ht="15" customHeight="1" x14ac:dyDescent="0.3">
      <c r="C707" s="2"/>
      <c r="D707" s="8">
        <v>2015</v>
      </c>
      <c r="E707" s="14">
        <f>Data!L707</f>
        <v>0</v>
      </c>
      <c r="F707" s="12">
        <f t="shared" ref="F707:F770" si="11">IFERROR((E707-E706)/E706,0)</f>
        <v>0</v>
      </c>
    </row>
    <row r="708" spans="2:6" ht="15" customHeight="1" x14ac:dyDescent="0.3">
      <c r="C708" s="2"/>
      <c r="D708" s="8">
        <v>2016</v>
      </c>
      <c r="E708" s="14">
        <f>Data!L708</f>
        <v>0</v>
      </c>
      <c r="F708" s="12">
        <f t="shared" si="11"/>
        <v>0</v>
      </c>
    </row>
    <row r="709" spans="2:6" ht="15" customHeight="1" x14ac:dyDescent="0.3">
      <c r="C709" s="2"/>
      <c r="D709" s="8">
        <v>2017</v>
      </c>
      <c r="E709" s="14">
        <f>Data!L709</f>
        <v>0</v>
      </c>
      <c r="F709" s="12">
        <f t="shared" si="11"/>
        <v>0</v>
      </c>
    </row>
    <row r="710" spans="2:6" ht="15" customHeight="1" x14ac:dyDescent="0.3">
      <c r="C710" s="2"/>
      <c r="D710" s="8">
        <v>2018</v>
      </c>
      <c r="E710" s="14">
        <f>Data!L710</f>
        <v>0</v>
      </c>
      <c r="F710" s="12">
        <f t="shared" si="11"/>
        <v>0</v>
      </c>
    </row>
    <row r="711" spans="2:6" ht="15" customHeight="1" x14ac:dyDescent="0.3">
      <c r="C711" s="2"/>
      <c r="D711" s="8">
        <v>2019</v>
      </c>
      <c r="E711" s="14">
        <f>Data!L711</f>
        <v>0</v>
      </c>
      <c r="F711" s="12">
        <f t="shared" si="11"/>
        <v>0</v>
      </c>
    </row>
    <row r="712" spans="2:6" ht="15" customHeight="1" x14ac:dyDescent="0.3">
      <c r="C712" s="2"/>
      <c r="D712" s="8">
        <v>2020</v>
      </c>
      <c r="E712" s="14">
        <f>Data!L712</f>
        <v>0</v>
      </c>
      <c r="F712" s="12">
        <f t="shared" si="11"/>
        <v>0</v>
      </c>
    </row>
    <row r="713" spans="2:6" ht="15" customHeight="1" x14ac:dyDescent="0.3">
      <c r="C713" s="2"/>
      <c r="D713" s="8">
        <v>2021</v>
      </c>
      <c r="E713" s="14">
        <f>Data!L713</f>
        <v>0</v>
      </c>
      <c r="F713" s="12">
        <f t="shared" si="11"/>
        <v>0</v>
      </c>
    </row>
    <row r="714" spans="2:6" ht="15" customHeight="1" x14ac:dyDescent="0.3">
      <c r="C714" s="2"/>
      <c r="D714" s="8">
        <v>2022</v>
      </c>
      <c r="E714" s="14">
        <f>Data!L714</f>
        <v>4270835457000</v>
      </c>
      <c r="F714" s="12">
        <f t="shared" si="11"/>
        <v>0</v>
      </c>
    </row>
    <row r="715" spans="2:6" ht="15" customHeight="1" x14ac:dyDescent="0.3">
      <c r="C715" s="2"/>
      <c r="D715" s="8">
        <v>2023</v>
      </c>
      <c r="E715" s="14">
        <f>Data!L715</f>
        <v>5053588674000</v>
      </c>
      <c r="F715" s="12">
        <f t="shared" si="11"/>
        <v>0.18327871089415282</v>
      </c>
    </row>
    <row r="716" spans="2:6" ht="15" customHeight="1" x14ac:dyDescent="0.3">
      <c r="C716" s="2"/>
      <c r="D716" s="8">
        <v>2024</v>
      </c>
      <c r="E716" s="14">
        <f>Data!L716</f>
        <v>6029133282000</v>
      </c>
      <c r="F716" s="12">
        <f t="shared" si="11"/>
        <v>0.19303997039154358</v>
      </c>
    </row>
    <row r="717" spans="2:6" ht="15" customHeight="1" x14ac:dyDescent="0.3">
      <c r="B717" s="8">
        <v>66</v>
      </c>
      <c r="C717" s="2" t="s">
        <v>67</v>
      </c>
      <c r="D717" s="8">
        <v>2014</v>
      </c>
      <c r="E717" s="14">
        <f>Data!L717</f>
        <v>0</v>
      </c>
      <c r="F717" s="12">
        <f t="shared" si="11"/>
        <v>-1</v>
      </c>
    </row>
    <row r="718" spans="2:6" ht="15" customHeight="1" x14ac:dyDescent="0.3">
      <c r="C718" s="2"/>
      <c r="D718" s="8">
        <v>2015</v>
      </c>
      <c r="E718" s="14">
        <f>Data!L718</f>
        <v>1222390000000</v>
      </c>
      <c r="F718" s="12">
        <f t="shared" si="11"/>
        <v>0</v>
      </c>
    </row>
    <row r="719" spans="2:6" ht="15" customHeight="1" x14ac:dyDescent="0.3">
      <c r="C719" s="2"/>
      <c r="D719" s="8">
        <v>2016</v>
      </c>
      <c r="E719" s="14">
        <f>Data!L719</f>
        <v>1468383000000</v>
      </c>
      <c r="F719" s="12">
        <f t="shared" si="11"/>
        <v>0.20123937532211486</v>
      </c>
    </row>
    <row r="720" spans="2:6" ht="15" customHeight="1" x14ac:dyDescent="0.3">
      <c r="C720" s="2"/>
      <c r="D720" s="8">
        <v>2017</v>
      </c>
      <c r="E720" s="14">
        <f>Data!L720</f>
        <v>1701124000000</v>
      </c>
      <c r="F720" s="12">
        <f t="shared" si="11"/>
        <v>0.15850156260321729</v>
      </c>
    </row>
    <row r="721" spans="2:6" ht="15" customHeight="1" x14ac:dyDescent="0.3">
      <c r="C721" s="2"/>
      <c r="D721" s="8">
        <v>2018</v>
      </c>
      <c r="E721" s="14">
        <f>Data!L721</f>
        <v>1968881000000</v>
      </c>
      <c r="F721" s="12">
        <f t="shared" si="11"/>
        <v>0.15740004843856178</v>
      </c>
    </row>
    <row r="722" spans="2:6" ht="15" customHeight="1" x14ac:dyDescent="0.3">
      <c r="C722" s="2"/>
      <c r="D722" s="8">
        <v>2019</v>
      </c>
      <c r="E722" s="14">
        <f>Data!L722</f>
        <v>1921991000000</v>
      </c>
      <c r="F722" s="12">
        <f t="shared" si="11"/>
        <v>-2.3815558177462223E-2</v>
      </c>
    </row>
    <row r="723" spans="2:6" ht="15" customHeight="1" x14ac:dyDescent="0.3">
      <c r="C723" s="2"/>
      <c r="D723" s="8">
        <v>2020</v>
      </c>
      <c r="E723" s="14">
        <f>Data!L723</f>
        <v>1746255000000</v>
      </c>
      <c r="F723" s="12">
        <f t="shared" si="11"/>
        <v>-9.1434351149407053E-2</v>
      </c>
    </row>
    <row r="724" spans="2:6" ht="15" customHeight="1" x14ac:dyDescent="0.3">
      <c r="C724" s="2"/>
      <c r="D724" s="8">
        <v>2021</v>
      </c>
      <c r="E724" s="14">
        <f>Data!L724</f>
        <v>2461515000000</v>
      </c>
      <c r="F724" s="12">
        <f t="shared" si="11"/>
        <v>0.40959653658829898</v>
      </c>
    </row>
    <row r="725" spans="2:6" ht="15" customHeight="1" x14ac:dyDescent="0.3">
      <c r="C725" s="2"/>
      <c r="D725" s="8">
        <v>2022</v>
      </c>
      <c r="E725" s="14">
        <f>Data!L725</f>
        <v>3322138000000</v>
      </c>
      <c r="F725" s="12">
        <f t="shared" si="11"/>
        <v>0.34963142617453075</v>
      </c>
    </row>
    <row r="726" spans="2:6" ht="15" customHeight="1" x14ac:dyDescent="0.3">
      <c r="C726" s="2"/>
      <c r="D726" s="8">
        <v>2023</v>
      </c>
      <c r="E726" s="14">
        <f>Data!L726</f>
        <v>3533000000000</v>
      </c>
      <c r="F726" s="12">
        <f t="shared" si="11"/>
        <v>6.3471776307907735E-2</v>
      </c>
    </row>
    <row r="727" spans="2:6" ht="15" customHeight="1" x14ac:dyDescent="0.3">
      <c r="C727" s="2"/>
      <c r="D727" s="8">
        <v>2024</v>
      </c>
      <c r="E727" s="14">
        <f>Data!L727</f>
        <v>0</v>
      </c>
      <c r="F727" s="12">
        <f t="shared" si="11"/>
        <v>-1</v>
      </c>
    </row>
    <row r="728" spans="2:6" ht="15" customHeight="1" x14ac:dyDescent="0.3">
      <c r="B728" s="8">
        <v>67</v>
      </c>
      <c r="C728" s="2" t="s">
        <v>68</v>
      </c>
      <c r="D728" s="8">
        <v>2014</v>
      </c>
      <c r="E728" s="14">
        <f>Data!L728</f>
        <v>39242000000</v>
      </c>
      <c r="F728" s="12">
        <f t="shared" si="11"/>
        <v>0</v>
      </c>
    </row>
    <row r="729" spans="2:6" ht="15" customHeight="1" x14ac:dyDescent="0.3">
      <c r="C729" s="2"/>
      <c r="D729" s="8">
        <v>2015</v>
      </c>
      <c r="E729" s="14">
        <f>Data!L729</f>
        <v>51507000000</v>
      </c>
      <c r="F729" s="12">
        <f t="shared" si="11"/>
        <v>0.31254778043932524</v>
      </c>
    </row>
    <row r="730" spans="2:6" ht="15" customHeight="1" x14ac:dyDescent="0.3">
      <c r="C730" s="2"/>
      <c r="D730" s="8">
        <v>2016</v>
      </c>
      <c r="E730" s="14">
        <f>Data!L730</f>
        <v>57130000000</v>
      </c>
      <c r="F730" s="12">
        <f t="shared" si="11"/>
        <v>0.10916962742928146</v>
      </c>
    </row>
    <row r="731" spans="2:6" ht="15" customHeight="1" x14ac:dyDescent="0.3">
      <c r="C731" s="2"/>
      <c r="D731" s="8">
        <v>2017</v>
      </c>
      <c r="E731" s="14">
        <f>Data!L731</f>
        <v>58105990000</v>
      </c>
      <c r="F731" s="12">
        <f t="shared" si="11"/>
        <v>1.7083668825485735E-2</v>
      </c>
    </row>
    <row r="732" spans="2:6" ht="15" customHeight="1" x14ac:dyDescent="0.3">
      <c r="C732" s="2"/>
      <c r="D732" s="8">
        <v>2018</v>
      </c>
      <c r="E732" s="14">
        <f>Data!L732</f>
        <v>59521920000</v>
      </c>
      <c r="F732" s="12">
        <f t="shared" si="11"/>
        <v>2.4368055685825164E-2</v>
      </c>
    </row>
    <row r="733" spans="2:6" ht="15" customHeight="1" x14ac:dyDescent="0.3">
      <c r="C733" s="2"/>
      <c r="D733" s="8">
        <v>2019</v>
      </c>
      <c r="E733" s="14">
        <f>Data!L733</f>
        <v>73231600000</v>
      </c>
      <c r="F733" s="12">
        <f t="shared" si="11"/>
        <v>0.23032993559347548</v>
      </c>
    </row>
    <row r="734" spans="2:6" ht="15" customHeight="1" x14ac:dyDescent="0.3">
      <c r="C734" s="2"/>
      <c r="D734" s="8">
        <v>2020</v>
      </c>
      <c r="E734" s="14">
        <f>Data!L734</f>
        <v>73668170000</v>
      </c>
      <c r="F734" s="12">
        <f t="shared" si="11"/>
        <v>5.9614974956166463E-3</v>
      </c>
    </row>
    <row r="735" spans="2:6" ht="15" customHeight="1" x14ac:dyDescent="0.3">
      <c r="C735" s="2"/>
      <c r="D735" s="8">
        <v>2021</v>
      </c>
      <c r="E735" s="14">
        <f>Data!L735</f>
        <v>64350920000</v>
      </c>
      <c r="F735" s="12">
        <f t="shared" si="11"/>
        <v>-0.12647592576278194</v>
      </c>
    </row>
    <row r="736" spans="2:6" ht="15" customHeight="1" x14ac:dyDescent="0.3">
      <c r="C736" s="2"/>
      <c r="D736" s="8">
        <v>2022</v>
      </c>
      <c r="E736" s="14">
        <f>Data!L736</f>
        <v>87808930000</v>
      </c>
      <c r="F736" s="12">
        <f t="shared" si="11"/>
        <v>0.36453262828254823</v>
      </c>
    </row>
    <row r="737" spans="2:6" ht="15" customHeight="1" x14ac:dyDescent="0.3">
      <c r="C737" s="2"/>
      <c r="D737" s="8">
        <v>2023</v>
      </c>
      <c r="E737" s="14">
        <f>Data!L737</f>
        <v>87695570000</v>
      </c>
      <c r="F737" s="12">
        <f t="shared" si="11"/>
        <v>-1.2909848690788055E-3</v>
      </c>
    </row>
    <row r="738" spans="2:6" ht="15" customHeight="1" x14ac:dyDescent="0.3">
      <c r="C738" s="2"/>
      <c r="D738" s="8">
        <v>2024</v>
      </c>
      <c r="E738" s="14">
        <f>Data!L738</f>
        <v>60089740000</v>
      </c>
      <c r="F738" s="12">
        <f t="shared" si="11"/>
        <v>-0.31479161376110559</v>
      </c>
    </row>
    <row r="739" spans="2:6" ht="15" customHeight="1" x14ac:dyDescent="0.3">
      <c r="B739" s="8">
        <v>68</v>
      </c>
      <c r="C739" s="2" t="s">
        <v>69</v>
      </c>
      <c r="D739" s="8">
        <v>2014</v>
      </c>
      <c r="E739" s="14">
        <f>Data!L739</f>
        <v>1292992000000</v>
      </c>
      <c r="F739" s="12">
        <f t="shared" si="11"/>
        <v>20.517683384884009</v>
      </c>
    </row>
    <row r="740" spans="2:6" ht="15" customHeight="1" x14ac:dyDescent="0.3">
      <c r="C740" s="2"/>
      <c r="D740" s="8">
        <v>2015</v>
      </c>
      <c r="E740" s="14">
        <f>Data!L740</f>
        <v>1378910415000</v>
      </c>
      <c r="F740" s="12">
        <f t="shared" si="11"/>
        <v>6.6449301310448947E-2</v>
      </c>
    </row>
    <row r="741" spans="2:6" ht="15" customHeight="1" x14ac:dyDescent="0.3">
      <c r="C741" s="2"/>
      <c r="D741" s="8">
        <v>2016</v>
      </c>
      <c r="E741" s="14">
        <f>Data!L741</f>
        <v>1318080691000</v>
      </c>
      <c r="F741" s="12">
        <f t="shared" si="11"/>
        <v>-4.4114340814519121E-2</v>
      </c>
    </row>
    <row r="742" spans="2:6" ht="15" customHeight="1" x14ac:dyDescent="0.3">
      <c r="C742" s="2"/>
      <c r="D742" s="8">
        <v>2017</v>
      </c>
      <c r="E742" s="14">
        <f>Data!L742</f>
        <v>1247260864000</v>
      </c>
      <c r="F742" s="12">
        <f t="shared" si="11"/>
        <v>-5.3729507975927099E-2</v>
      </c>
    </row>
    <row r="743" spans="2:6" ht="15" customHeight="1" x14ac:dyDescent="0.3">
      <c r="C743" s="2"/>
      <c r="D743" s="8">
        <v>2018</v>
      </c>
      <c r="E743" s="14">
        <f>Data!L743</f>
        <v>1217339878000</v>
      </c>
      <c r="F743" s="12">
        <f t="shared" si="11"/>
        <v>-2.3989356888856894E-2</v>
      </c>
    </row>
    <row r="744" spans="2:6" ht="15" customHeight="1" x14ac:dyDescent="0.3">
      <c r="C744" s="2"/>
      <c r="D744" s="8">
        <v>2019</v>
      </c>
      <c r="E744" s="14">
        <f>Data!L744</f>
        <v>1094421461000</v>
      </c>
      <c r="F744" s="12">
        <f t="shared" si="11"/>
        <v>-0.10097296508674794</v>
      </c>
    </row>
    <row r="745" spans="2:6" ht="15" customHeight="1" x14ac:dyDescent="0.3">
      <c r="C745" s="2"/>
      <c r="D745" s="8">
        <v>2020</v>
      </c>
      <c r="E745" s="14">
        <f>Data!L745</f>
        <v>903418454000</v>
      </c>
      <c r="F745" s="12">
        <f t="shared" si="11"/>
        <v>-0.17452417903563022</v>
      </c>
    </row>
    <row r="746" spans="2:6" ht="15" customHeight="1" x14ac:dyDescent="0.3">
      <c r="C746" s="2"/>
      <c r="D746" s="8">
        <v>2021</v>
      </c>
      <c r="E746" s="14">
        <f>Data!L746</f>
        <v>777394503000</v>
      </c>
      <c r="F746" s="12">
        <f t="shared" si="11"/>
        <v>-0.13949676414292064</v>
      </c>
    </row>
    <row r="747" spans="2:6" ht="15" customHeight="1" x14ac:dyDescent="0.3">
      <c r="C747" s="2"/>
      <c r="D747" s="8">
        <v>2022</v>
      </c>
      <c r="E747" s="14">
        <f>Data!L747</f>
        <v>738132307000</v>
      </c>
      <c r="F747" s="12">
        <f t="shared" si="11"/>
        <v>-5.0504854161542739E-2</v>
      </c>
    </row>
    <row r="748" spans="2:6" ht="15" customHeight="1" x14ac:dyDescent="0.3">
      <c r="C748" s="2"/>
      <c r="D748" s="8">
        <v>2023</v>
      </c>
      <c r="E748" s="14">
        <f>Data!L748</f>
        <v>855193929000</v>
      </c>
      <c r="F748" s="12">
        <f t="shared" si="11"/>
        <v>0.15859165205188613</v>
      </c>
    </row>
    <row r="749" spans="2:6" ht="15" customHeight="1" x14ac:dyDescent="0.3">
      <c r="C749" s="2"/>
      <c r="D749" s="8">
        <v>2024</v>
      </c>
      <c r="E749" s="14">
        <f>Data!L749</f>
        <v>916057920000</v>
      </c>
      <c r="F749" s="12">
        <f t="shared" si="11"/>
        <v>7.1169811824050022E-2</v>
      </c>
    </row>
    <row r="750" spans="2:6" ht="15" customHeight="1" x14ac:dyDescent="0.3">
      <c r="B750" s="8">
        <v>69</v>
      </c>
      <c r="C750" s="2" t="s">
        <v>70</v>
      </c>
      <c r="D750" s="8">
        <v>2014</v>
      </c>
      <c r="E750" s="14">
        <f>Data!L750</f>
        <v>0</v>
      </c>
      <c r="F750" s="12">
        <f t="shared" si="11"/>
        <v>-1</v>
      </c>
    </row>
    <row r="751" spans="2:6" ht="15" customHeight="1" x14ac:dyDescent="0.3">
      <c r="C751" s="2"/>
      <c r="D751" s="8">
        <v>2015</v>
      </c>
      <c r="E751" s="14">
        <f>Data!L751</f>
        <v>0</v>
      </c>
      <c r="F751" s="12">
        <f t="shared" si="11"/>
        <v>0</v>
      </c>
    </row>
    <row r="752" spans="2:6" ht="15" customHeight="1" x14ac:dyDescent="0.3">
      <c r="C752" s="2"/>
      <c r="D752" s="8">
        <v>2016</v>
      </c>
      <c r="E752" s="14">
        <f>Data!L752</f>
        <v>0</v>
      </c>
      <c r="F752" s="12">
        <f t="shared" si="11"/>
        <v>0</v>
      </c>
    </row>
    <row r="753" spans="2:6" ht="15" customHeight="1" x14ac:dyDescent="0.3">
      <c r="C753" s="2"/>
      <c r="D753" s="8">
        <v>2017</v>
      </c>
      <c r="E753" s="14">
        <f>Data!L753</f>
        <v>80430400000</v>
      </c>
      <c r="F753" s="12">
        <f t="shared" si="11"/>
        <v>0</v>
      </c>
    </row>
    <row r="754" spans="2:6" ht="15" customHeight="1" x14ac:dyDescent="0.3">
      <c r="C754" s="2"/>
      <c r="D754" s="8">
        <v>2018</v>
      </c>
      <c r="E754" s="14">
        <f>Data!L754</f>
        <v>93442490000</v>
      </c>
      <c r="F754" s="12">
        <f t="shared" si="11"/>
        <v>0.16178074459408384</v>
      </c>
    </row>
    <row r="755" spans="2:6" ht="15" customHeight="1" x14ac:dyDescent="0.3">
      <c r="C755" s="2"/>
      <c r="D755" s="8">
        <v>2019</v>
      </c>
      <c r="E755" s="14">
        <f>Data!L755</f>
        <v>104586650000</v>
      </c>
      <c r="F755" s="12">
        <f t="shared" si="11"/>
        <v>0.11926223284503655</v>
      </c>
    </row>
    <row r="756" spans="2:6" ht="15" customHeight="1" x14ac:dyDescent="0.3">
      <c r="C756" s="2"/>
      <c r="D756" s="8">
        <v>2020</v>
      </c>
      <c r="E756" s="14">
        <f>Data!L756</f>
        <v>105562400000</v>
      </c>
      <c r="F756" s="12">
        <f t="shared" si="11"/>
        <v>9.3295846075957117E-3</v>
      </c>
    </row>
    <row r="757" spans="2:6" ht="15" customHeight="1" x14ac:dyDescent="0.3">
      <c r="C757" s="2"/>
      <c r="D757" s="8">
        <v>2021</v>
      </c>
      <c r="E757" s="14">
        <f>Data!L757</f>
        <v>89587500000</v>
      </c>
      <c r="F757" s="12">
        <f t="shared" si="11"/>
        <v>-0.1513313452517184</v>
      </c>
    </row>
    <row r="758" spans="2:6" ht="15" customHeight="1" x14ac:dyDescent="0.3">
      <c r="C758" s="2"/>
      <c r="D758" s="8">
        <v>2022</v>
      </c>
      <c r="E758" s="14">
        <f>Data!L758</f>
        <v>140140960000</v>
      </c>
      <c r="F758" s="12">
        <f t="shared" si="11"/>
        <v>0.5642914469094461</v>
      </c>
    </row>
    <row r="759" spans="2:6" ht="15" customHeight="1" x14ac:dyDescent="0.3">
      <c r="C759" s="2"/>
      <c r="D759" s="8">
        <v>2023</v>
      </c>
      <c r="E759" s="14">
        <f>Data!L759</f>
        <v>143645160000</v>
      </c>
      <c r="F759" s="12">
        <f t="shared" si="11"/>
        <v>2.5004823714637033E-2</v>
      </c>
    </row>
    <row r="760" spans="2:6" ht="15" customHeight="1" x14ac:dyDescent="0.3">
      <c r="C760" s="2"/>
      <c r="D760" s="8">
        <v>2024</v>
      </c>
      <c r="E760" s="14">
        <f>Data!L760</f>
        <v>182014100000</v>
      </c>
      <c r="F760" s="12">
        <f t="shared" si="11"/>
        <v>0.26710917374452436</v>
      </c>
    </row>
    <row r="761" spans="2:6" ht="15" customHeight="1" x14ac:dyDescent="0.3">
      <c r="B761" s="8">
        <v>70</v>
      </c>
      <c r="C761" s="2" t="s">
        <v>71</v>
      </c>
      <c r="D761" s="8">
        <v>2014</v>
      </c>
      <c r="E761" s="14">
        <f>Data!L761</f>
        <v>131940785000</v>
      </c>
      <c r="F761" s="12">
        <f t="shared" si="11"/>
        <v>-0.27510679117716702</v>
      </c>
    </row>
    <row r="762" spans="2:6" ht="15" customHeight="1" x14ac:dyDescent="0.3">
      <c r="C762" s="2"/>
      <c r="D762" s="8">
        <v>2015</v>
      </c>
      <c r="E762" s="14">
        <f>Data!L762</f>
        <v>176303360000</v>
      </c>
      <c r="F762" s="12">
        <f t="shared" si="11"/>
        <v>0.33623094632944622</v>
      </c>
    </row>
    <row r="763" spans="2:6" ht="15" customHeight="1" x14ac:dyDescent="0.3">
      <c r="C763" s="2"/>
      <c r="D763" s="8">
        <v>2016</v>
      </c>
      <c r="E763" s="14">
        <f>Data!L763</f>
        <v>202273834000</v>
      </c>
      <c r="F763" s="12">
        <f t="shared" si="11"/>
        <v>0.14730561005757351</v>
      </c>
    </row>
    <row r="764" spans="2:6" ht="15" customHeight="1" x14ac:dyDescent="0.3">
      <c r="C764" s="2"/>
      <c r="D764" s="8">
        <v>2017</v>
      </c>
      <c r="E764" s="14">
        <f>Data!L764</f>
        <v>226042676000</v>
      </c>
      <c r="F764" s="12">
        <f t="shared" si="11"/>
        <v>0.11750823885604501</v>
      </c>
    </row>
    <row r="765" spans="2:6" ht="15" customHeight="1" x14ac:dyDescent="0.3">
      <c r="C765" s="2"/>
      <c r="D765" s="8">
        <v>2018</v>
      </c>
      <c r="E765" s="14">
        <f>Data!L765</f>
        <v>264899142000</v>
      </c>
      <c r="F765" s="12">
        <f t="shared" si="11"/>
        <v>0.17189880551582215</v>
      </c>
    </row>
    <row r="766" spans="2:6" ht="15" customHeight="1" x14ac:dyDescent="0.3">
      <c r="C766" s="2"/>
      <c r="D766" s="8">
        <v>2019</v>
      </c>
      <c r="E766" s="14">
        <f>Data!L766</f>
        <v>250804486000</v>
      </c>
      <c r="F766" s="12">
        <f t="shared" si="11"/>
        <v>-5.3207631755938269E-2</v>
      </c>
    </row>
    <row r="767" spans="2:6" ht="15" customHeight="1" x14ac:dyDescent="0.3">
      <c r="C767" s="2"/>
      <c r="D767" s="8">
        <v>2020</v>
      </c>
      <c r="E767" s="14">
        <f>Data!L767</f>
        <v>231470118000</v>
      </c>
      <c r="F767" s="12">
        <f t="shared" si="11"/>
        <v>-7.7089402619377384E-2</v>
      </c>
    </row>
    <row r="768" spans="2:6" ht="15" customHeight="1" x14ac:dyDescent="0.3">
      <c r="C768" s="2"/>
      <c r="D768" s="8">
        <v>2021</v>
      </c>
      <c r="E768" s="14">
        <f>Data!L768</f>
        <v>205396484000</v>
      </c>
      <c r="F768" s="12">
        <f t="shared" si="11"/>
        <v>-0.1126436285827616</v>
      </c>
    </row>
    <row r="769" spans="2:6" ht="15" customHeight="1" x14ac:dyDescent="0.3">
      <c r="C769" s="2"/>
      <c r="D769" s="8">
        <v>2022</v>
      </c>
      <c r="E769" s="14">
        <f>Data!L769</f>
        <v>223493529000</v>
      </c>
      <c r="F769" s="12">
        <f t="shared" si="11"/>
        <v>8.8107861671088777E-2</v>
      </c>
    </row>
    <row r="770" spans="2:6" ht="15" customHeight="1" x14ac:dyDescent="0.3">
      <c r="C770" s="2"/>
      <c r="D770" s="8">
        <v>2023</v>
      </c>
      <c r="E770" s="14">
        <f>Data!L770</f>
        <v>186592956000</v>
      </c>
      <c r="F770" s="12">
        <f t="shared" si="11"/>
        <v>-0.16510801527501945</v>
      </c>
    </row>
    <row r="771" spans="2:6" ht="15" customHeight="1" x14ac:dyDescent="0.3">
      <c r="C771" s="2"/>
      <c r="D771" s="8">
        <v>2024</v>
      </c>
      <c r="E771" s="14">
        <f>Data!L771</f>
        <v>165551135000</v>
      </c>
      <c r="F771" s="12">
        <f t="shared" ref="F771:F834" si="12">IFERROR((E771-E770)/E770,0)</f>
        <v>-0.11276857096363273</v>
      </c>
    </row>
    <row r="772" spans="2:6" ht="15" customHeight="1" x14ac:dyDescent="0.3">
      <c r="B772" s="8">
        <v>71</v>
      </c>
      <c r="C772" s="2" t="s">
        <v>73</v>
      </c>
      <c r="D772" s="8">
        <v>2014</v>
      </c>
      <c r="E772" s="14">
        <f>Data!L772</f>
        <v>128874000000</v>
      </c>
      <c r="F772" s="12">
        <f t="shared" si="12"/>
        <v>-0.2215456571771616</v>
      </c>
    </row>
    <row r="773" spans="2:6" ht="15" customHeight="1" x14ac:dyDescent="0.3">
      <c r="C773" s="2"/>
      <c r="D773" s="8">
        <v>2015</v>
      </c>
      <c r="E773" s="14">
        <f>Data!L773</f>
        <v>131281000000</v>
      </c>
      <c r="F773" s="12">
        <f t="shared" si="12"/>
        <v>1.8677157533715103E-2</v>
      </c>
    </row>
    <row r="774" spans="2:6" ht="15" customHeight="1" x14ac:dyDescent="0.3">
      <c r="C774" s="2"/>
      <c r="D774" s="8">
        <v>2016</v>
      </c>
      <c r="E774" s="14">
        <f>Data!L774</f>
        <v>141786000000</v>
      </c>
      <c r="F774" s="12">
        <f t="shared" si="12"/>
        <v>8.0019195466213694E-2</v>
      </c>
    </row>
    <row r="775" spans="2:6" ht="15" customHeight="1" x14ac:dyDescent="0.3">
      <c r="C775" s="2"/>
      <c r="D775" s="8">
        <v>2017</v>
      </c>
      <c r="E775" s="14">
        <f>Data!L775</f>
        <v>146978000000</v>
      </c>
      <c r="F775" s="12">
        <f t="shared" si="12"/>
        <v>3.6618566007927442E-2</v>
      </c>
    </row>
    <row r="776" spans="2:6" ht="15" customHeight="1" x14ac:dyDescent="0.3">
      <c r="C776" s="2"/>
      <c r="D776" s="8">
        <v>2018</v>
      </c>
      <c r="E776" s="14">
        <f>Data!L776</f>
        <v>156403000000</v>
      </c>
      <c r="F776" s="12">
        <f t="shared" si="12"/>
        <v>6.4125243233681226E-2</v>
      </c>
    </row>
    <row r="777" spans="2:6" ht="15" customHeight="1" x14ac:dyDescent="0.3">
      <c r="C777" s="2"/>
      <c r="D777" s="8">
        <v>2019</v>
      </c>
      <c r="E777" s="14">
        <f>Data!L777</f>
        <v>168383000000</v>
      </c>
      <c r="F777" s="12">
        <f t="shared" si="12"/>
        <v>7.6596996221300104E-2</v>
      </c>
    </row>
    <row r="778" spans="2:6" ht="15" customHeight="1" x14ac:dyDescent="0.3">
      <c r="C778" s="2"/>
      <c r="D778" s="8">
        <v>2020</v>
      </c>
      <c r="E778" s="14">
        <f>Data!L778</f>
        <v>164859000000</v>
      </c>
      <c r="F778" s="12">
        <f t="shared" si="12"/>
        <v>-2.0928478528117446E-2</v>
      </c>
    </row>
    <row r="779" spans="2:6" ht="15" customHeight="1" x14ac:dyDescent="0.3">
      <c r="C779" s="2"/>
      <c r="D779" s="8">
        <v>2021</v>
      </c>
      <c r="E779" s="14">
        <f>Data!L779</f>
        <v>163692000000</v>
      </c>
      <c r="F779" s="12">
        <f t="shared" si="12"/>
        <v>-7.0787764089312684E-3</v>
      </c>
    </row>
    <row r="780" spans="2:6" ht="15" customHeight="1" x14ac:dyDescent="0.3">
      <c r="C780" s="2"/>
      <c r="D780" s="8">
        <v>2022</v>
      </c>
      <c r="E780" s="14">
        <f>Data!L780</f>
        <v>169503000000</v>
      </c>
      <c r="F780" s="12">
        <f t="shared" si="12"/>
        <v>3.5499596803753392E-2</v>
      </c>
    </row>
    <row r="781" spans="2:6" ht="15" customHeight="1" x14ac:dyDescent="0.3">
      <c r="C781" s="2"/>
      <c r="D781" s="8">
        <v>2023</v>
      </c>
      <c r="E781" s="14">
        <f>Data!L781</f>
        <v>180773000000</v>
      </c>
      <c r="F781" s="12">
        <f t="shared" si="12"/>
        <v>6.6488498728636075E-2</v>
      </c>
    </row>
    <row r="782" spans="2:6" ht="15" customHeight="1" x14ac:dyDescent="0.3">
      <c r="C782" s="2"/>
      <c r="D782" s="8">
        <v>2024</v>
      </c>
      <c r="E782" s="14">
        <f>Data!L782</f>
        <v>182263000000</v>
      </c>
      <c r="F782" s="12">
        <f t="shared" si="12"/>
        <v>8.24238132907016E-3</v>
      </c>
    </row>
    <row r="783" spans="2:6" ht="15" customHeight="1" x14ac:dyDescent="0.3">
      <c r="B783" s="8">
        <v>72</v>
      </c>
      <c r="C783" s="2" t="s">
        <v>75</v>
      </c>
      <c r="D783" s="8">
        <v>2014</v>
      </c>
      <c r="E783" s="14">
        <f>Data!L783</f>
        <v>8492000000</v>
      </c>
      <c r="F783" s="12">
        <f t="shared" si="12"/>
        <v>-0.9534079873589264</v>
      </c>
    </row>
    <row r="784" spans="2:6" ht="15" customHeight="1" x14ac:dyDescent="0.3">
      <c r="C784" s="2"/>
      <c r="D784" s="8">
        <v>2015</v>
      </c>
      <c r="E784" s="14">
        <f>Data!L784</f>
        <v>79099000000</v>
      </c>
      <c r="F784" s="12">
        <f t="shared" si="12"/>
        <v>8.3145313235986809</v>
      </c>
    </row>
    <row r="785" spans="2:6" ht="15" customHeight="1" x14ac:dyDescent="0.3">
      <c r="C785" s="2"/>
      <c r="D785" s="8">
        <v>2016</v>
      </c>
      <c r="E785" s="14">
        <f>Data!L785</f>
        <v>225764000000</v>
      </c>
      <c r="F785" s="12">
        <f t="shared" si="12"/>
        <v>1.8541953754156184</v>
      </c>
    </row>
    <row r="786" spans="2:6" ht="15" customHeight="1" x14ac:dyDescent="0.3">
      <c r="C786" s="2"/>
      <c r="D786" s="8">
        <v>2017</v>
      </c>
      <c r="E786" s="14">
        <f>Data!L786</f>
        <v>335012000000</v>
      </c>
      <c r="F786" s="12">
        <f t="shared" si="12"/>
        <v>0.48390354529508689</v>
      </c>
    </row>
    <row r="787" spans="2:6" ht="15" customHeight="1" x14ac:dyDescent="0.3">
      <c r="C787" s="2"/>
      <c r="D787" s="8">
        <v>2018</v>
      </c>
      <c r="E787" s="14">
        <f>Data!L787</f>
        <v>476292000000</v>
      </c>
      <c r="F787" s="12">
        <f t="shared" si="12"/>
        <v>0.42171623703031536</v>
      </c>
    </row>
    <row r="788" spans="2:6" ht="15" customHeight="1" x14ac:dyDescent="0.3">
      <c r="C788" s="2"/>
      <c r="D788" s="8">
        <v>2019</v>
      </c>
      <c r="E788" s="14">
        <f>Data!L788</f>
        <v>502179000000</v>
      </c>
      <c r="F788" s="12">
        <f t="shared" si="12"/>
        <v>5.4351112342848507E-2</v>
      </c>
    </row>
    <row r="789" spans="2:6" ht="15" customHeight="1" x14ac:dyDescent="0.3">
      <c r="C789" s="2"/>
      <c r="D789" s="8">
        <v>2020</v>
      </c>
      <c r="E789" s="14">
        <f>Data!L789</f>
        <v>373156000000</v>
      </c>
      <c r="F789" s="12">
        <f t="shared" si="12"/>
        <v>-0.25692631511871267</v>
      </c>
    </row>
    <row r="790" spans="2:6" ht="15" customHeight="1" x14ac:dyDescent="0.3">
      <c r="C790" s="2"/>
      <c r="D790" s="8">
        <v>2021</v>
      </c>
      <c r="E790" s="14">
        <f>Data!L790</f>
        <v>391331000000</v>
      </c>
      <c r="F790" s="12">
        <f t="shared" si="12"/>
        <v>4.8706171145579867E-2</v>
      </c>
    </row>
    <row r="791" spans="2:6" ht="15" customHeight="1" x14ac:dyDescent="0.3">
      <c r="C791" s="2"/>
      <c r="D791" s="8">
        <v>2022</v>
      </c>
      <c r="E791" s="14">
        <f>Data!L791</f>
        <v>445137000000</v>
      </c>
      <c r="F791" s="12">
        <f t="shared" si="12"/>
        <v>0.1374948572947198</v>
      </c>
    </row>
    <row r="792" spans="2:6" ht="15" customHeight="1" x14ac:dyDescent="0.3">
      <c r="C792" s="2"/>
      <c r="D792" s="8">
        <v>2023</v>
      </c>
      <c r="E792" s="14">
        <f>Data!L792</f>
        <v>493673000000</v>
      </c>
      <c r="F792" s="12">
        <f t="shared" si="12"/>
        <v>0.10903609450573644</v>
      </c>
    </row>
    <row r="793" spans="2:6" ht="15" customHeight="1" x14ac:dyDescent="0.3">
      <c r="C793" s="2"/>
      <c r="D793" s="8">
        <v>2024</v>
      </c>
      <c r="E793" s="14">
        <f>Data!L793</f>
        <v>505519000000</v>
      </c>
      <c r="F793" s="12">
        <f t="shared" si="12"/>
        <v>2.3995640839178971E-2</v>
      </c>
    </row>
    <row r="794" spans="2:6" ht="15" customHeight="1" x14ac:dyDescent="0.3">
      <c r="B794" s="8">
        <v>73</v>
      </c>
      <c r="C794" s="2" t="s">
        <v>96</v>
      </c>
      <c r="D794" s="8">
        <v>2014</v>
      </c>
      <c r="E794" s="14">
        <f>Data!L794</f>
        <v>0</v>
      </c>
      <c r="F794" s="12">
        <f t="shared" si="12"/>
        <v>-1</v>
      </c>
    </row>
    <row r="795" spans="2:6" ht="15" customHeight="1" x14ac:dyDescent="0.3">
      <c r="C795" s="2"/>
      <c r="D795" s="8">
        <v>2015</v>
      </c>
      <c r="E795" s="14">
        <f>Data!L795</f>
        <v>0</v>
      </c>
      <c r="F795" s="12">
        <f t="shared" si="12"/>
        <v>0</v>
      </c>
    </row>
    <row r="796" spans="2:6" ht="15" customHeight="1" x14ac:dyDescent="0.3">
      <c r="C796" s="2"/>
      <c r="D796" s="8">
        <v>2016</v>
      </c>
      <c r="E796" s="14">
        <f>Data!L796</f>
        <v>0</v>
      </c>
      <c r="F796" s="12">
        <f t="shared" si="12"/>
        <v>0</v>
      </c>
    </row>
    <row r="797" spans="2:6" ht="15" customHeight="1" x14ac:dyDescent="0.3">
      <c r="C797" s="2"/>
      <c r="D797" s="8">
        <v>2017</v>
      </c>
      <c r="E797" s="14">
        <f>Data!L797</f>
        <v>0</v>
      </c>
      <c r="F797" s="12">
        <f t="shared" si="12"/>
        <v>0</v>
      </c>
    </row>
    <row r="798" spans="2:6" ht="15" customHeight="1" x14ac:dyDescent="0.3">
      <c r="C798" s="2"/>
      <c r="D798" s="8">
        <v>2018</v>
      </c>
      <c r="E798" s="14">
        <f>Data!L798</f>
        <v>0</v>
      </c>
      <c r="F798" s="12">
        <f t="shared" si="12"/>
        <v>0</v>
      </c>
    </row>
    <row r="799" spans="2:6" ht="15" customHeight="1" x14ac:dyDescent="0.3">
      <c r="C799" s="2"/>
      <c r="D799" s="8">
        <v>2019</v>
      </c>
      <c r="E799" s="14">
        <f>Data!L799</f>
        <v>0</v>
      </c>
      <c r="F799" s="12">
        <f t="shared" si="12"/>
        <v>0</v>
      </c>
    </row>
    <row r="800" spans="2:6" ht="15" customHeight="1" x14ac:dyDescent="0.3">
      <c r="C800" s="2"/>
      <c r="D800" s="8">
        <v>2020</v>
      </c>
      <c r="E800" s="14">
        <f>Data!L800</f>
        <v>7462000000</v>
      </c>
      <c r="F800" s="12">
        <f t="shared" si="12"/>
        <v>0</v>
      </c>
    </row>
    <row r="801" spans="2:6" ht="15" customHeight="1" x14ac:dyDescent="0.3">
      <c r="C801" s="2"/>
      <c r="D801" s="8">
        <v>2021</v>
      </c>
      <c r="E801" s="14">
        <f>Data!L801</f>
        <v>45463000000</v>
      </c>
      <c r="F801" s="12">
        <f t="shared" si="12"/>
        <v>5.0926025194317877</v>
      </c>
    </row>
    <row r="802" spans="2:6" ht="15" customHeight="1" x14ac:dyDescent="0.3">
      <c r="C802" s="2"/>
      <c r="D802" s="8">
        <v>2022</v>
      </c>
      <c r="E802" s="14">
        <f>Data!L802</f>
        <v>80669000000</v>
      </c>
      <c r="F802" s="12">
        <f t="shared" si="12"/>
        <v>0.77438796383872599</v>
      </c>
    </row>
    <row r="803" spans="2:6" ht="15" customHeight="1" x14ac:dyDescent="0.3">
      <c r="C803" s="2"/>
      <c r="D803" s="8">
        <v>2023</v>
      </c>
      <c r="E803" s="14">
        <f>Data!L803</f>
        <v>102085000000</v>
      </c>
      <c r="F803" s="12">
        <f t="shared" si="12"/>
        <v>0.26547992413442584</v>
      </c>
    </row>
    <row r="804" spans="2:6" ht="15" customHeight="1" x14ac:dyDescent="0.3">
      <c r="C804" s="2"/>
      <c r="D804" s="8">
        <v>2024</v>
      </c>
      <c r="E804" s="14">
        <f>Data!L804</f>
        <v>124463000000</v>
      </c>
      <c r="F804" s="12">
        <f t="shared" si="12"/>
        <v>0.21920948229416662</v>
      </c>
    </row>
    <row r="805" spans="2:6" ht="15" customHeight="1" x14ac:dyDescent="0.3">
      <c r="B805" s="8">
        <v>74</v>
      </c>
      <c r="C805" s="2" t="s">
        <v>76</v>
      </c>
      <c r="D805" s="8">
        <v>2014</v>
      </c>
      <c r="E805" s="14">
        <f>Data!L805</f>
        <v>1240901000000</v>
      </c>
      <c r="F805" s="12">
        <f t="shared" si="12"/>
        <v>8.9700392887846192</v>
      </c>
    </row>
    <row r="806" spans="2:6" ht="15" customHeight="1" x14ac:dyDescent="0.3">
      <c r="C806" s="2"/>
      <c r="D806" s="8">
        <v>2015</v>
      </c>
      <c r="E806" s="14">
        <f>Data!L806</f>
        <v>1335665000000</v>
      </c>
      <c r="F806" s="12">
        <f t="shared" si="12"/>
        <v>7.6367091331218204E-2</v>
      </c>
    </row>
    <row r="807" spans="2:6" ht="15" customHeight="1" x14ac:dyDescent="0.3">
      <c r="C807" s="2"/>
      <c r="D807" s="8">
        <v>2016</v>
      </c>
      <c r="E807" s="14">
        <f>Data!L807</f>
        <v>1268484000000</v>
      </c>
      <c r="F807" s="12">
        <f t="shared" si="12"/>
        <v>-5.0297791736700445E-2</v>
      </c>
    </row>
    <row r="808" spans="2:6" ht="15" customHeight="1" x14ac:dyDescent="0.3">
      <c r="C808" s="2"/>
      <c r="D808" s="8">
        <v>2017</v>
      </c>
      <c r="E808" s="14">
        <f>Data!L808</f>
        <v>1132021000000</v>
      </c>
      <c r="F808" s="12">
        <f t="shared" si="12"/>
        <v>-0.10757959895434235</v>
      </c>
    </row>
    <row r="809" spans="2:6" ht="15" customHeight="1" x14ac:dyDescent="0.3">
      <c r="C809" s="2"/>
      <c r="D809" s="8">
        <v>2018</v>
      </c>
      <c r="E809" s="14">
        <f>Data!L809</f>
        <v>1306016000000</v>
      </c>
      <c r="F809" s="12">
        <f t="shared" si="12"/>
        <v>0.15370297900833996</v>
      </c>
    </row>
    <row r="810" spans="2:6" ht="15" customHeight="1" x14ac:dyDescent="0.3">
      <c r="C810" s="2"/>
      <c r="D810" s="8">
        <v>2019</v>
      </c>
      <c r="E810" s="14">
        <f>Data!L810</f>
        <v>1409957000000</v>
      </c>
      <c r="F810" s="12">
        <f t="shared" si="12"/>
        <v>7.9586314409624381E-2</v>
      </c>
    </row>
    <row r="811" spans="2:6" ht="15" customHeight="1" x14ac:dyDescent="0.3">
      <c r="C811" s="2"/>
      <c r="D811" s="8">
        <v>2020</v>
      </c>
      <c r="E811" s="14">
        <f>Data!L811</f>
        <v>1277144000000</v>
      </c>
      <c r="F811" s="12">
        <f t="shared" si="12"/>
        <v>-9.4196489680181739E-2</v>
      </c>
    </row>
    <row r="812" spans="2:6" ht="15" customHeight="1" x14ac:dyDescent="0.3">
      <c r="C812" s="2"/>
      <c r="D812" s="8">
        <v>2021</v>
      </c>
      <c r="E812" s="14">
        <f>Data!L812</f>
        <v>1156314000000</v>
      </c>
      <c r="F812" s="12">
        <f t="shared" si="12"/>
        <v>-9.4609535025024588E-2</v>
      </c>
    </row>
    <row r="813" spans="2:6" ht="15" customHeight="1" x14ac:dyDescent="0.3">
      <c r="C813" s="2"/>
      <c r="D813" s="8">
        <v>2022</v>
      </c>
      <c r="E813" s="14">
        <f>Data!L813</f>
        <v>1221082000000</v>
      </c>
      <c r="F813" s="12">
        <f t="shared" si="12"/>
        <v>5.6012467201815422E-2</v>
      </c>
    </row>
    <row r="814" spans="2:6" ht="15" customHeight="1" x14ac:dyDescent="0.3">
      <c r="C814" s="2"/>
      <c r="D814" s="8">
        <v>2023</v>
      </c>
      <c r="E814" s="14">
        <f>Data!L814</f>
        <v>1439078000000</v>
      </c>
      <c r="F814" s="12">
        <f t="shared" si="12"/>
        <v>0.17852691301648865</v>
      </c>
    </row>
    <row r="815" spans="2:6" ht="15" customHeight="1" x14ac:dyDescent="0.3">
      <c r="C815" s="2"/>
      <c r="D815" s="8">
        <v>2024</v>
      </c>
      <c r="E815" s="14">
        <f>Data!L815</f>
        <v>1560311000000</v>
      </c>
      <c r="F815" s="12">
        <f t="shared" si="12"/>
        <v>8.4243522588768646E-2</v>
      </c>
    </row>
    <row r="816" spans="2:6" ht="15" customHeight="1" x14ac:dyDescent="0.3">
      <c r="B816" s="8">
        <v>75</v>
      </c>
      <c r="C816" s="1" t="s">
        <v>130</v>
      </c>
      <c r="D816" s="8">
        <v>2014</v>
      </c>
      <c r="E816" s="14">
        <f>Data!L816</f>
        <v>0</v>
      </c>
      <c r="F816" s="12">
        <f t="shared" si="12"/>
        <v>-1</v>
      </c>
    </row>
    <row r="817" spans="2:6" ht="15" customHeight="1" x14ac:dyDescent="0.3">
      <c r="C817" s="1"/>
      <c r="D817" s="8">
        <v>2015</v>
      </c>
      <c r="E817" s="14">
        <f>Data!L817</f>
        <v>0</v>
      </c>
      <c r="F817" s="12">
        <f t="shared" si="12"/>
        <v>0</v>
      </c>
    </row>
    <row r="818" spans="2:6" ht="15" customHeight="1" x14ac:dyDescent="0.3">
      <c r="C818" s="1"/>
      <c r="D818" s="8">
        <v>2016</v>
      </c>
      <c r="E818" s="14">
        <f>Data!L818</f>
        <v>0</v>
      </c>
      <c r="F818" s="12">
        <f t="shared" si="12"/>
        <v>0</v>
      </c>
    </row>
    <row r="819" spans="2:6" ht="15" customHeight="1" x14ac:dyDescent="0.3">
      <c r="C819" s="1"/>
      <c r="D819" s="8">
        <v>2017</v>
      </c>
      <c r="E819" s="14">
        <f>Data!L819</f>
        <v>0</v>
      </c>
      <c r="F819" s="12">
        <f t="shared" si="12"/>
        <v>0</v>
      </c>
    </row>
    <row r="820" spans="2:6" ht="15" customHeight="1" x14ac:dyDescent="0.3">
      <c r="C820" s="1"/>
      <c r="D820" s="8">
        <v>2018</v>
      </c>
      <c r="E820" s="14">
        <f>Data!L820</f>
        <v>0</v>
      </c>
      <c r="F820" s="12">
        <f t="shared" si="12"/>
        <v>0</v>
      </c>
    </row>
    <row r="821" spans="2:6" ht="15" customHeight="1" x14ac:dyDescent="0.3">
      <c r="C821" s="1"/>
      <c r="D821" s="8">
        <v>2019</v>
      </c>
      <c r="E821" s="14">
        <f>Data!L821</f>
        <v>0</v>
      </c>
      <c r="F821" s="12">
        <f t="shared" si="12"/>
        <v>0</v>
      </c>
    </row>
    <row r="822" spans="2:6" ht="15" customHeight="1" x14ac:dyDescent="0.3">
      <c r="C822" s="1"/>
      <c r="D822" s="8">
        <v>2020</v>
      </c>
      <c r="E822" s="14">
        <f>Data!L822</f>
        <v>0</v>
      </c>
      <c r="F822" s="12">
        <f t="shared" si="12"/>
        <v>0</v>
      </c>
    </row>
    <row r="823" spans="2:6" ht="15" customHeight="1" x14ac:dyDescent="0.3">
      <c r="C823" s="1"/>
      <c r="D823" s="8">
        <v>2021</v>
      </c>
      <c r="E823" s="14">
        <f>Data!L823</f>
        <v>0</v>
      </c>
      <c r="F823" s="12">
        <f t="shared" si="12"/>
        <v>0</v>
      </c>
    </row>
    <row r="824" spans="2:6" ht="15" customHeight="1" x14ac:dyDescent="0.3">
      <c r="C824" s="1"/>
      <c r="D824" s="8">
        <v>2022</v>
      </c>
      <c r="E824" s="14">
        <f>Data!L824</f>
        <v>0</v>
      </c>
      <c r="F824" s="12">
        <f t="shared" si="12"/>
        <v>0</v>
      </c>
    </row>
    <row r="825" spans="2:6" ht="15" customHeight="1" x14ac:dyDescent="0.3">
      <c r="C825" s="1"/>
      <c r="D825" s="8">
        <v>2023</v>
      </c>
      <c r="E825" s="14">
        <f>Data!L825</f>
        <v>0</v>
      </c>
      <c r="F825" s="12">
        <f t="shared" si="12"/>
        <v>0</v>
      </c>
    </row>
    <row r="826" spans="2:6" ht="15" customHeight="1" x14ac:dyDescent="0.3">
      <c r="C826" s="1"/>
      <c r="D826" s="8">
        <v>2024</v>
      </c>
      <c r="E826" s="14">
        <f>Data!L826</f>
        <v>0</v>
      </c>
      <c r="F826" s="12">
        <f t="shared" si="12"/>
        <v>0</v>
      </c>
    </row>
    <row r="827" spans="2:6" ht="15" customHeight="1" x14ac:dyDescent="0.3">
      <c r="B827" s="8">
        <v>76</v>
      </c>
      <c r="C827" s="2" t="s">
        <v>79</v>
      </c>
      <c r="D827" s="8">
        <v>2014</v>
      </c>
      <c r="E827" s="14">
        <f>Data!L827</f>
        <v>0</v>
      </c>
      <c r="F827" s="12">
        <f t="shared" si="12"/>
        <v>0</v>
      </c>
    </row>
    <row r="828" spans="2:6" ht="15" customHeight="1" x14ac:dyDescent="0.3">
      <c r="C828" s="2"/>
      <c r="D828" s="8">
        <v>2015</v>
      </c>
      <c r="E828" s="14">
        <f>Data!L828</f>
        <v>0</v>
      </c>
      <c r="F828" s="12">
        <f t="shared" si="12"/>
        <v>0</v>
      </c>
    </row>
    <row r="829" spans="2:6" ht="15" customHeight="1" x14ac:dyDescent="0.3">
      <c r="C829" s="2"/>
      <c r="D829" s="8">
        <v>2016</v>
      </c>
      <c r="E829" s="14">
        <f>Data!L829</f>
        <v>0</v>
      </c>
      <c r="F829" s="12">
        <f t="shared" si="12"/>
        <v>0</v>
      </c>
    </row>
    <row r="830" spans="2:6" ht="15" customHeight="1" x14ac:dyDescent="0.3">
      <c r="C830" s="2"/>
      <c r="D830" s="8">
        <v>2017</v>
      </c>
      <c r="E830" s="14">
        <f>Data!L830</f>
        <v>0</v>
      </c>
      <c r="F830" s="12">
        <f t="shared" si="12"/>
        <v>0</v>
      </c>
    </row>
    <row r="831" spans="2:6" ht="15" customHeight="1" x14ac:dyDescent="0.3">
      <c r="C831" s="2"/>
      <c r="D831" s="8">
        <v>2018</v>
      </c>
      <c r="E831" s="14">
        <f>Data!L831</f>
        <v>0</v>
      </c>
      <c r="F831" s="12">
        <f t="shared" si="12"/>
        <v>0</v>
      </c>
    </row>
    <row r="832" spans="2:6" ht="15" customHeight="1" x14ac:dyDescent="0.3">
      <c r="C832" s="2"/>
      <c r="D832" s="8">
        <v>2019</v>
      </c>
      <c r="E832" s="14">
        <f>Data!L832</f>
        <v>204107653000</v>
      </c>
      <c r="F832" s="12">
        <f t="shared" si="12"/>
        <v>0</v>
      </c>
    </row>
    <row r="833" spans="2:6" ht="15" customHeight="1" x14ac:dyDescent="0.3">
      <c r="C833" s="2"/>
      <c r="D833" s="8">
        <v>2020</v>
      </c>
      <c r="E833" s="14">
        <f>Data!L833</f>
        <v>181587155000</v>
      </c>
      <c r="F833" s="12">
        <f t="shared" si="12"/>
        <v>-0.11033637234562685</v>
      </c>
    </row>
    <row r="834" spans="2:6" ht="15" customHeight="1" x14ac:dyDescent="0.3">
      <c r="C834" s="2"/>
      <c r="D834" s="8">
        <v>2021</v>
      </c>
      <c r="E834" s="14">
        <f>Data!L834</f>
        <v>172428003000</v>
      </c>
      <c r="F834" s="12">
        <f t="shared" si="12"/>
        <v>-5.0439426731477784E-2</v>
      </c>
    </row>
    <row r="835" spans="2:6" ht="15" customHeight="1" x14ac:dyDescent="0.3">
      <c r="C835" s="2"/>
      <c r="D835" s="8">
        <v>2022</v>
      </c>
      <c r="E835" s="14">
        <f>Data!L835</f>
        <v>188235414000</v>
      </c>
      <c r="F835" s="12">
        <f t="shared" ref="F835:F898" si="13">IFERROR((E835-E834)/E834,0)</f>
        <v>9.1675428149568028E-2</v>
      </c>
    </row>
    <row r="836" spans="2:6" ht="15" customHeight="1" x14ac:dyDescent="0.3">
      <c r="C836" s="2"/>
      <c r="D836" s="8">
        <v>2023</v>
      </c>
      <c r="E836" s="14">
        <f>Data!L836</f>
        <v>207737044000</v>
      </c>
      <c r="F836" s="12">
        <f t="shared" si="13"/>
        <v>0.10360234339325755</v>
      </c>
    </row>
    <row r="837" spans="2:6" ht="15" customHeight="1" x14ac:dyDescent="0.3">
      <c r="C837" s="2"/>
      <c r="D837" s="8">
        <v>2024</v>
      </c>
      <c r="E837" s="14">
        <f>Data!L837</f>
        <v>241094309000</v>
      </c>
      <c r="F837" s="12">
        <f t="shared" si="13"/>
        <v>0.16057446643940884</v>
      </c>
    </row>
    <row r="838" spans="2:6" ht="15" customHeight="1" x14ac:dyDescent="0.3">
      <c r="B838" s="8">
        <v>77</v>
      </c>
      <c r="C838" s="2" t="s">
        <v>119</v>
      </c>
      <c r="D838" s="8">
        <v>2014</v>
      </c>
      <c r="E838" s="14">
        <f>Data!L838</f>
        <v>0</v>
      </c>
      <c r="F838" s="12">
        <f t="shared" si="13"/>
        <v>-1</v>
      </c>
    </row>
    <row r="839" spans="2:6" ht="15" customHeight="1" x14ac:dyDescent="0.3">
      <c r="C839" s="2"/>
      <c r="D839" s="8">
        <v>2015</v>
      </c>
      <c r="E839" s="14">
        <f>Data!L839</f>
        <v>0</v>
      </c>
      <c r="F839" s="12">
        <f t="shared" si="13"/>
        <v>0</v>
      </c>
    </row>
    <row r="840" spans="2:6" ht="15" customHeight="1" x14ac:dyDescent="0.3">
      <c r="C840" s="2"/>
      <c r="D840" s="8">
        <v>2016</v>
      </c>
      <c r="E840" s="14">
        <f>Data!L840</f>
        <v>0</v>
      </c>
      <c r="F840" s="12">
        <f t="shared" si="13"/>
        <v>0</v>
      </c>
    </row>
    <row r="841" spans="2:6" ht="15" customHeight="1" x14ac:dyDescent="0.3">
      <c r="C841" s="2"/>
      <c r="D841" s="8">
        <v>2017</v>
      </c>
      <c r="E841" s="14">
        <f>Data!L841</f>
        <v>0</v>
      </c>
      <c r="F841" s="12">
        <f t="shared" si="13"/>
        <v>0</v>
      </c>
    </row>
    <row r="842" spans="2:6" ht="15" customHeight="1" x14ac:dyDescent="0.3">
      <c r="C842" s="2"/>
      <c r="D842" s="8">
        <v>2018</v>
      </c>
      <c r="E842" s="14">
        <f>Data!L842</f>
        <v>49274840000</v>
      </c>
      <c r="F842" s="12">
        <f t="shared" si="13"/>
        <v>0</v>
      </c>
    </row>
    <row r="843" spans="2:6" ht="15" customHeight="1" x14ac:dyDescent="0.3">
      <c r="C843" s="2"/>
      <c r="D843" s="8">
        <v>2019</v>
      </c>
      <c r="E843" s="14">
        <f>Data!L843</f>
        <v>32906230000.000004</v>
      </c>
      <c r="F843" s="12">
        <f t="shared" si="13"/>
        <v>-0.33219001827301714</v>
      </c>
    </row>
    <row r="844" spans="2:6" ht="15" customHeight="1" x14ac:dyDescent="0.3">
      <c r="C844" s="2"/>
      <c r="D844" s="8">
        <v>2020</v>
      </c>
      <c r="E844" s="14">
        <f>Data!L844</f>
        <v>32319750000</v>
      </c>
      <c r="F844" s="12">
        <f t="shared" si="13"/>
        <v>-1.7822764868537167E-2</v>
      </c>
    </row>
    <row r="845" spans="2:6" ht="15" customHeight="1" x14ac:dyDescent="0.3">
      <c r="C845" s="2"/>
      <c r="D845" s="8">
        <v>2021</v>
      </c>
      <c r="E845" s="14">
        <f>Data!L845</f>
        <v>43736690000</v>
      </c>
      <c r="F845" s="12">
        <f t="shared" si="13"/>
        <v>0.35324963837900974</v>
      </c>
    </row>
    <row r="846" spans="2:6" ht="15" customHeight="1" x14ac:dyDescent="0.3">
      <c r="C846" s="2"/>
      <c r="D846" s="8">
        <v>2022</v>
      </c>
      <c r="E846" s="14">
        <f>Data!L846</f>
        <v>24804740000</v>
      </c>
      <c r="F846" s="12">
        <f t="shared" si="13"/>
        <v>-0.43286197469447274</v>
      </c>
    </row>
    <row r="847" spans="2:6" ht="15" customHeight="1" x14ac:dyDescent="0.3">
      <c r="C847" s="2"/>
      <c r="D847" s="8">
        <v>2023</v>
      </c>
      <c r="E847" s="14">
        <f>Data!L847</f>
        <v>71422000000</v>
      </c>
      <c r="F847" s="12">
        <f t="shared" si="13"/>
        <v>1.8793690238236724</v>
      </c>
    </row>
    <row r="848" spans="2:6" ht="15" customHeight="1" x14ac:dyDescent="0.3">
      <c r="C848" s="2"/>
      <c r="D848" s="8">
        <v>2024</v>
      </c>
      <c r="E848" s="14">
        <f>Data!L848</f>
        <v>229954000000</v>
      </c>
      <c r="F848" s="12">
        <f t="shared" si="13"/>
        <v>2.2196522080031365</v>
      </c>
    </row>
    <row r="849" spans="2:6" ht="15" customHeight="1" x14ac:dyDescent="0.3">
      <c r="B849" s="8">
        <v>78</v>
      </c>
      <c r="C849" s="2" t="s">
        <v>80</v>
      </c>
      <c r="D849" s="8">
        <v>2014</v>
      </c>
      <c r="E849" s="14">
        <f>Data!L849</f>
        <v>28628692000</v>
      </c>
      <c r="F849" s="12">
        <f t="shared" si="13"/>
        <v>-0.87550252659227501</v>
      </c>
    </row>
    <row r="850" spans="2:6" ht="15" customHeight="1" x14ac:dyDescent="0.3">
      <c r="C850" s="2"/>
      <c r="D850" s="8">
        <v>2015</v>
      </c>
      <c r="E850" s="14">
        <f>Data!L850</f>
        <v>40635712000</v>
      </c>
      <c r="F850" s="12">
        <f t="shared" si="13"/>
        <v>0.41940511987065282</v>
      </c>
    </row>
    <row r="851" spans="2:6" ht="15" customHeight="1" x14ac:dyDescent="0.3">
      <c r="C851" s="2"/>
      <c r="D851" s="8">
        <v>2016</v>
      </c>
      <c r="E851" s="14">
        <f>Data!L851</f>
        <v>56877863000</v>
      </c>
      <c r="F851" s="12">
        <f t="shared" si="13"/>
        <v>0.39970140058084869</v>
      </c>
    </row>
    <row r="852" spans="2:6" ht="15" customHeight="1" x14ac:dyDescent="0.3">
      <c r="C852" s="2"/>
      <c r="D852" s="8">
        <v>2017</v>
      </c>
      <c r="E852" s="14">
        <f>Data!L852</f>
        <v>58863746000</v>
      </c>
      <c r="F852" s="12">
        <f t="shared" si="13"/>
        <v>3.4914866615153951E-2</v>
      </c>
    </row>
    <row r="853" spans="2:6" ht="15" customHeight="1" x14ac:dyDescent="0.3">
      <c r="C853" s="2"/>
      <c r="D853" s="8">
        <v>2018</v>
      </c>
      <c r="E853" s="14">
        <f>Data!L853</f>
        <v>55045000000</v>
      </c>
      <c r="F853" s="12">
        <f t="shared" si="13"/>
        <v>-6.4874328589281424E-2</v>
      </c>
    </row>
    <row r="854" spans="2:6" ht="15" customHeight="1" x14ac:dyDescent="0.3">
      <c r="C854" s="2"/>
      <c r="D854" s="8">
        <v>2019</v>
      </c>
      <c r="E854" s="14">
        <f>Data!L854</f>
        <v>94159068000</v>
      </c>
      <c r="F854" s="12">
        <f t="shared" si="13"/>
        <v>0.71058348623853207</v>
      </c>
    </row>
    <row r="855" spans="2:6" ht="15" customHeight="1" x14ac:dyDescent="0.3">
      <c r="C855" s="2"/>
      <c r="D855" s="8">
        <v>2020</v>
      </c>
      <c r="E855" s="14">
        <f>Data!L855</f>
        <v>106005667000</v>
      </c>
      <c r="F855" s="12">
        <f t="shared" si="13"/>
        <v>0.12581474362086931</v>
      </c>
    </row>
    <row r="856" spans="2:6" ht="15" customHeight="1" x14ac:dyDescent="0.3">
      <c r="C856" s="2"/>
      <c r="D856" s="8">
        <v>2021</v>
      </c>
      <c r="E856" s="14">
        <f>Data!L856</f>
        <v>60948000000</v>
      </c>
      <c r="F856" s="12">
        <f t="shared" si="13"/>
        <v>-0.42504960607436204</v>
      </c>
    </row>
    <row r="857" spans="2:6" ht="15" customHeight="1" x14ac:dyDescent="0.3">
      <c r="C857" s="2"/>
      <c r="D857" s="8">
        <v>2022</v>
      </c>
      <c r="E857" s="14">
        <f>Data!L857</f>
        <v>122792000000</v>
      </c>
      <c r="F857" s="12">
        <f t="shared" si="13"/>
        <v>1.0147010566384458</v>
      </c>
    </row>
    <row r="858" spans="2:6" ht="15" customHeight="1" x14ac:dyDescent="0.3">
      <c r="C858" s="2"/>
      <c r="D858" s="8">
        <v>2023</v>
      </c>
      <c r="E858" s="14">
        <f>Data!L858</f>
        <v>160557000000</v>
      </c>
      <c r="F858" s="12">
        <f t="shared" si="13"/>
        <v>0.30755260929050754</v>
      </c>
    </row>
    <row r="859" spans="2:6" ht="15" customHeight="1" x14ac:dyDescent="0.3">
      <c r="C859" s="2"/>
      <c r="D859" s="8">
        <v>2024</v>
      </c>
      <c r="E859" s="14">
        <f>Data!L859</f>
        <v>270291000000</v>
      </c>
      <c r="F859" s="12">
        <f t="shared" si="13"/>
        <v>0.68345821110259908</v>
      </c>
    </row>
    <row r="860" spans="2:6" ht="15" customHeight="1" x14ac:dyDescent="0.3">
      <c r="B860" s="8">
        <v>79</v>
      </c>
      <c r="C860" s="2" t="s">
        <v>97</v>
      </c>
      <c r="D860" s="8">
        <v>2014</v>
      </c>
      <c r="E860" s="14">
        <f>Data!L860</f>
        <v>100232030000</v>
      </c>
      <c r="F860" s="12">
        <f t="shared" si="13"/>
        <v>-0.62916993166624124</v>
      </c>
    </row>
    <row r="861" spans="2:6" ht="15" customHeight="1" x14ac:dyDescent="0.3">
      <c r="C861" s="2"/>
      <c r="D861" s="8">
        <v>2015</v>
      </c>
      <c r="E861" s="14">
        <f>Data!L861</f>
        <v>89650210000</v>
      </c>
      <c r="F861" s="12">
        <f t="shared" si="13"/>
        <v>-0.10557323841490589</v>
      </c>
    </row>
    <row r="862" spans="2:6" ht="15" customHeight="1" x14ac:dyDescent="0.3">
      <c r="C862" s="2"/>
      <c r="D862" s="8">
        <v>2016</v>
      </c>
      <c r="E862" s="14">
        <f>Data!L862</f>
        <v>223032830000</v>
      </c>
      <c r="F862" s="12">
        <f t="shared" si="13"/>
        <v>1.4878115734475135</v>
      </c>
    </row>
    <row r="863" spans="2:6" ht="15" customHeight="1" x14ac:dyDescent="0.3">
      <c r="C863" s="2"/>
      <c r="D863" s="8">
        <v>2017</v>
      </c>
      <c r="E863" s="14">
        <f>Data!L863</f>
        <v>220818080000</v>
      </c>
      <c r="F863" s="12">
        <f t="shared" si="13"/>
        <v>-9.9301524354060335E-3</v>
      </c>
    </row>
    <row r="864" spans="2:6" ht="15" customHeight="1" x14ac:dyDescent="0.3">
      <c r="C864" s="2"/>
      <c r="D864" s="8">
        <v>2018</v>
      </c>
      <c r="E864" s="14">
        <f>Data!L864</f>
        <v>126252090000</v>
      </c>
      <c r="F864" s="12">
        <f t="shared" si="13"/>
        <v>-0.42825293110056928</v>
      </c>
    </row>
    <row r="865" spans="2:6" ht="15" customHeight="1" x14ac:dyDescent="0.3">
      <c r="C865" s="2"/>
      <c r="D865" s="8">
        <v>2019</v>
      </c>
      <c r="E865" s="14">
        <f>Data!L865</f>
        <v>149084650000</v>
      </c>
      <c r="F865" s="12">
        <f t="shared" si="13"/>
        <v>0.18084896653988064</v>
      </c>
    </row>
    <row r="866" spans="2:6" ht="15" customHeight="1" x14ac:dyDescent="0.3">
      <c r="C866" s="2"/>
      <c r="D866" s="8">
        <v>2020</v>
      </c>
      <c r="E866" s="14">
        <f>Data!L866</f>
        <v>357222000000</v>
      </c>
      <c r="F866" s="12">
        <f t="shared" si="13"/>
        <v>1.3961018119571666</v>
      </c>
    </row>
    <row r="867" spans="2:6" ht="15" customHeight="1" x14ac:dyDescent="0.3">
      <c r="C867" s="2"/>
      <c r="D867" s="8">
        <v>2021</v>
      </c>
      <c r="E867" s="14">
        <f>Data!L867</f>
        <v>384118000000</v>
      </c>
      <c r="F867" s="12">
        <f t="shared" si="13"/>
        <v>7.5292115267256779E-2</v>
      </c>
    </row>
    <row r="868" spans="2:6" ht="15" customHeight="1" x14ac:dyDescent="0.3">
      <c r="C868" s="2"/>
      <c r="D868" s="8">
        <v>2022</v>
      </c>
      <c r="E868" s="14">
        <f>Data!L868</f>
        <v>274862000000</v>
      </c>
      <c r="F868" s="12">
        <f t="shared" si="13"/>
        <v>-0.28443342931078469</v>
      </c>
    </row>
    <row r="869" spans="2:6" ht="15" customHeight="1" x14ac:dyDescent="0.3">
      <c r="C869" s="2"/>
      <c r="D869" s="8">
        <v>2023</v>
      </c>
      <c r="E869" s="14">
        <f>Data!L869</f>
        <v>388972000000</v>
      </c>
      <c r="F869" s="12">
        <f t="shared" si="13"/>
        <v>0.41515378626365229</v>
      </c>
    </row>
    <row r="870" spans="2:6" ht="15" customHeight="1" x14ac:dyDescent="0.3">
      <c r="C870" s="2"/>
      <c r="D870" s="8">
        <v>2024</v>
      </c>
      <c r="E870" s="14">
        <f>Data!L870</f>
        <v>335852000000</v>
      </c>
      <c r="F870" s="12">
        <f t="shared" si="13"/>
        <v>-0.13656509980152812</v>
      </c>
    </row>
    <row r="871" spans="2:6" ht="15" customHeight="1" x14ac:dyDescent="0.3">
      <c r="B871" s="8">
        <v>80</v>
      </c>
      <c r="C871" s="2" t="s">
        <v>81</v>
      </c>
      <c r="D871" s="8">
        <v>2014</v>
      </c>
      <c r="E871" s="14">
        <f>Data!L871</f>
        <v>206520000000</v>
      </c>
      <c r="F871" s="12">
        <f t="shared" si="13"/>
        <v>-0.38508628800781297</v>
      </c>
    </row>
    <row r="872" spans="2:6" ht="15" customHeight="1" x14ac:dyDescent="0.3">
      <c r="C872" s="2"/>
      <c r="D872" s="8">
        <v>2015</v>
      </c>
      <c r="E872" s="14">
        <f>Data!L872</f>
        <v>222434000000</v>
      </c>
      <c r="F872" s="12">
        <f t="shared" si="13"/>
        <v>7.7057912066627932E-2</v>
      </c>
    </row>
    <row r="873" spans="2:6" ht="15" customHeight="1" x14ac:dyDescent="0.3">
      <c r="C873" s="2"/>
      <c r="D873" s="8">
        <v>2016</v>
      </c>
      <c r="E873" s="14">
        <f>Data!L873</f>
        <v>221392000000</v>
      </c>
      <c r="F873" s="12">
        <f t="shared" si="13"/>
        <v>-4.6845356375374266E-3</v>
      </c>
    </row>
    <row r="874" spans="2:6" ht="15" customHeight="1" x14ac:dyDescent="0.3">
      <c r="C874" s="2"/>
      <c r="D874" s="8">
        <v>2017</v>
      </c>
      <c r="E874" s="14">
        <f>Data!L874</f>
        <v>215845000000</v>
      </c>
      <c r="F874" s="12">
        <f t="shared" si="13"/>
        <v>-2.505510587555106E-2</v>
      </c>
    </row>
    <row r="875" spans="2:6" ht="15" customHeight="1" x14ac:dyDescent="0.3">
      <c r="C875" s="2"/>
      <c r="D875" s="8">
        <v>2018</v>
      </c>
      <c r="E875" s="14">
        <f>Data!L875</f>
        <v>268956000000</v>
      </c>
      <c r="F875" s="12">
        <f t="shared" si="13"/>
        <v>0.24606083068868864</v>
      </c>
    </row>
    <row r="876" spans="2:6" ht="15" customHeight="1" x14ac:dyDescent="0.3">
      <c r="C876" s="2"/>
      <c r="D876" s="8">
        <v>2019</v>
      </c>
      <c r="E876" s="14">
        <f>Data!L876</f>
        <v>325392000000</v>
      </c>
      <c r="F876" s="12">
        <f t="shared" si="13"/>
        <v>0.20983357872663186</v>
      </c>
    </row>
    <row r="877" spans="2:6" ht="15" customHeight="1" x14ac:dyDescent="0.3">
      <c r="C877" s="2"/>
      <c r="D877" s="8">
        <v>2020</v>
      </c>
      <c r="E877" s="14">
        <f>Data!L877</f>
        <v>278765000000</v>
      </c>
      <c r="F877" s="12">
        <f t="shared" si="13"/>
        <v>-0.14329485666519151</v>
      </c>
    </row>
    <row r="878" spans="2:6" ht="15" customHeight="1" x14ac:dyDescent="0.3">
      <c r="C878" s="2"/>
      <c r="D878" s="8">
        <v>2021</v>
      </c>
      <c r="E878" s="14">
        <f>Data!L878</f>
        <v>281332000000</v>
      </c>
      <c r="F878" s="12">
        <f t="shared" si="13"/>
        <v>9.2084730866500465E-3</v>
      </c>
    </row>
    <row r="879" spans="2:6" ht="15" customHeight="1" x14ac:dyDescent="0.3">
      <c r="C879" s="2"/>
      <c r="D879" s="8">
        <v>2022</v>
      </c>
      <c r="E879" s="14">
        <f>Data!L879</f>
        <v>297010000000</v>
      </c>
      <c r="F879" s="12">
        <f t="shared" si="13"/>
        <v>5.5727752264228742E-2</v>
      </c>
    </row>
    <row r="880" spans="2:6" ht="15" customHeight="1" x14ac:dyDescent="0.3">
      <c r="C880" s="2"/>
      <c r="D880" s="8">
        <v>2023</v>
      </c>
      <c r="E880" s="14">
        <f>Data!L880</f>
        <v>311904000000</v>
      </c>
      <c r="F880" s="12">
        <f t="shared" si="13"/>
        <v>5.0146459715161108E-2</v>
      </c>
    </row>
    <row r="881" spans="2:6" ht="15" customHeight="1" x14ac:dyDescent="0.3">
      <c r="C881" s="2"/>
      <c r="D881" s="8">
        <v>2024</v>
      </c>
      <c r="E881" s="14">
        <f>Data!L881</f>
        <v>209439000000</v>
      </c>
      <c r="F881" s="12">
        <f t="shared" si="13"/>
        <v>-0.32851454293628807</v>
      </c>
    </row>
    <row r="882" spans="2:6" ht="15" customHeight="1" x14ac:dyDescent="0.3">
      <c r="B882" s="8">
        <v>81</v>
      </c>
      <c r="C882" s="2" t="s">
        <v>82</v>
      </c>
      <c r="D882" s="8">
        <v>2014</v>
      </c>
      <c r="E882" s="14">
        <f>Data!L882</f>
        <v>0</v>
      </c>
      <c r="F882" s="12">
        <f t="shared" si="13"/>
        <v>-1</v>
      </c>
    </row>
    <row r="883" spans="2:6" ht="15" customHeight="1" x14ac:dyDescent="0.3">
      <c r="C883" s="2"/>
      <c r="D883" s="8">
        <v>2015</v>
      </c>
      <c r="E883" s="14">
        <f>Data!L883</f>
        <v>0</v>
      </c>
      <c r="F883" s="12">
        <f t="shared" si="13"/>
        <v>0</v>
      </c>
    </row>
    <row r="884" spans="2:6" ht="15" customHeight="1" x14ac:dyDescent="0.3">
      <c r="C884" s="2"/>
      <c r="D884" s="8">
        <v>2016</v>
      </c>
      <c r="E884" s="14">
        <f>Data!L884</f>
        <v>0</v>
      </c>
      <c r="F884" s="12">
        <f t="shared" si="13"/>
        <v>0</v>
      </c>
    </row>
    <row r="885" spans="2:6" ht="15" customHeight="1" x14ac:dyDescent="0.3">
      <c r="C885" s="2"/>
      <c r="D885" s="8">
        <v>2017</v>
      </c>
      <c r="E885" s="14">
        <f>Data!L885</f>
        <v>0</v>
      </c>
      <c r="F885" s="12">
        <f t="shared" si="13"/>
        <v>0</v>
      </c>
    </row>
    <row r="886" spans="2:6" ht="15" customHeight="1" x14ac:dyDescent="0.3">
      <c r="C886" s="2"/>
      <c r="D886" s="8">
        <v>2018</v>
      </c>
      <c r="E886" s="14">
        <f>Data!L886</f>
        <v>138709796000</v>
      </c>
      <c r="F886" s="12">
        <f t="shared" si="13"/>
        <v>0</v>
      </c>
    </row>
    <row r="887" spans="2:6" ht="15" customHeight="1" x14ac:dyDescent="0.3">
      <c r="C887" s="2"/>
      <c r="D887" s="8">
        <v>2019</v>
      </c>
      <c r="E887" s="14">
        <f>Data!L887</f>
        <v>107284306000</v>
      </c>
      <c r="F887" s="12">
        <f t="shared" si="13"/>
        <v>-0.22655566446078546</v>
      </c>
    </row>
    <row r="888" spans="2:6" ht="15" customHeight="1" x14ac:dyDescent="0.3">
      <c r="C888" s="2"/>
      <c r="D888" s="8">
        <v>2020</v>
      </c>
      <c r="E888" s="14">
        <f>Data!L888</f>
        <v>135250057000</v>
      </c>
      <c r="F888" s="12">
        <f t="shared" si="13"/>
        <v>0.26066954285000454</v>
      </c>
    </row>
    <row r="889" spans="2:6" ht="15" customHeight="1" x14ac:dyDescent="0.3">
      <c r="C889" s="2"/>
      <c r="D889" s="8">
        <v>2021</v>
      </c>
      <c r="E889" s="14">
        <f>Data!L889</f>
        <v>196501415000</v>
      </c>
      <c r="F889" s="12">
        <f t="shared" si="13"/>
        <v>0.45287491450003603</v>
      </c>
    </row>
    <row r="890" spans="2:6" ht="15" customHeight="1" x14ac:dyDescent="0.3">
      <c r="C890" s="2"/>
      <c r="D890" s="8">
        <v>2022</v>
      </c>
      <c r="E890" s="14">
        <f>Data!L890</f>
        <v>236147536000</v>
      </c>
      <c r="F890" s="12">
        <f t="shared" si="13"/>
        <v>0.20175997714825616</v>
      </c>
    </row>
    <row r="891" spans="2:6" ht="15" customHeight="1" x14ac:dyDescent="0.3">
      <c r="C891" s="2"/>
      <c r="D891" s="8">
        <v>2023</v>
      </c>
      <c r="E891" s="14">
        <f>Data!L891</f>
        <v>264772211000</v>
      </c>
      <c r="F891" s="12">
        <f t="shared" si="13"/>
        <v>0.1212152177611542</v>
      </c>
    </row>
    <row r="892" spans="2:6" ht="15" customHeight="1" x14ac:dyDescent="0.3">
      <c r="C892" s="2"/>
      <c r="D892" s="8">
        <v>2024</v>
      </c>
      <c r="E892" s="14">
        <f>Data!L892</f>
        <v>274305097000</v>
      </c>
      <c r="F892" s="12">
        <f t="shared" si="13"/>
        <v>3.6004103164738843E-2</v>
      </c>
    </row>
    <row r="893" spans="2:6" ht="15" customHeight="1" x14ac:dyDescent="0.3">
      <c r="B893" s="8">
        <v>82</v>
      </c>
      <c r="C893" s="2" t="s">
        <v>83</v>
      </c>
      <c r="D893" s="8">
        <v>2014</v>
      </c>
      <c r="E893" s="14">
        <f>Data!L893</f>
        <v>0</v>
      </c>
      <c r="F893" s="12">
        <f t="shared" si="13"/>
        <v>-1</v>
      </c>
    </row>
    <row r="894" spans="2:6" ht="15" customHeight="1" x14ac:dyDescent="0.3">
      <c r="C894" s="2"/>
      <c r="D894" s="8">
        <v>2015</v>
      </c>
      <c r="E894" s="14">
        <f>Data!L894</f>
        <v>0</v>
      </c>
      <c r="F894" s="12">
        <f t="shared" si="13"/>
        <v>0</v>
      </c>
    </row>
    <row r="895" spans="2:6" ht="15" customHeight="1" x14ac:dyDescent="0.3">
      <c r="C895" s="2"/>
      <c r="D895" s="8">
        <v>2016</v>
      </c>
      <c r="E895" s="14">
        <f>Data!L895</f>
        <v>0</v>
      </c>
      <c r="F895" s="12">
        <f t="shared" si="13"/>
        <v>0</v>
      </c>
    </row>
    <row r="896" spans="2:6" ht="15" customHeight="1" x14ac:dyDescent="0.3">
      <c r="C896" s="2"/>
      <c r="D896" s="8">
        <v>2017</v>
      </c>
      <c r="E896" s="14">
        <f>Data!L896</f>
        <v>0</v>
      </c>
      <c r="F896" s="12">
        <f t="shared" si="13"/>
        <v>0</v>
      </c>
    </row>
    <row r="897" spans="2:6" ht="15" customHeight="1" x14ac:dyDescent="0.3">
      <c r="C897" s="2"/>
      <c r="D897" s="8">
        <v>2018</v>
      </c>
      <c r="E897" s="14">
        <f>Data!L897</f>
        <v>0</v>
      </c>
      <c r="F897" s="12">
        <f t="shared" si="13"/>
        <v>0</v>
      </c>
    </row>
    <row r="898" spans="2:6" ht="15" customHeight="1" x14ac:dyDescent="0.3">
      <c r="C898" s="2"/>
      <c r="D898" s="8">
        <v>2019</v>
      </c>
      <c r="E898" s="14">
        <f>Data!L898</f>
        <v>0</v>
      </c>
      <c r="F898" s="12">
        <f t="shared" si="13"/>
        <v>0</v>
      </c>
    </row>
    <row r="899" spans="2:6" ht="15" customHeight="1" x14ac:dyDescent="0.3">
      <c r="C899" s="2"/>
      <c r="D899" s="8">
        <v>2020</v>
      </c>
      <c r="E899" s="14">
        <f>Data!L899</f>
        <v>122493000000</v>
      </c>
      <c r="F899" s="12">
        <f t="shared" ref="F899:F962" si="14">IFERROR((E899-E898)/E898,0)</f>
        <v>0</v>
      </c>
    </row>
    <row r="900" spans="2:6" ht="15" customHeight="1" x14ac:dyDescent="0.3">
      <c r="C900" s="2"/>
      <c r="D900" s="8">
        <v>2021</v>
      </c>
      <c r="E900" s="14">
        <f>Data!L900</f>
        <v>144362000000</v>
      </c>
      <c r="F900" s="12">
        <f t="shared" si="14"/>
        <v>0.17853265084535444</v>
      </c>
    </row>
    <row r="901" spans="2:6" ht="15" customHeight="1" x14ac:dyDescent="0.3">
      <c r="C901" s="2"/>
      <c r="D901" s="8">
        <v>2022</v>
      </c>
      <c r="E901" s="14">
        <f>Data!L901</f>
        <v>394181000000</v>
      </c>
      <c r="F901" s="12">
        <f t="shared" si="14"/>
        <v>1.7305038722101385</v>
      </c>
    </row>
    <row r="902" spans="2:6" ht="15" customHeight="1" x14ac:dyDescent="0.3">
      <c r="C902" s="2"/>
      <c r="D902" s="8">
        <v>2023</v>
      </c>
      <c r="E902" s="14">
        <f>Data!L902</f>
        <v>345939000000</v>
      </c>
      <c r="F902" s="12">
        <f t="shared" si="14"/>
        <v>-0.12238540163021557</v>
      </c>
    </row>
    <row r="903" spans="2:6" ht="15" customHeight="1" x14ac:dyDescent="0.3">
      <c r="C903" s="2"/>
      <c r="D903" s="8">
        <v>2024</v>
      </c>
      <c r="E903" s="14">
        <f>Data!L903</f>
        <v>475380000000</v>
      </c>
      <c r="F903" s="12">
        <f t="shared" si="14"/>
        <v>0.37417290331532438</v>
      </c>
    </row>
    <row r="904" spans="2:6" ht="15" customHeight="1" x14ac:dyDescent="0.3">
      <c r="B904" s="8">
        <v>83</v>
      </c>
      <c r="C904" s="2" t="s">
        <v>98</v>
      </c>
      <c r="D904" s="8">
        <v>2014</v>
      </c>
      <c r="E904" s="14">
        <f>Data!L904</f>
        <v>1699889000000</v>
      </c>
      <c r="F904" s="12">
        <f t="shared" si="14"/>
        <v>2.5758530018090791</v>
      </c>
    </row>
    <row r="905" spans="2:6" ht="15" customHeight="1" x14ac:dyDescent="0.3">
      <c r="C905" s="2"/>
      <c r="D905" s="8">
        <v>2015</v>
      </c>
      <c r="E905" s="14">
        <f>Data!L905</f>
        <v>1952536000000</v>
      </c>
      <c r="F905" s="12">
        <f t="shared" si="14"/>
        <v>0.14862558672948645</v>
      </c>
    </row>
    <row r="906" spans="2:6" ht="15" customHeight="1" x14ac:dyDescent="0.3">
      <c r="C906" s="2"/>
      <c r="D906" s="8">
        <v>2016</v>
      </c>
      <c r="E906" s="14">
        <f>Data!L906</f>
        <v>2289851000000</v>
      </c>
      <c r="F906" s="12">
        <f t="shared" si="14"/>
        <v>0.17275737809699795</v>
      </c>
    </row>
    <row r="907" spans="2:6" ht="15" customHeight="1" x14ac:dyDescent="0.3">
      <c r="C907" s="2"/>
      <c r="D907" s="8">
        <v>2017</v>
      </c>
      <c r="E907" s="14">
        <f>Data!L907</f>
        <v>2653564000000</v>
      </c>
      <c r="F907" s="12">
        <f t="shared" si="14"/>
        <v>0.15883697236195718</v>
      </c>
    </row>
    <row r="908" spans="2:6" ht="15" customHeight="1" x14ac:dyDescent="0.3">
      <c r="C908" s="2"/>
      <c r="D908" s="8">
        <v>2018</v>
      </c>
      <c r="E908" s="14">
        <f>Data!L908</f>
        <v>2505009000000</v>
      </c>
      <c r="F908" s="12">
        <f t="shared" si="14"/>
        <v>-5.5983198445562272E-2</v>
      </c>
    </row>
    <row r="909" spans="2:6" ht="15" customHeight="1" x14ac:dyDescent="0.3">
      <c r="C909" s="2"/>
      <c r="D909" s="8">
        <v>2019</v>
      </c>
      <c r="E909" s="14">
        <f>Data!L909</f>
        <v>2659976000000</v>
      </c>
      <c r="F909" s="12">
        <f t="shared" si="14"/>
        <v>6.1862851590553165E-2</v>
      </c>
    </row>
    <row r="910" spans="2:6" ht="15" customHeight="1" x14ac:dyDescent="0.3">
      <c r="C910" s="2"/>
      <c r="D910" s="8">
        <v>2020</v>
      </c>
      <c r="E910" s="14">
        <f>Data!L910</f>
        <v>2410982000000</v>
      </c>
      <c r="F910" s="12">
        <f t="shared" si="14"/>
        <v>-9.3607611497246598E-2</v>
      </c>
    </row>
    <row r="911" spans="2:6" ht="15" customHeight="1" x14ac:dyDescent="0.3">
      <c r="C911" s="2"/>
      <c r="D911" s="8">
        <v>2021</v>
      </c>
      <c r="E911" s="14">
        <f>Data!L911</f>
        <v>2340919000000</v>
      </c>
      <c r="F911" s="12">
        <f t="shared" si="14"/>
        <v>-2.9059943209862205E-2</v>
      </c>
    </row>
    <row r="912" spans="2:6" ht="15" customHeight="1" x14ac:dyDescent="0.3">
      <c r="C912" s="2"/>
      <c r="D912" s="8">
        <v>2022</v>
      </c>
      <c r="E912" s="14">
        <f>Data!L912</f>
        <v>1494489000000</v>
      </c>
      <c r="F912" s="12">
        <f t="shared" si="14"/>
        <v>-0.36158021700024651</v>
      </c>
    </row>
    <row r="913" spans="2:6" ht="15" customHeight="1" x14ac:dyDescent="0.3">
      <c r="C913" s="2"/>
      <c r="D913" s="8">
        <v>2023</v>
      </c>
      <c r="E913" s="14">
        <f>Data!L913</f>
        <v>1272086000000</v>
      </c>
      <c r="F913" s="12">
        <f t="shared" si="14"/>
        <v>-0.14881541449953797</v>
      </c>
    </row>
    <row r="914" spans="2:6" ht="15" customHeight="1" x14ac:dyDescent="0.3">
      <c r="C914" s="2"/>
      <c r="D914" s="8">
        <v>2024</v>
      </c>
      <c r="E914" s="14">
        <f>Data!L914</f>
        <v>1529289000000</v>
      </c>
      <c r="F914" s="12">
        <f t="shared" si="14"/>
        <v>0.20218994627721712</v>
      </c>
    </row>
    <row r="915" spans="2:6" ht="15" customHeight="1" x14ac:dyDescent="0.3">
      <c r="B915" s="8">
        <v>84</v>
      </c>
      <c r="C915" s="2" t="s">
        <v>84</v>
      </c>
      <c r="D915" s="8">
        <v>2014</v>
      </c>
      <c r="E915" s="14">
        <f>Data!L915</f>
        <v>154795000000</v>
      </c>
      <c r="F915" s="12">
        <f t="shared" si="14"/>
        <v>-0.89877975974456104</v>
      </c>
    </row>
    <row r="916" spans="2:6" ht="15" customHeight="1" x14ac:dyDescent="0.3">
      <c r="C916" s="2"/>
      <c r="D916" s="8">
        <v>2015</v>
      </c>
      <c r="E916" s="14">
        <f>Data!L916</f>
        <v>164725000000</v>
      </c>
      <c r="F916" s="12">
        <f t="shared" si="14"/>
        <v>6.414935882941955E-2</v>
      </c>
    </row>
    <row r="917" spans="2:6" ht="15" customHeight="1" x14ac:dyDescent="0.3">
      <c r="C917" s="2"/>
      <c r="D917" s="8">
        <v>2016</v>
      </c>
      <c r="E917" s="14">
        <f>Data!L917</f>
        <v>160245000000</v>
      </c>
      <c r="F917" s="12">
        <f t="shared" si="14"/>
        <v>-2.7196843223554409E-2</v>
      </c>
    </row>
    <row r="918" spans="2:6" ht="15" customHeight="1" x14ac:dyDescent="0.3">
      <c r="C918" s="2"/>
      <c r="D918" s="8">
        <v>2017</v>
      </c>
      <c r="E918" s="14">
        <f>Data!L918</f>
        <v>143477000000</v>
      </c>
      <c r="F918" s="12">
        <f t="shared" si="14"/>
        <v>-0.10463977035164904</v>
      </c>
    </row>
    <row r="919" spans="2:6" ht="15" customHeight="1" x14ac:dyDescent="0.3">
      <c r="C919" s="2"/>
      <c r="D919" s="8">
        <v>2018</v>
      </c>
      <c r="E919" s="14">
        <f>Data!L919</f>
        <v>151463000000</v>
      </c>
      <c r="F919" s="12">
        <f t="shared" si="14"/>
        <v>5.5660489137631816E-2</v>
      </c>
    </row>
    <row r="920" spans="2:6" ht="15" customHeight="1" x14ac:dyDescent="0.3">
      <c r="C920" s="2"/>
      <c r="D920" s="8">
        <v>2019</v>
      </c>
      <c r="E920" s="14">
        <f>Data!L920</f>
        <v>129246000000</v>
      </c>
      <c r="F920" s="12">
        <f t="shared" si="14"/>
        <v>-0.146682688181272</v>
      </c>
    </row>
    <row r="921" spans="2:6" ht="15" customHeight="1" x14ac:dyDescent="0.3">
      <c r="C921" s="2"/>
      <c r="D921" s="8">
        <v>2020</v>
      </c>
      <c r="E921" s="14">
        <f>Data!L921</f>
        <v>89569000000</v>
      </c>
      <c r="F921" s="12">
        <f t="shared" si="14"/>
        <v>-0.30698822400693254</v>
      </c>
    </row>
    <row r="922" spans="2:6" ht="15" customHeight="1" x14ac:dyDescent="0.3">
      <c r="C922" s="2"/>
      <c r="D922" s="8">
        <v>2021</v>
      </c>
      <c r="E922" s="14">
        <f>Data!L922</f>
        <v>91981000000</v>
      </c>
      <c r="F922" s="12">
        <f t="shared" si="14"/>
        <v>2.6928959796358114E-2</v>
      </c>
    </row>
    <row r="923" spans="2:6" ht="15" customHeight="1" x14ac:dyDescent="0.3">
      <c r="C923" s="2"/>
      <c r="D923" s="8">
        <v>2022</v>
      </c>
      <c r="E923" s="14">
        <f>Data!L923</f>
        <v>74976000000</v>
      </c>
      <c r="F923" s="12">
        <f t="shared" si="14"/>
        <v>-0.18487513725660734</v>
      </c>
    </row>
    <row r="924" spans="2:6" ht="15" customHeight="1" x14ac:dyDescent="0.3">
      <c r="C924" s="2"/>
      <c r="D924" s="8">
        <v>2023</v>
      </c>
      <c r="E924" s="14">
        <f>Data!L924</f>
        <v>95725000000</v>
      </c>
      <c r="F924" s="12">
        <f t="shared" si="14"/>
        <v>0.27674189073836963</v>
      </c>
    </row>
    <row r="925" spans="2:6" ht="15" customHeight="1" x14ac:dyDescent="0.3">
      <c r="C925" s="2"/>
      <c r="D925" s="8">
        <v>2024</v>
      </c>
      <c r="E925" s="14">
        <f>Data!L925</f>
        <v>104448000000</v>
      </c>
      <c r="F925" s="12">
        <f t="shared" si="14"/>
        <v>9.1125620266388097E-2</v>
      </c>
    </row>
    <row r="926" spans="2:6" ht="15" customHeight="1" x14ac:dyDescent="0.3">
      <c r="B926" s="8">
        <v>85</v>
      </c>
      <c r="C926" s="2" t="s">
        <v>99</v>
      </c>
      <c r="D926" s="8">
        <v>2014</v>
      </c>
      <c r="E926" s="14">
        <f>Data!L926</f>
        <v>627851000000</v>
      </c>
      <c r="F926" s="12">
        <f t="shared" si="14"/>
        <v>5.0111347273284315</v>
      </c>
    </row>
    <row r="927" spans="2:6" ht="15" customHeight="1" x14ac:dyDescent="0.3">
      <c r="C927" s="2"/>
      <c r="D927" s="8">
        <v>2015</v>
      </c>
      <c r="E927" s="14">
        <f>Data!L927</f>
        <v>721935000000</v>
      </c>
      <c r="F927" s="12">
        <f t="shared" si="14"/>
        <v>0.14985084040640215</v>
      </c>
    </row>
    <row r="928" spans="2:6" ht="15" customHeight="1" x14ac:dyDescent="0.3">
      <c r="C928" s="2"/>
      <c r="D928" s="8">
        <v>2016</v>
      </c>
      <c r="E928" s="14">
        <f>Data!L928</f>
        <v>633995000000</v>
      </c>
      <c r="F928" s="12">
        <f t="shared" si="14"/>
        <v>-0.12181152042773934</v>
      </c>
    </row>
    <row r="929" spans="2:6" ht="15" customHeight="1" x14ac:dyDescent="0.3">
      <c r="C929" s="2"/>
      <c r="D929" s="8">
        <v>2017</v>
      </c>
      <c r="E929" s="14">
        <f>Data!L929</f>
        <v>530488000000</v>
      </c>
      <c r="F929" s="12">
        <f t="shared" si="14"/>
        <v>-0.16326153991750725</v>
      </c>
    </row>
    <row r="930" spans="2:6" ht="15" customHeight="1" x14ac:dyDescent="0.3">
      <c r="C930" s="2"/>
      <c r="D930" s="8">
        <v>2018</v>
      </c>
      <c r="E930" s="14">
        <f>Data!L930</f>
        <v>649694000000</v>
      </c>
      <c r="F930" s="12">
        <f t="shared" si="14"/>
        <v>0.22471007826755743</v>
      </c>
    </row>
    <row r="931" spans="2:6" ht="15" customHeight="1" x14ac:dyDescent="0.3">
      <c r="C931" s="2"/>
      <c r="D931" s="8">
        <v>2019</v>
      </c>
      <c r="E931" s="14">
        <f>Data!L931</f>
        <v>672644000000</v>
      </c>
      <c r="F931" s="12">
        <f t="shared" si="14"/>
        <v>3.5324321911546053E-2</v>
      </c>
    </row>
    <row r="932" spans="2:6" ht="15" customHeight="1" x14ac:dyDescent="0.3">
      <c r="C932" s="2"/>
      <c r="D932" s="8">
        <v>2020</v>
      </c>
      <c r="E932" s="14">
        <f>Data!L932</f>
        <v>592879000000</v>
      </c>
      <c r="F932" s="12">
        <f t="shared" si="14"/>
        <v>-0.11858427340465387</v>
      </c>
    </row>
    <row r="933" spans="2:6" ht="15" customHeight="1" x14ac:dyDescent="0.3">
      <c r="C933" s="2"/>
      <c r="D933" s="8">
        <v>2021</v>
      </c>
      <c r="E933" s="14">
        <f>Data!L933</f>
        <v>607975000000</v>
      </c>
      <c r="F933" s="12">
        <f t="shared" si="14"/>
        <v>2.5462193803457368E-2</v>
      </c>
    </row>
    <row r="934" spans="2:6" ht="15" customHeight="1" x14ac:dyDescent="0.3">
      <c r="C934" s="2"/>
      <c r="D934" s="8">
        <v>2022</v>
      </c>
      <c r="E934" s="14">
        <f>Data!L934</f>
        <v>685776000000</v>
      </c>
      <c r="F934" s="12">
        <f t="shared" si="14"/>
        <v>0.1279674328714174</v>
      </c>
    </row>
    <row r="935" spans="2:6" ht="15" customHeight="1" x14ac:dyDescent="0.3">
      <c r="C935" s="2"/>
      <c r="D935" s="8">
        <v>2023</v>
      </c>
      <c r="E935" s="14">
        <f>Data!L935</f>
        <v>821741000000</v>
      </c>
      <c r="F935" s="12">
        <f t="shared" si="14"/>
        <v>0.19826444786635869</v>
      </c>
    </row>
    <row r="936" spans="2:6" ht="15" customHeight="1" x14ac:dyDescent="0.3">
      <c r="C936" s="2"/>
      <c r="D936" s="8">
        <v>2024</v>
      </c>
      <c r="E936" s="14">
        <f>Data!L936</f>
        <v>813904000000</v>
      </c>
      <c r="F936" s="12">
        <f t="shared" si="14"/>
        <v>-9.5370682489981633E-3</v>
      </c>
    </row>
    <row r="937" spans="2:6" ht="15" customHeight="1" x14ac:dyDescent="0.3">
      <c r="B937" s="8">
        <v>86</v>
      </c>
      <c r="C937" s="1" t="s">
        <v>132</v>
      </c>
      <c r="D937" s="8">
        <v>2014</v>
      </c>
      <c r="E937" s="14">
        <f>Data!L937</f>
        <v>0</v>
      </c>
      <c r="F937" s="12">
        <f t="shared" si="14"/>
        <v>-1</v>
      </c>
    </row>
    <row r="938" spans="2:6" ht="15" customHeight="1" x14ac:dyDescent="0.3">
      <c r="C938" s="1"/>
      <c r="D938" s="8">
        <v>2015</v>
      </c>
      <c r="E938" s="14">
        <f>Data!L938</f>
        <v>0</v>
      </c>
      <c r="F938" s="12">
        <f t="shared" si="14"/>
        <v>0</v>
      </c>
    </row>
    <row r="939" spans="2:6" ht="15" customHeight="1" x14ac:dyDescent="0.3">
      <c r="C939" s="1"/>
      <c r="D939" s="8">
        <v>2016</v>
      </c>
      <c r="E939" s="14">
        <f>Data!L939</f>
        <v>70555000000</v>
      </c>
      <c r="F939" s="12">
        <f t="shared" si="14"/>
        <v>0</v>
      </c>
    </row>
    <row r="940" spans="2:6" ht="15" customHeight="1" x14ac:dyDescent="0.3">
      <c r="C940" s="1"/>
      <c r="D940" s="8">
        <v>2017</v>
      </c>
      <c r="E940" s="14">
        <f>Data!L940</f>
        <v>60036000000</v>
      </c>
      <c r="F940" s="12">
        <f t="shared" si="14"/>
        <v>-0.14908936290836936</v>
      </c>
    </row>
    <row r="941" spans="2:6" ht="15" customHeight="1" x14ac:dyDescent="0.3">
      <c r="C941" s="1"/>
      <c r="D941" s="8">
        <v>2018</v>
      </c>
      <c r="E941" s="14">
        <f>Data!L941</f>
        <v>66707000000</v>
      </c>
      <c r="F941" s="12">
        <f t="shared" si="14"/>
        <v>0.11111666333533213</v>
      </c>
    </row>
    <row r="942" spans="2:6" ht="15" customHeight="1" x14ac:dyDescent="0.3">
      <c r="C942" s="1"/>
      <c r="D942" s="8">
        <v>2019</v>
      </c>
      <c r="E942" s="14">
        <f>Data!L942</f>
        <v>78835000000</v>
      </c>
      <c r="F942" s="12">
        <f t="shared" si="14"/>
        <v>0.18181000494700705</v>
      </c>
    </row>
    <row r="943" spans="2:6" ht="15" customHeight="1" x14ac:dyDescent="0.3">
      <c r="C943" s="1"/>
      <c r="D943" s="8">
        <v>2020</v>
      </c>
      <c r="E943" s="14">
        <f>Data!L943</f>
        <v>82528000000</v>
      </c>
      <c r="F943" s="12">
        <f t="shared" si="14"/>
        <v>4.6844675588253948E-2</v>
      </c>
    </row>
    <row r="944" spans="2:6" ht="15" customHeight="1" x14ac:dyDescent="0.3">
      <c r="C944" s="1"/>
      <c r="D944" s="8">
        <v>2021</v>
      </c>
      <c r="E944" s="14">
        <f>Data!L944</f>
        <v>96647000000</v>
      </c>
      <c r="F944" s="12">
        <f t="shared" si="14"/>
        <v>0.17108132997285769</v>
      </c>
    </row>
    <row r="945" spans="2:6" ht="15" customHeight="1" x14ac:dyDescent="0.3">
      <c r="C945" s="1"/>
      <c r="D945" s="8">
        <v>2022</v>
      </c>
      <c r="E945" s="14">
        <f>Data!L945</f>
        <v>106698000000</v>
      </c>
      <c r="F945" s="12">
        <f t="shared" si="14"/>
        <v>0.10399702008339627</v>
      </c>
    </row>
    <row r="946" spans="2:6" ht="15" customHeight="1" x14ac:dyDescent="0.3">
      <c r="C946" s="1"/>
      <c r="D946" s="8">
        <v>2023</v>
      </c>
      <c r="E946" s="14">
        <f>Data!L946</f>
        <v>98777000000</v>
      </c>
      <c r="F946" s="12">
        <f t="shared" si="14"/>
        <v>-7.4237567714483865E-2</v>
      </c>
    </row>
    <row r="947" spans="2:6" ht="15" customHeight="1" x14ac:dyDescent="0.3">
      <c r="C947" s="1"/>
      <c r="D947" s="8">
        <v>2024</v>
      </c>
      <c r="E947" s="14">
        <f>Data!L947</f>
        <v>122931000000</v>
      </c>
      <c r="F947" s="12">
        <f t="shared" si="14"/>
        <v>0.24453060935237961</v>
      </c>
    </row>
    <row r="948" spans="2:6" ht="15" customHeight="1" x14ac:dyDescent="0.3">
      <c r="B948" s="8">
        <v>87</v>
      </c>
      <c r="C948" s="4" t="s">
        <v>129</v>
      </c>
      <c r="D948" s="8">
        <v>2014</v>
      </c>
      <c r="E948" s="14">
        <f>Data!L948</f>
        <v>0</v>
      </c>
      <c r="F948" s="12">
        <f t="shared" si="14"/>
        <v>-1</v>
      </c>
    </row>
    <row r="949" spans="2:6" ht="15" customHeight="1" x14ac:dyDescent="0.3">
      <c r="C949" s="4"/>
      <c r="D949" s="8">
        <v>2015</v>
      </c>
      <c r="E949" s="14">
        <f>Data!L949</f>
        <v>0</v>
      </c>
      <c r="F949" s="12">
        <f t="shared" si="14"/>
        <v>0</v>
      </c>
    </row>
    <row r="950" spans="2:6" ht="15" customHeight="1" x14ac:dyDescent="0.3">
      <c r="C950" s="4"/>
      <c r="D950" s="8">
        <v>2016</v>
      </c>
      <c r="E950" s="14">
        <f>Data!L950</f>
        <v>0</v>
      </c>
      <c r="F950" s="12">
        <f t="shared" si="14"/>
        <v>0</v>
      </c>
    </row>
    <row r="951" spans="2:6" ht="15" customHeight="1" x14ac:dyDescent="0.3">
      <c r="C951" s="4"/>
      <c r="D951" s="8">
        <v>2017</v>
      </c>
      <c r="E951" s="14">
        <f>Data!L951</f>
        <v>0</v>
      </c>
      <c r="F951" s="12">
        <f t="shared" si="14"/>
        <v>0</v>
      </c>
    </row>
    <row r="952" spans="2:6" ht="15" customHeight="1" x14ac:dyDescent="0.3">
      <c r="C952" s="4"/>
      <c r="D952" s="8">
        <v>2018</v>
      </c>
      <c r="E952" s="14">
        <f>Data!L952</f>
        <v>0</v>
      </c>
      <c r="F952" s="12">
        <f t="shared" si="14"/>
        <v>0</v>
      </c>
    </row>
    <row r="953" spans="2:6" ht="15" customHeight="1" x14ac:dyDescent="0.3">
      <c r="C953" s="4"/>
      <c r="D953" s="8">
        <v>2019</v>
      </c>
      <c r="E953" s="14">
        <f>Data!L953</f>
        <v>0</v>
      </c>
      <c r="F953" s="12">
        <f t="shared" si="14"/>
        <v>0</v>
      </c>
    </row>
    <row r="954" spans="2:6" ht="15" customHeight="1" x14ac:dyDescent="0.3">
      <c r="C954" s="4"/>
      <c r="D954" s="8">
        <v>2020</v>
      </c>
      <c r="E954" s="14">
        <f>Data!L954</f>
        <v>0</v>
      </c>
      <c r="F954" s="12">
        <f t="shared" si="14"/>
        <v>0</v>
      </c>
    </row>
    <row r="955" spans="2:6" ht="15" customHeight="1" x14ac:dyDescent="0.3">
      <c r="C955" s="4"/>
      <c r="D955" s="8">
        <v>2021</v>
      </c>
      <c r="E955" s="14">
        <f>Data!L955</f>
        <v>0</v>
      </c>
      <c r="F955" s="12">
        <f t="shared" si="14"/>
        <v>0</v>
      </c>
    </row>
    <row r="956" spans="2:6" ht="15" customHeight="1" x14ac:dyDescent="0.3">
      <c r="C956" s="4"/>
      <c r="D956" s="8">
        <v>2022</v>
      </c>
      <c r="E956" s="14">
        <f>Data!L956</f>
        <v>0</v>
      </c>
      <c r="F956" s="12">
        <f t="shared" si="14"/>
        <v>0</v>
      </c>
    </row>
    <row r="957" spans="2:6" ht="15" customHeight="1" x14ac:dyDescent="0.3">
      <c r="C957" s="4"/>
      <c r="D957" s="8">
        <v>2023</v>
      </c>
      <c r="E957" s="14">
        <f>Data!L957</f>
        <v>0</v>
      </c>
      <c r="F957" s="12">
        <f t="shared" si="14"/>
        <v>0</v>
      </c>
    </row>
    <row r="958" spans="2:6" ht="15" customHeight="1" x14ac:dyDescent="0.3">
      <c r="C958" s="4"/>
      <c r="D958" s="8">
        <v>2024</v>
      </c>
      <c r="E958" s="14">
        <f>Data!L958</f>
        <v>0</v>
      </c>
      <c r="F958" s="12">
        <f t="shared" si="14"/>
        <v>0</v>
      </c>
    </row>
    <row r="959" spans="2:6" ht="15" customHeight="1" x14ac:dyDescent="0.3">
      <c r="B959" s="8">
        <v>88</v>
      </c>
      <c r="C959" s="2" t="s">
        <v>100</v>
      </c>
      <c r="D959" s="8">
        <v>2014</v>
      </c>
      <c r="E959" s="14">
        <f>Data!L959</f>
        <v>0</v>
      </c>
      <c r="F959" s="12">
        <f t="shared" si="14"/>
        <v>0</v>
      </c>
    </row>
    <row r="960" spans="2:6" ht="15" customHeight="1" x14ac:dyDescent="0.3">
      <c r="C960" s="2"/>
      <c r="D960" s="8">
        <v>2015</v>
      </c>
      <c r="E960" s="14">
        <f>Data!L960</f>
        <v>0</v>
      </c>
      <c r="F960" s="12">
        <f t="shared" si="14"/>
        <v>0</v>
      </c>
    </row>
    <row r="961" spans="2:6" ht="15" customHeight="1" x14ac:dyDescent="0.3">
      <c r="C961" s="2"/>
      <c r="D961" s="8">
        <v>2016</v>
      </c>
      <c r="E961" s="14">
        <f>Data!L961</f>
        <v>0</v>
      </c>
      <c r="F961" s="12">
        <f t="shared" si="14"/>
        <v>0</v>
      </c>
    </row>
    <row r="962" spans="2:6" ht="15" customHeight="1" x14ac:dyDescent="0.3">
      <c r="C962" s="2"/>
      <c r="D962" s="8">
        <v>2017</v>
      </c>
      <c r="E962" s="14">
        <f>Data!L962</f>
        <v>0</v>
      </c>
      <c r="F962" s="12">
        <f t="shared" si="14"/>
        <v>0</v>
      </c>
    </row>
    <row r="963" spans="2:6" ht="15" customHeight="1" x14ac:dyDescent="0.3">
      <c r="C963" s="2"/>
      <c r="D963" s="8">
        <v>2018</v>
      </c>
      <c r="E963" s="14">
        <f>Data!L963</f>
        <v>0</v>
      </c>
      <c r="F963" s="12">
        <f t="shared" ref="F963:F1026" si="15">IFERROR((E963-E962)/E962,0)</f>
        <v>0</v>
      </c>
    </row>
    <row r="964" spans="2:6" ht="15" customHeight="1" x14ac:dyDescent="0.3">
      <c r="C964" s="2"/>
      <c r="D964" s="8">
        <v>2019</v>
      </c>
      <c r="E964" s="14">
        <f>Data!L964</f>
        <v>0</v>
      </c>
      <c r="F964" s="12">
        <f t="shared" si="15"/>
        <v>0</v>
      </c>
    </row>
    <row r="965" spans="2:6" ht="15" customHeight="1" x14ac:dyDescent="0.3">
      <c r="C965" s="2"/>
      <c r="D965" s="8">
        <v>2020</v>
      </c>
      <c r="E965" s="14">
        <f>Data!L965</f>
        <v>0</v>
      </c>
      <c r="F965" s="12">
        <f t="shared" si="15"/>
        <v>0</v>
      </c>
    </row>
    <row r="966" spans="2:6" ht="15" customHeight="1" x14ac:dyDescent="0.3">
      <c r="C966" s="2"/>
      <c r="D966" s="8">
        <v>2021</v>
      </c>
      <c r="E966" s="14">
        <f>Data!L966</f>
        <v>0</v>
      </c>
      <c r="F966" s="12">
        <f t="shared" si="15"/>
        <v>0</v>
      </c>
    </row>
    <row r="967" spans="2:6" ht="15" customHeight="1" x14ac:dyDescent="0.3">
      <c r="C967" s="2"/>
      <c r="D967" s="8">
        <v>2022</v>
      </c>
      <c r="E967" s="14">
        <f>Data!L967</f>
        <v>0</v>
      </c>
      <c r="F967" s="12">
        <f t="shared" si="15"/>
        <v>0</v>
      </c>
    </row>
    <row r="968" spans="2:6" ht="15" customHeight="1" x14ac:dyDescent="0.3">
      <c r="C968" s="2"/>
      <c r="D968" s="8">
        <v>2023</v>
      </c>
      <c r="E968" s="14">
        <f>Data!L968</f>
        <v>0</v>
      </c>
      <c r="F968" s="12">
        <f t="shared" si="15"/>
        <v>0</v>
      </c>
    </row>
    <row r="969" spans="2:6" ht="15" customHeight="1" x14ac:dyDescent="0.3">
      <c r="C969" s="2"/>
      <c r="D969" s="8">
        <v>2024</v>
      </c>
      <c r="E969" s="14">
        <f>Data!L969</f>
        <v>0</v>
      </c>
      <c r="F969" s="12">
        <f t="shared" si="15"/>
        <v>0</v>
      </c>
    </row>
    <row r="970" spans="2:6" ht="15" customHeight="1" x14ac:dyDescent="0.3">
      <c r="B970" s="8">
        <v>89</v>
      </c>
      <c r="C970" s="2" t="s">
        <v>101</v>
      </c>
      <c r="D970" s="8">
        <v>2014</v>
      </c>
      <c r="E970" s="14">
        <f>Data!L970</f>
        <v>201979681270</v>
      </c>
      <c r="F970" s="12">
        <f t="shared" si="15"/>
        <v>0</v>
      </c>
    </row>
    <row r="971" spans="2:6" ht="15" customHeight="1" x14ac:dyDescent="0.3">
      <c r="C971" s="2"/>
      <c r="D971" s="8">
        <v>2015</v>
      </c>
      <c r="E971" s="14">
        <f>Data!L971</f>
        <v>181766616047</v>
      </c>
      <c r="F971" s="12">
        <f t="shared" si="15"/>
        <v>-0.10007474561750505</v>
      </c>
    </row>
    <row r="972" spans="2:6" ht="15" customHeight="1" x14ac:dyDescent="0.3">
      <c r="C972" s="2"/>
      <c r="D972" s="8">
        <v>2016</v>
      </c>
      <c r="E972" s="14">
        <f>Data!L972</f>
        <v>147412728798</v>
      </c>
      <c r="F972" s="12">
        <f t="shared" si="15"/>
        <v>-0.18899998248367567</v>
      </c>
    </row>
    <row r="973" spans="2:6" ht="15" customHeight="1" x14ac:dyDescent="0.3">
      <c r="C973" s="2"/>
      <c r="D973" s="8">
        <v>2017</v>
      </c>
      <c r="E973" s="14">
        <f>Data!L973</f>
        <v>124465270859</v>
      </c>
      <c r="F973" s="12">
        <f t="shared" si="15"/>
        <v>-0.15566809003613896</v>
      </c>
    </row>
    <row r="974" spans="2:6" ht="15" customHeight="1" x14ac:dyDescent="0.3">
      <c r="C974" s="2"/>
      <c r="D974" s="8">
        <v>2018</v>
      </c>
      <c r="E974" s="14">
        <f>Data!L974</f>
        <v>135633770098</v>
      </c>
      <c r="F974" s="12">
        <f t="shared" si="15"/>
        <v>8.9731851800267978E-2</v>
      </c>
    </row>
    <row r="975" spans="2:6" ht="15" customHeight="1" x14ac:dyDescent="0.3">
      <c r="C975" s="2"/>
      <c r="D975" s="8">
        <v>2019</v>
      </c>
      <c r="E975" s="14">
        <f>Data!L975</f>
        <v>175174507884</v>
      </c>
      <c r="F975" s="12">
        <f t="shared" si="15"/>
        <v>0.2915257590895724</v>
      </c>
    </row>
    <row r="976" spans="2:6" ht="15" customHeight="1" x14ac:dyDescent="0.3">
      <c r="C976" s="2"/>
      <c r="D976" s="8">
        <v>2020</v>
      </c>
      <c r="E976" s="14">
        <f>Data!L976</f>
        <v>185567699856</v>
      </c>
      <c r="F976" s="12">
        <f t="shared" si="15"/>
        <v>5.9330504749482947E-2</v>
      </c>
    </row>
    <row r="977" spans="2:6" ht="15" customHeight="1" x14ac:dyDescent="0.3">
      <c r="C977" s="2"/>
      <c r="D977" s="8">
        <v>2021</v>
      </c>
      <c r="E977" s="14">
        <f>Data!L977</f>
        <v>204553620643</v>
      </c>
      <c r="F977" s="12">
        <f t="shared" si="15"/>
        <v>0.10231263739181452</v>
      </c>
    </row>
    <row r="978" spans="2:6" ht="15" customHeight="1" x14ac:dyDescent="0.3">
      <c r="C978" s="2"/>
      <c r="D978" s="8">
        <v>2022</v>
      </c>
      <c r="E978" s="14">
        <f>Data!L978</f>
        <v>338955618944</v>
      </c>
      <c r="F978" s="12">
        <f t="shared" si="15"/>
        <v>0.65705020462857966</v>
      </c>
    </row>
    <row r="979" spans="2:6" ht="15" customHeight="1" x14ac:dyDescent="0.3">
      <c r="C979" s="2"/>
      <c r="D979" s="8">
        <v>2023</v>
      </c>
      <c r="E979" s="14">
        <f>Data!L979</f>
        <v>382281211729</v>
      </c>
      <c r="F979" s="12">
        <f t="shared" si="15"/>
        <v>0.12782084250433379</v>
      </c>
    </row>
    <row r="980" spans="2:6" ht="15" customHeight="1" x14ac:dyDescent="0.3">
      <c r="C980" s="2"/>
      <c r="D980" s="8">
        <v>2024</v>
      </c>
      <c r="E980" s="14">
        <f>Data!L980</f>
        <v>373958451506</v>
      </c>
      <c r="F980" s="12">
        <f t="shared" si="15"/>
        <v>-2.1771303343309539E-2</v>
      </c>
    </row>
    <row r="981" spans="2:6" ht="15" customHeight="1" x14ac:dyDescent="0.3">
      <c r="B981" s="8">
        <v>90</v>
      </c>
      <c r="C981" s="2" t="s">
        <v>93</v>
      </c>
      <c r="D981" s="8">
        <v>2014</v>
      </c>
      <c r="E981" s="14">
        <f>Data!L981</f>
        <v>49657000000</v>
      </c>
      <c r="F981" s="12">
        <f t="shared" si="15"/>
        <v>-0.86721252107012947</v>
      </c>
    </row>
    <row r="982" spans="2:6" ht="15" customHeight="1" x14ac:dyDescent="0.3">
      <c r="C982" s="2"/>
      <c r="D982" s="8">
        <v>2015</v>
      </c>
      <c r="E982" s="14">
        <f>Data!L982</f>
        <v>89277000000</v>
      </c>
      <c r="F982" s="12">
        <f t="shared" si="15"/>
        <v>0.7978734116036007</v>
      </c>
    </row>
    <row r="983" spans="2:6" ht="15" customHeight="1" x14ac:dyDescent="0.3">
      <c r="C983" s="2"/>
      <c r="D983" s="8">
        <v>2016</v>
      </c>
      <c r="E983" s="14">
        <f>Data!L983</f>
        <v>132150000000</v>
      </c>
      <c r="F983" s="12">
        <f t="shared" si="15"/>
        <v>0.48022446990826306</v>
      </c>
    </row>
    <row r="984" spans="2:6" ht="15" customHeight="1" x14ac:dyDescent="0.3">
      <c r="C984" s="2"/>
      <c r="D984" s="8">
        <v>2017</v>
      </c>
      <c r="E984" s="14">
        <f>Data!L984</f>
        <v>211270000000</v>
      </c>
      <c r="F984" s="12">
        <f t="shared" si="15"/>
        <v>0.5987135830495649</v>
      </c>
    </row>
    <row r="985" spans="2:6" ht="15" customHeight="1" x14ac:dyDescent="0.3">
      <c r="C985" s="2"/>
      <c r="D985" s="8">
        <v>2018</v>
      </c>
      <c r="E985" s="14">
        <f>Data!L985</f>
        <v>252456000000</v>
      </c>
      <c r="F985" s="12">
        <f t="shared" si="15"/>
        <v>0.19494485729161737</v>
      </c>
    </row>
    <row r="986" spans="2:6" ht="15" customHeight="1" x14ac:dyDescent="0.3">
      <c r="C986" s="2"/>
      <c r="D986" s="8">
        <v>2019</v>
      </c>
      <c r="E986" s="14">
        <f>Data!L986</f>
        <v>291202000000</v>
      </c>
      <c r="F986" s="12">
        <f t="shared" si="15"/>
        <v>0.15347624932661533</v>
      </c>
    </row>
    <row r="987" spans="2:6" ht="15" customHeight="1" x14ac:dyDescent="0.3">
      <c r="C987" s="2"/>
      <c r="D987" s="8">
        <v>2020</v>
      </c>
      <c r="E987" s="14">
        <f>Data!L987</f>
        <v>324522000000</v>
      </c>
      <c r="F987" s="12">
        <f t="shared" si="15"/>
        <v>0.11442229105569329</v>
      </c>
    </row>
    <row r="988" spans="2:6" ht="15" customHeight="1" x14ac:dyDescent="0.3">
      <c r="C988" s="2"/>
      <c r="D988" s="8">
        <v>2021</v>
      </c>
      <c r="E988" s="14">
        <f>Data!L988</f>
        <v>295244000000</v>
      </c>
      <c r="F988" s="12">
        <f t="shared" si="15"/>
        <v>-9.0218844947337937E-2</v>
      </c>
    </row>
    <row r="989" spans="2:6" ht="15" customHeight="1" x14ac:dyDescent="0.3">
      <c r="C989" s="2"/>
      <c r="D989" s="8">
        <v>2022</v>
      </c>
      <c r="E989" s="14">
        <f>Data!L989</f>
        <v>285067000000</v>
      </c>
      <c r="F989" s="12">
        <f t="shared" si="15"/>
        <v>-3.4469794475078239E-2</v>
      </c>
    </row>
    <row r="990" spans="2:6" ht="15" customHeight="1" x14ac:dyDescent="0.3">
      <c r="C990" s="2"/>
      <c r="D990" s="8">
        <v>2023</v>
      </c>
      <c r="E990" s="14">
        <f>Data!L990</f>
        <v>285034000000</v>
      </c>
      <c r="F990" s="12">
        <f t="shared" si="15"/>
        <v>-1.1576225939866769E-4</v>
      </c>
    </row>
    <row r="991" spans="2:6" ht="15" customHeight="1" x14ac:dyDescent="0.3">
      <c r="C991" s="2"/>
      <c r="D991" s="8">
        <v>2024</v>
      </c>
      <c r="E991" s="14">
        <f>Data!L991</f>
        <v>304457000000</v>
      </c>
      <c r="F991" s="12">
        <f t="shared" si="15"/>
        <v>6.8142747882708729E-2</v>
      </c>
    </row>
    <row r="992" spans="2:6" ht="15" customHeight="1" x14ac:dyDescent="0.3">
      <c r="B992" s="8">
        <v>91</v>
      </c>
      <c r="C992" s="2" t="s">
        <v>88</v>
      </c>
      <c r="D992" s="8">
        <v>2014</v>
      </c>
      <c r="E992" s="14">
        <f>Data!L992</f>
        <v>540949000000</v>
      </c>
      <c r="F992" s="12">
        <f t="shared" si="15"/>
        <v>0.77676650561491445</v>
      </c>
    </row>
    <row r="993" spans="2:6" ht="15" customHeight="1" x14ac:dyDescent="0.3">
      <c r="C993" s="2"/>
      <c r="D993" s="8">
        <v>2015</v>
      </c>
      <c r="E993" s="14">
        <f>Data!L993</f>
        <v>545262000000</v>
      </c>
      <c r="F993" s="12">
        <f t="shared" si="15"/>
        <v>7.9730251835200723E-3</v>
      </c>
    </row>
    <row r="994" spans="2:6" ht="15" customHeight="1" x14ac:dyDescent="0.3">
      <c r="C994" s="2"/>
      <c r="D994" s="8">
        <v>2016</v>
      </c>
      <c r="E994" s="14">
        <f>Data!L994</f>
        <v>484071000000</v>
      </c>
      <c r="F994" s="12">
        <f t="shared" si="15"/>
        <v>-0.11222311475951011</v>
      </c>
    </row>
    <row r="995" spans="2:6" ht="15" customHeight="1" x14ac:dyDescent="0.3">
      <c r="C995" s="2"/>
      <c r="D995" s="8">
        <v>2017</v>
      </c>
      <c r="E995" s="14">
        <f>Data!L995</f>
        <v>475494000000</v>
      </c>
      <c r="F995" s="12">
        <f t="shared" si="15"/>
        <v>-1.7718475182359611E-2</v>
      </c>
    </row>
    <row r="996" spans="2:6" ht="15" customHeight="1" x14ac:dyDescent="0.3">
      <c r="C996" s="2"/>
      <c r="D996" s="8">
        <v>2018</v>
      </c>
      <c r="E996" s="14">
        <f>Data!L996</f>
        <v>524481000000</v>
      </c>
      <c r="F996" s="12">
        <f t="shared" si="15"/>
        <v>0.10302338199851102</v>
      </c>
    </row>
    <row r="997" spans="2:6" ht="15" customHeight="1" x14ac:dyDescent="0.3">
      <c r="C997" s="2"/>
      <c r="D997" s="8">
        <v>2019</v>
      </c>
      <c r="E997" s="14">
        <f>Data!L997</f>
        <v>548286000000</v>
      </c>
      <c r="F997" s="12">
        <f t="shared" si="15"/>
        <v>4.5387726152138971E-2</v>
      </c>
    </row>
    <row r="998" spans="2:6" ht="15" customHeight="1" x14ac:dyDescent="0.3">
      <c r="C998" s="2"/>
      <c r="D998" s="8">
        <v>2020</v>
      </c>
      <c r="E998" s="14">
        <f>Data!L998</f>
        <v>530540000000</v>
      </c>
      <c r="F998" s="12">
        <f t="shared" si="15"/>
        <v>-3.2366319767420652E-2</v>
      </c>
    </row>
    <row r="999" spans="2:6" ht="15" customHeight="1" x14ac:dyDescent="0.3">
      <c r="C999" s="2"/>
      <c r="D999" s="8">
        <v>2021</v>
      </c>
      <c r="E999" s="14">
        <f>Data!L999</f>
        <v>611835000000</v>
      </c>
      <c r="F999" s="12">
        <f t="shared" si="15"/>
        <v>0.15323067063746371</v>
      </c>
    </row>
    <row r="1000" spans="2:6" ht="15" customHeight="1" x14ac:dyDescent="0.3">
      <c r="C1000" s="2"/>
      <c r="D1000" s="8">
        <v>2022</v>
      </c>
      <c r="E1000" s="14">
        <f>Data!L1000</f>
        <v>669942000000</v>
      </c>
      <c r="F1000" s="12">
        <f t="shared" si="15"/>
        <v>9.4971683542131452E-2</v>
      </c>
    </row>
    <row r="1001" spans="2:6" ht="15" customHeight="1" x14ac:dyDescent="0.3">
      <c r="C1001" s="2"/>
      <c r="D1001" s="8">
        <v>2023</v>
      </c>
      <c r="E1001" s="14">
        <f>Data!L1001</f>
        <v>740368000000</v>
      </c>
      <c r="F1001" s="12">
        <f t="shared" si="15"/>
        <v>0.10512253299539363</v>
      </c>
    </row>
    <row r="1002" spans="2:6" ht="15" customHeight="1" x14ac:dyDescent="0.3">
      <c r="C1002" s="2"/>
      <c r="D1002" s="8">
        <v>2024</v>
      </c>
      <c r="E1002" s="14">
        <f>Data!L1002</f>
        <v>841839000000</v>
      </c>
      <c r="F1002" s="12">
        <f t="shared" si="15"/>
        <v>0.13705481598340286</v>
      </c>
    </row>
    <row r="1003" spans="2:6" ht="15" customHeight="1" x14ac:dyDescent="0.3">
      <c r="B1003" s="8">
        <v>92</v>
      </c>
      <c r="C1003" s="2" t="s">
        <v>94</v>
      </c>
      <c r="D1003" s="8">
        <v>2014</v>
      </c>
      <c r="E1003" s="14">
        <f>Data!L1003</f>
        <v>729069511000</v>
      </c>
      <c r="F1003" s="12">
        <f t="shared" si="15"/>
        <v>-0.13395612343927996</v>
      </c>
    </row>
    <row r="1004" spans="2:6" ht="15" customHeight="1" x14ac:dyDescent="0.3">
      <c r="C1004" s="2"/>
      <c r="D1004" s="8">
        <v>2015</v>
      </c>
      <c r="E1004" s="14">
        <f>Data!L1004</f>
        <v>757076355000</v>
      </c>
      <c r="F1004" s="12">
        <f t="shared" si="15"/>
        <v>3.8414504484744531E-2</v>
      </c>
    </row>
    <row r="1005" spans="2:6" ht="15" customHeight="1" x14ac:dyDescent="0.3">
      <c r="C1005" s="2"/>
      <c r="D1005" s="8">
        <v>2016</v>
      </c>
      <c r="E1005" s="14">
        <f>Data!L1005</f>
        <v>748068685000</v>
      </c>
      <c r="F1005" s="12">
        <f t="shared" si="15"/>
        <v>-1.1897967675928803E-2</v>
      </c>
    </row>
    <row r="1006" spans="2:6" ht="15" customHeight="1" x14ac:dyDescent="0.3">
      <c r="C1006" s="2"/>
      <c r="D1006" s="8">
        <v>2017</v>
      </c>
      <c r="E1006" s="14">
        <f>Data!L1006</f>
        <v>768738026000</v>
      </c>
      <c r="F1006" s="12">
        <f t="shared" si="15"/>
        <v>2.7630271677526509E-2</v>
      </c>
    </row>
    <row r="1007" spans="2:6" ht="15" customHeight="1" x14ac:dyDescent="0.3">
      <c r="C1007" s="2"/>
      <c r="D1007" s="8">
        <v>2018</v>
      </c>
      <c r="E1007" s="14">
        <f>Data!L1007</f>
        <v>728317736000</v>
      </c>
      <c r="F1007" s="12">
        <f t="shared" si="15"/>
        <v>-5.2580058007953935E-2</v>
      </c>
    </row>
    <row r="1008" spans="2:6" ht="15" customHeight="1" x14ac:dyDescent="0.3">
      <c r="C1008" s="2"/>
      <c r="D1008" s="8">
        <v>2019</v>
      </c>
      <c r="E1008" s="14">
        <f>Data!L1008</f>
        <v>779573143000</v>
      </c>
      <c r="F1008" s="12">
        <f t="shared" si="15"/>
        <v>7.0375063610973218E-2</v>
      </c>
    </row>
    <row r="1009" spans="2:6" ht="15" customHeight="1" x14ac:dyDescent="0.3">
      <c r="C1009" s="2"/>
      <c r="D1009" s="8">
        <v>2020</v>
      </c>
      <c r="E1009" s="14">
        <f>Data!L1009</f>
        <v>767768686000</v>
      </c>
      <c r="F1009" s="12">
        <f t="shared" si="15"/>
        <v>-1.5142205841742293E-2</v>
      </c>
    </row>
    <row r="1010" spans="2:6" ht="15" customHeight="1" x14ac:dyDescent="0.3">
      <c r="C1010" s="2"/>
      <c r="D1010" s="8">
        <v>2021</v>
      </c>
      <c r="E1010" s="14">
        <f>Data!L1010</f>
        <v>787324359000</v>
      </c>
      <c r="F1010" s="12">
        <f t="shared" si="15"/>
        <v>2.5470787434537283E-2</v>
      </c>
    </row>
    <row r="1011" spans="2:6" ht="15" customHeight="1" x14ac:dyDescent="0.3">
      <c r="C1011" s="2"/>
      <c r="D1011" s="8">
        <v>2022</v>
      </c>
      <c r="E1011" s="14">
        <f>Data!L1011</f>
        <v>878518069000</v>
      </c>
      <c r="F1011" s="12">
        <f t="shared" si="15"/>
        <v>0.11582737020333954</v>
      </c>
    </row>
    <row r="1012" spans="2:6" ht="15" customHeight="1" x14ac:dyDescent="0.3">
      <c r="C1012" s="2"/>
      <c r="D1012" s="8">
        <v>2023</v>
      </c>
      <c r="E1012" s="14">
        <f>Data!L1012</f>
        <v>924323713000</v>
      </c>
      <c r="F1012" s="12">
        <f t="shared" si="15"/>
        <v>5.2139672041281601E-2</v>
      </c>
    </row>
    <row r="1013" spans="2:6" ht="15" customHeight="1" x14ac:dyDescent="0.3">
      <c r="C1013" s="2"/>
      <c r="D1013" s="8">
        <v>2024</v>
      </c>
      <c r="E1013" s="14">
        <f>Data!L1013</f>
        <v>1039237526000</v>
      </c>
      <c r="F1013" s="12">
        <f t="shared" si="15"/>
        <v>0.12432204365614928</v>
      </c>
    </row>
    <row r="1014" spans="2:6" ht="15" customHeight="1" x14ac:dyDescent="0.3">
      <c r="B1014" s="8">
        <v>93</v>
      </c>
      <c r="C1014" s="2" t="s">
        <v>102</v>
      </c>
      <c r="D1014" s="8">
        <v>2014</v>
      </c>
      <c r="E1014" s="14">
        <f>Data!L1014</f>
        <v>62976000000</v>
      </c>
      <c r="F1014" s="12">
        <f t="shared" si="15"/>
        <v>-0.93940172633835395</v>
      </c>
    </row>
    <row r="1015" spans="2:6" ht="15" customHeight="1" x14ac:dyDescent="0.3">
      <c r="C1015" s="2"/>
      <c r="D1015" s="8">
        <v>2015</v>
      </c>
      <c r="E1015" s="14">
        <f>Data!L1015</f>
        <v>49271000000</v>
      </c>
      <c r="F1015" s="12">
        <f t="shared" si="15"/>
        <v>-0.21762258638211382</v>
      </c>
    </row>
    <row r="1016" spans="2:6" ht="15" customHeight="1" x14ac:dyDescent="0.3">
      <c r="C1016" s="2"/>
      <c r="D1016" s="8">
        <v>2016</v>
      </c>
      <c r="E1016" s="14">
        <f>Data!L1016</f>
        <v>40957000000</v>
      </c>
      <c r="F1016" s="12">
        <f t="shared" si="15"/>
        <v>-0.1687402325911794</v>
      </c>
    </row>
    <row r="1017" spans="2:6" ht="15" customHeight="1" x14ac:dyDescent="0.3">
      <c r="C1017" s="2"/>
      <c r="D1017" s="8">
        <v>2017</v>
      </c>
      <c r="E1017" s="14">
        <f>Data!L1017</f>
        <v>57620000000</v>
      </c>
      <c r="F1017" s="12">
        <f t="shared" si="15"/>
        <v>0.40684132138584367</v>
      </c>
    </row>
    <row r="1018" spans="2:6" ht="15" customHeight="1" x14ac:dyDescent="0.3">
      <c r="C1018" s="2"/>
      <c r="D1018" s="8">
        <v>2018</v>
      </c>
      <c r="E1018" s="14">
        <f>Data!L1018</f>
        <v>75764000000</v>
      </c>
      <c r="F1018" s="12">
        <f t="shared" si="15"/>
        <v>0.3148906629642485</v>
      </c>
    </row>
    <row r="1019" spans="2:6" ht="15" customHeight="1" x14ac:dyDescent="0.3">
      <c r="C1019" s="2"/>
      <c r="D1019" s="8">
        <v>2019</v>
      </c>
      <c r="E1019" s="14">
        <f>Data!L1019</f>
        <v>114121000000</v>
      </c>
      <c r="F1019" s="12">
        <f t="shared" si="15"/>
        <v>0.50626946834908404</v>
      </c>
    </row>
    <row r="1020" spans="2:6" ht="15" customHeight="1" x14ac:dyDescent="0.3">
      <c r="C1020" s="2"/>
      <c r="D1020" s="8">
        <v>2020</v>
      </c>
      <c r="E1020" s="14">
        <f>Data!L1020</f>
        <v>114396000000</v>
      </c>
      <c r="F1020" s="12">
        <f t="shared" si="15"/>
        <v>2.4097230132929083E-3</v>
      </c>
    </row>
    <row r="1021" spans="2:6" ht="15" customHeight="1" x14ac:dyDescent="0.3">
      <c r="C1021" s="2"/>
      <c r="D1021" s="8">
        <v>2021</v>
      </c>
      <c r="E1021" s="14">
        <f>Data!L1021</f>
        <v>131723000000</v>
      </c>
      <c r="F1021" s="12">
        <f t="shared" si="15"/>
        <v>0.15146508619182489</v>
      </c>
    </row>
    <row r="1022" spans="2:6" ht="15" customHeight="1" x14ac:dyDescent="0.3">
      <c r="C1022" s="2"/>
      <c r="D1022" s="8">
        <v>2022</v>
      </c>
      <c r="E1022" s="14">
        <f>Data!L1022</f>
        <v>180069000000</v>
      </c>
      <c r="F1022" s="12">
        <f t="shared" si="15"/>
        <v>0.36702777798865804</v>
      </c>
    </row>
    <row r="1023" spans="2:6" ht="15" customHeight="1" x14ac:dyDescent="0.3">
      <c r="C1023" s="2"/>
      <c r="D1023" s="8">
        <v>2023</v>
      </c>
      <c r="E1023" s="14">
        <f>Data!L1023</f>
        <v>346584000000</v>
      </c>
      <c r="F1023" s="12">
        <f t="shared" si="15"/>
        <v>0.92472885393932325</v>
      </c>
    </row>
    <row r="1024" spans="2:6" ht="15" customHeight="1" x14ac:dyDescent="0.3">
      <c r="C1024" s="2"/>
      <c r="D1024" s="8">
        <v>2024</v>
      </c>
      <c r="E1024" s="14">
        <f>Data!L1024</f>
        <v>511066000000</v>
      </c>
      <c r="F1024" s="12">
        <f t="shared" si="15"/>
        <v>0.47458047688294902</v>
      </c>
    </row>
    <row r="1025" spans="2:6" ht="15" customHeight="1" x14ac:dyDescent="0.3">
      <c r="B1025" s="8">
        <v>94</v>
      </c>
      <c r="C1025" s="2" t="s">
        <v>114</v>
      </c>
      <c r="D1025" s="8">
        <v>2014</v>
      </c>
      <c r="E1025" s="14">
        <f>Data!L1025</f>
        <v>409999860000</v>
      </c>
      <c r="F1025" s="12">
        <f t="shared" si="15"/>
        <v>-0.19775555407716419</v>
      </c>
    </row>
    <row r="1026" spans="2:6" ht="15" customHeight="1" x14ac:dyDescent="0.3">
      <c r="C1026" s="2"/>
      <c r="D1026" s="8">
        <v>2015</v>
      </c>
      <c r="E1026" s="14">
        <f>Data!L1026</f>
        <v>502138400000</v>
      </c>
      <c r="F1026" s="12">
        <f t="shared" si="15"/>
        <v>0.22472822307792983</v>
      </c>
    </row>
    <row r="1027" spans="2:6" ht="15" customHeight="1" x14ac:dyDescent="0.3">
      <c r="C1027" s="2"/>
      <c r="D1027" s="8">
        <v>2016</v>
      </c>
      <c r="E1027" s="14">
        <f>Data!L1027</f>
        <v>473935800000</v>
      </c>
      <c r="F1027" s="12">
        <f t="shared" ref="F1027:F1090" si="16">IFERROR((E1027-E1026)/E1026,0)</f>
        <v>-5.6164993555561572E-2</v>
      </c>
    </row>
    <row r="1028" spans="2:6" ht="15" customHeight="1" x14ac:dyDescent="0.3">
      <c r="C1028" s="2"/>
      <c r="D1028" s="8">
        <v>2017</v>
      </c>
      <c r="E1028" s="14">
        <f>Data!L1028</f>
        <v>460014000000</v>
      </c>
      <c r="F1028" s="12">
        <f t="shared" si="16"/>
        <v>-2.9374864696864005E-2</v>
      </c>
    </row>
    <row r="1029" spans="2:6" ht="15" customHeight="1" x14ac:dyDescent="0.3">
      <c r="C1029" s="2"/>
      <c r="D1029" s="8">
        <v>2018</v>
      </c>
      <c r="E1029" s="14">
        <f>Data!L1029</f>
        <v>478180000000</v>
      </c>
      <c r="F1029" s="12">
        <f t="shared" si="16"/>
        <v>3.9490102475142064E-2</v>
      </c>
    </row>
    <row r="1030" spans="2:6" ht="15" customHeight="1" x14ac:dyDescent="0.3">
      <c r="C1030" s="2"/>
      <c r="D1030" s="8">
        <v>2019</v>
      </c>
      <c r="E1030" s="14">
        <f>Data!L1030</f>
        <v>510734000000</v>
      </c>
      <c r="F1030" s="12">
        <f t="shared" si="16"/>
        <v>6.8078966079718931E-2</v>
      </c>
    </row>
    <row r="1031" spans="2:6" ht="15" customHeight="1" x14ac:dyDescent="0.3">
      <c r="C1031" s="2"/>
      <c r="D1031" s="8">
        <v>2020</v>
      </c>
      <c r="E1031" s="14">
        <f>Data!L1031</f>
        <v>502265000000</v>
      </c>
      <c r="F1031" s="12">
        <f t="shared" si="16"/>
        <v>-1.6582017253599722E-2</v>
      </c>
    </row>
    <row r="1032" spans="2:6" ht="15" customHeight="1" x14ac:dyDescent="0.3">
      <c r="C1032" s="2"/>
      <c r="D1032" s="8">
        <v>2021</v>
      </c>
      <c r="E1032" s="14">
        <f>Data!L1032</f>
        <v>476728000000</v>
      </c>
      <c r="F1032" s="12">
        <f t="shared" si="16"/>
        <v>-5.0843678138034705E-2</v>
      </c>
    </row>
    <row r="1033" spans="2:6" ht="15" customHeight="1" x14ac:dyDescent="0.3">
      <c r="C1033" s="2"/>
      <c r="D1033" s="8">
        <v>2022</v>
      </c>
      <c r="E1033" s="14">
        <f>Data!L1033</f>
        <v>504231000000</v>
      </c>
      <c r="F1033" s="12">
        <f t="shared" si="16"/>
        <v>5.7691178198050044E-2</v>
      </c>
    </row>
    <row r="1034" spans="2:6" ht="15" customHeight="1" x14ac:dyDescent="0.3">
      <c r="C1034" s="2"/>
      <c r="D1034" s="8">
        <v>2023</v>
      </c>
      <c r="E1034" s="14">
        <f>Data!L1034</f>
        <v>604788000000</v>
      </c>
      <c r="F1034" s="12">
        <f t="shared" si="16"/>
        <v>0.19942645335173759</v>
      </c>
    </row>
    <row r="1035" spans="2:6" ht="15" customHeight="1" x14ac:dyDescent="0.3">
      <c r="C1035" s="2"/>
      <c r="D1035" s="8">
        <v>2024</v>
      </c>
      <c r="E1035" s="14">
        <f>Data!L1035</f>
        <v>647787000000</v>
      </c>
      <c r="F1035" s="12">
        <f t="shared" si="16"/>
        <v>7.109764082620687E-2</v>
      </c>
    </row>
    <row r="1036" spans="2:6" ht="15" customHeight="1" x14ac:dyDescent="0.3">
      <c r="B1036" s="8">
        <v>95</v>
      </c>
      <c r="C1036" s="2" t="s">
        <v>115</v>
      </c>
      <c r="D1036" s="8">
        <v>2014</v>
      </c>
      <c r="E1036" s="14">
        <f>Data!L1036</f>
        <v>0</v>
      </c>
      <c r="F1036" s="12">
        <f t="shared" si="16"/>
        <v>-1</v>
      </c>
    </row>
    <row r="1037" spans="2:6" ht="15" customHeight="1" x14ac:dyDescent="0.3">
      <c r="C1037" s="2"/>
      <c r="D1037" s="8">
        <v>2015</v>
      </c>
      <c r="E1037" s="14">
        <f>Data!L1037</f>
        <v>0</v>
      </c>
      <c r="F1037" s="12">
        <f t="shared" si="16"/>
        <v>0</v>
      </c>
    </row>
    <row r="1038" spans="2:6" ht="15" customHeight="1" x14ac:dyDescent="0.3">
      <c r="C1038" s="2"/>
      <c r="D1038" s="8">
        <v>2016</v>
      </c>
      <c r="E1038" s="14">
        <f>Data!L1038</f>
        <v>0</v>
      </c>
      <c r="F1038" s="12">
        <f t="shared" si="16"/>
        <v>0</v>
      </c>
    </row>
    <row r="1039" spans="2:6" ht="15" customHeight="1" x14ac:dyDescent="0.3">
      <c r="C1039" s="2"/>
      <c r="D1039" s="8">
        <v>2017</v>
      </c>
      <c r="E1039" s="14">
        <f>Data!L1039</f>
        <v>0</v>
      </c>
      <c r="F1039" s="12">
        <f t="shared" si="16"/>
        <v>0</v>
      </c>
    </row>
    <row r="1040" spans="2:6" ht="15" customHeight="1" x14ac:dyDescent="0.3">
      <c r="C1040" s="2"/>
      <c r="D1040" s="8">
        <v>2018</v>
      </c>
      <c r="E1040" s="14">
        <f>Data!L1040</f>
        <v>0</v>
      </c>
      <c r="F1040" s="12">
        <f t="shared" si="16"/>
        <v>0</v>
      </c>
    </row>
    <row r="1041" spans="2:6" ht="15" customHeight="1" x14ac:dyDescent="0.3">
      <c r="C1041" s="2"/>
      <c r="D1041" s="8">
        <v>2019</v>
      </c>
      <c r="E1041" s="14">
        <f>Data!L1041</f>
        <v>39959637824</v>
      </c>
      <c r="F1041" s="12">
        <f t="shared" si="16"/>
        <v>0</v>
      </c>
    </row>
    <row r="1042" spans="2:6" ht="15" customHeight="1" x14ac:dyDescent="0.3">
      <c r="C1042" s="2"/>
      <c r="D1042" s="8">
        <v>2020</v>
      </c>
      <c r="E1042" s="14">
        <f>Data!L1042</f>
        <v>31267000000</v>
      </c>
      <c r="F1042" s="12">
        <f t="shared" si="16"/>
        <v>-0.21753545070368854</v>
      </c>
    </row>
    <row r="1043" spans="2:6" ht="15" customHeight="1" x14ac:dyDescent="0.3">
      <c r="C1043" s="2"/>
      <c r="D1043" s="8">
        <v>2021</v>
      </c>
      <c r="E1043" s="14">
        <f>Data!L1043</f>
        <v>27446000000</v>
      </c>
      <c r="F1043" s="12">
        <f t="shared" si="16"/>
        <v>-0.12220552019701282</v>
      </c>
    </row>
    <row r="1044" spans="2:6" ht="15" customHeight="1" x14ac:dyDescent="0.3">
      <c r="C1044" s="2"/>
      <c r="D1044" s="8">
        <v>2022</v>
      </c>
      <c r="E1044" s="14">
        <f>Data!L1044</f>
        <v>14902000000</v>
      </c>
      <c r="F1044" s="12">
        <f t="shared" si="16"/>
        <v>-0.45704292064417401</v>
      </c>
    </row>
    <row r="1045" spans="2:6" ht="15" customHeight="1" x14ac:dyDescent="0.3">
      <c r="C1045" s="2"/>
      <c r="D1045" s="8">
        <v>2023</v>
      </c>
      <c r="E1045" s="14">
        <f>Data!L1045</f>
        <v>48533000000</v>
      </c>
      <c r="F1045" s="12">
        <f t="shared" si="16"/>
        <v>2.2568111662864045</v>
      </c>
    </row>
    <row r="1046" spans="2:6" ht="15" customHeight="1" x14ac:dyDescent="0.3">
      <c r="C1046" s="2"/>
      <c r="D1046" s="8">
        <v>2024</v>
      </c>
      <c r="E1046" s="14">
        <f>Data!L1046</f>
        <v>81067000000</v>
      </c>
      <c r="F1046" s="12">
        <f t="shared" si="16"/>
        <v>0.67034801063194116</v>
      </c>
    </row>
    <row r="1047" spans="2:6" ht="15" customHeight="1" x14ac:dyDescent="0.3">
      <c r="B1047" s="8">
        <v>96</v>
      </c>
      <c r="C1047" s="2" t="s">
        <v>116</v>
      </c>
      <c r="D1047" s="8">
        <v>2014</v>
      </c>
      <c r="E1047" s="14">
        <f>Data!L1047</f>
        <v>0</v>
      </c>
      <c r="F1047" s="12">
        <f t="shared" si="16"/>
        <v>-1</v>
      </c>
    </row>
    <row r="1048" spans="2:6" ht="15" customHeight="1" x14ac:dyDescent="0.3">
      <c r="C1048" s="2"/>
      <c r="D1048" s="8">
        <v>2015</v>
      </c>
      <c r="E1048" s="14">
        <f>Data!L1048</f>
        <v>311249973074</v>
      </c>
      <c r="F1048" s="12">
        <f t="shared" si="16"/>
        <v>0</v>
      </c>
    </row>
    <row r="1049" spans="2:6" ht="15" customHeight="1" x14ac:dyDescent="0.3">
      <c r="C1049" s="2"/>
      <c r="D1049" s="8">
        <v>2016</v>
      </c>
      <c r="E1049" s="14">
        <f>Data!L1049</f>
        <v>334335437786</v>
      </c>
      <c r="F1049" s="12">
        <f t="shared" si="16"/>
        <v>7.4170174165802766E-2</v>
      </c>
    </row>
    <row r="1050" spans="2:6" ht="15" customHeight="1" x14ac:dyDescent="0.3">
      <c r="C1050" s="2"/>
      <c r="D1050" s="8">
        <v>2017</v>
      </c>
      <c r="E1050" s="14">
        <f>Data!L1050</f>
        <v>325795692449</v>
      </c>
      <c r="F1050" s="12">
        <f t="shared" si="16"/>
        <v>-2.554244741015484E-2</v>
      </c>
    </row>
    <row r="1051" spans="2:6" ht="15" customHeight="1" x14ac:dyDescent="0.3">
      <c r="C1051" s="2"/>
      <c r="D1051" s="8">
        <v>2018</v>
      </c>
      <c r="E1051" s="14">
        <f>Data!L1051</f>
        <v>352488318320</v>
      </c>
      <c r="F1051" s="12">
        <f t="shared" si="16"/>
        <v>8.1930567191825163E-2</v>
      </c>
    </row>
    <row r="1052" spans="2:6" ht="15" customHeight="1" x14ac:dyDescent="0.3">
      <c r="C1052" s="2"/>
      <c r="D1052" s="8">
        <v>2019</v>
      </c>
      <c r="E1052" s="14">
        <f>Data!L1052</f>
        <v>359657973516</v>
      </c>
      <c r="F1052" s="12">
        <f t="shared" si="16"/>
        <v>2.0340121426353656E-2</v>
      </c>
    </row>
    <row r="1053" spans="2:6" ht="15" customHeight="1" x14ac:dyDescent="0.3">
      <c r="C1053" s="2"/>
      <c r="D1053" s="8">
        <v>2020</v>
      </c>
      <c r="E1053" s="14">
        <f>Data!L1053</f>
        <v>339072465808</v>
      </c>
      <c r="F1053" s="12">
        <f t="shared" si="16"/>
        <v>-5.7236344593606568E-2</v>
      </c>
    </row>
    <row r="1054" spans="2:6" ht="15" customHeight="1" x14ac:dyDescent="0.3">
      <c r="C1054" s="2"/>
      <c r="D1054" s="8">
        <v>2021</v>
      </c>
      <c r="E1054" s="14">
        <f>Data!L1054</f>
        <v>335624261996</v>
      </c>
      <c r="F1054" s="12">
        <f t="shared" si="16"/>
        <v>-1.01695187893922E-2</v>
      </c>
    </row>
    <row r="1055" spans="2:6" ht="15" customHeight="1" x14ac:dyDescent="0.3">
      <c r="C1055" s="2"/>
      <c r="D1055" s="8">
        <v>2022</v>
      </c>
      <c r="E1055" s="14">
        <f>Data!L1055</f>
        <v>436486285686</v>
      </c>
      <c r="F1055" s="12">
        <f t="shared" si="16"/>
        <v>0.30052065691008384</v>
      </c>
    </row>
    <row r="1056" spans="2:6" ht="15" customHeight="1" x14ac:dyDescent="0.3">
      <c r="C1056" s="2"/>
      <c r="D1056" s="8">
        <v>2023</v>
      </c>
      <c r="E1056" s="14">
        <f>Data!L1056</f>
        <v>522389382057</v>
      </c>
      <c r="F1056" s="12">
        <f t="shared" si="16"/>
        <v>0.19680594600123832</v>
      </c>
    </row>
    <row r="1057" spans="2:6" ht="15" customHeight="1" x14ac:dyDescent="0.3">
      <c r="C1057" s="2"/>
      <c r="D1057" s="8">
        <v>2024</v>
      </c>
      <c r="E1057" s="14">
        <f>Data!L1057</f>
        <v>420689854684</v>
      </c>
      <c r="F1057" s="12">
        <f t="shared" si="16"/>
        <v>-0.19468145958966515</v>
      </c>
    </row>
    <row r="1058" spans="2:6" ht="15" customHeight="1" x14ac:dyDescent="0.3">
      <c r="B1058" s="8">
        <v>97</v>
      </c>
      <c r="C1058" s="2" t="s">
        <v>117</v>
      </c>
      <c r="D1058" s="8">
        <v>2014</v>
      </c>
      <c r="E1058" s="14">
        <f>Data!L1058</f>
        <v>0</v>
      </c>
      <c r="F1058" s="12">
        <f t="shared" si="16"/>
        <v>-1</v>
      </c>
    </row>
    <row r="1059" spans="2:6" ht="15" customHeight="1" x14ac:dyDescent="0.3">
      <c r="C1059" s="2"/>
      <c r="D1059" s="8">
        <v>2015</v>
      </c>
      <c r="E1059" s="14">
        <f>Data!L1059</f>
        <v>0</v>
      </c>
      <c r="F1059" s="12">
        <f t="shared" si="16"/>
        <v>0</v>
      </c>
    </row>
    <row r="1060" spans="2:6" ht="15" customHeight="1" x14ac:dyDescent="0.3">
      <c r="C1060" s="2"/>
      <c r="D1060" s="8">
        <v>2016</v>
      </c>
      <c r="E1060" s="14">
        <f>Data!L1060</f>
        <v>0</v>
      </c>
      <c r="F1060" s="12">
        <f t="shared" si="16"/>
        <v>0</v>
      </c>
    </row>
    <row r="1061" spans="2:6" ht="15" customHeight="1" x14ac:dyDescent="0.3">
      <c r="C1061" s="2"/>
      <c r="D1061" s="8">
        <v>2017</v>
      </c>
      <c r="E1061" s="14">
        <f>Data!L1061</f>
        <v>257734000000</v>
      </c>
      <c r="F1061" s="12">
        <f t="shared" si="16"/>
        <v>0</v>
      </c>
    </row>
    <row r="1062" spans="2:6" ht="15" customHeight="1" x14ac:dyDescent="0.3">
      <c r="C1062" s="2"/>
      <c r="D1062" s="8">
        <v>2018</v>
      </c>
      <c r="E1062" s="14">
        <f>Data!L1062</f>
        <v>368758000000</v>
      </c>
      <c r="F1062" s="12">
        <f t="shared" si="16"/>
        <v>0.43076970830391026</v>
      </c>
    </row>
    <row r="1063" spans="2:6" ht="15" customHeight="1" x14ac:dyDescent="0.3">
      <c r="C1063" s="2"/>
      <c r="D1063" s="8">
        <v>2019</v>
      </c>
      <c r="E1063" s="14">
        <f>Data!L1063</f>
        <v>566454000000</v>
      </c>
      <c r="F1063" s="12">
        <f t="shared" si="16"/>
        <v>0.53611311483411883</v>
      </c>
    </row>
    <row r="1064" spans="2:6" ht="15" customHeight="1" x14ac:dyDescent="0.3">
      <c r="C1064" s="2"/>
      <c r="D1064" s="8">
        <v>2020</v>
      </c>
      <c r="E1064" s="14">
        <f>Data!L1064</f>
        <v>640387000000</v>
      </c>
      <c r="F1064" s="12">
        <f t="shared" si="16"/>
        <v>0.13051898300656364</v>
      </c>
    </row>
    <row r="1065" spans="2:6" ht="15" customHeight="1" x14ac:dyDescent="0.3">
      <c r="C1065" s="2"/>
      <c r="D1065" s="8">
        <v>2021</v>
      </c>
      <c r="E1065" s="14">
        <f>Data!L1065</f>
        <v>688785000000</v>
      </c>
      <c r="F1065" s="12">
        <f t="shared" si="16"/>
        <v>7.5576175031660545E-2</v>
      </c>
    </row>
    <row r="1066" spans="2:6" ht="15" customHeight="1" x14ac:dyDescent="0.3">
      <c r="C1066" s="2"/>
      <c r="D1066" s="8">
        <v>2022</v>
      </c>
      <c r="E1066" s="14">
        <f>Data!L1066</f>
        <v>897491000000</v>
      </c>
      <c r="F1066" s="12">
        <f t="shared" si="16"/>
        <v>0.3030060178430134</v>
      </c>
    </row>
    <row r="1067" spans="2:6" ht="15" customHeight="1" x14ac:dyDescent="0.3">
      <c r="C1067" s="2"/>
      <c r="D1067" s="8">
        <v>2023</v>
      </c>
      <c r="E1067" s="14">
        <f>Data!L1067</f>
        <v>1063564000000</v>
      </c>
      <c r="F1067" s="12">
        <f t="shared" si="16"/>
        <v>0.18504140988600443</v>
      </c>
    </row>
    <row r="1068" spans="2:6" ht="15" customHeight="1" x14ac:dyDescent="0.3">
      <c r="C1068" s="2"/>
      <c r="D1068" s="8">
        <v>2024</v>
      </c>
      <c r="E1068" s="14">
        <f>Data!L1068</f>
        <v>1356384000000</v>
      </c>
      <c r="F1068" s="12">
        <f t="shared" si="16"/>
        <v>0.27531958584532762</v>
      </c>
    </row>
    <row r="1069" spans="2:6" ht="15" customHeight="1" x14ac:dyDescent="0.3">
      <c r="B1069" s="8">
        <v>98</v>
      </c>
      <c r="C1069" s="2" t="s">
        <v>103</v>
      </c>
      <c r="D1069" s="8">
        <v>2014</v>
      </c>
      <c r="E1069" s="14">
        <f>Data!L1069</f>
        <v>0</v>
      </c>
      <c r="F1069" s="12">
        <f t="shared" si="16"/>
        <v>-1</v>
      </c>
    </row>
    <row r="1070" spans="2:6" ht="15" customHeight="1" x14ac:dyDescent="0.3">
      <c r="C1070" s="2"/>
      <c r="D1070" s="8">
        <v>2015</v>
      </c>
      <c r="E1070" s="14">
        <f>Data!L1070</f>
        <v>0</v>
      </c>
      <c r="F1070" s="12">
        <f t="shared" si="16"/>
        <v>0</v>
      </c>
    </row>
    <row r="1071" spans="2:6" ht="15" customHeight="1" x14ac:dyDescent="0.3">
      <c r="C1071" s="2"/>
      <c r="D1071" s="8">
        <v>2016</v>
      </c>
      <c r="E1071" s="14">
        <f>Data!L1071</f>
        <v>0</v>
      </c>
      <c r="F1071" s="12">
        <f t="shared" si="16"/>
        <v>0</v>
      </c>
    </row>
    <row r="1072" spans="2:6" ht="15" customHeight="1" x14ac:dyDescent="0.3">
      <c r="C1072" s="2"/>
      <c r="D1072" s="8">
        <v>2017</v>
      </c>
      <c r="E1072" s="14">
        <f>Data!L1072</f>
        <v>150971790000</v>
      </c>
      <c r="F1072" s="12">
        <f t="shared" si="16"/>
        <v>0</v>
      </c>
    </row>
    <row r="1073" spans="2:6" ht="15" customHeight="1" x14ac:dyDescent="0.3">
      <c r="C1073" s="2"/>
      <c r="D1073" s="8">
        <v>2018</v>
      </c>
      <c r="E1073" s="14">
        <f>Data!L1073</f>
        <v>137735990000</v>
      </c>
      <c r="F1073" s="12">
        <f t="shared" si="16"/>
        <v>-8.7670683377338243E-2</v>
      </c>
    </row>
    <row r="1074" spans="2:6" ht="15" customHeight="1" x14ac:dyDescent="0.3">
      <c r="C1074" s="2"/>
      <c r="D1074" s="8">
        <v>2019</v>
      </c>
      <c r="E1074" s="14">
        <f>Data!L1074</f>
        <v>173612720000</v>
      </c>
      <c r="F1074" s="12">
        <f t="shared" si="16"/>
        <v>0.26047462250062603</v>
      </c>
    </row>
    <row r="1075" spans="2:6" ht="15" customHeight="1" x14ac:dyDescent="0.3">
      <c r="C1075" s="2"/>
      <c r="D1075" s="8">
        <v>2020</v>
      </c>
      <c r="E1075" s="14">
        <f>Data!L1075</f>
        <v>132027930000</v>
      </c>
      <c r="F1075" s="12">
        <f t="shared" si="16"/>
        <v>-0.23952617066307122</v>
      </c>
    </row>
    <row r="1076" spans="2:6" ht="15" customHeight="1" x14ac:dyDescent="0.3">
      <c r="C1076" s="2"/>
      <c r="D1076" s="8">
        <v>2021</v>
      </c>
      <c r="E1076" s="14">
        <f>Data!L1076</f>
        <v>149580660000</v>
      </c>
      <c r="F1076" s="12">
        <f t="shared" si="16"/>
        <v>0.13294709687563835</v>
      </c>
    </row>
    <row r="1077" spans="2:6" ht="15" customHeight="1" x14ac:dyDescent="0.3">
      <c r="C1077" s="2"/>
      <c r="D1077" s="8">
        <v>2022</v>
      </c>
      <c r="E1077" s="14">
        <f>Data!L1077</f>
        <v>245922260000</v>
      </c>
      <c r="F1077" s="12">
        <f t="shared" si="16"/>
        <v>0.64407791755966315</v>
      </c>
    </row>
    <row r="1078" spans="2:6" ht="15" customHeight="1" x14ac:dyDescent="0.3">
      <c r="C1078" s="2"/>
      <c r="D1078" s="8">
        <v>2023</v>
      </c>
      <c r="E1078" s="14">
        <f>Data!L1078</f>
        <v>398089660000</v>
      </c>
      <c r="F1078" s="12">
        <f t="shared" si="16"/>
        <v>0.61876220558480555</v>
      </c>
    </row>
    <row r="1079" spans="2:6" ht="15" customHeight="1" x14ac:dyDescent="0.3">
      <c r="C1079" s="2"/>
      <c r="D1079" s="8">
        <v>2024</v>
      </c>
      <c r="E1079" s="14">
        <f>Data!L1079</f>
        <v>417182930000</v>
      </c>
      <c r="F1079" s="12">
        <f t="shared" si="16"/>
        <v>4.7962235442136326E-2</v>
      </c>
    </row>
    <row r="1080" spans="2:6" ht="15" customHeight="1" x14ac:dyDescent="0.3">
      <c r="B1080" s="8">
        <v>99</v>
      </c>
      <c r="C1080" s="2" t="s">
        <v>118</v>
      </c>
      <c r="D1080" s="8">
        <v>2014</v>
      </c>
      <c r="E1080" s="14">
        <f>Data!L1080</f>
        <v>0</v>
      </c>
      <c r="F1080" s="12">
        <f t="shared" si="16"/>
        <v>-1</v>
      </c>
    </row>
    <row r="1081" spans="2:6" ht="15" customHeight="1" x14ac:dyDescent="0.3">
      <c r="C1081" s="2"/>
      <c r="D1081" s="8">
        <v>2015</v>
      </c>
      <c r="E1081" s="14">
        <f>Data!L1081</f>
        <v>0</v>
      </c>
      <c r="F1081" s="12">
        <f t="shared" si="16"/>
        <v>0</v>
      </c>
    </row>
    <row r="1082" spans="2:6" ht="15" customHeight="1" x14ac:dyDescent="0.3">
      <c r="C1082" s="2"/>
      <c r="D1082" s="8">
        <v>2016</v>
      </c>
      <c r="E1082" s="14">
        <f>Data!L1082</f>
        <v>0</v>
      </c>
      <c r="F1082" s="12">
        <f t="shared" si="16"/>
        <v>0</v>
      </c>
    </row>
    <row r="1083" spans="2:6" ht="15" customHeight="1" x14ac:dyDescent="0.3">
      <c r="C1083" s="2"/>
      <c r="D1083" s="8">
        <v>2017</v>
      </c>
      <c r="E1083" s="14">
        <f>Data!L1083</f>
        <v>0</v>
      </c>
      <c r="F1083" s="12">
        <f t="shared" si="16"/>
        <v>0</v>
      </c>
    </row>
    <row r="1084" spans="2:6" ht="15" customHeight="1" x14ac:dyDescent="0.3">
      <c r="C1084" s="2"/>
      <c r="D1084" s="8">
        <v>2018</v>
      </c>
      <c r="E1084" s="14">
        <f>Data!L1084</f>
        <v>0</v>
      </c>
      <c r="F1084" s="12">
        <f t="shared" si="16"/>
        <v>0</v>
      </c>
    </row>
    <row r="1085" spans="2:6" ht="15" customHeight="1" x14ac:dyDescent="0.3">
      <c r="C1085" s="2"/>
      <c r="D1085" s="8">
        <v>2019</v>
      </c>
      <c r="E1085" s="14">
        <f>Data!L1085</f>
        <v>0</v>
      </c>
      <c r="F1085" s="12">
        <f t="shared" si="16"/>
        <v>0</v>
      </c>
    </row>
    <row r="1086" spans="2:6" ht="15" customHeight="1" x14ac:dyDescent="0.3">
      <c r="C1086" s="2"/>
      <c r="D1086" s="8">
        <v>2020</v>
      </c>
      <c r="E1086" s="14">
        <f>Data!L1086</f>
        <v>0</v>
      </c>
      <c r="F1086" s="12">
        <f t="shared" si="16"/>
        <v>0</v>
      </c>
    </row>
    <row r="1087" spans="2:6" ht="15" customHeight="1" x14ac:dyDescent="0.3">
      <c r="C1087" s="2"/>
      <c r="D1087" s="8">
        <v>2021</v>
      </c>
      <c r="E1087" s="14">
        <f>Data!L1087</f>
        <v>87925000000</v>
      </c>
      <c r="F1087" s="12">
        <f t="shared" si="16"/>
        <v>0</v>
      </c>
    </row>
    <row r="1088" spans="2:6" ht="15" customHeight="1" x14ac:dyDescent="0.3">
      <c r="C1088" s="2"/>
      <c r="D1088" s="8">
        <v>2022</v>
      </c>
      <c r="E1088" s="14">
        <f>Data!L1088</f>
        <v>95563000000</v>
      </c>
      <c r="F1088" s="12">
        <f t="shared" si="16"/>
        <v>8.6869491043502986E-2</v>
      </c>
    </row>
    <row r="1089" spans="2:6" ht="15" customHeight="1" x14ac:dyDescent="0.3">
      <c r="C1089" s="2"/>
      <c r="D1089" s="8">
        <v>2023</v>
      </c>
      <c r="E1089" s="14">
        <f>Data!L1089</f>
        <v>94388000000</v>
      </c>
      <c r="F1089" s="12">
        <f t="shared" si="16"/>
        <v>-1.2295553718489373E-2</v>
      </c>
    </row>
    <row r="1090" spans="2:6" ht="15" customHeight="1" x14ac:dyDescent="0.3">
      <c r="C1090" s="2"/>
      <c r="D1090" s="8">
        <v>2024</v>
      </c>
      <c r="E1090" s="14">
        <f>Data!L1090</f>
        <v>95474000000</v>
      </c>
      <c r="F1090" s="12">
        <f t="shared" si="16"/>
        <v>1.1505699877103022E-2</v>
      </c>
    </row>
    <row r="1091" spans="2:6" ht="15" customHeight="1" x14ac:dyDescent="0.3">
      <c r="B1091" s="8">
        <v>100</v>
      </c>
      <c r="C1091" s="2" t="s">
        <v>104</v>
      </c>
      <c r="D1091" s="8">
        <v>2014</v>
      </c>
      <c r="E1091" s="14">
        <f>Data!L1091</f>
        <v>33000000</v>
      </c>
      <c r="F1091" s="12">
        <f t="shared" ref="F1091:F1154" si="17">IFERROR((E1091-E1090)/E1090,0)</f>
        <v>-0.99965435615979215</v>
      </c>
    </row>
    <row r="1092" spans="2:6" ht="15" customHeight="1" x14ac:dyDescent="0.3">
      <c r="C1092" s="2"/>
      <c r="D1092" s="8">
        <v>2015</v>
      </c>
      <c r="E1092" s="14">
        <f>Data!L1092</f>
        <v>7546000000</v>
      </c>
      <c r="F1092" s="12">
        <f t="shared" si="17"/>
        <v>227.66666666666666</v>
      </c>
    </row>
    <row r="1093" spans="2:6" ht="15" customHeight="1" x14ac:dyDescent="0.3">
      <c r="C1093" s="2"/>
      <c r="D1093" s="8">
        <v>2016</v>
      </c>
      <c r="E1093" s="14">
        <f>Data!L1093</f>
        <v>11437000000</v>
      </c>
      <c r="F1093" s="12">
        <f t="shared" si="17"/>
        <v>0.51563742380068911</v>
      </c>
    </row>
    <row r="1094" spans="2:6" ht="15" customHeight="1" x14ac:dyDescent="0.3">
      <c r="C1094" s="2"/>
      <c r="D1094" s="8">
        <v>2017</v>
      </c>
      <c r="E1094" s="14">
        <f>Data!L1094</f>
        <v>13727000000</v>
      </c>
      <c r="F1094" s="12">
        <f t="shared" si="17"/>
        <v>0.20022733234239748</v>
      </c>
    </row>
    <row r="1095" spans="2:6" ht="15" customHeight="1" x14ac:dyDescent="0.3">
      <c r="C1095" s="2"/>
      <c r="D1095" s="8">
        <v>2018</v>
      </c>
      <c r="E1095" s="14">
        <f>Data!L1095</f>
        <v>29119000000</v>
      </c>
      <c r="F1095" s="12">
        <f t="shared" si="17"/>
        <v>1.1212938005390836</v>
      </c>
    </row>
    <row r="1096" spans="2:6" ht="15" customHeight="1" x14ac:dyDescent="0.3">
      <c r="C1096" s="2"/>
      <c r="D1096" s="8">
        <v>2019</v>
      </c>
      <c r="E1096" s="14">
        <f>Data!L1096</f>
        <v>415912000000</v>
      </c>
      <c r="F1096" s="12">
        <f t="shared" si="17"/>
        <v>13.283182801607198</v>
      </c>
    </row>
    <row r="1097" spans="2:6" ht="15" customHeight="1" x14ac:dyDescent="0.3">
      <c r="C1097" s="2"/>
      <c r="D1097" s="8">
        <v>2020</v>
      </c>
      <c r="E1097" s="14">
        <f>Data!L1097</f>
        <v>468817000000</v>
      </c>
      <c r="F1097" s="12">
        <f t="shared" si="17"/>
        <v>0.12720238896689684</v>
      </c>
    </row>
    <row r="1098" spans="2:6" ht="15" customHeight="1" x14ac:dyDescent="0.3">
      <c r="C1098" s="2"/>
      <c r="D1098" s="8">
        <v>2021</v>
      </c>
      <c r="E1098" s="14">
        <f>Data!L1098</f>
        <v>281520000000</v>
      </c>
      <c r="F1098" s="12">
        <f t="shared" si="17"/>
        <v>-0.39950983006162322</v>
      </c>
    </row>
    <row r="1099" spans="2:6" ht="15" customHeight="1" x14ac:dyDescent="0.3">
      <c r="C1099" s="2"/>
      <c r="D1099" s="8">
        <v>2022</v>
      </c>
      <c r="E1099" s="14">
        <f>Data!L1099</f>
        <v>619139000000</v>
      </c>
      <c r="F1099" s="12">
        <f t="shared" si="17"/>
        <v>1.1992718101733446</v>
      </c>
    </row>
    <row r="1100" spans="2:6" ht="15" customHeight="1" x14ac:dyDescent="0.3">
      <c r="C1100" s="2"/>
      <c r="D1100" s="8">
        <v>2023</v>
      </c>
      <c r="E1100" s="14">
        <f>Data!L1100</f>
        <v>1819945000000</v>
      </c>
      <c r="F1100" s="12">
        <f t="shared" si="17"/>
        <v>1.9394772417825399</v>
      </c>
    </row>
    <row r="1101" spans="2:6" ht="15" customHeight="1" x14ac:dyDescent="0.3">
      <c r="C1101" s="2"/>
      <c r="D1101" s="8">
        <v>2024</v>
      </c>
      <c r="E1101" s="14">
        <f>Data!L1101</f>
        <v>3472261000000</v>
      </c>
      <c r="F1101" s="12">
        <f t="shared" si="17"/>
        <v>0.90789337040405071</v>
      </c>
    </row>
    <row r="1102" spans="2:6" ht="15" customHeight="1" x14ac:dyDescent="0.3">
      <c r="B1102" s="8">
        <v>101</v>
      </c>
      <c r="C1102" s="2" t="s">
        <v>120</v>
      </c>
      <c r="D1102" s="8">
        <v>2014</v>
      </c>
      <c r="E1102" s="14">
        <f>Data!L1102</f>
        <v>944266000000</v>
      </c>
      <c r="F1102" s="12">
        <f t="shared" si="17"/>
        <v>-0.72805442908813589</v>
      </c>
    </row>
    <row r="1103" spans="2:6" ht="15" customHeight="1" x14ac:dyDescent="0.3">
      <c r="C1103" s="2"/>
      <c r="D1103" s="8">
        <v>2015</v>
      </c>
      <c r="E1103" s="14">
        <f>Data!L1103</f>
        <v>1160475000000</v>
      </c>
      <c r="F1103" s="12">
        <f t="shared" si="17"/>
        <v>0.22897043841459927</v>
      </c>
    </row>
    <row r="1104" spans="2:6" ht="15" customHeight="1" x14ac:dyDescent="0.3">
      <c r="C1104" s="2"/>
      <c r="D1104" s="8">
        <v>2016</v>
      </c>
      <c r="E1104" s="14">
        <f>Data!L1104</f>
        <v>1197099000000</v>
      </c>
      <c r="F1104" s="12">
        <f t="shared" si="17"/>
        <v>3.155949072578039E-2</v>
      </c>
    </row>
    <row r="1105" spans="2:6" ht="15" customHeight="1" x14ac:dyDescent="0.3">
      <c r="C1105" s="2"/>
      <c r="D1105" s="8">
        <v>2017</v>
      </c>
      <c r="E1105" s="14">
        <f>Data!L1105</f>
        <v>10563288000000</v>
      </c>
      <c r="F1105" s="12">
        <f t="shared" si="17"/>
        <v>7.8240721945302774</v>
      </c>
    </row>
    <row r="1106" spans="2:6" ht="15" customHeight="1" x14ac:dyDescent="0.3">
      <c r="C1106" s="2"/>
      <c r="D1106" s="8">
        <v>2018</v>
      </c>
      <c r="E1106" s="14">
        <f>Data!L1106</f>
        <v>24680668000000</v>
      </c>
      <c r="F1106" s="12">
        <f t="shared" si="17"/>
        <v>1.3364569819548611</v>
      </c>
    </row>
    <row r="1107" spans="2:6" ht="15" customHeight="1" x14ac:dyDescent="0.3">
      <c r="C1107" s="2"/>
      <c r="D1107" s="8">
        <v>2019</v>
      </c>
      <c r="E1107" s="14">
        <f>Data!L1107</f>
        <v>28697265000000</v>
      </c>
      <c r="F1107" s="12">
        <f t="shared" si="17"/>
        <v>0.16274263727383717</v>
      </c>
    </row>
    <row r="1108" spans="2:6" ht="15" customHeight="1" x14ac:dyDescent="0.3">
      <c r="C1108" s="2"/>
      <c r="D1108" s="8">
        <v>2020</v>
      </c>
      <c r="E1108" s="14">
        <f>Data!L1108</f>
        <v>29306719000000</v>
      </c>
      <c r="F1108" s="12">
        <f t="shared" si="17"/>
        <v>2.1237354848972542E-2</v>
      </c>
    </row>
    <row r="1109" spans="2:6" ht="15" customHeight="1" x14ac:dyDescent="0.3">
      <c r="C1109" s="2"/>
      <c r="D1109" s="8">
        <v>2021</v>
      </c>
      <c r="E1109" s="14">
        <f>Data!L1109</f>
        <v>26644133000000</v>
      </c>
      <c r="F1109" s="12">
        <f t="shared" si="17"/>
        <v>-9.0852408282209959E-2</v>
      </c>
    </row>
    <row r="1110" spans="2:6" ht="15" customHeight="1" x14ac:dyDescent="0.3">
      <c r="C1110" s="2"/>
      <c r="D1110" s="8">
        <v>2022</v>
      </c>
      <c r="E1110" s="14">
        <f>Data!L1110</f>
        <v>21038525000000</v>
      </c>
      <c r="F1110" s="12">
        <f t="shared" si="17"/>
        <v>-0.21038808055792246</v>
      </c>
    </row>
    <row r="1111" spans="2:6" ht="15" customHeight="1" x14ac:dyDescent="0.3">
      <c r="C1111" s="2"/>
      <c r="D1111" s="8">
        <v>2023</v>
      </c>
      <c r="E1111" s="14">
        <f>Data!L1111</f>
        <v>15214654000000</v>
      </c>
      <c r="F1111" s="12">
        <f t="shared" si="17"/>
        <v>-0.27681935877158687</v>
      </c>
    </row>
    <row r="1112" spans="2:6" ht="15" customHeight="1" x14ac:dyDescent="0.3">
      <c r="C1112" s="2"/>
      <c r="D1112" s="8">
        <v>2024</v>
      </c>
      <c r="E1112" s="14">
        <f>Data!L1112</f>
        <v>14635562000000</v>
      </c>
      <c r="F1112" s="12">
        <f t="shared" si="17"/>
        <v>-3.8061463638936512E-2</v>
      </c>
    </row>
    <row r="1113" spans="2:6" ht="15" customHeight="1" x14ac:dyDescent="0.3">
      <c r="B1113" s="8">
        <v>102</v>
      </c>
      <c r="C1113" s="1" t="s">
        <v>134</v>
      </c>
      <c r="D1113" s="8">
        <v>2014</v>
      </c>
      <c r="E1113" s="14">
        <f>Data!L1113</f>
        <v>0</v>
      </c>
      <c r="F1113" s="12">
        <f t="shared" si="17"/>
        <v>-1</v>
      </c>
    </row>
    <row r="1114" spans="2:6" ht="15" customHeight="1" x14ac:dyDescent="0.3">
      <c r="C1114" s="1"/>
      <c r="D1114" s="8">
        <v>2015</v>
      </c>
      <c r="E1114" s="14">
        <f>Data!L1114</f>
        <v>7128000000</v>
      </c>
      <c r="F1114" s="12">
        <f t="shared" si="17"/>
        <v>0</v>
      </c>
    </row>
    <row r="1115" spans="2:6" ht="15" customHeight="1" x14ac:dyDescent="0.3">
      <c r="C1115" s="1"/>
      <c r="D1115" s="8">
        <v>2016</v>
      </c>
      <c r="E1115" s="14">
        <f>Data!L1115</f>
        <v>9710000000</v>
      </c>
      <c r="F1115" s="12">
        <f t="shared" si="17"/>
        <v>0.36223344556677889</v>
      </c>
    </row>
    <row r="1116" spans="2:6" ht="15" customHeight="1" x14ac:dyDescent="0.3">
      <c r="C1116" s="1"/>
      <c r="D1116" s="8">
        <v>2017</v>
      </c>
      <c r="E1116" s="14">
        <f>Data!L1116</f>
        <v>12484000000</v>
      </c>
      <c r="F1116" s="12">
        <f t="shared" si="17"/>
        <v>0.28568486096807416</v>
      </c>
    </row>
    <row r="1117" spans="2:6" ht="15" customHeight="1" x14ac:dyDescent="0.3">
      <c r="C1117" s="1"/>
      <c r="D1117" s="8">
        <v>2018</v>
      </c>
      <c r="E1117" s="14">
        <f>Data!L1117</f>
        <v>12352000000</v>
      </c>
      <c r="F1117" s="12">
        <f t="shared" si="17"/>
        <v>-1.0573534123678308E-2</v>
      </c>
    </row>
    <row r="1118" spans="2:6" ht="15" customHeight="1" x14ac:dyDescent="0.3">
      <c r="C1118" s="1"/>
      <c r="D1118" s="8">
        <v>2019</v>
      </c>
      <c r="E1118" s="14">
        <f>Data!L1118</f>
        <v>11318000000</v>
      </c>
      <c r="F1118" s="12">
        <f t="shared" si="17"/>
        <v>-8.3711139896373063E-2</v>
      </c>
    </row>
    <row r="1119" spans="2:6" ht="15" customHeight="1" x14ac:dyDescent="0.3">
      <c r="C1119" s="1"/>
      <c r="D1119" s="8">
        <v>2020</v>
      </c>
      <c r="E1119" s="14">
        <f>Data!L1119</f>
        <v>10014000000</v>
      </c>
      <c r="F1119" s="12">
        <f t="shared" si="17"/>
        <v>-0.11521470224421276</v>
      </c>
    </row>
    <row r="1120" spans="2:6" ht="15" customHeight="1" x14ac:dyDescent="0.3">
      <c r="C1120" s="1"/>
      <c r="D1120" s="8">
        <v>2021</v>
      </c>
      <c r="E1120" s="14">
        <f>Data!L1120</f>
        <v>10110000000</v>
      </c>
      <c r="F1120" s="12">
        <f t="shared" si="17"/>
        <v>9.586578789694428E-3</v>
      </c>
    </row>
    <row r="1121" spans="2:6" ht="15" customHeight="1" x14ac:dyDescent="0.3">
      <c r="C1121" s="1"/>
      <c r="D1121" s="8">
        <v>2022</v>
      </c>
      <c r="E1121" s="14">
        <f>Data!L1121</f>
        <v>10567000000</v>
      </c>
      <c r="F1121" s="12">
        <f t="shared" si="17"/>
        <v>4.5202769535113749E-2</v>
      </c>
    </row>
    <row r="1122" spans="2:6" ht="15" customHeight="1" x14ac:dyDescent="0.3">
      <c r="C1122" s="1"/>
      <c r="D1122" s="8">
        <v>2023</v>
      </c>
      <c r="E1122" s="14">
        <f>Data!L1122</f>
        <v>9679000000</v>
      </c>
      <c r="F1122" s="12">
        <f t="shared" si="17"/>
        <v>-8.4035203936784333E-2</v>
      </c>
    </row>
    <row r="1123" spans="2:6" ht="15" customHeight="1" x14ac:dyDescent="0.3">
      <c r="C1123" s="1"/>
      <c r="D1123" s="8">
        <v>2024</v>
      </c>
      <c r="E1123" s="14">
        <f>Data!L1123</f>
        <v>6996000000</v>
      </c>
      <c r="F1123" s="12">
        <f t="shared" si="17"/>
        <v>-0.27719805765058375</v>
      </c>
    </row>
    <row r="1124" spans="2:6" ht="15" customHeight="1" x14ac:dyDescent="0.3">
      <c r="B1124" s="8">
        <v>103</v>
      </c>
      <c r="C1124" s="2" t="s">
        <v>122</v>
      </c>
      <c r="D1124" s="8">
        <v>2014</v>
      </c>
      <c r="E1124" s="14">
        <f>Data!L1124</f>
        <v>31648000000</v>
      </c>
      <c r="F1124" s="12">
        <f t="shared" si="17"/>
        <v>3.5237278444825613</v>
      </c>
    </row>
    <row r="1125" spans="2:6" ht="15" customHeight="1" x14ac:dyDescent="0.3">
      <c r="C1125" s="2"/>
      <c r="D1125" s="8">
        <v>2015</v>
      </c>
      <c r="E1125" s="14">
        <f>Data!L1125</f>
        <v>29717000000</v>
      </c>
      <c r="F1125" s="12">
        <f t="shared" si="17"/>
        <v>-6.1014914054600605E-2</v>
      </c>
    </row>
    <row r="1126" spans="2:6" ht="15" customHeight="1" x14ac:dyDescent="0.3">
      <c r="C1126" s="2"/>
      <c r="D1126" s="8">
        <v>2016</v>
      </c>
      <c r="E1126" s="14">
        <f>Data!L1126</f>
        <v>31015000000</v>
      </c>
      <c r="F1126" s="12">
        <f t="shared" si="17"/>
        <v>4.3678702426220684E-2</v>
      </c>
    </row>
    <row r="1127" spans="2:6" ht="15" customHeight="1" x14ac:dyDescent="0.3">
      <c r="C1127" s="2"/>
      <c r="D1127" s="8">
        <v>2017</v>
      </c>
      <c r="E1127" s="14">
        <f>Data!L1127</f>
        <v>46665000000</v>
      </c>
      <c r="F1127" s="12">
        <f t="shared" si="17"/>
        <v>0.50459455102369821</v>
      </c>
    </row>
    <row r="1128" spans="2:6" ht="15" customHeight="1" x14ac:dyDescent="0.3">
      <c r="C1128" s="2"/>
      <c r="D1128" s="8">
        <v>2018</v>
      </c>
      <c r="E1128" s="14">
        <f>Data!L1128</f>
        <v>45931000000</v>
      </c>
      <c r="F1128" s="12">
        <f t="shared" si="17"/>
        <v>-1.5729133183327977E-2</v>
      </c>
    </row>
    <row r="1129" spans="2:6" ht="15" customHeight="1" x14ac:dyDescent="0.3">
      <c r="C1129" s="2"/>
      <c r="D1129" s="8">
        <v>2019</v>
      </c>
      <c r="E1129" s="14">
        <f>Data!L1129</f>
        <v>61354000000</v>
      </c>
      <c r="F1129" s="12">
        <f t="shared" si="17"/>
        <v>0.33578628812784395</v>
      </c>
    </row>
    <row r="1130" spans="2:6" ht="15" customHeight="1" x14ac:dyDescent="0.3">
      <c r="C1130" s="2"/>
      <c r="D1130" s="8">
        <v>2020</v>
      </c>
      <c r="E1130" s="14">
        <f>Data!L1130</f>
        <v>754994000000</v>
      </c>
      <c r="F1130" s="12">
        <f t="shared" si="17"/>
        <v>11.305538351207746</v>
      </c>
    </row>
    <row r="1131" spans="2:6" ht="15" customHeight="1" x14ac:dyDescent="0.3">
      <c r="C1131" s="2"/>
      <c r="D1131" s="8">
        <v>2021</v>
      </c>
      <c r="E1131" s="14">
        <f>Data!L1131</f>
        <v>791781000000</v>
      </c>
      <c r="F1131" s="12">
        <f t="shared" si="17"/>
        <v>4.8724890528931357E-2</v>
      </c>
    </row>
    <row r="1132" spans="2:6" ht="15" customHeight="1" x14ac:dyDescent="0.3">
      <c r="C1132" s="2"/>
      <c r="D1132" s="8">
        <v>2022</v>
      </c>
      <c r="E1132" s="14">
        <f>Data!L1132</f>
        <v>203056000000</v>
      </c>
      <c r="F1132" s="12">
        <f t="shared" si="17"/>
        <v>-0.74354524799155319</v>
      </c>
    </row>
    <row r="1133" spans="2:6" ht="15" customHeight="1" x14ac:dyDescent="0.3">
      <c r="C1133" s="2"/>
      <c r="D1133" s="8">
        <v>2023</v>
      </c>
      <c r="E1133" s="14">
        <f>Data!L1133</f>
        <v>439398000000</v>
      </c>
      <c r="F1133" s="12">
        <f t="shared" si="17"/>
        <v>1.163925222598692</v>
      </c>
    </row>
    <row r="1134" spans="2:6" ht="15" customHeight="1" x14ac:dyDescent="0.3">
      <c r="C1134" s="2"/>
      <c r="D1134" s="8">
        <v>2024</v>
      </c>
      <c r="E1134" s="14">
        <f>Data!L1134</f>
        <v>226828000000</v>
      </c>
      <c r="F1134" s="12">
        <f t="shared" si="17"/>
        <v>-0.48377552924683315</v>
      </c>
    </row>
    <row r="1135" spans="2:6" ht="15" customHeight="1" x14ac:dyDescent="0.3">
      <c r="B1135" s="8">
        <v>104</v>
      </c>
      <c r="C1135" s="2" t="s">
        <v>123</v>
      </c>
      <c r="D1135" s="8">
        <v>2014</v>
      </c>
      <c r="E1135" s="14">
        <f>Data!L1135</f>
        <v>195864000000</v>
      </c>
      <c r="F1135" s="12">
        <f t="shared" si="17"/>
        <v>-0.13650872026381222</v>
      </c>
    </row>
    <row r="1136" spans="2:6" ht="15" customHeight="1" x14ac:dyDescent="0.3">
      <c r="C1136" s="2"/>
      <c r="D1136" s="8">
        <v>2015</v>
      </c>
      <c r="E1136" s="14">
        <f>Data!L1136</f>
        <v>235820000000</v>
      </c>
      <c r="F1136" s="12">
        <f t="shared" si="17"/>
        <v>0.20399869297063269</v>
      </c>
    </row>
    <row r="1137" spans="2:6" ht="15" customHeight="1" x14ac:dyDescent="0.3">
      <c r="C1137" s="2"/>
      <c r="D1137" s="8">
        <v>2016</v>
      </c>
      <c r="E1137" s="14">
        <f>Data!L1137</f>
        <v>243122000000</v>
      </c>
      <c r="F1137" s="12">
        <f t="shared" si="17"/>
        <v>3.0964294801119497E-2</v>
      </c>
    </row>
    <row r="1138" spans="2:6" ht="15" customHeight="1" x14ac:dyDescent="0.3">
      <c r="C1138" s="2"/>
      <c r="D1138" s="8">
        <v>2017</v>
      </c>
      <c r="E1138" s="14">
        <f>Data!L1138</f>
        <v>246408000000</v>
      </c>
      <c r="F1138" s="12">
        <f t="shared" si="17"/>
        <v>1.3515848010463882E-2</v>
      </c>
    </row>
    <row r="1139" spans="2:6" ht="15" customHeight="1" x14ac:dyDescent="0.3">
      <c r="C1139" s="2"/>
      <c r="D1139" s="8">
        <v>2018</v>
      </c>
      <c r="E1139" s="14">
        <f>Data!L1139</f>
        <v>259888000000</v>
      </c>
      <c r="F1139" s="12">
        <f t="shared" si="17"/>
        <v>5.470601603844031E-2</v>
      </c>
    </row>
    <row r="1140" spans="2:6" ht="15" customHeight="1" x14ac:dyDescent="0.3">
      <c r="C1140" s="2"/>
      <c r="D1140" s="8">
        <v>2019</v>
      </c>
      <c r="E1140" s="14">
        <f>Data!L1140</f>
        <v>250678000000</v>
      </c>
      <c r="F1140" s="12">
        <f t="shared" si="17"/>
        <v>-3.5438342670688912E-2</v>
      </c>
    </row>
    <row r="1141" spans="2:6" ht="15" customHeight="1" x14ac:dyDescent="0.3">
      <c r="C1141" s="2"/>
      <c r="D1141" s="8">
        <v>2020</v>
      </c>
      <c r="E1141" s="14">
        <f>Data!L1141</f>
        <v>184417000000</v>
      </c>
      <c r="F1141" s="12">
        <f t="shared" si="17"/>
        <v>-0.26432714478334757</v>
      </c>
    </row>
    <row r="1142" spans="2:6" ht="15" customHeight="1" x14ac:dyDescent="0.3">
      <c r="C1142" s="2"/>
      <c r="D1142" s="8">
        <v>2021</v>
      </c>
      <c r="E1142" s="14">
        <f>Data!L1142</f>
        <v>118413000000</v>
      </c>
      <c r="F1142" s="12">
        <f t="shared" si="17"/>
        <v>-0.35790626677583953</v>
      </c>
    </row>
    <row r="1143" spans="2:6" ht="15" customHeight="1" x14ac:dyDescent="0.3">
      <c r="C1143" s="2"/>
      <c r="D1143" s="8">
        <v>2022</v>
      </c>
      <c r="E1143" s="14">
        <f>Data!L1143</f>
        <v>105315000000</v>
      </c>
      <c r="F1143" s="12">
        <f t="shared" si="17"/>
        <v>-0.11061285500747384</v>
      </c>
    </row>
    <row r="1144" spans="2:6" ht="15" customHeight="1" x14ac:dyDescent="0.3">
      <c r="C1144" s="2"/>
      <c r="D1144" s="8">
        <v>2023</v>
      </c>
      <c r="E1144" s="14">
        <f>Data!L1144</f>
        <v>140448000000</v>
      </c>
      <c r="F1144" s="12">
        <f t="shared" si="17"/>
        <v>0.33359920239282154</v>
      </c>
    </row>
    <row r="1145" spans="2:6" ht="15" customHeight="1" x14ac:dyDescent="0.3">
      <c r="C1145" s="2"/>
      <c r="D1145" s="8">
        <v>2024</v>
      </c>
      <c r="E1145" s="14">
        <f>Data!L1145</f>
        <v>181654000000</v>
      </c>
      <c r="F1145" s="12">
        <f t="shared" si="17"/>
        <v>0.29338972431077692</v>
      </c>
    </row>
    <row r="1146" spans="2:6" ht="15" customHeight="1" x14ac:dyDescent="0.3">
      <c r="B1146" s="8">
        <v>105</v>
      </c>
      <c r="C1146" s="1" t="s">
        <v>135</v>
      </c>
      <c r="D1146" s="8">
        <v>2014</v>
      </c>
      <c r="E1146" s="14">
        <f>Data!L1146</f>
        <v>0</v>
      </c>
      <c r="F1146" s="12">
        <f t="shared" si="17"/>
        <v>-1</v>
      </c>
    </row>
    <row r="1147" spans="2:6" ht="15" customHeight="1" x14ac:dyDescent="0.3">
      <c r="C1147" s="1"/>
      <c r="D1147" s="8">
        <v>2015</v>
      </c>
      <c r="E1147" s="14">
        <f>Data!L1147</f>
        <v>0</v>
      </c>
      <c r="F1147" s="12">
        <f t="shared" si="17"/>
        <v>0</v>
      </c>
    </row>
    <row r="1148" spans="2:6" ht="15" customHeight="1" x14ac:dyDescent="0.3">
      <c r="C1148" s="1"/>
      <c r="D1148" s="8">
        <v>2016</v>
      </c>
      <c r="E1148" s="14">
        <f>Data!L1148</f>
        <v>55701000000</v>
      </c>
      <c r="F1148" s="12">
        <f t="shared" si="17"/>
        <v>0</v>
      </c>
    </row>
    <row r="1149" spans="2:6" ht="15" customHeight="1" x14ac:dyDescent="0.3">
      <c r="C1149" s="1"/>
      <c r="D1149" s="8">
        <v>2017</v>
      </c>
      <c r="E1149" s="14">
        <f>Data!L1149</f>
        <v>28499000000</v>
      </c>
      <c r="F1149" s="12">
        <f t="shared" si="17"/>
        <v>-0.48835748011705354</v>
      </c>
    </row>
    <row r="1150" spans="2:6" ht="15" customHeight="1" x14ac:dyDescent="0.3">
      <c r="C1150" s="1"/>
      <c r="D1150" s="8">
        <v>2018</v>
      </c>
      <c r="E1150" s="14">
        <f>Data!L1150</f>
        <v>11549000000</v>
      </c>
      <c r="F1150" s="12">
        <f t="shared" si="17"/>
        <v>-0.59475771079687012</v>
      </c>
    </row>
    <row r="1151" spans="2:6" ht="15" customHeight="1" x14ac:dyDescent="0.3">
      <c r="C1151" s="1"/>
      <c r="D1151" s="8">
        <v>2019</v>
      </c>
      <c r="E1151" s="14">
        <f>Data!L1151</f>
        <v>22581000000</v>
      </c>
      <c r="F1151" s="12">
        <f t="shared" si="17"/>
        <v>0.95523421941293618</v>
      </c>
    </row>
    <row r="1152" spans="2:6" ht="15" customHeight="1" x14ac:dyDescent="0.3">
      <c r="C1152" s="1"/>
      <c r="D1152" s="8">
        <v>2020</v>
      </c>
      <c r="E1152" s="14">
        <f>Data!L1152</f>
        <v>31534000000</v>
      </c>
      <c r="F1152" s="12">
        <f t="shared" si="17"/>
        <v>0.39648376954076436</v>
      </c>
    </row>
    <row r="1153" spans="2:6" ht="15" customHeight="1" x14ac:dyDescent="0.3">
      <c r="C1153" s="1"/>
      <c r="D1153" s="8">
        <v>2021</v>
      </c>
      <c r="E1153" s="14">
        <f>Data!L1153</f>
        <v>52735000000</v>
      </c>
      <c r="F1153" s="12">
        <f t="shared" si="17"/>
        <v>0.67232193822540753</v>
      </c>
    </row>
    <row r="1154" spans="2:6" ht="15" customHeight="1" x14ac:dyDescent="0.3">
      <c r="C1154" s="1"/>
      <c r="D1154" s="8">
        <v>2022</v>
      </c>
      <c r="E1154" s="14">
        <f>Data!L1154</f>
        <v>86671000000</v>
      </c>
      <c r="F1154" s="12">
        <f t="shared" si="17"/>
        <v>0.64351948421352045</v>
      </c>
    </row>
    <row r="1155" spans="2:6" ht="15" customHeight="1" x14ac:dyDescent="0.3">
      <c r="C1155" s="1"/>
      <c r="D1155" s="8">
        <v>2023</v>
      </c>
      <c r="E1155" s="14">
        <f>Data!L1155</f>
        <v>94953000000</v>
      </c>
      <c r="F1155" s="12">
        <f t="shared" ref="F1155:F1218" si="18">IFERROR((E1155-E1154)/E1154,0)</f>
        <v>9.5556760623507292E-2</v>
      </c>
    </row>
    <row r="1156" spans="2:6" ht="15" customHeight="1" x14ac:dyDescent="0.3">
      <c r="C1156" s="1"/>
      <c r="D1156" s="8">
        <v>2024</v>
      </c>
      <c r="E1156" s="14">
        <f>Data!L1156</f>
        <v>91172000000</v>
      </c>
      <c r="F1156" s="12">
        <f t="shared" si="18"/>
        <v>-3.9819700272766524E-2</v>
      </c>
    </row>
    <row r="1157" spans="2:6" ht="15" customHeight="1" x14ac:dyDescent="0.3">
      <c r="B1157" s="8">
        <v>106</v>
      </c>
      <c r="C1157" s="2" t="s">
        <v>124</v>
      </c>
      <c r="D1157" s="8">
        <v>2014</v>
      </c>
      <c r="E1157" s="14">
        <f>Data!L1157</f>
        <v>471337000000</v>
      </c>
      <c r="F1157" s="12">
        <f t="shared" si="18"/>
        <v>4.1697560654586932</v>
      </c>
    </row>
    <row r="1158" spans="2:6" ht="15" customHeight="1" x14ac:dyDescent="0.3">
      <c r="C1158" s="2"/>
      <c r="D1158" s="8">
        <v>2015</v>
      </c>
      <c r="E1158" s="14">
        <f>Data!L1158</f>
        <v>541270000000</v>
      </c>
      <c r="F1158" s="12">
        <f t="shared" si="18"/>
        <v>0.14837154732176766</v>
      </c>
    </row>
    <row r="1159" spans="2:6" ht="15" customHeight="1" x14ac:dyDescent="0.3">
      <c r="C1159" s="2"/>
      <c r="D1159" s="8">
        <v>2016</v>
      </c>
      <c r="E1159" s="14">
        <f>Data!L1159</f>
        <v>553097000000</v>
      </c>
      <c r="F1159" s="12">
        <f t="shared" si="18"/>
        <v>2.185046280045079E-2</v>
      </c>
    </row>
    <row r="1160" spans="2:6" ht="15" customHeight="1" x14ac:dyDescent="0.3">
      <c r="C1160" s="2"/>
      <c r="D1160" s="8">
        <v>2017</v>
      </c>
      <c r="E1160" s="14">
        <f>Data!L1160</f>
        <v>594731000000</v>
      </c>
      <c r="F1160" s="12">
        <f t="shared" si="18"/>
        <v>7.5274318971175036E-2</v>
      </c>
    </row>
    <row r="1161" spans="2:6" ht="15" customHeight="1" x14ac:dyDescent="0.3">
      <c r="C1161" s="2"/>
      <c r="D1161" s="8">
        <v>2018</v>
      </c>
      <c r="E1161" s="14">
        <f>Data!L1161</f>
        <v>683018000000</v>
      </c>
      <c r="F1161" s="12">
        <f t="shared" si="18"/>
        <v>0.1484486263537633</v>
      </c>
    </row>
    <row r="1162" spans="2:6" ht="15" customHeight="1" x14ac:dyDescent="0.3">
      <c r="C1162" s="2"/>
      <c r="D1162" s="8">
        <v>2019</v>
      </c>
      <c r="E1162" s="14">
        <f>Data!L1162</f>
        <v>789392000000</v>
      </c>
      <c r="F1162" s="12">
        <f t="shared" si="18"/>
        <v>0.15574113712962176</v>
      </c>
    </row>
    <row r="1163" spans="2:6" ht="15" customHeight="1" x14ac:dyDescent="0.3">
      <c r="C1163" s="2"/>
      <c r="D1163" s="8">
        <v>2020</v>
      </c>
      <c r="E1163" s="14">
        <f>Data!L1163</f>
        <v>833186000000</v>
      </c>
      <c r="F1163" s="12">
        <f t="shared" si="18"/>
        <v>5.5478140138232969E-2</v>
      </c>
    </row>
    <row r="1164" spans="2:6" ht="15" customHeight="1" x14ac:dyDescent="0.3">
      <c r="C1164" s="2"/>
      <c r="D1164" s="8">
        <v>2021</v>
      </c>
      <c r="E1164" s="14">
        <f>Data!L1164</f>
        <v>954234000000</v>
      </c>
      <c r="F1164" s="12">
        <f t="shared" si="18"/>
        <v>0.14528328608497981</v>
      </c>
    </row>
    <row r="1165" spans="2:6" ht="15" customHeight="1" x14ac:dyDescent="0.3">
      <c r="C1165" s="2"/>
      <c r="D1165" s="8">
        <v>2022</v>
      </c>
      <c r="E1165" s="14">
        <f>Data!L1165</f>
        <v>1053595000000</v>
      </c>
      <c r="F1165" s="12">
        <f t="shared" si="18"/>
        <v>0.10412645116397026</v>
      </c>
    </row>
    <row r="1166" spans="2:6" ht="15" customHeight="1" x14ac:dyDescent="0.3">
      <c r="C1166" s="2"/>
      <c r="D1166" s="8">
        <v>2023</v>
      </c>
      <c r="E1166" s="14">
        <f>Data!L1166</f>
        <v>1034778000000</v>
      </c>
      <c r="F1166" s="12">
        <f t="shared" si="18"/>
        <v>-1.7859803814558727E-2</v>
      </c>
    </row>
    <row r="1167" spans="2:6" ht="15" customHeight="1" x14ac:dyDescent="0.3">
      <c r="C1167" s="2"/>
      <c r="D1167" s="8">
        <v>2024</v>
      </c>
      <c r="E1167" s="14">
        <f>Data!L1167</f>
        <v>1086283000000</v>
      </c>
      <c r="F1167" s="12">
        <f t="shared" si="18"/>
        <v>4.9773961178146427E-2</v>
      </c>
    </row>
    <row r="1168" spans="2:6" ht="15" customHeight="1" x14ac:dyDescent="0.3">
      <c r="B1168" s="8">
        <v>107</v>
      </c>
      <c r="C1168" s="2" t="s">
        <v>105</v>
      </c>
      <c r="D1168" s="8">
        <v>2014</v>
      </c>
      <c r="E1168" s="14">
        <f>Data!L1168</f>
        <v>0</v>
      </c>
      <c r="F1168" s="12">
        <f t="shared" si="18"/>
        <v>-1</v>
      </c>
    </row>
    <row r="1169" spans="2:6" ht="15" customHeight="1" x14ac:dyDescent="0.3">
      <c r="C1169" s="2"/>
      <c r="D1169" s="8">
        <v>2015</v>
      </c>
      <c r="E1169" s="14">
        <f>Data!L1169</f>
        <v>0</v>
      </c>
      <c r="F1169" s="12">
        <f t="shared" si="18"/>
        <v>0</v>
      </c>
    </row>
    <row r="1170" spans="2:6" ht="15" customHeight="1" x14ac:dyDescent="0.3">
      <c r="C1170" s="2"/>
      <c r="D1170" s="8">
        <v>2016</v>
      </c>
      <c r="E1170" s="14">
        <f>Data!L1170</f>
        <v>0</v>
      </c>
      <c r="F1170" s="12">
        <f t="shared" si="18"/>
        <v>0</v>
      </c>
    </row>
    <row r="1171" spans="2:6" ht="15" customHeight="1" x14ac:dyDescent="0.3">
      <c r="C1171" s="2"/>
      <c r="D1171" s="8">
        <v>2017</v>
      </c>
      <c r="E1171" s="14">
        <f>Data!L1171</f>
        <v>0</v>
      </c>
      <c r="F1171" s="12">
        <f t="shared" si="18"/>
        <v>0</v>
      </c>
    </row>
    <row r="1172" spans="2:6" ht="15" customHeight="1" x14ac:dyDescent="0.3">
      <c r="C1172" s="2"/>
      <c r="D1172" s="8">
        <v>2018</v>
      </c>
      <c r="E1172" s="14">
        <f>Data!L1172</f>
        <v>0</v>
      </c>
      <c r="F1172" s="12">
        <f t="shared" si="18"/>
        <v>0</v>
      </c>
    </row>
    <row r="1173" spans="2:6" ht="15" customHeight="1" x14ac:dyDescent="0.3">
      <c r="C1173" s="2"/>
      <c r="D1173" s="8">
        <v>2019</v>
      </c>
      <c r="E1173" s="14">
        <f>Data!L1173</f>
        <v>28800000000</v>
      </c>
      <c r="F1173" s="12">
        <f t="shared" si="18"/>
        <v>0</v>
      </c>
    </row>
    <row r="1174" spans="2:6" ht="15" customHeight="1" x14ac:dyDescent="0.3">
      <c r="C1174" s="2"/>
      <c r="D1174" s="8">
        <v>2020</v>
      </c>
      <c r="E1174" s="14">
        <f>Data!L1174</f>
        <v>133950000000</v>
      </c>
      <c r="F1174" s="12">
        <f t="shared" si="18"/>
        <v>3.6510416666666665</v>
      </c>
    </row>
    <row r="1175" spans="2:6" ht="15" customHeight="1" x14ac:dyDescent="0.3">
      <c r="C1175" s="2"/>
      <c r="D1175" s="8">
        <v>2021</v>
      </c>
      <c r="E1175" s="14">
        <f>Data!L1175</f>
        <v>222333000000</v>
      </c>
      <c r="F1175" s="12">
        <f t="shared" si="18"/>
        <v>0.65982082866741321</v>
      </c>
    </row>
    <row r="1176" spans="2:6" ht="15" customHeight="1" x14ac:dyDescent="0.3">
      <c r="C1176" s="2"/>
      <c r="D1176" s="8">
        <v>2022</v>
      </c>
      <c r="E1176" s="14">
        <f>Data!L1176</f>
        <v>319080000000</v>
      </c>
      <c r="F1176" s="12">
        <f t="shared" si="18"/>
        <v>0.43514458042665732</v>
      </c>
    </row>
    <row r="1177" spans="2:6" ht="15" customHeight="1" x14ac:dyDescent="0.3">
      <c r="C1177" s="2"/>
      <c r="D1177" s="8">
        <v>2023</v>
      </c>
      <c r="E1177" s="14">
        <f>Data!L1177</f>
        <v>385445000000</v>
      </c>
      <c r="F1177" s="12">
        <f t="shared" si="18"/>
        <v>0.20798859220258242</v>
      </c>
    </row>
    <row r="1178" spans="2:6" ht="15" customHeight="1" x14ac:dyDescent="0.3">
      <c r="C1178" s="2"/>
      <c r="D1178" s="8">
        <v>2024</v>
      </c>
      <c r="E1178" s="14">
        <f>Data!L1178</f>
        <v>441060000000</v>
      </c>
      <c r="F1178" s="12">
        <f t="shared" si="18"/>
        <v>0.14428777127735476</v>
      </c>
    </row>
    <row r="1179" spans="2:6" ht="15" customHeight="1" x14ac:dyDescent="0.3">
      <c r="B1179" s="8">
        <v>108</v>
      </c>
      <c r="C1179" s="1" t="s">
        <v>125</v>
      </c>
      <c r="D1179" s="8">
        <v>2014</v>
      </c>
      <c r="E1179" s="14">
        <f>Data!L1179</f>
        <v>326122000000</v>
      </c>
      <c r="F1179" s="12">
        <f t="shared" si="18"/>
        <v>-0.26059493039495762</v>
      </c>
    </row>
    <row r="1180" spans="2:6" ht="15" customHeight="1" x14ac:dyDescent="0.3">
      <c r="C1180" s="1"/>
      <c r="D1180" s="8">
        <v>2015</v>
      </c>
      <c r="E1180" s="14">
        <f>Data!L1180</f>
        <v>329295000000</v>
      </c>
      <c r="F1180" s="12">
        <f t="shared" si="18"/>
        <v>9.7294877377177864E-3</v>
      </c>
    </row>
    <row r="1181" spans="2:6" ht="15" customHeight="1" x14ac:dyDescent="0.3">
      <c r="C1181" s="1"/>
      <c r="D1181" s="8">
        <v>2016</v>
      </c>
      <c r="E1181" s="14">
        <f>Data!L1181</f>
        <v>296642000000</v>
      </c>
      <c r="F1181" s="12">
        <f t="shared" si="18"/>
        <v>-9.9160327366039566E-2</v>
      </c>
    </row>
    <row r="1182" spans="2:6" ht="15" customHeight="1" x14ac:dyDescent="0.3">
      <c r="C1182" s="1"/>
      <c r="D1182" s="8">
        <v>2017</v>
      </c>
      <c r="E1182" s="14">
        <f>Data!L1182</f>
        <v>282671000000</v>
      </c>
      <c r="F1182" s="12">
        <f t="shared" si="18"/>
        <v>-4.7097174371801699E-2</v>
      </c>
    </row>
    <row r="1183" spans="2:6" ht="15" customHeight="1" x14ac:dyDescent="0.3">
      <c r="C1183" s="1"/>
      <c r="D1183" s="8">
        <v>2018</v>
      </c>
      <c r="E1183" s="14">
        <f>Data!L1183</f>
        <v>301445000000</v>
      </c>
      <c r="F1183" s="12">
        <f t="shared" si="18"/>
        <v>6.6416434653714038E-2</v>
      </c>
    </row>
    <row r="1184" spans="2:6" ht="15" customHeight="1" x14ac:dyDescent="0.3">
      <c r="C1184" s="1"/>
      <c r="D1184" s="8">
        <v>2019</v>
      </c>
      <c r="E1184" s="14">
        <f>Data!L1184</f>
        <v>318724000000</v>
      </c>
      <c r="F1184" s="12">
        <f t="shared" si="18"/>
        <v>5.7320572575428351E-2</v>
      </c>
    </row>
    <row r="1185" spans="2:6" ht="15" customHeight="1" x14ac:dyDescent="0.3">
      <c r="C1185" s="1"/>
      <c r="D1185" s="8">
        <v>2020</v>
      </c>
      <c r="E1185" s="14">
        <f>Data!L1185</f>
        <v>295210000000</v>
      </c>
      <c r="F1185" s="12">
        <f t="shared" si="18"/>
        <v>-7.3775429525231861E-2</v>
      </c>
    </row>
    <row r="1186" spans="2:6" ht="15" customHeight="1" x14ac:dyDescent="0.3">
      <c r="C1186" s="1"/>
      <c r="D1186" s="8">
        <v>2021</v>
      </c>
      <c r="E1186" s="14">
        <f>Data!L1186</f>
        <v>375861000000</v>
      </c>
      <c r="F1186" s="12">
        <f t="shared" si="18"/>
        <v>0.27319873988008536</v>
      </c>
    </row>
    <row r="1187" spans="2:6" ht="15" customHeight="1" x14ac:dyDescent="0.3">
      <c r="C1187" s="1"/>
      <c r="D1187" s="8">
        <v>2022</v>
      </c>
      <c r="E1187" s="14">
        <f>Data!L1187</f>
        <v>398799000000</v>
      </c>
      <c r="F1187" s="12">
        <f t="shared" si="18"/>
        <v>6.1027879987548592E-2</v>
      </c>
    </row>
    <row r="1188" spans="2:6" ht="15" customHeight="1" x14ac:dyDescent="0.3">
      <c r="C1188" s="1"/>
      <c r="D1188" s="8">
        <v>2023</v>
      </c>
      <c r="E1188" s="14">
        <f>Data!L1188</f>
        <v>527060000000</v>
      </c>
      <c r="F1188" s="12">
        <f t="shared" si="18"/>
        <v>0.32161815852095921</v>
      </c>
    </row>
    <row r="1189" spans="2:6" ht="15" customHeight="1" x14ac:dyDescent="0.3">
      <c r="C1189" s="1"/>
      <c r="D1189" s="8">
        <v>2024</v>
      </c>
      <c r="E1189" s="14">
        <f>Data!L1189</f>
        <v>775061000000</v>
      </c>
      <c r="F1189" s="12">
        <f t="shared" si="18"/>
        <v>0.47053656130231852</v>
      </c>
    </row>
    <row r="1190" spans="2:6" ht="15" customHeight="1" x14ac:dyDescent="0.3">
      <c r="B1190" s="8">
        <v>109</v>
      </c>
      <c r="C1190" s="2" t="s">
        <v>106</v>
      </c>
      <c r="D1190" s="8">
        <v>2014</v>
      </c>
      <c r="E1190" s="14">
        <f>Data!L1190</f>
        <v>614807000000</v>
      </c>
      <c r="F1190" s="12">
        <f t="shared" si="18"/>
        <v>-0.20676308058333473</v>
      </c>
    </row>
    <row r="1191" spans="2:6" ht="15" customHeight="1" x14ac:dyDescent="0.3">
      <c r="C1191" s="2"/>
      <c r="D1191" s="8">
        <v>2015</v>
      </c>
      <c r="E1191" s="14">
        <f>Data!L1202</f>
        <v>292695000000</v>
      </c>
      <c r="F1191" s="12">
        <f t="shared" si="18"/>
        <v>-0.52392376794668893</v>
      </c>
    </row>
    <row r="1192" spans="2:6" ht="15" customHeight="1" x14ac:dyDescent="0.3">
      <c r="C1192" s="2"/>
      <c r="D1192" s="8">
        <v>2016</v>
      </c>
      <c r="E1192" s="14">
        <f>Data!L1203</f>
        <v>384662000000</v>
      </c>
      <c r="F1192" s="12">
        <f t="shared" si="18"/>
        <v>0.31420762226891474</v>
      </c>
    </row>
    <row r="1193" spans="2:6" ht="15" customHeight="1" x14ac:dyDescent="0.3">
      <c r="C1193" s="2"/>
      <c r="D1193" s="8">
        <v>2017</v>
      </c>
      <c r="E1193" s="14">
        <f>Data!L1193</f>
        <v>692206000000</v>
      </c>
      <c r="F1193" s="12">
        <f t="shared" si="18"/>
        <v>0.7995174984791843</v>
      </c>
    </row>
    <row r="1194" spans="2:6" ht="15" customHeight="1" x14ac:dyDescent="0.3">
      <c r="C1194" s="2"/>
      <c r="D1194" s="8">
        <v>2018</v>
      </c>
      <c r="E1194" s="14">
        <f>Data!L1194</f>
        <v>794417000000</v>
      </c>
      <c r="F1194" s="12">
        <f t="shared" si="18"/>
        <v>0.14765980069516879</v>
      </c>
    </row>
    <row r="1195" spans="2:6" ht="15" customHeight="1" x14ac:dyDescent="0.3">
      <c r="C1195" s="2"/>
      <c r="D1195" s="8">
        <v>2019</v>
      </c>
      <c r="E1195" s="14">
        <f>Data!L1195</f>
        <v>859742000000</v>
      </c>
      <c r="F1195" s="12">
        <f t="shared" si="18"/>
        <v>8.2230113403917587E-2</v>
      </c>
    </row>
    <row r="1196" spans="2:6" ht="15" customHeight="1" x14ac:dyDescent="0.3">
      <c r="C1196" s="2"/>
      <c r="D1196" s="8">
        <v>2020</v>
      </c>
      <c r="E1196" s="14">
        <f>Data!L1196</f>
        <v>717074000000</v>
      </c>
      <c r="F1196" s="12">
        <f t="shared" si="18"/>
        <v>-0.16594280609764325</v>
      </c>
    </row>
    <row r="1197" spans="2:6" ht="15" customHeight="1" x14ac:dyDescent="0.3">
      <c r="C1197" s="2"/>
      <c r="D1197" s="8">
        <v>2021</v>
      </c>
      <c r="E1197" s="14">
        <f>Data!L1197</f>
        <v>892366000000</v>
      </c>
      <c r="F1197" s="12">
        <f t="shared" si="18"/>
        <v>0.24445454722943519</v>
      </c>
    </row>
    <row r="1198" spans="2:6" ht="15" customHeight="1" x14ac:dyDescent="0.3">
      <c r="C1198" s="2"/>
      <c r="D1198" s="8">
        <v>2022</v>
      </c>
      <c r="E1198" s="14">
        <f>Data!L1198</f>
        <v>1054437000000</v>
      </c>
      <c r="F1198" s="12">
        <f t="shared" si="18"/>
        <v>0.18161942521342139</v>
      </c>
    </row>
    <row r="1199" spans="2:6" ht="15" customHeight="1" x14ac:dyDescent="0.3">
      <c r="C1199" s="2"/>
      <c r="D1199" s="8">
        <v>2023</v>
      </c>
      <c r="E1199" s="14">
        <f>Data!L1199</f>
        <v>1150683000000</v>
      </c>
      <c r="F1199" s="12">
        <f t="shared" si="18"/>
        <v>9.1277146003032897E-2</v>
      </c>
    </row>
    <row r="1200" spans="2:6" ht="15" customHeight="1" x14ac:dyDescent="0.3">
      <c r="C1200" s="2"/>
      <c r="D1200" s="8">
        <v>2024</v>
      </c>
      <c r="E1200" s="14">
        <f>Data!L1200</f>
        <v>1390357000000</v>
      </c>
      <c r="F1200" s="12">
        <f t="shared" si="18"/>
        <v>0.20828846867469147</v>
      </c>
    </row>
    <row r="1201" spans="2:6" ht="15" customHeight="1" x14ac:dyDescent="0.3">
      <c r="B1201" s="8">
        <v>110</v>
      </c>
      <c r="C1201" s="2" t="s">
        <v>66</v>
      </c>
      <c r="D1201" s="8">
        <v>2014</v>
      </c>
      <c r="E1201" s="14">
        <f>Data!L1201</f>
        <v>0</v>
      </c>
      <c r="F1201" s="12">
        <f t="shared" si="18"/>
        <v>-1</v>
      </c>
    </row>
    <row r="1202" spans="2:6" ht="15" customHeight="1" x14ac:dyDescent="0.3">
      <c r="C1202" s="2"/>
      <c r="D1202" s="8">
        <v>2015</v>
      </c>
      <c r="E1202" s="14" t="e">
        <f>Data!#REF!</f>
        <v>#REF!</v>
      </c>
      <c r="F1202" s="12">
        <f t="shared" si="18"/>
        <v>0</v>
      </c>
    </row>
    <row r="1203" spans="2:6" ht="15" customHeight="1" x14ac:dyDescent="0.3">
      <c r="C1203" s="2"/>
      <c r="D1203" s="8">
        <v>2016</v>
      </c>
      <c r="E1203" s="14" t="e">
        <f>Data!#REF!</f>
        <v>#REF!</v>
      </c>
      <c r="F1203" s="12">
        <f t="shared" si="18"/>
        <v>0</v>
      </c>
    </row>
    <row r="1204" spans="2:6" ht="15" customHeight="1" x14ac:dyDescent="0.3">
      <c r="C1204" s="2"/>
      <c r="D1204" s="8">
        <v>2017</v>
      </c>
      <c r="E1204" s="14">
        <f>Data!L1204</f>
        <v>518125000000</v>
      </c>
      <c r="F1204" s="12">
        <f t="shared" si="18"/>
        <v>0</v>
      </c>
    </row>
    <row r="1205" spans="2:6" ht="15" customHeight="1" x14ac:dyDescent="0.3">
      <c r="C1205" s="2"/>
      <c r="D1205" s="8">
        <v>2018</v>
      </c>
      <c r="E1205" s="14">
        <f>Data!L1205</f>
        <v>612956000000</v>
      </c>
      <c r="F1205" s="12">
        <f t="shared" si="18"/>
        <v>0.18302726176115802</v>
      </c>
    </row>
    <row r="1206" spans="2:6" ht="15" customHeight="1" x14ac:dyDescent="0.3">
      <c r="C1206" s="2"/>
      <c r="D1206" s="8">
        <v>2019</v>
      </c>
      <c r="E1206" s="14">
        <f>Data!L1206</f>
        <v>727676000000</v>
      </c>
      <c r="F1206" s="12">
        <f t="shared" si="18"/>
        <v>0.18715862149974877</v>
      </c>
    </row>
    <row r="1207" spans="2:6" ht="15" customHeight="1" x14ac:dyDescent="0.3">
      <c r="C1207" s="2"/>
      <c r="D1207" s="8">
        <v>2020</v>
      </c>
      <c r="E1207" s="14">
        <f>Data!L1207</f>
        <v>672488000000</v>
      </c>
      <c r="F1207" s="12">
        <f t="shared" si="18"/>
        <v>-7.584144591823834E-2</v>
      </c>
    </row>
    <row r="1208" spans="2:6" ht="15" customHeight="1" x14ac:dyDescent="0.3">
      <c r="C1208" s="2"/>
      <c r="D1208" s="8">
        <v>2021</v>
      </c>
      <c r="E1208" s="14">
        <f>Data!L1208</f>
        <v>631796000000</v>
      </c>
      <c r="F1208" s="12">
        <f t="shared" si="18"/>
        <v>-6.0509629911611809E-2</v>
      </c>
    </row>
    <row r="1209" spans="2:6" ht="15" customHeight="1" x14ac:dyDescent="0.3">
      <c r="C1209" s="2"/>
      <c r="D1209" s="8">
        <v>2022</v>
      </c>
      <c r="E1209" s="14">
        <f>Data!L1209</f>
        <v>671050000000</v>
      </c>
      <c r="F1209" s="12">
        <f t="shared" si="18"/>
        <v>6.2130814376792506E-2</v>
      </c>
    </row>
    <row r="1210" spans="2:6" ht="15" customHeight="1" x14ac:dyDescent="0.3">
      <c r="C1210" s="2"/>
      <c r="D1210" s="8">
        <v>2023</v>
      </c>
      <c r="E1210" s="14">
        <f>Data!L1210</f>
        <v>788671000000</v>
      </c>
      <c r="F1210" s="12">
        <f t="shared" si="18"/>
        <v>0.175279040309962</v>
      </c>
    </row>
    <row r="1211" spans="2:6" ht="15" customHeight="1" x14ac:dyDescent="0.3">
      <c r="C1211" s="2"/>
      <c r="D1211" s="8">
        <v>2024</v>
      </c>
      <c r="E1211" s="14">
        <f>Data!L1211</f>
        <v>943106000000</v>
      </c>
      <c r="F1211" s="12">
        <f t="shared" si="18"/>
        <v>0.19581676009387944</v>
      </c>
    </row>
    <row r="1212" spans="2:6" ht="15" customHeight="1" x14ac:dyDescent="0.3">
      <c r="B1212" s="8">
        <v>111</v>
      </c>
      <c r="C1212" s="2" t="s">
        <v>74</v>
      </c>
      <c r="D1212" s="8">
        <v>2014</v>
      </c>
      <c r="E1212" s="14">
        <f>Data!L1212</f>
        <v>0</v>
      </c>
      <c r="F1212" s="12">
        <f t="shared" si="18"/>
        <v>-1</v>
      </c>
    </row>
    <row r="1213" spans="2:6" ht="15" customHeight="1" x14ac:dyDescent="0.3">
      <c r="C1213" s="2"/>
      <c r="D1213" s="8">
        <v>2015</v>
      </c>
      <c r="E1213" s="14">
        <f>Data!L1213</f>
        <v>273840000000</v>
      </c>
      <c r="F1213" s="12">
        <f t="shared" si="18"/>
        <v>0</v>
      </c>
    </row>
    <row r="1214" spans="2:6" ht="15" customHeight="1" x14ac:dyDescent="0.3">
      <c r="C1214" s="2"/>
      <c r="D1214" s="8">
        <v>2016</v>
      </c>
      <c r="E1214" s="14">
        <f>Data!L1214</f>
        <v>254385000000</v>
      </c>
      <c r="F1214" s="12">
        <f t="shared" si="18"/>
        <v>-7.1045135845749341E-2</v>
      </c>
    </row>
    <row r="1215" spans="2:6" ht="15" customHeight="1" x14ac:dyDescent="0.3">
      <c r="C1215" s="2"/>
      <c r="D1215" s="8">
        <v>2017</v>
      </c>
      <c r="E1215" s="14">
        <f>Data!L1215</f>
        <v>265558000000</v>
      </c>
      <c r="F1215" s="12">
        <f t="shared" si="18"/>
        <v>4.3921614875090907E-2</v>
      </c>
    </row>
    <row r="1216" spans="2:6" ht="15" customHeight="1" x14ac:dyDescent="0.3">
      <c r="C1216" s="2"/>
      <c r="D1216" s="8">
        <v>2018</v>
      </c>
      <c r="E1216" s="14">
        <f>Data!L1216</f>
        <v>254642000000</v>
      </c>
      <c r="F1216" s="12">
        <f t="shared" si="18"/>
        <v>-4.1105897769978687E-2</v>
      </c>
    </row>
    <row r="1217" spans="2:6" ht="15" customHeight="1" x14ac:dyDescent="0.3">
      <c r="C1217" s="2"/>
      <c r="D1217" s="8">
        <v>2019</v>
      </c>
      <c r="E1217" s="14">
        <f>Data!L1217</f>
        <v>258730000000</v>
      </c>
      <c r="F1217" s="12">
        <f t="shared" si="18"/>
        <v>1.6053910980906527E-2</v>
      </c>
    </row>
    <row r="1218" spans="2:6" ht="15" customHeight="1" x14ac:dyDescent="0.3">
      <c r="C1218" s="2"/>
      <c r="D1218" s="8">
        <v>2020</v>
      </c>
      <c r="E1218" s="14">
        <f>Data!L1218</f>
        <v>212813000000</v>
      </c>
      <c r="F1218" s="12">
        <f t="shared" si="18"/>
        <v>-0.17747072237467632</v>
      </c>
    </row>
    <row r="1219" spans="2:6" ht="15" customHeight="1" x14ac:dyDescent="0.3">
      <c r="C1219" s="2"/>
      <c r="D1219" s="8">
        <v>2021</v>
      </c>
      <c r="E1219" s="14">
        <f>Data!L1219</f>
        <v>242960000000</v>
      </c>
      <c r="F1219" s="12">
        <f t="shared" ref="F1219:F1282" si="19">IFERROR((E1219-E1218)/E1218,0)</f>
        <v>0.14165957906706828</v>
      </c>
    </row>
    <row r="1220" spans="2:6" ht="15" customHeight="1" x14ac:dyDescent="0.3">
      <c r="C1220" s="2"/>
      <c r="D1220" s="8">
        <v>2022</v>
      </c>
      <c r="E1220" s="14">
        <f>Data!L1220</f>
        <v>266765000000</v>
      </c>
      <c r="F1220" s="12">
        <f t="shared" si="19"/>
        <v>9.7979091208429375E-2</v>
      </c>
    </row>
    <row r="1221" spans="2:6" ht="15" customHeight="1" x14ac:dyDescent="0.3">
      <c r="C1221" s="2"/>
      <c r="D1221" s="8">
        <v>2023</v>
      </c>
      <c r="E1221" s="14">
        <f>Data!L1221</f>
        <v>321411000000</v>
      </c>
      <c r="F1221" s="12">
        <f t="shared" si="19"/>
        <v>0.20484696268251082</v>
      </c>
    </row>
    <row r="1222" spans="2:6" ht="15" customHeight="1" x14ac:dyDescent="0.3">
      <c r="C1222" s="2"/>
      <c r="D1222" s="8">
        <v>2024</v>
      </c>
      <c r="E1222" s="14">
        <f>Data!L1222</f>
        <v>385158000000</v>
      </c>
      <c r="F1222" s="12">
        <f t="shared" si="19"/>
        <v>0.19833484230471266</v>
      </c>
    </row>
    <row r="1223" spans="2:6" ht="15" customHeight="1" x14ac:dyDescent="0.3">
      <c r="B1223" s="8">
        <v>112</v>
      </c>
      <c r="C1223" s="2" t="s">
        <v>91</v>
      </c>
      <c r="D1223" s="8">
        <v>2014</v>
      </c>
      <c r="E1223" s="14">
        <f>Data!L1223</f>
        <v>0</v>
      </c>
      <c r="F1223" s="12">
        <f t="shared" si="19"/>
        <v>-1</v>
      </c>
    </row>
    <row r="1224" spans="2:6" ht="15" customHeight="1" x14ac:dyDescent="0.3">
      <c r="C1224" s="2"/>
      <c r="D1224" s="8">
        <v>2015</v>
      </c>
      <c r="E1224" s="14">
        <f>Data!L1224</f>
        <v>430847000000</v>
      </c>
      <c r="F1224" s="12">
        <f t="shared" si="19"/>
        <v>0</v>
      </c>
    </row>
    <row r="1225" spans="2:6" ht="15" customHeight="1" x14ac:dyDescent="0.3">
      <c r="C1225" s="2"/>
      <c r="D1225" s="8">
        <v>2016</v>
      </c>
      <c r="E1225" s="14">
        <f>Data!L1225</f>
        <v>358944000000</v>
      </c>
      <c r="F1225" s="12">
        <f t="shared" si="19"/>
        <v>-0.16688754940849071</v>
      </c>
    </row>
    <row r="1226" spans="2:6" ht="15" customHeight="1" x14ac:dyDescent="0.3">
      <c r="C1226" s="2"/>
      <c r="D1226" s="8">
        <v>2017</v>
      </c>
      <c r="E1226" s="14">
        <f>Data!L1226</f>
        <v>348181000000</v>
      </c>
      <c r="F1226" s="12">
        <f t="shared" si="19"/>
        <v>-2.998517874654542E-2</v>
      </c>
    </row>
    <row r="1227" spans="2:6" ht="15" customHeight="1" x14ac:dyDescent="0.3">
      <c r="C1227" s="2"/>
      <c r="D1227" s="8">
        <v>2018</v>
      </c>
      <c r="E1227" s="14">
        <f>Data!L1227</f>
        <v>369189000000</v>
      </c>
      <c r="F1227" s="12">
        <f t="shared" si="19"/>
        <v>6.0336434210942008E-2</v>
      </c>
    </row>
    <row r="1228" spans="2:6" ht="15" customHeight="1" x14ac:dyDescent="0.3">
      <c r="C1228" s="2"/>
      <c r="D1228" s="8">
        <v>2019</v>
      </c>
      <c r="E1228" s="14">
        <f>Data!L1228</f>
        <v>306640000000</v>
      </c>
      <c r="F1228" s="12">
        <f t="shared" si="19"/>
        <v>-0.1694227076104651</v>
      </c>
    </row>
    <row r="1229" spans="2:6" ht="15" customHeight="1" x14ac:dyDescent="0.3">
      <c r="C1229" s="2"/>
      <c r="D1229" s="8">
        <v>2020</v>
      </c>
      <c r="E1229" s="14">
        <f>Data!L1229</f>
        <v>213492000000</v>
      </c>
      <c r="F1229" s="12">
        <f t="shared" si="19"/>
        <v>-0.3037698930341769</v>
      </c>
    </row>
    <row r="1230" spans="2:6" ht="15" customHeight="1" x14ac:dyDescent="0.3">
      <c r="C1230" s="2"/>
      <c r="D1230" s="8">
        <v>2021</v>
      </c>
      <c r="E1230" s="14">
        <f>Data!L1230</f>
        <v>289383000000</v>
      </c>
      <c r="F1230" s="12">
        <f t="shared" si="19"/>
        <v>0.35547467820808276</v>
      </c>
    </row>
    <row r="1231" spans="2:6" ht="15" customHeight="1" x14ac:dyDescent="0.3">
      <c r="C1231" s="2"/>
      <c r="D1231" s="8">
        <v>2022</v>
      </c>
      <c r="E1231" s="14">
        <f>Data!L1231</f>
        <v>452337000000</v>
      </c>
      <c r="F1231" s="12">
        <f t="shared" si="19"/>
        <v>0.56310840650625638</v>
      </c>
    </row>
    <row r="1232" spans="2:6" ht="15" customHeight="1" x14ac:dyDescent="0.3">
      <c r="C1232" s="2"/>
      <c r="D1232" s="8">
        <v>2023</v>
      </c>
      <c r="E1232" s="14">
        <f>Data!L1232</f>
        <v>1074285000000</v>
      </c>
      <c r="F1232" s="12">
        <f t="shared" si="19"/>
        <v>1.3749660098554839</v>
      </c>
    </row>
    <row r="1233" spans="2:6" ht="15" customHeight="1" x14ac:dyDescent="0.3">
      <c r="C1233" s="2"/>
      <c r="D1233" s="8">
        <v>2024</v>
      </c>
      <c r="E1233" s="14">
        <f>Data!L1233</f>
        <v>826629000000</v>
      </c>
      <c r="F1233" s="12">
        <f t="shared" si="19"/>
        <v>-0.2305310043424231</v>
      </c>
    </row>
    <row r="1234" spans="2:6" ht="15" customHeight="1" x14ac:dyDescent="0.3">
      <c r="B1234" s="8">
        <v>113</v>
      </c>
      <c r="C1234" s="2" t="s">
        <v>90</v>
      </c>
      <c r="D1234" s="8">
        <v>2014</v>
      </c>
      <c r="E1234" s="14">
        <f>Data!L1234</f>
        <v>0</v>
      </c>
      <c r="F1234" s="12">
        <f t="shared" si="19"/>
        <v>-1</v>
      </c>
    </row>
    <row r="1235" spans="2:6" ht="15" customHeight="1" x14ac:dyDescent="0.3">
      <c r="C1235" s="2"/>
      <c r="D1235" s="8">
        <v>2015</v>
      </c>
      <c r="E1235" s="14">
        <f>Data!L1235</f>
        <v>0</v>
      </c>
      <c r="F1235" s="12">
        <f t="shared" si="19"/>
        <v>0</v>
      </c>
    </row>
    <row r="1236" spans="2:6" ht="15" customHeight="1" x14ac:dyDescent="0.3">
      <c r="C1236" s="2"/>
      <c r="D1236" s="8">
        <v>2016</v>
      </c>
      <c r="E1236" s="14">
        <f>Data!L1236</f>
        <v>0</v>
      </c>
      <c r="F1236" s="12">
        <f t="shared" si="19"/>
        <v>0</v>
      </c>
    </row>
    <row r="1237" spans="2:6" ht="15" customHeight="1" x14ac:dyDescent="0.3">
      <c r="C1237" s="2"/>
      <c r="D1237" s="8">
        <v>2017</v>
      </c>
      <c r="E1237" s="14">
        <f>Data!L1237</f>
        <v>0</v>
      </c>
      <c r="F1237" s="12">
        <f t="shared" si="19"/>
        <v>0</v>
      </c>
    </row>
    <row r="1238" spans="2:6" ht="15" customHeight="1" x14ac:dyDescent="0.3">
      <c r="C1238" s="2"/>
      <c r="D1238" s="8">
        <v>2018</v>
      </c>
      <c r="E1238" s="14">
        <f>Data!L1238</f>
        <v>66451000000</v>
      </c>
      <c r="F1238" s="12">
        <f t="shared" si="19"/>
        <v>0</v>
      </c>
    </row>
    <row r="1239" spans="2:6" ht="15" customHeight="1" x14ac:dyDescent="0.3">
      <c r="C1239" s="2"/>
      <c r="D1239" s="8">
        <v>2019</v>
      </c>
      <c r="E1239" s="14">
        <f>Data!L1239</f>
        <v>69666000000</v>
      </c>
      <c r="F1239" s="12">
        <f t="shared" si="19"/>
        <v>4.8381514198431924E-2</v>
      </c>
    </row>
    <row r="1240" spans="2:6" ht="15" customHeight="1" x14ac:dyDescent="0.3">
      <c r="C1240" s="2"/>
      <c r="D1240" s="8">
        <v>2020</v>
      </c>
      <c r="E1240" s="14">
        <f>Data!L1240</f>
        <v>61493000000</v>
      </c>
      <c r="F1240" s="12">
        <f t="shared" si="19"/>
        <v>-0.11731691212356099</v>
      </c>
    </row>
    <row r="1241" spans="2:6" ht="15" customHeight="1" x14ac:dyDescent="0.3">
      <c r="C1241" s="2"/>
      <c r="D1241" s="8">
        <v>2021</v>
      </c>
      <c r="E1241" s="14">
        <f>Data!L1241</f>
        <v>34914000000</v>
      </c>
      <c r="F1241" s="12">
        <f t="shared" si="19"/>
        <v>-0.43222805847820078</v>
      </c>
    </row>
    <row r="1242" spans="2:6" ht="15" customHeight="1" x14ac:dyDescent="0.3">
      <c r="C1242" s="2"/>
      <c r="D1242" s="8">
        <v>2022</v>
      </c>
      <c r="E1242" s="14">
        <f>Data!L1242</f>
        <v>10392000000</v>
      </c>
      <c r="F1242" s="12">
        <f t="shared" si="19"/>
        <v>-0.70235435641862864</v>
      </c>
    </row>
    <row r="1243" spans="2:6" ht="15" customHeight="1" x14ac:dyDescent="0.3">
      <c r="C1243" s="2"/>
      <c r="D1243" s="8">
        <v>2023</v>
      </c>
      <c r="E1243" s="14">
        <f>Data!L1243</f>
        <v>56691000000</v>
      </c>
      <c r="F1243" s="12">
        <f t="shared" si="19"/>
        <v>4.4552540415704387</v>
      </c>
    </row>
    <row r="1244" spans="2:6" ht="15" customHeight="1" x14ac:dyDescent="0.3">
      <c r="C1244" s="2"/>
      <c r="D1244" s="8">
        <v>2024</v>
      </c>
      <c r="E1244" s="14">
        <f>Data!L1244</f>
        <v>449442000000</v>
      </c>
      <c r="F1244" s="12">
        <f t="shared" si="19"/>
        <v>6.9279250674710271</v>
      </c>
    </row>
    <row r="1245" spans="2:6" ht="15" customHeight="1" x14ac:dyDescent="0.3">
      <c r="B1245" s="8">
        <v>114</v>
      </c>
      <c r="C1245" s="2" t="s">
        <v>107</v>
      </c>
      <c r="D1245" s="8">
        <v>2014</v>
      </c>
      <c r="E1245" s="14">
        <f>Data!L1245</f>
        <v>35701800000</v>
      </c>
      <c r="F1245" s="12">
        <f t="shared" si="19"/>
        <v>-0.92056416623279536</v>
      </c>
    </row>
    <row r="1246" spans="2:6" ht="15" customHeight="1" x14ac:dyDescent="0.3">
      <c r="C1246" s="2"/>
      <c r="D1246" s="8">
        <v>2015</v>
      </c>
      <c r="E1246" s="14">
        <f>Data!L1246</f>
        <v>43519590000</v>
      </c>
      <c r="F1246" s="12">
        <f t="shared" si="19"/>
        <v>0.21897467354587163</v>
      </c>
    </row>
    <row r="1247" spans="2:6" ht="15" customHeight="1" x14ac:dyDescent="0.3">
      <c r="C1247" s="2"/>
      <c r="D1247" s="8">
        <v>2016</v>
      </c>
      <c r="E1247" s="14">
        <f>Data!L1247</f>
        <v>47659700000</v>
      </c>
      <c r="F1247" s="12">
        <f t="shared" si="19"/>
        <v>9.5132100279437373E-2</v>
      </c>
    </row>
    <row r="1248" spans="2:6" ht="15" customHeight="1" x14ac:dyDescent="0.3">
      <c r="C1248" s="2"/>
      <c r="D1248" s="8">
        <v>2017</v>
      </c>
      <c r="E1248" s="14">
        <f>Data!L1248</f>
        <v>46312760000</v>
      </c>
      <c r="F1248" s="12">
        <f t="shared" si="19"/>
        <v>-2.8261613060929884E-2</v>
      </c>
    </row>
    <row r="1249" spans="2:6" ht="15" customHeight="1" x14ac:dyDescent="0.3">
      <c r="C1249" s="2"/>
      <c r="D1249" s="8">
        <v>2018</v>
      </c>
      <c r="E1249" s="14">
        <f>Data!L1249</f>
        <v>46820780000</v>
      </c>
      <c r="F1249" s="12">
        <f t="shared" si="19"/>
        <v>1.0969331130340753E-2</v>
      </c>
    </row>
    <row r="1250" spans="2:6" ht="15" customHeight="1" x14ac:dyDescent="0.3">
      <c r="C1250" s="2"/>
      <c r="D1250" s="8">
        <v>2019</v>
      </c>
      <c r="E1250" s="14">
        <f>Data!L1250</f>
        <v>57162950000</v>
      </c>
      <c r="F1250" s="12">
        <f t="shared" si="19"/>
        <v>0.22088846020933439</v>
      </c>
    </row>
    <row r="1251" spans="2:6" ht="15" customHeight="1" x14ac:dyDescent="0.3">
      <c r="C1251" s="2"/>
      <c r="D1251" s="8">
        <v>2020</v>
      </c>
      <c r="E1251" s="14">
        <f>Data!L1251</f>
        <v>44544530000</v>
      </c>
      <c r="F1251" s="12">
        <f t="shared" si="19"/>
        <v>-0.22074473063409078</v>
      </c>
    </row>
    <row r="1252" spans="2:6" ht="15" customHeight="1" x14ac:dyDescent="0.3">
      <c r="C1252" s="2"/>
      <c r="D1252" s="8">
        <v>2021</v>
      </c>
      <c r="E1252" s="14">
        <f>Data!L1252</f>
        <v>48817660000</v>
      </c>
      <c r="F1252" s="12">
        <f t="shared" si="19"/>
        <v>9.592939918773416E-2</v>
      </c>
    </row>
    <row r="1253" spans="2:6" ht="15" customHeight="1" x14ac:dyDescent="0.3">
      <c r="C1253" s="2"/>
      <c r="D1253" s="8">
        <v>2022</v>
      </c>
      <c r="E1253" s="14">
        <f>Data!L1253</f>
        <v>49071110000</v>
      </c>
      <c r="F1253" s="12">
        <f t="shared" si="19"/>
        <v>5.1917687164849766E-3</v>
      </c>
    </row>
    <row r="1254" spans="2:6" ht="15" customHeight="1" x14ac:dyDescent="0.3">
      <c r="C1254" s="2"/>
      <c r="D1254" s="8">
        <v>2023</v>
      </c>
      <c r="E1254" s="14">
        <f>Data!L1254</f>
        <v>70712690000</v>
      </c>
      <c r="F1254" s="12">
        <f t="shared" si="19"/>
        <v>0.44102487186452477</v>
      </c>
    </row>
    <row r="1255" spans="2:6" ht="15" customHeight="1" x14ac:dyDescent="0.3">
      <c r="C1255" s="2"/>
      <c r="D1255" s="8">
        <v>2024</v>
      </c>
      <c r="E1255" s="14">
        <f>Data!L1255</f>
        <v>58089380000</v>
      </c>
      <c r="F1255" s="12">
        <f t="shared" si="19"/>
        <v>-0.17851548286453253</v>
      </c>
    </row>
    <row r="1256" spans="2:6" ht="15" customHeight="1" x14ac:dyDescent="0.3">
      <c r="B1256" s="8">
        <v>115</v>
      </c>
      <c r="C1256" s="1" t="s">
        <v>128</v>
      </c>
      <c r="D1256" s="8">
        <v>2014</v>
      </c>
      <c r="E1256" s="14">
        <f>Data!L1256</f>
        <v>0</v>
      </c>
      <c r="F1256" s="12">
        <f t="shared" si="19"/>
        <v>-1</v>
      </c>
    </row>
    <row r="1257" spans="2:6" ht="15" customHeight="1" x14ac:dyDescent="0.3">
      <c r="C1257" s="1"/>
      <c r="D1257" s="8">
        <v>2015</v>
      </c>
      <c r="E1257" s="14">
        <f>Data!L1257</f>
        <v>0</v>
      </c>
      <c r="F1257" s="12">
        <f t="shared" si="19"/>
        <v>0</v>
      </c>
    </row>
    <row r="1258" spans="2:6" ht="15" customHeight="1" x14ac:dyDescent="0.3">
      <c r="C1258" s="1"/>
      <c r="D1258" s="8">
        <v>2016</v>
      </c>
      <c r="E1258" s="14">
        <f>Data!L1258</f>
        <v>0</v>
      </c>
      <c r="F1258" s="12">
        <f t="shared" si="19"/>
        <v>0</v>
      </c>
    </row>
    <row r="1259" spans="2:6" ht="15" customHeight="1" x14ac:dyDescent="0.3">
      <c r="C1259" s="1"/>
      <c r="D1259" s="8">
        <v>2017</v>
      </c>
      <c r="E1259" s="14">
        <f>Data!L1259</f>
        <v>0</v>
      </c>
      <c r="F1259" s="12">
        <f t="shared" si="19"/>
        <v>0</v>
      </c>
    </row>
    <row r="1260" spans="2:6" ht="15" customHeight="1" x14ac:dyDescent="0.3">
      <c r="C1260" s="1"/>
      <c r="D1260" s="8">
        <v>2018</v>
      </c>
      <c r="E1260" s="14">
        <f>Data!L1260</f>
        <v>0</v>
      </c>
      <c r="F1260" s="12">
        <f t="shared" si="19"/>
        <v>0</v>
      </c>
    </row>
    <row r="1261" spans="2:6" ht="15" customHeight="1" x14ac:dyDescent="0.3">
      <c r="C1261" s="1"/>
      <c r="D1261" s="8">
        <v>2019</v>
      </c>
      <c r="E1261" s="14">
        <f>Data!L1261</f>
        <v>0</v>
      </c>
      <c r="F1261" s="12">
        <f t="shared" si="19"/>
        <v>0</v>
      </c>
    </row>
    <row r="1262" spans="2:6" ht="15" customHeight="1" x14ac:dyDescent="0.3">
      <c r="C1262" s="1"/>
      <c r="D1262" s="8">
        <v>2020</v>
      </c>
      <c r="E1262" s="14">
        <f>Data!L1262</f>
        <v>0</v>
      </c>
      <c r="F1262" s="12">
        <f t="shared" si="19"/>
        <v>0</v>
      </c>
    </row>
    <row r="1263" spans="2:6" ht="15" customHeight="1" x14ac:dyDescent="0.3">
      <c r="C1263" s="1"/>
      <c r="D1263" s="8">
        <v>2021</v>
      </c>
      <c r="E1263" s="14">
        <f>Data!L1263</f>
        <v>0</v>
      </c>
      <c r="F1263" s="12">
        <f t="shared" si="19"/>
        <v>0</v>
      </c>
    </row>
    <row r="1264" spans="2:6" ht="15" customHeight="1" x14ac:dyDescent="0.3">
      <c r="C1264" s="1"/>
      <c r="D1264" s="8">
        <v>2022</v>
      </c>
      <c r="E1264" s="14">
        <f>Data!L1264</f>
        <v>0</v>
      </c>
      <c r="F1264" s="12">
        <f t="shared" si="19"/>
        <v>0</v>
      </c>
    </row>
    <row r="1265" spans="2:6" ht="15" customHeight="1" x14ac:dyDescent="0.3">
      <c r="C1265" s="1"/>
      <c r="D1265" s="8">
        <v>2023</v>
      </c>
      <c r="E1265" s="14">
        <f>Data!L1265</f>
        <v>2506470000</v>
      </c>
      <c r="F1265" s="12">
        <f t="shared" si="19"/>
        <v>0</v>
      </c>
    </row>
    <row r="1266" spans="2:6" ht="15" customHeight="1" x14ac:dyDescent="0.3">
      <c r="C1266" s="1"/>
      <c r="D1266" s="8">
        <v>2024</v>
      </c>
      <c r="E1266" s="14">
        <f>Data!L1266</f>
        <v>18982250000</v>
      </c>
      <c r="F1266" s="12">
        <f t="shared" si="19"/>
        <v>6.5733002988266369</v>
      </c>
    </row>
    <row r="1267" spans="2:6" ht="15" customHeight="1" x14ac:dyDescent="0.3">
      <c r="B1267" s="8">
        <v>116</v>
      </c>
      <c r="C1267" s="1" t="s">
        <v>127</v>
      </c>
      <c r="D1267" s="8">
        <v>2014</v>
      </c>
      <c r="E1267" s="14">
        <f>Data!L1267</f>
        <v>949386000000</v>
      </c>
      <c r="F1267" s="12">
        <f t="shared" si="19"/>
        <v>49.01440819713153</v>
      </c>
    </row>
    <row r="1268" spans="2:6" ht="15" customHeight="1" x14ac:dyDescent="0.3">
      <c r="C1268" s="1"/>
      <c r="D1268" s="8">
        <v>2015</v>
      </c>
      <c r="E1268" s="14">
        <f>Data!L1268</f>
        <v>842754000000</v>
      </c>
      <c r="F1268" s="12">
        <f t="shared" si="19"/>
        <v>-0.11231680264929123</v>
      </c>
    </row>
    <row r="1269" spans="2:6" ht="15" customHeight="1" x14ac:dyDescent="0.3">
      <c r="C1269" s="1"/>
      <c r="D1269" s="8">
        <v>2016</v>
      </c>
      <c r="E1269" s="14">
        <f>Data!L1269</f>
        <v>861912000000</v>
      </c>
      <c r="F1269" s="12">
        <f t="shared" si="19"/>
        <v>2.2732612363750276E-2</v>
      </c>
    </row>
    <row r="1270" spans="2:6" ht="15" customHeight="1" x14ac:dyDescent="0.3">
      <c r="C1270" s="1"/>
      <c r="D1270" s="8">
        <v>2017</v>
      </c>
      <c r="E1270" s="14">
        <f>Data!L1270</f>
        <v>878252000000</v>
      </c>
      <c r="F1270" s="12">
        <f t="shared" si="19"/>
        <v>1.8957851845664057E-2</v>
      </c>
    </row>
    <row r="1271" spans="2:6" ht="15" customHeight="1" x14ac:dyDescent="0.3">
      <c r="C1271" s="1"/>
      <c r="D1271" s="8">
        <v>2018</v>
      </c>
      <c r="E1271" s="14">
        <f>Data!L1271</f>
        <v>906041000000</v>
      </c>
      <c r="F1271" s="12">
        <f t="shared" si="19"/>
        <v>3.1641260139458831E-2</v>
      </c>
    </row>
    <row r="1272" spans="2:6" ht="15" customHeight="1" x14ac:dyDescent="0.3">
      <c r="C1272" s="1"/>
      <c r="D1272" s="8">
        <v>2019</v>
      </c>
      <c r="E1272" s="14">
        <f>Data!L1272</f>
        <v>801755000000</v>
      </c>
      <c r="F1272" s="12">
        <f t="shared" si="19"/>
        <v>-0.11510075151124508</v>
      </c>
    </row>
    <row r="1273" spans="2:6" ht="15" customHeight="1" x14ac:dyDescent="0.3">
      <c r="C1273" s="1"/>
      <c r="D1273" s="8">
        <v>2020</v>
      </c>
      <c r="E1273" s="14">
        <f>Data!L1273</f>
        <v>781992000000</v>
      </c>
      <c r="F1273" s="12">
        <f t="shared" si="19"/>
        <v>-2.4649674775960237E-2</v>
      </c>
    </row>
    <row r="1274" spans="2:6" ht="15" customHeight="1" x14ac:dyDescent="0.3">
      <c r="C1274" s="1"/>
      <c r="D1274" s="8">
        <v>2021</v>
      </c>
      <c r="E1274" s="14">
        <f>Data!L1274</f>
        <v>830722000000</v>
      </c>
      <c r="F1274" s="12">
        <f t="shared" si="19"/>
        <v>6.2315215500925843E-2</v>
      </c>
    </row>
    <row r="1275" spans="2:6" ht="15" customHeight="1" x14ac:dyDescent="0.3">
      <c r="C1275" s="1"/>
      <c r="D1275" s="8">
        <v>2022</v>
      </c>
      <c r="E1275" s="14">
        <f>Data!L1275</f>
        <v>956709000000</v>
      </c>
      <c r="F1275" s="12">
        <f t="shared" si="19"/>
        <v>0.15165964064994064</v>
      </c>
    </row>
    <row r="1276" spans="2:6" ht="15" customHeight="1" x14ac:dyDescent="0.3">
      <c r="C1276" s="1"/>
      <c r="D1276" s="8">
        <v>2023</v>
      </c>
      <c r="E1276" s="14">
        <f>Data!L1276</f>
        <v>1000223000000</v>
      </c>
      <c r="F1276" s="12">
        <f t="shared" si="19"/>
        <v>4.5483004759022859E-2</v>
      </c>
    </row>
    <row r="1277" spans="2:6" ht="15" customHeight="1" x14ac:dyDescent="0.3">
      <c r="C1277" s="1"/>
      <c r="D1277" s="8">
        <v>2024</v>
      </c>
      <c r="E1277" s="14">
        <f>Data!L1277</f>
        <v>991127000000</v>
      </c>
      <c r="F1277" s="12">
        <f t="shared" si="19"/>
        <v>-9.093972044234136E-3</v>
      </c>
    </row>
    <row r="1278" spans="2:6" ht="15" customHeight="1" x14ac:dyDescent="0.3">
      <c r="B1278" s="8">
        <v>117</v>
      </c>
      <c r="C1278" s="2" t="s">
        <v>65</v>
      </c>
      <c r="D1278" s="8">
        <v>2014</v>
      </c>
      <c r="E1278" s="14">
        <f>Data!L1278</f>
        <v>39674000000</v>
      </c>
      <c r="F1278" s="12">
        <f t="shared" si="19"/>
        <v>-0.95997082109558107</v>
      </c>
    </row>
    <row r="1279" spans="2:6" ht="15" customHeight="1" x14ac:dyDescent="0.3">
      <c r="C1279" s="2"/>
      <c r="D1279" s="8">
        <v>2015</v>
      </c>
      <c r="E1279" s="14">
        <f>Data!L1279</f>
        <v>58554000000</v>
      </c>
      <c r="F1279" s="12">
        <f t="shared" si="19"/>
        <v>0.47587840903362405</v>
      </c>
    </row>
    <row r="1280" spans="2:6" ht="15" customHeight="1" x14ac:dyDescent="0.3">
      <c r="C1280" s="2"/>
      <c r="D1280" s="8">
        <v>2016</v>
      </c>
      <c r="E1280" s="14">
        <f>Data!L1280</f>
        <v>66290000000</v>
      </c>
      <c r="F1280" s="12">
        <f t="shared" si="19"/>
        <v>0.13211736175154559</v>
      </c>
    </row>
    <row r="1281" spans="2:6" ht="15" customHeight="1" x14ac:dyDescent="0.3">
      <c r="C1281" s="2"/>
      <c r="D1281" s="8">
        <v>2017</v>
      </c>
      <c r="E1281" s="14">
        <f>Data!L1281</f>
        <v>67796000000</v>
      </c>
      <c r="F1281" s="12">
        <f t="shared" si="19"/>
        <v>2.2718358726806456E-2</v>
      </c>
    </row>
    <row r="1282" spans="2:6" ht="15" customHeight="1" x14ac:dyDescent="0.3">
      <c r="C1282" s="2"/>
      <c r="D1282" s="8">
        <v>2018</v>
      </c>
      <c r="E1282" s="14">
        <f>Data!L1282</f>
        <v>86841000000</v>
      </c>
      <c r="F1282" s="12">
        <f t="shared" si="19"/>
        <v>0.28091627824650423</v>
      </c>
    </row>
    <row r="1283" spans="2:6" ht="15" customHeight="1" x14ac:dyDescent="0.3">
      <c r="C1283" s="2"/>
      <c r="D1283" s="8">
        <v>2019</v>
      </c>
      <c r="E1283" s="14">
        <f>Data!L1283</f>
        <v>113128000000</v>
      </c>
      <c r="F1283" s="12">
        <f t="shared" ref="F1283:F1346" si="20">IFERROR((E1283-E1282)/E1282,0)</f>
        <v>0.30270264045784823</v>
      </c>
    </row>
    <row r="1284" spans="2:6" ht="15" customHeight="1" x14ac:dyDescent="0.3">
      <c r="C1284" s="2"/>
      <c r="D1284" s="8">
        <v>2020</v>
      </c>
      <c r="E1284" s="14">
        <f>Data!L1284</f>
        <v>133700000000</v>
      </c>
      <c r="F1284" s="12">
        <f t="shared" si="20"/>
        <v>0.18184711123682909</v>
      </c>
    </row>
    <row r="1285" spans="2:6" ht="15" customHeight="1" x14ac:dyDescent="0.3">
      <c r="C1285" s="2"/>
      <c r="D1285" s="8">
        <v>2021</v>
      </c>
      <c r="E1285" s="14">
        <f>Data!L1285</f>
        <v>139395000000</v>
      </c>
      <c r="F1285" s="12">
        <f t="shared" si="20"/>
        <v>4.2595362752430817E-2</v>
      </c>
    </row>
    <row r="1286" spans="2:6" ht="15" customHeight="1" x14ac:dyDescent="0.3">
      <c r="C1286" s="2"/>
      <c r="D1286" s="8">
        <v>2022</v>
      </c>
      <c r="E1286" s="14">
        <f>Data!L1286</f>
        <v>144949000000</v>
      </c>
      <c r="F1286" s="12">
        <f t="shared" si="20"/>
        <v>3.9843609885576954E-2</v>
      </c>
    </row>
    <row r="1287" spans="2:6" ht="15" customHeight="1" x14ac:dyDescent="0.3">
      <c r="C1287" s="2"/>
      <c r="D1287" s="8">
        <v>2023</v>
      </c>
      <c r="E1287" s="14">
        <f>Data!L1287</f>
        <v>157791000000</v>
      </c>
      <c r="F1287" s="12">
        <f t="shared" si="20"/>
        <v>8.8596678831865006E-2</v>
      </c>
    </row>
    <row r="1288" spans="2:6" ht="15" customHeight="1" x14ac:dyDescent="0.3">
      <c r="C1288" s="2"/>
      <c r="D1288" s="8">
        <v>2024</v>
      </c>
      <c r="E1288" s="14">
        <f>Data!L1288</f>
        <v>204557000000</v>
      </c>
      <c r="F1288" s="12">
        <f t="shared" si="20"/>
        <v>0.29637938792453311</v>
      </c>
    </row>
    <row r="1289" spans="2:6" ht="15" customHeight="1" x14ac:dyDescent="0.3">
      <c r="B1289" s="8">
        <v>118</v>
      </c>
      <c r="C1289" s="3" t="s">
        <v>89</v>
      </c>
      <c r="D1289" s="8">
        <v>2014</v>
      </c>
      <c r="E1289" s="14">
        <f>Data!L1289</f>
        <v>0</v>
      </c>
      <c r="F1289" s="12">
        <f t="shared" si="20"/>
        <v>-1</v>
      </c>
    </row>
    <row r="1290" spans="2:6" ht="15" customHeight="1" x14ac:dyDescent="0.3">
      <c r="C1290" s="3"/>
      <c r="D1290" s="8">
        <v>2015</v>
      </c>
      <c r="E1290" s="14">
        <f>Data!L1290</f>
        <v>0</v>
      </c>
      <c r="F1290" s="12">
        <f t="shared" si="20"/>
        <v>0</v>
      </c>
    </row>
    <row r="1291" spans="2:6" ht="15" customHeight="1" x14ac:dyDescent="0.3">
      <c r="C1291" s="3"/>
      <c r="D1291" s="8">
        <v>2016</v>
      </c>
      <c r="E1291" s="14">
        <f>Data!L1291</f>
        <v>0</v>
      </c>
      <c r="F1291" s="12">
        <f t="shared" si="20"/>
        <v>0</v>
      </c>
    </row>
    <row r="1292" spans="2:6" ht="15" customHeight="1" x14ac:dyDescent="0.3">
      <c r="C1292" s="3"/>
      <c r="D1292" s="8">
        <v>2017</v>
      </c>
      <c r="E1292" s="14">
        <f>Data!L1292</f>
        <v>0</v>
      </c>
      <c r="F1292" s="12">
        <f t="shared" si="20"/>
        <v>0</v>
      </c>
    </row>
    <row r="1293" spans="2:6" ht="15" customHeight="1" x14ac:dyDescent="0.3">
      <c r="C1293" s="3"/>
      <c r="D1293" s="8">
        <v>2018</v>
      </c>
      <c r="E1293" s="14">
        <f>Data!L1293</f>
        <v>698624200000</v>
      </c>
      <c r="F1293" s="12">
        <f t="shared" si="20"/>
        <v>0</v>
      </c>
    </row>
    <row r="1294" spans="2:6" ht="15" customHeight="1" x14ac:dyDescent="0.3">
      <c r="C1294" s="3"/>
      <c r="D1294" s="8">
        <v>2019</v>
      </c>
      <c r="E1294" s="14">
        <f>Data!L1294</f>
        <v>459384630000</v>
      </c>
      <c r="F1294" s="12">
        <f t="shared" si="20"/>
        <v>-0.34244386323863385</v>
      </c>
    </row>
    <row r="1295" spans="2:6" ht="15" customHeight="1" x14ac:dyDescent="0.3">
      <c r="C1295" s="3"/>
      <c r="D1295" s="8">
        <v>2020</v>
      </c>
      <c r="E1295" s="14">
        <f>Data!L1295</f>
        <v>508374330000</v>
      </c>
      <c r="F1295" s="12">
        <f t="shared" si="20"/>
        <v>0.10664200933322475</v>
      </c>
    </row>
    <row r="1296" spans="2:6" ht="15" customHeight="1" x14ac:dyDescent="0.3">
      <c r="C1296" s="3"/>
      <c r="D1296" s="8">
        <v>2021</v>
      </c>
      <c r="E1296" s="14">
        <f>Data!L1296</f>
        <v>488105334000</v>
      </c>
      <c r="F1296" s="12">
        <f t="shared" si="20"/>
        <v>-3.9870219253596066E-2</v>
      </c>
    </row>
    <row r="1297" spans="2:6" ht="15" customHeight="1" x14ac:dyDescent="0.3">
      <c r="C1297" s="3"/>
      <c r="D1297" s="8">
        <v>2022</v>
      </c>
      <c r="E1297" s="14">
        <f>Data!L1297</f>
        <v>578402728000</v>
      </c>
      <c r="F1297" s="12">
        <f t="shared" si="20"/>
        <v>0.18499571242136845</v>
      </c>
    </row>
    <row r="1298" spans="2:6" ht="15" customHeight="1" x14ac:dyDescent="0.3">
      <c r="C1298" s="3"/>
      <c r="D1298" s="8">
        <v>2023</v>
      </c>
      <c r="E1298" s="14">
        <f>Data!L1298</f>
        <v>581285031000</v>
      </c>
      <c r="F1298" s="12">
        <f t="shared" si="20"/>
        <v>4.9832112825028028E-3</v>
      </c>
    </row>
    <row r="1299" spans="2:6" ht="15" customHeight="1" x14ac:dyDescent="0.3">
      <c r="C1299" s="3"/>
      <c r="D1299" s="8">
        <v>2024</v>
      </c>
      <c r="E1299" s="14">
        <f>Data!L1299</f>
        <v>635031705000</v>
      </c>
      <c r="F1299" s="12">
        <f t="shared" si="20"/>
        <v>9.246182360405561E-2</v>
      </c>
    </row>
    <row r="1300" spans="2:6" ht="15" customHeight="1" x14ac:dyDescent="0.3">
      <c r="B1300" s="8">
        <v>119</v>
      </c>
      <c r="C1300" s="2" t="s">
        <v>72</v>
      </c>
      <c r="D1300" s="8">
        <v>2014</v>
      </c>
      <c r="E1300" s="14">
        <f>Data!L1300</f>
        <v>0</v>
      </c>
      <c r="F1300" s="12">
        <f t="shared" si="20"/>
        <v>-1</v>
      </c>
    </row>
    <row r="1301" spans="2:6" ht="15" customHeight="1" x14ac:dyDescent="0.3">
      <c r="C1301" s="2"/>
      <c r="D1301" s="8">
        <v>2015</v>
      </c>
      <c r="E1301" s="14">
        <f>Data!L1301</f>
        <v>100029000000</v>
      </c>
      <c r="F1301" s="12">
        <f t="shared" si="20"/>
        <v>0</v>
      </c>
    </row>
    <row r="1302" spans="2:6" ht="15" customHeight="1" x14ac:dyDescent="0.3">
      <c r="C1302" s="2"/>
      <c r="D1302" s="8">
        <v>2016</v>
      </c>
      <c r="E1302" s="14">
        <f>Data!L1302</f>
        <v>86385000000</v>
      </c>
      <c r="F1302" s="12">
        <f t="shared" si="20"/>
        <v>-0.13640044387127734</v>
      </c>
    </row>
    <row r="1303" spans="2:6" ht="15" customHeight="1" x14ac:dyDescent="0.3">
      <c r="C1303" s="2"/>
      <c r="D1303" s="8">
        <v>2017</v>
      </c>
      <c r="E1303" s="14">
        <f>Data!L1303</f>
        <v>68115000000</v>
      </c>
      <c r="F1303" s="12">
        <f t="shared" si="20"/>
        <v>-0.21149505122417087</v>
      </c>
    </row>
    <row r="1304" spans="2:6" ht="15" customHeight="1" x14ac:dyDescent="0.3">
      <c r="C1304" s="2"/>
      <c r="D1304" s="8">
        <v>2018</v>
      </c>
      <c r="E1304" s="14">
        <f>Data!L1304</f>
        <v>89089000000</v>
      </c>
      <c r="F1304" s="12">
        <f t="shared" si="20"/>
        <v>0.30792042868677971</v>
      </c>
    </row>
    <row r="1305" spans="2:6" ht="15" customHeight="1" x14ac:dyDescent="0.3">
      <c r="C1305" s="2"/>
      <c r="D1305" s="8">
        <v>2019</v>
      </c>
      <c r="E1305" s="14">
        <f>Data!L1305</f>
        <v>69517000000</v>
      </c>
      <c r="F1305" s="12">
        <f t="shared" si="20"/>
        <v>-0.21969042193761296</v>
      </c>
    </row>
    <row r="1306" spans="2:6" ht="15" customHeight="1" x14ac:dyDescent="0.3">
      <c r="C1306" s="2"/>
      <c r="D1306" s="8">
        <v>2020</v>
      </c>
      <c r="E1306" s="14">
        <f>Data!L1306</f>
        <v>80836000000</v>
      </c>
      <c r="F1306" s="12">
        <f t="shared" si="20"/>
        <v>0.16282348202597927</v>
      </c>
    </row>
    <row r="1307" spans="2:6" ht="15" customHeight="1" x14ac:dyDescent="0.3">
      <c r="C1307" s="2"/>
      <c r="D1307" s="8">
        <v>2021</v>
      </c>
      <c r="E1307" s="14">
        <f>Data!L1307</f>
        <v>56667000000</v>
      </c>
      <c r="F1307" s="12">
        <f t="shared" si="20"/>
        <v>-0.2989880746202187</v>
      </c>
    </row>
    <row r="1308" spans="2:6" ht="15" customHeight="1" x14ac:dyDescent="0.3">
      <c r="C1308" s="2"/>
      <c r="D1308" s="8">
        <v>2022</v>
      </c>
      <c r="E1308" s="14">
        <f>Data!L1308</f>
        <v>65124000000</v>
      </c>
      <c r="F1308" s="12">
        <f t="shared" si="20"/>
        <v>0.14924029858647891</v>
      </c>
    </row>
    <row r="1309" spans="2:6" ht="15" customHeight="1" x14ac:dyDescent="0.3">
      <c r="C1309" s="2"/>
      <c r="D1309" s="8">
        <v>2023</v>
      </c>
      <c r="E1309" s="14">
        <f>Data!L1309</f>
        <v>68085000000</v>
      </c>
      <c r="F1309" s="12">
        <f t="shared" si="20"/>
        <v>4.5467108899944722E-2</v>
      </c>
    </row>
    <row r="1310" spans="2:6" ht="15" customHeight="1" x14ac:dyDescent="0.3">
      <c r="C1310" s="2"/>
      <c r="D1310" s="8">
        <v>2024</v>
      </c>
      <c r="E1310" s="14">
        <f>Data!L1310</f>
        <v>0</v>
      </c>
      <c r="F1310" s="12">
        <f t="shared" si="20"/>
        <v>-1</v>
      </c>
    </row>
    <row r="1311" spans="2:6" ht="15" customHeight="1" x14ac:dyDescent="0.3">
      <c r="B1311" s="8">
        <v>120</v>
      </c>
      <c r="C1311" s="2" t="s">
        <v>108</v>
      </c>
      <c r="D1311" s="8">
        <v>2014</v>
      </c>
      <c r="E1311" s="14">
        <f>Data!L1311</f>
        <v>204790000000</v>
      </c>
      <c r="F1311" s="12">
        <f t="shared" si="20"/>
        <v>0</v>
      </c>
    </row>
    <row r="1312" spans="2:6" ht="15" customHeight="1" x14ac:dyDescent="0.3">
      <c r="C1312" s="2"/>
      <c r="D1312" s="8">
        <v>2015</v>
      </c>
      <c r="E1312" s="14">
        <f>Data!L1312</f>
        <v>291501000000</v>
      </c>
      <c r="F1312" s="12">
        <f t="shared" si="20"/>
        <v>0.42341422921041066</v>
      </c>
    </row>
    <row r="1313" spans="2:6" ht="15" customHeight="1" x14ac:dyDescent="0.3">
      <c r="C1313" s="2"/>
      <c r="D1313" s="8">
        <v>2016</v>
      </c>
      <c r="E1313" s="14">
        <f>Data!L1313</f>
        <v>373904000000</v>
      </c>
      <c r="F1313" s="12">
        <f t="shared" si="20"/>
        <v>0.28268513658615235</v>
      </c>
    </row>
    <row r="1314" spans="2:6" ht="15" customHeight="1" x14ac:dyDescent="0.3">
      <c r="C1314" s="2"/>
      <c r="D1314" s="8">
        <v>2017</v>
      </c>
      <c r="E1314" s="14">
        <f>Data!L1314</f>
        <v>431904000000</v>
      </c>
      <c r="F1314" s="12">
        <f t="shared" si="20"/>
        <v>0.15512003081004749</v>
      </c>
    </row>
    <row r="1315" spans="2:6" ht="15" customHeight="1" x14ac:dyDescent="0.3">
      <c r="C1315" s="2"/>
      <c r="D1315" s="8">
        <v>2018</v>
      </c>
      <c r="E1315" s="14">
        <f>Data!L1315</f>
        <v>499442000000</v>
      </c>
      <c r="F1315" s="12">
        <f t="shared" si="20"/>
        <v>0.15637271245461953</v>
      </c>
    </row>
    <row r="1316" spans="2:6" ht="15" customHeight="1" x14ac:dyDescent="0.3">
      <c r="C1316" s="2"/>
      <c r="D1316" s="8">
        <v>2019</v>
      </c>
      <c r="E1316" s="14">
        <f>Data!L1316</f>
        <v>586693000000</v>
      </c>
      <c r="F1316" s="12">
        <f t="shared" si="20"/>
        <v>0.17469696180937927</v>
      </c>
    </row>
    <row r="1317" spans="2:6" ht="15" customHeight="1" x14ac:dyDescent="0.3">
      <c r="C1317" s="2"/>
      <c r="D1317" s="8">
        <v>2020</v>
      </c>
      <c r="E1317" s="14">
        <f>Data!L1317</f>
        <v>753040000000</v>
      </c>
      <c r="F1317" s="12">
        <f t="shared" si="20"/>
        <v>0.28353329594864773</v>
      </c>
    </row>
    <row r="1318" spans="2:6" ht="15" customHeight="1" x14ac:dyDescent="0.3">
      <c r="C1318" s="2"/>
      <c r="D1318" s="8">
        <v>2021</v>
      </c>
      <c r="E1318" s="14">
        <f>Data!L1318</f>
        <v>904911000000</v>
      </c>
      <c r="F1318" s="12">
        <f t="shared" si="20"/>
        <v>0.20167720174227133</v>
      </c>
    </row>
    <row r="1319" spans="2:6" ht="15" customHeight="1" x14ac:dyDescent="0.3">
      <c r="C1319" s="2"/>
      <c r="D1319" s="8">
        <v>2022</v>
      </c>
      <c r="E1319" s="14">
        <f>Data!L1319</f>
        <v>1127845000000</v>
      </c>
      <c r="F1319" s="12">
        <f t="shared" si="20"/>
        <v>0.2463601392844158</v>
      </c>
    </row>
    <row r="1320" spans="2:6" ht="15" customHeight="1" x14ac:dyDescent="0.3">
      <c r="C1320" s="2"/>
      <c r="D1320" s="8">
        <v>2023</v>
      </c>
      <c r="E1320" s="14">
        <f>Data!L1320</f>
        <v>1371467000000</v>
      </c>
      <c r="F1320" s="12">
        <f t="shared" si="20"/>
        <v>0.21600663211700188</v>
      </c>
    </row>
    <row r="1321" spans="2:6" ht="15" customHeight="1" x14ac:dyDescent="0.3">
      <c r="C1321" s="2"/>
      <c r="D1321" s="8">
        <v>2024</v>
      </c>
      <c r="E1321" s="14">
        <f>Data!L1321</f>
        <v>1592580000000</v>
      </c>
      <c r="F1321" s="12">
        <f t="shared" si="20"/>
        <v>0.16122371154391613</v>
      </c>
    </row>
    <row r="1322" spans="2:6" ht="15" customHeight="1" x14ac:dyDescent="0.3">
      <c r="B1322" s="8">
        <v>121</v>
      </c>
      <c r="C1322" s="2" t="s">
        <v>77</v>
      </c>
      <c r="D1322" s="8">
        <v>2014</v>
      </c>
      <c r="E1322" s="14">
        <f>Data!L1322</f>
        <v>41105000000</v>
      </c>
      <c r="F1322" s="12">
        <f t="shared" si="20"/>
        <v>-0.97418967963932734</v>
      </c>
    </row>
    <row r="1323" spans="2:6" ht="15" customHeight="1" x14ac:dyDescent="0.3">
      <c r="C1323" s="2"/>
      <c r="D1323" s="8">
        <v>2015</v>
      </c>
      <c r="E1323" s="14">
        <f>Data!L1323</f>
        <v>54040000000</v>
      </c>
      <c r="F1323" s="12">
        <f t="shared" si="20"/>
        <v>0.31468191217613428</v>
      </c>
    </row>
    <row r="1324" spans="2:6" ht="15" customHeight="1" x14ac:dyDescent="0.3">
      <c r="C1324" s="2"/>
      <c r="D1324" s="8">
        <v>2016</v>
      </c>
      <c r="E1324" s="14">
        <f>Data!L1324</f>
        <v>58211000000</v>
      </c>
      <c r="F1324" s="12">
        <f t="shared" si="20"/>
        <v>7.7183567727609176E-2</v>
      </c>
    </row>
    <row r="1325" spans="2:6" ht="15" customHeight="1" x14ac:dyDescent="0.3">
      <c r="C1325" s="2"/>
      <c r="D1325" s="8">
        <v>2017</v>
      </c>
      <c r="E1325" s="14">
        <f>Data!L1325</f>
        <v>71467000000</v>
      </c>
      <c r="F1325" s="12">
        <f t="shared" si="20"/>
        <v>0.22772328254110047</v>
      </c>
    </row>
    <row r="1326" spans="2:6" ht="15" customHeight="1" x14ac:dyDescent="0.3">
      <c r="C1326" s="2"/>
      <c r="D1326" s="8">
        <v>2018</v>
      </c>
      <c r="E1326" s="14">
        <f>Data!L1326</f>
        <v>97032000000</v>
      </c>
      <c r="F1326" s="12">
        <f t="shared" si="20"/>
        <v>0.35771754795919797</v>
      </c>
    </row>
    <row r="1327" spans="2:6" ht="15" customHeight="1" x14ac:dyDescent="0.3">
      <c r="C1327" s="2"/>
      <c r="D1327" s="8">
        <v>2019</v>
      </c>
      <c r="E1327" s="14">
        <f>Data!L1327</f>
        <v>134448000000</v>
      </c>
      <c r="F1327" s="12">
        <f t="shared" si="20"/>
        <v>0.38560474894880037</v>
      </c>
    </row>
    <row r="1328" spans="2:6" ht="15" customHeight="1" x14ac:dyDescent="0.3">
      <c r="C1328" s="2"/>
      <c r="D1328" s="8">
        <v>2020</v>
      </c>
      <c r="E1328" s="14">
        <f>Data!L1328</f>
        <v>157549000000</v>
      </c>
      <c r="F1328" s="12">
        <f t="shared" si="20"/>
        <v>0.17182107580625966</v>
      </c>
    </row>
    <row r="1329" spans="2:6" ht="15" customHeight="1" x14ac:dyDescent="0.3">
      <c r="C1329" s="2"/>
      <c r="D1329" s="8">
        <v>2021</v>
      </c>
      <c r="E1329" s="14">
        <f>Data!L1329</f>
        <v>151739000000</v>
      </c>
      <c r="F1329" s="12">
        <f t="shared" si="20"/>
        <v>-3.6877415915048652E-2</v>
      </c>
    </row>
    <row r="1330" spans="2:6" ht="15" customHeight="1" x14ac:dyDescent="0.3">
      <c r="C1330" s="2"/>
      <c r="D1330" s="8">
        <v>2022</v>
      </c>
      <c r="E1330" s="14">
        <f>Data!L1330</f>
        <v>201925000000</v>
      </c>
      <c r="F1330" s="12">
        <f t="shared" si="20"/>
        <v>0.33073896625126037</v>
      </c>
    </row>
    <row r="1331" spans="2:6" ht="15" customHeight="1" x14ac:dyDescent="0.3">
      <c r="C1331" s="2"/>
      <c r="D1331" s="8">
        <v>2023</v>
      </c>
      <c r="E1331" s="14">
        <f>Data!L1331</f>
        <v>215537000000</v>
      </c>
      <c r="F1331" s="12">
        <f t="shared" si="20"/>
        <v>6.7411167512690356E-2</v>
      </c>
    </row>
    <row r="1332" spans="2:6" ht="15" customHeight="1" x14ac:dyDescent="0.3">
      <c r="C1332" s="2"/>
      <c r="D1332" s="8">
        <v>2024</v>
      </c>
      <c r="E1332" s="14">
        <f>Data!L1332</f>
        <v>229033000000</v>
      </c>
      <c r="F1332" s="12">
        <f t="shared" si="20"/>
        <v>6.2615699392679677E-2</v>
      </c>
    </row>
    <row r="1333" spans="2:6" ht="15" customHeight="1" x14ac:dyDescent="0.3">
      <c r="B1333" s="8">
        <v>122</v>
      </c>
      <c r="C1333" s="2" t="s">
        <v>109</v>
      </c>
      <c r="D1333" s="8">
        <v>2014</v>
      </c>
      <c r="E1333" s="14">
        <f>Data!L1333</f>
        <v>0</v>
      </c>
      <c r="F1333" s="12">
        <f t="shared" si="20"/>
        <v>-1</v>
      </c>
    </row>
    <row r="1334" spans="2:6" ht="15" customHeight="1" x14ac:dyDescent="0.3">
      <c r="C1334" s="2"/>
      <c r="D1334" s="8">
        <v>2015</v>
      </c>
      <c r="E1334" s="14">
        <f>Data!L1334</f>
        <v>0</v>
      </c>
      <c r="F1334" s="12">
        <f t="shared" si="20"/>
        <v>0</v>
      </c>
    </row>
    <row r="1335" spans="2:6" ht="15" customHeight="1" x14ac:dyDescent="0.3">
      <c r="C1335" s="2"/>
      <c r="D1335" s="8">
        <v>2016</v>
      </c>
      <c r="E1335" s="14">
        <f>Data!L1335</f>
        <v>0</v>
      </c>
      <c r="F1335" s="12">
        <f t="shared" si="20"/>
        <v>0</v>
      </c>
    </row>
    <row r="1336" spans="2:6" ht="15" customHeight="1" x14ac:dyDescent="0.3">
      <c r="C1336" s="2"/>
      <c r="D1336" s="8">
        <v>2017</v>
      </c>
      <c r="E1336" s="14">
        <f>Data!L1336</f>
        <v>0</v>
      </c>
      <c r="F1336" s="12">
        <f t="shared" si="20"/>
        <v>0</v>
      </c>
    </row>
    <row r="1337" spans="2:6" ht="15" customHeight="1" x14ac:dyDescent="0.3">
      <c r="C1337" s="2"/>
      <c r="D1337" s="8">
        <v>2018</v>
      </c>
      <c r="E1337" s="14">
        <f>Data!L1337</f>
        <v>0</v>
      </c>
      <c r="F1337" s="12">
        <f t="shared" si="20"/>
        <v>0</v>
      </c>
    </row>
    <row r="1338" spans="2:6" ht="15" customHeight="1" x14ac:dyDescent="0.3">
      <c r="C1338" s="2"/>
      <c r="D1338" s="8">
        <v>2019</v>
      </c>
      <c r="E1338" s="14">
        <f>Data!L1338</f>
        <v>0</v>
      </c>
      <c r="F1338" s="12">
        <f t="shared" si="20"/>
        <v>0</v>
      </c>
    </row>
    <row r="1339" spans="2:6" ht="15" customHeight="1" x14ac:dyDescent="0.3">
      <c r="C1339" s="2"/>
      <c r="D1339" s="8">
        <v>2020</v>
      </c>
      <c r="E1339" s="14">
        <f>Data!L1339</f>
        <v>0</v>
      </c>
      <c r="F1339" s="12">
        <f t="shared" si="20"/>
        <v>0</v>
      </c>
    </row>
    <row r="1340" spans="2:6" ht="15" customHeight="1" x14ac:dyDescent="0.3">
      <c r="C1340" s="2"/>
      <c r="D1340" s="8">
        <v>2021</v>
      </c>
      <c r="E1340" s="14">
        <f>Data!L1340</f>
        <v>0</v>
      </c>
      <c r="F1340" s="12">
        <f t="shared" si="20"/>
        <v>0</v>
      </c>
    </row>
    <row r="1341" spans="2:6" ht="15" customHeight="1" x14ac:dyDescent="0.3">
      <c r="C1341" s="2"/>
      <c r="D1341" s="8">
        <v>2022</v>
      </c>
      <c r="E1341" s="14">
        <f>Data!L1341</f>
        <v>0</v>
      </c>
      <c r="F1341" s="12">
        <f t="shared" si="20"/>
        <v>0</v>
      </c>
    </row>
    <row r="1342" spans="2:6" ht="15" customHeight="1" x14ac:dyDescent="0.3">
      <c r="C1342" s="2"/>
      <c r="D1342" s="8">
        <v>2023</v>
      </c>
      <c r="E1342" s="14">
        <f>Data!L1342</f>
        <v>0</v>
      </c>
      <c r="F1342" s="12">
        <f t="shared" si="20"/>
        <v>0</v>
      </c>
    </row>
    <row r="1343" spans="2:6" ht="15" customHeight="1" x14ac:dyDescent="0.3">
      <c r="C1343" s="2"/>
      <c r="D1343" s="8">
        <v>2024</v>
      </c>
      <c r="E1343" s="14">
        <f>Data!L1343</f>
        <v>0</v>
      </c>
      <c r="F1343" s="12">
        <f t="shared" si="20"/>
        <v>0</v>
      </c>
    </row>
    <row r="1344" spans="2:6" ht="15" customHeight="1" x14ac:dyDescent="0.3">
      <c r="B1344" s="8">
        <v>123</v>
      </c>
      <c r="C1344" s="2" t="s">
        <v>78</v>
      </c>
      <c r="D1344" s="8">
        <v>2014</v>
      </c>
      <c r="E1344" s="14">
        <f>Data!L1344</f>
        <v>0</v>
      </c>
      <c r="F1344" s="12">
        <f t="shared" si="20"/>
        <v>0</v>
      </c>
    </row>
    <row r="1345" spans="2:6" ht="15" customHeight="1" x14ac:dyDescent="0.3">
      <c r="C1345" s="2"/>
      <c r="D1345" s="8">
        <v>2015</v>
      </c>
      <c r="E1345" s="14">
        <f>Data!L1345</f>
        <v>0</v>
      </c>
      <c r="F1345" s="12">
        <f t="shared" si="20"/>
        <v>0</v>
      </c>
    </row>
    <row r="1346" spans="2:6" ht="15" customHeight="1" x14ac:dyDescent="0.3">
      <c r="C1346" s="2"/>
      <c r="D1346" s="8">
        <v>2016</v>
      </c>
      <c r="E1346" s="14">
        <f>Data!L1346</f>
        <v>0</v>
      </c>
      <c r="F1346" s="12">
        <f t="shared" si="20"/>
        <v>0</v>
      </c>
    </row>
    <row r="1347" spans="2:6" ht="15" customHeight="1" x14ac:dyDescent="0.3">
      <c r="C1347" s="2"/>
      <c r="D1347" s="8">
        <v>2017</v>
      </c>
      <c r="E1347" s="14">
        <f>Data!L1347</f>
        <v>0</v>
      </c>
      <c r="F1347" s="12">
        <f t="shared" ref="F1347:F1410" si="21">IFERROR((E1347-E1346)/E1346,0)</f>
        <v>0</v>
      </c>
    </row>
    <row r="1348" spans="2:6" ht="15" customHeight="1" x14ac:dyDescent="0.3">
      <c r="C1348" s="2"/>
      <c r="D1348" s="8">
        <v>2018</v>
      </c>
      <c r="E1348" s="14">
        <f>Data!L1348</f>
        <v>0</v>
      </c>
      <c r="F1348" s="12">
        <f t="shared" si="21"/>
        <v>0</v>
      </c>
    </row>
    <row r="1349" spans="2:6" ht="15" customHeight="1" x14ac:dyDescent="0.3">
      <c r="C1349" s="2"/>
      <c r="D1349" s="8">
        <v>2019</v>
      </c>
      <c r="E1349" s="14">
        <f>Data!L1349</f>
        <v>51548728015</v>
      </c>
      <c r="F1349" s="12">
        <f t="shared" si="21"/>
        <v>0</v>
      </c>
    </row>
    <row r="1350" spans="2:6" ht="15" customHeight="1" x14ac:dyDescent="0.3">
      <c r="C1350" s="2"/>
      <c r="D1350" s="8">
        <v>2020</v>
      </c>
      <c r="E1350" s="14">
        <f>Data!L1350</f>
        <v>41767867019</v>
      </c>
      <c r="F1350" s="12">
        <f t="shared" si="21"/>
        <v>-0.1897401036385204</v>
      </c>
    </row>
    <row r="1351" spans="2:6" ht="15" customHeight="1" x14ac:dyDescent="0.3">
      <c r="C1351" s="2"/>
      <c r="D1351" s="8">
        <v>2021</v>
      </c>
      <c r="E1351" s="14">
        <f>Data!L1351</f>
        <v>82150958142</v>
      </c>
      <c r="F1351" s="12">
        <f t="shared" si="21"/>
        <v>0.96684590344606125</v>
      </c>
    </row>
    <row r="1352" spans="2:6" ht="15" customHeight="1" x14ac:dyDescent="0.3">
      <c r="C1352" s="2"/>
      <c r="D1352" s="8">
        <v>2022</v>
      </c>
      <c r="E1352" s="14">
        <f>Data!L1352</f>
        <v>396161233090</v>
      </c>
      <c r="F1352" s="12">
        <f t="shared" si="21"/>
        <v>3.8223568178623717</v>
      </c>
    </row>
    <row r="1353" spans="2:6" ht="15" customHeight="1" x14ac:dyDescent="0.3">
      <c r="C1353" s="2"/>
      <c r="D1353" s="8">
        <v>2023</v>
      </c>
      <c r="E1353" s="14">
        <f>Data!L1353</f>
        <v>741653631493</v>
      </c>
      <c r="F1353" s="12">
        <f t="shared" si="21"/>
        <v>0.87210047209367136</v>
      </c>
    </row>
    <row r="1354" spans="2:6" ht="15" customHeight="1" x14ac:dyDescent="0.3">
      <c r="C1354" s="2"/>
      <c r="D1354" s="8">
        <v>2024</v>
      </c>
      <c r="E1354" s="14">
        <f>Data!L1354</f>
        <v>1995730212923</v>
      </c>
      <c r="F1354" s="12">
        <f t="shared" si="21"/>
        <v>1.6909194914955883</v>
      </c>
    </row>
    <row r="1355" spans="2:6" ht="15" customHeight="1" x14ac:dyDescent="0.3">
      <c r="B1355" s="8">
        <v>124</v>
      </c>
      <c r="C1355" s="2" t="s">
        <v>110</v>
      </c>
      <c r="D1355" s="8">
        <v>2014</v>
      </c>
      <c r="E1355" s="14">
        <f>Data!L1355</f>
        <v>345972193746</v>
      </c>
      <c r="F1355" s="12">
        <f t="shared" si="21"/>
        <v>-0.82664380610880273</v>
      </c>
    </row>
    <row r="1356" spans="2:6" ht="15" customHeight="1" x14ac:dyDescent="0.3">
      <c r="C1356" s="2"/>
      <c r="D1356" s="8">
        <v>2015</v>
      </c>
      <c r="E1356" s="14">
        <f>Data!L1356</f>
        <v>488027912555</v>
      </c>
      <c r="F1356" s="12">
        <f t="shared" si="21"/>
        <v>0.41059865901619846</v>
      </c>
    </row>
    <row r="1357" spans="2:6" ht="15" customHeight="1" x14ac:dyDescent="0.3">
      <c r="C1357" s="2"/>
      <c r="D1357" s="8">
        <v>2016</v>
      </c>
      <c r="E1357" s="14">
        <f>Data!L1357</f>
        <v>493200051568</v>
      </c>
      <c r="F1357" s="12">
        <f t="shared" si="21"/>
        <v>1.059803933328733E-2</v>
      </c>
    </row>
    <row r="1358" spans="2:6" ht="15" customHeight="1" x14ac:dyDescent="0.3">
      <c r="C1358" s="2"/>
      <c r="D1358" s="8">
        <v>2017</v>
      </c>
      <c r="E1358" s="14">
        <f>Data!L1358</f>
        <v>581882610055</v>
      </c>
      <c r="F1358" s="12">
        <f t="shared" si="21"/>
        <v>0.17981052152175797</v>
      </c>
    </row>
    <row r="1359" spans="2:6" ht="15" customHeight="1" x14ac:dyDescent="0.3">
      <c r="C1359" s="2"/>
      <c r="D1359" s="8">
        <v>2018</v>
      </c>
      <c r="E1359" s="14">
        <f>Data!L1359</f>
        <v>353720000000</v>
      </c>
      <c r="F1359" s="12">
        <f t="shared" si="21"/>
        <v>-0.39211106520855449</v>
      </c>
    </row>
    <row r="1360" spans="2:6" ht="15" customHeight="1" x14ac:dyDescent="0.3">
      <c r="C1360" s="2"/>
      <c r="D1360" s="8">
        <v>2019</v>
      </c>
      <c r="E1360" s="14">
        <f>Data!L1360</f>
        <v>75804000000</v>
      </c>
      <c r="F1360" s="12">
        <f t="shared" si="21"/>
        <v>-0.78569489992084129</v>
      </c>
    </row>
    <row r="1361" spans="2:6" ht="15" customHeight="1" x14ac:dyDescent="0.3">
      <c r="C1361" s="2"/>
      <c r="D1361" s="8">
        <v>2020</v>
      </c>
      <c r="E1361" s="14">
        <f>Data!L1361</f>
        <v>210372000000</v>
      </c>
      <c r="F1361" s="12">
        <f t="shared" si="21"/>
        <v>1.7752097514643026</v>
      </c>
    </row>
    <row r="1362" spans="2:6" ht="15" customHeight="1" x14ac:dyDescent="0.3">
      <c r="C1362" s="2"/>
      <c r="D1362" s="8">
        <v>2021</v>
      </c>
      <c r="E1362" s="14">
        <f>Data!L1362</f>
        <v>215919000000</v>
      </c>
      <c r="F1362" s="12">
        <f t="shared" si="21"/>
        <v>2.6367577434259312E-2</v>
      </c>
    </row>
    <row r="1363" spans="2:6" ht="15" customHeight="1" x14ac:dyDescent="0.3">
      <c r="C1363" s="2"/>
      <c r="D1363" s="8">
        <v>2022</v>
      </c>
      <c r="E1363" s="14">
        <f>Data!L1363</f>
        <v>186943000000</v>
      </c>
      <c r="F1363" s="12">
        <f t="shared" si="21"/>
        <v>-0.13419847257536391</v>
      </c>
    </row>
    <row r="1364" spans="2:6" ht="15" customHeight="1" x14ac:dyDescent="0.3">
      <c r="C1364" s="2"/>
      <c r="D1364" s="8">
        <v>2023</v>
      </c>
      <c r="E1364" s="14">
        <f>Data!L1364</f>
        <v>295223000000</v>
      </c>
      <c r="F1364" s="12">
        <f t="shared" si="21"/>
        <v>0.57921398501147403</v>
      </c>
    </row>
    <row r="1365" spans="2:6" ht="15" customHeight="1" x14ac:dyDescent="0.3">
      <c r="C1365" s="2"/>
      <c r="D1365" s="8">
        <v>2024</v>
      </c>
      <c r="E1365" s="14">
        <f>Data!L1365</f>
        <v>322707000000</v>
      </c>
      <c r="F1365" s="12">
        <f t="shared" si="21"/>
        <v>9.3095727636396897E-2</v>
      </c>
    </row>
    <row r="1366" spans="2:6" ht="15" customHeight="1" x14ac:dyDescent="0.3">
      <c r="B1366" s="8">
        <v>125</v>
      </c>
      <c r="C1366" s="2" t="s">
        <v>111</v>
      </c>
      <c r="D1366" s="8">
        <v>2014</v>
      </c>
      <c r="E1366" s="14">
        <f>Data!L1366</f>
        <v>0</v>
      </c>
      <c r="F1366" s="12">
        <f t="shared" si="21"/>
        <v>-1</v>
      </c>
    </row>
    <row r="1367" spans="2:6" ht="15" customHeight="1" x14ac:dyDescent="0.3">
      <c r="C1367" s="2"/>
      <c r="D1367" s="8">
        <v>2015</v>
      </c>
      <c r="E1367" s="14">
        <f>Data!L1367</f>
        <v>0</v>
      </c>
      <c r="F1367" s="12">
        <f t="shared" si="21"/>
        <v>0</v>
      </c>
    </row>
    <row r="1368" spans="2:6" ht="15" customHeight="1" x14ac:dyDescent="0.3">
      <c r="C1368" s="2"/>
      <c r="D1368" s="8">
        <v>2016</v>
      </c>
      <c r="E1368" s="14">
        <f>Data!L1368</f>
        <v>0</v>
      </c>
      <c r="F1368" s="12">
        <f t="shared" si="21"/>
        <v>0</v>
      </c>
    </row>
    <row r="1369" spans="2:6" ht="15" customHeight="1" x14ac:dyDescent="0.3">
      <c r="C1369" s="2"/>
      <c r="D1369" s="8">
        <v>2017</v>
      </c>
      <c r="E1369" s="14">
        <f>Data!L1369</f>
        <v>0</v>
      </c>
      <c r="F1369" s="12">
        <f t="shared" si="21"/>
        <v>0</v>
      </c>
    </row>
    <row r="1370" spans="2:6" ht="15" customHeight="1" x14ac:dyDescent="0.3">
      <c r="C1370" s="2"/>
      <c r="D1370" s="8">
        <v>2018</v>
      </c>
      <c r="E1370" s="14">
        <f>Data!L1370</f>
        <v>0</v>
      </c>
      <c r="F1370" s="12">
        <f t="shared" si="21"/>
        <v>0</v>
      </c>
    </row>
    <row r="1371" spans="2:6" ht="15" customHeight="1" x14ac:dyDescent="0.3">
      <c r="C1371" s="2"/>
      <c r="D1371" s="8">
        <v>2019</v>
      </c>
      <c r="E1371" s="14">
        <f>Data!L1371</f>
        <v>0</v>
      </c>
      <c r="F1371" s="12">
        <f t="shared" si="21"/>
        <v>0</v>
      </c>
    </row>
    <row r="1372" spans="2:6" ht="15" customHeight="1" x14ac:dyDescent="0.3">
      <c r="C1372" s="2"/>
      <c r="D1372" s="8">
        <v>2020</v>
      </c>
      <c r="E1372" s="14">
        <f>Data!L1372</f>
        <v>0</v>
      </c>
      <c r="F1372" s="12">
        <f t="shared" si="21"/>
        <v>0</v>
      </c>
    </row>
    <row r="1373" spans="2:6" ht="15" customHeight="1" x14ac:dyDescent="0.3">
      <c r="C1373" s="2"/>
      <c r="D1373" s="8">
        <v>2021</v>
      </c>
      <c r="E1373" s="14">
        <f>Data!L1373</f>
        <v>0</v>
      </c>
      <c r="F1373" s="12">
        <f t="shared" si="21"/>
        <v>0</v>
      </c>
    </row>
    <row r="1374" spans="2:6" ht="15" customHeight="1" x14ac:dyDescent="0.3">
      <c r="C1374" s="2"/>
      <c r="D1374" s="8">
        <v>2022</v>
      </c>
      <c r="E1374" s="14">
        <f>Data!L1374</f>
        <v>0</v>
      </c>
      <c r="F1374" s="12">
        <f t="shared" si="21"/>
        <v>0</v>
      </c>
    </row>
    <row r="1375" spans="2:6" ht="15" customHeight="1" x14ac:dyDescent="0.3">
      <c r="C1375" s="2"/>
      <c r="D1375" s="8">
        <v>2023</v>
      </c>
      <c r="E1375" s="14">
        <f>Data!L1375</f>
        <v>0</v>
      </c>
      <c r="F1375" s="12">
        <f t="shared" si="21"/>
        <v>0</v>
      </c>
    </row>
    <row r="1376" spans="2:6" ht="15" customHeight="1" x14ac:dyDescent="0.3">
      <c r="C1376" s="2"/>
      <c r="D1376" s="8">
        <v>2024</v>
      </c>
      <c r="E1376" s="14">
        <f>Data!L1376</f>
        <v>0</v>
      </c>
      <c r="F1376" s="12">
        <f t="shared" si="21"/>
        <v>0</v>
      </c>
    </row>
    <row r="1377" spans="2:6" ht="15" customHeight="1" x14ac:dyDescent="0.3">
      <c r="B1377" s="8">
        <v>126</v>
      </c>
      <c r="C1377" s="2" t="s">
        <v>86</v>
      </c>
      <c r="D1377" s="8">
        <v>2014</v>
      </c>
      <c r="E1377" s="14">
        <f>Data!L1377</f>
        <v>0</v>
      </c>
      <c r="F1377" s="12">
        <f t="shared" si="21"/>
        <v>0</v>
      </c>
    </row>
    <row r="1378" spans="2:6" ht="15" customHeight="1" x14ac:dyDescent="0.3">
      <c r="C1378" s="2"/>
      <c r="D1378" s="8">
        <v>2015</v>
      </c>
      <c r="E1378" s="14">
        <f>Data!L1378</f>
        <v>0</v>
      </c>
      <c r="F1378" s="12">
        <f t="shared" si="21"/>
        <v>0</v>
      </c>
    </row>
    <row r="1379" spans="2:6" ht="15" customHeight="1" x14ac:dyDescent="0.3">
      <c r="C1379" s="2"/>
      <c r="D1379" s="8">
        <v>2016</v>
      </c>
      <c r="E1379" s="14">
        <f>Data!L1379</f>
        <v>991830802448</v>
      </c>
      <c r="F1379" s="12">
        <f t="shared" si="21"/>
        <v>0</v>
      </c>
    </row>
    <row r="1380" spans="2:6" ht="15" customHeight="1" x14ac:dyDescent="0.3">
      <c r="C1380" s="2"/>
      <c r="D1380" s="8">
        <v>2017</v>
      </c>
      <c r="E1380" s="14">
        <f>Data!L1380</f>
        <v>1107453771288</v>
      </c>
      <c r="F1380" s="12">
        <f t="shared" si="21"/>
        <v>0.11657529545828146</v>
      </c>
    </row>
    <row r="1381" spans="2:6" ht="15" customHeight="1" x14ac:dyDescent="0.3">
      <c r="C1381" s="2"/>
      <c r="D1381" s="8">
        <v>2018</v>
      </c>
      <c r="E1381" s="14">
        <f>Data!L1381</f>
        <v>1132421357486</v>
      </c>
      <c r="F1381" s="12">
        <f t="shared" si="21"/>
        <v>2.2545036953517249E-2</v>
      </c>
    </row>
    <row r="1382" spans="2:6" ht="15" customHeight="1" x14ac:dyDescent="0.3">
      <c r="C1382" s="2"/>
      <c r="D1382" s="8">
        <v>2019</v>
      </c>
      <c r="E1382" s="14">
        <f>Data!L1382</f>
        <v>1167490752228</v>
      </c>
      <c r="F1382" s="12">
        <f t="shared" si="21"/>
        <v>3.0968503472819355E-2</v>
      </c>
    </row>
    <row r="1383" spans="2:6" ht="15" customHeight="1" x14ac:dyDescent="0.3">
      <c r="C1383" s="2"/>
      <c r="D1383" s="8">
        <v>2020</v>
      </c>
      <c r="E1383" s="14">
        <f>Data!L1383</f>
        <v>1220142637207</v>
      </c>
      <c r="F1383" s="12">
        <f t="shared" si="21"/>
        <v>4.5098331510139089E-2</v>
      </c>
    </row>
    <row r="1384" spans="2:6" ht="15" customHeight="1" x14ac:dyDescent="0.3">
      <c r="C1384" s="2"/>
      <c r="D1384" s="8">
        <v>2021</v>
      </c>
      <c r="E1384" s="14">
        <f>Data!L1384</f>
        <v>1753770002196</v>
      </c>
      <c r="F1384" s="12">
        <f t="shared" si="21"/>
        <v>0.43734834659209509</v>
      </c>
    </row>
    <row r="1385" spans="2:6" ht="15" customHeight="1" x14ac:dyDescent="0.3">
      <c r="C1385" s="2"/>
      <c r="D1385" s="8">
        <v>2022</v>
      </c>
      <c r="E1385" s="14">
        <f>Data!L1385</f>
        <v>2076116617010</v>
      </c>
      <c r="F1385" s="12">
        <f t="shared" si="21"/>
        <v>0.18380210313232098</v>
      </c>
    </row>
    <row r="1386" spans="2:6" ht="15" customHeight="1" x14ac:dyDescent="0.3">
      <c r="C1386" s="2"/>
      <c r="D1386" s="8">
        <v>2023</v>
      </c>
      <c r="E1386" s="14">
        <f>Data!L1386</f>
        <v>3019681482377</v>
      </c>
      <c r="F1386" s="12">
        <f t="shared" si="21"/>
        <v>0.45448548392522942</v>
      </c>
    </row>
    <row r="1387" spans="2:6" ht="15" customHeight="1" x14ac:dyDescent="0.3">
      <c r="C1387" s="2"/>
      <c r="D1387" s="8">
        <v>2024</v>
      </c>
      <c r="E1387" s="14">
        <f>Data!L1387</f>
        <v>2832633660661</v>
      </c>
      <c r="F1387" s="12">
        <f t="shared" si="21"/>
        <v>-6.1942897887614867E-2</v>
      </c>
    </row>
    <row r="1388" spans="2:6" ht="15" customHeight="1" x14ac:dyDescent="0.3">
      <c r="B1388" s="8">
        <v>127</v>
      </c>
      <c r="C1388" s="2" t="s">
        <v>112</v>
      </c>
      <c r="D1388" s="8">
        <v>2014</v>
      </c>
      <c r="E1388" s="14">
        <f>Data!L1388</f>
        <v>0</v>
      </c>
      <c r="F1388" s="12">
        <f t="shared" si="21"/>
        <v>-1</v>
      </c>
    </row>
    <row r="1389" spans="2:6" ht="15" customHeight="1" x14ac:dyDescent="0.3">
      <c r="C1389" s="2"/>
      <c r="D1389" s="8">
        <v>2015</v>
      </c>
      <c r="E1389" s="14">
        <f>Data!L1389</f>
        <v>0</v>
      </c>
      <c r="F1389" s="12">
        <f t="shared" si="21"/>
        <v>0</v>
      </c>
    </row>
    <row r="1390" spans="2:6" ht="15" customHeight="1" x14ac:dyDescent="0.3">
      <c r="C1390" s="2"/>
      <c r="D1390" s="8">
        <v>2016</v>
      </c>
      <c r="E1390" s="14">
        <f>Data!L1390</f>
        <v>32814112511</v>
      </c>
      <c r="F1390" s="12">
        <f t="shared" si="21"/>
        <v>0</v>
      </c>
    </row>
    <row r="1391" spans="2:6" ht="15" customHeight="1" x14ac:dyDescent="0.3">
      <c r="C1391" s="2"/>
      <c r="D1391" s="8">
        <v>2017</v>
      </c>
      <c r="E1391" s="14">
        <f>Data!L1391</f>
        <v>35894869522</v>
      </c>
      <c r="F1391" s="12">
        <f t="shared" si="21"/>
        <v>9.3885123663401335E-2</v>
      </c>
    </row>
    <row r="1392" spans="2:6" ht="15" customHeight="1" x14ac:dyDescent="0.3">
      <c r="C1392" s="2"/>
      <c r="D1392" s="8">
        <v>2018</v>
      </c>
      <c r="E1392" s="14">
        <f>Data!L1392</f>
        <v>33779663734</v>
      </c>
      <c r="F1392" s="12">
        <f t="shared" si="21"/>
        <v>-5.8927802668389373E-2</v>
      </c>
    </row>
    <row r="1393" spans="2:6" ht="15" customHeight="1" x14ac:dyDescent="0.3">
      <c r="C1393" s="2"/>
      <c r="D1393" s="8">
        <v>2019</v>
      </c>
      <c r="E1393" s="14">
        <f>Data!L1393</f>
        <v>37487004816</v>
      </c>
      <c r="F1393" s="12">
        <f t="shared" si="21"/>
        <v>0.10975068050391741</v>
      </c>
    </row>
    <row r="1394" spans="2:6" ht="15" customHeight="1" x14ac:dyDescent="0.3">
      <c r="C1394" s="2"/>
      <c r="D1394" s="8">
        <v>2020</v>
      </c>
      <c r="E1394" s="14">
        <f>Data!L1394</f>
        <v>37142295235</v>
      </c>
      <c r="F1394" s="12">
        <f t="shared" si="21"/>
        <v>-9.1954420656427827E-3</v>
      </c>
    </row>
    <row r="1395" spans="2:6" ht="15" customHeight="1" x14ac:dyDescent="0.3">
      <c r="C1395" s="2"/>
      <c r="D1395" s="8">
        <v>2021</v>
      </c>
      <c r="E1395" s="14">
        <f>Data!L1395</f>
        <v>33721535617</v>
      </c>
      <c r="F1395" s="12">
        <f t="shared" si="21"/>
        <v>-9.2098767627492847E-2</v>
      </c>
    </row>
    <row r="1396" spans="2:6" ht="15" customHeight="1" x14ac:dyDescent="0.3">
      <c r="C1396" s="2"/>
      <c r="D1396" s="8">
        <v>2022</v>
      </c>
      <c r="E1396" s="14">
        <f>Data!L1396</f>
        <v>23719139810</v>
      </c>
      <c r="F1396" s="12">
        <f t="shared" si="21"/>
        <v>-0.29661744709981425</v>
      </c>
    </row>
    <row r="1397" spans="2:6" ht="15" customHeight="1" x14ac:dyDescent="0.3">
      <c r="C1397" s="2"/>
      <c r="D1397" s="8">
        <v>2023</v>
      </c>
      <c r="E1397" s="14">
        <f>Data!L1397</f>
        <v>57472501827</v>
      </c>
      <c r="F1397" s="12">
        <f t="shared" si="21"/>
        <v>1.4230432590464166</v>
      </c>
    </row>
    <row r="1398" spans="2:6" ht="15" customHeight="1" x14ac:dyDescent="0.3">
      <c r="C1398" s="2"/>
      <c r="D1398" s="8">
        <v>2024</v>
      </c>
      <c r="E1398" s="14">
        <f>Data!L1398</f>
        <v>153349569456</v>
      </c>
      <c r="F1398" s="12">
        <f t="shared" si="21"/>
        <v>1.6682250568733363</v>
      </c>
    </row>
    <row r="1399" spans="2:6" ht="15" customHeight="1" x14ac:dyDescent="0.3">
      <c r="B1399" s="8">
        <v>128</v>
      </c>
      <c r="C1399" s="2" t="s">
        <v>92</v>
      </c>
      <c r="D1399" s="8">
        <v>2014</v>
      </c>
      <c r="E1399" s="14">
        <f>Data!L1399</f>
        <v>0</v>
      </c>
      <c r="F1399" s="12">
        <f t="shared" si="21"/>
        <v>-1</v>
      </c>
    </row>
    <row r="1400" spans="2:6" ht="15" customHeight="1" x14ac:dyDescent="0.3">
      <c r="C1400" s="2"/>
      <c r="D1400" s="8">
        <v>2015</v>
      </c>
      <c r="E1400" s="14">
        <f>Data!L1400</f>
        <v>0</v>
      </c>
      <c r="F1400" s="12">
        <f t="shared" si="21"/>
        <v>0</v>
      </c>
    </row>
    <row r="1401" spans="2:6" ht="15" customHeight="1" x14ac:dyDescent="0.3">
      <c r="C1401" s="2"/>
      <c r="D1401" s="8">
        <v>2016</v>
      </c>
      <c r="E1401" s="14">
        <f>Data!L1401</f>
        <v>0</v>
      </c>
      <c r="F1401" s="12">
        <f t="shared" si="21"/>
        <v>0</v>
      </c>
    </row>
    <row r="1402" spans="2:6" ht="15" customHeight="1" x14ac:dyDescent="0.3">
      <c r="C1402" s="2"/>
      <c r="D1402" s="8">
        <v>2017</v>
      </c>
      <c r="E1402" s="14">
        <f>Data!L1402</f>
        <v>0</v>
      </c>
      <c r="F1402" s="12">
        <f t="shared" si="21"/>
        <v>0</v>
      </c>
    </row>
    <row r="1403" spans="2:6" ht="15" customHeight="1" x14ac:dyDescent="0.3">
      <c r="C1403" s="2"/>
      <c r="D1403" s="8">
        <v>2018</v>
      </c>
      <c r="E1403" s="14">
        <f>Data!L1403</f>
        <v>52082000000</v>
      </c>
      <c r="F1403" s="12">
        <f t="shared" si="21"/>
        <v>0</v>
      </c>
    </row>
    <row r="1404" spans="2:6" ht="15" customHeight="1" x14ac:dyDescent="0.3">
      <c r="C1404" s="2"/>
      <c r="D1404" s="8">
        <v>2019</v>
      </c>
      <c r="E1404" s="14">
        <f>Data!L1404</f>
        <v>51544000000</v>
      </c>
      <c r="F1404" s="12">
        <f t="shared" si="21"/>
        <v>-1.032986444452978E-2</v>
      </c>
    </row>
    <row r="1405" spans="2:6" ht="15" customHeight="1" x14ac:dyDescent="0.3">
      <c r="C1405" s="2"/>
      <c r="D1405" s="8">
        <v>2020</v>
      </c>
      <c r="E1405" s="14">
        <f>Data!L1405</f>
        <v>51357000000</v>
      </c>
      <c r="F1405" s="12">
        <f t="shared" si="21"/>
        <v>-3.6279683377308707E-3</v>
      </c>
    </row>
    <row r="1406" spans="2:6" ht="15" customHeight="1" x14ac:dyDescent="0.3">
      <c r="C1406" s="2"/>
      <c r="D1406" s="8">
        <v>2021</v>
      </c>
      <c r="E1406" s="14">
        <f>Data!L1406</f>
        <v>55091000000</v>
      </c>
      <c r="F1406" s="12">
        <f t="shared" si="21"/>
        <v>7.2706739100804177E-2</v>
      </c>
    </row>
    <row r="1407" spans="2:6" ht="15" customHeight="1" x14ac:dyDescent="0.3">
      <c r="C1407" s="2"/>
      <c r="D1407" s="8">
        <v>2022</v>
      </c>
      <c r="E1407" s="14">
        <f>Data!L1407</f>
        <v>59097000000</v>
      </c>
      <c r="F1407" s="12">
        <f t="shared" si="21"/>
        <v>7.2716051623677183E-2</v>
      </c>
    </row>
    <row r="1408" spans="2:6" ht="15" customHeight="1" x14ac:dyDescent="0.3">
      <c r="C1408" s="2"/>
      <c r="D1408" s="8">
        <v>2023</v>
      </c>
      <c r="E1408" s="14">
        <f>Data!L1408</f>
        <v>64916000000</v>
      </c>
      <c r="F1408" s="12">
        <f t="shared" si="21"/>
        <v>9.8465235121918196E-2</v>
      </c>
    </row>
    <row r="1409" spans="2:6" ht="15" customHeight="1" x14ac:dyDescent="0.3">
      <c r="C1409" s="2"/>
      <c r="D1409" s="8">
        <v>2024</v>
      </c>
      <c r="E1409" s="14">
        <f>Data!L1409</f>
        <v>53424000000</v>
      </c>
      <c r="F1409" s="12">
        <f t="shared" si="21"/>
        <v>-0.1770287756485304</v>
      </c>
    </row>
    <row r="1410" spans="2:6" ht="15" customHeight="1" x14ac:dyDescent="0.3">
      <c r="B1410" s="8">
        <v>129</v>
      </c>
      <c r="C1410" s="2" t="s">
        <v>87</v>
      </c>
      <c r="D1410" s="8">
        <v>2014</v>
      </c>
      <c r="E1410" s="14">
        <f>Data!L1410</f>
        <v>0</v>
      </c>
      <c r="F1410" s="12">
        <f t="shared" si="21"/>
        <v>-1</v>
      </c>
    </row>
    <row r="1411" spans="2:6" ht="15" customHeight="1" x14ac:dyDescent="0.3">
      <c r="C1411" s="2"/>
      <c r="D1411" s="8">
        <v>2015</v>
      </c>
      <c r="E1411" s="14">
        <f>Data!L1411</f>
        <v>86058000000</v>
      </c>
      <c r="F1411" s="12">
        <f t="shared" ref="F1411:F1474" si="22">IFERROR((E1411-E1410)/E1410,0)</f>
        <v>0</v>
      </c>
    </row>
    <row r="1412" spans="2:6" ht="15" customHeight="1" x14ac:dyDescent="0.3">
      <c r="C1412" s="2"/>
      <c r="D1412" s="8">
        <v>2016</v>
      </c>
      <c r="E1412" s="14">
        <f>Data!L1412</f>
        <v>103602000000</v>
      </c>
      <c r="F1412" s="12">
        <f t="shared" si="22"/>
        <v>0.20386251132956842</v>
      </c>
    </row>
    <row r="1413" spans="2:6" ht="15" customHeight="1" x14ac:dyDescent="0.3">
      <c r="C1413" s="2"/>
      <c r="D1413" s="8">
        <v>2017</v>
      </c>
      <c r="E1413" s="14">
        <f>Data!L1413</f>
        <v>150317000000</v>
      </c>
      <c r="F1413" s="12">
        <f t="shared" si="22"/>
        <v>0.45090828362386826</v>
      </c>
    </row>
    <row r="1414" spans="2:6" ht="15" customHeight="1" x14ac:dyDescent="0.3">
      <c r="C1414" s="2"/>
      <c r="D1414" s="8">
        <v>2018</v>
      </c>
      <c r="E1414" s="14">
        <f>Data!L1414</f>
        <v>188972000000</v>
      </c>
      <c r="F1414" s="12">
        <f t="shared" si="22"/>
        <v>0.25715654250683556</v>
      </c>
    </row>
    <row r="1415" spans="2:6" ht="15" customHeight="1" x14ac:dyDescent="0.3">
      <c r="C1415" s="2"/>
      <c r="D1415" s="8">
        <v>2019</v>
      </c>
      <c r="E1415" s="14">
        <f>Data!L1415</f>
        <v>193336000000</v>
      </c>
      <c r="F1415" s="12">
        <f t="shared" si="22"/>
        <v>2.3093368329699639E-2</v>
      </c>
    </row>
    <row r="1416" spans="2:6" ht="15" customHeight="1" x14ac:dyDescent="0.3">
      <c r="C1416" s="2"/>
      <c r="D1416" s="8">
        <v>2020</v>
      </c>
      <c r="E1416" s="14">
        <f>Data!L1416</f>
        <v>191609000000</v>
      </c>
      <c r="F1416" s="12">
        <f t="shared" si="22"/>
        <v>-8.9326354119253527E-3</v>
      </c>
    </row>
    <row r="1417" spans="2:6" ht="15" customHeight="1" x14ac:dyDescent="0.3">
      <c r="C1417" s="2"/>
      <c r="D1417" s="8">
        <v>2021</v>
      </c>
      <c r="E1417" s="14">
        <f>Data!L1417</f>
        <v>212218000000</v>
      </c>
      <c r="F1417" s="12">
        <f t="shared" si="22"/>
        <v>0.10755757819309114</v>
      </c>
    </row>
    <row r="1418" spans="2:6" ht="15" customHeight="1" x14ac:dyDescent="0.3">
      <c r="C1418" s="2"/>
      <c r="D1418" s="8">
        <v>2022</v>
      </c>
      <c r="E1418" s="14">
        <f>Data!L1418</f>
        <v>245380000000</v>
      </c>
      <c r="F1418" s="12">
        <f t="shared" si="22"/>
        <v>0.15626384189842521</v>
      </c>
    </row>
    <row r="1419" spans="2:6" ht="15" customHeight="1" x14ac:dyDescent="0.3">
      <c r="C1419" s="2"/>
      <c r="D1419" s="8">
        <v>2023</v>
      </c>
      <c r="E1419" s="14">
        <f>Data!L1419</f>
        <v>258913000000</v>
      </c>
      <c r="F1419" s="12">
        <f t="shared" si="22"/>
        <v>5.5151194066346075E-2</v>
      </c>
    </row>
    <row r="1420" spans="2:6" ht="15" customHeight="1" x14ac:dyDescent="0.3">
      <c r="C1420" s="2"/>
      <c r="D1420" s="8">
        <v>2024</v>
      </c>
      <c r="E1420" s="14">
        <f>Data!L1420</f>
        <v>292171000000</v>
      </c>
      <c r="F1420" s="12">
        <f t="shared" si="22"/>
        <v>0.12845241451761788</v>
      </c>
    </row>
    <row r="1421" spans="2:6" ht="15" customHeight="1" x14ac:dyDescent="0.3">
      <c r="B1421" s="8">
        <v>130</v>
      </c>
      <c r="C1421" s="2" t="s">
        <v>113</v>
      </c>
      <c r="D1421" s="8">
        <v>2014</v>
      </c>
      <c r="E1421" s="14">
        <f>Data!L1421</f>
        <v>0</v>
      </c>
      <c r="F1421" s="12">
        <f t="shared" si="22"/>
        <v>-1</v>
      </c>
    </row>
    <row r="1422" spans="2:6" ht="15" customHeight="1" x14ac:dyDescent="0.3">
      <c r="C1422" s="2"/>
      <c r="D1422" s="8">
        <v>2015</v>
      </c>
      <c r="E1422" s="14">
        <f>Data!L1422</f>
        <v>0</v>
      </c>
      <c r="F1422" s="12">
        <f t="shared" si="22"/>
        <v>0</v>
      </c>
    </row>
    <row r="1423" spans="2:6" ht="15" customHeight="1" x14ac:dyDescent="0.3">
      <c r="C1423" s="2"/>
      <c r="D1423" s="8">
        <v>2016</v>
      </c>
      <c r="E1423" s="14">
        <f>Data!L1423</f>
        <v>0</v>
      </c>
      <c r="F1423" s="12">
        <f t="shared" si="22"/>
        <v>0</v>
      </c>
    </row>
    <row r="1424" spans="2:6" ht="15" customHeight="1" x14ac:dyDescent="0.3">
      <c r="C1424" s="2"/>
      <c r="D1424" s="8">
        <v>2017</v>
      </c>
      <c r="E1424" s="14">
        <f>Data!L1424</f>
        <v>0</v>
      </c>
      <c r="F1424" s="12">
        <f t="shared" si="22"/>
        <v>0</v>
      </c>
    </row>
    <row r="1425" spans="2:6" ht="15" customHeight="1" x14ac:dyDescent="0.3">
      <c r="C1425" s="2"/>
      <c r="D1425" s="8">
        <v>2018</v>
      </c>
      <c r="E1425" s="14">
        <f>Data!L1425</f>
        <v>0</v>
      </c>
      <c r="F1425" s="12">
        <f t="shared" si="22"/>
        <v>0</v>
      </c>
    </row>
    <row r="1426" spans="2:6" ht="15" customHeight="1" x14ac:dyDescent="0.3">
      <c r="C1426" s="2"/>
      <c r="D1426" s="8">
        <v>2019</v>
      </c>
      <c r="E1426" s="14">
        <f>Data!L1426</f>
        <v>381655000000</v>
      </c>
      <c r="F1426" s="12">
        <f t="shared" si="22"/>
        <v>0</v>
      </c>
    </row>
    <row r="1427" spans="2:6" ht="15" customHeight="1" x14ac:dyDescent="0.3">
      <c r="C1427" s="2"/>
      <c r="D1427" s="8">
        <v>2020</v>
      </c>
      <c r="E1427" s="14">
        <f>Data!L1427</f>
        <v>161479000000</v>
      </c>
      <c r="F1427" s="12">
        <f t="shared" si="22"/>
        <v>-0.57689798378116364</v>
      </c>
    </row>
    <row r="1428" spans="2:6" ht="15" customHeight="1" x14ac:dyDescent="0.3">
      <c r="C1428" s="2"/>
      <c r="D1428" s="8">
        <v>2021</v>
      </c>
      <c r="E1428" s="14">
        <f>Data!L1428</f>
        <v>44925000000</v>
      </c>
      <c r="F1428" s="12">
        <f t="shared" si="22"/>
        <v>-0.72179044953213733</v>
      </c>
    </row>
    <row r="1429" spans="2:6" ht="15" customHeight="1" x14ac:dyDescent="0.3">
      <c r="C1429" s="2"/>
      <c r="D1429" s="8">
        <v>2022</v>
      </c>
      <c r="E1429" s="14">
        <f>Data!L1429</f>
        <v>110084000000</v>
      </c>
      <c r="F1429" s="12">
        <f t="shared" si="22"/>
        <v>1.45039510294936</v>
      </c>
    </row>
    <row r="1430" spans="2:6" ht="15" customHeight="1" x14ac:dyDescent="0.3">
      <c r="C1430" s="2"/>
      <c r="D1430" s="8">
        <v>2023</v>
      </c>
      <c r="E1430" s="14">
        <f>Data!L1430</f>
        <v>135424000000</v>
      </c>
      <c r="F1430" s="12">
        <f t="shared" si="22"/>
        <v>0.2301878565459104</v>
      </c>
    </row>
    <row r="1431" spans="2:6" ht="15" customHeight="1" x14ac:dyDescent="0.3">
      <c r="C1431" s="2"/>
      <c r="D1431" s="8">
        <v>2024</v>
      </c>
      <c r="E1431" s="14">
        <f>Data!L1431</f>
        <v>136552000000</v>
      </c>
      <c r="F1431" s="12">
        <f t="shared" si="22"/>
        <v>8.3293950850661623E-3</v>
      </c>
    </row>
    <row r="1432" spans="2:6" ht="15" customHeight="1" x14ac:dyDescent="0.3">
      <c r="B1432" s="8">
        <v>131</v>
      </c>
      <c r="C1432" s="2" t="s">
        <v>121</v>
      </c>
      <c r="D1432" s="8">
        <v>2014</v>
      </c>
      <c r="E1432" s="14">
        <f>Data!L1432</f>
        <v>0</v>
      </c>
      <c r="F1432" s="12">
        <f t="shared" si="22"/>
        <v>-1</v>
      </c>
    </row>
    <row r="1433" spans="2:6" ht="15" customHeight="1" x14ac:dyDescent="0.3">
      <c r="C1433" s="2"/>
      <c r="D1433" s="8">
        <v>2015</v>
      </c>
      <c r="E1433" s="14">
        <f>Data!L1433</f>
        <v>315063000000</v>
      </c>
      <c r="F1433" s="12">
        <f t="shared" si="22"/>
        <v>0</v>
      </c>
    </row>
    <row r="1434" spans="2:6" ht="15" customHeight="1" x14ac:dyDescent="0.3">
      <c r="C1434" s="2"/>
      <c r="D1434" s="8">
        <v>2016</v>
      </c>
      <c r="E1434" s="14">
        <f>Data!L1434</f>
        <v>413992000000</v>
      </c>
      <c r="F1434" s="12">
        <f t="shared" si="22"/>
        <v>0.31399751795672609</v>
      </c>
    </row>
    <row r="1435" spans="2:6" ht="15" customHeight="1" x14ac:dyDescent="0.3">
      <c r="C1435" s="2"/>
      <c r="D1435" s="8">
        <v>2017</v>
      </c>
      <c r="E1435" s="14">
        <f>Data!L1435</f>
        <v>563631000000</v>
      </c>
      <c r="F1435" s="12">
        <f t="shared" si="22"/>
        <v>0.36145384451873463</v>
      </c>
    </row>
    <row r="1436" spans="2:6" ht="15" customHeight="1" x14ac:dyDescent="0.3">
      <c r="C1436" s="2"/>
      <c r="D1436" s="8">
        <v>2018</v>
      </c>
      <c r="E1436" s="14">
        <f>Data!L1436</f>
        <v>772746000000</v>
      </c>
      <c r="F1436" s="12">
        <f t="shared" si="22"/>
        <v>0.37101401448820237</v>
      </c>
    </row>
    <row r="1437" spans="2:6" ht="15" customHeight="1" x14ac:dyDescent="0.3">
      <c r="C1437" s="2"/>
      <c r="D1437" s="8">
        <v>2019</v>
      </c>
      <c r="E1437" s="14">
        <f>Data!L1437</f>
        <v>852489000000</v>
      </c>
      <c r="F1437" s="12">
        <f t="shared" si="22"/>
        <v>0.10319432258465265</v>
      </c>
    </row>
    <row r="1438" spans="2:6" ht="15" customHeight="1" x14ac:dyDescent="0.3">
      <c r="C1438" s="2"/>
      <c r="D1438" s="8">
        <v>2020</v>
      </c>
      <c r="E1438" s="14">
        <f>Data!L1438</f>
        <v>924588000000</v>
      </c>
      <c r="F1438" s="12">
        <f t="shared" si="22"/>
        <v>8.4574698324553166E-2</v>
      </c>
    </row>
    <row r="1439" spans="2:6" ht="15" customHeight="1" x14ac:dyDescent="0.3">
      <c r="C1439" s="2"/>
      <c r="D1439" s="8">
        <v>2021</v>
      </c>
      <c r="E1439" s="14">
        <f>Data!L1439</f>
        <v>933267000000</v>
      </c>
      <c r="F1439" s="12">
        <f t="shared" si="22"/>
        <v>9.3868836714298687E-3</v>
      </c>
    </row>
    <row r="1440" spans="2:6" ht="15" customHeight="1" x14ac:dyDescent="0.3">
      <c r="C1440" s="2"/>
      <c r="D1440" s="8">
        <v>2022</v>
      </c>
      <c r="E1440" s="14">
        <f>Data!L1440</f>
        <v>1021414000000</v>
      </c>
      <c r="F1440" s="12">
        <f t="shared" si="22"/>
        <v>9.4449926976953008E-2</v>
      </c>
    </row>
    <row r="1441" spans="2:6" ht="15" customHeight="1" x14ac:dyDescent="0.3">
      <c r="C1441" s="2"/>
      <c r="D1441" s="8">
        <v>2023</v>
      </c>
      <c r="E1441" s="14">
        <f>Data!L1441</f>
        <v>1197258000000</v>
      </c>
      <c r="F1441" s="12">
        <f t="shared" si="22"/>
        <v>0.17215742098698472</v>
      </c>
    </row>
    <row r="1442" spans="2:6" ht="15" customHeight="1" x14ac:dyDescent="0.3">
      <c r="C1442" s="2"/>
      <c r="D1442" s="8">
        <v>2024</v>
      </c>
      <c r="E1442" s="14">
        <f>Data!L1442</f>
        <v>1152024000000</v>
      </c>
      <c r="F1442" s="12">
        <f t="shared" si="22"/>
        <v>-3.7781330339826502E-2</v>
      </c>
    </row>
    <row r="1443" spans="2:6" ht="15" customHeight="1" x14ac:dyDescent="0.3">
      <c r="B1443" s="8">
        <v>132</v>
      </c>
      <c r="C1443" s="2" t="s">
        <v>85</v>
      </c>
      <c r="D1443" s="8">
        <v>2014</v>
      </c>
      <c r="E1443" s="14">
        <f>Data!L1443</f>
        <v>0</v>
      </c>
      <c r="F1443" s="12">
        <f t="shared" si="22"/>
        <v>-1</v>
      </c>
    </row>
    <row r="1444" spans="2:6" ht="15" customHeight="1" x14ac:dyDescent="0.3">
      <c r="C1444" s="2"/>
      <c r="D1444" s="8">
        <v>2015</v>
      </c>
      <c r="E1444" s="14">
        <f>Data!L1444</f>
        <v>0</v>
      </c>
      <c r="F1444" s="12">
        <f t="shared" si="22"/>
        <v>0</v>
      </c>
    </row>
    <row r="1445" spans="2:6" ht="15" customHeight="1" x14ac:dyDescent="0.3">
      <c r="C1445" s="2"/>
      <c r="D1445" s="8">
        <v>2016</v>
      </c>
      <c r="E1445" s="14">
        <f>Data!L1445</f>
        <v>74875000000</v>
      </c>
      <c r="F1445" s="12">
        <f t="shared" si="22"/>
        <v>0</v>
      </c>
    </row>
    <row r="1446" spans="2:6" ht="15" customHeight="1" x14ac:dyDescent="0.3">
      <c r="C1446" s="2"/>
      <c r="D1446" s="8">
        <v>2017</v>
      </c>
      <c r="E1446" s="14">
        <f>Data!L1446</f>
        <v>87387000000</v>
      </c>
      <c r="F1446" s="12">
        <f t="shared" si="22"/>
        <v>0.1671051752921536</v>
      </c>
    </row>
    <row r="1447" spans="2:6" ht="15" customHeight="1" x14ac:dyDescent="0.3">
      <c r="C1447" s="2"/>
      <c r="D1447" s="8">
        <v>2018</v>
      </c>
      <c r="E1447" s="14">
        <f>Data!L1447</f>
        <v>114500000000</v>
      </c>
      <c r="F1447" s="12">
        <f t="shared" si="22"/>
        <v>0.31026354034352938</v>
      </c>
    </row>
    <row r="1448" spans="2:6" ht="15" customHeight="1" x14ac:dyDescent="0.3">
      <c r="C1448" s="2"/>
      <c r="D1448" s="8">
        <v>2019</v>
      </c>
      <c r="E1448" s="14">
        <f>Data!L1448</f>
        <v>157721000000</v>
      </c>
      <c r="F1448" s="12">
        <f t="shared" si="22"/>
        <v>0.37747598253275111</v>
      </c>
    </row>
    <row r="1449" spans="2:6" ht="15" customHeight="1" x14ac:dyDescent="0.3">
      <c r="C1449" s="2"/>
      <c r="D1449" s="8">
        <v>2020</v>
      </c>
      <c r="E1449" s="14">
        <f>Data!L1449</f>
        <v>181721000000</v>
      </c>
      <c r="F1449" s="12">
        <f t="shared" si="22"/>
        <v>0.15216743490086926</v>
      </c>
    </row>
    <row r="1450" spans="2:6" ht="15" customHeight="1" x14ac:dyDescent="0.3">
      <c r="C1450" s="2"/>
      <c r="D1450" s="8">
        <v>2021</v>
      </c>
      <c r="E1450" s="14">
        <f>Data!L1450</f>
        <v>223424000000</v>
      </c>
      <c r="F1450" s="12">
        <f t="shared" si="22"/>
        <v>0.22948916195706606</v>
      </c>
    </row>
    <row r="1451" spans="2:6" ht="15" customHeight="1" x14ac:dyDescent="0.3">
      <c r="C1451" s="2"/>
      <c r="D1451" s="8">
        <v>2022</v>
      </c>
      <c r="E1451" s="14">
        <f>Data!L1451</f>
        <v>280367000000</v>
      </c>
      <c r="F1451" s="12">
        <f t="shared" si="22"/>
        <v>0.2548651890575766</v>
      </c>
    </row>
    <row r="1452" spans="2:6" ht="15" customHeight="1" x14ac:dyDescent="0.3">
      <c r="C1452" s="2"/>
      <c r="D1452" s="8">
        <v>2023</v>
      </c>
      <c r="E1452" s="14">
        <f>Data!L1452</f>
        <v>353410000000</v>
      </c>
      <c r="F1452" s="12">
        <f t="shared" si="22"/>
        <v>0.26052638149282903</v>
      </c>
    </row>
    <row r="1453" spans="2:6" ht="15" customHeight="1" x14ac:dyDescent="0.3">
      <c r="C1453" s="2"/>
      <c r="D1453" s="8">
        <v>2024</v>
      </c>
      <c r="E1453" s="14">
        <f>Data!L1453</f>
        <v>567194000000</v>
      </c>
      <c r="F1453" s="12">
        <f t="shared" si="22"/>
        <v>0.60491780085453162</v>
      </c>
    </row>
    <row r="1454" spans="2:6" ht="15" customHeight="1" x14ac:dyDescent="0.3">
      <c r="B1454" s="8">
        <v>133</v>
      </c>
      <c r="C1454" s="1" t="s">
        <v>126</v>
      </c>
      <c r="D1454" s="8">
        <v>2014</v>
      </c>
      <c r="E1454" s="14">
        <f>Data!L1454</f>
        <v>18573168484</v>
      </c>
      <c r="F1454" s="12">
        <f t="shared" si="22"/>
        <v>-0.96725429309195798</v>
      </c>
    </row>
    <row r="1455" spans="2:6" ht="15" customHeight="1" x14ac:dyDescent="0.3">
      <c r="C1455" s="1"/>
      <c r="D1455" s="8">
        <v>2015</v>
      </c>
      <c r="E1455" s="14">
        <f>Data!L1455</f>
        <v>34225711012</v>
      </c>
      <c r="F1455" s="12">
        <f t="shared" si="22"/>
        <v>0.84275025779710144</v>
      </c>
    </row>
    <row r="1456" spans="2:6" ht="15" customHeight="1" x14ac:dyDescent="0.3">
      <c r="C1456" s="1"/>
      <c r="D1456" s="8">
        <v>2016</v>
      </c>
      <c r="E1456" s="14">
        <f>Data!L1456</f>
        <v>38132909491</v>
      </c>
      <c r="F1456" s="12">
        <f t="shared" si="22"/>
        <v>0.11415974609351674</v>
      </c>
    </row>
    <row r="1457" spans="2:6" ht="15" customHeight="1" x14ac:dyDescent="0.3">
      <c r="C1457" s="1"/>
      <c r="D1457" s="8">
        <v>2017</v>
      </c>
      <c r="E1457" s="14">
        <f>Data!L1457</f>
        <v>33987000536</v>
      </c>
      <c r="F1457" s="12">
        <f t="shared" si="22"/>
        <v>-0.10872259710417595</v>
      </c>
    </row>
    <row r="1458" spans="2:6" ht="15" customHeight="1" x14ac:dyDescent="0.3">
      <c r="C1458" s="1"/>
      <c r="D1458" s="8">
        <v>2018</v>
      </c>
      <c r="E1458" s="14">
        <f>Data!L1458</f>
        <v>25396161153</v>
      </c>
      <c r="F1458" s="12">
        <f t="shared" si="22"/>
        <v>-0.25276838931109374</v>
      </c>
    </row>
    <row r="1459" spans="2:6" ht="15" customHeight="1" x14ac:dyDescent="0.3">
      <c r="C1459" s="1"/>
      <c r="D1459" s="8">
        <v>2019</v>
      </c>
      <c r="E1459" s="14">
        <f>Data!L1459</f>
        <v>26117484368</v>
      </c>
      <c r="F1459" s="12">
        <f t="shared" si="22"/>
        <v>2.8402844455678353E-2</v>
      </c>
    </row>
    <row r="1460" spans="2:6" ht="15" customHeight="1" x14ac:dyDescent="0.3">
      <c r="C1460" s="1"/>
      <c r="D1460" s="8">
        <v>2020</v>
      </c>
      <c r="E1460" s="14">
        <f>Data!L1460</f>
        <v>26509968632</v>
      </c>
      <c r="F1460" s="12">
        <f t="shared" si="22"/>
        <v>1.5027644258146265E-2</v>
      </c>
    </row>
    <row r="1461" spans="2:6" ht="15" customHeight="1" x14ac:dyDescent="0.3">
      <c r="C1461" s="1"/>
      <c r="D1461" s="8">
        <v>2021</v>
      </c>
      <c r="E1461" s="14">
        <f>Data!L1461</f>
        <v>30755229522</v>
      </c>
      <c r="F1461" s="12">
        <f t="shared" si="22"/>
        <v>0.16013828416513382</v>
      </c>
    </row>
    <row r="1462" spans="2:6" ht="15" customHeight="1" x14ac:dyDescent="0.3">
      <c r="C1462" s="1"/>
      <c r="D1462" s="8">
        <v>2022</v>
      </c>
      <c r="E1462" s="14">
        <f>Data!L1462</f>
        <v>29717878041</v>
      </c>
      <c r="F1462" s="12">
        <f t="shared" si="22"/>
        <v>-3.3729271318165777E-2</v>
      </c>
    </row>
    <row r="1463" spans="2:6" ht="15" customHeight="1" x14ac:dyDescent="0.3">
      <c r="C1463" s="1"/>
      <c r="D1463" s="8">
        <v>2023</v>
      </c>
      <c r="E1463" s="14">
        <f>Data!L1463</f>
        <v>50543777352</v>
      </c>
      <c r="F1463" s="12">
        <f t="shared" si="22"/>
        <v>0.70078688936901001</v>
      </c>
    </row>
    <row r="1464" spans="2:6" ht="15" customHeight="1" x14ac:dyDescent="0.3">
      <c r="C1464" s="1"/>
      <c r="D1464" s="8">
        <v>2024</v>
      </c>
      <c r="E1464" s="14">
        <f>Data!L1464</f>
        <v>54656623923</v>
      </c>
      <c r="F1464" s="12">
        <f t="shared" si="22"/>
        <v>8.137196676768077E-2</v>
      </c>
    </row>
    <row r="1465" spans="2:6" ht="15" customHeight="1" x14ac:dyDescent="0.3">
      <c r="B1465" s="8">
        <v>134</v>
      </c>
      <c r="C1465" s="2" t="s">
        <v>95</v>
      </c>
      <c r="D1465" s="8">
        <v>2014</v>
      </c>
      <c r="E1465" s="14">
        <f>Data!L1465</f>
        <v>0</v>
      </c>
      <c r="F1465" s="12">
        <f t="shared" si="22"/>
        <v>-1</v>
      </c>
    </row>
    <row r="1466" spans="2:6" ht="15" customHeight="1" x14ac:dyDescent="0.3">
      <c r="C1466" s="2"/>
      <c r="D1466" s="8">
        <v>2015</v>
      </c>
      <c r="E1466" s="14">
        <f>Data!L1466</f>
        <v>0</v>
      </c>
      <c r="F1466" s="12">
        <f t="shared" si="22"/>
        <v>0</v>
      </c>
    </row>
    <row r="1467" spans="2:6" ht="15" customHeight="1" x14ac:dyDescent="0.3">
      <c r="C1467" s="2"/>
      <c r="D1467" s="8">
        <v>2016</v>
      </c>
      <c r="E1467" s="14">
        <f>Data!L1467</f>
        <v>0</v>
      </c>
      <c r="F1467" s="12">
        <f t="shared" si="22"/>
        <v>0</v>
      </c>
    </row>
    <row r="1468" spans="2:6" ht="15" customHeight="1" x14ac:dyDescent="0.3">
      <c r="C1468" s="2"/>
      <c r="D1468" s="8">
        <v>2017</v>
      </c>
      <c r="E1468" s="14">
        <f>Data!L1468</f>
        <v>0</v>
      </c>
      <c r="F1468" s="12">
        <f t="shared" si="22"/>
        <v>0</v>
      </c>
    </row>
    <row r="1469" spans="2:6" ht="15" customHeight="1" x14ac:dyDescent="0.3">
      <c r="C1469" s="2"/>
      <c r="D1469" s="8">
        <v>2018</v>
      </c>
      <c r="E1469" s="14">
        <f>Data!L1469</f>
        <v>0</v>
      </c>
      <c r="F1469" s="12">
        <f t="shared" si="22"/>
        <v>0</v>
      </c>
    </row>
    <row r="1470" spans="2:6" ht="15" customHeight="1" x14ac:dyDescent="0.3">
      <c r="C1470" s="2"/>
      <c r="D1470" s="8">
        <v>2019</v>
      </c>
      <c r="E1470" s="14">
        <f>Data!L1470</f>
        <v>0</v>
      </c>
      <c r="F1470" s="12">
        <f t="shared" si="22"/>
        <v>0</v>
      </c>
    </row>
    <row r="1471" spans="2:6" ht="15" customHeight="1" x14ac:dyDescent="0.3">
      <c r="C1471" s="2"/>
      <c r="D1471" s="8">
        <v>2020</v>
      </c>
      <c r="E1471" s="14">
        <f>Data!L1471</f>
        <v>2096811000000</v>
      </c>
      <c r="F1471" s="12">
        <f t="shared" si="22"/>
        <v>0</v>
      </c>
    </row>
    <row r="1472" spans="2:6" ht="15" customHeight="1" x14ac:dyDescent="0.3">
      <c r="C1472" s="2"/>
      <c r="D1472" s="8">
        <v>2021</v>
      </c>
      <c r="E1472" s="14">
        <f>Data!L1472</f>
        <v>1840648000000</v>
      </c>
      <c r="F1472" s="12">
        <f t="shared" si="22"/>
        <v>-0.12216790163729588</v>
      </c>
    </row>
    <row r="1473" spans="1:6" ht="15" customHeight="1" x14ac:dyDescent="0.3">
      <c r="C1473" s="2"/>
      <c r="D1473" s="8">
        <v>2022</v>
      </c>
      <c r="E1473" s="14">
        <f>Data!L1473</f>
        <v>1774394000000</v>
      </c>
      <c r="F1473" s="12">
        <f t="shared" si="22"/>
        <v>-3.5994932219522692E-2</v>
      </c>
    </row>
    <row r="1474" spans="1:6" ht="15" customHeight="1" x14ac:dyDescent="0.3">
      <c r="C1474" s="2"/>
      <c r="D1474" s="8">
        <v>2023</v>
      </c>
      <c r="E1474" s="14">
        <f>Data!L1474</f>
        <v>2013543000000</v>
      </c>
      <c r="F1474" s="12">
        <f t="shared" si="22"/>
        <v>0.13477784528126222</v>
      </c>
    </row>
    <row r="1475" spans="1:6" ht="15" customHeight="1" x14ac:dyDescent="0.3">
      <c r="C1475" s="2"/>
      <c r="D1475" s="8">
        <v>2024</v>
      </c>
      <c r="E1475" s="14">
        <f>Data!L1475</f>
        <v>2435061000000</v>
      </c>
      <c r="F1475" s="12">
        <f t="shared" ref="F1475:F1538" si="23">IFERROR((E1475-E1474)/E1474,0)</f>
        <v>0.2093414444091832</v>
      </c>
    </row>
    <row r="1476" spans="1:6" ht="15" customHeight="1" x14ac:dyDescent="0.3">
      <c r="B1476" s="8">
        <v>135</v>
      </c>
      <c r="C1476" s="1" t="s">
        <v>133</v>
      </c>
      <c r="D1476" s="8">
        <v>2014</v>
      </c>
      <c r="E1476" s="14">
        <f>Data!L1476</f>
        <v>0</v>
      </c>
      <c r="F1476" s="12">
        <f t="shared" si="23"/>
        <v>-1</v>
      </c>
    </row>
    <row r="1477" spans="1:6" ht="15" customHeight="1" x14ac:dyDescent="0.3">
      <c r="C1477" s="1"/>
      <c r="D1477" s="8">
        <v>2015</v>
      </c>
      <c r="E1477" s="14">
        <f>Data!L1477</f>
        <v>0</v>
      </c>
      <c r="F1477" s="12">
        <f t="shared" si="23"/>
        <v>0</v>
      </c>
    </row>
    <row r="1478" spans="1:6" ht="15" customHeight="1" x14ac:dyDescent="0.3">
      <c r="C1478" s="1"/>
      <c r="D1478" s="8">
        <v>2016</v>
      </c>
      <c r="E1478" s="14">
        <f>Data!L1478</f>
        <v>0</v>
      </c>
      <c r="F1478" s="12">
        <f t="shared" si="23"/>
        <v>0</v>
      </c>
    </row>
    <row r="1479" spans="1:6" ht="15" customHeight="1" x14ac:dyDescent="0.3">
      <c r="C1479" s="1"/>
      <c r="D1479" s="8">
        <v>2017</v>
      </c>
      <c r="E1479" s="14">
        <f>Data!L1479</f>
        <v>0</v>
      </c>
      <c r="F1479" s="12">
        <f t="shared" si="23"/>
        <v>0</v>
      </c>
    </row>
    <row r="1480" spans="1:6" ht="15" customHeight="1" x14ac:dyDescent="0.3">
      <c r="C1480" s="1"/>
      <c r="D1480" s="8">
        <v>2018</v>
      </c>
      <c r="E1480" s="14">
        <f>Data!L1480</f>
        <v>0</v>
      </c>
      <c r="F1480" s="12">
        <f t="shared" si="23"/>
        <v>0</v>
      </c>
    </row>
    <row r="1481" spans="1:6" ht="15" customHeight="1" x14ac:dyDescent="0.3">
      <c r="C1481" s="1"/>
      <c r="D1481" s="8">
        <v>2019</v>
      </c>
      <c r="E1481" s="14">
        <f>Data!L1481</f>
        <v>0</v>
      </c>
      <c r="F1481" s="12">
        <f t="shared" si="23"/>
        <v>0</v>
      </c>
    </row>
    <row r="1482" spans="1:6" ht="15" customHeight="1" x14ac:dyDescent="0.3">
      <c r="C1482" s="1"/>
      <c r="D1482" s="8">
        <v>2020</v>
      </c>
      <c r="E1482" s="14">
        <f>Data!L1483</f>
        <v>136304000000</v>
      </c>
      <c r="F1482" s="12">
        <f t="shared" si="23"/>
        <v>0</v>
      </c>
    </row>
    <row r="1483" spans="1:6" ht="15" customHeight="1" x14ac:dyDescent="0.3">
      <c r="C1483" s="1"/>
      <c r="D1483" s="8">
        <v>2021</v>
      </c>
      <c r="E1483" s="14" t="e">
        <f>Data!#REF!</f>
        <v>#REF!</v>
      </c>
      <c r="F1483" s="12">
        <f t="shared" si="23"/>
        <v>0</v>
      </c>
    </row>
    <row r="1484" spans="1:6" ht="15" customHeight="1" x14ac:dyDescent="0.3">
      <c r="C1484" s="1"/>
      <c r="D1484" s="8">
        <v>2022</v>
      </c>
      <c r="E1484" s="14">
        <f>Data!L1484</f>
        <v>192071000000</v>
      </c>
      <c r="F1484" s="12">
        <f t="shared" si="23"/>
        <v>0</v>
      </c>
    </row>
    <row r="1485" spans="1:6" ht="15" customHeight="1" x14ac:dyDescent="0.3">
      <c r="C1485" s="1"/>
      <c r="D1485" s="8">
        <v>2023</v>
      </c>
      <c r="E1485" s="14">
        <f>Data!L1485</f>
        <v>314858000000</v>
      </c>
      <c r="F1485" s="12">
        <f t="shared" si="23"/>
        <v>0.63927922486996991</v>
      </c>
    </row>
    <row r="1486" spans="1:6" ht="15" customHeight="1" x14ac:dyDescent="0.3">
      <c r="C1486" s="1"/>
      <c r="D1486" s="8">
        <v>2024</v>
      </c>
      <c r="E1486" s="14">
        <f>Data!L1486</f>
        <v>393091000000</v>
      </c>
      <c r="F1486" s="12">
        <f t="shared" si="23"/>
        <v>0.24847073919036519</v>
      </c>
    </row>
    <row r="1487" spans="1:6" ht="15" customHeight="1" x14ac:dyDescent="0.3">
      <c r="A1487" t="s">
        <v>155</v>
      </c>
      <c r="B1487" s="8">
        <v>136</v>
      </c>
      <c r="C1487" s="1" t="s">
        <v>142</v>
      </c>
      <c r="D1487" s="8">
        <v>2014</v>
      </c>
      <c r="E1487" s="14">
        <f>Data!L1487</f>
        <v>0</v>
      </c>
      <c r="F1487" s="12">
        <f t="shared" si="23"/>
        <v>-1</v>
      </c>
    </row>
    <row r="1488" spans="1:6" ht="15" customHeight="1" x14ac:dyDescent="0.3">
      <c r="C1488" s="1"/>
      <c r="D1488" s="8">
        <v>2015</v>
      </c>
      <c r="E1488" s="14">
        <f>Data!L1488</f>
        <v>0</v>
      </c>
      <c r="F1488" s="12">
        <f t="shared" si="23"/>
        <v>0</v>
      </c>
    </row>
    <row r="1489" spans="2:6" ht="15" customHeight="1" x14ac:dyDescent="0.3">
      <c r="C1489" s="1"/>
      <c r="D1489" s="8">
        <v>2016</v>
      </c>
      <c r="E1489" s="14">
        <f>Data!L1489</f>
        <v>0</v>
      </c>
      <c r="F1489" s="12">
        <f t="shared" si="23"/>
        <v>0</v>
      </c>
    </row>
    <row r="1490" spans="2:6" ht="15" customHeight="1" x14ac:dyDescent="0.3">
      <c r="C1490" s="1"/>
      <c r="D1490" s="8">
        <v>2017</v>
      </c>
      <c r="E1490" s="14">
        <f>Data!L1490</f>
        <v>0</v>
      </c>
      <c r="F1490" s="12">
        <f t="shared" si="23"/>
        <v>0</v>
      </c>
    </row>
    <row r="1491" spans="2:6" ht="15" customHeight="1" x14ac:dyDescent="0.3">
      <c r="C1491" s="1"/>
      <c r="D1491" s="8">
        <v>2018</v>
      </c>
      <c r="E1491" s="14">
        <f>Data!L1491</f>
        <v>0</v>
      </c>
      <c r="F1491" s="12">
        <f t="shared" si="23"/>
        <v>0</v>
      </c>
    </row>
    <row r="1492" spans="2:6" ht="15" customHeight="1" x14ac:dyDescent="0.3">
      <c r="C1492" s="1"/>
      <c r="D1492" s="8">
        <v>2019</v>
      </c>
      <c r="E1492" s="14">
        <f>Data!L1492</f>
        <v>0</v>
      </c>
      <c r="F1492" s="12">
        <f t="shared" si="23"/>
        <v>0</v>
      </c>
    </row>
    <row r="1493" spans="2:6" ht="15" customHeight="1" x14ac:dyDescent="0.3">
      <c r="C1493" s="1"/>
      <c r="D1493" s="8">
        <v>2020</v>
      </c>
      <c r="E1493" s="14">
        <f>Data!L1493</f>
        <v>0</v>
      </c>
      <c r="F1493" s="12">
        <f t="shared" si="23"/>
        <v>0</v>
      </c>
    </row>
    <row r="1494" spans="2:6" ht="15" customHeight="1" x14ac:dyDescent="0.3">
      <c r="C1494" s="1"/>
      <c r="D1494" s="8">
        <v>2021</v>
      </c>
      <c r="E1494" s="14">
        <f>Data!L1494</f>
        <v>0</v>
      </c>
      <c r="F1494" s="12">
        <f t="shared" si="23"/>
        <v>0</v>
      </c>
    </row>
    <row r="1495" spans="2:6" ht="15" customHeight="1" x14ac:dyDescent="0.3">
      <c r="C1495" s="1"/>
      <c r="D1495" s="8">
        <v>2022</v>
      </c>
      <c r="E1495" s="14">
        <f>Data!L1495</f>
        <v>19034000000</v>
      </c>
      <c r="F1495" s="12">
        <f t="shared" si="23"/>
        <v>0</v>
      </c>
    </row>
    <row r="1496" spans="2:6" ht="15" customHeight="1" x14ac:dyDescent="0.3">
      <c r="C1496" s="1"/>
      <c r="D1496" s="8">
        <v>2023</v>
      </c>
      <c r="E1496" s="14">
        <f>Data!L1496</f>
        <v>217172000000</v>
      </c>
      <c r="F1496" s="12">
        <f t="shared" si="23"/>
        <v>10.40968792686771</v>
      </c>
    </row>
    <row r="1497" spans="2:6" ht="15" customHeight="1" x14ac:dyDescent="0.3">
      <c r="C1497" s="1"/>
      <c r="D1497" s="8">
        <v>2024</v>
      </c>
      <c r="E1497" s="14">
        <f>Data!L1497</f>
        <v>473088000000</v>
      </c>
      <c r="F1497" s="12">
        <f t="shared" si="23"/>
        <v>1.1784023723131896</v>
      </c>
    </row>
    <row r="1498" spans="2:6" ht="15" customHeight="1" x14ac:dyDescent="0.3">
      <c r="B1498" s="8">
        <v>137</v>
      </c>
      <c r="C1498" s="1" t="s">
        <v>136</v>
      </c>
      <c r="D1498" s="8">
        <v>2014</v>
      </c>
      <c r="E1498" s="14">
        <f>Data!L1498</f>
        <v>0</v>
      </c>
      <c r="F1498" s="12">
        <f t="shared" si="23"/>
        <v>-1</v>
      </c>
    </row>
    <row r="1499" spans="2:6" ht="15" customHeight="1" x14ac:dyDescent="0.3">
      <c r="C1499" s="1"/>
      <c r="D1499" s="8">
        <v>2015</v>
      </c>
      <c r="E1499" s="14">
        <f>Data!L1499</f>
        <v>0</v>
      </c>
      <c r="F1499" s="12">
        <f t="shared" si="23"/>
        <v>0</v>
      </c>
    </row>
    <row r="1500" spans="2:6" ht="15" customHeight="1" x14ac:dyDescent="0.3">
      <c r="C1500" s="1"/>
      <c r="D1500" s="8">
        <v>2016</v>
      </c>
      <c r="E1500" s="14">
        <f>Data!L1500</f>
        <v>826099000000</v>
      </c>
      <c r="F1500" s="12">
        <f t="shared" si="23"/>
        <v>0</v>
      </c>
    </row>
    <row r="1501" spans="2:6" ht="15" customHeight="1" x14ac:dyDescent="0.3">
      <c r="C1501" s="1"/>
      <c r="D1501" s="8">
        <v>2017</v>
      </c>
      <c r="E1501" s="14">
        <f>Data!L1501</f>
        <v>910578000000</v>
      </c>
      <c r="F1501" s="12">
        <f t="shared" si="23"/>
        <v>0.10226256175107341</v>
      </c>
    </row>
    <row r="1502" spans="2:6" ht="15" customHeight="1" x14ac:dyDescent="0.3">
      <c r="C1502" s="1"/>
      <c r="D1502" s="8">
        <v>2018</v>
      </c>
      <c r="E1502" s="14">
        <f>Data!L1502</f>
        <v>988620000000</v>
      </c>
      <c r="F1502" s="12">
        <f t="shared" si="23"/>
        <v>8.5706002121729269E-2</v>
      </c>
    </row>
    <row r="1503" spans="2:6" ht="15" customHeight="1" x14ac:dyDescent="0.3">
      <c r="C1503" s="1"/>
      <c r="D1503" s="8">
        <v>2019</v>
      </c>
      <c r="E1503" s="14">
        <f>Data!L1503</f>
        <v>1224970000000</v>
      </c>
      <c r="F1503" s="12">
        <f t="shared" si="23"/>
        <v>0.23907062369767959</v>
      </c>
    </row>
    <row r="1504" spans="2:6" ht="15" customHeight="1" x14ac:dyDescent="0.3">
      <c r="C1504" s="1"/>
      <c r="D1504" s="8">
        <v>2020</v>
      </c>
      <c r="E1504" s="14">
        <f>Data!L1504</f>
        <v>1257345000000</v>
      </c>
      <c r="F1504" s="12">
        <f t="shared" si="23"/>
        <v>2.6429218674743054E-2</v>
      </c>
    </row>
    <row r="1505" spans="2:6" ht="15" customHeight="1" x14ac:dyDescent="0.3">
      <c r="C1505" s="1"/>
      <c r="D1505" s="8">
        <v>2021</v>
      </c>
      <c r="E1505" s="14">
        <f>Data!L1505</f>
        <v>1266405000000</v>
      </c>
      <c r="F1505" s="12">
        <f t="shared" si="23"/>
        <v>7.2056595445164212E-3</v>
      </c>
    </row>
    <row r="1506" spans="2:6" ht="15" customHeight="1" x14ac:dyDescent="0.3">
      <c r="C1506" s="1"/>
      <c r="D1506" s="8">
        <v>2022</v>
      </c>
      <c r="E1506" s="14">
        <f>Data!L1506</f>
        <v>1318657000000</v>
      </c>
      <c r="F1506" s="12">
        <f t="shared" si="23"/>
        <v>4.1260102415893812E-2</v>
      </c>
    </row>
    <row r="1507" spans="2:6" ht="15" customHeight="1" x14ac:dyDescent="0.3">
      <c r="C1507" s="1"/>
      <c r="D1507" s="8">
        <v>2023</v>
      </c>
      <c r="E1507" s="14">
        <f>Data!L1507</f>
        <v>1480660000000</v>
      </c>
      <c r="F1507" s="12">
        <f t="shared" si="23"/>
        <v>0.12285454064248702</v>
      </c>
    </row>
    <row r="1508" spans="2:6" ht="15" customHeight="1" x14ac:dyDescent="0.3">
      <c r="C1508" s="1"/>
      <c r="D1508" s="8">
        <v>2024</v>
      </c>
      <c r="E1508" s="14">
        <f>Data!L1508</f>
        <v>1645605000000</v>
      </c>
      <c r="F1508" s="12">
        <f t="shared" si="23"/>
        <v>0.11139964610376454</v>
      </c>
    </row>
    <row r="1509" spans="2:6" ht="15" customHeight="1" x14ac:dyDescent="0.3">
      <c r="B1509" s="8">
        <v>138</v>
      </c>
      <c r="C1509" s="1" t="s">
        <v>143</v>
      </c>
      <c r="D1509" s="8">
        <v>2014</v>
      </c>
      <c r="E1509" s="14">
        <f>Data!L1509</f>
        <v>0</v>
      </c>
      <c r="F1509" s="12">
        <f t="shared" si="23"/>
        <v>-1</v>
      </c>
    </row>
    <row r="1510" spans="2:6" ht="15" customHeight="1" x14ac:dyDescent="0.3">
      <c r="C1510" s="1"/>
      <c r="D1510" s="8">
        <v>2015</v>
      </c>
      <c r="E1510" s="14">
        <f>Data!L1510</f>
        <v>0</v>
      </c>
      <c r="F1510" s="12">
        <f t="shared" si="23"/>
        <v>0</v>
      </c>
    </row>
    <row r="1511" spans="2:6" ht="15" customHeight="1" x14ac:dyDescent="0.3">
      <c r="C1511" s="1"/>
      <c r="D1511" s="8">
        <v>2016</v>
      </c>
      <c r="E1511" s="14">
        <f>Data!L1511</f>
        <v>0</v>
      </c>
      <c r="F1511" s="12">
        <f t="shared" si="23"/>
        <v>0</v>
      </c>
    </row>
    <row r="1512" spans="2:6" ht="15" customHeight="1" x14ac:dyDescent="0.3">
      <c r="C1512" s="1"/>
      <c r="D1512" s="8">
        <v>2017</v>
      </c>
      <c r="E1512" s="14">
        <f>Data!L1512</f>
        <v>0</v>
      </c>
      <c r="F1512" s="12">
        <f t="shared" si="23"/>
        <v>0</v>
      </c>
    </row>
    <row r="1513" spans="2:6" ht="15" customHeight="1" x14ac:dyDescent="0.3">
      <c r="C1513" s="1"/>
      <c r="D1513" s="8">
        <v>2018</v>
      </c>
      <c r="E1513" s="14">
        <f>Data!L1513</f>
        <v>0</v>
      </c>
      <c r="F1513" s="12">
        <f t="shared" si="23"/>
        <v>0</v>
      </c>
    </row>
    <row r="1514" spans="2:6" ht="15" customHeight="1" x14ac:dyDescent="0.3">
      <c r="C1514" s="1"/>
      <c r="D1514" s="8">
        <v>2019</v>
      </c>
      <c r="E1514" s="14">
        <f>Data!L1514</f>
        <v>0</v>
      </c>
      <c r="F1514" s="12">
        <f t="shared" si="23"/>
        <v>0</v>
      </c>
    </row>
    <row r="1515" spans="2:6" ht="15" customHeight="1" x14ac:dyDescent="0.3">
      <c r="C1515" s="1"/>
      <c r="D1515" s="8">
        <v>2020</v>
      </c>
      <c r="E1515" s="14">
        <f>Data!L1515</f>
        <v>0</v>
      </c>
      <c r="F1515" s="12">
        <f t="shared" si="23"/>
        <v>0</v>
      </c>
    </row>
    <row r="1516" spans="2:6" ht="15" customHeight="1" x14ac:dyDescent="0.3">
      <c r="C1516" s="1"/>
      <c r="D1516" s="8">
        <v>2021</v>
      </c>
      <c r="E1516" s="14">
        <f>Data!L1516</f>
        <v>0</v>
      </c>
      <c r="F1516" s="12">
        <f t="shared" si="23"/>
        <v>0</v>
      </c>
    </row>
    <row r="1517" spans="2:6" ht="15" customHeight="1" x14ac:dyDescent="0.3">
      <c r="C1517" s="1"/>
      <c r="D1517" s="8">
        <v>2022</v>
      </c>
      <c r="E1517" s="14">
        <f>Data!L1517</f>
        <v>0</v>
      </c>
      <c r="F1517" s="12">
        <f t="shared" si="23"/>
        <v>0</v>
      </c>
    </row>
    <row r="1518" spans="2:6" ht="15" customHeight="1" x14ac:dyDescent="0.3">
      <c r="C1518" s="1"/>
      <c r="D1518" s="8">
        <v>2023</v>
      </c>
      <c r="E1518" s="14">
        <f>Data!L1518</f>
        <v>0</v>
      </c>
      <c r="F1518" s="12">
        <f t="shared" si="23"/>
        <v>0</v>
      </c>
    </row>
    <row r="1519" spans="2:6" ht="15" customHeight="1" x14ac:dyDescent="0.3">
      <c r="C1519" s="1"/>
      <c r="D1519" s="8">
        <v>2024</v>
      </c>
      <c r="E1519" s="14">
        <f>Data!L1519</f>
        <v>8246000000</v>
      </c>
      <c r="F1519" s="12">
        <f t="shared" si="23"/>
        <v>0</v>
      </c>
    </row>
    <row r="1520" spans="2:6" ht="15" customHeight="1" x14ac:dyDescent="0.3">
      <c r="B1520" s="8">
        <v>139</v>
      </c>
      <c r="C1520" s="1" t="s">
        <v>137</v>
      </c>
      <c r="D1520" s="8">
        <v>2014</v>
      </c>
      <c r="E1520" s="14">
        <f>Data!L1520</f>
        <v>1581672215507</v>
      </c>
      <c r="F1520" s="12">
        <f t="shared" si="23"/>
        <v>190.81084350072763</v>
      </c>
    </row>
    <row r="1521" spans="2:6" ht="15" customHeight="1" x14ac:dyDescent="0.3">
      <c r="C1521" s="1"/>
      <c r="D1521" s="8">
        <v>2015</v>
      </c>
      <c r="E1521" s="14">
        <f>Data!L1521</f>
        <v>2741257568665</v>
      </c>
      <c r="F1521" s="12">
        <f t="shared" si="23"/>
        <v>0.73313885253165345</v>
      </c>
    </row>
    <row r="1522" spans="2:6" ht="15" customHeight="1" x14ac:dyDescent="0.3">
      <c r="C1522" s="1"/>
      <c r="D1522" s="8">
        <v>2016</v>
      </c>
      <c r="E1522" s="14">
        <f>Data!L1522</f>
        <v>3534767337954</v>
      </c>
      <c r="F1522" s="12">
        <f t="shared" si="23"/>
        <v>0.28946924884385872</v>
      </c>
    </row>
    <row r="1523" spans="2:6" ht="15" customHeight="1" x14ac:dyDescent="0.3">
      <c r="C1523" s="1"/>
      <c r="D1523" s="8">
        <v>2017</v>
      </c>
      <c r="E1523" s="14">
        <f>Data!L1523</f>
        <v>3905400553831</v>
      </c>
      <c r="F1523" s="12">
        <f t="shared" si="23"/>
        <v>0.10485363828543537</v>
      </c>
    </row>
    <row r="1524" spans="2:6" ht="15" customHeight="1" x14ac:dyDescent="0.3">
      <c r="C1524" s="1"/>
      <c r="D1524" s="8">
        <v>2018</v>
      </c>
      <c r="E1524" s="14">
        <f>Data!L1524</f>
        <v>4136519592430</v>
      </c>
      <c r="F1524" s="12">
        <f t="shared" si="23"/>
        <v>5.9179342915871701E-2</v>
      </c>
    </row>
    <row r="1525" spans="2:6" ht="15" customHeight="1" x14ac:dyDescent="0.3">
      <c r="C1525" s="1"/>
      <c r="D1525" s="8">
        <v>2019</v>
      </c>
      <c r="E1525" s="14">
        <f>Data!L1525</f>
        <v>4385732443445</v>
      </c>
      <c r="F1525" s="12">
        <f t="shared" si="23"/>
        <v>6.0246989152685199E-2</v>
      </c>
    </row>
    <row r="1526" spans="2:6" ht="15" customHeight="1" x14ac:dyDescent="0.3">
      <c r="C1526" s="1"/>
      <c r="D1526" s="8">
        <v>2020</v>
      </c>
      <c r="E1526" s="14">
        <f>Data!L1526</f>
        <v>4365553524897</v>
      </c>
      <c r="F1526" s="12">
        <f t="shared" si="23"/>
        <v>-4.6010372972386405E-3</v>
      </c>
    </row>
    <row r="1527" spans="2:6" ht="15" customHeight="1" x14ac:dyDescent="0.3">
      <c r="C1527" s="1"/>
      <c r="D1527" s="8">
        <v>2021</v>
      </c>
      <c r="E1527" s="14">
        <f>Data!L1527</f>
        <v>3961291677707</v>
      </c>
      <c r="F1527" s="12">
        <f t="shared" si="23"/>
        <v>-9.2602655054959626E-2</v>
      </c>
    </row>
    <row r="1528" spans="2:6" ht="15" customHeight="1" x14ac:dyDescent="0.3">
      <c r="C1528" s="1"/>
      <c r="D1528" s="8">
        <v>2022</v>
      </c>
      <c r="E1528" s="14">
        <f>Data!L1528</f>
        <v>4171958589419</v>
      </c>
      <c r="F1528" s="12">
        <f t="shared" si="23"/>
        <v>5.3181368314171924E-2</v>
      </c>
    </row>
    <row r="1529" spans="2:6" ht="15" customHeight="1" x14ac:dyDescent="0.3">
      <c r="C1529" s="1"/>
      <c r="D1529" s="8">
        <v>2023</v>
      </c>
      <c r="E1529" s="14">
        <f>Data!L1529</f>
        <v>3389674670236</v>
      </c>
      <c r="F1529" s="12">
        <f t="shared" si="23"/>
        <v>-0.18750999139038513</v>
      </c>
    </row>
    <row r="1530" spans="2:6" ht="15" customHeight="1" x14ac:dyDescent="0.3">
      <c r="C1530" s="1"/>
      <c r="D1530" s="8">
        <v>2024</v>
      </c>
      <c r="E1530" s="14">
        <f>Data!L1530</f>
        <v>3509098660965</v>
      </c>
      <c r="F1530" s="12">
        <f t="shared" si="23"/>
        <v>3.5231696946505291E-2</v>
      </c>
    </row>
    <row r="1531" spans="2:6" ht="15" customHeight="1" x14ac:dyDescent="0.3">
      <c r="B1531" s="8">
        <v>140</v>
      </c>
      <c r="C1531" s="1" t="s">
        <v>139</v>
      </c>
      <c r="D1531" s="8">
        <v>2014</v>
      </c>
      <c r="E1531" s="14">
        <f>Data!L1531</f>
        <v>141963000000</v>
      </c>
      <c r="F1531" s="12">
        <f t="shared" si="23"/>
        <v>-0.95954431216791147</v>
      </c>
    </row>
    <row r="1532" spans="2:6" ht="15" customHeight="1" x14ac:dyDescent="0.3">
      <c r="C1532" s="1"/>
      <c r="D1532" s="8">
        <v>2015</v>
      </c>
      <c r="E1532" s="14">
        <f>Data!L1532</f>
        <v>194516000000</v>
      </c>
      <c r="F1532" s="12">
        <f t="shared" si="23"/>
        <v>0.37018800673414903</v>
      </c>
    </row>
    <row r="1533" spans="2:6" ht="15" customHeight="1" x14ac:dyDescent="0.3">
      <c r="C1533" s="1"/>
      <c r="D1533" s="8">
        <v>2016</v>
      </c>
      <c r="E1533" s="14">
        <f>Data!L1533</f>
        <v>185095000000</v>
      </c>
      <c r="F1533" s="12">
        <f t="shared" si="23"/>
        <v>-4.8433033786423739E-2</v>
      </c>
    </row>
    <row r="1534" spans="2:6" ht="15" customHeight="1" x14ac:dyDescent="0.3">
      <c r="C1534" s="1"/>
      <c r="D1534" s="8">
        <v>2017</v>
      </c>
      <c r="E1534" s="14">
        <f>Data!L1534</f>
        <v>140262000000</v>
      </c>
      <c r="F1534" s="12">
        <f t="shared" si="23"/>
        <v>-0.24221615926956427</v>
      </c>
    </row>
    <row r="1535" spans="2:6" ht="15" customHeight="1" x14ac:dyDescent="0.3">
      <c r="C1535" s="1"/>
      <c r="D1535" s="8">
        <v>2018</v>
      </c>
      <c r="E1535" s="14">
        <f>Data!L1535</f>
        <v>151968000000</v>
      </c>
      <c r="F1535" s="12">
        <f t="shared" si="23"/>
        <v>8.3458099841724767E-2</v>
      </c>
    </row>
    <row r="1536" spans="2:6" ht="15" customHeight="1" x14ac:dyDescent="0.3">
      <c r="C1536" s="1"/>
      <c r="D1536" s="8">
        <v>2019</v>
      </c>
      <c r="E1536" s="14">
        <f>Data!L1536</f>
        <v>151861000000</v>
      </c>
      <c r="F1536" s="12">
        <f t="shared" si="23"/>
        <v>-7.0409559907348913E-4</v>
      </c>
    </row>
    <row r="1537" spans="2:6" ht="15" customHeight="1" x14ac:dyDescent="0.3">
      <c r="C1537" s="1"/>
      <c r="D1537" s="8">
        <v>2020</v>
      </c>
      <c r="E1537" s="14">
        <f>Data!L1537</f>
        <v>132766000000</v>
      </c>
      <c r="F1537" s="12">
        <f t="shared" si="23"/>
        <v>-0.12573998590816601</v>
      </c>
    </row>
    <row r="1538" spans="2:6" ht="15" customHeight="1" x14ac:dyDescent="0.3">
      <c r="C1538" s="1"/>
      <c r="D1538" s="8">
        <v>2021</v>
      </c>
      <c r="E1538" s="14">
        <f>Data!L1538</f>
        <v>105439000000</v>
      </c>
      <c r="F1538" s="12">
        <f t="shared" si="23"/>
        <v>-0.2058282994140066</v>
      </c>
    </row>
    <row r="1539" spans="2:6" ht="15" customHeight="1" x14ac:dyDescent="0.3">
      <c r="C1539" s="1"/>
      <c r="D1539" s="8">
        <v>2022</v>
      </c>
      <c r="E1539" s="14">
        <f>Data!L1539</f>
        <v>113030000000</v>
      </c>
      <c r="F1539" s="12">
        <f t="shared" ref="F1539:F1602" si="24">IFERROR((E1539-E1538)/E1538,0)</f>
        <v>7.1994233632716551E-2</v>
      </c>
    </row>
    <row r="1540" spans="2:6" ht="15" customHeight="1" x14ac:dyDescent="0.3">
      <c r="C1540" s="1"/>
      <c r="D1540" s="8">
        <v>2023</v>
      </c>
      <c r="E1540" s="14">
        <f>Data!L1540</f>
        <v>112639000000</v>
      </c>
      <c r="F1540" s="12">
        <f t="shared" si="24"/>
        <v>-3.4592586039104661E-3</v>
      </c>
    </row>
    <row r="1541" spans="2:6" ht="15" customHeight="1" x14ac:dyDescent="0.3">
      <c r="C1541" s="1"/>
      <c r="D1541" s="8">
        <v>2024</v>
      </c>
      <c r="E1541" s="14">
        <f>Data!L1541</f>
        <v>129657000000</v>
      </c>
      <c r="F1541" s="12">
        <f t="shared" si="24"/>
        <v>0.15108443789451256</v>
      </c>
    </row>
    <row r="1542" spans="2:6" ht="15" customHeight="1" x14ac:dyDescent="0.3">
      <c r="B1542" s="8">
        <v>141</v>
      </c>
      <c r="C1542" s="1" t="s">
        <v>140</v>
      </c>
      <c r="D1542" s="8">
        <v>2014</v>
      </c>
      <c r="E1542" s="14">
        <f>Data!L1542</f>
        <v>1472876000000</v>
      </c>
      <c r="F1542" s="12">
        <f t="shared" si="24"/>
        <v>10.359787747672705</v>
      </c>
    </row>
    <row r="1543" spans="2:6" ht="15" customHeight="1" x14ac:dyDescent="0.3">
      <c r="C1543" s="1"/>
      <c r="D1543" s="8">
        <v>2015</v>
      </c>
      <c r="E1543" s="14">
        <f>Data!L1543</f>
        <v>2175959000000</v>
      </c>
      <c r="F1543" s="12">
        <f t="shared" si="24"/>
        <v>0.47735383019344468</v>
      </c>
    </row>
    <row r="1544" spans="2:6" ht="15" customHeight="1" x14ac:dyDescent="0.3">
      <c r="C1544" s="1"/>
      <c r="D1544" s="8">
        <v>2016</v>
      </c>
      <c r="E1544" s="14">
        <f>Data!L1544</f>
        <v>2455352000000</v>
      </c>
      <c r="F1544" s="12">
        <f t="shared" si="24"/>
        <v>0.12839993768264935</v>
      </c>
    </row>
    <row r="1545" spans="2:6" ht="15" customHeight="1" x14ac:dyDescent="0.3">
      <c r="C1545" s="1"/>
      <c r="D1545" s="8">
        <v>2017</v>
      </c>
      <c r="E1545" s="14">
        <f>Data!L1545</f>
        <v>0</v>
      </c>
      <c r="F1545" s="12">
        <f t="shared" si="24"/>
        <v>-1</v>
      </c>
    </row>
    <row r="1546" spans="2:6" ht="15" customHeight="1" x14ac:dyDescent="0.3">
      <c r="C1546" s="1"/>
      <c r="D1546" s="8">
        <v>2018</v>
      </c>
      <c r="E1546" s="14">
        <f>Data!L1546</f>
        <v>3698170000000</v>
      </c>
      <c r="F1546" s="12">
        <f t="shared" si="24"/>
        <v>0</v>
      </c>
    </row>
    <row r="1547" spans="2:6" ht="15" customHeight="1" x14ac:dyDescent="0.3">
      <c r="C1547" s="1"/>
      <c r="D1547" s="8">
        <v>2019</v>
      </c>
      <c r="E1547" s="14">
        <f>Data!L1547</f>
        <v>5006591000000</v>
      </c>
      <c r="F1547" s="12">
        <f t="shared" si="24"/>
        <v>0.35380228599550589</v>
      </c>
    </row>
    <row r="1548" spans="2:6" ht="15" customHeight="1" x14ac:dyDescent="0.3">
      <c r="C1548" s="1"/>
      <c r="D1548" s="8">
        <v>2020</v>
      </c>
      <c r="E1548" s="14">
        <f>Data!L1548</f>
        <v>4829860000000</v>
      </c>
      <c r="F1548" s="12">
        <f t="shared" si="24"/>
        <v>-3.5299667977671832E-2</v>
      </c>
    </row>
    <row r="1549" spans="2:6" ht="15" customHeight="1" x14ac:dyDescent="0.3">
      <c r="C1549" s="1"/>
      <c r="D1549" s="8">
        <v>2021</v>
      </c>
      <c r="E1549" s="14">
        <f>Data!L1549</f>
        <v>5666198000000</v>
      </c>
      <c r="F1549" s="12">
        <f t="shared" si="24"/>
        <v>0.17315988455151909</v>
      </c>
    </row>
    <row r="1550" spans="2:6" ht="15" customHeight="1" x14ac:dyDescent="0.3">
      <c r="C1550" s="1"/>
      <c r="D1550" s="8">
        <v>2022</v>
      </c>
      <c r="E1550" s="14">
        <f>Data!L1550</f>
        <v>7991435000000</v>
      </c>
      <c r="F1550" s="12">
        <f t="shared" si="24"/>
        <v>0.41036988117958462</v>
      </c>
    </row>
    <row r="1551" spans="2:6" ht="15" customHeight="1" x14ac:dyDescent="0.3">
      <c r="C1551" s="1"/>
      <c r="D1551" s="8">
        <v>2023</v>
      </c>
      <c r="E1551" s="14">
        <f>Data!L1551</f>
        <v>5181764000000</v>
      </c>
      <c r="F1551" s="12">
        <f t="shared" si="24"/>
        <v>-0.35158529100217922</v>
      </c>
    </row>
    <row r="1552" spans="2:6" ht="15" customHeight="1" x14ac:dyDescent="0.3">
      <c r="C1552" s="1"/>
      <c r="D1552" s="8">
        <v>2024</v>
      </c>
      <c r="E1552" s="14">
        <f>Data!L1552</f>
        <v>2975852000000</v>
      </c>
      <c r="F1552" s="12">
        <f t="shared" si="24"/>
        <v>-0.42570676703917815</v>
      </c>
    </row>
    <row r="1553" spans="2:6" ht="15" customHeight="1" x14ac:dyDescent="0.3">
      <c r="B1553" s="8">
        <v>142</v>
      </c>
      <c r="C1553" s="1" t="s">
        <v>138</v>
      </c>
      <c r="D1553" s="8">
        <v>2014</v>
      </c>
      <c r="E1553" s="14">
        <f>Data!L1553</f>
        <v>0</v>
      </c>
      <c r="F1553" s="12">
        <f t="shared" si="24"/>
        <v>-1</v>
      </c>
    </row>
    <row r="1554" spans="2:6" ht="15" customHeight="1" x14ac:dyDescent="0.3">
      <c r="C1554" s="1"/>
      <c r="D1554" s="8">
        <v>2015</v>
      </c>
      <c r="E1554" s="14">
        <f>Data!L1556</f>
        <v>1084000000</v>
      </c>
      <c r="F1554" s="12">
        <f t="shared" si="24"/>
        <v>0</v>
      </c>
    </row>
    <row r="1555" spans="2:6" ht="15" customHeight="1" x14ac:dyDescent="0.3">
      <c r="C1555" s="1"/>
      <c r="D1555" s="8">
        <v>2016</v>
      </c>
      <c r="E1555" s="14">
        <f>Data!L1555</f>
        <v>0</v>
      </c>
      <c r="F1555" s="12">
        <f t="shared" si="24"/>
        <v>-1</v>
      </c>
    </row>
    <row r="1556" spans="2:6" ht="15" customHeight="1" x14ac:dyDescent="0.3">
      <c r="C1556" s="1"/>
      <c r="D1556" s="8">
        <v>2017</v>
      </c>
      <c r="E1556" s="14" t="e">
        <f>Data!#REF!</f>
        <v>#REF!</v>
      </c>
      <c r="F1556" s="12">
        <f t="shared" si="24"/>
        <v>0</v>
      </c>
    </row>
    <row r="1557" spans="2:6" ht="15" customHeight="1" x14ac:dyDescent="0.3">
      <c r="C1557" s="1"/>
      <c r="D1557" s="8">
        <v>2018</v>
      </c>
      <c r="E1557" s="14">
        <f>Data!L1557</f>
        <v>0</v>
      </c>
      <c r="F1557" s="12">
        <f t="shared" si="24"/>
        <v>0</v>
      </c>
    </row>
    <row r="1558" spans="2:6" ht="15" customHeight="1" x14ac:dyDescent="0.3">
      <c r="C1558" s="1"/>
      <c r="D1558" s="8">
        <v>2019</v>
      </c>
      <c r="E1558" s="14">
        <f>Data!L1558</f>
        <v>223539000000</v>
      </c>
      <c r="F1558" s="12">
        <f t="shared" si="24"/>
        <v>0</v>
      </c>
    </row>
    <row r="1559" spans="2:6" ht="15" customHeight="1" x14ac:dyDescent="0.3">
      <c r="C1559" s="1"/>
      <c r="D1559" s="8">
        <v>2020</v>
      </c>
      <c r="E1559" s="14">
        <f>Data!L1559</f>
        <v>600103000000</v>
      </c>
      <c r="F1559" s="12">
        <f t="shared" si="24"/>
        <v>1.684556162459347</v>
      </c>
    </row>
    <row r="1560" spans="2:6" ht="15" customHeight="1" x14ac:dyDescent="0.3">
      <c r="C1560" s="1"/>
      <c r="D1560" s="8">
        <v>2021</v>
      </c>
      <c r="E1560" s="14">
        <f>Data!L1560</f>
        <v>634331000000</v>
      </c>
      <c r="F1560" s="12">
        <f t="shared" si="24"/>
        <v>5.7036875336400582E-2</v>
      </c>
    </row>
    <row r="1561" spans="2:6" ht="15" customHeight="1" x14ac:dyDescent="0.3">
      <c r="C1561" s="1"/>
      <c r="D1561" s="8">
        <v>2022</v>
      </c>
      <c r="E1561" s="14">
        <f>Data!L1561</f>
        <v>453744000000</v>
      </c>
      <c r="F1561" s="12">
        <f t="shared" si="24"/>
        <v>-0.28468890847207529</v>
      </c>
    </row>
    <row r="1562" spans="2:6" ht="15" customHeight="1" x14ac:dyDescent="0.3">
      <c r="C1562" s="1"/>
      <c r="D1562" s="8">
        <v>2023</v>
      </c>
      <c r="E1562" s="14">
        <f>Data!L1562</f>
        <v>437274000000</v>
      </c>
      <c r="F1562" s="12">
        <f t="shared" si="24"/>
        <v>-3.6298000634719135E-2</v>
      </c>
    </row>
    <row r="1563" spans="2:6" ht="15" customHeight="1" x14ac:dyDescent="0.3">
      <c r="C1563" s="1"/>
      <c r="D1563" s="8">
        <v>2024</v>
      </c>
      <c r="E1563" s="14">
        <f>Data!L1563</f>
        <v>553499000000</v>
      </c>
      <c r="F1563" s="12">
        <f t="shared" si="24"/>
        <v>0.26579444467313401</v>
      </c>
    </row>
    <row r="1564" spans="2:6" ht="15" customHeight="1" x14ac:dyDescent="0.3">
      <c r="B1564" s="8">
        <v>143</v>
      </c>
      <c r="C1564" s="1" t="s">
        <v>144</v>
      </c>
      <c r="D1564" s="8">
        <v>2014</v>
      </c>
      <c r="E1564" s="14">
        <f>Data!L1564</f>
        <v>0</v>
      </c>
      <c r="F1564" s="12">
        <f t="shared" si="24"/>
        <v>-1</v>
      </c>
    </row>
    <row r="1565" spans="2:6" ht="15" customHeight="1" x14ac:dyDescent="0.3">
      <c r="C1565" s="1"/>
      <c r="D1565" s="8">
        <v>2015</v>
      </c>
      <c r="E1565" s="14">
        <f>Data!L1565</f>
        <v>0</v>
      </c>
      <c r="F1565" s="12">
        <f t="shared" si="24"/>
        <v>0</v>
      </c>
    </row>
    <row r="1566" spans="2:6" ht="15" customHeight="1" x14ac:dyDescent="0.3">
      <c r="C1566" s="1"/>
      <c r="D1566" s="8">
        <v>2016</v>
      </c>
      <c r="E1566" s="14">
        <f>Data!L1566</f>
        <v>0</v>
      </c>
      <c r="F1566" s="12">
        <f t="shared" si="24"/>
        <v>0</v>
      </c>
    </row>
    <row r="1567" spans="2:6" ht="15" customHeight="1" x14ac:dyDescent="0.3">
      <c r="C1567" s="1"/>
      <c r="D1567" s="8">
        <v>2017</v>
      </c>
      <c r="E1567" s="14">
        <f>Data!L1567</f>
        <v>0</v>
      </c>
      <c r="F1567" s="12">
        <f t="shared" si="24"/>
        <v>0</v>
      </c>
    </row>
    <row r="1568" spans="2:6" ht="15" customHeight="1" x14ac:dyDescent="0.3">
      <c r="C1568" s="1"/>
      <c r="D1568" s="8">
        <v>2018</v>
      </c>
      <c r="E1568" s="14">
        <f>Data!L1568</f>
        <v>0</v>
      </c>
      <c r="F1568" s="12">
        <f t="shared" si="24"/>
        <v>0</v>
      </c>
    </row>
    <row r="1569" spans="2:6" ht="15" customHeight="1" x14ac:dyDescent="0.3">
      <c r="C1569" s="1"/>
      <c r="D1569" s="8">
        <v>2019</v>
      </c>
      <c r="E1569" s="14">
        <f>Data!L1569</f>
        <v>0</v>
      </c>
      <c r="F1569" s="12">
        <f t="shared" si="24"/>
        <v>0</v>
      </c>
    </row>
    <row r="1570" spans="2:6" ht="15" customHeight="1" x14ac:dyDescent="0.3">
      <c r="C1570" s="1"/>
      <c r="D1570" s="8">
        <v>2020</v>
      </c>
      <c r="E1570" s="14">
        <f>Data!L1570</f>
        <v>0</v>
      </c>
      <c r="F1570" s="12">
        <f t="shared" si="24"/>
        <v>0</v>
      </c>
    </row>
    <row r="1571" spans="2:6" ht="15" customHeight="1" x14ac:dyDescent="0.3">
      <c r="C1571" s="1"/>
      <c r="D1571" s="8">
        <v>2021</v>
      </c>
      <c r="E1571" s="14">
        <f>Data!L1571</f>
        <v>0</v>
      </c>
      <c r="F1571" s="12">
        <f t="shared" si="24"/>
        <v>0</v>
      </c>
    </row>
    <row r="1572" spans="2:6" ht="15" customHeight="1" x14ac:dyDescent="0.3">
      <c r="C1572" s="1"/>
      <c r="D1572" s="8">
        <v>2022</v>
      </c>
      <c r="E1572" s="14">
        <f>Data!L1572</f>
        <v>0</v>
      </c>
      <c r="F1572" s="12">
        <f t="shared" si="24"/>
        <v>0</v>
      </c>
    </row>
    <row r="1573" spans="2:6" ht="15" customHeight="1" x14ac:dyDescent="0.3">
      <c r="C1573" s="1"/>
      <c r="D1573" s="8">
        <v>2023</v>
      </c>
      <c r="E1573" s="14">
        <f>Data!L1573</f>
        <v>0</v>
      </c>
      <c r="F1573" s="12">
        <f t="shared" si="24"/>
        <v>0</v>
      </c>
    </row>
    <row r="1574" spans="2:6" ht="15" customHeight="1" x14ac:dyDescent="0.3">
      <c r="C1574" s="1"/>
      <c r="D1574" s="8">
        <v>2024</v>
      </c>
      <c r="E1574" s="14">
        <f>Data!L1574</f>
        <v>0</v>
      </c>
      <c r="F1574" s="12">
        <f t="shared" si="24"/>
        <v>0</v>
      </c>
    </row>
    <row r="1575" spans="2:6" ht="15" customHeight="1" x14ac:dyDescent="0.3">
      <c r="B1575" s="8">
        <v>144</v>
      </c>
      <c r="C1575" s="1" t="s">
        <v>141</v>
      </c>
      <c r="D1575" s="8">
        <v>2014</v>
      </c>
      <c r="E1575" s="14">
        <f>Data!L1575</f>
        <v>0</v>
      </c>
      <c r="F1575" s="12">
        <f t="shared" si="24"/>
        <v>0</v>
      </c>
    </row>
    <row r="1576" spans="2:6" ht="15" customHeight="1" x14ac:dyDescent="0.3">
      <c r="C1576" s="1"/>
      <c r="D1576" s="8">
        <v>2015</v>
      </c>
      <c r="E1576" s="14">
        <f>Data!L1576</f>
        <v>0</v>
      </c>
      <c r="F1576" s="12">
        <f t="shared" si="24"/>
        <v>0</v>
      </c>
    </row>
    <row r="1577" spans="2:6" ht="15" customHeight="1" x14ac:dyDescent="0.3">
      <c r="C1577" s="1"/>
      <c r="D1577" s="8">
        <v>2016</v>
      </c>
      <c r="E1577" s="14">
        <f>Data!L1577</f>
        <v>0</v>
      </c>
      <c r="F1577" s="12">
        <f t="shared" si="24"/>
        <v>0</v>
      </c>
    </row>
    <row r="1578" spans="2:6" ht="15" customHeight="1" x14ac:dyDescent="0.3">
      <c r="C1578" s="1"/>
      <c r="D1578" s="8">
        <v>2017</v>
      </c>
      <c r="E1578" s="14">
        <f>Data!L1578</f>
        <v>1039716000000</v>
      </c>
      <c r="F1578" s="12">
        <f t="shared" si="24"/>
        <v>0</v>
      </c>
    </row>
    <row r="1579" spans="2:6" ht="15" customHeight="1" x14ac:dyDescent="0.3">
      <c r="C1579" s="1"/>
      <c r="D1579" s="8">
        <v>2018</v>
      </c>
      <c r="E1579" s="14">
        <f>Data!L1579</f>
        <v>1171019000000</v>
      </c>
      <c r="F1579" s="12">
        <f t="shared" si="24"/>
        <v>0.12628737078202124</v>
      </c>
    </row>
    <row r="1580" spans="2:6" ht="15" customHeight="1" x14ac:dyDescent="0.3">
      <c r="C1580" s="1"/>
      <c r="D1580" s="8">
        <v>2019</v>
      </c>
      <c r="E1580" s="14">
        <f>Data!L1580</f>
        <v>1245589000000</v>
      </c>
      <c r="F1580" s="12">
        <f t="shared" si="24"/>
        <v>6.3679581629333085E-2</v>
      </c>
    </row>
    <row r="1581" spans="2:6" ht="15" customHeight="1" x14ac:dyDescent="0.3">
      <c r="C1581" s="1"/>
      <c r="D1581" s="8">
        <v>2020</v>
      </c>
      <c r="E1581" s="14">
        <f>Data!L1581</f>
        <v>1092309000000</v>
      </c>
      <c r="F1581" s="12">
        <f t="shared" si="24"/>
        <v>-0.12305824794534954</v>
      </c>
    </row>
    <row r="1582" spans="2:6" ht="15" customHeight="1" x14ac:dyDescent="0.3">
      <c r="C1582" s="1"/>
      <c r="D1582" s="8">
        <v>2021</v>
      </c>
      <c r="E1582" s="14">
        <f>Data!L1582</f>
        <v>1157647000000</v>
      </c>
      <c r="F1582" s="12">
        <f t="shared" si="24"/>
        <v>5.9816407262047643E-2</v>
      </c>
    </row>
    <row r="1583" spans="2:6" ht="15" customHeight="1" x14ac:dyDescent="0.3">
      <c r="C1583" s="1"/>
      <c r="D1583" s="8">
        <v>2022</v>
      </c>
      <c r="E1583" s="14">
        <f>Data!L1583</f>
        <v>1232293000000</v>
      </c>
      <c r="F1583" s="12">
        <f t="shared" si="24"/>
        <v>6.4480795959390033E-2</v>
      </c>
    </row>
    <row r="1584" spans="2:6" ht="15" customHeight="1" x14ac:dyDescent="0.3">
      <c r="C1584" s="1"/>
      <c r="D1584" s="8">
        <v>2023</v>
      </c>
      <c r="E1584" s="14">
        <f>Data!L1584</f>
        <v>1294480000000</v>
      </c>
      <c r="F1584" s="12">
        <f t="shared" si="24"/>
        <v>5.0464459345301804E-2</v>
      </c>
    </row>
    <row r="1585" spans="1:6" ht="15" customHeight="1" x14ac:dyDescent="0.3">
      <c r="C1585" s="1"/>
      <c r="D1585" s="8">
        <v>2024</v>
      </c>
      <c r="E1585" s="14">
        <f>Data!L1585</f>
        <v>1642288000000</v>
      </c>
      <c r="F1585" s="12">
        <f t="shared" si="24"/>
        <v>0.26868549533403374</v>
      </c>
    </row>
    <row r="1586" spans="1:6" ht="15" customHeight="1" x14ac:dyDescent="0.3">
      <c r="A1586" t="s">
        <v>156</v>
      </c>
      <c r="B1586" s="8">
        <v>145</v>
      </c>
      <c r="C1586" s="4" t="s">
        <v>145</v>
      </c>
      <c r="D1586" s="8">
        <v>2014</v>
      </c>
      <c r="E1586" s="14">
        <f>Data!L1586</f>
        <v>3483757000000</v>
      </c>
      <c r="F1586" s="12">
        <f t="shared" si="24"/>
        <v>1.121282625215553</v>
      </c>
    </row>
    <row r="1587" spans="1:6" ht="15" customHeight="1" x14ac:dyDescent="0.3">
      <c r="C1587" s="4"/>
      <c r="D1587" s="8">
        <v>2015</v>
      </c>
      <c r="E1587" s="14">
        <f>Data!L1587</f>
        <v>4169989000000</v>
      </c>
      <c r="F1587" s="12">
        <f t="shared" si="24"/>
        <v>0.1969804438139629</v>
      </c>
    </row>
    <row r="1588" spans="1:6" ht="15" customHeight="1" x14ac:dyDescent="0.3">
      <c r="C1588" s="4"/>
      <c r="D1588" s="8">
        <v>2016</v>
      </c>
      <c r="E1588" s="14">
        <f>Data!L1588</f>
        <v>5182617000000</v>
      </c>
      <c r="F1588" s="12">
        <f t="shared" si="24"/>
        <v>0.24283709141678791</v>
      </c>
    </row>
    <row r="1589" spans="1:6" ht="15" customHeight="1" x14ac:dyDescent="0.3">
      <c r="C1589" s="4"/>
      <c r="D1589" s="8">
        <v>2017</v>
      </c>
      <c r="E1589" s="14">
        <f>Data!L1589</f>
        <v>4519830000000</v>
      </c>
      <c r="F1589" s="12">
        <f t="shared" si="24"/>
        <v>-0.12788654843682257</v>
      </c>
    </row>
    <row r="1590" spans="1:6" ht="15" customHeight="1" x14ac:dyDescent="0.3">
      <c r="C1590" s="4"/>
      <c r="D1590" s="8">
        <v>2018</v>
      </c>
      <c r="E1590" s="14">
        <f>Data!L1590</f>
        <v>0</v>
      </c>
      <c r="F1590" s="12">
        <f t="shared" si="24"/>
        <v>-1</v>
      </c>
    </row>
    <row r="1591" spans="1:6" ht="15" customHeight="1" x14ac:dyDescent="0.3">
      <c r="C1591" s="4"/>
      <c r="D1591" s="8">
        <v>2019</v>
      </c>
      <c r="E1591" s="14">
        <f>Data!L1591</f>
        <v>0</v>
      </c>
      <c r="F1591" s="12">
        <f t="shared" si="24"/>
        <v>0</v>
      </c>
    </row>
    <row r="1592" spans="1:6" ht="15" customHeight="1" x14ac:dyDescent="0.3">
      <c r="C1592" s="4"/>
      <c r="D1592" s="8">
        <v>2020</v>
      </c>
      <c r="E1592" s="14">
        <f>Data!L1592</f>
        <v>0</v>
      </c>
      <c r="F1592" s="12">
        <f t="shared" si="24"/>
        <v>0</v>
      </c>
    </row>
    <row r="1593" spans="1:6" ht="15" customHeight="1" x14ac:dyDescent="0.3">
      <c r="C1593" s="4"/>
      <c r="D1593" s="8">
        <v>2021</v>
      </c>
      <c r="E1593" s="14">
        <f>Data!L1593</f>
        <v>0</v>
      </c>
      <c r="F1593" s="12">
        <f t="shared" si="24"/>
        <v>0</v>
      </c>
    </row>
    <row r="1594" spans="1:6" ht="15" customHeight="1" x14ac:dyDescent="0.3">
      <c r="C1594" s="4"/>
      <c r="D1594" s="8">
        <v>2022</v>
      </c>
      <c r="E1594" s="14">
        <f>Data!L1594</f>
        <v>0</v>
      </c>
      <c r="F1594" s="12">
        <f t="shared" si="24"/>
        <v>0</v>
      </c>
    </row>
    <row r="1595" spans="1:6" ht="15" customHeight="1" x14ac:dyDescent="0.3">
      <c r="C1595" s="4"/>
      <c r="D1595" s="8">
        <v>2023</v>
      </c>
      <c r="E1595" s="14">
        <f>Data!L1595</f>
        <v>0</v>
      </c>
      <c r="F1595" s="12">
        <f t="shared" si="24"/>
        <v>0</v>
      </c>
    </row>
    <row r="1596" spans="1:6" ht="15" customHeight="1" x14ac:dyDescent="0.3">
      <c r="C1596" s="4"/>
      <c r="D1596" s="8">
        <v>2024</v>
      </c>
      <c r="E1596" s="14">
        <f>Data!L1596</f>
        <v>0</v>
      </c>
      <c r="F1596" s="12">
        <f t="shared" si="24"/>
        <v>0</v>
      </c>
    </row>
    <row r="1597" spans="1:6" ht="15" customHeight="1" x14ac:dyDescent="0.3">
      <c r="B1597" s="8">
        <v>146</v>
      </c>
      <c r="C1597" s="4" t="s">
        <v>146</v>
      </c>
      <c r="D1597" s="8">
        <v>2014</v>
      </c>
      <c r="E1597" s="14">
        <f>Data!L1597</f>
        <v>0</v>
      </c>
      <c r="F1597" s="12">
        <f t="shared" si="24"/>
        <v>0</v>
      </c>
    </row>
    <row r="1598" spans="1:6" ht="15" customHeight="1" x14ac:dyDescent="0.3">
      <c r="C1598" s="4"/>
      <c r="D1598" s="8">
        <v>2015</v>
      </c>
      <c r="E1598" s="14">
        <f>Data!L1598</f>
        <v>0</v>
      </c>
      <c r="F1598" s="12">
        <f t="shared" si="24"/>
        <v>0</v>
      </c>
    </row>
    <row r="1599" spans="1:6" ht="15" customHeight="1" x14ac:dyDescent="0.3">
      <c r="C1599" s="4"/>
      <c r="D1599" s="8">
        <v>2016</v>
      </c>
      <c r="E1599" s="14">
        <f>Data!L1599</f>
        <v>0</v>
      </c>
      <c r="F1599" s="12">
        <f t="shared" si="24"/>
        <v>0</v>
      </c>
    </row>
    <row r="1600" spans="1:6" ht="15" customHeight="1" x14ac:dyDescent="0.3">
      <c r="C1600" s="4"/>
      <c r="D1600" s="8">
        <v>2017</v>
      </c>
      <c r="E1600" s="14">
        <f>Data!L1600</f>
        <v>0</v>
      </c>
      <c r="F1600" s="12">
        <f t="shared" si="24"/>
        <v>0</v>
      </c>
    </row>
    <row r="1601" spans="1:6" ht="15" customHeight="1" x14ac:dyDescent="0.3">
      <c r="C1601" s="4"/>
      <c r="D1601" s="8">
        <v>2018</v>
      </c>
      <c r="E1601" s="14">
        <f>Data!L1601</f>
        <v>0</v>
      </c>
      <c r="F1601" s="12">
        <f t="shared" si="24"/>
        <v>0</v>
      </c>
    </row>
    <row r="1602" spans="1:6" ht="15" customHeight="1" x14ac:dyDescent="0.3">
      <c r="C1602" s="4"/>
      <c r="D1602" s="8">
        <v>2019</v>
      </c>
      <c r="E1602" s="14">
        <f>Data!L1602</f>
        <v>0</v>
      </c>
      <c r="F1602" s="12">
        <f t="shared" si="24"/>
        <v>0</v>
      </c>
    </row>
    <row r="1603" spans="1:6" ht="15" customHeight="1" x14ac:dyDescent="0.3">
      <c r="C1603" s="4"/>
      <c r="D1603" s="8">
        <v>2020</v>
      </c>
      <c r="E1603" s="14">
        <f>Data!L1603</f>
        <v>0</v>
      </c>
      <c r="F1603" s="12">
        <f t="shared" ref="F1603:F1629" si="25">IFERROR((E1603-E1602)/E1602,0)</f>
        <v>0</v>
      </c>
    </row>
    <row r="1604" spans="1:6" ht="15" customHeight="1" x14ac:dyDescent="0.3">
      <c r="C1604" s="4"/>
      <c r="D1604" s="8">
        <v>2021</v>
      </c>
      <c r="E1604" s="14">
        <f>Data!L1604</f>
        <v>0</v>
      </c>
      <c r="F1604" s="12">
        <f t="shared" si="25"/>
        <v>0</v>
      </c>
    </row>
    <row r="1605" spans="1:6" ht="15" customHeight="1" x14ac:dyDescent="0.3">
      <c r="C1605" s="4"/>
      <c r="D1605" s="8">
        <v>2022</v>
      </c>
      <c r="E1605" s="14">
        <f>Data!L1605</f>
        <v>0</v>
      </c>
      <c r="F1605" s="12">
        <f t="shared" si="25"/>
        <v>0</v>
      </c>
    </row>
    <row r="1606" spans="1:6" ht="15" customHeight="1" x14ac:dyDescent="0.3">
      <c r="C1606" s="4"/>
      <c r="D1606" s="8">
        <v>2023</v>
      </c>
      <c r="E1606" s="14">
        <f>Data!L1606</f>
        <v>0</v>
      </c>
      <c r="F1606" s="12">
        <f t="shared" si="25"/>
        <v>0</v>
      </c>
    </row>
    <row r="1607" spans="1:6" ht="15" customHeight="1" x14ac:dyDescent="0.3">
      <c r="C1607" s="4"/>
      <c r="D1607" s="8">
        <v>2024</v>
      </c>
      <c r="E1607" s="14">
        <f>Data!L1607</f>
        <v>0</v>
      </c>
      <c r="F1607" s="12">
        <f t="shared" si="25"/>
        <v>0</v>
      </c>
    </row>
    <row r="1608" spans="1:6" ht="15" customHeight="1" x14ac:dyDescent="0.3">
      <c r="A1608" t="s">
        <v>157</v>
      </c>
      <c r="B1608" s="8">
        <v>147</v>
      </c>
      <c r="C1608" s="4" t="s">
        <v>147</v>
      </c>
      <c r="D1608" s="8">
        <v>2014</v>
      </c>
      <c r="E1608" s="14">
        <f>Data!L1608</f>
        <v>0</v>
      </c>
      <c r="F1608" s="12">
        <f t="shared" si="25"/>
        <v>0</v>
      </c>
    </row>
    <row r="1609" spans="1:6" ht="15" customHeight="1" x14ac:dyDescent="0.3">
      <c r="C1609" s="4"/>
      <c r="D1609" s="8">
        <v>2015</v>
      </c>
      <c r="E1609" s="14">
        <f>Data!L1609</f>
        <v>0</v>
      </c>
      <c r="F1609" s="12">
        <f t="shared" si="25"/>
        <v>0</v>
      </c>
    </row>
    <row r="1610" spans="1:6" ht="15" customHeight="1" x14ac:dyDescent="0.3">
      <c r="C1610" s="4"/>
      <c r="D1610" s="8">
        <v>2016</v>
      </c>
      <c r="E1610" s="14">
        <f>Data!L1610</f>
        <v>0</v>
      </c>
      <c r="F1610" s="12">
        <f t="shared" si="25"/>
        <v>0</v>
      </c>
    </row>
    <row r="1611" spans="1:6" ht="15" customHeight="1" x14ac:dyDescent="0.3">
      <c r="C1611" s="4"/>
      <c r="D1611" s="8">
        <v>2017</v>
      </c>
      <c r="E1611" s="14">
        <f>Data!L1611</f>
        <v>0</v>
      </c>
      <c r="F1611" s="12">
        <f t="shared" si="25"/>
        <v>0</v>
      </c>
    </row>
    <row r="1612" spans="1:6" ht="15" customHeight="1" x14ac:dyDescent="0.3">
      <c r="C1612" s="4"/>
      <c r="D1612" s="8">
        <v>2018</v>
      </c>
      <c r="E1612" s="14">
        <f>Data!L1612</f>
        <v>0</v>
      </c>
      <c r="F1612" s="12">
        <f t="shared" si="25"/>
        <v>0</v>
      </c>
    </row>
    <row r="1613" spans="1:6" ht="15" customHeight="1" x14ac:dyDescent="0.3">
      <c r="C1613" s="4"/>
      <c r="D1613" s="8">
        <v>2019</v>
      </c>
      <c r="E1613" s="14">
        <f>Data!L1613</f>
        <v>0</v>
      </c>
      <c r="F1613" s="12">
        <f t="shared" si="25"/>
        <v>0</v>
      </c>
    </row>
    <row r="1614" spans="1:6" ht="15" customHeight="1" x14ac:dyDescent="0.3">
      <c r="C1614" s="4"/>
      <c r="D1614" s="8">
        <v>2020</v>
      </c>
      <c r="E1614" s="14">
        <f>Data!L1614</f>
        <v>0</v>
      </c>
      <c r="F1614" s="12">
        <f t="shared" si="25"/>
        <v>0</v>
      </c>
    </row>
    <row r="1615" spans="1:6" ht="15" customHeight="1" x14ac:dyDescent="0.3">
      <c r="C1615" s="4"/>
      <c r="D1615" s="8">
        <v>2021</v>
      </c>
      <c r="E1615" s="14">
        <f>Data!L1615</f>
        <v>0</v>
      </c>
      <c r="F1615" s="12">
        <f t="shared" si="25"/>
        <v>0</v>
      </c>
    </row>
    <row r="1616" spans="1:6" ht="15" customHeight="1" x14ac:dyDescent="0.3">
      <c r="C1616" s="4"/>
      <c r="D1616" s="8">
        <v>2022</v>
      </c>
      <c r="E1616" s="14">
        <f>Data!L1616</f>
        <v>0</v>
      </c>
      <c r="F1616" s="12">
        <f t="shared" si="25"/>
        <v>0</v>
      </c>
    </row>
    <row r="1617" spans="2:6" ht="15" customHeight="1" x14ac:dyDescent="0.3">
      <c r="C1617" s="4"/>
      <c r="D1617" s="8">
        <v>2023</v>
      </c>
      <c r="E1617" s="14">
        <f>Data!L1617</f>
        <v>0</v>
      </c>
      <c r="F1617" s="12">
        <f t="shared" si="25"/>
        <v>0</v>
      </c>
    </row>
    <row r="1618" spans="2:6" ht="15" customHeight="1" x14ac:dyDescent="0.3">
      <c r="C1618" s="4"/>
      <c r="D1618" s="8">
        <v>2024</v>
      </c>
      <c r="E1618" s="14">
        <f>Data!L1618</f>
        <v>0</v>
      </c>
      <c r="F1618" s="12">
        <f t="shared" si="25"/>
        <v>0</v>
      </c>
    </row>
    <row r="1619" spans="2:6" ht="15" customHeight="1" x14ac:dyDescent="0.3">
      <c r="B1619" s="8">
        <v>148</v>
      </c>
      <c r="C1619" s="4" t="s">
        <v>148</v>
      </c>
      <c r="D1619" s="8">
        <v>2014</v>
      </c>
      <c r="E1619" s="14">
        <f>Data!L1619</f>
        <v>2436594000000</v>
      </c>
      <c r="F1619" s="12">
        <f t="shared" si="25"/>
        <v>0</v>
      </c>
    </row>
    <row r="1620" spans="2:6" ht="15" customHeight="1" x14ac:dyDescent="0.3">
      <c r="C1620" s="5"/>
      <c r="D1620" s="8">
        <v>2015</v>
      </c>
      <c r="E1620" s="14">
        <f>Data!L1620</f>
        <v>3140404000000</v>
      </c>
      <c r="F1620" s="12">
        <f t="shared" si="25"/>
        <v>0.28884992739865567</v>
      </c>
    </row>
    <row r="1621" spans="2:6" ht="15" customHeight="1" x14ac:dyDescent="0.3">
      <c r="C1621" s="5"/>
      <c r="D1621" s="8">
        <v>2016</v>
      </c>
      <c r="E1621" s="14">
        <f>Data!L1621</f>
        <v>4680065000000</v>
      </c>
      <c r="F1621" s="12">
        <f t="shared" si="25"/>
        <v>0.49027481814441709</v>
      </c>
    </row>
    <row r="1622" spans="2:6" ht="15" customHeight="1" x14ac:dyDescent="0.3">
      <c r="C1622" s="5"/>
      <c r="D1622" s="8">
        <v>2017</v>
      </c>
      <c r="E1622" s="14">
        <f>Data!L1622</f>
        <v>4755082000000</v>
      </c>
      <c r="F1622" s="12">
        <f t="shared" si="25"/>
        <v>1.6029050878566858E-2</v>
      </c>
    </row>
    <row r="1623" spans="2:6" ht="15" customHeight="1" x14ac:dyDescent="0.3">
      <c r="C1623" s="5"/>
      <c r="D1623" s="8">
        <v>2018</v>
      </c>
      <c r="E1623" s="14">
        <f>Data!L1623</f>
        <v>4608413000000</v>
      </c>
      <c r="F1623" s="12">
        <f t="shared" si="25"/>
        <v>-3.0844683645834078E-2</v>
      </c>
    </row>
    <row r="1624" spans="2:6" ht="15" customHeight="1" x14ac:dyDescent="0.3">
      <c r="C1624" s="5"/>
      <c r="D1624" s="8">
        <v>2019</v>
      </c>
      <c r="E1624" s="14">
        <f>Data!L1624</f>
        <v>4701083000000</v>
      </c>
      <c r="F1624" s="12">
        <f t="shared" si="25"/>
        <v>2.0108874790518993E-2</v>
      </c>
    </row>
    <row r="1625" spans="2:6" ht="15" customHeight="1" x14ac:dyDescent="0.3">
      <c r="C1625" s="5"/>
      <c r="D1625" s="8">
        <v>2020</v>
      </c>
      <c r="E1625" s="14">
        <f>Data!L1625</f>
        <v>4056170000000</v>
      </c>
      <c r="F1625" s="12">
        <f t="shared" si="25"/>
        <v>-0.13718392123687245</v>
      </c>
    </row>
    <row r="1626" spans="2:6" ht="15" customHeight="1" x14ac:dyDescent="0.3">
      <c r="C1626" s="5"/>
      <c r="D1626" s="8">
        <v>2021</v>
      </c>
      <c r="E1626" s="14">
        <f>Data!L1626</f>
        <v>4668022000000</v>
      </c>
      <c r="F1626" s="12">
        <f t="shared" si="25"/>
        <v>0.15084476242366568</v>
      </c>
    </row>
    <row r="1627" spans="2:6" ht="15" customHeight="1" x14ac:dyDescent="0.3">
      <c r="C1627" s="5"/>
      <c r="D1627" s="8">
        <v>2022</v>
      </c>
      <c r="E1627" s="14">
        <f>Data!L1627</f>
        <v>4520000000000</v>
      </c>
      <c r="F1627" s="12">
        <f t="shared" si="25"/>
        <v>-3.1709790570824216E-2</v>
      </c>
    </row>
    <row r="1628" spans="2:6" ht="15" customHeight="1" x14ac:dyDescent="0.3">
      <c r="C1628" s="5"/>
      <c r="D1628" s="8">
        <v>2023</v>
      </c>
      <c r="E1628" s="14">
        <f>Data!L1628</f>
        <v>4781944000000</v>
      </c>
      <c r="F1628" s="12">
        <f t="shared" si="25"/>
        <v>5.7952212389380531E-2</v>
      </c>
    </row>
    <row r="1629" spans="2:6" ht="15" customHeight="1" x14ac:dyDescent="0.3">
      <c r="C1629" s="5"/>
      <c r="D1629" s="8">
        <v>2024</v>
      </c>
      <c r="E1629" s="14">
        <f>Data!L1629</f>
        <v>5155886000000</v>
      </c>
      <c r="F1629" s="12">
        <f t="shared" si="25"/>
        <v>7.8198740930466776E-2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8715-0B9F-4960-BF44-4A06DD3F71E5}">
  <sheetPr codeName="Sheet16"/>
  <dimension ref="A1:S1629"/>
  <sheetViews>
    <sheetView zoomScale="86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" sqref="I2"/>
    </sheetView>
  </sheetViews>
  <sheetFormatPr defaultColWidth="9.109375" defaultRowHeight="15" customHeight="1" x14ac:dyDescent="0.3"/>
  <cols>
    <col min="1" max="1" width="15" bestFit="1" customWidth="1"/>
    <col min="2" max="2" width="4" style="8" bestFit="1" customWidth="1"/>
    <col min="3" max="3" width="46.6640625" bestFit="1" customWidth="1"/>
    <col min="4" max="4" width="6.44140625" style="8" bestFit="1" customWidth="1"/>
    <col min="5" max="7" width="20.5546875" style="14" bestFit="1" customWidth="1"/>
    <col min="8" max="8" width="21.6640625" style="14" bestFit="1" customWidth="1"/>
    <col min="9" max="9" width="12.88671875" style="12" bestFit="1" customWidth="1"/>
    <col min="10" max="10" width="20.5546875" style="14" bestFit="1" customWidth="1"/>
    <col min="11" max="11" width="21.6640625" style="14" bestFit="1" customWidth="1"/>
    <col min="12" max="12" width="12.88671875" style="12" bestFit="1" customWidth="1"/>
    <col min="13" max="13" width="20.5546875" style="14" bestFit="1" customWidth="1"/>
    <col min="14" max="14" width="21.6640625" style="14" bestFit="1" customWidth="1"/>
    <col min="15" max="15" width="12.88671875" style="12" bestFit="1" customWidth="1"/>
    <col min="16" max="17" width="21.6640625" style="14" bestFit="1" customWidth="1"/>
    <col min="18" max="19" width="12.109375" style="12" bestFit="1" customWidth="1"/>
  </cols>
  <sheetData>
    <row r="1" spans="1:19" s="6" customFormat="1" ht="15" customHeight="1" x14ac:dyDescent="0.3">
      <c r="A1" s="18" t="s">
        <v>151</v>
      </c>
      <c r="B1" s="19" t="s">
        <v>0</v>
      </c>
      <c r="C1" s="18" t="s">
        <v>1</v>
      </c>
      <c r="D1" s="19" t="s">
        <v>152</v>
      </c>
      <c r="E1" s="20" t="s">
        <v>179</v>
      </c>
      <c r="F1" s="20" t="s">
        <v>161</v>
      </c>
      <c r="G1" s="20" t="s">
        <v>180</v>
      </c>
      <c r="H1" s="20" t="s">
        <v>160</v>
      </c>
      <c r="I1" s="21" t="s">
        <v>181</v>
      </c>
      <c r="J1" s="20" t="s">
        <v>183</v>
      </c>
      <c r="K1" s="20" t="s">
        <v>160</v>
      </c>
      <c r="L1" s="21" t="s">
        <v>184</v>
      </c>
      <c r="M1" s="20" t="s">
        <v>185</v>
      </c>
      <c r="N1" s="20" t="s">
        <v>160</v>
      </c>
      <c r="O1" s="21" t="s">
        <v>186</v>
      </c>
      <c r="P1" s="20" t="s">
        <v>162</v>
      </c>
      <c r="Q1" s="20" t="s">
        <v>164</v>
      </c>
      <c r="R1" s="21" t="s">
        <v>187</v>
      </c>
      <c r="S1" s="21" t="s">
        <v>188</v>
      </c>
    </row>
    <row r="2" spans="1:19" ht="15" customHeight="1" x14ac:dyDescent="0.3">
      <c r="A2" s="22" t="s">
        <v>153</v>
      </c>
      <c r="B2" s="23">
        <v>1</v>
      </c>
      <c r="C2" s="3" t="s">
        <v>4</v>
      </c>
      <c r="D2" s="23">
        <v>2014</v>
      </c>
      <c r="E2" s="24">
        <f>Data!F2</f>
        <v>0</v>
      </c>
      <c r="F2" s="24">
        <f>Data!H2</f>
        <v>0</v>
      </c>
      <c r="G2" s="24">
        <f>E2-F2</f>
        <v>0</v>
      </c>
      <c r="H2" s="24">
        <f>Data!G2</f>
        <v>0</v>
      </c>
      <c r="I2" s="25">
        <f>IFERROR(6.56*(G2/H2),0)</f>
        <v>0</v>
      </c>
      <c r="J2" s="24">
        <f>Data!J2</f>
        <v>0</v>
      </c>
      <c r="K2" s="24">
        <f>H2</f>
        <v>0</v>
      </c>
      <c r="L2" s="25">
        <f>IFERROR(3.26*(J2/K2),0)</f>
        <v>0</v>
      </c>
      <c r="M2" s="24">
        <f>Data!M2</f>
        <v>0</v>
      </c>
      <c r="N2" s="24">
        <f>K2</f>
        <v>0</v>
      </c>
      <c r="O2" s="25">
        <f>IFERROR(6.72*(M2/N2),0)</f>
        <v>0</v>
      </c>
      <c r="P2" s="24">
        <f>Data!K2</f>
        <v>0</v>
      </c>
      <c r="Q2" s="24">
        <f>Data!I2</f>
        <v>0</v>
      </c>
      <c r="R2" s="25">
        <f>IFERROR(1.05*(P2/Q2),0)</f>
        <v>0</v>
      </c>
      <c r="S2" s="25">
        <f>IFERROR(I2+L2+O2+R2,0)</f>
        <v>0</v>
      </c>
    </row>
    <row r="3" spans="1:19" ht="15" customHeight="1" x14ac:dyDescent="0.3">
      <c r="A3" s="22"/>
      <c r="B3" s="23"/>
      <c r="C3" s="3"/>
      <c r="D3" s="23">
        <v>2015</v>
      </c>
      <c r="E3" s="24">
        <f>Data!F3</f>
        <v>0</v>
      </c>
      <c r="F3" s="24">
        <f>Data!H3</f>
        <v>0</v>
      </c>
      <c r="G3" s="24">
        <f t="shared" ref="G3:G66" si="0">E3-F3</f>
        <v>0</v>
      </c>
      <c r="H3" s="24">
        <f>Data!G3</f>
        <v>0</v>
      </c>
      <c r="I3" s="25">
        <f t="shared" ref="I3:I66" si="1">IFERROR(6.56*(G3/H3),0)</f>
        <v>0</v>
      </c>
      <c r="J3" s="24">
        <f>Data!J3</f>
        <v>0</v>
      </c>
      <c r="K3" s="24">
        <f t="shared" ref="K3:K66" si="2">H3</f>
        <v>0</v>
      </c>
      <c r="L3" s="25">
        <f t="shared" ref="L3:L66" si="3">IFERROR(3.26*(J3/K3),0)</f>
        <v>0</v>
      </c>
      <c r="M3" s="24">
        <f>Data!M3</f>
        <v>0</v>
      </c>
      <c r="N3" s="24">
        <f t="shared" ref="N3:N66" si="4">K3</f>
        <v>0</v>
      </c>
      <c r="O3" s="25">
        <f t="shared" ref="O3:O66" si="5">IFERROR(6.72*(M3/N3),0)</f>
        <v>0</v>
      </c>
      <c r="P3" s="24">
        <f>Data!K3</f>
        <v>0</v>
      </c>
      <c r="Q3" s="24">
        <f>Data!I3</f>
        <v>0</v>
      </c>
      <c r="R3" s="25">
        <f t="shared" ref="R3:R66" si="6">IFERROR(1.05*(P3/Q3),0)</f>
        <v>0</v>
      </c>
      <c r="S3" s="25">
        <f t="shared" ref="S3:S66" si="7">IFERROR(I3+L3+O3+R3,0)</f>
        <v>0</v>
      </c>
    </row>
    <row r="4" spans="1:19" ht="15" customHeight="1" x14ac:dyDescent="0.3">
      <c r="A4" s="22"/>
      <c r="B4" s="23"/>
      <c r="C4" s="3"/>
      <c r="D4" s="23">
        <v>2016</v>
      </c>
      <c r="E4" s="24">
        <f>Data!F4</f>
        <v>0</v>
      </c>
      <c r="F4" s="24">
        <f>Data!H4</f>
        <v>0</v>
      </c>
      <c r="G4" s="24">
        <f t="shared" si="0"/>
        <v>0</v>
      </c>
      <c r="H4" s="24">
        <f>Data!G4</f>
        <v>0</v>
      </c>
      <c r="I4" s="25">
        <f t="shared" si="1"/>
        <v>0</v>
      </c>
      <c r="J4" s="24">
        <f>Data!J4</f>
        <v>0</v>
      </c>
      <c r="K4" s="24">
        <f t="shared" si="2"/>
        <v>0</v>
      </c>
      <c r="L4" s="25">
        <f t="shared" si="3"/>
        <v>0</v>
      </c>
      <c r="M4" s="24">
        <f>Data!M4</f>
        <v>0</v>
      </c>
      <c r="N4" s="24">
        <f t="shared" si="4"/>
        <v>0</v>
      </c>
      <c r="O4" s="25">
        <f t="shared" si="5"/>
        <v>0</v>
      </c>
      <c r="P4" s="24">
        <f>Data!K4</f>
        <v>0</v>
      </c>
      <c r="Q4" s="24">
        <f>Data!I4</f>
        <v>0</v>
      </c>
      <c r="R4" s="25">
        <f t="shared" si="6"/>
        <v>0</v>
      </c>
      <c r="S4" s="25">
        <f t="shared" si="7"/>
        <v>0</v>
      </c>
    </row>
    <row r="5" spans="1:19" ht="15" customHeight="1" x14ac:dyDescent="0.3">
      <c r="A5" s="22"/>
      <c r="B5" s="23"/>
      <c r="C5" s="3"/>
      <c r="D5" s="23">
        <v>2017</v>
      </c>
      <c r="E5" s="24">
        <f>Data!F5</f>
        <v>0</v>
      </c>
      <c r="F5" s="24">
        <f>Data!H5</f>
        <v>0</v>
      </c>
      <c r="G5" s="24">
        <f t="shared" si="0"/>
        <v>0</v>
      </c>
      <c r="H5" s="24">
        <f>Data!G5</f>
        <v>0</v>
      </c>
      <c r="I5" s="25">
        <f t="shared" si="1"/>
        <v>0</v>
      </c>
      <c r="J5" s="24">
        <f>Data!J5</f>
        <v>0</v>
      </c>
      <c r="K5" s="24">
        <f t="shared" si="2"/>
        <v>0</v>
      </c>
      <c r="L5" s="25">
        <f t="shared" si="3"/>
        <v>0</v>
      </c>
      <c r="M5" s="24">
        <f>Data!M5</f>
        <v>0</v>
      </c>
      <c r="N5" s="24">
        <f t="shared" si="4"/>
        <v>0</v>
      </c>
      <c r="O5" s="25">
        <f t="shared" si="5"/>
        <v>0</v>
      </c>
      <c r="P5" s="24">
        <f>Data!K5</f>
        <v>0</v>
      </c>
      <c r="Q5" s="24">
        <f>Data!I5</f>
        <v>0</v>
      </c>
      <c r="R5" s="25">
        <f t="shared" si="6"/>
        <v>0</v>
      </c>
      <c r="S5" s="25">
        <f t="shared" si="7"/>
        <v>0</v>
      </c>
    </row>
    <row r="6" spans="1:19" ht="15" customHeight="1" x14ac:dyDescent="0.3">
      <c r="A6" s="22"/>
      <c r="B6" s="23"/>
      <c r="C6" s="3"/>
      <c r="D6" s="23">
        <v>2018</v>
      </c>
      <c r="E6" s="24">
        <f>Data!F6</f>
        <v>0</v>
      </c>
      <c r="F6" s="24">
        <f>Data!H6</f>
        <v>0</v>
      </c>
      <c r="G6" s="24">
        <f t="shared" si="0"/>
        <v>0</v>
      </c>
      <c r="H6" s="24">
        <f>Data!G6</f>
        <v>0</v>
      </c>
      <c r="I6" s="25">
        <f t="shared" si="1"/>
        <v>0</v>
      </c>
      <c r="J6" s="24">
        <f>Data!J6</f>
        <v>0</v>
      </c>
      <c r="K6" s="24">
        <f t="shared" si="2"/>
        <v>0</v>
      </c>
      <c r="L6" s="25">
        <f t="shared" si="3"/>
        <v>0</v>
      </c>
      <c r="M6" s="24">
        <f>Data!M6</f>
        <v>0</v>
      </c>
      <c r="N6" s="24">
        <f t="shared" si="4"/>
        <v>0</v>
      </c>
      <c r="O6" s="25">
        <f t="shared" si="5"/>
        <v>0</v>
      </c>
      <c r="P6" s="24">
        <f>Data!K6</f>
        <v>0</v>
      </c>
      <c r="Q6" s="24">
        <f>Data!I6</f>
        <v>0</v>
      </c>
      <c r="R6" s="25">
        <f t="shared" si="6"/>
        <v>0</v>
      </c>
      <c r="S6" s="25">
        <f t="shared" si="7"/>
        <v>0</v>
      </c>
    </row>
    <row r="7" spans="1:19" ht="15" customHeight="1" x14ac:dyDescent="0.3">
      <c r="A7" s="22"/>
      <c r="B7" s="23"/>
      <c r="C7" s="3"/>
      <c r="D7" s="23">
        <v>2019</v>
      </c>
      <c r="E7" s="24">
        <f>Data!F7</f>
        <v>0</v>
      </c>
      <c r="F7" s="24">
        <f>Data!H7</f>
        <v>0</v>
      </c>
      <c r="G7" s="24">
        <f t="shared" si="0"/>
        <v>0</v>
      </c>
      <c r="H7" s="24">
        <f>Data!G7</f>
        <v>0</v>
      </c>
      <c r="I7" s="25">
        <f t="shared" si="1"/>
        <v>0</v>
      </c>
      <c r="J7" s="24">
        <f>Data!J7</f>
        <v>0</v>
      </c>
      <c r="K7" s="24">
        <f t="shared" si="2"/>
        <v>0</v>
      </c>
      <c r="L7" s="25">
        <f t="shared" si="3"/>
        <v>0</v>
      </c>
      <c r="M7" s="24">
        <f>Data!M7</f>
        <v>0</v>
      </c>
      <c r="N7" s="24">
        <f t="shared" si="4"/>
        <v>0</v>
      </c>
      <c r="O7" s="25">
        <f t="shared" si="5"/>
        <v>0</v>
      </c>
      <c r="P7" s="24">
        <f>Data!K7</f>
        <v>0</v>
      </c>
      <c r="Q7" s="24">
        <f>Data!I7</f>
        <v>0</v>
      </c>
      <c r="R7" s="25">
        <f t="shared" si="6"/>
        <v>0</v>
      </c>
      <c r="S7" s="25">
        <f t="shared" si="7"/>
        <v>0</v>
      </c>
    </row>
    <row r="8" spans="1:19" ht="15" customHeight="1" x14ac:dyDescent="0.3">
      <c r="A8" s="22"/>
      <c r="B8" s="23"/>
      <c r="C8" s="3"/>
      <c r="D8" s="23">
        <v>2020</v>
      </c>
      <c r="E8" s="24">
        <f>Data!F8</f>
        <v>0</v>
      </c>
      <c r="F8" s="24">
        <f>Data!H8</f>
        <v>0</v>
      </c>
      <c r="G8" s="24">
        <f t="shared" si="0"/>
        <v>0</v>
      </c>
      <c r="H8" s="24">
        <f>Data!G8</f>
        <v>0</v>
      </c>
      <c r="I8" s="25">
        <f t="shared" si="1"/>
        <v>0</v>
      </c>
      <c r="J8" s="24">
        <f>Data!J8</f>
        <v>0</v>
      </c>
      <c r="K8" s="24">
        <f t="shared" si="2"/>
        <v>0</v>
      </c>
      <c r="L8" s="25">
        <f t="shared" si="3"/>
        <v>0</v>
      </c>
      <c r="M8" s="24">
        <f>Data!M8</f>
        <v>0</v>
      </c>
      <c r="N8" s="24">
        <f t="shared" si="4"/>
        <v>0</v>
      </c>
      <c r="O8" s="25">
        <f t="shared" si="5"/>
        <v>0</v>
      </c>
      <c r="P8" s="24">
        <f>Data!K8</f>
        <v>0</v>
      </c>
      <c r="Q8" s="24">
        <f>Data!I8</f>
        <v>0</v>
      </c>
      <c r="R8" s="25">
        <f t="shared" si="6"/>
        <v>0</v>
      </c>
      <c r="S8" s="25">
        <f t="shared" si="7"/>
        <v>0</v>
      </c>
    </row>
    <row r="9" spans="1:19" ht="15" customHeight="1" x14ac:dyDescent="0.3">
      <c r="A9" s="22"/>
      <c r="B9" s="23"/>
      <c r="C9" s="3"/>
      <c r="D9" s="23">
        <v>2021</v>
      </c>
      <c r="E9" s="24">
        <f>Data!F9</f>
        <v>0</v>
      </c>
      <c r="F9" s="24">
        <f>Data!H9</f>
        <v>0</v>
      </c>
      <c r="G9" s="24">
        <f t="shared" si="0"/>
        <v>0</v>
      </c>
      <c r="H9" s="24">
        <f>Data!G9</f>
        <v>0</v>
      </c>
      <c r="I9" s="25">
        <f t="shared" si="1"/>
        <v>0</v>
      </c>
      <c r="J9" s="24">
        <f>Data!J9</f>
        <v>0</v>
      </c>
      <c r="K9" s="24">
        <f t="shared" si="2"/>
        <v>0</v>
      </c>
      <c r="L9" s="25">
        <f t="shared" si="3"/>
        <v>0</v>
      </c>
      <c r="M9" s="24">
        <f>Data!M9</f>
        <v>0</v>
      </c>
      <c r="N9" s="24">
        <f t="shared" si="4"/>
        <v>0</v>
      </c>
      <c r="O9" s="25">
        <f t="shared" si="5"/>
        <v>0</v>
      </c>
      <c r="P9" s="24">
        <f>Data!K9</f>
        <v>0</v>
      </c>
      <c r="Q9" s="24">
        <f>Data!I9</f>
        <v>0</v>
      </c>
      <c r="R9" s="25">
        <f t="shared" si="6"/>
        <v>0</v>
      </c>
      <c r="S9" s="25">
        <f t="shared" si="7"/>
        <v>0</v>
      </c>
    </row>
    <row r="10" spans="1:19" ht="15" customHeight="1" x14ac:dyDescent="0.3">
      <c r="A10" s="22"/>
      <c r="B10" s="23"/>
      <c r="C10" s="3"/>
      <c r="D10" s="23">
        <v>2022</v>
      </c>
      <c r="E10" s="24">
        <f>Data!F10</f>
        <v>0</v>
      </c>
      <c r="F10" s="24">
        <f>Data!H10</f>
        <v>0</v>
      </c>
      <c r="G10" s="24">
        <f t="shared" si="0"/>
        <v>0</v>
      </c>
      <c r="H10" s="24">
        <f>Data!G10</f>
        <v>0</v>
      </c>
      <c r="I10" s="25">
        <f t="shared" si="1"/>
        <v>0</v>
      </c>
      <c r="J10" s="24">
        <f>Data!J10</f>
        <v>0</v>
      </c>
      <c r="K10" s="24">
        <f t="shared" si="2"/>
        <v>0</v>
      </c>
      <c r="L10" s="25">
        <f t="shared" si="3"/>
        <v>0</v>
      </c>
      <c r="M10" s="24">
        <f>Data!M10</f>
        <v>0</v>
      </c>
      <c r="N10" s="24">
        <f t="shared" si="4"/>
        <v>0</v>
      </c>
      <c r="O10" s="25">
        <f t="shared" si="5"/>
        <v>0</v>
      </c>
      <c r="P10" s="24">
        <f>Data!K10</f>
        <v>0</v>
      </c>
      <c r="Q10" s="24">
        <f>Data!I10</f>
        <v>0</v>
      </c>
      <c r="R10" s="25">
        <f t="shared" si="6"/>
        <v>0</v>
      </c>
      <c r="S10" s="25">
        <f t="shared" si="7"/>
        <v>0</v>
      </c>
    </row>
    <row r="11" spans="1:19" ht="15" customHeight="1" x14ac:dyDescent="0.3">
      <c r="A11" s="22"/>
      <c r="B11" s="23"/>
      <c r="C11" s="3"/>
      <c r="D11" s="23">
        <v>2023</v>
      </c>
      <c r="E11" s="24">
        <f>Data!F11</f>
        <v>0</v>
      </c>
      <c r="F11" s="24">
        <f>Data!H11</f>
        <v>0</v>
      </c>
      <c r="G11" s="24">
        <f t="shared" si="0"/>
        <v>0</v>
      </c>
      <c r="H11" s="24">
        <f>Data!G11</f>
        <v>0</v>
      </c>
      <c r="I11" s="25">
        <f t="shared" si="1"/>
        <v>0</v>
      </c>
      <c r="J11" s="24">
        <f>Data!J11</f>
        <v>0</v>
      </c>
      <c r="K11" s="24">
        <f t="shared" si="2"/>
        <v>0</v>
      </c>
      <c r="L11" s="25">
        <f t="shared" si="3"/>
        <v>0</v>
      </c>
      <c r="M11" s="24">
        <f>Data!M11</f>
        <v>0</v>
      </c>
      <c r="N11" s="24">
        <f t="shared" si="4"/>
        <v>0</v>
      </c>
      <c r="O11" s="25">
        <f t="shared" si="5"/>
        <v>0</v>
      </c>
      <c r="P11" s="24">
        <f>Data!K11</f>
        <v>0</v>
      </c>
      <c r="Q11" s="24">
        <f>Data!I11</f>
        <v>0</v>
      </c>
      <c r="R11" s="25">
        <f t="shared" si="6"/>
        <v>0</v>
      </c>
      <c r="S11" s="25">
        <f t="shared" si="7"/>
        <v>0</v>
      </c>
    </row>
    <row r="12" spans="1:19" ht="15" customHeight="1" x14ac:dyDescent="0.3">
      <c r="A12" s="22"/>
      <c r="B12" s="23"/>
      <c r="C12" s="3"/>
      <c r="D12" s="23">
        <v>2024</v>
      </c>
      <c r="E12" s="24">
        <f>Data!F12</f>
        <v>0</v>
      </c>
      <c r="F12" s="24">
        <f>Data!H12</f>
        <v>0</v>
      </c>
      <c r="G12" s="24">
        <f t="shared" si="0"/>
        <v>0</v>
      </c>
      <c r="H12" s="24">
        <f>Data!G12</f>
        <v>0</v>
      </c>
      <c r="I12" s="25">
        <f t="shared" si="1"/>
        <v>0</v>
      </c>
      <c r="J12" s="24">
        <f>Data!J12</f>
        <v>0</v>
      </c>
      <c r="K12" s="24">
        <f t="shared" si="2"/>
        <v>0</v>
      </c>
      <c r="L12" s="25">
        <f t="shared" si="3"/>
        <v>0</v>
      </c>
      <c r="M12" s="24">
        <f>Data!M12</f>
        <v>0</v>
      </c>
      <c r="N12" s="24">
        <f t="shared" si="4"/>
        <v>0</v>
      </c>
      <c r="O12" s="25">
        <f t="shared" si="5"/>
        <v>0</v>
      </c>
      <c r="P12" s="24">
        <f>Data!K12</f>
        <v>0</v>
      </c>
      <c r="Q12" s="24">
        <f>Data!I12</f>
        <v>0</v>
      </c>
      <c r="R12" s="25">
        <f t="shared" si="6"/>
        <v>0</v>
      </c>
      <c r="S12" s="25">
        <f t="shared" si="7"/>
        <v>0</v>
      </c>
    </row>
    <row r="13" spans="1:19" ht="15" customHeight="1" x14ac:dyDescent="0.3">
      <c r="A13" s="22"/>
      <c r="B13" s="23">
        <v>2</v>
      </c>
      <c r="C13" s="3" t="s">
        <v>2</v>
      </c>
      <c r="D13" s="23">
        <v>2014</v>
      </c>
      <c r="E13" s="24">
        <f>Data!F13</f>
        <v>0</v>
      </c>
      <c r="F13" s="24">
        <f>Data!H13</f>
        <v>0</v>
      </c>
      <c r="G13" s="24">
        <f t="shared" si="0"/>
        <v>0</v>
      </c>
      <c r="H13" s="24">
        <f>Data!G13</f>
        <v>0</v>
      </c>
      <c r="I13" s="25">
        <f t="shared" si="1"/>
        <v>0</v>
      </c>
      <c r="J13" s="24">
        <f>Data!J13</f>
        <v>0</v>
      </c>
      <c r="K13" s="24">
        <f t="shared" si="2"/>
        <v>0</v>
      </c>
      <c r="L13" s="25">
        <f t="shared" si="3"/>
        <v>0</v>
      </c>
      <c r="M13" s="24">
        <f>Data!M13</f>
        <v>0</v>
      </c>
      <c r="N13" s="24">
        <f t="shared" si="4"/>
        <v>0</v>
      </c>
      <c r="O13" s="25">
        <f t="shared" si="5"/>
        <v>0</v>
      </c>
      <c r="P13" s="24">
        <f>Data!K13</f>
        <v>0</v>
      </c>
      <c r="Q13" s="24">
        <f>Data!I13</f>
        <v>0</v>
      </c>
      <c r="R13" s="25">
        <f t="shared" si="6"/>
        <v>0</v>
      </c>
      <c r="S13" s="25">
        <f t="shared" si="7"/>
        <v>0</v>
      </c>
    </row>
    <row r="14" spans="1:19" ht="15" customHeight="1" x14ac:dyDescent="0.3">
      <c r="A14" s="22"/>
      <c r="B14" s="23"/>
      <c r="C14" s="3"/>
      <c r="D14" s="23">
        <v>2015</v>
      </c>
      <c r="E14" s="24">
        <f>Data!F14</f>
        <v>951139000000</v>
      </c>
      <c r="F14" s="24">
        <f>Data!H14</f>
        <v>1833519000000</v>
      </c>
      <c r="G14" s="24">
        <f t="shared" si="0"/>
        <v>-882380000000</v>
      </c>
      <c r="H14" s="24">
        <f>Data!G14</f>
        <v>31860954000000</v>
      </c>
      <c r="I14" s="25">
        <f t="shared" si="1"/>
        <v>-0.18167732202871262</v>
      </c>
      <c r="J14" s="24">
        <f>Data!J14</f>
        <v>5786895000000</v>
      </c>
      <c r="K14" s="24">
        <f t="shared" si="2"/>
        <v>31860954000000</v>
      </c>
      <c r="L14" s="25">
        <f t="shared" si="3"/>
        <v>0.59211276912800537</v>
      </c>
      <c r="M14" s="24">
        <f>Data!M14</f>
        <v>1649123000000</v>
      </c>
      <c r="N14" s="24">
        <f t="shared" si="4"/>
        <v>31860954000000</v>
      </c>
      <c r="O14" s="25">
        <f t="shared" si="5"/>
        <v>0.34782720442080922</v>
      </c>
      <c r="P14" s="24">
        <f>Data!K14</f>
        <v>6569253000000</v>
      </c>
      <c r="Q14" s="24">
        <f>Data!I14</f>
        <v>25291701000000</v>
      </c>
      <c r="R14" s="25">
        <f t="shared" si="6"/>
        <v>0.27272644295454868</v>
      </c>
      <c r="S14" s="25">
        <f t="shared" si="7"/>
        <v>1.0309890944746507</v>
      </c>
    </row>
    <row r="15" spans="1:19" ht="15" customHeight="1" x14ac:dyDescent="0.3">
      <c r="A15" s="22"/>
      <c r="B15" s="23"/>
      <c r="C15" s="3"/>
      <c r="D15" s="23">
        <v>2016</v>
      </c>
      <c r="E15" s="24">
        <f>Data!F15</f>
        <v>1118793000000</v>
      </c>
      <c r="F15" s="24">
        <f>Data!H15</f>
        <v>2103474000000</v>
      </c>
      <c r="G15" s="24">
        <f t="shared" si="0"/>
        <v>-984681000000</v>
      </c>
      <c r="H15" s="24">
        <f>Data!G15</f>
        <v>35767906000000</v>
      </c>
      <c r="I15" s="25">
        <f t="shared" si="1"/>
        <v>-0.18059506642630965</v>
      </c>
      <c r="J15" s="24">
        <f>Data!J15</f>
        <v>6850440000000</v>
      </c>
      <c r="K15" s="24">
        <f t="shared" si="2"/>
        <v>35767906000000</v>
      </c>
      <c r="L15" s="25">
        <f t="shared" si="3"/>
        <v>0.62437075293141286</v>
      </c>
      <c r="M15" s="24">
        <f>Data!M15</f>
        <v>1034240000000</v>
      </c>
      <c r="N15" s="24">
        <f t="shared" si="4"/>
        <v>35767906000000</v>
      </c>
      <c r="O15" s="25">
        <f t="shared" si="5"/>
        <v>0.19431086628330996</v>
      </c>
      <c r="P15" s="24">
        <f>Data!K15</f>
        <v>7766364000000</v>
      </c>
      <c r="Q15" s="24">
        <f>Data!I15</f>
        <v>28001542000000</v>
      </c>
      <c r="R15" s="25">
        <f t="shared" si="6"/>
        <v>0.29122261195472737</v>
      </c>
      <c r="S15" s="25">
        <f t="shared" si="7"/>
        <v>0.92930916474314063</v>
      </c>
    </row>
    <row r="16" spans="1:19" ht="15" customHeight="1" x14ac:dyDescent="0.3">
      <c r="A16" s="22"/>
      <c r="B16" s="23"/>
      <c r="C16" s="3"/>
      <c r="D16" s="23">
        <v>2017</v>
      </c>
      <c r="E16" s="24">
        <f>Data!F16</f>
        <v>1287320000000</v>
      </c>
      <c r="F16" s="24">
        <f>Data!H16</f>
        <v>3116639000000</v>
      </c>
      <c r="G16" s="24">
        <f t="shared" si="0"/>
        <v>-1829319000000</v>
      </c>
      <c r="H16" s="24">
        <f>Data!G16</f>
        <v>44937292000000</v>
      </c>
      <c r="I16" s="25">
        <f t="shared" si="1"/>
        <v>-0.26704619050030876</v>
      </c>
      <c r="J16" s="24">
        <f>Data!J16</f>
        <v>7239986000000</v>
      </c>
      <c r="K16" s="24">
        <f t="shared" si="2"/>
        <v>44937292000000</v>
      </c>
      <c r="L16" s="25">
        <f t="shared" si="3"/>
        <v>0.52522867555080976</v>
      </c>
      <c r="M16" s="24">
        <f>Data!M16</f>
        <v>542068000000</v>
      </c>
      <c r="N16" s="24">
        <f t="shared" si="4"/>
        <v>44937292000000</v>
      </c>
      <c r="O16" s="25">
        <f t="shared" si="5"/>
        <v>8.1061781826995721E-2</v>
      </c>
      <c r="P16" s="24">
        <f>Data!K16</f>
        <v>10561914000000</v>
      </c>
      <c r="Q16" s="24">
        <f>Data!I16</f>
        <v>34375378000000</v>
      </c>
      <c r="R16" s="25">
        <f t="shared" si="6"/>
        <v>0.3226149164090647</v>
      </c>
      <c r="S16" s="25">
        <f t="shared" si="7"/>
        <v>0.66185918328656146</v>
      </c>
    </row>
    <row r="17" spans="1:19" ht="15" customHeight="1" x14ac:dyDescent="0.3">
      <c r="A17" s="22"/>
      <c r="B17" s="23"/>
      <c r="C17" s="3"/>
      <c r="D17" s="23">
        <v>2018</v>
      </c>
      <c r="E17" s="24">
        <f>Data!F17</f>
        <v>1509812000000</v>
      </c>
      <c r="F17" s="24">
        <f>Data!H17</f>
        <v>3329580000000</v>
      </c>
      <c r="G17" s="24">
        <f t="shared" si="0"/>
        <v>-1819768000000</v>
      </c>
      <c r="H17" s="24">
        <f>Data!G17</f>
        <v>46562563000000</v>
      </c>
      <c r="I17" s="25">
        <f t="shared" si="1"/>
        <v>-0.25637931657670987</v>
      </c>
      <c r="J17" s="24">
        <f>Data!J17</f>
        <v>8566661000000</v>
      </c>
      <c r="K17" s="24">
        <f t="shared" si="2"/>
        <v>46562563000000</v>
      </c>
      <c r="L17" s="25">
        <f t="shared" si="3"/>
        <v>0.59978044722323387</v>
      </c>
      <c r="M17" s="24">
        <f>Data!M17</f>
        <v>2150147000000</v>
      </c>
      <c r="N17" s="24">
        <f t="shared" si="4"/>
        <v>46562563000000</v>
      </c>
      <c r="O17" s="25">
        <f t="shared" si="5"/>
        <v>0.31031341294507347</v>
      </c>
      <c r="P17" s="24">
        <f>Data!K17</f>
        <v>11027227000000</v>
      </c>
      <c r="Q17" s="24">
        <f>Data!I17</f>
        <v>35535336000000</v>
      </c>
      <c r="R17" s="25">
        <f t="shared" si="6"/>
        <v>0.32583309047647674</v>
      </c>
      <c r="S17" s="25">
        <f t="shared" si="7"/>
        <v>0.97954763406807421</v>
      </c>
    </row>
    <row r="18" spans="1:19" ht="15" customHeight="1" x14ac:dyDescent="0.3">
      <c r="A18" s="22"/>
      <c r="B18" s="23"/>
      <c r="C18" s="3"/>
      <c r="D18" s="23">
        <v>2019</v>
      </c>
      <c r="E18" s="24">
        <f>Data!F18</f>
        <v>2019822000000</v>
      </c>
      <c r="F18" s="24">
        <f>Data!H18</f>
        <v>3399335000000</v>
      </c>
      <c r="G18" s="24">
        <f t="shared" si="0"/>
        <v>-1379513000000</v>
      </c>
      <c r="H18" s="24">
        <f>Data!G18</f>
        <v>50043024000000</v>
      </c>
      <c r="I18" s="25">
        <f t="shared" si="1"/>
        <v>-0.18083649940898855</v>
      </c>
      <c r="J18" s="24">
        <f>Data!J18</f>
        <v>7904525000000</v>
      </c>
      <c r="K18" s="24">
        <f t="shared" si="2"/>
        <v>50043024000000</v>
      </c>
      <c r="L18" s="25">
        <f t="shared" si="3"/>
        <v>0.51493194136309584</v>
      </c>
      <c r="M18" s="24">
        <f>Data!M18</f>
        <v>449893000000</v>
      </c>
      <c r="N18" s="24">
        <f t="shared" si="4"/>
        <v>50043024000000</v>
      </c>
      <c r="O18" s="25">
        <f t="shared" si="5"/>
        <v>6.0413634475806256E-2</v>
      </c>
      <c r="P18" s="24">
        <f>Data!K18</f>
        <v>11870589000000</v>
      </c>
      <c r="Q18" s="24">
        <f>Data!I18</f>
        <v>38172435000000</v>
      </c>
      <c r="R18" s="25">
        <f t="shared" si="6"/>
        <v>0.32652144014391538</v>
      </c>
      <c r="S18" s="25">
        <f t="shared" si="7"/>
        <v>0.72103051657382888</v>
      </c>
    </row>
    <row r="19" spans="1:19" ht="15" customHeight="1" x14ac:dyDescent="0.3">
      <c r="A19" s="22"/>
      <c r="B19" s="23"/>
      <c r="C19" s="3"/>
      <c r="D19" s="23">
        <v>2020</v>
      </c>
      <c r="E19" s="24">
        <f>Data!F19</f>
        <v>2189572000000</v>
      </c>
      <c r="F19" s="24">
        <f>Data!H19</f>
        <v>3640926000000</v>
      </c>
      <c r="G19" s="24">
        <f t="shared" si="0"/>
        <v>-1451354000000</v>
      </c>
      <c r="H19" s="24">
        <f>Data!G19</f>
        <v>53134780000000</v>
      </c>
      <c r="I19" s="25">
        <f t="shared" si="1"/>
        <v>-0.17918362022012699</v>
      </c>
      <c r="J19" s="24">
        <f>Data!J19</f>
        <v>7057134000000</v>
      </c>
      <c r="K19" s="24">
        <f t="shared" si="2"/>
        <v>53134780000000</v>
      </c>
      <c r="L19" s="25">
        <f t="shared" si="3"/>
        <v>0.43297924335058874</v>
      </c>
      <c r="M19" s="24">
        <f>Data!M19</f>
        <v>718592000000</v>
      </c>
      <c r="N19" s="24">
        <f t="shared" si="4"/>
        <v>53134780000000</v>
      </c>
      <c r="O19" s="25">
        <f t="shared" si="5"/>
        <v>9.0880930343552754E-2</v>
      </c>
      <c r="P19" s="24">
        <f>Data!K19</f>
        <v>11761575000000</v>
      </c>
      <c r="Q19" s="24">
        <f>Data!I19</f>
        <v>41373205000000</v>
      </c>
      <c r="R19" s="25">
        <f t="shared" si="6"/>
        <v>0.29849400717203323</v>
      </c>
      <c r="S19" s="25">
        <f t="shared" si="7"/>
        <v>0.64317056064604783</v>
      </c>
    </row>
    <row r="20" spans="1:19" ht="15" customHeight="1" x14ac:dyDescent="0.3">
      <c r="A20" s="22"/>
      <c r="B20" s="23"/>
      <c r="C20" s="3"/>
      <c r="D20" s="23">
        <v>2021</v>
      </c>
      <c r="E20" s="24">
        <f>Data!F20</f>
        <v>2332200000000</v>
      </c>
      <c r="F20" s="24">
        <f>Data!H20</f>
        <v>3465695000000</v>
      </c>
      <c r="G20" s="24">
        <f t="shared" si="0"/>
        <v>-1133495000000</v>
      </c>
      <c r="H20" s="24">
        <f>Data!G20</f>
        <v>52330016000000</v>
      </c>
      <c r="I20" s="25">
        <f t="shared" si="1"/>
        <v>-0.14209296630064092</v>
      </c>
      <c r="J20" s="24">
        <f>Data!J20</f>
        <v>6523045000000</v>
      </c>
      <c r="K20" s="24">
        <f t="shared" si="2"/>
        <v>52330016000000</v>
      </c>
      <c r="L20" s="25">
        <f t="shared" si="3"/>
        <v>0.40636575956712873</v>
      </c>
      <c r="M20" s="24">
        <f>Data!M20</f>
        <v>1143810000000</v>
      </c>
      <c r="N20" s="24">
        <f t="shared" si="4"/>
        <v>52330016000000</v>
      </c>
      <c r="O20" s="25">
        <f t="shared" si="5"/>
        <v>0.1468832572113106</v>
      </c>
      <c r="P20" s="24">
        <f>Data!K20</f>
        <v>11856333000000</v>
      </c>
      <c r="Q20" s="24">
        <f>Data!I20</f>
        <v>40473683000000</v>
      </c>
      <c r="R20" s="25">
        <f t="shared" si="6"/>
        <v>0.30758628143626071</v>
      </c>
      <c r="S20" s="25">
        <f t="shared" si="7"/>
        <v>0.71874233191405912</v>
      </c>
    </row>
    <row r="21" spans="1:19" ht="15" customHeight="1" x14ac:dyDescent="0.3">
      <c r="A21" s="22"/>
      <c r="B21" s="23"/>
      <c r="C21" s="3"/>
      <c r="D21" s="23">
        <v>2022</v>
      </c>
      <c r="E21" s="24">
        <f>Data!F21</f>
        <v>2553937000000</v>
      </c>
      <c r="F21" s="24">
        <f>Data!H21</f>
        <v>3771309000000</v>
      </c>
      <c r="G21" s="24">
        <f t="shared" si="0"/>
        <v>-1217372000000</v>
      </c>
      <c r="H21" s="24">
        <f>Data!G21</f>
        <v>44912325000000</v>
      </c>
      <c r="I21" s="25">
        <f t="shared" si="1"/>
        <v>-0.17781222236880412</v>
      </c>
      <c r="J21" s="24">
        <f>Data!J21</f>
        <v>5603024000000</v>
      </c>
      <c r="K21" s="24">
        <f t="shared" si="2"/>
        <v>44912325000000</v>
      </c>
      <c r="L21" s="25">
        <f t="shared" si="3"/>
        <v>0.40670034873500754</v>
      </c>
      <c r="M21" s="24">
        <f>Data!M21</f>
        <v>2655031000000</v>
      </c>
      <c r="N21" s="24">
        <f t="shared" si="4"/>
        <v>44912325000000</v>
      </c>
      <c r="O21" s="25">
        <f t="shared" si="5"/>
        <v>0.39725862154764863</v>
      </c>
      <c r="P21" s="24">
        <f>Data!K21</f>
        <v>8229889000000</v>
      </c>
      <c r="Q21" s="24">
        <f>Data!I21</f>
        <v>36682436000000</v>
      </c>
      <c r="R21" s="25">
        <f t="shared" si="6"/>
        <v>0.2355727806626583</v>
      </c>
      <c r="S21" s="25">
        <f t="shared" si="7"/>
        <v>0.86171952857651035</v>
      </c>
    </row>
    <row r="22" spans="1:19" ht="15" customHeight="1" x14ac:dyDescent="0.3">
      <c r="A22" s="22"/>
      <c r="B22" s="23"/>
      <c r="C22" s="3"/>
      <c r="D22" s="23">
        <v>2023</v>
      </c>
      <c r="E22" s="24">
        <f>Data!F22</f>
        <v>2217504000000</v>
      </c>
      <c r="F22" s="24">
        <f>Data!H22</f>
        <v>3324784000000</v>
      </c>
      <c r="G22" s="24">
        <f t="shared" si="0"/>
        <v>-1107280000000</v>
      </c>
      <c r="H22" s="24">
        <f>Data!G22</f>
        <v>41785302000000</v>
      </c>
      <c r="I22" s="25">
        <f t="shared" si="1"/>
        <v>-0.17383521124246032</v>
      </c>
      <c r="J22" s="24">
        <f>Data!J22</f>
        <v>6019271000000</v>
      </c>
      <c r="K22" s="24">
        <f t="shared" si="2"/>
        <v>41785302000000</v>
      </c>
      <c r="L22" s="25">
        <f t="shared" si="3"/>
        <v>0.46961066501326226</v>
      </c>
      <c r="M22" s="24">
        <f>Data!M22</f>
        <v>1674911000000</v>
      </c>
      <c r="N22" s="24">
        <f t="shared" si="4"/>
        <v>41785302000000</v>
      </c>
      <c r="O22" s="25">
        <f t="shared" si="5"/>
        <v>0.2693627036607274</v>
      </c>
      <c r="P22" s="24">
        <f>Data!K22</f>
        <v>8048626000000</v>
      </c>
      <c r="Q22" s="24">
        <f>Data!I22</f>
        <v>33736676000000</v>
      </c>
      <c r="R22" s="25">
        <f t="shared" si="6"/>
        <v>0.25050059170026118</v>
      </c>
      <c r="S22" s="25">
        <f t="shared" si="7"/>
        <v>0.81563874913179046</v>
      </c>
    </row>
    <row r="23" spans="1:19" ht="15" customHeight="1" x14ac:dyDescent="0.3">
      <c r="A23" s="22"/>
      <c r="B23" s="23"/>
      <c r="C23" s="3"/>
      <c r="D23" s="23">
        <v>2024</v>
      </c>
      <c r="E23" s="24">
        <f>Data!F23</f>
        <v>2234181000000</v>
      </c>
      <c r="F23" s="24">
        <f>Data!H23</f>
        <v>2965577000000</v>
      </c>
      <c r="G23" s="24">
        <f t="shared" si="0"/>
        <v>-731396000000</v>
      </c>
      <c r="H23" s="24">
        <f>Data!G23</f>
        <v>39899482000000</v>
      </c>
      <c r="I23" s="25">
        <f t="shared" si="1"/>
        <v>-0.12025112907480853</v>
      </c>
      <c r="J23" s="24">
        <f>Data!J23</f>
        <v>7306046000000</v>
      </c>
      <c r="K23" s="24">
        <f t="shared" si="2"/>
        <v>39899482000000</v>
      </c>
      <c r="L23" s="25">
        <f t="shared" si="3"/>
        <v>0.59694283650098512</v>
      </c>
      <c r="M23" s="24">
        <f>Data!M23</f>
        <v>1789193000000</v>
      </c>
      <c r="N23" s="24">
        <f t="shared" si="4"/>
        <v>39899482000000</v>
      </c>
      <c r="O23" s="25">
        <f t="shared" si="5"/>
        <v>0.30134168057620397</v>
      </c>
      <c r="P23" s="24">
        <f>Data!K23</f>
        <v>8912301000000</v>
      </c>
      <c r="Q23" s="24">
        <f>Data!I23</f>
        <v>30987181000000</v>
      </c>
      <c r="R23" s="25">
        <f t="shared" si="6"/>
        <v>0.30199313871113354</v>
      </c>
      <c r="S23" s="25">
        <f t="shared" si="7"/>
        <v>1.0800265267135143</v>
      </c>
    </row>
    <row r="24" spans="1:19" ht="15" customHeight="1" x14ac:dyDescent="0.3">
      <c r="A24" s="22"/>
      <c r="B24" s="23">
        <v>3</v>
      </c>
      <c r="C24" s="3" t="s">
        <v>3</v>
      </c>
      <c r="D24" s="23">
        <v>2014</v>
      </c>
      <c r="E24" s="24">
        <f>Data!F24</f>
        <v>0</v>
      </c>
      <c r="F24" s="24">
        <f>Data!H24</f>
        <v>0</v>
      </c>
      <c r="G24" s="24">
        <f t="shared" si="0"/>
        <v>0</v>
      </c>
      <c r="H24" s="24">
        <f>Data!G24</f>
        <v>0</v>
      </c>
      <c r="I24" s="25">
        <f t="shared" si="1"/>
        <v>0</v>
      </c>
      <c r="J24" s="24">
        <f>Data!J24</f>
        <v>0</v>
      </c>
      <c r="K24" s="24">
        <f t="shared" si="2"/>
        <v>0</v>
      </c>
      <c r="L24" s="25">
        <f t="shared" si="3"/>
        <v>0</v>
      </c>
      <c r="M24" s="24">
        <f>Data!M24</f>
        <v>0</v>
      </c>
      <c r="N24" s="24">
        <f t="shared" si="4"/>
        <v>0</v>
      </c>
      <c r="O24" s="25">
        <f t="shared" si="5"/>
        <v>0</v>
      </c>
      <c r="P24" s="24">
        <f>Data!K24</f>
        <v>0</v>
      </c>
      <c r="Q24" s="24">
        <f>Data!I24</f>
        <v>0</v>
      </c>
      <c r="R24" s="25">
        <f t="shared" si="6"/>
        <v>0</v>
      </c>
      <c r="S24" s="25">
        <f t="shared" si="7"/>
        <v>0</v>
      </c>
    </row>
    <row r="25" spans="1:19" ht="15" customHeight="1" x14ac:dyDescent="0.3">
      <c r="A25" s="22"/>
      <c r="B25" s="23"/>
      <c r="C25" s="3"/>
      <c r="D25" s="23">
        <v>2015</v>
      </c>
      <c r="E25" s="24">
        <f>Data!F25</f>
        <v>688635000000</v>
      </c>
      <c r="F25" s="24">
        <f>Data!H25</f>
        <v>665956000000</v>
      </c>
      <c r="G25" s="24">
        <f t="shared" si="0"/>
        <v>22679000000</v>
      </c>
      <c r="H25" s="24">
        <f>Data!G25</f>
        <v>27635118000000</v>
      </c>
      <c r="I25" s="25">
        <f t="shared" si="1"/>
        <v>5.3835210690976604E-3</v>
      </c>
      <c r="J25" s="24">
        <f>Data!J25</f>
        <v>3103856000000</v>
      </c>
      <c r="K25" s="24">
        <f t="shared" si="2"/>
        <v>27635118000000</v>
      </c>
      <c r="L25" s="25">
        <f t="shared" si="3"/>
        <v>0.366148990570621</v>
      </c>
      <c r="M25" s="24">
        <f>Data!M25</f>
        <v>903774000000</v>
      </c>
      <c r="N25" s="24">
        <f t="shared" si="4"/>
        <v>27635118000000</v>
      </c>
      <c r="O25" s="25">
        <f t="shared" si="5"/>
        <v>0.21976968869827149</v>
      </c>
      <c r="P25" s="24">
        <f>Data!K25</f>
        <v>4355995000000</v>
      </c>
      <c r="Q25" s="24">
        <f>Data!I25</f>
        <v>22909265000000</v>
      </c>
      <c r="R25" s="25">
        <f t="shared" si="6"/>
        <v>0.19964825366505648</v>
      </c>
      <c r="S25" s="25">
        <f t="shared" si="7"/>
        <v>0.79095045400304664</v>
      </c>
    </row>
    <row r="26" spans="1:19" ht="15" customHeight="1" x14ac:dyDescent="0.3">
      <c r="A26" s="22"/>
      <c r="B26" s="23"/>
      <c r="C26" s="3"/>
      <c r="D26" s="23">
        <v>2016</v>
      </c>
      <c r="E26" s="24">
        <f>Data!F26</f>
        <v>937483000000</v>
      </c>
      <c r="F26" s="24">
        <f>Data!H26</f>
        <v>953567000000</v>
      </c>
      <c r="G26" s="24">
        <f t="shared" si="0"/>
        <v>-16084000000</v>
      </c>
      <c r="H26" s="24">
        <f>Data!G26</f>
        <v>30294789000000</v>
      </c>
      <c r="I26" s="25">
        <f t="shared" si="1"/>
        <v>-3.4828115158682901E-3</v>
      </c>
      <c r="J26" s="24">
        <f>Data!J26</f>
        <v>3996502000000</v>
      </c>
      <c r="K26" s="24">
        <f t="shared" si="2"/>
        <v>30294789000000</v>
      </c>
      <c r="L26" s="25">
        <f t="shared" si="3"/>
        <v>0.43006064574339825</v>
      </c>
      <c r="M26" s="24">
        <f>Data!M26</f>
        <v>905890000000</v>
      </c>
      <c r="N26" s="24">
        <f t="shared" si="4"/>
        <v>30294789000000</v>
      </c>
      <c r="O26" s="25">
        <f t="shared" si="5"/>
        <v>0.20094481595498156</v>
      </c>
      <c r="P26" s="24">
        <f>Data!K26</f>
        <v>5381290000000</v>
      </c>
      <c r="Q26" s="24">
        <f>Data!I26</f>
        <v>24436046000000</v>
      </c>
      <c r="R26" s="25">
        <f t="shared" si="6"/>
        <v>0.23123031033744168</v>
      </c>
      <c r="S26" s="25">
        <f t="shared" si="7"/>
        <v>0.8587529605199532</v>
      </c>
    </row>
    <row r="27" spans="1:19" ht="15" customHeight="1" x14ac:dyDescent="0.3">
      <c r="A27" s="22"/>
      <c r="B27" s="23"/>
      <c r="C27" s="3"/>
      <c r="D27" s="23">
        <v>2017</v>
      </c>
      <c r="E27" s="24">
        <f>Data!F27</f>
        <v>1162598000000</v>
      </c>
      <c r="F27" s="24">
        <f>Data!H27</f>
        <v>1244651000000</v>
      </c>
      <c r="G27" s="24">
        <f t="shared" si="0"/>
        <v>-82053000000</v>
      </c>
      <c r="H27" s="24">
        <f>Data!G27</f>
        <v>35751863000000</v>
      </c>
      <c r="I27" s="25">
        <f t="shared" si="1"/>
        <v>-1.5055654022840712E-2</v>
      </c>
      <c r="J27" s="24">
        <f>Data!J27</f>
        <v>4311634000000</v>
      </c>
      <c r="K27" s="24">
        <f t="shared" si="2"/>
        <v>35751863000000</v>
      </c>
      <c r="L27" s="25">
        <f t="shared" si="3"/>
        <v>0.39315229083306791</v>
      </c>
      <c r="M27" s="24">
        <f>Data!M27</f>
        <v>329564000000</v>
      </c>
      <c r="N27" s="24">
        <f t="shared" si="4"/>
        <v>35751863000000</v>
      </c>
      <c r="O27" s="25">
        <f t="shared" si="5"/>
        <v>6.1945585325161936E-2</v>
      </c>
      <c r="P27" s="24">
        <f>Data!K27</f>
        <v>6030989000000</v>
      </c>
      <c r="Q27" s="24">
        <f>Data!I27</f>
        <v>27527468000000</v>
      </c>
      <c r="R27" s="25">
        <f t="shared" si="6"/>
        <v>0.23004434879372124</v>
      </c>
      <c r="S27" s="25">
        <f t="shared" si="7"/>
        <v>0.67008657092911039</v>
      </c>
    </row>
    <row r="28" spans="1:19" ht="15" customHeight="1" x14ac:dyDescent="0.3">
      <c r="A28" s="22"/>
      <c r="B28" s="23"/>
      <c r="C28" s="3"/>
      <c r="D28" s="23">
        <v>2018</v>
      </c>
      <c r="E28" s="24">
        <f>Data!F28</f>
        <v>1438688000000</v>
      </c>
      <c r="F28" s="24">
        <f>Data!H28</f>
        <v>1580256000000</v>
      </c>
      <c r="G28" s="24">
        <f t="shared" si="0"/>
        <v>-141568000000</v>
      </c>
      <c r="H28" s="24">
        <f>Data!G28</f>
        <v>35266933000000</v>
      </c>
      <c r="I28" s="25">
        <f t="shared" si="1"/>
        <v>-2.6333054819368616E-2</v>
      </c>
      <c r="J28" s="24">
        <f>Data!J28</f>
        <v>4737672000000</v>
      </c>
      <c r="K28" s="24">
        <f t="shared" si="2"/>
        <v>35266933000000</v>
      </c>
      <c r="L28" s="25">
        <f t="shared" si="3"/>
        <v>0.43794028587629091</v>
      </c>
      <c r="M28" s="24">
        <f>Data!M28</f>
        <v>899975000000</v>
      </c>
      <c r="N28" s="24">
        <f t="shared" si="4"/>
        <v>35266933000000</v>
      </c>
      <c r="O28" s="25">
        <f t="shared" si="5"/>
        <v>0.17148732496812241</v>
      </c>
      <c r="P28" s="24">
        <f>Data!K28</f>
        <v>5768100000000</v>
      </c>
      <c r="Q28" s="24">
        <f>Data!I28</f>
        <v>27304202000000</v>
      </c>
      <c r="R28" s="25">
        <f t="shared" si="6"/>
        <v>0.22181585823310274</v>
      </c>
      <c r="S28" s="25">
        <f t="shared" si="7"/>
        <v>0.80491041425814736</v>
      </c>
    </row>
    <row r="29" spans="1:19" ht="15" customHeight="1" x14ac:dyDescent="0.3">
      <c r="A29" s="22"/>
      <c r="B29" s="23"/>
      <c r="C29" s="3"/>
      <c r="D29" s="23">
        <v>2019</v>
      </c>
      <c r="E29" s="24">
        <f>Data!F29</f>
        <v>1975159000000</v>
      </c>
      <c r="F29" s="24">
        <f>Data!H29</f>
        <v>1291778000000</v>
      </c>
      <c r="G29" s="24">
        <f t="shared" si="0"/>
        <v>683381000000</v>
      </c>
      <c r="H29" s="24">
        <f>Data!G29</f>
        <v>38345233000000</v>
      </c>
      <c r="I29" s="25">
        <f t="shared" si="1"/>
        <v>0.11691099542934059</v>
      </c>
      <c r="J29" s="24">
        <f>Data!J29</f>
        <v>5161928000000</v>
      </c>
      <c r="K29" s="24">
        <f t="shared" si="2"/>
        <v>38345233000000</v>
      </c>
      <c r="L29" s="25">
        <f t="shared" si="3"/>
        <v>0.4388520805180659</v>
      </c>
      <c r="M29" s="24">
        <f>Data!M29</f>
        <v>1526889000000</v>
      </c>
      <c r="N29" s="24">
        <f t="shared" si="4"/>
        <v>38345233000000</v>
      </c>
      <c r="O29" s="25">
        <f t="shared" si="5"/>
        <v>0.2675872142959726</v>
      </c>
      <c r="P29" s="24">
        <f>Data!K29</f>
        <v>6511324000000</v>
      </c>
      <c r="Q29" s="24">
        <f>Data!I29</f>
        <v>29736010000000</v>
      </c>
      <c r="R29" s="25">
        <f t="shared" si="6"/>
        <v>0.2299195554480914</v>
      </c>
      <c r="S29" s="25">
        <f t="shared" si="7"/>
        <v>1.0532698456914704</v>
      </c>
    </row>
    <row r="30" spans="1:19" ht="15" customHeight="1" x14ac:dyDescent="0.3">
      <c r="A30" s="22"/>
      <c r="B30" s="23"/>
      <c r="C30" s="3"/>
      <c r="D30" s="23">
        <v>2020</v>
      </c>
      <c r="E30" s="24">
        <f>Data!F30</f>
        <v>2544663000000</v>
      </c>
      <c r="F30" s="24">
        <f>Data!H30</f>
        <v>1443225000000</v>
      </c>
      <c r="G30" s="24">
        <f t="shared" si="0"/>
        <v>1101438000000</v>
      </c>
      <c r="H30" s="24">
        <f>Data!G30</f>
        <v>41166712000000</v>
      </c>
      <c r="I30" s="25">
        <f t="shared" si="1"/>
        <v>0.17551640461351395</v>
      </c>
      <c r="J30" s="24">
        <f>Data!J30</f>
        <v>5998414000000</v>
      </c>
      <c r="K30" s="24">
        <f t="shared" si="2"/>
        <v>41166712000000</v>
      </c>
      <c r="L30" s="25">
        <f t="shared" si="3"/>
        <v>0.47501558152130297</v>
      </c>
      <c r="M30" s="24">
        <f>Data!M30</f>
        <v>1691295000000</v>
      </c>
      <c r="N30" s="24">
        <f t="shared" si="4"/>
        <v>41166712000000</v>
      </c>
      <c r="O30" s="25">
        <f t="shared" si="5"/>
        <v>0.27608477451393248</v>
      </c>
      <c r="P30" s="24">
        <f>Data!K30</f>
        <v>7090980000000</v>
      </c>
      <c r="Q30" s="24">
        <f>Data!I30</f>
        <v>31830554000000</v>
      </c>
      <c r="R30" s="25">
        <f t="shared" si="6"/>
        <v>0.23391138589670793</v>
      </c>
      <c r="S30" s="25">
        <f t="shared" si="7"/>
        <v>1.1605281465454573</v>
      </c>
    </row>
    <row r="31" spans="1:19" ht="15" customHeight="1" x14ac:dyDescent="0.3">
      <c r="A31" s="22"/>
      <c r="B31" s="23"/>
      <c r="C31" s="3"/>
      <c r="D31" s="23">
        <v>2021</v>
      </c>
      <c r="E31" s="24">
        <f>Data!F31</f>
        <v>2851127000000</v>
      </c>
      <c r="F31" s="24">
        <f>Data!H31</f>
        <v>1539961000000</v>
      </c>
      <c r="G31" s="24">
        <f t="shared" si="0"/>
        <v>1311166000000</v>
      </c>
      <c r="H31" s="24">
        <f>Data!G31</f>
        <v>42808931000000</v>
      </c>
      <c r="I31" s="25">
        <f t="shared" si="1"/>
        <v>0.20092183474518435</v>
      </c>
      <c r="J31" s="24">
        <f>Data!J31</f>
        <v>5949541000000</v>
      </c>
      <c r="K31" s="24">
        <f t="shared" si="2"/>
        <v>42808931000000</v>
      </c>
      <c r="L31" s="25">
        <f t="shared" si="3"/>
        <v>0.4530714317533413</v>
      </c>
      <c r="M31" s="24">
        <f>Data!M31</f>
        <v>561475000000</v>
      </c>
      <c r="N31" s="24">
        <f t="shared" si="4"/>
        <v>42808931000000</v>
      </c>
      <c r="O31" s="25">
        <f t="shared" si="5"/>
        <v>8.8138430740071494E-2</v>
      </c>
      <c r="P31" s="24">
        <f>Data!K31</f>
        <v>6945025000000</v>
      </c>
      <c r="Q31" s="24">
        <f>Data!I31</f>
        <v>33849131000000</v>
      </c>
      <c r="R31" s="25">
        <f t="shared" si="6"/>
        <v>0.21543466655022844</v>
      </c>
      <c r="S31" s="25">
        <f t="shared" si="7"/>
        <v>0.95756636378882565</v>
      </c>
    </row>
    <row r="32" spans="1:19" ht="15" customHeight="1" x14ac:dyDescent="0.3">
      <c r="A32" s="22"/>
      <c r="B32" s="23"/>
      <c r="C32" s="3"/>
      <c r="D32" s="23">
        <v>2022</v>
      </c>
      <c r="E32" s="24">
        <f>Data!F32</f>
        <v>3412009000000</v>
      </c>
      <c r="F32" s="24">
        <f>Data!H32</f>
        <v>2321280000000</v>
      </c>
      <c r="G32" s="24">
        <f t="shared" si="0"/>
        <v>1090729000000</v>
      </c>
      <c r="H32" s="24">
        <f>Data!G32</f>
        <v>41194961000000</v>
      </c>
      <c r="I32" s="25">
        <f t="shared" si="1"/>
        <v>0.1736907152309235</v>
      </c>
      <c r="J32" s="24">
        <f>Data!J32</f>
        <v>6757463000000</v>
      </c>
      <c r="K32" s="24">
        <f t="shared" si="2"/>
        <v>41194961000000</v>
      </c>
      <c r="L32" s="25">
        <f t="shared" si="3"/>
        <v>0.53475786468155651</v>
      </c>
      <c r="M32" s="24">
        <f>Data!M32</f>
        <v>597200000000</v>
      </c>
      <c r="N32" s="24">
        <f t="shared" si="4"/>
        <v>41194961000000</v>
      </c>
      <c r="O32" s="25">
        <f t="shared" si="5"/>
        <v>9.7419293587873518E-2</v>
      </c>
      <c r="P32" s="24">
        <f>Data!K32</f>
        <v>7208812000000</v>
      </c>
      <c r="Q32" s="24">
        <f>Data!I32</f>
        <v>32037270000000</v>
      </c>
      <c r="R32" s="25">
        <f t="shared" si="6"/>
        <v>0.23626397005737379</v>
      </c>
      <c r="S32" s="25">
        <f t="shared" si="7"/>
        <v>1.0421318435577274</v>
      </c>
    </row>
    <row r="33" spans="1:19" ht="15" customHeight="1" x14ac:dyDescent="0.3">
      <c r="A33" s="22"/>
      <c r="B33" s="23"/>
      <c r="C33" s="3"/>
      <c r="D33" s="23">
        <v>2023</v>
      </c>
      <c r="E33" s="24">
        <f>Data!F33</f>
        <v>3559943000000</v>
      </c>
      <c r="F33" s="24">
        <f>Data!H33</f>
        <v>2581811000000</v>
      </c>
      <c r="G33" s="24">
        <f t="shared" si="0"/>
        <v>978132000000</v>
      </c>
      <c r="H33" s="24">
        <f>Data!G33</f>
        <v>40147448000000</v>
      </c>
      <c r="I33" s="25">
        <f t="shared" si="1"/>
        <v>0.15982450291734607</v>
      </c>
      <c r="J33" s="24">
        <f>Data!J33</f>
        <v>6154142000000</v>
      </c>
      <c r="K33" s="24">
        <f t="shared" si="2"/>
        <v>40147448000000</v>
      </c>
      <c r="L33" s="25">
        <f t="shared" si="3"/>
        <v>0.49972050328080619</v>
      </c>
      <c r="M33" s="24">
        <f>Data!M33</f>
        <v>372376000000</v>
      </c>
      <c r="N33" s="24">
        <f t="shared" si="4"/>
        <v>40147448000000</v>
      </c>
      <c r="O33" s="25">
        <f t="shared" si="5"/>
        <v>6.2329409331322874E-2</v>
      </c>
      <c r="P33" s="24">
        <f>Data!K33</f>
        <v>6640072000000</v>
      </c>
      <c r="Q33" s="24">
        <f>Data!I33</f>
        <v>31712785000000</v>
      </c>
      <c r="R33" s="25">
        <f t="shared" si="6"/>
        <v>0.21985062491357982</v>
      </c>
      <c r="S33" s="25">
        <f t="shared" si="7"/>
        <v>0.94172504044305505</v>
      </c>
    </row>
    <row r="34" spans="1:19" ht="15" customHeight="1" x14ac:dyDescent="0.3">
      <c r="A34" s="22"/>
      <c r="B34" s="23"/>
      <c r="C34" s="3"/>
      <c r="D34" s="23">
        <v>2024</v>
      </c>
      <c r="E34" s="24">
        <f>Data!F34</f>
        <v>2585453000000</v>
      </c>
      <c r="F34" s="24">
        <f>Data!H34</f>
        <v>2735029000000</v>
      </c>
      <c r="G34" s="24">
        <f t="shared" si="0"/>
        <v>-149576000000</v>
      </c>
      <c r="H34" s="24">
        <f>Data!G34</f>
        <v>39131978000000</v>
      </c>
      <c r="I34" s="25">
        <f t="shared" si="1"/>
        <v>-2.5074596535856173E-2</v>
      </c>
      <c r="J34" s="24">
        <f>Data!J34</f>
        <v>6934793000000</v>
      </c>
      <c r="K34" s="24">
        <f t="shared" si="2"/>
        <v>39131978000000</v>
      </c>
      <c r="L34" s="25">
        <f t="shared" si="3"/>
        <v>0.57772252606295538</v>
      </c>
      <c r="M34" s="24">
        <f>Data!M34</f>
        <v>1242464000000</v>
      </c>
      <c r="N34" s="24">
        <f t="shared" si="4"/>
        <v>39131978000000</v>
      </c>
      <c r="O34" s="25">
        <f t="shared" si="5"/>
        <v>0.21336406966190155</v>
      </c>
      <c r="P34" s="24">
        <f>Data!K34</f>
        <v>7301939000000</v>
      </c>
      <c r="Q34" s="24">
        <f>Data!I34</f>
        <v>30372565000000</v>
      </c>
      <c r="R34" s="25">
        <f t="shared" si="6"/>
        <v>0.25243294236097613</v>
      </c>
      <c r="S34" s="25">
        <f t="shared" si="7"/>
        <v>1.0184449415499768</v>
      </c>
    </row>
    <row r="35" spans="1:19" ht="15" customHeight="1" x14ac:dyDescent="0.3">
      <c r="A35" s="22"/>
      <c r="B35" s="23">
        <v>4</v>
      </c>
      <c r="C35" s="4" t="s">
        <v>56</v>
      </c>
      <c r="D35" s="23">
        <v>2014</v>
      </c>
      <c r="E35" s="24">
        <f>Data!F35</f>
        <v>0</v>
      </c>
      <c r="F35" s="24">
        <f>Data!H35</f>
        <v>0</v>
      </c>
      <c r="G35" s="24">
        <f t="shared" si="0"/>
        <v>0</v>
      </c>
      <c r="H35" s="24">
        <f>Data!G35</f>
        <v>0</v>
      </c>
      <c r="I35" s="25">
        <f t="shared" si="1"/>
        <v>0</v>
      </c>
      <c r="J35" s="24">
        <f>Data!J35</f>
        <v>0</v>
      </c>
      <c r="K35" s="24">
        <f t="shared" si="2"/>
        <v>0</v>
      </c>
      <c r="L35" s="25">
        <f t="shared" si="3"/>
        <v>0</v>
      </c>
      <c r="M35" s="24">
        <f>Data!M35</f>
        <v>0</v>
      </c>
      <c r="N35" s="24">
        <f t="shared" si="4"/>
        <v>0</v>
      </c>
      <c r="O35" s="25">
        <f t="shared" si="5"/>
        <v>0</v>
      </c>
      <c r="P35" s="24">
        <f>Data!K35</f>
        <v>0</v>
      </c>
      <c r="Q35" s="24">
        <f>Data!I35</f>
        <v>0</v>
      </c>
      <c r="R35" s="25">
        <f t="shared" si="6"/>
        <v>0</v>
      </c>
      <c r="S35" s="25">
        <f t="shared" si="7"/>
        <v>0</v>
      </c>
    </row>
    <row r="36" spans="1:19" ht="15" customHeight="1" x14ac:dyDescent="0.3">
      <c r="A36" s="22"/>
      <c r="B36" s="23"/>
      <c r="C36" s="4"/>
      <c r="D36" s="23">
        <v>2015</v>
      </c>
      <c r="E36" s="24">
        <f>Data!F36</f>
        <v>0</v>
      </c>
      <c r="F36" s="24">
        <f>Data!H36</f>
        <v>0</v>
      </c>
      <c r="G36" s="24">
        <f t="shared" si="0"/>
        <v>0</v>
      </c>
      <c r="H36" s="24">
        <f>Data!G36</f>
        <v>0</v>
      </c>
      <c r="I36" s="25">
        <f t="shared" si="1"/>
        <v>0</v>
      </c>
      <c r="J36" s="24">
        <f>Data!J36</f>
        <v>0</v>
      </c>
      <c r="K36" s="24">
        <f t="shared" si="2"/>
        <v>0</v>
      </c>
      <c r="L36" s="25">
        <f t="shared" si="3"/>
        <v>0</v>
      </c>
      <c r="M36" s="24">
        <f>Data!M36</f>
        <v>0</v>
      </c>
      <c r="N36" s="24">
        <f t="shared" si="4"/>
        <v>0</v>
      </c>
      <c r="O36" s="25">
        <f t="shared" si="5"/>
        <v>0</v>
      </c>
      <c r="P36" s="24">
        <f>Data!K36</f>
        <v>0</v>
      </c>
      <c r="Q36" s="24">
        <f>Data!I36</f>
        <v>0</v>
      </c>
      <c r="R36" s="25">
        <f t="shared" si="6"/>
        <v>0</v>
      </c>
      <c r="S36" s="25">
        <f t="shared" si="7"/>
        <v>0</v>
      </c>
    </row>
    <row r="37" spans="1:19" ht="15" customHeight="1" x14ac:dyDescent="0.3">
      <c r="A37" s="22"/>
      <c r="B37" s="23"/>
      <c r="C37" s="4"/>
      <c r="D37" s="23">
        <v>2016</v>
      </c>
      <c r="E37" s="24">
        <f>Data!F37</f>
        <v>0</v>
      </c>
      <c r="F37" s="24">
        <f>Data!H37</f>
        <v>0</v>
      </c>
      <c r="G37" s="24">
        <f t="shared" si="0"/>
        <v>0</v>
      </c>
      <c r="H37" s="24">
        <f>Data!G37</f>
        <v>0</v>
      </c>
      <c r="I37" s="25">
        <f t="shared" si="1"/>
        <v>0</v>
      </c>
      <c r="J37" s="24">
        <f>Data!J37</f>
        <v>0</v>
      </c>
      <c r="K37" s="24">
        <f t="shared" si="2"/>
        <v>0</v>
      </c>
      <c r="L37" s="25">
        <f t="shared" si="3"/>
        <v>0</v>
      </c>
      <c r="M37" s="24">
        <f>Data!M37</f>
        <v>0</v>
      </c>
      <c r="N37" s="24">
        <f t="shared" si="4"/>
        <v>0</v>
      </c>
      <c r="O37" s="25">
        <f t="shared" si="5"/>
        <v>0</v>
      </c>
      <c r="P37" s="24">
        <f>Data!K37</f>
        <v>0</v>
      </c>
      <c r="Q37" s="24">
        <f>Data!I37</f>
        <v>0</v>
      </c>
      <c r="R37" s="25">
        <f t="shared" si="6"/>
        <v>0</v>
      </c>
      <c r="S37" s="25">
        <f t="shared" si="7"/>
        <v>0</v>
      </c>
    </row>
    <row r="38" spans="1:19" ht="15" customHeight="1" x14ac:dyDescent="0.3">
      <c r="A38" s="22"/>
      <c r="B38" s="23"/>
      <c r="C38" s="4"/>
      <c r="D38" s="23">
        <v>2017</v>
      </c>
      <c r="E38" s="24">
        <f>Data!F38</f>
        <v>0</v>
      </c>
      <c r="F38" s="24">
        <f>Data!H38</f>
        <v>0</v>
      </c>
      <c r="G38" s="24">
        <f t="shared" si="0"/>
        <v>0</v>
      </c>
      <c r="H38" s="24">
        <f>Data!G38</f>
        <v>0</v>
      </c>
      <c r="I38" s="25">
        <f t="shared" si="1"/>
        <v>0</v>
      </c>
      <c r="J38" s="24">
        <f>Data!J38</f>
        <v>0</v>
      </c>
      <c r="K38" s="24">
        <f t="shared" si="2"/>
        <v>0</v>
      </c>
      <c r="L38" s="25">
        <f t="shared" si="3"/>
        <v>0</v>
      </c>
      <c r="M38" s="24">
        <f>Data!M38</f>
        <v>0</v>
      </c>
      <c r="N38" s="24">
        <f t="shared" si="4"/>
        <v>0</v>
      </c>
      <c r="O38" s="25">
        <f t="shared" si="5"/>
        <v>0</v>
      </c>
      <c r="P38" s="24">
        <f>Data!K38</f>
        <v>0</v>
      </c>
      <c r="Q38" s="24">
        <f>Data!I38</f>
        <v>0</v>
      </c>
      <c r="R38" s="25">
        <f t="shared" si="6"/>
        <v>0</v>
      </c>
      <c r="S38" s="25">
        <f t="shared" si="7"/>
        <v>0</v>
      </c>
    </row>
    <row r="39" spans="1:19" ht="15" customHeight="1" x14ac:dyDescent="0.3">
      <c r="A39" s="22"/>
      <c r="B39" s="23"/>
      <c r="C39" s="4"/>
      <c r="D39" s="23">
        <v>2018</v>
      </c>
      <c r="E39" s="24">
        <f>Data!F39</f>
        <v>0</v>
      </c>
      <c r="F39" s="24">
        <f>Data!H39</f>
        <v>0</v>
      </c>
      <c r="G39" s="24">
        <f t="shared" si="0"/>
        <v>0</v>
      </c>
      <c r="H39" s="24">
        <f>Data!G39</f>
        <v>0</v>
      </c>
      <c r="I39" s="25">
        <f t="shared" si="1"/>
        <v>0</v>
      </c>
      <c r="J39" s="24">
        <f>Data!J39</f>
        <v>0</v>
      </c>
      <c r="K39" s="24">
        <f t="shared" si="2"/>
        <v>0</v>
      </c>
      <c r="L39" s="25">
        <f t="shared" si="3"/>
        <v>0</v>
      </c>
      <c r="M39" s="24">
        <f>Data!M39</f>
        <v>0</v>
      </c>
      <c r="N39" s="24">
        <f t="shared" si="4"/>
        <v>0</v>
      </c>
      <c r="O39" s="25">
        <f t="shared" si="5"/>
        <v>0</v>
      </c>
      <c r="P39" s="24">
        <f>Data!K39</f>
        <v>0</v>
      </c>
      <c r="Q39" s="24">
        <f>Data!I39</f>
        <v>0</v>
      </c>
      <c r="R39" s="25">
        <f t="shared" si="6"/>
        <v>0</v>
      </c>
      <c r="S39" s="25">
        <f t="shared" si="7"/>
        <v>0</v>
      </c>
    </row>
    <row r="40" spans="1:19" ht="15" customHeight="1" x14ac:dyDescent="0.3">
      <c r="A40" s="22"/>
      <c r="B40" s="23"/>
      <c r="C40" s="4"/>
      <c r="D40" s="23">
        <v>2019</v>
      </c>
      <c r="E40" s="24">
        <f>Data!F40</f>
        <v>0</v>
      </c>
      <c r="F40" s="24">
        <f>Data!H40</f>
        <v>0</v>
      </c>
      <c r="G40" s="24">
        <f t="shared" si="0"/>
        <v>0</v>
      </c>
      <c r="H40" s="24">
        <f>Data!G40</f>
        <v>0</v>
      </c>
      <c r="I40" s="25">
        <f t="shared" si="1"/>
        <v>0</v>
      </c>
      <c r="J40" s="24">
        <f>Data!J40</f>
        <v>0</v>
      </c>
      <c r="K40" s="24">
        <f t="shared" si="2"/>
        <v>0</v>
      </c>
      <c r="L40" s="25">
        <f t="shared" si="3"/>
        <v>0</v>
      </c>
      <c r="M40" s="24">
        <f>Data!M40</f>
        <v>0</v>
      </c>
      <c r="N40" s="24">
        <f t="shared" si="4"/>
        <v>0</v>
      </c>
      <c r="O40" s="25">
        <f t="shared" si="5"/>
        <v>0</v>
      </c>
      <c r="P40" s="24">
        <f>Data!K40</f>
        <v>0</v>
      </c>
      <c r="Q40" s="24">
        <f>Data!I40</f>
        <v>0</v>
      </c>
      <c r="R40" s="25">
        <f t="shared" si="6"/>
        <v>0</v>
      </c>
      <c r="S40" s="25">
        <f t="shared" si="7"/>
        <v>0</v>
      </c>
    </row>
    <row r="41" spans="1:19" ht="15" customHeight="1" x14ac:dyDescent="0.3">
      <c r="A41" s="22"/>
      <c r="B41" s="23"/>
      <c r="C41" s="4"/>
      <c r="D41" s="23">
        <v>2020</v>
      </c>
      <c r="E41" s="24">
        <f>Data!F41</f>
        <v>0</v>
      </c>
      <c r="F41" s="24">
        <f>Data!H41</f>
        <v>0</v>
      </c>
      <c r="G41" s="24">
        <f t="shared" si="0"/>
        <v>0</v>
      </c>
      <c r="H41" s="24">
        <f>Data!G41</f>
        <v>0</v>
      </c>
      <c r="I41" s="25">
        <f t="shared" si="1"/>
        <v>0</v>
      </c>
      <c r="J41" s="24">
        <f>Data!J41</f>
        <v>0</v>
      </c>
      <c r="K41" s="24">
        <f t="shared" si="2"/>
        <v>0</v>
      </c>
      <c r="L41" s="25">
        <f t="shared" si="3"/>
        <v>0</v>
      </c>
      <c r="M41" s="24">
        <f>Data!M41</f>
        <v>0</v>
      </c>
      <c r="N41" s="24">
        <f t="shared" si="4"/>
        <v>0</v>
      </c>
      <c r="O41" s="25">
        <f t="shared" si="5"/>
        <v>0</v>
      </c>
      <c r="P41" s="24">
        <f>Data!K41</f>
        <v>0</v>
      </c>
      <c r="Q41" s="24">
        <f>Data!I41</f>
        <v>0</v>
      </c>
      <c r="R41" s="25">
        <f t="shared" si="6"/>
        <v>0</v>
      </c>
      <c r="S41" s="25">
        <f t="shared" si="7"/>
        <v>0</v>
      </c>
    </row>
    <row r="42" spans="1:19" ht="15" customHeight="1" x14ac:dyDescent="0.3">
      <c r="A42" s="22"/>
      <c r="B42" s="23"/>
      <c r="C42" s="4"/>
      <c r="D42" s="23">
        <v>2021</v>
      </c>
      <c r="E42" s="24">
        <f>Data!F42</f>
        <v>0</v>
      </c>
      <c r="F42" s="24">
        <f>Data!H42</f>
        <v>0</v>
      </c>
      <c r="G42" s="24">
        <f t="shared" si="0"/>
        <v>0</v>
      </c>
      <c r="H42" s="24">
        <f>Data!G42</f>
        <v>0</v>
      </c>
      <c r="I42" s="25">
        <f t="shared" si="1"/>
        <v>0</v>
      </c>
      <c r="J42" s="24">
        <f>Data!J42</f>
        <v>0</v>
      </c>
      <c r="K42" s="24">
        <f t="shared" si="2"/>
        <v>0</v>
      </c>
      <c r="L42" s="25">
        <f t="shared" si="3"/>
        <v>0</v>
      </c>
      <c r="M42" s="24">
        <f>Data!M42</f>
        <v>0</v>
      </c>
      <c r="N42" s="24">
        <f t="shared" si="4"/>
        <v>0</v>
      </c>
      <c r="O42" s="25">
        <f t="shared" si="5"/>
        <v>0</v>
      </c>
      <c r="P42" s="24">
        <f>Data!K42</f>
        <v>0</v>
      </c>
      <c r="Q42" s="24">
        <f>Data!I42</f>
        <v>0</v>
      </c>
      <c r="R42" s="25">
        <f t="shared" si="6"/>
        <v>0</v>
      </c>
      <c r="S42" s="25">
        <f t="shared" si="7"/>
        <v>0</v>
      </c>
    </row>
    <row r="43" spans="1:19" ht="15" customHeight="1" x14ac:dyDescent="0.3">
      <c r="A43" s="22"/>
      <c r="B43" s="23"/>
      <c r="C43" s="4"/>
      <c r="D43" s="23">
        <v>2022</v>
      </c>
      <c r="E43" s="24">
        <f>Data!F43</f>
        <v>410708000000</v>
      </c>
      <c r="F43" s="24">
        <f>Data!H43</f>
        <v>516180000000</v>
      </c>
      <c r="G43" s="24">
        <f t="shared" si="0"/>
        <v>-105472000000</v>
      </c>
      <c r="H43" s="24">
        <f>Data!G43</f>
        <v>4337827000000</v>
      </c>
      <c r="I43" s="25">
        <f t="shared" si="1"/>
        <v>-0.15950297695136295</v>
      </c>
      <c r="J43" s="24">
        <f>Data!J43</f>
        <v>-184000000</v>
      </c>
      <c r="K43" s="24">
        <f t="shared" si="2"/>
        <v>4337827000000</v>
      </c>
      <c r="L43" s="25">
        <f t="shared" si="3"/>
        <v>-1.3828121776179639E-4</v>
      </c>
      <c r="M43" s="24">
        <f>Data!M43</f>
        <v>382608000000</v>
      </c>
      <c r="N43" s="24">
        <f t="shared" si="4"/>
        <v>4337827000000</v>
      </c>
      <c r="O43" s="25">
        <f t="shared" si="5"/>
        <v>0.59272206106882552</v>
      </c>
      <c r="P43" s="24">
        <f>Data!K43</f>
        <v>1497483000000</v>
      </c>
      <c r="Q43" s="24">
        <f>Data!I43</f>
        <v>891833000000</v>
      </c>
      <c r="R43" s="25">
        <f t="shared" si="6"/>
        <v>1.7630623109932018</v>
      </c>
      <c r="S43" s="25">
        <f t="shared" si="7"/>
        <v>2.1961431138929024</v>
      </c>
    </row>
    <row r="44" spans="1:19" ht="15" customHeight="1" x14ac:dyDescent="0.3">
      <c r="A44" s="22"/>
      <c r="B44" s="23"/>
      <c r="C44" s="4"/>
      <c r="D44" s="23">
        <v>2023</v>
      </c>
      <c r="E44" s="24">
        <f>Data!F44</f>
        <v>612489000000</v>
      </c>
      <c r="F44" s="24">
        <f>Data!H44</f>
        <v>432783000000</v>
      </c>
      <c r="G44" s="24">
        <f t="shared" si="0"/>
        <v>179706000000</v>
      </c>
      <c r="H44" s="24">
        <f>Data!G44</f>
        <v>3620310000000</v>
      </c>
      <c r="I44" s="25">
        <f t="shared" si="1"/>
        <v>0.32562718662214007</v>
      </c>
      <c r="J44" s="24">
        <f>Data!J44</f>
        <v>-22950000000</v>
      </c>
      <c r="K44" s="24">
        <f t="shared" si="2"/>
        <v>3620310000000</v>
      </c>
      <c r="L44" s="25">
        <f t="shared" si="3"/>
        <v>-2.0665909825401691E-2</v>
      </c>
      <c r="M44" s="24">
        <f>Data!M44</f>
        <v>221160000000</v>
      </c>
      <c r="N44" s="24">
        <f t="shared" si="4"/>
        <v>3620310000000</v>
      </c>
      <c r="O44" s="25">
        <f t="shared" si="5"/>
        <v>0.41051600553543754</v>
      </c>
      <c r="P44" s="24">
        <f>Data!K44</f>
        <v>958124000000</v>
      </c>
      <c r="Q44" s="24">
        <f>Data!I44</f>
        <v>867595000000</v>
      </c>
      <c r="R44" s="25">
        <f t="shared" si="6"/>
        <v>1.1595620076187623</v>
      </c>
      <c r="S44" s="25">
        <f t="shared" si="7"/>
        <v>1.8750392899509383</v>
      </c>
    </row>
    <row r="45" spans="1:19" ht="15" customHeight="1" x14ac:dyDescent="0.3">
      <c r="A45" s="22"/>
      <c r="B45" s="23"/>
      <c r="C45" s="4"/>
      <c r="D45" s="23">
        <v>2024</v>
      </c>
      <c r="E45" s="24">
        <f>Data!F45</f>
        <v>292352000000</v>
      </c>
      <c r="F45" s="24">
        <f>Data!H45</f>
        <v>370778000000</v>
      </c>
      <c r="G45" s="24">
        <f t="shared" si="0"/>
        <v>-78426000000</v>
      </c>
      <c r="H45" s="24">
        <f>Data!G45</f>
        <v>3339322000000</v>
      </c>
      <c r="I45" s="25">
        <f t="shared" si="1"/>
        <v>-0.15406557379012864</v>
      </c>
      <c r="J45" s="24">
        <f>Data!J45</f>
        <v>65665000000</v>
      </c>
      <c r="K45" s="24">
        <f t="shared" si="2"/>
        <v>3339322000000</v>
      </c>
      <c r="L45" s="25">
        <f t="shared" si="3"/>
        <v>6.4105198600194882E-2</v>
      </c>
      <c r="M45" s="24">
        <f>Data!M45</f>
        <v>69939000000</v>
      </c>
      <c r="N45" s="24">
        <f t="shared" si="4"/>
        <v>3339322000000</v>
      </c>
      <c r="O45" s="25">
        <f t="shared" si="5"/>
        <v>0.1407441630366883</v>
      </c>
      <c r="P45" s="24">
        <f>Data!K45</f>
        <v>968188000000</v>
      </c>
      <c r="Q45" s="24">
        <f>Data!I45</f>
        <v>913660000000</v>
      </c>
      <c r="R45" s="25">
        <f t="shared" si="6"/>
        <v>1.1126648862815491</v>
      </c>
      <c r="S45" s="25">
        <f t="shared" si="7"/>
        <v>1.1634486741283037</v>
      </c>
    </row>
    <row r="46" spans="1:19" ht="15" customHeight="1" x14ac:dyDescent="0.3">
      <c r="A46" s="22"/>
      <c r="B46" s="23">
        <v>5</v>
      </c>
      <c r="C46" s="3" t="s">
        <v>20</v>
      </c>
      <c r="D46" s="23">
        <v>2014</v>
      </c>
      <c r="E46" s="24">
        <f>Data!F46</f>
        <v>0</v>
      </c>
      <c r="F46" s="24">
        <f>Data!H46</f>
        <v>0</v>
      </c>
      <c r="G46" s="24">
        <f t="shared" si="0"/>
        <v>0</v>
      </c>
      <c r="H46" s="24">
        <f>Data!G46</f>
        <v>0</v>
      </c>
      <c r="I46" s="25">
        <f t="shared" si="1"/>
        <v>0</v>
      </c>
      <c r="J46" s="24">
        <f>Data!J46</f>
        <v>0</v>
      </c>
      <c r="K46" s="24">
        <f t="shared" si="2"/>
        <v>0</v>
      </c>
      <c r="L46" s="25">
        <f t="shared" si="3"/>
        <v>0</v>
      </c>
      <c r="M46" s="24">
        <f>Data!M46</f>
        <v>0</v>
      </c>
      <c r="N46" s="24">
        <f t="shared" si="4"/>
        <v>0</v>
      </c>
      <c r="O46" s="25">
        <f t="shared" si="5"/>
        <v>0</v>
      </c>
      <c r="P46" s="24">
        <f>Data!K46</f>
        <v>0</v>
      </c>
      <c r="Q46" s="24">
        <f>Data!I46</f>
        <v>0</v>
      </c>
      <c r="R46" s="25">
        <f t="shared" si="6"/>
        <v>0</v>
      </c>
      <c r="S46" s="25">
        <f t="shared" si="7"/>
        <v>0</v>
      </c>
    </row>
    <row r="47" spans="1:19" ht="15" customHeight="1" x14ac:dyDescent="0.3">
      <c r="A47" s="22"/>
      <c r="B47" s="23"/>
      <c r="C47" s="3"/>
      <c r="D47" s="23">
        <v>2015</v>
      </c>
      <c r="E47" s="24">
        <f>Data!F47</f>
        <v>468361790000</v>
      </c>
      <c r="F47" s="24">
        <f>Data!H47</f>
        <v>212592184000</v>
      </c>
      <c r="G47" s="24">
        <f t="shared" si="0"/>
        <v>255769606000</v>
      </c>
      <c r="H47" s="24">
        <f>Data!G47</f>
        <v>4933308738000</v>
      </c>
      <c r="I47" s="25">
        <f t="shared" si="1"/>
        <v>0.34010614467243178</v>
      </c>
      <c r="J47" s="24">
        <f>Data!J47</f>
        <v>1179711349000</v>
      </c>
      <c r="K47" s="24">
        <f t="shared" si="2"/>
        <v>4933308738000</v>
      </c>
      <c r="L47" s="25">
        <f t="shared" si="3"/>
        <v>0.77956989963274415</v>
      </c>
      <c r="M47" s="24">
        <f>Data!M47</f>
        <v>0</v>
      </c>
      <c r="N47" s="24">
        <f t="shared" si="4"/>
        <v>4933308738000</v>
      </c>
      <c r="O47" s="25">
        <f t="shared" si="5"/>
        <v>0</v>
      </c>
      <c r="P47" s="24">
        <f>Data!K47</f>
        <v>4933308738000</v>
      </c>
      <c r="Q47" s="24">
        <f>Data!I47</f>
        <v>3608103108000</v>
      </c>
      <c r="R47" s="25">
        <f t="shared" si="6"/>
        <v>1.4356502627141663</v>
      </c>
      <c r="S47" s="25">
        <f t="shared" si="7"/>
        <v>2.5553263070193424</v>
      </c>
    </row>
    <row r="48" spans="1:19" ht="15" customHeight="1" x14ac:dyDescent="0.3">
      <c r="A48" s="22"/>
      <c r="B48" s="23"/>
      <c r="C48" s="3"/>
      <c r="D48" s="23">
        <v>2016</v>
      </c>
      <c r="E48" s="24">
        <f>Data!F48</f>
        <v>391460041000</v>
      </c>
      <c r="F48" s="24">
        <f>Data!H48</f>
        <v>132766311000</v>
      </c>
      <c r="G48" s="24">
        <f t="shared" si="0"/>
        <v>258693730000</v>
      </c>
      <c r="H48" s="24">
        <f>Data!G48</f>
        <v>6176329027000</v>
      </c>
      <c r="I48" s="25">
        <f t="shared" si="1"/>
        <v>0.27476367618716241</v>
      </c>
      <c r="J48" s="24">
        <f>Data!J48</f>
        <v>1393732890000</v>
      </c>
      <c r="K48" s="24">
        <f t="shared" si="2"/>
        <v>6176329027000</v>
      </c>
      <c r="L48" s="25">
        <f t="shared" si="3"/>
        <v>0.73564235349795259</v>
      </c>
      <c r="M48" s="24">
        <f>Data!M48</f>
        <v>205478355000</v>
      </c>
      <c r="N48" s="24">
        <f t="shared" si="4"/>
        <v>6176329027000</v>
      </c>
      <c r="O48" s="25">
        <f t="shared" si="5"/>
        <v>0.22356557423733894</v>
      </c>
      <c r="P48" s="24">
        <f>Data!K48</f>
        <v>6176329027000</v>
      </c>
      <c r="Q48" s="24">
        <f>Data!I48</f>
        <v>4512591084000</v>
      </c>
      <c r="R48" s="25">
        <f t="shared" si="6"/>
        <v>1.4371223444871746</v>
      </c>
      <c r="S48" s="25">
        <f t="shared" si="7"/>
        <v>2.6710939484096285</v>
      </c>
    </row>
    <row r="49" spans="1:19" ht="15" customHeight="1" x14ac:dyDescent="0.3">
      <c r="A49" s="22"/>
      <c r="B49" s="23"/>
      <c r="C49" s="3"/>
      <c r="D49" s="23">
        <v>2017</v>
      </c>
      <c r="E49" s="24">
        <f>Data!F49</f>
        <v>483705909000</v>
      </c>
      <c r="F49" s="24">
        <f>Data!H49</f>
        <v>170181075000</v>
      </c>
      <c r="G49" s="24">
        <f t="shared" si="0"/>
        <v>313524834000</v>
      </c>
      <c r="H49" s="24">
        <f>Data!G49</f>
        <v>8162691116000</v>
      </c>
      <c r="I49" s="25">
        <f t="shared" si="1"/>
        <v>0.25196627947963623</v>
      </c>
      <c r="J49" s="24">
        <f>Data!J49</f>
        <v>1685534438000</v>
      </c>
      <c r="K49" s="24">
        <f t="shared" si="2"/>
        <v>8162691116000</v>
      </c>
      <c r="L49" s="25">
        <f t="shared" si="3"/>
        <v>0.6731655271273651</v>
      </c>
      <c r="M49" s="24">
        <f>Data!M49</f>
        <v>355529117000</v>
      </c>
      <c r="N49" s="24">
        <f t="shared" si="4"/>
        <v>8162691116000</v>
      </c>
      <c r="O49" s="25">
        <f t="shared" si="5"/>
        <v>0.29269215658019027</v>
      </c>
      <c r="P49" s="24">
        <f>Data!K49</f>
        <v>2104006591000</v>
      </c>
      <c r="Q49" s="24">
        <f>Data!I49</f>
        <v>5984418466000</v>
      </c>
      <c r="R49" s="25">
        <f t="shared" si="6"/>
        <v>0.3691598328394704</v>
      </c>
      <c r="S49" s="25">
        <f t="shared" si="7"/>
        <v>1.586983796026662</v>
      </c>
    </row>
    <row r="50" spans="1:19" ht="15" customHeight="1" x14ac:dyDescent="0.3">
      <c r="A50" s="22"/>
      <c r="B50" s="23"/>
      <c r="C50" s="3"/>
      <c r="D50" s="23">
        <v>2018</v>
      </c>
      <c r="E50" s="24">
        <f>Data!F50</f>
        <v>564045684000</v>
      </c>
      <c r="F50" s="24">
        <f>Data!H50</f>
        <v>362779204000</v>
      </c>
      <c r="G50" s="24">
        <f t="shared" si="0"/>
        <v>201266480000</v>
      </c>
      <c r="H50" s="24">
        <f>Data!G50</f>
        <v>9356504263000</v>
      </c>
      <c r="I50" s="25">
        <f t="shared" si="1"/>
        <v>0.14111126032626484</v>
      </c>
      <c r="J50" s="24">
        <f>Data!J50</f>
        <v>2121822247000</v>
      </c>
      <c r="K50" s="24">
        <f t="shared" si="2"/>
        <v>9356504263000</v>
      </c>
      <c r="L50" s="25">
        <f t="shared" si="3"/>
        <v>0.73928684589752325</v>
      </c>
      <c r="M50" s="24">
        <f>Data!M50</f>
        <v>784108783000</v>
      </c>
      <c r="N50" s="24">
        <f t="shared" si="4"/>
        <v>9356504263000</v>
      </c>
      <c r="O50" s="25">
        <f t="shared" si="5"/>
        <v>0.56316022241307884</v>
      </c>
      <c r="P50" s="24">
        <f>Data!K50</f>
        <v>2231804990000</v>
      </c>
      <c r="Q50" s="24">
        <f>Data!I50</f>
        <v>7033564683000</v>
      </c>
      <c r="R50" s="25">
        <f t="shared" si="6"/>
        <v>0.33317319810308199</v>
      </c>
      <c r="S50" s="25">
        <f t="shared" si="7"/>
        <v>1.7767315267399488</v>
      </c>
    </row>
    <row r="51" spans="1:19" ht="15" customHeight="1" x14ac:dyDescent="0.3">
      <c r="A51" s="22"/>
      <c r="B51" s="23"/>
      <c r="C51" s="3"/>
      <c r="D51" s="23">
        <v>2019</v>
      </c>
      <c r="E51" s="24">
        <f>Data!F51</f>
        <v>506706000000</v>
      </c>
      <c r="F51" s="24">
        <f>Data!H51</f>
        <v>322081000000</v>
      </c>
      <c r="G51" s="24">
        <f t="shared" si="0"/>
        <v>184625000000</v>
      </c>
      <c r="H51" s="24">
        <f>Data!G51</f>
        <v>11084971000000</v>
      </c>
      <c r="I51" s="25">
        <f t="shared" si="1"/>
        <v>0.1092596453342097</v>
      </c>
      <c r="J51" s="24">
        <f>Data!J51</f>
        <v>2325009000000</v>
      </c>
      <c r="K51" s="24">
        <f t="shared" si="2"/>
        <v>11084971000000</v>
      </c>
      <c r="L51" s="25">
        <f t="shared" si="3"/>
        <v>0.68376627597852979</v>
      </c>
      <c r="M51" s="24">
        <f>Data!M51</f>
        <v>336198000000</v>
      </c>
      <c r="N51" s="24">
        <f t="shared" si="4"/>
        <v>11084971000000</v>
      </c>
      <c r="O51" s="25">
        <f t="shared" si="5"/>
        <v>0.20381204064494168</v>
      </c>
      <c r="P51" s="24">
        <f>Data!K51</f>
        <v>2563929000000</v>
      </c>
      <c r="Q51" s="24">
        <f>Data!I51</f>
        <v>8407279000000</v>
      </c>
      <c r="R51" s="25">
        <f t="shared" si="6"/>
        <v>0.32021364462866048</v>
      </c>
      <c r="S51" s="25">
        <f t="shared" si="7"/>
        <v>1.3170516065863418</v>
      </c>
    </row>
    <row r="52" spans="1:19" ht="15" customHeight="1" x14ac:dyDescent="0.3">
      <c r="A52" s="22"/>
      <c r="B52" s="23"/>
      <c r="C52" s="3"/>
      <c r="D52" s="23">
        <v>2020</v>
      </c>
      <c r="E52" s="24">
        <f>Data!F52</f>
        <v>723140000000</v>
      </c>
      <c r="F52" s="24">
        <f>Data!H52</f>
        <v>255342000000</v>
      </c>
      <c r="G52" s="24">
        <f t="shared" si="0"/>
        <v>467798000000</v>
      </c>
      <c r="H52" s="24">
        <f>Data!G52</f>
        <v>13044264000000</v>
      </c>
      <c r="I52" s="25">
        <f t="shared" si="1"/>
        <v>0.23525703558284314</v>
      </c>
      <c r="J52" s="24">
        <f>Data!J52</f>
        <v>2387399000000</v>
      </c>
      <c r="K52" s="24">
        <f t="shared" si="2"/>
        <v>13044264000000</v>
      </c>
      <c r="L52" s="25">
        <f t="shared" si="3"/>
        <v>0.59665464759069575</v>
      </c>
      <c r="M52" s="24">
        <f>Data!M52</f>
        <v>53150000000</v>
      </c>
      <c r="N52" s="24">
        <f t="shared" si="4"/>
        <v>13044264000000</v>
      </c>
      <c r="O52" s="25">
        <f t="shared" si="5"/>
        <v>2.7381230554671385E-2</v>
      </c>
      <c r="P52" s="24">
        <f>Data!K52</f>
        <v>2794003000000</v>
      </c>
      <c r="Q52" s="24">
        <f>Data!I52</f>
        <v>10081934000000</v>
      </c>
      <c r="R52" s="25">
        <f t="shared" si="6"/>
        <v>0.29098614908607812</v>
      </c>
      <c r="S52" s="25">
        <f t="shared" si="7"/>
        <v>1.1502790628142883</v>
      </c>
    </row>
    <row r="53" spans="1:19" ht="15" customHeight="1" x14ac:dyDescent="0.3">
      <c r="A53" s="22"/>
      <c r="B53" s="23"/>
      <c r="C53" s="3"/>
      <c r="D53" s="23">
        <v>2021</v>
      </c>
      <c r="E53" s="24">
        <f>Data!F53</f>
        <v>848461000000</v>
      </c>
      <c r="F53" s="24">
        <f>Data!H53</f>
        <v>946159000000</v>
      </c>
      <c r="G53" s="24">
        <f t="shared" si="0"/>
        <v>-97698000000</v>
      </c>
      <c r="H53" s="24">
        <f>Data!G53</f>
        <v>18260736000000</v>
      </c>
      <c r="I53" s="25">
        <f t="shared" si="1"/>
        <v>-3.5097100138789583E-2</v>
      </c>
      <c r="J53" s="24">
        <f>Data!J53</f>
        <v>2537438000000</v>
      </c>
      <c r="K53" s="24">
        <f t="shared" si="2"/>
        <v>18260736000000</v>
      </c>
      <c r="L53" s="25">
        <f t="shared" si="3"/>
        <v>0.45299641153565773</v>
      </c>
      <c r="M53" s="24">
        <f>Data!M53</f>
        <v>130173000000</v>
      </c>
      <c r="N53" s="24">
        <f t="shared" si="4"/>
        <v>18260736000000</v>
      </c>
      <c r="O53" s="25">
        <f t="shared" si="5"/>
        <v>4.7904014383648059E-2</v>
      </c>
      <c r="P53" s="24">
        <f>Data!K53</f>
        <v>6683102000000</v>
      </c>
      <c r="Q53" s="24">
        <f>Data!I53</f>
        <v>11381796000000</v>
      </c>
      <c r="R53" s="25">
        <f t="shared" si="6"/>
        <v>0.61653337487335047</v>
      </c>
      <c r="S53" s="25">
        <f t="shared" si="7"/>
        <v>1.0823367006538667</v>
      </c>
    </row>
    <row r="54" spans="1:19" ht="15" customHeight="1" x14ac:dyDescent="0.3">
      <c r="A54" s="22"/>
      <c r="B54" s="23"/>
      <c r="C54" s="3"/>
      <c r="D54" s="23">
        <v>2022</v>
      </c>
      <c r="E54" s="24">
        <f>Data!F54</f>
        <v>1239866000000</v>
      </c>
      <c r="F54" s="24">
        <f>Data!H54</f>
        <v>577879000000</v>
      </c>
      <c r="G54" s="24">
        <f t="shared" si="0"/>
        <v>661987000000</v>
      </c>
      <c r="H54" s="24">
        <f>Data!G54</f>
        <v>21494817000000</v>
      </c>
      <c r="I54" s="25">
        <f t="shared" si="1"/>
        <v>0.20203171397086098</v>
      </c>
      <c r="J54" s="24">
        <f>Data!J54</f>
        <v>2851684000000</v>
      </c>
      <c r="K54" s="24">
        <f t="shared" si="2"/>
        <v>21494817000000</v>
      </c>
      <c r="L54" s="25">
        <f t="shared" si="3"/>
        <v>0.43249913874586599</v>
      </c>
      <c r="M54" s="24">
        <f>Data!M54</f>
        <v>385371000000</v>
      </c>
      <c r="N54" s="24">
        <f t="shared" si="4"/>
        <v>21494817000000</v>
      </c>
      <c r="O54" s="25">
        <f t="shared" si="5"/>
        <v>0.12047988684900179</v>
      </c>
      <c r="P54" s="24">
        <f>Data!K54</f>
        <v>7706566000000</v>
      </c>
      <c r="Q54" s="24">
        <f>Data!I54</f>
        <v>13552263000000</v>
      </c>
      <c r="R54" s="25">
        <f t="shared" si="6"/>
        <v>0.59708805090338046</v>
      </c>
      <c r="S54" s="25">
        <f t="shared" si="7"/>
        <v>1.3520987904691091</v>
      </c>
    </row>
    <row r="55" spans="1:19" ht="15" customHeight="1" x14ac:dyDescent="0.3">
      <c r="A55" s="22"/>
      <c r="B55" s="23"/>
      <c r="C55" s="3"/>
      <c r="D55" s="23">
        <v>2023</v>
      </c>
      <c r="E55" s="24">
        <f>Data!F55</f>
        <v>831272000000</v>
      </c>
      <c r="F55" s="24">
        <f>Data!H55</f>
        <v>318534000000</v>
      </c>
      <c r="G55" s="24">
        <f t="shared" si="0"/>
        <v>512738000000</v>
      </c>
      <c r="H55" s="24">
        <f>Data!G55</f>
        <v>23552167000000</v>
      </c>
      <c r="I55" s="25">
        <f t="shared" si="1"/>
        <v>0.14281324007255894</v>
      </c>
      <c r="J55" s="24">
        <f>Data!J55</f>
        <v>3386792000000</v>
      </c>
      <c r="K55" s="24">
        <f t="shared" si="2"/>
        <v>23552167000000</v>
      </c>
      <c r="L55" s="25">
        <f t="shared" si="3"/>
        <v>0.46878666918419859</v>
      </c>
      <c r="M55" s="24">
        <f>Data!M55</f>
        <v>618387000000</v>
      </c>
      <c r="N55" s="24">
        <f t="shared" si="4"/>
        <v>23552167000000</v>
      </c>
      <c r="O55" s="25">
        <f t="shared" si="5"/>
        <v>0.1764406918480155</v>
      </c>
      <c r="P55" s="24">
        <f>Data!K55</f>
        <v>9111525000000</v>
      </c>
      <c r="Q55" s="24">
        <f>Data!I55</f>
        <v>14172581000000</v>
      </c>
      <c r="R55" s="25">
        <f t="shared" si="6"/>
        <v>0.67504297558786219</v>
      </c>
      <c r="S55" s="25">
        <f t="shared" si="7"/>
        <v>1.4630835766926351</v>
      </c>
    </row>
    <row r="56" spans="1:19" ht="15" customHeight="1" x14ac:dyDescent="0.3">
      <c r="A56" s="22"/>
      <c r="B56" s="23"/>
      <c r="C56" s="3"/>
      <c r="D56" s="23">
        <v>2024</v>
      </c>
      <c r="E56" s="24">
        <f>Data!F56</f>
        <v>0</v>
      </c>
      <c r="F56" s="24">
        <f>Data!H56</f>
        <v>0</v>
      </c>
      <c r="G56" s="24">
        <f t="shared" si="0"/>
        <v>0</v>
      </c>
      <c r="H56" s="24">
        <f>Data!G56</f>
        <v>0</v>
      </c>
      <c r="I56" s="25">
        <f t="shared" si="1"/>
        <v>0</v>
      </c>
      <c r="J56" s="24">
        <f>Data!J56</f>
        <v>0</v>
      </c>
      <c r="K56" s="24">
        <f t="shared" si="2"/>
        <v>0</v>
      </c>
      <c r="L56" s="25">
        <f t="shared" si="3"/>
        <v>0</v>
      </c>
      <c r="M56" s="24">
        <f>Data!M56</f>
        <v>0</v>
      </c>
      <c r="N56" s="24">
        <f t="shared" si="4"/>
        <v>0</v>
      </c>
      <c r="O56" s="25">
        <f t="shared" si="5"/>
        <v>0</v>
      </c>
      <c r="P56" s="24">
        <f>Data!K56</f>
        <v>0</v>
      </c>
      <c r="Q56" s="24">
        <f>Data!I56</f>
        <v>0</v>
      </c>
      <c r="R56" s="25">
        <f t="shared" si="6"/>
        <v>0</v>
      </c>
      <c r="S56" s="25">
        <f t="shared" si="7"/>
        <v>0</v>
      </c>
    </row>
    <row r="57" spans="1:19" ht="15" customHeight="1" x14ac:dyDescent="0.3">
      <c r="A57" s="22"/>
      <c r="B57" s="23">
        <v>6</v>
      </c>
      <c r="C57" s="3" t="s">
        <v>21</v>
      </c>
      <c r="D57" s="23">
        <v>2014</v>
      </c>
      <c r="E57" s="24">
        <f>Data!F57</f>
        <v>0</v>
      </c>
      <c r="F57" s="24">
        <f>Data!H57</f>
        <v>0</v>
      </c>
      <c r="G57" s="24">
        <f t="shared" si="0"/>
        <v>0</v>
      </c>
      <c r="H57" s="24">
        <f>Data!G57</f>
        <v>0</v>
      </c>
      <c r="I57" s="25">
        <f t="shared" si="1"/>
        <v>0</v>
      </c>
      <c r="J57" s="24">
        <f>Data!J57</f>
        <v>0</v>
      </c>
      <c r="K57" s="24">
        <f t="shared" si="2"/>
        <v>0</v>
      </c>
      <c r="L57" s="25">
        <f t="shared" si="3"/>
        <v>0</v>
      </c>
      <c r="M57" s="24">
        <f>Data!M57</f>
        <v>0</v>
      </c>
      <c r="N57" s="24">
        <f t="shared" si="4"/>
        <v>0</v>
      </c>
      <c r="O57" s="25">
        <f t="shared" si="5"/>
        <v>0</v>
      </c>
      <c r="P57" s="24">
        <f>Data!K57</f>
        <v>0</v>
      </c>
      <c r="Q57" s="24">
        <f>Data!I57</f>
        <v>0</v>
      </c>
      <c r="R57" s="25">
        <f t="shared" si="6"/>
        <v>0</v>
      </c>
      <c r="S57" s="25">
        <f t="shared" si="7"/>
        <v>0</v>
      </c>
    </row>
    <row r="58" spans="1:19" ht="15" customHeight="1" x14ac:dyDescent="0.3">
      <c r="A58" s="22"/>
      <c r="B58" s="23"/>
      <c r="C58" s="3"/>
      <c r="D58" s="23">
        <v>2015</v>
      </c>
      <c r="E58" s="24">
        <f>Data!F58</f>
        <v>0</v>
      </c>
      <c r="F58" s="24">
        <f>Data!H58</f>
        <v>0</v>
      </c>
      <c r="G58" s="24">
        <f t="shared" si="0"/>
        <v>0</v>
      </c>
      <c r="H58" s="24">
        <f>Data!G58</f>
        <v>0</v>
      </c>
      <c r="I58" s="25">
        <f t="shared" si="1"/>
        <v>0</v>
      </c>
      <c r="J58" s="24">
        <f>Data!J58</f>
        <v>0</v>
      </c>
      <c r="K58" s="24">
        <f t="shared" si="2"/>
        <v>0</v>
      </c>
      <c r="L58" s="25">
        <f t="shared" si="3"/>
        <v>0</v>
      </c>
      <c r="M58" s="24">
        <f>Data!M58</f>
        <v>0</v>
      </c>
      <c r="N58" s="24">
        <f t="shared" si="4"/>
        <v>0</v>
      </c>
      <c r="O58" s="25">
        <f t="shared" si="5"/>
        <v>0</v>
      </c>
      <c r="P58" s="24">
        <f>Data!K58</f>
        <v>0</v>
      </c>
      <c r="Q58" s="24">
        <f>Data!I58</f>
        <v>0</v>
      </c>
      <c r="R58" s="25">
        <f t="shared" si="6"/>
        <v>0</v>
      </c>
      <c r="S58" s="25">
        <f t="shared" si="7"/>
        <v>0</v>
      </c>
    </row>
    <row r="59" spans="1:19" ht="15" customHeight="1" x14ac:dyDescent="0.3">
      <c r="A59" s="22"/>
      <c r="B59" s="23"/>
      <c r="C59" s="3"/>
      <c r="D59" s="23">
        <v>2016</v>
      </c>
      <c r="E59" s="24">
        <f>Data!F59</f>
        <v>7116000000</v>
      </c>
      <c r="F59" s="24">
        <f>Data!H59</f>
        <v>3417000000</v>
      </c>
      <c r="G59" s="24">
        <f t="shared" si="0"/>
        <v>3699000000</v>
      </c>
      <c r="H59" s="24">
        <f>Data!G59</f>
        <v>98507000000</v>
      </c>
      <c r="I59" s="25">
        <f t="shared" si="1"/>
        <v>0.24633213883277327</v>
      </c>
      <c r="J59" s="24">
        <f>Data!J59</f>
        <v>-4909000000</v>
      </c>
      <c r="K59" s="24">
        <f t="shared" si="2"/>
        <v>98507000000</v>
      </c>
      <c r="L59" s="25">
        <f t="shared" si="3"/>
        <v>-0.16245891154943301</v>
      </c>
      <c r="M59" s="24">
        <f>Data!M59</f>
        <v>-4909000000</v>
      </c>
      <c r="N59" s="24">
        <f t="shared" si="4"/>
        <v>98507000000</v>
      </c>
      <c r="O59" s="25">
        <f t="shared" si="5"/>
        <v>-0.33488462748840181</v>
      </c>
      <c r="P59" s="24">
        <f>Data!K59</f>
        <v>95091000000</v>
      </c>
      <c r="Q59" s="24">
        <f>Data!I59</f>
        <v>3417000000</v>
      </c>
      <c r="R59" s="25">
        <f t="shared" si="6"/>
        <v>29.220237050043899</v>
      </c>
      <c r="S59" s="25">
        <f t="shared" si="7"/>
        <v>28.969225649838837</v>
      </c>
    </row>
    <row r="60" spans="1:19" ht="15" customHeight="1" x14ac:dyDescent="0.3">
      <c r="A60" s="22"/>
      <c r="B60" s="23"/>
      <c r="C60" s="3"/>
      <c r="D60" s="23">
        <v>2017</v>
      </c>
      <c r="E60" s="24">
        <f>Data!F60</f>
        <v>8200000000</v>
      </c>
      <c r="F60" s="24">
        <f>Data!H60</f>
        <v>7335000000</v>
      </c>
      <c r="G60" s="24">
        <f t="shared" si="0"/>
        <v>865000000</v>
      </c>
      <c r="H60" s="24">
        <f>Data!G60</f>
        <v>116479000000</v>
      </c>
      <c r="I60" s="25">
        <f t="shared" si="1"/>
        <v>4.8716077576215447E-2</v>
      </c>
      <c r="J60" s="24">
        <f>Data!J60</f>
        <v>-25649000000</v>
      </c>
      <c r="K60" s="24">
        <f t="shared" si="2"/>
        <v>116479000000</v>
      </c>
      <c r="L60" s="25">
        <f t="shared" si="3"/>
        <v>-0.71786107366993179</v>
      </c>
      <c r="M60" s="24">
        <f>Data!M60</f>
        <v>-20740000000</v>
      </c>
      <c r="N60" s="24">
        <f t="shared" si="4"/>
        <v>116479000000</v>
      </c>
      <c r="O60" s="25">
        <f t="shared" si="5"/>
        <v>-1.1965487341065772</v>
      </c>
      <c r="P60" s="24">
        <f>Data!K60</f>
        <v>105319000000</v>
      </c>
      <c r="Q60" s="24">
        <f>Data!I60</f>
        <v>11160000000</v>
      </c>
      <c r="R60" s="25">
        <f t="shared" si="6"/>
        <v>9.9090456989247304</v>
      </c>
      <c r="S60" s="25">
        <f t="shared" si="7"/>
        <v>8.043351968724437</v>
      </c>
    </row>
    <row r="61" spans="1:19" ht="15" customHeight="1" x14ac:dyDescent="0.3">
      <c r="A61" s="22"/>
      <c r="B61" s="23"/>
      <c r="C61" s="3"/>
      <c r="D61" s="23">
        <v>2018</v>
      </c>
      <c r="E61" s="24">
        <f>Data!F61</f>
        <v>22553000000</v>
      </c>
      <c r="F61" s="24">
        <f>Data!H61</f>
        <v>15989000000</v>
      </c>
      <c r="G61" s="24">
        <f t="shared" si="0"/>
        <v>6564000000</v>
      </c>
      <c r="H61" s="24">
        <f>Data!G61</f>
        <v>152680000000</v>
      </c>
      <c r="I61" s="25">
        <f t="shared" si="1"/>
        <v>0.28202672255698186</v>
      </c>
      <c r="J61" s="24">
        <f>Data!J61</f>
        <v>-76064000000</v>
      </c>
      <c r="K61" s="24">
        <f t="shared" si="2"/>
        <v>152680000000</v>
      </c>
      <c r="L61" s="25">
        <f t="shared" si="3"/>
        <v>-1.6241068902279276</v>
      </c>
      <c r="M61" s="24">
        <f>Data!M61</f>
        <v>-50414000000</v>
      </c>
      <c r="N61" s="24">
        <f t="shared" si="4"/>
        <v>152680000000</v>
      </c>
      <c r="O61" s="25">
        <f t="shared" si="5"/>
        <v>-2.2189028032486244</v>
      </c>
      <c r="P61" s="24">
        <f>Data!K61</f>
        <v>102188000000</v>
      </c>
      <c r="Q61" s="24">
        <f>Data!I61</f>
        <v>50492000000</v>
      </c>
      <c r="R61" s="25">
        <f t="shared" si="6"/>
        <v>2.1250376297235207</v>
      </c>
      <c r="S61" s="25">
        <f t="shared" si="7"/>
        <v>-1.4359453411960494</v>
      </c>
    </row>
    <row r="62" spans="1:19" ht="15" customHeight="1" x14ac:dyDescent="0.3">
      <c r="A62" s="22"/>
      <c r="B62" s="23"/>
      <c r="C62" s="3"/>
      <c r="D62" s="23">
        <v>2019</v>
      </c>
      <c r="E62" s="24">
        <f>Data!F62</f>
        <v>34270000000</v>
      </c>
      <c r="F62" s="24">
        <f>Data!H62</f>
        <v>14816000000</v>
      </c>
      <c r="G62" s="24">
        <f t="shared" si="0"/>
        <v>19454000000</v>
      </c>
      <c r="H62" s="24">
        <f>Data!G62</f>
        <v>214472000000</v>
      </c>
      <c r="I62" s="25">
        <f t="shared" si="1"/>
        <v>0.59503450333843111</v>
      </c>
      <c r="J62" s="24">
        <f>Data!J62</f>
        <v>-119946000000</v>
      </c>
      <c r="K62" s="24">
        <f t="shared" si="2"/>
        <v>214472000000</v>
      </c>
      <c r="L62" s="25">
        <f t="shared" si="3"/>
        <v>-1.8231935171024656</v>
      </c>
      <c r="M62" s="24">
        <f>Data!M62</f>
        <v>-43882000000</v>
      </c>
      <c r="N62" s="24">
        <f t="shared" si="4"/>
        <v>214472000000</v>
      </c>
      <c r="O62" s="25">
        <f t="shared" si="5"/>
        <v>-1.3749442351449139</v>
      </c>
      <c r="P62" s="24">
        <f>Data!K62</f>
        <v>126937000000</v>
      </c>
      <c r="Q62" s="24">
        <f>Data!I62</f>
        <v>87535000000</v>
      </c>
      <c r="R62" s="25">
        <f t="shared" si="6"/>
        <v>1.5226349460215913</v>
      </c>
      <c r="S62" s="25">
        <f t="shared" si="7"/>
        <v>-1.0804683028873572</v>
      </c>
    </row>
    <row r="63" spans="1:19" ht="15" customHeight="1" x14ac:dyDescent="0.3">
      <c r="A63" s="22"/>
      <c r="B63" s="23"/>
      <c r="C63" s="3"/>
      <c r="D63" s="23">
        <v>2020</v>
      </c>
      <c r="E63" s="24">
        <f>Data!F63</f>
        <v>57309000000</v>
      </c>
      <c r="F63" s="24">
        <f>Data!H63</f>
        <v>14810000000</v>
      </c>
      <c r="G63" s="24">
        <f t="shared" si="0"/>
        <v>42499000000</v>
      </c>
      <c r="H63" s="24">
        <f>Data!G63</f>
        <v>278255000000</v>
      </c>
      <c r="I63" s="25">
        <f t="shared" si="1"/>
        <v>1.0019350595676628</v>
      </c>
      <c r="J63" s="24">
        <f>Data!J63</f>
        <v>-172440000000</v>
      </c>
      <c r="K63" s="24">
        <f t="shared" si="2"/>
        <v>278255000000</v>
      </c>
      <c r="L63" s="25">
        <f t="shared" si="3"/>
        <v>-2.0202849903865161</v>
      </c>
      <c r="M63" s="24">
        <f>Data!M63</f>
        <v>-52425000000</v>
      </c>
      <c r="N63" s="24">
        <f t="shared" si="4"/>
        <v>278255000000</v>
      </c>
      <c r="O63" s="25">
        <f t="shared" si="5"/>
        <v>-1.2660904565955688</v>
      </c>
      <c r="P63" s="24">
        <f>Data!K63</f>
        <v>139982000000</v>
      </c>
      <c r="Q63" s="24">
        <f>Data!I63</f>
        <v>138272000000</v>
      </c>
      <c r="R63" s="25">
        <f t="shared" si="6"/>
        <v>1.0629852753992131</v>
      </c>
      <c r="S63" s="25">
        <f t="shared" si="7"/>
        <v>-1.2214551120152093</v>
      </c>
    </row>
    <row r="64" spans="1:19" ht="15" customHeight="1" x14ac:dyDescent="0.3">
      <c r="A64" s="22"/>
      <c r="B64" s="23"/>
      <c r="C64" s="3"/>
      <c r="D64" s="23">
        <v>2021</v>
      </c>
      <c r="E64" s="24">
        <f>Data!F64</f>
        <v>101310000000</v>
      </c>
      <c r="F64" s="24">
        <f>Data!H64</f>
        <v>33110000000</v>
      </c>
      <c r="G64" s="24">
        <f t="shared" si="0"/>
        <v>68200000000</v>
      </c>
      <c r="H64" s="24">
        <f>Data!G64</f>
        <v>384372000000</v>
      </c>
      <c r="I64" s="25">
        <f t="shared" si="1"/>
        <v>1.1639557511993588</v>
      </c>
      <c r="J64" s="24">
        <f>Data!J64</f>
        <v>-222576000000</v>
      </c>
      <c r="K64" s="24">
        <f t="shared" si="2"/>
        <v>384372000000</v>
      </c>
      <c r="L64" s="25">
        <f t="shared" si="3"/>
        <v>-1.8877487434048266</v>
      </c>
      <c r="M64" s="24">
        <f>Data!M64</f>
        <v>-50077000000</v>
      </c>
      <c r="N64" s="24">
        <f t="shared" si="4"/>
        <v>384372000000</v>
      </c>
      <c r="O64" s="25">
        <f t="shared" si="5"/>
        <v>-0.87549935999500483</v>
      </c>
      <c r="P64" s="24">
        <f>Data!K64</f>
        <v>132068000000</v>
      </c>
      <c r="Q64" s="24">
        <f>Data!I64</f>
        <v>252304000000</v>
      </c>
      <c r="R64" s="25">
        <f t="shared" si="6"/>
        <v>0.54962029932145351</v>
      </c>
      <c r="S64" s="25">
        <f t="shared" si="7"/>
        <v>-1.0496720528790191</v>
      </c>
    </row>
    <row r="65" spans="1:19" ht="15" customHeight="1" x14ac:dyDescent="0.3">
      <c r="A65" s="22"/>
      <c r="B65" s="23"/>
      <c r="C65" s="3"/>
      <c r="D65" s="23">
        <v>2022</v>
      </c>
      <c r="E65" s="24">
        <f>Data!F65</f>
        <v>98083000000</v>
      </c>
      <c r="F65" s="24">
        <f>Data!H65</f>
        <v>40437000000</v>
      </c>
      <c r="G65" s="24">
        <f t="shared" si="0"/>
        <v>57646000000</v>
      </c>
      <c r="H65" s="24">
        <f>Data!G65</f>
        <v>517439000000</v>
      </c>
      <c r="I65" s="25">
        <f t="shared" si="1"/>
        <v>0.73082577849756203</v>
      </c>
      <c r="J65" s="24">
        <f>Data!J65</f>
        <v>-217970000000</v>
      </c>
      <c r="K65" s="24">
        <f t="shared" si="2"/>
        <v>517439000000</v>
      </c>
      <c r="L65" s="25">
        <f t="shared" si="3"/>
        <v>-1.3732675735690585</v>
      </c>
      <c r="M65" s="24">
        <f>Data!M65</f>
        <v>4803000000</v>
      </c>
      <c r="N65" s="24">
        <f t="shared" si="4"/>
        <v>517439000000</v>
      </c>
      <c r="O65" s="25">
        <f t="shared" si="5"/>
        <v>6.237674392537091E-2</v>
      </c>
      <c r="P65" s="24">
        <f>Data!K65</f>
        <v>157529000000</v>
      </c>
      <c r="Q65" s="24">
        <f>Data!I65</f>
        <v>359910000000</v>
      </c>
      <c r="R65" s="25">
        <f t="shared" si="6"/>
        <v>0.45957447695257153</v>
      </c>
      <c r="S65" s="25">
        <f t="shared" si="7"/>
        <v>-0.12049057419355397</v>
      </c>
    </row>
    <row r="66" spans="1:19" ht="15" customHeight="1" x14ac:dyDescent="0.3">
      <c r="A66" s="22"/>
      <c r="B66" s="23"/>
      <c r="C66" s="3"/>
      <c r="D66" s="23">
        <v>2023</v>
      </c>
      <c r="E66" s="24">
        <f>Data!F66</f>
        <v>156880000000</v>
      </c>
      <c r="F66" s="24">
        <f>Data!H66</f>
        <v>58468000000</v>
      </c>
      <c r="G66" s="24">
        <f t="shared" si="0"/>
        <v>98412000000</v>
      </c>
      <c r="H66" s="24">
        <f>Data!G66</f>
        <v>714057000000</v>
      </c>
      <c r="I66" s="25">
        <f t="shared" si="1"/>
        <v>0.90410530251786614</v>
      </c>
      <c r="J66" s="24">
        <f>Data!J66</f>
        <v>-204285000000</v>
      </c>
      <c r="K66" s="24">
        <f t="shared" si="2"/>
        <v>714057000000</v>
      </c>
      <c r="L66" s="25">
        <f t="shared" si="3"/>
        <v>-0.93265537625147577</v>
      </c>
      <c r="M66" s="24">
        <f>Data!M66</f>
        <v>14009000000</v>
      </c>
      <c r="N66" s="24">
        <f t="shared" si="4"/>
        <v>714057000000</v>
      </c>
      <c r="O66" s="25">
        <f t="shared" si="5"/>
        <v>0.13183888681155706</v>
      </c>
      <c r="P66" s="24">
        <f>Data!K66</f>
        <v>165975000000</v>
      </c>
      <c r="Q66" s="24">
        <f>Data!I66</f>
        <v>548082000000</v>
      </c>
      <c r="R66" s="25">
        <f t="shared" si="6"/>
        <v>0.31797021248645274</v>
      </c>
      <c r="S66" s="25">
        <f t="shared" si="7"/>
        <v>0.4212590255644002</v>
      </c>
    </row>
    <row r="67" spans="1:19" ht="15" customHeight="1" x14ac:dyDescent="0.3">
      <c r="A67" s="22"/>
      <c r="B67" s="23"/>
      <c r="C67" s="3"/>
      <c r="D67" s="23">
        <v>2024</v>
      </c>
      <c r="E67" s="24">
        <f>Data!F67</f>
        <v>167240000000</v>
      </c>
      <c r="F67" s="24">
        <f>Data!H67</f>
        <v>70006000000</v>
      </c>
      <c r="G67" s="24">
        <f t="shared" ref="G67:G130" si="8">E67-F67</f>
        <v>97234000000</v>
      </c>
      <c r="H67" s="24">
        <f>Data!G67</f>
        <v>997332000000</v>
      </c>
      <c r="I67" s="25">
        <f t="shared" ref="I67:I130" si="9">IFERROR(6.56*(G67/H67),0)</f>
        <v>0.63956138978795429</v>
      </c>
      <c r="J67" s="24">
        <f>Data!J67</f>
        <v>-164910000000</v>
      </c>
      <c r="K67" s="24">
        <f t="shared" ref="K67:K130" si="10">H67</f>
        <v>997332000000</v>
      </c>
      <c r="L67" s="25">
        <f t="shared" ref="L67:L130" si="11">IFERROR(3.26*(J67/K67),0)</f>
        <v>-0.53904477145022911</v>
      </c>
      <c r="M67" s="24">
        <f>Data!M67</f>
        <v>39668000000</v>
      </c>
      <c r="N67" s="24">
        <f t="shared" ref="N67:N130" si="12">K67</f>
        <v>997332000000</v>
      </c>
      <c r="O67" s="25">
        <f t="shared" ref="O67:O130" si="13">IFERROR(6.72*(M67/N67),0)</f>
        <v>0.26728206855891518</v>
      </c>
      <c r="P67" s="24">
        <f>Data!K67</f>
        <v>201086000000</v>
      </c>
      <c r="Q67" s="24">
        <f>Data!I67</f>
        <v>796246000000</v>
      </c>
      <c r="R67" s="25">
        <f t="shared" ref="R67:R130" si="14">IFERROR(1.05*(P67/Q67),0)</f>
        <v>0.26516968374095445</v>
      </c>
      <c r="S67" s="25">
        <f t="shared" ref="S67:S130" si="15">IFERROR(I67+L67+O67+R67,0)</f>
        <v>0.63296837063759481</v>
      </c>
    </row>
    <row r="68" spans="1:19" ht="15" customHeight="1" x14ac:dyDescent="0.3">
      <c r="A68" s="22"/>
      <c r="B68" s="23">
        <v>7</v>
      </c>
      <c r="C68" s="3" t="s">
        <v>19</v>
      </c>
      <c r="D68" s="23">
        <v>2014</v>
      </c>
      <c r="E68" s="24">
        <f>Data!F68</f>
        <v>0</v>
      </c>
      <c r="F68" s="24">
        <f>Data!H68</f>
        <v>0</v>
      </c>
      <c r="G68" s="24">
        <f t="shared" si="8"/>
        <v>0</v>
      </c>
      <c r="H68" s="24">
        <f>Data!G68</f>
        <v>0</v>
      </c>
      <c r="I68" s="25">
        <f t="shared" si="9"/>
        <v>0</v>
      </c>
      <c r="J68" s="24">
        <f>Data!J68</f>
        <v>0</v>
      </c>
      <c r="K68" s="24">
        <f t="shared" si="10"/>
        <v>0</v>
      </c>
      <c r="L68" s="25">
        <f t="shared" si="11"/>
        <v>0</v>
      </c>
      <c r="M68" s="24">
        <f>Data!M68</f>
        <v>0</v>
      </c>
      <c r="N68" s="24">
        <f t="shared" si="12"/>
        <v>0</v>
      </c>
      <c r="O68" s="25">
        <f t="shared" si="13"/>
        <v>0</v>
      </c>
      <c r="P68" s="24">
        <f>Data!K68</f>
        <v>0</v>
      </c>
      <c r="Q68" s="24">
        <f>Data!I68</f>
        <v>0</v>
      </c>
      <c r="R68" s="25">
        <f t="shared" si="14"/>
        <v>0</v>
      </c>
      <c r="S68" s="25">
        <f t="shared" si="15"/>
        <v>0</v>
      </c>
    </row>
    <row r="69" spans="1:19" ht="15" customHeight="1" x14ac:dyDescent="0.3">
      <c r="A69" s="22"/>
      <c r="B69" s="23"/>
      <c r="C69" s="3"/>
      <c r="D69" s="23">
        <v>2015</v>
      </c>
      <c r="E69" s="24">
        <f>Data!F69</f>
        <v>248432000000</v>
      </c>
      <c r="F69" s="24">
        <f>Data!H69</f>
        <v>323188000000</v>
      </c>
      <c r="G69" s="24">
        <f t="shared" si="8"/>
        <v>-74756000000</v>
      </c>
      <c r="H69" s="24">
        <f>Data!G69</f>
        <v>1899837000000</v>
      </c>
      <c r="I69" s="25">
        <f t="shared" si="9"/>
        <v>-0.25812707090134573</v>
      </c>
      <c r="J69" s="24">
        <f>Data!J69</f>
        <v>-325409000000</v>
      </c>
      <c r="K69" s="24">
        <f t="shared" si="10"/>
        <v>1899837000000</v>
      </c>
      <c r="L69" s="25">
        <f t="shared" si="11"/>
        <v>-0.55838124007480638</v>
      </c>
      <c r="M69" s="24">
        <f>Data!M69</f>
        <v>-178757000000</v>
      </c>
      <c r="N69" s="24">
        <f t="shared" si="12"/>
        <v>1899837000000</v>
      </c>
      <c r="O69" s="25">
        <f t="shared" si="13"/>
        <v>-0.63228952799634919</v>
      </c>
      <c r="P69" s="24">
        <f>Data!K69</f>
        <v>535556000000</v>
      </c>
      <c r="Q69" s="24">
        <f>Data!I69</f>
        <v>1364281000000</v>
      </c>
      <c r="R69" s="25">
        <f t="shared" si="14"/>
        <v>0.4121832672301381</v>
      </c>
      <c r="S69" s="25">
        <f t="shared" si="15"/>
        <v>-1.0366145717423634</v>
      </c>
    </row>
    <row r="70" spans="1:19" ht="15" customHeight="1" x14ac:dyDescent="0.3">
      <c r="A70" s="22"/>
      <c r="B70" s="23"/>
      <c r="C70" s="3"/>
      <c r="D70" s="23">
        <v>2016</v>
      </c>
      <c r="E70" s="24">
        <f>Data!F70</f>
        <v>654538000000</v>
      </c>
      <c r="F70" s="24">
        <f>Data!H70</f>
        <v>406803000000</v>
      </c>
      <c r="G70" s="24">
        <f t="shared" si="8"/>
        <v>247735000000</v>
      </c>
      <c r="H70" s="24">
        <f>Data!G70</f>
        <v>3802688000000</v>
      </c>
      <c r="I70" s="25">
        <f t="shared" si="9"/>
        <v>0.42736653651311912</v>
      </c>
      <c r="J70" s="24">
        <f>Data!J70</f>
        <v>-601347000000</v>
      </c>
      <c r="K70" s="24">
        <f t="shared" si="10"/>
        <v>3802688000000</v>
      </c>
      <c r="L70" s="25">
        <f t="shared" si="11"/>
        <v>-0.51552775825942065</v>
      </c>
      <c r="M70" s="24">
        <f>Data!M70</f>
        <v>-270279000000</v>
      </c>
      <c r="N70" s="24">
        <f t="shared" si="12"/>
        <v>3802688000000</v>
      </c>
      <c r="O70" s="25">
        <f t="shared" si="13"/>
        <v>-0.47762921386135276</v>
      </c>
      <c r="P70" s="24">
        <f>Data!K70</f>
        <v>837455000000</v>
      </c>
      <c r="Q70" s="24">
        <f>Data!I70</f>
        <v>2965233000000</v>
      </c>
      <c r="R70" s="25">
        <f t="shared" si="14"/>
        <v>0.29654592067469909</v>
      </c>
      <c r="S70" s="25">
        <f t="shared" si="15"/>
        <v>-0.2692445149329552</v>
      </c>
    </row>
    <row r="71" spans="1:19" ht="15" customHeight="1" x14ac:dyDescent="0.3">
      <c r="A71" s="22"/>
      <c r="B71" s="23"/>
      <c r="C71" s="3"/>
      <c r="D71" s="23">
        <v>2017</v>
      </c>
      <c r="E71" s="24">
        <f>Data!F71</f>
        <v>685087000000</v>
      </c>
      <c r="F71" s="24">
        <f>Data!H71</f>
        <v>364804000000</v>
      </c>
      <c r="G71" s="24">
        <f t="shared" si="8"/>
        <v>320283000000</v>
      </c>
      <c r="H71" s="24">
        <f>Data!G71</f>
        <v>4315435000000</v>
      </c>
      <c r="I71" s="25">
        <f t="shared" si="9"/>
        <v>0.48687014866403966</v>
      </c>
      <c r="J71" s="24">
        <f>Data!J71</f>
        <v>-829401000000</v>
      </c>
      <c r="K71" s="24">
        <f t="shared" si="10"/>
        <v>4315435000000</v>
      </c>
      <c r="L71" s="25">
        <f t="shared" si="11"/>
        <v>-0.62655265575776253</v>
      </c>
      <c r="M71" s="24">
        <f>Data!M71</f>
        <v>-238633000000</v>
      </c>
      <c r="N71" s="24">
        <f t="shared" si="12"/>
        <v>4315435000000</v>
      </c>
      <c r="O71" s="25">
        <f t="shared" si="13"/>
        <v>-0.37159956296410446</v>
      </c>
      <c r="P71" s="24">
        <f>Data!K71</f>
        <v>611883000000</v>
      </c>
      <c r="Q71" s="24">
        <f>Data!I71</f>
        <v>3703552000000</v>
      </c>
      <c r="R71" s="25">
        <f t="shared" si="14"/>
        <v>0.17347593607434161</v>
      </c>
      <c r="S71" s="25">
        <f t="shared" si="15"/>
        <v>-0.33780613398348569</v>
      </c>
    </row>
    <row r="72" spans="1:19" ht="15" customHeight="1" x14ac:dyDescent="0.3">
      <c r="A72" s="22"/>
      <c r="B72" s="23"/>
      <c r="C72" s="3"/>
      <c r="D72" s="23">
        <v>2018</v>
      </c>
      <c r="E72" s="24">
        <f>Data!F72</f>
        <v>957069000000</v>
      </c>
      <c r="F72" s="24">
        <f>Data!H72</f>
        <v>381609000000</v>
      </c>
      <c r="G72" s="24">
        <f t="shared" si="8"/>
        <v>575460000000</v>
      </c>
      <c r="H72" s="24">
        <f>Data!G72</f>
        <v>5004717000000</v>
      </c>
      <c r="I72" s="25">
        <f t="shared" si="9"/>
        <v>0.75429192100172693</v>
      </c>
      <c r="J72" s="24">
        <f>Data!J72</f>
        <v>-996164000000</v>
      </c>
      <c r="K72" s="24">
        <f t="shared" si="10"/>
        <v>5004717000000</v>
      </c>
      <c r="L72" s="25">
        <f t="shared" si="11"/>
        <v>-0.64888676822285851</v>
      </c>
      <c r="M72" s="24">
        <f>Data!M72</f>
        <v>-171898000000</v>
      </c>
      <c r="N72" s="24">
        <f t="shared" si="12"/>
        <v>5004717000000</v>
      </c>
      <c r="O72" s="25">
        <f t="shared" si="13"/>
        <v>-0.23081316286215584</v>
      </c>
      <c r="P72" s="24">
        <f>Data!K72</f>
        <v>434830000000</v>
      </c>
      <c r="Q72" s="24">
        <f>Data!I72</f>
        <v>4569886000000</v>
      </c>
      <c r="R72" s="25">
        <f t="shared" si="14"/>
        <v>9.9908728576599062E-2</v>
      </c>
      <c r="S72" s="25">
        <f t="shared" si="15"/>
        <v>-2.5499281506688357E-2</v>
      </c>
    </row>
    <row r="73" spans="1:19" ht="15" customHeight="1" x14ac:dyDescent="0.3">
      <c r="A73" s="22"/>
      <c r="B73" s="23"/>
      <c r="C73" s="3"/>
      <c r="D73" s="23">
        <v>2019</v>
      </c>
      <c r="E73" s="24">
        <f>Data!F73</f>
        <v>816259000000</v>
      </c>
      <c r="F73" s="24">
        <f>Data!H73</f>
        <v>397846000000</v>
      </c>
      <c r="G73" s="24">
        <f t="shared" si="8"/>
        <v>418413000000</v>
      </c>
      <c r="H73" s="24">
        <f>Data!G73</f>
        <v>5901298000000</v>
      </c>
      <c r="I73" s="25">
        <f t="shared" si="9"/>
        <v>0.46511619647067476</v>
      </c>
      <c r="J73" s="24">
        <f>Data!J73</f>
        <v>-1078931000000</v>
      </c>
      <c r="K73" s="24">
        <f t="shared" si="10"/>
        <v>5901298000000</v>
      </c>
      <c r="L73" s="25">
        <f t="shared" si="11"/>
        <v>-0.59602396964193305</v>
      </c>
      <c r="M73" s="24">
        <f>Data!M73</f>
        <v>-85388000000</v>
      </c>
      <c r="N73" s="24">
        <f t="shared" si="12"/>
        <v>5901298000000</v>
      </c>
      <c r="O73" s="25">
        <f t="shared" si="13"/>
        <v>-9.7234093245248759E-2</v>
      </c>
      <c r="P73" s="24">
        <f>Data!K73</f>
        <v>857598000000</v>
      </c>
      <c r="Q73" s="24">
        <f>Data!I73</f>
        <v>5043700000000</v>
      </c>
      <c r="R73" s="25">
        <f t="shared" si="14"/>
        <v>0.1785351825049071</v>
      </c>
      <c r="S73" s="25">
        <f t="shared" si="15"/>
        <v>-4.9606683911599947E-2</v>
      </c>
    </row>
    <row r="74" spans="1:19" ht="15" customHeight="1" x14ac:dyDescent="0.3">
      <c r="A74" s="22"/>
      <c r="B74" s="23"/>
      <c r="C74" s="3"/>
      <c r="D74" s="23">
        <v>2020</v>
      </c>
      <c r="E74" s="24">
        <f>Data!F74</f>
        <v>786739000000</v>
      </c>
      <c r="F74" s="24">
        <f>Data!H74</f>
        <v>582749000000</v>
      </c>
      <c r="G74" s="24">
        <f t="shared" si="8"/>
        <v>203990000000</v>
      </c>
      <c r="H74" s="24">
        <f>Data!G74</f>
        <v>6587066000000</v>
      </c>
      <c r="I74" s="25">
        <f t="shared" si="9"/>
        <v>0.20315181296194693</v>
      </c>
      <c r="J74" s="24">
        <f>Data!J74</f>
        <v>-1110095000000</v>
      </c>
      <c r="K74" s="24">
        <f t="shared" si="10"/>
        <v>6587066000000</v>
      </c>
      <c r="L74" s="25">
        <f t="shared" si="11"/>
        <v>-0.54939630178291821</v>
      </c>
      <c r="M74" s="24">
        <f>Data!M74</f>
        <v>-32278000000</v>
      </c>
      <c r="N74" s="24">
        <f t="shared" si="12"/>
        <v>6587066000000</v>
      </c>
      <c r="O74" s="25">
        <f t="shared" si="13"/>
        <v>-3.2929404381252594E-2</v>
      </c>
      <c r="P74" s="24">
        <f>Data!K74</f>
        <v>840112000000</v>
      </c>
      <c r="Q74" s="24">
        <f>Data!I74</f>
        <v>5746720000000</v>
      </c>
      <c r="R74" s="25">
        <f t="shared" si="14"/>
        <v>0.15349931787175988</v>
      </c>
      <c r="S74" s="25">
        <f t="shared" si="15"/>
        <v>-0.22567457533046395</v>
      </c>
    </row>
    <row r="75" spans="1:19" ht="15" customHeight="1" x14ac:dyDescent="0.3">
      <c r="A75" s="22"/>
      <c r="B75" s="23"/>
      <c r="C75" s="3"/>
      <c r="D75" s="23">
        <v>2021</v>
      </c>
      <c r="E75" s="24">
        <f>Data!F75</f>
        <v>776133000000</v>
      </c>
      <c r="F75" s="24">
        <f>Data!H75</f>
        <v>386504000000</v>
      </c>
      <c r="G75" s="24">
        <f t="shared" si="8"/>
        <v>389629000000</v>
      </c>
      <c r="H75" s="24">
        <f>Data!G75</f>
        <v>7092935000000</v>
      </c>
      <c r="I75" s="25">
        <f t="shared" si="9"/>
        <v>0.36035382250084058</v>
      </c>
      <c r="J75" s="24">
        <f>Data!J75</f>
        <v>-1112228000000</v>
      </c>
      <c r="K75" s="24">
        <f t="shared" si="10"/>
        <v>7092935000000</v>
      </c>
      <c r="L75" s="25">
        <f t="shared" si="11"/>
        <v>-0.5111936426881114</v>
      </c>
      <c r="M75" s="24">
        <f>Data!M75</f>
        <v>-20542000000</v>
      </c>
      <c r="N75" s="24">
        <f t="shared" si="12"/>
        <v>7092935000000</v>
      </c>
      <c r="O75" s="25">
        <f t="shared" si="13"/>
        <v>-1.9461935009978237E-2</v>
      </c>
      <c r="P75" s="24">
        <f>Data!K75</f>
        <v>826251000000</v>
      </c>
      <c r="Q75" s="24">
        <f>Data!I75</f>
        <v>6266517000000</v>
      </c>
      <c r="R75" s="25">
        <f t="shared" si="14"/>
        <v>0.13844429848351167</v>
      </c>
      <c r="S75" s="25">
        <f t="shared" si="15"/>
        <v>-3.1857456713737381E-2</v>
      </c>
    </row>
    <row r="76" spans="1:19" ht="15" customHeight="1" x14ac:dyDescent="0.3">
      <c r="A76" s="22"/>
      <c r="B76" s="23"/>
      <c r="C76" s="3"/>
      <c r="D76" s="23">
        <v>2022</v>
      </c>
      <c r="E76" s="24">
        <f>Data!F76</f>
        <v>889121000000</v>
      </c>
      <c r="F76" s="24">
        <f>Data!H76</f>
        <v>673005000000</v>
      </c>
      <c r="G76" s="24">
        <f t="shared" si="8"/>
        <v>216116000000</v>
      </c>
      <c r="H76" s="24">
        <f>Data!G76</f>
        <v>7345755000000</v>
      </c>
      <c r="I76" s="25">
        <f t="shared" si="9"/>
        <v>0.19299867202214066</v>
      </c>
      <c r="J76" s="24">
        <f>Data!J76</f>
        <v>-1245204000000</v>
      </c>
      <c r="K76" s="24">
        <f t="shared" si="10"/>
        <v>7345755000000</v>
      </c>
      <c r="L76" s="25">
        <f t="shared" si="11"/>
        <v>-0.55261372588658342</v>
      </c>
      <c r="M76" s="24">
        <f>Data!M76</f>
        <v>-132881000000</v>
      </c>
      <c r="N76" s="24">
        <f t="shared" si="12"/>
        <v>7345755000000</v>
      </c>
      <c r="O76" s="25">
        <f t="shared" si="13"/>
        <v>-0.12156140791518365</v>
      </c>
      <c r="P76" s="24">
        <f>Data!K76</f>
        <v>683137000000</v>
      </c>
      <c r="Q76" s="24">
        <f>Data!I76</f>
        <v>6661879000000</v>
      </c>
      <c r="R76" s="25">
        <f t="shared" si="14"/>
        <v>0.10767140171714316</v>
      </c>
      <c r="S76" s="25">
        <f t="shared" si="15"/>
        <v>-0.37350506006248324</v>
      </c>
    </row>
    <row r="77" spans="1:19" ht="15" customHeight="1" x14ac:dyDescent="0.3">
      <c r="A77" s="22"/>
      <c r="B77" s="23"/>
      <c r="C77" s="3"/>
      <c r="D77" s="23">
        <v>2023</v>
      </c>
      <c r="E77" s="24">
        <f>Data!F77</f>
        <v>642546000000</v>
      </c>
      <c r="F77" s="24">
        <f>Data!H77</f>
        <v>840770000000</v>
      </c>
      <c r="G77" s="24">
        <f t="shared" si="8"/>
        <v>-198224000000</v>
      </c>
      <c r="H77" s="24">
        <f>Data!G77</f>
        <v>7501061000000</v>
      </c>
      <c r="I77" s="25">
        <f t="shared" si="9"/>
        <v>-0.17335540132255955</v>
      </c>
      <c r="J77" s="24">
        <f>Data!J77</f>
        <v>-1230033000000</v>
      </c>
      <c r="K77" s="24">
        <f t="shared" si="10"/>
        <v>7501061000000</v>
      </c>
      <c r="L77" s="25">
        <f t="shared" si="11"/>
        <v>-0.53457871893056197</v>
      </c>
      <c r="M77" s="24">
        <f>Data!M77</f>
        <v>1174000000</v>
      </c>
      <c r="N77" s="24">
        <f t="shared" si="12"/>
        <v>7501061000000</v>
      </c>
      <c r="O77" s="25">
        <f t="shared" si="13"/>
        <v>1.0517552116960521E-3</v>
      </c>
      <c r="P77" s="24">
        <f>Data!K77</f>
        <v>699090000000</v>
      </c>
      <c r="Q77" s="24">
        <f>Data!I77</f>
        <v>6800327000000</v>
      </c>
      <c r="R77" s="25">
        <f t="shared" si="14"/>
        <v>0.10794252982246295</v>
      </c>
      <c r="S77" s="25">
        <f t="shared" si="15"/>
        <v>-0.59893983521896244</v>
      </c>
    </row>
    <row r="78" spans="1:19" ht="15" customHeight="1" x14ac:dyDescent="0.3">
      <c r="A78" s="22"/>
      <c r="B78" s="23"/>
      <c r="C78" s="3"/>
      <c r="D78" s="23">
        <v>2024</v>
      </c>
      <c r="E78" s="24">
        <f>Data!F78</f>
        <v>566004000000</v>
      </c>
      <c r="F78" s="24">
        <f>Data!H78</f>
        <v>701500000000</v>
      </c>
      <c r="G78" s="24">
        <f t="shared" si="8"/>
        <v>-135496000000</v>
      </c>
      <c r="H78" s="24">
        <f>Data!G78</f>
        <v>6806055000000</v>
      </c>
      <c r="I78" s="25">
        <f t="shared" si="9"/>
        <v>-0.13059749884477864</v>
      </c>
      <c r="J78" s="24">
        <f>Data!J78</f>
        <v>-1167798000000</v>
      </c>
      <c r="K78" s="24">
        <f t="shared" si="10"/>
        <v>6806055000000</v>
      </c>
      <c r="L78" s="25">
        <f t="shared" si="11"/>
        <v>-0.55935802458252237</v>
      </c>
      <c r="M78" s="24">
        <f>Data!M78</f>
        <v>61283000000</v>
      </c>
      <c r="N78" s="24">
        <f t="shared" si="12"/>
        <v>6806055000000</v>
      </c>
      <c r="O78" s="25">
        <f t="shared" si="13"/>
        <v>6.0508144585960592E-2</v>
      </c>
      <c r="P78" s="24">
        <f>Data!K78</f>
        <v>748206000000</v>
      </c>
      <c r="Q78" s="24">
        <f>Data!I78</f>
        <v>6056599000000</v>
      </c>
      <c r="R78" s="25">
        <f t="shared" si="14"/>
        <v>0.1297124508325547</v>
      </c>
      <c r="S78" s="25">
        <f t="shared" si="15"/>
        <v>-0.49973492800878583</v>
      </c>
    </row>
    <row r="79" spans="1:19" ht="15" customHeight="1" x14ac:dyDescent="0.3">
      <c r="A79" s="22"/>
      <c r="B79" s="23">
        <v>8</v>
      </c>
      <c r="C79" s="3" t="s">
        <v>8</v>
      </c>
      <c r="D79" s="23">
        <v>2014</v>
      </c>
      <c r="E79" s="24">
        <f>Data!F79</f>
        <v>0</v>
      </c>
      <c r="F79" s="24">
        <f>Data!H79</f>
        <v>0</v>
      </c>
      <c r="G79" s="24">
        <f t="shared" si="8"/>
        <v>0</v>
      </c>
      <c r="H79" s="24">
        <f>Data!G79</f>
        <v>0</v>
      </c>
      <c r="I79" s="25">
        <f t="shared" si="9"/>
        <v>0</v>
      </c>
      <c r="J79" s="24">
        <f>Data!J79</f>
        <v>0</v>
      </c>
      <c r="K79" s="24">
        <f t="shared" si="10"/>
        <v>0</v>
      </c>
      <c r="L79" s="25">
        <f t="shared" si="11"/>
        <v>0</v>
      </c>
      <c r="M79" s="24">
        <f>Data!M79</f>
        <v>0</v>
      </c>
      <c r="N79" s="24">
        <f t="shared" si="12"/>
        <v>0</v>
      </c>
      <c r="O79" s="25">
        <f t="shared" si="13"/>
        <v>0</v>
      </c>
      <c r="P79" s="24">
        <f>Data!K79</f>
        <v>0</v>
      </c>
      <c r="Q79" s="24">
        <f>Data!I79</f>
        <v>0</v>
      </c>
      <c r="R79" s="25">
        <f t="shared" si="14"/>
        <v>0</v>
      </c>
      <c r="S79" s="25">
        <f t="shared" si="15"/>
        <v>0</v>
      </c>
    </row>
    <row r="80" spans="1:19" ht="15" customHeight="1" x14ac:dyDescent="0.3">
      <c r="A80" s="22"/>
      <c r="B80" s="23"/>
      <c r="C80" s="3"/>
      <c r="D80" s="23">
        <v>2015</v>
      </c>
      <c r="E80" s="24">
        <f>Data!F80</f>
        <v>18550000000</v>
      </c>
      <c r="F80" s="24">
        <f>Data!H80</f>
        <v>15519000000</v>
      </c>
      <c r="G80" s="24">
        <f t="shared" si="8"/>
        <v>3031000000</v>
      </c>
      <c r="H80" s="24">
        <f>Data!G80</f>
        <v>281282000000</v>
      </c>
      <c r="I80" s="25">
        <f t="shared" si="9"/>
        <v>7.0688348347921301E-2</v>
      </c>
      <c r="J80" s="24">
        <f>Data!J80</f>
        <v>-31416000000</v>
      </c>
      <c r="K80" s="24">
        <f t="shared" si="10"/>
        <v>281282000000</v>
      </c>
      <c r="L80" s="25">
        <f t="shared" si="11"/>
        <v>-0.36410491961803454</v>
      </c>
      <c r="M80" s="24">
        <f>Data!M80</f>
        <v>-41004000000</v>
      </c>
      <c r="N80" s="24">
        <f t="shared" si="12"/>
        <v>281282000000</v>
      </c>
      <c r="O80" s="25">
        <f t="shared" si="13"/>
        <v>-0.97961078206212981</v>
      </c>
      <c r="P80" s="24">
        <f>Data!K80</f>
        <v>228584000000</v>
      </c>
      <c r="Q80" s="24">
        <f>Data!I80</f>
        <v>52698000000</v>
      </c>
      <c r="R80" s="25">
        <f t="shared" si="14"/>
        <v>4.554503017192304</v>
      </c>
      <c r="S80" s="25">
        <f t="shared" si="15"/>
        <v>3.2814756638600611</v>
      </c>
    </row>
    <row r="81" spans="1:19" ht="15" customHeight="1" x14ac:dyDescent="0.3">
      <c r="A81" s="22"/>
      <c r="B81" s="23"/>
      <c r="C81" s="3"/>
      <c r="D81" s="23">
        <v>2016</v>
      </c>
      <c r="E81" s="24">
        <f>Data!F81</f>
        <v>49596000000</v>
      </c>
      <c r="F81" s="24">
        <f>Data!H81</f>
        <v>44397000000</v>
      </c>
      <c r="G81" s="24">
        <f t="shared" si="8"/>
        <v>5199000000</v>
      </c>
      <c r="H81" s="24">
        <f>Data!G81</f>
        <v>385447000000</v>
      </c>
      <c r="I81" s="25">
        <f t="shared" si="9"/>
        <v>8.8482826432687234E-2</v>
      </c>
      <c r="J81" s="24">
        <f>Data!J81</f>
        <v>-54891000000</v>
      </c>
      <c r="K81" s="24">
        <f t="shared" si="10"/>
        <v>385447000000</v>
      </c>
      <c r="L81" s="25">
        <f t="shared" si="11"/>
        <v>-0.46425230965606162</v>
      </c>
      <c r="M81" s="24">
        <f>Data!M81</f>
        <v>-37138000000</v>
      </c>
      <c r="N81" s="24">
        <f t="shared" si="12"/>
        <v>385447000000</v>
      </c>
      <c r="O81" s="25">
        <f t="shared" si="13"/>
        <v>-0.64747516519780923</v>
      </c>
      <c r="P81" s="24">
        <f>Data!K81</f>
        <v>204426000000</v>
      </c>
      <c r="Q81" s="24">
        <f>Data!I81</f>
        <v>181020000000</v>
      </c>
      <c r="R81" s="25">
        <f t="shared" si="14"/>
        <v>1.1857656612529002</v>
      </c>
      <c r="S81" s="25">
        <f t="shared" si="15"/>
        <v>0.16252101283171649</v>
      </c>
    </row>
    <row r="82" spans="1:19" ht="15" customHeight="1" x14ac:dyDescent="0.3">
      <c r="A82" s="22"/>
      <c r="B82" s="23"/>
      <c r="C82" s="3"/>
      <c r="D82" s="23">
        <v>2017</v>
      </c>
      <c r="E82" s="24">
        <f>Data!F82</f>
        <v>86147000000</v>
      </c>
      <c r="F82" s="24">
        <f>Data!H82</f>
        <v>96254000000</v>
      </c>
      <c r="G82" s="24">
        <f t="shared" si="8"/>
        <v>-10107000000</v>
      </c>
      <c r="H82" s="24">
        <f>Data!G82</f>
        <v>842122000000</v>
      </c>
      <c r="I82" s="25">
        <f t="shared" si="9"/>
        <v>-7.8731965202191598E-2</v>
      </c>
      <c r="J82" s="24">
        <f>Data!J82</f>
        <v>-98219000000</v>
      </c>
      <c r="K82" s="24">
        <f t="shared" si="10"/>
        <v>842122000000</v>
      </c>
      <c r="L82" s="25">
        <f t="shared" si="11"/>
        <v>-0.38022274682290685</v>
      </c>
      <c r="M82" s="24">
        <f>Data!M82</f>
        <v>-58814000000</v>
      </c>
      <c r="N82" s="24">
        <f t="shared" si="12"/>
        <v>842122000000</v>
      </c>
      <c r="O82" s="25">
        <f t="shared" si="13"/>
        <v>-0.46932639213795624</v>
      </c>
      <c r="P82" s="24">
        <f>Data!K82</f>
        <v>466862000000</v>
      </c>
      <c r="Q82" s="24">
        <f>Data!I82</f>
        <v>375260000000</v>
      </c>
      <c r="R82" s="25">
        <f t="shared" si="14"/>
        <v>1.3063078931940522</v>
      </c>
      <c r="S82" s="25">
        <f t="shared" si="15"/>
        <v>0.3780267890309974</v>
      </c>
    </row>
    <row r="83" spans="1:19" ht="15" customHeight="1" x14ac:dyDescent="0.3">
      <c r="A83" s="22"/>
      <c r="B83" s="23"/>
      <c r="C83" s="3"/>
      <c r="D83" s="23">
        <v>2018</v>
      </c>
      <c r="E83" s="24">
        <f>Data!F83</f>
        <v>56634000000</v>
      </c>
      <c r="F83" s="24">
        <f>Data!H83</f>
        <v>62173000000</v>
      </c>
      <c r="G83" s="24">
        <f t="shared" si="8"/>
        <v>-5539000000</v>
      </c>
      <c r="H83" s="24">
        <f>Data!G83</f>
        <v>902876000000</v>
      </c>
      <c r="I83" s="25">
        <f t="shared" si="9"/>
        <v>-4.0244551854296713E-2</v>
      </c>
      <c r="J83" s="24">
        <f>Data!J83</f>
        <v>-166505000000</v>
      </c>
      <c r="K83" s="24">
        <f t="shared" si="10"/>
        <v>902876000000</v>
      </c>
      <c r="L83" s="25">
        <f t="shared" si="11"/>
        <v>-0.60119695284845309</v>
      </c>
      <c r="M83" s="24">
        <f>Data!M83</f>
        <v>-25377000000</v>
      </c>
      <c r="N83" s="24">
        <f t="shared" si="12"/>
        <v>902876000000</v>
      </c>
      <c r="O83" s="25">
        <f t="shared" si="13"/>
        <v>-0.18887802976266949</v>
      </c>
      <c r="P83" s="24">
        <f>Data!K83</f>
        <v>388058000000</v>
      </c>
      <c r="Q83" s="24">
        <f>Data!I83</f>
        <v>514818000000</v>
      </c>
      <c r="R83" s="25">
        <f t="shared" si="14"/>
        <v>0.79146591611015937</v>
      </c>
      <c r="S83" s="25">
        <f t="shared" si="15"/>
        <v>-3.8853618355259911E-2</v>
      </c>
    </row>
    <row r="84" spans="1:19" ht="15" customHeight="1" x14ac:dyDescent="0.3">
      <c r="A84" s="22"/>
      <c r="B84" s="23"/>
      <c r="C84" s="3"/>
      <c r="D84" s="23">
        <v>2019</v>
      </c>
      <c r="E84" s="24">
        <f>Data!F84</f>
        <v>85756000000</v>
      </c>
      <c r="F84" s="24">
        <f>Data!H84</f>
        <v>76452000000</v>
      </c>
      <c r="G84" s="24">
        <f t="shared" si="8"/>
        <v>9304000000</v>
      </c>
      <c r="H84" s="24">
        <f>Data!G84</f>
        <v>1154689000000</v>
      </c>
      <c r="I84" s="25">
        <f t="shared" si="9"/>
        <v>5.2857730523110547E-2</v>
      </c>
      <c r="J84" s="24">
        <f>Data!J84</f>
        <v>-169045000000</v>
      </c>
      <c r="K84" s="24">
        <f t="shared" si="10"/>
        <v>1154689000000</v>
      </c>
      <c r="L84" s="25">
        <f t="shared" si="11"/>
        <v>-0.47725985092089729</v>
      </c>
      <c r="M84" s="24">
        <f>Data!M84</f>
        <v>-3158000000</v>
      </c>
      <c r="N84" s="24">
        <f t="shared" si="12"/>
        <v>1154689000000</v>
      </c>
      <c r="O84" s="25">
        <f t="shared" si="13"/>
        <v>-1.8378766923388027E-2</v>
      </c>
      <c r="P84" s="24">
        <f>Data!K84</f>
        <v>400913000000</v>
      </c>
      <c r="Q84" s="24">
        <f>Data!I84</f>
        <v>753776000000</v>
      </c>
      <c r="R84" s="25">
        <f t="shared" si="14"/>
        <v>0.55846650729129077</v>
      </c>
      <c r="S84" s="25">
        <f t="shared" si="15"/>
        <v>0.115685619970116</v>
      </c>
    </row>
    <row r="85" spans="1:19" ht="15" customHeight="1" x14ac:dyDescent="0.3">
      <c r="A85" s="22"/>
      <c r="B85" s="23"/>
      <c r="C85" s="3"/>
      <c r="D85" s="23">
        <v>2020</v>
      </c>
      <c r="E85" s="24">
        <f>Data!F85</f>
        <v>134922000000</v>
      </c>
      <c r="F85" s="24">
        <f>Data!H85</f>
        <v>89869000000</v>
      </c>
      <c r="G85" s="24">
        <f t="shared" si="8"/>
        <v>45053000000</v>
      </c>
      <c r="H85" s="24">
        <f>Data!G85</f>
        <v>1467896000000</v>
      </c>
      <c r="I85" s="25">
        <f t="shared" si="9"/>
        <v>0.20134102143476104</v>
      </c>
      <c r="J85" s="24">
        <f>Data!J85</f>
        <v>-99137000000</v>
      </c>
      <c r="K85" s="24">
        <f t="shared" si="10"/>
        <v>1467896000000</v>
      </c>
      <c r="L85" s="25">
        <f t="shared" si="11"/>
        <v>-0.22016997116961962</v>
      </c>
      <c r="M85" s="24">
        <f>Data!M85</f>
        <v>69848000000</v>
      </c>
      <c r="N85" s="24">
        <f t="shared" si="12"/>
        <v>1467896000000</v>
      </c>
      <c r="O85" s="25">
        <f t="shared" si="13"/>
        <v>0.31976281698430953</v>
      </c>
      <c r="P85" s="24">
        <f>Data!K85</f>
        <v>492443000000</v>
      </c>
      <c r="Q85" s="24">
        <f>Data!I85</f>
        <v>975453000000</v>
      </c>
      <c r="R85" s="25">
        <f t="shared" si="14"/>
        <v>0.53007694886375878</v>
      </c>
      <c r="S85" s="25">
        <f t="shared" si="15"/>
        <v>0.8310108161132097</v>
      </c>
    </row>
    <row r="86" spans="1:19" ht="15" customHeight="1" x14ac:dyDescent="0.3">
      <c r="A86" s="22"/>
      <c r="B86" s="23"/>
      <c r="C86" s="3"/>
      <c r="D86" s="23">
        <v>2021</v>
      </c>
      <c r="E86" s="24">
        <f>Data!F86</f>
        <v>320269000000</v>
      </c>
      <c r="F86" s="24">
        <f>Data!H86</f>
        <v>84761000000</v>
      </c>
      <c r="G86" s="24">
        <f t="shared" si="8"/>
        <v>235508000000</v>
      </c>
      <c r="H86" s="24">
        <f>Data!G86</f>
        <v>1930213000000</v>
      </c>
      <c r="I86" s="25">
        <f t="shared" si="9"/>
        <v>0.80039481653061084</v>
      </c>
      <c r="J86" s="24">
        <f>Data!J86</f>
        <v>-61258000000</v>
      </c>
      <c r="K86" s="24">
        <f t="shared" si="10"/>
        <v>1930213000000</v>
      </c>
      <c r="L86" s="25">
        <f t="shared" si="11"/>
        <v>-0.10346064398074202</v>
      </c>
      <c r="M86" s="24">
        <f>Data!M86</f>
        <v>17594000000</v>
      </c>
      <c r="N86" s="24">
        <f t="shared" si="12"/>
        <v>1930213000000</v>
      </c>
      <c r="O86" s="25">
        <f t="shared" si="13"/>
        <v>6.1253177758102344E-2</v>
      </c>
      <c r="P86" s="24">
        <f>Data!K86</f>
        <v>532596000000</v>
      </c>
      <c r="Q86" s="24">
        <f>Data!I86</f>
        <v>1397617000000</v>
      </c>
      <c r="R86" s="25">
        <f t="shared" si="14"/>
        <v>0.40012807514505044</v>
      </c>
      <c r="S86" s="25">
        <f t="shared" si="15"/>
        <v>1.1583154254530217</v>
      </c>
    </row>
    <row r="87" spans="1:19" ht="15" customHeight="1" x14ac:dyDescent="0.3">
      <c r="A87" s="22"/>
      <c r="B87" s="23"/>
      <c r="C87" s="3"/>
      <c r="D87" s="23">
        <v>2022</v>
      </c>
      <c r="E87" s="24">
        <f>Data!F87</f>
        <v>227980000000</v>
      </c>
      <c r="F87" s="24">
        <f>Data!H87</f>
        <v>117537000000</v>
      </c>
      <c r="G87" s="24">
        <f t="shared" si="8"/>
        <v>110443000000</v>
      </c>
      <c r="H87" s="24">
        <f>Data!G87</f>
        <v>2347921000000</v>
      </c>
      <c r="I87" s="25">
        <f t="shared" si="9"/>
        <v>0.30857344859558733</v>
      </c>
      <c r="J87" s="24">
        <f>Data!J87</f>
        <v>-2661000000</v>
      </c>
      <c r="K87" s="24">
        <f t="shared" si="10"/>
        <v>2347921000000</v>
      </c>
      <c r="L87" s="25">
        <f t="shared" si="11"/>
        <v>-3.6946984161732865E-3</v>
      </c>
      <c r="M87" s="24">
        <f>Data!M87</f>
        <v>54204000000</v>
      </c>
      <c r="N87" s="24">
        <f t="shared" si="12"/>
        <v>2347921000000</v>
      </c>
      <c r="O87" s="25">
        <f t="shared" si="13"/>
        <v>0.15513762175132809</v>
      </c>
      <c r="P87" s="24">
        <f>Data!K87</f>
        <v>659360000000</v>
      </c>
      <c r="Q87" s="24">
        <f>Data!I87</f>
        <v>1688561000000</v>
      </c>
      <c r="R87" s="25">
        <f t="shared" si="14"/>
        <v>0.4100106540421104</v>
      </c>
      <c r="S87" s="25">
        <f t="shared" si="15"/>
        <v>0.87002702597285242</v>
      </c>
    </row>
    <row r="88" spans="1:19" ht="15" customHeight="1" x14ac:dyDescent="0.3">
      <c r="A88" s="22"/>
      <c r="B88" s="23"/>
      <c r="C88" s="3"/>
      <c r="D88" s="23">
        <v>2023</v>
      </c>
      <c r="E88" s="24">
        <f>Data!F88</f>
        <v>243787000000</v>
      </c>
      <c r="F88" s="24">
        <f>Data!H88</f>
        <v>132809000000</v>
      </c>
      <c r="G88" s="24">
        <f t="shared" si="8"/>
        <v>110978000000</v>
      </c>
      <c r="H88" s="24">
        <f>Data!G88</f>
        <v>2878724000000</v>
      </c>
      <c r="I88" s="25">
        <f t="shared" si="9"/>
        <v>0.2528952688760715</v>
      </c>
      <c r="J88" s="24">
        <f>Data!J88</f>
        <v>76793000000</v>
      </c>
      <c r="K88" s="24">
        <f t="shared" si="10"/>
        <v>2878724000000</v>
      </c>
      <c r="L88" s="25">
        <f t="shared" si="11"/>
        <v>8.6963939578785593E-2</v>
      </c>
      <c r="M88" s="24">
        <f>Data!M88</f>
        <v>69991000000</v>
      </c>
      <c r="N88" s="24">
        <f t="shared" si="12"/>
        <v>2878724000000</v>
      </c>
      <c r="O88" s="25">
        <f t="shared" si="13"/>
        <v>0.16338472184203834</v>
      </c>
      <c r="P88" s="24">
        <f>Data!K88</f>
        <v>730586000000</v>
      </c>
      <c r="Q88" s="24">
        <f>Data!I88</f>
        <v>2148138000000</v>
      </c>
      <c r="R88" s="25">
        <f t="shared" si="14"/>
        <v>0.35710708529898916</v>
      </c>
      <c r="S88" s="25">
        <f t="shared" si="15"/>
        <v>0.86035101559588456</v>
      </c>
    </row>
    <row r="89" spans="1:19" ht="15" customHeight="1" x14ac:dyDescent="0.3">
      <c r="A89" s="22"/>
      <c r="B89" s="23"/>
      <c r="C89" s="3"/>
      <c r="D89" s="23">
        <v>2024</v>
      </c>
      <c r="E89" s="24">
        <f>Data!F89</f>
        <v>225941000000</v>
      </c>
      <c r="F89" s="24">
        <f>Data!H89</f>
        <v>97813000000</v>
      </c>
      <c r="G89" s="24">
        <f t="shared" si="8"/>
        <v>128128000000</v>
      </c>
      <c r="H89" s="24">
        <f>Data!G89</f>
        <v>3339666000000</v>
      </c>
      <c r="I89" s="25">
        <f t="shared" si="9"/>
        <v>0.25167776657905311</v>
      </c>
      <c r="J89" s="24">
        <f>Data!J89</f>
        <v>170342000000</v>
      </c>
      <c r="K89" s="24">
        <f t="shared" si="10"/>
        <v>3339666000000</v>
      </c>
      <c r="L89" s="25">
        <f t="shared" si="11"/>
        <v>0.16627857995380377</v>
      </c>
      <c r="M89" s="24">
        <f>Data!M89</f>
        <v>90398000000</v>
      </c>
      <c r="N89" s="24">
        <f t="shared" si="12"/>
        <v>3339666000000</v>
      </c>
      <c r="O89" s="25">
        <f t="shared" si="13"/>
        <v>0.18189680045848897</v>
      </c>
      <c r="P89" s="24">
        <f>Data!K89</f>
        <v>814158000000</v>
      </c>
      <c r="Q89" s="24">
        <f>Data!I89</f>
        <v>2525508000000</v>
      </c>
      <c r="R89" s="25">
        <f t="shared" si="14"/>
        <v>0.33849265177540522</v>
      </c>
      <c r="S89" s="25">
        <f t="shared" si="15"/>
        <v>0.93834579876675106</v>
      </c>
    </row>
    <row r="90" spans="1:19" ht="15" customHeight="1" x14ac:dyDescent="0.3">
      <c r="A90" s="22"/>
      <c r="B90" s="23">
        <v>9</v>
      </c>
      <c r="C90" s="3" t="s">
        <v>11</v>
      </c>
      <c r="D90" s="23">
        <v>2014</v>
      </c>
      <c r="E90" s="24">
        <f>Data!F90</f>
        <v>0</v>
      </c>
      <c r="F90" s="24">
        <f>Data!H90</f>
        <v>0</v>
      </c>
      <c r="G90" s="24">
        <f t="shared" si="8"/>
        <v>0</v>
      </c>
      <c r="H90" s="24">
        <f>Data!G90</f>
        <v>0</v>
      </c>
      <c r="I90" s="25">
        <f t="shared" si="9"/>
        <v>0</v>
      </c>
      <c r="J90" s="24">
        <f>Data!J90</f>
        <v>0</v>
      </c>
      <c r="K90" s="24">
        <f t="shared" si="10"/>
        <v>0</v>
      </c>
      <c r="L90" s="25">
        <f t="shared" si="11"/>
        <v>0</v>
      </c>
      <c r="M90" s="24">
        <f>Data!M90</f>
        <v>0</v>
      </c>
      <c r="N90" s="24">
        <f t="shared" si="12"/>
        <v>0</v>
      </c>
      <c r="O90" s="25">
        <f t="shared" si="13"/>
        <v>0</v>
      </c>
      <c r="P90" s="24">
        <f>Data!K90</f>
        <v>0</v>
      </c>
      <c r="Q90" s="24">
        <f>Data!I90</f>
        <v>0</v>
      </c>
      <c r="R90" s="25">
        <f t="shared" si="14"/>
        <v>0</v>
      </c>
      <c r="S90" s="25">
        <f t="shared" si="15"/>
        <v>0</v>
      </c>
    </row>
    <row r="91" spans="1:19" ht="15" customHeight="1" x14ac:dyDescent="0.3">
      <c r="A91" s="22"/>
      <c r="B91" s="23"/>
      <c r="C91" s="3"/>
      <c r="D91" s="23">
        <v>2015</v>
      </c>
      <c r="E91" s="24">
        <f>Data!F91</f>
        <v>176774000000</v>
      </c>
      <c r="F91" s="24">
        <f>Data!H91</f>
        <v>62044000000</v>
      </c>
      <c r="G91" s="24">
        <f t="shared" si="8"/>
        <v>114730000000</v>
      </c>
      <c r="H91" s="24">
        <f>Data!G91</f>
        <v>4598462000000</v>
      </c>
      <c r="I91" s="25">
        <f t="shared" si="9"/>
        <v>0.16366967912315031</v>
      </c>
      <c r="J91" s="24">
        <f>Data!J91</f>
        <v>664287000000</v>
      </c>
      <c r="K91" s="24">
        <f t="shared" si="10"/>
        <v>4598462000000</v>
      </c>
      <c r="L91" s="25">
        <f t="shared" si="11"/>
        <v>0.47093476471046186</v>
      </c>
      <c r="M91" s="24">
        <f>Data!M91</f>
        <v>50463000000</v>
      </c>
      <c r="N91" s="24">
        <f t="shared" si="12"/>
        <v>4598462000000</v>
      </c>
      <c r="O91" s="25">
        <f t="shared" si="13"/>
        <v>7.3744517188573042E-2</v>
      </c>
      <c r="P91" s="24">
        <f>Data!K91</f>
        <v>1729967000000</v>
      </c>
      <c r="Q91" s="24">
        <f>Data!I91</f>
        <v>2852326000000</v>
      </c>
      <c r="R91" s="25">
        <f t="shared" si="14"/>
        <v>0.63683651518094353</v>
      </c>
      <c r="S91" s="25">
        <f t="shared" si="15"/>
        <v>1.3451854762031288</v>
      </c>
    </row>
    <row r="92" spans="1:19" ht="15" customHeight="1" x14ac:dyDescent="0.3">
      <c r="A92" s="22"/>
      <c r="B92" s="23"/>
      <c r="C92" s="3"/>
      <c r="D92" s="23">
        <v>2016</v>
      </c>
      <c r="E92" s="24">
        <f>Data!F92</f>
        <v>145345000000</v>
      </c>
      <c r="F92" s="24">
        <f>Data!H92</f>
        <v>374125000000</v>
      </c>
      <c r="G92" s="24">
        <f t="shared" si="8"/>
        <v>-228780000000</v>
      </c>
      <c r="H92" s="24">
        <f>Data!G92</f>
        <v>5298273000000</v>
      </c>
      <c r="I92" s="25">
        <f t="shared" si="9"/>
        <v>-0.28326150804233757</v>
      </c>
      <c r="J92" s="24">
        <f>Data!J92</f>
        <v>853948000000</v>
      </c>
      <c r="K92" s="24">
        <f t="shared" si="10"/>
        <v>5298273000000</v>
      </c>
      <c r="L92" s="25">
        <f t="shared" si="11"/>
        <v>0.52542979193408867</v>
      </c>
      <c r="M92" s="24">
        <f>Data!M92</f>
        <v>222436000000</v>
      </c>
      <c r="N92" s="24">
        <f t="shared" si="12"/>
        <v>5298273000000</v>
      </c>
      <c r="O92" s="25">
        <f t="shared" si="13"/>
        <v>0.28212399021341483</v>
      </c>
      <c r="P92" s="24">
        <f>Data!K92</f>
        <v>1901149000000</v>
      </c>
      <c r="Q92" s="24">
        <f>Data!I92</f>
        <v>3397124000000</v>
      </c>
      <c r="R92" s="25">
        <f t="shared" si="14"/>
        <v>0.5876165986287224</v>
      </c>
      <c r="S92" s="25">
        <f t="shared" si="15"/>
        <v>1.1119088727338884</v>
      </c>
    </row>
    <row r="93" spans="1:19" ht="15" customHeight="1" x14ac:dyDescent="0.3">
      <c r="A93" s="22"/>
      <c r="B93" s="23"/>
      <c r="C93" s="3"/>
      <c r="D93" s="23">
        <v>2017</v>
      </c>
      <c r="E93" s="24">
        <f>Data!F93</f>
        <v>151859000000</v>
      </c>
      <c r="F93" s="24">
        <f>Data!H93</f>
        <v>403817000000</v>
      </c>
      <c r="G93" s="24">
        <f t="shared" si="8"/>
        <v>-251958000000</v>
      </c>
      <c r="H93" s="24">
        <f>Data!G93</f>
        <v>5618666000000</v>
      </c>
      <c r="I93" s="25">
        <f t="shared" si="9"/>
        <v>-0.29417026746206304</v>
      </c>
      <c r="J93" s="24">
        <f>Data!J93</f>
        <v>1098328000000</v>
      </c>
      <c r="K93" s="24">
        <f t="shared" si="10"/>
        <v>5618666000000</v>
      </c>
      <c r="L93" s="25">
        <f t="shared" si="11"/>
        <v>0.63725967694111019</v>
      </c>
      <c r="M93" s="24">
        <f>Data!M93</f>
        <v>285079000000</v>
      </c>
      <c r="N93" s="24">
        <f t="shared" si="12"/>
        <v>5618666000000</v>
      </c>
      <c r="O93" s="25">
        <f t="shared" si="13"/>
        <v>0.34095831288067313</v>
      </c>
      <c r="P93" s="24">
        <f>Data!K93</f>
        <v>1270110000000</v>
      </c>
      <c r="Q93" s="24">
        <f>Data!I93</f>
        <v>4348556000000</v>
      </c>
      <c r="R93" s="25">
        <f t="shared" si="14"/>
        <v>0.30668007954824544</v>
      </c>
      <c r="S93" s="25">
        <f t="shared" si="15"/>
        <v>0.99072780190796572</v>
      </c>
    </row>
    <row r="94" spans="1:19" ht="15" customHeight="1" x14ac:dyDescent="0.3">
      <c r="A94" s="22"/>
      <c r="B94" s="23"/>
      <c r="C94" s="3"/>
      <c r="D94" s="23">
        <v>2018</v>
      </c>
      <c r="E94" s="24">
        <f>Data!F94</f>
        <v>137938000000</v>
      </c>
      <c r="F94" s="24">
        <f>Data!H94</f>
        <v>446855000000</v>
      </c>
      <c r="G94" s="24">
        <f t="shared" si="8"/>
        <v>-308917000000</v>
      </c>
      <c r="H94" s="24">
        <f>Data!G94</f>
        <v>6696353000000</v>
      </c>
      <c r="I94" s="25">
        <f t="shared" si="9"/>
        <v>-0.30262674623037344</v>
      </c>
      <c r="J94" s="24">
        <f>Data!J94</f>
        <v>1164789000000</v>
      </c>
      <c r="K94" s="24">
        <f t="shared" si="10"/>
        <v>6696353000000</v>
      </c>
      <c r="L94" s="25">
        <f t="shared" si="11"/>
        <v>0.56705674566439368</v>
      </c>
      <c r="M94" s="24">
        <f>Data!M94</f>
        <v>116022000000</v>
      </c>
      <c r="N94" s="24">
        <f t="shared" si="12"/>
        <v>6696353000000</v>
      </c>
      <c r="O94" s="25">
        <f t="shared" si="13"/>
        <v>0.11643171141067384</v>
      </c>
      <c r="P94" s="24">
        <f>Data!K94</f>
        <v>6696353000000</v>
      </c>
      <c r="Q94" s="24">
        <f>Data!I94</f>
        <v>5300406000000</v>
      </c>
      <c r="R94" s="25">
        <f t="shared" si="14"/>
        <v>1.3265343541607946</v>
      </c>
      <c r="S94" s="25">
        <f t="shared" si="15"/>
        <v>1.7073960650054887</v>
      </c>
    </row>
    <row r="95" spans="1:19" ht="15" customHeight="1" x14ac:dyDescent="0.3">
      <c r="A95" s="22"/>
      <c r="B95" s="23"/>
      <c r="C95" s="3"/>
      <c r="D95" s="23">
        <v>2019</v>
      </c>
      <c r="E95" s="24">
        <f>Data!F95</f>
        <v>130012000000</v>
      </c>
      <c r="F95" s="24">
        <f>Data!H95</f>
        <v>410765000000</v>
      </c>
      <c r="G95" s="24">
        <f t="shared" si="8"/>
        <v>-280753000000</v>
      </c>
      <c r="H95" s="24">
        <f>Data!G95</f>
        <v>8158087000000</v>
      </c>
      <c r="I95" s="25">
        <f t="shared" si="9"/>
        <v>-0.22575631762691423</v>
      </c>
      <c r="J95" s="24">
        <f>Data!J95</f>
        <v>1347007000000</v>
      </c>
      <c r="K95" s="24">
        <f t="shared" si="10"/>
        <v>8158087000000</v>
      </c>
      <c r="L95" s="25">
        <f t="shared" si="11"/>
        <v>0.53826869215785511</v>
      </c>
      <c r="M95" s="24">
        <f>Data!M95</f>
        <v>199761000000</v>
      </c>
      <c r="N95" s="24">
        <f t="shared" si="12"/>
        <v>8158087000000</v>
      </c>
      <c r="O95" s="25">
        <f t="shared" si="13"/>
        <v>0.16454763475800147</v>
      </c>
      <c r="P95" s="24">
        <f>Data!K95</f>
        <v>8158087000000</v>
      </c>
      <c r="Q95" s="24">
        <f>Data!I95</f>
        <v>6383523000000</v>
      </c>
      <c r="R95" s="25">
        <f t="shared" si="14"/>
        <v>1.3418908884639407</v>
      </c>
      <c r="S95" s="25">
        <f t="shared" si="15"/>
        <v>1.818950897752883</v>
      </c>
    </row>
    <row r="96" spans="1:19" ht="15" customHeight="1" x14ac:dyDescent="0.3">
      <c r="A96" s="22"/>
      <c r="B96" s="23"/>
      <c r="C96" s="3"/>
      <c r="D96" s="23">
        <v>2020</v>
      </c>
      <c r="E96" s="24">
        <f>Data!F96</f>
        <v>141833000000</v>
      </c>
      <c r="F96" s="24">
        <f>Data!H96</f>
        <v>418551000000</v>
      </c>
      <c r="G96" s="24">
        <f t="shared" si="8"/>
        <v>-276718000000</v>
      </c>
      <c r="H96" s="24">
        <f>Data!G96</f>
        <v>8569933000000</v>
      </c>
      <c r="I96" s="25">
        <f t="shared" si="9"/>
        <v>-0.21181846812571348</v>
      </c>
      <c r="J96" s="24">
        <f>Data!J96</f>
        <v>1562189000000</v>
      </c>
      <c r="K96" s="24">
        <f t="shared" si="10"/>
        <v>8569933000000</v>
      </c>
      <c r="L96" s="25">
        <f t="shared" si="11"/>
        <v>0.59425623747583556</v>
      </c>
      <c r="M96" s="24">
        <f>Data!M96</f>
        <v>239948000000</v>
      </c>
      <c r="N96" s="24">
        <f t="shared" si="12"/>
        <v>8569933000000</v>
      </c>
      <c r="O96" s="25">
        <f t="shared" si="13"/>
        <v>0.18815206139884638</v>
      </c>
      <c r="P96" s="24">
        <f>Data!K96</f>
        <v>1820409000000</v>
      </c>
      <c r="Q96" s="24">
        <f>Data!I96</f>
        <v>6749524000000</v>
      </c>
      <c r="R96" s="25">
        <f t="shared" si="14"/>
        <v>0.2831947038042979</v>
      </c>
      <c r="S96" s="25">
        <f t="shared" si="15"/>
        <v>0.85378453455326642</v>
      </c>
    </row>
    <row r="97" spans="1:19" ht="15" customHeight="1" x14ac:dyDescent="0.3">
      <c r="A97" s="22"/>
      <c r="B97" s="23"/>
      <c r="C97" s="3"/>
      <c r="D97" s="23">
        <v>2021</v>
      </c>
      <c r="E97" s="24">
        <f>Data!F97</f>
        <v>173195000000</v>
      </c>
      <c r="F97" s="24">
        <f>Data!H97</f>
        <v>389107000000</v>
      </c>
      <c r="G97" s="24">
        <f t="shared" si="8"/>
        <v>-215912000000</v>
      </c>
      <c r="H97" s="24">
        <f>Data!G97</f>
        <v>10111397000000</v>
      </c>
      <c r="I97" s="25">
        <f t="shared" si="9"/>
        <v>-0.14007784680989183</v>
      </c>
      <c r="J97" s="24">
        <f>Data!J97</f>
        <v>1710831000000</v>
      </c>
      <c r="K97" s="24">
        <f t="shared" si="10"/>
        <v>10111397000000</v>
      </c>
      <c r="L97" s="25">
        <f t="shared" si="11"/>
        <v>0.55158639899115813</v>
      </c>
      <c r="M97" s="24">
        <f>Data!M97</f>
        <v>181449000000</v>
      </c>
      <c r="N97" s="24">
        <f t="shared" si="12"/>
        <v>10111397000000</v>
      </c>
      <c r="O97" s="25">
        <f t="shared" si="13"/>
        <v>0.12059038726300628</v>
      </c>
      <c r="P97" s="24">
        <f>Data!K97</f>
        <v>2942125000000</v>
      </c>
      <c r="Q97" s="24">
        <f>Data!I97</f>
        <v>7169272000000</v>
      </c>
      <c r="R97" s="25">
        <f t="shared" si="14"/>
        <v>0.4308988764828563</v>
      </c>
      <c r="S97" s="25">
        <f t="shared" si="15"/>
        <v>0.96299781592712885</v>
      </c>
    </row>
    <row r="98" spans="1:19" ht="15" customHeight="1" x14ac:dyDescent="0.3">
      <c r="A98" s="22"/>
      <c r="B98" s="23"/>
      <c r="C98" s="3"/>
      <c r="D98" s="23">
        <v>2022</v>
      </c>
      <c r="E98" s="24">
        <f>Data!F98</f>
        <v>218200000000</v>
      </c>
      <c r="F98" s="24">
        <f>Data!H98</f>
        <v>384877000000</v>
      </c>
      <c r="G98" s="24">
        <f t="shared" si="8"/>
        <v>-166677000000</v>
      </c>
      <c r="H98" s="24">
        <f>Data!G98</f>
        <v>10357588000000</v>
      </c>
      <c r="I98" s="25">
        <f t="shared" si="9"/>
        <v>-0.1055652261897268</v>
      </c>
      <c r="J98" s="24">
        <f>Data!J98</f>
        <v>1889815000000</v>
      </c>
      <c r="K98" s="24">
        <f t="shared" si="10"/>
        <v>10357588000000</v>
      </c>
      <c r="L98" s="25">
        <f t="shared" si="11"/>
        <v>0.59480999823511027</v>
      </c>
      <c r="M98" s="24">
        <f>Data!M98</f>
        <v>202189000000</v>
      </c>
      <c r="N98" s="24">
        <f t="shared" si="12"/>
        <v>10357588000000</v>
      </c>
      <c r="O98" s="25">
        <f t="shared" si="13"/>
        <v>0.13118016279465836</v>
      </c>
      <c r="P98" s="24">
        <f>Data!K98</f>
        <v>3077726000000</v>
      </c>
      <c r="Q98" s="24">
        <f>Data!I98</f>
        <v>7279861000000</v>
      </c>
      <c r="R98" s="25">
        <f t="shared" si="14"/>
        <v>0.44391126423979799</v>
      </c>
      <c r="S98" s="25">
        <f t="shared" si="15"/>
        <v>1.0643361990798397</v>
      </c>
    </row>
    <row r="99" spans="1:19" ht="15" customHeight="1" x14ac:dyDescent="0.3">
      <c r="A99" s="22"/>
      <c r="B99" s="23"/>
      <c r="C99" s="3"/>
      <c r="D99" s="23">
        <v>2023</v>
      </c>
      <c r="E99" s="24">
        <f>Data!F99</f>
        <v>336666000000</v>
      </c>
      <c r="F99" s="24">
        <f>Data!H99</f>
        <v>515004000000</v>
      </c>
      <c r="G99" s="24">
        <f t="shared" si="8"/>
        <v>-178338000000</v>
      </c>
      <c r="H99" s="24">
        <f>Data!G99</f>
        <v>11033985000000</v>
      </c>
      <c r="I99" s="25">
        <f t="shared" si="9"/>
        <v>-0.10602672379924388</v>
      </c>
      <c r="J99" s="24">
        <f>Data!J99</f>
        <v>2067551000000</v>
      </c>
      <c r="K99" s="24">
        <f t="shared" si="10"/>
        <v>11033985000000</v>
      </c>
      <c r="L99" s="25">
        <f t="shared" si="11"/>
        <v>0.61085965405970732</v>
      </c>
      <c r="M99" s="24">
        <f>Data!M99</f>
        <v>204143000000</v>
      </c>
      <c r="N99" s="24">
        <f t="shared" si="12"/>
        <v>11033985000000</v>
      </c>
      <c r="O99" s="25">
        <f t="shared" si="13"/>
        <v>0.1243286953897436</v>
      </c>
      <c r="P99" s="24">
        <f>Data!K99</f>
        <v>3159009000000</v>
      </c>
      <c r="Q99" s="24">
        <f>Data!I99</f>
        <v>7874976000000</v>
      </c>
      <c r="R99" s="25">
        <f t="shared" si="14"/>
        <v>0.42120248366471214</v>
      </c>
      <c r="S99" s="25">
        <f t="shared" si="15"/>
        <v>1.0503641093149192</v>
      </c>
    </row>
    <row r="100" spans="1:19" ht="15" customHeight="1" x14ac:dyDescent="0.3">
      <c r="A100" s="22"/>
      <c r="B100" s="23"/>
      <c r="C100" s="3"/>
      <c r="D100" s="23">
        <v>2024</v>
      </c>
      <c r="E100" s="24">
        <f>Data!F100</f>
        <v>468992000000</v>
      </c>
      <c r="F100" s="24">
        <f>Data!H100</f>
        <v>403540000000</v>
      </c>
      <c r="G100" s="24">
        <f t="shared" si="8"/>
        <v>65452000000</v>
      </c>
      <c r="H100" s="24">
        <f>Data!G100</f>
        <v>11181540000000</v>
      </c>
      <c r="I100" s="25">
        <f t="shared" si="9"/>
        <v>3.8399461970354702E-2</v>
      </c>
      <c r="J100" s="24">
        <f>Data!J100</f>
        <v>2276380000000</v>
      </c>
      <c r="K100" s="24">
        <f t="shared" si="10"/>
        <v>11181540000000</v>
      </c>
      <c r="L100" s="25">
        <f t="shared" si="11"/>
        <v>0.6636830704893959</v>
      </c>
      <c r="M100" s="24">
        <f>Data!M100</f>
        <v>235293000000</v>
      </c>
      <c r="N100" s="24">
        <f t="shared" si="12"/>
        <v>11181540000000</v>
      </c>
      <c r="O100" s="25">
        <f t="shared" si="13"/>
        <v>0.14140887212316014</v>
      </c>
      <c r="P100" s="24">
        <f>Data!K100</f>
        <v>3409810000000</v>
      </c>
      <c r="Q100" s="24">
        <f>Data!I100</f>
        <v>7771730000000</v>
      </c>
      <c r="R100" s="25">
        <f t="shared" si="14"/>
        <v>0.46068256359909571</v>
      </c>
      <c r="S100" s="25">
        <f t="shared" si="15"/>
        <v>1.3041739681820064</v>
      </c>
    </row>
    <row r="101" spans="1:19" ht="15" customHeight="1" x14ac:dyDescent="0.3">
      <c r="A101" s="22"/>
      <c r="B101" s="23">
        <v>10</v>
      </c>
      <c r="C101" s="3" t="s">
        <v>13</v>
      </c>
      <c r="D101" s="23">
        <v>2014</v>
      </c>
      <c r="E101" s="24">
        <f>Data!F101</f>
        <v>0</v>
      </c>
      <c r="F101" s="24">
        <f>Data!H101</f>
        <v>0</v>
      </c>
      <c r="G101" s="24">
        <f t="shared" si="8"/>
        <v>0</v>
      </c>
      <c r="H101" s="24">
        <f>Data!G101</f>
        <v>0</v>
      </c>
      <c r="I101" s="25">
        <f t="shared" si="9"/>
        <v>0</v>
      </c>
      <c r="J101" s="24">
        <f>Data!J101</f>
        <v>0</v>
      </c>
      <c r="K101" s="24">
        <f t="shared" si="10"/>
        <v>0</v>
      </c>
      <c r="L101" s="25">
        <f t="shared" si="11"/>
        <v>0</v>
      </c>
      <c r="M101" s="24">
        <f>Data!M101</f>
        <v>0</v>
      </c>
      <c r="N101" s="24">
        <f t="shared" si="12"/>
        <v>0</v>
      </c>
      <c r="O101" s="25">
        <f t="shared" si="13"/>
        <v>0</v>
      </c>
      <c r="P101" s="24">
        <f>Data!K101</f>
        <v>0</v>
      </c>
      <c r="Q101" s="24">
        <f>Data!I101</f>
        <v>0</v>
      </c>
      <c r="R101" s="25">
        <f t="shared" si="14"/>
        <v>0</v>
      </c>
      <c r="S101" s="25">
        <f t="shared" si="15"/>
        <v>0</v>
      </c>
    </row>
    <row r="102" spans="1:19" ht="15" customHeight="1" x14ac:dyDescent="0.3">
      <c r="A102" s="22"/>
      <c r="B102" s="23"/>
      <c r="C102" s="3"/>
      <c r="D102" s="23">
        <v>2015</v>
      </c>
      <c r="E102" s="24">
        <f>Data!F102</f>
        <v>637186000000</v>
      </c>
      <c r="F102" s="24">
        <f>Data!H102</f>
        <v>554291000000</v>
      </c>
      <c r="G102" s="24">
        <f t="shared" si="8"/>
        <v>82895000000</v>
      </c>
      <c r="H102" s="24">
        <f>Data!G102</f>
        <v>4276820000000</v>
      </c>
      <c r="I102" s="25">
        <f t="shared" si="9"/>
        <v>0.12714848883048621</v>
      </c>
      <c r="J102" s="24">
        <f>Data!J102</f>
        <v>-311346000000</v>
      </c>
      <c r="K102" s="24">
        <f t="shared" si="10"/>
        <v>4276820000000</v>
      </c>
      <c r="L102" s="25">
        <f t="shared" si="11"/>
        <v>-0.23732304843318164</v>
      </c>
      <c r="M102" s="24">
        <f>Data!M102</f>
        <v>-36259000000</v>
      </c>
      <c r="N102" s="24">
        <f t="shared" si="12"/>
        <v>4276820000000</v>
      </c>
      <c r="O102" s="25">
        <f t="shared" si="13"/>
        <v>-5.6972348614157245E-2</v>
      </c>
      <c r="P102" s="24">
        <f>Data!K102</f>
        <v>468056000000</v>
      </c>
      <c r="Q102" s="24">
        <f>Data!I102</f>
        <v>3808764000000</v>
      </c>
      <c r="R102" s="25">
        <f t="shared" si="14"/>
        <v>0.12903367076563421</v>
      </c>
      <c r="S102" s="25">
        <f t="shared" si="15"/>
        <v>-3.8113237451218474E-2</v>
      </c>
    </row>
    <row r="103" spans="1:19" ht="15" customHeight="1" x14ac:dyDescent="0.3">
      <c r="A103" s="22"/>
      <c r="B103" s="23"/>
      <c r="C103" s="3"/>
      <c r="D103" s="23">
        <v>2016</v>
      </c>
      <c r="E103" s="24">
        <f>Data!F103</f>
        <v>735436000000</v>
      </c>
      <c r="F103" s="24">
        <f>Data!H103</f>
        <v>758439000000</v>
      </c>
      <c r="G103" s="24">
        <f t="shared" si="8"/>
        <v>-23003000000</v>
      </c>
      <c r="H103" s="24">
        <f>Data!G103</f>
        <v>5419377000000</v>
      </c>
      <c r="I103" s="25">
        <f t="shared" si="9"/>
        <v>-2.784446994553064E-2</v>
      </c>
      <c r="J103" s="24">
        <f>Data!J103</f>
        <v>-367751000000</v>
      </c>
      <c r="K103" s="24">
        <f t="shared" si="10"/>
        <v>5419377000000</v>
      </c>
      <c r="L103" s="25">
        <f t="shared" si="11"/>
        <v>-0.22121883382536406</v>
      </c>
      <c r="M103" s="24">
        <f>Data!M103</f>
        <v>-39756000000</v>
      </c>
      <c r="N103" s="24">
        <f t="shared" si="12"/>
        <v>5419377000000</v>
      </c>
      <c r="O103" s="25">
        <f t="shared" si="13"/>
        <v>-4.9297238409507213E-2</v>
      </c>
      <c r="P103" s="24">
        <f>Data!K103</f>
        <v>756550000000</v>
      </c>
      <c r="Q103" s="24">
        <f>Data!I103</f>
        <v>4662827000000</v>
      </c>
      <c r="R103" s="25">
        <f t="shared" si="14"/>
        <v>0.17036392300207578</v>
      </c>
      <c r="S103" s="25">
        <f t="shared" si="15"/>
        <v>-0.12799661917832614</v>
      </c>
    </row>
    <row r="104" spans="1:19" ht="15" customHeight="1" x14ac:dyDescent="0.3">
      <c r="A104" s="22"/>
      <c r="B104" s="23"/>
      <c r="C104" s="3"/>
      <c r="D104" s="23">
        <v>2017</v>
      </c>
      <c r="E104" s="24">
        <f>Data!F104</f>
        <v>1058977000000</v>
      </c>
      <c r="F104" s="24">
        <f>Data!H104</f>
        <v>935319000000</v>
      </c>
      <c r="G104" s="24">
        <f t="shared" si="8"/>
        <v>123658000000</v>
      </c>
      <c r="H104" s="24">
        <f>Data!G104</f>
        <v>6841389000000</v>
      </c>
      <c r="I104" s="25">
        <f t="shared" si="9"/>
        <v>0.11857189819201917</v>
      </c>
      <c r="J104" s="24">
        <f>Data!J104</f>
        <v>-302130000000</v>
      </c>
      <c r="K104" s="24">
        <f t="shared" si="10"/>
        <v>6841389000000</v>
      </c>
      <c r="L104" s="25">
        <f t="shared" si="11"/>
        <v>-0.14396839589153607</v>
      </c>
      <c r="M104" s="24">
        <f>Data!M104</f>
        <v>76405000000</v>
      </c>
      <c r="N104" s="24">
        <f t="shared" si="12"/>
        <v>6841389000000</v>
      </c>
      <c r="O104" s="25">
        <f t="shared" si="13"/>
        <v>7.5049321124701432E-2</v>
      </c>
      <c r="P104" s="24">
        <f>Data!K104</f>
        <v>854686000000</v>
      </c>
      <c r="Q104" s="24">
        <f>Data!I104</f>
        <v>5986467000000</v>
      </c>
      <c r="R104" s="25">
        <f t="shared" si="14"/>
        <v>0.14990816787263675</v>
      </c>
      <c r="S104" s="25">
        <f t="shared" si="15"/>
        <v>0.19956099129782129</v>
      </c>
    </row>
    <row r="105" spans="1:19" ht="15" customHeight="1" x14ac:dyDescent="0.3">
      <c r="A105" s="22"/>
      <c r="B105" s="23"/>
      <c r="C105" s="3"/>
      <c r="D105" s="23">
        <v>2018</v>
      </c>
      <c r="E105" s="24">
        <f>Data!F105</f>
        <v>1071110000000</v>
      </c>
      <c r="F105" s="24">
        <f>Data!H105</f>
        <v>1063719000000</v>
      </c>
      <c r="G105" s="24">
        <f t="shared" si="8"/>
        <v>7391000000</v>
      </c>
      <c r="H105" s="24">
        <f>Data!G105</f>
        <v>6994875000000</v>
      </c>
      <c r="I105" s="25">
        <f t="shared" si="9"/>
        <v>6.9314977036759049E-3</v>
      </c>
      <c r="J105" s="24">
        <f>Data!J105</f>
        <v>-114628000000</v>
      </c>
      <c r="K105" s="24">
        <f t="shared" si="10"/>
        <v>6994875000000</v>
      </c>
      <c r="L105" s="25">
        <f t="shared" si="11"/>
        <v>-5.3423010418341993E-2</v>
      </c>
      <c r="M105" s="24">
        <f>Data!M105</f>
        <v>145375000000</v>
      </c>
      <c r="N105" s="24">
        <f t="shared" si="12"/>
        <v>6994875000000</v>
      </c>
      <c r="O105" s="25">
        <f t="shared" si="13"/>
        <v>0.13966225272074198</v>
      </c>
      <c r="P105" s="24">
        <f>Data!K105</f>
        <v>1016575000000</v>
      </c>
      <c r="Q105" s="24">
        <f>Data!I105</f>
        <v>5972519000000</v>
      </c>
      <c r="R105" s="25">
        <f t="shared" si="14"/>
        <v>0.17871918867064299</v>
      </c>
      <c r="S105" s="25">
        <f t="shared" si="15"/>
        <v>0.27188992867671891</v>
      </c>
    </row>
    <row r="106" spans="1:19" ht="15" customHeight="1" x14ac:dyDescent="0.3">
      <c r="A106" s="22"/>
      <c r="B106" s="23"/>
      <c r="C106" s="3"/>
      <c r="D106" s="23">
        <v>2019</v>
      </c>
      <c r="E106" s="24">
        <f>Data!F106</f>
        <v>1198292000000</v>
      </c>
      <c r="F106" s="24">
        <f>Data!H106</f>
        <v>1283172000000</v>
      </c>
      <c r="G106" s="24">
        <f t="shared" si="8"/>
        <v>-84880000000</v>
      </c>
      <c r="H106" s="24">
        <f>Data!G106</f>
        <v>7060254000000</v>
      </c>
      <c r="I106" s="25">
        <f t="shared" si="9"/>
        <v>-7.88658311726462E-2</v>
      </c>
      <c r="J106" s="24">
        <f>Data!J106</f>
        <v>17335000000</v>
      </c>
      <c r="K106" s="24">
        <f t="shared" si="10"/>
        <v>7060254000000</v>
      </c>
      <c r="L106" s="25">
        <f t="shared" si="11"/>
        <v>8.0042587702935323E-3</v>
      </c>
      <c r="M106" s="24">
        <f>Data!M106</f>
        <v>181894000000</v>
      </c>
      <c r="N106" s="24">
        <f t="shared" si="12"/>
        <v>7060254000000</v>
      </c>
      <c r="O106" s="25">
        <f t="shared" si="13"/>
        <v>0.17312800361006841</v>
      </c>
      <c r="P106" s="24">
        <f>Data!K106</f>
        <v>1202982000000</v>
      </c>
      <c r="Q106" s="24">
        <f>Data!I106</f>
        <v>5843491000000</v>
      </c>
      <c r="R106" s="25">
        <f t="shared" si="14"/>
        <v>0.2161603568825553</v>
      </c>
      <c r="S106" s="25">
        <f t="shared" si="15"/>
        <v>0.31842678809027103</v>
      </c>
    </row>
    <row r="107" spans="1:19" ht="15" customHeight="1" x14ac:dyDescent="0.3">
      <c r="A107" s="22"/>
      <c r="B107" s="23"/>
      <c r="C107" s="3"/>
      <c r="D107" s="23">
        <v>2020</v>
      </c>
      <c r="E107" s="24">
        <f>Data!F107</f>
        <v>1053303000000</v>
      </c>
      <c r="F107" s="24">
        <f>Data!H107</f>
        <v>1201864000000</v>
      </c>
      <c r="G107" s="24">
        <f t="shared" si="8"/>
        <v>-148561000000</v>
      </c>
      <c r="H107" s="24">
        <f>Data!G107</f>
        <v>7356577000000</v>
      </c>
      <c r="I107" s="25">
        <f t="shared" si="9"/>
        <v>-0.13247467674164221</v>
      </c>
      <c r="J107" s="24">
        <f>Data!J107</f>
        <v>212013000000</v>
      </c>
      <c r="K107" s="24">
        <f t="shared" si="10"/>
        <v>7356577000000</v>
      </c>
      <c r="L107" s="25">
        <f t="shared" si="11"/>
        <v>9.3951627230979842E-2</v>
      </c>
      <c r="M107" s="24">
        <f>Data!M107</f>
        <v>263582000000</v>
      </c>
      <c r="N107" s="24">
        <f t="shared" si="12"/>
        <v>7356577000000</v>
      </c>
      <c r="O107" s="25">
        <f t="shared" si="13"/>
        <v>0.24077380553482958</v>
      </c>
      <c r="P107" s="24">
        <f>Data!K107</f>
        <v>1479784000000</v>
      </c>
      <c r="Q107" s="24">
        <f>Data!I107</f>
        <v>5855352000000</v>
      </c>
      <c r="R107" s="25">
        <f t="shared" si="14"/>
        <v>0.26535948650055541</v>
      </c>
      <c r="S107" s="25">
        <f t="shared" si="15"/>
        <v>0.46761024252472261</v>
      </c>
    </row>
    <row r="108" spans="1:19" ht="15" customHeight="1" x14ac:dyDescent="0.3">
      <c r="A108" s="22"/>
      <c r="B108" s="23"/>
      <c r="C108" s="3"/>
      <c r="D108" s="23">
        <v>2021</v>
      </c>
      <c r="E108" s="24">
        <f>Data!F108</f>
        <v>1394167000000</v>
      </c>
      <c r="F108" s="24">
        <f>Data!H108</f>
        <v>1067047000000</v>
      </c>
      <c r="G108" s="24">
        <f t="shared" si="8"/>
        <v>327120000000</v>
      </c>
      <c r="H108" s="24">
        <f>Data!G108</f>
        <v>7322006000000</v>
      </c>
      <c r="I108" s="25">
        <f t="shared" si="9"/>
        <v>0.29307640556426751</v>
      </c>
      <c r="J108" s="24">
        <f>Data!J108</f>
        <v>277555000000</v>
      </c>
      <c r="K108" s="24">
        <f t="shared" si="10"/>
        <v>7322006000000</v>
      </c>
      <c r="L108" s="25">
        <f t="shared" si="11"/>
        <v>0.12357669469268394</v>
      </c>
      <c r="M108" s="24">
        <f>Data!M108</f>
        <v>51297000000</v>
      </c>
      <c r="N108" s="24">
        <f t="shared" si="12"/>
        <v>7322006000000</v>
      </c>
      <c r="O108" s="25">
        <f t="shared" si="13"/>
        <v>4.7079426047998321E-2</v>
      </c>
      <c r="P108" s="24">
        <f>Data!K108</f>
        <v>1536586000000</v>
      </c>
      <c r="Q108" s="24">
        <f>Data!I108</f>
        <v>5757070000000</v>
      </c>
      <c r="R108" s="25">
        <f t="shared" si="14"/>
        <v>0.28024938032714558</v>
      </c>
      <c r="S108" s="25">
        <f t="shared" si="15"/>
        <v>0.7439819066320954</v>
      </c>
    </row>
    <row r="109" spans="1:19" ht="15" customHeight="1" x14ac:dyDescent="0.3">
      <c r="A109" s="22"/>
      <c r="B109" s="23"/>
      <c r="C109" s="3"/>
      <c r="D109" s="23">
        <v>2022</v>
      </c>
      <c r="E109" s="24">
        <f>Data!F109</f>
        <v>976840000000</v>
      </c>
      <c r="F109" s="24">
        <f>Data!H109</f>
        <v>803384000000</v>
      </c>
      <c r="G109" s="24">
        <f t="shared" si="8"/>
        <v>173456000000</v>
      </c>
      <c r="H109" s="24">
        <f>Data!G109</f>
        <v>6140160000000</v>
      </c>
      <c r="I109" s="25">
        <f t="shared" si="9"/>
        <v>0.18531623931623931</v>
      </c>
      <c r="J109" s="24">
        <f>Data!J109</f>
        <v>282700000000</v>
      </c>
      <c r="K109" s="24">
        <f t="shared" si="10"/>
        <v>6140160000000</v>
      </c>
      <c r="L109" s="25">
        <f t="shared" si="11"/>
        <v>0.15009413435480506</v>
      </c>
      <c r="M109" s="24">
        <f>Data!M109</f>
        <v>-16909000000</v>
      </c>
      <c r="N109" s="24">
        <f t="shared" si="12"/>
        <v>6140160000000</v>
      </c>
      <c r="O109" s="25">
        <f t="shared" si="13"/>
        <v>-1.8505784865540963E-2</v>
      </c>
      <c r="P109" s="24">
        <f>Data!K109</f>
        <v>1509157000000</v>
      </c>
      <c r="Q109" s="24">
        <f>Data!I109</f>
        <v>4591181000000</v>
      </c>
      <c r="R109" s="25">
        <f t="shared" si="14"/>
        <v>0.34514318864797533</v>
      </c>
      <c r="S109" s="25">
        <f t="shared" si="15"/>
        <v>0.66204777745347876</v>
      </c>
    </row>
    <row r="110" spans="1:19" ht="15" customHeight="1" x14ac:dyDescent="0.3">
      <c r="A110" s="22"/>
      <c r="B110" s="23"/>
      <c r="C110" s="3"/>
      <c r="D110" s="23">
        <v>2023</v>
      </c>
      <c r="E110" s="24">
        <f>Data!F110</f>
        <v>994473000000</v>
      </c>
      <c r="F110" s="24">
        <f>Data!H110</f>
        <v>872401000000</v>
      </c>
      <c r="G110" s="24">
        <f t="shared" si="8"/>
        <v>122072000000</v>
      </c>
      <c r="H110" s="24">
        <f>Data!G110</f>
        <v>6183771000000</v>
      </c>
      <c r="I110" s="25">
        <f t="shared" si="9"/>
        <v>0.12949902575629013</v>
      </c>
      <c r="J110" s="24">
        <f>Data!J110</f>
        <v>102775000000</v>
      </c>
      <c r="K110" s="24">
        <f t="shared" si="10"/>
        <v>6183771000000</v>
      </c>
      <c r="L110" s="25">
        <f t="shared" si="11"/>
        <v>5.4181582726785971E-2</v>
      </c>
      <c r="M110" s="24">
        <f>Data!M110</f>
        <v>-197266000000</v>
      </c>
      <c r="N110" s="24">
        <f t="shared" si="12"/>
        <v>6183771000000</v>
      </c>
      <c r="O110" s="25">
        <f t="shared" si="13"/>
        <v>-0.21437202638972239</v>
      </c>
      <c r="P110" s="24">
        <f>Data!K110</f>
        <v>1346152000000</v>
      </c>
      <c r="Q110" s="24">
        <f>Data!I110</f>
        <v>4795308000000</v>
      </c>
      <c r="R110" s="25">
        <f t="shared" si="14"/>
        <v>0.29475887680207408</v>
      </c>
      <c r="S110" s="25">
        <f t="shared" si="15"/>
        <v>0.26406745889542782</v>
      </c>
    </row>
    <row r="111" spans="1:19" ht="15" customHeight="1" x14ac:dyDescent="0.3">
      <c r="A111" s="22"/>
      <c r="B111" s="23"/>
      <c r="C111" s="3"/>
      <c r="D111" s="23">
        <v>2024</v>
      </c>
      <c r="E111" s="24">
        <f>Data!F111</f>
        <v>843435000000</v>
      </c>
      <c r="F111" s="24">
        <f>Data!H111</f>
        <v>874886000000</v>
      </c>
      <c r="G111" s="24">
        <f t="shared" si="8"/>
        <v>-31451000000</v>
      </c>
      <c r="H111" s="24">
        <f>Data!G111</f>
        <v>5946070000000</v>
      </c>
      <c r="I111" s="25">
        <f t="shared" si="9"/>
        <v>-3.4698306612602946E-2</v>
      </c>
      <c r="J111" s="24">
        <f>Data!J111</f>
        <v>16039000000</v>
      </c>
      <c r="K111" s="24">
        <f t="shared" si="10"/>
        <v>5946070000000</v>
      </c>
      <c r="L111" s="25">
        <f t="shared" si="11"/>
        <v>8.7935628070305253E-3</v>
      </c>
      <c r="M111" s="24">
        <f>Data!M111</f>
        <v>-133294000000</v>
      </c>
      <c r="N111" s="24">
        <f t="shared" si="12"/>
        <v>5946070000000</v>
      </c>
      <c r="O111" s="25">
        <f t="shared" si="13"/>
        <v>-0.1506433123054387</v>
      </c>
      <c r="P111" s="24">
        <f>Data!K111</f>
        <v>1172763000000</v>
      </c>
      <c r="Q111" s="24">
        <f>Data!I111</f>
        <v>4725950000000</v>
      </c>
      <c r="R111" s="25">
        <f t="shared" si="14"/>
        <v>0.26056161195103633</v>
      </c>
      <c r="S111" s="25">
        <f t="shared" si="15"/>
        <v>8.4013555840025206E-2</v>
      </c>
    </row>
    <row r="112" spans="1:19" ht="15" customHeight="1" x14ac:dyDescent="0.3">
      <c r="A112" s="22"/>
      <c r="B112" s="23">
        <v>11</v>
      </c>
      <c r="C112" s="3" t="s">
        <v>23</v>
      </c>
      <c r="D112" s="23">
        <v>2014</v>
      </c>
      <c r="E112" s="24">
        <f>Data!F112</f>
        <v>0</v>
      </c>
      <c r="F112" s="24">
        <f>Data!H112</f>
        <v>0</v>
      </c>
      <c r="G112" s="24">
        <f t="shared" si="8"/>
        <v>0</v>
      </c>
      <c r="H112" s="24">
        <f>Data!G112</f>
        <v>0</v>
      </c>
      <c r="I112" s="25">
        <f t="shared" si="9"/>
        <v>0</v>
      </c>
      <c r="J112" s="24">
        <f>Data!J112</f>
        <v>0</v>
      </c>
      <c r="K112" s="24">
        <f t="shared" si="10"/>
        <v>0</v>
      </c>
      <c r="L112" s="25">
        <f t="shared" si="11"/>
        <v>0</v>
      </c>
      <c r="M112" s="24">
        <f>Data!M112</f>
        <v>0</v>
      </c>
      <c r="N112" s="24">
        <f t="shared" si="12"/>
        <v>0</v>
      </c>
      <c r="O112" s="25">
        <f t="shared" si="13"/>
        <v>0</v>
      </c>
      <c r="P112" s="24">
        <f>Data!K112</f>
        <v>0</v>
      </c>
      <c r="Q112" s="24">
        <f>Data!I112</f>
        <v>0</v>
      </c>
      <c r="R112" s="25">
        <f t="shared" si="14"/>
        <v>0</v>
      </c>
      <c r="S112" s="25">
        <f t="shared" si="15"/>
        <v>0</v>
      </c>
    </row>
    <row r="113" spans="1:19" ht="15" customHeight="1" x14ac:dyDescent="0.3">
      <c r="A113" s="22"/>
      <c r="B113" s="23"/>
      <c r="C113" s="3"/>
      <c r="D113" s="23">
        <v>2015</v>
      </c>
      <c r="E113" s="24">
        <f>Data!F113</f>
        <v>0</v>
      </c>
      <c r="F113" s="24">
        <f>Data!H113</f>
        <v>0</v>
      </c>
      <c r="G113" s="24">
        <f t="shared" si="8"/>
        <v>0</v>
      </c>
      <c r="H113" s="24">
        <f>Data!G113</f>
        <v>0</v>
      </c>
      <c r="I113" s="25">
        <f t="shared" si="9"/>
        <v>0</v>
      </c>
      <c r="J113" s="24">
        <f>Data!J113</f>
        <v>0</v>
      </c>
      <c r="K113" s="24">
        <f t="shared" si="10"/>
        <v>0</v>
      </c>
      <c r="L113" s="25">
        <f t="shared" si="11"/>
        <v>0</v>
      </c>
      <c r="M113" s="24">
        <f>Data!M113</f>
        <v>0</v>
      </c>
      <c r="N113" s="24">
        <f t="shared" si="12"/>
        <v>0</v>
      </c>
      <c r="O113" s="25">
        <f t="shared" si="13"/>
        <v>0</v>
      </c>
      <c r="P113" s="24">
        <f>Data!K113</f>
        <v>0</v>
      </c>
      <c r="Q113" s="24">
        <f>Data!I113</f>
        <v>0</v>
      </c>
      <c r="R113" s="25">
        <f t="shared" si="14"/>
        <v>0</v>
      </c>
      <c r="S113" s="25">
        <f t="shared" si="15"/>
        <v>0</v>
      </c>
    </row>
    <row r="114" spans="1:19" ht="15" customHeight="1" x14ac:dyDescent="0.3">
      <c r="A114" s="22"/>
      <c r="B114" s="23"/>
      <c r="C114" s="3"/>
      <c r="D114" s="23">
        <v>2016</v>
      </c>
      <c r="E114" s="24">
        <f>Data!F114</f>
        <v>0</v>
      </c>
      <c r="F114" s="24">
        <f>Data!H114</f>
        <v>0</v>
      </c>
      <c r="G114" s="24">
        <f t="shared" si="8"/>
        <v>0</v>
      </c>
      <c r="H114" s="24">
        <f>Data!G114</f>
        <v>0</v>
      </c>
      <c r="I114" s="25">
        <f t="shared" si="9"/>
        <v>0</v>
      </c>
      <c r="J114" s="24">
        <f>Data!J114</f>
        <v>0</v>
      </c>
      <c r="K114" s="24">
        <f t="shared" si="10"/>
        <v>0</v>
      </c>
      <c r="L114" s="25">
        <f t="shared" si="11"/>
        <v>0</v>
      </c>
      <c r="M114" s="24">
        <f>Data!M114</f>
        <v>0</v>
      </c>
      <c r="N114" s="24">
        <f t="shared" si="12"/>
        <v>0</v>
      </c>
      <c r="O114" s="25">
        <f t="shared" si="13"/>
        <v>0</v>
      </c>
      <c r="P114" s="24">
        <f>Data!K114</f>
        <v>0</v>
      </c>
      <c r="Q114" s="24">
        <f>Data!I114</f>
        <v>0</v>
      </c>
      <c r="R114" s="25">
        <f t="shared" si="14"/>
        <v>0</v>
      </c>
      <c r="S114" s="25">
        <f t="shared" si="15"/>
        <v>0</v>
      </c>
    </row>
    <row r="115" spans="1:19" ht="15" customHeight="1" x14ac:dyDescent="0.3">
      <c r="A115" s="22"/>
      <c r="B115" s="23"/>
      <c r="C115" s="3"/>
      <c r="D115" s="23">
        <v>2017</v>
      </c>
      <c r="E115" s="24">
        <f>Data!F115</f>
        <v>0</v>
      </c>
      <c r="F115" s="24">
        <f>Data!H115</f>
        <v>0</v>
      </c>
      <c r="G115" s="24">
        <f t="shared" si="8"/>
        <v>0</v>
      </c>
      <c r="H115" s="24">
        <f>Data!G115</f>
        <v>0</v>
      </c>
      <c r="I115" s="25">
        <f t="shared" si="9"/>
        <v>0</v>
      </c>
      <c r="J115" s="24">
        <f>Data!J115</f>
        <v>0</v>
      </c>
      <c r="K115" s="24">
        <f t="shared" si="10"/>
        <v>0</v>
      </c>
      <c r="L115" s="25">
        <f t="shared" si="11"/>
        <v>0</v>
      </c>
      <c r="M115" s="24">
        <f>Data!M115</f>
        <v>0</v>
      </c>
      <c r="N115" s="24">
        <f t="shared" si="12"/>
        <v>0</v>
      </c>
      <c r="O115" s="25">
        <f t="shared" si="13"/>
        <v>0</v>
      </c>
      <c r="P115" s="24">
        <f>Data!K115</f>
        <v>0</v>
      </c>
      <c r="Q115" s="24">
        <f>Data!I115</f>
        <v>0</v>
      </c>
      <c r="R115" s="25">
        <f t="shared" si="14"/>
        <v>0</v>
      </c>
      <c r="S115" s="25">
        <f t="shared" si="15"/>
        <v>0</v>
      </c>
    </row>
    <row r="116" spans="1:19" ht="15" customHeight="1" x14ac:dyDescent="0.3">
      <c r="A116" s="22"/>
      <c r="B116" s="23"/>
      <c r="C116" s="3"/>
      <c r="D116" s="23">
        <v>2018</v>
      </c>
      <c r="E116" s="24">
        <f>Data!F116</f>
        <v>0</v>
      </c>
      <c r="F116" s="24">
        <f>Data!H116</f>
        <v>0</v>
      </c>
      <c r="G116" s="24">
        <f t="shared" si="8"/>
        <v>0</v>
      </c>
      <c r="H116" s="24">
        <f>Data!G116</f>
        <v>0</v>
      </c>
      <c r="I116" s="25">
        <f t="shared" si="9"/>
        <v>0</v>
      </c>
      <c r="J116" s="24">
        <f>Data!J116</f>
        <v>0</v>
      </c>
      <c r="K116" s="24">
        <f t="shared" si="10"/>
        <v>0</v>
      </c>
      <c r="L116" s="25">
        <f t="shared" si="11"/>
        <v>0</v>
      </c>
      <c r="M116" s="24">
        <f>Data!M116</f>
        <v>0</v>
      </c>
      <c r="N116" s="24">
        <f t="shared" si="12"/>
        <v>0</v>
      </c>
      <c r="O116" s="25">
        <f t="shared" si="13"/>
        <v>0</v>
      </c>
      <c r="P116" s="24">
        <f>Data!K116</f>
        <v>0</v>
      </c>
      <c r="Q116" s="24">
        <f>Data!I116</f>
        <v>0</v>
      </c>
      <c r="R116" s="25">
        <f t="shared" si="14"/>
        <v>0</v>
      </c>
      <c r="S116" s="25">
        <f t="shared" si="15"/>
        <v>0</v>
      </c>
    </row>
    <row r="117" spans="1:19" ht="15" customHeight="1" x14ac:dyDescent="0.3">
      <c r="A117" s="22"/>
      <c r="B117" s="23"/>
      <c r="C117" s="3"/>
      <c r="D117" s="23">
        <v>2019</v>
      </c>
      <c r="E117" s="24">
        <f>Data!F117</f>
        <v>0</v>
      </c>
      <c r="F117" s="24">
        <f>Data!H117</f>
        <v>0</v>
      </c>
      <c r="G117" s="24">
        <f t="shared" si="8"/>
        <v>0</v>
      </c>
      <c r="H117" s="24">
        <f>Data!G117</f>
        <v>0</v>
      </c>
      <c r="I117" s="25">
        <f t="shared" si="9"/>
        <v>0</v>
      </c>
      <c r="J117" s="24">
        <f>Data!J117</f>
        <v>0</v>
      </c>
      <c r="K117" s="24">
        <f t="shared" si="10"/>
        <v>0</v>
      </c>
      <c r="L117" s="25">
        <f t="shared" si="11"/>
        <v>0</v>
      </c>
      <c r="M117" s="24">
        <f>Data!M117</f>
        <v>0</v>
      </c>
      <c r="N117" s="24">
        <f t="shared" si="12"/>
        <v>0</v>
      </c>
      <c r="O117" s="25">
        <f t="shared" si="13"/>
        <v>0</v>
      </c>
      <c r="P117" s="24">
        <f>Data!K117</f>
        <v>0</v>
      </c>
      <c r="Q117" s="24">
        <f>Data!I117</f>
        <v>0</v>
      </c>
      <c r="R117" s="25">
        <f t="shared" si="14"/>
        <v>0</v>
      </c>
      <c r="S117" s="25">
        <f t="shared" si="15"/>
        <v>0</v>
      </c>
    </row>
    <row r="118" spans="1:19" ht="15" customHeight="1" x14ac:dyDescent="0.3">
      <c r="A118" s="22"/>
      <c r="B118" s="23"/>
      <c r="C118" s="3"/>
      <c r="D118" s="23">
        <v>2020</v>
      </c>
      <c r="E118" s="24">
        <f>Data!F118</f>
        <v>120233000000</v>
      </c>
      <c r="F118" s="24">
        <f>Data!H118</f>
        <v>3784000000</v>
      </c>
      <c r="G118" s="24">
        <f t="shared" si="8"/>
        <v>116449000000</v>
      </c>
      <c r="H118" s="24">
        <f>Data!G118</f>
        <v>153511000000</v>
      </c>
      <c r="I118" s="25">
        <f t="shared" si="9"/>
        <v>4.976226068490206</v>
      </c>
      <c r="J118" s="24">
        <f>Data!J118</f>
        <v>-273000000</v>
      </c>
      <c r="K118" s="24">
        <f t="shared" si="10"/>
        <v>153511000000</v>
      </c>
      <c r="L118" s="25">
        <f t="shared" si="11"/>
        <v>-5.7974998534306987E-3</v>
      </c>
      <c r="M118" s="24">
        <f>Data!M118</f>
        <v>-273000000</v>
      </c>
      <c r="N118" s="24">
        <f t="shared" si="12"/>
        <v>153511000000</v>
      </c>
      <c r="O118" s="25">
        <f t="shared" si="13"/>
        <v>-1.1950674544495183E-2</v>
      </c>
      <c r="P118" s="24">
        <f>Data!K118</f>
        <v>149727000000</v>
      </c>
      <c r="Q118" s="24">
        <f>Data!I118</f>
        <v>3784000000</v>
      </c>
      <c r="R118" s="25">
        <f t="shared" si="14"/>
        <v>41.546868393234675</v>
      </c>
      <c r="S118" s="25">
        <f t="shared" si="15"/>
        <v>46.505346287326958</v>
      </c>
    </row>
    <row r="119" spans="1:19" ht="15" customHeight="1" x14ac:dyDescent="0.3">
      <c r="A119" s="22"/>
      <c r="B119" s="23"/>
      <c r="C119" s="3"/>
      <c r="D119" s="23">
        <v>2021</v>
      </c>
      <c r="E119" s="24">
        <f>Data!F119</f>
        <v>7302102000000</v>
      </c>
      <c r="F119" s="24">
        <f>Data!H119</f>
        <v>102752000000</v>
      </c>
      <c r="G119" s="24">
        <f t="shared" si="8"/>
        <v>7199350000000</v>
      </c>
      <c r="H119" s="24">
        <f>Data!G119</f>
        <v>21046070000000</v>
      </c>
      <c r="I119" s="25">
        <f t="shared" si="9"/>
        <v>2.2440168639560736</v>
      </c>
      <c r="J119" s="24">
        <f>Data!J119</f>
        <v>-94442000000</v>
      </c>
      <c r="K119" s="24">
        <f t="shared" si="10"/>
        <v>21046070000000</v>
      </c>
      <c r="L119" s="25">
        <f t="shared" si="11"/>
        <v>-1.462890316339345E-2</v>
      </c>
      <c r="M119" s="24">
        <f>Data!M119</f>
        <v>-95754000000</v>
      </c>
      <c r="N119" s="24">
        <f t="shared" si="12"/>
        <v>21046070000000</v>
      </c>
      <c r="O119" s="25">
        <f t="shared" si="13"/>
        <v>-3.0574206015659931E-2</v>
      </c>
      <c r="P119" s="24">
        <f>Data!K119</f>
        <v>985643000000</v>
      </c>
      <c r="Q119" s="24">
        <f>Data!I119</f>
        <v>20060427000000</v>
      </c>
      <c r="R119" s="25">
        <f t="shared" si="14"/>
        <v>5.1590384890610755E-2</v>
      </c>
      <c r="S119" s="25">
        <f t="shared" si="15"/>
        <v>2.2504041396676313</v>
      </c>
    </row>
    <row r="120" spans="1:19" ht="15" customHeight="1" x14ac:dyDescent="0.3">
      <c r="A120" s="22"/>
      <c r="B120" s="23"/>
      <c r="C120" s="3"/>
      <c r="D120" s="23">
        <v>2022</v>
      </c>
      <c r="E120" s="24">
        <f>Data!F120</f>
        <v>1270882000000</v>
      </c>
      <c r="F120" s="24">
        <f>Data!H120</f>
        <v>661209000000</v>
      </c>
      <c r="G120" s="24">
        <f t="shared" si="8"/>
        <v>609673000000</v>
      </c>
      <c r="H120" s="24">
        <f>Data!G120</f>
        <v>30095971000000</v>
      </c>
      <c r="I120" s="25">
        <f t="shared" si="9"/>
        <v>0.13289004298947524</v>
      </c>
      <c r="J120" s="24">
        <f>Data!J120</f>
        <v>31908000000</v>
      </c>
      <c r="K120" s="24">
        <f t="shared" si="10"/>
        <v>30095971000000</v>
      </c>
      <c r="L120" s="25">
        <f t="shared" si="11"/>
        <v>3.4562792474780095E-3</v>
      </c>
      <c r="M120" s="24">
        <f>Data!M120</f>
        <v>128241000000</v>
      </c>
      <c r="N120" s="24">
        <f t="shared" si="12"/>
        <v>30095971000000</v>
      </c>
      <c r="O120" s="25">
        <f t="shared" si="13"/>
        <v>2.8634381658594766E-2</v>
      </c>
      <c r="P120" s="24">
        <f>Data!K120</f>
        <v>2304125000000</v>
      </c>
      <c r="Q120" s="24">
        <f>Data!I120</f>
        <v>27791846000000</v>
      </c>
      <c r="R120" s="25">
        <f t="shared" si="14"/>
        <v>8.7051837074802449E-2</v>
      </c>
      <c r="S120" s="25">
        <f t="shared" si="15"/>
        <v>0.25203254097035049</v>
      </c>
    </row>
    <row r="121" spans="1:19" ht="15" customHeight="1" x14ac:dyDescent="0.3">
      <c r="A121" s="22"/>
      <c r="B121" s="23"/>
      <c r="C121" s="3"/>
      <c r="D121" s="23">
        <v>2023</v>
      </c>
      <c r="E121" s="24">
        <f>Data!F121</f>
        <v>2729104000000</v>
      </c>
      <c r="F121" s="24">
        <f>Data!H121</f>
        <v>1279533000000</v>
      </c>
      <c r="G121" s="24">
        <f t="shared" si="8"/>
        <v>1449571000000</v>
      </c>
      <c r="H121" s="24">
        <f>Data!G121</f>
        <v>33088034000000</v>
      </c>
      <c r="I121" s="25">
        <f t="shared" si="9"/>
        <v>0.28739047354702307</v>
      </c>
      <c r="J121" s="24">
        <f>Data!J121</f>
        <v>-627610000000</v>
      </c>
      <c r="K121" s="24">
        <f t="shared" si="10"/>
        <v>33088034000000</v>
      </c>
      <c r="L121" s="25">
        <f t="shared" si="11"/>
        <v>-6.183530275627739E-2</v>
      </c>
      <c r="M121" s="24">
        <f>Data!M121</f>
        <v>-662039000000</v>
      </c>
      <c r="N121" s="24">
        <f t="shared" si="12"/>
        <v>33088034000000</v>
      </c>
      <c r="O121" s="25">
        <f t="shared" si="13"/>
        <v>-0.134456525280408</v>
      </c>
      <c r="P121" s="24">
        <f>Data!K121</f>
        <v>3032730000000</v>
      </c>
      <c r="Q121" s="24">
        <f>Data!I121</f>
        <v>30055304000000</v>
      </c>
      <c r="R121" s="25">
        <f t="shared" si="14"/>
        <v>0.1059502342747889</v>
      </c>
      <c r="S121" s="25">
        <f t="shared" si="15"/>
        <v>0.19704887978512658</v>
      </c>
    </row>
    <row r="122" spans="1:19" ht="15" customHeight="1" x14ac:dyDescent="0.3">
      <c r="A122" s="22"/>
      <c r="B122" s="23"/>
      <c r="C122" s="3"/>
      <c r="D122" s="23">
        <v>2024</v>
      </c>
      <c r="E122" s="24">
        <f>Data!F122</f>
        <v>4133622000000</v>
      </c>
      <c r="F122" s="24">
        <f>Data!H122</f>
        <v>753219000000</v>
      </c>
      <c r="G122" s="24">
        <f t="shared" si="8"/>
        <v>3380403000000</v>
      </c>
      <c r="H122" s="24">
        <f>Data!G122</f>
        <v>34967966000000</v>
      </c>
      <c r="I122" s="25">
        <f t="shared" si="9"/>
        <v>0.63416452875754903</v>
      </c>
      <c r="J122" s="24">
        <f>Data!J122</f>
        <v>-48433000000</v>
      </c>
      <c r="K122" s="24">
        <f t="shared" si="10"/>
        <v>34967966000000</v>
      </c>
      <c r="L122" s="25">
        <f t="shared" si="11"/>
        <v>-4.515320679504207E-3</v>
      </c>
      <c r="M122" s="24">
        <f>Data!M122</f>
        <v>-94851000000</v>
      </c>
      <c r="N122" s="24">
        <f t="shared" si="12"/>
        <v>34967966000000</v>
      </c>
      <c r="O122" s="25">
        <f t="shared" si="13"/>
        <v>-1.8228075376188594E-2</v>
      </c>
      <c r="P122" s="24">
        <f>Data!K122</f>
        <v>4225124000000</v>
      </c>
      <c r="Q122" s="24">
        <f>Data!I122</f>
        <v>30742842000000</v>
      </c>
      <c r="R122" s="25">
        <f t="shared" si="14"/>
        <v>0.1443061184779208</v>
      </c>
      <c r="S122" s="25">
        <f t="shared" si="15"/>
        <v>0.75572725117977702</v>
      </c>
    </row>
    <row r="123" spans="1:19" ht="15" customHeight="1" x14ac:dyDescent="0.3">
      <c r="A123" s="22"/>
      <c r="B123" s="23">
        <v>12</v>
      </c>
      <c r="C123" s="3" t="s">
        <v>24</v>
      </c>
      <c r="D123" s="23">
        <v>2014</v>
      </c>
      <c r="E123" s="24">
        <f>Data!F123</f>
        <v>0</v>
      </c>
      <c r="F123" s="24">
        <f>Data!H123</f>
        <v>0</v>
      </c>
      <c r="G123" s="24">
        <f t="shared" si="8"/>
        <v>0</v>
      </c>
      <c r="H123" s="24">
        <f>Data!G123</f>
        <v>0</v>
      </c>
      <c r="I123" s="25">
        <f t="shared" si="9"/>
        <v>0</v>
      </c>
      <c r="J123" s="24">
        <f>Data!J123</f>
        <v>0</v>
      </c>
      <c r="K123" s="24">
        <f t="shared" si="10"/>
        <v>0</v>
      </c>
      <c r="L123" s="25">
        <f t="shared" si="11"/>
        <v>0</v>
      </c>
      <c r="M123" s="24">
        <f>Data!M123</f>
        <v>0</v>
      </c>
      <c r="N123" s="24">
        <f t="shared" si="12"/>
        <v>0</v>
      </c>
      <c r="O123" s="25">
        <f t="shared" si="13"/>
        <v>0</v>
      </c>
      <c r="P123" s="24">
        <f>Data!K123</f>
        <v>0</v>
      </c>
      <c r="Q123" s="24">
        <f>Data!I123</f>
        <v>0</v>
      </c>
      <c r="R123" s="25">
        <f t="shared" si="14"/>
        <v>0</v>
      </c>
      <c r="S123" s="25">
        <f t="shared" si="15"/>
        <v>0</v>
      </c>
    </row>
    <row r="124" spans="1:19" ht="15" customHeight="1" x14ac:dyDescent="0.3">
      <c r="A124" s="22"/>
      <c r="B124" s="23"/>
      <c r="C124" s="3"/>
      <c r="D124" s="23">
        <v>2015</v>
      </c>
      <c r="E124" s="24">
        <f>Data!F124</f>
        <v>1805199388976</v>
      </c>
      <c r="F124" s="24">
        <f>Data!H124</f>
        <v>139573940067</v>
      </c>
      <c r="G124" s="24">
        <f t="shared" si="8"/>
        <v>1665625448909</v>
      </c>
      <c r="H124" s="24">
        <f>Data!G124</f>
        <v>1841695394740</v>
      </c>
      <c r="I124" s="25">
        <f t="shared" si="9"/>
        <v>5.9328502292234813</v>
      </c>
      <c r="J124" s="24">
        <f>Data!J124</f>
        <v>302931094425</v>
      </c>
      <c r="K124" s="24">
        <f t="shared" si="10"/>
        <v>1841695394740</v>
      </c>
      <c r="L124" s="25">
        <f t="shared" si="11"/>
        <v>0.53622079451684646</v>
      </c>
      <c r="M124" s="24">
        <f>Data!M124</f>
        <v>211795357332</v>
      </c>
      <c r="N124" s="24">
        <f t="shared" si="12"/>
        <v>1841695394740</v>
      </c>
      <c r="O124" s="25">
        <f t="shared" si="13"/>
        <v>0.77280141185994999</v>
      </c>
      <c r="P124" s="24">
        <f>Data!K124</f>
        <v>1302931094425</v>
      </c>
      <c r="Q124" s="24">
        <f>Data!I124</f>
        <v>538764300315</v>
      </c>
      <c r="R124" s="25">
        <f t="shared" si="14"/>
        <v>2.5392878636286302</v>
      </c>
      <c r="S124" s="25">
        <f t="shared" si="15"/>
        <v>9.7811602992289082</v>
      </c>
    </row>
    <row r="125" spans="1:19" ht="15" customHeight="1" x14ac:dyDescent="0.3">
      <c r="A125" s="22"/>
      <c r="B125" s="23"/>
      <c r="C125" s="3"/>
      <c r="D125" s="23">
        <v>2016</v>
      </c>
      <c r="E125" s="24">
        <f>Data!F125</f>
        <v>2092443469103</v>
      </c>
      <c r="F125" s="24">
        <f>Data!H125</f>
        <v>195681769660</v>
      </c>
      <c r="G125" s="24">
        <f t="shared" si="8"/>
        <v>1896761699443</v>
      </c>
      <c r="H125" s="24">
        <f>Data!G125</f>
        <v>2128604012037</v>
      </c>
      <c r="I125" s="25">
        <f t="shared" si="9"/>
        <v>5.8455009376961549</v>
      </c>
      <c r="J125" s="24">
        <f>Data!J125</f>
        <v>386071504924</v>
      </c>
      <c r="K125" s="24">
        <f t="shared" si="10"/>
        <v>2128604012037</v>
      </c>
      <c r="L125" s="25">
        <f t="shared" si="11"/>
        <v>0.59127630077508408</v>
      </c>
      <c r="M125" s="24">
        <f>Data!M125</f>
        <v>194741641066</v>
      </c>
      <c r="N125" s="24">
        <f t="shared" si="12"/>
        <v>2128604012037</v>
      </c>
      <c r="O125" s="25">
        <f t="shared" si="13"/>
        <v>0.61479909864079141</v>
      </c>
      <c r="P125" s="24">
        <f>Data!K125</f>
        <v>1386071504924</v>
      </c>
      <c r="Q125" s="24">
        <f>Data!I125</f>
        <v>742532507113</v>
      </c>
      <c r="R125" s="25">
        <f t="shared" si="14"/>
        <v>1.9600153073819815</v>
      </c>
      <c r="S125" s="25">
        <f t="shared" si="15"/>
        <v>9.0115916444940112</v>
      </c>
    </row>
    <row r="126" spans="1:19" ht="15" customHeight="1" x14ac:dyDescent="0.3">
      <c r="A126" s="22"/>
      <c r="B126" s="23"/>
      <c r="C126" s="3"/>
      <c r="D126" s="23">
        <v>2017</v>
      </c>
      <c r="E126" s="24">
        <f>Data!F126</f>
        <v>2146187267881</v>
      </c>
      <c r="F126" s="24">
        <f>Data!H126</f>
        <v>155487317812</v>
      </c>
      <c r="G126" s="24">
        <f t="shared" si="8"/>
        <v>1990699950069</v>
      </c>
      <c r="H126" s="24">
        <f>Data!G126</f>
        <v>2224965279992</v>
      </c>
      <c r="I126" s="25">
        <f t="shared" si="9"/>
        <v>5.869301327928854</v>
      </c>
      <c r="J126" s="24">
        <f>Data!J126</f>
        <v>444378094629</v>
      </c>
      <c r="K126" s="24">
        <f t="shared" si="10"/>
        <v>2224965279992</v>
      </c>
      <c r="L126" s="25">
        <f t="shared" si="11"/>
        <v>0.65109896388843813</v>
      </c>
      <c r="M126" s="24">
        <f>Data!M126</f>
        <v>215384180078</v>
      </c>
      <c r="N126" s="24">
        <f t="shared" si="12"/>
        <v>2224965279992</v>
      </c>
      <c r="O126" s="25">
        <f t="shared" si="13"/>
        <v>0.65051877579382456</v>
      </c>
      <c r="P126" s="24">
        <f>Data!K126</f>
        <v>1444378094629</v>
      </c>
      <c r="Q126" s="24">
        <f>Data!I126</f>
        <v>780587185363</v>
      </c>
      <c r="R126" s="25">
        <f t="shared" si="14"/>
        <v>1.9428925145051927</v>
      </c>
      <c r="S126" s="25">
        <f t="shared" si="15"/>
        <v>9.113811582116309</v>
      </c>
    </row>
    <row r="127" spans="1:19" ht="15" customHeight="1" x14ac:dyDescent="0.3">
      <c r="A127" s="22"/>
      <c r="B127" s="23"/>
      <c r="C127" s="3"/>
      <c r="D127" s="23">
        <v>2018</v>
      </c>
      <c r="E127" s="24">
        <f>Data!F127</f>
        <v>2065764439517</v>
      </c>
      <c r="F127" s="24">
        <f>Data!H127</f>
        <v>128223143455</v>
      </c>
      <c r="G127" s="24">
        <f t="shared" si="8"/>
        <v>1937541296062</v>
      </c>
      <c r="H127" s="24">
        <f>Data!G127</f>
        <v>2146354535548</v>
      </c>
      <c r="I127" s="25">
        <f t="shared" si="9"/>
        <v>5.9217946949857359</v>
      </c>
      <c r="J127" s="24">
        <f>Data!J127</f>
        <v>345814587664</v>
      </c>
      <c r="K127" s="24">
        <f t="shared" si="10"/>
        <v>2146354535548</v>
      </c>
      <c r="L127" s="25">
        <f t="shared" si="11"/>
        <v>0.52524200317950143</v>
      </c>
      <c r="M127" s="24">
        <f>Data!M127</f>
        <v>161346218416</v>
      </c>
      <c r="N127" s="24">
        <f t="shared" si="12"/>
        <v>2146354535548</v>
      </c>
      <c r="O127" s="25">
        <f t="shared" si="13"/>
        <v>0.50515726539962968</v>
      </c>
      <c r="P127" s="24">
        <f>Data!K127</f>
        <v>1345814587664</v>
      </c>
      <c r="Q127" s="24">
        <f>Data!I127</f>
        <v>800539947884</v>
      </c>
      <c r="R127" s="25">
        <f t="shared" si="14"/>
        <v>1.7651902578782517</v>
      </c>
      <c r="S127" s="25">
        <f t="shared" si="15"/>
        <v>8.717384221443119</v>
      </c>
    </row>
    <row r="128" spans="1:19" ht="15" customHeight="1" x14ac:dyDescent="0.3">
      <c r="A128" s="22"/>
      <c r="B128" s="23"/>
      <c r="C128" s="3"/>
      <c r="D128" s="23">
        <v>2019</v>
      </c>
      <c r="E128" s="24">
        <f>Data!F128</f>
        <v>2120194006427</v>
      </c>
      <c r="F128" s="24">
        <f>Data!H128</f>
        <v>126084240451</v>
      </c>
      <c r="G128" s="24">
        <f t="shared" si="8"/>
        <v>1994109765976</v>
      </c>
      <c r="H128" s="24">
        <f>Data!G128</f>
        <v>2200245923342</v>
      </c>
      <c r="I128" s="25">
        <f t="shared" si="9"/>
        <v>5.9454081591629562</v>
      </c>
      <c r="J128" s="24">
        <f>Data!J128</f>
        <v>366871069077</v>
      </c>
      <c r="K128" s="24">
        <f t="shared" si="10"/>
        <v>2200245923342</v>
      </c>
      <c r="L128" s="25">
        <f t="shared" si="11"/>
        <v>0.54357545786263328</v>
      </c>
      <c r="M128" s="24">
        <f>Data!M128</f>
        <v>137648808115</v>
      </c>
      <c r="N128" s="24">
        <f t="shared" si="12"/>
        <v>2200245923342</v>
      </c>
      <c r="O128" s="25">
        <f t="shared" si="13"/>
        <v>0.42040754659269991</v>
      </c>
      <c r="P128" s="24">
        <f>Data!K128</f>
        <v>1316871069007</v>
      </c>
      <c r="Q128" s="24">
        <f>Data!I128</f>
        <v>883374854335</v>
      </c>
      <c r="R128" s="25">
        <f t="shared" si="14"/>
        <v>1.5652637333652093</v>
      </c>
      <c r="S128" s="25">
        <f t="shared" si="15"/>
        <v>8.4746548969834983</v>
      </c>
    </row>
    <row r="129" spans="1:19" ht="15" customHeight="1" x14ac:dyDescent="0.3">
      <c r="A129" s="22"/>
      <c r="B129" s="23"/>
      <c r="C129" s="3"/>
      <c r="D129" s="23">
        <v>2020</v>
      </c>
      <c r="E129" s="24">
        <f>Data!F129</f>
        <v>2128916131529</v>
      </c>
      <c r="F129" s="24">
        <f>Data!H129</f>
        <v>210216132795</v>
      </c>
      <c r="G129" s="24">
        <f t="shared" si="8"/>
        <v>1918699998734</v>
      </c>
      <c r="H129" s="24">
        <f>Data!G129</f>
        <v>2254736989884</v>
      </c>
      <c r="I129" s="25">
        <f t="shared" si="9"/>
        <v>5.5823238134495634</v>
      </c>
      <c r="J129" s="24">
        <f>Data!J129</f>
        <v>304029859724</v>
      </c>
      <c r="K129" s="24">
        <f t="shared" si="10"/>
        <v>2254736989884</v>
      </c>
      <c r="L129" s="25">
        <f t="shared" si="11"/>
        <v>0.4395800251413054</v>
      </c>
      <c r="M129" s="24">
        <f>Data!M129</f>
        <v>89514068429</v>
      </c>
      <c r="N129" s="24">
        <f t="shared" si="12"/>
        <v>2254736989884</v>
      </c>
      <c r="O129" s="25">
        <f t="shared" si="13"/>
        <v>0.26678700998905741</v>
      </c>
      <c r="P129" s="24">
        <f>Data!K129</f>
        <v>1304029859724</v>
      </c>
      <c r="Q129" s="24">
        <f>Data!I129</f>
        <v>950707130160</v>
      </c>
      <c r="R129" s="25">
        <f t="shared" si="14"/>
        <v>1.4402241334613364</v>
      </c>
      <c r="S129" s="25">
        <f t="shared" si="15"/>
        <v>7.7289149820412621</v>
      </c>
    </row>
    <row r="130" spans="1:19" ht="15" customHeight="1" x14ac:dyDescent="0.3">
      <c r="A130" s="22"/>
      <c r="B130" s="23"/>
      <c r="C130" s="3"/>
      <c r="D130" s="23">
        <v>2021</v>
      </c>
      <c r="E130" s="24">
        <f>Data!F130</f>
        <v>2380001590285</v>
      </c>
      <c r="F130" s="24">
        <f>Data!H130</f>
        <v>252832013024</v>
      </c>
      <c r="G130" s="24">
        <f t="shared" si="8"/>
        <v>2127169577261</v>
      </c>
      <c r="H130" s="24">
        <f>Data!G130</f>
        <v>2524302538621</v>
      </c>
      <c r="I130" s="25">
        <f t="shared" si="9"/>
        <v>5.527955628668507</v>
      </c>
      <c r="J130" s="24">
        <f>Data!J130</f>
        <v>367989792251</v>
      </c>
      <c r="K130" s="24">
        <f t="shared" si="10"/>
        <v>2524302538621</v>
      </c>
      <c r="L130" s="25">
        <f t="shared" si="11"/>
        <v>0.47523888455684649</v>
      </c>
      <c r="M130" s="24">
        <f>Data!M130</f>
        <v>165211873415</v>
      </c>
      <c r="N130" s="24">
        <f t="shared" si="12"/>
        <v>2524302538621</v>
      </c>
      <c r="O130" s="25">
        <f t="shared" si="13"/>
        <v>0.43981407630929359</v>
      </c>
      <c r="P130" s="24">
        <f>Data!K130</f>
        <v>2524302538621</v>
      </c>
      <c r="Q130" s="24">
        <f>Data!I130</f>
        <v>1156312746370</v>
      </c>
      <c r="R130" s="25">
        <f t="shared" si="14"/>
        <v>2.2922152106969258</v>
      </c>
      <c r="S130" s="25">
        <f t="shared" si="15"/>
        <v>8.735223800231573</v>
      </c>
    </row>
    <row r="131" spans="1:19" ht="15" customHeight="1" x14ac:dyDescent="0.3">
      <c r="A131" s="22"/>
      <c r="B131" s="23"/>
      <c r="C131" s="3"/>
      <c r="D131" s="23">
        <v>2022</v>
      </c>
      <c r="E131" s="24">
        <f>Data!F131</f>
        <v>2421478177188</v>
      </c>
      <c r="F131" s="24">
        <f>Data!H131</f>
        <v>204956274588</v>
      </c>
      <c r="G131" s="24">
        <f t="shared" ref="G131:G194" si="16">E131-F131</f>
        <v>2216521902600</v>
      </c>
      <c r="H131" s="24">
        <f>Data!G131</f>
        <v>2668916537113</v>
      </c>
      <c r="I131" s="25">
        <f t="shared" ref="I131:I194" si="17">IFERROR(6.56*(G131/H131),0)</f>
        <v>5.4480473551205577</v>
      </c>
      <c r="J131" s="24">
        <f>Data!J131</f>
        <v>386475173000</v>
      </c>
      <c r="K131" s="24">
        <f t="shared" ref="K131:K194" si="18">H131</f>
        <v>2668916537113</v>
      </c>
      <c r="L131" s="25">
        <f t="shared" ref="L131:L194" si="19">IFERROR(3.26*(J131/K131),0)</f>
        <v>0.47206761487673166</v>
      </c>
      <c r="M131" s="24">
        <f>Data!M131</f>
        <v>190950930102</v>
      </c>
      <c r="N131" s="24">
        <f t="shared" ref="N131:N194" si="20">K131</f>
        <v>2668916537113</v>
      </c>
      <c r="O131" s="25">
        <f t="shared" ref="O131:O194" si="21">IFERROR(6.72*(M131/N131),0)</f>
        <v>0.48079070006193703</v>
      </c>
      <c r="P131" s="24">
        <f>Data!K131</f>
        <v>1439255350491</v>
      </c>
      <c r="Q131" s="24">
        <f>Data!I131</f>
        <v>1229661186622</v>
      </c>
      <c r="R131" s="25">
        <f t="shared" ref="R131:R194" si="22">IFERROR(1.05*(P131/Q131),0)</f>
        <v>1.2289711462447752</v>
      </c>
      <c r="S131" s="25">
        <f t="shared" ref="S131:S194" si="23">IFERROR(I131+L131+O131+R131,0)</f>
        <v>7.6298768163040016</v>
      </c>
    </row>
    <row r="132" spans="1:19" ht="15" customHeight="1" x14ac:dyDescent="0.3">
      <c r="A132" s="22"/>
      <c r="B132" s="23"/>
      <c r="C132" s="3"/>
      <c r="D132" s="23">
        <v>2023</v>
      </c>
      <c r="E132" s="24">
        <f>Data!F132</f>
        <v>2679303383372</v>
      </c>
      <c r="F132" s="24">
        <f>Data!H132</f>
        <v>170483736755</v>
      </c>
      <c r="G132" s="24">
        <f t="shared" si="16"/>
        <v>2508819646617</v>
      </c>
      <c r="H132" s="24">
        <f>Data!G132</f>
        <v>2823141641461</v>
      </c>
      <c r="I132" s="25">
        <f t="shared" si="17"/>
        <v>5.8296249256875532</v>
      </c>
      <c r="J132" s="24">
        <f>Data!J132</f>
        <v>540349174590</v>
      </c>
      <c r="K132" s="24">
        <f t="shared" si="18"/>
        <v>2823141641461</v>
      </c>
      <c r="L132" s="25">
        <f t="shared" si="19"/>
        <v>0.62396384343358291</v>
      </c>
      <c r="M132" s="24">
        <f>Data!M132</f>
        <v>214754096136</v>
      </c>
      <c r="N132" s="24">
        <f t="shared" si="20"/>
        <v>2823141641461</v>
      </c>
      <c r="O132" s="25">
        <f t="shared" si="21"/>
        <v>0.5111849525506198</v>
      </c>
      <c r="P132" s="24">
        <f>Data!K132</f>
        <v>1585027205340</v>
      </c>
      <c r="Q132" s="24">
        <f>Data!I132</f>
        <v>1238114232857</v>
      </c>
      <c r="R132" s="25">
        <f t="shared" si="22"/>
        <v>1.3442043726180324</v>
      </c>
      <c r="S132" s="25">
        <f t="shared" si="23"/>
        <v>8.3089780942897882</v>
      </c>
    </row>
    <row r="133" spans="1:19" ht="15" customHeight="1" x14ac:dyDescent="0.3">
      <c r="A133" s="22"/>
      <c r="B133" s="23"/>
      <c r="C133" s="3"/>
      <c r="D133" s="23">
        <v>2024</v>
      </c>
      <c r="E133" s="24">
        <f>Data!F133</f>
        <v>3369624371654</v>
      </c>
      <c r="F133" s="24">
        <f>Data!H133</f>
        <v>314919635603</v>
      </c>
      <c r="G133" s="24">
        <f t="shared" si="16"/>
        <v>3054704736051</v>
      </c>
      <c r="H133" s="24">
        <f>Data!G133</f>
        <v>3609299613555</v>
      </c>
      <c r="I133" s="25">
        <f t="shared" si="17"/>
        <v>5.552008759050393</v>
      </c>
      <c r="J133" s="24">
        <f>Data!J133</f>
        <v>534815703057</v>
      </c>
      <c r="K133" s="24">
        <f t="shared" si="18"/>
        <v>3609299613555</v>
      </c>
      <c r="L133" s="25">
        <f t="shared" si="19"/>
        <v>0.4830574844543179</v>
      </c>
      <c r="M133" s="24">
        <f>Data!M133</f>
        <v>-21989306809</v>
      </c>
      <c r="N133" s="24">
        <f t="shared" si="20"/>
        <v>3609299613555</v>
      </c>
      <c r="O133" s="25">
        <f t="shared" si="21"/>
        <v>-4.0940946326962012E-2</v>
      </c>
      <c r="P133" s="24">
        <f>Data!K133</f>
        <v>1576020209937</v>
      </c>
      <c r="Q133" s="24">
        <f>Data!I133</f>
        <v>2033279403618</v>
      </c>
      <c r="R133" s="25">
        <f t="shared" si="22"/>
        <v>0.81386808792204135</v>
      </c>
      <c r="S133" s="25">
        <f t="shared" si="23"/>
        <v>6.8079933850997909</v>
      </c>
    </row>
    <row r="134" spans="1:19" ht="15" customHeight="1" x14ac:dyDescent="0.3">
      <c r="A134" s="22"/>
      <c r="B134" s="23">
        <v>13</v>
      </c>
      <c r="C134" s="3" t="s">
        <v>18</v>
      </c>
      <c r="D134" s="23">
        <v>2014</v>
      </c>
      <c r="E134" s="24">
        <f>Data!F134</f>
        <v>0</v>
      </c>
      <c r="F134" s="24">
        <f>Data!H134</f>
        <v>0</v>
      </c>
      <c r="G134" s="24">
        <f t="shared" si="16"/>
        <v>0</v>
      </c>
      <c r="H134" s="24">
        <f>Data!G134</f>
        <v>0</v>
      </c>
      <c r="I134" s="25">
        <f t="shared" si="17"/>
        <v>0</v>
      </c>
      <c r="J134" s="24">
        <f>Data!J134</f>
        <v>0</v>
      </c>
      <c r="K134" s="24">
        <f t="shared" si="18"/>
        <v>0</v>
      </c>
      <c r="L134" s="25">
        <f t="shared" si="19"/>
        <v>0</v>
      </c>
      <c r="M134" s="24">
        <f>Data!M134</f>
        <v>0</v>
      </c>
      <c r="N134" s="24">
        <f t="shared" si="20"/>
        <v>0</v>
      </c>
      <c r="O134" s="25">
        <f t="shared" si="21"/>
        <v>0</v>
      </c>
      <c r="P134" s="24">
        <f>Data!K134</f>
        <v>0</v>
      </c>
      <c r="Q134" s="24">
        <f>Data!I134</f>
        <v>0</v>
      </c>
      <c r="R134" s="25">
        <f t="shared" si="22"/>
        <v>0</v>
      </c>
      <c r="S134" s="25">
        <f t="shared" si="23"/>
        <v>0</v>
      </c>
    </row>
    <row r="135" spans="1:19" ht="15" customHeight="1" x14ac:dyDescent="0.3">
      <c r="A135" s="22"/>
      <c r="B135" s="23"/>
      <c r="C135" s="3"/>
      <c r="D135" s="23">
        <v>2015</v>
      </c>
      <c r="E135" s="24">
        <f>Data!F135</f>
        <v>2544806000000</v>
      </c>
      <c r="F135" s="24">
        <f>Data!H135</f>
        <v>1669747000000</v>
      </c>
      <c r="G135" s="24">
        <f t="shared" si="16"/>
        <v>875059000000</v>
      </c>
      <c r="H135" s="24">
        <f>Data!G135</f>
        <v>36751228000000</v>
      </c>
      <c r="I135" s="25">
        <f t="shared" si="17"/>
        <v>0.1561957886141927</v>
      </c>
      <c r="J135" s="24">
        <f>Data!J135</f>
        <v>7139557000000</v>
      </c>
      <c r="K135" s="24">
        <f t="shared" si="18"/>
        <v>36751228000000</v>
      </c>
      <c r="L135" s="25">
        <f t="shared" si="19"/>
        <v>0.63331096909197149</v>
      </c>
      <c r="M135" s="24">
        <f>Data!M135</f>
        <v>2087325000000</v>
      </c>
      <c r="N135" s="24">
        <f t="shared" si="20"/>
        <v>36751228000000</v>
      </c>
      <c r="O135" s="25">
        <f t="shared" si="21"/>
        <v>0.38166953223984784</v>
      </c>
      <c r="P135" s="24">
        <f>Data!K135</f>
        <v>7497748000000</v>
      </c>
      <c r="Q135" s="24">
        <f>Data!I135</f>
        <v>29253480000000</v>
      </c>
      <c r="R135" s="25">
        <f t="shared" si="22"/>
        <v>0.26911791007428859</v>
      </c>
      <c r="S135" s="25">
        <f t="shared" si="23"/>
        <v>1.4402942000203007</v>
      </c>
    </row>
    <row r="136" spans="1:19" ht="15" customHeight="1" x14ac:dyDescent="0.3">
      <c r="A136" s="22"/>
      <c r="B136" s="23"/>
      <c r="C136" s="3"/>
      <c r="D136" s="23">
        <v>2016</v>
      </c>
      <c r="E136" s="24">
        <f>Data!F136</f>
        <v>1642194000000</v>
      </c>
      <c r="F136" s="24">
        <f>Data!H136</f>
        <v>1889789000000</v>
      </c>
      <c r="G136" s="24">
        <f t="shared" si="16"/>
        <v>-247595000000</v>
      </c>
      <c r="H136" s="24">
        <f>Data!G136</f>
        <v>39719030000000</v>
      </c>
      <c r="I136" s="25">
        <f t="shared" si="17"/>
        <v>-4.0892821400724033E-2</v>
      </c>
      <c r="J136" s="24">
        <f>Data!J136</f>
        <v>7074914000000</v>
      </c>
      <c r="K136" s="24">
        <f t="shared" si="18"/>
        <v>39719030000000</v>
      </c>
      <c r="L136" s="25">
        <f t="shared" si="19"/>
        <v>0.5806843631377705</v>
      </c>
      <c r="M136" s="24">
        <f>Data!M136</f>
        <v>257827000000</v>
      </c>
      <c r="N136" s="24">
        <f t="shared" si="20"/>
        <v>39719030000000</v>
      </c>
      <c r="O136" s="25">
        <f t="shared" si="21"/>
        <v>4.3621343220113885E-2</v>
      </c>
      <c r="P136" s="24">
        <f>Data!K136</f>
        <v>8026121000000</v>
      </c>
      <c r="Q136" s="24">
        <f>Data!I136</f>
        <v>31692909000000</v>
      </c>
      <c r="R136" s="25">
        <f t="shared" si="22"/>
        <v>0.26590891514565612</v>
      </c>
      <c r="S136" s="25">
        <f t="shared" si="23"/>
        <v>0.84932180010281644</v>
      </c>
    </row>
    <row r="137" spans="1:19" ht="15" customHeight="1" x14ac:dyDescent="0.3">
      <c r="A137" s="22"/>
      <c r="B137" s="23"/>
      <c r="C137" s="3"/>
      <c r="D137" s="23">
        <v>2017</v>
      </c>
      <c r="E137" s="24">
        <f>Data!F137</f>
        <v>863266000000</v>
      </c>
      <c r="F137" s="24">
        <f>Data!H137</f>
        <v>2186058000000</v>
      </c>
      <c r="G137" s="24">
        <f t="shared" si="16"/>
        <v>-1322792000000</v>
      </c>
      <c r="H137" s="24">
        <f>Data!G137</f>
        <v>45637074000000</v>
      </c>
      <c r="I137" s="25">
        <f t="shared" si="17"/>
        <v>-0.19014180269313496</v>
      </c>
      <c r="J137" s="24">
        <f>Data!J137</f>
        <v>7775349000000</v>
      </c>
      <c r="K137" s="24">
        <f t="shared" si="18"/>
        <v>45637074000000</v>
      </c>
      <c r="L137" s="25">
        <f t="shared" si="19"/>
        <v>0.55541767949452669</v>
      </c>
      <c r="M137" s="24">
        <f>Data!M137</f>
        <v>604664000000</v>
      </c>
      <c r="N137" s="24">
        <f t="shared" si="20"/>
        <v>45637074000000</v>
      </c>
      <c r="O137" s="25">
        <f t="shared" si="21"/>
        <v>8.9035990344166233E-2</v>
      </c>
      <c r="P137" s="24">
        <f>Data!K137</f>
        <v>10863284000000</v>
      </c>
      <c r="Q137" s="24">
        <f>Data!I137</f>
        <v>34773790000000</v>
      </c>
      <c r="R137" s="25">
        <f t="shared" si="22"/>
        <v>0.3280185507533116</v>
      </c>
      <c r="S137" s="25">
        <f t="shared" si="23"/>
        <v>0.78233041789886948</v>
      </c>
    </row>
    <row r="138" spans="1:19" ht="15" customHeight="1" x14ac:dyDescent="0.3">
      <c r="A138" s="22"/>
      <c r="B138" s="23"/>
      <c r="C138" s="3"/>
      <c r="D138" s="23">
        <v>2018</v>
      </c>
      <c r="E138" s="24">
        <f>Data!F138</f>
        <v>1112065000000</v>
      </c>
      <c r="F138" s="24">
        <f>Data!H138</f>
        <v>2116088000000</v>
      </c>
      <c r="G138" s="24">
        <f t="shared" si="16"/>
        <v>-1004023000000</v>
      </c>
      <c r="H138" s="24">
        <f>Data!G138</f>
        <v>45704853000000</v>
      </c>
      <c r="I138" s="25">
        <f t="shared" si="17"/>
        <v>-0.14410703563579999</v>
      </c>
      <c r="J138" s="24">
        <f>Data!J138</f>
        <v>10304834000000</v>
      </c>
      <c r="K138" s="24">
        <f t="shared" si="18"/>
        <v>45704853000000</v>
      </c>
      <c r="L138" s="25">
        <f t="shared" si="19"/>
        <v>0.73501513810798169</v>
      </c>
      <c r="M138" s="24">
        <f>Data!M138</f>
        <v>3015531000000</v>
      </c>
      <c r="N138" s="24">
        <f t="shared" si="20"/>
        <v>45704853000000</v>
      </c>
      <c r="O138" s="25">
        <f t="shared" si="21"/>
        <v>0.44337454318034891</v>
      </c>
      <c r="P138" s="24">
        <f>Data!K138</f>
        <v>11253789000000</v>
      </c>
      <c r="Q138" s="24">
        <f>Data!I138</f>
        <v>34451064000000</v>
      </c>
      <c r="R138" s="25">
        <f t="shared" si="22"/>
        <v>0.34299313513219792</v>
      </c>
      <c r="S138" s="25">
        <f t="shared" si="23"/>
        <v>1.3772757807847287</v>
      </c>
    </row>
    <row r="139" spans="1:19" ht="15" customHeight="1" x14ac:dyDescent="0.3">
      <c r="A139" s="22"/>
      <c r="B139" s="23"/>
      <c r="C139" s="3"/>
      <c r="D139" s="23">
        <v>2019</v>
      </c>
      <c r="E139" s="24">
        <f>Data!F139</f>
        <v>1440416000000</v>
      </c>
      <c r="F139" s="24">
        <f>Data!H139</f>
        <v>2514494000000</v>
      </c>
      <c r="G139" s="24">
        <f t="shared" si="16"/>
        <v>-1074078000000</v>
      </c>
      <c r="H139" s="24">
        <f>Data!G139</f>
        <v>51009132000000</v>
      </c>
      <c r="I139" s="25">
        <f t="shared" si="17"/>
        <v>-0.13813118168723199</v>
      </c>
      <c r="J139" s="24">
        <f>Data!J139</f>
        <v>10833727000000</v>
      </c>
      <c r="K139" s="24">
        <f t="shared" si="18"/>
        <v>51009132000000</v>
      </c>
      <c r="L139" s="25">
        <f t="shared" si="19"/>
        <v>0.69238484630555952</v>
      </c>
      <c r="M139" s="24">
        <f>Data!M139</f>
        <v>790333000000</v>
      </c>
      <c r="N139" s="24">
        <f t="shared" si="20"/>
        <v>51009132000000</v>
      </c>
      <c r="O139" s="25">
        <f t="shared" si="21"/>
        <v>0.10411935180547671</v>
      </c>
      <c r="P139" s="24">
        <f>Data!K139</f>
        <v>14092283000000</v>
      </c>
      <c r="Q139" s="24">
        <f>Data!I139</f>
        <v>36916849000000</v>
      </c>
      <c r="R139" s="25">
        <f t="shared" si="22"/>
        <v>0.40081690476887671</v>
      </c>
      <c r="S139" s="25">
        <f t="shared" si="23"/>
        <v>1.059189921192681</v>
      </c>
    </row>
    <row r="140" spans="1:19" ht="15" customHeight="1" x14ac:dyDescent="0.3">
      <c r="A140" s="22"/>
      <c r="B140" s="23"/>
      <c r="C140" s="3"/>
      <c r="D140" s="23">
        <v>2020</v>
      </c>
      <c r="E140" s="24">
        <f>Data!F140</f>
        <v>2134525000000</v>
      </c>
      <c r="F140" s="24">
        <f>Data!H140</f>
        <v>3170242000000</v>
      </c>
      <c r="G140" s="24">
        <f t="shared" si="16"/>
        <v>-1035717000000</v>
      </c>
      <c r="H140" s="24">
        <f>Data!G140</f>
        <v>57279397000000</v>
      </c>
      <c r="I140" s="25">
        <f t="shared" si="17"/>
        <v>-0.11861688278596927</v>
      </c>
      <c r="J140" s="24">
        <f>Data!J140</f>
        <v>11714900000000</v>
      </c>
      <c r="K140" s="24">
        <f t="shared" si="18"/>
        <v>57279397000000</v>
      </c>
      <c r="L140" s="25">
        <f t="shared" si="19"/>
        <v>0.66674190023334223</v>
      </c>
      <c r="M140" s="24">
        <f>Data!M140</f>
        <v>1107801000000</v>
      </c>
      <c r="N140" s="24">
        <f t="shared" si="20"/>
        <v>57279397000000</v>
      </c>
      <c r="O140" s="25">
        <f t="shared" si="21"/>
        <v>0.12996684863843799</v>
      </c>
      <c r="P140" s="24">
        <f>Data!K140</f>
        <v>15574135000000</v>
      </c>
      <c r="Q140" s="24">
        <f>Data!I140</f>
        <v>41705262000000</v>
      </c>
      <c r="R140" s="25">
        <f t="shared" si="22"/>
        <v>0.39210499984390462</v>
      </c>
      <c r="S140" s="25">
        <f t="shared" si="23"/>
        <v>1.0701968659297156</v>
      </c>
    </row>
    <row r="141" spans="1:19" ht="15" customHeight="1" x14ac:dyDescent="0.3">
      <c r="A141" s="22"/>
      <c r="B141" s="23"/>
      <c r="C141" s="3"/>
      <c r="D141" s="23">
        <v>2021</v>
      </c>
      <c r="E141" s="24">
        <f>Data!F141</f>
        <v>1884341000000</v>
      </c>
      <c r="F141" s="24">
        <f>Data!H141</f>
        <v>2952975000000</v>
      </c>
      <c r="G141" s="24">
        <f t="shared" si="16"/>
        <v>-1068634000000</v>
      </c>
      <c r="H141" s="24">
        <f>Data!G141</f>
        <v>59794320000000</v>
      </c>
      <c r="I141" s="25">
        <f t="shared" si="17"/>
        <v>-0.11723921335672018</v>
      </c>
      <c r="J141" s="24">
        <f>Data!J141</f>
        <v>11564420000000</v>
      </c>
      <c r="K141" s="24">
        <f t="shared" si="18"/>
        <v>59794320000000</v>
      </c>
      <c r="L141" s="25">
        <f t="shared" si="19"/>
        <v>0.63049482291963521</v>
      </c>
      <c r="M141" s="24">
        <f>Data!M141</f>
        <v>1463790000000</v>
      </c>
      <c r="N141" s="24">
        <f t="shared" si="20"/>
        <v>59794320000000</v>
      </c>
      <c r="O141" s="25">
        <f t="shared" si="21"/>
        <v>0.16450841484609241</v>
      </c>
      <c r="P141" s="24">
        <f>Data!K141</f>
        <v>15283277000000</v>
      </c>
      <c r="Q141" s="24">
        <f>Data!I141</f>
        <v>44511042000000</v>
      </c>
      <c r="R141" s="25">
        <f t="shared" si="22"/>
        <v>0.36052718896133684</v>
      </c>
      <c r="S141" s="25">
        <f t="shared" si="23"/>
        <v>1.0382912133703444</v>
      </c>
    </row>
    <row r="142" spans="1:19" ht="15" customHeight="1" x14ac:dyDescent="0.3">
      <c r="A142" s="22"/>
      <c r="B142" s="23"/>
      <c r="C142" s="3"/>
      <c r="D142" s="23">
        <v>2022</v>
      </c>
      <c r="E142" s="24">
        <f>Data!F142</f>
        <v>2242709000000</v>
      </c>
      <c r="F142" s="24">
        <f>Data!H142</f>
        <v>3343074000000</v>
      </c>
      <c r="G142" s="24">
        <f t="shared" si="16"/>
        <v>-1100365000000</v>
      </c>
      <c r="H142" s="24">
        <f>Data!G142</f>
        <v>59078951000000</v>
      </c>
      <c r="I142" s="25">
        <f t="shared" si="17"/>
        <v>-0.12218216941597354</v>
      </c>
      <c r="J142" s="24">
        <f>Data!J142</f>
        <v>12118525000000</v>
      </c>
      <c r="K142" s="24">
        <f t="shared" si="18"/>
        <v>59078951000000</v>
      </c>
      <c r="L142" s="25">
        <f t="shared" si="19"/>
        <v>0.66870502660076003</v>
      </c>
      <c r="M142" s="24">
        <f>Data!M142</f>
        <v>1618988000000</v>
      </c>
      <c r="N142" s="24">
        <f t="shared" si="20"/>
        <v>59078951000000</v>
      </c>
      <c r="O142" s="25">
        <f t="shared" si="21"/>
        <v>0.18415356359323304</v>
      </c>
      <c r="P142" s="24">
        <f>Data!K142</f>
        <v>14784454000000</v>
      </c>
      <c r="Q142" s="24">
        <f>Data!I142</f>
        <v>44294497000000</v>
      </c>
      <c r="R142" s="25">
        <f t="shared" si="22"/>
        <v>0.35046513114258865</v>
      </c>
      <c r="S142" s="25">
        <f t="shared" si="23"/>
        <v>1.081141551920608</v>
      </c>
    </row>
    <row r="143" spans="1:19" ht="15" customHeight="1" x14ac:dyDescent="0.3">
      <c r="A143" s="22"/>
      <c r="B143" s="23"/>
      <c r="C143" s="3"/>
      <c r="D143" s="23">
        <v>2023</v>
      </c>
      <c r="E143" s="24">
        <f>Data!F143</f>
        <v>2476059000000</v>
      </c>
      <c r="F143" s="24">
        <f>Data!H143</f>
        <v>4202144000000</v>
      </c>
      <c r="G143" s="24">
        <f t="shared" si="16"/>
        <v>-1726085000000</v>
      </c>
      <c r="H143" s="24">
        <f>Data!G143</f>
        <v>62274577000000</v>
      </c>
      <c r="I143" s="25">
        <f t="shared" si="17"/>
        <v>-0.18182568466101343</v>
      </c>
      <c r="J143" s="24">
        <f>Data!J143</f>
        <v>11559527000000</v>
      </c>
      <c r="K143" s="24">
        <f t="shared" si="18"/>
        <v>62274577000000</v>
      </c>
      <c r="L143" s="25">
        <f t="shared" si="19"/>
        <v>0.60512748276074202</v>
      </c>
      <c r="M143" s="24">
        <f>Data!M143</f>
        <v>587317000000</v>
      </c>
      <c r="N143" s="24">
        <f t="shared" si="20"/>
        <v>62274577000000</v>
      </c>
      <c r="O143" s="25">
        <f t="shared" si="21"/>
        <v>6.3376909649663304E-2</v>
      </c>
      <c r="P143" s="24">
        <f>Data!K143</f>
        <v>15098377000000</v>
      </c>
      <c r="Q143" s="24">
        <f>Data!I143</f>
        <v>47176200000000</v>
      </c>
      <c r="R143" s="25">
        <f t="shared" si="22"/>
        <v>0.33604435817212919</v>
      </c>
      <c r="S143" s="25">
        <f t="shared" si="23"/>
        <v>0.822723065921521</v>
      </c>
    </row>
    <row r="144" spans="1:19" ht="15" customHeight="1" x14ac:dyDescent="0.3">
      <c r="A144" s="22"/>
      <c r="B144" s="23"/>
      <c r="C144" s="3"/>
      <c r="D144" s="23">
        <v>2024</v>
      </c>
      <c r="E144" s="24">
        <f>Data!F144</f>
        <v>2825674000000</v>
      </c>
      <c r="F144" s="24">
        <f>Data!H144</f>
        <v>4478469000000</v>
      </c>
      <c r="G144" s="24">
        <f t="shared" si="16"/>
        <v>-1652795000000</v>
      </c>
      <c r="H144" s="24">
        <f>Data!G144</f>
        <v>61973362000000</v>
      </c>
      <c r="I144" s="25">
        <f t="shared" si="17"/>
        <v>-0.17495154127671822</v>
      </c>
      <c r="J144" s="24">
        <f>Data!J144</f>
        <v>12658859000000</v>
      </c>
      <c r="K144" s="24">
        <f t="shared" si="18"/>
        <v>61973362000000</v>
      </c>
      <c r="L144" s="25">
        <f t="shared" si="19"/>
        <v>0.66589707268100118</v>
      </c>
      <c r="M144" s="24">
        <f>Data!M144</f>
        <v>2011008000000</v>
      </c>
      <c r="N144" s="24">
        <f t="shared" si="20"/>
        <v>61973362000000</v>
      </c>
      <c r="O144" s="25">
        <f t="shared" si="21"/>
        <v>0.21806100756644442</v>
      </c>
      <c r="P144" s="24">
        <f>Data!K144</f>
        <v>15637751000000</v>
      </c>
      <c r="Q144" s="24">
        <f>Data!I144</f>
        <v>46335611000000</v>
      </c>
      <c r="R144" s="25">
        <f t="shared" si="22"/>
        <v>0.35436326824307984</v>
      </c>
      <c r="S144" s="25">
        <f t="shared" si="23"/>
        <v>1.0633698072138071</v>
      </c>
    </row>
    <row r="145" spans="1:19" ht="15" customHeight="1" x14ac:dyDescent="0.3">
      <c r="A145" s="22"/>
      <c r="B145" s="23">
        <v>14</v>
      </c>
      <c r="C145" s="4" t="s">
        <v>57</v>
      </c>
      <c r="D145" s="23">
        <v>2014</v>
      </c>
      <c r="E145" s="24">
        <f>Data!F145</f>
        <v>0</v>
      </c>
      <c r="F145" s="24">
        <f>Data!H145</f>
        <v>0</v>
      </c>
      <c r="G145" s="24">
        <f t="shared" si="16"/>
        <v>0</v>
      </c>
      <c r="H145" s="24">
        <f>Data!G145</f>
        <v>0</v>
      </c>
      <c r="I145" s="25">
        <f t="shared" si="17"/>
        <v>0</v>
      </c>
      <c r="J145" s="24">
        <f>Data!J145</f>
        <v>0</v>
      </c>
      <c r="K145" s="24">
        <f t="shared" si="18"/>
        <v>0</v>
      </c>
      <c r="L145" s="25">
        <f t="shared" si="19"/>
        <v>0</v>
      </c>
      <c r="M145" s="24">
        <f>Data!M145</f>
        <v>0</v>
      </c>
      <c r="N145" s="24">
        <f t="shared" si="20"/>
        <v>0</v>
      </c>
      <c r="O145" s="25">
        <f t="shared" si="21"/>
        <v>0</v>
      </c>
      <c r="P145" s="24">
        <f>Data!K145</f>
        <v>0</v>
      </c>
      <c r="Q145" s="24">
        <f>Data!I145</f>
        <v>0</v>
      </c>
      <c r="R145" s="25">
        <f t="shared" si="22"/>
        <v>0</v>
      </c>
      <c r="S145" s="25">
        <f t="shared" si="23"/>
        <v>0</v>
      </c>
    </row>
    <row r="146" spans="1:19" ht="15" customHeight="1" x14ac:dyDescent="0.3">
      <c r="A146" s="22"/>
      <c r="B146" s="23"/>
      <c r="C146" s="4"/>
      <c r="D146" s="23">
        <v>2015</v>
      </c>
      <c r="E146" s="24">
        <f>Data!F146</f>
        <v>0</v>
      </c>
      <c r="F146" s="24">
        <f>Data!H146</f>
        <v>0</v>
      </c>
      <c r="G146" s="24">
        <f t="shared" si="16"/>
        <v>0</v>
      </c>
      <c r="H146" s="24">
        <f>Data!G146</f>
        <v>0</v>
      </c>
      <c r="I146" s="25">
        <f t="shared" si="17"/>
        <v>0</v>
      </c>
      <c r="J146" s="24">
        <f>Data!J146</f>
        <v>0</v>
      </c>
      <c r="K146" s="24">
        <f t="shared" si="18"/>
        <v>0</v>
      </c>
      <c r="L146" s="25">
        <f t="shared" si="19"/>
        <v>0</v>
      </c>
      <c r="M146" s="24">
        <f>Data!M146</f>
        <v>0</v>
      </c>
      <c r="N146" s="24">
        <f t="shared" si="20"/>
        <v>0</v>
      </c>
      <c r="O146" s="25">
        <f t="shared" si="21"/>
        <v>0</v>
      </c>
      <c r="P146" s="24">
        <f>Data!K146</f>
        <v>0</v>
      </c>
      <c r="Q146" s="24">
        <f>Data!I146</f>
        <v>0</v>
      </c>
      <c r="R146" s="25">
        <f t="shared" si="22"/>
        <v>0</v>
      </c>
      <c r="S146" s="25">
        <f t="shared" si="23"/>
        <v>0</v>
      </c>
    </row>
    <row r="147" spans="1:19" ht="15" customHeight="1" x14ac:dyDescent="0.3">
      <c r="A147" s="22"/>
      <c r="B147" s="23"/>
      <c r="C147" s="4"/>
      <c r="D147" s="23">
        <v>2016</v>
      </c>
      <c r="E147" s="24">
        <f>Data!F147</f>
        <v>0</v>
      </c>
      <c r="F147" s="24">
        <f>Data!H147</f>
        <v>0</v>
      </c>
      <c r="G147" s="24">
        <f t="shared" si="16"/>
        <v>0</v>
      </c>
      <c r="H147" s="24">
        <f>Data!G147</f>
        <v>0</v>
      </c>
      <c r="I147" s="25">
        <f t="shared" si="17"/>
        <v>0</v>
      </c>
      <c r="J147" s="24">
        <f>Data!J147</f>
        <v>0</v>
      </c>
      <c r="K147" s="24">
        <f t="shared" si="18"/>
        <v>0</v>
      </c>
      <c r="L147" s="25">
        <f t="shared" si="19"/>
        <v>0</v>
      </c>
      <c r="M147" s="24">
        <f>Data!M147</f>
        <v>0</v>
      </c>
      <c r="N147" s="24">
        <f t="shared" si="20"/>
        <v>0</v>
      </c>
      <c r="O147" s="25">
        <f t="shared" si="21"/>
        <v>0</v>
      </c>
      <c r="P147" s="24">
        <f>Data!K147</f>
        <v>0</v>
      </c>
      <c r="Q147" s="24">
        <f>Data!I147</f>
        <v>0</v>
      </c>
      <c r="R147" s="25">
        <f t="shared" si="22"/>
        <v>0</v>
      </c>
      <c r="S147" s="25">
        <f t="shared" si="23"/>
        <v>0</v>
      </c>
    </row>
    <row r="148" spans="1:19" ht="15" customHeight="1" x14ac:dyDescent="0.3">
      <c r="A148" s="22"/>
      <c r="B148" s="23"/>
      <c r="C148" s="4"/>
      <c r="D148" s="23">
        <v>2017</v>
      </c>
      <c r="E148" s="24">
        <f>Data!F148</f>
        <v>0</v>
      </c>
      <c r="F148" s="24">
        <f>Data!H148</f>
        <v>0</v>
      </c>
      <c r="G148" s="24">
        <f t="shared" si="16"/>
        <v>0</v>
      </c>
      <c r="H148" s="24">
        <f>Data!G148</f>
        <v>0</v>
      </c>
      <c r="I148" s="25">
        <f t="shared" si="17"/>
        <v>0</v>
      </c>
      <c r="J148" s="24">
        <f>Data!J148</f>
        <v>0</v>
      </c>
      <c r="K148" s="24">
        <f t="shared" si="18"/>
        <v>0</v>
      </c>
      <c r="L148" s="25">
        <f t="shared" si="19"/>
        <v>0</v>
      </c>
      <c r="M148" s="24">
        <f>Data!M148</f>
        <v>0</v>
      </c>
      <c r="N148" s="24">
        <f t="shared" si="20"/>
        <v>0</v>
      </c>
      <c r="O148" s="25">
        <f t="shared" si="21"/>
        <v>0</v>
      </c>
      <c r="P148" s="24">
        <f>Data!K148</f>
        <v>0</v>
      </c>
      <c r="Q148" s="24">
        <f>Data!I148</f>
        <v>0</v>
      </c>
      <c r="R148" s="25">
        <f t="shared" si="22"/>
        <v>0</v>
      </c>
      <c r="S148" s="25">
        <f t="shared" si="23"/>
        <v>0</v>
      </c>
    </row>
    <row r="149" spans="1:19" ht="15" customHeight="1" x14ac:dyDescent="0.3">
      <c r="A149" s="22"/>
      <c r="B149" s="23"/>
      <c r="C149" s="4"/>
      <c r="D149" s="23">
        <v>2018</v>
      </c>
      <c r="E149" s="24">
        <f>Data!F149</f>
        <v>0</v>
      </c>
      <c r="F149" s="24">
        <f>Data!H149</f>
        <v>0</v>
      </c>
      <c r="G149" s="24">
        <f t="shared" si="16"/>
        <v>0</v>
      </c>
      <c r="H149" s="24">
        <f>Data!G149</f>
        <v>0</v>
      </c>
      <c r="I149" s="25">
        <f t="shared" si="17"/>
        <v>0</v>
      </c>
      <c r="J149" s="24">
        <f>Data!J149</f>
        <v>0</v>
      </c>
      <c r="K149" s="24">
        <f t="shared" si="18"/>
        <v>0</v>
      </c>
      <c r="L149" s="25">
        <f t="shared" si="19"/>
        <v>0</v>
      </c>
      <c r="M149" s="24">
        <f>Data!M149</f>
        <v>0</v>
      </c>
      <c r="N149" s="24">
        <f t="shared" si="20"/>
        <v>0</v>
      </c>
      <c r="O149" s="25">
        <f t="shared" si="21"/>
        <v>0</v>
      </c>
      <c r="P149" s="24">
        <f>Data!K149</f>
        <v>0</v>
      </c>
      <c r="Q149" s="24">
        <f>Data!I149</f>
        <v>0</v>
      </c>
      <c r="R149" s="25">
        <f t="shared" si="22"/>
        <v>0</v>
      </c>
      <c r="S149" s="25">
        <f t="shared" si="23"/>
        <v>0</v>
      </c>
    </row>
    <row r="150" spans="1:19" ht="15" customHeight="1" x14ac:dyDescent="0.3">
      <c r="A150" s="22"/>
      <c r="B150" s="23"/>
      <c r="C150" s="4"/>
      <c r="D150" s="23">
        <v>2019</v>
      </c>
      <c r="E150" s="24">
        <f>Data!F150</f>
        <v>0</v>
      </c>
      <c r="F150" s="24">
        <f>Data!H150</f>
        <v>0</v>
      </c>
      <c r="G150" s="24">
        <f t="shared" si="16"/>
        <v>0</v>
      </c>
      <c r="H150" s="24">
        <f>Data!G150</f>
        <v>0</v>
      </c>
      <c r="I150" s="25">
        <f t="shared" si="17"/>
        <v>0</v>
      </c>
      <c r="J150" s="24">
        <f>Data!J150</f>
        <v>0</v>
      </c>
      <c r="K150" s="24">
        <f t="shared" si="18"/>
        <v>0</v>
      </c>
      <c r="L150" s="25">
        <f t="shared" si="19"/>
        <v>0</v>
      </c>
      <c r="M150" s="24">
        <f>Data!M150</f>
        <v>0</v>
      </c>
      <c r="N150" s="24">
        <f t="shared" si="20"/>
        <v>0</v>
      </c>
      <c r="O150" s="25">
        <f t="shared" si="21"/>
        <v>0</v>
      </c>
      <c r="P150" s="24">
        <f>Data!K150</f>
        <v>0</v>
      </c>
      <c r="Q150" s="24">
        <f>Data!I150</f>
        <v>0</v>
      </c>
      <c r="R150" s="25">
        <f t="shared" si="22"/>
        <v>0</v>
      </c>
      <c r="S150" s="25">
        <f t="shared" si="23"/>
        <v>0</v>
      </c>
    </row>
    <row r="151" spans="1:19" ht="15" customHeight="1" x14ac:dyDescent="0.3">
      <c r="A151" s="22"/>
      <c r="B151" s="23"/>
      <c r="C151" s="4"/>
      <c r="D151" s="23">
        <v>2020</v>
      </c>
      <c r="E151" s="24">
        <f>Data!F151</f>
        <v>0</v>
      </c>
      <c r="F151" s="24">
        <f>Data!H151</f>
        <v>0</v>
      </c>
      <c r="G151" s="24">
        <f t="shared" si="16"/>
        <v>0</v>
      </c>
      <c r="H151" s="24">
        <f>Data!G151</f>
        <v>0</v>
      </c>
      <c r="I151" s="25">
        <f t="shared" si="17"/>
        <v>0</v>
      </c>
      <c r="J151" s="24">
        <f>Data!J151</f>
        <v>0</v>
      </c>
      <c r="K151" s="24">
        <f t="shared" si="18"/>
        <v>0</v>
      </c>
      <c r="L151" s="25">
        <f t="shared" si="19"/>
        <v>0</v>
      </c>
      <c r="M151" s="24">
        <f>Data!M151</f>
        <v>0</v>
      </c>
      <c r="N151" s="24">
        <f t="shared" si="20"/>
        <v>0</v>
      </c>
      <c r="O151" s="25">
        <f t="shared" si="21"/>
        <v>0</v>
      </c>
      <c r="P151" s="24">
        <f>Data!K151</f>
        <v>0</v>
      </c>
      <c r="Q151" s="24">
        <f>Data!I151</f>
        <v>0</v>
      </c>
      <c r="R151" s="25">
        <f t="shared" si="22"/>
        <v>0</v>
      </c>
      <c r="S151" s="25">
        <f t="shared" si="23"/>
        <v>0</v>
      </c>
    </row>
    <row r="152" spans="1:19" ht="15" customHeight="1" x14ac:dyDescent="0.3">
      <c r="A152" s="22"/>
      <c r="B152" s="23"/>
      <c r="C152" s="4"/>
      <c r="D152" s="23">
        <v>2021</v>
      </c>
      <c r="E152" s="24">
        <f>Data!F152</f>
        <v>0</v>
      </c>
      <c r="F152" s="24">
        <f>Data!H152</f>
        <v>0</v>
      </c>
      <c r="G152" s="24">
        <f t="shared" si="16"/>
        <v>0</v>
      </c>
      <c r="H152" s="24">
        <f>Data!G152</f>
        <v>0</v>
      </c>
      <c r="I152" s="25">
        <f t="shared" si="17"/>
        <v>0</v>
      </c>
      <c r="J152" s="24">
        <f>Data!J152</f>
        <v>0</v>
      </c>
      <c r="K152" s="24">
        <f t="shared" si="18"/>
        <v>0</v>
      </c>
      <c r="L152" s="25">
        <f t="shared" si="19"/>
        <v>0</v>
      </c>
      <c r="M152" s="24">
        <f>Data!M152</f>
        <v>0</v>
      </c>
      <c r="N152" s="24">
        <f t="shared" si="20"/>
        <v>0</v>
      </c>
      <c r="O152" s="25">
        <f t="shared" si="21"/>
        <v>0</v>
      </c>
      <c r="P152" s="24">
        <f>Data!K152</f>
        <v>0</v>
      </c>
      <c r="Q152" s="24">
        <f>Data!I152</f>
        <v>0</v>
      </c>
      <c r="R152" s="25">
        <f t="shared" si="22"/>
        <v>0</v>
      </c>
      <c r="S152" s="25">
        <f t="shared" si="23"/>
        <v>0</v>
      </c>
    </row>
    <row r="153" spans="1:19" ht="15" customHeight="1" x14ac:dyDescent="0.3">
      <c r="A153" s="22"/>
      <c r="B153" s="23"/>
      <c r="C153" s="4"/>
      <c r="D153" s="23">
        <v>2022</v>
      </c>
      <c r="E153" s="24">
        <f>Data!F153</f>
        <v>0</v>
      </c>
      <c r="F153" s="24">
        <f>Data!H153</f>
        <v>0</v>
      </c>
      <c r="G153" s="24">
        <f t="shared" si="16"/>
        <v>0</v>
      </c>
      <c r="H153" s="24">
        <f>Data!G153</f>
        <v>0</v>
      </c>
      <c r="I153" s="25">
        <f t="shared" si="17"/>
        <v>0</v>
      </c>
      <c r="J153" s="24">
        <f>Data!J153</f>
        <v>0</v>
      </c>
      <c r="K153" s="24">
        <f t="shared" si="18"/>
        <v>0</v>
      </c>
      <c r="L153" s="25">
        <f t="shared" si="19"/>
        <v>0</v>
      </c>
      <c r="M153" s="24">
        <f>Data!M153</f>
        <v>0</v>
      </c>
      <c r="N153" s="24">
        <f t="shared" si="20"/>
        <v>0</v>
      </c>
      <c r="O153" s="25">
        <f t="shared" si="21"/>
        <v>0</v>
      </c>
      <c r="P153" s="24">
        <f>Data!K153</f>
        <v>0</v>
      </c>
      <c r="Q153" s="24">
        <f>Data!I153</f>
        <v>0</v>
      </c>
      <c r="R153" s="25">
        <f t="shared" si="22"/>
        <v>0</v>
      </c>
      <c r="S153" s="25">
        <f t="shared" si="23"/>
        <v>0</v>
      </c>
    </row>
    <row r="154" spans="1:19" ht="15" customHeight="1" x14ac:dyDescent="0.3">
      <c r="A154" s="22"/>
      <c r="B154" s="23"/>
      <c r="C154" s="4"/>
      <c r="D154" s="23">
        <v>2023</v>
      </c>
      <c r="E154" s="24">
        <f>Data!F154</f>
        <v>0</v>
      </c>
      <c r="F154" s="24">
        <f>Data!H154</f>
        <v>0</v>
      </c>
      <c r="G154" s="24">
        <f t="shared" si="16"/>
        <v>0</v>
      </c>
      <c r="H154" s="24">
        <f>Data!G154</f>
        <v>0</v>
      </c>
      <c r="I154" s="25">
        <f t="shared" si="17"/>
        <v>0</v>
      </c>
      <c r="J154" s="24">
        <f>Data!J154</f>
        <v>0</v>
      </c>
      <c r="K154" s="24">
        <f t="shared" si="18"/>
        <v>0</v>
      </c>
      <c r="L154" s="25">
        <f t="shared" si="19"/>
        <v>0</v>
      </c>
      <c r="M154" s="24">
        <f>Data!M154</f>
        <v>0</v>
      </c>
      <c r="N154" s="24">
        <f t="shared" si="20"/>
        <v>0</v>
      </c>
      <c r="O154" s="25">
        <f t="shared" si="21"/>
        <v>0</v>
      </c>
      <c r="P154" s="24">
        <f>Data!K154</f>
        <v>0</v>
      </c>
      <c r="Q154" s="24">
        <f>Data!I154</f>
        <v>0</v>
      </c>
      <c r="R154" s="25">
        <f t="shared" si="22"/>
        <v>0</v>
      </c>
      <c r="S154" s="25">
        <f t="shared" si="23"/>
        <v>0</v>
      </c>
    </row>
    <row r="155" spans="1:19" ht="15" customHeight="1" x14ac:dyDescent="0.3">
      <c r="A155" s="22"/>
      <c r="B155" s="23"/>
      <c r="C155" s="4"/>
      <c r="D155" s="23">
        <v>2024</v>
      </c>
      <c r="E155" s="24">
        <f>Data!F155</f>
        <v>149476000000</v>
      </c>
      <c r="F155" s="24">
        <f>Data!H155</f>
        <v>96460000000</v>
      </c>
      <c r="G155" s="24">
        <f t="shared" si="16"/>
        <v>53016000000</v>
      </c>
      <c r="H155" s="24">
        <f>Data!G155</f>
        <v>1272836000000</v>
      </c>
      <c r="I155" s="25">
        <f t="shared" si="17"/>
        <v>0.2732362692444274</v>
      </c>
      <c r="J155" s="24">
        <f>Data!J155</f>
        <v>3064000000</v>
      </c>
      <c r="K155" s="24">
        <f t="shared" si="18"/>
        <v>1272836000000</v>
      </c>
      <c r="L155" s="25">
        <f t="shared" si="19"/>
        <v>7.8475467381500831E-3</v>
      </c>
      <c r="M155" s="24">
        <f>Data!M155</f>
        <v>6563000000</v>
      </c>
      <c r="N155" s="24">
        <f t="shared" si="20"/>
        <v>1272836000000</v>
      </c>
      <c r="O155" s="25">
        <f t="shared" si="21"/>
        <v>3.4649679927343351E-2</v>
      </c>
      <c r="P155" s="24">
        <f>Data!K155</f>
        <v>342334000000</v>
      </c>
      <c r="Q155" s="24">
        <f>Data!I155</f>
        <v>169375000000</v>
      </c>
      <c r="R155" s="25">
        <f t="shared" si="22"/>
        <v>2.12221815498155</v>
      </c>
      <c r="S155" s="25">
        <f t="shared" si="23"/>
        <v>2.4379516508914709</v>
      </c>
    </row>
    <row r="156" spans="1:19" ht="15" customHeight="1" x14ac:dyDescent="0.3">
      <c r="A156" s="22"/>
      <c r="B156" s="23">
        <v>15</v>
      </c>
      <c r="C156" s="3" t="s">
        <v>25</v>
      </c>
      <c r="D156" s="23">
        <v>2014</v>
      </c>
      <c r="E156" s="24">
        <f>Data!F156</f>
        <v>0</v>
      </c>
      <c r="F156" s="24">
        <f>Data!H156</f>
        <v>0</v>
      </c>
      <c r="G156" s="24">
        <f t="shared" si="16"/>
        <v>0</v>
      </c>
      <c r="H156" s="24">
        <f>Data!G156</f>
        <v>0</v>
      </c>
      <c r="I156" s="25">
        <f t="shared" si="17"/>
        <v>0</v>
      </c>
      <c r="J156" s="24">
        <f>Data!J156</f>
        <v>0</v>
      </c>
      <c r="K156" s="24">
        <f t="shared" si="18"/>
        <v>0</v>
      </c>
      <c r="L156" s="25">
        <f t="shared" si="19"/>
        <v>0</v>
      </c>
      <c r="M156" s="24">
        <f>Data!M156</f>
        <v>0</v>
      </c>
      <c r="N156" s="24">
        <f t="shared" si="20"/>
        <v>0</v>
      </c>
      <c r="O156" s="25">
        <f t="shared" si="21"/>
        <v>0</v>
      </c>
      <c r="P156" s="24">
        <f>Data!K156</f>
        <v>0</v>
      </c>
      <c r="Q156" s="24">
        <f>Data!I156</f>
        <v>0</v>
      </c>
      <c r="R156" s="25">
        <f t="shared" si="22"/>
        <v>0</v>
      </c>
      <c r="S156" s="25">
        <f t="shared" si="23"/>
        <v>0</v>
      </c>
    </row>
    <row r="157" spans="1:19" ht="15" customHeight="1" x14ac:dyDescent="0.3">
      <c r="A157" s="22"/>
      <c r="B157" s="23"/>
      <c r="C157" s="3"/>
      <c r="D157" s="23">
        <v>2015</v>
      </c>
      <c r="E157" s="24">
        <f>Data!F157</f>
        <v>0</v>
      </c>
      <c r="F157" s="24">
        <f>Data!H157</f>
        <v>0</v>
      </c>
      <c r="G157" s="24">
        <f t="shared" si="16"/>
        <v>0</v>
      </c>
      <c r="H157" s="24">
        <f>Data!G157</f>
        <v>0</v>
      </c>
      <c r="I157" s="25">
        <f t="shared" si="17"/>
        <v>0</v>
      </c>
      <c r="J157" s="24">
        <f>Data!J157</f>
        <v>0</v>
      </c>
      <c r="K157" s="24">
        <f t="shared" si="18"/>
        <v>0</v>
      </c>
      <c r="L157" s="25">
        <f t="shared" si="19"/>
        <v>0</v>
      </c>
      <c r="M157" s="24">
        <f>Data!M157</f>
        <v>0</v>
      </c>
      <c r="N157" s="24">
        <f t="shared" si="20"/>
        <v>0</v>
      </c>
      <c r="O157" s="25">
        <f t="shared" si="21"/>
        <v>0</v>
      </c>
      <c r="P157" s="24">
        <f>Data!K157</f>
        <v>0</v>
      </c>
      <c r="Q157" s="24">
        <f>Data!I157</f>
        <v>0</v>
      </c>
      <c r="R157" s="25">
        <f t="shared" si="22"/>
        <v>0</v>
      </c>
      <c r="S157" s="25">
        <f t="shared" si="23"/>
        <v>0</v>
      </c>
    </row>
    <row r="158" spans="1:19" ht="15" customHeight="1" x14ac:dyDescent="0.3">
      <c r="A158" s="22"/>
      <c r="B158" s="23"/>
      <c r="C158" s="3"/>
      <c r="D158" s="23">
        <v>2016</v>
      </c>
      <c r="E158" s="24">
        <f>Data!F158</f>
        <v>0</v>
      </c>
      <c r="F158" s="24">
        <f>Data!H158</f>
        <v>0</v>
      </c>
      <c r="G158" s="24">
        <f t="shared" si="16"/>
        <v>0</v>
      </c>
      <c r="H158" s="24">
        <f>Data!G158</f>
        <v>0</v>
      </c>
      <c r="I158" s="25">
        <f t="shared" si="17"/>
        <v>0</v>
      </c>
      <c r="J158" s="24">
        <f>Data!J158</f>
        <v>0</v>
      </c>
      <c r="K158" s="24">
        <f t="shared" si="18"/>
        <v>0</v>
      </c>
      <c r="L158" s="25">
        <f t="shared" si="19"/>
        <v>0</v>
      </c>
      <c r="M158" s="24">
        <f>Data!M158</f>
        <v>0</v>
      </c>
      <c r="N158" s="24">
        <f t="shared" si="20"/>
        <v>0</v>
      </c>
      <c r="O158" s="25">
        <f t="shared" si="21"/>
        <v>0</v>
      </c>
      <c r="P158" s="24">
        <f>Data!K158</f>
        <v>0</v>
      </c>
      <c r="Q158" s="24">
        <f>Data!I158</f>
        <v>0</v>
      </c>
      <c r="R158" s="25">
        <f t="shared" si="22"/>
        <v>0</v>
      </c>
      <c r="S158" s="25">
        <f t="shared" si="23"/>
        <v>0</v>
      </c>
    </row>
    <row r="159" spans="1:19" ht="15" customHeight="1" x14ac:dyDescent="0.3">
      <c r="A159" s="22"/>
      <c r="B159" s="23"/>
      <c r="C159" s="3"/>
      <c r="D159" s="23">
        <v>2017</v>
      </c>
      <c r="E159" s="24">
        <f>Data!F159</f>
        <v>23801610000</v>
      </c>
      <c r="F159" s="24">
        <f>Data!H159</f>
        <v>19628410000</v>
      </c>
      <c r="G159" s="24">
        <f t="shared" si="16"/>
        <v>4173200000</v>
      </c>
      <c r="H159" s="24">
        <f>Data!G159</f>
        <v>202382380000</v>
      </c>
      <c r="I159" s="25">
        <f t="shared" si="17"/>
        <v>0.13526964155674026</v>
      </c>
      <c r="J159" s="24">
        <f>Data!J159</f>
        <v>501540000</v>
      </c>
      <c r="K159" s="24">
        <f t="shared" si="18"/>
        <v>202382380000</v>
      </c>
      <c r="L159" s="25">
        <f t="shared" si="19"/>
        <v>8.0788673401310917E-3</v>
      </c>
      <c r="M159" s="24">
        <f>Data!M159</f>
        <v>452960000</v>
      </c>
      <c r="N159" s="24">
        <f t="shared" si="20"/>
        <v>202382380000</v>
      </c>
      <c r="O159" s="25">
        <f t="shared" si="21"/>
        <v>1.5040297480442714E-2</v>
      </c>
      <c r="P159" s="24">
        <f>Data!K159</f>
        <v>155501540000</v>
      </c>
      <c r="Q159" s="24">
        <f>Data!I159</f>
        <v>46880840000</v>
      </c>
      <c r="R159" s="25">
        <f t="shared" si="22"/>
        <v>3.4828005854843895</v>
      </c>
      <c r="S159" s="25">
        <f t="shared" si="23"/>
        <v>3.6411893918617038</v>
      </c>
    </row>
    <row r="160" spans="1:19" ht="15" customHeight="1" x14ac:dyDescent="0.3">
      <c r="A160" s="22"/>
      <c r="B160" s="23"/>
      <c r="C160" s="3"/>
      <c r="D160" s="23">
        <v>2018</v>
      </c>
      <c r="E160" s="24">
        <f>Data!F160</f>
        <v>73562879999.999985</v>
      </c>
      <c r="F160" s="24">
        <f>Data!H160</f>
        <v>15510570000</v>
      </c>
      <c r="G160" s="24">
        <f t="shared" si="16"/>
        <v>58052309999.999985</v>
      </c>
      <c r="H160" s="24">
        <f>Data!G160</f>
        <v>237879500000</v>
      </c>
      <c r="I160" s="25">
        <f t="shared" si="17"/>
        <v>1.6009078277026809</v>
      </c>
      <c r="J160" s="24">
        <f>Data!J160</f>
        <v>1895370000</v>
      </c>
      <c r="K160" s="24">
        <f t="shared" si="18"/>
        <v>237879500000</v>
      </c>
      <c r="L160" s="25">
        <f t="shared" si="19"/>
        <v>2.5974941934887197E-2</v>
      </c>
      <c r="M160" s="24">
        <f>Data!M160</f>
        <v>1334050000</v>
      </c>
      <c r="N160" s="24">
        <f t="shared" si="20"/>
        <v>237879500000</v>
      </c>
      <c r="O160" s="25">
        <f t="shared" si="21"/>
        <v>3.7686374824228229E-2</v>
      </c>
      <c r="P160" s="24">
        <f>Data!K160</f>
        <v>156961940000</v>
      </c>
      <c r="Q160" s="24">
        <f>Data!I160</f>
        <v>80917560000</v>
      </c>
      <c r="R160" s="25">
        <f t="shared" si="22"/>
        <v>2.0367647887553701</v>
      </c>
      <c r="S160" s="25">
        <f t="shared" si="23"/>
        <v>3.7013339332171666</v>
      </c>
    </row>
    <row r="161" spans="1:19" ht="15" customHeight="1" x14ac:dyDescent="0.3">
      <c r="A161" s="22"/>
      <c r="B161" s="23"/>
      <c r="C161" s="3"/>
      <c r="D161" s="23">
        <v>2019</v>
      </c>
      <c r="E161" s="24">
        <f>Data!F161</f>
        <v>60527359999.999992</v>
      </c>
      <c r="F161" s="24">
        <f>Data!H161</f>
        <v>18574370000</v>
      </c>
      <c r="G161" s="24">
        <f t="shared" si="16"/>
        <v>41952989999.999992</v>
      </c>
      <c r="H161" s="24">
        <f>Data!G161</f>
        <v>254091990000</v>
      </c>
      <c r="I161" s="25">
        <f t="shared" si="17"/>
        <v>1.083118025090047</v>
      </c>
      <c r="J161" s="24">
        <f>Data!J161</f>
        <v>4465410000</v>
      </c>
      <c r="K161" s="24">
        <f t="shared" si="18"/>
        <v>254091990000</v>
      </c>
      <c r="L161" s="25">
        <f t="shared" si="19"/>
        <v>5.7291206228106593E-2</v>
      </c>
      <c r="M161" s="24">
        <f>Data!M161</f>
        <v>2407930000</v>
      </c>
      <c r="N161" s="24">
        <f t="shared" si="20"/>
        <v>254091990000</v>
      </c>
      <c r="O161" s="25">
        <f t="shared" si="21"/>
        <v>6.3682800862789893E-2</v>
      </c>
      <c r="P161" s="24">
        <f>Data!K161</f>
        <v>162416660000</v>
      </c>
      <c r="Q161" s="24">
        <f>Data!I161</f>
        <v>91675330000</v>
      </c>
      <c r="R161" s="25">
        <f t="shared" si="22"/>
        <v>1.8602332055963147</v>
      </c>
      <c r="S161" s="25">
        <f t="shared" si="23"/>
        <v>3.0643252377772581</v>
      </c>
    </row>
    <row r="162" spans="1:19" ht="15" customHeight="1" x14ac:dyDescent="0.3">
      <c r="A162" s="22"/>
      <c r="B162" s="23"/>
      <c r="C162" s="3"/>
      <c r="D162" s="23">
        <v>2020</v>
      </c>
      <c r="E162" s="24">
        <f>Data!F162</f>
        <v>86296100000</v>
      </c>
      <c r="F162" s="24">
        <f>Data!H162</f>
        <v>37122650000</v>
      </c>
      <c r="G162" s="24">
        <f t="shared" si="16"/>
        <v>49173450000</v>
      </c>
      <c r="H162" s="24">
        <f>Data!G162</f>
        <v>297990000000</v>
      </c>
      <c r="I162" s="25">
        <f t="shared" si="17"/>
        <v>1.0825122722239</v>
      </c>
      <c r="J162" s="24">
        <f>Data!J162</f>
        <v>11884110000</v>
      </c>
      <c r="K162" s="24">
        <f t="shared" si="18"/>
        <v>297990000000</v>
      </c>
      <c r="L162" s="25">
        <f t="shared" si="19"/>
        <v>0.13001174066243831</v>
      </c>
      <c r="M162" s="24">
        <f>Data!M162</f>
        <v>7273430000</v>
      </c>
      <c r="N162" s="24">
        <f t="shared" si="20"/>
        <v>297990000000</v>
      </c>
      <c r="O162" s="25">
        <f t="shared" si="21"/>
        <v>0.16402379140239604</v>
      </c>
      <c r="P162" s="24">
        <f>Data!K162</f>
        <v>165802160000</v>
      </c>
      <c r="Q162" s="24">
        <f>Data!I162</f>
        <v>132187840000</v>
      </c>
      <c r="R162" s="25">
        <f t="shared" si="22"/>
        <v>1.3170066777700582</v>
      </c>
      <c r="S162" s="25">
        <f t="shared" si="23"/>
        <v>2.6935544820587927</v>
      </c>
    </row>
    <row r="163" spans="1:19" ht="15" customHeight="1" x14ac:dyDescent="0.3">
      <c r="A163" s="22"/>
      <c r="B163" s="23"/>
      <c r="C163" s="3"/>
      <c r="D163" s="23">
        <v>2021</v>
      </c>
      <c r="E163" s="24">
        <f>Data!F163</f>
        <v>114131680000</v>
      </c>
      <c r="F163" s="24">
        <f>Data!H163</f>
        <v>67823740000.000008</v>
      </c>
      <c r="G163" s="24">
        <f t="shared" si="16"/>
        <v>46307939999.999992</v>
      </c>
      <c r="H163" s="24">
        <f>Data!G163</f>
        <v>374138510000</v>
      </c>
      <c r="I163" s="25">
        <f t="shared" si="17"/>
        <v>0.81194551825205041</v>
      </c>
      <c r="J163" s="24">
        <f>Data!J163</f>
        <v>13176930000</v>
      </c>
      <c r="K163" s="24">
        <f t="shared" si="18"/>
        <v>374138510000</v>
      </c>
      <c r="L163" s="25">
        <f t="shared" si="19"/>
        <v>0.1148152105486281</v>
      </c>
      <c r="M163" s="24">
        <f>Data!M163</f>
        <v>1139340000</v>
      </c>
      <c r="N163" s="24">
        <f t="shared" si="20"/>
        <v>374138510000</v>
      </c>
      <c r="O163" s="25">
        <f t="shared" si="21"/>
        <v>2.0463984848819759E-2</v>
      </c>
      <c r="P163" s="24">
        <f>Data!K163</f>
        <v>177833770000</v>
      </c>
      <c r="Q163" s="24">
        <f>Data!I163</f>
        <v>196304730000</v>
      </c>
      <c r="R163" s="25">
        <f t="shared" si="22"/>
        <v>0.95120203420467764</v>
      </c>
      <c r="S163" s="25">
        <f t="shared" si="23"/>
        <v>1.8984267478541759</v>
      </c>
    </row>
    <row r="164" spans="1:19" ht="15" customHeight="1" x14ac:dyDescent="0.3">
      <c r="A164" s="22"/>
      <c r="B164" s="23"/>
      <c r="C164" s="3"/>
      <c r="D164" s="23">
        <v>2022</v>
      </c>
      <c r="E164" s="24">
        <f>Data!F164</f>
        <v>120910730000</v>
      </c>
      <c r="F164" s="24">
        <f>Data!H164</f>
        <v>76907390000</v>
      </c>
      <c r="G164" s="24">
        <f t="shared" si="16"/>
        <v>44003340000</v>
      </c>
      <c r="H164" s="24">
        <f>Data!G164</f>
        <v>431376860000</v>
      </c>
      <c r="I164" s="25">
        <f t="shared" si="17"/>
        <v>0.66916410490817702</v>
      </c>
      <c r="J164" s="24">
        <f>Data!J164</f>
        <v>24005180000</v>
      </c>
      <c r="K164" s="24">
        <f t="shared" si="18"/>
        <v>431376860000</v>
      </c>
      <c r="L164" s="25">
        <f t="shared" si="19"/>
        <v>0.18141187916292031</v>
      </c>
      <c r="M164" s="24">
        <f>Data!M164</f>
        <v>10747660000</v>
      </c>
      <c r="N164" s="24">
        <f t="shared" si="20"/>
        <v>431376860000</v>
      </c>
      <c r="O164" s="25">
        <f t="shared" si="21"/>
        <v>0.16742732839216271</v>
      </c>
      <c r="P164" s="24">
        <f>Data!K164</f>
        <v>186995080000</v>
      </c>
      <c r="Q164" s="24">
        <f>Data!I164</f>
        <v>244381780000</v>
      </c>
      <c r="R164" s="25">
        <f t="shared" si="22"/>
        <v>0.80343483053442044</v>
      </c>
      <c r="S164" s="25">
        <f t="shared" si="23"/>
        <v>1.8214381429976805</v>
      </c>
    </row>
    <row r="165" spans="1:19" ht="15" customHeight="1" x14ac:dyDescent="0.3">
      <c r="A165" s="22"/>
      <c r="B165" s="23"/>
      <c r="C165" s="3"/>
      <c r="D165" s="23">
        <v>2023</v>
      </c>
      <c r="E165" s="24">
        <f>Data!F165</f>
        <v>151320080000.00003</v>
      </c>
      <c r="F165" s="24">
        <f>Data!H165</f>
        <v>93604730000</v>
      </c>
      <c r="G165" s="24">
        <f t="shared" si="16"/>
        <v>57715350000.000031</v>
      </c>
      <c r="H165" s="24">
        <f>Data!G165</f>
        <v>507970770000</v>
      </c>
      <c r="I165" s="25">
        <f t="shared" si="17"/>
        <v>0.7453434692708798</v>
      </c>
      <c r="J165" s="24">
        <f>Data!J165</f>
        <v>27276090000</v>
      </c>
      <c r="K165" s="24">
        <f t="shared" si="18"/>
        <v>507970770000</v>
      </c>
      <c r="L165" s="25">
        <f t="shared" si="19"/>
        <v>0.1750495474375425</v>
      </c>
      <c r="M165" s="24">
        <f>Data!M165</f>
        <v>3119450000</v>
      </c>
      <c r="N165" s="24">
        <f t="shared" si="20"/>
        <v>507970770000</v>
      </c>
      <c r="O165" s="25">
        <f t="shared" si="21"/>
        <v>4.1267539862579097E-2</v>
      </c>
      <c r="P165" s="24">
        <f>Data!K165</f>
        <v>192883510000</v>
      </c>
      <c r="Q165" s="24">
        <f>Data!I165</f>
        <v>315087260000</v>
      </c>
      <c r="R165" s="25">
        <f t="shared" si="22"/>
        <v>0.6427669766781432</v>
      </c>
      <c r="S165" s="25">
        <f t="shared" si="23"/>
        <v>1.6044275332491447</v>
      </c>
    </row>
    <row r="166" spans="1:19" ht="15" customHeight="1" x14ac:dyDescent="0.3">
      <c r="A166" s="22"/>
      <c r="B166" s="23"/>
      <c r="C166" s="3"/>
      <c r="D166" s="23">
        <v>2024</v>
      </c>
      <c r="E166" s="24">
        <f>Data!F166</f>
        <v>110065870000</v>
      </c>
      <c r="F166" s="24">
        <f>Data!H166</f>
        <v>41858560000</v>
      </c>
      <c r="G166" s="24">
        <f t="shared" si="16"/>
        <v>68207310000</v>
      </c>
      <c r="H166" s="24">
        <f>Data!G166</f>
        <v>516246820000</v>
      </c>
      <c r="I166" s="25">
        <f t="shared" si="17"/>
        <v>0.86671711333737611</v>
      </c>
      <c r="J166" s="24">
        <f>Data!J166</f>
        <v>40212380000</v>
      </c>
      <c r="K166" s="24">
        <f t="shared" si="18"/>
        <v>516246820000</v>
      </c>
      <c r="L166" s="25">
        <f t="shared" si="19"/>
        <v>0.25393349406006993</v>
      </c>
      <c r="M166" s="24">
        <f>Data!M166</f>
        <v>12746870000</v>
      </c>
      <c r="N166" s="24">
        <f t="shared" si="20"/>
        <v>516246820000</v>
      </c>
      <c r="O166" s="25">
        <f t="shared" si="21"/>
        <v>0.1659263807184323</v>
      </c>
      <c r="P166" s="24">
        <f>Data!K166</f>
        <v>186530010000</v>
      </c>
      <c r="Q166" s="24">
        <f>Data!I166</f>
        <v>329716810000</v>
      </c>
      <c r="R166" s="25">
        <f t="shared" si="22"/>
        <v>0.59401433157138706</v>
      </c>
      <c r="S166" s="25">
        <f t="shared" si="23"/>
        <v>1.8805913196872655</v>
      </c>
    </row>
    <row r="167" spans="1:19" ht="15" customHeight="1" x14ac:dyDescent="0.3">
      <c r="A167" s="22"/>
      <c r="B167" s="23">
        <v>16</v>
      </c>
      <c r="C167" s="3" t="s">
        <v>44</v>
      </c>
      <c r="D167" s="23">
        <v>2014</v>
      </c>
      <c r="E167" s="24">
        <f>Data!F167</f>
        <v>0</v>
      </c>
      <c r="F167" s="24">
        <f>Data!H167</f>
        <v>0</v>
      </c>
      <c r="G167" s="24">
        <f t="shared" si="16"/>
        <v>0</v>
      </c>
      <c r="H167" s="24">
        <f>Data!G167</f>
        <v>0</v>
      </c>
      <c r="I167" s="25">
        <f t="shared" si="17"/>
        <v>0</v>
      </c>
      <c r="J167" s="24">
        <f>Data!J167</f>
        <v>0</v>
      </c>
      <c r="K167" s="24">
        <f t="shared" si="18"/>
        <v>0</v>
      </c>
      <c r="L167" s="25">
        <f t="shared" si="19"/>
        <v>0</v>
      </c>
      <c r="M167" s="24">
        <f>Data!M167</f>
        <v>0</v>
      </c>
      <c r="N167" s="24">
        <f t="shared" si="20"/>
        <v>0</v>
      </c>
      <c r="O167" s="25">
        <f t="shared" si="21"/>
        <v>0</v>
      </c>
      <c r="P167" s="24">
        <f>Data!K167</f>
        <v>0</v>
      </c>
      <c r="Q167" s="24">
        <f>Data!I167</f>
        <v>0</v>
      </c>
      <c r="R167" s="25">
        <f t="shared" si="22"/>
        <v>0</v>
      </c>
      <c r="S167" s="25">
        <f t="shared" si="23"/>
        <v>0</v>
      </c>
    </row>
    <row r="168" spans="1:19" ht="15" customHeight="1" x14ac:dyDescent="0.3">
      <c r="A168" s="22"/>
      <c r="B168" s="23"/>
      <c r="C168" s="3"/>
      <c r="D168" s="23">
        <v>2015</v>
      </c>
      <c r="E168" s="24">
        <f>Data!F168</f>
        <v>222445730000</v>
      </c>
      <c r="F168" s="24">
        <f>Data!H168</f>
        <v>54659890000</v>
      </c>
      <c r="G168" s="24">
        <f t="shared" si="16"/>
        <v>167785840000</v>
      </c>
      <c r="H168" s="24">
        <f>Data!G168</f>
        <v>362414130000</v>
      </c>
      <c r="I168" s="25">
        <f t="shared" si="17"/>
        <v>3.0370645603691</v>
      </c>
      <c r="J168" s="24">
        <f>Data!J168</f>
        <v>35327720000</v>
      </c>
      <c r="K168" s="24">
        <f t="shared" si="18"/>
        <v>362414130000</v>
      </c>
      <c r="L168" s="25">
        <f t="shared" si="19"/>
        <v>0.31778111741945597</v>
      </c>
      <c r="M168" s="24">
        <f>Data!M168</f>
        <v>16283560000</v>
      </c>
      <c r="N168" s="24">
        <f t="shared" si="20"/>
        <v>362414130000</v>
      </c>
      <c r="O168" s="25">
        <f t="shared" si="21"/>
        <v>0.30193503547999079</v>
      </c>
      <c r="P168" s="24">
        <f>Data!K168</f>
        <v>135327720000</v>
      </c>
      <c r="Q168" s="24">
        <f>Data!I168</f>
        <v>227086410000</v>
      </c>
      <c r="R168" s="25">
        <f t="shared" si="22"/>
        <v>0.62572703492031956</v>
      </c>
      <c r="S168" s="25">
        <f t="shared" si="23"/>
        <v>4.2825077481888663</v>
      </c>
    </row>
    <row r="169" spans="1:19" ht="15" customHeight="1" x14ac:dyDescent="0.3">
      <c r="A169" s="22"/>
      <c r="B169" s="23"/>
      <c r="C169" s="3"/>
      <c r="D169" s="23">
        <v>2016</v>
      </c>
      <c r="E169" s="24">
        <f>Data!F169</f>
        <v>303666269999.99994</v>
      </c>
      <c r="F169" s="24">
        <f>Data!H169</f>
        <v>22064120000</v>
      </c>
      <c r="G169" s="24">
        <f t="shared" si="16"/>
        <v>281602149999.99994</v>
      </c>
      <c r="H169" s="24">
        <f>Data!G169</f>
        <v>436068360000</v>
      </c>
      <c r="I169" s="25">
        <f t="shared" si="17"/>
        <v>4.2362855768760648</v>
      </c>
      <c r="J169" s="24">
        <f>Data!J169</f>
        <v>56518790000</v>
      </c>
      <c r="K169" s="24">
        <f t="shared" si="18"/>
        <v>436068360000</v>
      </c>
      <c r="L169" s="25">
        <f t="shared" si="19"/>
        <v>0.42252837467960297</v>
      </c>
      <c r="M169" s="24">
        <f>Data!M169</f>
        <v>27979340000</v>
      </c>
      <c r="N169" s="24">
        <f t="shared" si="20"/>
        <v>436068360000</v>
      </c>
      <c r="O169" s="25">
        <f t="shared" si="21"/>
        <v>0.43117360039604796</v>
      </c>
      <c r="P169" s="24">
        <f>Data!K169</f>
        <v>156518790000</v>
      </c>
      <c r="Q169" s="24">
        <f>Data!I169</f>
        <v>279549570000</v>
      </c>
      <c r="R169" s="25">
        <f t="shared" si="22"/>
        <v>0.58789119046042537</v>
      </c>
      <c r="S169" s="25">
        <f t="shared" si="23"/>
        <v>5.6778787424121404</v>
      </c>
    </row>
    <row r="170" spans="1:19" ht="15" customHeight="1" x14ac:dyDescent="0.3">
      <c r="A170" s="22"/>
      <c r="B170" s="23"/>
      <c r="C170" s="3"/>
      <c r="D170" s="23">
        <v>2017</v>
      </c>
      <c r="E170" s="24">
        <f>Data!F170</f>
        <v>611283220000</v>
      </c>
      <c r="F170" s="24">
        <f>Data!H170</f>
        <v>179961290000</v>
      </c>
      <c r="G170" s="24">
        <f t="shared" si="16"/>
        <v>431321930000</v>
      </c>
      <c r="H170" s="24">
        <f>Data!G170</f>
        <v>754337470000</v>
      </c>
      <c r="I170" s="25">
        <f t="shared" si="17"/>
        <v>3.7509363823594759</v>
      </c>
      <c r="J170" s="24">
        <f>Data!J170</f>
        <v>83096330000</v>
      </c>
      <c r="K170" s="24">
        <f t="shared" si="18"/>
        <v>754337470000</v>
      </c>
      <c r="L170" s="25">
        <f t="shared" si="19"/>
        <v>0.35911517931092563</v>
      </c>
      <c r="M170" s="24">
        <f>Data!M170</f>
        <v>33393040000</v>
      </c>
      <c r="N170" s="24">
        <f t="shared" si="20"/>
        <v>754337470000</v>
      </c>
      <c r="O170" s="25">
        <f t="shared" si="21"/>
        <v>0.29748121725943166</v>
      </c>
      <c r="P170" s="24">
        <f>Data!K170</f>
        <v>183096330000</v>
      </c>
      <c r="Q170" s="24">
        <f>Data!I170</f>
        <v>571241150000</v>
      </c>
      <c r="R170" s="25">
        <f t="shared" si="22"/>
        <v>0.33654989053222095</v>
      </c>
      <c r="S170" s="25">
        <f t="shared" si="23"/>
        <v>4.7440826694620535</v>
      </c>
    </row>
    <row r="171" spans="1:19" ht="15" customHeight="1" x14ac:dyDescent="0.3">
      <c r="A171" s="22"/>
      <c r="B171" s="23"/>
      <c r="C171" s="3"/>
      <c r="D171" s="23">
        <v>2018</v>
      </c>
      <c r="E171" s="24">
        <f>Data!F171</f>
        <v>661191940000</v>
      </c>
      <c r="F171" s="24">
        <f>Data!H171</f>
        <v>281331340000</v>
      </c>
      <c r="G171" s="24">
        <f t="shared" si="16"/>
        <v>379860600000</v>
      </c>
      <c r="H171" s="24">
        <f>Data!G171</f>
        <v>831082530000</v>
      </c>
      <c r="I171" s="25">
        <f t="shared" si="17"/>
        <v>2.9983611086133646</v>
      </c>
      <c r="J171" s="24">
        <f>Data!J171</f>
        <v>8727530000</v>
      </c>
      <c r="K171" s="24">
        <f t="shared" si="18"/>
        <v>831082530000</v>
      </c>
      <c r="L171" s="25">
        <f t="shared" si="19"/>
        <v>3.4234563684066369E-2</v>
      </c>
      <c r="M171" s="24">
        <f>Data!M171</f>
        <v>-74862670000</v>
      </c>
      <c r="N171" s="24">
        <f t="shared" si="20"/>
        <v>831082530000</v>
      </c>
      <c r="O171" s="25">
        <f t="shared" si="21"/>
        <v>-0.60532753877042755</v>
      </c>
      <c r="P171" s="24">
        <f>Data!K171</f>
        <v>105550420000</v>
      </c>
      <c r="Q171" s="24">
        <f>Data!I171</f>
        <v>725535110000</v>
      </c>
      <c r="R171" s="25">
        <f t="shared" si="22"/>
        <v>0.15275338088049248</v>
      </c>
      <c r="S171" s="25">
        <f t="shared" si="23"/>
        <v>2.5800215144074961</v>
      </c>
    </row>
    <row r="172" spans="1:19" ht="15" customHeight="1" x14ac:dyDescent="0.3">
      <c r="A172" s="22"/>
      <c r="B172" s="23"/>
      <c r="C172" s="3"/>
      <c r="D172" s="23">
        <v>2019</v>
      </c>
      <c r="E172" s="24">
        <f>Data!F172</f>
        <v>624063870000</v>
      </c>
      <c r="F172" s="24">
        <f>Data!H172</f>
        <v>153488600000</v>
      </c>
      <c r="G172" s="24">
        <f t="shared" si="16"/>
        <v>470575270000</v>
      </c>
      <c r="H172" s="24">
        <f>Data!G172</f>
        <v>805109390000</v>
      </c>
      <c r="I172" s="25">
        <f t="shared" si="17"/>
        <v>3.8342289998629875</v>
      </c>
      <c r="J172" s="24">
        <f>Data!J172</f>
        <v>9563200000</v>
      </c>
      <c r="K172" s="24">
        <f t="shared" si="18"/>
        <v>805109390000</v>
      </c>
      <c r="L172" s="25">
        <f t="shared" si="19"/>
        <v>3.8722728100339256E-2</v>
      </c>
      <c r="M172" s="24">
        <f>Data!M172</f>
        <v>3200900000</v>
      </c>
      <c r="N172" s="24">
        <f t="shared" si="20"/>
        <v>805109390000</v>
      </c>
      <c r="O172" s="25">
        <f t="shared" si="21"/>
        <v>2.6716926006787722E-2</v>
      </c>
      <c r="P172" s="24">
        <f>Data!K172</f>
        <v>158646300000</v>
      </c>
      <c r="Q172" s="24">
        <f>Data!I172</f>
        <v>646463100000</v>
      </c>
      <c r="R172" s="25">
        <f t="shared" si="22"/>
        <v>0.25767691148961175</v>
      </c>
      <c r="S172" s="25">
        <f t="shared" si="23"/>
        <v>4.1573455654597256</v>
      </c>
    </row>
    <row r="173" spans="1:19" ht="15" customHeight="1" x14ac:dyDescent="0.3">
      <c r="A173" s="22"/>
      <c r="B173" s="23"/>
      <c r="C173" s="3"/>
      <c r="D173" s="23">
        <v>2020</v>
      </c>
      <c r="E173" s="24">
        <f>Data!F173</f>
        <v>782689400000</v>
      </c>
      <c r="F173" s="24">
        <f>Data!H173</f>
        <v>233719540000</v>
      </c>
      <c r="G173" s="24">
        <f t="shared" si="16"/>
        <v>548969860000</v>
      </c>
      <c r="H173" s="24">
        <f>Data!G173</f>
        <v>972655010000</v>
      </c>
      <c r="I173" s="25">
        <f t="shared" si="17"/>
        <v>3.7024867446063938</v>
      </c>
      <c r="J173" s="24">
        <f>Data!J173</f>
        <v>27770800000</v>
      </c>
      <c r="K173" s="24">
        <f t="shared" si="18"/>
        <v>972655010000</v>
      </c>
      <c r="L173" s="25">
        <f t="shared" si="19"/>
        <v>9.3078025681479798E-2</v>
      </c>
      <c r="M173" s="24">
        <f>Data!M173</f>
        <v>17347420000</v>
      </c>
      <c r="N173" s="24">
        <f t="shared" si="20"/>
        <v>972655010000</v>
      </c>
      <c r="O173" s="25">
        <f t="shared" si="21"/>
        <v>0.11985201453905019</v>
      </c>
      <c r="P173" s="24">
        <f>Data!K173</f>
        <v>176928510000</v>
      </c>
      <c r="Q173" s="24">
        <f>Data!I173</f>
        <v>795726500000</v>
      </c>
      <c r="R173" s="25">
        <f t="shared" si="22"/>
        <v>0.23346581457322332</v>
      </c>
      <c r="S173" s="25">
        <f t="shared" si="23"/>
        <v>4.1488825994001468</v>
      </c>
    </row>
    <row r="174" spans="1:19" ht="15" customHeight="1" x14ac:dyDescent="0.3">
      <c r="A174" s="22"/>
      <c r="B174" s="23"/>
      <c r="C174" s="3"/>
      <c r="D174" s="23">
        <v>2021</v>
      </c>
      <c r="E174" s="24">
        <f>Data!F174</f>
        <v>956502310000</v>
      </c>
      <c r="F174" s="24">
        <f>Data!H174</f>
        <v>293984740000</v>
      </c>
      <c r="G174" s="24">
        <f t="shared" si="16"/>
        <v>662517570000</v>
      </c>
      <c r="H174" s="24">
        <f>Data!G174</f>
        <v>1191013470000</v>
      </c>
      <c r="I174" s="25">
        <f t="shared" si="17"/>
        <v>3.6490899294363146</v>
      </c>
      <c r="J174" s="24">
        <f>Data!J174</f>
        <v>44783010000</v>
      </c>
      <c r="K174" s="24">
        <f t="shared" si="18"/>
        <v>1191013470000</v>
      </c>
      <c r="L174" s="25">
        <f t="shared" si="19"/>
        <v>0.12257847310492634</v>
      </c>
      <c r="M174" s="24">
        <f>Data!M174</f>
        <v>27863010000</v>
      </c>
      <c r="N174" s="24">
        <f t="shared" si="20"/>
        <v>1191013470000</v>
      </c>
      <c r="O174" s="25">
        <f t="shared" si="21"/>
        <v>0.15721016757266398</v>
      </c>
      <c r="P174" s="24">
        <f>Data!K174</f>
        <v>188195150000</v>
      </c>
      <c r="Q174" s="24">
        <f>Data!I174</f>
        <v>1002818320000</v>
      </c>
      <c r="R174" s="25">
        <f t="shared" si="22"/>
        <v>0.19704955878747807</v>
      </c>
      <c r="S174" s="25">
        <f t="shared" si="23"/>
        <v>4.1259281289013829</v>
      </c>
    </row>
    <row r="175" spans="1:19" ht="15" customHeight="1" x14ac:dyDescent="0.3">
      <c r="A175" s="22"/>
      <c r="B175" s="23"/>
      <c r="C175" s="3"/>
      <c r="D175" s="23">
        <v>2022</v>
      </c>
      <c r="E175" s="24">
        <f>Data!F175</f>
        <v>666910230000</v>
      </c>
      <c r="F175" s="24">
        <f>Data!H175</f>
        <v>108708360000</v>
      </c>
      <c r="G175" s="24">
        <f t="shared" si="16"/>
        <v>558201870000</v>
      </c>
      <c r="H175" s="24">
        <f>Data!G175</f>
        <v>979771550000</v>
      </c>
      <c r="I175" s="25">
        <f t="shared" si="17"/>
        <v>3.7374062016803808</v>
      </c>
      <c r="J175" s="24">
        <f>Data!J175</f>
        <v>62419350000</v>
      </c>
      <c r="K175" s="24">
        <f t="shared" si="18"/>
        <v>979771550000</v>
      </c>
      <c r="L175" s="25">
        <f t="shared" si="19"/>
        <v>0.20768829325570839</v>
      </c>
      <c r="M175" s="24">
        <f>Data!M175</f>
        <v>37161800000</v>
      </c>
      <c r="N175" s="24">
        <f t="shared" si="20"/>
        <v>979771550000</v>
      </c>
      <c r="O175" s="25">
        <f t="shared" si="21"/>
        <v>0.25488318782067104</v>
      </c>
      <c r="P175" s="24">
        <f>Data!K175</f>
        <v>219984670000</v>
      </c>
      <c r="Q175" s="24">
        <f>Data!I175</f>
        <v>759786880000</v>
      </c>
      <c r="R175" s="25">
        <f t="shared" si="22"/>
        <v>0.30401144002381303</v>
      </c>
      <c r="S175" s="25">
        <f t="shared" si="23"/>
        <v>4.5039891227805731</v>
      </c>
    </row>
    <row r="176" spans="1:19" ht="15" customHeight="1" x14ac:dyDescent="0.3">
      <c r="A176" s="22"/>
      <c r="B176" s="23"/>
      <c r="C176" s="3"/>
      <c r="D176" s="23">
        <v>2023</v>
      </c>
      <c r="E176" s="24">
        <f>Data!F176</f>
        <v>520778650000</v>
      </c>
      <c r="F176" s="24">
        <f>Data!H176</f>
        <v>39738180000</v>
      </c>
      <c r="G176" s="24">
        <f t="shared" si="16"/>
        <v>481040470000</v>
      </c>
      <c r="H176" s="24">
        <f>Data!G176</f>
        <v>1073555960000</v>
      </c>
      <c r="I176" s="25">
        <f t="shared" si="17"/>
        <v>2.9394140601669241</v>
      </c>
      <c r="J176" s="24">
        <f>Data!J176</f>
        <v>82276440000</v>
      </c>
      <c r="K176" s="24">
        <f t="shared" si="18"/>
        <v>1073555960000</v>
      </c>
      <c r="L176" s="25">
        <f t="shared" si="19"/>
        <v>0.24984370111456505</v>
      </c>
      <c r="M176" s="24">
        <f>Data!M176</f>
        <v>24543180000</v>
      </c>
      <c r="N176" s="24">
        <f t="shared" si="20"/>
        <v>1073555960000</v>
      </c>
      <c r="O176" s="25">
        <f t="shared" si="21"/>
        <v>0.15362978339759764</v>
      </c>
      <c r="P176" s="24">
        <f>Data!K176</f>
        <v>245636300000</v>
      </c>
      <c r="Q176" s="24">
        <f>Data!I176</f>
        <v>827919660000</v>
      </c>
      <c r="R176" s="25">
        <f t="shared" si="22"/>
        <v>0.31152553497763302</v>
      </c>
      <c r="S176" s="25">
        <f t="shared" si="23"/>
        <v>3.6544130796567194</v>
      </c>
    </row>
    <row r="177" spans="1:19" ht="15" customHeight="1" x14ac:dyDescent="0.3">
      <c r="A177" s="22"/>
      <c r="B177" s="23"/>
      <c r="C177" s="3"/>
      <c r="D177" s="23">
        <v>2024</v>
      </c>
      <c r="E177" s="24">
        <f>Data!F177</f>
        <v>327936930000.00006</v>
      </c>
      <c r="F177" s="24">
        <f>Data!H177</f>
        <v>28887430000</v>
      </c>
      <c r="G177" s="24">
        <f t="shared" si="16"/>
        <v>299049500000.00006</v>
      </c>
      <c r="H177" s="24">
        <f>Data!G177</f>
        <v>1026468020000</v>
      </c>
      <c r="I177" s="25">
        <f t="shared" si="17"/>
        <v>1.9111795806361314</v>
      </c>
      <c r="J177" s="24">
        <f>Data!J177</f>
        <v>60593750000</v>
      </c>
      <c r="K177" s="24">
        <f t="shared" si="18"/>
        <v>1026468020000</v>
      </c>
      <c r="L177" s="25">
        <f t="shared" si="19"/>
        <v>0.19244206458570429</v>
      </c>
      <c r="M177" s="24">
        <f>Data!M177</f>
        <v>-26547820000</v>
      </c>
      <c r="N177" s="24">
        <f t="shared" si="20"/>
        <v>1026468020000</v>
      </c>
      <c r="O177" s="25">
        <f t="shared" si="21"/>
        <v>-0.17380117736157041</v>
      </c>
      <c r="P177" s="24">
        <f>Data!K177</f>
        <v>223273490000</v>
      </c>
      <c r="Q177" s="24">
        <f>Data!I177</f>
        <v>803194520000</v>
      </c>
      <c r="R177" s="25">
        <f t="shared" si="22"/>
        <v>0.29188093128424236</v>
      </c>
      <c r="S177" s="25">
        <f t="shared" si="23"/>
        <v>2.2217013991445076</v>
      </c>
    </row>
    <row r="178" spans="1:19" ht="15" customHeight="1" x14ac:dyDescent="0.3">
      <c r="A178" s="22"/>
      <c r="B178" s="23">
        <v>17</v>
      </c>
      <c r="C178" s="3" t="s">
        <v>22</v>
      </c>
      <c r="D178" s="23">
        <v>2014</v>
      </c>
      <c r="E178" s="24">
        <f>Data!F178</f>
        <v>0</v>
      </c>
      <c r="F178" s="24">
        <f>Data!H178</f>
        <v>0</v>
      </c>
      <c r="G178" s="24">
        <f t="shared" si="16"/>
        <v>0</v>
      </c>
      <c r="H178" s="24">
        <f>Data!G178</f>
        <v>0</v>
      </c>
      <c r="I178" s="25">
        <f t="shared" si="17"/>
        <v>0</v>
      </c>
      <c r="J178" s="24">
        <f>Data!J178</f>
        <v>0</v>
      </c>
      <c r="K178" s="24">
        <f t="shared" si="18"/>
        <v>0</v>
      </c>
      <c r="L178" s="25">
        <f t="shared" si="19"/>
        <v>0</v>
      </c>
      <c r="M178" s="24">
        <f>Data!M178</f>
        <v>0</v>
      </c>
      <c r="N178" s="24">
        <f t="shared" si="20"/>
        <v>0</v>
      </c>
      <c r="O178" s="25">
        <f t="shared" si="21"/>
        <v>0</v>
      </c>
      <c r="P178" s="24">
        <f>Data!K178</f>
        <v>0</v>
      </c>
      <c r="Q178" s="24">
        <f>Data!I178</f>
        <v>0</v>
      </c>
      <c r="R178" s="25">
        <f t="shared" si="22"/>
        <v>0</v>
      </c>
      <c r="S178" s="25">
        <f t="shared" si="23"/>
        <v>0</v>
      </c>
    </row>
    <row r="179" spans="1:19" ht="15" customHeight="1" x14ac:dyDescent="0.3">
      <c r="A179" s="22"/>
      <c r="B179" s="23"/>
      <c r="C179" s="3"/>
      <c r="D179" s="23">
        <v>2015</v>
      </c>
      <c r="E179" s="24">
        <f>Data!F179</f>
        <v>0</v>
      </c>
      <c r="F179" s="24">
        <f>Data!H179</f>
        <v>0</v>
      </c>
      <c r="G179" s="24">
        <f t="shared" si="16"/>
        <v>0</v>
      </c>
      <c r="H179" s="24">
        <f>Data!G179</f>
        <v>0</v>
      </c>
      <c r="I179" s="25">
        <f t="shared" si="17"/>
        <v>0</v>
      </c>
      <c r="J179" s="24">
        <f>Data!J179</f>
        <v>0</v>
      </c>
      <c r="K179" s="24">
        <f t="shared" si="18"/>
        <v>0</v>
      </c>
      <c r="L179" s="25">
        <f t="shared" si="19"/>
        <v>0</v>
      </c>
      <c r="M179" s="24">
        <f>Data!M179</f>
        <v>0</v>
      </c>
      <c r="N179" s="24">
        <f t="shared" si="20"/>
        <v>0</v>
      </c>
      <c r="O179" s="25">
        <f t="shared" si="21"/>
        <v>0</v>
      </c>
      <c r="P179" s="24">
        <f>Data!K179</f>
        <v>0</v>
      </c>
      <c r="Q179" s="24">
        <f>Data!I179</f>
        <v>0</v>
      </c>
      <c r="R179" s="25">
        <f t="shared" si="22"/>
        <v>0</v>
      </c>
      <c r="S179" s="25">
        <f t="shared" si="23"/>
        <v>0</v>
      </c>
    </row>
    <row r="180" spans="1:19" ht="15" customHeight="1" x14ac:dyDescent="0.3">
      <c r="A180" s="22"/>
      <c r="B180" s="23"/>
      <c r="C180" s="3"/>
      <c r="D180" s="23">
        <v>2016</v>
      </c>
      <c r="E180" s="24">
        <f>Data!F180</f>
        <v>0</v>
      </c>
      <c r="F180" s="24">
        <f>Data!H180</f>
        <v>0</v>
      </c>
      <c r="G180" s="24">
        <f t="shared" si="16"/>
        <v>0</v>
      </c>
      <c r="H180" s="24">
        <f>Data!G180</f>
        <v>0</v>
      </c>
      <c r="I180" s="25">
        <f t="shared" si="17"/>
        <v>0</v>
      </c>
      <c r="J180" s="24">
        <f>Data!J180</f>
        <v>0</v>
      </c>
      <c r="K180" s="24">
        <f t="shared" si="18"/>
        <v>0</v>
      </c>
      <c r="L180" s="25">
        <f t="shared" si="19"/>
        <v>0</v>
      </c>
      <c r="M180" s="24">
        <f>Data!M180</f>
        <v>0</v>
      </c>
      <c r="N180" s="24">
        <f t="shared" si="20"/>
        <v>0</v>
      </c>
      <c r="O180" s="25">
        <f t="shared" si="21"/>
        <v>0</v>
      </c>
      <c r="P180" s="24">
        <f>Data!K180</f>
        <v>0</v>
      </c>
      <c r="Q180" s="24">
        <f>Data!I180</f>
        <v>0</v>
      </c>
      <c r="R180" s="25">
        <f t="shared" si="22"/>
        <v>0</v>
      </c>
      <c r="S180" s="25">
        <f t="shared" si="23"/>
        <v>0</v>
      </c>
    </row>
    <row r="181" spans="1:19" ht="15" customHeight="1" x14ac:dyDescent="0.3">
      <c r="A181" s="22"/>
      <c r="B181" s="23"/>
      <c r="C181" s="3"/>
      <c r="D181" s="23">
        <v>2017</v>
      </c>
      <c r="E181" s="24">
        <f>Data!F181</f>
        <v>0</v>
      </c>
      <c r="F181" s="24">
        <f>Data!H181</f>
        <v>0</v>
      </c>
      <c r="G181" s="24">
        <f t="shared" si="16"/>
        <v>0</v>
      </c>
      <c r="H181" s="24">
        <f>Data!G181</f>
        <v>0</v>
      </c>
      <c r="I181" s="25">
        <f t="shared" si="17"/>
        <v>0</v>
      </c>
      <c r="J181" s="24">
        <f>Data!J181</f>
        <v>0</v>
      </c>
      <c r="K181" s="24">
        <f t="shared" si="18"/>
        <v>0</v>
      </c>
      <c r="L181" s="25">
        <f t="shared" si="19"/>
        <v>0</v>
      </c>
      <c r="M181" s="24">
        <f>Data!M181</f>
        <v>0</v>
      </c>
      <c r="N181" s="24">
        <f t="shared" si="20"/>
        <v>0</v>
      </c>
      <c r="O181" s="25">
        <f t="shared" si="21"/>
        <v>0</v>
      </c>
      <c r="P181" s="24">
        <f>Data!K181</f>
        <v>0</v>
      </c>
      <c r="Q181" s="24">
        <f>Data!I181</f>
        <v>0</v>
      </c>
      <c r="R181" s="25">
        <f t="shared" si="22"/>
        <v>0</v>
      </c>
      <c r="S181" s="25">
        <f t="shared" si="23"/>
        <v>0</v>
      </c>
    </row>
    <row r="182" spans="1:19" ht="15" customHeight="1" x14ac:dyDescent="0.3">
      <c r="A182" s="22"/>
      <c r="B182" s="23"/>
      <c r="C182" s="3"/>
      <c r="D182" s="23">
        <v>2018</v>
      </c>
      <c r="E182" s="24">
        <f>Data!F182</f>
        <v>0</v>
      </c>
      <c r="F182" s="24">
        <f>Data!H182</f>
        <v>0</v>
      </c>
      <c r="G182" s="24">
        <f t="shared" si="16"/>
        <v>0</v>
      </c>
      <c r="H182" s="24">
        <f>Data!G182</f>
        <v>0</v>
      </c>
      <c r="I182" s="25">
        <f t="shared" si="17"/>
        <v>0</v>
      </c>
      <c r="J182" s="24">
        <f>Data!J182</f>
        <v>0</v>
      </c>
      <c r="K182" s="24">
        <f t="shared" si="18"/>
        <v>0</v>
      </c>
      <c r="L182" s="25">
        <f t="shared" si="19"/>
        <v>0</v>
      </c>
      <c r="M182" s="24">
        <f>Data!M182</f>
        <v>0</v>
      </c>
      <c r="N182" s="24">
        <f t="shared" si="20"/>
        <v>0</v>
      </c>
      <c r="O182" s="25">
        <f t="shared" si="21"/>
        <v>0</v>
      </c>
      <c r="P182" s="24">
        <f>Data!K182</f>
        <v>0</v>
      </c>
      <c r="Q182" s="24">
        <f>Data!I182</f>
        <v>0</v>
      </c>
      <c r="R182" s="25">
        <f t="shared" si="22"/>
        <v>0</v>
      </c>
      <c r="S182" s="25">
        <f t="shared" si="23"/>
        <v>0</v>
      </c>
    </row>
    <row r="183" spans="1:19" ht="15" customHeight="1" x14ac:dyDescent="0.3">
      <c r="A183" s="22"/>
      <c r="B183" s="23"/>
      <c r="C183" s="3"/>
      <c r="D183" s="23">
        <v>2019</v>
      </c>
      <c r="E183" s="24">
        <f>Data!F183</f>
        <v>908000000</v>
      </c>
      <c r="F183" s="24">
        <f>Data!H183</f>
        <v>8382000000</v>
      </c>
      <c r="G183" s="24">
        <f t="shared" si="16"/>
        <v>-7474000000</v>
      </c>
      <c r="H183" s="24">
        <f>Data!G183</f>
        <v>90345000000</v>
      </c>
      <c r="I183" s="25">
        <f t="shared" si="17"/>
        <v>-0.54269123913885653</v>
      </c>
      <c r="J183" s="24">
        <f>Data!J183</f>
        <v>-63266000000</v>
      </c>
      <c r="K183" s="24">
        <f t="shared" si="18"/>
        <v>90345000000</v>
      </c>
      <c r="L183" s="25">
        <f t="shared" si="19"/>
        <v>-2.2828840555647796</v>
      </c>
      <c r="M183" s="24">
        <f>Data!M183</f>
        <v>-111274000000</v>
      </c>
      <c r="N183" s="24">
        <f t="shared" si="20"/>
        <v>90345000000</v>
      </c>
      <c r="O183" s="25">
        <f t="shared" si="21"/>
        <v>-8.2767311970778685</v>
      </c>
      <c r="P183" s="24">
        <f>Data!K183</f>
        <v>63266000000</v>
      </c>
      <c r="Q183" s="24">
        <f>Data!I183</f>
        <v>27079000000</v>
      </c>
      <c r="R183" s="25">
        <f t="shared" si="22"/>
        <v>2.4531666605118359</v>
      </c>
      <c r="S183" s="25">
        <f t="shared" si="23"/>
        <v>-8.6491398312696681</v>
      </c>
    </row>
    <row r="184" spans="1:19" ht="15" customHeight="1" x14ac:dyDescent="0.3">
      <c r="A184" s="22"/>
      <c r="B184" s="23"/>
      <c r="C184" s="3"/>
      <c r="D184" s="23">
        <v>2020</v>
      </c>
      <c r="E184" s="24">
        <f>Data!F184</f>
        <v>1128000000</v>
      </c>
      <c r="F184" s="24">
        <f>Data!H184</f>
        <v>124000000</v>
      </c>
      <c r="G184" s="24">
        <f t="shared" si="16"/>
        <v>1004000000</v>
      </c>
      <c r="H184" s="24">
        <f>Data!G184</f>
        <v>68529000000</v>
      </c>
      <c r="I184" s="25">
        <f t="shared" si="17"/>
        <v>9.6108800653737822E-2</v>
      </c>
      <c r="J184" s="24">
        <f>Data!J184</f>
        <v>-81595000000</v>
      </c>
      <c r="K184" s="24">
        <f t="shared" si="18"/>
        <v>68529000000</v>
      </c>
      <c r="L184" s="25">
        <f t="shared" si="19"/>
        <v>-3.881564009397481</v>
      </c>
      <c r="M184" s="24">
        <f>Data!M184</f>
        <v>5719000000</v>
      </c>
      <c r="N184" s="24">
        <f t="shared" si="20"/>
        <v>68529000000</v>
      </c>
      <c r="O184" s="25">
        <f t="shared" si="21"/>
        <v>0.5608090005691021</v>
      </c>
      <c r="P184" s="24">
        <f>Data!K184</f>
        <v>68405000000</v>
      </c>
      <c r="Q184" s="24">
        <f>Data!I184</f>
        <v>124000000</v>
      </c>
      <c r="R184" s="25">
        <f t="shared" si="22"/>
        <v>579.23588709677415</v>
      </c>
      <c r="S184" s="25">
        <f t="shared" si="23"/>
        <v>576.01124088859956</v>
      </c>
    </row>
    <row r="185" spans="1:19" ht="15" customHeight="1" x14ac:dyDescent="0.3">
      <c r="A185" s="22"/>
      <c r="B185" s="23"/>
      <c r="C185" s="3"/>
      <c r="D185" s="23">
        <v>2021</v>
      </c>
      <c r="E185" s="24">
        <f>Data!F185</f>
        <v>48397000000</v>
      </c>
      <c r="F185" s="24">
        <f>Data!H185</f>
        <v>3278000000</v>
      </c>
      <c r="G185" s="24">
        <f t="shared" si="16"/>
        <v>45119000000</v>
      </c>
      <c r="H185" s="24">
        <f>Data!G185</f>
        <v>119565000000</v>
      </c>
      <c r="I185" s="25">
        <f t="shared" si="17"/>
        <v>2.4754789445071714</v>
      </c>
      <c r="J185" s="24">
        <f>Data!J185</f>
        <v>-122530000000</v>
      </c>
      <c r="K185" s="24">
        <f t="shared" si="18"/>
        <v>119565000000</v>
      </c>
      <c r="L185" s="25">
        <f t="shared" si="19"/>
        <v>-3.3408422197131267</v>
      </c>
      <c r="M185" s="24">
        <f>Data!M185</f>
        <v>-40911000000</v>
      </c>
      <c r="N185" s="24">
        <f t="shared" si="20"/>
        <v>119565000000</v>
      </c>
      <c r="O185" s="25">
        <f t="shared" si="21"/>
        <v>-2.2993511479111781</v>
      </c>
      <c r="P185" s="24">
        <f>Data!K185</f>
        <v>116287000000</v>
      </c>
      <c r="Q185" s="24">
        <f>Data!I185</f>
        <v>3278000000</v>
      </c>
      <c r="R185" s="25">
        <f t="shared" si="22"/>
        <v>37.24873398413667</v>
      </c>
      <c r="S185" s="25">
        <f t="shared" si="23"/>
        <v>34.084019561019538</v>
      </c>
    </row>
    <row r="186" spans="1:19" ht="15" customHeight="1" x14ac:dyDescent="0.3">
      <c r="A186" s="22"/>
      <c r="B186" s="23"/>
      <c r="C186" s="3"/>
      <c r="D186" s="23">
        <v>2022</v>
      </c>
      <c r="E186" s="24">
        <f>Data!F186</f>
        <v>52118000000</v>
      </c>
      <c r="F186" s="24">
        <f>Data!H186</f>
        <v>6355000000</v>
      </c>
      <c r="G186" s="24">
        <f t="shared" si="16"/>
        <v>45763000000</v>
      </c>
      <c r="H186" s="24">
        <f>Data!G186</f>
        <v>144258000000</v>
      </c>
      <c r="I186" s="25">
        <f t="shared" si="17"/>
        <v>2.0810303761316531</v>
      </c>
      <c r="J186" s="24">
        <f>Data!J186</f>
        <v>-132207000000</v>
      </c>
      <c r="K186" s="24">
        <f t="shared" si="18"/>
        <v>144258000000</v>
      </c>
      <c r="L186" s="25">
        <f t="shared" si="19"/>
        <v>-2.9876666805307157</v>
      </c>
      <c r="M186" s="24">
        <f>Data!M186</f>
        <v>-9701000000</v>
      </c>
      <c r="N186" s="24">
        <f t="shared" si="20"/>
        <v>144258000000</v>
      </c>
      <c r="O186" s="25">
        <f t="shared" si="21"/>
        <v>-0.45190367258661562</v>
      </c>
      <c r="P186" s="24">
        <f>Data!K186</f>
        <v>112735000000</v>
      </c>
      <c r="Q186" s="24">
        <f>Data!I186</f>
        <v>31523000000</v>
      </c>
      <c r="R186" s="25">
        <f t="shared" si="22"/>
        <v>3.7550915204771118</v>
      </c>
      <c r="S186" s="25">
        <f t="shared" si="23"/>
        <v>2.3965515434914337</v>
      </c>
    </row>
    <row r="187" spans="1:19" ht="15" customHeight="1" x14ac:dyDescent="0.3">
      <c r="A187" s="22"/>
      <c r="B187" s="23"/>
      <c r="C187" s="3"/>
      <c r="D187" s="23">
        <v>2023</v>
      </c>
      <c r="E187" s="24">
        <f>Data!F187</f>
        <v>86626000000</v>
      </c>
      <c r="F187" s="24">
        <f>Data!H187</f>
        <v>27996000000</v>
      </c>
      <c r="G187" s="24">
        <f t="shared" si="16"/>
        <v>58630000000</v>
      </c>
      <c r="H187" s="24">
        <f>Data!G187</f>
        <v>266213000000</v>
      </c>
      <c r="I187" s="25">
        <f t="shared" si="17"/>
        <v>1.4447558909594949</v>
      </c>
      <c r="J187" s="24">
        <f>Data!J187</f>
        <v>-77574000000</v>
      </c>
      <c r="K187" s="24">
        <f t="shared" si="18"/>
        <v>266213000000</v>
      </c>
      <c r="L187" s="25">
        <f t="shared" si="19"/>
        <v>-0.94995826650088455</v>
      </c>
      <c r="M187" s="24">
        <f>Data!M187</f>
        <v>54633000000</v>
      </c>
      <c r="N187" s="24">
        <f t="shared" si="20"/>
        <v>266213000000</v>
      </c>
      <c r="O187" s="25">
        <f t="shared" si="21"/>
        <v>1.3790977901154338</v>
      </c>
      <c r="P187" s="24">
        <f>Data!K187</f>
        <v>167749000000</v>
      </c>
      <c r="Q187" s="24">
        <f>Data!I187</f>
        <v>98464000000</v>
      </c>
      <c r="R187" s="25">
        <f t="shared" si="22"/>
        <v>1.7888410992850181</v>
      </c>
      <c r="S187" s="25">
        <f t="shared" si="23"/>
        <v>3.6627365138590622</v>
      </c>
    </row>
    <row r="188" spans="1:19" ht="15" customHeight="1" x14ac:dyDescent="0.3">
      <c r="A188" s="22"/>
      <c r="B188" s="23"/>
      <c r="C188" s="3"/>
      <c r="D188" s="23">
        <v>2024</v>
      </c>
      <c r="E188" s="24">
        <f>Data!F188</f>
        <v>105551000000</v>
      </c>
      <c r="F188" s="24">
        <f>Data!H188</f>
        <v>61943000000</v>
      </c>
      <c r="G188" s="24">
        <f t="shared" si="16"/>
        <v>43608000000</v>
      </c>
      <c r="H188" s="24">
        <f>Data!G188</f>
        <v>394077000000</v>
      </c>
      <c r="I188" s="25">
        <f t="shared" si="17"/>
        <v>0.72592026431382695</v>
      </c>
      <c r="J188" s="24">
        <f>Data!J188</f>
        <v>-7538000000</v>
      </c>
      <c r="K188" s="24">
        <f t="shared" si="18"/>
        <v>394077000000</v>
      </c>
      <c r="L188" s="25">
        <f t="shared" si="19"/>
        <v>-6.2358067078261359E-2</v>
      </c>
      <c r="M188" s="24">
        <f>Data!M188</f>
        <v>81956000000</v>
      </c>
      <c r="N188" s="24">
        <f t="shared" si="20"/>
        <v>394077000000</v>
      </c>
      <c r="O188" s="25">
        <f t="shared" si="21"/>
        <v>1.397555097100313</v>
      </c>
      <c r="P188" s="24">
        <f>Data!K188</f>
        <v>237432000000</v>
      </c>
      <c r="Q188" s="24">
        <f>Data!I188</f>
        <v>156649000000</v>
      </c>
      <c r="R188" s="25">
        <f t="shared" si="22"/>
        <v>1.5914790391256886</v>
      </c>
      <c r="S188" s="25">
        <f t="shared" si="23"/>
        <v>3.6525963334615672</v>
      </c>
    </row>
    <row r="189" spans="1:19" ht="15" customHeight="1" x14ac:dyDescent="0.3">
      <c r="A189" s="22"/>
      <c r="B189" s="23">
        <v>18</v>
      </c>
      <c r="C189" s="3" t="s">
        <v>45</v>
      </c>
      <c r="D189" s="23">
        <v>2014</v>
      </c>
      <c r="E189" s="24">
        <f>Data!F189</f>
        <v>0</v>
      </c>
      <c r="F189" s="24">
        <f>Data!H189</f>
        <v>0</v>
      </c>
      <c r="G189" s="24">
        <f t="shared" si="16"/>
        <v>0</v>
      </c>
      <c r="H189" s="24">
        <f>Data!G189</f>
        <v>0</v>
      </c>
      <c r="I189" s="25">
        <f t="shared" si="17"/>
        <v>0</v>
      </c>
      <c r="J189" s="24">
        <f>Data!J189</f>
        <v>0</v>
      </c>
      <c r="K189" s="24">
        <f t="shared" si="18"/>
        <v>0</v>
      </c>
      <c r="L189" s="25">
        <f t="shared" si="19"/>
        <v>0</v>
      </c>
      <c r="M189" s="24">
        <f>Data!M189</f>
        <v>0</v>
      </c>
      <c r="N189" s="24">
        <f t="shared" si="20"/>
        <v>0</v>
      </c>
      <c r="O189" s="25">
        <f t="shared" si="21"/>
        <v>0</v>
      </c>
      <c r="P189" s="24">
        <f>Data!K189</f>
        <v>0</v>
      </c>
      <c r="Q189" s="24">
        <f>Data!I189</f>
        <v>0</v>
      </c>
      <c r="R189" s="25">
        <f t="shared" si="22"/>
        <v>0</v>
      </c>
      <c r="S189" s="25">
        <f t="shared" si="23"/>
        <v>0</v>
      </c>
    </row>
    <row r="190" spans="1:19" ht="15" customHeight="1" x14ac:dyDescent="0.3">
      <c r="A190" s="22"/>
      <c r="B190" s="23"/>
      <c r="C190" s="3"/>
      <c r="D190" s="23">
        <v>2015</v>
      </c>
      <c r="E190" s="24">
        <f>Data!F190</f>
        <v>14097000000</v>
      </c>
      <c r="F190" s="24">
        <f>Data!H190</f>
        <v>18086000000</v>
      </c>
      <c r="G190" s="24">
        <f t="shared" si="16"/>
        <v>-3989000000</v>
      </c>
      <c r="H190" s="24">
        <f>Data!G190</f>
        <v>461158000000</v>
      </c>
      <c r="I190" s="25">
        <f t="shared" si="17"/>
        <v>-5.6743762441505946E-2</v>
      </c>
      <c r="J190" s="24">
        <f>Data!J190</f>
        <v>15021000000</v>
      </c>
      <c r="K190" s="24">
        <f t="shared" si="18"/>
        <v>461158000000</v>
      </c>
      <c r="L190" s="25">
        <f t="shared" si="19"/>
        <v>0.10618586254602543</v>
      </c>
      <c r="M190" s="24">
        <f>Data!M190</f>
        <v>10667000000</v>
      </c>
      <c r="N190" s="24">
        <f t="shared" si="20"/>
        <v>461158000000</v>
      </c>
      <c r="O190" s="25">
        <f t="shared" si="21"/>
        <v>0.15543965408818669</v>
      </c>
      <c r="P190" s="24">
        <f>Data!K190</f>
        <v>237171000000</v>
      </c>
      <c r="Q190" s="24">
        <f>Data!I190</f>
        <v>223987000000</v>
      </c>
      <c r="R190" s="25">
        <f t="shared" si="22"/>
        <v>1.1118035868153062</v>
      </c>
      <c r="S190" s="25">
        <f t="shared" si="23"/>
        <v>1.3166853410080124</v>
      </c>
    </row>
    <row r="191" spans="1:19" ht="15" customHeight="1" x14ac:dyDescent="0.3">
      <c r="A191" s="22"/>
      <c r="B191" s="23"/>
      <c r="C191" s="3"/>
      <c r="D191" s="23">
        <v>2016</v>
      </c>
      <c r="E191" s="24">
        <f>Data!F191</f>
        <v>26461000000</v>
      </c>
      <c r="F191" s="24">
        <f>Data!H191</f>
        <v>18598000000</v>
      </c>
      <c r="G191" s="24">
        <f t="shared" si="16"/>
        <v>7863000000</v>
      </c>
      <c r="H191" s="24">
        <f>Data!G191</f>
        <v>484771000000</v>
      </c>
      <c r="I191" s="25">
        <f t="shared" si="17"/>
        <v>0.1064033945924983</v>
      </c>
      <c r="J191" s="24">
        <f>Data!J191</f>
        <v>11387000000</v>
      </c>
      <c r="K191" s="24">
        <f t="shared" si="18"/>
        <v>484771000000</v>
      </c>
      <c r="L191" s="25">
        <f t="shared" si="19"/>
        <v>7.657557898471648E-2</v>
      </c>
      <c r="M191" s="24">
        <f>Data!M191</f>
        <v>-2615000000</v>
      </c>
      <c r="N191" s="24">
        <f t="shared" si="20"/>
        <v>484771000000</v>
      </c>
      <c r="O191" s="25">
        <f t="shared" si="21"/>
        <v>-3.6249693154087187E-2</v>
      </c>
      <c r="P191" s="24">
        <f>Data!K191</f>
        <v>240322000000</v>
      </c>
      <c r="Q191" s="24">
        <f>Data!I191</f>
        <v>244449000000</v>
      </c>
      <c r="R191" s="25">
        <f t="shared" si="22"/>
        <v>1.0322729894579239</v>
      </c>
      <c r="S191" s="25">
        <f t="shared" si="23"/>
        <v>1.1790022698810514</v>
      </c>
    </row>
    <row r="192" spans="1:19" ht="15" customHeight="1" x14ac:dyDescent="0.3">
      <c r="A192" s="22"/>
      <c r="B192" s="23"/>
      <c r="C192" s="3"/>
      <c r="D192" s="23">
        <v>2017</v>
      </c>
      <c r="E192" s="24">
        <f>Data!F192</f>
        <v>15583000000</v>
      </c>
      <c r="F192" s="24">
        <f>Data!H192</f>
        <v>17535000000</v>
      </c>
      <c r="G192" s="24">
        <f t="shared" si="16"/>
        <v>-1952000000</v>
      </c>
      <c r="H192" s="24">
        <f>Data!G192</f>
        <v>519654000000</v>
      </c>
      <c r="I192" s="25">
        <f t="shared" si="17"/>
        <v>-2.4641626928687162E-2</v>
      </c>
      <c r="J192" s="24">
        <f>Data!J192</f>
        <v>22067000000</v>
      </c>
      <c r="K192" s="24">
        <f t="shared" si="18"/>
        <v>519654000000</v>
      </c>
      <c r="L192" s="25">
        <f t="shared" si="19"/>
        <v>0.13843522805559083</v>
      </c>
      <c r="M192" s="24">
        <f>Data!M192</f>
        <v>11030000000</v>
      </c>
      <c r="N192" s="24">
        <f t="shared" si="20"/>
        <v>519654000000</v>
      </c>
      <c r="O192" s="25">
        <f t="shared" si="21"/>
        <v>0.14263644655867172</v>
      </c>
      <c r="P192" s="24">
        <f>Data!K192</f>
        <v>264654000000</v>
      </c>
      <c r="Q192" s="24">
        <f>Data!I192</f>
        <v>255000000000</v>
      </c>
      <c r="R192" s="25">
        <f t="shared" si="22"/>
        <v>1.0897517647058823</v>
      </c>
      <c r="S192" s="25">
        <f t="shared" si="23"/>
        <v>1.3461818123914577</v>
      </c>
    </row>
    <row r="193" spans="1:19" ht="15" customHeight="1" x14ac:dyDescent="0.3">
      <c r="A193" s="22"/>
      <c r="B193" s="23"/>
      <c r="C193" s="3"/>
      <c r="D193" s="23">
        <v>2018</v>
      </c>
      <c r="E193" s="24">
        <f>Data!F193</f>
        <v>8759000000</v>
      </c>
      <c r="F193" s="24">
        <f>Data!H193</f>
        <v>24879000000</v>
      </c>
      <c r="G193" s="24">
        <f t="shared" si="16"/>
        <v>-16120000000</v>
      </c>
      <c r="H193" s="24">
        <f>Data!G193</f>
        <v>490309000000</v>
      </c>
      <c r="I193" s="25">
        <f t="shared" si="17"/>
        <v>-0.2156746051979466</v>
      </c>
      <c r="J193" s="24">
        <f>Data!J193</f>
        <v>-2173000000</v>
      </c>
      <c r="K193" s="24">
        <f t="shared" si="18"/>
        <v>490309000000</v>
      </c>
      <c r="L193" s="25">
        <f t="shared" si="19"/>
        <v>-1.4447990960802267E-2</v>
      </c>
      <c r="M193" s="24">
        <f>Data!M193</f>
        <v>-23730000000</v>
      </c>
      <c r="N193" s="24">
        <f t="shared" si="20"/>
        <v>490309000000</v>
      </c>
      <c r="O193" s="25">
        <f t="shared" si="21"/>
        <v>-0.32523490288777074</v>
      </c>
      <c r="P193" s="24">
        <f>Data!K193</f>
        <v>239302000000</v>
      </c>
      <c r="Q193" s="24">
        <f>Data!I193</f>
        <v>251007000000</v>
      </c>
      <c r="R193" s="25">
        <f t="shared" si="22"/>
        <v>1.0010362260813443</v>
      </c>
      <c r="S193" s="25">
        <f t="shared" si="23"/>
        <v>0.44567872703482481</v>
      </c>
    </row>
    <row r="194" spans="1:19" ht="15" customHeight="1" x14ac:dyDescent="0.3">
      <c r="A194" s="22"/>
      <c r="B194" s="23"/>
      <c r="C194" s="3"/>
      <c r="D194" s="23">
        <v>2019</v>
      </c>
      <c r="E194" s="24">
        <f>Data!F194</f>
        <v>12714000000</v>
      </c>
      <c r="F194" s="24">
        <f>Data!H194</f>
        <v>20506000000</v>
      </c>
      <c r="G194" s="24">
        <f t="shared" si="16"/>
        <v>-7792000000</v>
      </c>
      <c r="H194" s="24">
        <f>Data!G194</f>
        <v>504039000000</v>
      </c>
      <c r="I194" s="25">
        <f t="shared" si="17"/>
        <v>-0.10141183519529243</v>
      </c>
      <c r="J194" s="24">
        <f>Data!J194</f>
        <v>6641000000</v>
      </c>
      <c r="K194" s="24">
        <f t="shared" si="18"/>
        <v>504039000000</v>
      </c>
      <c r="L194" s="25">
        <f t="shared" si="19"/>
        <v>4.2952350909354238E-2</v>
      </c>
      <c r="M194" s="24">
        <f>Data!M194</f>
        <v>9383000000</v>
      </c>
      <c r="N194" s="24">
        <f t="shared" si="20"/>
        <v>504039000000</v>
      </c>
      <c r="O194" s="25">
        <f t="shared" si="21"/>
        <v>0.12509698654270798</v>
      </c>
      <c r="P194" s="24">
        <f>Data!K194</f>
        <v>244846000000</v>
      </c>
      <c r="Q194" s="24">
        <f>Data!I194</f>
        <v>259193000000</v>
      </c>
      <c r="R194" s="25">
        <f t="shared" si="22"/>
        <v>0.9918797961364697</v>
      </c>
      <c r="S194" s="25">
        <f t="shared" si="23"/>
        <v>1.0585172983932396</v>
      </c>
    </row>
    <row r="195" spans="1:19" ht="15" customHeight="1" x14ac:dyDescent="0.3">
      <c r="A195" s="22"/>
      <c r="B195" s="23"/>
      <c r="C195" s="3"/>
      <c r="D195" s="23">
        <v>2020</v>
      </c>
      <c r="E195" s="24">
        <f>Data!F195</f>
        <v>12104000000</v>
      </c>
      <c r="F195" s="24">
        <f>Data!H195</f>
        <v>33375000000</v>
      </c>
      <c r="G195" s="24">
        <f t="shared" ref="G195:G258" si="24">E195-F195</f>
        <v>-21271000000</v>
      </c>
      <c r="H195" s="24">
        <f>Data!G195</f>
        <v>499976000000</v>
      </c>
      <c r="I195" s="25">
        <f t="shared" ref="I195:I258" si="25">IFERROR(6.56*(G195/H195),0)</f>
        <v>-0.27908891626798082</v>
      </c>
      <c r="J195" s="24">
        <f>Data!J195</f>
        <v>-9238000000</v>
      </c>
      <c r="K195" s="24">
        <f t="shared" ref="K195:K258" si="26">H195</f>
        <v>499976000000</v>
      </c>
      <c r="L195" s="25">
        <f t="shared" ref="L195:L258" si="27">IFERROR(3.26*(J195/K195),0)</f>
        <v>-6.0234651263260629E-2</v>
      </c>
      <c r="M195" s="24">
        <f>Data!M195</f>
        <v>-15590000000</v>
      </c>
      <c r="N195" s="24">
        <f t="shared" ref="N195:N258" si="28">K195</f>
        <v>499976000000</v>
      </c>
      <c r="O195" s="25">
        <f t="shared" ref="O195:O258" si="29">IFERROR(6.72*(M195/N195),0)</f>
        <v>-0.20953965790357937</v>
      </c>
      <c r="P195" s="24">
        <f>Data!K195</f>
        <v>227519000000</v>
      </c>
      <c r="Q195" s="24">
        <f>Data!I195</f>
        <v>272457000000</v>
      </c>
      <c r="R195" s="25">
        <f t="shared" ref="R195:R258" si="30">IFERROR(1.05*(P195/Q195),0)</f>
        <v>0.8768170757220406</v>
      </c>
      <c r="S195" s="25">
        <f t="shared" ref="S195:S258" si="31">IFERROR(I195+L195+O195+R195,0)</f>
        <v>0.32795385028721979</v>
      </c>
    </row>
    <row r="196" spans="1:19" ht="15" customHeight="1" x14ac:dyDescent="0.3">
      <c r="A196" s="22"/>
      <c r="B196" s="23"/>
      <c r="C196" s="3"/>
      <c r="D196" s="23">
        <v>2021</v>
      </c>
      <c r="E196" s="24">
        <f>Data!F196</f>
        <v>24663000000</v>
      </c>
      <c r="F196" s="24">
        <f>Data!H196</f>
        <v>36928000000</v>
      </c>
      <c r="G196" s="24">
        <f t="shared" si="24"/>
        <v>-12265000000</v>
      </c>
      <c r="H196" s="24">
        <f>Data!G196</f>
        <v>508600000000</v>
      </c>
      <c r="I196" s="25">
        <f t="shared" si="25"/>
        <v>-0.1581958316948486</v>
      </c>
      <c r="J196" s="24">
        <f>Data!J196</f>
        <v>-20702000000</v>
      </c>
      <c r="K196" s="24">
        <f t="shared" si="26"/>
        <v>508600000000</v>
      </c>
      <c r="L196" s="25">
        <f t="shared" si="27"/>
        <v>-0.13269469130947698</v>
      </c>
      <c r="M196" s="24">
        <f>Data!M196</f>
        <v>-11281000000</v>
      </c>
      <c r="N196" s="24">
        <f t="shared" si="28"/>
        <v>508600000000</v>
      </c>
      <c r="O196" s="25">
        <f t="shared" si="29"/>
        <v>-0.14905292961069602</v>
      </c>
      <c r="P196" s="24">
        <f>Data!K196</f>
        <v>215305000000</v>
      </c>
      <c r="Q196" s="24">
        <f>Data!I196</f>
        <v>293295000000</v>
      </c>
      <c r="R196" s="25">
        <f t="shared" si="30"/>
        <v>0.77079476295197669</v>
      </c>
      <c r="S196" s="25">
        <f t="shared" si="31"/>
        <v>0.33085131033695503</v>
      </c>
    </row>
    <row r="197" spans="1:19" ht="15" customHeight="1" x14ac:dyDescent="0.3">
      <c r="A197" s="22"/>
      <c r="B197" s="23"/>
      <c r="C197" s="3"/>
      <c r="D197" s="23">
        <v>2022</v>
      </c>
      <c r="E197" s="24">
        <f>Data!F197</f>
        <v>31304000000</v>
      </c>
      <c r="F197" s="24">
        <f>Data!H197</f>
        <v>37483000000</v>
      </c>
      <c r="G197" s="24">
        <f t="shared" si="24"/>
        <v>-6179000000</v>
      </c>
      <c r="H197" s="24">
        <f>Data!G197</f>
        <v>491148000000</v>
      </c>
      <c r="I197" s="25">
        <f t="shared" si="25"/>
        <v>-8.2529583750722793E-2</v>
      </c>
      <c r="J197" s="24">
        <f>Data!J197</f>
        <v>-38828000000</v>
      </c>
      <c r="K197" s="24">
        <f t="shared" si="26"/>
        <v>491148000000</v>
      </c>
      <c r="L197" s="25">
        <f t="shared" si="27"/>
        <v>-0.25772125713634181</v>
      </c>
      <c r="M197" s="24">
        <f>Data!M197</f>
        <v>-17963000000</v>
      </c>
      <c r="N197" s="24">
        <f t="shared" si="28"/>
        <v>491148000000</v>
      </c>
      <c r="O197" s="25">
        <f t="shared" si="29"/>
        <v>-0.24577390114588676</v>
      </c>
      <c r="P197" s="24">
        <f>Data!K197</f>
        <v>195568000000</v>
      </c>
      <c r="Q197" s="24">
        <f>Data!I197</f>
        <v>295580000000</v>
      </c>
      <c r="R197" s="25">
        <f t="shared" si="30"/>
        <v>0.69472359428919417</v>
      </c>
      <c r="S197" s="25">
        <f t="shared" si="31"/>
        <v>0.10869885225624276</v>
      </c>
    </row>
    <row r="198" spans="1:19" ht="15" customHeight="1" x14ac:dyDescent="0.3">
      <c r="A198" s="22"/>
      <c r="B198" s="23"/>
      <c r="C198" s="3"/>
      <c r="D198" s="23">
        <v>2023</v>
      </c>
      <c r="E198" s="24">
        <f>Data!F198</f>
        <v>56810000000</v>
      </c>
      <c r="F198" s="24">
        <f>Data!H198</f>
        <v>56014000000</v>
      </c>
      <c r="G198" s="24">
        <f t="shared" si="24"/>
        <v>796000000</v>
      </c>
      <c r="H198" s="24">
        <f>Data!G198</f>
        <v>510045000000</v>
      </c>
      <c r="I198" s="25">
        <f t="shared" si="25"/>
        <v>1.0237841759060473E-2</v>
      </c>
      <c r="J198" s="24">
        <f>Data!J198</f>
        <v>-62281000000</v>
      </c>
      <c r="K198" s="24">
        <f t="shared" si="26"/>
        <v>510045000000</v>
      </c>
      <c r="L198" s="25">
        <f t="shared" si="27"/>
        <v>-0.3980747973218049</v>
      </c>
      <c r="M198" s="24">
        <f>Data!M198</f>
        <v>-23187000000</v>
      </c>
      <c r="N198" s="24">
        <f t="shared" si="28"/>
        <v>510045000000</v>
      </c>
      <c r="O198" s="25">
        <f t="shared" si="29"/>
        <v>-0.30549586801164602</v>
      </c>
      <c r="P198" s="24">
        <f>Data!K198</f>
        <v>172316000000</v>
      </c>
      <c r="Q198" s="24">
        <f>Data!I198</f>
        <v>337729000000</v>
      </c>
      <c r="R198" s="25">
        <f t="shared" si="30"/>
        <v>0.53573071900843583</v>
      </c>
      <c r="S198" s="25">
        <f t="shared" si="31"/>
        <v>-0.15760210456595469</v>
      </c>
    </row>
    <row r="199" spans="1:19" ht="15" customHeight="1" x14ac:dyDescent="0.3">
      <c r="A199" s="22"/>
      <c r="B199" s="23"/>
      <c r="C199" s="3"/>
      <c r="D199" s="23">
        <v>2024</v>
      </c>
      <c r="E199" s="24">
        <f>Data!F199</f>
        <v>54420000000</v>
      </c>
      <c r="F199" s="24">
        <f>Data!H199</f>
        <v>48468000000</v>
      </c>
      <c r="G199" s="24">
        <f t="shared" si="24"/>
        <v>5952000000</v>
      </c>
      <c r="H199" s="24">
        <f>Data!G199</f>
        <v>488793000000</v>
      </c>
      <c r="I199" s="25">
        <f t="shared" si="25"/>
        <v>7.9880685689034003E-2</v>
      </c>
      <c r="J199" s="24">
        <f>Data!J199</f>
        <v>-83640000000</v>
      </c>
      <c r="K199" s="24">
        <f t="shared" si="26"/>
        <v>488793000000</v>
      </c>
      <c r="L199" s="25">
        <f t="shared" si="27"/>
        <v>-0.55783613922457975</v>
      </c>
      <c r="M199" s="24">
        <f>Data!M199</f>
        <v>-20902000000</v>
      </c>
      <c r="N199" s="24">
        <f t="shared" si="28"/>
        <v>488793000000</v>
      </c>
      <c r="O199" s="25">
        <f t="shared" si="29"/>
        <v>-0.28736385341033932</v>
      </c>
      <c r="P199" s="24">
        <f>Data!K199</f>
        <v>143119000000</v>
      </c>
      <c r="Q199" s="24">
        <f>Data!I199</f>
        <v>345674000000</v>
      </c>
      <c r="R199" s="25">
        <f t="shared" si="30"/>
        <v>0.43473026608885829</v>
      </c>
      <c r="S199" s="25">
        <f t="shared" si="31"/>
        <v>-0.33058904085702673</v>
      </c>
    </row>
    <row r="200" spans="1:19" ht="15" customHeight="1" x14ac:dyDescent="0.3">
      <c r="A200" s="22"/>
      <c r="B200" s="23">
        <v>19</v>
      </c>
      <c r="C200" s="3" t="s">
        <v>46</v>
      </c>
      <c r="D200" s="23">
        <v>2014</v>
      </c>
      <c r="E200" s="24">
        <f>Data!F200</f>
        <v>0</v>
      </c>
      <c r="F200" s="24">
        <f>Data!H200</f>
        <v>0</v>
      </c>
      <c r="G200" s="24">
        <f t="shared" si="24"/>
        <v>0</v>
      </c>
      <c r="H200" s="24">
        <f>Data!G200</f>
        <v>0</v>
      </c>
      <c r="I200" s="25">
        <f t="shared" si="25"/>
        <v>0</v>
      </c>
      <c r="J200" s="24">
        <f>Data!J200</f>
        <v>0</v>
      </c>
      <c r="K200" s="24">
        <f t="shared" si="26"/>
        <v>0</v>
      </c>
      <c r="L200" s="25">
        <f t="shared" si="27"/>
        <v>0</v>
      </c>
      <c r="M200" s="24">
        <f>Data!M200</f>
        <v>0</v>
      </c>
      <c r="N200" s="24">
        <f t="shared" si="28"/>
        <v>0</v>
      </c>
      <c r="O200" s="25">
        <f t="shared" si="29"/>
        <v>0</v>
      </c>
      <c r="P200" s="24">
        <f>Data!K200</f>
        <v>0</v>
      </c>
      <c r="Q200" s="24">
        <f>Data!I200</f>
        <v>0</v>
      </c>
      <c r="R200" s="25">
        <f t="shared" si="30"/>
        <v>0</v>
      </c>
      <c r="S200" s="25">
        <f t="shared" si="31"/>
        <v>0</v>
      </c>
    </row>
    <row r="201" spans="1:19" ht="15" customHeight="1" x14ac:dyDescent="0.3">
      <c r="A201" s="22"/>
      <c r="B201" s="23"/>
      <c r="C201" s="3"/>
      <c r="D201" s="23">
        <v>2015</v>
      </c>
      <c r="E201" s="24">
        <f>Data!F201</f>
        <v>445043000000</v>
      </c>
      <c r="F201" s="24">
        <f>Data!H201</f>
        <v>427059000000</v>
      </c>
      <c r="G201" s="24">
        <f t="shared" si="24"/>
        <v>17984000000</v>
      </c>
      <c r="H201" s="24">
        <f>Data!G201</f>
        <v>15369953000000</v>
      </c>
      <c r="I201" s="25">
        <f t="shared" si="25"/>
        <v>7.6756929575516591E-3</v>
      </c>
      <c r="J201" s="24">
        <f>Data!J201</f>
        <v>438027000000</v>
      </c>
      <c r="K201" s="24">
        <f t="shared" si="26"/>
        <v>15369953000000</v>
      </c>
      <c r="L201" s="25">
        <f t="shared" si="27"/>
        <v>9.2906466272213051E-2</v>
      </c>
      <c r="M201" s="24">
        <f>Data!M201</f>
        <v>798686000000</v>
      </c>
      <c r="N201" s="24">
        <f t="shared" si="28"/>
        <v>15369953000000</v>
      </c>
      <c r="O201" s="25">
        <f t="shared" si="29"/>
        <v>0.34919885051047322</v>
      </c>
      <c r="P201" s="24">
        <f>Data!K201</f>
        <v>5597812000000</v>
      </c>
      <c r="Q201" s="24">
        <f>Data!I201</f>
        <v>9772141000000</v>
      </c>
      <c r="R201" s="25">
        <f t="shared" si="30"/>
        <v>0.60147541874395793</v>
      </c>
      <c r="S201" s="25">
        <f t="shared" si="31"/>
        <v>1.0512564284841959</v>
      </c>
    </row>
    <row r="202" spans="1:19" ht="15" customHeight="1" x14ac:dyDescent="0.3">
      <c r="A202" s="22"/>
      <c r="B202" s="23"/>
      <c r="C202" s="3"/>
      <c r="D202" s="23">
        <v>2016</v>
      </c>
      <c r="E202" s="24">
        <f>Data!F202</f>
        <v>486567000000</v>
      </c>
      <c r="F202" s="24">
        <f>Data!H202</f>
        <v>491733000000</v>
      </c>
      <c r="G202" s="24">
        <f t="shared" si="24"/>
        <v>-5166000000</v>
      </c>
      <c r="H202" s="24">
        <f>Data!G202</f>
        <v>16520666000000</v>
      </c>
      <c r="I202" s="25">
        <f t="shared" si="25"/>
        <v>-2.0513071325332769E-3</v>
      </c>
      <c r="J202" s="24">
        <f>Data!J202</f>
        <v>554829000000</v>
      </c>
      <c r="K202" s="24">
        <f t="shared" si="26"/>
        <v>16520666000000</v>
      </c>
      <c r="L202" s="25">
        <f t="shared" si="27"/>
        <v>0.10948363340799941</v>
      </c>
      <c r="M202" s="24">
        <f>Data!M202</f>
        <v>814488000000</v>
      </c>
      <c r="N202" s="24">
        <f t="shared" si="28"/>
        <v>16520666000000</v>
      </c>
      <c r="O202" s="25">
        <f t="shared" si="29"/>
        <v>0.33130379610604072</v>
      </c>
      <c r="P202" s="24">
        <f>Data!K202</f>
        <v>5774991000000</v>
      </c>
      <c r="Q202" s="24">
        <f>Data!I202</f>
        <v>10745675000000</v>
      </c>
      <c r="R202" s="25">
        <f t="shared" si="30"/>
        <v>0.56429591905580612</v>
      </c>
      <c r="S202" s="25">
        <f t="shared" si="31"/>
        <v>1.0030320414373128</v>
      </c>
    </row>
    <row r="203" spans="1:19" ht="15" customHeight="1" x14ac:dyDescent="0.3">
      <c r="A203" s="22"/>
      <c r="B203" s="23"/>
      <c r="C203" s="3"/>
      <c r="D203" s="23">
        <v>2017</v>
      </c>
      <c r="E203" s="24">
        <f>Data!F203</f>
        <v>251871000000</v>
      </c>
      <c r="F203" s="24">
        <f>Data!H203</f>
        <v>577850000000</v>
      </c>
      <c r="G203" s="24">
        <f t="shared" si="24"/>
        <v>-325979000000</v>
      </c>
      <c r="H203" s="24">
        <f>Data!G203</f>
        <v>18732840000000</v>
      </c>
      <c r="I203" s="25">
        <f t="shared" si="25"/>
        <v>-0.11415365956256499</v>
      </c>
      <c r="J203" s="24">
        <f>Data!J203</f>
        <v>828743000000</v>
      </c>
      <c r="K203" s="24">
        <f t="shared" si="26"/>
        <v>18732840000000</v>
      </c>
      <c r="L203" s="25">
        <f t="shared" si="27"/>
        <v>0.14422277561757854</v>
      </c>
      <c r="M203" s="24">
        <f>Data!M203</f>
        <v>1010117000000</v>
      </c>
      <c r="N203" s="24">
        <f t="shared" si="28"/>
        <v>18732840000000</v>
      </c>
      <c r="O203" s="25">
        <f t="shared" si="29"/>
        <v>0.36235756244114614</v>
      </c>
      <c r="P203" s="24">
        <f>Data!K203</f>
        <v>6394502000000</v>
      </c>
      <c r="Q203" s="24">
        <f>Data!I203</f>
        <v>12338338000000</v>
      </c>
      <c r="R203" s="25">
        <f t="shared" si="30"/>
        <v>0.54417597410607499</v>
      </c>
      <c r="S203" s="25">
        <f t="shared" si="31"/>
        <v>0.93660265260223463</v>
      </c>
    </row>
    <row r="204" spans="1:19" ht="15" customHeight="1" x14ac:dyDescent="0.3">
      <c r="A204" s="22"/>
      <c r="B204" s="23"/>
      <c r="C204" s="3"/>
      <c r="D204" s="23">
        <v>2018</v>
      </c>
      <c r="E204" s="24">
        <f>Data!F204</f>
        <v>279705000000</v>
      </c>
      <c r="F204" s="24">
        <f>Data!H204</f>
        <v>693381000000</v>
      </c>
      <c r="G204" s="24">
        <f t="shared" si="24"/>
        <v>-413676000000</v>
      </c>
      <c r="H204" s="24">
        <f>Data!G204</f>
        <v>18420333000000</v>
      </c>
      <c r="I204" s="25">
        <f t="shared" si="25"/>
        <v>-0.14732168848413327</v>
      </c>
      <c r="J204" s="24">
        <f>Data!J204</f>
        <v>880847000000</v>
      </c>
      <c r="K204" s="24">
        <f t="shared" si="26"/>
        <v>18420333000000</v>
      </c>
      <c r="L204" s="25">
        <f t="shared" si="27"/>
        <v>0.15589084192994773</v>
      </c>
      <c r="M204" s="24">
        <f>Data!M204</f>
        <v>622972000000</v>
      </c>
      <c r="N204" s="24">
        <f t="shared" si="28"/>
        <v>18420333000000</v>
      </c>
      <c r="O204" s="25">
        <f t="shared" si="29"/>
        <v>0.22726906402832128</v>
      </c>
      <c r="P204" s="24">
        <f>Data!K204</f>
        <v>6372422000000</v>
      </c>
      <c r="Q204" s="24">
        <f>Data!I204</f>
        <v>12047911000000</v>
      </c>
      <c r="R204" s="25">
        <f t="shared" si="30"/>
        <v>0.55536956572803375</v>
      </c>
      <c r="S204" s="25">
        <f t="shared" si="31"/>
        <v>0.79120778320216956</v>
      </c>
    </row>
    <row r="205" spans="1:19" ht="15" customHeight="1" x14ac:dyDescent="0.3">
      <c r="A205" s="22"/>
      <c r="B205" s="23"/>
      <c r="C205" s="3"/>
      <c r="D205" s="23">
        <v>2019</v>
      </c>
      <c r="E205" s="24">
        <f>Data!F205</f>
        <v>286972000000</v>
      </c>
      <c r="F205" s="24">
        <f>Data!H205</f>
        <v>667382000000</v>
      </c>
      <c r="G205" s="24">
        <f t="shared" si="24"/>
        <v>-380410000000</v>
      </c>
      <c r="H205" s="24">
        <f>Data!G205</f>
        <v>18871652000000</v>
      </c>
      <c r="I205" s="25">
        <f t="shared" si="25"/>
        <v>-0.13223482501690895</v>
      </c>
      <c r="J205" s="24">
        <f>Data!J205</f>
        <v>850053000000</v>
      </c>
      <c r="K205" s="24">
        <f t="shared" si="26"/>
        <v>18871652000000</v>
      </c>
      <c r="L205" s="25">
        <f t="shared" si="27"/>
        <v>0.1468431475951337</v>
      </c>
      <c r="M205" s="24">
        <f>Data!M205</f>
        <v>765260000000</v>
      </c>
      <c r="N205" s="24">
        <f t="shared" si="28"/>
        <v>18871652000000</v>
      </c>
      <c r="O205" s="25">
        <f t="shared" si="29"/>
        <v>0.27250116735938112</v>
      </c>
      <c r="P205" s="24">
        <f>Data!K205</f>
        <v>6553268000000</v>
      </c>
      <c r="Q205" s="24">
        <f>Data!I205</f>
        <v>12318384000000</v>
      </c>
      <c r="R205" s="25">
        <f t="shared" si="30"/>
        <v>0.55859042874454956</v>
      </c>
      <c r="S205" s="25">
        <f t="shared" si="31"/>
        <v>0.84569991868215544</v>
      </c>
    </row>
    <row r="206" spans="1:19" ht="15" customHeight="1" x14ac:dyDescent="0.3">
      <c r="A206" s="22"/>
      <c r="B206" s="23"/>
      <c r="C206" s="3"/>
      <c r="D206" s="23">
        <v>2020</v>
      </c>
      <c r="E206" s="24">
        <f>Data!F206</f>
        <v>349194000000</v>
      </c>
      <c r="F206" s="24">
        <f>Data!H206</f>
        <v>733361000000</v>
      </c>
      <c r="G206" s="24">
        <f t="shared" si="24"/>
        <v>-384167000000</v>
      </c>
      <c r="H206" s="24">
        <f>Data!G206</f>
        <v>19996724000000</v>
      </c>
      <c r="I206" s="25">
        <f t="shared" si="25"/>
        <v>-0.12602741929127992</v>
      </c>
      <c r="J206" s="24">
        <f>Data!J206</f>
        <v>1145287000000</v>
      </c>
      <c r="K206" s="24">
        <f t="shared" si="26"/>
        <v>19996724000000</v>
      </c>
      <c r="L206" s="25">
        <f t="shared" si="27"/>
        <v>0.18671236448530268</v>
      </c>
      <c r="M206" s="24">
        <f>Data!M206</f>
        <v>721209000000</v>
      </c>
      <c r="N206" s="24">
        <f t="shared" si="28"/>
        <v>19996724000000</v>
      </c>
      <c r="O206" s="25">
        <f t="shared" si="29"/>
        <v>0.24236592353827557</v>
      </c>
      <c r="P206" s="24">
        <f>Data!K206</f>
        <v>7467843000000</v>
      </c>
      <c r="Q206" s="24">
        <f>Data!I206</f>
        <v>12528881000000</v>
      </c>
      <c r="R206" s="25">
        <f t="shared" si="30"/>
        <v>0.62585279164196705</v>
      </c>
      <c r="S206" s="25">
        <f t="shared" si="31"/>
        <v>0.92890366037426542</v>
      </c>
    </row>
    <row r="207" spans="1:19" ht="15" customHeight="1" x14ac:dyDescent="0.3">
      <c r="A207" s="22"/>
      <c r="B207" s="23"/>
      <c r="C207" s="3"/>
      <c r="D207" s="23">
        <v>2021</v>
      </c>
      <c r="E207" s="24">
        <f>Data!F207</f>
        <v>496376000000</v>
      </c>
      <c r="F207" s="24">
        <f>Data!H207</f>
        <v>848492000000</v>
      </c>
      <c r="G207" s="24">
        <f t="shared" si="24"/>
        <v>-352116000000</v>
      </c>
      <c r="H207" s="24">
        <f>Data!G207</f>
        <v>19215974000000</v>
      </c>
      <c r="I207" s="25">
        <f t="shared" si="25"/>
        <v>-0.12020629087029364</v>
      </c>
      <c r="J207" s="24">
        <f>Data!J207</f>
        <v>904624000000</v>
      </c>
      <c r="K207" s="24">
        <f t="shared" si="26"/>
        <v>19215974000000</v>
      </c>
      <c r="L207" s="25">
        <f t="shared" si="27"/>
        <v>0.15346993287980093</v>
      </c>
      <c r="M207" s="24">
        <f>Data!M207</f>
        <v>565742000000</v>
      </c>
      <c r="N207" s="24">
        <f t="shared" si="28"/>
        <v>19215974000000</v>
      </c>
      <c r="O207" s="25">
        <f t="shared" si="29"/>
        <v>0.19784509700106798</v>
      </c>
      <c r="P207" s="24">
        <f>Data!K207</f>
        <v>6564887000000</v>
      </c>
      <c r="Q207" s="24">
        <f>Data!I207</f>
        <v>12351087000000</v>
      </c>
      <c r="R207" s="25">
        <f t="shared" si="30"/>
        <v>0.55809916568476925</v>
      </c>
      <c r="S207" s="25">
        <f t="shared" si="31"/>
        <v>0.78920790469534452</v>
      </c>
    </row>
    <row r="208" spans="1:19" ht="15" customHeight="1" x14ac:dyDescent="0.3">
      <c r="A208" s="22"/>
      <c r="B208" s="23"/>
      <c r="C208" s="3"/>
      <c r="D208" s="23">
        <v>2022</v>
      </c>
      <c r="E208" s="24">
        <f>Data!F208</f>
        <v>525765000000</v>
      </c>
      <c r="F208" s="24">
        <f>Data!H208</f>
        <v>899938000000</v>
      </c>
      <c r="G208" s="24">
        <f t="shared" si="24"/>
        <v>-374173000000</v>
      </c>
      <c r="H208" s="24">
        <f>Data!G208</f>
        <v>19085714000000</v>
      </c>
      <c r="I208" s="25">
        <f t="shared" si="25"/>
        <v>-0.12860796719473003</v>
      </c>
      <c r="J208" s="24">
        <f>Data!J208</f>
        <v>1349924000000</v>
      </c>
      <c r="K208" s="24">
        <f t="shared" si="26"/>
        <v>19085714000000</v>
      </c>
      <c r="L208" s="25">
        <f t="shared" si="27"/>
        <v>0.23057833937991526</v>
      </c>
      <c r="M208" s="24">
        <f>Data!M208</f>
        <v>578131000000</v>
      </c>
      <c r="N208" s="24">
        <f t="shared" si="28"/>
        <v>19085714000000</v>
      </c>
      <c r="O208" s="25">
        <f t="shared" si="29"/>
        <v>0.20355750484367521</v>
      </c>
      <c r="P208" s="24">
        <f>Data!K208</f>
        <v>7084995000000</v>
      </c>
      <c r="Q208" s="24">
        <f>Data!I208</f>
        <v>12000719000000</v>
      </c>
      <c r="R208" s="25">
        <f t="shared" si="30"/>
        <v>0.6198999201631169</v>
      </c>
      <c r="S208" s="25">
        <f t="shared" si="31"/>
        <v>0.92542779719197732</v>
      </c>
    </row>
    <row r="209" spans="1:19" ht="15" customHeight="1" x14ac:dyDescent="0.3">
      <c r="A209" s="22"/>
      <c r="B209" s="23"/>
      <c r="C209" s="3"/>
      <c r="D209" s="23">
        <v>2023</v>
      </c>
      <c r="E209" s="24">
        <f>Data!F209</f>
        <v>583568000000</v>
      </c>
      <c r="F209" s="24">
        <f>Data!H209</f>
        <v>1050391000000</v>
      </c>
      <c r="G209" s="24">
        <f t="shared" si="24"/>
        <v>-466823000000</v>
      </c>
      <c r="H209" s="24">
        <f>Data!G209</f>
        <v>19037633000000</v>
      </c>
      <c r="I209" s="25">
        <f t="shared" si="25"/>
        <v>-0.16085817391269175</v>
      </c>
      <c r="J209" s="24">
        <f>Data!J209</f>
        <v>1090659000000</v>
      </c>
      <c r="K209" s="24">
        <f t="shared" si="26"/>
        <v>19037633000000</v>
      </c>
      <c r="L209" s="25">
        <f t="shared" si="27"/>
        <v>0.18676420225140383</v>
      </c>
      <c r="M209" s="24">
        <f>Data!M209</f>
        <v>310795000000</v>
      </c>
      <c r="N209" s="24">
        <f t="shared" si="28"/>
        <v>19037633000000</v>
      </c>
      <c r="O209" s="25">
        <f t="shared" si="29"/>
        <v>0.10970599128578641</v>
      </c>
      <c r="P209" s="24">
        <f>Data!K209</f>
        <v>6930872000000</v>
      </c>
      <c r="Q209" s="24">
        <f>Data!I209</f>
        <v>12106761000000</v>
      </c>
      <c r="R209" s="25">
        <f t="shared" si="30"/>
        <v>0.60110343303217106</v>
      </c>
      <c r="S209" s="25">
        <f t="shared" si="31"/>
        <v>0.73671545265666949</v>
      </c>
    </row>
    <row r="210" spans="1:19" ht="15" customHeight="1" x14ac:dyDescent="0.3">
      <c r="A210" s="22"/>
      <c r="B210" s="23"/>
      <c r="C210" s="3"/>
      <c r="D210" s="23">
        <v>2024</v>
      </c>
      <c r="E210" s="24">
        <f>Data!F210</f>
        <v>540952000000</v>
      </c>
      <c r="F210" s="24">
        <f>Data!H210</f>
        <v>1059091000000</v>
      </c>
      <c r="G210" s="24">
        <f t="shared" si="24"/>
        <v>-518139000000</v>
      </c>
      <c r="H210" s="24">
        <f>Data!G210</f>
        <v>19145925000000</v>
      </c>
      <c r="I210" s="25">
        <f t="shared" si="25"/>
        <v>-0.17753082392206174</v>
      </c>
      <c r="J210" s="24">
        <f>Data!J210</f>
        <v>1150611000000</v>
      </c>
      <c r="K210" s="24">
        <f t="shared" si="26"/>
        <v>19145925000000</v>
      </c>
      <c r="L210" s="25">
        <f t="shared" si="27"/>
        <v>0.19591593824795617</v>
      </c>
      <c r="M210" s="24">
        <f>Data!M210</f>
        <v>467339000000</v>
      </c>
      <c r="N210" s="24">
        <f t="shared" si="28"/>
        <v>19145925000000</v>
      </c>
      <c r="O210" s="25">
        <f t="shared" si="29"/>
        <v>0.16403062688274397</v>
      </c>
      <c r="P210" s="24">
        <f>Data!K210</f>
        <v>7351838000000</v>
      </c>
      <c r="Q210" s="24">
        <f>Data!I210</f>
        <v>11794087000000</v>
      </c>
      <c r="R210" s="25">
        <f t="shared" si="30"/>
        <v>0.65451695413133726</v>
      </c>
      <c r="S210" s="25">
        <f t="shared" si="31"/>
        <v>0.83693269533997561</v>
      </c>
    </row>
    <row r="211" spans="1:19" ht="15" customHeight="1" x14ac:dyDescent="0.3">
      <c r="A211" s="22"/>
      <c r="B211" s="23">
        <v>20</v>
      </c>
      <c r="C211" s="3" t="s">
        <v>27</v>
      </c>
      <c r="D211" s="23">
        <v>2014</v>
      </c>
      <c r="E211" s="24">
        <f>Data!F211</f>
        <v>0</v>
      </c>
      <c r="F211" s="24">
        <f>Data!H211</f>
        <v>0</v>
      </c>
      <c r="G211" s="24">
        <f t="shared" si="24"/>
        <v>0</v>
      </c>
      <c r="H211" s="24">
        <f>Data!G211</f>
        <v>0</v>
      </c>
      <c r="I211" s="25">
        <f t="shared" si="25"/>
        <v>0</v>
      </c>
      <c r="J211" s="24">
        <f>Data!J211</f>
        <v>0</v>
      </c>
      <c r="K211" s="24">
        <f t="shared" si="26"/>
        <v>0</v>
      </c>
      <c r="L211" s="25">
        <f t="shared" si="27"/>
        <v>0</v>
      </c>
      <c r="M211" s="24">
        <f>Data!M211</f>
        <v>0</v>
      </c>
      <c r="N211" s="24">
        <f t="shared" si="28"/>
        <v>0</v>
      </c>
      <c r="O211" s="25">
        <f t="shared" si="29"/>
        <v>0</v>
      </c>
      <c r="P211" s="24">
        <f>Data!K211</f>
        <v>0</v>
      </c>
      <c r="Q211" s="24">
        <f>Data!I211</f>
        <v>0</v>
      </c>
      <c r="R211" s="25">
        <f t="shared" si="30"/>
        <v>0</v>
      </c>
      <c r="S211" s="25">
        <f t="shared" si="31"/>
        <v>0</v>
      </c>
    </row>
    <row r="212" spans="1:19" ht="15" customHeight="1" x14ac:dyDescent="0.3">
      <c r="A212" s="22"/>
      <c r="B212" s="23"/>
      <c r="C212" s="3"/>
      <c r="D212" s="23">
        <v>2015</v>
      </c>
      <c r="E212" s="24">
        <f>Data!F212</f>
        <v>0</v>
      </c>
      <c r="F212" s="24">
        <f>Data!H212</f>
        <v>0</v>
      </c>
      <c r="G212" s="24">
        <f t="shared" si="24"/>
        <v>0</v>
      </c>
      <c r="H212" s="24">
        <f>Data!G212</f>
        <v>0</v>
      </c>
      <c r="I212" s="25">
        <f t="shared" si="25"/>
        <v>0</v>
      </c>
      <c r="J212" s="24">
        <f>Data!J212</f>
        <v>0</v>
      </c>
      <c r="K212" s="24">
        <f t="shared" si="26"/>
        <v>0</v>
      </c>
      <c r="L212" s="25">
        <f t="shared" si="27"/>
        <v>0</v>
      </c>
      <c r="M212" s="24">
        <f>Data!M212</f>
        <v>0</v>
      </c>
      <c r="N212" s="24">
        <f t="shared" si="28"/>
        <v>0</v>
      </c>
      <c r="O212" s="25">
        <f t="shared" si="29"/>
        <v>0</v>
      </c>
      <c r="P212" s="24">
        <f>Data!K212</f>
        <v>0</v>
      </c>
      <c r="Q212" s="24">
        <f>Data!I212</f>
        <v>0</v>
      </c>
      <c r="R212" s="25">
        <f t="shared" si="30"/>
        <v>0</v>
      </c>
      <c r="S212" s="25">
        <f t="shared" si="31"/>
        <v>0</v>
      </c>
    </row>
    <row r="213" spans="1:19" ht="15" customHeight="1" x14ac:dyDescent="0.3">
      <c r="A213" s="22"/>
      <c r="B213" s="23"/>
      <c r="C213" s="3"/>
      <c r="D213" s="23">
        <v>2016</v>
      </c>
      <c r="E213" s="24">
        <f>Data!F213</f>
        <v>0</v>
      </c>
      <c r="F213" s="24">
        <f>Data!H213</f>
        <v>0</v>
      </c>
      <c r="G213" s="24">
        <f t="shared" si="24"/>
        <v>0</v>
      </c>
      <c r="H213" s="24">
        <f>Data!G213</f>
        <v>0</v>
      </c>
      <c r="I213" s="25">
        <f t="shared" si="25"/>
        <v>0</v>
      </c>
      <c r="J213" s="24">
        <f>Data!J213</f>
        <v>0</v>
      </c>
      <c r="K213" s="24">
        <f t="shared" si="26"/>
        <v>0</v>
      </c>
      <c r="L213" s="25">
        <f t="shared" si="27"/>
        <v>0</v>
      </c>
      <c r="M213" s="24">
        <f>Data!M213</f>
        <v>0</v>
      </c>
      <c r="N213" s="24">
        <f t="shared" si="28"/>
        <v>0</v>
      </c>
      <c r="O213" s="25">
        <f t="shared" si="29"/>
        <v>0</v>
      </c>
      <c r="P213" s="24">
        <f>Data!K213</f>
        <v>0</v>
      </c>
      <c r="Q213" s="24">
        <f>Data!I213</f>
        <v>0</v>
      </c>
      <c r="R213" s="25">
        <f t="shared" si="30"/>
        <v>0</v>
      </c>
      <c r="S213" s="25">
        <f t="shared" si="31"/>
        <v>0</v>
      </c>
    </row>
    <row r="214" spans="1:19" ht="15" customHeight="1" x14ac:dyDescent="0.3">
      <c r="A214" s="22"/>
      <c r="B214" s="23"/>
      <c r="C214" s="3"/>
      <c r="D214" s="23">
        <v>2017</v>
      </c>
      <c r="E214" s="24">
        <f>Data!F214</f>
        <v>88114000000</v>
      </c>
      <c r="F214" s="24">
        <f>Data!H214</f>
        <v>95828000000</v>
      </c>
      <c r="G214" s="24">
        <f t="shared" si="24"/>
        <v>-7714000000</v>
      </c>
      <c r="H214" s="24">
        <f>Data!G214</f>
        <v>112089000000</v>
      </c>
      <c r="I214" s="25">
        <f t="shared" si="25"/>
        <v>-0.45146124954277406</v>
      </c>
      <c r="J214" s="24">
        <f>Data!J214</f>
        <v>-193402000000</v>
      </c>
      <c r="K214" s="24">
        <f t="shared" si="26"/>
        <v>112089000000</v>
      </c>
      <c r="L214" s="25">
        <f t="shared" si="27"/>
        <v>-5.6249098484240196</v>
      </c>
      <c r="M214" s="24">
        <f>Data!M214</f>
        <v>-9034000000</v>
      </c>
      <c r="N214" s="24">
        <f t="shared" si="28"/>
        <v>112089000000</v>
      </c>
      <c r="O214" s="25">
        <f t="shared" si="29"/>
        <v>-0.5416096137890426</v>
      </c>
      <c r="P214" s="24">
        <f>Data!K214</f>
        <v>-12402000000</v>
      </c>
      <c r="Q214" s="24">
        <f>Data!I214</f>
        <v>124491000000</v>
      </c>
      <c r="R214" s="25">
        <f t="shared" si="30"/>
        <v>-0.10460274236691811</v>
      </c>
      <c r="S214" s="25">
        <f t="shared" si="31"/>
        <v>-6.7225834541227547</v>
      </c>
    </row>
    <row r="215" spans="1:19" ht="15" customHeight="1" x14ac:dyDescent="0.3">
      <c r="A215" s="22"/>
      <c r="B215" s="23"/>
      <c r="C215" s="3"/>
      <c r="D215" s="23">
        <v>2018</v>
      </c>
      <c r="E215" s="24">
        <f>Data!F215</f>
        <v>33563000000</v>
      </c>
      <c r="F215" s="24">
        <f>Data!H215</f>
        <v>77853000000</v>
      </c>
      <c r="G215" s="24">
        <f t="shared" si="24"/>
        <v>-44290000000</v>
      </c>
      <c r="H215" s="24">
        <f>Data!G215</f>
        <v>211218000000</v>
      </c>
      <c r="I215" s="25">
        <f t="shared" si="25"/>
        <v>-1.3755570074520163</v>
      </c>
      <c r="J215" s="24">
        <f>Data!J215</f>
        <v>-192637000000</v>
      </c>
      <c r="K215" s="24">
        <f t="shared" si="26"/>
        <v>211218000000</v>
      </c>
      <c r="L215" s="25">
        <f t="shared" si="27"/>
        <v>-2.9732154456533055</v>
      </c>
      <c r="M215" s="24">
        <f>Data!M215</f>
        <v>661000000</v>
      </c>
      <c r="N215" s="24">
        <f t="shared" si="28"/>
        <v>211218000000</v>
      </c>
      <c r="O215" s="25">
        <f t="shared" si="29"/>
        <v>2.1030025850069595E-2</v>
      </c>
      <c r="P215" s="24">
        <f>Data!K215</f>
        <v>107363000000</v>
      </c>
      <c r="Q215" s="24">
        <f>Data!I215</f>
        <v>103855000000</v>
      </c>
      <c r="R215" s="25">
        <f t="shared" si="30"/>
        <v>1.0854667565355542</v>
      </c>
      <c r="S215" s="25">
        <f t="shared" si="31"/>
        <v>-3.2422756707196978</v>
      </c>
    </row>
    <row r="216" spans="1:19" ht="15" customHeight="1" x14ac:dyDescent="0.3">
      <c r="A216" s="22"/>
      <c r="B216" s="23"/>
      <c r="C216" s="3"/>
      <c r="D216" s="23">
        <v>2019</v>
      </c>
      <c r="E216" s="24">
        <f>Data!F216</f>
        <v>61013000000</v>
      </c>
      <c r="F216" s="24">
        <f>Data!H216</f>
        <v>87745000000</v>
      </c>
      <c r="G216" s="24">
        <f t="shared" si="24"/>
        <v>-26732000000</v>
      </c>
      <c r="H216" s="24">
        <f>Data!G216</f>
        <v>2554055000000</v>
      </c>
      <c r="I216" s="25">
        <f t="shared" si="25"/>
        <v>-6.8660197215799967E-2</v>
      </c>
      <c r="J216" s="24">
        <f>Data!J216</f>
        <v>-167967000000</v>
      </c>
      <c r="K216" s="24">
        <f t="shared" si="26"/>
        <v>2554055000000</v>
      </c>
      <c r="L216" s="25">
        <f t="shared" si="27"/>
        <v>-0.21439335488076802</v>
      </c>
      <c r="M216" s="24">
        <f>Data!M216</f>
        <v>24300000000</v>
      </c>
      <c r="N216" s="24">
        <f t="shared" si="28"/>
        <v>2554055000000</v>
      </c>
      <c r="O216" s="25">
        <f t="shared" si="29"/>
        <v>6.3935976320008761E-2</v>
      </c>
      <c r="P216" s="24">
        <f>Data!K216</f>
        <v>131334000000</v>
      </c>
      <c r="Q216" s="24">
        <f>Data!I216</f>
        <v>2422720000000</v>
      </c>
      <c r="R216" s="25">
        <f t="shared" si="30"/>
        <v>5.6919784374587244E-2</v>
      </c>
      <c r="S216" s="25">
        <f t="shared" si="31"/>
        <v>-0.16219779140197202</v>
      </c>
    </row>
    <row r="217" spans="1:19" ht="15" customHeight="1" x14ac:dyDescent="0.3">
      <c r="A217" s="22"/>
      <c r="B217" s="23"/>
      <c r="C217" s="3"/>
      <c r="D217" s="23">
        <v>2020</v>
      </c>
      <c r="E217" s="24">
        <f>Data!F217</f>
        <v>55042000000</v>
      </c>
      <c r="F217" s="24">
        <f>Data!H217</f>
        <v>89225000000</v>
      </c>
      <c r="G217" s="24">
        <f t="shared" si="24"/>
        <v>-34183000000</v>
      </c>
      <c r="H217" s="24">
        <f>Data!G217</f>
        <v>2377806000000</v>
      </c>
      <c r="I217" s="25">
        <f t="shared" si="25"/>
        <v>-9.4305624596792162E-2</v>
      </c>
      <c r="J217" s="24">
        <f>Data!J217</f>
        <v>-135288000000</v>
      </c>
      <c r="K217" s="24">
        <f t="shared" si="26"/>
        <v>2377806000000</v>
      </c>
      <c r="L217" s="25">
        <f t="shared" si="27"/>
        <v>-0.18548143961281954</v>
      </c>
      <c r="M217" s="24">
        <f>Data!M217</f>
        <v>32403000000</v>
      </c>
      <c r="N217" s="24">
        <f t="shared" si="28"/>
        <v>2377806000000</v>
      </c>
      <c r="O217" s="25">
        <f t="shared" si="29"/>
        <v>9.1575242050865369E-2</v>
      </c>
      <c r="P217" s="24">
        <f>Data!K217</f>
        <v>154854000000</v>
      </c>
      <c r="Q217" s="24">
        <f>Data!I217</f>
        <v>2222727000000</v>
      </c>
      <c r="R217" s="25">
        <f t="shared" si="30"/>
        <v>7.3151898546245223E-2</v>
      </c>
      <c r="S217" s="25">
        <f t="shared" si="31"/>
        <v>-0.1150599236125011</v>
      </c>
    </row>
    <row r="218" spans="1:19" ht="15" customHeight="1" x14ac:dyDescent="0.3">
      <c r="A218" s="22"/>
      <c r="B218" s="23"/>
      <c r="C218" s="3"/>
      <c r="D218" s="23">
        <v>2021</v>
      </c>
      <c r="E218" s="24">
        <f>Data!F218</f>
        <v>433352000000</v>
      </c>
      <c r="F218" s="24">
        <f>Data!H218</f>
        <v>43490000000</v>
      </c>
      <c r="G218" s="24">
        <f t="shared" si="24"/>
        <v>389862000000</v>
      </c>
      <c r="H218" s="24">
        <f>Data!G218</f>
        <v>3481452000000</v>
      </c>
      <c r="I218" s="25">
        <f t="shared" si="25"/>
        <v>0.73460576793820509</v>
      </c>
      <c r="J218" s="24">
        <f>Data!J218</f>
        <v>-100708000000</v>
      </c>
      <c r="K218" s="24">
        <f t="shared" si="26"/>
        <v>3481452000000</v>
      </c>
      <c r="L218" s="25">
        <f t="shared" si="27"/>
        <v>-9.4302055579108937E-2</v>
      </c>
      <c r="M218" s="24">
        <f>Data!M218</f>
        <v>35033000000</v>
      </c>
      <c r="N218" s="24">
        <f t="shared" si="28"/>
        <v>3481452000000</v>
      </c>
      <c r="O218" s="25">
        <f t="shared" si="29"/>
        <v>6.7621716456237227E-2</v>
      </c>
      <c r="P218" s="24">
        <f>Data!K218</f>
        <v>198594000000</v>
      </c>
      <c r="Q218" s="24">
        <f>Data!I218</f>
        <v>3282858000000</v>
      </c>
      <c r="R218" s="25">
        <f t="shared" si="30"/>
        <v>6.351895208382452E-2</v>
      </c>
      <c r="S218" s="25">
        <f t="shared" si="31"/>
        <v>0.7714443808991579</v>
      </c>
    </row>
    <row r="219" spans="1:19" ht="15" customHeight="1" x14ac:dyDescent="0.3">
      <c r="A219" s="22"/>
      <c r="B219" s="23"/>
      <c r="C219" s="3"/>
      <c r="D219" s="23">
        <v>2022</v>
      </c>
      <c r="E219" s="24">
        <f>Data!F219</f>
        <v>95163000000</v>
      </c>
      <c r="F219" s="24">
        <f>Data!H219</f>
        <v>92917000000</v>
      </c>
      <c r="G219" s="24">
        <f t="shared" si="24"/>
        <v>2246000000</v>
      </c>
      <c r="H219" s="24">
        <f>Data!G219</f>
        <v>4940936000000</v>
      </c>
      <c r="I219" s="25">
        <f t="shared" si="25"/>
        <v>2.9819775038575688E-3</v>
      </c>
      <c r="J219" s="24">
        <f>Data!J219</f>
        <v>-70025000000</v>
      </c>
      <c r="K219" s="24">
        <f t="shared" si="26"/>
        <v>4940936000000</v>
      </c>
      <c r="L219" s="25">
        <f t="shared" si="27"/>
        <v>-4.6202075881978638E-2</v>
      </c>
      <c r="M219" s="24">
        <f>Data!M219</f>
        <v>30545000000</v>
      </c>
      <c r="N219" s="24">
        <f t="shared" si="28"/>
        <v>4940936000000</v>
      </c>
      <c r="O219" s="25">
        <f t="shared" si="29"/>
        <v>4.1543221770126149E-2</v>
      </c>
      <c r="P219" s="24">
        <f>Data!K219</f>
        <v>222450000000</v>
      </c>
      <c r="Q219" s="24">
        <f>Data!I219</f>
        <v>4625569000000</v>
      </c>
      <c r="R219" s="25">
        <f t="shared" si="30"/>
        <v>5.0495949795581911E-2</v>
      </c>
      <c r="S219" s="25">
        <f t="shared" si="31"/>
        <v>4.8819073187586992E-2</v>
      </c>
    </row>
    <row r="220" spans="1:19" ht="15" customHeight="1" x14ac:dyDescent="0.3">
      <c r="A220" s="22"/>
      <c r="B220" s="23"/>
      <c r="C220" s="3"/>
      <c r="D220" s="23">
        <v>2023</v>
      </c>
      <c r="E220" s="24">
        <f>Data!F220</f>
        <v>61322000000</v>
      </c>
      <c r="F220" s="24">
        <f>Data!H220</f>
        <v>57643000000</v>
      </c>
      <c r="G220" s="24">
        <f t="shared" si="24"/>
        <v>3679000000</v>
      </c>
      <c r="H220" s="24">
        <f>Data!G220</f>
        <v>4445677000000</v>
      </c>
      <c r="I220" s="25">
        <f t="shared" si="25"/>
        <v>5.4286984861923165E-3</v>
      </c>
      <c r="J220" s="24">
        <f>Data!J220</f>
        <v>-36794000000</v>
      </c>
      <c r="K220" s="24">
        <f t="shared" si="26"/>
        <v>4445677000000</v>
      </c>
      <c r="L220" s="25">
        <f t="shared" si="27"/>
        <v>-2.6980916517326831E-2</v>
      </c>
      <c r="M220" s="24">
        <f>Data!M220</f>
        <v>33028000000</v>
      </c>
      <c r="N220" s="24">
        <f t="shared" si="28"/>
        <v>4445677000000</v>
      </c>
      <c r="O220" s="25">
        <f t="shared" si="29"/>
        <v>4.9924490690619223E-2</v>
      </c>
      <c r="P220" s="24">
        <f>Data!K220</f>
        <v>265882000000</v>
      </c>
      <c r="Q220" s="24">
        <f>Data!I220</f>
        <v>4179795000000</v>
      </c>
      <c r="R220" s="25">
        <f t="shared" si="30"/>
        <v>6.6791816345059998E-2</v>
      </c>
      <c r="S220" s="25">
        <f t="shared" si="31"/>
        <v>9.5164089004544705E-2</v>
      </c>
    </row>
    <row r="221" spans="1:19" ht="15" customHeight="1" x14ac:dyDescent="0.3">
      <c r="A221" s="22"/>
      <c r="B221" s="23"/>
      <c r="C221" s="3"/>
      <c r="D221" s="23">
        <v>2024</v>
      </c>
      <c r="E221" s="24">
        <f>Data!F221</f>
        <v>270568000000</v>
      </c>
      <c r="F221" s="24">
        <f>Data!H221</f>
        <v>44937000000</v>
      </c>
      <c r="G221" s="24">
        <f t="shared" si="24"/>
        <v>225631000000</v>
      </c>
      <c r="H221" s="24">
        <f>Data!G221</f>
        <v>5304605000000</v>
      </c>
      <c r="I221" s="25">
        <f t="shared" si="25"/>
        <v>0.27902913789056866</v>
      </c>
      <c r="J221" s="24">
        <f>Data!J221</f>
        <v>-22172000000</v>
      </c>
      <c r="K221" s="24">
        <f t="shared" si="26"/>
        <v>5304605000000</v>
      </c>
      <c r="L221" s="25">
        <f t="shared" si="27"/>
        <v>-1.3626032475556616E-2</v>
      </c>
      <c r="M221" s="24">
        <f>Data!M221</f>
        <v>14603000000</v>
      </c>
      <c r="N221" s="24">
        <f t="shared" si="28"/>
        <v>5304605000000</v>
      </c>
      <c r="O221" s="25">
        <f t="shared" si="29"/>
        <v>1.8499428326897098E-2</v>
      </c>
      <c r="P221" s="24">
        <f>Data!K221</f>
        <v>283774000000</v>
      </c>
      <c r="Q221" s="24">
        <f>Data!I221</f>
        <v>5020831000000</v>
      </c>
      <c r="R221" s="25">
        <f t="shared" si="30"/>
        <v>5.934529562934901E-2</v>
      </c>
      <c r="S221" s="25">
        <f t="shared" si="31"/>
        <v>0.3432478293712582</v>
      </c>
    </row>
    <row r="222" spans="1:19" ht="15" customHeight="1" x14ac:dyDescent="0.3">
      <c r="A222" s="22"/>
      <c r="B222" s="23">
        <v>21</v>
      </c>
      <c r="C222" s="4" t="s">
        <v>52</v>
      </c>
      <c r="D222" s="23">
        <v>2014</v>
      </c>
      <c r="E222" s="24">
        <f>Data!F222</f>
        <v>0</v>
      </c>
      <c r="F222" s="24">
        <f>Data!H222</f>
        <v>0</v>
      </c>
      <c r="G222" s="24">
        <f t="shared" si="24"/>
        <v>0</v>
      </c>
      <c r="H222" s="24">
        <f>Data!G222</f>
        <v>0</v>
      </c>
      <c r="I222" s="25">
        <f t="shared" si="25"/>
        <v>0</v>
      </c>
      <c r="J222" s="24">
        <f>Data!J222</f>
        <v>0</v>
      </c>
      <c r="K222" s="24">
        <f t="shared" si="26"/>
        <v>0</v>
      </c>
      <c r="L222" s="25">
        <f t="shared" si="27"/>
        <v>0</v>
      </c>
      <c r="M222" s="24">
        <f>Data!M222</f>
        <v>0</v>
      </c>
      <c r="N222" s="24">
        <f t="shared" si="28"/>
        <v>0</v>
      </c>
      <c r="O222" s="25">
        <f t="shared" si="29"/>
        <v>0</v>
      </c>
      <c r="P222" s="24">
        <f>Data!K222</f>
        <v>0</v>
      </c>
      <c r="Q222" s="24">
        <f>Data!I222</f>
        <v>0</v>
      </c>
      <c r="R222" s="25">
        <f t="shared" si="30"/>
        <v>0</v>
      </c>
      <c r="S222" s="25">
        <f t="shared" si="31"/>
        <v>0</v>
      </c>
    </row>
    <row r="223" spans="1:19" ht="15" customHeight="1" x14ac:dyDescent="0.3">
      <c r="A223" s="22"/>
      <c r="B223" s="23"/>
      <c r="C223" s="4"/>
      <c r="D223" s="23">
        <v>2015</v>
      </c>
      <c r="E223" s="24">
        <f>Data!F223</f>
        <v>220542000000</v>
      </c>
      <c r="F223" s="24">
        <f>Data!H223</f>
        <v>143299000000</v>
      </c>
      <c r="G223" s="24">
        <f t="shared" si="24"/>
        <v>77243000000</v>
      </c>
      <c r="H223" s="24">
        <f>Data!G223</f>
        <v>488002000000</v>
      </c>
      <c r="I223" s="25">
        <f t="shared" si="25"/>
        <v>1.0383442690808644</v>
      </c>
      <c r="J223" s="24">
        <f>Data!J223</f>
        <v>17469000000</v>
      </c>
      <c r="K223" s="24">
        <f t="shared" si="26"/>
        <v>488002000000</v>
      </c>
      <c r="L223" s="25">
        <f t="shared" si="27"/>
        <v>0.11669816926979806</v>
      </c>
      <c r="M223" s="24">
        <f>Data!M223</f>
        <v>6813000000</v>
      </c>
      <c r="N223" s="24">
        <f t="shared" si="28"/>
        <v>488002000000</v>
      </c>
      <c r="O223" s="25">
        <f t="shared" si="29"/>
        <v>9.3817976155835425E-2</v>
      </c>
      <c r="P223" s="24">
        <f>Data!K223</f>
        <v>82469000000</v>
      </c>
      <c r="Q223" s="24">
        <f>Data!I223</f>
        <v>262357000000</v>
      </c>
      <c r="R223" s="25">
        <f t="shared" si="30"/>
        <v>0.33005580182728117</v>
      </c>
      <c r="S223" s="25">
        <f t="shared" si="31"/>
        <v>1.5789162163337793</v>
      </c>
    </row>
    <row r="224" spans="1:19" ht="15" customHeight="1" x14ac:dyDescent="0.3">
      <c r="A224" s="22"/>
      <c r="B224" s="23"/>
      <c r="C224" s="4"/>
      <c r="D224" s="23">
        <v>2016</v>
      </c>
      <c r="E224" s="24">
        <f>Data!F224</f>
        <v>163722000000</v>
      </c>
      <c r="F224" s="24">
        <f>Data!H224</f>
        <v>62386000000</v>
      </c>
      <c r="G224" s="24">
        <f t="shared" si="24"/>
        <v>101336000000</v>
      </c>
      <c r="H224" s="24">
        <f>Data!G224</f>
        <v>432956000000</v>
      </c>
      <c r="I224" s="25">
        <f t="shared" si="25"/>
        <v>1.5354081246131246</v>
      </c>
      <c r="J224" s="24">
        <f>Data!J224</f>
        <v>11180000000</v>
      </c>
      <c r="K224" s="24">
        <f t="shared" si="26"/>
        <v>432956000000</v>
      </c>
      <c r="L224" s="25">
        <f t="shared" si="27"/>
        <v>8.418130248801263E-2</v>
      </c>
      <c r="M224" s="24">
        <f>Data!M224</f>
        <v>6888000000</v>
      </c>
      <c r="N224" s="24">
        <f t="shared" si="28"/>
        <v>432956000000</v>
      </c>
      <c r="O224" s="25">
        <f t="shared" si="29"/>
        <v>0.10691007862230804</v>
      </c>
      <c r="P224" s="24">
        <f>Data!K224</f>
        <v>111180000000</v>
      </c>
      <c r="Q224" s="24">
        <f>Data!I224</f>
        <v>154809000000</v>
      </c>
      <c r="R224" s="25">
        <f t="shared" si="30"/>
        <v>0.75408406487994883</v>
      </c>
      <c r="S224" s="25">
        <f t="shared" si="31"/>
        <v>2.4805835706033941</v>
      </c>
    </row>
    <row r="225" spans="1:19" ht="15" customHeight="1" x14ac:dyDescent="0.3">
      <c r="A225" s="22"/>
      <c r="B225" s="23"/>
      <c r="C225" s="4"/>
      <c r="D225" s="23">
        <v>2017</v>
      </c>
      <c r="E225" s="24">
        <f>Data!F225</f>
        <v>153286000000</v>
      </c>
      <c r="F225" s="24">
        <f>Data!H225</f>
        <v>56650000000</v>
      </c>
      <c r="G225" s="24">
        <f t="shared" si="24"/>
        <v>96636000000</v>
      </c>
      <c r="H225" s="24">
        <f>Data!G225</f>
        <v>736721000000</v>
      </c>
      <c r="I225" s="25">
        <f t="shared" si="25"/>
        <v>0.86047792855097105</v>
      </c>
      <c r="J225" s="24">
        <f>Data!J225</f>
        <v>8312000000</v>
      </c>
      <c r="K225" s="24">
        <f t="shared" si="26"/>
        <v>736721000000</v>
      </c>
      <c r="L225" s="25">
        <f t="shared" si="27"/>
        <v>3.6780708029226797E-2</v>
      </c>
      <c r="M225" s="24">
        <f>Data!M225</f>
        <v>5664000000</v>
      </c>
      <c r="N225" s="24">
        <f t="shared" si="28"/>
        <v>736721000000</v>
      </c>
      <c r="O225" s="25">
        <f t="shared" si="29"/>
        <v>5.1664171375595369E-2</v>
      </c>
      <c r="P225" s="24">
        <f>Data!K225</f>
        <v>108312000000</v>
      </c>
      <c r="Q225" s="24">
        <f>Data!I225</f>
        <v>437500000000</v>
      </c>
      <c r="R225" s="25">
        <f t="shared" si="30"/>
        <v>0.25994880000000004</v>
      </c>
      <c r="S225" s="25">
        <f t="shared" si="31"/>
        <v>1.2088716079557933</v>
      </c>
    </row>
    <row r="226" spans="1:19" ht="15" customHeight="1" x14ac:dyDescent="0.3">
      <c r="A226" s="22"/>
      <c r="B226" s="23"/>
      <c r="C226" s="4"/>
      <c r="D226" s="23">
        <v>2018</v>
      </c>
      <c r="E226" s="24">
        <f>Data!F226</f>
        <v>158319000000</v>
      </c>
      <c r="F226" s="24">
        <f>Data!H226</f>
        <v>125467000000</v>
      </c>
      <c r="G226" s="24">
        <f t="shared" si="24"/>
        <v>32852000000</v>
      </c>
      <c r="H226" s="24">
        <f>Data!G226</f>
        <v>623688000000</v>
      </c>
      <c r="I226" s="25">
        <f t="shared" si="25"/>
        <v>0.34553994946191041</v>
      </c>
      <c r="J226" s="24">
        <f>Data!J226</f>
        <v>7617000000</v>
      </c>
      <c r="K226" s="24">
        <f t="shared" si="26"/>
        <v>623688000000</v>
      </c>
      <c r="L226" s="25">
        <f t="shared" si="27"/>
        <v>3.9813849232308463E-2</v>
      </c>
      <c r="M226" s="24">
        <f>Data!M226</f>
        <v>6420000000</v>
      </c>
      <c r="N226" s="24">
        <f t="shared" si="28"/>
        <v>623688000000</v>
      </c>
      <c r="O226" s="25">
        <f t="shared" si="29"/>
        <v>6.917304806249279E-2</v>
      </c>
      <c r="P226" s="24">
        <f>Data!K226</f>
        <v>105331000000</v>
      </c>
      <c r="Q226" s="24">
        <f>Data!I226</f>
        <v>361514000000</v>
      </c>
      <c r="R226" s="25">
        <f t="shared" si="30"/>
        <v>0.305928816034787</v>
      </c>
      <c r="S226" s="25">
        <f t="shared" si="31"/>
        <v>0.76045566279149868</v>
      </c>
    </row>
    <row r="227" spans="1:19" ht="15" customHeight="1" x14ac:dyDescent="0.3">
      <c r="A227" s="22"/>
      <c r="B227" s="23"/>
      <c r="C227" s="4"/>
      <c r="D227" s="23">
        <v>2019</v>
      </c>
      <c r="E227" s="24">
        <f>Data!F227</f>
        <v>109776000000</v>
      </c>
      <c r="F227" s="24">
        <f>Data!H227</f>
        <v>43897000000</v>
      </c>
      <c r="G227" s="24">
        <f t="shared" si="24"/>
        <v>65879000000</v>
      </c>
      <c r="H227" s="24">
        <f>Data!G227</f>
        <v>1041986000000</v>
      </c>
      <c r="I227" s="25">
        <f t="shared" si="25"/>
        <v>0.41475244389080079</v>
      </c>
      <c r="J227" s="24">
        <f>Data!J227</f>
        <v>12381000000</v>
      </c>
      <c r="K227" s="24">
        <f t="shared" si="26"/>
        <v>1041986000000</v>
      </c>
      <c r="L227" s="25">
        <f t="shared" si="27"/>
        <v>3.8735702782954851E-2</v>
      </c>
      <c r="M227" s="24">
        <f>Data!M227</f>
        <v>6478000000</v>
      </c>
      <c r="N227" s="24">
        <f t="shared" si="28"/>
        <v>1041986000000</v>
      </c>
      <c r="O227" s="25">
        <f t="shared" si="29"/>
        <v>4.1778066116051456E-2</v>
      </c>
      <c r="P227" s="24">
        <f>Data!K227</f>
        <v>112548000000</v>
      </c>
      <c r="Q227" s="24">
        <f>Data!I227</f>
        <v>807862000000</v>
      </c>
      <c r="R227" s="25">
        <f t="shared" si="30"/>
        <v>0.14628166691835984</v>
      </c>
      <c r="S227" s="25">
        <f t="shared" si="31"/>
        <v>0.64154787970816696</v>
      </c>
    </row>
    <row r="228" spans="1:19" ht="15" customHeight="1" x14ac:dyDescent="0.3">
      <c r="A228" s="22"/>
      <c r="B228" s="23"/>
      <c r="C228" s="4"/>
      <c r="D228" s="23">
        <v>2020</v>
      </c>
      <c r="E228" s="24">
        <f>Data!F228</f>
        <v>114258000000</v>
      </c>
      <c r="F228" s="24">
        <f>Data!H228</f>
        <v>35990000000</v>
      </c>
      <c r="G228" s="24">
        <f t="shared" si="24"/>
        <v>78268000000</v>
      </c>
      <c r="H228" s="24">
        <f>Data!G228</f>
        <v>1243173000000</v>
      </c>
      <c r="I228" s="25">
        <f t="shared" si="25"/>
        <v>0.41300613832507616</v>
      </c>
      <c r="J228" s="24">
        <f>Data!J228</f>
        <v>17205000000</v>
      </c>
      <c r="K228" s="24">
        <f t="shared" si="26"/>
        <v>1243173000000</v>
      </c>
      <c r="L228" s="25">
        <f t="shared" si="27"/>
        <v>4.5117051287310771E-2</v>
      </c>
      <c r="M228" s="24">
        <f>Data!M228</f>
        <v>6052000000</v>
      </c>
      <c r="N228" s="24">
        <f t="shared" si="28"/>
        <v>1243173000000</v>
      </c>
      <c r="O228" s="25">
        <f t="shared" si="29"/>
        <v>3.2714224005830239E-2</v>
      </c>
      <c r="P228" s="24">
        <f>Data!K228</f>
        <v>117254000000</v>
      </c>
      <c r="Q228" s="24">
        <f>Data!I228</f>
        <v>999145000000</v>
      </c>
      <c r="R228" s="25">
        <f t="shared" si="30"/>
        <v>0.12322205485690266</v>
      </c>
      <c r="S228" s="25">
        <f t="shared" si="31"/>
        <v>0.61405946847511983</v>
      </c>
    </row>
    <row r="229" spans="1:19" ht="15" customHeight="1" x14ac:dyDescent="0.3">
      <c r="A229" s="22"/>
      <c r="B229" s="23"/>
      <c r="C229" s="4"/>
      <c r="D229" s="23">
        <v>2021</v>
      </c>
      <c r="E229" s="24">
        <f>Data!F229</f>
        <v>184778000000</v>
      </c>
      <c r="F229" s="24">
        <f>Data!H229</f>
        <v>38934000000</v>
      </c>
      <c r="G229" s="24">
        <f t="shared" si="24"/>
        <v>145844000000</v>
      </c>
      <c r="H229" s="24">
        <f>Data!G229</f>
        <v>1459438000000</v>
      </c>
      <c r="I229" s="25">
        <f t="shared" si="25"/>
        <v>0.65555141088556002</v>
      </c>
      <c r="J229" s="24">
        <f>Data!J229</f>
        <v>9568000000</v>
      </c>
      <c r="K229" s="24">
        <f t="shared" si="26"/>
        <v>1459438000000</v>
      </c>
      <c r="L229" s="25">
        <f t="shared" si="27"/>
        <v>2.1372391290346009E-2</v>
      </c>
      <c r="M229" s="24">
        <f>Data!M229</f>
        <v>8085000000</v>
      </c>
      <c r="N229" s="24">
        <f t="shared" si="28"/>
        <v>1459438000000</v>
      </c>
      <c r="O229" s="25">
        <f t="shared" si="29"/>
        <v>3.7227480715179402E-2</v>
      </c>
      <c r="P229" s="24">
        <f>Data!K229</f>
        <v>140128000000</v>
      </c>
      <c r="Q229" s="24">
        <f>Data!I229</f>
        <v>1176597000000</v>
      </c>
      <c r="R229" s="25">
        <f t="shared" si="30"/>
        <v>0.12505080329118637</v>
      </c>
      <c r="S229" s="25">
        <f t="shared" si="31"/>
        <v>0.83920208618227177</v>
      </c>
    </row>
    <row r="230" spans="1:19" ht="15" customHeight="1" x14ac:dyDescent="0.3">
      <c r="A230" s="22"/>
      <c r="B230" s="23"/>
      <c r="C230" s="4"/>
      <c r="D230" s="23">
        <v>2022</v>
      </c>
      <c r="E230" s="24">
        <f>Data!F230</f>
        <v>96801000000</v>
      </c>
      <c r="F230" s="24">
        <f>Data!H230</f>
        <v>98566000000</v>
      </c>
      <c r="G230" s="24">
        <f t="shared" si="24"/>
        <v>-1765000000</v>
      </c>
      <c r="H230" s="24">
        <f>Data!G230</f>
        <v>1767079000000</v>
      </c>
      <c r="I230" s="25">
        <f t="shared" si="25"/>
        <v>-6.5522820428515084E-3</v>
      </c>
      <c r="J230" s="24">
        <f>Data!J230</f>
        <v>22302000000</v>
      </c>
      <c r="K230" s="24">
        <f t="shared" si="26"/>
        <v>1767079000000</v>
      </c>
      <c r="L230" s="25">
        <f t="shared" si="27"/>
        <v>4.1143899056012775E-2</v>
      </c>
      <c r="M230" s="24">
        <f>Data!M230</f>
        <v>15124000000</v>
      </c>
      <c r="N230" s="24">
        <f t="shared" si="28"/>
        <v>1767079000000</v>
      </c>
      <c r="O230" s="25">
        <f t="shared" si="29"/>
        <v>5.7514847949638917E-2</v>
      </c>
      <c r="P230" s="24">
        <f>Data!K230</f>
        <v>152930000000</v>
      </c>
      <c r="Q230" s="24">
        <f>Data!I230</f>
        <v>1413687000000</v>
      </c>
      <c r="R230" s="25">
        <f t="shared" si="30"/>
        <v>0.11358702456767304</v>
      </c>
      <c r="S230" s="25">
        <f t="shared" si="31"/>
        <v>0.20569348953047323</v>
      </c>
    </row>
    <row r="231" spans="1:19" ht="15" customHeight="1" x14ac:dyDescent="0.3">
      <c r="A231" s="22"/>
      <c r="B231" s="23"/>
      <c r="C231" s="4"/>
      <c r="D231" s="23">
        <v>2023</v>
      </c>
      <c r="E231" s="24">
        <f>Data!F231</f>
        <v>173080000000</v>
      </c>
      <c r="F231" s="24">
        <f>Data!H231</f>
        <v>147467000000</v>
      </c>
      <c r="G231" s="24">
        <f t="shared" si="24"/>
        <v>25613000000</v>
      </c>
      <c r="H231" s="24">
        <f>Data!G231</f>
        <v>2331849000000</v>
      </c>
      <c r="I231" s="25">
        <f t="shared" si="25"/>
        <v>7.2054957246374007E-2</v>
      </c>
      <c r="J231" s="24">
        <f>Data!J231</f>
        <v>46191000000</v>
      </c>
      <c r="K231" s="24">
        <f t="shared" si="26"/>
        <v>2331849000000</v>
      </c>
      <c r="L231" s="25">
        <f t="shared" si="27"/>
        <v>6.4576505597060518E-2</v>
      </c>
      <c r="M231" s="24">
        <f>Data!M231</f>
        <v>41100000000</v>
      </c>
      <c r="N231" s="24">
        <f t="shared" si="28"/>
        <v>2331849000000</v>
      </c>
      <c r="O231" s="25">
        <f t="shared" si="29"/>
        <v>0.1184433468890996</v>
      </c>
      <c r="P231" s="24">
        <f>Data!K231</f>
        <v>196917000000</v>
      </c>
      <c r="Q231" s="24">
        <f>Data!I231</f>
        <v>1915614000000</v>
      </c>
      <c r="R231" s="25">
        <f t="shared" si="30"/>
        <v>0.10793554964622309</v>
      </c>
      <c r="S231" s="25">
        <f t="shared" si="31"/>
        <v>0.36301035937875725</v>
      </c>
    </row>
    <row r="232" spans="1:19" ht="15" customHeight="1" x14ac:dyDescent="0.3">
      <c r="A232" s="22"/>
      <c r="B232" s="23"/>
      <c r="C232" s="4"/>
      <c r="D232" s="23">
        <v>2024</v>
      </c>
      <c r="E232" s="24">
        <f>Data!F232</f>
        <v>169886000000</v>
      </c>
      <c r="F232" s="24">
        <f>Data!H232</f>
        <v>166234000000</v>
      </c>
      <c r="G232" s="24">
        <f t="shared" si="24"/>
        <v>3652000000</v>
      </c>
      <c r="H232" s="24">
        <f>Data!G232</f>
        <v>2985382000000</v>
      </c>
      <c r="I232" s="25">
        <f t="shared" si="25"/>
        <v>8.0248088854290682E-3</v>
      </c>
      <c r="J232" s="24">
        <f>Data!J232</f>
        <v>43493000000</v>
      </c>
      <c r="K232" s="24">
        <f t="shared" si="26"/>
        <v>2985382000000</v>
      </c>
      <c r="L232" s="25">
        <f t="shared" si="27"/>
        <v>4.7493814861883671E-2</v>
      </c>
      <c r="M232" s="24">
        <f>Data!M232</f>
        <v>52686000000</v>
      </c>
      <c r="N232" s="24">
        <f t="shared" si="28"/>
        <v>2985382000000</v>
      </c>
      <c r="O232" s="25">
        <f t="shared" si="29"/>
        <v>0.11859451152314847</v>
      </c>
      <c r="P232" s="24">
        <f>Data!K232</f>
        <v>248554000000</v>
      </c>
      <c r="Q232" s="24">
        <f>Data!I232</f>
        <v>2493572000000</v>
      </c>
      <c r="R232" s="25">
        <f t="shared" si="30"/>
        <v>0.10466178638515351</v>
      </c>
      <c r="S232" s="25">
        <f t="shared" si="31"/>
        <v>0.27877492165561474</v>
      </c>
    </row>
    <row r="233" spans="1:19" ht="15" customHeight="1" x14ac:dyDescent="0.3">
      <c r="A233" s="22"/>
      <c r="B233" s="23">
        <v>22</v>
      </c>
      <c r="C233" s="4" t="s">
        <v>53</v>
      </c>
      <c r="D233" s="23">
        <v>2014</v>
      </c>
      <c r="E233" s="24">
        <f>Data!F233</f>
        <v>0</v>
      </c>
      <c r="F233" s="24">
        <f>Data!H233</f>
        <v>0</v>
      </c>
      <c r="G233" s="24">
        <f t="shared" si="24"/>
        <v>0</v>
      </c>
      <c r="H233" s="24">
        <f>Data!G233</f>
        <v>0</v>
      </c>
      <c r="I233" s="25">
        <f t="shared" si="25"/>
        <v>0</v>
      </c>
      <c r="J233" s="24">
        <f>Data!J233</f>
        <v>0</v>
      </c>
      <c r="K233" s="24">
        <f t="shared" si="26"/>
        <v>0</v>
      </c>
      <c r="L233" s="25">
        <f t="shared" si="27"/>
        <v>0</v>
      </c>
      <c r="M233" s="24">
        <f>Data!M233</f>
        <v>0</v>
      </c>
      <c r="N233" s="24">
        <f t="shared" si="28"/>
        <v>0</v>
      </c>
      <c r="O233" s="25">
        <f t="shared" si="29"/>
        <v>0</v>
      </c>
      <c r="P233" s="24">
        <f>Data!K233</f>
        <v>0</v>
      </c>
      <c r="Q233" s="24">
        <f>Data!I233</f>
        <v>0</v>
      </c>
      <c r="R233" s="25">
        <f t="shared" si="30"/>
        <v>0</v>
      </c>
      <c r="S233" s="25">
        <f t="shared" si="31"/>
        <v>0</v>
      </c>
    </row>
    <row r="234" spans="1:19" ht="15" customHeight="1" x14ac:dyDescent="0.3">
      <c r="A234" s="22"/>
      <c r="B234" s="23"/>
      <c r="C234" s="4"/>
      <c r="D234" s="23">
        <v>2015</v>
      </c>
      <c r="E234" s="24">
        <f>Data!F234</f>
        <v>0</v>
      </c>
      <c r="F234" s="24">
        <f>Data!H234</f>
        <v>0</v>
      </c>
      <c r="G234" s="24">
        <f t="shared" si="24"/>
        <v>0</v>
      </c>
      <c r="H234" s="24">
        <f>Data!G234</f>
        <v>0</v>
      </c>
      <c r="I234" s="25">
        <f t="shared" si="25"/>
        <v>0</v>
      </c>
      <c r="J234" s="24">
        <f>Data!J234</f>
        <v>0</v>
      </c>
      <c r="K234" s="24">
        <f t="shared" si="26"/>
        <v>0</v>
      </c>
      <c r="L234" s="25">
        <f t="shared" si="27"/>
        <v>0</v>
      </c>
      <c r="M234" s="24">
        <f>Data!M234</f>
        <v>0</v>
      </c>
      <c r="N234" s="24">
        <f t="shared" si="28"/>
        <v>0</v>
      </c>
      <c r="O234" s="25">
        <f t="shared" si="29"/>
        <v>0</v>
      </c>
      <c r="P234" s="24">
        <f>Data!K234</f>
        <v>0</v>
      </c>
      <c r="Q234" s="24">
        <f>Data!I234</f>
        <v>0</v>
      </c>
      <c r="R234" s="25">
        <f t="shared" si="30"/>
        <v>0</v>
      </c>
      <c r="S234" s="25">
        <f t="shared" si="31"/>
        <v>0</v>
      </c>
    </row>
    <row r="235" spans="1:19" ht="15" customHeight="1" x14ac:dyDescent="0.3">
      <c r="A235" s="22"/>
      <c r="B235" s="23"/>
      <c r="C235" s="4"/>
      <c r="D235" s="23">
        <v>2016</v>
      </c>
      <c r="E235" s="24">
        <f>Data!F235</f>
        <v>2980000000</v>
      </c>
      <c r="F235" s="24">
        <f>Data!H235</f>
        <v>116000000</v>
      </c>
      <c r="G235" s="24">
        <f t="shared" si="24"/>
        <v>2864000000</v>
      </c>
      <c r="H235" s="24">
        <f>Data!G235</f>
        <v>96470000000</v>
      </c>
      <c r="I235" s="25">
        <f t="shared" si="25"/>
        <v>0.1947531875194361</v>
      </c>
      <c r="J235" s="24">
        <f>Data!J235</f>
        <v>-3971000000</v>
      </c>
      <c r="K235" s="24">
        <f t="shared" si="26"/>
        <v>96470000000</v>
      </c>
      <c r="L235" s="25">
        <f t="shared" si="27"/>
        <v>-0.13419156214367159</v>
      </c>
      <c r="M235" s="24">
        <f>Data!M235</f>
        <v>-3971000000</v>
      </c>
      <c r="N235" s="24">
        <f t="shared" si="28"/>
        <v>96470000000</v>
      </c>
      <c r="O235" s="25">
        <f t="shared" si="29"/>
        <v>-0.27661573546180157</v>
      </c>
      <c r="P235" s="24">
        <f>Data!K235</f>
        <v>96029000000</v>
      </c>
      <c r="Q235" s="24">
        <f>Data!I235</f>
        <v>425000000</v>
      </c>
      <c r="R235" s="25">
        <f t="shared" si="30"/>
        <v>237.24811764705882</v>
      </c>
      <c r="S235" s="25">
        <f t="shared" si="31"/>
        <v>237.03206353697277</v>
      </c>
    </row>
    <row r="236" spans="1:19" ht="15" customHeight="1" x14ac:dyDescent="0.3">
      <c r="A236" s="22"/>
      <c r="B236" s="23"/>
      <c r="C236" s="4"/>
      <c r="D236" s="23">
        <v>2017</v>
      </c>
      <c r="E236" s="24">
        <f>Data!F236</f>
        <v>23726000000</v>
      </c>
      <c r="F236" s="24">
        <f>Data!H236</f>
        <v>22273000000</v>
      </c>
      <c r="G236" s="24">
        <f t="shared" si="24"/>
        <v>1453000000</v>
      </c>
      <c r="H236" s="24">
        <f>Data!G236</f>
        <v>956998000000</v>
      </c>
      <c r="I236" s="25">
        <f t="shared" si="25"/>
        <v>9.9599790177199946E-3</v>
      </c>
      <c r="J236" s="24">
        <f>Data!J236</f>
        <v>-13031000000</v>
      </c>
      <c r="K236" s="24">
        <f t="shared" si="26"/>
        <v>956998000000</v>
      </c>
      <c r="L236" s="25">
        <f t="shared" si="27"/>
        <v>-4.4389915130439141E-2</v>
      </c>
      <c r="M236" s="24">
        <f>Data!M236</f>
        <v>-9239000000</v>
      </c>
      <c r="N236" s="24">
        <f t="shared" si="28"/>
        <v>956998000000</v>
      </c>
      <c r="O236" s="25">
        <f t="shared" si="29"/>
        <v>-6.4875872258876199E-2</v>
      </c>
      <c r="P236" s="24">
        <f>Data!K236</f>
        <v>75556000000</v>
      </c>
      <c r="Q236" s="24">
        <f>Data!I236</f>
        <v>129031000000</v>
      </c>
      <c r="R236" s="25">
        <f t="shared" si="30"/>
        <v>0.61484294471871093</v>
      </c>
      <c r="S236" s="25">
        <f t="shared" si="31"/>
        <v>0.51553713634711562</v>
      </c>
    </row>
    <row r="237" spans="1:19" ht="15" customHeight="1" x14ac:dyDescent="0.3">
      <c r="A237" s="22"/>
      <c r="B237" s="23"/>
      <c r="C237" s="4"/>
      <c r="D237" s="23">
        <v>2018</v>
      </c>
      <c r="E237" s="24">
        <f>Data!F237</f>
        <v>23964000000</v>
      </c>
      <c r="F237" s="24">
        <f>Data!H237</f>
        <v>49141000000</v>
      </c>
      <c r="G237" s="24">
        <f t="shared" si="24"/>
        <v>-25177000000</v>
      </c>
      <c r="H237" s="24">
        <f>Data!G237</f>
        <v>891253000000</v>
      </c>
      <c r="I237" s="25">
        <f t="shared" si="25"/>
        <v>-0.18531339585953704</v>
      </c>
      <c r="J237" s="24">
        <f>Data!J237</f>
        <v>-20280000000</v>
      </c>
      <c r="K237" s="24">
        <f t="shared" si="26"/>
        <v>891253000000</v>
      </c>
      <c r="L237" s="25">
        <f t="shared" si="27"/>
        <v>-7.4179610054608505E-2</v>
      </c>
      <c r="M237" s="24">
        <f>Data!M237</f>
        <v>-7268000000</v>
      </c>
      <c r="N237" s="24">
        <f t="shared" si="28"/>
        <v>891253000000</v>
      </c>
      <c r="O237" s="25">
        <f t="shared" si="29"/>
        <v>-5.4800331667887794E-2</v>
      </c>
      <c r="P237" s="24">
        <f>Data!K237</f>
        <v>42862000000</v>
      </c>
      <c r="Q237" s="24">
        <f>Data!I237</f>
        <v>120783000000</v>
      </c>
      <c r="R237" s="25">
        <f t="shared" si="30"/>
        <v>0.37261121184272622</v>
      </c>
      <c r="S237" s="25">
        <f t="shared" si="31"/>
        <v>5.8317874260692903E-2</v>
      </c>
    </row>
    <row r="238" spans="1:19" ht="15" customHeight="1" x14ac:dyDescent="0.3">
      <c r="A238" s="22"/>
      <c r="B238" s="23"/>
      <c r="C238" s="4"/>
      <c r="D238" s="23">
        <v>2019</v>
      </c>
      <c r="E238" s="24">
        <f>Data!F238</f>
        <v>17573000000</v>
      </c>
      <c r="F238" s="24">
        <f>Data!H238</f>
        <v>55501000000</v>
      </c>
      <c r="G238" s="24">
        <f t="shared" si="24"/>
        <v>-37928000000</v>
      </c>
      <c r="H238" s="24">
        <f>Data!G238</f>
        <v>782742000000</v>
      </c>
      <c r="I238" s="25">
        <f t="shared" si="25"/>
        <v>-0.3178667811360576</v>
      </c>
      <c r="J238" s="24">
        <f>Data!J238</f>
        <v>-48051000000</v>
      </c>
      <c r="K238" s="24">
        <f t="shared" si="26"/>
        <v>782742000000</v>
      </c>
      <c r="L238" s="25">
        <f t="shared" si="27"/>
        <v>-0.20012502203791288</v>
      </c>
      <c r="M238" s="24">
        <f>Data!M238</f>
        <v>-27733000000</v>
      </c>
      <c r="N238" s="24">
        <f t="shared" si="28"/>
        <v>782742000000</v>
      </c>
      <c r="O238" s="25">
        <f t="shared" si="29"/>
        <v>-0.23809347141203616</v>
      </c>
      <c r="P238" s="24">
        <f>Data!K238</f>
        <v>4487000000</v>
      </c>
      <c r="Q238" s="24">
        <f>Data!I238</f>
        <v>128719000000</v>
      </c>
      <c r="R238" s="25">
        <f t="shared" si="30"/>
        <v>3.660182257475586E-2</v>
      </c>
      <c r="S238" s="25">
        <f t="shared" si="31"/>
        <v>-0.71948345201125086</v>
      </c>
    </row>
    <row r="239" spans="1:19" ht="15" customHeight="1" x14ac:dyDescent="0.3">
      <c r="A239" s="22"/>
      <c r="B239" s="23"/>
      <c r="C239" s="4"/>
      <c r="D239" s="23">
        <v>2020</v>
      </c>
      <c r="E239" s="24">
        <f>Data!F239</f>
        <v>34639000000</v>
      </c>
      <c r="F239" s="24">
        <f>Data!H239</f>
        <v>53213000000</v>
      </c>
      <c r="G239" s="24">
        <f t="shared" si="24"/>
        <v>-18574000000</v>
      </c>
      <c r="H239" s="24">
        <f>Data!G239</f>
        <v>661899000000</v>
      </c>
      <c r="I239" s="25">
        <f t="shared" si="25"/>
        <v>-0.18408464131234523</v>
      </c>
      <c r="J239" s="24">
        <f>Data!J239</f>
        <v>-65042000000</v>
      </c>
      <c r="K239" s="24">
        <f t="shared" si="26"/>
        <v>661899000000</v>
      </c>
      <c r="L239" s="25">
        <f t="shared" si="27"/>
        <v>-0.32034633682782421</v>
      </c>
      <c r="M239" s="24">
        <f>Data!M239</f>
        <v>-18651000000</v>
      </c>
      <c r="N239" s="24">
        <f t="shared" si="28"/>
        <v>661899000000</v>
      </c>
      <c r="O239" s="25">
        <f t="shared" si="29"/>
        <v>-0.1893562613027063</v>
      </c>
      <c r="P239" s="24">
        <f>Data!K239</f>
        <v>-20024000000</v>
      </c>
      <c r="Q239" s="24">
        <f>Data!I239</f>
        <v>124000000000</v>
      </c>
      <c r="R239" s="25">
        <f t="shared" si="30"/>
        <v>-0.16955806451612904</v>
      </c>
      <c r="S239" s="25">
        <f t="shared" si="31"/>
        <v>-0.86334530395900488</v>
      </c>
    </row>
    <row r="240" spans="1:19" ht="15" customHeight="1" x14ac:dyDescent="0.3">
      <c r="A240" s="22"/>
      <c r="B240" s="23"/>
      <c r="C240" s="4"/>
      <c r="D240" s="23">
        <v>2021</v>
      </c>
      <c r="E240" s="24">
        <f>Data!F240</f>
        <v>30133000000</v>
      </c>
      <c r="F240" s="24">
        <f>Data!H240</f>
        <v>82889000000</v>
      </c>
      <c r="G240" s="24">
        <f t="shared" si="24"/>
        <v>-52756000000</v>
      </c>
      <c r="H240" s="24">
        <f>Data!G240</f>
        <v>561340000000</v>
      </c>
      <c r="I240" s="25">
        <f t="shared" si="25"/>
        <v>-0.61652360423272878</v>
      </c>
      <c r="J240" s="24">
        <f>Data!J240</f>
        <v>-75617000000</v>
      </c>
      <c r="K240" s="24">
        <f t="shared" si="26"/>
        <v>561340000000</v>
      </c>
      <c r="L240" s="25">
        <f t="shared" si="27"/>
        <v>-0.4391481455089607</v>
      </c>
      <c r="M240" s="24">
        <f>Data!M240</f>
        <v>-10585000000</v>
      </c>
      <c r="N240" s="24">
        <f t="shared" si="28"/>
        <v>561340000000</v>
      </c>
      <c r="O240" s="25">
        <f t="shared" si="29"/>
        <v>-0.1267167848362846</v>
      </c>
      <c r="P240" s="24">
        <f>Data!K240</f>
        <v>-35637000000</v>
      </c>
      <c r="Q240" s="24">
        <f>Data!I240</f>
        <v>158453000000</v>
      </c>
      <c r="R240" s="25">
        <f t="shared" si="30"/>
        <v>-0.23615109843297383</v>
      </c>
      <c r="S240" s="25">
        <f t="shared" si="31"/>
        <v>-1.4185396330109479</v>
      </c>
    </row>
    <row r="241" spans="1:19" ht="15" customHeight="1" x14ac:dyDescent="0.3">
      <c r="A241" s="22"/>
      <c r="B241" s="23"/>
      <c r="C241" s="4"/>
      <c r="D241" s="23">
        <v>2022</v>
      </c>
      <c r="E241" s="24">
        <f>Data!F241</f>
        <v>70807000000</v>
      </c>
      <c r="F241" s="24">
        <f>Data!H241</f>
        <v>107143000000</v>
      </c>
      <c r="G241" s="24">
        <f t="shared" si="24"/>
        <v>-36336000000</v>
      </c>
      <c r="H241" s="24">
        <f>Data!G241</f>
        <v>471233000000</v>
      </c>
      <c r="I241" s="25">
        <f t="shared" si="25"/>
        <v>-0.50583078859078201</v>
      </c>
      <c r="J241" s="24">
        <f>Data!J241</f>
        <v>-81211000000</v>
      </c>
      <c r="K241" s="24">
        <f t="shared" si="26"/>
        <v>471233000000</v>
      </c>
      <c r="L241" s="25">
        <f t="shared" si="27"/>
        <v>-0.56181943964026282</v>
      </c>
      <c r="M241" s="24">
        <f>Data!M241</f>
        <v>-5592000000</v>
      </c>
      <c r="N241" s="24">
        <f t="shared" si="28"/>
        <v>471233000000</v>
      </c>
      <c r="O241" s="25">
        <f t="shared" si="29"/>
        <v>-7.9744500066845914E-2</v>
      </c>
      <c r="P241" s="24">
        <f>Data!K241</f>
        <v>-56375000000</v>
      </c>
      <c r="Q241" s="24">
        <f>Data!I241</f>
        <v>192767000000</v>
      </c>
      <c r="R241" s="25">
        <f t="shared" si="30"/>
        <v>-0.30707408425716021</v>
      </c>
      <c r="S241" s="25">
        <f t="shared" si="31"/>
        <v>-1.4544688125550509</v>
      </c>
    </row>
    <row r="242" spans="1:19" ht="15" customHeight="1" x14ac:dyDescent="0.3">
      <c r="A242" s="22"/>
      <c r="B242" s="23"/>
      <c r="C242" s="4"/>
      <c r="D242" s="23">
        <v>2023</v>
      </c>
      <c r="E242" s="24">
        <f>Data!F242</f>
        <v>20085000000</v>
      </c>
      <c r="F242" s="24">
        <f>Data!H242</f>
        <v>127782000000</v>
      </c>
      <c r="G242" s="24">
        <f t="shared" si="24"/>
        <v>-107697000000</v>
      </c>
      <c r="H242" s="24">
        <f>Data!G242</f>
        <v>387763000000</v>
      </c>
      <c r="I242" s="25">
        <f t="shared" si="25"/>
        <v>-1.8219693988338237</v>
      </c>
      <c r="J242" s="24">
        <f>Data!J242</f>
        <v>-92566000000</v>
      </c>
      <c r="K242" s="24">
        <f t="shared" si="26"/>
        <v>387763000000</v>
      </c>
      <c r="L242" s="25">
        <f t="shared" si="27"/>
        <v>-0.77822061413801724</v>
      </c>
      <c r="M242" s="24">
        <f>Data!M242</f>
        <v>-11351000000</v>
      </c>
      <c r="N242" s="24">
        <f t="shared" si="28"/>
        <v>387763000000</v>
      </c>
      <c r="O242" s="25">
        <f t="shared" si="29"/>
        <v>-0.19671479744070475</v>
      </c>
      <c r="P242" s="24">
        <f>Data!K242</f>
        <v>-92258000000</v>
      </c>
      <c r="Q242" s="24">
        <f>Data!I242</f>
        <v>189955000000</v>
      </c>
      <c r="R242" s="25">
        <f t="shared" si="30"/>
        <v>-0.50996762391092632</v>
      </c>
      <c r="S242" s="25">
        <f t="shared" si="31"/>
        <v>-3.3068724343234717</v>
      </c>
    </row>
    <row r="243" spans="1:19" ht="15" customHeight="1" x14ac:dyDescent="0.3">
      <c r="A243" s="22"/>
      <c r="B243" s="23"/>
      <c r="C243" s="4"/>
      <c r="D243" s="23">
        <v>2024</v>
      </c>
      <c r="E243" s="24">
        <f>Data!F243</f>
        <v>7934000000</v>
      </c>
      <c r="F243" s="24">
        <f>Data!H243</f>
        <v>24344000000</v>
      </c>
      <c r="G243" s="24">
        <f t="shared" si="24"/>
        <v>-16410000000</v>
      </c>
      <c r="H243" s="24">
        <f>Data!G243</f>
        <v>350722000000</v>
      </c>
      <c r="I243" s="25">
        <f t="shared" si="25"/>
        <v>-0.30693711828741854</v>
      </c>
      <c r="J243" s="24">
        <f>Data!J243</f>
        <v>-69979000000</v>
      </c>
      <c r="K243" s="24">
        <f t="shared" si="26"/>
        <v>350722000000</v>
      </c>
      <c r="L243" s="25">
        <f t="shared" si="27"/>
        <v>-0.65046258860293904</v>
      </c>
      <c r="M243" s="24">
        <f>Data!M243</f>
        <v>-5791000000</v>
      </c>
      <c r="N243" s="24">
        <f t="shared" si="28"/>
        <v>350722000000</v>
      </c>
      <c r="O243" s="25">
        <f t="shared" si="29"/>
        <v>-0.11095830886000878</v>
      </c>
      <c r="P243" s="24">
        <f>Data!K243</f>
        <v>-43857000000</v>
      </c>
      <c r="Q243" s="24">
        <f>Data!I243</f>
        <v>77888000000</v>
      </c>
      <c r="R243" s="25">
        <f t="shared" si="30"/>
        <v>-0.59123164030402631</v>
      </c>
      <c r="S243" s="25">
        <f t="shared" si="31"/>
        <v>-1.6595896560543926</v>
      </c>
    </row>
    <row r="244" spans="1:19" ht="15" customHeight="1" x14ac:dyDescent="0.3">
      <c r="A244" s="22"/>
      <c r="B244" s="23">
        <v>23</v>
      </c>
      <c r="C244" s="4" t="s">
        <v>51</v>
      </c>
      <c r="D244" s="23">
        <v>2014</v>
      </c>
      <c r="E244" s="24">
        <f>Data!F244</f>
        <v>0</v>
      </c>
      <c r="F244" s="24">
        <f>Data!H244</f>
        <v>0</v>
      </c>
      <c r="G244" s="24">
        <f t="shared" si="24"/>
        <v>0</v>
      </c>
      <c r="H244" s="24">
        <f>Data!G244</f>
        <v>0</v>
      </c>
      <c r="I244" s="25">
        <f t="shared" si="25"/>
        <v>0</v>
      </c>
      <c r="J244" s="24">
        <f>Data!J244</f>
        <v>0</v>
      </c>
      <c r="K244" s="24">
        <f t="shared" si="26"/>
        <v>0</v>
      </c>
      <c r="L244" s="25">
        <f t="shared" si="27"/>
        <v>0</v>
      </c>
      <c r="M244" s="24">
        <f>Data!M244</f>
        <v>0</v>
      </c>
      <c r="N244" s="24">
        <f t="shared" si="28"/>
        <v>0</v>
      </c>
      <c r="O244" s="25">
        <f t="shared" si="29"/>
        <v>0</v>
      </c>
      <c r="P244" s="24">
        <f>Data!K244</f>
        <v>0</v>
      </c>
      <c r="Q244" s="24">
        <f>Data!I244</f>
        <v>0</v>
      </c>
      <c r="R244" s="25">
        <f t="shared" si="30"/>
        <v>0</v>
      </c>
      <c r="S244" s="25">
        <f t="shared" si="31"/>
        <v>0</v>
      </c>
    </row>
    <row r="245" spans="1:19" ht="15" customHeight="1" x14ac:dyDescent="0.3">
      <c r="A245" s="22"/>
      <c r="B245" s="23"/>
      <c r="C245" s="4"/>
      <c r="D245" s="23">
        <v>2015</v>
      </c>
      <c r="E245" s="24">
        <f>Data!F245</f>
        <v>35639000000</v>
      </c>
      <c r="F245" s="24">
        <f>Data!H245</f>
        <v>1766000000</v>
      </c>
      <c r="G245" s="24">
        <f t="shared" si="24"/>
        <v>33873000000</v>
      </c>
      <c r="H245" s="24">
        <f>Data!G245</f>
        <v>66654000000</v>
      </c>
      <c r="I245" s="25">
        <f t="shared" si="25"/>
        <v>3.3337366099558916</v>
      </c>
      <c r="J245" s="24">
        <f>Data!J245</f>
        <v>3145000000</v>
      </c>
      <c r="K245" s="24">
        <f t="shared" si="26"/>
        <v>66654000000</v>
      </c>
      <c r="L245" s="25">
        <f t="shared" si="27"/>
        <v>0.1538197257478921</v>
      </c>
      <c r="M245" s="24">
        <f>Data!M245</f>
        <v>2472000000</v>
      </c>
      <c r="N245" s="24">
        <f t="shared" si="28"/>
        <v>66654000000</v>
      </c>
      <c r="O245" s="25">
        <f t="shared" si="29"/>
        <v>0.24922495274102077</v>
      </c>
      <c r="P245" s="24">
        <f>Data!K245</f>
        <v>63145000000</v>
      </c>
      <c r="Q245" s="24">
        <f>Data!I245</f>
        <v>2925000000</v>
      </c>
      <c r="R245" s="25">
        <f t="shared" si="30"/>
        <v>22.667435897435901</v>
      </c>
      <c r="S245" s="25">
        <f t="shared" si="31"/>
        <v>26.404217185880704</v>
      </c>
    </row>
    <row r="246" spans="1:19" ht="15" customHeight="1" x14ac:dyDescent="0.3">
      <c r="A246" s="22"/>
      <c r="B246" s="23"/>
      <c r="C246" s="4"/>
      <c r="D246" s="23">
        <v>2016</v>
      </c>
      <c r="E246" s="24">
        <f>Data!F246</f>
        <v>3945000000</v>
      </c>
      <c r="F246" s="24">
        <f>Data!H246</f>
        <v>1260000000</v>
      </c>
      <c r="G246" s="24">
        <f t="shared" si="24"/>
        <v>2685000000</v>
      </c>
      <c r="H246" s="24">
        <f>Data!G246</f>
        <v>68251000000</v>
      </c>
      <c r="I246" s="25">
        <f t="shared" si="25"/>
        <v>0.25807094401547226</v>
      </c>
      <c r="J246" s="24">
        <f>Data!J246</f>
        <v>3227000000</v>
      </c>
      <c r="K246" s="24">
        <f t="shared" si="26"/>
        <v>68251000000</v>
      </c>
      <c r="L246" s="25">
        <f t="shared" si="27"/>
        <v>0.15413722875855299</v>
      </c>
      <c r="M246" s="24">
        <f>Data!M246</f>
        <v>152000000</v>
      </c>
      <c r="N246" s="24">
        <f t="shared" si="28"/>
        <v>68251000000</v>
      </c>
      <c r="O246" s="25">
        <f t="shared" si="29"/>
        <v>1.4965934565061317E-2</v>
      </c>
      <c r="P246" s="24">
        <f>Data!K246</f>
        <v>63227000000</v>
      </c>
      <c r="Q246" s="24">
        <f>Data!I246</f>
        <v>4202000000</v>
      </c>
      <c r="R246" s="25">
        <f t="shared" si="30"/>
        <v>15.799226558781532</v>
      </c>
      <c r="S246" s="25">
        <f t="shared" si="31"/>
        <v>16.226400666120618</v>
      </c>
    </row>
    <row r="247" spans="1:19" ht="15" customHeight="1" x14ac:dyDescent="0.3">
      <c r="A247" s="22"/>
      <c r="B247" s="23"/>
      <c r="C247" s="4"/>
      <c r="D247" s="23">
        <v>2017</v>
      </c>
      <c r="E247" s="24">
        <f>Data!F247</f>
        <v>51959000000</v>
      </c>
      <c r="F247" s="24">
        <f>Data!H247</f>
        <v>10292000000</v>
      </c>
      <c r="G247" s="24">
        <f t="shared" si="24"/>
        <v>41667000000</v>
      </c>
      <c r="H247" s="24">
        <f>Data!G247</f>
        <v>166267000000</v>
      </c>
      <c r="I247" s="25">
        <f t="shared" si="25"/>
        <v>1.6439553248690357</v>
      </c>
      <c r="J247" s="24">
        <f>Data!J247</f>
        <v>141000000</v>
      </c>
      <c r="K247" s="24">
        <f t="shared" si="26"/>
        <v>166267000000</v>
      </c>
      <c r="L247" s="25">
        <f t="shared" si="27"/>
        <v>2.7645894855864361E-3</v>
      </c>
      <c r="M247" s="24">
        <f>Data!M247</f>
        <v>-1817000000</v>
      </c>
      <c r="N247" s="24">
        <f t="shared" si="28"/>
        <v>166267000000</v>
      </c>
      <c r="O247" s="25">
        <f t="shared" si="29"/>
        <v>-7.3437543228662333E-2</v>
      </c>
      <c r="P247" s="24">
        <f>Data!K247</f>
        <v>113731000000</v>
      </c>
      <c r="Q247" s="24">
        <f>Data!I247</f>
        <v>51252000000</v>
      </c>
      <c r="R247" s="25">
        <f t="shared" si="30"/>
        <v>2.3300076094591433</v>
      </c>
      <c r="S247" s="25">
        <f t="shared" si="31"/>
        <v>3.9032899805851029</v>
      </c>
    </row>
    <row r="248" spans="1:19" ht="15" customHeight="1" x14ac:dyDescent="0.3">
      <c r="A248" s="22"/>
      <c r="B248" s="23"/>
      <c r="C248" s="4"/>
      <c r="D248" s="23">
        <v>2018</v>
      </c>
      <c r="E248" s="24">
        <f>Data!F248</f>
        <v>12522000000</v>
      </c>
      <c r="F248" s="24">
        <f>Data!H248</f>
        <v>9380000000</v>
      </c>
      <c r="G248" s="24">
        <f t="shared" si="24"/>
        <v>3142000000</v>
      </c>
      <c r="H248" s="24">
        <f>Data!G248</f>
        <v>179015000000</v>
      </c>
      <c r="I248" s="25">
        <f t="shared" si="25"/>
        <v>0.11513850794626149</v>
      </c>
      <c r="J248" s="24">
        <f>Data!J248</f>
        <v>694000000</v>
      </c>
      <c r="K248" s="24">
        <f t="shared" si="26"/>
        <v>179015000000</v>
      </c>
      <c r="L248" s="25">
        <f t="shared" si="27"/>
        <v>1.2638270535988604E-2</v>
      </c>
      <c r="M248" s="24">
        <f>Data!M248</f>
        <v>582000000</v>
      </c>
      <c r="N248" s="24">
        <f t="shared" si="28"/>
        <v>179015000000</v>
      </c>
      <c r="O248" s="25">
        <f t="shared" si="29"/>
        <v>2.1847554674189314E-2</v>
      </c>
      <c r="P248" s="24">
        <f>Data!K248</f>
        <v>112822000000</v>
      </c>
      <c r="Q248" s="24">
        <f>Data!I248</f>
        <v>64754000000</v>
      </c>
      <c r="R248" s="25">
        <f t="shared" si="30"/>
        <v>1.8294329307841986</v>
      </c>
      <c r="S248" s="25">
        <f t="shared" si="31"/>
        <v>1.9790572639406379</v>
      </c>
    </row>
    <row r="249" spans="1:19" ht="15" customHeight="1" x14ac:dyDescent="0.3">
      <c r="A249" s="22"/>
      <c r="B249" s="23"/>
      <c r="C249" s="4"/>
      <c r="D249" s="23">
        <v>2019</v>
      </c>
      <c r="E249" s="24">
        <f>Data!F249</f>
        <v>26494000000</v>
      </c>
      <c r="F249" s="24">
        <f>Data!H249</f>
        <v>15211000000</v>
      </c>
      <c r="G249" s="24">
        <f t="shared" si="24"/>
        <v>11283000000</v>
      </c>
      <c r="H249" s="24">
        <f>Data!G249</f>
        <v>198032000000</v>
      </c>
      <c r="I249" s="25">
        <f t="shared" si="25"/>
        <v>0.37376020037165708</v>
      </c>
      <c r="J249" s="24">
        <f>Data!J249</f>
        <v>1944000000</v>
      </c>
      <c r="K249" s="24">
        <f t="shared" si="26"/>
        <v>198032000000</v>
      </c>
      <c r="L249" s="25">
        <f t="shared" si="27"/>
        <v>3.2002100670598686E-2</v>
      </c>
      <c r="M249" s="24">
        <f>Data!M249</f>
        <v>1235000000</v>
      </c>
      <c r="N249" s="24">
        <f t="shared" si="28"/>
        <v>198032000000</v>
      </c>
      <c r="O249" s="25">
        <f t="shared" si="29"/>
        <v>4.190837844388786E-2</v>
      </c>
      <c r="P249" s="24">
        <f>Data!K249</f>
        <v>113698000000</v>
      </c>
      <c r="Q249" s="24">
        <f>Data!I249</f>
        <v>97502000000</v>
      </c>
      <c r="R249" s="25">
        <f t="shared" si="30"/>
        <v>1.2244148837972555</v>
      </c>
      <c r="S249" s="25">
        <f t="shared" si="31"/>
        <v>1.6720855632833991</v>
      </c>
    </row>
    <row r="250" spans="1:19" ht="15" customHeight="1" x14ac:dyDescent="0.3">
      <c r="A250" s="22"/>
      <c r="B250" s="23"/>
      <c r="C250" s="4"/>
      <c r="D250" s="23">
        <v>2020</v>
      </c>
      <c r="E250" s="24">
        <f>Data!F250</f>
        <v>54839000000</v>
      </c>
      <c r="F250" s="24">
        <f>Data!H250</f>
        <v>37548000000</v>
      </c>
      <c r="G250" s="24">
        <f t="shared" si="24"/>
        <v>17291000000</v>
      </c>
      <c r="H250" s="24">
        <f>Data!G250</f>
        <v>239408000000</v>
      </c>
      <c r="I250" s="25">
        <f t="shared" si="25"/>
        <v>0.47378934705607162</v>
      </c>
      <c r="J250" s="24">
        <f>Data!J250</f>
        <v>1998000000</v>
      </c>
      <c r="K250" s="24">
        <f t="shared" si="26"/>
        <v>239408000000</v>
      </c>
      <c r="L250" s="25">
        <f t="shared" si="27"/>
        <v>2.7206609637104855E-2</v>
      </c>
      <c r="M250" s="24">
        <f>Data!M250</f>
        <v>263000000</v>
      </c>
      <c r="N250" s="24">
        <f t="shared" si="28"/>
        <v>239408000000</v>
      </c>
      <c r="O250" s="25">
        <f t="shared" si="29"/>
        <v>7.3822094499766087E-3</v>
      </c>
      <c r="P250" s="24">
        <f>Data!K250</f>
        <v>116313000000</v>
      </c>
      <c r="Q250" s="24">
        <f>Data!I250</f>
        <v>135545000000</v>
      </c>
      <c r="R250" s="25">
        <f t="shared" si="30"/>
        <v>0.90101921870965362</v>
      </c>
      <c r="S250" s="25">
        <f t="shared" si="31"/>
        <v>1.4093973848528067</v>
      </c>
    </row>
    <row r="251" spans="1:19" ht="15" customHeight="1" x14ac:dyDescent="0.3">
      <c r="A251" s="22"/>
      <c r="B251" s="23"/>
      <c r="C251" s="4"/>
      <c r="D251" s="23">
        <v>2021</v>
      </c>
      <c r="E251" s="24">
        <f>Data!F251</f>
        <v>47227000000</v>
      </c>
      <c r="F251" s="24">
        <f>Data!H251</f>
        <v>51024000000</v>
      </c>
      <c r="G251" s="24">
        <f t="shared" si="24"/>
        <v>-3797000000</v>
      </c>
      <c r="H251" s="24">
        <f>Data!G251</f>
        <v>249051000000</v>
      </c>
      <c r="I251" s="25">
        <f t="shared" si="25"/>
        <v>-0.10001292907878306</v>
      </c>
      <c r="J251" s="24">
        <f>Data!J251</f>
        <v>3281000000</v>
      </c>
      <c r="K251" s="24">
        <f t="shared" si="26"/>
        <v>249051000000</v>
      </c>
      <c r="L251" s="25">
        <f t="shared" si="27"/>
        <v>4.2947267828677659E-2</v>
      </c>
      <c r="M251" s="24">
        <f>Data!M251</f>
        <v>1889000000</v>
      </c>
      <c r="N251" s="24">
        <f t="shared" si="28"/>
        <v>249051000000</v>
      </c>
      <c r="O251" s="25">
        <f t="shared" si="29"/>
        <v>5.0969801365985279E-2</v>
      </c>
      <c r="P251" s="24">
        <f>Data!K251</f>
        <v>115670000000</v>
      </c>
      <c r="Q251" s="24">
        <f>Data!I251</f>
        <v>135341000000</v>
      </c>
      <c r="R251" s="25">
        <f t="shared" si="30"/>
        <v>0.89738881787484948</v>
      </c>
      <c r="S251" s="25">
        <f t="shared" si="31"/>
        <v>0.89129295799072938</v>
      </c>
    </row>
    <row r="252" spans="1:19" ht="15" customHeight="1" x14ac:dyDescent="0.3">
      <c r="A252" s="22"/>
      <c r="B252" s="23"/>
      <c r="C252" s="4"/>
      <c r="D252" s="23">
        <v>2022</v>
      </c>
      <c r="E252" s="24">
        <f>Data!F252</f>
        <v>64634000000</v>
      </c>
      <c r="F252" s="24">
        <f>Data!H252</f>
        <v>56225000000</v>
      </c>
      <c r="G252" s="24">
        <f t="shared" si="24"/>
        <v>8409000000</v>
      </c>
      <c r="H252" s="24">
        <f>Data!G252</f>
        <v>293113000000</v>
      </c>
      <c r="I252" s="25">
        <f t="shared" si="25"/>
        <v>0.18819717992719528</v>
      </c>
      <c r="J252" s="24">
        <f>Data!J252</f>
        <v>4782000000</v>
      </c>
      <c r="K252" s="24">
        <f t="shared" si="26"/>
        <v>293113000000</v>
      </c>
      <c r="L252" s="25">
        <f t="shared" si="27"/>
        <v>5.3185358547727317E-2</v>
      </c>
      <c r="M252" s="24">
        <f>Data!M252</f>
        <v>2093000000</v>
      </c>
      <c r="N252" s="24">
        <f t="shared" si="28"/>
        <v>293113000000</v>
      </c>
      <c r="O252" s="25">
        <f t="shared" si="29"/>
        <v>4.7984770378659419E-2</v>
      </c>
      <c r="P252" s="24">
        <f>Data!K252</f>
        <v>116434000000</v>
      </c>
      <c r="Q252" s="24">
        <f>Data!I252</f>
        <v>170464000000</v>
      </c>
      <c r="R252" s="25">
        <f t="shared" si="30"/>
        <v>0.71719365965834436</v>
      </c>
      <c r="S252" s="25">
        <f t="shared" si="31"/>
        <v>1.0065609685119263</v>
      </c>
    </row>
    <row r="253" spans="1:19" ht="15" customHeight="1" x14ac:dyDescent="0.3">
      <c r="A253" s="22"/>
      <c r="B253" s="23"/>
      <c r="C253" s="4"/>
      <c r="D253" s="23">
        <v>2023</v>
      </c>
      <c r="E253" s="24">
        <f>Data!F253</f>
        <v>66651000000</v>
      </c>
      <c r="F253" s="24">
        <f>Data!H253</f>
        <v>86482000000</v>
      </c>
      <c r="G253" s="24">
        <f t="shared" si="24"/>
        <v>-19831000000</v>
      </c>
      <c r="H253" s="24">
        <f>Data!G253</f>
        <v>303072000000</v>
      </c>
      <c r="I253" s="25">
        <f t="shared" si="25"/>
        <v>-0.4292424242424242</v>
      </c>
      <c r="J253" s="24">
        <f>Data!J253</f>
        <v>7309000000</v>
      </c>
      <c r="K253" s="24">
        <f t="shared" si="26"/>
        <v>303072000000</v>
      </c>
      <c r="L253" s="25">
        <f t="shared" si="27"/>
        <v>7.8619403970013726E-2</v>
      </c>
      <c r="M253" s="24">
        <f>Data!M253</f>
        <v>3514000000</v>
      </c>
      <c r="N253" s="24">
        <f t="shared" si="28"/>
        <v>303072000000</v>
      </c>
      <c r="O253" s="25">
        <f t="shared" si="29"/>
        <v>7.791574279379157E-2</v>
      </c>
      <c r="P253" s="24">
        <f>Data!K253</f>
        <v>120206000000</v>
      </c>
      <c r="Q253" s="24">
        <f>Data!I253</f>
        <v>205976000000</v>
      </c>
      <c r="R253" s="25">
        <f t="shared" si="30"/>
        <v>0.6127718763351071</v>
      </c>
      <c r="S253" s="25">
        <f t="shared" si="31"/>
        <v>0.34006459885648821</v>
      </c>
    </row>
    <row r="254" spans="1:19" ht="15" customHeight="1" x14ac:dyDescent="0.3">
      <c r="A254" s="22"/>
      <c r="B254" s="23"/>
      <c r="C254" s="4"/>
      <c r="D254" s="23">
        <v>2024</v>
      </c>
      <c r="E254" s="24">
        <f>Data!F254</f>
        <v>70878000000</v>
      </c>
      <c r="F254" s="24">
        <f>Data!H254</f>
        <v>114042000000</v>
      </c>
      <c r="G254" s="24">
        <f t="shared" si="24"/>
        <v>-43164000000</v>
      </c>
      <c r="H254" s="24">
        <f>Data!G254</f>
        <v>306176000000</v>
      </c>
      <c r="I254" s="25">
        <f t="shared" si="25"/>
        <v>-0.92481396321070219</v>
      </c>
      <c r="J254" s="24">
        <f>Data!J254</f>
        <v>10138000000</v>
      </c>
      <c r="K254" s="24">
        <f t="shared" si="26"/>
        <v>306176000000</v>
      </c>
      <c r="L254" s="25">
        <f t="shared" si="27"/>
        <v>0.10794405831939799</v>
      </c>
      <c r="M254" s="24">
        <f>Data!M254</f>
        <v>3746000000</v>
      </c>
      <c r="N254" s="24">
        <f t="shared" si="28"/>
        <v>306176000000</v>
      </c>
      <c r="O254" s="25">
        <f t="shared" si="29"/>
        <v>8.2217809364548491E-2</v>
      </c>
      <c r="P254" s="24">
        <f>Data!K254</f>
        <v>122496000000</v>
      </c>
      <c r="Q254" s="24">
        <f>Data!I254</f>
        <v>231468000000</v>
      </c>
      <c r="R254" s="25">
        <f t="shared" si="30"/>
        <v>0.55567421846648346</v>
      </c>
      <c r="S254" s="25">
        <f t="shared" si="31"/>
        <v>-0.17897787706027224</v>
      </c>
    </row>
    <row r="255" spans="1:19" ht="15" customHeight="1" x14ac:dyDescent="0.3">
      <c r="A255" s="22"/>
      <c r="B255" s="23">
        <v>24</v>
      </c>
      <c r="C255" s="4" t="s">
        <v>50</v>
      </c>
      <c r="D255" s="23">
        <v>2014</v>
      </c>
      <c r="E255" s="24">
        <f>Data!F255</f>
        <v>0</v>
      </c>
      <c r="F255" s="24">
        <f>Data!H255</f>
        <v>0</v>
      </c>
      <c r="G255" s="24">
        <f t="shared" si="24"/>
        <v>0</v>
      </c>
      <c r="H255" s="24">
        <f>Data!G255</f>
        <v>0</v>
      </c>
      <c r="I255" s="25">
        <f t="shared" si="25"/>
        <v>0</v>
      </c>
      <c r="J255" s="24">
        <f>Data!J255</f>
        <v>0</v>
      </c>
      <c r="K255" s="24">
        <f t="shared" si="26"/>
        <v>0</v>
      </c>
      <c r="L255" s="25">
        <f t="shared" si="27"/>
        <v>0</v>
      </c>
      <c r="M255" s="24">
        <f>Data!M255</f>
        <v>0</v>
      </c>
      <c r="N255" s="24">
        <f t="shared" si="28"/>
        <v>0</v>
      </c>
      <c r="O255" s="25">
        <f t="shared" si="29"/>
        <v>0</v>
      </c>
      <c r="P255" s="24">
        <f>Data!K255</f>
        <v>0</v>
      </c>
      <c r="Q255" s="24">
        <f>Data!I255</f>
        <v>0</v>
      </c>
      <c r="R255" s="25">
        <f t="shared" si="30"/>
        <v>0</v>
      </c>
      <c r="S255" s="25">
        <f t="shared" si="31"/>
        <v>0</v>
      </c>
    </row>
    <row r="256" spans="1:19" ht="15" customHeight="1" x14ac:dyDescent="0.3">
      <c r="A256" s="22"/>
      <c r="B256" s="23"/>
      <c r="C256" s="4"/>
      <c r="D256" s="23">
        <v>2015</v>
      </c>
      <c r="E256" s="24">
        <f>Data!F256</f>
        <v>5771000000</v>
      </c>
      <c r="F256" s="24">
        <f>Data!H256</f>
        <v>6278000000</v>
      </c>
      <c r="G256" s="24">
        <f t="shared" si="24"/>
        <v>-507000000</v>
      </c>
      <c r="H256" s="24">
        <f>Data!G256</f>
        <v>71504000000</v>
      </c>
      <c r="I256" s="25">
        <f t="shared" si="25"/>
        <v>-4.6513761467889901E-2</v>
      </c>
      <c r="J256" s="24">
        <f>Data!J256</f>
        <v>-18299000000</v>
      </c>
      <c r="K256" s="24">
        <f t="shared" si="26"/>
        <v>71504000000</v>
      </c>
      <c r="L256" s="25">
        <f t="shared" si="27"/>
        <v>-0.83428535466547327</v>
      </c>
      <c r="M256" s="24">
        <f>Data!M256</f>
        <v>-7989000000</v>
      </c>
      <c r="N256" s="24">
        <f t="shared" si="28"/>
        <v>71504000000</v>
      </c>
      <c r="O256" s="25">
        <f t="shared" si="29"/>
        <v>-0.7508122622510629</v>
      </c>
      <c r="P256" s="24">
        <f>Data!K256</f>
        <v>59008000000</v>
      </c>
      <c r="Q256" s="24">
        <f>Data!I256</f>
        <v>10060000000</v>
      </c>
      <c r="R256" s="25">
        <f t="shared" si="30"/>
        <v>6.1588866799204771</v>
      </c>
      <c r="S256" s="25">
        <f t="shared" si="31"/>
        <v>4.5272753015360507</v>
      </c>
    </row>
    <row r="257" spans="1:19" ht="15" customHeight="1" x14ac:dyDescent="0.3">
      <c r="A257" s="22"/>
      <c r="B257" s="23"/>
      <c r="C257" s="4"/>
      <c r="D257" s="23">
        <v>2016</v>
      </c>
      <c r="E257" s="24">
        <f>Data!F257</f>
        <v>8782000000</v>
      </c>
      <c r="F257" s="24">
        <f>Data!H257</f>
        <v>6665000000</v>
      </c>
      <c r="G257" s="24">
        <f t="shared" si="24"/>
        <v>2117000000</v>
      </c>
      <c r="H257" s="24">
        <f>Data!G257</f>
        <v>68929000000</v>
      </c>
      <c r="I257" s="25">
        <f t="shared" si="25"/>
        <v>0.20147572139447836</v>
      </c>
      <c r="J257" s="24">
        <f>Data!J257</f>
        <v>-24402000000</v>
      </c>
      <c r="K257" s="24">
        <f t="shared" si="26"/>
        <v>68929000000</v>
      </c>
      <c r="L257" s="25">
        <f t="shared" si="27"/>
        <v>-1.1540936325784501</v>
      </c>
      <c r="M257" s="24">
        <f>Data!M257</f>
        <v>-6103000000</v>
      </c>
      <c r="N257" s="24">
        <f t="shared" si="28"/>
        <v>68929000000</v>
      </c>
      <c r="O257" s="25">
        <f t="shared" si="29"/>
        <v>-0.5949913679293185</v>
      </c>
      <c r="P257" s="24">
        <f>Data!K257</f>
        <v>54212000000</v>
      </c>
      <c r="Q257" s="24">
        <f>Data!I257</f>
        <v>10520000000</v>
      </c>
      <c r="R257" s="25">
        <f t="shared" si="30"/>
        <v>5.410893536121673</v>
      </c>
      <c r="S257" s="25">
        <f t="shared" si="31"/>
        <v>3.8632842570083827</v>
      </c>
    </row>
    <row r="258" spans="1:19" ht="15" customHeight="1" x14ac:dyDescent="0.3">
      <c r="A258" s="22"/>
      <c r="B258" s="23"/>
      <c r="C258" s="4"/>
      <c r="D258" s="23">
        <v>2017</v>
      </c>
      <c r="E258" s="24">
        <f>Data!F258</f>
        <v>9773000000</v>
      </c>
      <c r="F258" s="24">
        <f>Data!H258</f>
        <v>9796000000</v>
      </c>
      <c r="G258" s="24">
        <f t="shared" si="24"/>
        <v>-23000000</v>
      </c>
      <c r="H258" s="24">
        <f>Data!G258</f>
        <v>87746000000</v>
      </c>
      <c r="I258" s="25">
        <f t="shared" si="25"/>
        <v>-1.7195085815877645E-3</v>
      </c>
      <c r="J258" s="24">
        <f>Data!J258</f>
        <v>-26898000000</v>
      </c>
      <c r="K258" s="24">
        <f t="shared" si="26"/>
        <v>87746000000</v>
      </c>
      <c r="L258" s="25">
        <f t="shared" si="27"/>
        <v>-0.99933307501196633</v>
      </c>
      <c r="M258" s="24">
        <f>Data!M258</f>
        <v>-3000000000</v>
      </c>
      <c r="N258" s="24">
        <f t="shared" si="28"/>
        <v>87746000000</v>
      </c>
      <c r="O258" s="25">
        <f t="shared" si="29"/>
        <v>-0.22975406286326441</v>
      </c>
      <c r="P258" s="24">
        <f>Data!K258</f>
        <v>50778000000</v>
      </c>
      <c r="Q258" s="24">
        <f>Data!I258</f>
        <v>28060000000</v>
      </c>
      <c r="R258" s="25">
        <f t="shared" si="30"/>
        <v>1.900103349964362</v>
      </c>
      <c r="S258" s="25">
        <f t="shared" si="31"/>
        <v>0.66929670350754344</v>
      </c>
    </row>
    <row r="259" spans="1:19" ht="15" customHeight="1" x14ac:dyDescent="0.3">
      <c r="A259" s="22"/>
      <c r="B259" s="23"/>
      <c r="C259" s="4"/>
      <c r="D259" s="23">
        <v>2018</v>
      </c>
      <c r="E259" s="24">
        <f>Data!F259</f>
        <v>12268000000</v>
      </c>
      <c r="F259" s="24">
        <f>Data!H259</f>
        <v>11172000000</v>
      </c>
      <c r="G259" s="24">
        <f t="shared" ref="G259:G322" si="32">E259-F259</f>
        <v>1096000000</v>
      </c>
      <c r="H259" s="24">
        <f>Data!G259</f>
        <v>96855000000</v>
      </c>
      <c r="I259" s="25">
        <f t="shared" ref="I259:I322" si="33">IFERROR(6.56*(G259/H259),0)</f>
        <v>7.4232202777347572E-2</v>
      </c>
      <c r="J259" s="24">
        <f>Data!J259</f>
        <v>-33875000000</v>
      </c>
      <c r="K259" s="24">
        <f t="shared" ref="K259:K322" si="34">H259</f>
        <v>96855000000</v>
      </c>
      <c r="L259" s="25">
        <f t="shared" ref="L259:L322" si="35">IFERROR(3.26*(J259/K259),0)</f>
        <v>-1.1401837798771357</v>
      </c>
      <c r="M259" s="24">
        <f>Data!M259</f>
        <v>-6925000000</v>
      </c>
      <c r="N259" s="24">
        <f t="shared" ref="N259:N322" si="36">K259</f>
        <v>96855000000</v>
      </c>
      <c r="O259" s="25">
        <f t="shared" ref="O259:O322" si="37">IFERROR(6.72*(M259/N259),0)</f>
        <v>-0.48047080687625832</v>
      </c>
      <c r="P259" s="24">
        <f>Data!K259</f>
        <v>53241000000</v>
      </c>
      <c r="Q259" s="24">
        <f>Data!I259</f>
        <v>30807000000</v>
      </c>
      <c r="R259" s="25">
        <f t="shared" ref="R259:R322" si="38">IFERROR(1.05*(P259/Q259),0)</f>
        <v>1.8146216768916157</v>
      </c>
      <c r="S259" s="25">
        <f t="shared" ref="S259:S322" si="39">IFERROR(I259+L259+O259+R259,0)</f>
        <v>0.26819929291556943</v>
      </c>
    </row>
    <row r="260" spans="1:19" ht="15" customHeight="1" x14ac:dyDescent="0.3">
      <c r="A260" s="22"/>
      <c r="B260" s="23"/>
      <c r="C260" s="4"/>
      <c r="D260" s="23">
        <v>2019</v>
      </c>
      <c r="E260" s="24">
        <f>Data!F260</f>
        <v>14611000000</v>
      </c>
      <c r="F260" s="24">
        <f>Data!H260</f>
        <v>11781000000</v>
      </c>
      <c r="G260" s="24">
        <f t="shared" si="32"/>
        <v>2830000000</v>
      </c>
      <c r="H260" s="24">
        <f>Data!G260</f>
        <v>104668000000</v>
      </c>
      <c r="I260" s="25">
        <f t="shared" si="33"/>
        <v>0.17736844116635456</v>
      </c>
      <c r="J260" s="24">
        <f>Data!J260</f>
        <v>-26145000000</v>
      </c>
      <c r="K260" s="24">
        <f t="shared" si="34"/>
        <v>104668000000</v>
      </c>
      <c r="L260" s="25">
        <f t="shared" si="35"/>
        <v>-0.81431478579890693</v>
      </c>
      <c r="M260" s="24">
        <f>Data!M260</f>
        <v>7843000000</v>
      </c>
      <c r="N260" s="24">
        <f t="shared" si="36"/>
        <v>104668000000</v>
      </c>
      <c r="O260" s="25">
        <f t="shared" si="37"/>
        <v>0.50354415867313784</v>
      </c>
      <c r="P260" s="24">
        <f>Data!K260</f>
        <v>61740000000</v>
      </c>
      <c r="Q260" s="24">
        <f>Data!I260</f>
        <v>29286000000</v>
      </c>
      <c r="R260" s="25">
        <f t="shared" si="38"/>
        <v>2.2135832821143206</v>
      </c>
      <c r="S260" s="25">
        <f t="shared" si="39"/>
        <v>2.0801810961549059</v>
      </c>
    </row>
    <row r="261" spans="1:19" ht="15" customHeight="1" x14ac:dyDescent="0.3">
      <c r="A261" s="22"/>
      <c r="B261" s="23"/>
      <c r="C261" s="4"/>
      <c r="D261" s="23">
        <v>2020</v>
      </c>
      <c r="E261" s="24">
        <f>Data!F261</f>
        <v>16338000000</v>
      </c>
      <c r="F261" s="24">
        <f>Data!H261</f>
        <v>10105000000</v>
      </c>
      <c r="G261" s="24">
        <f t="shared" si="32"/>
        <v>6233000000</v>
      </c>
      <c r="H261" s="24">
        <f>Data!G261</f>
        <v>96960000000</v>
      </c>
      <c r="I261" s="25">
        <f t="shared" si="33"/>
        <v>0.42170462046204615</v>
      </c>
      <c r="J261" s="24">
        <f>Data!J261</f>
        <v>-25711000000</v>
      </c>
      <c r="K261" s="24">
        <f t="shared" si="34"/>
        <v>96960000000</v>
      </c>
      <c r="L261" s="25">
        <f t="shared" si="35"/>
        <v>-0.86445812706270631</v>
      </c>
      <c r="M261" s="24">
        <f>Data!M261</f>
        <v>455000000</v>
      </c>
      <c r="N261" s="24">
        <f t="shared" si="36"/>
        <v>96960000000</v>
      </c>
      <c r="O261" s="25">
        <f t="shared" si="37"/>
        <v>3.1534653465346535E-2</v>
      </c>
      <c r="P261" s="24">
        <f>Data!K261</f>
        <v>51505000000</v>
      </c>
      <c r="Q261" s="24">
        <f>Data!I261</f>
        <v>30367000000</v>
      </c>
      <c r="R261" s="25">
        <f t="shared" si="38"/>
        <v>1.7808887937563804</v>
      </c>
      <c r="S261" s="25">
        <f t="shared" si="39"/>
        <v>1.3696699406210668</v>
      </c>
    </row>
    <row r="262" spans="1:19" ht="15" customHeight="1" x14ac:dyDescent="0.3">
      <c r="A262" s="22"/>
      <c r="B262" s="23"/>
      <c r="C262" s="4"/>
      <c r="D262" s="23">
        <v>2021</v>
      </c>
      <c r="E262" s="24">
        <f>Data!F262</f>
        <v>13416000000</v>
      </c>
      <c r="F262" s="24">
        <f>Data!H262</f>
        <v>8572000000</v>
      </c>
      <c r="G262" s="24">
        <f t="shared" si="32"/>
        <v>4844000000</v>
      </c>
      <c r="H262" s="24">
        <f>Data!G262</f>
        <v>95396000000</v>
      </c>
      <c r="I262" s="25">
        <f t="shared" si="33"/>
        <v>0.33310243616084528</v>
      </c>
      <c r="J262" s="24">
        <f>Data!J262</f>
        <v>-25203000000</v>
      </c>
      <c r="K262" s="24">
        <f t="shared" si="34"/>
        <v>95396000000</v>
      </c>
      <c r="L262" s="25">
        <f t="shared" si="35"/>
        <v>-0.86127070317413723</v>
      </c>
      <c r="M262" s="24">
        <f>Data!M262</f>
        <v>552000000</v>
      </c>
      <c r="N262" s="24">
        <f t="shared" si="36"/>
        <v>95396000000</v>
      </c>
      <c r="O262" s="25">
        <f t="shared" si="37"/>
        <v>3.8884649251540941E-2</v>
      </c>
      <c r="P262" s="24">
        <f>Data!K262</f>
        <v>51193000000</v>
      </c>
      <c r="Q262" s="24">
        <f>Data!I262</f>
        <v>30303000000</v>
      </c>
      <c r="R262" s="25">
        <f t="shared" si="38"/>
        <v>1.773839223839224</v>
      </c>
      <c r="S262" s="25">
        <f t="shared" si="39"/>
        <v>1.284555606077473</v>
      </c>
    </row>
    <row r="263" spans="1:19" ht="15" customHeight="1" x14ac:dyDescent="0.3">
      <c r="A263" s="22"/>
      <c r="B263" s="23"/>
      <c r="C263" s="4"/>
      <c r="D263" s="23">
        <v>2022</v>
      </c>
      <c r="E263" s="24">
        <f>Data!F263</f>
        <v>17105000000</v>
      </c>
      <c r="F263" s="24">
        <f>Data!H263</f>
        <v>10627000000</v>
      </c>
      <c r="G263" s="24">
        <f t="shared" si="32"/>
        <v>6478000000</v>
      </c>
      <c r="H263" s="24">
        <f>Data!G263</f>
        <v>112679000000</v>
      </c>
      <c r="I263" s="25">
        <f t="shared" si="33"/>
        <v>0.37713930723559846</v>
      </c>
      <c r="J263" s="24">
        <f>Data!J263</f>
        <v>-24024000000</v>
      </c>
      <c r="K263" s="24">
        <f t="shared" si="34"/>
        <v>112679000000</v>
      </c>
      <c r="L263" s="25">
        <f t="shared" si="35"/>
        <v>-0.69505622165620917</v>
      </c>
      <c r="M263" s="24">
        <f>Data!M263</f>
        <v>1235000000</v>
      </c>
      <c r="N263" s="24">
        <f t="shared" si="36"/>
        <v>112679000000</v>
      </c>
      <c r="O263" s="25">
        <f t="shared" si="37"/>
        <v>7.3653475802944637E-2</v>
      </c>
      <c r="P263" s="24">
        <f>Data!K263</f>
        <v>51073000000</v>
      </c>
      <c r="Q263" s="24">
        <f>Data!I263</f>
        <v>40196000000</v>
      </c>
      <c r="R263" s="25">
        <f t="shared" si="38"/>
        <v>1.3341290178127176</v>
      </c>
      <c r="S263" s="25">
        <f t="shared" si="39"/>
        <v>1.0898655791950516</v>
      </c>
    </row>
    <row r="264" spans="1:19" ht="15" customHeight="1" x14ac:dyDescent="0.3">
      <c r="A264" s="22"/>
      <c r="B264" s="23"/>
      <c r="C264" s="4"/>
      <c r="D264" s="23">
        <v>2023</v>
      </c>
      <c r="E264" s="24">
        <f>Data!F264</f>
        <v>51564000000</v>
      </c>
      <c r="F264" s="24">
        <f>Data!H264</f>
        <v>13927000000</v>
      </c>
      <c r="G264" s="24">
        <f t="shared" si="32"/>
        <v>37637000000</v>
      </c>
      <c r="H264" s="24">
        <f>Data!G264</f>
        <v>151981000000</v>
      </c>
      <c r="I264" s="25">
        <f t="shared" si="33"/>
        <v>1.6245367513044393</v>
      </c>
      <c r="J264" s="24">
        <f>Data!J264</f>
        <v>-21473000000</v>
      </c>
      <c r="K264" s="24">
        <f t="shared" si="34"/>
        <v>151981000000</v>
      </c>
      <c r="L264" s="25">
        <f t="shared" si="35"/>
        <v>-0.46059691671985309</v>
      </c>
      <c r="M264" s="24">
        <f>Data!M264</f>
        <v>2648000000</v>
      </c>
      <c r="N264" s="24">
        <f t="shared" si="36"/>
        <v>151981000000</v>
      </c>
      <c r="O264" s="25">
        <f t="shared" si="37"/>
        <v>0.11708410919786025</v>
      </c>
      <c r="P264" s="24">
        <f>Data!K264</f>
        <v>61497000000</v>
      </c>
      <c r="Q264" s="24">
        <f>Data!I264</f>
        <v>73522000000</v>
      </c>
      <c r="R264" s="25">
        <f t="shared" si="38"/>
        <v>0.87826568918146952</v>
      </c>
      <c r="S264" s="25">
        <f t="shared" si="39"/>
        <v>2.1592896329639162</v>
      </c>
    </row>
    <row r="265" spans="1:19" ht="15" customHeight="1" x14ac:dyDescent="0.3">
      <c r="A265" s="22"/>
      <c r="B265" s="23"/>
      <c r="C265" s="4"/>
      <c r="D265" s="23">
        <v>2024</v>
      </c>
      <c r="E265" s="24">
        <f>Data!F265</f>
        <v>38222000000</v>
      </c>
      <c r="F265" s="24">
        <f>Data!H265</f>
        <v>20600000000</v>
      </c>
      <c r="G265" s="24">
        <f t="shared" si="32"/>
        <v>17622000000</v>
      </c>
      <c r="H265" s="24">
        <f>Data!G265</f>
        <v>179851000000</v>
      </c>
      <c r="I265" s="25">
        <f t="shared" si="33"/>
        <v>0.64275605918232315</v>
      </c>
      <c r="J265" s="24">
        <f>Data!J265</f>
        <v>-18636000000</v>
      </c>
      <c r="K265" s="24">
        <f t="shared" si="34"/>
        <v>179851000000</v>
      </c>
      <c r="L265" s="25">
        <f t="shared" si="35"/>
        <v>-0.33779828858332728</v>
      </c>
      <c r="M265" s="24">
        <f>Data!M265</f>
        <v>3466000000</v>
      </c>
      <c r="N265" s="24">
        <f t="shared" si="36"/>
        <v>179851000000</v>
      </c>
      <c r="O265" s="25">
        <f t="shared" si="37"/>
        <v>0.12950453430895573</v>
      </c>
      <c r="P265" s="24">
        <f>Data!K265</f>
        <v>64771000000</v>
      </c>
      <c r="Q265" s="24">
        <f>Data!I265</f>
        <v>94238000000</v>
      </c>
      <c r="R265" s="25">
        <f t="shared" si="38"/>
        <v>0.72167862221184664</v>
      </c>
      <c r="S265" s="25">
        <f t="shared" si="39"/>
        <v>1.1561409271197982</v>
      </c>
    </row>
    <row r="266" spans="1:19" ht="15" customHeight="1" x14ac:dyDescent="0.3">
      <c r="A266" s="22"/>
      <c r="B266" s="23">
        <v>25</v>
      </c>
      <c r="C266" s="3" t="s">
        <v>28</v>
      </c>
      <c r="D266" s="23">
        <v>2014</v>
      </c>
      <c r="E266" s="24">
        <f>Data!F266</f>
        <v>0</v>
      </c>
      <c r="F266" s="24">
        <f>Data!H266</f>
        <v>0</v>
      </c>
      <c r="G266" s="24">
        <f t="shared" si="32"/>
        <v>0</v>
      </c>
      <c r="H266" s="24">
        <f>Data!G266</f>
        <v>0</v>
      </c>
      <c r="I266" s="25">
        <f t="shared" si="33"/>
        <v>0</v>
      </c>
      <c r="J266" s="24">
        <f>Data!J266</f>
        <v>0</v>
      </c>
      <c r="K266" s="24">
        <f t="shared" si="34"/>
        <v>0</v>
      </c>
      <c r="L266" s="25">
        <f t="shared" si="35"/>
        <v>0</v>
      </c>
      <c r="M266" s="24">
        <f>Data!M266</f>
        <v>0</v>
      </c>
      <c r="N266" s="24">
        <f t="shared" si="36"/>
        <v>0</v>
      </c>
      <c r="O266" s="25">
        <f t="shared" si="37"/>
        <v>0</v>
      </c>
      <c r="P266" s="24">
        <f>Data!K266</f>
        <v>0</v>
      </c>
      <c r="Q266" s="24">
        <f>Data!I266</f>
        <v>0</v>
      </c>
      <c r="R266" s="25">
        <f t="shared" si="38"/>
        <v>0</v>
      </c>
      <c r="S266" s="25">
        <f t="shared" si="39"/>
        <v>0</v>
      </c>
    </row>
    <row r="267" spans="1:19" ht="15" customHeight="1" x14ac:dyDescent="0.3">
      <c r="A267" s="22"/>
      <c r="B267" s="23"/>
      <c r="C267" s="3"/>
      <c r="D267" s="23">
        <v>2015</v>
      </c>
      <c r="E267" s="24">
        <f>Data!F267</f>
        <v>12037000000</v>
      </c>
      <c r="F267" s="24">
        <f>Data!H267</f>
        <v>11484000000</v>
      </c>
      <c r="G267" s="24">
        <f t="shared" si="32"/>
        <v>553000000</v>
      </c>
      <c r="H267" s="24">
        <f>Data!G267</f>
        <v>2704180000000</v>
      </c>
      <c r="I267" s="25">
        <f t="shared" si="33"/>
        <v>1.3415083315459768E-3</v>
      </c>
      <c r="J267" s="24">
        <f>Data!J267</f>
        <v>55122000000</v>
      </c>
      <c r="K267" s="24">
        <f t="shared" si="34"/>
        <v>2704180000000</v>
      </c>
      <c r="L267" s="25">
        <f t="shared" si="35"/>
        <v>6.6451833827629814E-2</v>
      </c>
      <c r="M267" s="24">
        <f>Data!M267</f>
        <v>45667000000</v>
      </c>
      <c r="N267" s="24">
        <f t="shared" si="36"/>
        <v>2704180000000</v>
      </c>
      <c r="O267" s="25">
        <f t="shared" si="37"/>
        <v>0.11348439822792861</v>
      </c>
      <c r="P267" s="24">
        <f>Data!K267</f>
        <v>355218000000</v>
      </c>
      <c r="Q267" s="24">
        <f>Data!I267</f>
        <v>2348962000000</v>
      </c>
      <c r="R267" s="25">
        <f t="shared" si="38"/>
        <v>0.15878456101035268</v>
      </c>
      <c r="S267" s="25">
        <f t="shared" si="39"/>
        <v>0.34006230139745708</v>
      </c>
    </row>
    <row r="268" spans="1:19" ht="15" customHeight="1" x14ac:dyDescent="0.3">
      <c r="A268" s="22"/>
      <c r="B268" s="23"/>
      <c r="C268" s="3"/>
      <c r="D268" s="23">
        <v>2016</v>
      </c>
      <c r="E268" s="24">
        <f>Data!F268</f>
        <v>86248000000</v>
      </c>
      <c r="F268" s="24">
        <f>Data!H268</f>
        <v>22429000000</v>
      </c>
      <c r="G268" s="24">
        <f t="shared" si="32"/>
        <v>63819000000</v>
      </c>
      <c r="H268" s="24">
        <f>Data!G268</f>
        <v>2966353000000</v>
      </c>
      <c r="I268" s="25">
        <f t="shared" si="33"/>
        <v>0.14113378953887146</v>
      </c>
      <c r="J268" s="24">
        <f>Data!J268</f>
        <v>110052000000</v>
      </c>
      <c r="K268" s="24">
        <f t="shared" si="34"/>
        <v>2966353000000</v>
      </c>
      <c r="L268" s="25">
        <f t="shared" si="35"/>
        <v>0.12094633376405302</v>
      </c>
      <c r="M268" s="24">
        <f>Data!M268</f>
        <v>56800000000</v>
      </c>
      <c r="N268" s="24">
        <f t="shared" si="36"/>
        <v>2966353000000</v>
      </c>
      <c r="O268" s="25">
        <f t="shared" si="37"/>
        <v>0.12867517790364127</v>
      </c>
      <c r="P268" s="24">
        <f>Data!K268</f>
        <v>384866000000</v>
      </c>
      <c r="Q268" s="24">
        <f>Data!I268</f>
        <v>2581487000000</v>
      </c>
      <c r="R268" s="25">
        <f t="shared" si="38"/>
        <v>0.15654128802508013</v>
      </c>
      <c r="S268" s="25">
        <f t="shared" si="39"/>
        <v>0.54729658923164592</v>
      </c>
    </row>
    <row r="269" spans="1:19" ht="15" customHeight="1" x14ac:dyDescent="0.3">
      <c r="A269" s="22"/>
      <c r="B269" s="23"/>
      <c r="C269" s="3"/>
      <c r="D269" s="23">
        <v>2017</v>
      </c>
      <c r="E269" s="24">
        <f>Data!F269</f>
        <v>160133930000</v>
      </c>
      <c r="F269" s="24">
        <f>Data!H269</f>
        <v>54178820000</v>
      </c>
      <c r="G269" s="24">
        <f t="shared" si="32"/>
        <v>105955110000</v>
      </c>
      <c r="H269" s="24">
        <f>Data!G269</f>
        <v>3416166470000</v>
      </c>
      <c r="I269" s="25">
        <f t="shared" si="33"/>
        <v>0.2034635980722567</v>
      </c>
      <c r="J269" s="24">
        <f>Data!J269</f>
        <v>165581260000</v>
      </c>
      <c r="K269" s="24">
        <f t="shared" si="34"/>
        <v>3416166470000</v>
      </c>
      <c r="L269" s="25">
        <f t="shared" si="35"/>
        <v>0.15801188622988854</v>
      </c>
      <c r="M269" s="24">
        <f>Data!M269</f>
        <v>65571570000.000008</v>
      </c>
      <c r="N269" s="24">
        <f t="shared" si="36"/>
        <v>3416166470000</v>
      </c>
      <c r="O269" s="25">
        <f t="shared" si="37"/>
        <v>0.12898696660997322</v>
      </c>
      <c r="P269" s="24">
        <f>Data!K269</f>
        <v>488158370000</v>
      </c>
      <c r="Q269" s="24">
        <f>Data!I269</f>
        <v>2928008100000</v>
      </c>
      <c r="R269" s="25">
        <f t="shared" si="38"/>
        <v>0.17505630824586857</v>
      </c>
      <c r="S269" s="25">
        <f t="shared" si="39"/>
        <v>0.66551875915798708</v>
      </c>
    </row>
    <row r="270" spans="1:19" ht="15" customHeight="1" x14ac:dyDescent="0.3">
      <c r="A270" s="22"/>
      <c r="B270" s="23"/>
      <c r="C270" s="3"/>
      <c r="D270" s="23">
        <v>2018</v>
      </c>
      <c r="E270" s="24">
        <f>Data!F270</f>
        <v>323162000000</v>
      </c>
      <c r="F270" s="24">
        <f>Data!H270</f>
        <v>46513720000</v>
      </c>
      <c r="G270" s="24">
        <f t="shared" si="32"/>
        <v>276648280000</v>
      </c>
      <c r="H270" s="24">
        <f>Data!G270</f>
        <v>3459841500000</v>
      </c>
      <c r="I270" s="25">
        <f t="shared" si="33"/>
        <v>0.52453637451310986</v>
      </c>
      <c r="J270" s="24">
        <f>Data!J270</f>
        <v>228744310000</v>
      </c>
      <c r="K270" s="24">
        <f t="shared" si="34"/>
        <v>3459841500000</v>
      </c>
      <c r="L270" s="25">
        <f t="shared" si="35"/>
        <v>0.21553196890666809</v>
      </c>
      <c r="M270" s="24">
        <f>Data!M270</f>
        <v>75610480000</v>
      </c>
      <c r="N270" s="24">
        <f t="shared" si="36"/>
        <v>3459841500000</v>
      </c>
      <c r="O270" s="25">
        <f t="shared" si="37"/>
        <v>0.14685713943832396</v>
      </c>
      <c r="P270" s="24">
        <f>Data!K270</f>
        <v>405793460000</v>
      </c>
      <c r="Q270" s="24">
        <f>Data!I270</f>
        <v>3054048040000</v>
      </c>
      <c r="R270" s="25">
        <f t="shared" si="38"/>
        <v>0.13951422093543756</v>
      </c>
      <c r="S270" s="25">
        <f t="shared" si="39"/>
        <v>1.0264397037935395</v>
      </c>
    </row>
    <row r="271" spans="1:19" ht="15" customHeight="1" x14ac:dyDescent="0.3">
      <c r="A271" s="22"/>
      <c r="B271" s="23"/>
      <c r="C271" s="3"/>
      <c r="D271" s="23">
        <v>2019</v>
      </c>
      <c r="E271" s="24">
        <f>Data!F271</f>
        <v>182376069999.99997</v>
      </c>
      <c r="F271" s="24">
        <f>Data!H271</f>
        <v>42961400000</v>
      </c>
      <c r="G271" s="24">
        <f t="shared" si="32"/>
        <v>139414669999.99997</v>
      </c>
      <c r="H271" s="24">
        <f>Data!G271</f>
        <v>4490719460000</v>
      </c>
      <c r="I271" s="25">
        <f t="shared" si="33"/>
        <v>0.20365561539664731</v>
      </c>
      <c r="J271" s="24">
        <f>Data!J271</f>
        <v>274472820000</v>
      </c>
      <c r="K271" s="24">
        <f t="shared" si="34"/>
        <v>4490719460000</v>
      </c>
      <c r="L271" s="25">
        <f t="shared" si="35"/>
        <v>0.19925123383236235</v>
      </c>
      <c r="M271" s="24">
        <f>Data!M271</f>
        <v>61139940000</v>
      </c>
      <c r="N271" s="24">
        <f t="shared" si="36"/>
        <v>4490719460000</v>
      </c>
      <c r="O271" s="25">
        <f t="shared" si="37"/>
        <v>9.1490996144301562E-2</v>
      </c>
      <c r="P271" s="24">
        <f>Data!K271</f>
        <v>481839050000</v>
      </c>
      <c r="Q271" s="24">
        <f>Data!I271</f>
        <v>4008880410000</v>
      </c>
      <c r="R271" s="25">
        <f t="shared" si="38"/>
        <v>0.12620256798830276</v>
      </c>
      <c r="S271" s="25">
        <f t="shared" si="39"/>
        <v>0.62060041336161398</v>
      </c>
    </row>
    <row r="272" spans="1:19" ht="15" customHeight="1" x14ac:dyDescent="0.3">
      <c r="A272" s="22"/>
      <c r="B272" s="23"/>
      <c r="C272" s="3"/>
      <c r="D272" s="23">
        <v>2020</v>
      </c>
      <c r="E272" s="24">
        <f>Data!F272</f>
        <v>216527900000</v>
      </c>
      <c r="F272" s="24">
        <f>Data!H272</f>
        <v>66000130000.000008</v>
      </c>
      <c r="G272" s="24">
        <f t="shared" si="32"/>
        <v>150527770000</v>
      </c>
      <c r="H272" s="24">
        <f>Data!G272</f>
        <v>5264244540000</v>
      </c>
      <c r="I272" s="25">
        <f t="shared" si="33"/>
        <v>0.18757908446251623</v>
      </c>
      <c r="J272" s="24">
        <f>Data!J272</f>
        <v>284665940000</v>
      </c>
      <c r="K272" s="24">
        <f t="shared" si="34"/>
        <v>5264244540000</v>
      </c>
      <c r="L272" s="25">
        <f t="shared" si="35"/>
        <v>0.17628568683475332</v>
      </c>
      <c r="M272" s="24">
        <f>Data!M272</f>
        <v>10356420000</v>
      </c>
      <c r="N272" s="24">
        <f t="shared" si="36"/>
        <v>5264244540000</v>
      </c>
      <c r="O272" s="25">
        <f t="shared" si="37"/>
        <v>1.3220347548672197E-2</v>
      </c>
      <c r="P272" s="24">
        <f>Data!K272</f>
        <v>516278510000</v>
      </c>
      <c r="Q272" s="24">
        <f>Data!I272</f>
        <v>4747966030000</v>
      </c>
      <c r="R272" s="25">
        <f t="shared" si="38"/>
        <v>0.11417361288492622</v>
      </c>
      <c r="S272" s="25">
        <f t="shared" si="39"/>
        <v>0.49125873173086798</v>
      </c>
    </row>
    <row r="273" spans="1:19" ht="15" customHeight="1" x14ac:dyDescent="0.3">
      <c r="A273" s="22"/>
      <c r="B273" s="23"/>
      <c r="C273" s="3"/>
      <c r="D273" s="23">
        <v>2021</v>
      </c>
      <c r="E273" s="24">
        <f>Data!F273</f>
        <v>270508400000.00003</v>
      </c>
      <c r="F273" s="24">
        <f>Data!H273</f>
        <v>87872780000</v>
      </c>
      <c r="G273" s="24">
        <f t="shared" si="32"/>
        <v>182635620000.00003</v>
      </c>
      <c r="H273" s="24">
        <f>Data!G273</f>
        <v>6020512330000</v>
      </c>
      <c r="I273" s="25">
        <f t="shared" si="33"/>
        <v>0.19900128120823898</v>
      </c>
      <c r="J273" s="24">
        <f>Data!J273</f>
        <v>347722010000</v>
      </c>
      <c r="K273" s="24">
        <f t="shared" si="34"/>
        <v>6020512330000</v>
      </c>
      <c r="L273" s="25">
        <f t="shared" si="35"/>
        <v>0.18828526385560942</v>
      </c>
      <c r="M273" s="24">
        <f>Data!M273</f>
        <v>64107850000</v>
      </c>
      <c r="N273" s="24">
        <f t="shared" si="36"/>
        <v>6020512330000</v>
      </c>
      <c r="O273" s="25">
        <f t="shared" si="37"/>
        <v>7.1556161400636142E-2</v>
      </c>
      <c r="P273" s="24">
        <f>Data!K273</f>
        <v>579489110000</v>
      </c>
      <c r="Q273" s="24">
        <f>Data!I273</f>
        <v>5441023440000</v>
      </c>
      <c r="R273" s="25">
        <f t="shared" si="38"/>
        <v>0.11182888149807346</v>
      </c>
      <c r="S273" s="25">
        <f t="shared" si="39"/>
        <v>0.57067158796255801</v>
      </c>
    </row>
    <row r="274" spans="1:19" ht="15" customHeight="1" x14ac:dyDescent="0.3">
      <c r="A274" s="22"/>
      <c r="B274" s="23"/>
      <c r="C274" s="3"/>
      <c r="D274" s="23">
        <v>2022</v>
      </c>
      <c r="E274" s="24">
        <f>Data!F274</f>
        <v>216523320000</v>
      </c>
      <c r="F274" s="24">
        <f>Data!H274</f>
        <v>93847560000</v>
      </c>
      <c r="G274" s="24">
        <f t="shared" si="32"/>
        <v>122675760000</v>
      </c>
      <c r="H274" s="24">
        <f>Data!G274</f>
        <v>6600387150000</v>
      </c>
      <c r="I274" s="25">
        <f t="shared" si="33"/>
        <v>0.12192511852884265</v>
      </c>
      <c r="J274" s="24">
        <f>Data!J274</f>
        <v>434109490000</v>
      </c>
      <c r="K274" s="24">
        <f t="shared" si="34"/>
        <v>6600387150000</v>
      </c>
      <c r="L274" s="25">
        <f t="shared" si="35"/>
        <v>0.21441120122779464</v>
      </c>
      <c r="M274" s="24">
        <f>Data!M274</f>
        <v>85869820000</v>
      </c>
      <c r="N274" s="24">
        <f t="shared" si="36"/>
        <v>6600387150000</v>
      </c>
      <c r="O274" s="25">
        <f t="shared" si="37"/>
        <v>8.7425961127143875E-2</v>
      </c>
      <c r="P274" s="24">
        <f>Data!K274</f>
        <v>616428880000</v>
      </c>
      <c r="Q274" s="24">
        <f>Data!I274</f>
        <v>5983958260000</v>
      </c>
      <c r="R274" s="25">
        <f t="shared" si="38"/>
        <v>0.10816424444778798</v>
      </c>
      <c r="S274" s="25">
        <f t="shared" si="39"/>
        <v>0.53192652533156914</v>
      </c>
    </row>
    <row r="275" spans="1:19" ht="15" customHeight="1" x14ac:dyDescent="0.3">
      <c r="A275" s="22"/>
      <c r="B275" s="23"/>
      <c r="C275" s="3"/>
      <c r="D275" s="23">
        <v>2023</v>
      </c>
      <c r="E275" s="24">
        <f>Data!F275</f>
        <v>213862040000.00003</v>
      </c>
      <c r="F275" s="24">
        <f>Data!H275</f>
        <v>118797230000</v>
      </c>
      <c r="G275" s="24">
        <f t="shared" si="32"/>
        <v>95064810000.000031</v>
      </c>
      <c r="H275" s="24">
        <f>Data!G275</f>
        <v>7499012820000</v>
      </c>
      <c r="I275" s="25">
        <f t="shared" si="33"/>
        <v>8.3160966459049232E-2</v>
      </c>
      <c r="J275" s="24">
        <f>Data!J275</f>
        <v>525004600000</v>
      </c>
      <c r="K275" s="24">
        <f t="shared" si="34"/>
        <v>7499012820000</v>
      </c>
      <c r="L275" s="25">
        <f t="shared" si="35"/>
        <v>0.22823204028073657</v>
      </c>
      <c r="M275" s="24">
        <f>Data!M275</f>
        <v>90786240000</v>
      </c>
      <c r="N275" s="24">
        <f t="shared" si="36"/>
        <v>7499012820000</v>
      </c>
      <c r="O275" s="25">
        <f t="shared" si="37"/>
        <v>8.1355179334124672E-2</v>
      </c>
      <c r="P275" s="24">
        <f>Data!K275</f>
        <v>712294260000</v>
      </c>
      <c r="Q275" s="24">
        <f>Data!I275</f>
        <v>6786718560000</v>
      </c>
      <c r="R275" s="25">
        <f t="shared" si="38"/>
        <v>0.11020185475320492</v>
      </c>
      <c r="S275" s="25">
        <f t="shared" si="39"/>
        <v>0.50295004082711536</v>
      </c>
    </row>
    <row r="276" spans="1:19" ht="15" customHeight="1" x14ac:dyDescent="0.3">
      <c r="A276" s="22"/>
      <c r="B276" s="23"/>
      <c r="C276" s="3"/>
      <c r="D276" s="23">
        <v>2024</v>
      </c>
      <c r="E276" s="24">
        <f>Data!F276</f>
        <v>222469310000</v>
      </c>
      <c r="F276" s="24">
        <f>Data!H276</f>
        <v>141824740000</v>
      </c>
      <c r="G276" s="24">
        <f t="shared" si="32"/>
        <v>80644570000</v>
      </c>
      <c r="H276" s="24">
        <f>Data!G276</f>
        <v>8435110859999.999</v>
      </c>
      <c r="I276" s="25">
        <f t="shared" si="33"/>
        <v>6.2717418654056681E-2</v>
      </c>
      <c r="J276" s="24">
        <f>Data!J276</f>
        <v>654507650000</v>
      </c>
      <c r="K276" s="24">
        <f t="shared" si="34"/>
        <v>8435110859999.999</v>
      </c>
      <c r="L276" s="25">
        <f t="shared" si="35"/>
        <v>0.25295398891769871</v>
      </c>
      <c r="M276" s="24">
        <f>Data!M276</f>
        <v>130017270000</v>
      </c>
      <c r="N276" s="24">
        <f t="shared" si="36"/>
        <v>8435110859999.999</v>
      </c>
      <c r="O276" s="25">
        <f t="shared" si="37"/>
        <v>0.10358086205401693</v>
      </c>
      <c r="P276" s="24">
        <f>Data!K276</f>
        <v>689088720000</v>
      </c>
      <c r="Q276" s="24">
        <f>Data!I276</f>
        <v>7746022140000</v>
      </c>
      <c r="R276" s="25">
        <f t="shared" si="38"/>
        <v>9.3408351141118742E-2</v>
      </c>
      <c r="S276" s="25">
        <f t="shared" si="39"/>
        <v>0.51266062076689112</v>
      </c>
    </row>
    <row r="277" spans="1:19" ht="15" customHeight="1" x14ac:dyDescent="0.3">
      <c r="A277" s="22"/>
      <c r="B277" s="23">
        <v>26</v>
      </c>
      <c r="C277" s="3" t="s">
        <v>42</v>
      </c>
      <c r="D277" s="23">
        <v>2014</v>
      </c>
      <c r="E277" s="24">
        <f>Data!F277</f>
        <v>0</v>
      </c>
      <c r="F277" s="24">
        <f>Data!H277</f>
        <v>0</v>
      </c>
      <c r="G277" s="24">
        <f t="shared" si="32"/>
        <v>0</v>
      </c>
      <c r="H277" s="24">
        <f>Data!G277</f>
        <v>0</v>
      </c>
      <c r="I277" s="25">
        <f t="shared" si="33"/>
        <v>0</v>
      </c>
      <c r="J277" s="24">
        <f>Data!J277</f>
        <v>0</v>
      </c>
      <c r="K277" s="24">
        <f t="shared" si="34"/>
        <v>0</v>
      </c>
      <c r="L277" s="25">
        <f t="shared" si="35"/>
        <v>0</v>
      </c>
      <c r="M277" s="24">
        <f>Data!M277</f>
        <v>0</v>
      </c>
      <c r="N277" s="24">
        <f t="shared" si="36"/>
        <v>0</v>
      </c>
      <c r="O277" s="25">
        <f t="shared" si="37"/>
        <v>0</v>
      </c>
      <c r="P277" s="24">
        <f>Data!K277</f>
        <v>0</v>
      </c>
      <c r="Q277" s="24">
        <f>Data!I277</f>
        <v>0</v>
      </c>
      <c r="R277" s="25">
        <f t="shared" si="38"/>
        <v>0</v>
      </c>
      <c r="S277" s="25">
        <f t="shared" si="39"/>
        <v>0</v>
      </c>
    </row>
    <row r="278" spans="1:19" ht="15" customHeight="1" x14ac:dyDescent="0.3">
      <c r="A278" s="22"/>
      <c r="B278" s="23"/>
      <c r="C278" s="3"/>
      <c r="D278" s="23">
        <v>2015</v>
      </c>
      <c r="E278" s="24">
        <f>Data!F278</f>
        <v>0</v>
      </c>
      <c r="F278" s="24">
        <f>Data!H278</f>
        <v>0</v>
      </c>
      <c r="G278" s="24">
        <f t="shared" si="32"/>
        <v>0</v>
      </c>
      <c r="H278" s="24">
        <f>Data!G278</f>
        <v>0</v>
      </c>
      <c r="I278" s="25">
        <f t="shared" si="33"/>
        <v>0</v>
      </c>
      <c r="J278" s="24">
        <f>Data!J278</f>
        <v>0</v>
      </c>
      <c r="K278" s="24">
        <f t="shared" si="34"/>
        <v>0</v>
      </c>
      <c r="L278" s="25">
        <f t="shared" si="35"/>
        <v>0</v>
      </c>
      <c r="M278" s="24">
        <f>Data!M278</f>
        <v>0</v>
      </c>
      <c r="N278" s="24">
        <f t="shared" si="36"/>
        <v>0</v>
      </c>
      <c r="O278" s="25">
        <f t="shared" si="37"/>
        <v>0</v>
      </c>
      <c r="P278" s="24">
        <f>Data!K278</f>
        <v>0</v>
      </c>
      <c r="Q278" s="24">
        <f>Data!I278</f>
        <v>0</v>
      </c>
      <c r="R278" s="25">
        <f t="shared" si="38"/>
        <v>0</v>
      </c>
      <c r="S278" s="25">
        <f t="shared" si="39"/>
        <v>0</v>
      </c>
    </row>
    <row r="279" spans="1:19" ht="15" customHeight="1" x14ac:dyDescent="0.3">
      <c r="A279" s="22"/>
      <c r="B279" s="23"/>
      <c r="C279" s="3"/>
      <c r="D279" s="23">
        <v>2016</v>
      </c>
      <c r="E279" s="24">
        <f>Data!F279</f>
        <v>0</v>
      </c>
      <c r="F279" s="24">
        <f>Data!H279</f>
        <v>0</v>
      </c>
      <c r="G279" s="24">
        <f t="shared" si="32"/>
        <v>0</v>
      </c>
      <c r="H279" s="24">
        <f>Data!G279</f>
        <v>0</v>
      </c>
      <c r="I279" s="25">
        <f t="shared" si="33"/>
        <v>0</v>
      </c>
      <c r="J279" s="24">
        <f>Data!J279</f>
        <v>0</v>
      </c>
      <c r="K279" s="24">
        <f t="shared" si="34"/>
        <v>0</v>
      </c>
      <c r="L279" s="25">
        <f t="shared" si="35"/>
        <v>0</v>
      </c>
      <c r="M279" s="24">
        <f>Data!M279</f>
        <v>0</v>
      </c>
      <c r="N279" s="24">
        <f t="shared" si="36"/>
        <v>0</v>
      </c>
      <c r="O279" s="25">
        <f t="shared" si="37"/>
        <v>0</v>
      </c>
      <c r="P279" s="24">
        <f>Data!K279</f>
        <v>0</v>
      </c>
      <c r="Q279" s="24">
        <f>Data!I279</f>
        <v>0</v>
      </c>
      <c r="R279" s="25">
        <f t="shared" si="38"/>
        <v>0</v>
      </c>
      <c r="S279" s="25">
        <f t="shared" si="39"/>
        <v>0</v>
      </c>
    </row>
    <row r="280" spans="1:19" ht="15" customHeight="1" x14ac:dyDescent="0.3">
      <c r="A280" s="22"/>
      <c r="B280" s="23"/>
      <c r="C280" s="3"/>
      <c r="D280" s="23">
        <v>2017</v>
      </c>
      <c r="E280" s="24">
        <f>Data!F280</f>
        <v>0</v>
      </c>
      <c r="F280" s="24">
        <f>Data!H280</f>
        <v>0</v>
      </c>
      <c r="G280" s="24">
        <f t="shared" si="32"/>
        <v>0</v>
      </c>
      <c r="H280" s="24">
        <f>Data!G280</f>
        <v>0</v>
      </c>
      <c r="I280" s="25">
        <f t="shared" si="33"/>
        <v>0</v>
      </c>
      <c r="J280" s="24">
        <f>Data!J280</f>
        <v>0</v>
      </c>
      <c r="K280" s="24">
        <f t="shared" si="34"/>
        <v>0</v>
      </c>
      <c r="L280" s="25">
        <f t="shared" si="35"/>
        <v>0</v>
      </c>
      <c r="M280" s="24">
        <f>Data!M280</f>
        <v>0</v>
      </c>
      <c r="N280" s="24">
        <f t="shared" si="36"/>
        <v>0</v>
      </c>
      <c r="O280" s="25">
        <f t="shared" si="37"/>
        <v>0</v>
      </c>
      <c r="P280" s="24">
        <f>Data!K280</f>
        <v>0</v>
      </c>
      <c r="Q280" s="24">
        <f>Data!I280</f>
        <v>0</v>
      </c>
      <c r="R280" s="25">
        <f t="shared" si="38"/>
        <v>0</v>
      </c>
      <c r="S280" s="25">
        <f t="shared" si="39"/>
        <v>0</v>
      </c>
    </row>
    <row r="281" spans="1:19" ht="15" customHeight="1" x14ac:dyDescent="0.3">
      <c r="A281" s="22"/>
      <c r="B281" s="23"/>
      <c r="C281" s="3"/>
      <c r="D281" s="23">
        <v>2018</v>
      </c>
      <c r="E281" s="24">
        <f>Data!F281</f>
        <v>0</v>
      </c>
      <c r="F281" s="24">
        <f>Data!H281</f>
        <v>0</v>
      </c>
      <c r="G281" s="24">
        <f t="shared" si="32"/>
        <v>0</v>
      </c>
      <c r="H281" s="24">
        <f>Data!G281</f>
        <v>0</v>
      </c>
      <c r="I281" s="25">
        <f t="shared" si="33"/>
        <v>0</v>
      </c>
      <c r="J281" s="24">
        <f>Data!J281</f>
        <v>0</v>
      </c>
      <c r="K281" s="24">
        <f t="shared" si="34"/>
        <v>0</v>
      </c>
      <c r="L281" s="25">
        <f t="shared" si="35"/>
        <v>0</v>
      </c>
      <c r="M281" s="24">
        <f>Data!M281</f>
        <v>0</v>
      </c>
      <c r="N281" s="24">
        <f t="shared" si="36"/>
        <v>0</v>
      </c>
      <c r="O281" s="25">
        <f t="shared" si="37"/>
        <v>0</v>
      </c>
      <c r="P281" s="24">
        <f>Data!K281</f>
        <v>0</v>
      </c>
      <c r="Q281" s="24">
        <f>Data!I281</f>
        <v>0</v>
      </c>
      <c r="R281" s="25">
        <f t="shared" si="38"/>
        <v>0</v>
      </c>
      <c r="S281" s="25">
        <f t="shared" si="39"/>
        <v>0</v>
      </c>
    </row>
    <row r="282" spans="1:19" ht="15" customHeight="1" x14ac:dyDescent="0.3">
      <c r="A282" s="22"/>
      <c r="B282" s="23"/>
      <c r="C282" s="3"/>
      <c r="D282" s="23">
        <v>2019</v>
      </c>
      <c r="E282" s="24">
        <f>Data!F282</f>
        <v>0</v>
      </c>
      <c r="F282" s="24">
        <f>Data!H282</f>
        <v>0</v>
      </c>
      <c r="G282" s="24">
        <f t="shared" si="32"/>
        <v>0</v>
      </c>
      <c r="H282" s="24">
        <f>Data!G282</f>
        <v>0</v>
      </c>
      <c r="I282" s="25">
        <f t="shared" si="33"/>
        <v>0</v>
      </c>
      <c r="J282" s="24">
        <f>Data!J282</f>
        <v>0</v>
      </c>
      <c r="K282" s="24">
        <f t="shared" si="34"/>
        <v>0</v>
      </c>
      <c r="L282" s="25">
        <f t="shared" si="35"/>
        <v>0</v>
      </c>
      <c r="M282" s="24">
        <f>Data!M282</f>
        <v>0</v>
      </c>
      <c r="N282" s="24">
        <f t="shared" si="36"/>
        <v>0</v>
      </c>
      <c r="O282" s="25">
        <f t="shared" si="37"/>
        <v>0</v>
      </c>
      <c r="P282" s="24">
        <f>Data!K282</f>
        <v>0</v>
      </c>
      <c r="Q282" s="24">
        <f>Data!I282</f>
        <v>0</v>
      </c>
      <c r="R282" s="25">
        <f t="shared" si="38"/>
        <v>0</v>
      </c>
      <c r="S282" s="25">
        <f t="shared" si="39"/>
        <v>0</v>
      </c>
    </row>
    <row r="283" spans="1:19" ht="15" customHeight="1" x14ac:dyDescent="0.3">
      <c r="A283" s="22"/>
      <c r="B283" s="23"/>
      <c r="C283" s="3"/>
      <c r="D283" s="23">
        <v>2020</v>
      </c>
      <c r="E283" s="24">
        <f>Data!F283</f>
        <v>0</v>
      </c>
      <c r="F283" s="24">
        <f>Data!H283</f>
        <v>0</v>
      </c>
      <c r="G283" s="24">
        <f t="shared" si="32"/>
        <v>0</v>
      </c>
      <c r="H283" s="24">
        <f>Data!G283</f>
        <v>0</v>
      </c>
      <c r="I283" s="25">
        <f t="shared" si="33"/>
        <v>0</v>
      </c>
      <c r="J283" s="24">
        <f>Data!J283</f>
        <v>0</v>
      </c>
      <c r="K283" s="24">
        <f t="shared" si="34"/>
        <v>0</v>
      </c>
      <c r="L283" s="25">
        <f t="shared" si="35"/>
        <v>0</v>
      </c>
      <c r="M283" s="24">
        <f>Data!M283</f>
        <v>0</v>
      </c>
      <c r="N283" s="24">
        <f t="shared" si="36"/>
        <v>0</v>
      </c>
      <c r="O283" s="25">
        <f t="shared" si="37"/>
        <v>0</v>
      </c>
      <c r="P283" s="24">
        <f>Data!K283</f>
        <v>0</v>
      </c>
      <c r="Q283" s="24">
        <f>Data!I283</f>
        <v>0</v>
      </c>
      <c r="R283" s="25">
        <f t="shared" si="38"/>
        <v>0</v>
      </c>
      <c r="S283" s="25">
        <f t="shared" si="39"/>
        <v>0</v>
      </c>
    </row>
    <row r="284" spans="1:19" ht="15" customHeight="1" x14ac:dyDescent="0.3">
      <c r="A284" s="22"/>
      <c r="B284" s="23"/>
      <c r="C284" s="3"/>
      <c r="D284" s="23">
        <v>2021</v>
      </c>
      <c r="E284" s="24">
        <f>Data!F284</f>
        <v>0</v>
      </c>
      <c r="F284" s="24">
        <f>Data!H284</f>
        <v>0</v>
      </c>
      <c r="G284" s="24">
        <f t="shared" si="32"/>
        <v>0</v>
      </c>
      <c r="H284" s="24">
        <f>Data!G284</f>
        <v>0</v>
      </c>
      <c r="I284" s="25">
        <f t="shared" si="33"/>
        <v>0</v>
      </c>
      <c r="J284" s="24">
        <f>Data!J284</f>
        <v>0</v>
      </c>
      <c r="K284" s="24">
        <f t="shared" si="34"/>
        <v>0</v>
      </c>
      <c r="L284" s="25">
        <f t="shared" si="35"/>
        <v>0</v>
      </c>
      <c r="M284" s="24">
        <f>Data!M284</f>
        <v>0</v>
      </c>
      <c r="N284" s="24">
        <f t="shared" si="36"/>
        <v>0</v>
      </c>
      <c r="O284" s="25">
        <f t="shared" si="37"/>
        <v>0</v>
      </c>
      <c r="P284" s="24">
        <f>Data!K284</f>
        <v>0</v>
      </c>
      <c r="Q284" s="24">
        <f>Data!I284</f>
        <v>0</v>
      </c>
      <c r="R284" s="25">
        <f t="shared" si="38"/>
        <v>0</v>
      </c>
      <c r="S284" s="25">
        <f t="shared" si="39"/>
        <v>0</v>
      </c>
    </row>
    <row r="285" spans="1:19" ht="15" customHeight="1" x14ac:dyDescent="0.3">
      <c r="A285" s="22"/>
      <c r="B285" s="23"/>
      <c r="C285" s="3"/>
      <c r="D285" s="23">
        <v>2022</v>
      </c>
      <c r="E285" s="24">
        <f>Data!F285</f>
        <v>1110630000</v>
      </c>
      <c r="F285" s="24">
        <f>Data!H285</f>
        <v>3936980000</v>
      </c>
      <c r="G285" s="24">
        <f t="shared" si="32"/>
        <v>-2826350000</v>
      </c>
      <c r="H285" s="24">
        <f>Data!G285</f>
        <v>132949170000.00002</v>
      </c>
      <c r="I285" s="25">
        <f t="shared" si="33"/>
        <v>-0.13945823054028841</v>
      </c>
      <c r="J285" s="24">
        <f>Data!J285</f>
        <v>-6502470000</v>
      </c>
      <c r="K285" s="24">
        <f t="shared" si="34"/>
        <v>132949170000.00002</v>
      </c>
      <c r="L285" s="25">
        <f t="shared" si="35"/>
        <v>-0.15944478780875426</v>
      </c>
      <c r="M285" s="24">
        <f>Data!M285</f>
        <v>-3077660000</v>
      </c>
      <c r="N285" s="24">
        <f t="shared" si="36"/>
        <v>132949170000.00002</v>
      </c>
      <c r="O285" s="25">
        <f t="shared" si="37"/>
        <v>-0.15556227391265395</v>
      </c>
      <c r="P285" s="24">
        <f>Data!K285</f>
        <v>128332610000</v>
      </c>
      <c r="Q285" s="24">
        <f>Data!I285</f>
        <v>4616560000</v>
      </c>
      <c r="R285" s="25">
        <f t="shared" si="38"/>
        <v>29.188235504358225</v>
      </c>
      <c r="S285" s="25">
        <f t="shared" si="39"/>
        <v>28.733770212096527</v>
      </c>
    </row>
    <row r="286" spans="1:19" ht="15" customHeight="1" x14ac:dyDescent="0.3">
      <c r="A286" s="22"/>
      <c r="B286" s="23"/>
      <c r="C286" s="3"/>
      <c r="D286" s="23">
        <v>2023</v>
      </c>
      <c r="E286" s="24">
        <f>Data!F286</f>
        <v>684650000.00000012</v>
      </c>
      <c r="F286" s="24">
        <f>Data!H286</f>
        <v>3639590000</v>
      </c>
      <c r="G286" s="24">
        <f t="shared" si="32"/>
        <v>-2954940000</v>
      </c>
      <c r="H286" s="24">
        <f>Data!G286</f>
        <v>132473380000</v>
      </c>
      <c r="I286" s="25">
        <f t="shared" si="33"/>
        <v>-0.14632680467577711</v>
      </c>
      <c r="J286" s="24">
        <f>Data!J286</f>
        <v>-7777490000</v>
      </c>
      <c r="K286" s="24">
        <f t="shared" si="34"/>
        <v>132473380000</v>
      </c>
      <c r="L286" s="25">
        <f t="shared" si="35"/>
        <v>-0.19139405516791375</v>
      </c>
      <c r="M286" s="24">
        <f>Data!M286</f>
        <v>-1169300000</v>
      </c>
      <c r="N286" s="24">
        <f t="shared" si="36"/>
        <v>132473380000</v>
      </c>
      <c r="O286" s="25">
        <f t="shared" si="37"/>
        <v>-5.9315282813800017E-2</v>
      </c>
      <c r="P286" s="24">
        <f>Data!K286</f>
        <v>128412500000</v>
      </c>
      <c r="Q286" s="24">
        <f>Data!I286</f>
        <v>4060880000</v>
      </c>
      <c r="R286" s="25">
        <f t="shared" si="38"/>
        <v>33.202932615590711</v>
      </c>
      <c r="S286" s="25">
        <f t="shared" si="39"/>
        <v>32.80589647293322</v>
      </c>
    </row>
    <row r="287" spans="1:19" ht="15" customHeight="1" x14ac:dyDescent="0.3">
      <c r="A287" s="22"/>
      <c r="B287" s="23"/>
      <c r="C287" s="3"/>
      <c r="D287" s="23">
        <v>2024</v>
      </c>
      <c r="E287" s="24">
        <f>Data!F287</f>
        <v>129977510000</v>
      </c>
      <c r="F287" s="24">
        <f>Data!H287</f>
        <v>1176750000</v>
      </c>
      <c r="G287" s="24">
        <f t="shared" si="32"/>
        <v>128800760000</v>
      </c>
      <c r="H287" s="24">
        <f>Data!G287</f>
        <v>159746690000</v>
      </c>
      <c r="I287" s="25">
        <f t="shared" si="33"/>
        <v>5.2892049631826481</v>
      </c>
      <c r="J287" s="24">
        <f>Data!J287</f>
        <v>-1170290000</v>
      </c>
      <c r="K287" s="24">
        <f t="shared" si="34"/>
        <v>159746690000</v>
      </c>
      <c r="L287" s="25">
        <f t="shared" si="35"/>
        <v>-2.3882469176669637E-2</v>
      </c>
      <c r="M287" s="24">
        <f>Data!M287</f>
        <v>6607200000</v>
      </c>
      <c r="N287" s="24">
        <f t="shared" si="36"/>
        <v>159746690000</v>
      </c>
      <c r="O287" s="25">
        <f t="shared" si="37"/>
        <v>0.27794243498879379</v>
      </c>
      <c r="P287" s="24">
        <f>Data!K287</f>
        <v>158188950000</v>
      </c>
      <c r="Q287" s="24">
        <f>Data!I287</f>
        <v>1557730000</v>
      </c>
      <c r="R287" s="25">
        <f t="shared" si="38"/>
        <v>106.62848985382576</v>
      </c>
      <c r="S287" s="25">
        <f t="shared" si="39"/>
        <v>112.17175478282053</v>
      </c>
    </row>
    <row r="288" spans="1:19" ht="15" customHeight="1" x14ac:dyDescent="0.3">
      <c r="A288" s="22"/>
      <c r="B288" s="23">
        <v>27</v>
      </c>
      <c r="C288" s="3" t="s">
        <v>29</v>
      </c>
      <c r="D288" s="23">
        <v>2014</v>
      </c>
      <c r="E288" s="24">
        <f>Data!F288</f>
        <v>0</v>
      </c>
      <c r="F288" s="24">
        <f>Data!H288</f>
        <v>0</v>
      </c>
      <c r="G288" s="24">
        <f t="shared" si="32"/>
        <v>0</v>
      </c>
      <c r="H288" s="24">
        <f>Data!G288</f>
        <v>0</v>
      </c>
      <c r="I288" s="25">
        <f t="shared" si="33"/>
        <v>0</v>
      </c>
      <c r="J288" s="24">
        <f>Data!J288</f>
        <v>0</v>
      </c>
      <c r="K288" s="24">
        <f t="shared" si="34"/>
        <v>0</v>
      </c>
      <c r="L288" s="25">
        <f t="shared" si="35"/>
        <v>0</v>
      </c>
      <c r="M288" s="24">
        <f>Data!M288</f>
        <v>0</v>
      </c>
      <c r="N288" s="24">
        <f t="shared" si="36"/>
        <v>0</v>
      </c>
      <c r="O288" s="25">
        <f t="shared" si="37"/>
        <v>0</v>
      </c>
      <c r="P288" s="24">
        <f>Data!K288</f>
        <v>0</v>
      </c>
      <c r="Q288" s="24">
        <f>Data!I288</f>
        <v>0</v>
      </c>
      <c r="R288" s="25">
        <f t="shared" si="38"/>
        <v>0</v>
      </c>
      <c r="S288" s="25">
        <f t="shared" si="39"/>
        <v>0</v>
      </c>
    </row>
    <row r="289" spans="1:19" ht="15" customHeight="1" x14ac:dyDescent="0.3">
      <c r="A289" s="22"/>
      <c r="B289" s="23"/>
      <c r="C289" s="3"/>
      <c r="D289" s="23">
        <v>2015</v>
      </c>
      <c r="E289" s="24">
        <f>Data!F289</f>
        <v>176171000000</v>
      </c>
      <c r="F289" s="24">
        <f>Data!H289</f>
        <v>132907000000</v>
      </c>
      <c r="G289" s="24">
        <f t="shared" si="32"/>
        <v>43264000000</v>
      </c>
      <c r="H289" s="24">
        <f>Data!G289</f>
        <v>1239559000000</v>
      </c>
      <c r="I289" s="25">
        <f t="shared" si="33"/>
        <v>0.228961945337011</v>
      </c>
      <c r="J289" s="24">
        <f>Data!J289</f>
        <v>53813000000</v>
      </c>
      <c r="K289" s="24">
        <f t="shared" si="34"/>
        <v>1239559000000</v>
      </c>
      <c r="L289" s="25">
        <f t="shared" si="35"/>
        <v>0.14152644609897552</v>
      </c>
      <c r="M289" s="24">
        <f>Data!M289</f>
        <v>22020000000</v>
      </c>
      <c r="N289" s="24">
        <f t="shared" si="36"/>
        <v>1239559000000</v>
      </c>
      <c r="O289" s="25">
        <f t="shared" si="37"/>
        <v>0.11937664927607319</v>
      </c>
      <c r="P289" s="24">
        <f>Data!K289</f>
        <v>561754000000</v>
      </c>
      <c r="Q289" s="24">
        <f>Data!I289</f>
        <v>677805000000</v>
      </c>
      <c r="R289" s="25">
        <f t="shared" si="38"/>
        <v>0.87022329431031054</v>
      </c>
      <c r="S289" s="25">
        <f t="shared" si="39"/>
        <v>1.3600883350223703</v>
      </c>
    </row>
    <row r="290" spans="1:19" ht="15" customHeight="1" x14ac:dyDescent="0.3">
      <c r="A290" s="22"/>
      <c r="B290" s="23"/>
      <c r="C290" s="3"/>
      <c r="D290" s="23">
        <v>2016</v>
      </c>
      <c r="E290" s="24">
        <f>Data!F290</f>
        <v>114698000000</v>
      </c>
      <c r="F290" s="24">
        <f>Data!H290</f>
        <v>218192000000</v>
      </c>
      <c r="G290" s="24">
        <f t="shared" si="32"/>
        <v>-103494000000</v>
      </c>
      <c r="H290" s="24">
        <f>Data!G290</f>
        <v>13122331000000</v>
      </c>
      <c r="I290" s="25">
        <f t="shared" si="33"/>
        <v>-5.1737807863557167E-2</v>
      </c>
      <c r="J290" s="24">
        <f>Data!J290</f>
        <v>103543000000</v>
      </c>
      <c r="K290" s="24">
        <f t="shared" si="34"/>
        <v>13122331000000</v>
      </c>
      <c r="L290" s="25">
        <f t="shared" si="35"/>
        <v>2.5723339854786469E-2</v>
      </c>
      <c r="M290" s="24">
        <f>Data!M290</f>
        <v>47242000000</v>
      </c>
      <c r="N290" s="24">
        <f t="shared" si="36"/>
        <v>13122331000000</v>
      </c>
      <c r="O290" s="25">
        <f t="shared" si="37"/>
        <v>2.4192823668294908E-2</v>
      </c>
      <c r="P290" s="24">
        <f>Data!K290</f>
        <v>605443000000</v>
      </c>
      <c r="Q290" s="24">
        <f>Data!I290</f>
        <v>12516868000000</v>
      </c>
      <c r="R290" s="25">
        <f t="shared" si="38"/>
        <v>5.0788675729423693E-2</v>
      </c>
      <c r="S290" s="25">
        <f t="shared" si="39"/>
        <v>4.8967031388947903E-2</v>
      </c>
    </row>
    <row r="291" spans="1:19" ht="15" customHeight="1" x14ac:dyDescent="0.3">
      <c r="A291" s="22"/>
      <c r="B291" s="23"/>
      <c r="C291" s="3"/>
      <c r="D291" s="23">
        <v>2017</v>
      </c>
      <c r="E291" s="24">
        <f>Data!F291</f>
        <v>191126000000</v>
      </c>
      <c r="F291" s="24">
        <f>Data!H291</f>
        <v>1036920000000</v>
      </c>
      <c r="G291" s="24">
        <f t="shared" si="32"/>
        <v>-845794000000</v>
      </c>
      <c r="H291" s="24">
        <f>Data!G291</f>
        <v>24838435000000</v>
      </c>
      <c r="I291" s="25">
        <f t="shared" si="33"/>
        <v>-0.22337996093554202</v>
      </c>
      <c r="J291" s="24">
        <f>Data!J291</f>
        <v>168201000000</v>
      </c>
      <c r="K291" s="24">
        <f t="shared" si="34"/>
        <v>24838435000000</v>
      </c>
      <c r="L291" s="25">
        <f t="shared" si="35"/>
        <v>2.2076079269889585E-2</v>
      </c>
      <c r="M291" s="24">
        <f>Data!M291</f>
        <v>113864000000</v>
      </c>
      <c r="N291" s="24">
        <f t="shared" si="36"/>
        <v>24838435000000</v>
      </c>
      <c r="O291" s="25">
        <f t="shared" si="37"/>
        <v>3.0805728299709699E-2</v>
      </c>
      <c r="P291" s="24">
        <f>Data!K291</f>
        <v>670869000000</v>
      </c>
      <c r="Q291" s="24">
        <f>Data!I291</f>
        <v>24167565000000</v>
      </c>
      <c r="R291" s="25">
        <f t="shared" si="38"/>
        <v>2.9147017914299599E-2</v>
      </c>
      <c r="S291" s="25">
        <f t="shared" si="39"/>
        <v>-0.14135113545164313</v>
      </c>
    </row>
    <row r="292" spans="1:19" ht="15" customHeight="1" x14ac:dyDescent="0.3">
      <c r="A292" s="22"/>
      <c r="B292" s="23"/>
      <c r="C292" s="3"/>
      <c r="D292" s="23">
        <v>2018</v>
      </c>
      <c r="E292" s="24">
        <f>Data!F292</f>
        <v>191820000000</v>
      </c>
      <c r="F292" s="24">
        <f>Data!H292</f>
        <v>1155735000000</v>
      </c>
      <c r="G292" s="24">
        <f t="shared" si="32"/>
        <v>-963915000000</v>
      </c>
      <c r="H292" s="24">
        <f>Data!G292</f>
        <v>30914118000000</v>
      </c>
      <c r="I292" s="25">
        <f t="shared" si="33"/>
        <v>-0.20454351633127621</v>
      </c>
      <c r="J292" s="24">
        <f>Data!J292</f>
        <v>289650000000</v>
      </c>
      <c r="K292" s="24">
        <f t="shared" si="34"/>
        <v>30914118000000</v>
      </c>
      <c r="L292" s="25">
        <f t="shared" si="35"/>
        <v>3.0544588074613677E-2</v>
      </c>
      <c r="M292" s="24">
        <f>Data!M292</f>
        <v>119613000000</v>
      </c>
      <c r="N292" s="24">
        <f t="shared" si="36"/>
        <v>30914118000000</v>
      </c>
      <c r="O292" s="25">
        <f t="shared" si="37"/>
        <v>2.6001044571286169E-2</v>
      </c>
      <c r="P292" s="24">
        <f>Data!K292</f>
        <v>792676000000</v>
      </c>
      <c r="Q292" s="24">
        <f>Data!I292</f>
        <v>30121442000000</v>
      </c>
      <c r="R292" s="25">
        <f t="shared" si="38"/>
        <v>2.7631804612807051E-2</v>
      </c>
      <c r="S292" s="25">
        <f t="shared" si="39"/>
        <v>-0.12036607907256931</v>
      </c>
    </row>
    <row r="293" spans="1:19" ht="15" customHeight="1" x14ac:dyDescent="0.3">
      <c r="A293" s="22"/>
      <c r="B293" s="23"/>
      <c r="C293" s="3"/>
      <c r="D293" s="23">
        <v>2019</v>
      </c>
      <c r="E293" s="24">
        <f>Data!F293</f>
        <v>344575000000</v>
      </c>
      <c r="F293" s="24">
        <f>Data!H293</f>
        <v>697988000000</v>
      </c>
      <c r="G293" s="24">
        <f t="shared" si="32"/>
        <v>-353413000000</v>
      </c>
      <c r="H293" s="24">
        <f>Data!G293</f>
        <v>35182475000000</v>
      </c>
      <c r="I293" s="25">
        <f t="shared" si="33"/>
        <v>-6.5896139484217631E-2</v>
      </c>
      <c r="J293" s="24">
        <f>Data!J293</f>
        <v>434492000000</v>
      </c>
      <c r="K293" s="24">
        <f t="shared" si="34"/>
        <v>35182475000000</v>
      </c>
      <c r="L293" s="25">
        <f t="shared" si="35"/>
        <v>4.0259928273948885E-2</v>
      </c>
      <c r="M293" s="24">
        <f>Data!M293</f>
        <v>145044000000</v>
      </c>
      <c r="N293" s="24">
        <f t="shared" si="36"/>
        <v>35182475000000</v>
      </c>
      <c r="O293" s="25">
        <f t="shared" si="37"/>
        <v>2.7704011158964797E-2</v>
      </c>
      <c r="P293" s="24">
        <f>Data!K293</f>
        <v>936392000000</v>
      </c>
      <c r="Q293" s="24">
        <f>Data!I293</f>
        <v>34246083000000</v>
      </c>
      <c r="R293" s="25">
        <f t="shared" si="38"/>
        <v>2.8710191469196639E-2</v>
      </c>
      <c r="S293" s="25">
        <f t="shared" si="39"/>
        <v>3.077799141789269E-2</v>
      </c>
    </row>
    <row r="294" spans="1:19" ht="15" customHeight="1" x14ac:dyDescent="0.3">
      <c r="A294" s="22"/>
      <c r="B294" s="23"/>
      <c r="C294" s="3"/>
      <c r="D294" s="23">
        <v>2020</v>
      </c>
      <c r="E294" s="24">
        <f>Data!F294</f>
        <v>632931000000</v>
      </c>
      <c r="F294" s="24">
        <f>Data!H294</f>
        <v>843388000000</v>
      </c>
      <c r="G294" s="24">
        <f t="shared" si="32"/>
        <v>-210457000000</v>
      </c>
      <c r="H294" s="24">
        <f>Data!G294</f>
        <v>32223291000000</v>
      </c>
      <c r="I294" s="25">
        <f t="shared" si="33"/>
        <v>-4.2844721229746516E-2</v>
      </c>
      <c r="J294" s="24">
        <f>Data!J294</f>
        <v>565030000000</v>
      </c>
      <c r="K294" s="24">
        <f t="shared" si="34"/>
        <v>32223291000000</v>
      </c>
      <c r="L294" s="25">
        <f t="shared" si="35"/>
        <v>5.7163552909601935E-2</v>
      </c>
      <c r="M294" s="24">
        <f>Data!M294</f>
        <v>130538000000</v>
      </c>
      <c r="N294" s="24">
        <f t="shared" si="36"/>
        <v>32223291000000</v>
      </c>
      <c r="O294" s="25">
        <f t="shared" si="37"/>
        <v>2.7223022006039047E-2</v>
      </c>
      <c r="P294" s="24">
        <f>Data!K294</f>
        <v>1066930000000</v>
      </c>
      <c r="Q294" s="24">
        <f>Data!I294</f>
        <v>31156364000000</v>
      </c>
      <c r="R294" s="25">
        <f t="shared" si="38"/>
        <v>3.5956586590142552E-2</v>
      </c>
      <c r="S294" s="25">
        <f t="shared" si="39"/>
        <v>7.7498440276037028E-2</v>
      </c>
    </row>
    <row r="295" spans="1:19" ht="15" customHeight="1" x14ac:dyDescent="0.3">
      <c r="A295" s="22"/>
      <c r="B295" s="23"/>
      <c r="C295" s="3"/>
      <c r="D295" s="23">
        <v>2021</v>
      </c>
      <c r="E295" s="24">
        <f>Data!F295</f>
        <v>659518000000</v>
      </c>
      <c r="F295" s="24">
        <f>Data!H295</f>
        <v>1005708000000</v>
      </c>
      <c r="G295" s="24">
        <f t="shared" si="32"/>
        <v>-346190000000</v>
      </c>
      <c r="H295" s="24">
        <f>Data!G295</f>
        <v>33647581000000</v>
      </c>
      <c r="I295" s="25">
        <f t="shared" si="33"/>
        <v>-6.7493898001166855E-2</v>
      </c>
      <c r="J295" s="24">
        <f>Data!J295</f>
        <v>603981000000</v>
      </c>
      <c r="K295" s="24">
        <f t="shared" si="34"/>
        <v>33647581000000</v>
      </c>
      <c r="L295" s="25">
        <f t="shared" si="35"/>
        <v>5.8517670557060253E-2</v>
      </c>
      <c r="M295" s="24">
        <f>Data!M295</f>
        <v>103951000000</v>
      </c>
      <c r="N295" s="24">
        <f t="shared" si="36"/>
        <v>33647581000000</v>
      </c>
      <c r="O295" s="25">
        <f t="shared" si="37"/>
        <v>2.0760800605547244E-2</v>
      </c>
      <c r="P295" s="24">
        <f>Data!K295</f>
        <v>1105881000000</v>
      </c>
      <c r="Q295" s="24">
        <f>Data!I295</f>
        <v>32541700000000</v>
      </c>
      <c r="R295" s="25">
        <f t="shared" si="38"/>
        <v>3.568267945436164E-2</v>
      </c>
      <c r="S295" s="25">
        <f t="shared" si="39"/>
        <v>4.7467252615802286E-2</v>
      </c>
    </row>
    <row r="296" spans="1:19" ht="15" customHeight="1" x14ac:dyDescent="0.3">
      <c r="A296" s="22"/>
      <c r="B296" s="23"/>
      <c r="C296" s="3"/>
      <c r="D296" s="23">
        <v>2022</v>
      </c>
      <c r="E296" s="24">
        <f>Data!F296</f>
        <v>990110000000</v>
      </c>
      <c r="F296" s="24">
        <f>Data!H296</f>
        <v>974284000000</v>
      </c>
      <c r="G296" s="24">
        <f t="shared" si="32"/>
        <v>15826000000</v>
      </c>
      <c r="H296" s="24">
        <f>Data!G296</f>
        <v>28879077000000</v>
      </c>
      <c r="I296" s="25">
        <f t="shared" si="33"/>
        <v>3.5949403784615412E-3</v>
      </c>
      <c r="J296" s="24">
        <f>Data!J296</f>
        <v>748411000000</v>
      </c>
      <c r="K296" s="24">
        <f t="shared" si="34"/>
        <v>28879077000000</v>
      </c>
      <c r="L296" s="25">
        <f t="shared" si="35"/>
        <v>8.4483997185921131E-2</v>
      </c>
      <c r="M296" s="24">
        <f>Data!M296</f>
        <v>194430000000</v>
      </c>
      <c r="N296" s="24">
        <f t="shared" si="36"/>
        <v>28879077000000</v>
      </c>
      <c r="O296" s="25">
        <f t="shared" si="37"/>
        <v>4.5242775591477526E-2</v>
      </c>
      <c r="P296" s="24">
        <f>Data!K296</f>
        <v>1250311000000</v>
      </c>
      <c r="Q296" s="24">
        <f>Data!I296</f>
        <v>27628766000000</v>
      </c>
      <c r="R296" s="25">
        <f t="shared" si="38"/>
        <v>4.7516655286016035E-2</v>
      </c>
      <c r="S296" s="25">
        <f t="shared" si="39"/>
        <v>0.18083836844187623</v>
      </c>
    </row>
    <row r="297" spans="1:19" ht="15" customHeight="1" x14ac:dyDescent="0.3">
      <c r="A297" s="22"/>
      <c r="B297" s="23"/>
      <c r="C297" s="3"/>
      <c r="D297" s="23">
        <v>2023</v>
      </c>
      <c r="E297" s="24">
        <f>Data!F297</f>
        <v>463165000000</v>
      </c>
      <c r="F297" s="24">
        <f>Data!H297</f>
        <v>884837000000</v>
      </c>
      <c r="G297" s="24">
        <f t="shared" si="32"/>
        <v>-421672000000</v>
      </c>
      <c r="H297" s="24">
        <f>Data!G297</f>
        <v>23420850000000</v>
      </c>
      <c r="I297" s="25">
        <f t="shared" si="33"/>
        <v>-0.1181070849264651</v>
      </c>
      <c r="J297" s="24">
        <f>Data!J297</f>
        <v>856771000000</v>
      </c>
      <c r="K297" s="24">
        <f t="shared" si="34"/>
        <v>23420850000000</v>
      </c>
      <c r="L297" s="25">
        <f t="shared" si="35"/>
        <v>0.11925585365176754</v>
      </c>
      <c r="M297" s="24">
        <f>Data!M297</f>
        <v>158360000000</v>
      </c>
      <c r="N297" s="24">
        <f t="shared" si="36"/>
        <v>23420850000000</v>
      </c>
      <c r="O297" s="25">
        <f t="shared" si="37"/>
        <v>4.5437257827960986E-2</v>
      </c>
      <c r="P297" s="24">
        <f>Data!K297</f>
        <v>1358671000000</v>
      </c>
      <c r="Q297" s="24">
        <f>Data!I297</f>
        <v>22062179000000</v>
      </c>
      <c r="R297" s="25">
        <f t="shared" si="38"/>
        <v>6.4662903423999954E-2</v>
      </c>
      <c r="S297" s="25">
        <f t="shared" si="39"/>
        <v>0.11124892997726338</v>
      </c>
    </row>
    <row r="298" spans="1:19" ht="15" customHeight="1" x14ac:dyDescent="0.3">
      <c r="A298" s="22"/>
      <c r="B298" s="23"/>
      <c r="C298" s="3"/>
      <c r="D298" s="23">
        <v>2024</v>
      </c>
      <c r="E298" s="24">
        <f>Data!F298</f>
        <v>540840000000</v>
      </c>
      <c r="F298" s="24">
        <f>Data!H298</f>
        <v>1012197000000</v>
      </c>
      <c r="G298" s="24">
        <f t="shared" si="32"/>
        <v>-471357000000</v>
      </c>
      <c r="H298" s="24">
        <f>Data!G298</f>
        <v>24021114000000</v>
      </c>
      <c r="I298" s="25">
        <f t="shared" si="33"/>
        <v>-0.12872433476648917</v>
      </c>
      <c r="J298" s="24">
        <f>Data!J298</f>
        <v>1023265000000</v>
      </c>
      <c r="K298" s="24">
        <f t="shared" si="34"/>
        <v>24021114000000</v>
      </c>
      <c r="L298" s="25">
        <f t="shared" si="35"/>
        <v>0.1388713237862324</v>
      </c>
      <c r="M298" s="24">
        <f>Data!M298</f>
        <v>166494000000</v>
      </c>
      <c r="N298" s="24">
        <f t="shared" si="36"/>
        <v>24021114000000</v>
      </c>
      <c r="O298" s="25">
        <f t="shared" si="37"/>
        <v>4.6577343581983746E-2</v>
      </c>
      <c r="P298" s="24">
        <f>Data!K298</f>
        <v>1525165000000</v>
      </c>
      <c r="Q298" s="24">
        <f>Data!I298</f>
        <v>22495949000000</v>
      </c>
      <c r="R298" s="25">
        <f t="shared" si="38"/>
        <v>7.1187183523575739E-2</v>
      </c>
      <c r="S298" s="25">
        <f t="shared" si="39"/>
        <v>0.12791151612530272</v>
      </c>
    </row>
    <row r="299" spans="1:19" ht="15" customHeight="1" x14ac:dyDescent="0.3">
      <c r="A299" s="22"/>
      <c r="B299" s="23">
        <v>28</v>
      </c>
      <c r="C299" s="4" t="s">
        <v>149</v>
      </c>
      <c r="D299" s="23">
        <v>2014</v>
      </c>
      <c r="E299" s="24">
        <f>Data!F299</f>
        <v>0</v>
      </c>
      <c r="F299" s="24">
        <f>Data!H299</f>
        <v>0</v>
      </c>
      <c r="G299" s="24">
        <f t="shared" si="32"/>
        <v>0</v>
      </c>
      <c r="H299" s="24">
        <f>Data!G299</f>
        <v>0</v>
      </c>
      <c r="I299" s="25">
        <f t="shared" si="33"/>
        <v>0</v>
      </c>
      <c r="J299" s="24">
        <f>Data!J299</f>
        <v>0</v>
      </c>
      <c r="K299" s="24">
        <f t="shared" si="34"/>
        <v>0</v>
      </c>
      <c r="L299" s="25">
        <f t="shared" si="35"/>
        <v>0</v>
      </c>
      <c r="M299" s="24">
        <f>Data!M299</f>
        <v>0</v>
      </c>
      <c r="N299" s="24">
        <f t="shared" si="36"/>
        <v>0</v>
      </c>
      <c r="O299" s="25">
        <f t="shared" si="37"/>
        <v>0</v>
      </c>
      <c r="P299" s="24">
        <f>Data!K299</f>
        <v>0</v>
      </c>
      <c r="Q299" s="24">
        <f>Data!I299</f>
        <v>0</v>
      </c>
      <c r="R299" s="25">
        <f t="shared" si="38"/>
        <v>0</v>
      </c>
      <c r="S299" s="25">
        <f t="shared" si="39"/>
        <v>0</v>
      </c>
    </row>
    <row r="300" spans="1:19" ht="15" customHeight="1" x14ac:dyDescent="0.3">
      <c r="A300" s="22"/>
      <c r="B300" s="23"/>
      <c r="C300" s="4"/>
      <c r="D300" s="23">
        <v>2015</v>
      </c>
      <c r="E300" s="24">
        <f>Data!F300</f>
        <v>59550000000</v>
      </c>
      <c r="F300" s="24">
        <f>Data!H300</f>
        <v>114000000</v>
      </c>
      <c r="G300" s="24">
        <f t="shared" si="32"/>
        <v>59436000000</v>
      </c>
      <c r="H300" s="24">
        <f>Data!G300</f>
        <v>60739000000</v>
      </c>
      <c r="I300" s="25">
        <f t="shared" si="33"/>
        <v>6.4192719669405154</v>
      </c>
      <c r="J300" s="24">
        <f>Data!J300</f>
        <v>625000000</v>
      </c>
      <c r="K300" s="24">
        <f t="shared" si="34"/>
        <v>60739000000</v>
      </c>
      <c r="L300" s="25">
        <f t="shared" si="35"/>
        <v>3.3545168672516834E-2</v>
      </c>
      <c r="M300" s="24">
        <f>Data!M300</f>
        <v>641000000</v>
      </c>
      <c r="N300" s="24">
        <f t="shared" si="36"/>
        <v>60739000000</v>
      </c>
      <c r="O300" s="25">
        <f t="shared" si="37"/>
        <v>7.0918520225884518E-2</v>
      </c>
      <c r="P300" s="24">
        <f>Data!K300</f>
        <v>60625000000</v>
      </c>
      <c r="Q300" s="24">
        <f>Data!I300</f>
        <v>114000000</v>
      </c>
      <c r="R300" s="25">
        <f t="shared" si="38"/>
        <v>558.38815789473688</v>
      </c>
      <c r="S300" s="25">
        <f t="shared" si="39"/>
        <v>564.91189355057577</v>
      </c>
    </row>
    <row r="301" spans="1:19" ht="15" customHeight="1" x14ac:dyDescent="0.3">
      <c r="A301" s="22"/>
      <c r="B301" s="23"/>
      <c r="C301" s="4"/>
      <c r="D301" s="23">
        <v>2016</v>
      </c>
      <c r="E301" s="24">
        <f>Data!F301</f>
        <v>15975000000</v>
      </c>
      <c r="F301" s="24">
        <f>Data!H301</f>
        <v>5797000000</v>
      </c>
      <c r="G301" s="24">
        <f t="shared" si="32"/>
        <v>10178000000</v>
      </c>
      <c r="H301" s="24">
        <f>Data!G301</f>
        <v>69732000000</v>
      </c>
      <c r="I301" s="25">
        <f t="shared" si="33"/>
        <v>0.95748981816095913</v>
      </c>
      <c r="J301" s="24">
        <f>Data!J301</f>
        <v>1490000000</v>
      </c>
      <c r="K301" s="24">
        <f t="shared" si="34"/>
        <v>69732000000</v>
      </c>
      <c r="L301" s="25">
        <f t="shared" si="35"/>
        <v>6.965811965811966E-2</v>
      </c>
      <c r="M301" s="24">
        <f>Data!M301</f>
        <v>866000000</v>
      </c>
      <c r="N301" s="24">
        <f t="shared" si="36"/>
        <v>69732000000</v>
      </c>
      <c r="O301" s="25">
        <f t="shared" si="37"/>
        <v>8.3455515401824124E-2</v>
      </c>
      <c r="P301" s="24">
        <f>Data!K301</f>
        <v>61421000000</v>
      </c>
      <c r="Q301" s="24">
        <f>Data!I301</f>
        <v>7811000000</v>
      </c>
      <c r="R301" s="25">
        <f t="shared" si="38"/>
        <v>8.2565676609909104</v>
      </c>
      <c r="S301" s="25">
        <f t="shared" si="39"/>
        <v>9.3671711142118141</v>
      </c>
    </row>
    <row r="302" spans="1:19" ht="15" customHeight="1" x14ac:dyDescent="0.3">
      <c r="A302" s="22"/>
      <c r="B302" s="23"/>
      <c r="C302" s="4"/>
      <c r="D302" s="23">
        <v>2017</v>
      </c>
      <c r="E302" s="24">
        <f>Data!F302</f>
        <v>28165000000</v>
      </c>
      <c r="F302" s="24">
        <f>Data!H302</f>
        <v>8919000000</v>
      </c>
      <c r="G302" s="24">
        <f t="shared" si="32"/>
        <v>19246000000</v>
      </c>
      <c r="H302" s="24">
        <f>Data!G302</f>
        <v>74776000000</v>
      </c>
      <c r="I302" s="25">
        <f t="shared" si="33"/>
        <v>1.688426233015941</v>
      </c>
      <c r="J302" s="24">
        <f>Data!J302</f>
        <v>794000000</v>
      </c>
      <c r="K302" s="24">
        <f t="shared" si="34"/>
        <v>74776000000</v>
      </c>
      <c r="L302" s="25">
        <f t="shared" si="35"/>
        <v>3.4615919546378514E-2</v>
      </c>
      <c r="M302" s="24">
        <f>Data!M302</f>
        <v>462000000</v>
      </c>
      <c r="N302" s="24">
        <f t="shared" si="36"/>
        <v>74776000000</v>
      </c>
      <c r="O302" s="25">
        <f t="shared" si="37"/>
        <v>4.1519204022681076E-2</v>
      </c>
      <c r="P302" s="24">
        <f>Data!K302</f>
        <v>60709000000</v>
      </c>
      <c r="Q302" s="24">
        <f>Data!I302</f>
        <v>13530000000</v>
      </c>
      <c r="R302" s="25">
        <f t="shared" si="38"/>
        <v>4.7113414634146347</v>
      </c>
      <c r="S302" s="25">
        <f t="shared" si="39"/>
        <v>6.4759028199996349</v>
      </c>
    </row>
    <row r="303" spans="1:19" ht="15" customHeight="1" x14ac:dyDescent="0.3">
      <c r="A303" s="22"/>
      <c r="B303" s="23"/>
      <c r="C303" s="4"/>
      <c r="D303" s="23">
        <v>2018</v>
      </c>
      <c r="E303" s="24">
        <f>Data!F303</f>
        <v>32184000000</v>
      </c>
      <c r="F303" s="24">
        <f>Data!H303</f>
        <v>18801000000</v>
      </c>
      <c r="G303" s="24">
        <f t="shared" si="32"/>
        <v>13383000000</v>
      </c>
      <c r="H303" s="24">
        <f>Data!G303</f>
        <v>89317000000</v>
      </c>
      <c r="I303" s="25">
        <f t="shared" si="33"/>
        <v>0.98293135685255884</v>
      </c>
      <c r="J303" s="24">
        <f>Data!J303</f>
        <v>-1943000000</v>
      </c>
      <c r="K303" s="24">
        <f t="shared" si="34"/>
        <v>89317000000</v>
      </c>
      <c r="L303" s="25">
        <f t="shared" si="35"/>
        <v>-7.0917966344592853E-2</v>
      </c>
      <c r="M303" s="24">
        <f>Data!M303</f>
        <v>-2336000000</v>
      </c>
      <c r="N303" s="24">
        <f t="shared" si="36"/>
        <v>89317000000</v>
      </c>
      <c r="O303" s="25">
        <f t="shared" si="37"/>
        <v>-0.17575511940616007</v>
      </c>
      <c r="P303" s="24">
        <f>Data!K303</f>
        <v>59648000000</v>
      </c>
      <c r="Q303" s="24">
        <f>Data!I303</f>
        <v>28509000000</v>
      </c>
      <c r="R303" s="25">
        <f t="shared" si="38"/>
        <v>2.1968641481637379</v>
      </c>
      <c r="S303" s="25">
        <f t="shared" si="39"/>
        <v>2.9331224192655436</v>
      </c>
    </row>
    <row r="304" spans="1:19" ht="15" customHeight="1" x14ac:dyDescent="0.3">
      <c r="A304" s="22"/>
      <c r="B304" s="23"/>
      <c r="C304" s="4"/>
      <c r="D304" s="23">
        <v>2019</v>
      </c>
      <c r="E304" s="24">
        <f>Data!F304</f>
        <v>36458000000</v>
      </c>
      <c r="F304" s="24">
        <f>Data!H304</f>
        <v>14673000000</v>
      </c>
      <c r="G304" s="24">
        <f t="shared" si="32"/>
        <v>21785000000</v>
      </c>
      <c r="H304" s="24">
        <f>Data!G304</f>
        <v>105000000000</v>
      </c>
      <c r="I304" s="25">
        <f t="shared" si="33"/>
        <v>1.3610438095238095</v>
      </c>
      <c r="J304" s="24">
        <f>Data!J304</f>
        <v>1244000000</v>
      </c>
      <c r="K304" s="24">
        <f t="shared" si="34"/>
        <v>105000000000</v>
      </c>
      <c r="L304" s="25">
        <f t="shared" si="35"/>
        <v>3.8623238095238092E-2</v>
      </c>
      <c r="M304" s="24">
        <f>Data!M304</f>
        <v>2645000000</v>
      </c>
      <c r="N304" s="24">
        <f t="shared" si="36"/>
        <v>105000000000</v>
      </c>
      <c r="O304" s="25">
        <f t="shared" si="37"/>
        <v>0.16927999999999999</v>
      </c>
      <c r="P304" s="24">
        <f>Data!K304</f>
        <v>64826000000</v>
      </c>
      <c r="Q304" s="24">
        <f>Data!I304</f>
        <v>39414000000</v>
      </c>
      <c r="R304" s="25">
        <f t="shared" si="38"/>
        <v>1.7269827979905619</v>
      </c>
      <c r="S304" s="25">
        <f t="shared" si="39"/>
        <v>3.2959298456096091</v>
      </c>
    </row>
    <row r="305" spans="1:19" ht="15" customHeight="1" x14ac:dyDescent="0.3">
      <c r="A305" s="22"/>
      <c r="B305" s="23"/>
      <c r="C305" s="4"/>
      <c r="D305" s="23">
        <v>2020</v>
      </c>
      <c r="E305" s="24">
        <f>Data!F305</f>
        <v>48928000000</v>
      </c>
      <c r="F305" s="24">
        <f>Data!H305</f>
        <v>21439000000</v>
      </c>
      <c r="G305" s="24">
        <f t="shared" si="32"/>
        <v>27489000000</v>
      </c>
      <c r="H305" s="24">
        <f>Data!G305</f>
        <v>121421000000</v>
      </c>
      <c r="I305" s="25">
        <f t="shared" si="33"/>
        <v>1.4851454031839633</v>
      </c>
      <c r="J305" s="24">
        <f>Data!J305</f>
        <v>1592000000</v>
      </c>
      <c r="K305" s="24">
        <f t="shared" si="34"/>
        <v>121421000000</v>
      </c>
      <c r="L305" s="25">
        <f t="shared" si="35"/>
        <v>4.2743182810222283E-2</v>
      </c>
      <c r="M305" s="24">
        <f>Data!M305</f>
        <v>679000000</v>
      </c>
      <c r="N305" s="24">
        <f t="shared" si="36"/>
        <v>121421000000</v>
      </c>
      <c r="O305" s="25">
        <f t="shared" si="37"/>
        <v>3.7579001984829642E-2</v>
      </c>
      <c r="P305" s="24">
        <f>Data!K305</f>
        <v>65251000000</v>
      </c>
      <c r="Q305" s="24">
        <f>Data!I305</f>
        <v>53875000000</v>
      </c>
      <c r="R305" s="25">
        <f t="shared" si="38"/>
        <v>1.2717132250580048</v>
      </c>
      <c r="S305" s="25">
        <f t="shared" si="39"/>
        <v>2.83718081303702</v>
      </c>
    </row>
    <row r="306" spans="1:19" ht="15" customHeight="1" x14ac:dyDescent="0.3">
      <c r="A306" s="22"/>
      <c r="B306" s="23"/>
      <c r="C306" s="4"/>
      <c r="D306" s="23">
        <v>2021</v>
      </c>
      <c r="E306" s="24">
        <f>Data!F306</f>
        <v>63477000000</v>
      </c>
      <c r="F306" s="24">
        <f>Data!H306</f>
        <v>29790000000</v>
      </c>
      <c r="G306" s="24">
        <f t="shared" si="32"/>
        <v>33687000000</v>
      </c>
      <c r="H306" s="24">
        <f>Data!G306</f>
        <v>140074000000</v>
      </c>
      <c r="I306" s="25">
        <f t="shared" si="33"/>
        <v>1.5776426745862902</v>
      </c>
      <c r="J306" s="24">
        <f>Data!J306</f>
        <v>945000000</v>
      </c>
      <c r="K306" s="24">
        <f t="shared" si="34"/>
        <v>140074000000</v>
      </c>
      <c r="L306" s="25">
        <f t="shared" si="35"/>
        <v>2.1993374930393932E-2</v>
      </c>
      <c r="M306" s="24">
        <f>Data!M306</f>
        <v>407000000</v>
      </c>
      <c r="N306" s="24">
        <f t="shared" si="36"/>
        <v>140074000000</v>
      </c>
      <c r="O306" s="25">
        <f t="shared" si="37"/>
        <v>1.9525679283807131E-2</v>
      </c>
      <c r="P306" s="24">
        <f>Data!K306</f>
        <v>65722000000</v>
      </c>
      <c r="Q306" s="24">
        <f>Data!I306</f>
        <v>69966000000</v>
      </c>
      <c r="R306" s="25">
        <f t="shared" si="38"/>
        <v>0.98630906440270993</v>
      </c>
      <c r="S306" s="25">
        <f t="shared" si="39"/>
        <v>2.6054707932032013</v>
      </c>
    </row>
    <row r="307" spans="1:19" ht="15" customHeight="1" x14ac:dyDescent="0.3">
      <c r="A307" s="22"/>
      <c r="B307" s="23"/>
      <c r="C307" s="4"/>
      <c r="D307" s="23">
        <v>2022</v>
      </c>
      <c r="E307" s="24">
        <f>Data!F307</f>
        <v>76352000000</v>
      </c>
      <c r="F307" s="24">
        <f>Data!H307</f>
        <v>32408000000</v>
      </c>
      <c r="G307" s="24">
        <f t="shared" si="32"/>
        <v>43944000000</v>
      </c>
      <c r="H307" s="24">
        <f>Data!G307</f>
        <v>154307000000</v>
      </c>
      <c r="I307" s="25">
        <f t="shared" si="33"/>
        <v>1.8681760386761455</v>
      </c>
      <c r="J307" s="24">
        <f>Data!J307</f>
        <v>1484000000</v>
      </c>
      <c r="K307" s="24">
        <f t="shared" si="34"/>
        <v>154307000000</v>
      </c>
      <c r="L307" s="25">
        <f t="shared" si="35"/>
        <v>3.1352044949354209E-2</v>
      </c>
      <c r="M307" s="24">
        <f>Data!M307</f>
        <v>962000000</v>
      </c>
      <c r="N307" s="24">
        <f t="shared" si="36"/>
        <v>154307000000</v>
      </c>
      <c r="O307" s="25">
        <f t="shared" si="37"/>
        <v>4.1894664532393211E-2</v>
      </c>
      <c r="P307" s="24">
        <f>Data!K307</f>
        <v>66505000000</v>
      </c>
      <c r="Q307" s="24">
        <f>Data!I307</f>
        <v>81616000000</v>
      </c>
      <c r="R307" s="25">
        <f t="shared" si="38"/>
        <v>0.85559510390119586</v>
      </c>
      <c r="S307" s="25">
        <f t="shared" si="39"/>
        <v>2.7970178520590889</v>
      </c>
    </row>
    <row r="308" spans="1:19" ht="15" customHeight="1" x14ac:dyDescent="0.3">
      <c r="A308" s="22"/>
      <c r="B308" s="23"/>
      <c r="C308" s="4"/>
      <c r="D308" s="23">
        <v>2023</v>
      </c>
      <c r="E308" s="24">
        <f>Data!F308</f>
        <v>74787000000</v>
      </c>
      <c r="F308" s="24">
        <f>Data!H308</f>
        <v>38312000000</v>
      </c>
      <c r="G308" s="24">
        <f t="shared" si="32"/>
        <v>36475000000</v>
      </c>
      <c r="H308" s="24">
        <f>Data!G308</f>
        <v>154726000000</v>
      </c>
      <c r="I308" s="25">
        <f t="shared" si="33"/>
        <v>1.5464498532890398</v>
      </c>
      <c r="J308" s="24">
        <f>Data!J308</f>
        <v>2681000000</v>
      </c>
      <c r="K308" s="24">
        <f t="shared" si="34"/>
        <v>154726000000</v>
      </c>
      <c r="L308" s="25">
        <f t="shared" si="35"/>
        <v>5.6487338908780681E-2</v>
      </c>
      <c r="M308" s="24">
        <f>Data!M308</f>
        <v>1947000000</v>
      </c>
      <c r="N308" s="24">
        <f t="shared" si="36"/>
        <v>154726000000</v>
      </c>
      <c r="O308" s="25">
        <f t="shared" si="37"/>
        <v>8.4561353618654911E-2</v>
      </c>
      <c r="P308" s="24">
        <f>Data!K308</f>
        <v>67995000000</v>
      </c>
      <c r="Q308" s="24">
        <f>Data!I308</f>
        <v>77192000000</v>
      </c>
      <c r="R308" s="25">
        <f t="shared" si="38"/>
        <v>0.92489830552388852</v>
      </c>
      <c r="S308" s="25">
        <f t="shared" si="39"/>
        <v>2.6123968513403639</v>
      </c>
    </row>
    <row r="309" spans="1:19" ht="15" customHeight="1" x14ac:dyDescent="0.3">
      <c r="A309" s="22"/>
      <c r="B309" s="23"/>
      <c r="C309" s="4"/>
      <c r="D309" s="23">
        <v>2024</v>
      </c>
      <c r="E309" s="24">
        <f>Data!F309</f>
        <v>79128000000</v>
      </c>
      <c r="F309" s="24">
        <f>Data!H309</f>
        <v>40022000000</v>
      </c>
      <c r="G309" s="24">
        <f t="shared" si="32"/>
        <v>39106000000</v>
      </c>
      <c r="H309" s="24">
        <f>Data!G309</f>
        <v>155845000000</v>
      </c>
      <c r="I309" s="25">
        <f t="shared" si="33"/>
        <v>1.6460929769963746</v>
      </c>
      <c r="J309" s="24">
        <f>Data!J309</f>
        <v>7098000000</v>
      </c>
      <c r="K309" s="24">
        <f t="shared" si="34"/>
        <v>155845000000</v>
      </c>
      <c r="L309" s="25">
        <f t="shared" si="35"/>
        <v>0.14847752574673553</v>
      </c>
      <c r="M309" s="24">
        <f>Data!M309</f>
        <v>5617000000</v>
      </c>
      <c r="N309" s="24">
        <f t="shared" si="36"/>
        <v>155845000000</v>
      </c>
      <c r="O309" s="25">
        <f t="shared" si="37"/>
        <v>0.24220372806313964</v>
      </c>
      <c r="P309" s="24">
        <f>Data!K309</f>
        <v>72226000000</v>
      </c>
      <c r="Q309" s="24">
        <f>Data!I309</f>
        <v>61601000000</v>
      </c>
      <c r="R309" s="25">
        <f t="shared" si="38"/>
        <v>1.231105014528985</v>
      </c>
      <c r="S309" s="25">
        <f t="shared" si="39"/>
        <v>3.2678792453352346</v>
      </c>
    </row>
    <row r="310" spans="1:19" ht="15" customHeight="1" x14ac:dyDescent="0.3">
      <c r="A310" s="22"/>
      <c r="B310" s="23">
        <v>29</v>
      </c>
      <c r="C310" s="4" t="s">
        <v>55</v>
      </c>
      <c r="D310" s="23">
        <v>2014</v>
      </c>
      <c r="E310" s="24">
        <f>Data!F310</f>
        <v>0</v>
      </c>
      <c r="F310" s="24">
        <f>Data!H310</f>
        <v>0</v>
      </c>
      <c r="G310" s="24">
        <f t="shared" si="32"/>
        <v>0</v>
      </c>
      <c r="H310" s="24">
        <f>Data!G310</f>
        <v>0</v>
      </c>
      <c r="I310" s="25">
        <f t="shared" si="33"/>
        <v>0</v>
      </c>
      <c r="J310" s="24">
        <f>Data!J310</f>
        <v>0</v>
      </c>
      <c r="K310" s="24">
        <f t="shared" si="34"/>
        <v>0</v>
      </c>
      <c r="L310" s="25">
        <f t="shared" si="35"/>
        <v>0</v>
      </c>
      <c r="M310" s="24">
        <f>Data!M310</f>
        <v>0</v>
      </c>
      <c r="N310" s="24">
        <f t="shared" si="36"/>
        <v>0</v>
      </c>
      <c r="O310" s="25">
        <f t="shared" si="37"/>
        <v>0</v>
      </c>
      <c r="P310" s="24">
        <f>Data!K310</f>
        <v>0</v>
      </c>
      <c r="Q310" s="24">
        <f>Data!I310</f>
        <v>0</v>
      </c>
      <c r="R310" s="25">
        <f t="shared" si="38"/>
        <v>0</v>
      </c>
      <c r="S310" s="25">
        <f t="shared" si="39"/>
        <v>0</v>
      </c>
    </row>
    <row r="311" spans="1:19" ht="15" customHeight="1" x14ac:dyDescent="0.3">
      <c r="A311" s="22"/>
      <c r="B311" s="23"/>
      <c r="C311" s="4"/>
      <c r="D311" s="23">
        <v>2015</v>
      </c>
      <c r="E311" s="24">
        <f>Data!F311</f>
        <v>36122000000</v>
      </c>
      <c r="F311" s="24">
        <f>Data!H311</f>
        <v>32754000000</v>
      </c>
      <c r="G311" s="24">
        <f t="shared" si="32"/>
        <v>3368000000</v>
      </c>
      <c r="H311" s="24">
        <f>Data!G311</f>
        <v>1064512000000</v>
      </c>
      <c r="I311" s="25">
        <f t="shared" si="33"/>
        <v>2.0755125353213489E-2</v>
      </c>
      <c r="J311" s="24">
        <f>Data!J311</f>
        <v>26737000000</v>
      </c>
      <c r="K311" s="24">
        <f t="shared" si="34"/>
        <v>1064512000000</v>
      </c>
      <c r="L311" s="25">
        <f t="shared" si="35"/>
        <v>8.1880354566223765E-2</v>
      </c>
      <c r="M311" s="24">
        <f>Data!M311</f>
        <v>20394000000</v>
      </c>
      <c r="N311" s="24">
        <f t="shared" si="36"/>
        <v>1064512000000</v>
      </c>
      <c r="O311" s="25">
        <f t="shared" si="37"/>
        <v>0.12874225936391509</v>
      </c>
      <c r="P311" s="24">
        <f>Data!K311</f>
        <v>162399000000</v>
      </c>
      <c r="Q311" s="24">
        <f>Data!I311</f>
        <v>240551000000</v>
      </c>
      <c r="R311" s="25">
        <f t="shared" si="38"/>
        <v>0.7088681817992859</v>
      </c>
      <c r="S311" s="25">
        <f t="shared" si="39"/>
        <v>0.94024592108263827</v>
      </c>
    </row>
    <row r="312" spans="1:19" ht="15" customHeight="1" x14ac:dyDescent="0.3">
      <c r="A312" s="22"/>
      <c r="B312" s="23"/>
      <c r="C312" s="4"/>
      <c r="D312" s="23">
        <v>2016</v>
      </c>
      <c r="E312" s="24">
        <f>Data!F312</f>
        <v>55593000000</v>
      </c>
      <c r="F312" s="24">
        <f>Data!H312</f>
        <v>28812000000</v>
      </c>
      <c r="G312" s="24">
        <f t="shared" si="32"/>
        <v>26781000000</v>
      </c>
      <c r="H312" s="24">
        <f>Data!G312</f>
        <v>1162835000000</v>
      </c>
      <c r="I312" s="25">
        <f t="shared" si="33"/>
        <v>0.15108193337833828</v>
      </c>
      <c r="J312" s="24">
        <f>Data!J312</f>
        <v>43401000000</v>
      </c>
      <c r="K312" s="24">
        <f t="shared" si="34"/>
        <v>1162835000000</v>
      </c>
      <c r="L312" s="25">
        <f t="shared" si="35"/>
        <v>0.12167440780506261</v>
      </c>
      <c r="M312" s="24">
        <f>Data!M312</f>
        <v>20474000000</v>
      </c>
      <c r="N312" s="24">
        <f t="shared" si="36"/>
        <v>1162835000000</v>
      </c>
      <c r="O312" s="25">
        <f t="shared" si="37"/>
        <v>0.11831883285246832</v>
      </c>
      <c r="P312" s="24">
        <f>Data!K312</f>
        <v>185825000000</v>
      </c>
      <c r="Q312" s="24">
        <f>Data!I312</f>
        <v>257116000000</v>
      </c>
      <c r="R312" s="25">
        <f t="shared" si="38"/>
        <v>0.75886467586614603</v>
      </c>
      <c r="S312" s="25">
        <f t="shared" si="39"/>
        <v>1.1499398499020153</v>
      </c>
    </row>
    <row r="313" spans="1:19" ht="15" customHeight="1" x14ac:dyDescent="0.3">
      <c r="A313" s="22"/>
      <c r="B313" s="23"/>
      <c r="C313" s="4"/>
      <c r="D313" s="23">
        <v>2017</v>
      </c>
      <c r="E313" s="24">
        <f>Data!F313</f>
        <v>55620000000</v>
      </c>
      <c r="F313" s="24">
        <f>Data!H313</f>
        <v>32629000000</v>
      </c>
      <c r="G313" s="24">
        <f t="shared" si="32"/>
        <v>22991000000</v>
      </c>
      <c r="H313" s="24">
        <f>Data!G313</f>
        <v>1660572000000</v>
      </c>
      <c r="I313" s="25">
        <f t="shared" si="33"/>
        <v>9.082470377677089E-2</v>
      </c>
      <c r="J313" s="24">
        <f>Data!J313</f>
        <v>21606000000</v>
      </c>
      <c r="K313" s="24">
        <f t="shared" si="34"/>
        <v>1660572000000</v>
      </c>
      <c r="L313" s="25">
        <f t="shared" si="35"/>
        <v>4.2416444454079681E-2</v>
      </c>
      <c r="M313" s="24">
        <f>Data!M313</f>
        <v>13467000000</v>
      </c>
      <c r="N313" s="24">
        <f t="shared" si="36"/>
        <v>1660572000000</v>
      </c>
      <c r="O313" s="25">
        <f t="shared" si="37"/>
        <v>5.4498233138942483E-2</v>
      </c>
      <c r="P313" s="24">
        <f>Data!K313</f>
        <v>170120000000</v>
      </c>
      <c r="Q313" s="24">
        <f>Data!I313</f>
        <v>331887000000</v>
      </c>
      <c r="R313" s="25">
        <f t="shared" si="38"/>
        <v>0.53821330754142227</v>
      </c>
      <c r="S313" s="25">
        <f t="shared" si="39"/>
        <v>0.72595268891121534</v>
      </c>
    </row>
    <row r="314" spans="1:19" ht="15" customHeight="1" x14ac:dyDescent="0.3">
      <c r="A314" s="22"/>
      <c r="B314" s="23"/>
      <c r="C314" s="4"/>
      <c r="D314" s="23">
        <v>2018</v>
      </c>
      <c r="E314" s="24">
        <f>Data!F314</f>
        <v>57118000000</v>
      </c>
      <c r="F314" s="24">
        <f>Data!H314</f>
        <v>65935000000</v>
      </c>
      <c r="G314" s="24">
        <f t="shared" si="32"/>
        <v>-8817000000</v>
      </c>
      <c r="H314" s="24">
        <f>Data!G314</f>
        <v>1712378000000</v>
      </c>
      <c r="I314" s="25">
        <f t="shared" si="33"/>
        <v>-3.3777308514825584E-2</v>
      </c>
      <c r="J314" s="24">
        <f>Data!J314</f>
        <v>24963000000</v>
      </c>
      <c r="K314" s="24">
        <f t="shared" si="34"/>
        <v>1712378000000</v>
      </c>
      <c r="L314" s="25">
        <f t="shared" si="35"/>
        <v>4.752419150444586E-2</v>
      </c>
      <c r="M314" s="24">
        <f>Data!M314</f>
        <v>10174000000</v>
      </c>
      <c r="N314" s="24">
        <f t="shared" si="36"/>
        <v>1712378000000</v>
      </c>
      <c r="O314" s="25">
        <f t="shared" si="37"/>
        <v>3.9926511552939831E-2</v>
      </c>
      <c r="P314" s="24">
        <f>Data!K314</f>
        <v>173206000000</v>
      </c>
      <c r="Q314" s="24">
        <f>Data!I314</f>
        <v>366550000000</v>
      </c>
      <c r="R314" s="25">
        <f t="shared" si="38"/>
        <v>0.49615686809439369</v>
      </c>
      <c r="S314" s="25">
        <f t="shared" si="39"/>
        <v>0.54983026263695378</v>
      </c>
    </row>
    <row r="315" spans="1:19" ht="15" customHeight="1" x14ac:dyDescent="0.3">
      <c r="A315" s="22"/>
      <c r="B315" s="23"/>
      <c r="C315" s="4"/>
      <c r="D315" s="23">
        <v>2019</v>
      </c>
      <c r="E315" s="24">
        <f>Data!F315</f>
        <v>83886000000</v>
      </c>
      <c r="F315" s="24">
        <f>Data!H315</f>
        <v>75435000000</v>
      </c>
      <c r="G315" s="24">
        <f t="shared" si="32"/>
        <v>8451000000</v>
      </c>
      <c r="H315" s="24">
        <f>Data!G315</f>
        <v>1805094000000</v>
      </c>
      <c r="I315" s="25">
        <f t="shared" si="33"/>
        <v>3.0712284235613212E-2</v>
      </c>
      <c r="J315" s="24">
        <f>Data!J315</f>
        <v>34013000000</v>
      </c>
      <c r="K315" s="24">
        <f t="shared" si="34"/>
        <v>1805094000000</v>
      </c>
      <c r="L315" s="25">
        <f t="shared" si="35"/>
        <v>6.1427482446897497E-2</v>
      </c>
      <c r="M315" s="24">
        <f>Data!M315</f>
        <v>9430000000</v>
      </c>
      <c r="N315" s="24">
        <f t="shared" si="36"/>
        <v>1805094000000</v>
      </c>
      <c r="O315" s="25">
        <f t="shared" si="37"/>
        <v>3.5105983400310459E-2</v>
      </c>
      <c r="P315" s="24">
        <f>Data!K315</f>
        <v>184454000000</v>
      </c>
      <c r="Q315" s="24">
        <f>Data!I315</f>
        <v>466826000000</v>
      </c>
      <c r="R315" s="25">
        <f t="shared" si="38"/>
        <v>0.41487984816612616</v>
      </c>
      <c r="S315" s="25">
        <f t="shared" si="39"/>
        <v>0.54212559824894735</v>
      </c>
    </row>
    <row r="316" spans="1:19" ht="15" customHeight="1" x14ac:dyDescent="0.3">
      <c r="A316" s="22"/>
      <c r="B316" s="23"/>
      <c r="C316" s="4"/>
      <c r="D316" s="23">
        <v>2020</v>
      </c>
      <c r="E316" s="24">
        <f>Data!F316</f>
        <v>66686000000</v>
      </c>
      <c r="F316" s="24">
        <f>Data!H316</f>
        <v>63162000000</v>
      </c>
      <c r="G316" s="24">
        <f t="shared" si="32"/>
        <v>3524000000</v>
      </c>
      <c r="H316" s="24">
        <f>Data!G316</f>
        <v>1821015000000</v>
      </c>
      <c r="I316" s="25">
        <f t="shared" si="33"/>
        <v>1.2694810311831587E-2</v>
      </c>
      <c r="J316" s="24">
        <f>Data!J316</f>
        <v>44872000000</v>
      </c>
      <c r="K316" s="24">
        <f t="shared" si="34"/>
        <v>1821015000000</v>
      </c>
      <c r="L316" s="25">
        <f t="shared" si="35"/>
        <v>8.0330321276870301E-2</v>
      </c>
      <c r="M316" s="24">
        <f>Data!M316</f>
        <v>11168000000</v>
      </c>
      <c r="N316" s="24">
        <f t="shared" si="36"/>
        <v>1821015000000</v>
      </c>
      <c r="O316" s="25">
        <f t="shared" si="37"/>
        <v>4.1212708297295737E-2</v>
      </c>
      <c r="P316" s="24">
        <f>Data!K316</f>
        <v>198267000000</v>
      </c>
      <c r="Q316" s="24">
        <f>Data!I316</f>
        <v>494103000000</v>
      </c>
      <c r="R316" s="25">
        <f t="shared" si="38"/>
        <v>0.42132986442098108</v>
      </c>
      <c r="S316" s="25">
        <f t="shared" si="39"/>
        <v>0.55556770430697866</v>
      </c>
    </row>
    <row r="317" spans="1:19" ht="15" customHeight="1" x14ac:dyDescent="0.3">
      <c r="A317" s="22"/>
      <c r="B317" s="23"/>
      <c r="C317" s="4"/>
      <c r="D317" s="23">
        <v>2021</v>
      </c>
      <c r="E317" s="24">
        <f>Data!F317</f>
        <v>90160000000</v>
      </c>
      <c r="F317" s="24">
        <f>Data!H317</f>
        <v>77166000000</v>
      </c>
      <c r="G317" s="24">
        <f t="shared" si="32"/>
        <v>12994000000</v>
      </c>
      <c r="H317" s="24">
        <f>Data!G317</f>
        <v>1820850000000</v>
      </c>
      <c r="I317" s="25">
        <f t="shared" si="33"/>
        <v>4.6813652964274928E-2</v>
      </c>
      <c r="J317" s="24">
        <f>Data!J317</f>
        <v>59762000000</v>
      </c>
      <c r="K317" s="24">
        <f t="shared" si="34"/>
        <v>1820850000000</v>
      </c>
      <c r="L317" s="25">
        <f t="shared" si="35"/>
        <v>0.10699624900458576</v>
      </c>
      <c r="M317" s="24">
        <f>Data!M317</f>
        <v>16355000000</v>
      </c>
      <c r="N317" s="24">
        <f t="shared" si="36"/>
        <v>1820850000000</v>
      </c>
      <c r="O317" s="25">
        <f t="shared" si="37"/>
        <v>6.0359502430183704E-2</v>
      </c>
      <c r="P317" s="24">
        <f>Data!K317</f>
        <v>211871000000</v>
      </c>
      <c r="Q317" s="24">
        <f>Data!I317</f>
        <v>575223000000</v>
      </c>
      <c r="R317" s="25">
        <f t="shared" si="38"/>
        <v>0.38674487981182948</v>
      </c>
      <c r="S317" s="25">
        <f t="shared" si="39"/>
        <v>0.60091428421087389</v>
      </c>
    </row>
    <row r="318" spans="1:19" ht="15" customHeight="1" x14ac:dyDescent="0.3">
      <c r="A318" s="22"/>
      <c r="B318" s="23"/>
      <c r="C318" s="4"/>
      <c r="D318" s="23">
        <v>2022</v>
      </c>
      <c r="E318" s="24">
        <f>Data!F318</f>
        <v>74258000000</v>
      </c>
      <c r="F318" s="24">
        <f>Data!H318</f>
        <v>65905000000</v>
      </c>
      <c r="G318" s="24">
        <f t="shared" si="32"/>
        <v>8353000000</v>
      </c>
      <c r="H318" s="24">
        <f>Data!G318</f>
        <v>1844693000000</v>
      </c>
      <c r="I318" s="25">
        <f t="shared" si="33"/>
        <v>2.9704498255265239E-2</v>
      </c>
      <c r="J318" s="24">
        <f>Data!J318</f>
        <v>67222000000</v>
      </c>
      <c r="K318" s="24">
        <f t="shared" si="34"/>
        <v>1844693000000</v>
      </c>
      <c r="L318" s="25">
        <f t="shared" si="35"/>
        <v>0.11879685129178676</v>
      </c>
      <c r="M318" s="24">
        <f>Data!M318</f>
        <v>3852000000</v>
      </c>
      <c r="N318" s="24">
        <f t="shared" si="36"/>
        <v>1844693000000</v>
      </c>
      <c r="O318" s="25">
        <f t="shared" si="37"/>
        <v>1.4032383708291841E-2</v>
      </c>
      <c r="P318" s="24">
        <f>Data!K318</f>
        <v>219331000000</v>
      </c>
      <c r="Q318" s="24">
        <f>Data!I318</f>
        <v>647883000000</v>
      </c>
      <c r="R318" s="25">
        <f t="shared" si="38"/>
        <v>0.35546163427655925</v>
      </c>
      <c r="S318" s="25">
        <f t="shared" si="39"/>
        <v>0.51799536753190312</v>
      </c>
    </row>
    <row r="319" spans="1:19" ht="15" customHeight="1" x14ac:dyDescent="0.3">
      <c r="A319" s="22"/>
      <c r="B319" s="23"/>
      <c r="C319" s="4"/>
      <c r="D319" s="23">
        <v>2023</v>
      </c>
      <c r="E319" s="24">
        <f>Data!F319</f>
        <v>104204000000</v>
      </c>
      <c r="F319" s="24">
        <f>Data!H319</f>
        <v>82539000000</v>
      </c>
      <c r="G319" s="24">
        <f t="shared" si="32"/>
        <v>21665000000</v>
      </c>
      <c r="H319" s="24">
        <f>Data!G319</f>
        <v>1791328000000</v>
      </c>
      <c r="I319" s="25">
        <f t="shared" si="33"/>
        <v>7.9339127172689747E-2</v>
      </c>
      <c r="J319" s="24">
        <f>Data!J319</f>
        <v>36633000000</v>
      </c>
      <c r="K319" s="24">
        <f t="shared" si="34"/>
        <v>1791328000000</v>
      </c>
      <c r="L319" s="25">
        <f t="shared" si="35"/>
        <v>6.6667623126529588E-2</v>
      </c>
      <c r="M319" s="24">
        <f>Data!M319</f>
        <v>9829000000</v>
      </c>
      <c r="N319" s="24">
        <f t="shared" si="36"/>
        <v>1791328000000</v>
      </c>
      <c r="O319" s="25">
        <f t="shared" si="37"/>
        <v>3.6872577216456169E-2</v>
      </c>
      <c r="P319" s="24">
        <f>Data!K319</f>
        <v>188742000000</v>
      </c>
      <c r="Q319" s="24">
        <f>Data!I319</f>
        <v>675459000000</v>
      </c>
      <c r="R319" s="25">
        <f t="shared" si="38"/>
        <v>0.29339915524110272</v>
      </c>
      <c r="S319" s="25">
        <f t="shared" si="39"/>
        <v>0.4762784827567782</v>
      </c>
    </row>
    <row r="320" spans="1:19" ht="15" customHeight="1" x14ac:dyDescent="0.3">
      <c r="A320" s="22"/>
      <c r="B320" s="23"/>
      <c r="C320" s="4"/>
      <c r="D320" s="23">
        <v>2024</v>
      </c>
      <c r="E320" s="24">
        <f>Data!F320</f>
        <v>62784000000</v>
      </c>
      <c r="F320" s="24">
        <f>Data!H320</f>
        <v>76007000000</v>
      </c>
      <c r="G320" s="24">
        <f t="shared" si="32"/>
        <v>-13223000000</v>
      </c>
      <c r="H320" s="24">
        <f>Data!G320</f>
        <v>1662152000000</v>
      </c>
      <c r="I320" s="25">
        <f t="shared" si="33"/>
        <v>-5.2187092395881957E-2</v>
      </c>
      <c r="J320" s="24">
        <f>Data!J320</f>
        <v>52546000000</v>
      </c>
      <c r="K320" s="24">
        <f t="shared" si="34"/>
        <v>1662152000000</v>
      </c>
      <c r="L320" s="25">
        <f t="shared" si="35"/>
        <v>0.10305914260548973</v>
      </c>
      <c r="M320" s="24">
        <f>Data!M320</f>
        <v>5415000000</v>
      </c>
      <c r="N320" s="24">
        <f t="shared" si="36"/>
        <v>1662152000000</v>
      </c>
      <c r="O320" s="25">
        <f t="shared" si="37"/>
        <v>2.1892582627822243E-2</v>
      </c>
      <c r="P320" s="24">
        <f>Data!K320</f>
        <v>194655000000</v>
      </c>
      <c r="Q320" s="24">
        <f>Data!I320</f>
        <v>565896000000</v>
      </c>
      <c r="R320" s="25">
        <f t="shared" si="38"/>
        <v>0.36117546333601935</v>
      </c>
      <c r="S320" s="25">
        <f t="shared" si="39"/>
        <v>0.43394009617344936</v>
      </c>
    </row>
    <row r="321" spans="1:19" ht="15" customHeight="1" x14ac:dyDescent="0.3">
      <c r="A321" s="22"/>
      <c r="B321" s="23">
        <v>30</v>
      </c>
      <c r="C321" s="3" t="s">
        <v>5</v>
      </c>
      <c r="D321" s="23">
        <v>2014</v>
      </c>
      <c r="E321" s="24">
        <f>Data!F321</f>
        <v>0</v>
      </c>
      <c r="F321" s="24">
        <f>Data!H321</f>
        <v>0</v>
      </c>
      <c r="G321" s="24">
        <f t="shared" si="32"/>
        <v>0</v>
      </c>
      <c r="H321" s="24">
        <f>Data!G321</f>
        <v>0</v>
      </c>
      <c r="I321" s="25">
        <f t="shared" si="33"/>
        <v>0</v>
      </c>
      <c r="J321" s="24">
        <f>Data!J321</f>
        <v>0</v>
      </c>
      <c r="K321" s="24">
        <f t="shared" si="34"/>
        <v>0</v>
      </c>
      <c r="L321" s="25">
        <f t="shared" si="35"/>
        <v>0</v>
      </c>
      <c r="M321" s="24">
        <f>Data!M321</f>
        <v>0</v>
      </c>
      <c r="N321" s="24">
        <f t="shared" si="36"/>
        <v>0</v>
      </c>
      <c r="O321" s="25">
        <f t="shared" si="37"/>
        <v>0</v>
      </c>
      <c r="P321" s="24">
        <f>Data!K321</f>
        <v>0</v>
      </c>
      <c r="Q321" s="24">
        <f>Data!I321</f>
        <v>0</v>
      </c>
      <c r="R321" s="25">
        <f t="shared" si="38"/>
        <v>0</v>
      </c>
      <c r="S321" s="25">
        <f t="shared" si="39"/>
        <v>0</v>
      </c>
    </row>
    <row r="322" spans="1:19" ht="15" customHeight="1" x14ac:dyDescent="0.3">
      <c r="A322" s="22"/>
      <c r="B322" s="23"/>
      <c r="C322" s="3"/>
      <c r="D322" s="23">
        <v>2015</v>
      </c>
      <c r="E322" s="24">
        <f>Data!F322</f>
        <v>0</v>
      </c>
      <c r="F322" s="24">
        <f>Data!H322</f>
        <v>0</v>
      </c>
      <c r="G322" s="24">
        <f t="shared" si="32"/>
        <v>0</v>
      </c>
      <c r="H322" s="24">
        <f>Data!G322</f>
        <v>0</v>
      </c>
      <c r="I322" s="25">
        <f t="shared" si="33"/>
        <v>0</v>
      </c>
      <c r="J322" s="24">
        <f>Data!J322</f>
        <v>0</v>
      </c>
      <c r="K322" s="24">
        <f t="shared" si="34"/>
        <v>0</v>
      </c>
      <c r="L322" s="25">
        <f t="shared" si="35"/>
        <v>0</v>
      </c>
      <c r="M322" s="24">
        <f>Data!M322</f>
        <v>0</v>
      </c>
      <c r="N322" s="24">
        <f t="shared" si="36"/>
        <v>0</v>
      </c>
      <c r="O322" s="25">
        <f t="shared" si="37"/>
        <v>0</v>
      </c>
      <c r="P322" s="24">
        <f>Data!K322</f>
        <v>0</v>
      </c>
      <c r="Q322" s="24">
        <f>Data!I322</f>
        <v>0</v>
      </c>
      <c r="R322" s="25">
        <f t="shared" si="38"/>
        <v>0</v>
      </c>
      <c r="S322" s="25">
        <f t="shared" si="39"/>
        <v>0</v>
      </c>
    </row>
    <row r="323" spans="1:19" ht="15" customHeight="1" x14ac:dyDescent="0.3">
      <c r="A323" s="22"/>
      <c r="B323" s="23"/>
      <c r="C323" s="3"/>
      <c r="D323" s="23">
        <v>2016</v>
      </c>
      <c r="E323" s="24">
        <f>Data!F323</f>
        <v>0</v>
      </c>
      <c r="F323" s="24">
        <f>Data!H323</f>
        <v>0</v>
      </c>
      <c r="G323" s="24">
        <f t="shared" ref="G323:G386" si="40">E323-F323</f>
        <v>0</v>
      </c>
      <c r="H323" s="24">
        <f>Data!G323</f>
        <v>0</v>
      </c>
      <c r="I323" s="25">
        <f t="shared" ref="I323:I386" si="41">IFERROR(6.56*(G323/H323),0)</f>
        <v>0</v>
      </c>
      <c r="J323" s="24">
        <f>Data!J323</f>
        <v>0</v>
      </c>
      <c r="K323" s="24">
        <f t="shared" ref="K323:K386" si="42">H323</f>
        <v>0</v>
      </c>
      <c r="L323" s="25">
        <f t="shared" ref="L323:L386" si="43">IFERROR(3.26*(J323/K323),0)</f>
        <v>0</v>
      </c>
      <c r="M323" s="24">
        <f>Data!M323</f>
        <v>0</v>
      </c>
      <c r="N323" s="24">
        <f t="shared" ref="N323:N386" si="44">K323</f>
        <v>0</v>
      </c>
      <c r="O323" s="25">
        <f t="shared" ref="O323:O386" si="45">IFERROR(6.72*(M323/N323),0)</f>
        <v>0</v>
      </c>
      <c r="P323" s="24">
        <f>Data!K323</f>
        <v>0</v>
      </c>
      <c r="Q323" s="24">
        <f>Data!I323</f>
        <v>0</v>
      </c>
      <c r="R323" s="25">
        <f t="shared" ref="R323:R386" si="46">IFERROR(1.05*(P323/Q323),0)</f>
        <v>0</v>
      </c>
      <c r="S323" s="25">
        <f t="shared" ref="S323:S386" si="47">IFERROR(I323+L323+O323+R323,0)</f>
        <v>0</v>
      </c>
    </row>
    <row r="324" spans="1:19" ht="15" customHeight="1" x14ac:dyDescent="0.3">
      <c r="A324" s="22"/>
      <c r="B324" s="23"/>
      <c r="C324" s="3"/>
      <c r="D324" s="23">
        <v>2017</v>
      </c>
      <c r="E324" s="24">
        <f>Data!F324</f>
        <v>361112000000</v>
      </c>
      <c r="F324" s="24">
        <f>Data!H324</f>
        <v>1223298000000</v>
      </c>
      <c r="G324" s="24">
        <f t="shared" si="40"/>
        <v>-862186000000</v>
      </c>
      <c r="H324" s="24">
        <f>Data!G324</f>
        <v>10926484000000</v>
      </c>
      <c r="I324" s="25">
        <f t="shared" si="41"/>
        <v>-0.51763587994088489</v>
      </c>
      <c r="J324" s="24">
        <f>Data!J324</f>
        <v>1515851000000</v>
      </c>
      <c r="K324" s="24">
        <f t="shared" si="42"/>
        <v>10926484000000</v>
      </c>
      <c r="L324" s="25">
        <f t="shared" si="43"/>
        <v>0.45226572976265739</v>
      </c>
      <c r="M324" s="24">
        <f>Data!M324</f>
        <v>190486000000</v>
      </c>
      <c r="N324" s="24">
        <f t="shared" si="44"/>
        <v>10926484000000</v>
      </c>
      <c r="O324" s="25">
        <f t="shared" si="45"/>
        <v>0.11715259181270021</v>
      </c>
      <c r="P324" s="24">
        <f>Data!K324</f>
        <v>2057674000000</v>
      </c>
      <c r="Q324" s="24">
        <f>Data!I324</f>
        <v>8868810000000</v>
      </c>
      <c r="R324" s="25">
        <f t="shared" si="46"/>
        <v>0.24361303263910267</v>
      </c>
      <c r="S324" s="25">
        <f t="shared" si="47"/>
        <v>0.29539547427357538</v>
      </c>
    </row>
    <row r="325" spans="1:19" ht="15" customHeight="1" x14ac:dyDescent="0.3">
      <c r="A325" s="22"/>
      <c r="B325" s="23"/>
      <c r="C325" s="3"/>
      <c r="D325" s="23">
        <v>2018</v>
      </c>
      <c r="E325" s="24">
        <f>Data!F325</f>
        <v>424400000000</v>
      </c>
      <c r="F325" s="24">
        <f>Data!H325</f>
        <v>1243621000000</v>
      </c>
      <c r="G325" s="24">
        <f t="shared" si="40"/>
        <v>-819221000000</v>
      </c>
      <c r="H325" s="24">
        <f>Data!G325</f>
        <v>10229507000000</v>
      </c>
      <c r="I325" s="25">
        <f t="shared" si="41"/>
        <v>-0.52535178479275679</v>
      </c>
      <c r="J325" s="24">
        <f>Data!J325</f>
        <v>1714890000000</v>
      </c>
      <c r="K325" s="24">
        <f t="shared" si="42"/>
        <v>10229507000000</v>
      </c>
      <c r="L325" s="25">
        <f t="shared" si="43"/>
        <v>0.54651132258866431</v>
      </c>
      <c r="M325" s="24">
        <f>Data!M325</f>
        <v>165893000000</v>
      </c>
      <c r="N325" s="24">
        <f t="shared" si="44"/>
        <v>10229507000000</v>
      </c>
      <c r="O325" s="25">
        <f t="shared" si="45"/>
        <v>0.10897895274914031</v>
      </c>
      <c r="P325" s="24">
        <f>Data!K325</f>
        <v>1791213000000</v>
      </c>
      <c r="Q325" s="24">
        <f>Data!I325</f>
        <v>8438294000000</v>
      </c>
      <c r="R325" s="25">
        <f t="shared" si="46"/>
        <v>0.22288553231257408</v>
      </c>
      <c r="S325" s="25">
        <f t="shared" si="47"/>
        <v>0.35302402285762191</v>
      </c>
    </row>
    <row r="326" spans="1:19" ht="15" customHeight="1" x14ac:dyDescent="0.3">
      <c r="A326" s="22"/>
      <c r="B326" s="23"/>
      <c r="C326" s="3"/>
      <c r="D326" s="23">
        <v>2019</v>
      </c>
      <c r="E326" s="24">
        <f>Data!F326</f>
        <v>606009000000</v>
      </c>
      <c r="F326" s="24">
        <f>Data!H326</f>
        <v>1289816000000</v>
      </c>
      <c r="G326" s="24">
        <f t="shared" si="40"/>
        <v>-683807000000</v>
      </c>
      <c r="H326" s="24">
        <f>Data!G326</f>
        <v>11985227000000</v>
      </c>
      <c r="I326" s="25">
        <f t="shared" si="41"/>
        <v>-0.37427525736475409</v>
      </c>
      <c r="J326" s="24">
        <f>Data!J326</f>
        <v>1767491000000</v>
      </c>
      <c r="K326" s="24">
        <f t="shared" si="42"/>
        <v>11985227000000</v>
      </c>
      <c r="L326" s="25">
        <f t="shared" si="43"/>
        <v>0.4807602442573678</v>
      </c>
      <c r="M326" s="24">
        <f>Data!M326</f>
        <v>143096000000</v>
      </c>
      <c r="N326" s="24">
        <f t="shared" si="44"/>
        <v>11985227000000</v>
      </c>
      <c r="O326" s="25">
        <f t="shared" si="45"/>
        <v>8.0232532934086262E-2</v>
      </c>
      <c r="P326" s="24">
        <f>Data!K326</f>
        <v>2117699000000</v>
      </c>
      <c r="Q326" s="24">
        <f>Data!I326</f>
        <v>9867528000000</v>
      </c>
      <c r="R326" s="25">
        <f t="shared" si="46"/>
        <v>0.22534356629137511</v>
      </c>
      <c r="S326" s="25">
        <f t="shared" si="47"/>
        <v>0.41206108611807513</v>
      </c>
    </row>
    <row r="327" spans="1:19" ht="15" customHeight="1" x14ac:dyDescent="0.3">
      <c r="A327" s="22"/>
      <c r="B327" s="23"/>
      <c r="C327" s="3"/>
      <c r="D327" s="23">
        <v>2020</v>
      </c>
      <c r="E327" s="24">
        <f>Data!F327</f>
        <v>882403000000</v>
      </c>
      <c r="F327" s="24">
        <f>Data!H327</f>
        <v>1328822000000</v>
      </c>
      <c r="G327" s="24">
        <f t="shared" si="40"/>
        <v>-446419000000</v>
      </c>
      <c r="H327" s="24">
        <f>Data!G327</f>
        <v>11238753000000</v>
      </c>
      <c r="I327" s="25">
        <f t="shared" si="41"/>
        <v>-0.26057238200714972</v>
      </c>
      <c r="J327" s="24">
        <f>Data!J327</f>
        <v>1767688000000</v>
      </c>
      <c r="K327" s="24">
        <f t="shared" si="42"/>
        <v>11238753000000</v>
      </c>
      <c r="L327" s="25">
        <f t="shared" si="43"/>
        <v>0.51274931302431859</v>
      </c>
      <c r="M327" s="24">
        <f>Data!M327</f>
        <v>79918000000</v>
      </c>
      <c r="N327" s="24">
        <f t="shared" si="44"/>
        <v>11238753000000</v>
      </c>
      <c r="O327" s="25">
        <f t="shared" si="45"/>
        <v>4.7785458048593112E-2</v>
      </c>
      <c r="P327" s="24">
        <f>Data!K327</f>
        <v>2199862000000</v>
      </c>
      <c r="Q327" s="24">
        <f>Data!I327</f>
        <v>9038891000000</v>
      </c>
      <c r="R327" s="25">
        <f t="shared" si="46"/>
        <v>0.25554629434075488</v>
      </c>
      <c r="S327" s="25">
        <f t="shared" si="47"/>
        <v>0.55550868340651682</v>
      </c>
    </row>
    <row r="328" spans="1:19" ht="15" customHeight="1" x14ac:dyDescent="0.3">
      <c r="A328" s="22"/>
      <c r="B328" s="23"/>
      <c r="C328" s="3"/>
      <c r="D328" s="23">
        <v>2021</v>
      </c>
      <c r="E328" s="24">
        <f>Data!F328</f>
        <v>623554000000</v>
      </c>
      <c r="F328" s="24">
        <f>Data!H328</f>
        <v>1171802000000</v>
      </c>
      <c r="G328" s="24">
        <f t="shared" si="40"/>
        <v>-548248000000</v>
      </c>
      <c r="H328" s="24">
        <f>Data!G328</f>
        <v>9745939000000</v>
      </c>
      <c r="I328" s="25">
        <f t="shared" si="41"/>
        <v>-0.36902620465816577</v>
      </c>
      <c r="J328" s="24">
        <f>Data!J328</f>
        <v>1852975000000</v>
      </c>
      <c r="K328" s="24">
        <f t="shared" si="42"/>
        <v>9745939000000</v>
      </c>
      <c r="L328" s="25">
        <f t="shared" si="43"/>
        <v>0.61981698223229187</v>
      </c>
      <c r="M328" s="24">
        <f>Data!M328</f>
        <v>122279000000</v>
      </c>
      <c r="N328" s="24">
        <f t="shared" si="44"/>
        <v>9745939000000</v>
      </c>
      <c r="O328" s="25">
        <f t="shared" si="45"/>
        <v>8.4313566912331384E-2</v>
      </c>
      <c r="P328" s="24">
        <f>Data!K328</f>
        <v>2254579000000</v>
      </c>
      <c r="Q328" s="24">
        <f>Data!I328</f>
        <v>7491360000000</v>
      </c>
      <c r="R328" s="25">
        <f t="shared" si="46"/>
        <v>0.31600509787274944</v>
      </c>
      <c r="S328" s="25">
        <f t="shared" si="47"/>
        <v>0.65110944235920698</v>
      </c>
    </row>
    <row r="329" spans="1:19" ht="15" customHeight="1" x14ac:dyDescent="0.3">
      <c r="A329" s="22"/>
      <c r="B329" s="23"/>
      <c r="C329" s="3"/>
      <c r="D329" s="23">
        <v>2022</v>
      </c>
      <c r="E329" s="24">
        <f>Data!F329</f>
        <v>499623000000</v>
      </c>
      <c r="F329" s="24">
        <f>Data!H329</f>
        <v>1060797000000</v>
      </c>
      <c r="G329" s="24">
        <f t="shared" si="40"/>
        <v>-561174000000</v>
      </c>
      <c r="H329" s="24">
        <f>Data!G329</f>
        <v>7080639000000</v>
      </c>
      <c r="I329" s="25">
        <f t="shared" si="41"/>
        <v>-0.51991090634616455</v>
      </c>
      <c r="J329" s="24">
        <f>Data!J329</f>
        <v>1931615000000</v>
      </c>
      <c r="K329" s="24">
        <f t="shared" si="42"/>
        <v>7080639000000</v>
      </c>
      <c r="L329" s="25">
        <f t="shared" si="43"/>
        <v>0.88933568001419083</v>
      </c>
      <c r="M329" s="24">
        <f>Data!M329</f>
        <v>123554000000</v>
      </c>
      <c r="N329" s="24">
        <f t="shared" si="44"/>
        <v>7080639000000</v>
      </c>
      <c r="O329" s="25">
        <f t="shared" si="45"/>
        <v>0.11726100991732526</v>
      </c>
      <c r="P329" s="24">
        <f>Data!K329</f>
        <v>1921832000000</v>
      </c>
      <c r="Q329" s="24">
        <f>Data!I329</f>
        <v>5158807000000</v>
      </c>
      <c r="R329" s="25">
        <f t="shared" si="46"/>
        <v>0.39116090212330101</v>
      </c>
      <c r="S329" s="25">
        <f t="shared" si="47"/>
        <v>0.87784668570865254</v>
      </c>
    </row>
    <row r="330" spans="1:19" ht="15" customHeight="1" x14ac:dyDescent="0.3">
      <c r="A330" s="22"/>
      <c r="B330" s="23"/>
      <c r="C330" s="3"/>
      <c r="D330" s="23">
        <v>2023</v>
      </c>
      <c r="E330" s="24">
        <f>Data!F330</f>
        <v>516103000000</v>
      </c>
      <c r="F330" s="24">
        <f>Data!H330</f>
        <v>1052829000000</v>
      </c>
      <c r="G330" s="24">
        <f t="shared" si="40"/>
        <v>-536726000000</v>
      </c>
      <c r="H330" s="24">
        <f>Data!G330</f>
        <v>7019115000000</v>
      </c>
      <c r="I330" s="25">
        <f t="shared" si="41"/>
        <v>-0.50161915854064221</v>
      </c>
      <c r="J330" s="24">
        <f>Data!J330</f>
        <v>1965337000000</v>
      </c>
      <c r="K330" s="24">
        <f t="shared" si="42"/>
        <v>7019115000000</v>
      </c>
      <c r="L330" s="25">
        <f t="shared" si="43"/>
        <v>0.91279294042055159</v>
      </c>
      <c r="M330" s="24">
        <f>Data!M330</f>
        <v>130138000000</v>
      </c>
      <c r="N330" s="24">
        <f t="shared" si="44"/>
        <v>7019115000000</v>
      </c>
      <c r="O330" s="25">
        <f t="shared" si="45"/>
        <v>0.1245922541516986</v>
      </c>
      <c r="P330" s="24">
        <f>Data!K330</f>
        <v>2282452000000</v>
      </c>
      <c r="Q330" s="24">
        <f>Data!I330</f>
        <v>4736663000000</v>
      </c>
      <c r="R330" s="25">
        <f t="shared" si="46"/>
        <v>0.50596265767693416</v>
      </c>
      <c r="S330" s="25">
        <f t="shared" si="47"/>
        <v>1.0417286937085422</v>
      </c>
    </row>
    <row r="331" spans="1:19" ht="15" customHeight="1" x14ac:dyDescent="0.3">
      <c r="A331" s="22"/>
      <c r="B331" s="23"/>
      <c r="C331" s="3"/>
      <c r="D331" s="23">
        <v>2024</v>
      </c>
      <c r="E331" s="24">
        <f>Data!F331</f>
        <v>426121000000</v>
      </c>
      <c r="F331" s="24">
        <f>Data!H331</f>
        <v>1099836000000</v>
      </c>
      <c r="G331" s="24">
        <f t="shared" si="40"/>
        <v>-673715000000</v>
      </c>
      <c r="H331" s="24">
        <f>Data!G331</f>
        <v>6182592000000</v>
      </c>
      <c r="I331" s="25">
        <f t="shared" si="41"/>
        <v>-0.71484102460586108</v>
      </c>
      <c r="J331" s="24">
        <f>Data!J331</f>
        <v>1811075000000</v>
      </c>
      <c r="K331" s="24">
        <f t="shared" si="42"/>
        <v>6182592000000</v>
      </c>
      <c r="L331" s="25">
        <f t="shared" si="43"/>
        <v>0.95495618989575892</v>
      </c>
      <c r="M331" s="24">
        <f>Data!M331</f>
        <v>105360000000</v>
      </c>
      <c r="N331" s="24">
        <f t="shared" si="44"/>
        <v>6182592000000</v>
      </c>
      <c r="O331" s="25">
        <f t="shared" si="45"/>
        <v>0.11451818266513462</v>
      </c>
      <c r="P331" s="24">
        <f>Data!K331</f>
        <v>2030327000000</v>
      </c>
      <c r="Q331" s="24">
        <f>Data!I331</f>
        <v>4152265000000</v>
      </c>
      <c r="R331" s="25">
        <f t="shared" si="46"/>
        <v>0.5134169784442949</v>
      </c>
      <c r="S331" s="25">
        <f t="shared" si="47"/>
        <v>0.86805032639932733</v>
      </c>
    </row>
    <row r="332" spans="1:19" ht="15" customHeight="1" x14ac:dyDescent="0.3">
      <c r="A332" s="22"/>
      <c r="B332" s="23">
        <v>31</v>
      </c>
      <c r="C332" s="3" t="s">
        <v>6</v>
      </c>
      <c r="D332" s="23">
        <v>2014</v>
      </c>
      <c r="E332" s="24">
        <f>Data!F332</f>
        <v>0</v>
      </c>
      <c r="F332" s="24">
        <f>Data!H332</f>
        <v>0</v>
      </c>
      <c r="G332" s="24">
        <f t="shared" si="40"/>
        <v>0</v>
      </c>
      <c r="H332" s="24">
        <f>Data!G332</f>
        <v>0</v>
      </c>
      <c r="I332" s="25">
        <f t="shared" si="41"/>
        <v>0</v>
      </c>
      <c r="J332" s="24">
        <f>Data!J332</f>
        <v>0</v>
      </c>
      <c r="K332" s="24">
        <f t="shared" si="42"/>
        <v>0</v>
      </c>
      <c r="L332" s="25">
        <f t="shared" si="43"/>
        <v>0</v>
      </c>
      <c r="M332" s="24">
        <f>Data!M332</f>
        <v>0</v>
      </c>
      <c r="N332" s="24">
        <f t="shared" si="44"/>
        <v>0</v>
      </c>
      <c r="O332" s="25">
        <f t="shared" si="45"/>
        <v>0</v>
      </c>
      <c r="P332" s="24">
        <f>Data!K332</f>
        <v>0</v>
      </c>
      <c r="Q332" s="24">
        <f>Data!I332</f>
        <v>0</v>
      </c>
      <c r="R332" s="25">
        <f t="shared" si="46"/>
        <v>0</v>
      </c>
      <c r="S332" s="25">
        <f t="shared" si="47"/>
        <v>0</v>
      </c>
    </row>
    <row r="333" spans="1:19" ht="15" customHeight="1" x14ac:dyDescent="0.3">
      <c r="A333" s="22"/>
      <c r="B333" s="23"/>
      <c r="C333" s="3"/>
      <c r="D333" s="23">
        <v>2015</v>
      </c>
      <c r="E333" s="24">
        <f>Data!F333</f>
        <v>0</v>
      </c>
      <c r="F333" s="24">
        <f>Data!H333</f>
        <v>0</v>
      </c>
      <c r="G333" s="24">
        <f t="shared" si="40"/>
        <v>0</v>
      </c>
      <c r="H333" s="24">
        <f>Data!G333</f>
        <v>0</v>
      </c>
      <c r="I333" s="25">
        <f t="shared" si="41"/>
        <v>0</v>
      </c>
      <c r="J333" s="24">
        <f>Data!J333</f>
        <v>0</v>
      </c>
      <c r="K333" s="24">
        <f t="shared" si="42"/>
        <v>0</v>
      </c>
      <c r="L333" s="25">
        <f t="shared" si="43"/>
        <v>0</v>
      </c>
      <c r="M333" s="24">
        <f>Data!M333</f>
        <v>0</v>
      </c>
      <c r="N333" s="24">
        <f t="shared" si="44"/>
        <v>0</v>
      </c>
      <c r="O333" s="25">
        <f t="shared" si="45"/>
        <v>0</v>
      </c>
      <c r="P333" s="24">
        <f>Data!K333</f>
        <v>0</v>
      </c>
      <c r="Q333" s="24">
        <f>Data!I333</f>
        <v>0</v>
      </c>
      <c r="R333" s="25">
        <f t="shared" si="46"/>
        <v>0</v>
      </c>
      <c r="S333" s="25">
        <f t="shared" si="47"/>
        <v>0</v>
      </c>
    </row>
    <row r="334" spans="1:19" ht="15" customHeight="1" x14ac:dyDescent="0.3">
      <c r="A334" s="22"/>
      <c r="B334" s="23"/>
      <c r="C334" s="3"/>
      <c r="D334" s="23">
        <v>2016</v>
      </c>
      <c r="E334" s="24">
        <f>Data!F334</f>
        <v>0</v>
      </c>
      <c r="F334" s="24">
        <f>Data!H334</f>
        <v>0</v>
      </c>
      <c r="G334" s="24">
        <f t="shared" si="40"/>
        <v>0</v>
      </c>
      <c r="H334" s="24">
        <f>Data!G334</f>
        <v>0</v>
      </c>
      <c r="I334" s="25">
        <f t="shared" si="41"/>
        <v>0</v>
      </c>
      <c r="J334" s="24">
        <f>Data!J334</f>
        <v>0</v>
      </c>
      <c r="K334" s="24">
        <f t="shared" si="42"/>
        <v>0</v>
      </c>
      <c r="L334" s="25">
        <f t="shared" si="43"/>
        <v>0</v>
      </c>
      <c r="M334" s="24">
        <f>Data!M334</f>
        <v>0</v>
      </c>
      <c r="N334" s="24">
        <f t="shared" si="44"/>
        <v>0</v>
      </c>
      <c r="O334" s="25">
        <f t="shared" si="45"/>
        <v>0</v>
      </c>
      <c r="P334" s="24">
        <f>Data!K334</f>
        <v>0</v>
      </c>
      <c r="Q334" s="24">
        <f>Data!I334</f>
        <v>0</v>
      </c>
      <c r="R334" s="25">
        <f t="shared" si="46"/>
        <v>0</v>
      </c>
      <c r="S334" s="25">
        <f t="shared" si="47"/>
        <v>0</v>
      </c>
    </row>
    <row r="335" spans="1:19" ht="15" customHeight="1" x14ac:dyDescent="0.3">
      <c r="A335" s="22"/>
      <c r="B335" s="23"/>
      <c r="C335" s="3"/>
      <c r="D335" s="23">
        <v>2017</v>
      </c>
      <c r="E335" s="24">
        <f>Data!F335</f>
        <v>0</v>
      </c>
      <c r="F335" s="24">
        <f>Data!H335</f>
        <v>0</v>
      </c>
      <c r="G335" s="24">
        <f t="shared" si="40"/>
        <v>0</v>
      </c>
      <c r="H335" s="24">
        <f>Data!G335</f>
        <v>0</v>
      </c>
      <c r="I335" s="25">
        <f t="shared" si="41"/>
        <v>0</v>
      </c>
      <c r="J335" s="24">
        <f>Data!J335</f>
        <v>0</v>
      </c>
      <c r="K335" s="24">
        <f t="shared" si="42"/>
        <v>0</v>
      </c>
      <c r="L335" s="25">
        <f t="shared" si="43"/>
        <v>0</v>
      </c>
      <c r="M335" s="24">
        <f>Data!M335</f>
        <v>0</v>
      </c>
      <c r="N335" s="24">
        <f t="shared" si="44"/>
        <v>0</v>
      </c>
      <c r="O335" s="25">
        <f t="shared" si="45"/>
        <v>0</v>
      </c>
      <c r="P335" s="24">
        <f>Data!K335</f>
        <v>0</v>
      </c>
      <c r="Q335" s="24">
        <f>Data!I335</f>
        <v>0</v>
      </c>
      <c r="R335" s="25">
        <f t="shared" si="46"/>
        <v>0</v>
      </c>
      <c r="S335" s="25">
        <f t="shared" si="47"/>
        <v>0</v>
      </c>
    </row>
    <row r="336" spans="1:19" ht="15" customHeight="1" x14ac:dyDescent="0.3">
      <c r="A336" s="22"/>
      <c r="B336" s="23"/>
      <c r="C336" s="3"/>
      <c r="D336" s="23">
        <v>2018</v>
      </c>
      <c r="E336" s="24">
        <f>Data!F336</f>
        <v>0</v>
      </c>
      <c r="F336" s="24">
        <f>Data!H336</f>
        <v>0</v>
      </c>
      <c r="G336" s="24">
        <f t="shared" si="40"/>
        <v>0</v>
      </c>
      <c r="H336" s="24">
        <f>Data!G336</f>
        <v>0</v>
      </c>
      <c r="I336" s="25">
        <f t="shared" si="41"/>
        <v>0</v>
      </c>
      <c r="J336" s="24">
        <f>Data!J336</f>
        <v>0</v>
      </c>
      <c r="K336" s="24">
        <f t="shared" si="42"/>
        <v>0</v>
      </c>
      <c r="L336" s="25">
        <f t="shared" si="43"/>
        <v>0</v>
      </c>
      <c r="M336" s="24">
        <f>Data!M336</f>
        <v>0</v>
      </c>
      <c r="N336" s="24">
        <f t="shared" si="44"/>
        <v>0</v>
      </c>
      <c r="O336" s="25">
        <f t="shared" si="45"/>
        <v>0</v>
      </c>
      <c r="P336" s="24">
        <f>Data!K336</f>
        <v>0</v>
      </c>
      <c r="Q336" s="24">
        <f>Data!I336</f>
        <v>0</v>
      </c>
      <c r="R336" s="25">
        <f t="shared" si="46"/>
        <v>0</v>
      </c>
      <c r="S336" s="25">
        <f t="shared" si="47"/>
        <v>0</v>
      </c>
    </row>
    <row r="337" spans="1:19" ht="15" customHeight="1" x14ac:dyDescent="0.3">
      <c r="A337" s="22"/>
      <c r="B337" s="23"/>
      <c r="C337" s="3"/>
      <c r="D337" s="23">
        <v>2019</v>
      </c>
      <c r="E337" s="24">
        <f>Data!F337</f>
        <v>356230000000</v>
      </c>
      <c r="F337" s="24">
        <f>Data!H337</f>
        <v>441964000000</v>
      </c>
      <c r="G337" s="24">
        <f t="shared" si="40"/>
        <v>-85734000000</v>
      </c>
      <c r="H337" s="24">
        <f>Data!G337</f>
        <v>6174958000000</v>
      </c>
      <c r="I337" s="25">
        <f t="shared" si="41"/>
        <v>-9.1079978195803102E-2</v>
      </c>
      <c r="J337" s="24">
        <f>Data!J337</f>
        <v>357371000000</v>
      </c>
      <c r="K337" s="24">
        <f t="shared" si="42"/>
        <v>6174958000000</v>
      </c>
      <c r="L337" s="25">
        <f t="shared" si="43"/>
        <v>0.18867002172322467</v>
      </c>
      <c r="M337" s="24">
        <f>Data!M337</f>
        <v>-19756000000</v>
      </c>
      <c r="N337" s="24">
        <f t="shared" si="44"/>
        <v>6174958000000</v>
      </c>
      <c r="O337" s="25">
        <f t="shared" si="45"/>
        <v>-2.1499793196973968E-2</v>
      </c>
      <c r="P337" s="24">
        <f>Data!K337</f>
        <v>969392000000</v>
      </c>
      <c r="Q337" s="24">
        <f>Data!I337</f>
        <v>5205566000000</v>
      </c>
      <c r="R337" s="25">
        <f t="shared" si="46"/>
        <v>0.19553331952759798</v>
      </c>
      <c r="S337" s="25">
        <f t="shared" si="47"/>
        <v>0.27162356985804559</v>
      </c>
    </row>
    <row r="338" spans="1:19" ht="15" customHeight="1" x14ac:dyDescent="0.3">
      <c r="A338" s="22"/>
      <c r="B338" s="23"/>
      <c r="C338" s="3"/>
      <c r="D338" s="23">
        <v>2020</v>
      </c>
      <c r="E338" s="24">
        <f>Data!F338</f>
        <v>380429000000</v>
      </c>
      <c r="F338" s="24">
        <f>Data!H338</f>
        <v>569840000000</v>
      </c>
      <c r="G338" s="24">
        <f t="shared" si="40"/>
        <v>-189411000000</v>
      </c>
      <c r="H338" s="24">
        <f>Data!G338</f>
        <v>6360147000000</v>
      </c>
      <c r="I338" s="25">
        <f t="shared" si="41"/>
        <v>-0.19536280529365121</v>
      </c>
      <c r="J338" s="24">
        <f>Data!J338</f>
        <v>418191000000</v>
      </c>
      <c r="K338" s="24">
        <f t="shared" si="42"/>
        <v>6360147000000</v>
      </c>
      <c r="L338" s="25">
        <f t="shared" si="43"/>
        <v>0.21435080981618823</v>
      </c>
      <c r="M338" s="24">
        <f>Data!M338</f>
        <v>105405000000</v>
      </c>
      <c r="N338" s="24">
        <f t="shared" si="44"/>
        <v>6360147000000</v>
      </c>
      <c r="O338" s="25">
        <f t="shared" si="45"/>
        <v>0.11136874666576102</v>
      </c>
      <c r="P338" s="24">
        <f>Data!K338</f>
        <v>1032687000000</v>
      </c>
      <c r="Q338" s="24">
        <f>Data!I338</f>
        <v>5327460000000</v>
      </c>
      <c r="R338" s="25">
        <f t="shared" si="46"/>
        <v>0.20353439537790993</v>
      </c>
      <c r="S338" s="25">
        <f t="shared" si="47"/>
        <v>0.333891146566208</v>
      </c>
    </row>
    <row r="339" spans="1:19" ht="15" customHeight="1" x14ac:dyDescent="0.3">
      <c r="A339" s="22"/>
      <c r="B339" s="23"/>
      <c r="C339" s="3"/>
      <c r="D339" s="23">
        <v>2021</v>
      </c>
      <c r="E339" s="24">
        <f>Data!F339</f>
        <v>387583000000</v>
      </c>
      <c r="F339" s="24">
        <f>Data!H339</f>
        <v>612450000000</v>
      </c>
      <c r="G339" s="24">
        <f t="shared" si="40"/>
        <v>-224867000000</v>
      </c>
      <c r="H339" s="24">
        <f>Data!G339</f>
        <v>6454782000000</v>
      </c>
      <c r="I339" s="25">
        <f t="shared" si="41"/>
        <v>-0.22853250814667328</v>
      </c>
      <c r="J339" s="24">
        <f>Data!J339</f>
        <v>534097000000</v>
      </c>
      <c r="K339" s="24">
        <f t="shared" si="42"/>
        <v>6454782000000</v>
      </c>
      <c r="L339" s="25">
        <f t="shared" si="43"/>
        <v>0.269746711817688</v>
      </c>
      <c r="M339" s="24">
        <f>Data!M339</f>
        <v>116694000000</v>
      </c>
      <c r="N339" s="24">
        <f t="shared" si="44"/>
        <v>6454782000000</v>
      </c>
      <c r="O339" s="25">
        <f t="shared" si="45"/>
        <v>0.1214887938895535</v>
      </c>
      <c r="P339" s="24">
        <f>Data!K339</f>
        <v>1149806000000</v>
      </c>
      <c r="Q339" s="24">
        <f>Data!I339</f>
        <v>5304976000000</v>
      </c>
      <c r="R339" s="25">
        <f t="shared" si="46"/>
        <v>0.22757808894894152</v>
      </c>
      <c r="S339" s="25">
        <f t="shared" si="47"/>
        <v>0.39028108650950977</v>
      </c>
    </row>
    <row r="340" spans="1:19" ht="15" customHeight="1" x14ac:dyDescent="0.3">
      <c r="A340" s="22"/>
      <c r="B340" s="23"/>
      <c r="C340" s="3"/>
      <c r="D340" s="23">
        <v>2022</v>
      </c>
      <c r="E340" s="24">
        <f>Data!F340</f>
        <v>569813000000</v>
      </c>
      <c r="F340" s="24">
        <f>Data!H340</f>
        <v>813361000000</v>
      </c>
      <c r="G340" s="24">
        <f t="shared" si="40"/>
        <v>-243548000000</v>
      </c>
      <c r="H340" s="24">
        <f>Data!G340</f>
        <v>6650529000000</v>
      </c>
      <c r="I340" s="25">
        <f t="shared" si="41"/>
        <v>-0.24023275140969988</v>
      </c>
      <c r="J340" s="24">
        <f>Data!J340</f>
        <v>604778000000</v>
      </c>
      <c r="K340" s="24">
        <f t="shared" si="42"/>
        <v>6650529000000</v>
      </c>
      <c r="L340" s="25">
        <f t="shared" si="43"/>
        <v>0.29645405350461596</v>
      </c>
      <c r="M340" s="24">
        <f>Data!M340</f>
        <v>53910000000</v>
      </c>
      <c r="N340" s="24">
        <f t="shared" si="44"/>
        <v>6650529000000</v>
      </c>
      <c r="O340" s="25">
        <f t="shared" si="45"/>
        <v>5.4473140407326988E-2</v>
      </c>
      <c r="P340" s="24">
        <f>Data!K340</f>
        <v>1219743000000</v>
      </c>
      <c r="Q340" s="24">
        <f>Data!I340</f>
        <v>5430786000000</v>
      </c>
      <c r="R340" s="25">
        <f t="shared" si="46"/>
        <v>0.23582776968195765</v>
      </c>
      <c r="S340" s="25">
        <f t="shared" si="47"/>
        <v>0.34652221218420071</v>
      </c>
    </row>
    <row r="341" spans="1:19" ht="15" customHeight="1" x14ac:dyDescent="0.3">
      <c r="A341" s="22"/>
      <c r="B341" s="23"/>
      <c r="C341" s="3"/>
      <c r="D341" s="23">
        <v>2023</v>
      </c>
      <c r="E341" s="24">
        <f>Data!F341</f>
        <v>557216000000</v>
      </c>
      <c r="F341" s="24">
        <f>Data!H341</f>
        <v>756234000000</v>
      </c>
      <c r="G341" s="24">
        <f t="shared" si="40"/>
        <v>-199018000000</v>
      </c>
      <c r="H341" s="24">
        <f>Data!G341</f>
        <v>7227612000000</v>
      </c>
      <c r="I341" s="25">
        <f t="shared" si="41"/>
        <v>-0.18063477674230438</v>
      </c>
      <c r="J341" s="24">
        <f>Data!J341</f>
        <v>533360000000</v>
      </c>
      <c r="K341" s="24">
        <f t="shared" si="42"/>
        <v>7227612000000</v>
      </c>
      <c r="L341" s="25">
        <f t="shared" si="43"/>
        <v>0.24057096590132396</v>
      </c>
      <c r="M341" s="24">
        <f>Data!M341</f>
        <v>-69182000000</v>
      </c>
      <c r="N341" s="24">
        <f t="shared" si="44"/>
        <v>7227612000000</v>
      </c>
      <c r="O341" s="25">
        <f t="shared" si="45"/>
        <v>-6.4323187243587501E-2</v>
      </c>
      <c r="P341" s="24">
        <f>Data!K341</f>
        <v>1730285000000</v>
      </c>
      <c r="Q341" s="24">
        <f>Data!I341</f>
        <v>5497327000000</v>
      </c>
      <c r="R341" s="25">
        <f t="shared" si="46"/>
        <v>0.33048775341179454</v>
      </c>
      <c r="S341" s="25">
        <f t="shared" si="47"/>
        <v>0.3261007553272266</v>
      </c>
    </row>
    <row r="342" spans="1:19" ht="15" customHeight="1" x14ac:dyDescent="0.3">
      <c r="A342" s="22"/>
      <c r="B342" s="23"/>
      <c r="C342" s="3"/>
      <c r="D342" s="23">
        <v>2024</v>
      </c>
      <c r="E342" s="24">
        <f>Data!F342</f>
        <v>333899000000</v>
      </c>
      <c r="F342" s="24">
        <f>Data!H342</f>
        <v>498213000000</v>
      </c>
      <c r="G342" s="24">
        <f t="shared" si="40"/>
        <v>-164314000000</v>
      </c>
      <c r="H342" s="24">
        <f>Data!G342</f>
        <v>6708375000000</v>
      </c>
      <c r="I342" s="25">
        <f t="shared" si="41"/>
        <v>-0.16067972347997836</v>
      </c>
      <c r="J342" s="24">
        <f>Data!J342</f>
        <v>509430000000</v>
      </c>
      <c r="K342" s="24">
        <f t="shared" si="42"/>
        <v>6708375000000</v>
      </c>
      <c r="L342" s="25">
        <f t="shared" si="43"/>
        <v>0.24756245737604113</v>
      </c>
      <c r="M342" s="24">
        <f>Data!M342</f>
        <v>-52914000000</v>
      </c>
      <c r="N342" s="24">
        <f t="shared" si="44"/>
        <v>6708375000000</v>
      </c>
      <c r="O342" s="25">
        <f t="shared" si="45"/>
        <v>-5.3005695119906084E-2</v>
      </c>
      <c r="P342" s="24">
        <f>Data!K342</f>
        <v>1688487000000</v>
      </c>
      <c r="Q342" s="24">
        <f>Data!I342</f>
        <v>5019888000000</v>
      </c>
      <c r="R342" s="25">
        <f t="shared" si="46"/>
        <v>0.35317747129019611</v>
      </c>
      <c r="S342" s="25">
        <f t="shared" si="47"/>
        <v>0.38705451006635277</v>
      </c>
    </row>
    <row r="343" spans="1:19" ht="15" customHeight="1" x14ac:dyDescent="0.3">
      <c r="A343" s="22"/>
      <c r="B343" s="23">
        <v>32</v>
      </c>
      <c r="C343" s="3" t="s">
        <v>7</v>
      </c>
      <c r="D343" s="23">
        <v>2014</v>
      </c>
      <c r="E343" s="24">
        <f>Data!F343</f>
        <v>0</v>
      </c>
      <c r="F343" s="24">
        <f>Data!H343</f>
        <v>0</v>
      </c>
      <c r="G343" s="24">
        <f t="shared" si="40"/>
        <v>0</v>
      </c>
      <c r="H343" s="24">
        <f>Data!G343</f>
        <v>0</v>
      </c>
      <c r="I343" s="25">
        <f t="shared" si="41"/>
        <v>0</v>
      </c>
      <c r="J343" s="24">
        <f>Data!J343</f>
        <v>0</v>
      </c>
      <c r="K343" s="24">
        <f t="shared" si="42"/>
        <v>0</v>
      </c>
      <c r="L343" s="25">
        <f t="shared" si="43"/>
        <v>0</v>
      </c>
      <c r="M343" s="24">
        <f>Data!M343</f>
        <v>0</v>
      </c>
      <c r="N343" s="24">
        <f t="shared" si="44"/>
        <v>0</v>
      </c>
      <c r="O343" s="25">
        <f t="shared" si="45"/>
        <v>0</v>
      </c>
      <c r="P343" s="24">
        <f>Data!K343</f>
        <v>0</v>
      </c>
      <c r="Q343" s="24">
        <f>Data!I343</f>
        <v>0</v>
      </c>
      <c r="R343" s="25">
        <f t="shared" si="46"/>
        <v>0</v>
      </c>
      <c r="S343" s="25">
        <f t="shared" si="47"/>
        <v>0</v>
      </c>
    </row>
    <row r="344" spans="1:19" ht="15" customHeight="1" x14ac:dyDescent="0.3">
      <c r="A344" s="22"/>
      <c r="B344" s="23"/>
      <c r="C344" s="3"/>
      <c r="D344" s="23">
        <v>2015</v>
      </c>
      <c r="E344" s="24">
        <f>Data!F344</f>
        <v>0</v>
      </c>
      <c r="F344" s="24">
        <f>Data!H344</f>
        <v>0</v>
      </c>
      <c r="G344" s="24">
        <f t="shared" si="40"/>
        <v>0</v>
      </c>
      <c r="H344" s="24">
        <f>Data!G344</f>
        <v>0</v>
      </c>
      <c r="I344" s="25">
        <f t="shared" si="41"/>
        <v>0</v>
      </c>
      <c r="J344" s="24">
        <f>Data!J344</f>
        <v>0</v>
      </c>
      <c r="K344" s="24">
        <f t="shared" si="42"/>
        <v>0</v>
      </c>
      <c r="L344" s="25">
        <f t="shared" si="43"/>
        <v>0</v>
      </c>
      <c r="M344" s="24">
        <f>Data!M344</f>
        <v>0</v>
      </c>
      <c r="N344" s="24">
        <f t="shared" si="44"/>
        <v>0</v>
      </c>
      <c r="O344" s="25">
        <f t="shared" si="45"/>
        <v>0</v>
      </c>
      <c r="P344" s="24">
        <f>Data!K344</f>
        <v>0</v>
      </c>
      <c r="Q344" s="24">
        <f>Data!I344</f>
        <v>0</v>
      </c>
      <c r="R344" s="25">
        <f t="shared" si="46"/>
        <v>0</v>
      </c>
      <c r="S344" s="25">
        <f t="shared" si="47"/>
        <v>0</v>
      </c>
    </row>
    <row r="345" spans="1:19" ht="15" customHeight="1" x14ac:dyDescent="0.3">
      <c r="A345" s="22"/>
      <c r="B345" s="23"/>
      <c r="C345" s="3"/>
      <c r="D345" s="23">
        <v>2016</v>
      </c>
      <c r="E345" s="24">
        <f>Data!F345</f>
        <v>25787319000000</v>
      </c>
      <c r="F345" s="24">
        <f>Data!H345</f>
        <v>1720967000000</v>
      </c>
      <c r="G345" s="24">
        <f t="shared" si="40"/>
        <v>24066352000000</v>
      </c>
      <c r="H345" s="24">
        <f>Data!G345</f>
        <v>25983699000000</v>
      </c>
      <c r="I345" s="25">
        <f t="shared" si="41"/>
        <v>6.0759351130106607</v>
      </c>
      <c r="J345" s="24">
        <f>Data!J345</f>
        <v>2211114000000</v>
      </c>
      <c r="K345" s="24">
        <f t="shared" si="42"/>
        <v>25983699000000</v>
      </c>
      <c r="L345" s="25">
        <f t="shared" si="43"/>
        <v>0.27741360612282334</v>
      </c>
      <c r="M345" s="24">
        <f>Data!M345</f>
        <v>1658473000000</v>
      </c>
      <c r="N345" s="24">
        <f t="shared" si="44"/>
        <v>25983699000000</v>
      </c>
      <c r="O345" s="25">
        <f t="shared" si="45"/>
        <v>0.42892039967057805</v>
      </c>
      <c r="P345" s="24">
        <f>Data!K345</f>
        <v>2324120000000</v>
      </c>
      <c r="Q345" s="24">
        <f>Data!I345</f>
        <v>23639751000000</v>
      </c>
      <c r="R345" s="25">
        <f t="shared" si="46"/>
        <v>0.10322976752166298</v>
      </c>
      <c r="S345" s="25">
        <f t="shared" si="47"/>
        <v>6.8854988863257249</v>
      </c>
    </row>
    <row r="346" spans="1:19" ht="15" customHeight="1" x14ac:dyDescent="0.3">
      <c r="A346" s="22"/>
      <c r="B346" s="23"/>
      <c r="C346" s="3"/>
      <c r="D346" s="23">
        <v>2017</v>
      </c>
      <c r="E346" s="24">
        <f>Data!F346</f>
        <v>30079993000000</v>
      </c>
      <c r="F346" s="24">
        <f>Data!H346</f>
        <v>1500873000000</v>
      </c>
      <c r="G346" s="24">
        <f t="shared" si="40"/>
        <v>28579120000000</v>
      </c>
      <c r="H346" s="24">
        <f>Data!G346</f>
        <v>30228537000000</v>
      </c>
      <c r="I346" s="25">
        <f t="shared" si="41"/>
        <v>6.20205427738696</v>
      </c>
      <c r="J346" s="24">
        <f>Data!J346</f>
        <v>1986513000000</v>
      </c>
      <c r="K346" s="24">
        <f t="shared" si="42"/>
        <v>30228537000000</v>
      </c>
      <c r="L346" s="25">
        <f t="shared" si="43"/>
        <v>0.21423571971081495</v>
      </c>
      <c r="M346" s="24">
        <f>Data!M346</f>
        <v>1245208000000</v>
      </c>
      <c r="N346" s="24">
        <f t="shared" si="44"/>
        <v>30228537000000</v>
      </c>
      <c r="O346" s="25">
        <f t="shared" si="45"/>
        <v>0.27681782151746209</v>
      </c>
      <c r="P346" s="24">
        <f>Data!K346</f>
        <v>2170217000000</v>
      </c>
      <c r="Q346" s="24">
        <f>Data!I346</f>
        <v>28026604000000</v>
      </c>
      <c r="R346" s="25">
        <f t="shared" si="46"/>
        <v>8.1305885293844374E-2</v>
      </c>
      <c r="S346" s="25">
        <f t="shared" si="47"/>
        <v>6.7744137039090813</v>
      </c>
    </row>
    <row r="347" spans="1:19" ht="15" customHeight="1" x14ac:dyDescent="0.3">
      <c r="A347" s="22"/>
      <c r="B347" s="23"/>
      <c r="C347" s="3"/>
      <c r="D347" s="23">
        <v>2018</v>
      </c>
      <c r="E347" s="24">
        <f>Data!F347</f>
        <v>29465588000000</v>
      </c>
      <c r="F347" s="24">
        <f>Data!H347</f>
        <v>1309073000000</v>
      </c>
      <c r="G347" s="24">
        <f t="shared" si="40"/>
        <v>28156515000000</v>
      </c>
      <c r="H347" s="24">
        <f>Data!G347</f>
        <v>29576153000000</v>
      </c>
      <c r="I347" s="25">
        <f t="shared" si="41"/>
        <v>6.2451238469046322</v>
      </c>
      <c r="J347" s="24">
        <f>Data!J347</f>
        <v>2225471000000</v>
      </c>
      <c r="K347" s="24">
        <f t="shared" si="42"/>
        <v>29576153000000</v>
      </c>
      <c r="L347" s="25">
        <f t="shared" si="43"/>
        <v>0.24530017342011992</v>
      </c>
      <c r="M347" s="24">
        <f>Data!M347</f>
        <v>1257616000000</v>
      </c>
      <c r="N347" s="24">
        <f t="shared" si="44"/>
        <v>29576153000000</v>
      </c>
      <c r="O347" s="25">
        <f t="shared" si="45"/>
        <v>0.28574302817543579</v>
      </c>
      <c r="P347" s="24">
        <f>Data!K347</f>
        <v>2278251000000</v>
      </c>
      <c r="Q347" s="24">
        <f>Data!I347</f>
        <v>27260085000000</v>
      </c>
      <c r="R347" s="25">
        <f t="shared" si="46"/>
        <v>8.7753341561480833E-2</v>
      </c>
      <c r="S347" s="25">
        <f t="shared" si="47"/>
        <v>6.8639203900616685</v>
      </c>
    </row>
    <row r="348" spans="1:19" ht="15" customHeight="1" x14ac:dyDescent="0.3">
      <c r="A348" s="22"/>
      <c r="B348" s="23"/>
      <c r="C348" s="3"/>
      <c r="D348" s="23">
        <v>2019</v>
      </c>
      <c r="E348" s="24">
        <f>Data!F348</f>
        <v>32640583000000</v>
      </c>
      <c r="F348" s="24">
        <f>Data!H348</f>
        <v>1405292000000</v>
      </c>
      <c r="G348" s="24">
        <f t="shared" si="40"/>
        <v>31235291000000</v>
      </c>
      <c r="H348" s="24">
        <f>Data!G348</f>
        <v>32753111000000</v>
      </c>
      <c r="I348" s="25">
        <f t="shared" si="41"/>
        <v>6.2560014210558501</v>
      </c>
      <c r="J348" s="24">
        <f>Data!J348</f>
        <v>2754107000000</v>
      </c>
      <c r="K348" s="24">
        <f t="shared" si="42"/>
        <v>32753111000000</v>
      </c>
      <c r="L348" s="25">
        <f t="shared" si="43"/>
        <v>0.27412323733156213</v>
      </c>
      <c r="M348" s="24">
        <f>Data!M348</f>
        <v>1166293000000</v>
      </c>
      <c r="N348" s="24">
        <f t="shared" si="44"/>
        <v>32753111000000</v>
      </c>
      <c r="O348" s="25">
        <f t="shared" si="45"/>
        <v>0.2392899092852584</v>
      </c>
      <c r="P348" s="24">
        <f>Data!K348</f>
        <v>2905341000000</v>
      </c>
      <c r="Q348" s="24">
        <f>Data!I348</f>
        <v>29809992000000</v>
      </c>
      <c r="R348" s="25">
        <f t="shared" si="46"/>
        <v>0.10233508449113304</v>
      </c>
      <c r="S348" s="25">
        <f t="shared" si="47"/>
        <v>6.8717496521638033</v>
      </c>
    </row>
    <row r="349" spans="1:19" ht="15" customHeight="1" x14ac:dyDescent="0.3">
      <c r="A349" s="22"/>
      <c r="B349" s="23"/>
      <c r="C349" s="3"/>
      <c r="D349" s="23">
        <v>2020</v>
      </c>
      <c r="E349" s="24">
        <f>Data!F349</f>
        <v>1475242000000</v>
      </c>
      <c r="F349" s="24">
        <f>Data!H349</f>
        <v>2048920000000</v>
      </c>
      <c r="G349" s="24">
        <f t="shared" si="40"/>
        <v>-573678000000</v>
      </c>
      <c r="H349" s="24">
        <f>Data!G349</f>
        <v>37555991000000</v>
      </c>
      <c r="I349" s="25">
        <f t="shared" si="41"/>
        <v>-0.10020578820566869</v>
      </c>
      <c r="J349" s="24">
        <f>Data!J349</f>
        <v>2756366000000</v>
      </c>
      <c r="K349" s="24">
        <f t="shared" si="42"/>
        <v>37555991000000</v>
      </c>
      <c r="L349" s="25">
        <f t="shared" si="43"/>
        <v>0.23926284251159821</v>
      </c>
      <c r="M349" s="24">
        <f>Data!M349</f>
        <v>1127741000000</v>
      </c>
      <c r="N349" s="24">
        <f t="shared" si="44"/>
        <v>37555991000000</v>
      </c>
      <c r="O349" s="25">
        <f t="shared" si="45"/>
        <v>0.20178989605147152</v>
      </c>
      <c r="P349" s="24">
        <f>Data!K349</f>
        <v>2991652000000</v>
      </c>
      <c r="Q349" s="24">
        <f>Data!I349</f>
        <v>34520466000000</v>
      </c>
      <c r="R349" s="25">
        <f t="shared" si="46"/>
        <v>9.0996297674544729E-2</v>
      </c>
      <c r="S349" s="25">
        <f t="shared" si="47"/>
        <v>0.43184324803194574</v>
      </c>
    </row>
    <row r="350" spans="1:19" ht="15" customHeight="1" x14ac:dyDescent="0.3">
      <c r="A350" s="22"/>
      <c r="B350" s="23"/>
      <c r="C350" s="3"/>
      <c r="D350" s="23">
        <v>2021</v>
      </c>
      <c r="E350" s="24">
        <f>Data!F350</f>
        <v>1489744000000</v>
      </c>
      <c r="F350" s="24">
        <f>Data!H350</f>
        <v>2694084000000</v>
      </c>
      <c r="G350" s="24">
        <f t="shared" si="40"/>
        <v>-1204340000000</v>
      </c>
      <c r="H350" s="24">
        <f>Data!G350</f>
        <v>41079324000000</v>
      </c>
      <c r="I350" s="25">
        <f t="shared" si="41"/>
        <v>-0.19232230793281796</v>
      </c>
      <c r="J350" s="24">
        <f>Data!J350</f>
        <v>2795995000000</v>
      </c>
      <c r="K350" s="24">
        <f t="shared" si="42"/>
        <v>41079324000000</v>
      </c>
      <c r="L350" s="25">
        <f t="shared" si="43"/>
        <v>0.2218864093284495</v>
      </c>
      <c r="M350" s="24">
        <f>Data!M350</f>
        <v>1165829000000</v>
      </c>
      <c r="N350" s="24">
        <f t="shared" si="44"/>
        <v>41079324000000</v>
      </c>
      <c r="O350" s="25">
        <f t="shared" si="45"/>
        <v>0.19071323763750347</v>
      </c>
      <c r="P350" s="24">
        <f>Data!K350</f>
        <v>3026262000000</v>
      </c>
      <c r="Q350" s="24">
        <f>Data!I350</f>
        <v>38016882000000</v>
      </c>
      <c r="R350" s="25">
        <f t="shared" si="46"/>
        <v>8.358326440343003E-2</v>
      </c>
      <c r="S350" s="25">
        <f t="shared" si="47"/>
        <v>0.30386060343656507</v>
      </c>
    </row>
    <row r="351" spans="1:19" ht="15" customHeight="1" x14ac:dyDescent="0.3">
      <c r="A351" s="22"/>
      <c r="B351" s="23"/>
      <c r="C351" s="3"/>
      <c r="D351" s="23">
        <v>2022</v>
      </c>
      <c r="E351" s="24">
        <f>Data!F351</f>
        <v>2577850000000</v>
      </c>
      <c r="F351" s="24">
        <f>Data!H351</f>
        <v>2445401000000</v>
      </c>
      <c r="G351" s="24">
        <f t="shared" si="40"/>
        <v>132449000000</v>
      </c>
      <c r="H351" s="24">
        <f>Data!G351</f>
        <v>40154026000000</v>
      </c>
      <c r="I351" s="25">
        <f t="shared" si="41"/>
        <v>2.1638314424561062E-2</v>
      </c>
      <c r="J351" s="24">
        <f>Data!J351</f>
        <v>3065309000000</v>
      </c>
      <c r="K351" s="24">
        <f t="shared" si="42"/>
        <v>40154026000000</v>
      </c>
      <c r="L351" s="25">
        <f t="shared" si="43"/>
        <v>0.24886439382192957</v>
      </c>
      <c r="M351" s="24">
        <f>Data!M351</f>
        <v>1417814000000</v>
      </c>
      <c r="N351" s="24">
        <f t="shared" si="44"/>
        <v>40154026000000</v>
      </c>
      <c r="O351" s="25">
        <f t="shared" si="45"/>
        <v>0.23727907333625775</v>
      </c>
      <c r="P351" s="24">
        <f>Data!K351</f>
        <v>3236456000000</v>
      </c>
      <c r="Q351" s="24">
        <f>Data!I351</f>
        <v>36880066000000</v>
      </c>
      <c r="R351" s="25">
        <f t="shared" si="46"/>
        <v>9.2144054189057037E-2</v>
      </c>
      <c r="S351" s="25">
        <f t="shared" si="47"/>
        <v>0.59992583577180536</v>
      </c>
    </row>
    <row r="352" spans="1:19" ht="15" customHeight="1" x14ac:dyDescent="0.3">
      <c r="A352" s="22"/>
      <c r="B352" s="23"/>
      <c r="C352" s="3"/>
      <c r="D352" s="23">
        <v>2023</v>
      </c>
      <c r="E352" s="24">
        <f>Data!F352</f>
        <v>2388864000000</v>
      </c>
      <c r="F352" s="24">
        <f>Data!H352</f>
        <v>2731143000000</v>
      </c>
      <c r="G352" s="24">
        <f t="shared" si="40"/>
        <v>-342279000000</v>
      </c>
      <c r="H352" s="24">
        <f>Data!G352</f>
        <v>41114473000000</v>
      </c>
      <c r="I352" s="25">
        <f t="shared" si="41"/>
        <v>-5.4612161513051614E-2</v>
      </c>
      <c r="J352" s="24">
        <f>Data!J352</f>
        <v>3420213000000</v>
      </c>
      <c r="K352" s="24">
        <f t="shared" si="42"/>
        <v>41114473000000</v>
      </c>
      <c r="L352" s="25">
        <f t="shared" si="43"/>
        <v>0.27119147021536671</v>
      </c>
      <c r="M352" s="24">
        <f>Data!M352</f>
        <v>1565072000000</v>
      </c>
      <c r="N352" s="24">
        <f t="shared" si="44"/>
        <v>41114473000000</v>
      </c>
      <c r="O352" s="25">
        <f t="shared" si="45"/>
        <v>0.25580490451622717</v>
      </c>
      <c r="P352" s="24">
        <f>Data!K352</f>
        <v>3619255000000</v>
      </c>
      <c r="Q352" s="24">
        <f>Data!I352</f>
        <v>37446703000000</v>
      </c>
      <c r="R352" s="25">
        <f t="shared" si="46"/>
        <v>0.10148337358298272</v>
      </c>
      <c r="S352" s="25">
        <f t="shared" si="47"/>
        <v>0.57386758680152505</v>
      </c>
    </row>
    <row r="353" spans="1:19" ht="15" customHeight="1" x14ac:dyDescent="0.3">
      <c r="A353" s="22"/>
      <c r="B353" s="23"/>
      <c r="C353" s="3"/>
      <c r="D353" s="23">
        <v>2024</v>
      </c>
      <c r="E353" s="24">
        <f>Data!F353</f>
        <v>3247095000000</v>
      </c>
      <c r="F353" s="24">
        <f>Data!H353</f>
        <v>2761524000000</v>
      </c>
      <c r="G353" s="24">
        <f t="shared" si="40"/>
        <v>485571000000</v>
      </c>
      <c r="H353" s="24">
        <f>Data!G353</f>
        <v>41914379000000</v>
      </c>
      <c r="I353" s="25">
        <f t="shared" si="41"/>
        <v>7.5996491800582322E-2</v>
      </c>
      <c r="J353" s="24">
        <f>Data!J353</f>
        <v>3659553000000</v>
      </c>
      <c r="K353" s="24">
        <f t="shared" si="42"/>
        <v>41914379000000</v>
      </c>
      <c r="L353" s="25">
        <f t="shared" si="43"/>
        <v>0.28463126651596105</v>
      </c>
      <c r="M353" s="24">
        <f>Data!M353</f>
        <v>1579316000000</v>
      </c>
      <c r="N353" s="24">
        <f t="shared" si="44"/>
        <v>41914379000000</v>
      </c>
      <c r="O353" s="25">
        <f t="shared" si="45"/>
        <v>0.25320674606678534</v>
      </c>
      <c r="P353" s="24">
        <f>Data!K353</f>
        <v>3812640000000</v>
      </c>
      <c r="Q353" s="24">
        <f>Data!I353</f>
        <v>37465317000000</v>
      </c>
      <c r="R353" s="25">
        <f t="shared" si="46"/>
        <v>0.10685274596769061</v>
      </c>
      <c r="S353" s="25">
        <f t="shared" si="47"/>
        <v>0.72068725035101922</v>
      </c>
    </row>
    <row r="354" spans="1:19" ht="15" customHeight="1" x14ac:dyDescent="0.3">
      <c r="A354" s="22"/>
      <c r="B354" s="23">
        <v>33</v>
      </c>
      <c r="C354" s="3" t="s">
        <v>30</v>
      </c>
      <c r="D354" s="23">
        <v>2014</v>
      </c>
      <c r="E354" s="24">
        <f>Data!F354</f>
        <v>0</v>
      </c>
      <c r="F354" s="24">
        <f>Data!H354</f>
        <v>0</v>
      </c>
      <c r="G354" s="24">
        <f t="shared" si="40"/>
        <v>0</v>
      </c>
      <c r="H354" s="24">
        <f>Data!G354</f>
        <v>0</v>
      </c>
      <c r="I354" s="25">
        <f t="shared" si="41"/>
        <v>0</v>
      </c>
      <c r="J354" s="24">
        <f>Data!J354</f>
        <v>0</v>
      </c>
      <c r="K354" s="24">
        <f t="shared" si="42"/>
        <v>0</v>
      </c>
      <c r="L354" s="25">
        <f t="shared" si="43"/>
        <v>0</v>
      </c>
      <c r="M354" s="24">
        <f>Data!M354</f>
        <v>0</v>
      </c>
      <c r="N354" s="24">
        <f t="shared" si="44"/>
        <v>0</v>
      </c>
      <c r="O354" s="25">
        <f t="shared" si="45"/>
        <v>0</v>
      </c>
      <c r="P354" s="24">
        <f>Data!K354</f>
        <v>0</v>
      </c>
      <c r="Q354" s="24">
        <f>Data!I354</f>
        <v>0</v>
      </c>
      <c r="R354" s="25">
        <f t="shared" si="46"/>
        <v>0</v>
      </c>
      <c r="S354" s="25">
        <f t="shared" si="47"/>
        <v>0</v>
      </c>
    </row>
    <row r="355" spans="1:19" ht="15" customHeight="1" x14ac:dyDescent="0.3">
      <c r="A355" s="22"/>
      <c r="B355" s="23"/>
      <c r="C355" s="3"/>
      <c r="D355" s="23">
        <v>2015</v>
      </c>
      <c r="E355" s="24">
        <f>Data!F355</f>
        <v>0</v>
      </c>
      <c r="F355" s="24">
        <f>Data!H355</f>
        <v>0</v>
      </c>
      <c r="G355" s="24">
        <f t="shared" si="40"/>
        <v>0</v>
      </c>
      <c r="H355" s="24">
        <f>Data!G355</f>
        <v>0</v>
      </c>
      <c r="I355" s="25">
        <f t="shared" si="41"/>
        <v>0</v>
      </c>
      <c r="J355" s="24">
        <f>Data!J355</f>
        <v>0</v>
      </c>
      <c r="K355" s="24">
        <f t="shared" si="42"/>
        <v>0</v>
      </c>
      <c r="L355" s="25">
        <f t="shared" si="43"/>
        <v>0</v>
      </c>
      <c r="M355" s="24">
        <f>Data!M355</f>
        <v>0</v>
      </c>
      <c r="N355" s="24">
        <f t="shared" si="44"/>
        <v>0</v>
      </c>
      <c r="O355" s="25">
        <f t="shared" si="45"/>
        <v>0</v>
      </c>
      <c r="P355" s="24">
        <f>Data!K355</f>
        <v>0</v>
      </c>
      <c r="Q355" s="24">
        <f>Data!I355</f>
        <v>0</v>
      </c>
      <c r="R355" s="25">
        <f t="shared" si="46"/>
        <v>0</v>
      </c>
      <c r="S355" s="25">
        <f t="shared" si="47"/>
        <v>0</v>
      </c>
    </row>
    <row r="356" spans="1:19" ht="15" customHeight="1" x14ac:dyDescent="0.3">
      <c r="A356" s="22"/>
      <c r="B356" s="23"/>
      <c r="C356" s="3"/>
      <c r="D356" s="23">
        <v>2016</v>
      </c>
      <c r="E356" s="24">
        <f>Data!F356</f>
        <v>80237930000</v>
      </c>
      <c r="F356" s="24">
        <f>Data!H356</f>
        <v>101000000</v>
      </c>
      <c r="G356" s="24">
        <f t="shared" si="40"/>
        <v>80136930000</v>
      </c>
      <c r="H356" s="24">
        <f>Data!G356</f>
        <v>100237930000</v>
      </c>
      <c r="I356" s="25">
        <f t="shared" si="41"/>
        <v>5.2445043587791567</v>
      </c>
      <c r="J356" s="24">
        <f>Data!J356</f>
        <v>136930000</v>
      </c>
      <c r="K356" s="24">
        <f t="shared" si="42"/>
        <v>100237930000</v>
      </c>
      <c r="L356" s="25">
        <f t="shared" si="43"/>
        <v>4.4533222104646414E-3</v>
      </c>
      <c r="M356" s="24">
        <f>Data!M356</f>
        <v>136930000</v>
      </c>
      <c r="N356" s="24">
        <f t="shared" si="44"/>
        <v>100237930000</v>
      </c>
      <c r="O356" s="25">
        <f t="shared" si="45"/>
        <v>9.1798543724915319E-3</v>
      </c>
      <c r="P356" s="24">
        <f>Data!K356</f>
        <v>100136930000</v>
      </c>
      <c r="Q356" s="24">
        <f>Data!I356</f>
        <v>101000000</v>
      </c>
      <c r="R356" s="25">
        <f t="shared" si="46"/>
        <v>1041.02749009901</v>
      </c>
      <c r="S356" s="25">
        <f t="shared" si="47"/>
        <v>1046.2856276343721</v>
      </c>
    </row>
    <row r="357" spans="1:19" ht="15" customHeight="1" x14ac:dyDescent="0.3">
      <c r="A357" s="22"/>
      <c r="B357" s="23"/>
      <c r="C357" s="3"/>
      <c r="D357" s="23">
        <v>2017</v>
      </c>
      <c r="E357" s="24">
        <f>Data!F357</f>
        <v>26155719999.999996</v>
      </c>
      <c r="F357" s="24">
        <f>Data!H357</f>
        <v>91991920000</v>
      </c>
      <c r="G357" s="24">
        <f t="shared" si="40"/>
        <v>-65836200000</v>
      </c>
      <c r="H357" s="24">
        <f>Data!G357</f>
        <v>1237823420000</v>
      </c>
      <c r="I357" s="25">
        <f t="shared" si="41"/>
        <v>-0.34890717449828185</v>
      </c>
      <c r="J357" s="24">
        <f>Data!J357</f>
        <v>-47521530000</v>
      </c>
      <c r="K357" s="24">
        <f t="shared" si="42"/>
        <v>1237823420000</v>
      </c>
      <c r="L357" s="25">
        <f t="shared" si="43"/>
        <v>-0.12515532126545156</v>
      </c>
      <c r="M357" s="24">
        <f>Data!M357</f>
        <v>-55721520000</v>
      </c>
      <c r="N357" s="24">
        <f t="shared" si="44"/>
        <v>1237823420000</v>
      </c>
      <c r="O357" s="25">
        <f t="shared" si="45"/>
        <v>-0.3025056792026119</v>
      </c>
      <c r="P357" s="24">
        <f>Data!K357</f>
        <v>611553110000</v>
      </c>
      <c r="Q357" s="24">
        <f>Data!I357</f>
        <v>626270310000</v>
      </c>
      <c r="R357" s="25">
        <f t="shared" si="46"/>
        <v>1.0253252553198635</v>
      </c>
      <c r="S357" s="25">
        <f t="shared" si="47"/>
        <v>0.24875708035351818</v>
      </c>
    </row>
    <row r="358" spans="1:19" ht="15" customHeight="1" x14ac:dyDescent="0.3">
      <c r="A358" s="22"/>
      <c r="B358" s="23"/>
      <c r="C358" s="3"/>
      <c r="D358" s="23">
        <v>2018</v>
      </c>
      <c r="E358" s="24">
        <f>Data!F358</f>
        <v>93292000000</v>
      </c>
      <c r="F358" s="24">
        <f>Data!H358</f>
        <v>138570000000</v>
      </c>
      <c r="G358" s="24">
        <f t="shared" si="40"/>
        <v>-45278000000</v>
      </c>
      <c r="H358" s="24">
        <f>Data!G358</f>
        <v>1679206000000</v>
      </c>
      <c r="I358" s="25">
        <f t="shared" si="41"/>
        <v>-0.17688340799163413</v>
      </c>
      <c r="J358" s="24">
        <f>Data!J358</f>
        <v>-40150000000</v>
      </c>
      <c r="K358" s="24">
        <f t="shared" si="42"/>
        <v>1679206000000</v>
      </c>
      <c r="L358" s="25">
        <f t="shared" si="43"/>
        <v>-7.7946958264798957E-2</v>
      </c>
      <c r="M358" s="24">
        <f>Data!M358</f>
        <v>9385000000</v>
      </c>
      <c r="N358" s="24">
        <f t="shared" si="44"/>
        <v>1679206000000</v>
      </c>
      <c r="O358" s="25">
        <f t="shared" si="45"/>
        <v>3.7557750508275936E-2</v>
      </c>
      <c r="P358" s="24">
        <f>Data!K358</f>
        <v>629552000000</v>
      </c>
      <c r="Q358" s="24">
        <f>Data!I358</f>
        <v>1049654000000</v>
      </c>
      <c r="R358" s="25">
        <f t="shared" si="46"/>
        <v>0.62975952075636354</v>
      </c>
      <c r="S358" s="25">
        <f t="shared" si="47"/>
        <v>0.41248690500820639</v>
      </c>
    </row>
    <row r="359" spans="1:19" ht="15" customHeight="1" x14ac:dyDescent="0.3">
      <c r="A359" s="22"/>
      <c r="B359" s="23"/>
      <c r="C359" s="3"/>
      <c r="D359" s="23">
        <v>2019</v>
      </c>
      <c r="E359" s="24">
        <f>Data!F359</f>
        <v>248608000000</v>
      </c>
      <c r="F359" s="24">
        <f>Data!H359</f>
        <v>309747000000</v>
      </c>
      <c r="G359" s="24">
        <f t="shared" si="40"/>
        <v>-61139000000</v>
      </c>
      <c r="H359" s="24">
        <f>Data!G359</f>
        <v>1939912000000</v>
      </c>
      <c r="I359" s="25">
        <f t="shared" si="41"/>
        <v>-0.20674744009006593</v>
      </c>
      <c r="J359" s="24">
        <f>Data!J359</f>
        <v>-13361000000</v>
      </c>
      <c r="K359" s="24">
        <f t="shared" si="42"/>
        <v>1939912000000</v>
      </c>
      <c r="L359" s="25">
        <f t="shared" si="43"/>
        <v>-2.2453008177690532E-2</v>
      </c>
      <c r="M359" s="24">
        <f>Data!M359</f>
        <v>33474000000</v>
      </c>
      <c r="N359" s="24">
        <f t="shared" si="44"/>
        <v>1939912000000</v>
      </c>
      <c r="O359" s="25">
        <f t="shared" si="45"/>
        <v>0.11595643513726396</v>
      </c>
      <c r="P359" s="24">
        <f>Data!K359</f>
        <v>666898000000</v>
      </c>
      <c r="Q359" s="24">
        <f>Data!I359</f>
        <v>1273014000000</v>
      </c>
      <c r="R359" s="25">
        <f t="shared" si="46"/>
        <v>0.55006692777927035</v>
      </c>
      <c r="S359" s="25">
        <f t="shared" si="47"/>
        <v>0.43682291464877787</v>
      </c>
    </row>
    <row r="360" spans="1:19" ht="15" customHeight="1" x14ac:dyDescent="0.3">
      <c r="A360" s="22"/>
      <c r="B360" s="23"/>
      <c r="C360" s="3"/>
      <c r="D360" s="23">
        <v>2020</v>
      </c>
      <c r="E360" s="24">
        <f>Data!F360</f>
        <v>395997000000</v>
      </c>
      <c r="F360" s="24">
        <f>Data!H360</f>
        <v>88465000000</v>
      </c>
      <c r="G360" s="24">
        <f t="shared" si="40"/>
        <v>307532000000</v>
      </c>
      <c r="H360" s="24">
        <f>Data!G360</f>
        <v>1342235000000</v>
      </c>
      <c r="I360" s="25">
        <f t="shared" si="41"/>
        <v>1.5030228834742052</v>
      </c>
      <c r="J360" s="24">
        <f>Data!J360</f>
        <v>-133523000000</v>
      </c>
      <c r="K360" s="24">
        <f t="shared" si="42"/>
        <v>1342235000000</v>
      </c>
      <c r="L360" s="25">
        <f t="shared" si="43"/>
        <v>-0.32429863622987026</v>
      </c>
      <c r="M360" s="24">
        <f>Data!M360</f>
        <v>-199232000000</v>
      </c>
      <c r="N360" s="24">
        <f t="shared" si="44"/>
        <v>1342235000000</v>
      </c>
      <c r="O360" s="25">
        <f t="shared" si="45"/>
        <v>-0.99746992143700619</v>
      </c>
      <c r="P360" s="24">
        <f>Data!K360</f>
        <v>353452000000</v>
      </c>
      <c r="Q360" s="24">
        <f>Data!I360</f>
        <v>988783000000</v>
      </c>
      <c r="R360" s="25">
        <f t="shared" si="46"/>
        <v>0.37533472966262565</v>
      </c>
      <c r="S360" s="25">
        <f t="shared" si="47"/>
        <v>0.55658905546995441</v>
      </c>
    </row>
    <row r="361" spans="1:19" ht="15" customHeight="1" x14ac:dyDescent="0.3">
      <c r="A361" s="22"/>
      <c r="B361" s="23"/>
      <c r="C361" s="3"/>
      <c r="D361" s="23">
        <v>2021</v>
      </c>
      <c r="E361" s="24">
        <f>Data!F361</f>
        <v>18677000000</v>
      </c>
      <c r="F361" s="24">
        <f>Data!H361</f>
        <v>89184000000</v>
      </c>
      <c r="G361" s="24">
        <f t="shared" si="40"/>
        <v>-70507000000</v>
      </c>
      <c r="H361" s="24">
        <f>Data!G361</f>
        <v>1434941000000</v>
      </c>
      <c r="I361" s="25">
        <f t="shared" si="41"/>
        <v>-0.32233096691780355</v>
      </c>
      <c r="J361" s="24">
        <f>Data!J361</f>
        <v>-176016000000</v>
      </c>
      <c r="K361" s="24">
        <f t="shared" si="42"/>
        <v>1434941000000</v>
      </c>
      <c r="L361" s="25">
        <f t="shared" si="43"/>
        <v>-0.39988554233240248</v>
      </c>
      <c r="M361" s="24">
        <f>Data!M361</f>
        <v>-42493000000</v>
      </c>
      <c r="N361" s="24">
        <f t="shared" si="44"/>
        <v>1434941000000</v>
      </c>
      <c r="O361" s="25">
        <f t="shared" si="45"/>
        <v>-0.19899979162906348</v>
      </c>
      <c r="P361" s="24">
        <f>Data!K361</f>
        <v>413008000000</v>
      </c>
      <c r="Q361" s="24">
        <f>Data!I361</f>
        <v>1021933000000</v>
      </c>
      <c r="R361" s="25">
        <f t="shared" si="46"/>
        <v>0.42435110716651681</v>
      </c>
      <c r="S361" s="25">
        <f t="shared" si="47"/>
        <v>-0.49686519371275262</v>
      </c>
    </row>
    <row r="362" spans="1:19" ht="15" customHeight="1" x14ac:dyDescent="0.3">
      <c r="A362" s="22"/>
      <c r="B362" s="23"/>
      <c r="C362" s="3"/>
      <c r="D362" s="23">
        <v>2022</v>
      </c>
      <c r="E362" s="24">
        <f>Data!F362</f>
        <v>19932000000</v>
      </c>
      <c r="F362" s="24">
        <f>Data!H362</f>
        <v>74653000000</v>
      </c>
      <c r="G362" s="24">
        <f t="shared" si="40"/>
        <v>-54721000000</v>
      </c>
      <c r="H362" s="24">
        <f>Data!G362</f>
        <v>1681509000000</v>
      </c>
      <c r="I362" s="25">
        <f t="shared" si="41"/>
        <v>-0.21348072475377772</v>
      </c>
      <c r="J362" s="24">
        <f>Data!J362</f>
        <v>-156869000000</v>
      </c>
      <c r="K362" s="24">
        <f t="shared" si="42"/>
        <v>1681509000000</v>
      </c>
      <c r="L362" s="25">
        <f t="shared" si="43"/>
        <v>-0.30412738795926753</v>
      </c>
      <c r="M362" s="24">
        <f>Data!M362</f>
        <v>19447000000</v>
      </c>
      <c r="N362" s="24">
        <f t="shared" si="44"/>
        <v>1681509000000</v>
      </c>
      <c r="O362" s="25">
        <f t="shared" si="45"/>
        <v>7.7718192409318057E-2</v>
      </c>
      <c r="P362" s="24">
        <f>Data!K362</f>
        <v>324210000000</v>
      </c>
      <c r="Q362" s="24">
        <f>Data!I362</f>
        <v>857299000000</v>
      </c>
      <c r="R362" s="25">
        <f t="shared" si="46"/>
        <v>0.39708491436476656</v>
      </c>
      <c r="S362" s="25">
        <f t="shared" si="47"/>
        <v>-4.2805005938960583E-2</v>
      </c>
    </row>
    <row r="363" spans="1:19" ht="15" customHeight="1" x14ac:dyDescent="0.3">
      <c r="A363" s="22"/>
      <c r="B363" s="23"/>
      <c r="C363" s="3"/>
      <c r="D363" s="23">
        <v>2023</v>
      </c>
      <c r="E363" s="24">
        <f>Data!F363</f>
        <v>14719000000</v>
      </c>
      <c r="F363" s="24">
        <f>Data!H363</f>
        <v>49664000000</v>
      </c>
      <c r="G363" s="24">
        <f t="shared" si="40"/>
        <v>-34945000000</v>
      </c>
      <c r="H363" s="24">
        <f>Data!G363</f>
        <v>1752173000000</v>
      </c>
      <c r="I363" s="25">
        <f t="shared" si="41"/>
        <v>-0.13083137338607545</v>
      </c>
      <c r="J363" s="24">
        <f>Data!J363</f>
        <v>-146465000000</v>
      </c>
      <c r="K363" s="24">
        <f t="shared" si="42"/>
        <v>1752173000000</v>
      </c>
      <c r="L363" s="25">
        <f t="shared" si="43"/>
        <v>-0.27250499807952749</v>
      </c>
      <c r="M363" s="24">
        <f>Data!M363</f>
        <v>10403000000</v>
      </c>
      <c r="N363" s="24">
        <f t="shared" si="44"/>
        <v>1752173000000</v>
      </c>
      <c r="O363" s="25">
        <f t="shared" si="45"/>
        <v>3.9897978110608939E-2</v>
      </c>
      <c r="P363" s="24">
        <f>Data!K363</f>
        <v>325350000000</v>
      </c>
      <c r="Q363" s="24">
        <f>Data!I363</f>
        <v>926823000000</v>
      </c>
      <c r="R363" s="25">
        <f t="shared" si="46"/>
        <v>0.36858979546256404</v>
      </c>
      <c r="S363" s="25">
        <f t="shared" si="47"/>
        <v>5.1514021075699801E-3</v>
      </c>
    </row>
    <row r="364" spans="1:19" ht="15" customHeight="1" x14ac:dyDescent="0.3">
      <c r="A364" s="22"/>
      <c r="B364" s="23"/>
      <c r="C364" s="3"/>
      <c r="D364" s="23">
        <v>2024</v>
      </c>
      <c r="E364" s="24">
        <f>Data!F364</f>
        <v>49160000000</v>
      </c>
      <c r="F364" s="24">
        <f>Data!H364</f>
        <v>67583000000</v>
      </c>
      <c r="G364" s="24">
        <f t="shared" si="40"/>
        <v>-18423000000</v>
      </c>
      <c r="H364" s="24">
        <f>Data!G364</f>
        <v>1434685000000</v>
      </c>
      <c r="I364" s="25">
        <f t="shared" si="41"/>
        <v>-8.4237919822121227E-2</v>
      </c>
      <c r="J364" s="24">
        <f>Data!J364</f>
        <v>-28367000000</v>
      </c>
      <c r="K364" s="24">
        <f t="shared" si="42"/>
        <v>1434685000000</v>
      </c>
      <c r="L364" s="25">
        <f t="shared" si="43"/>
        <v>-6.4457647497534298E-2</v>
      </c>
      <c r="M364" s="24">
        <f>Data!M364</f>
        <v>118099000000</v>
      </c>
      <c r="N364" s="24">
        <f t="shared" si="44"/>
        <v>1434685000000</v>
      </c>
      <c r="O364" s="25">
        <f t="shared" si="45"/>
        <v>0.55317040325925204</v>
      </c>
      <c r="P364" s="24">
        <f>Data!K364</f>
        <v>373311000000</v>
      </c>
      <c r="Q364" s="24">
        <f>Data!I364</f>
        <v>1061374000000</v>
      </c>
      <c r="R364" s="25">
        <f t="shared" si="46"/>
        <v>0.36931048810315686</v>
      </c>
      <c r="S364" s="25">
        <f t="shared" si="47"/>
        <v>0.77378532404275346</v>
      </c>
    </row>
    <row r="365" spans="1:19" ht="15" customHeight="1" x14ac:dyDescent="0.3">
      <c r="A365" s="22"/>
      <c r="B365" s="23">
        <v>34</v>
      </c>
      <c r="C365" s="3" t="s">
        <v>9</v>
      </c>
      <c r="D365" s="23">
        <v>2014</v>
      </c>
      <c r="E365" s="24">
        <f>Data!F365</f>
        <v>0</v>
      </c>
      <c r="F365" s="24">
        <f>Data!H365</f>
        <v>0</v>
      </c>
      <c r="G365" s="24">
        <f t="shared" si="40"/>
        <v>0</v>
      </c>
      <c r="H365" s="24">
        <f>Data!G365</f>
        <v>0</v>
      </c>
      <c r="I365" s="25">
        <f t="shared" si="41"/>
        <v>0</v>
      </c>
      <c r="J365" s="24">
        <f>Data!J365</f>
        <v>0</v>
      </c>
      <c r="K365" s="24">
        <f t="shared" si="42"/>
        <v>0</v>
      </c>
      <c r="L365" s="25">
        <f t="shared" si="43"/>
        <v>0</v>
      </c>
      <c r="M365" s="24">
        <f>Data!M365</f>
        <v>0</v>
      </c>
      <c r="N365" s="24">
        <f t="shared" si="44"/>
        <v>0</v>
      </c>
      <c r="O365" s="25">
        <f t="shared" si="45"/>
        <v>0</v>
      </c>
      <c r="P365" s="24">
        <f>Data!K365</f>
        <v>0</v>
      </c>
      <c r="Q365" s="24">
        <f>Data!I365</f>
        <v>0</v>
      </c>
      <c r="R365" s="25">
        <f t="shared" si="46"/>
        <v>0</v>
      </c>
      <c r="S365" s="25">
        <f t="shared" si="47"/>
        <v>0</v>
      </c>
    </row>
    <row r="366" spans="1:19" ht="15" customHeight="1" x14ac:dyDescent="0.3">
      <c r="A366" s="22"/>
      <c r="B366" s="23"/>
      <c r="C366" s="3"/>
      <c r="D366" s="23">
        <v>2015</v>
      </c>
      <c r="E366" s="24">
        <f>Data!F366</f>
        <v>274156000000</v>
      </c>
      <c r="F366" s="24">
        <f>Data!H366</f>
        <v>231327000000</v>
      </c>
      <c r="G366" s="24">
        <f t="shared" si="40"/>
        <v>42829000000</v>
      </c>
      <c r="H366" s="24">
        <f>Data!G366</f>
        <v>9915762000000</v>
      </c>
      <c r="I366" s="25">
        <f t="shared" si="41"/>
        <v>2.8334508230431509E-2</v>
      </c>
      <c r="J366" s="24">
        <f>Data!J366</f>
        <v>338308000000</v>
      </c>
      <c r="K366" s="24">
        <f t="shared" si="42"/>
        <v>9915762000000</v>
      </c>
      <c r="L366" s="25">
        <f t="shared" si="43"/>
        <v>0.11122534808721708</v>
      </c>
      <c r="M366" s="24">
        <f>Data!M366</f>
        <v>154475000000</v>
      </c>
      <c r="N366" s="24">
        <f t="shared" si="44"/>
        <v>9915762000000</v>
      </c>
      <c r="O366" s="25">
        <f t="shared" si="45"/>
        <v>0.10468907987101747</v>
      </c>
      <c r="P366" s="24">
        <f>Data!K366</f>
        <v>4823091000000</v>
      </c>
      <c r="Q366" s="24">
        <f>Data!I366</f>
        <v>5092671000000</v>
      </c>
      <c r="R366" s="25">
        <f t="shared" si="46"/>
        <v>0.99441836120966787</v>
      </c>
      <c r="S366" s="25">
        <f t="shared" si="47"/>
        <v>1.2386672973983339</v>
      </c>
    </row>
    <row r="367" spans="1:19" ht="15" customHeight="1" x14ac:dyDescent="0.3">
      <c r="A367" s="22"/>
      <c r="B367" s="23"/>
      <c r="C367" s="3"/>
      <c r="D367" s="23">
        <v>2016</v>
      </c>
      <c r="E367" s="24">
        <f>Data!F367</f>
        <v>538838000000</v>
      </c>
      <c r="F367" s="24">
        <f>Data!H367</f>
        <v>328147000000</v>
      </c>
      <c r="G367" s="24">
        <f t="shared" si="40"/>
        <v>210691000000</v>
      </c>
      <c r="H367" s="24">
        <f>Data!G367</f>
        <v>13069215000000</v>
      </c>
      <c r="I367" s="25">
        <f t="shared" si="41"/>
        <v>0.10575485673776122</v>
      </c>
      <c r="J367" s="24">
        <f>Data!J367</f>
        <v>474246000000</v>
      </c>
      <c r="K367" s="24">
        <f t="shared" si="42"/>
        <v>13069215000000</v>
      </c>
      <c r="L367" s="25">
        <f t="shared" si="43"/>
        <v>0.11829646692628439</v>
      </c>
      <c r="M367" s="24">
        <f>Data!M367</f>
        <v>171706000000</v>
      </c>
      <c r="N367" s="24">
        <f t="shared" si="44"/>
        <v>13069215000000</v>
      </c>
      <c r="O367" s="25">
        <f t="shared" si="45"/>
        <v>8.8288724303640265E-2</v>
      </c>
      <c r="P367" s="24">
        <f>Data!K367</f>
        <v>4906474000000</v>
      </c>
      <c r="Q367" s="24">
        <f>Data!I367</f>
        <v>8162741000000</v>
      </c>
      <c r="R367" s="25">
        <f t="shared" si="46"/>
        <v>0.63113575452167359</v>
      </c>
      <c r="S367" s="25">
        <f t="shared" si="47"/>
        <v>0.94347580248935947</v>
      </c>
    </row>
    <row r="368" spans="1:19" ht="15" customHeight="1" x14ac:dyDescent="0.3">
      <c r="A368" s="22"/>
      <c r="B368" s="23"/>
      <c r="C368" s="3"/>
      <c r="D368" s="23">
        <v>2017</v>
      </c>
      <c r="E368" s="24">
        <f>Data!F368</f>
        <v>363410000000</v>
      </c>
      <c r="F368" s="24">
        <f>Data!H368</f>
        <v>349291000000</v>
      </c>
      <c r="G368" s="24">
        <f t="shared" si="40"/>
        <v>14119000000</v>
      </c>
      <c r="H368" s="24">
        <f>Data!G368</f>
        <v>15733814000000</v>
      </c>
      <c r="I368" s="25">
        <f t="shared" si="41"/>
        <v>5.8867252403009213E-3</v>
      </c>
      <c r="J368" s="24">
        <f>Data!J368</f>
        <v>646090000000</v>
      </c>
      <c r="K368" s="24">
        <f t="shared" si="42"/>
        <v>15733814000000</v>
      </c>
      <c r="L368" s="25">
        <f t="shared" si="43"/>
        <v>0.13386794835632351</v>
      </c>
      <c r="M368" s="24">
        <f>Data!M368</f>
        <v>332609000000</v>
      </c>
      <c r="N368" s="24">
        <f t="shared" si="44"/>
        <v>15733814000000</v>
      </c>
      <c r="O368" s="25">
        <f t="shared" si="45"/>
        <v>0.14205916505686414</v>
      </c>
      <c r="P368" s="24">
        <f>Data!K368</f>
        <v>5213625000000</v>
      </c>
      <c r="Q368" s="24">
        <f>Data!I368</f>
        <v>10520189000000</v>
      </c>
      <c r="R368" s="25">
        <f t="shared" si="46"/>
        <v>0.52036196783156652</v>
      </c>
      <c r="S368" s="25">
        <f t="shared" si="47"/>
        <v>0.80217580648505504</v>
      </c>
    </row>
    <row r="369" spans="1:19" ht="15" customHeight="1" x14ac:dyDescent="0.3">
      <c r="A369" s="22"/>
      <c r="B369" s="23"/>
      <c r="C369" s="3"/>
      <c r="D369" s="23">
        <v>2018</v>
      </c>
      <c r="E369" s="24">
        <f>Data!F369</f>
        <v>768818000000</v>
      </c>
      <c r="F369" s="24">
        <f>Data!H369</f>
        <v>1168581000000</v>
      </c>
      <c r="G369" s="24">
        <f t="shared" si="40"/>
        <v>-399763000000</v>
      </c>
      <c r="H369" s="24">
        <f>Data!G369</f>
        <v>16472664000000</v>
      </c>
      <c r="I369" s="25">
        <f t="shared" si="41"/>
        <v>-0.15919982827307105</v>
      </c>
      <c r="J369" s="24">
        <f>Data!J369</f>
        <v>705447000000</v>
      </c>
      <c r="K369" s="24">
        <f t="shared" si="42"/>
        <v>16472664000000</v>
      </c>
      <c r="L369" s="25">
        <f t="shared" si="43"/>
        <v>0.13961052201392563</v>
      </c>
      <c r="M369" s="24">
        <f>Data!M369</f>
        <v>161307000000</v>
      </c>
      <c r="N369" s="24">
        <f t="shared" si="44"/>
        <v>16472664000000</v>
      </c>
      <c r="O369" s="25">
        <f t="shared" si="45"/>
        <v>6.5804962694558697E-2</v>
      </c>
      <c r="P369" s="24">
        <f>Data!K369</f>
        <v>5062943000000</v>
      </c>
      <c r="Q369" s="24">
        <f>Data!I369</f>
        <v>11409721000000</v>
      </c>
      <c r="R369" s="25">
        <f t="shared" si="46"/>
        <v>0.46592639294159777</v>
      </c>
      <c r="S369" s="25">
        <f t="shared" si="47"/>
        <v>0.51214204937701102</v>
      </c>
    </row>
    <row r="370" spans="1:19" ht="15" customHeight="1" x14ac:dyDescent="0.3">
      <c r="A370" s="22"/>
      <c r="B370" s="23"/>
      <c r="C370" s="3"/>
      <c r="D370" s="23">
        <v>2019</v>
      </c>
      <c r="E370" s="24">
        <f>Data!F370</f>
        <v>359304000000</v>
      </c>
      <c r="F370" s="24">
        <f>Data!H370</f>
        <v>418667000000</v>
      </c>
      <c r="G370" s="24">
        <f t="shared" si="40"/>
        <v>-59363000000</v>
      </c>
      <c r="H370" s="24">
        <f>Data!G370</f>
        <v>17356774000000</v>
      </c>
      <c r="I370" s="25">
        <f t="shared" si="41"/>
        <v>-2.2436270703300048E-2</v>
      </c>
      <c r="J370" s="24">
        <f>Data!J370</f>
        <v>936403000000</v>
      </c>
      <c r="K370" s="24">
        <f t="shared" si="42"/>
        <v>17356774000000</v>
      </c>
      <c r="L370" s="25">
        <f t="shared" si="43"/>
        <v>0.17587794713464608</v>
      </c>
      <c r="M370" s="24">
        <f>Data!M370</f>
        <v>291523000000</v>
      </c>
      <c r="N370" s="24">
        <f t="shared" si="44"/>
        <v>17356774000000</v>
      </c>
      <c r="O370" s="25">
        <f t="shared" si="45"/>
        <v>0.11286858721557359</v>
      </c>
      <c r="P370" s="24">
        <f>Data!K370</f>
        <v>5442390000000</v>
      </c>
      <c r="Q370" s="24">
        <f>Data!I370</f>
        <v>11914384000000</v>
      </c>
      <c r="R370" s="25">
        <f t="shared" si="46"/>
        <v>0.47963113325875684</v>
      </c>
      <c r="S370" s="25">
        <f t="shared" si="47"/>
        <v>0.74594139690567651</v>
      </c>
    </row>
    <row r="371" spans="1:19" ht="15" customHeight="1" x14ac:dyDescent="0.3">
      <c r="A371" s="22"/>
      <c r="B371" s="23"/>
      <c r="C371" s="3"/>
      <c r="D371" s="23">
        <v>2020</v>
      </c>
      <c r="E371" s="24">
        <f>Data!F371</f>
        <v>345286000000</v>
      </c>
      <c r="F371" s="24">
        <f>Data!H371</f>
        <v>396011000000</v>
      </c>
      <c r="G371" s="24">
        <f t="shared" si="40"/>
        <v>-50725000000</v>
      </c>
      <c r="H371" s="24">
        <f>Data!G371</f>
        <v>19539925000000</v>
      </c>
      <c r="I371" s="25">
        <f t="shared" si="41"/>
        <v>-1.7029543358022103E-2</v>
      </c>
      <c r="J371" s="24">
        <f>Data!J371</f>
        <v>978427000000</v>
      </c>
      <c r="K371" s="24">
        <f t="shared" si="42"/>
        <v>19539925000000</v>
      </c>
      <c r="L371" s="25">
        <f t="shared" si="43"/>
        <v>0.1632387033215327</v>
      </c>
      <c r="M371" s="24">
        <f>Data!M371</f>
        <v>136768000000</v>
      </c>
      <c r="N371" s="24">
        <f t="shared" si="44"/>
        <v>19539925000000</v>
      </c>
      <c r="O371" s="25">
        <f t="shared" si="45"/>
        <v>4.703605361842484E-2</v>
      </c>
      <c r="P371" s="24">
        <f>Data!K371</f>
        <v>5671565000000</v>
      </c>
      <c r="Q371" s="24">
        <f>Data!I371</f>
        <v>13868360000000</v>
      </c>
      <c r="R371" s="25">
        <f t="shared" si="46"/>
        <v>0.42940500895563716</v>
      </c>
      <c r="S371" s="25">
        <f t="shared" si="47"/>
        <v>0.62265022253757263</v>
      </c>
    </row>
    <row r="372" spans="1:19" ht="15" customHeight="1" x14ac:dyDescent="0.3">
      <c r="A372" s="22"/>
      <c r="B372" s="23"/>
      <c r="C372" s="3"/>
      <c r="D372" s="23">
        <v>2021</v>
      </c>
      <c r="E372" s="24">
        <f>Data!F372</f>
        <v>954175000000</v>
      </c>
      <c r="F372" s="24">
        <f>Data!H372</f>
        <v>1331376000000</v>
      </c>
      <c r="G372" s="24">
        <f t="shared" si="40"/>
        <v>-377201000000</v>
      </c>
      <c r="H372" s="24">
        <f>Data!G372</f>
        <v>21685279000000</v>
      </c>
      <c r="I372" s="25">
        <f t="shared" si="41"/>
        <v>-0.11410683533285414</v>
      </c>
      <c r="J372" s="24">
        <f>Data!J372</f>
        <v>1076752000000</v>
      </c>
      <c r="K372" s="24">
        <f t="shared" si="42"/>
        <v>21685279000000</v>
      </c>
      <c r="L372" s="25">
        <f t="shared" si="43"/>
        <v>0.16187071054054689</v>
      </c>
      <c r="M372" s="24">
        <f>Data!M372</f>
        <v>93492000000</v>
      </c>
      <c r="N372" s="24">
        <f t="shared" si="44"/>
        <v>21685279000000</v>
      </c>
      <c r="O372" s="25">
        <f t="shared" si="45"/>
        <v>2.8972015531826913E-2</v>
      </c>
      <c r="P372" s="24">
        <f>Data!K372</f>
        <v>5708164000000</v>
      </c>
      <c r="Q372" s="24">
        <f>Data!I372</f>
        <v>15977115000000</v>
      </c>
      <c r="R372" s="25">
        <f t="shared" si="46"/>
        <v>0.37513482252584401</v>
      </c>
      <c r="S372" s="25">
        <f t="shared" si="47"/>
        <v>0.45187071326536365</v>
      </c>
    </row>
    <row r="373" spans="1:19" ht="15" customHeight="1" x14ac:dyDescent="0.3">
      <c r="A373" s="22"/>
      <c r="B373" s="23"/>
      <c r="C373" s="3"/>
      <c r="D373" s="23">
        <v>2022</v>
      </c>
      <c r="E373" s="24">
        <f>Data!F373</f>
        <v>519952000000</v>
      </c>
      <c r="F373" s="24">
        <f>Data!H373</f>
        <v>660640000000</v>
      </c>
      <c r="G373" s="24">
        <f t="shared" si="40"/>
        <v>-140688000000</v>
      </c>
      <c r="H373" s="24">
        <f>Data!G373</f>
        <v>22212474000000</v>
      </c>
      <c r="I373" s="25">
        <f t="shared" si="41"/>
        <v>-4.154932404197749E-2</v>
      </c>
      <c r="J373" s="24">
        <f>Data!J373</f>
        <v>1226066000000</v>
      </c>
      <c r="K373" s="24">
        <f t="shared" si="42"/>
        <v>22212474000000</v>
      </c>
      <c r="L373" s="25">
        <f t="shared" si="43"/>
        <v>0.17994281771584739</v>
      </c>
      <c r="M373" s="24">
        <f>Data!M373</f>
        <v>146556000000</v>
      </c>
      <c r="N373" s="24">
        <f t="shared" si="44"/>
        <v>22212474000000</v>
      </c>
      <c r="O373" s="25">
        <f t="shared" si="45"/>
        <v>4.4337984143504226E-2</v>
      </c>
      <c r="P373" s="24">
        <f>Data!K373</f>
        <v>5734089000000</v>
      </c>
      <c r="Q373" s="24">
        <f>Data!I373</f>
        <v>16478385000000</v>
      </c>
      <c r="R373" s="25">
        <f t="shared" si="46"/>
        <v>0.36537521425795066</v>
      </c>
      <c r="S373" s="25">
        <f t="shared" si="47"/>
        <v>0.54810669207532481</v>
      </c>
    </row>
    <row r="374" spans="1:19" ht="15" customHeight="1" x14ac:dyDescent="0.3">
      <c r="A374" s="22"/>
      <c r="B374" s="23"/>
      <c r="C374" s="3"/>
      <c r="D374" s="23">
        <v>2023</v>
      </c>
      <c r="E374" s="24">
        <f>Data!F374</f>
        <v>413500000000</v>
      </c>
      <c r="F374" s="24">
        <f>Data!H374</f>
        <v>743423000000</v>
      </c>
      <c r="G374" s="24">
        <f t="shared" si="40"/>
        <v>-329923000000</v>
      </c>
      <c r="H374" s="24">
        <f>Data!G374</f>
        <v>23602266000000</v>
      </c>
      <c r="I374" s="25">
        <f t="shared" si="41"/>
        <v>-9.1698605549145148E-2</v>
      </c>
      <c r="J374" s="24">
        <f>Data!J374</f>
        <v>1423234000000</v>
      </c>
      <c r="K374" s="24">
        <f t="shared" si="42"/>
        <v>23602266000000</v>
      </c>
      <c r="L374" s="25">
        <f t="shared" si="43"/>
        <v>0.19658039783129297</v>
      </c>
      <c r="M374" s="24">
        <f>Data!M374</f>
        <v>284498000000</v>
      </c>
      <c r="N374" s="24">
        <f t="shared" si="44"/>
        <v>23602266000000</v>
      </c>
      <c r="O374" s="25">
        <f t="shared" si="45"/>
        <v>8.1001822452132347E-2</v>
      </c>
      <c r="P374" s="24">
        <f>Data!K374</f>
        <v>6027772000000</v>
      </c>
      <c r="Q374" s="24">
        <f>Data!I374</f>
        <v>17574494000000</v>
      </c>
      <c r="R374" s="25">
        <f t="shared" si="46"/>
        <v>0.36013330454919501</v>
      </c>
      <c r="S374" s="25">
        <f t="shared" si="47"/>
        <v>0.54601691928347518</v>
      </c>
    </row>
    <row r="375" spans="1:19" ht="15" customHeight="1" x14ac:dyDescent="0.3">
      <c r="A375" s="22"/>
      <c r="B375" s="23"/>
      <c r="C375" s="3"/>
      <c r="D375" s="23">
        <v>2024</v>
      </c>
      <c r="E375" s="24">
        <f>Data!F375</f>
        <v>386625000000</v>
      </c>
      <c r="F375" s="24">
        <f>Data!H375</f>
        <v>1000874000000</v>
      </c>
      <c r="G375" s="24">
        <f t="shared" si="40"/>
        <v>-614249000000</v>
      </c>
      <c r="H375" s="24">
        <f>Data!G375</f>
        <v>25240685000000</v>
      </c>
      <c r="I375" s="25">
        <f t="shared" si="41"/>
        <v>-0.15964200020720512</v>
      </c>
      <c r="J375" s="24">
        <f>Data!J375</f>
        <v>1608734000000</v>
      </c>
      <c r="K375" s="24">
        <f t="shared" si="42"/>
        <v>25240685000000</v>
      </c>
      <c r="L375" s="25">
        <f t="shared" si="43"/>
        <v>0.20777854642217514</v>
      </c>
      <c r="M375" s="24">
        <f>Data!M375</f>
        <v>334400000000</v>
      </c>
      <c r="N375" s="24">
        <f t="shared" si="44"/>
        <v>25240685000000</v>
      </c>
      <c r="O375" s="25">
        <f t="shared" si="45"/>
        <v>8.9029596463011992E-2</v>
      </c>
      <c r="P375" s="24">
        <f>Data!K375</f>
        <v>5998008000000</v>
      </c>
      <c r="Q375" s="24">
        <f>Data!I375</f>
        <v>19242677000000</v>
      </c>
      <c r="R375" s="25">
        <f t="shared" si="46"/>
        <v>0.3272885784030985</v>
      </c>
      <c r="S375" s="25">
        <f t="shared" si="47"/>
        <v>0.46445472108108049</v>
      </c>
    </row>
    <row r="376" spans="1:19" ht="15" customHeight="1" x14ac:dyDescent="0.3">
      <c r="A376" s="22"/>
      <c r="B376" s="23">
        <v>35</v>
      </c>
      <c r="C376" s="3" t="s">
        <v>31</v>
      </c>
      <c r="D376" s="23">
        <v>2014</v>
      </c>
      <c r="E376" s="24">
        <f>Data!F376</f>
        <v>0</v>
      </c>
      <c r="F376" s="24">
        <f>Data!H376</f>
        <v>0</v>
      </c>
      <c r="G376" s="24">
        <f t="shared" si="40"/>
        <v>0</v>
      </c>
      <c r="H376" s="24">
        <f>Data!G376</f>
        <v>0</v>
      </c>
      <c r="I376" s="25">
        <f t="shared" si="41"/>
        <v>0</v>
      </c>
      <c r="J376" s="24">
        <f>Data!J376</f>
        <v>0</v>
      </c>
      <c r="K376" s="24">
        <f t="shared" si="42"/>
        <v>0</v>
      </c>
      <c r="L376" s="25">
        <f t="shared" si="43"/>
        <v>0</v>
      </c>
      <c r="M376" s="24">
        <f>Data!M376</f>
        <v>0</v>
      </c>
      <c r="N376" s="24">
        <f t="shared" si="44"/>
        <v>0</v>
      </c>
      <c r="O376" s="25">
        <f t="shared" si="45"/>
        <v>0</v>
      </c>
      <c r="P376" s="24">
        <f>Data!K376</f>
        <v>0</v>
      </c>
      <c r="Q376" s="24">
        <f>Data!I376</f>
        <v>0</v>
      </c>
      <c r="R376" s="25">
        <f t="shared" si="46"/>
        <v>0</v>
      </c>
      <c r="S376" s="25">
        <f t="shared" si="47"/>
        <v>0</v>
      </c>
    </row>
    <row r="377" spans="1:19" ht="15" customHeight="1" x14ac:dyDescent="0.3">
      <c r="A377" s="22"/>
      <c r="B377" s="23"/>
      <c r="C377" s="3"/>
      <c r="D377" s="23">
        <v>2015</v>
      </c>
      <c r="E377" s="24">
        <f>Data!F377</f>
        <v>0</v>
      </c>
      <c r="F377" s="24">
        <f>Data!H377</f>
        <v>0</v>
      </c>
      <c r="G377" s="24">
        <f t="shared" si="40"/>
        <v>0</v>
      </c>
      <c r="H377" s="24">
        <f>Data!G377</f>
        <v>0</v>
      </c>
      <c r="I377" s="25">
        <f t="shared" si="41"/>
        <v>0</v>
      </c>
      <c r="J377" s="24">
        <f>Data!J377</f>
        <v>0</v>
      </c>
      <c r="K377" s="24">
        <f t="shared" si="42"/>
        <v>0</v>
      </c>
      <c r="L377" s="25">
        <f t="shared" si="43"/>
        <v>0</v>
      </c>
      <c r="M377" s="24">
        <f>Data!M377</f>
        <v>0</v>
      </c>
      <c r="N377" s="24">
        <f t="shared" si="44"/>
        <v>0</v>
      </c>
      <c r="O377" s="25">
        <f t="shared" si="45"/>
        <v>0</v>
      </c>
      <c r="P377" s="24">
        <f>Data!K377</f>
        <v>0</v>
      </c>
      <c r="Q377" s="24">
        <f>Data!I377</f>
        <v>0</v>
      </c>
      <c r="R377" s="25">
        <f t="shared" si="46"/>
        <v>0</v>
      </c>
      <c r="S377" s="25">
        <f t="shared" si="47"/>
        <v>0</v>
      </c>
    </row>
    <row r="378" spans="1:19" ht="15" customHeight="1" x14ac:dyDescent="0.3">
      <c r="A378" s="22"/>
      <c r="B378" s="23"/>
      <c r="C378" s="3"/>
      <c r="D378" s="23">
        <v>2016</v>
      </c>
      <c r="E378" s="24">
        <f>Data!F378</f>
        <v>0</v>
      </c>
      <c r="F378" s="24">
        <f>Data!H378</f>
        <v>0</v>
      </c>
      <c r="G378" s="24">
        <f t="shared" si="40"/>
        <v>0</v>
      </c>
      <c r="H378" s="24">
        <f>Data!G378</f>
        <v>0</v>
      </c>
      <c r="I378" s="25">
        <f t="shared" si="41"/>
        <v>0</v>
      </c>
      <c r="J378" s="24">
        <f>Data!J378</f>
        <v>0</v>
      </c>
      <c r="K378" s="24">
        <f t="shared" si="42"/>
        <v>0</v>
      </c>
      <c r="L378" s="25">
        <f t="shared" si="43"/>
        <v>0</v>
      </c>
      <c r="M378" s="24">
        <f>Data!M378</f>
        <v>0</v>
      </c>
      <c r="N378" s="24">
        <f t="shared" si="44"/>
        <v>0</v>
      </c>
      <c r="O378" s="25">
        <f t="shared" si="45"/>
        <v>0</v>
      </c>
      <c r="P378" s="24">
        <f>Data!K378</f>
        <v>0</v>
      </c>
      <c r="Q378" s="24">
        <f>Data!I378</f>
        <v>0</v>
      </c>
      <c r="R378" s="25">
        <f t="shared" si="46"/>
        <v>0</v>
      </c>
      <c r="S378" s="25">
        <f t="shared" si="47"/>
        <v>0</v>
      </c>
    </row>
    <row r="379" spans="1:19" ht="15" customHeight="1" x14ac:dyDescent="0.3">
      <c r="A379" s="22"/>
      <c r="B379" s="23"/>
      <c r="C379" s="3"/>
      <c r="D379" s="23">
        <v>2017</v>
      </c>
      <c r="E379" s="24">
        <f>Data!F379</f>
        <v>0</v>
      </c>
      <c r="F379" s="24">
        <f>Data!H379</f>
        <v>0</v>
      </c>
      <c r="G379" s="24">
        <f t="shared" si="40"/>
        <v>0</v>
      </c>
      <c r="H379" s="24">
        <f>Data!G379</f>
        <v>0</v>
      </c>
      <c r="I379" s="25">
        <f t="shared" si="41"/>
        <v>0</v>
      </c>
      <c r="J379" s="24">
        <f>Data!J379</f>
        <v>0</v>
      </c>
      <c r="K379" s="24">
        <f t="shared" si="42"/>
        <v>0</v>
      </c>
      <c r="L379" s="25">
        <f t="shared" si="43"/>
        <v>0</v>
      </c>
      <c r="M379" s="24">
        <f>Data!M379</f>
        <v>0</v>
      </c>
      <c r="N379" s="24">
        <f t="shared" si="44"/>
        <v>0</v>
      </c>
      <c r="O379" s="25">
        <f t="shared" si="45"/>
        <v>0</v>
      </c>
      <c r="P379" s="24">
        <f>Data!K379</f>
        <v>0</v>
      </c>
      <c r="Q379" s="24">
        <f>Data!I379</f>
        <v>0</v>
      </c>
      <c r="R379" s="25">
        <f t="shared" si="46"/>
        <v>0</v>
      </c>
      <c r="S379" s="25">
        <f t="shared" si="47"/>
        <v>0</v>
      </c>
    </row>
    <row r="380" spans="1:19" ht="15" customHeight="1" x14ac:dyDescent="0.3">
      <c r="A380" s="22"/>
      <c r="B380" s="23"/>
      <c r="C380" s="3"/>
      <c r="D380" s="23">
        <v>2018</v>
      </c>
      <c r="E380" s="24">
        <f>Data!F380</f>
        <v>0</v>
      </c>
      <c r="F380" s="24">
        <f>Data!H380</f>
        <v>0</v>
      </c>
      <c r="G380" s="24">
        <f t="shared" si="40"/>
        <v>0</v>
      </c>
      <c r="H380" s="24">
        <f>Data!G380</f>
        <v>0</v>
      </c>
      <c r="I380" s="25">
        <f t="shared" si="41"/>
        <v>0</v>
      </c>
      <c r="J380" s="24">
        <f>Data!J380</f>
        <v>0</v>
      </c>
      <c r="K380" s="24">
        <f t="shared" si="42"/>
        <v>0</v>
      </c>
      <c r="L380" s="25">
        <f t="shared" si="43"/>
        <v>0</v>
      </c>
      <c r="M380" s="24">
        <f>Data!M380</f>
        <v>0</v>
      </c>
      <c r="N380" s="24">
        <f t="shared" si="44"/>
        <v>0</v>
      </c>
      <c r="O380" s="25">
        <f t="shared" si="45"/>
        <v>0</v>
      </c>
      <c r="P380" s="24">
        <f>Data!K380</f>
        <v>0</v>
      </c>
      <c r="Q380" s="24">
        <f>Data!I380</f>
        <v>0</v>
      </c>
      <c r="R380" s="25">
        <f t="shared" si="46"/>
        <v>0</v>
      </c>
      <c r="S380" s="25">
        <f t="shared" si="47"/>
        <v>0</v>
      </c>
    </row>
    <row r="381" spans="1:19" ht="15" customHeight="1" x14ac:dyDescent="0.3">
      <c r="A381" s="22"/>
      <c r="B381" s="23"/>
      <c r="C381" s="3"/>
      <c r="D381" s="23">
        <v>2019</v>
      </c>
      <c r="E381" s="24">
        <f>Data!F381</f>
        <v>0</v>
      </c>
      <c r="F381" s="24">
        <f>Data!H381</f>
        <v>0</v>
      </c>
      <c r="G381" s="24">
        <f t="shared" si="40"/>
        <v>0</v>
      </c>
      <c r="H381" s="24">
        <f>Data!G381</f>
        <v>0</v>
      </c>
      <c r="I381" s="25">
        <f t="shared" si="41"/>
        <v>0</v>
      </c>
      <c r="J381" s="24">
        <f>Data!J381</f>
        <v>0</v>
      </c>
      <c r="K381" s="24">
        <f t="shared" si="42"/>
        <v>0</v>
      </c>
      <c r="L381" s="25">
        <f t="shared" si="43"/>
        <v>0</v>
      </c>
      <c r="M381" s="24">
        <f>Data!M381</f>
        <v>0</v>
      </c>
      <c r="N381" s="24">
        <f t="shared" si="44"/>
        <v>0</v>
      </c>
      <c r="O381" s="25">
        <f t="shared" si="45"/>
        <v>0</v>
      </c>
      <c r="P381" s="24">
        <f>Data!K381</f>
        <v>0</v>
      </c>
      <c r="Q381" s="24">
        <f>Data!I381</f>
        <v>0</v>
      </c>
      <c r="R381" s="25">
        <f t="shared" si="46"/>
        <v>0</v>
      </c>
      <c r="S381" s="25">
        <f t="shared" si="47"/>
        <v>0</v>
      </c>
    </row>
    <row r="382" spans="1:19" ht="15" customHeight="1" x14ac:dyDescent="0.3">
      <c r="A382" s="22"/>
      <c r="B382" s="23"/>
      <c r="C382" s="3"/>
      <c r="D382" s="23">
        <v>2020</v>
      </c>
      <c r="E382" s="24">
        <f>Data!F382</f>
        <v>101165730000</v>
      </c>
      <c r="F382" s="24">
        <f>Data!H382</f>
        <v>59592360000</v>
      </c>
      <c r="G382" s="24">
        <f t="shared" si="40"/>
        <v>41573370000</v>
      </c>
      <c r="H382" s="24">
        <f>Data!G382</f>
        <v>6861957190000</v>
      </c>
      <c r="I382" s="25">
        <f t="shared" si="41"/>
        <v>3.9743953459435669E-2</v>
      </c>
      <c r="J382" s="24">
        <f>Data!J382</f>
        <v>244059080000</v>
      </c>
      <c r="K382" s="24">
        <f t="shared" si="42"/>
        <v>6861957190000</v>
      </c>
      <c r="L382" s="25">
        <f t="shared" si="43"/>
        <v>0.1159483480834715</v>
      </c>
      <c r="M382" s="24">
        <f>Data!M382</f>
        <v>76831300000</v>
      </c>
      <c r="N382" s="24">
        <f t="shared" si="44"/>
        <v>6861957190000</v>
      </c>
      <c r="O382" s="25">
        <f t="shared" si="45"/>
        <v>7.524184743565851E-2</v>
      </c>
      <c r="P382" s="24">
        <f>Data!K382</f>
        <v>1828129290000</v>
      </c>
      <c r="Q382" s="24">
        <f>Data!I382</f>
        <v>5033827000000</v>
      </c>
      <c r="R382" s="25">
        <f t="shared" si="46"/>
        <v>0.38132731905566081</v>
      </c>
      <c r="S382" s="25">
        <f t="shared" si="47"/>
        <v>0.61226146803422643</v>
      </c>
    </row>
    <row r="383" spans="1:19" ht="15" customHeight="1" x14ac:dyDescent="0.3">
      <c r="A383" s="22"/>
      <c r="B383" s="23"/>
      <c r="C383" s="3"/>
      <c r="D383" s="23">
        <v>2021</v>
      </c>
      <c r="E383" s="24">
        <f>Data!F383</f>
        <v>116591870000</v>
      </c>
      <c r="F383" s="24">
        <f>Data!H383</f>
        <v>249002420000</v>
      </c>
      <c r="G383" s="24">
        <f t="shared" si="40"/>
        <v>-132410550000</v>
      </c>
      <c r="H383" s="24">
        <f>Data!G383</f>
        <v>6975768190000</v>
      </c>
      <c r="I383" s="25">
        <f t="shared" si="41"/>
        <v>-0.12451864573785384</v>
      </c>
      <c r="J383" s="24">
        <f>Data!J383</f>
        <v>323262400000</v>
      </c>
      <c r="K383" s="24">
        <f t="shared" si="42"/>
        <v>6975768190000</v>
      </c>
      <c r="L383" s="25">
        <f t="shared" si="43"/>
        <v>0.15107087782972903</v>
      </c>
      <c r="M383" s="24">
        <f>Data!M383</f>
        <v>79294210000</v>
      </c>
      <c r="N383" s="24">
        <f t="shared" si="44"/>
        <v>6975768190000</v>
      </c>
      <c r="O383" s="25">
        <f t="shared" si="45"/>
        <v>7.6386869042447347E-2</v>
      </c>
      <c r="P383" s="24">
        <f>Data!K383</f>
        <v>1963436100000</v>
      </c>
      <c r="Q383" s="24">
        <f>Data!I383</f>
        <v>5012332090000</v>
      </c>
      <c r="R383" s="25">
        <f t="shared" si="46"/>
        <v>0.41130712570164119</v>
      </c>
      <c r="S383" s="25">
        <f t="shared" si="47"/>
        <v>0.51424622683596377</v>
      </c>
    </row>
    <row r="384" spans="1:19" ht="15" customHeight="1" x14ac:dyDescent="0.3">
      <c r="A384" s="22"/>
      <c r="B384" s="23"/>
      <c r="C384" s="3"/>
      <c r="D384" s="23">
        <v>2022</v>
      </c>
      <c r="E384" s="24">
        <f>Data!F384</f>
        <v>149411810000</v>
      </c>
      <c r="F384" s="24">
        <f>Data!H384</f>
        <v>342939730000</v>
      </c>
      <c r="G384" s="24">
        <f t="shared" si="40"/>
        <v>-193527920000</v>
      </c>
      <c r="H384" s="24">
        <f>Data!G384</f>
        <v>6087701790000</v>
      </c>
      <c r="I384" s="25">
        <f t="shared" si="41"/>
        <v>-0.20854227079345816</v>
      </c>
      <c r="J384" s="24">
        <f>Data!J384</f>
        <v>369379240000</v>
      </c>
      <c r="K384" s="24">
        <f t="shared" si="42"/>
        <v>6087701790000</v>
      </c>
      <c r="L384" s="25">
        <f t="shared" si="43"/>
        <v>0.19780474864554756</v>
      </c>
      <c r="M384" s="24">
        <f>Data!M384</f>
        <v>46212090000</v>
      </c>
      <c r="N384" s="24">
        <f t="shared" si="44"/>
        <v>6087701790000</v>
      </c>
      <c r="O384" s="25">
        <f t="shared" si="45"/>
        <v>5.1011901619445126E-2</v>
      </c>
      <c r="P384" s="24">
        <f>Data!K384</f>
        <v>2011823110000</v>
      </c>
      <c r="Q384" s="24">
        <f>Data!I384</f>
        <v>4075878680000</v>
      </c>
      <c r="R384" s="25">
        <f t="shared" si="46"/>
        <v>0.51827211537611328</v>
      </c>
      <c r="S384" s="25">
        <f t="shared" si="47"/>
        <v>0.55854649484764785</v>
      </c>
    </row>
    <row r="385" spans="1:19" ht="15" customHeight="1" x14ac:dyDescent="0.3">
      <c r="A385" s="22"/>
      <c r="B385" s="23"/>
      <c r="C385" s="3"/>
      <c r="D385" s="23">
        <v>2023</v>
      </c>
      <c r="E385" s="24">
        <f>Data!F385</f>
        <v>121060480000.00002</v>
      </c>
      <c r="F385" s="24">
        <f>Data!H385</f>
        <v>183678040000</v>
      </c>
      <c r="G385" s="24">
        <f t="shared" si="40"/>
        <v>-62617559999.999985</v>
      </c>
      <c r="H385" s="24">
        <f>Data!G385</f>
        <v>4352235559999.9995</v>
      </c>
      <c r="I385" s="25">
        <f t="shared" si="41"/>
        <v>-9.438165465474023E-2</v>
      </c>
      <c r="J385" s="24">
        <f>Data!J385</f>
        <v>65668420000</v>
      </c>
      <c r="K385" s="24">
        <f t="shared" si="42"/>
        <v>4352235559999.9995</v>
      </c>
      <c r="L385" s="25">
        <f t="shared" si="43"/>
        <v>4.9188295589405094E-2</v>
      </c>
      <c r="M385" s="24">
        <f>Data!M385</f>
        <v>47692390000</v>
      </c>
      <c r="N385" s="24">
        <f t="shared" si="44"/>
        <v>4352235559999.9995</v>
      </c>
      <c r="O385" s="25">
        <f t="shared" si="45"/>
        <v>7.3638675200751319E-2</v>
      </c>
      <c r="P385" s="24">
        <f>Data!K385</f>
        <v>1356668420000</v>
      </c>
      <c r="Q385" s="24">
        <f>Data!I385</f>
        <v>2695567140000</v>
      </c>
      <c r="R385" s="25">
        <f t="shared" si="46"/>
        <v>0.52846090155261349</v>
      </c>
      <c r="S385" s="25">
        <f t="shared" si="47"/>
        <v>0.55690621768802973</v>
      </c>
    </row>
    <row r="386" spans="1:19" ht="15" customHeight="1" x14ac:dyDescent="0.3">
      <c r="A386" s="22"/>
      <c r="B386" s="23"/>
      <c r="C386" s="3"/>
      <c r="D386" s="23">
        <v>2024</v>
      </c>
      <c r="E386" s="24">
        <f>Data!F386</f>
        <v>107084000000</v>
      </c>
      <c r="F386" s="24">
        <f>Data!H386</f>
        <v>189020460000</v>
      </c>
      <c r="G386" s="24">
        <f t="shared" si="40"/>
        <v>-81936460000</v>
      </c>
      <c r="H386" s="24">
        <f>Data!G386</f>
        <v>4260842769999.9995</v>
      </c>
      <c r="I386" s="25">
        <f t="shared" si="41"/>
        <v>-0.12614949825994165</v>
      </c>
      <c r="J386" s="24">
        <f>Data!J386</f>
        <v>-94854310000</v>
      </c>
      <c r="K386" s="24">
        <f t="shared" si="42"/>
        <v>4260842769999.9995</v>
      </c>
      <c r="L386" s="25">
        <f t="shared" si="43"/>
        <v>-7.2573682553416535E-2</v>
      </c>
      <c r="M386" s="24">
        <f>Data!M386</f>
        <v>-22130450000</v>
      </c>
      <c r="N386" s="24">
        <f t="shared" si="44"/>
        <v>4260842769999.9995</v>
      </c>
      <c r="O386" s="25">
        <f t="shared" si="45"/>
        <v>-3.4903100637060119E-2</v>
      </c>
      <c r="P386" s="24">
        <f>Data!K386</f>
        <v>1196145690000</v>
      </c>
      <c r="Q386" s="24">
        <f>Data!I386</f>
        <v>2764697080000</v>
      </c>
      <c r="R386" s="25">
        <f t="shared" si="46"/>
        <v>0.45428230947456999</v>
      </c>
      <c r="S386" s="25">
        <f t="shared" si="47"/>
        <v>0.22065602802415168</v>
      </c>
    </row>
    <row r="387" spans="1:19" ht="15" customHeight="1" x14ac:dyDescent="0.3">
      <c r="A387" s="22"/>
      <c r="B387" s="23">
        <v>36</v>
      </c>
      <c r="C387" s="4" t="s">
        <v>54</v>
      </c>
      <c r="D387" s="23">
        <v>2014</v>
      </c>
      <c r="E387" s="24">
        <f>Data!F387</f>
        <v>0</v>
      </c>
      <c r="F387" s="24">
        <f>Data!H387</f>
        <v>0</v>
      </c>
      <c r="G387" s="24">
        <f t="shared" ref="G387:G450" si="48">E387-F387</f>
        <v>0</v>
      </c>
      <c r="H387" s="24">
        <f>Data!G387</f>
        <v>0</v>
      </c>
      <c r="I387" s="25">
        <f t="shared" ref="I387:I450" si="49">IFERROR(6.56*(G387/H387),0)</f>
        <v>0</v>
      </c>
      <c r="J387" s="24">
        <f>Data!J387</f>
        <v>0</v>
      </c>
      <c r="K387" s="24">
        <f t="shared" ref="K387:K450" si="50">H387</f>
        <v>0</v>
      </c>
      <c r="L387" s="25">
        <f t="shared" ref="L387:L450" si="51">IFERROR(3.26*(J387/K387),0)</f>
        <v>0</v>
      </c>
      <c r="M387" s="24">
        <f>Data!M387</f>
        <v>0</v>
      </c>
      <c r="N387" s="24">
        <f t="shared" ref="N387:N450" si="52">K387</f>
        <v>0</v>
      </c>
      <c r="O387" s="25">
        <f t="shared" ref="O387:O450" si="53">IFERROR(6.72*(M387/N387),0)</f>
        <v>0</v>
      </c>
      <c r="P387" s="24">
        <f>Data!K387</f>
        <v>0</v>
      </c>
      <c r="Q387" s="24">
        <f>Data!I387</f>
        <v>0</v>
      </c>
      <c r="R387" s="25">
        <f t="shared" ref="R387:R450" si="54">IFERROR(1.05*(P387/Q387),0)</f>
        <v>0</v>
      </c>
      <c r="S387" s="25">
        <f t="shared" ref="S387:S450" si="55">IFERROR(I387+L387+O387+R387,0)</f>
        <v>0</v>
      </c>
    </row>
    <row r="388" spans="1:19" ht="15" customHeight="1" x14ac:dyDescent="0.3">
      <c r="A388" s="22"/>
      <c r="B388" s="23"/>
      <c r="C388" s="4"/>
      <c r="D388" s="23">
        <v>2015</v>
      </c>
      <c r="E388" s="24">
        <f>Data!F388</f>
        <v>0</v>
      </c>
      <c r="F388" s="24">
        <f>Data!H388</f>
        <v>0</v>
      </c>
      <c r="G388" s="24">
        <f t="shared" si="48"/>
        <v>0</v>
      </c>
      <c r="H388" s="24">
        <f>Data!G388</f>
        <v>0</v>
      </c>
      <c r="I388" s="25">
        <f t="shared" si="49"/>
        <v>0</v>
      </c>
      <c r="J388" s="24">
        <f>Data!J388</f>
        <v>0</v>
      </c>
      <c r="K388" s="24">
        <f t="shared" si="50"/>
        <v>0</v>
      </c>
      <c r="L388" s="25">
        <f t="shared" si="51"/>
        <v>0</v>
      </c>
      <c r="M388" s="24">
        <f>Data!M388</f>
        <v>0</v>
      </c>
      <c r="N388" s="24">
        <f t="shared" si="52"/>
        <v>0</v>
      </c>
      <c r="O388" s="25">
        <f t="shared" si="53"/>
        <v>0</v>
      </c>
      <c r="P388" s="24">
        <f>Data!K388</f>
        <v>0</v>
      </c>
      <c r="Q388" s="24">
        <f>Data!I388</f>
        <v>0</v>
      </c>
      <c r="R388" s="25">
        <f t="shared" si="54"/>
        <v>0</v>
      </c>
      <c r="S388" s="25">
        <f t="shared" si="55"/>
        <v>0</v>
      </c>
    </row>
    <row r="389" spans="1:19" ht="15" customHeight="1" x14ac:dyDescent="0.3">
      <c r="A389" s="22"/>
      <c r="B389" s="23"/>
      <c r="C389" s="4"/>
      <c r="D389" s="23">
        <v>2016</v>
      </c>
      <c r="E389" s="24">
        <f>Data!F389</f>
        <v>356140000</v>
      </c>
      <c r="F389" s="24">
        <f>Data!H389</f>
        <v>895480000</v>
      </c>
      <c r="G389" s="24">
        <f t="shared" si="48"/>
        <v>-539340000</v>
      </c>
      <c r="H389" s="24">
        <f>Data!G389</f>
        <v>53760200000</v>
      </c>
      <c r="I389" s="25">
        <f t="shared" si="49"/>
        <v>-6.5812076591976965E-2</v>
      </c>
      <c r="J389" s="24">
        <f>Data!J389</f>
        <v>364720000</v>
      </c>
      <c r="K389" s="24">
        <f t="shared" si="50"/>
        <v>53760200000</v>
      </c>
      <c r="L389" s="25">
        <f t="shared" si="51"/>
        <v>2.2116495102324767E-2</v>
      </c>
      <c r="M389" s="24">
        <f>Data!M389</f>
        <v>207670000</v>
      </c>
      <c r="N389" s="24">
        <f t="shared" si="52"/>
        <v>53760200000</v>
      </c>
      <c r="O389" s="25">
        <f t="shared" si="53"/>
        <v>2.5958653427628615E-2</v>
      </c>
      <c r="P389" s="24">
        <f>Data!K389</f>
        <v>52864720000</v>
      </c>
      <c r="Q389" s="24">
        <f>Data!I389</f>
        <v>895480000</v>
      </c>
      <c r="R389" s="25">
        <f t="shared" si="54"/>
        <v>61.986818242730159</v>
      </c>
      <c r="S389" s="25">
        <f t="shared" si="55"/>
        <v>61.969081314668138</v>
      </c>
    </row>
    <row r="390" spans="1:19" ht="15" customHeight="1" x14ac:dyDescent="0.3">
      <c r="A390" s="22"/>
      <c r="B390" s="23"/>
      <c r="C390" s="4"/>
      <c r="D390" s="23">
        <v>2017</v>
      </c>
      <c r="E390" s="24">
        <f>Data!F390</f>
        <v>70588370000</v>
      </c>
      <c r="F390" s="24">
        <f>Data!H390</f>
        <v>19106340000</v>
      </c>
      <c r="G390" s="24">
        <f t="shared" si="48"/>
        <v>51482030000</v>
      </c>
      <c r="H390" s="24">
        <f>Data!G390</f>
        <v>778476670000</v>
      </c>
      <c r="I390" s="25">
        <f t="shared" si="49"/>
        <v>0.43382432616766792</v>
      </c>
      <c r="J390" s="24">
        <f>Data!J390</f>
        <v>1876850000</v>
      </c>
      <c r="K390" s="24">
        <f t="shared" si="50"/>
        <v>778476670000</v>
      </c>
      <c r="L390" s="25">
        <f t="shared" si="51"/>
        <v>7.8596202504051908E-3</v>
      </c>
      <c r="M390" s="24">
        <f>Data!M390</f>
        <v>1669170000</v>
      </c>
      <c r="N390" s="24">
        <f t="shared" si="52"/>
        <v>778476670000</v>
      </c>
      <c r="O390" s="25">
        <f t="shared" si="53"/>
        <v>1.4408681508721386E-2</v>
      </c>
      <c r="P390" s="24">
        <f>Data!K390</f>
        <v>56713950000</v>
      </c>
      <c r="Q390" s="24">
        <f>Data!I390</f>
        <v>19464980000</v>
      </c>
      <c r="R390" s="25">
        <f t="shared" si="54"/>
        <v>3.0593223060080206</v>
      </c>
      <c r="S390" s="25">
        <f t="shared" si="55"/>
        <v>3.5154149339348151</v>
      </c>
    </row>
    <row r="391" spans="1:19" ht="15" customHeight="1" x14ac:dyDescent="0.3">
      <c r="A391" s="22"/>
      <c r="B391" s="23"/>
      <c r="C391" s="4"/>
      <c r="D391" s="23">
        <v>2018</v>
      </c>
      <c r="E391" s="24">
        <f>Data!F391</f>
        <v>49604310000</v>
      </c>
      <c r="F391" s="24">
        <f>Data!H391</f>
        <v>79612880000</v>
      </c>
      <c r="G391" s="24">
        <f t="shared" si="48"/>
        <v>-30008570000</v>
      </c>
      <c r="H391" s="24">
        <f>Data!G391</f>
        <v>1964847040000</v>
      </c>
      <c r="I391" s="25">
        <f t="shared" si="49"/>
        <v>-0.1001890809780287</v>
      </c>
      <c r="J391" s="24">
        <f>Data!J391</f>
        <v>16291820000</v>
      </c>
      <c r="K391" s="24">
        <f t="shared" si="50"/>
        <v>1964847040000</v>
      </c>
      <c r="L391" s="25">
        <f t="shared" si="51"/>
        <v>2.7030772431018348E-2</v>
      </c>
      <c r="M391" s="24">
        <f>Data!M391</f>
        <v>15750300000</v>
      </c>
      <c r="N391" s="24">
        <f t="shared" si="52"/>
        <v>1964847040000</v>
      </c>
      <c r="O391" s="25">
        <f t="shared" si="53"/>
        <v>5.3867814565351606E-2</v>
      </c>
      <c r="P391" s="24">
        <f>Data!K391</f>
        <v>571066500000</v>
      </c>
      <c r="Q391" s="24">
        <f>Data!I391</f>
        <v>80879010000</v>
      </c>
      <c r="R391" s="25">
        <f t="shared" si="54"/>
        <v>7.4137878913206281</v>
      </c>
      <c r="S391" s="25">
        <f t="shared" si="55"/>
        <v>7.3944973973389692</v>
      </c>
    </row>
    <row r="392" spans="1:19" ht="15" customHeight="1" x14ac:dyDescent="0.3">
      <c r="A392" s="22"/>
      <c r="B392" s="23"/>
      <c r="C392" s="4"/>
      <c r="D392" s="23">
        <v>2019</v>
      </c>
      <c r="E392" s="24">
        <f>Data!F392</f>
        <v>119373990000</v>
      </c>
      <c r="F392" s="24">
        <f>Data!H392</f>
        <v>192883640000</v>
      </c>
      <c r="G392" s="24">
        <f t="shared" si="48"/>
        <v>-73509650000</v>
      </c>
      <c r="H392" s="24">
        <f>Data!G392</f>
        <v>3207673580000</v>
      </c>
      <c r="I392" s="25">
        <f t="shared" si="49"/>
        <v>-0.15033428183175671</v>
      </c>
      <c r="J392" s="24">
        <f>Data!J392</f>
        <v>32268100000</v>
      </c>
      <c r="K392" s="24">
        <f t="shared" si="50"/>
        <v>3207673580000</v>
      </c>
      <c r="L392" s="25">
        <f t="shared" si="51"/>
        <v>3.279448590277069E-2</v>
      </c>
      <c r="M392" s="24">
        <f>Data!M392</f>
        <v>17353680000</v>
      </c>
      <c r="N392" s="24">
        <f t="shared" si="52"/>
        <v>3207673580000</v>
      </c>
      <c r="O392" s="25">
        <f t="shared" si="53"/>
        <v>3.6355547624019775E-2</v>
      </c>
      <c r="P392" s="24">
        <f>Data!K392</f>
        <v>550283180000</v>
      </c>
      <c r="Q392" s="24">
        <f>Data!I392</f>
        <v>199851940000</v>
      </c>
      <c r="R392" s="25">
        <f t="shared" si="54"/>
        <v>2.8911269963153723</v>
      </c>
      <c r="S392" s="25">
        <f t="shared" si="55"/>
        <v>2.809942748010406</v>
      </c>
    </row>
    <row r="393" spans="1:19" ht="15" customHeight="1" x14ac:dyDescent="0.3">
      <c r="A393" s="22"/>
      <c r="B393" s="23"/>
      <c r="C393" s="4"/>
      <c r="D393" s="23">
        <v>2020</v>
      </c>
      <c r="E393" s="24">
        <f>Data!F393</f>
        <v>182391690000</v>
      </c>
      <c r="F393" s="24">
        <f>Data!H393</f>
        <v>359522440000</v>
      </c>
      <c r="G393" s="24">
        <f t="shared" si="48"/>
        <v>-177130750000</v>
      </c>
      <c r="H393" s="24">
        <f>Data!G393</f>
        <v>3055349430000</v>
      </c>
      <c r="I393" s="25">
        <f t="shared" si="49"/>
        <v>-0.38030927284150273</v>
      </c>
      <c r="J393" s="24">
        <f>Data!J393</f>
        <v>51029500000</v>
      </c>
      <c r="K393" s="24">
        <f t="shared" si="50"/>
        <v>3055349430000</v>
      </c>
      <c r="L393" s="25">
        <f t="shared" si="51"/>
        <v>5.4447510444001812E-2</v>
      </c>
      <c r="M393" s="24">
        <f>Data!M393</f>
        <v>21544610000</v>
      </c>
      <c r="N393" s="24">
        <f t="shared" si="52"/>
        <v>3055349430000</v>
      </c>
      <c r="O393" s="25">
        <f t="shared" si="53"/>
        <v>4.7385669795549375E-2</v>
      </c>
      <c r="P393" s="24">
        <f>Data!K393</f>
        <v>574699420000</v>
      </c>
      <c r="Q393" s="24">
        <f>Data!I393</f>
        <v>369297450000</v>
      </c>
      <c r="R393" s="25">
        <f t="shared" si="54"/>
        <v>1.634006384284538</v>
      </c>
      <c r="S393" s="25">
        <f t="shared" si="55"/>
        <v>1.3555302916825864</v>
      </c>
    </row>
    <row r="394" spans="1:19" ht="15" customHeight="1" x14ac:dyDescent="0.3">
      <c r="A394" s="22"/>
      <c r="B394" s="23"/>
      <c r="C394" s="4"/>
      <c r="D394" s="23">
        <v>2021</v>
      </c>
      <c r="E394" s="24">
        <f>Data!F394</f>
        <v>68859379999.999985</v>
      </c>
      <c r="F394" s="24">
        <f>Data!H394</f>
        <v>376261850000.00006</v>
      </c>
      <c r="G394" s="24">
        <f t="shared" si="48"/>
        <v>-307402470000.00006</v>
      </c>
      <c r="H394" s="24">
        <f>Data!G394</f>
        <v>3988679990000</v>
      </c>
      <c r="I394" s="25">
        <f t="shared" si="49"/>
        <v>-0.50557081747738819</v>
      </c>
      <c r="J394" s="24">
        <f>Data!J394</f>
        <v>70367170000</v>
      </c>
      <c r="K394" s="24">
        <f t="shared" si="50"/>
        <v>3988679990000</v>
      </c>
      <c r="L394" s="25">
        <f t="shared" si="51"/>
        <v>5.7512002661311519E-2</v>
      </c>
      <c r="M394" s="24">
        <f>Data!M394</f>
        <v>22111390000</v>
      </c>
      <c r="N394" s="24">
        <f t="shared" si="52"/>
        <v>3988679990000</v>
      </c>
      <c r="O394" s="25">
        <f t="shared" si="53"/>
        <v>3.7252560038039048E-2</v>
      </c>
      <c r="P394" s="24">
        <f>Data!K394</f>
        <v>558683430000</v>
      </c>
      <c r="Q394" s="24">
        <f>Data!I394</f>
        <v>394754750000</v>
      </c>
      <c r="R394" s="25">
        <f t="shared" si="54"/>
        <v>1.4860305075493077</v>
      </c>
      <c r="S394" s="25">
        <f t="shared" si="55"/>
        <v>1.0752242527712701</v>
      </c>
    </row>
    <row r="395" spans="1:19" ht="15" customHeight="1" x14ac:dyDescent="0.3">
      <c r="A395" s="22"/>
      <c r="B395" s="23"/>
      <c r="C395" s="4"/>
      <c r="D395" s="23">
        <v>2022</v>
      </c>
      <c r="E395" s="24">
        <f>Data!F395</f>
        <v>54151610000</v>
      </c>
      <c r="F395" s="24">
        <f>Data!H395</f>
        <v>279023860000</v>
      </c>
      <c r="G395" s="24">
        <f t="shared" si="48"/>
        <v>-224872250000</v>
      </c>
      <c r="H395" s="24">
        <f>Data!G395</f>
        <v>4245491780000.0005</v>
      </c>
      <c r="I395" s="25">
        <f t="shared" si="49"/>
        <v>-0.34746550845989382</v>
      </c>
      <c r="J395" s="24">
        <f>Data!J395</f>
        <v>98101150000</v>
      </c>
      <c r="K395" s="24">
        <f t="shared" si="50"/>
        <v>4245491780000.0005</v>
      </c>
      <c r="L395" s="25">
        <f t="shared" si="51"/>
        <v>7.5329258793194492E-2</v>
      </c>
      <c r="M395" s="24">
        <f>Data!M395</f>
        <v>31268310000</v>
      </c>
      <c r="N395" s="24">
        <f t="shared" si="52"/>
        <v>4245491780000.0005</v>
      </c>
      <c r="O395" s="25">
        <f t="shared" si="53"/>
        <v>4.9493216354784694E-2</v>
      </c>
      <c r="P395" s="24">
        <f>Data!K395</f>
        <v>559343590000</v>
      </c>
      <c r="Q395" s="24">
        <f>Data!I395</f>
        <v>335452410000</v>
      </c>
      <c r="R395" s="25">
        <f t="shared" si="54"/>
        <v>1.7508020571382987</v>
      </c>
      <c r="S395" s="25">
        <f t="shared" si="55"/>
        <v>1.528159023826384</v>
      </c>
    </row>
    <row r="396" spans="1:19" ht="15" customHeight="1" x14ac:dyDescent="0.3">
      <c r="A396" s="22"/>
      <c r="B396" s="23"/>
      <c r="C396" s="4"/>
      <c r="D396" s="23">
        <v>2023</v>
      </c>
      <c r="E396" s="24">
        <f>Data!F396</f>
        <v>27679290000</v>
      </c>
      <c r="F396" s="24">
        <f>Data!H396</f>
        <v>199352689999.99997</v>
      </c>
      <c r="G396" s="24">
        <f t="shared" si="48"/>
        <v>-171673399999.99997</v>
      </c>
      <c r="H396" s="24">
        <f>Data!G396</f>
        <v>3240789950000</v>
      </c>
      <c r="I396" s="25">
        <f t="shared" si="49"/>
        <v>-0.34750092458167481</v>
      </c>
      <c r="J396" s="24">
        <f>Data!J396</f>
        <v>128260900000</v>
      </c>
      <c r="K396" s="24">
        <f t="shared" si="50"/>
        <v>3240789950000</v>
      </c>
      <c r="L396" s="25">
        <f t="shared" si="51"/>
        <v>0.12902117707443519</v>
      </c>
      <c r="M396" s="24">
        <f>Data!M396</f>
        <v>32435270000</v>
      </c>
      <c r="N396" s="24">
        <f t="shared" si="52"/>
        <v>3240789950000</v>
      </c>
      <c r="O396" s="25">
        <f t="shared" si="53"/>
        <v>6.7256754607005614E-2</v>
      </c>
      <c r="P396" s="24">
        <f>Data!K396</f>
        <v>606439480000</v>
      </c>
      <c r="Q396" s="24">
        <f>Data!I396</f>
        <v>287061980000</v>
      </c>
      <c r="R396" s="25">
        <f t="shared" si="54"/>
        <v>2.2182019855084953</v>
      </c>
      <c r="S396" s="25">
        <f t="shared" si="55"/>
        <v>2.0669789926082611</v>
      </c>
    </row>
    <row r="397" spans="1:19" ht="15" customHeight="1" x14ac:dyDescent="0.3">
      <c r="A397" s="22"/>
      <c r="B397" s="23"/>
      <c r="C397" s="4"/>
      <c r="D397" s="23">
        <v>2024</v>
      </c>
      <c r="E397" s="24">
        <f>Data!F397</f>
        <v>0</v>
      </c>
      <c r="F397" s="24">
        <f>Data!H397</f>
        <v>0</v>
      </c>
      <c r="G397" s="24">
        <f t="shared" si="48"/>
        <v>0</v>
      </c>
      <c r="H397" s="24">
        <f>Data!G397</f>
        <v>0</v>
      </c>
      <c r="I397" s="25">
        <f t="shared" si="49"/>
        <v>0</v>
      </c>
      <c r="J397" s="24">
        <f>Data!J397</f>
        <v>0</v>
      </c>
      <c r="K397" s="24">
        <f t="shared" si="50"/>
        <v>0</v>
      </c>
      <c r="L397" s="25">
        <f t="shared" si="51"/>
        <v>0</v>
      </c>
      <c r="M397" s="24">
        <f>Data!M397</f>
        <v>0</v>
      </c>
      <c r="N397" s="24">
        <f t="shared" si="52"/>
        <v>0</v>
      </c>
      <c r="O397" s="25">
        <f t="shared" si="53"/>
        <v>0</v>
      </c>
      <c r="P397" s="24">
        <f>Data!K397</f>
        <v>0</v>
      </c>
      <c r="Q397" s="24">
        <f>Data!I397</f>
        <v>0</v>
      </c>
      <c r="R397" s="25">
        <f t="shared" si="54"/>
        <v>0</v>
      </c>
      <c r="S397" s="25">
        <f t="shared" si="55"/>
        <v>0</v>
      </c>
    </row>
    <row r="398" spans="1:19" ht="15" customHeight="1" x14ac:dyDescent="0.3">
      <c r="A398" s="22"/>
      <c r="B398" s="23">
        <v>37</v>
      </c>
      <c r="C398" s="3" t="s">
        <v>10</v>
      </c>
      <c r="D398" s="23">
        <v>2014</v>
      </c>
      <c r="E398" s="24">
        <f>Data!F398</f>
        <v>0</v>
      </c>
      <c r="F398" s="24">
        <f>Data!H398</f>
        <v>0</v>
      </c>
      <c r="G398" s="24">
        <f t="shared" si="48"/>
        <v>0</v>
      </c>
      <c r="H398" s="24">
        <f>Data!G398</f>
        <v>0</v>
      </c>
      <c r="I398" s="25">
        <f t="shared" si="49"/>
        <v>0</v>
      </c>
      <c r="J398" s="24">
        <f>Data!J398</f>
        <v>0</v>
      </c>
      <c r="K398" s="24">
        <f t="shared" si="50"/>
        <v>0</v>
      </c>
      <c r="L398" s="25">
        <f t="shared" si="51"/>
        <v>0</v>
      </c>
      <c r="M398" s="24">
        <f>Data!M398</f>
        <v>0</v>
      </c>
      <c r="N398" s="24">
        <f t="shared" si="52"/>
        <v>0</v>
      </c>
      <c r="O398" s="25">
        <f t="shared" si="53"/>
        <v>0</v>
      </c>
      <c r="P398" s="24">
        <f>Data!K398</f>
        <v>0</v>
      </c>
      <c r="Q398" s="24">
        <f>Data!I398</f>
        <v>0</v>
      </c>
      <c r="R398" s="25">
        <f t="shared" si="54"/>
        <v>0</v>
      </c>
      <c r="S398" s="25">
        <f t="shared" si="55"/>
        <v>0</v>
      </c>
    </row>
    <row r="399" spans="1:19" ht="15" customHeight="1" x14ac:dyDescent="0.3">
      <c r="A399" s="22"/>
      <c r="B399" s="23"/>
      <c r="C399" s="3"/>
      <c r="D399" s="23">
        <v>2015</v>
      </c>
      <c r="E399" s="24">
        <f>Data!F399</f>
        <v>0</v>
      </c>
      <c r="F399" s="24">
        <f>Data!H399</f>
        <v>0</v>
      </c>
      <c r="G399" s="24">
        <f t="shared" si="48"/>
        <v>0</v>
      </c>
      <c r="H399" s="24">
        <f>Data!G399</f>
        <v>0</v>
      </c>
      <c r="I399" s="25">
        <f t="shared" si="49"/>
        <v>0</v>
      </c>
      <c r="J399" s="24">
        <f>Data!J399</f>
        <v>0</v>
      </c>
      <c r="K399" s="24">
        <f t="shared" si="50"/>
        <v>0</v>
      </c>
      <c r="L399" s="25">
        <f t="shared" si="51"/>
        <v>0</v>
      </c>
      <c r="M399" s="24">
        <f>Data!M399</f>
        <v>0</v>
      </c>
      <c r="N399" s="24">
        <f t="shared" si="52"/>
        <v>0</v>
      </c>
      <c r="O399" s="25">
        <f t="shared" si="53"/>
        <v>0</v>
      </c>
      <c r="P399" s="24">
        <f>Data!K399</f>
        <v>0</v>
      </c>
      <c r="Q399" s="24">
        <f>Data!I399</f>
        <v>0</v>
      </c>
      <c r="R399" s="25">
        <f t="shared" si="54"/>
        <v>0</v>
      </c>
      <c r="S399" s="25">
        <f t="shared" si="55"/>
        <v>0</v>
      </c>
    </row>
    <row r="400" spans="1:19" ht="15" customHeight="1" x14ac:dyDescent="0.3">
      <c r="A400" s="22"/>
      <c r="B400" s="23"/>
      <c r="C400" s="3"/>
      <c r="D400" s="23">
        <v>2016</v>
      </c>
      <c r="E400" s="24">
        <f>Data!F400</f>
        <v>0</v>
      </c>
      <c r="F400" s="24">
        <f>Data!H400</f>
        <v>0</v>
      </c>
      <c r="G400" s="24">
        <f t="shared" si="48"/>
        <v>0</v>
      </c>
      <c r="H400" s="24">
        <f>Data!G400</f>
        <v>0</v>
      </c>
      <c r="I400" s="25">
        <f t="shared" si="49"/>
        <v>0</v>
      </c>
      <c r="J400" s="24">
        <f>Data!J400</f>
        <v>0</v>
      </c>
      <c r="K400" s="24">
        <f t="shared" si="50"/>
        <v>0</v>
      </c>
      <c r="L400" s="25">
        <f t="shared" si="51"/>
        <v>0</v>
      </c>
      <c r="M400" s="24">
        <f>Data!M400</f>
        <v>0</v>
      </c>
      <c r="N400" s="24">
        <f t="shared" si="52"/>
        <v>0</v>
      </c>
      <c r="O400" s="25">
        <f t="shared" si="53"/>
        <v>0</v>
      </c>
      <c r="P400" s="24">
        <f>Data!K400</f>
        <v>0</v>
      </c>
      <c r="Q400" s="24">
        <f>Data!I400</f>
        <v>0</v>
      </c>
      <c r="R400" s="25">
        <f t="shared" si="54"/>
        <v>0</v>
      </c>
      <c r="S400" s="25">
        <f t="shared" si="55"/>
        <v>0</v>
      </c>
    </row>
    <row r="401" spans="1:19" ht="15" customHeight="1" x14ac:dyDescent="0.3">
      <c r="A401" s="22"/>
      <c r="B401" s="23"/>
      <c r="C401" s="3"/>
      <c r="D401" s="23">
        <v>2017</v>
      </c>
      <c r="E401" s="24">
        <f>Data!F401</f>
        <v>11122930000.000002</v>
      </c>
      <c r="F401" s="24">
        <f>Data!H401</f>
        <v>7157860000</v>
      </c>
      <c r="G401" s="24">
        <f t="shared" si="48"/>
        <v>3965070000.0000019</v>
      </c>
      <c r="H401" s="24">
        <f>Data!G401</f>
        <v>140505220000</v>
      </c>
      <c r="I401" s="25">
        <f t="shared" si="49"/>
        <v>0.18512379255375716</v>
      </c>
      <c r="J401" s="24">
        <f>Data!J401</f>
        <v>-81177600000</v>
      </c>
      <c r="K401" s="24">
        <f t="shared" si="50"/>
        <v>140505220000</v>
      </c>
      <c r="L401" s="25">
        <f t="shared" si="51"/>
        <v>-1.883481453571618</v>
      </c>
      <c r="M401" s="24">
        <f>Data!M401</f>
        <v>-21361420000</v>
      </c>
      <c r="N401" s="24">
        <f t="shared" si="52"/>
        <v>140505220000</v>
      </c>
      <c r="O401" s="25">
        <f t="shared" si="53"/>
        <v>-1.0216612763568498</v>
      </c>
      <c r="P401" s="24">
        <f>Data!K401</f>
        <v>114896260000</v>
      </c>
      <c r="Q401" s="24">
        <f>Data!I401</f>
        <v>25608960000</v>
      </c>
      <c r="R401" s="25">
        <f t="shared" si="54"/>
        <v>4.7108931014769828</v>
      </c>
      <c r="S401" s="25">
        <f t="shared" si="55"/>
        <v>1.990874164102272</v>
      </c>
    </row>
    <row r="402" spans="1:19" ht="15" customHeight="1" x14ac:dyDescent="0.3">
      <c r="A402" s="22"/>
      <c r="B402" s="23"/>
      <c r="C402" s="3"/>
      <c r="D402" s="23">
        <v>2018</v>
      </c>
      <c r="E402" s="24">
        <f>Data!F402</f>
        <v>8410260000</v>
      </c>
      <c r="F402" s="24">
        <f>Data!H402</f>
        <v>9251190000</v>
      </c>
      <c r="G402" s="24">
        <f t="shared" si="48"/>
        <v>-840930000</v>
      </c>
      <c r="H402" s="24">
        <f>Data!G402</f>
        <v>143642400000</v>
      </c>
      <c r="I402" s="25">
        <f t="shared" si="49"/>
        <v>-3.8404404270605333E-2</v>
      </c>
      <c r="J402" s="24">
        <f>Data!J402</f>
        <v>-109766250000</v>
      </c>
      <c r="K402" s="24">
        <f t="shared" si="50"/>
        <v>143642400000</v>
      </c>
      <c r="L402" s="25">
        <f t="shared" si="51"/>
        <v>-2.4911723488329351</v>
      </c>
      <c r="M402" s="24">
        <f>Data!M402</f>
        <v>-28588640000</v>
      </c>
      <c r="N402" s="24">
        <f t="shared" si="52"/>
        <v>143642400000</v>
      </c>
      <c r="O402" s="25">
        <f t="shared" si="53"/>
        <v>-1.3374578870862641</v>
      </c>
      <c r="P402" s="24">
        <f>Data!K402</f>
        <v>112072210000</v>
      </c>
      <c r="Q402" s="24">
        <f>Data!I402</f>
        <v>31570190000</v>
      </c>
      <c r="R402" s="25">
        <f t="shared" si="54"/>
        <v>3.7274346622557548</v>
      </c>
      <c r="S402" s="25">
        <f t="shared" si="55"/>
        <v>-0.13959997793404977</v>
      </c>
    </row>
    <row r="403" spans="1:19" ht="15" customHeight="1" x14ac:dyDescent="0.3">
      <c r="A403" s="22"/>
      <c r="B403" s="23"/>
      <c r="C403" s="3"/>
      <c r="D403" s="23">
        <v>2019</v>
      </c>
      <c r="E403" s="24">
        <f>Data!F403</f>
        <v>11324010000</v>
      </c>
      <c r="F403" s="24">
        <f>Data!H403</f>
        <v>14783630000</v>
      </c>
      <c r="G403" s="24">
        <f t="shared" si="48"/>
        <v>-3459620000</v>
      </c>
      <c r="H403" s="24">
        <f>Data!G403</f>
        <v>157594280000</v>
      </c>
      <c r="I403" s="25">
        <f t="shared" si="49"/>
        <v>-0.1440097140581498</v>
      </c>
      <c r="J403" s="24">
        <f>Data!J403</f>
        <v>-144965990000</v>
      </c>
      <c r="K403" s="24">
        <f t="shared" si="50"/>
        <v>157594280000</v>
      </c>
      <c r="L403" s="25">
        <f t="shared" si="51"/>
        <v>-2.998770814524486</v>
      </c>
      <c r="M403" s="24">
        <f>Data!M403</f>
        <v>-35199740000</v>
      </c>
      <c r="N403" s="24">
        <f t="shared" si="52"/>
        <v>157594280000</v>
      </c>
      <c r="O403" s="25">
        <f t="shared" si="53"/>
        <v>-1.5009570956509335</v>
      </c>
      <c r="P403" s="24">
        <f>Data!K403</f>
        <v>118301780000</v>
      </c>
      <c r="Q403" s="24">
        <f>Data!I403</f>
        <v>39292500000</v>
      </c>
      <c r="R403" s="25">
        <f t="shared" si="54"/>
        <v>3.1613378889100976</v>
      </c>
      <c r="S403" s="25">
        <f t="shared" si="55"/>
        <v>-1.4823997353234719</v>
      </c>
    </row>
    <row r="404" spans="1:19" ht="15" customHeight="1" x14ac:dyDescent="0.3">
      <c r="A404" s="22"/>
      <c r="B404" s="23"/>
      <c r="C404" s="3"/>
      <c r="D404" s="23">
        <v>2020</v>
      </c>
      <c r="E404" s="24">
        <f>Data!F404</f>
        <v>11164659999.999998</v>
      </c>
      <c r="F404" s="24">
        <f>Data!H404</f>
        <v>15996270000</v>
      </c>
      <c r="G404" s="24">
        <f t="shared" si="48"/>
        <v>-4831610000.0000019</v>
      </c>
      <c r="H404" s="24">
        <f>Data!G404</f>
        <v>169752220000</v>
      </c>
      <c r="I404" s="25">
        <f t="shared" si="49"/>
        <v>-0.18671544678473137</v>
      </c>
      <c r="J404" s="24">
        <f>Data!J404</f>
        <v>-175011900000</v>
      </c>
      <c r="K404" s="24">
        <f t="shared" si="50"/>
        <v>169752220000</v>
      </c>
      <c r="L404" s="25">
        <f t="shared" si="51"/>
        <v>-3.3610093228824933</v>
      </c>
      <c r="M404" s="24">
        <f>Data!M404</f>
        <v>-30045910000</v>
      </c>
      <c r="N404" s="24">
        <f t="shared" si="52"/>
        <v>169752220000</v>
      </c>
      <c r="O404" s="25">
        <f t="shared" si="53"/>
        <v>-1.1894307785783302</v>
      </c>
      <c r="P404" s="24">
        <f>Data!K404</f>
        <v>121676340000</v>
      </c>
      <c r="Q404" s="24">
        <f>Data!I404</f>
        <v>48075880000</v>
      </c>
      <c r="R404" s="25">
        <f t="shared" si="54"/>
        <v>2.6574689220457328</v>
      </c>
      <c r="S404" s="25">
        <f t="shared" si="55"/>
        <v>-2.0796866261998224</v>
      </c>
    </row>
    <row r="405" spans="1:19" ht="15" customHeight="1" x14ac:dyDescent="0.3">
      <c r="A405" s="22"/>
      <c r="B405" s="23"/>
      <c r="C405" s="3"/>
      <c r="D405" s="23">
        <v>2021</v>
      </c>
      <c r="E405" s="24">
        <f>Data!F405</f>
        <v>5950390000</v>
      </c>
      <c r="F405" s="24">
        <f>Data!H405</f>
        <v>9289160000</v>
      </c>
      <c r="G405" s="24">
        <f t="shared" si="48"/>
        <v>-3338770000</v>
      </c>
      <c r="H405" s="24">
        <f>Data!G405</f>
        <v>171563860000</v>
      </c>
      <c r="I405" s="25">
        <f t="shared" si="49"/>
        <v>-0.12766284927373397</v>
      </c>
      <c r="J405" s="24">
        <f>Data!J405</f>
        <v>-200356040000</v>
      </c>
      <c r="K405" s="24">
        <f t="shared" si="50"/>
        <v>171563860000</v>
      </c>
      <c r="L405" s="25">
        <f t="shared" si="51"/>
        <v>-3.8070995278376225</v>
      </c>
      <c r="M405" s="24">
        <f>Data!M405</f>
        <v>-25344150000</v>
      </c>
      <c r="N405" s="24">
        <f t="shared" si="52"/>
        <v>171563860000</v>
      </c>
      <c r="O405" s="25">
        <f t="shared" si="53"/>
        <v>-0.99270725198185683</v>
      </c>
      <c r="P405" s="24">
        <f>Data!K405</f>
        <v>127521880000</v>
      </c>
      <c r="Q405" s="24">
        <f>Data!I405</f>
        <v>44041980000</v>
      </c>
      <c r="R405" s="25">
        <f t="shared" si="54"/>
        <v>3.0402351120453712</v>
      </c>
      <c r="S405" s="25">
        <f t="shared" si="55"/>
        <v>-1.8872345170478422</v>
      </c>
    </row>
    <row r="406" spans="1:19" ht="15" customHeight="1" x14ac:dyDescent="0.3">
      <c r="A406" s="22"/>
      <c r="B406" s="23"/>
      <c r="C406" s="3"/>
      <c r="D406" s="23">
        <v>2022</v>
      </c>
      <c r="E406" s="24">
        <f>Data!F406</f>
        <v>5819410000</v>
      </c>
      <c r="F406" s="24">
        <f>Data!H406</f>
        <v>9193230000</v>
      </c>
      <c r="G406" s="24">
        <f t="shared" si="48"/>
        <v>-3373820000</v>
      </c>
      <c r="H406" s="24">
        <f>Data!G406</f>
        <v>176564460000</v>
      </c>
      <c r="I406" s="25">
        <f t="shared" si="49"/>
        <v>-0.12534945707646938</v>
      </c>
      <c r="J406" s="24">
        <f>Data!J406</f>
        <v>-224590880000</v>
      </c>
      <c r="K406" s="24">
        <f t="shared" si="50"/>
        <v>176564460000</v>
      </c>
      <c r="L406" s="25">
        <f t="shared" si="51"/>
        <v>-4.1467363749193922</v>
      </c>
      <c r="M406" s="24">
        <f>Data!M406</f>
        <v>-24234830000</v>
      </c>
      <c r="N406" s="24">
        <f t="shared" si="52"/>
        <v>176564460000</v>
      </c>
      <c r="O406" s="25">
        <f t="shared" si="53"/>
        <v>-0.9223716800085362</v>
      </c>
      <c r="P406" s="24">
        <f>Data!K406</f>
        <v>129336960000</v>
      </c>
      <c r="Q406" s="24">
        <f>Data!I406</f>
        <v>47227500000</v>
      </c>
      <c r="R406" s="25">
        <f t="shared" si="54"/>
        <v>2.8755239637922818</v>
      </c>
      <c r="S406" s="25">
        <f t="shared" si="55"/>
        <v>-2.3189335482121161</v>
      </c>
    </row>
    <row r="407" spans="1:19" ht="15" customHeight="1" x14ac:dyDescent="0.3">
      <c r="A407" s="22"/>
      <c r="B407" s="23"/>
      <c r="C407" s="3"/>
      <c r="D407" s="23">
        <v>2023</v>
      </c>
      <c r="E407" s="24">
        <f>Data!F407</f>
        <v>15125650000</v>
      </c>
      <c r="F407" s="24">
        <f>Data!H407</f>
        <v>15253790000</v>
      </c>
      <c r="G407" s="24">
        <f t="shared" si="48"/>
        <v>-128140000</v>
      </c>
      <c r="H407" s="24">
        <f>Data!G407</f>
        <v>181228690000</v>
      </c>
      <c r="I407" s="25">
        <f t="shared" si="49"/>
        <v>-4.6383296154709278E-3</v>
      </c>
      <c r="J407" s="24">
        <f>Data!J407</f>
        <v>-256694650000</v>
      </c>
      <c r="K407" s="24">
        <f t="shared" si="50"/>
        <v>181228690000</v>
      </c>
      <c r="L407" s="25">
        <f t="shared" si="51"/>
        <v>-4.6175059754611691</v>
      </c>
      <c r="M407" s="24">
        <f>Data!M407</f>
        <v>-32103770000</v>
      </c>
      <c r="N407" s="24">
        <f t="shared" si="52"/>
        <v>181228690000</v>
      </c>
      <c r="O407" s="25">
        <f t="shared" si="53"/>
        <v>-1.1904149083679851</v>
      </c>
      <c r="P407" s="24">
        <f>Data!K407</f>
        <v>119340570000</v>
      </c>
      <c r="Q407" s="24">
        <f>Data!I407</f>
        <v>61888120000</v>
      </c>
      <c r="R407" s="25">
        <f t="shared" si="54"/>
        <v>2.0247439815589812</v>
      </c>
      <c r="S407" s="25">
        <f t="shared" si="55"/>
        <v>-3.7878152318856437</v>
      </c>
    </row>
    <row r="408" spans="1:19" ht="15" customHeight="1" x14ac:dyDescent="0.3">
      <c r="A408" s="22"/>
      <c r="B408" s="23"/>
      <c r="C408" s="3"/>
      <c r="D408" s="23">
        <v>2024</v>
      </c>
      <c r="E408" s="24">
        <f>Data!F408</f>
        <v>29177000000</v>
      </c>
      <c r="F408" s="24">
        <f>Data!H408</f>
        <v>15947000000</v>
      </c>
      <c r="G408" s="24">
        <f t="shared" si="48"/>
        <v>13230000000</v>
      </c>
      <c r="H408" s="24">
        <f>Data!G408</f>
        <v>207086000000</v>
      </c>
      <c r="I408" s="25">
        <f t="shared" si="49"/>
        <v>0.41909544826786932</v>
      </c>
      <c r="J408" s="24">
        <f>Data!J408</f>
        <v>-292486000000</v>
      </c>
      <c r="K408" s="24">
        <f t="shared" si="50"/>
        <v>207086000000</v>
      </c>
      <c r="L408" s="25">
        <f t="shared" si="51"/>
        <v>-4.604388321760041</v>
      </c>
      <c r="M408" s="24">
        <f>Data!M408</f>
        <v>-35791000000</v>
      </c>
      <c r="N408" s="24">
        <f t="shared" si="52"/>
        <v>207086000000</v>
      </c>
      <c r="O408" s="25">
        <f t="shared" si="53"/>
        <v>-1.161428198912529</v>
      </c>
      <c r="P408" s="24">
        <f>Data!K408</f>
        <v>122662000000</v>
      </c>
      <c r="Q408" s="24">
        <f>Data!I408</f>
        <v>84425000000</v>
      </c>
      <c r="R408" s="25">
        <f t="shared" si="54"/>
        <v>1.5255564110156943</v>
      </c>
      <c r="S408" s="25">
        <f t="shared" si="55"/>
        <v>-3.8211646613890062</v>
      </c>
    </row>
    <row r="409" spans="1:19" ht="15" customHeight="1" x14ac:dyDescent="0.3">
      <c r="A409" s="22"/>
      <c r="B409" s="23">
        <v>38</v>
      </c>
      <c r="C409" s="3" t="s">
        <v>32</v>
      </c>
      <c r="D409" s="23">
        <v>2014</v>
      </c>
      <c r="E409" s="24">
        <f>Data!F409</f>
        <v>0</v>
      </c>
      <c r="F409" s="24">
        <f>Data!H409</f>
        <v>0</v>
      </c>
      <c r="G409" s="24">
        <f t="shared" si="48"/>
        <v>0</v>
      </c>
      <c r="H409" s="24">
        <f>Data!G409</f>
        <v>0</v>
      </c>
      <c r="I409" s="25">
        <f t="shared" si="49"/>
        <v>0</v>
      </c>
      <c r="J409" s="24">
        <f>Data!J409</f>
        <v>0</v>
      </c>
      <c r="K409" s="24">
        <f t="shared" si="50"/>
        <v>0</v>
      </c>
      <c r="L409" s="25">
        <f t="shared" si="51"/>
        <v>0</v>
      </c>
      <c r="M409" s="24">
        <f>Data!M409</f>
        <v>0</v>
      </c>
      <c r="N409" s="24">
        <f t="shared" si="52"/>
        <v>0</v>
      </c>
      <c r="O409" s="25">
        <f t="shared" si="53"/>
        <v>0</v>
      </c>
      <c r="P409" s="24">
        <f>Data!K409</f>
        <v>0</v>
      </c>
      <c r="Q409" s="24">
        <f>Data!I409</f>
        <v>0</v>
      </c>
      <c r="R409" s="25">
        <f t="shared" si="54"/>
        <v>0</v>
      </c>
      <c r="S409" s="25">
        <f t="shared" si="55"/>
        <v>0</v>
      </c>
    </row>
    <row r="410" spans="1:19" ht="15" customHeight="1" x14ac:dyDescent="0.3">
      <c r="A410" s="22"/>
      <c r="B410" s="23"/>
      <c r="C410" s="3"/>
      <c r="D410" s="23">
        <v>2015</v>
      </c>
      <c r="E410" s="24">
        <f>Data!F410</f>
        <v>0</v>
      </c>
      <c r="F410" s="24">
        <f>Data!H410</f>
        <v>0</v>
      </c>
      <c r="G410" s="24">
        <f t="shared" si="48"/>
        <v>0</v>
      </c>
      <c r="H410" s="24">
        <f>Data!G410</f>
        <v>0</v>
      </c>
      <c r="I410" s="25">
        <f t="shared" si="49"/>
        <v>0</v>
      </c>
      <c r="J410" s="24">
        <f>Data!J410</f>
        <v>0</v>
      </c>
      <c r="K410" s="24">
        <f t="shared" si="50"/>
        <v>0</v>
      </c>
      <c r="L410" s="25">
        <f t="shared" si="51"/>
        <v>0</v>
      </c>
      <c r="M410" s="24">
        <f>Data!M410</f>
        <v>0</v>
      </c>
      <c r="N410" s="24">
        <f t="shared" si="52"/>
        <v>0</v>
      </c>
      <c r="O410" s="25">
        <f t="shared" si="53"/>
        <v>0</v>
      </c>
      <c r="P410" s="24">
        <f>Data!K410</f>
        <v>0</v>
      </c>
      <c r="Q410" s="24">
        <f>Data!I410</f>
        <v>0</v>
      </c>
      <c r="R410" s="25">
        <f t="shared" si="54"/>
        <v>0</v>
      </c>
      <c r="S410" s="25">
        <f t="shared" si="55"/>
        <v>0</v>
      </c>
    </row>
    <row r="411" spans="1:19" ht="15" customHeight="1" x14ac:dyDescent="0.3">
      <c r="A411" s="22"/>
      <c r="B411" s="23"/>
      <c r="C411" s="3"/>
      <c r="D411" s="23">
        <v>2016</v>
      </c>
      <c r="E411" s="24">
        <f>Data!F411</f>
        <v>0</v>
      </c>
      <c r="F411" s="24">
        <f>Data!H411</f>
        <v>0</v>
      </c>
      <c r="G411" s="24">
        <f t="shared" si="48"/>
        <v>0</v>
      </c>
      <c r="H411" s="24">
        <f>Data!G411</f>
        <v>0</v>
      </c>
      <c r="I411" s="25">
        <f t="shared" si="49"/>
        <v>0</v>
      </c>
      <c r="J411" s="24">
        <f>Data!J411</f>
        <v>0</v>
      </c>
      <c r="K411" s="24">
        <f t="shared" si="50"/>
        <v>0</v>
      </c>
      <c r="L411" s="25">
        <f t="shared" si="51"/>
        <v>0</v>
      </c>
      <c r="M411" s="24">
        <f>Data!M411</f>
        <v>0</v>
      </c>
      <c r="N411" s="24">
        <f t="shared" si="52"/>
        <v>0</v>
      </c>
      <c r="O411" s="25">
        <f t="shared" si="53"/>
        <v>0</v>
      </c>
      <c r="P411" s="24">
        <f>Data!K411</f>
        <v>0</v>
      </c>
      <c r="Q411" s="24">
        <f>Data!I411</f>
        <v>0</v>
      </c>
      <c r="R411" s="25">
        <f t="shared" si="54"/>
        <v>0</v>
      </c>
      <c r="S411" s="25">
        <f t="shared" si="55"/>
        <v>0</v>
      </c>
    </row>
    <row r="412" spans="1:19" ht="15" customHeight="1" x14ac:dyDescent="0.3">
      <c r="A412" s="22"/>
      <c r="B412" s="23"/>
      <c r="C412" s="3"/>
      <c r="D412" s="23">
        <v>2017</v>
      </c>
      <c r="E412" s="24">
        <f>Data!F412</f>
        <v>2078000000</v>
      </c>
      <c r="F412" s="24">
        <f>Data!H412</f>
        <v>444000000</v>
      </c>
      <c r="G412" s="24">
        <f t="shared" si="48"/>
        <v>1634000000</v>
      </c>
      <c r="H412" s="24">
        <f>Data!G412</f>
        <v>107161000000</v>
      </c>
      <c r="I412" s="25">
        <f t="shared" si="49"/>
        <v>0.10002743535427999</v>
      </c>
      <c r="J412" s="24">
        <f>Data!J412</f>
        <v>1393000000</v>
      </c>
      <c r="K412" s="24">
        <f t="shared" si="50"/>
        <v>107161000000</v>
      </c>
      <c r="L412" s="25">
        <f t="shared" si="51"/>
        <v>4.2377170799078018E-2</v>
      </c>
      <c r="M412" s="24">
        <f>Data!M412</f>
        <v>2399000000</v>
      </c>
      <c r="N412" s="24">
        <f t="shared" si="52"/>
        <v>107161000000</v>
      </c>
      <c r="O412" s="25">
        <f t="shared" si="53"/>
        <v>0.15043980552626421</v>
      </c>
      <c r="P412" s="24">
        <f>Data!K412</f>
        <v>106717000000</v>
      </c>
      <c r="Q412" s="24">
        <f>Data!I412</f>
        <v>444000000</v>
      </c>
      <c r="R412" s="25">
        <f t="shared" si="54"/>
        <v>252.37128378378378</v>
      </c>
      <c r="S412" s="25">
        <f t="shared" si="55"/>
        <v>252.66412819546341</v>
      </c>
    </row>
    <row r="413" spans="1:19" ht="15" customHeight="1" x14ac:dyDescent="0.3">
      <c r="A413" s="22"/>
      <c r="B413" s="23"/>
      <c r="C413" s="3"/>
      <c r="D413" s="23">
        <v>2018</v>
      </c>
      <c r="E413" s="24">
        <f>Data!F413</f>
        <v>7425000000</v>
      </c>
      <c r="F413" s="24">
        <f>Data!H413</f>
        <v>11583000000</v>
      </c>
      <c r="G413" s="24">
        <f t="shared" si="48"/>
        <v>-4158000000</v>
      </c>
      <c r="H413" s="24">
        <f>Data!G413</f>
        <v>382472000000</v>
      </c>
      <c r="I413" s="25">
        <f t="shared" si="49"/>
        <v>-7.1316279361626461E-2</v>
      </c>
      <c r="J413" s="24">
        <f>Data!J413</f>
        <v>-9435000000</v>
      </c>
      <c r="K413" s="24">
        <f t="shared" si="50"/>
        <v>382472000000</v>
      </c>
      <c r="L413" s="25">
        <f t="shared" si="51"/>
        <v>-8.0419220230500521E-2</v>
      </c>
      <c r="M413" s="24">
        <f>Data!M413</f>
        <v>-8860000000</v>
      </c>
      <c r="N413" s="24">
        <f t="shared" si="52"/>
        <v>382472000000</v>
      </c>
      <c r="O413" s="25">
        <f t="shared" si="53"/>
        <v>-0.15566943462527977</v>
      </c>
      <c r="P413" s="24">
        <f>Data!K413</f>
        <v>370889000000</v>
      </c>
      <c r="Q413" s="24">
        <f>Data!I413</f>
        <v>11583000000</v>
      </c>
      <c r="R413" s="25">
        <f t="shared" si="54"/>
        <v>33.621121471121477</v>
      </c>
      <c r="S413" s="25">
        <f t="shared" si="55"/>
        <v>33.313716536904067</v>
      </c>
    </row>
    <row r="414" spans="1:19" ht="15" customHeight="1" x14ac:dyDescent="0.3">
      <c r="A414" s="22"/>
      <c r="B414" s="23"/>
      <c r="C414" s="3"/>
      <c r="D414" s="23">
        <v>2019</v>
      </c>
      <c r="E414" s="24">
        <f>Data!F414</f>
        <v>34382000000</v>
      </c>
      <c r="F414" s="24">
        <f>Data!H414</f>
        <v>37107000000</v>
      </c>
      <c r="G414" s="24">
        <f t="shared" si="48"/>
        <v>-2725000000</v>
      </c>
      <c r="H414" s="24">
        <f>Data!G414</f>
        <v>387737000000</v>
      </c>
      <c r="I414" s="25">
        <f t="shared" si="49"/>
        <v>-4.6103415459448023E-2</v>
      </c>
      <c r="J414" s="24">
        <f>Data!J414</f>
        <v>-41399000000</v>
      </c>
      <c r="K414" s="24">
        <f t="shared" si="50"/>
        <v>387737000000</v>
      </c>
      <c r="L414" s="25">
        <f t="shared" si="51"/>
        <v>-0.34807289477145587</v>
      </c>
      <c r="M414" s="24">
        <f>Data!M414</f>
        <v>-28231000000</v>
      </c>
      <c r="N414" s="24">
        <f t="shared" si="52"/>
        <v>387737000000</v>
      </c>
      <c r="O414" s="25">
        <f t="shared" si="53"/>
        <v>-0.48928093011500062</v>
      </c>
      <c r="P414" s="24">
        <f>Data!K414</f>
        <v>338925000000</v>
      </c>
      <c r="Q414" s="24">
        <f>Data!I414</f>
        <v>48812000000</v>
      </c>
      <c r="R414" s="25">
        <f t="shared" si="54"/>
        <v>7.2906508645415062</v>
      </c>
      <c r="S414" s="25">
        <f t="shared" si="55"/>
        <v>6.4071936241956013</v>
      </c>
    </row>
    <row r="415" spans="1:19" ht="15" customHeight="1" x14ac:dyDescent="0.3">
      <c r="A415" s="22"/>
      <c r="B415" s="23"/>
      <c r="C415" s="3"/>
      <c r="D415" s="23">
        <v>2020</v>
      </c>
      <c r="E415" s="24">
        <f>Data!F415</f>
        <v>62676000000</v>
      </c>
      <c r="F415" s="24">
        <f>Data!H415</f>
        <v>83801000000</v>
      </c>
      <c r="G415" s="24">
        <f t="shared" si="48"/>
        <v>-21125000000</v>
      </c>
      <c r="H415" s="24">
        <f>Data!G415</f>
        <v>449491000000</v>
      </c>
      <c r="I415" s="25">
        <f t="shared" si="49"/>
        <v>-0.30830428195447734</v>
      </c>
      <c r="J415" s="24">
        <f>Data!J415</f>
        <v>-69739000000</v>
      </c>
      <c r="K415" s="24">
        <f t="shared" si="50"/>
        <v>449491000000</v>
      </c>
      <c r="L415" s="25">
        <f t="shared" si="51"/>
        <v>-0.5057924185356325</v>
      </c>
      <c r="M415" s="24">
        <f>Data!M415</f>
        <v>-25655000000</v>
      </c>
      <c r="N415" s="24">
        <f t="shared" si="52"/>
        <v>449491000000</v>
      </c>
      <c r="O415" s="25">
        <f t="shared" si="53"/>
        <v>-0.3835485026396524</v>
      </c>
      <c r="P415" s="24">
        <f>Data!K415</f>
        <v>310585000000</v>
      </c>
      <c r="Q415" s="24">
        <f>Data!I415</f>
        <v>138906000000</v>
      </c>
      <c r="R415" s="25">
        <f t="shared" si="54"/>
        <v>2.3477333592501406</v>
      </c>
      <c r="S415" s="25">
        <f t="shared" si="55"/>
        <v>1.1500881561203784</v>
      </c>
    </row>
    <row r="416" spans="1:19" ht="15" customHeight="1" x14ac:dyDescent="0.3">
      <c r="A416" s="22"/>
      <c r="B416" s="23"/>
      <c r="C416" s="3"/>
      <c r="D416" s="23">
        <v>2021</v>
      </c>
      <c r="E416" s="24">
        <f>Data!F416</f>
        <v>136021000000</v>
      </c>
      <c r="F416" s="24">
        <f>Data!H416</f>
        <v>47857000000</v>
      </c>
      <c r="G416" s="24">
        <f t="shared" si="48"/>
        <v>88164000000</v>
      </c>
      <c r="H416" s="24">
        <f>Data!G416</f>
        <v>425122000000</v>
      </c>
      <c r="I416" s="25">
        <f t="shared" si="49"/>
        <v>1.3604467423469027</v>
      </c>
      <c r="J416" s="24">
        <f>Data!J416</f>
        <v>-119679000000</v>
      </c>
      <c r="K416" s="24">
        <f t="shared" si="50"/>
        <v>425122000000</v>
      </c>
      <c r="L416" s="25">
        <f t="shared" si="51"/>
        <v>-0.91774488264545229</v>
      </c>
      <c r="M416" s="24">
        <f>Data!M416</f>
        <v>-21642000000</v>
      </c>
      <c r="N416" s="24">
        <f t="shared" si="52"/>
        <v>425122000000</v>
      </c>
      <c r="O416" s="25">
        <f t="shared" si="53"/>
        <v>-0.34210000893861053</v>
      </c>
      <c r="P416" s="24">
        <f>Data!K416</f>
        <v>260645000000</v>
      </c>
      <c r="Q416" s="24">
        <f>Data!I416</f>
        <v>164477000000</v>
      </c>
      <c r="R416" s="25">
        <f t="shared" si="54"/>
        <v>1.6639241352894325</v>
      </c>
      <c r="S416" s="25">
        <f t="shared" si="55"/>
        <v>1.7645259860522724</v>
      </c>
    </row>
    <row r="417" spans="1:19" ht="15" customHeight="1" x14ac:dyDescent="0.3">
      <c r="A417" s="22"/>
      <c r="B417" s="23"/>
      <c r="C417" s="3"/>
      <c r="D417" s="23">
        <v>2022</v>
      </c>
      <c r="E417" s="24">
        <f>Data!F417</f>
        <v>175067000000</v>
      </c>
      <c r="F417" s="24">
        <f>Data!H417</f>
        <v>20687000000</v>
      </c>
      <c r="G417" s="24">
        <f t="shared" si="48"/>
        <v>154380000000</v>
      </c>
      <c r="H417" s="24">
        <f>Data!G417</f>
        <v>392960000000</v>
      </c>
      <c r="I417" s="25">
        <f t="shared" si="49"/>
        <v>2.5771905537459281</v>
      </c>
      <c r="J417" s="24">
        <f>Data!J417</f>
        <v>-155683000000</v>
      </c>
      <c r="K417" s="24">
        <f t="shared" si="50"/>
        <v>392960000000</v>
      </c>
      <c r="L417" s="25">
        <f t="shared" si="51"/>
        <v>-1.2915476893322475</v>
      </c>
      <c r="M417" s="24">
        <f>Data!M417</f>
        <v>-35573000000</v>
      </c>
      <c r="N417" s="24">
        <f t="shared" si="52"/>
        <v>392960000000</v>
      </c>
      <c r="O417" s="25">
        <f t="shared" si="53"/>
        <v>-0.60833306188925085</v>
      </c>
      <c r="P417" s="24">
        <f>Data!K417</f>
        <v>224641000000</v>
      </c>
      <c r="Q417" s="24">
        <f>Data!I417</f>
        <v>168319000000</v>
      </c>
      <c r="R417" s="25">
        <f t="shared" si="54"/>
        <v>1.4013453620803356</v>
      </c>
      <c r="S417" s="25">
        <f t="shared" si="55"/>
        <v>2.0786551646047653</v>
      </c>
    </row>
    <row r="418" spans="1:19" ht="15" customHeight="1" x14ac:dyDescent="0.3">
      <c r="A418" s="22"/>
      <c r="B418" s="23"/>
      <c r="C418" s="3"/>
      <c r="D418" s="23">
        <v>2023</v>
      </c>
      <c r="E418" s="24">
        <f>Data!F418</f>
        <v>167042000000</v>
      </c>
      <c r="F418" s="24">
        <f>Data!H418</f>
        <v>12949000000</v>
      </c>
      <c r="G418" s="24">
        <f t="shared" si="48"/>
        <v>154093000000</v>
      </c>
      <c r="H418" s="24">
        <f>Data!G418</f>
        <v>377348000000</v>
      </c>
      <c r="I418" s="25">
        <f t="shared" si="49"/>
        <v>2.6788271833956983</v>
      </c>
      <c r="J418" s="24">
        <f>Data!J418</f>
        <v>-203881000000</v>
      </c>
      <c r="K418" s="24">
        <f t="shared" si="50"/>
        <v>377348000000</v>
      </c>
      <c r="L418" s="25">
        <f t="shared" si="51"/>
        <v>-1.7613769252785225</v>
      </c>
      <c r="M418" s="24">
        <f>Data!M418</f>
        <v>-48956000000</v>
      </c>
      <c r="N418" s="24">
        <f t="shared" si="52"/>
        <v>377348000000</v>
      </c>
      <c r="O418" s="25">
        <f t="shared" si="53"/>
        <v>-0.87183268494864163</v>
      </c>
      <c r="P418" s="24">
        <f>Data!K418</f>
        <v>176443000000</v>
      </c>
      <c r="Q418" s="24">
        <f>Data!I418</f>
        <v>200905000000</v>
      </c>
      <c r="R418" s="25">
        <f t="shared" si="54"/>
        <v>0.92215300764042707</v>
      </c>
      <c r="S418" s="25">
        <f t="shared" si="55"/>
        <v>0.96777058080896117</v>
      </c>
    </row>
    <row r="419" spans="1:19" ht="15" customHeight="1" x14ac:dyDescent="0.3">
      <c r="A419" s="22"/>
      <c r="B419" s="23"/>
      <c r="C419" s="3"/>
      <c r="D419" s="23">
        <v>2024</v>
      </c>
      <c r="E419" s="24">
        <f>Data!F419</f>
        <v>191689000000</v>
      </c>
      <c r="F419" s="24">
        <f>Data!H419</f>
        <v>30439000000</v>
      </c>
      <c r="G419" s="24">
        <f t="shared" si="48"/>
        <v>161250000000</v>
      </c>
      <c r="H419" s="24">
        <f>Data!G419</f>
        <v>378530000000</v>
      </c>
      <c r="I419" s="25">
        <f t="shared" si="49"/>
        <v>2.7944944918500512</v>
      </c>
      <c r="J419" s="24">
        <f>Data!J419</f>
        <v>253515000000</v>
      </c>
      <c r="K419" s="24">
        <f t="shared" si="50"/>
        <v>378530000000</v>
      </c>
      <c r="L419" s="25">
        <f t="shared" si="51"/>
        <v>2.1833379124507966</v>
      </c>
      <c r="M419" s="24">
        <f>Data!M419</f>
        <v>-47731000000</v>
      </c>
      <c r="N419" s="24">
        <f t="shared" si="52"/>
        <v>378530000000</v>
      </c>
      <c r="O419" s="25">
        <f t="shared" si="53"/>
        <v>-0.84736300953689259</v>
      </c>
      <c r="P419" s="24">
        <f>Data!K419</f>
        <v>126809000000</v>
      </c>
      <c r="Q419" s="24">
        <f>Data!I419</f>
        <v>251721000000</v>
      </c>
      <c r="R419" s="25">
        <f t="shared" si="54"/>
        <v>0.52895646370386262</v>
      </c>
      <c r="S419" s="25">
        <f t="shared" si="55"/>
        <v>4.6594258584678183</v>
      </c>
    </row>
    <row r="420" spans="1:19" ht="15" customHeight="1" x14ac:dyDescent="0.3">
      <c r="A420" s="22"/>
      <c r="B420" s="23">
        <v>39</v>
      </c>
      <c r="C420" s="3" t="s">
        <v>33</v>
      </c>
      <c r="D420" s="23">
        <v>2014</v>
      </c>
      <c r="E420" s="24">
        <f>Data!F420</f>
        <v>0</v>
      </c>
      <c r="F420" s="24">
        <f>Data!H420</f>
        <v>0</v>
      </c>
      <c r="G420" s="24">
        <f t="shared" si="48"/>
        <v>0</v>
      </c>
      <c r="H420" s="24">
        <f>Data!G420</f>
        <v>0</v>
      </c>
      <c r="I420" s="25">
        <f t="shared" si="49"/>
        <v>0</v>
      </c>
      <c r="J420" s="24">
        <f>Data!J420</f>
        <v>0</v>
      </c>
      <c r="K420" s="24">
        <f t="shared" si="50"/>
        <v>0</v>
      </c>
      <c r="L420" s="25">
        <f t="shared" si="51"/>
        <v>0</v>
      </c>
      <c r="M420" s="24">
        <f>Data!M420</f>
        <v>0</v>
      </c>
      <c r="N420" s="24">
        <f t="shared" si="52"/>
        <v>0</v>
      </c>
      <c r="O420" s="25">
        <f t="shared" si="53"/>
        <v>0</v>
      </c>
      <c r="P420" s="24">
        <f>Data!K420</f>
        <v>0</v>
      </c>
      <c r="Q420" s="24">
        <f>Data!I420</f>
        <v>0</v>
      </c>
      <c r="R420" s="25">
        <f t="shared" si="54"/>
        <v>0</v>
      </c>
      <c r="S420" s="25">
        <f t="shared" si="55"/>
        <v>0</v>
      </c>
    </row>
    <row r="421" spans="1:19" ht="15" customHeight="1" x14ac:dyDescent="0.3">
      <c r="A421" s="22"/>
      <c r="B421" s="23"/>
      <c r="C421" s="3"/>
      <c r="D421" s="23">
        <v>2015</v>
      </c>
      <c r="E421" s="24">
        <f>Data!F421</f>
        <v>152830000000</v>
      </c>
      <c r="F421" s="24">
        <f>Data!H421</f>
        <v>142776000000</v>
      </c>
      <c r="G421" s="24">
        <f t="shared" si="48"/>
        <v>10054000000</v>
      </c>
      <c r="H421" s="24">
        <f>Data!G421</f>
        <v>1642577000000</v>
      </c>
      <c r="I421" s="25">
        <f t="shared" si="49"/>
        <v>4.0152906073809627E-2</v>
      </c>
      <c r="J421" s="24">
        <f>Data!J421</f>
        <v>-123544000000</v>
      </c>
      <c r="K421" s="24">
        <f t="shared" si="50"/>
        <v>1642577000000</v>
      </c>
      <c r="L421" s="25">
        <f t="shared" si="51"/>
        <v>-0.24519607908792099</v>
      </c>
      <c r="M421" s="24">
        <f>Data!M421</f>
        <v>-42026000000</v>
      </c>
      <c r="N421" s="24">
        <f t="shared" si="52"/>
        <v>1642577000000</v>
      </c>
      <c r="O421" s="25">
        <f t="shared" si="53"/>
        <v>-0.17193393064678245</v>
      </c>
      <c r="P421" s="24">
        <f>Data!K421</f>
        <v>407183000000</v>
      </c>
      <c r="Q421" s="24">
        <f>Data!I421</f>
        <v>1233374000000</v>
      </c>
      <c r="R421" s="25">
        <f t="shared" si="54"/>
        <v>0.34664436740193971</v>
      </c>
      <c r="S421" s="25">
        <f t="shared" si="55"/>
        <v>-3.0332736258954052E-2</v>
      </c>
    </row>
    <row r="422" spans="1:19" ht="15" customHeight="1" x14ac:dyDescent="0.3">
      <c r="A422" s="22"/>
      <c r="B422" s="23"/>
      <c r="C422" s="3"/>
      <c r="D422" s="23">
        <v>2016</v>
      </c>
      <c r="E422" s="24">
        <f>Data!F422</f>
        <v>177640000000</v>
      </c>
      <c r="F422" s="24">
        <f>Data!H422</f>
        <v>193951000000</v>
      </c>
      <c r="G422" s="24">
        <f t="shared" si="48"/>
        <v>-16311000000</v>
      </c>
      <c r="H422" s="24">
        <f>Data!G422</f>
        <v>2028209000000</v>
      </c>
      <c r="I422" s="25">
        <f t="shared" si="49"/>
        <v>-5.2755983234469415E-2</v>
      </c>
      <c r="J422" s="24">
        <f>Data!J422</f>
        <v>-157136000000</v>
      </c>
      <c r="K422" s="24">
        <f t="shared" si="50"/>
        <v>2028209000000</v>
      </c>
      <c r="L422" s="25">
        <f t="shared" si="51"/>
        <v>-0.25256931608133082</v>
      </c>
      <c r="M422" s="24">
        <f>Data!M422</f>
        <v>-37967000000</v>
      </c>
      <c r="N422" s="24">
        <f t="shared" si="52"/>
        <v>2028209000000</v>
      </c>
      <c r="O422" s="25">
        <f t="shared" si="53"/>
        <v>-0.1257948465863232</v>
      </c>
      <c r="P422" s="24">
        <f>Data!K422</f>
        <v>385552000000</v>
      </c>
      <c r="Q422" s="24">
        <f>Data!I422</f>
        <v>1642680000000</v>
      </c>
      <c r="R422" s="25">
        <f t="shared" si="54"/>
        <v>0.24644459054715467</v>
      </c>
      <c r="S422" s="25">
        <f t="shared" si="55"/>
        <v>-0.18467555535496877</v>
      </c>
    </row>
    <row r="423" spans="1:19" ht="15" customHeight="1" x14ac:dyDescent="0.3">
      <c r="A423" s="22"/>
      <c r="B423" s="23"/>
      <c r="C423" s="3"/>
      <c r="D423" s="23">
        <v>2017</v>
      </c>
      <c r="E423" s="24">
        <f>Data!F423</f>
        <v>161201000000</v>
      </c>
      <c r="F423" s="24">
        <f>Data!H423</f>
        <v>197864000000</v>
      </c>
      <c r="G423" s="24">
        <f t="shared" si="48"/>
        <v>-36663000000</v>
      </c>
      <c r="H423" s="24">
        <f>Data!G423</f>
        <v>2626619000000</v>
      </c>
      <c r="I423" s="25">
        <f t="shared" si="49"/>
        <v>-9.1566108369733099E-2</v>
      </c>
      <c r="J423" s="24">
        <f>Data!J423</f>
        <v>-65168000000</v>
      </c>
      <c r="K423" s="24">
        <f t="shared" si="50"/>
        <v>2626619000000</v>
      </c>
      <c r="L423" s="25">
        <f t="shared" si="51"/>
        <v>-8.0882564239427177E-2</v>
      </c>
      <c r="M423" s="24">
        <f>Data!M423</f>
        <v>113059000000</v>
      </c>
      <c r="N423" s="24">
        <f t="shared" si="52"/>
        <v>2626619000000</v>
      </c>
      <c r="O423" s="25">
        <f t="shared" si="53"/>
        <v>0.28925263999080186</v>
      </c>
      <c r="P423" s="24">
        <f>Data!K423</f>
        <v>509991000000</v>
      </c>
      <c r="Q423" s="24">
        <f>Data!I423</f>
        <v>2116641000000</v>
      </c>
      <c r="R423" s="25">
        <f t="shared" si="54"/>
        <v>0.25299072917892079</v>
      </c>
      <c r="S423" s="25">
        <f t="shared" si="55"/>
        <v>0.36979469656056241</v>
      </c>
    </row>
    <row r="424" spans="1:19" ht="15" customHeight="1" x14ac:dyDescent="0.3">
      <c r="A424" s="22"/>
      <c r="B424" s="23"/>
      <c r="C424" s="3"/>
      <c r="D424" s="23">
        <v>2018</v>
      </c>
      <c r="E424" s="24">
        <f>Data!F424</f>
        <v>210895000000</v>
      </c>
      <c r="F424" s="24">
        <f>Data!H424</f>
        <v>177438000000</v>
      </c>
      <c r="G424" s="24">
        <f t="shared" si="48"/>
        <v>33457000000</v>
      </c>
      <c r="H424" s="24">
        <f>Data!G424</f>
        <v>2735670000000</v>
      </c>
      <c r="I424" s="25">
        <f t="shared" si="49"/>
        <v>8.0228214660393968E-2</v>
      </c>
      <c r="J424" s="24">
        <f>Data!J424</f>
        <v>59338000000</v>
      </c>
      <c r="K424" s="24">
        <f t="shared" si="50"/>
        <v>2735670000000</v>
      </c>
      <c r="L424" s="25">
        <f t="shared" si="51"/>
        <v>7.071097025591537E-2</v>
      </c>
      <c r="M424" s="24">
        <f>Data!M424</f>
        <v>154796000000</v>
      </c>
      <c r="N424" s="24">
        <f t="shared" si="52"/>
        <v>2735670000000</v>
      </c>
      <c r="O424" s="25">
        <f t="shared" si="53"/>
        <v>0.380246564826898</v>
      </c>
      <c r="P424" s="24">
        <f>Data!K424</f>
        <v>599879000000</v>
      </c>
      <c r="Q424" s="24">
        <f>Data!I424</f>
        <v>2135770000000</v>
      </c>
      <c r="R424" s="25">
        <f t="shared" si="54"/>
        <v>0.29491609583428929</v>
      </c>
      <c r="S424" s="25">
        <f t="shared" si="55"/>
        <v>0.82610184557749666</v>
      </c>
    </row>
    <row r="425" spans="1:19" ht="15" customHeight="1" x14ac:dyDescent="0.3">
      <c r="A425" s="22"/>
      <c r="B425" s="23"/>
      <c r="C425" s="3"/>
      <c r="D425" s="23">
        <v>2019</v>
      </c>
      <c r="E425" s="24">
        <f>Data!F425</f>
        <v>143269000000</v>
      </c>
      <c r="F425" s="24">
        <f>Data!H425</f>
        <v>159266000000</v>
      </c>
      <c r="G425" s="24">
        <f t="shared" si="48"/>
        <v>-15997000000</v>
      </c>
      <c r="H425" s="24">
        <f>Data!G425</f>
        <v>2726383000000</v>
      </c>
      <c r="I425" s="25">
        <f t="shared" si="49"/>
        <v>-3.8490674274304082E-2</v>
      </c>
      <c r="J425" s="24">
        <f>Data!J425</f>
        <v>143045000000</v>
      </c>
      <c r="K425" s="24">
        <f t="shared" si="50"/>
        <v>2726383000000</v>
      </c>
      <c r="L425" s="25">
        <f t="shared" si="51"/>
        <v>0.17104225635209724</v>
      </c>
      <c r="M425" s="24">
        <f>Data!M425</f>
        <v>102524000000</v>
      </c>
      <c r="N425" s="24">
        <f t="shared" si="52"/>
        <v>2726383000000</v>
      </c>
      <c r="O425" s="25">
        <f t="shared" si="53"/>
        <v>0.25270157567737178</v>
      </c>
      <c r="P425" s="24">
        <f>Data!K425</f>
        <v>704207000000</v>
      </c>
      <c r="Q425" s="24">
        <f>Data!I425</f>
        <v>2022525000000</v>
      </c>
      <c r="R425" s="25">
        <f t="shared" si="54"/>
        <v>0.36559120406422668</v>
      </c>
      <c r="S425" s="25">
        <f t="shared" si="55"/>
        <v>0.75084436181939163</v>
      </c>
    </row>
    <row r="426" spans="1:19" ht="15" customHeight="1" x14ac:dyDescent="0.3">
      <c r="A426" s="22"/>
      <c r="B426" s="23"/>
      <c r="C426" s="3"/>
      <c r="D426" s="23">
        <v>2020</v>
      </c>
      <c r="E426" s="24">
        <f>Data!F426</f>
        <v>197115000000</v>
      </c>
      <c r="F426" s="24">
        <f>Data!H426</f>
        <v>196225000000</v>
      </c>
      <c r="G426" s="24">
        <f t="shared" si="48"/>
        <v>890000000</v>
      </c>
      <c r="H426" s="24">
        <f>Data!G426</f>
        <v>2741223000000</v>
      </c>
      <c r="I426" s="25">
        <f t="shared" si="49"/>
        <v>2.1298522593747389E-3</v>
      </c>
      <c r="J426" s="24">
        <f>Data!J426</f>
        <v>223722000000</v>
      </c>
      <c r="K426" s="24">
        <f t="shared" si="50"/>
        <v>2741223000000</v>
      </c>
      <c r="L426" s="25">
        <f t="shared" si="51"/>
        <v>0.26606143316322678</v>
      </c>
      <c r="M426" s="24">
        <f>Data!M426</f>
        <v>94804000000</v>
      </c>
      <c r="N426" s="24">
        <f t="shared" si="52"/>
        <v>2741223000000</v>
      </c>
      <c r="O426" s="25">
        <f t="shared" si="53"/>
        <v>0.23240826448632601</v>
      </c>
      <c r="P426" s="24">
        <f>Data!K426</f>
        <v>834040000000</v>
      </c>
      <c r="Q426" s="24">
        <f>Data!I426</f>
        <v>1907139000000</v>
      </c>
      <c r="R426" s="25">
        <f t="shared" si="54"/>
        <v>0.4591914904996437</v>
      </c>
      <c r="S426" s="25">
        <f t="shared" si="55"/>
        <v>0.95979104040857122</v>
      </c>
    </row>
    <row r="427" spans="1:19" ht="15" customHeight="1" x14ac:dyDescent="0.3">
      <c r="A427" s="22"/>
      <c r="B427" s="23"/>
      <c r="C427" s="3"/>
      <c r="D427" s="23">
        <v>2021</v>
      </c>
      <c r="E427" s="24">
        <f>Data!F427</f>
        <v>209649000000</v>
      </c>
      <c r="F427" s="24">
        <f>Data!H427</f>
        <v>238153000000</v>
      </c>
      <c r="G427" s="24">
        <f t="shared" si="48"/>
        <v>-28504000000</v>
      </c>
      <c r="H427" s="24">
        <f>Data!G427</f>
        <v>2690231000000</v>
      </c>
      <c r="I427" s="25">
        <f t="shared" si="49"/>
        <v>-6.9505644682556988E-2</v>
      </c>
      <c r="J427" s="24">
        <f>Data!J427</f>
        <v>263233000000</v>
      </c>
      <c r="K427" s="24">
        <f t="shared" si="50"/>
        <v>2690231000000</v>
      </c>
      <c r="L427" s="25">
        <f t="shared" si="51"/>
        <v>0.31898360401021325</v>
      </c>
      <c r="M427" s="24">
        <f>Data!M427</f>
        <v>34749000000</v>
      </c>
      <c r="N427" s="24">
        <f t="shared" si="52"/>
        <v>2690231000000</v>
      </c>
      <c r="O427" s="25">
        <f t="shared" si="53"/>
        <v>8.6800456912436152E-2</v>
      </c>
      <c r="P427" s="24">
        <f>Data!K427</f>
        <v>862216000000</v>
      </c>
      <c r="Q427" s="24">
        <f>Data!I427</f>
        <v>1826530000000</v>
      </c>
      <c r="R427" s="25">
        <f t="shared" si="54"/>
        <v>0.49565394491193687</v>
      </c>
      <c r="S427" s="25">
        <f t="shared" si="55"/>
        <v>0.83193236115202929</v>
      </c>
    </row>
    <row r="428" spans="1:19" ht="15" customHeight="1" x14ac:dyDescent="0.3">
      <c r="A428" s="22"/>
      <c r="B428" s="23"/>
      <c r="C428" s="3"/>
      <c r="D428" s="23">
        <v>2022</v>
      </c>
      <c r="E428" s="24">
        <f>Data!F428</f>
        <v>147847000000</v>
      </c>
      <c r="F428" s="24">
        <f>Data!H428</f>
        <v>291754000000</v>
      </c>
      <c r="G428" s="24">
        <f t="shared" si="48"/>
        <v>-143907000000</v>
      </c>
      <c r="H428" s="24">
        <f>Data!G428</f>
        <v>2650010000000</v>
      </c>
      <c r="I428" s="25">
        <f t="shared" si="49"/>
        <v>-0.35623636137222126</v>
      </c>
      <c r="J428" s="24">
        <f>Data!J428</f>
        <v>241391000000</v>
      </c>
      <c r="K428" s="24">
        <f t="shared" si="50"/>
        <v>2650010000000</v>
      </c>
      <c r="L428" s="25">
        <f t="shared" si="51"/>
        <v>0.29695535488545327</v>
      </c>
      <c r="M428" s="24">
        <f>Data!M428</f>
        <v>-24082000000</v>
      </c>
      <c r="N428" s="24">
        <f t="shared" si="52"/>
        <v>2650010000000</v>
      </c>
      <c r="O428" s="25">
        <f t="shared" si="53"/>
        <v>-6.1068086535522509E-2</v>
      </c>
      <c r="P428" s="24">
        <f>Data!K428</f>
        <v>800308000000</v>
      </c>
      <c r="Q428" s="24">
        <f>Data!I428</f>
        <v>1849667000000</v>
      </c>
      <c r="R428" s="25">
        <f t="shared" si="54"/>
        <v>0.45431064078020528</v>
      </c>
      <c r="S428" s="25">
        <f t="shared" si="55"/>
        <v>0.33396154775791476</v>
      </c>
    </row>
    <row r="429" spans="1:19" ht="15" customHeight="1" x14ac:dyDescent="0.3">
      <c r="A429" s="22"/>
      <c r="B429" s="23"/>
      <c r="C429" s="3"/>
      <c r="D429" s="23">
        <v>2023</v>
      </c>
      <c r="E429" s="24">
        <f>Data!F429</f>
        <v>438648000000</v>
      </c>
      <c r="F429" s="24">
        <f>Data!H429</f>
        <v>508892000000</v>
      </c>
      <c r="G429" s="24">
        <f t="shared" si="48"/>
        <v>-70244000000</v>
      </c>
      <c r="H429" s="24">
        <f>Data!G429</f>
        <v>4022226000000</v>
      </c>
      <c r="I429" s="25">
        <f t="shared" si="49"/>
        <v>-0.11456358742646486</v>
      </c>
      <c r="J429" s="24">
        <f>Data!J429</f>
        <v>137068000000</v>
      </c>
      <c r="K429" s="24">
        <f t="shared" si="50"/>
        <v>4022226000000</v>
      </c>
      <c r="L429" s="25">
        <f t="shared" si="51"/>
        <v>0.11109313101750126</v>
      </c>
      <c r="M429" s="24">
        <f>Data!M429</f>
        <v>-81723000000</v>
      </c>
      <c r="N429" s="24">
        <f t="shared" si="52"/>
        <v>4022226000000</v>
      </c>
      <c r="O429" s="25">
        <f t="shared" si="53"/>
        <v>-0.13653597783913685</v>
      </c>
      <c r="P429" s="24">
        <f>Data!K429</f>
        <v>1180822000000</v>
      </c>
      <c r="Q429" s="24">
        <f>Data!I429</f>
        <v>2839439000000</v>
      </c>
      <c r="R429" s="25">
        <f t="shared" si="54"/>
        <v>0.43665776936923106</v>
      </c>
      <c r="S429" s="25">
        <f t="shared" si="55"/>
        <v>0.29665133512113062</v>
      </c>
    </row>
    <row r="430" spans="1:19" ht="15" customHeight="1" x14ac:dyDescent="0.3">
      <c r="A430" s="22"/>
      <c r="B430" s="23"/>
      <c r="C430" s="3"/>
      <c r="D430" s="23">
        <v>2024</v>
      </c>
      <c r="E430" s="24">
        <f>Data!F430</f>
        <v>283202000000</v>
      </c>
      <c r="F430" s="24">
        <f>Data!H430</f>
        <v>577330000000</v>
      </c>
      <c r="G430" s="24">
        <f t="shared" si="48"/>
        <v>-294128000000</v>
      </c>
      <c r="H430" s="24">
        <f>Data!G430</f>
        <v>3619977000000</v>
      </c>
      <c r="I430" s="25">
        <f t="shared" si="49"/>
        <v>-0.53300882298423446</v>
      </c>
      <c r="J430" s="24">
        <f>Data!J430</f>
        <v>11084000000</v>
      </c>
      <c r="K430" s="24">
        <f t="shared" si="50"/>
        <v>3619977000000</v>
      </c>
      <c r="L430" s="25">
        <f t="shared" si="51"/>
        <v>9.9817871771008485E-3</v>
      </c>
      <c r="M430" s="24">
        <f>Data!M430</f>
        <v>-137100000000</v>
      </c>
      <c r="N430" s="24">
        <f t="shared" si="52"/>
        <v>3619977000000</v>
      </c>
      <c r="O430" s="25">
        <f t="shared" si="53"/>
        <v>-0.25450769438590354</v>
      </c>
      <c r="P430" s="24">
        <f>Data!K430</f>
        <v>1016672000000</v>
      </c>
      <c r="Q430" s="24">
        <f>Data!I430</f>
        <v>2602124000000</v>
      </c>
      <c r="R430" s="25">
        <f t="shared" si="54"/>
        <v>0.41024393918199137</v>
      </c>
      <c r="S430" s="25">
        <f t="shared" si="55"/>
        <v>-0.36729079101104573</v>
      </c>
    </row>
    <row r="431" spans="1:19" ht="15" customHeight="1" x14ac:dyDescent="0.3">
      <c r="A431" s="22"/>
      <c r="B431" s="23">
        <v>40</v>
      </c>
      <c r="C431" s="3" t="s">
        <v>12</v>
      </c>
      <c r="D431" s="23">
        <v>2014</v>
      </c>
      <c r="E431" s="24">
        <f>Data!F431</f>
        <v>0</v>
      </c>
      <c r="F431" s="24">
        <f>Data!H431</f>
        <v>0</v>
      </c>
      <c r="G431" s="24">
        <f t="shared" si="48"/>
        <v>0</v>
      </c>
      <c r="H431" s="24">
        <f>Data!G431</f>
        <v>0</v>
      </c>
      <c r="I431" s="25">
        <f t="shared" si="49"/>
        <v>0</v>
      </c>
      <c r="J431" s="24">
        <f>Data!J431</f>
        <v>0</v>
      </c>
      <c r="K431" s="24">
        <f t="shared" si="50"/>
        <v>0</v>
      </c>
      <c r="L431" s="25">
        <f t="shared" si="51"/>
        <v>0</v>
      </c>
      <c r="M431" s="24">
        <f>Data!M431</f>
        <v>0</v>
      </c>
      <c r="N431" s="24">
        <f t="shared" si="52"/>
        <v>0</v>
      </c>
      <c r="O431" s="25">
        <f t="shared" si="53"/>
        <v>0</v>
      </c>
      <c r="P431" s="24">
        <f>Data!K431</f>
        <v>0</v>
      </c>
      <c r="Q431" s="24">
        <f>Data!I431</f>
        <v>0</v>
      </c>
      <c r="R431" s="25">
        <f t="shared" si="54"/>
        <v>0</v>
      </c>
      <c r="S431" s="25">
        <f t="shared" si="55"/>
        <v>0</v>
      </c>
    </row>
    <row r="432" spans="1:19" ht="15" customHeight="1" x14ac:dyDescent="0.3">
      <c r="A432" s="22"/>
      <c r="B432" s="23"/>
      <c r="C432" s="3"/>
      <c r="D432" s="23">
        <v>2015</v>
      </c>
      <c r="E432" s="24">
        <f>Data!F432</f>
        <v>0</v>
      </c>
      <c r="F432" s="24">
        <f>Data!H432</f>
        <v>0</v>
      </c>
      <c r="G432" s="24">
        <f t="shared" si="48"/>
        <v>0</v>
      </c>
      <c r="H432" s="24">
        <f>Data!G432</f>
        <v>0</v>
      </c>
      <c r="I432" s="25">
        <f t="shared" si="49"/>
        <v>0</v>
      </c>
      <c r="J432" s="24">
        <f>Data!J432</f>
        <v>0</v>
      </c>
      <c r="K432" s="24">
        <f t="shared" si="50"/>
        <v>0</v>
      </c>
      <c r="L432" s="25">
        <f t="shared" si="51"/>
        <v>0</v>
      </c>
      <c r="M432" s="24">
        <f>Data!M432</f>
        <v>0</v>
      </c>
      <c r="N432" s="24">
        <f t="shared" si="52"/>
        <v>0</v>
      </c>
      <c r="O432" s="25">
        <f t="shared" si="53"/>
        <v>0</v>
      </c>
      <c r="P432" s="24">
        <f>Data!K432</f>
        <v>0</v>
      </c>
      <c r="Q432" s="24">
        <f>Data!I432</f>
        <v>0</v>
      </c>
      <c r="R432" s="25">
        <f t="shared" si="54"/>
        <v>0</v>
      </c>
      <c r="S432" s="25">
        <f t="shared" si="55"/>
        <v>0</v>
      </c>
    </row>
    <row r="433" spans="1:19" ht="15" customHeight="1" x14ac:dyDescent="0.3">
      <c r="A433" s="22"/>
      <c r="B433" s="23"/>
      <c r="C433" s="3"/>
      <c r="D433" s="23">
        <v>2016</v>
      </c>
      <c r="E433" s="24">
        <f>Data!F433</f>
        <v>0</v>
      </c>
      <c r="F433" s="24">
        <f>Data!H433</f>
        <v>0</v>
      </c>
      <c r="G433" s="24">
        <f t="shared" si="48"/>
        <v>0</v>
      </c>
      <c r="H433" s="24">
        <f>Data!G433</f>
        <v>0</v>
      </c>
      <c r="I433" s="25">
        <f t="shared" si="49"/>
        <v>0</v>
      </c>
      <c r="J433" s="24">
        <f>Data!J433</f>
        <v>0</v>
      </c>
      <c r="K433" s="24">
        <f t="shared" si="50"/>
        <v>0</v>
      </c>
      <c r="L433" s="25">
        <f t="shared" si="51"/>
        <v>0</v>
      </c>
      <c r="M433" s="24">
        <f>Data!M433</f>
        <v>0</v>
      </c>
      <c r="N433" s="24">
        <f t="shared" si="52"/>
        <v>0</v>
      </c>
      <c r="O433" s="25">
        <f t="shared" si="53"/>
        <v>0</v>
      </c>
      <c r="P433" s="24">
        <f>Data!K433</f>
        <v>0</v>
      </c>
      <c r="Q433" s="24">
        <f>Data!I433</f>
        <v>0</v>
      </c>
      <c r="R433" s="25">
        <f t="shared" si="54"/>
        <v>0</v>
      </c>
      <c r="S433" s="25">
        <f t="shared" si="55"/>
        <v>0</v>
      </c>
    </row>
    <row r="434" spans="1:19" ht="15" customHeight="1" x14ac:dyDescent="0.3">
      <c r="A434" s="22"/>
      <c r="B434" s="23"/>
      <c r="C434" s="3"/>
      <c r="D434" s="23">
        <v>2017</v>
      </c>
      <c r="E434" s="24">
        <f>Data!F434</f>
        <v>0</v>
      </c>
      <c r="F434" s="24">
        <f>Data!H434</f>
        <v>0</v>
      </c>
      <c r="G434" s="24">
        <f t="shared" si="48"/>
        <v>0</v>
      </c>
      <c r="H434" s="24">
        <f>Data!G434</f>
        <v>0</v>
      </c>
      <c r="I434" s="25">
        <f t="shared" si="49"/>
        <v>0</v>
      </c>
      <c r="J434" s="24">
        <f>Data!J434</f>
        <v>0</v>
      </c>
      <c r="K434" s="24">
        <f t="shared" si="50"/>
        <v>0</v>
      </c>
      <c r="L434" s="25">
        <f t="shared" si="51"/>
        <v>0</v>
      </c>
      <c r="M434" s="24">
        <f>Data!M434</f>
        <v>0</v>
      </c>
      <c r="N434" s="24">
        <f t="shared" si="52"/>
        <v>0</v>
      </c>
      <c r="O434" s="25">
        <f t="shared" si="53"/>
        <v>0</v>
      </c>
      <c r="P434" s="24">
        <f>Data!K434</f>
        <v>0</v>
      </c>
      <c r="Q434" s="24">
        <f>Data!I434</f>
        <v>0</v>
      </c>
      <c r="R434" s="25">
        <f t="shared" si="54"/>
        <v>0</v>
      </c>
      <c r="S434" s="25">
        <f t="shared" si="55"/>
        <v>0</v>
      </c>
    </row>
    <row r="435" spans="1:19" ht="15" customHeight="1" x14ac:dyDescent="0.3">
      <c r="A435" s="22"/>
      <c r="B435" s="23"/>
      <c r="C435" s="3"/>
      <c r="D435" s="23">
        <v>2018</v>
      </c>
      <c r="E435" s="24">
        <f>Data!F435</f>
        <v>114944000000</v>
      </c>
      <c r="F435" s="24">
        <f>Data!H435</f>
        <v>97084000000</v>
      </c>
      <c r="G435" s="24">
        <f t="shared" si="48"/>
        <v>17860000000</v>
      </c>
      <c r="H435" s="24">
        <f>Data!G435</f>
        <v>2378498000000</v>
      </c>
      <c r="I435" s="25">
        <f t="shared" si="49"/>
        <v>4.9258649786545962E-2</v>
      </c>
      <c r="J435" s="24">
        <f>Data!J435</f>
        <v>187208000000</v>
      </c>
      <c r="K435" s="24">
        <f t="shared" si="50"/>
        <v>2378498000000</v>
      </c>
      <c r="L435" s="25">
        <f t="shared" si="51"/>
        <v>0.25658969652276353</v>
      </c>
      <c r="M435" s="24">
        <f>Data!M435</f>
        <v>26463000000</v>
      </c>
      <c r="N435" s="24">
        <f t="shared" si="52"/>
        <v>2378498000000</v>
      </c>
      <c r="O435" s="25">
        <f t="shared" si="53"/>
        <v>7.4766243234175508E-2</v>
      </c>
      <c r="P435" s="24">
        <f>Data!K435</f>
        <v>437677000000</v>
      </c>
      <c r="Q435" s="24">
        <f>Data!I435</f>
        <v>1940821000000</v>
      </c>
      <c r="R435" s="25">
        <f t="shared" si="54"/>
        <v>0.23678682887293573</v>
      </c>
      <c r="S435" s="25">
        <f t="shared" si="55"/>
        <v>0.61740141841642071</v>
      </c>
    </row>
    <row r="436" spans="1:19" ht="15" customHeight="1" x14ac:dyDescent="0.3">
      <c r="A436" s="22"/>
      <c r="B436" s="23"/>
      <c r="C436" s="3"/>
      <c r="D436" s="23">
        <v>2019</v>
      </c>
      <c r="E436" s="24">
        <f>Data!F436</f>
        <v>126678000000</v>
      </c>
      <c r="F436" s="24">
        <f>Data!H436</f>
        <v>107340000000</v>
      </c>
      <c r="G436" s="24">
        <f t="shared" si="48"/>
        <v>19338000000</v>
      </c>
      <c r="H436" s="24">
        <f>Data!G436</f>
        <v>2492624000000</v>
      </c>
      <c r="I436" s="25">
        <f t="shared" si="49"/>
        <v>5.0893066904595316E-2</v>
      </c>
      <c r="J436" s="24">
        <f>Data!J436</f>
        <v>206230000000</v>
      </c>
      <c r="K436" s="24">
        <f t="shared" si="50"/>
        <v>2492624000000</v>
      </c>
      <c r="L436" s="25">
        <f t="shared" si="51"/>
        <v>0.26971970100584763</v>
      </c>
      <c r="M436" s="24">
        <f>Data!M436</f>
        <v>32965000000</v>
      </c>
      <c r="N436" s="24">
        <f t="shared" si="52"/>
        <v>2492624000000</v>
      </c>
      <c r="O436" s="25">
        <f t="shared" si="53"/>
        <v>8.8872128327417213E-2</v>
      </c>
      <c r="P436" s="24">
        <f>Data!K436</f>
        <v>467698000000</v>
      </c>
      <c r="Q436" s="24">
        <f>Data!I436</f>
        <v>2024926000000</v>
      </c>
      <c r="R436" s="25">
        <f t="shared" si="54"/>
        <v>0.24251893649446943</v>
      </c>
      <c r="S436" s="25">
        <f t="shared" si="55"/>
        <v>0.65200383273232965</v>
      </c>
    </row>
    <row r="437" spans="1:19" ht="15" customHeight="1" x14ac:dyDescent="0.3">
      <c r="A437" s="22"/>
      <c r="B437" s="23"/>
      <c r="C437" s="3"/>
      <c r="D437" s="23">
        <v>2020</v>
      </c>
      <c r="E437" s="24">
        <f>Data!F437</f>
        <v>118958000000</v>
      </c>
      <c r="F437" s="24">
        <f>Data!H437</f>
        <v>125709000000</v>
      </c>
      <c r="G437" s="24">
        <f t="shared" si="48"/>
        <v>-6751000000</v>
      </c>
      <c r="H437" s="24">
        <f>Data!G437</f>
        <v>2412636000000</v>
      </c>
      <c r="I437" s="25">
        <f t="shared" si="49"/>
        <v>-1.8356088527237427E-2</v>
      </c>
      <c r="J437" s="24">
        <f>Data!J437</f>
        <v>178170000000</v>
      </c>
      <c r="K437" s="24">
        <f t="shared" si="50"/>
        <v>2412636000000</v>
      </c>
      <c r="L437" s="25">
        <f t="shared" si="51"/>
        <v>0.24074671852695556</v>
      </c>
      <c r="M437" s="24">
        <f>Data!M437</f>
        <v>27218000000</v>
      </c>
      <c r="N437" s="24">
        <f t="shared" si="52"/>
        <v>2412636000000</v>
      </c>
      <c r="O437" s="25">
        <f t="shared" si="53"/>
        <v>7.5811253749011445E-2</v>
      </c>
      <c r="P437" s="24">
        <f>Data!K437</f>
        <v>447766000000</v>
      </c>
      <c r="Q437" s="24">
        <f>Data!I437</f>
        <v>1964870000000</v>
      </c>
      <c r="R437" s="25">
        <f t="shared" si="54"/>
        <v>0.23928010504511749</v>
      </c>
      <c r="S437" s="25">
        <f t="shared" si="55"/>
        <v>0.53748198879384712</v>
      </c>
    </row>
    <row r="438" spans="1:19" ht="15" customHeight="1" x14ac:dyDescent="0.3">
      <c r="A438" s="22"/>
      <c r="B438" s="23"/>
      <c r="C438" s="3"/>
      <c r="D438" s="23">
        <v>2021</v>
      </c>
      <c r="E438" s="24">
        <f>Data!F438</f>
        <v>158287000000</v>
      </c>
      <c r="F438" s="24">
        <f>Data!H438</f>
        <v>100582000000</v>
      </c>
      <c r="G438" s="24">
        <f t="shared" si="48"/>
        <v>57705000000</v>
      </c>
      <c r="H438" s="24">
        <f>Data!G438</f>
        <v>2456501000000</v>
      </c>
      <c r="I438" s="25">
        <f t="shared" si="49"/>
        <v>0.15409918416479373</v>
      </c>
      <c r="J438" s="24">
        <f>Data!J438</f>
        <v>169981000000</v>
      </c>
      <c r="K438" s="24">
        <f t="shared" si="50"/>
        <v>2456501000000</v>
      </c>
      <c r="L438" s="25">
        <f t="shared" si="51"/>
        <v>0.22558022976583358</v>
      </c>
      <c r="M438" s="24">
        <f>Data!M438</f>
        <v>15466000000</v>
      </c>
      <c r="N438" s="24">
        <f t="shared" si="52"/>
        <v>2456501000000</v>
      </c>
      <c r="O438" s="25">
        <f t="shared" si="53"/>
        <v>4.2308763562481755E-2</v>
      </c>
      <c r="P438" s="24">
        <f>Data!K438</f>
        <v>427808000000</v>
      </c>
      <c r="Q438" s="24">
        <f>Data!I438</f>
        <v>2028693000000</v>
      </c>
      <c r="R438" s="25">
        <f t="shared" si="54"/>
        <v>0.22142256122538009</v>
      </c>
      <c r="S438" s="25">
        <f t="shared" si="55"/>
        <v>0.64341073871848919</v>
      </c>
    </row>
    <row r="439" spans="1:19" ht="15" customHeight="1" x14ac:dyDescent="0.3">
      <c r="A439" s="22"/>
      <c r="B439" s="23"/>
      <c r="C439" s="3"/>
      <c r="D439" s="23">
        <v>2022</v>
      </c>
      <c r="E439" s="24">
        <f>Data!F439</f>
        <v>170050000000</v>
      </c>
      <c r="F439" s="24">
        <f>Data!H439</f>
        <v>97579000000</v>
      </c>
      <c r="G439" s="24">
        <f t="shared" si="48"/>
        <v>72471000000</v>
      </c>
      <c r="H439" s="24">
        <f>Data!G439</f>
        <v>2561445000000</v>
      </c>
      <c r="I439" s="25">
        <f t="shared" si="49"/>
        <v>0.18560217377300703</v>
      </c>
      <c r="J439" s="24">
        <f>Data!J439</f>
        <v>181025000000</v>
      </c>
      <c r="K439" s="24">
        <f t="shared" si="50"/>
        <v>2561445000000</v>
      </c>
      <c r="L439" s="25">
        <f t="shared" si="51"/>
        <v>0.23039397683729301</v>
      </c>
      <c r="M439" s="24">
        <f>Data!M439</f>
        <v>11044000000</v>
      </c>
      <c r="N439" s="24">
        <f t="shared" si="52"/>
        <v>2561445000000</v>
      </c>
      <c r="O439" s="25">
        <f t="shared" si="53"/>
        <v>2.8974145453054819E-2</v>
      </c>
      <c r="P439" s="24">
        <f>Data!K439</f>
        <v>487341000000</v>
      </c>
      <c r="Q439" s="24">
        <f>Data!I439</f>
        <v>2074104000000</v>
      </c>
      <c r="R439" s="25">
        <f t="shared" si="54"/>
        <v>0.24671282153643212</v>
      </c>
      <c r="S439" s="25">
        <f t="shared" si="55"/>
        <v>0.69168311759978696</v>
      </c>
    </row>
    <row r="440" spans="1:19" ht="15" customHeight="1" x14ac:dyDescent="0.3">
      <c r="A440" s="22"/>
      <c r="B440" s="23"/>
      <c r="C440" s="3"/>
      <c r="D440" s="23">
        <v>2023</v>
      </c>
      <c r="E440" s="24">
        <f>Data!F440</f>
        <v>115187000000</v>
      </c>
      <c r="F440" s="24">
        <f>Data!H440</f>
        <v>107994000000</v>
      </c>
      <c r="G440" s="24">
        <f t="shared" si="48"/>
        <v>7193000000</v>
      </c>
      <c r="H440" s="24">
        <f>Data!G440</f>
        <v>2481923000000</v>
      </c>
      <c r="I440" s="25">
        <f t="shared" si="49"/>
        <v>1.9011903270165914E-2</v>
      </c>
      <c r="J440" s="24">
        <f>Data!J440</f>
        <v>126854000000</v>
      </c>
      <c r="K440" s="24">
        <f t="shared" si="50"/>
        <v>2481923000000</v>
      </c>
      <c r="L440" s="25">
        <f t="shared" si="51"/>
        <v>0.16662242946296077</v>
      </c>
      <c r="M440" s="24">
        <f>Data!M440</f>
        <v>-54171000000</v>
      </c>
      <c r="N440" s="24">
        <f t="shared" si="52"/>
        <v>2481923000000</v>
      </c>
      <c r="O440" s="25">
        <f t="shared" si="53"/>
        <v>-0.14667220538268108</v>
      </c>
      <c r="P440" s="24">
        <f>Data!K440</f>
        <v>439014000000</v>
      </c>
      <c r="Q440" s="24">
        <f>Data!I440</f>
        <v>2042909000000</v>
      </c>
      <c r="R440" s="25">
        <f t="shared" si="54"/>
        <v>0.22564132812572663</v>
      </c>
      <c r="S440" s="25">
        <f t="shared" si="55"/>
        <v>0.26460345547617226</v>
      </c>
    </row>
    <row r="441" spans="1:19" ht="15" customHeight="1" x14ac:dyDescent="0.3">
      <c r="A441" s="22"/>
      <c r="B441" s="23"/>
      <c r="C441" s="3"/>
      <c r="D441" s="23">
        <v>2024</v>
      </c>
      <c r="E441" s="24">
        <f>Data!F441</f>
        <v>110361000000</v>
      </c>
      <c r="F441" s="24">
        <f>Data!H441</f>
        <v>122514000000</v>
      </c>
      <c r="G441" s="24">
        <f t="shared" si="48"/>
        <v>-12153000000</v>
      </c>
      <c r="H441" s="24">
        <f>Data!G441</f>
        <v>2348307000000</v>
      </c>
      <c r="I441" s="25">
        <f t="shared" si="49"/>
        <v>-3.3949428247669486E-2</v>
      </c>
      <c r="J441" s="24">
        <f>Data!J441</f>
        <v>76628000000</v>
      </c>
      <c r="K441" s="24">
        <f t="shared" si="50"/>
        <v>2348307000000</v>
      </c>
      <c r="L441" s="25">
        <f t="shared" si="51"/>
        <v>0.10637760735713003</v>
      </c>
      <c r="M441" s="24">
        <f>Data!M441</f>
        <v>5934000000</v>
      </c>
      <c r="N441" s="24">
        <f t="shared" si="52"/>
        <v>2348307000000</v>
      </c>
      <c r="O441" s="25">
        <f t="shared" si="53"/>
        <v>1.6980948402402239E-2</v>
      </c>
      <c r="P441" s="24">
        <f>Data!K441</f>
        <v>439223000000</v>
      </c>
      <c r="Q441" s="24">
        <f>Data!I441</f>
        <v>1909084000000</v>
      </c>
      <c r="R441" s="25">
        <f t="shared" si="54"/>
        <v>0.24157352426608783</v>
      </c>
      <c r="S441" s="25">
        <f t="shared" si="55"/>
        <v>0.33098265177795061</v>
      </c>
    </row>
    <row r="442" spans="1:19" ht="15" customHeight="1" x14ac:dyDescent="0.3">
      <c r="A442" s="22"/>
      <c r="B442" s="23">
        <v>41</v>
      </c>
      <c r="C442" s="3" t="s">
        <v>34</v>
      </c>
      <c r="D442" s="23">
        <v>2014</v>
      </c>
      <c r="E442" s="24">
        <f>Data!F442</f>
        <v>0</v>
      </c>
      <c r="F442" s="24">
        <f>Data!H442</f>
        <v>0</v>
      </c>
      <c r="G442" s="24">
        <f t="shared" si="48"/>
        <v>0</v>
      </c>
      <c r="H442" s="24">
        <f>Data!G442</f>
        <v>0</v>
      </c>
      <c r="I442" s="25">
        <f t="shared" si="49"/>
        <v>0</v>
      </c>
      <c r="J442" s="24">
        <f>Data!J442</f>
        <v>0</v>
      </c>
      <c r="K442" s="24">
        <f t="shared" si="50"/>
        <v>0</v>
      </c>
      <c r="L442" s="25">
        <f t="shared" si="51"/>
        <v>0</v>
      </c>
      <c r="M442" s="24">
        <f>Data!M442</f>
        <v>0</v>
      </c>
      <c r="N442" s="24">
        <f t="shared" si="52"/>
        <v>0</v>
      </c>
      <c r="O442" s="25">
        <f t="shared" si="53"/>
        <v>0</v>
      </c>
      <c r="P442" s="24">
        <f>Data!K442</f>
        <v>0</v>
      </c>
      <c r="Q442" s="24">
        <f>Data!I442</f>
        <v>0</v>
      </c>
      <c r="R442" s="25">
        <f t="shared" si="54"/>
        <v>0</v>
      </c>
      <c r="S442" s="25">
        <f t="shared" si="55"/>
        <v>0</v>
      </c>
    </row>
    <row r="443" spans="1:19" ht="15" customHeight="1" x14ac:dyDescent="0.3">
      <c r="A443" s="22"/>
      <c r="B443" s="23"/>
      <c r="C443" s="3"/>
      <c r="D443" s="23">
        <v>2015</v>
      </c>
      <c r="E443" s="24">
        <f>Data!F443</f>
        <v>0</v>
      </c>
      <c r="F443" s="24">
        <f>Data!H443</f>
        <v>0</v>
      </c>
      <c r="G443" s="24">
        <f t="shared" si="48"/>
        <v>0</v>
      </c>
      <c r="H443" s="24">
        <f>Data!G443</f>
        <v>0</v>
      </c>
      <c r="I443" s="25">
        <f t="shared" si="49"/>
        <v>0</v>
      </c>
      <c r="J443" s="24">
        <f>Data!J443</f>
        <v>0</v>
      </c>
      <c r="K443" s="24">
        <f t="shared" si="50"/>
        <v>0</v>
      </c>
      <c r="L443" s="25">
        <f t="shared" si="51"/>
        <v>0</v>
      </c>
      <c r="M443" s="24">
        <f>Data!M443</f>
        <v>0</v>
      </c>
      <c r="N443" s="24">
        <f t="shared" si="52"/>
        <v>0</v>
      </c>
      <c r="O443" s="25">
        <f t="shared" si="53"/>
        <v>0</v>
      </c>
      <c r="P443" s="24">
        <f>Data!K443</f>
        <v>0</v>
      </c>
      <c r="Q443" s="24">
        <f>Data!I443</f>
        <v>0</v>
      </c>
      <c r="R443" s="25">
        <f t="shared" si="54"/>
        <v>0</v>
      </c>
      <c r="S443" s="25">
        <f t="shared" si="55"/>
        <v>0</v>
      </c>
    </row>
    <row r="444" spans="1:19" ht="15" customHeight="1" x14ac:dyDescent="0.3">
      <c r="A444" s="22"/>
      <c r="B444" s="23"/>
      <c r="C444" s="3"/>
      <c r="D444" s="23">
        <v>2016</v>
      </c>
      <c r="E444" s="24">
        <f>Data!F444</f>
        <v>0</v>
      </c>
      <c r="F444" s="24">
        <f>Data!H444</f>
        <v>0</v>
      </c>
      <c r="G444" s="24">
        <f t="shared" si="48"/>
        <v>0</v>
      </c>
      <c r="H444" s="24">
        <f>Data!G444</f>
        <v>0</v>
      </c>
      <c r="I444" s="25">
        <f t="shared" si="49"/>
        <v>0</v>
      </c>
      <c r="J444" s="24">
        <f>Data!J444</f>
        <v>0</v>
      </c>
      <c r="K444" s="24">
        <f t="shared" si="50"/>
        <v>0</v>
      </c>
      <c r="L444" s="25">
        <f t="shared" si="51"/>
        <v>0</v>
      </c>
      <c r="M444" s="24">
        <f>Data!M444</f>
        <v>0</v>
      </c>
      <c r="N444" s="24">
        <f t="shared" si="52"/>
        <v>0</v>
      </c>
      <c r="O444" s="25">
        <f t="shared" si="53"/>
        <v>0</v>
      </c>
      <c r="P444" s="24">
        <f>Data!K444</f>
        <v>0</v>
      </c>
      <c r="Q444" s="24">
        <f>Data!I444</f>
        <v>0</v>
      </c>
      <c r="R444" s="25">
        <f t="shared" si="54"/>
        <v>0</v>
      </c>
      <c r="S444" s="25">
        <f t="shared" si="55"/>
        <v>0</v>
      </c>
    </row>
    <row r="445" spans="1:19" ht="15" customHeight="1" x14ac:dyDescent="0.3">
      <c r="A445" s="22"/>
      <c r="B445" s="23"/>
      <c r="C445" s="3"/>
      <c r="D445" s="23">
        <v>2017</v>
      </c>
      <c r="E445" s="24">
        <f>Data!F445</f>
        <v>0</v>
      </c>
      <c r="F445" s="24">
        <f>Data!H445</f>
        <v>0</v>
      </c>
      <c r="G445" s="24">
        <f t="shared" si="48"/>
        <v>0</v>
      </c>
      <c r="H445" s="24">
        <f>Data!G445</f>
        <v>0</v>
      </c>
      <c r="I445" s="25">
        <f t="shared" si="49"/>
        <v>0</v>
      </c>
      <c r="J445" s="24">
        <f>Data!J445</f>
        <v>0</v>
      </c>
      <c r="K445" s="24">
        <f t="shared" si="50"/>
        <v>0</v>
      </c>
      <c r="L445" s="25">
        <f t="shared" si="51"/>
        <v>0</v>
      </c>
      <c r="M445" s="24">
        <f>Data!M445</f>
        <v>0</v>
      </c>
      <c r="N445" s="24">
        <f t="shared" si="52"/>
        <v>0</v>
      </c>
      <c r="O445" s="25">
        <f t="shared" si="53"/>
        <v>0</v>
      </c>
      <c r="P445" s="24">
        <f>Data!K445</f>
        <v>0</v>
      </c>
      <c r="Q445" s="24">
        <f>Data!I445</f>
        <v>0</v>
      </c>
      <c r="R445" s="25">
        <f t="shared" si="54"/>
        <v>0</v>
      </c>
      <c r="S445" s="25">
        <f t="shared" si="55"/>
        <v>0</v>
      </c>
    </row>
    <row r="446" spans="1:19" ht="15" customHeight="1" x14ac:dyDescent="0.3">
      <c r="A446" s="22"/>
      <c r="B446" s="23"/>
      <c r="C446" s="3"/>
      <c r="D446" s="23">
        <v>2018</v>
      </c>
      <c r="E446" s="24">
        <f>Data!F446</f>
        <v>356886000000</v>
      </c>
      <c r="F446" s="24">
        <f>Data!H446</f>
        <v>355012000000</v>
      </c>
      <c r="G446" s="24">
        <f t="shared" si="48"/>
        <v>1874000000</v>
      </c>
      <c r="H446" s="24">
        <f>Data!G446</f>
        <v>1484207000000</v>
      </c>
      <c r="I446" s="25">
        <f t="shared" si="49"/>
        <v>8.2828338634705258E-3</v>
      </c>
      <c r="J446" s="24">
        <f>Data!J446</f>
        <v>-1681027000000</v>
      </c>
      <c r="K446" s="24">
        <f t="shared" si="50"/>
        <v>1484207000000</v>
      </c>
      <c r="L446" s="25">
        <f t="shared" si="51"/>
        <v>-3.6923070838501637</v>
      </c>
      <c r="M446" s="24">
        <f>Data!M446</f>
        <v>-479608000000</v>
      </c>
      <c r="N446" s="24">
        <f t="shared" si="52"/>
        <v>1484207000000</v>
      </c>
      <c r="O446" s="25">
        <f t="shared" si="53"/>
        <v>-2.1715069124455009</v>
      </c>
      <c r="P446" s="24">
        <f>Data!K446</f>
        <v>299783000000</v>
      </c>
      <c r="Q446" s="24">
        <f>Data!I446</f>
        <v>1094703000000</v>
      </c>
      <c r="R446" s="25">
        <f t="shared" si="54"/>
        <v>0.28754114129585834</v>
      </c>
      <c r="S446" s="25">
        <f t="shared" si="55"/>
        <v>-5.5679900211363353</v>
      </c>
    </row>
    <row r="447" spans="1:19" ht="15" customHeight="1" x14ac:dyDescent="0.3">
      <c r="A447" s="22"/>
      <c r="B447" s="23"/>
      <c r="C447" s="3"/>
      <c r="D447" s="23">
        <v>2019</v>
      </c>
      <c r="E447" s="24">
        <f>Data!F447</f>
        <v>6076735000000</v>
      </c>
      <c r="F447" s="24">
        <f>Data!H447</f>
        <v>570269000000</v>
      </c>
      <c r="G447" s="24">
        <f t="shared" si="48"/>
        <v>5506466000000</v>
      </c>
      <c r="H447" s="24">
        <f>Data!G447</f>
        <v>7538924000000</v>
      </c>
      <c r="I447" s="25">
        <f t="shared" si="49"/>
        <v>4.7914552474597167</v>
      </c>
      <c r="J447" s="24">
        <f>Data!J447</f>
        <v>-2032839000000</v>
      </c>
      <c r="K447" s="24">
        <f t="shared" si="50"/>
        <v>7538924000000</v>
      </c>
      <c r="L447" s="25">
        <f t="shared" si="51"/>
        <v>-0.87904522449092193</v>
      </c>
      <c r="M447" s="24">
        <f>Data!M447</f>
        <v>-345463000000</v>
      </c>
      <c r="N447" s="24">
        <f t="shared" si="52"/>
        <v>7538924000000</v>
      </c>
      <c r="O447" s="25">
        <f t="shared" si="53"/>
        <v>-0.30793669759769432</v>
      </c>
      <c r="P447" s="24">
        <f>Data!K447</f>
        <v>5836966000000</v>
      </c>
      <c r="Q447" s="24">
        <f>Data!I447</f>
        <v>1522450000000</v>
      </c>
      <c r="R447" s="25">
        <f t="shared" si="54"/>
        <v>4.0256259975697066</v>
      </c>
      <c r="S447" s="25">
        <f t="shared" si="55"/>
        <v>7.6300993229408069</v>
      </c>
    </row>
    <row r="448" spans="1:19" ht="15" customHeight="1" x14ac:dyDescent="0.3">
      <c r="A448" s="22"/>
      <c r="B448" s="23"/>
      <c r="C448" s="3"/>
      <c r="D448" s="23">
        <v>2020</v>
      </c>
      <c r="E448" s="24">
        <f>Data!F448</f>
        <v>1763455000000</v>
      </c>
      <c r="F448" s="24">
        <f>Data!H448</f>
        <v>1006670000000</v>
      </c>
      <c r="G448" s="24">
        <f t="shared" si="48"/>
        <v>756785000000</v>
      </c>
      <c r="H448" s="24">
        <f>Data!G448</f>
        <v>13444989000000</v>
      </c>
      <c r="I448" s="25">
        <f t="shared" si="49"/>
        <v>0.36924608863569913</v>
      </c>
      <c r="J448" s="24">
        <f>Data!J448</f>
        <v>-2414698000000</v>
      </c>
      <c r="K448" s="24">
        <f t="shared" si="50"/>
        <v>13444989000000</v>
      </c>
      <c r="L448" s="25">
        <f t="shared" si="51"/>
        <v>-0.58549065975435155</v>
      </c>
      <c r="M448" s="24">
        <f>Data!M448</f>
        <v>-444444000000</v>
      </c>
      <c r="N448" s="24">
        <f t="shared" si="52"/>
        <v>13444989000000</v>
      </c>
      <c r="O448" s="25">
        <f t="shared" si="53"/>
        <v>-0.22213954061249136</v>
      </c>
      <c r="P448" s="24">
        <f>Data!K448</f>
        <v>5620989000000</v>
      </c>
      <c r="Q448" s="24">
        <f>Data!I448</f>
        <v>7824000000000</v>
      </c>
      <c r="R448" s="25">
        <f t="shared" si="54"/>
        <v>0.75435051763803684</v>
      </c>
      <c r="S448" s="25">
        <f t="shared" si="55"/>
        <v>0.31596640590689307</v>
      </c>
    </row>
    <row r="449" spans="1:19" ht="15" customHeight="1" x14ac:dyDescent="0.3">
      <c r="A449" s="22"/>
      <c r="B449" s="23"/>
      <c r="C449" s="3"/>
      <c r="D449" s="23">
        <v>2021</v>
      </c>
      <c r="E449" s="24">
        <f>Data!F449</f>
        <v>1405995000000</v>
      </c>
      <c r="F449" s="24">
        <f>Data!H449</f>
        <v>1289835000000</v>
      </c>
      <c r="G449" s="24">
        <f t="shared" si="48"/>
        <v>116160000000</v>
      </c>
      <c r="H449" s="24">
        <f>Data!G449</f>
        <v>13618419000000</v>
      </c>
      <c r="I449" s="25">
        <f t="shared" si="49"/>
        <v>5.5954336549639133E-2</v>
      </c>
      <c r="J449" s="24">
        <f>Data!J449</f>
        <v>-2610977000000</v>
      </c>
      <c r="K449" s="24">
        <f t="shared" si="50"/>
        <v>13618419000000</v>
      </c>
      <c r="L449" s="25">
        <f t="shared" si="51"/>
        <v>-0.62502005702717767</v>
      </c>
      <c r="M449" s="24">
        <f>Data!M449</f>
        <v>-143483000000</v>
      </c>
      <c r="N449" s="24">
        <f t="shared" si="52"/>
        <v>13618419000000</v>
      </c>
      <c r="O449" s="25">
        <f t="shared" si="53"/>
        <v>-7.0801593048356051E-2</v>
      </c>
      <c r="P449" s="24">
        <f>Data!K449</f>
        <v>5586520000000</v>
      </c>
      <c r="Q449" s="24">
        <f>Data!I449</f>
        <v>8031898000000</v>
      </c>
      <c r="R449" s="25">
        <f t="shared" si="54"/>
        <v>0.73031878641885151</v>
      </c>
      <c r="S449" s="25">
        <f t="shared" si="55"/>
        <v>9.0451472892956852E-2</v>
      </c>
    </row>
    <row r="450" spans="1:19" ht="15" customHeight="1" x14ac:dyDescent="0.3">
      <c r="A450" s="22"/>
      <c r="B450" s="23"/>
      <c r="C450" s="3"/>
      <c r="D450" s="23">
        <v>2022</v>
      </c>
      <c r="E450" s="24">
        <f>Data!F450</f>
        <v>1116147000000</v>
      </c>
      <c r="F450" s="24">
        <f>Data!H450</f>
        <v>1124666000000</v>
      </c>
      <c r="G450" s="24">
        <f t="shared" si="48"/>
        <v>-8519000000</v>
      </c>
      <c r="H450" s="24">
        <f>Data!G450</f>
        <v>12421466000000</v>
      </c>
      <c r="I450" s="25">
        <f t="shared" si="49"/>
        <v>-4.4990373922047531E-3</v>
      </c>
      <c r="J450" s="24">
        <f>Data!J450</f>
        <v>-2890806000000</v>
      </c>
      <c r="K450" s="24">
        <f t="shared" si="50"/>
        <v>12421466000000</v>
      </c>
      <c r="L450" s="25">
        <f t="shared" si="51"/>
        <v>-0.75868883431311562</v>
      </c>
      <c r="M450" s="24">
        <f>Data!M450</f>
        <v>-264922000000</v>
      </c>
      <c r="N450" s="24">
        <f t="shared" si="52"/>
        <v>12421466000000</v>
      </c>
      <c r="O450" s="25">
        <f t="shared" si="53"/>
        <v>-0.14332252247842564</v>
      </c>
      <c r="P450" s="24">
        <f>Data!K450</f>
        <v>5195848000000</v>
      </c>
      <c r="Q450" s="24">
        <f>Data!I450</f>
        <v>7225617000000</v>
      </c>
      <c r="R450" s="25">
        <f t="shared" si="54"/>
        <v>0.75504145874324646</v>
      </c>
      <c r="S450" s="25">
        <f t="shared" si="55"/>
        <v>-0.15146893544049955</v>
      </c>
    </row>
    <row r="451" spans="1:19" ht="15" customHeight="1" x14ac:dyDescent="0.3">
      <c r="A451" s="22"/>
      <c r="B451" s="23"/>
      <c r="C451" s="3"/>
      <c r="D451" s="23">
        <v>2023</v>
      </c>
      <c r="E451" s="24">
        <f>Data!F451</f>
        <v>947780000000</v>
      </c>
      <c r="F451" s="24">
        <f>Data!H451</f>
        <v>1037222000000</v>
      </c>
      <c r="G451" s="24">
        <f t="shared" ref="G451:G514" si="56">E451-F451</f>
        <v>-89442000000</v>
      </c>
      <c r="H451" s="24">
        <f>Data!G451</f>
        <v>9777097000000</v>
      </c>
      <c r="I451" s="25">
        <f t="shared" ref="I451:I514" si="57">IFERROR(6.56*(G451/H451),0)</f>
        <v>-6.0011629218775259E-2</v>
      </c>
      <c r="J451" s="24">
        <f>Data!J451</f>
        <v>-4795826000000</v>
      </c>
      <c r="K451" s="24">
        <f t="shared" ref="K451:K514" si="58">H451</f>
        <v>9777097000000</v>
      </c>
      <c r="L451" s="25">
        <f t="shared" ref="L451:L514" si="59">IFERROR(3.26*(J451/K451),0)</f>
        <v>-1.5990833229945454</v>
      </c>
      <c r="M451" s="24">
        <f>Data!M451</f>
        <v>-1890346000000</v>
      </c>
      <c r="N451" s="24">
        <f t="shared" ref="N451:N514" si="60">K451</f>
        <v>9777097000000</v>
      </c>
      <c r="O451" s="25">
        <f t="shared" ref="O451:O514" si="61">IFERROR(6.72*(M451/N451),0)</f>
        <v>-1.2992737128413474</v>
      </c>
      <c r="P451" s="24">
        <f>Data!K451</f>
        <v>3315932000000</v>
      </c>
      <c r="Q451" s="24">
        <f>Data!I451</f>
        <v>6461975000000</v>
      </c>
      <c r="R451" s="25">
        <f t="shared" ref="R451:R514" si="62">IFERROR(1.05*(P451/Q451),0)</f>
        <v>0.53880254875637867</v>
      </c>
      <c r="S451" s="25">
        <f t="shared" ref="S451:S514" si="63">IFERROR(I451+L451+O451+R451,0)</f>
        <v>-2.4195661162982898</v>
      </c>
    </row>
    <row r="452" spans="1:19" ht="15" customHeight="1" x14ac:dyDescent="0.3">
      <c r="A452" s="22"/>
      <c r="B452" s="23"/>
      <c r="C452" s="3"/>
      <c r="D452" s="23">
        <v>2024</v>
      </c>
      <c r="E452" s="24">
        <f>Data!F452</f>
        <v>1098337000000</v>
      </c>
      <c r="F452" s="24">
        <f>Data!H452</f>
        <v>1130458000000</v>
      </c>
      <c r="G452" s="24">
        <f t="shared" si="56"/>
        <v>-32121000000</v>
      </c>
      <c r="H452" s="24">
        <f>Data!G452</f>
        <v>7842866000000</v>
      </c>
      <c r="I452" s="25">
        <f t="shared" si="57"/>
        <v>-2.6866933592898306E-2</v>
      </c>
      <c r="J452" s="24">
        <f>Data!J452</f>
        <v>-5595211000000</v>
      </c>
      <c r="K452" s="24">
        <f t="shared" si="58"/>
        <v>7842866000000</v>
      </c>
      <c r="L452" s="25">
        <f t="shared" si="59"/>
        <v>-2.3257298875181593</v>
      </c>
      <c r="M452" s="24">
        <f>Data!M452</f>
        <v>-785792000000</v>
      </c>
      <c r="N452" s="24">
        <f t="shared" si="60"/>
        <v>7842866000000</v>
      </c>
      <c r="O452" s="25">
        <f t="shared" si="61"/>
        <v>-0.67328987133019991</v>
      </c>
      <c r="P452" s="24">
        <f>Data!K452</f>
        <v>2482886000000</v>
      </c>
      <c r="Q452" s="24">
        <f>Data!I452</f>
        <v>5359980000000</v>
      </c>
      <c r="R452" s="25">
        <f t="shared" si="62"/>
        <v>0.48638806488083913</v>
      </c>
      <c r="S452" s="25">
        <f t="shared" si="63"/>
        <v>-2.5394986275604183</v>
      </c>
    </row>
    <row r="453" spans="1:19" ht="15" customHeight="1" x14ac:dyDescent="0.3">
      <c r="A453" s="22"/>
      <c r="B453" s="23">
        <v>42</v>
      </c>
      <c r="C453" s="3" t="s">
        <v>14</v>
      </c>
      <c r="D453" s="23">
        <v>2014</v>
      </c>
      <c r="E453" s="24">
        <f>Data!F453</f>
        <v>0</v>
      </c>
      <c r="F453" s="24">
        <f>Data!H453</f>
        <v>0</v>
      </c>
      <c r="G453" s="24">
        <f t="shared" si="56"/>
        <v>0</v>
      </c>
      <c r="H453" s="24">
        <f>Data!G453</f>
        <v>0</v>
      </c>
      <c r="I453" s="25">
        <f t="shared" si="57"/>
        <v>0</v>
      </c>
      <c r="J453" s="24">
        <f>Data!J453</f>
        <v>0</v>
      </c>
      <c r="K453" s="24">
        <f t="shared" si="58"/>
        <v>0</v>
      </c>
      <c r="L453" s="25">
        <f t="shared" si="59"/>
        <v>0</v>
      </c>
      <c r="M453" s="24">
        <f>Data!M453</f>
        <v>0</v>
      </c>
      <c r="N453" s="24">
        <f t="shared" si="60"/>
        <v>0</v>
      </c>
      <c r="O453" s="25">
        <f t="shared" si="61"/>
        <v>0</v>
      </c>
      <c r="P453" s="24">
        <f>Data!K453</f>
        <v>0</v>
      </c>
      <c r="Q453" s="24">
        <f>Data!I453</f>
        <v>0</v>
      </c>
      <c r="R453" s="25">
        <f t="shared" si="62"/>
        <v>0</v>
      </c>
      <c r="S453" s="25">
        <f t="shared" si="63"/>
        <v>0</v>
      </c>
    </row>
    <row r="454" spans="1:19" ht="15" customHeight="1" x14ac:dyDescent="0.3">
      <c r="A454" s="22"/>
      <c r="B454" s="23"/>
      <c r="C454" s="3"/>
      <c r="D454" s="23">
        <v>2015</v>
      </c>
      <c r="E454" s="24">
        <f>Data!F454</f>
        <v>86371410000</v>
      </c>
      <c r="F454" s="24">
        <f>Data!H454</f>
        <v>162929950000</v>
      </c>
      <c r="G454" s="24">
        <f t="shared" si="56"/>
        <v>-76558540000</v>
      </c>
      <c r="H454" s="24">
        <f>Data!G454</f>
        <v>2405430040000</v>
      </c>
      <c r="I454" s="25">
        <f t="shared" si="57"/>
        <v>-0.20878762385456862</v>
      </c>
      <c r="J454" s="24">
        <f>Data!J454</f>
        <v>-323378960000</v>
      </c>
      <c r="K454" s="24">
        <f t="shared" si="58"/>
        <v>2405430040000</v>
      </c>
      <c r="L454" s="25">
        <f t="shared" si="59"/>
        <v>-0.43826483916364489</v>
      </c>
      <c r="M454" s="24">
        <f>Data!M454</f>
        <v>263779999.99999997</v>
      </c>
      <c r="N454" s="24">
        <f t="shared" si="60"/>
        <v>2405430040000</v>
      </c>
      <c r="O454" s="25">
        <f t="shared" si="61"/>
        <v>7.3691671365341382E-4</v>
      </c>
      <c r="P454" s="24">
        <f>Data!K454</f>
        <v>116650850000</v>
      </c>
      <c r="Q454" s="24">
        <f>Data!I454</f>
        <v>2284481460000</v>
      </c>
      <c r="R454" s="25">
        <f t="shared" si="62"/>
        <v>5.3615402289147934E-2</v>
      </c>
      <c r="S454" s="25">
        <f t="shared" si="63"/>
        <v>-0.59270014401541216</v>
      </c>
    </row>
    <row r="455" spans="1:19" ht="15" customHeight="1" x14ac:dyDescent="0.3">
      <c r="A455" s="22"/>
      <c r="B455" s="23"/>
      <c r="C455" s="3"/>
      <c r="D455" s="23">
        <v>2016</v>
      </c>
      <c r="E455" s="24">
        <f>Data!F455</f>
        <v>112146830000</v>
      </c>
      <c r="F455" s="24">
        <f>Data!H455</f>
        <v>122768640000</v>
      </c>
      <c r="G455" s="24">
        <f t="shared" si="56"/>
        <v>-10621810000</v>
      </c>
      <c r="H455" s="24">
        <f>Data!G455</f>
        <v>2607832010000</v>
      </c>
      <c r="I455" s="25">
        <f t="shared" si="57"/>
        <v>-2.671915726657562E-2</v>
      </c>
      <c r="J455" s="24">
        <f>Data!J455</f>
        <v>-413388470000</v>
      </c>
      <c r="K455" s="24">
        <f t="shared" si="58"/>
        <v>2607832010000</v>
      </c>
      <c r="L455" s="25">
        <f t="shared" si="59"/>
        <v>-0.51676887431104124</v>
      </c>
      <c r="M455" s="24">
        <f>Data!M455</f>
        <v>-85453760000</v>
      </c>
      <c r="N455" s="24">
        <f t="shared" si="60"/>
        <v>2607832010000</v>
      </c>
      <c r="O455" s="25">
        <f t="shared" si="61"/>
        <v>-0.22020178638730642</v>
      </c>
      <c r="P455" s="24">
        <f>Data!K455</f>
        <v>276744140000</v>
      </c>
      <c r="Q455" s="24">
        <f>Data!I455</f>
        <v>2326479790000</v>
      </c>
      <c r="R455" s="25">
        <f t="shared" si="62"/>
        <v>0.12490172846074885</v>
      </c>
      <c r="S455" s="25">
        <f t="shared" si="63"/>
        <v>-0.63878808950417432</v>
      </c>
    </row>
    <row r="456" spans="1:19" ht="15" customHeight="1" x14ac:dyDescent="0.3">
      <c r="A456" s="22"/>
      <c r="B456" s="23"/>
      <c r="C456" s="3"/>
      <c r="D456" s="23">
        <v>2017</v>
      </c>
      <c r="E456" s="24">
        <f>Data!F456</f>
        <v>126928209999.99998</v>
      </c>
      <c r="F456" s="24">
        <f>Data!H456</f>
        <v>184387450000</v>
      </c>
      <c r="G456" s="24">
        <f t="shared" si="56"/>
        <v>-57459240000.000015</v>
      </c>
      <c r="H456" s="24">
        <f>Data!G456</f>
        <v>3661165660000</v>
      </c>
      <c r="I456" s="25">
        <f t="shared" si="57"/>
        <v>-0.10295426358828026</v>
      </c>
      <c r="J456" s="24">
        <f>Data!J456</f>
        <v>-467683190000</v>
      </c>
      <c r="K456" s="24">
        <f t="shared" si="58"/>
        <v>3661165660000</v>
      </c>
      <c r="L456" s="25">
        <f t="shared" si="59"/>
        <v>-0.41643764335973804</v>
      </c>
      <c r="M456" s="24">
        <f>Data!M456</f>
        <v>-46004310000</v>
      </c>
      <c r="N456" s="24">
        <f t="shared" si="60"/>
        <v>3661165660000</v>
      </c>
      <c r="O456" s="25">
        <f t="shared" si="61"/>
        <v>-8.4440036837885118E-2</v>
      </c>
      <c r="P456" s="24">
        <f>Data!K456</f>
        <v>670557780000</v>
      </c>
      <c r="Q456" s="24">
        <f>Data!I456</f>
        <v>2989222780000</v>
      </c>
      <c r="R456" s="25">
        <f t="shared" si="62"/>
        <v>0.23554138343613187</v>
      </c>
      <c r="S456" s="25">
        <f t="shared" si="63"/>
        <v>-0.36829056034977159</v>
      </c>
    </row>
    <row r="457" spans="1:19" ht="15" customHeight="1" x14ac:dyDescent="0.3">
      <c r="A457" s="22"/>
      <c r="B457" s="23"/>
      <c r="C457" s="3"/>
      <c r="D457" s="23">
        <v>2018</v>
      </c>
      <c r="E457" s="24">
        <f>Data!F457</f>
        <v>178579820000</v>
      </c>
      <c r="F457" s="24">
        <f>Data!H457</f>
        <v>169377150000</v>
      </c>
      <c r="G457" s="24">
        <f t="shared" si="56"/>
        <v>9202670000</v>
      </c>
      <c r="H457" s="24">
        <f>Data!G457</f>
        <v>4552765330000</v>
      </c>
      <c r="I457" s="25">
        <f t="shared" si="57"/>
        <v>1.3259966377401665E-2</v>
      </c>
      <c r="J457" s="24">
        <f>Data!J457</f>
        <v>-458574900000</v>
      </c>
      <c r="K457" s="24">
        <f t="shared" si="58"/>
        <v>4552765330000</v>
      </c>
      <c r="L457" s="25">
        <f t="shared" si="59"/>
        <v>-0.32836179017379746</v>
      </c>
      <c r="M457" s="24">
        <f>Data!M457</f>
        <v>9108290000</v>
      </c>
      <c r="N457" s="24">
        <f t="shared" si="60"/>
        <v>4552765330000</v>
      </c>
      <c r="O457" s="25">
        <f t="shared" si="61"/>
        <v>1.3444072857583457E-2</v>
      </c>
      <c r="P457" s="24">
        <f>Data!K457</f>
        <v>574540940000</v>
      </c>
      <c r="Q457" s="24">
        <f>Data!I457</f>
        <v>3976839290000</v>
      </c>
      <c r="R457" s="25">
        <f t="shared" si="62"/>
        <v>0.15169533969274379</v>
      </c>
      <c r="S457" s="25">
        <f t="shared" si="63"/>
        <v>-0.14996241124606852</v>
      </c>
    </row>
    <row r="458" spans="1:19" ht="15" customHeight="1" x14ac:dyDescent="0.3">
      <c r="A458" s="22"/>
      <c r="B458" s="23"/>
      <c r="C458" s="3"/>
      <c r="D458" s="23">
        <v>2019</v>
      </c>
      <c r="E458" s="24">
        <f>Data!F458</f>
        <v>239420159999.99997</v>
      </c>
      <c r="F458" s="24">
        <f>Data!H458</f>
        <v>172621780000</v>
      </c>
      <c r="G458" s="24">
        <f t="shared" si="56"/>
        <v>66798379999.999969</v>
      </c>
      <c r="H458" s="24">
        <f>Data!G458</f>
        <v>5934705760000</v>
      </c>
      <c r="I458" s="25">
        <f t="shared" si="57"/>
        <v>7.3836410855186149E-2</v>
      </c>
      <c r="J458" s="24">
        <f>Data!J458</f>
        <v>-452864570000</v>
      </c>
      <c r="K458" s="24">
        <f t="shared" si="58"/>
        <v>5934705760000</v>
      </c>
      <c r="L458" s="25">
        <f t="shared" si="59"/>
        <v>-0.24876355423558522</v>
      </c>
      <c r="M458" s="24">
        <f>Data!M458</f>
        <v>5710330000</v>
      </c>
      <c r="N458" s="24">
        <f t="shared" si="60"/>
        <v>5934705760000</v>
      </c>
      <c r="O458" s="25">
        <f t="shared" si="61"/>
        <v>6.4659343111224434E-3</v>
      </c>
      <c r="P458" s="24">
        <f>Data!K458</f>
        <v>754231130000</v>
      </c>
      <c r="Q458" s="24">
        <f>Data!I458</f>
        <v>5179089530000</v>
      </c>
      <c r="R458" s="25">
        <f t="shared" si="62"/>
        <v>0.15291156523026936</v>
      </c>
      <c r="S458" s="25">
        <f t="shared" si="63"/>
        <v>-1.5549643839007254E-2</v>
      </c>
    </row>
    <row r="459" spans="1:19" ht="15" customHeight="1" x14ac:dyDescent="0.3">
      <c r="A459" s="22"/>
      <c r="B459" s="23"/>
      <c r="C459" s="3"/>
      <c r="D459" s="23">
        <v>2020</v>
      </c>
      <c r="E459" s="24">
        <f>Data!F459</f>
        <v>279968690000.00006</v>
      </c>
      <c r="F459" s="24">
        <f>Data!H459</f>
        <v>207307310000</v>
      </c>
      <c r="G459" s="24">
        <f t="shared" si="56"/>
        <v>72661380000.000061</v>
      </c>
      <c r="H459" s="24">
        <f>Data!G459</f>
        <v>7033128220000</v>
      </c>
      <c r="I459" s="25">
        <f t="shared" si="57"/>
        <v>6.7773348912441744E-2</v>
      </c>
      <c r="J459" s="24">
        <f>Data!J459</f>
        <v>-432285450000</v>
      </c>
      <c r="K459" s="24">
        <f t="shared" si="58"/>
        <v>7033128220000</v>
      </c>
      <c r="L459" s="25">
        <f t="shared" si="59"/>
        <v>-0.2003732226852534</v>
      </c>
      <c r="M459" s="24">
        <f>Data!M459</f>
        <v>20579120000</v>
      </c>
      <c r="N459" s="24">
        <f t="shared" si="60"/>
        <v>7033128220000</v>
      </c>
      <c r="O459" s="25">
        <f t="shared" si="61"/>
        <v>1.96628985103303E-2</v>
      </c>
      <c r="P459" s="24">
        <f>Data!K459</f>
        <v>857222500000</v>
      </c>
      <c r="Q459" s="24">
        <f>Data!I459</f>
        <v>6174520620000</v>
      </c>
      <c r="R459" s="25">
        <f t="shared" si="62"/>
        <v>0.1457738471363304</v>
      </c>
      <c r="S459" s="25">
        <f t="shared" si="63"/>
        <v>3.2836871873849052E-2</v>
      </c>
    </row>
    <row r="460" spans="1:19" ht="15" customHeight="1" x14ac:dyDescent="0.3">
      <c r="A460" s="22"/>
      <c r="B460" s="23"/>
      <c r="C460" s="3"/>
      <c r="D460" s="23">
        <v>2021</v>
      </c>
      <c r="E460" s="24">
        <f>Data!F460</f>
        <v>382900189999.99994</v>
      </c>
      <c r="F460" s="24">
        <f>Data!H460</f>
        <v>212694280000</v>
      </c>
      <c r="G460" s="24">
        <f t="shared" si="56"/>
        <v>170205909999.99994</v>
      </c>
      <c r="H460" s="24">
        <f>Data!G460</f>
        <v>8154877340000</v>
      </c>
      <c r="I460" s="25">
        <f t="shared" si="57"/>
        <v>0.13691815622085121</v>
      </c>
      <c r="J460" s="24">
        <f>Data!J460</f>
        <v>-402487880000</v>
      </c>
      <c r="K460" s="24">
        <f t="shared" si="58"/>
        <v>8154877340000</v>
      </c>
      <c r="L460" s="25">
        <f t="shared" si="59"/>
        <v>-0.16089886261857617</v>
      </c>
      <c r="M460" s="24">
        <f>Data!M460</f>
        <v>29733510000</v>
      </c>
      <c r="N460" s="24">
        <f t="shared" si="60"/>
        <v>8154877340000</v>
      </c>
      <c r="O460" s="25">
        <f t="shared" si="61"/>
        <v>2.4501801666583986E-2</v>
      </c>
      <c r="P460" s="24">
        <f>Data!K460</f>
        <v>825949120000</v>
      </c>
      <c r="Q460" s="24">
        <f>Data!I460</f>
        <v>7327543120000</v>
      </c>
      <c r="R460" s="25">
        <f t="shared" si="62"/>
        <v>0.11835434630646022</v>
      </c>
      <c r="S460" s="25">
        <f t="shared" si="63"/>
        <v>0.11887544157531925</v>
      </c>
    </row>
    <row r="461" spans="1:19" ht="15" customHeight="1" x14ac:dyDescent="0.3">
      <c r="A461" s="22"/>
      <c r="B461" s="23"/>
      <c r="C461" s="3"/>
      <c r="D461" s="23">
        <v>2022</v>
      </c>
      <c r="E461" s="24">
        <f>Data!F461</f>
        <v>383825650000</v>
      </c>
      <c r="F461" s="24">
        <f>Data!H461</f>
        <v>220018100000</v>
      </c>
      <c r="G461" s="24">
        <f t="shared" si="56"/>
        <v>163807550000</v>
      </c>
      <c r="H461" s="24">
        <f>Data!G461</f>
        <v>9927373960000</v>
      </c>
      <c r="I461" s="25">
        <f t="shared" si="57"/>
        <v>0.1082438852741677</v>
      </c>
      <c r="J461" s="24">
        <f>Data!J461</f>
        <v>-335770090000</v>
      </c>
      <c r="K461" s="24">
        <f t="shared" si="58"/>
        <v>9927373960000</v>
      </c>
      <c r="L461" s="25">
        <f t="shared" si="59"/>
        <v>-0.11026183740135843</v>
      </c>
      <c r="M461" s="24">
        <f>Data!M461</f>
        <v>66717789999.999992</v>
      </c>
      <c r="N461" s="24">
        <f t="shared" si="60"/>
        <v>9927373960000</v>
      </c>
      <c r="O461" s="25">
        <f t="shared" si="61"/>
        <v>4.5162351152126835E-2</v>
      </c>
      <c r="P461" s="24">
        <f>Data!K461</f>
        <v>422594620000</v>
      </c>
      <c r="Q461" s="24">
        <f>Data!I461</f>
        <v>9503394000000</v>
      </c>
      <c r="R461" s="25">
        <f t="shared" si="62"/>
        <v>4.6691145395003096E-2</v>
      </c>
      <c r="S461" s="25">
        <f t="shared" si="63"/>
        <v>8.9835544419939198E-2</v>
      </c>
    </row>
    <row r="462" spans="1:19" ht="15" customHeight="1" x14ac:dyDescent="0.3">
      <c r="A462" s="22"/>
      <c r="B462" s="23"/>
      <c r="C462" s="3"/>
      <c r="D462" s="23">
        <v>2023</v>
      </c>
      <c r="E462" s="24">
        <f>Data!F462</f>
        <v>469538879999.99994</v>
      </c>
      <c r="F462" s="24">
        <f>Data!H462</f>
        <v>539769510000</v>
      </c>
      <c r="G462" s="24">
        <f t="shared" si="56"/>
        <v>-70230630000.000061</v>
      </c>
      <c r="H462" s="24">
        <f>Data!G462</f>
        <v>12202897890000</v>
      </c>
      <c r="I462" s="25">
        <f t="shared" si="57"/>
        <v>-3.7754387273660976E-2</v>
      </c>
      <c r="J462" s="24">
        <f>Data!J462</f>
        <v>146170438100</v>
      </c>
      <c r="K462" s="24">
        <f t="shared" si="58"/>
        <v>12202897890000</v>
      </c>
      <c r="L462" s="25">
        <f t="shared" si="59"/>
        <v>3.9049382573011104E-2</v>
      </c>
      <c r="M462" s="24">
        <f>Data!M462</f>
        <v>207835710000</v>
      </c>
      <c r="N462" s="24">
        <f t="shared" si="60"/>
        <v>12202897890000</v>
      </c>
      <c r="O462" s="25">
        <f t="shared" si="61"/>
        <v>0.11445281143789034</v>
      </c>
      <c r="P462" s="24">
        <f>Data!K462</f>
        <v>1102149380000</v>
      </c>
      <c r="Q462" s="24">
        <f>Data!I462</f>
        <v>11099363410000</v>
      </c>
      <c r="R462" s="25">
        <f t="shared" si="62"/>
        <v>0.10426335333406296</v>
      </c>
      <c r="S462" s="25">
        <f t="shared" si="63"/>
        <v>0.22001116007130345</v>
      </c>
    </row>
    <row r="463" spans="1:19" ht="15" customHeight="1" x14ac:dyDescent="0.3">
      <c r="A463" s="22"/>
      <c r="B463" s="23"/>
      <c r="C463" s="3"/>
      <c r="D463" s="23">
        <v>2024</v>
      </c>
      <c r="E463" s="24">
        <f>Data!F463</f>
        <v>462694270000</v>
      </c>
      <c r="F463" s="24">
        <f>Data!H463</f>
        <v>495093520000</v>
      </c>
      <c r="G463" s="24">
        <f t="shared" si="56"/>
        <v>-32399250000</v>
      </c>
      <c r="H463" s="24">
        <f>Data!G463</f>
        <v>13904807770000</v>
      </c>
      <c r="I463" s="25">
        <f t="shared" si="57"/>
        <v>-1.5285294375558273E-2</v>
      </c>
      <c r="J463" s="24">
        <f>Data!J463</f>
        <v>306067650000</v>
      </c>
      <c r="K463" s="24">
        <f t="shared" si="58"/>
        <v>13904807770000</v>
      </c>
      <c r="L463" s="25">
        <f t="shared" si="59"/>
        <v>7.1757952753057005E-2</v>
      </c>
      <c r="M463" s="24">
        <f>Data!M463</f>
        <v>150091220000</v>
      </c>
      <c r="N463" s="24">
        <f t="shared" si="60"/>
        <v>13904807770000</v>
      </c>
      <c r="O463" s="25">
        <f t="shared" si="61"/>
        <v>7.2536996921029703E-2</v>
      </c>
      <c r="P463" s="24">
        <f>Data!K463</f>
        <v>1002800730000</v>
      </c>
      <c r="Q463" s="24">
        <f>Data!I463</f>
        <v>12900621940000</v>
      </c>
      <c r="R463" s="25">
        <f t="shared" si="62"/>
        <v>8.1619380166100736E-2</v>
      </c>
      <c r="S463" s="25">
        <f t="shared" si="63"/>
        <v>0.21062903546462916</v>
      </c>
    </row>
    <row r="464" spans="1:19" ht="15" customHeight="1" x14ac:dyDescent="0.3">
      <c r="A464" s="22"/>
      <c r="B464" s="23">
        <v>43</v>
      </c>
      <c r="C464" s="3" t="s">
        <v>15</v>
      </c>
      <c r="D464" s="23">
        <v>2014</v>
      </c>
      <c r="E464" s="24">
        <f>Data!F464</f>
        <v>0</v>
      </c>
      <c r="F464" s="24">
        <f>Data!H464</f>
        <v>0</v>
      </c>
      <c r="G464" s="24">
        <f t="shared" si="56"/>
        <v>0</v>
      </c>
      <c r="H464" s="24">
        <f>Data!G464</f>
        <v>0</v>
      </c>
      <c r="I464" s="25">
        <f t="shared" si="57"/>
        <v>0</v>
      </c>
      <c r="J464" s="24">
        <f>Data!J464</f>
        <v>0</v>
      </c>
      <c r="K464" s="24">
        <f t="shared" si="58"/>
        <v>0</v>
      </c>
      <c r="L464" s="25">
        <f t="shared" si="59"/>
        <v>0</v>
      </c>
      <c r="M464" s="24">
        <f>Data!M464</f>
        <v>0</v>
      </c>
      <c r="N464" s="24">
        <f t="shared" si="60"/>
        <v>0</v>
      </c>
      <c r="O464" s="25">
        <f t="shared" si="61"/>
        <v>0</v>
      </c>
      <c r="P464" s="24">
        <f>Data!K464</f>
        <v>0</v>
      </c>
      <c r="Q464" s="24">
        <f>Data!I464</f>
        <v>0</v>
      </c>
      <c r="R464" s="25">
        <f t="shared" si="62"/>
        <v>0</v>
      </c>
      <c r="S464" s="25">
        <f t="shared" si="63"/>
        <v>0</v>
      </c>
    </row>
    <row r="465" spans="1:19" ht="15" customHeight="1" x14ac:dyDescent="0.3">
      <c r="A465" s="22"/>
      <c r="B465" s="23"/>
      <c r="C465" s="3"/>
      <c r="D465" s="23">
        <v>2015</v>
      </c>
      <c r="E465" s="24">
        <f>Data!F465</f>
        <v>92963760000.000015</v>
      </c>
      <c r="F465" s="24">
        <f>Data!H465</f>
        <v>31138850000</v>
      </c>
      <c r="G465" s="24">
        <f t="shared" si="56"/>
        <v>61824910000.000015</v>
      </c>
      <c r="H465" s="24">
        <f>Data!G465</f>
        <v>397316560000</v>
      </c>
      <c r="I465" s="25">
        <f t="shared" si="57"/>
        <v>1.020776505263209</v>
      </c>
      <c r="J465" s="24">
        <f>Data!J465</f>
        <v>-168483840000</v>
      </c>
      <c r="K465" s="24">
        <f t="shared" si="58"/>
        <v>397316560000</v>
      </c>
      <c r="L465" s="25">
        <f t="shared" si="59"/>
        <v>-1.3824173812438123</v>
      </c>
      <c r="M465" s="24">
        <f>Data!M465</f>
        <v>-77240950000</v>
      </c>
      <c r="N465" s="24">
        <f t="shared" si="60"/>
        <v>397316560000</v>
      </c>
      <c r="O465" s="25">
        <f t="shared" si="61"/>
        <v>-1.3064121565937248</v>
      </c>
      <c r="P465" s="24">
        <f>Data!K465</f>
        <v>292513050000</v>
      </c>
      <c r="Q465" s="24">
        <f>Data!I465</f>
        <v>104803500000</v>
      </c>
      <c r="R465" s="25">
        <f t="shared" si="62"/>
        <v>2.9306149365240666</v>
      </c>
      <c r="S465" s="25">
        <f t="shared" si="63"/>
        <v>1.2625619039497384</v>
      </c>
    </row>
    <row r="466" spans="1:19" ht="15" customHeight="1" x14ac:dyDescent="0.3">
      <c r="A466" s="22"/>
      <c r="B466" s="23"/>
      <c r="C466" s="3"/>
      <c r="D466" s="23">
        <v>2016</v>
      </c>
      <c r="E466" s="24">
        <f>Data!F466</f>
        <v>263255699999.99994</v>
      </c>
      <c r="F466" s="24">
        <f>Data!H466</f>
        <v>95850690000</v>
      </c>
      <c r="G466" s="24">
        <f t="shared" si="56"/>
        <v>167405009999.99994</v>
      </c>
      <c r="H466" s="24">
        <f>Data!G466</f>
        <v>2179146730000</v>
      </c>
      <c r="I466" s="25">
        <f t="shared" si="57"/>
        <v>0.50394810522924238</v>
      </c>
      <c r="J466" s="24">
        <f>Data!J466</f>
        <v>-299728600000</v>
      </c>
      <c r="K466" s="24">
        <f t="shared" si="58"/>
        <v>2179146730000</v>
      </c>
      <c r="L466" s="25">
        <f t="shared" si="59"/>
        <v>-0.44839350308457654</v>
      </c>
      <c r="M466" s="24">
        <f>Data!M466</f>
        <v>-130921800000</v>
      </c>
      <c r="N466" s="24">
        <f t="shared" si="60"/>
        <v>2179146730000</v>
      </c>
      <c r="O466" s="25">
        <f t="shared" si="61"/>
        <v>-0.40373348149897187</v>
      </c>
      <c r="P466" s="24">
        <f>Data!K466</f>
        <v>1880952610000</v>
      </c>
      <c r="Q466" s="24">
        <f>Data!I466</f>
        <v>298194120000</v>
      </c>
      <c r="R466" s="25">
        <f t="shared" si="62"/>
        <v>6.6232031687948778</v>
      </c>
      <c r="S466" s="25">
        <f t="shared" si="63"/>
        <v>6.2750242894405721</v>
      </c>
    </row>
    <row r="467" spans="1:19" ht="15" customHeight="1" x14ac:dyDescent="0.3">
      <c r="A467" s="22"/>
      <c r="B467" s="23"/>
      <c r="C467" s="3"/>
      <c r="D467" s="23">
        <v>2017</v>
      </c>
      <c r="E467" s="24">
        <f>Data!F467</f>
        <v>236033979999.99997</v>
      </c>
      <c r="F467" s="24">
        <f>Data!H467</f>
        <v>56686980000</v>
      </c>
      <c r="G467" s="24">
        <f t="shared" si="56"/>
        <v>179346999999.99997</v>
      </c>
      <c r="H467" s="24">
        <f>Data!G467</f>
        <v>2092063190000</v>
      </c>
      <c r="I467" s="25">
        <f t="shared" si="57"/>
        <v>0.56237131154723852</v>
      </c>
      <c r="J467" s="24">
        <f>Data!J467</f>
        <v>-355976120000</v>
      </c>
      <c r="K467" s="24">
        <f t="shared" si="58"/>
        <v>2092063190000</v>
      </c>
      <c r="L467" s="25">
        <f t="shared" si="59"/>
        <v>-0.55470702641634828</v>
      </c>
      <c r="M467" s="24">
        <f>Data!M467</f>
        <v>-58172110000</v>
      </c>
      <c r="N467" s="24">
        <f t="shared" si="60"/>
        <v>2092063190000</v>
      </c>
      <c r="O467" s="25">
        <f t="shared" si="61"/>
        <v>-0.18685696544376368</v>
      </c>
      <c r="P467" s="24">
        <f>Data!K467</f>
        <v>1824023880000</v>
      </c>
      <c r="Q467" s="24">
        <f>Data!I467</f>
        <v>268039320000</v>
      </c>
      <c r="R467" s="25">
        <f t="shared" si="62"/>
        <v>7.1453138815603623</v>
      </c>
      <c r="S467" s="25">
        <f t="shared" si="63"/>
        <v>6.9661212012474891</v>
      </c>
    </row>
    <row r="468" spans="1:19" ht="15" customHeight="1" x14ac:dyDescent="0.3">
      <c r="A468" s="22"/>
      <c r="B468" s="23"/>
      <c r="C468" s="3"/>
      <c r="D468" s="23">
        <v>2018</v>
      </c>
      <c r="E468" s="24">
        <f>Data!F468</f>
        <v>126481049999.99998</v>
      </c>
      <c r="F468" s="24">
        <f>Data!H468</f>
        <v>83125860000</v>
      </c>
      <c r="G468" s="24">
        <f t="shared" si="56"/>
        <v>43355189999.999985</v>
      </c>
      <c r="H468" s="24">
        <f>Data!G468</f>
        <v>2041539070000</v>
      </c>
      <c r="I468" s="25">
        <f t="shared" si="57"/>
        <v>0.13931158633177659</v>
      </c>
      <c r="J468" s="24">
        <f>Data!J468</f>
        <v>-358494180000</v>
      </c>
      <c r="K468" s="24">
        <f t="shared" si="58"/>
        <v>2041539070000</v>
      </c>
      <c r="L468" s="25">
        <f t="shared" si="59"/>
        <v>-0.57245587114823127</v>
      </c>
      <c r="M468" s="24">
        <f>Data!M468</f>
        <v>-3495160000</v>
      </c>
      <c r="N468" s="24">
        <f t="shared" si="60"/>
        <v>2041539070000</v>
      </c>
      <c r="O468" s="25">
        <f t="shared" si="61"/>
        <v>-1.1504788492732593E-2</v>
      </c>
      <c r="P468" s="24">
        <f>Data!K468</f>
        <v>1821505820000</v>
      </c>
      <c r="Q468" s="24">
        <f>Data!I468</f>
        <v>220033250000</v>
      </c>
      <c r="R468" s="25">
        <f t="shared" si="62"/>
        <v>8.692236791484925</v>
      </c>
      <c r="S468" s="25">
        <f t="shared" si="63"/>
        <v>8.2475877181757369</v>
      </c>
    </row>
    <row r="469" spans="1:19" ht="15" customHeight="1" x14ac:dyDescent="0.3">
      <c r="A469" s="22"/>
      <c r="B469" s="23"/>
      <c r="C469" s="3"/>
      <c r="D469" s="23">
        <v>2019</v>
      </c>
      <c r="E469" s="24">
        <f>Data!F469</f>
        <v>98712990000</v>
      </c>
      <c r="F469" s="24">
        <f>Data!H469</f>
        <v>54008560000</v>
      </c>
      <c r="G469" s="24">
        <f t="shared" si="56"/>
        <v>44704430000</v>
      </c>
      <c r="H469" s="24">
        <f>Data!G469</f>
        <v>2042482180000</v>
      </c>
      <c r="I469" s="25">
        <f t="shared" si="57"/>
        <v>0.14358071941660708</v>
      </c>
      <c r="J469" s="24">
        <f>Data!J469</f>
        <v>-330187250000</v>
      </c>
      <c r="K469" s="24">
        <f t="shared" si="58"/>
        <v>2042482180000</v>
      </c>
      <c r="L469" s="25">
        <f t="shared" si="59"/>
        <v>-0.52701093088606521</v>
      </c>
      <c r="M469" s="24">
        <f>Data!M469</f>
        <v>17062800000</v>
      </c>
      <c r="N469" s="24">
        <f t="shared" si="60"/>
        <v>2042482180000</v>
      </c>
      <c r="O469" s="25">
        <f t="shared" si="61"/>
        <v>5.613856371564524E-2</v>
      </c>
      <c r="P469" s="24">
        <f>Data!K469</f>
        <v>1849812750000</v>
      </c>
      <c r="Q469" s="24">
        <f>Data!I469</f>
        <v>192669430000</v>
      </c>
      <c r="R469" s="25">
        <f t="shared" si="62"/>
        <v>10.081014863125926</v>
      </c>
      <c r="S469" s="25">
        <f t="shared" si="63"/>
        <v>9.7537232153721138</v>
      </c>
    </row>
    <row r="470" spans="1:19" ht="15" customHeight="1" x14ac:dyDescent="0.3">
      <c r="A470" s="22"/>
      <c r="B470" s="23"/>
      <c r="C470" s="3"/>
      <c r="D470" s="23">
        <v>2020</v>
      </c>
      <c r="E470" s="24">
        <f>Data!F470</f>
        <v>112257340000</v>
      </c>
      <c r="F470" s="24">
        <f>Data!H470</f>
        <v>71042670000</v>
      </c>
      <c r="G470" s="24">
        <f t="shared" si="56"/>
        <v>41214670000</v>
      </c>
      <c r="H470" s="24">
        <f>Data!G470</f>
        <v>2065906600000</v>
      </c>
      <c r="I470" s="25">
        <f t="shared" si="57"/>
        <v>0.1308714707625214</v>
      </c>
      <c r="J470" s="24">
        <f>Data!J470</f>
        <v>-318184480000</v>
      </c>
      <c r="K470" s="24">
        <f t="shared" si="58"/>
        <v>2065906600000</v>
      </c>
      <c r="L470" s="25">
        <f t="shared" si="59"/>
        <v>-0.50209501475042473</v>
      </c>
      <c r="M470" s="24">
        <f>Data!M470</f>
        <v>17630760000</v>
      </c>
      <c r="N470" s="24">
        <f t="shared" si="60"/>
        <v>2065906600000</v>
      </c>
      <c r="O470" s="25">
        <f t="shared" si="61"/>
        <v>5.7349498375192758E-2</v>
      </c>
      <c r="P470" s="24">
        <f>Data!K470</f>
        <v>1861815520000</v>
      </c>
      <c r="Q470" s="24">
        <f>Data!I470</f>
        <v>204091090000</v>
      </c>
      <c r="R470" s="25">
        <f t="shared" si="62"/>
        <v>9.5785969686378767</v>
      </c>
      <c r="S470" s="25">
        <f t="shared" si="63"/>
        <v>9.2647229230251664</v>
      </c>
    </row>
    <row r="471" spans="1:19" ht="15" customHeight="1" x14ac:dyDescent="0.3">
      <c r="A471" s="22"/>
      <c r="B471" s="23"/>
      <c r="C471" s="3"/>
      <c r="D471" s="23">
        <v>2021</v>
      </c>
      <c r="E471" s="24">
        <f>Data!F471</f>
        <v>60069760000</v>
      </c>
      <c r="F471" s="24">
        <f>Data!H471</f>
        <v>70457740000</v>
      </c>
      <c r="G471" s="24">
        <f t="shared" si="56"/>
        <v>-10387980000</v>
      </c>
      <c r="H471" s="24">
        <f>Data!G471</f>
        <v>2038125650000</v>
      </c>
      <c r="I471" s="25">
        <f t="shared" si="57"/>
        <v>-3.343520493940106E-2</v>
      </c>
      <c r="J471" s="24">
        <f>Data!J471</f>
        <v>-307957660000</v>
      </c>
      <c r="K471" s="24">
        <f t="shared" si="58"/>
        <v>2038125650000</v>
      </c>
      <c r="L471" s="25">
        <f t="shared" si="59"/>
        <v>-0.49258100039121727</v>
      </c>
      <c r="M471" s="24">
        <f>Data!M471</f>
        <v>13849130000</v>
      </c>
      <c r="N471" s="24">
        <f t="shared" si="60"/>
        <v>2038125650000</v>
      </c>
      <c r="O471" s="25">
        <f t="shared" si="61"/>
        <v>4.5662618298337003E-2</v>
      </c>
      <c r="P471" s="24">
        <f>Data!K471</f>
        <v>1872139020000</v>
      </c>
      <c r="Q471" s="24">
        <f>Data!I471</f>
        <v>165986630000</v>
      </c>
      <c r="R471" s="25">
        <f t="shared" si="62"/>
        <v>11.842797043352228</v>
      </c>
      <c r="S471" s="25">
        <f t="shared" si="63"/>
        <v>11.362443456319946</v>
      </c>
    </row>
    <row r="472" spans="1:19" ht="15" customHeight="1" x14ac:dyDescent="0.3">
      <c r="A472" s="22"/>
      <c r="B472" s="23"/>
      <c r="C472" s="3"/>
      <c r="D472" s="23">
        <v>2022</v>
      </c>
      <c r="E472" s="24">
        <f>Data!F472</f>
        <v>309070769999.99994</v>
      </c>
      <c r="F472" s="24">
        <f>Data!H472</f>
        <v>115107770000</v>
      </c>
      <c r="G472" s="24">
        <f t="shared" si="56"/>
        <v>193962999999.99994</v>
      </c>
      <c r="H472" s="24">
        <f>Data!G472</f>
        <v>2063240460000</v>
      </c>
      <c r="I472" s="25">
        <f t="shared" si="57"/>
        <v>0.6166984918471401</v>
      </c>
      <c r="J472" s="24">
        <f>Data!J472</f>
        <v>-373496010000</v>
      </c>
      <c r="K472" s="24">
        <f t="shared" si="58"/>
        <v>2063240460000</v>
      </c>
      <c r="L472" s="25">
        <f t="shared" si="59"/>
        <v>-0.59013819096975251</v>
      </c>
      <c r="M472" s="24">
        <f>Data!M472</f>
        <v>-52501970000</v>
      </c>
      <c r="N472" s="24">
        <f t="shared" si="60"/>
        <v>2063240460000</v>
      </c>
      <c r="O472" s="25">
        <f t="shared" si="61"/>
        <v>-0.17099957336044097</v>
      </c>
      <c r="P472" s="24">
        <f>Data!K472</f>
        <v>1806600680000</v>
      </c>
      <c r="Q472" s="24">
        <f>Data!I472</f>
        <v>256639780000</v>
      </c>
      <c r="R472" s="25">
        <f t="shared" si="62"/>
        <v>7.3914134200083863</v>
      </c>
      <c r="S472" s="25">
        <f t="shared" si="63"/>
        <v>7.2469741475253331</v>
      </c>
    </row>
    <row r="473" spans="1:19" ht="15" customHeight="1" x14ac:dyDescent="0.3">
      <c r="A473" s="22"/>
      <c r="B473" s="23"/>
      <c r="C473" s="3"/>
      <c r="D473" s="23">
        <v>2023</v>
      </c>
      <c r="E473" s="24">
        <f>Data!F473</f>
        <v>72709019999.999985</v>
      </c>
      <c r="F473" s="24">
        <f>Data!H473</f>
        <v>119965820000</v>
      </c>
      <c r="G473" s="24">
        <f t="shared" si="56"/>
        <v>-47256800000.000015</v>
      </c>
      <c r="H473" s="24">
        <f>Data!G473</f>
        <v>2119874980000</v>
      </c>
      <c r="I473" s="25">
        <f t="shared" si="57"/>
        <v>-0.14623721253599589</v>
      </c>
      <c r="J473" s="24">
        <f>Data!J473</f>
        <v>-410338500000</v>
      </c>
      <c r="K473" s="24">
        <f t="shared" si="58"/>
        <v>2119874980000</v>
      </c>
      <c r="L473" s="25">
        <f t="shared" si="59"/>
        <v>-0.63102943457542948</v>
      </c>
      <c r="M473" s="24">
        <f>Data!M473</f>
        <v>-42056330000</v>
      </c>
      <c r="N473" s="24">
        <f t="shared" si="60"/>
        <v>2119874980000</v>
      </c>
      <c r="O473" s="25">
        <f t="shared" si="61"/>
        <v>-0.13331849296131604</v>
      </c>
      <c r="P473" s="24">
        <f>Data!K473</f>
        <v>1769758180000</v>
      </c>
      <c r="Q473" s="24">
        <f>Data!I473</f>
        <v>350116800000</v>
      </c>
      <c r="R473" s="25">
        <f t="shared" si="62"/>
        <v>5.3075033503105251</v>
      </c>
      <c r="S473" s="25">
        <f t="shared" si="63"/>
        <v>4.396918210237784</v>
      </c>
    </row>
    <row r="474" spans="1:19" ht="15" customHeight="1" x14ac:dyDescent="0.3">
      <c r="A474" s="22"/>
      <c r="B474" s="23"/>
      <c r="C474" s="3"/>
      <c r="D474" s="23">
        <v>2024</v>
      </c>
      <c r="E474" s="24">
        <f>Data!F474</f>
        <v>80933199999.999985</v>
      </c>
      <c r="F474" s="24">
        <f>Data!H474</f>
        <v>116231640000</v>
      </c>
      <c r="G474" s="24">
        <f t="shared" si="56"/>
        <v>-35298440000.000015</v>
      </c>
      <c r="H474" s="24">
        <f>Data!G474</f>
        <v>2111825970000.0002</v>
      </c>
      <c r="I474" s="25">
        <f t="shared" si="57"/>
        <v>-0.10964812900752426</v>
      </c>
      <c r="J474" s="24">
        <f>Data!J474</f>
        <v>-491530080000</v>
      </c>
      <c r="K474" s="24">
        <f t="shared" si="58"/>
        <v>2111825970000.0002</v>
      </c>
      <c r="L474" s="25">
        <f t="shared" si="59"/>
        <v>-0.75876899117780983</v>
      </c>
      <c r="M474" s="24">
        <f>Data!M474</f>
        <v>-82225500000</v>
      </c>
      <c r="N474" s="24">
        <f t="shared" si="60"/>
        <v>2111825970000.0002</v>
      </c>
      <c r="O474" s="25">
        <f t="shared" si="61"/>
        <v>-0.2616481508653859</v>
      </c>
      <c r="P474" s="24">
        <f>Data!K474</f>
        <v>1688566600000</v>
      </c>
      <c r="Q474" s="24">
        <f>Data!I474</f>
        <v>423259370000</v>
      </c>
      <c r="R474" s="25">
        <f t="shared" si="62"/>
        <v>4.1889088716452987</v>
      </c>
      <c r="S474" s="25">
        <f t="shared" si="63"/>
        <v>3.0588436005945789</v>
      </c>
    </row>
    <row r="475" spans="1:19" ht="15" customHeight="1" x14ac:dyDescent="0.3">
      <c r="A475" s="22"/>
      <c r="B475" s="23">
        <v>44</v>
      </c>
      <c r="C475" s="3" t="s">
        <v>35</v>
      </c>
      <c r="D475" s="23">
        <v>2014</v>
      </c>
      <c r="E475" s="24">
        <f>Data!F475</f>
        <v>0</v>
      </c>
      <c r="F475" s="24">
        <f>Data!H475</f>
        <v>0</v>
      </c>
      <c r="G475" s="24">
        <f t="shared" si="56"/>
        <v>0</v>
      </c>
      <c r="H475" s="24">
        <f>Data!G475</f>
        <v>0</v>
      </c>
      <c r="I475" s="25">
        <f t="shared" si="57"/>
        <v>0</v>
      </c>
      <c r="J475" s="24">
        <f>Data!J475</f>
        <v>0</v>
      </c>
      <c r="K475" s="24">
        <f t="shared" si="58"/>
        <v>0</v>
      </c>
      <c r="L475" s="25">
        <f t="shared" si="59"/>
        <v>0</v>
      </c>
      <c r="M475" s="24">
        <f>Data!M475</f>
        <v>0</v>
      </c>
      <c r="N475" s="24">
        <f t="shared" si="60"/>
        <v>0</v>
      </c>
      <c r="O475" s="25">
        <f t="shared" si="61"/>
        <v>0</v>
      </c>
      <c r="P475" s="24">
        <f>Data!K475</f>
        <v>0</v>
      </c>
      <c r="Q475" s="24">
        <f>Data!I475</f>
        <v>0</v>
      </c>
      <c r="R475" s="25">
        <f t="shared" si="62"/>
        <v>0</v>
      </c>
      <c r="S475" s="25">
        <f t="shared" si="63"/>
        <v>0</v>
      </c>
    </row>
    <row r="476" spans="1:19" ht="15" customHeight="1" x14ac:dyDescent="0.3">
      <c r="A476" s="22"/>
      <c r="B476" s="23"/>
      <c r="C476" s="3"/>
      <c r="D476" s="23">
        <v>2015</v>
      </c>
      <c r="E476" s="24">
        <f>Data!F476</f>
        <v>107940000000</v>
      </c>
      <c r="F476" s="24">
        <f>Data!H476</f>
        <v>14468000000</v>
      </c>
      <c r="G476" s="24">
        <f t="shared" si="56"/>
        <v>93472000000</v>
      </c>
      <c r="H476" s="24">
        <f>Data!G476</f>
        <v>610334000000</v>
      </c>
      <c r="I476" s="25">
        <f t="shared" si="57"/>
        <v>1.0046569910901244</v>
      </c>
      <c r="J476" s="24">
        <f>Data!J476</f>
        <v>-18343000000</v>
      </c>
      <c r="K476" s="24">
        <f t="shared" si="58"/>
        <v>610334000000</v>
      </c>
      <c r="L476" s="25">
        <f t="shared" si="59"/>
        <v>-9.7976157317141099E-2</v>
      </c>
      <c r="M476" s="24">
        <f>Data!M476</f>
        <v>-21807000000</v>
      </c>
      <c r="N476" s="24">
        <f t="shared" si="60"/>
        <v>610334000000</v>
      </c>
      <c r="O476" s="25">
        <f t="shared" si="61"/>
        <v>-0.24010302555649857</v>
      </c>
      <c r="P476" s="24">
        <f>Data!K476</f>
        <v>91073000000</v>
      </c>
      <c r="Q476" s="24">
        <f>Data!I476</f>
        <v>519260000000</v>
      </c>
      <c r="R476" s="25">
        <f t="shared" si="62"/>
        <v>0.18415947694796442</v>
      </c>
      <c r="S476" s="25">
        <f t="shared" si="63"/>
        <v>0.85073728516444913</v>
      </c>
    </row>
    <row r="477" spans="1:19" ht="15" customHeight="1" x14ac:dyDescent="0.3">
      <c r="A477" s="22"/>
      <c r="B477" s="23"/>
      <c r="C477" s="3"/>
      <c r="D477" s="23">
        <v>2016</v>
      </c>
      <c r="E477" s="24">
        <f>Data!F477</f>
        <v>166932000000</v>
      </c>
      <c r="F477" s="24">
        <f>Data!H477</f>
        <v>63872000000</v>
      </c>
      <c r="G477" s="24">
        <f t="shared" si="56"/>
        <v>103060000000</v>
      </c>
      <c r="H477" s="24">
        <f>Data!G477</f>
        <v>802706000000</v>
      </c>
      <c r="I477" s="25">
        <f t="shared" si="57"/>
        <v>0.84224311267138885</v>
      </c>
      <c r="J477" s="24">
        <f>Data!J477</f>
        <v>27333000000</v>
      </c>
      <c r="K477" s="24">
        <f t="shared" si="58"/>
        <v>802706000000</v>
      </c>
      <c r="L477" s="25">
        <f t="shared" si="59"/>
        <v>0.11100649552887358</v>
      </c>
      <c r="M477" s="24">
        <f>Data!M477</f>
        <v>25255000000</v>
      </c>
      <c r="N477" s="24">
        <f t="shared" si="60"/>
        <v>802706000000</v>
      </c>
      <c r="O477" s="25">
        <f t="shared" si="61"/>
        <v>0.21142684868432524</v>
      </c>
      <c r="P477" s="24">
        <f>Data!K477</f>
        <v>144115000000</v>
      </c>
      <c r="Q477" s="24">
        <f>Data!I477</f>
        <v>637591000000</v>
      </c>
      <c r="R477" s="25">
        <f t="shared" si="62"/>
        <v>0.23733200437270915</v>
      </c>
      <c r="S477" s="25">
        <f t="shared" si="63"/>
        <v>1.4020084612572967</v>
      </c>
    </row>
    <row r="478" spans="1:19" ht="15" customHeight="1" x14ac:dyDescent="0.3">
      <c r="A478" s="22"/>
      <c r="B478" s="23"/>
      <c r="C478" s="3"/>
      <c r="D478" s="23">
        <v>2017</v>
      </c>
      <c r="E478" s="24">
        <f>Data!F478</f>
        <v>153204000000</v>
      </c>
      <c r="F478" s="24">
        <f>Data!H478</f>
        <v>51201000000</v>
      </c>
      <c r="G478" s="24">
        <f t="shared" si="56"/>
        <v>102003000000</v>
      </c>
      <c r="H478" s="24">
        <f>Data!G478</f>
        <v>978417000000</v>
      </c>
      <c r="I478" s="25">
        <f t="shared" si="57"/>
        <v>0.68390030017875814</v>
      </c>
      <c r="J478" s="24">
        <f>Data!J478</f>
        <v>53307000000</v>
      </c>
      <c r="K478" s="24">
        <f t="shared" si="58"/>
        <v>978417000000</v>
      </c>
      <c r="L478" s="25">
        <f t="shared" si="59"/>
        <v>0.17761426876270547</v>
      </c>
      <c r="M478" s="24">
        <f>Data!M478</f>
        <v>30206000000</v>
      </c>
      <c r="N478" s="24">
        <f t="shared" si="60"/>
        <v>978417000000</v>
      </c>
      <c r="O478" s="25">
        <f t="shared" si="61"/>
        <v>0.20746197173597758</v>
      </c>
      <c r="P478" s="24">
        <f>Data!K478</f>
        <v>182333000000</v>
      </c>
      <c r="Q478" s="24">
        <f>Data!I478</f>
        <v>775084000000</v>
      </c>
      <c r="R478" s="25">
        <f t="shared" si="62"/>
        <v>0.24700503429305729</v>
      </c>
      <c r="S478" s="25">
        <f t="shared" si="63"/>
        <v>1.3159815749704984</v>
      </c>
    </row>
    <row r="479" spans="1:19" ht="15" customHeight="1" x14ac:dyDescent="0.3">
      <c r="A479" s="22"/>
      <c r="B479" s="23"/>
      <c r="C479" s="3"/>
      <c r="D479" s="23">
        <v>2018</v>
      </c>
      <c r="E479" s="24">
        <f>Data!F479</f>
        <v>223683000000</v>
      </c>
      <c r="F479" s="24">
        <f>Data!H479</f>
        <v>94527000000</v>
      </c>
      <c r="G479" s="24">
        <f t="shared" si="56"/>
        <v>129156000000</v>
      </c>
      <c r="H479" s="24">
        <f>Data!G479</f>
        <v>1390323000000</v>
      </c>
      <c r="I479" s="25">
        <f t="shared" si="57"/>
        <v>0.60940037674698611</v>
      </c>
      <c r="J479" s="24">
        <f>Data!J479</f>
        <v>95565000000</v>
      </c>
      <c r="K479" s="24">
        <f t="shared" si="58"/>
        <v>1390323000000</v>
      </c>
      <c r="L479" s="25">
        <f t="shared" si="59"/>
        <v>0.22407879320129204</v>
      </c>
      <c r="M479" s="24">
        <f>Data!M479</f>
        <v>46416000000</v>
      </c>
      <c r="N479" s="24">
        <f t="shared" si="60"/>
        <v>1390323000000</v>
      </c>
      <c r="O479" s="25">
        <f t="shared" si="61"/>
        <v>0.22434752212255712</v>
      </c>
      <c r="P479" s="24">
        <f>Data!K479</f>
        <v>272186000000</v>
      </c>
      <c r="Q479" s="24">
        <f>Data!I479</f>
        <v>1117137000000</v>
      </c>
      <c r="R479" s="25">
        <f t="shared" si="62"/>
        <v>0.25582833618437134</v>
      </c>
      <c r="S479" s="25">
        <f t="shared" si="63"/>
        <v>1.3136550282552066</v>
      </c>
    </row>
    <row r="480" spans="1:19" ht="15" customHeight="1" x14ac:dyDescent="0.3">
      <c r="A480" s="22"/>
      <c r="B480" s="23"/>
      <c r="C480" s="3"/>
      <c r="D480" s="23">
        <v>2019</v>
      </c>
      <c r="E480" s="24">
        <f>Data!F480</f>
        <v>336015000000</v>
      </c>
      <c r="F480" s="24">
        <f>Data!H480</f>
        <v>124966000000</v>
      </c>
      <c r="G480" s="24">
        <f t="shared" si="56"/>
        <v>211049000000</v>
      </c>
      <c r="H480" s="24">
        <f>Data!G480</f>
        <v>1106579000000</v>
      </c>
      <c r="I480" s="25">
        <f t="shared" si="57"/>
        <v>1.2511365569019472</v>
      </c>
      <c r="J480" s="24">
        <f>Data!J480</f>
        <v>29660000000</v>
      </c>
      <c r="K480" s="24">
        <f t="shared" si="58"/>
        <v>1106579000000</v>
      </c>
      <c r="L480" s="25">
        <f t="shared" si="59"/>
        <v>8.7378849589590982E-2</v>
      </c>
      <c r="M480" s="24">
        <f>Data!M480</f>
        <v>7657000000</v>
      </c>
      <c r="N480" s="24">
        <f t="shared" si="60"/>
        <v>1106579000000</v>
      </c>
      <c r="O480" s="25">
        <f t="shared" si="61"/>
        <v>4.6499201593379232E-2</v>
      </c>
      <c r="P480" s="24">
        <f>Data!K480</f>
        <v>191387000000</v>
      </c>
      <c r="Q480" s="24">
        <f>Data!I480</f>
        <v>915192000000</v>
      </c>
      <c r="R480" s="25">
        <f t="shared" si="62"/>
        <v>0.21957835077229695</v>
      </c>
      <c r="S480" s="25">
        <f t="shared" si="63"/>
        <v>1.6045929588572145</v>
      </c>
    </row>
    <row r="481" spans="1:19" ht="15" customHeight="1" x14ac:dyDescent="0.3">
      <c r="A481" s="22"/>
      <c r="B481" s="23"/>
      <c r="C481" s="3"/>
      <c r="D481" s="23">
        <v>2020</v>
      </c>
      <c r="E481" s="24">
        <f>Data!F481</f>
        <v>367241000000</v>
      </c>
      <c r="F481" s="24">
        <f>Data!H481</f>
        <v>159233000000</v>
      </c>
      <c r="G481" s="24">
        <f t="shared" si="56"/>
        <v>208008000000</v>
      </c>
      <c r="H481" s="24">
        <f>Data!G481</f>
        <v>1002361000000</v>
      </c>
      <c r="I481" s="25">
        <f t="shared" si="57"/>
        <v>1.3613184072405051</v>
      </c>
      <c r="J481" s="24">
        <f>Data!J481</f>
        <v>37425000000</v>
      </c>
      <c r="K481" s="24">
        <f t="shared" si="58"/>
        <v>1002361000000</v>
      </c>
      <c r="L481" s="25">
        <f t="shared" si="59"/>
        <v>0.12171812351039195</v>
      </c>
      <c r="M481" s="24">
        <f>Data!M481</f>
        <v>8324000000</v>
      </c>
      <c r="N481" s="24">
        <f t="shared" si="60"/>
        <v>1002361000000</v>
      </c>
      <c r="O481" s="25">
        <f t="shared" si="61"/>
        <v>5.580552315981966E-2</v>
      </c>
      <c r="P481" s="24">
        <f>Data!K481</f>
        <v>198476000000</v>
      </c>
      <c r="Q481" s="24">
        <f>Data!I481</f>
        <v>803885000000</v>
      </c>
      <c r="R481" s="25">
        <f t="shared" si="62"/>
        <v>0.25924081180765907</v>
      </c>
      <c r="S481" s="25">
        <f t="shared" si="63"/>
        <v>1.7980828657183756</v>
      </c>
    </row>
    <row r="482" spans="1:19" ht="15" customHeight="1" x14ac:dyDescent="0.3">
      <c r="A482" s="22"/>
      <c r="B482" s="23"/>
      <c r="C482" s="3"/>
      <c r="D482" s="23">
        <v>2021</v>
      </c>
      <c r="E482" s="24">
        <f>Data!F482</f>
        <v>352251000000</v>
      </c>
      <c r="F482" s="24">
        <f>Data!H482</f>
        <v>180791000000</v>
      </c>
      <c r="G482" s="24">
        <f t="shared" si="56"/>
        <v>171460000000</v>
      </c>
      <c r="H482" s="24">
        <f>Data!G482</f>
        <v>936527000000</v>
      </c>
      <c r="I482" s="25">
        <f t="shared" si="57"/>
        <v>1.2010092608114875</v>
      </c>
      <c r="J482" s="24">
        <f>Data!J482</f>
        <v>39886000000</v>
      </c>
      <c r="K482" s="24">
        <f t="shared" si="58"/>
        <v>936527000000</v>
      </c>
      <c r="L482" s="25">
        <f t="shared" si="59"/>
        <v>0.13884101579559371</v>
      </c>
      <c r="M482" s="24">
        <f>Data!M482</f>
        <v>8734000000</v>
      </c>
      <c r="N482" s="24">
        <f t="shared" si="60"/>
        <v>936527000000</v>
      </c>
      <c r="O482" s="25">
        <f t="shared" si="61"/>
        <v>6.2670355472933509E-2</v>
      </c>
      <c r="P482" s="24">
        <f>Data!K482</f>
        <v>201904000000</v>
      </c>
      <c r="Q482" s="24">
        <f>Data!I482</f>
        <v>734623000000</v>
      </c>
      <c r="R482" s="25">
        <f t="shared" si="62"/>
        <v>0.28858230684310188</v>
      </c>
      <c r="S482" s="25">
        <f t="shared" si="63"/>
        <v>1.6911029389231167</v>
      </c>
    </row>
    <row r="483" spans="1:19" ht="15" customHeight="1" x14ac:dyDescent="0.3">
      <c r="A483" s="22"/>
      <c r="B483" s="23"/>
      <c r="C483" s="3"/>
      <c r="D483" s="23">
        <v>2022</v>
      </c>
      <c r="E483" s="24">
        <f>Data!F483</f>
        <v>267074000000</v>
      </c>
      <c r="F483" s="24">
        <f>Data!H483</f>
        <v>128460000000</v>
      </c>
      <c r="G483" s="24">
        <f t="shared" si="56"/>
        <v>138614000000</v>
      </c>
      <c r="H483" s="24">
        <f>Data!G483</f>
        <v>735547000000</v>
      </c>
      <c r="I483" s="25">
        <f t="shared" si="57"/>
        <v>1.23623349697572</v>
      </c>
      <c r="J483" s="24">
        <f>Data!J483</f>
        <v>41093000000</v>
      </c>
      <c r="K483" s="24">
        <f t="shared" si="58"/>
        <v>735547000000</v>
      </c>
      <c r="L483" s="25">
        <f t="shared" si="59"/>
        <v>0.18212728758325436</v>
      </c>
      <c r="M483" s="24">
        <f>Data!M483</f>
        <v>12893000000</v>
      </c>
      <c r="N483" s="24">
        <f t="shared" si="60"/>
        <v>735547000000</v>
      </c>
      <c r="O483" s="25">
        <f t="shared" si="61"/>
        <v>0.11779119485226641</v>
      </c>
      <c r="P483" s="24">
        <f>Data!K483</f>
        <v>227017000000</v>
      </c>
      <c r="Q483" s="24">
        <f>Data!I483</f>
        <v>508530000000</v>
      </c>
      <c r="R483" s="25">
        <f t="shared" si="62"/>
        <v>0.46873901244764321</v>
      </c>
      <c r="S483" s="25">
        <f t="shared" si="63"/>
        <v>2.004890991858884</v>
      </c>
    </row>
    <row r="484" spans="1:19" ht="15" customHeight="1" x14ac:dyDescent="0.3">
      <c r="A484" s="22"/>
      <c r="B484" s="23"/>
      <c r="C484" s="3"/>
      <c r="D484" s="23">
        <v>2023</v>
      </c>
      <c r="E484" s="24">
        <f>Data!F484</f>
        <v>214287000000</v>
      </c>
      <c r="F484" s="24">
        <f>Data!H484</f>
        <v>97800000000</v>
      </c>
      <c r="G484" s="24">
        <f t="shared" si="56"/>
        <v>116487000000</v>
      </c>
      <c r="H484" s="24">
        <f>Data!G484</f>
        <v>962805000000</v>
      </c>
      <c r="I484" s="25">
        <f t="shared" si="57"/>
        <v>0.79367547945845729</v>
      </c>
      <c r="J484" s="24">
        <f>Data!J484</f>
        <v>47838000000</v>
      </c>
      <c r="K484" s="24">
        <f t="shared" si="58"/>
        <v>962805000000</v>
      </c>
      <c r="L484" s="25">
        <f t="shared" si="59"/>
        <v>0.16197659962297661</v>
      </c>
      <c r="M484" s="24">
        <f>Data!M484</f>
        <v>13315000000</v>
      </c>
      <c r="N484" s="24">
        <f t="shared" si="60"/>
        <v>962805000000</v>
      </c>
      <c r="O484" s="25">
        <f t="shared" si="61"/>
        <v>9.2933460046426844E-2</v>
      </c>
      <c r="P484" s="24">
        <f>Data!K484</f>
        <v>232406000000</v>
      </c>
      <c r="Q484" s="24">
        <f>Data!I484</f>
        <v>730399000000</v>
      </c>
      <c r="R484" s="25">
        <f t="shared" si="62"/>
        <v>0.33409999192222334</v>
      </c>
      <c r="S484" s="25">
        <f t="shared" si="63"/>
        <v>1.3826855310500841</v>
      </c>
    </row>
    <row r="485" spans="1:19" ht="15" customHeight="1" x14ac:dyDescent="0.3">
      <c r="A485" s="22"/>
      <c r="B485" s="23"/>
      <c r="C485" s="3"/>
      <c r="D485" s="23">
        <v>2024</v>
      </c>
      <c r="E485" s="24">
        <f>Data!F485</f>
        <v>168413000000</v>
      </c>
      <c r="F485" s="24">
        <f>Data!H485</f>
        <v>74432000000</v>
      </c>
      <c r="G485" s="24">
        <f t="shared" si="56"/>
        <v>93981000000</v>
      </c>
      <c r="H485" s="24">
        <f>Data!G485</f>
        <v>1009145000000</v>
      </c>
      <c r="I485" s="25">
        <f t="shared" si="57"/>
        <v>0.61092841960273303</v>
      </c>
      <c r="J485" s="24">
        <f>Data!J485</f>
        <v>58550000000</v>
      </c>
      <c r="K485" s="24">
        <f t="shared" si="58"/>
        <v>1009145000000</v>
      </c>
      <c r="L485" s="25">
        <f t="shared" si="59"/>
        <v>0.18914328466176811</v>
      </c>
      <c r="M485" s="24">
        <f>Data!M485</f>
        <v>14671000000</v>
      </c>
      <c r="N485" s="24">
        <f t="shared" si="60"/>
        <v>1009145000000</v>
      </c>
      <c r="O485" s="25">
        <f t="shared" si="61"/>
        <v>9.7695692888534358E-2</v>
      </c>
      <c r="P485" s="24">
        <f>Data!K485</f>
        <v>239790000000</v>
      </c>
      <c r="Q485" s="24">
        <f>Data!I485</f>
        <v>769355000000</v>
      </c>
      <c r="R485" s="25">
        <f t="shared" si="62"/>
        <v>0.32726049742966512</v>
      </c>
      <c r="S485" s="25">
        <f t="shared" si="63"/>
        <v>1.2250278945827007</v>
      </c>
    </row>
    <row r="486" spans="1:19" ht="15" customHeight="1" x14ac:dyDescent="0.3">
      <c r="A486" s="22"/>
      <c r="B486" s="23">
        <v>45</v>
      </c>
      <c r="C486" s="3" t="s">
        <v>36</v>
      </c>
      <c r="D486" s="23">
        <v>2014</v>
      </c>
      <c r="E486" s="24">
        <f>Data!F486</f>
        <v>0</v>
      </c>
      <c r="F486" s="24">
        <f>Data!H486</f>
        <v>0</v>
      </c>
      <c r="G486" s="24">
        <f t="shared" si="56"/>
        <v>0</v>
      </c>
      <c r="H486" s="24">
        <f>Data!G486</f>
        <v>0</v>
      </c>
      <c r="I486" s="25">
        <f t="shared" si="57"/>
        <v>0</v>
      </c>
      <c r="J486" s="24">
        <f>Data!J486</f>
        <v>0</v>
      </c>
      <c r="K486" s="24">
        <f t="shared" si="58"/>
        <v>0</v>
      </c>
      <c r="L486" s="25">
        <f t="shared" si="59"/>
        <v>0</v>
      </c>
      <c r="M486" s="24">
        <f>Data!M486</f>
        <v>0</v>
      </c>
      <c r="N486" s="24">
        <f t="shared" si="60"/>
        <v>0</v>
      </c>
      <c r="O486" s="25">
        <f t="shared" si="61"/>
        <v>0</v>
      </c>
      <c r="P486" s="24">
        <f>Data!K486</f>
        <v>0</v>
      </c>
      <c r="Q486" s="24">
        <f>Data!I486</f>
        <v>0</v>
      </c>
      <c r="R486" s="25">
        <f t="shared" si="62"/>
        <v>0</v>
      </c>
      <c r="S486" s="25">
        <f t="shared" si="63"/>
        <v>0</v>
      </c>
    </row>
    <row r="487" spans="1:19" ht="15" customHeight="1" x14ac:dyDescent="0.3">
      <c r="A487" s="22"/>
      <c r="B487" s="23"/>
      <c r="C487" s="3"/>
      <c r="D487" s="23">
        <v>2015</v>
      </c>
      <c r="E487" s="24">
        <f>Data!F487</f>
        <v>0</v>
      </c>
      <c r="F487" s="24">
        <f>Data!H487</f>
        <v>0</v>
      </c>
      <c r="G487" s="24">
        <f t="shared" si="56"/>
        <v>0</v>
      </c>
      <c r="H487" s="24">
        <f>Data!G487</f>
        <v>0</v>
      </c>
      <c r="I487" s="25">
        <f t="shared" si="57"/>
        <v>0</v>
      </c>
      <c r="J487" s="24">
        <f>Data!J487</f>
        <v>0</v>
      </c>
      <c r="K487" s="24">
        <f t="shared" si="58"/>
        <v>0</v>
      </c>
      <c r="L487" s="25">
        <f t="shared" si="59"/>
        <v>0</v>
      </c>
      <c r="M487" s="24">
        <f>Data!M487</f>
        <v>0</v>
      </c>
      <c r="N487" s="24">
        <f t="shared" si="60"/>
        <v>0</v>
      </c>
      <c r="O487" s="25">
        <f t="shared" si="61"/>
        <v>0</v>
      </c>
      <c r="P487" s="24">
        <f>Data!K487</f>
        <v>0</v>
      </c>
      <c r="Q487" s="24">
        <f>Data!I487</f>
        <v>0</v>
      </c>
      <c r="R487" s="25">
        <f t="shared" si="62"/>
        <v>0</v>
      </c>
      <c r="S487" s="25">
        <f t="shared" si="63"/>
        <v>0</v>
      </c>
    </row>
    <row r="488" spans="1:19" ht="15" customHeight="1" x14ac:dyDescent="0.3">
      <c r="A488" s="22"/>
      <c r="B488" s="23"/>
      <c r="C488" s="3"/>
      <c r="D488" s="23">
        <v>2016</v>
      </c>
      <c r="E488" s="24">
        <f>Data!F488</f>
        <v>0</v>
      </c>
      <c r="F488" s="24">
        <f>Data!H488</f>
        <v>0</v>
      </c>
      <c r="G488" s="24">
        <f t="shared" si="56"/>
        <v>0</v>
      </c>
      <c r="H488" s="24">
        <f>Data!G488</f>
        <v>0</v>
      </c>
      <c r="I488" s="25">
        <f t="shared" si="57"/>
        <v>0</v>
      </c>
      <c r="J488" s="24">
        <f>Data!J488</f>
        <v>0</v>
      </c>
      <c r="K488" s="24">
        <f t="shared" si="58"/>
        <v>0</v>
      </c>
      <c r="L488" s="25">
        <f t="shared" si="59"/>
        <v>0</v>
      </c>
      <c r="M488" s="24">
        <f>Data!M488</f>
        <v>0</v>
      </c>
      <c r="N488" s="24">
        <f t="shared" si="60"/>
        <v>0</v>
      </c>
      <c r="O488" s="25">
        <f t="shared" si="61"/>
        <v>0</v>
      </c>
      <c r="P488" s="24">
        <f>Data!K488</f>
        <v>0</v>
      </c>
      <c r="Q488" s="24">
        <f>Data!I488</f>
        <v>0</v>
      </c>
      <c r="R488" s="25">
        <f t="shared" si="62"/>
        <v>0</v>
      </c>
      <c r="S488" s="25">
        <f t="shared" si="63"/>
        <v>0</v>
      </c>
    </row>
    <row r="489" spans="1:19" ht="15" customHeight="1" x14ac:dyDescent="0.3">
      <c r="A489" s="22"/>
      <c r="B489" s="23"/>
      <c r="C489" s="3"/>
      <c r="D489" s="23">
        <v>2017</v>
      </c>
      <c r="E489" s="24">
        <f>Data!F489</f>
        <v>0</v>
      </c>
      <c r="F489" s="24">
        <f>Data!H489</f>
        <v>0</v>
      </c>
      <c r="G489" s="24">
        <f t="shared" si="56"/>
        <v>0</v>
      </c>
      <c r="H489" s="24">
        <f>Data!G489</f>
        <v>0</v>
      </c>
      <c r="I489" s="25">
        <f t="shared" si="57"/>
        <v>0</v>
      </c>
      <c r="J489" s="24">
        <f>Data!J489</f>
        <v>0</v>
      </c>
      <c r="K489" s="24">
        <f t="shared" si="58"/>
        <v>0</v>
      </c>
      <c r="L489" s="25">
        <f t="shared" si="59"/>
        <v>0</v>
      </c>
      <c r="M489" s="24">
        <f>Data!M489</f>
        <v>0</v>
      </c>
      <c r="N489" s="24">
        <f t="shared" si="60"/>
        <v>0</v>
      </c>
      <c r="O489" s="25">
        <f t="shared" si="61"/>
        <v>0</v>
      </c>
      <c r="P489" s="24">
        <f>Data!K489</f>
        <v>0</v>
      </c>
      <c r="Q489" s="24">
        <f>Data!I489</f>
        <v>0</v>
      </c>
      <c r="R489" s="25">
        <f t="shared" si="62"/>
        <v>0</v>
      </c>
      <c r="S489" s="25">
        <f t="shared" si="63"/>
        <v>0</v>
      </c>
    </row>
    <row r="490" spans="1:19" ht="15" customHeight="1" x14ac:dyDescent="0.3">
      <c r="A490" s="22"/>
      <c r="B490" s="23"/>
      <c r="C490" s="3"/>
      <c r="D490" s="23">
        <v>2018</v>
      </c>
      <c r="E490" s="24">
        <f>Data!F490</f>
        <v>1567964000000</v>
      </c>
      <c r="F490" s="24">
        <f>Data!H490</f>
        <v>36574000000</v>
      </c>
      <c r="G490" s="24">
        <f t="shared" si="56"/>
        <v>1531390000000</v>
      </c>
      <c r="H490" s="24">
        <f>Data!G490</f>
        <v>28475766000000</v>
      </c>
      <c r="I490" s="25">
        <f t="shared" si="57"/>
        <v>0.35278834641357848</v>
      </c>
      <c r="J490" s="24">
        <f>Data!J490</f>
        <v>927051000000</v>
      </c>
      <c r="K490" s="24">
        <f t="shared" si="58"/>
        <v>28475766000000</v>
      </c>
      <c r="L490" s="25">
        <f t="shared" si="59"/>
        <v>0.10613186876166913</v>
      </c>
      <c r="M490" s="24">
        <f>Data!M490</f>
        <v>114937000000</v>
      </c>
      <c r="N490" s="24">
        <f t="shared" si="60"/>
        <v>28475766000000</v>
      </c>
      <c r="O490" s="25">
        <f t="shared" si="61"/>
        <v>2.7123998701211405E-2</v>
      </c>
      <c r="P490" s="24">
        <f>Data!K490</f>
        <v>6032822000000</v>
      </c>
      <c r="Q490" s="24">
        <f>Data!I490</f>
        <v>22442944000000</v>
      </c>
      <c r="R490" s="25">
        <f t="shared" si="62"/>
        <v>0.28224742261977753</v>
      </c>
      <c r="S490" s="25">
        <f t="shared" si="63"/>
        <v>0.76829163649623655</v>
      </c>
    </row>
    <row r="491" spans="1:19" ht="15" customHeight="1" x14ac:dyDescent="0.3">
      <c r="A491" s="22"/>
      <c r="B491" s="23"/>
      <c r="C491" s="3"/>
      <c r="D491" s="23">
        <v>2019</v>
      </c>
      <c r="E491" s="24">
        <f>Data!F491</f>
        <v>1139024000000</v>
      </c>
      <c r="F491" s="24">
        <f>Data!H491</f>
        <v>47815000000</v>
      </c>
      <c r="G491" s="24">
        <f t="shared" si="56"/>
        <v>1091209000000</v>
      </c>
      <c r="H491" s="24">
        <f>Data!G491</f>
        <v>32755714000000</v>
      </c>
      <c r="I491" s="25">
        <f t="shared" si="57"/>
        <v>0.21853686474365966</v>
      </c>
      <c r="J491" s="24">
        <f>Data!J491</f>
        <v>1081170000000</v>
      </c>
      <c r="K491" s="24">
        <f t="shared" si="58"/>
        <v>32755714000000</v>
      </c>
      <c r="L491" s="25">
        <f t="shared" si="59"/>
        <v>0.10760303377908353</v>
      </c>
      <c r="M491" s="24">
        <f>Data!M491</f>
        <v>154120000000</v>
      </c>
      <c r="N491" s="24">
        <f t="shared" si="60"/>
        <v>32755714000000</v>
      </c>
      <c r="O491" s="25">
        <f t="shared" si="61"/>
        <v>3.1618495631021815E-2</v>
      </c>
      <c r="P491" s="24">
        <f>Data!K491</f>
        <v>7170158000000</v>
      </c>
      <c r="Q491" s="24">
        <f>Data!I491</f>
        <v>25585556000000</v>
      </c>
      <c r="R491" s="25">
        <f t="shared" si="62"/>
        <v>0.29425453564503351</v>
      </c>
      <c r="S491" s="25">
        <f t="shared" si="63"/>
        <v>0.65201292979879844</v>
      </c>
    </row>
    <row r="492" spans="1:19" ht="15" customHeight="1" x14ac:dyDescent="0.3">
      <c r="A492" s="22"/>
      <c r="B492" s="23"/>
      <c r="C492" s="3"/>
      <c r="D492" s="23">
        <v>2020</v>
      </c>
      <c r="E492" s="24">
        <f>Data!F492</f>
        <v>206034000000</v>
      </c>
      <c r="F492" s="24">
        <f>Data!H492</f>
        <v>75194000000</v>
      </c>
      <c r="G492" s="24">
        <f t="shared" si="56"/>
        <v>130840000000</v>
      </c>
      <c r="H492" s="24">
        <f>Data!G492</f>
        <v>28980403000000</v>
      </c>
      <c r="I492" s="25">
        <f t="shared" si="57"/>
        <v>2.9616924236698844E-2</v>
      </c>
      <c r="J492" s="24">
        <f>Data!J492</f>
        <v>2111223000000</v>
      </c>
      <c r="K492" s="24">
        <f t="shared" si="58"/>
        <v>28980403000000</v>
      </c>
      <c r="L492" s="25">
        <f t="shared" si="59"/>
        <v>0.23749107215658802</v>
      </c>
      <c r="M492" s="24">
        <f>Data!M492</f>
        <v>1030053000000</v>
      </c>
      <c r="N492" s="24">
        <f t="shared" si="60"/>
        <v>28980403000000</v>
      </c>
      <c r="O492" s="25">
        <f t="shared" si="61"/>
        <v>0.23884954808944514</v>
      </c>
      <c r="P492" s="24">
        <f>Data!K492</f>
        <v>28980403000000</v>
      </c>
      <c r="Q492" s="24">
        <f>Data!I492</f>
        <v>23860505000000</v>
      </c>
      <c r="R492" s="25">
        <f t="shared" si="62"/>
        <v>1.275305076317538</v>
      </c>
      <c r="S492" s="25">
        <f t="shared" si="63"/>
        <v>1.78126262080027</v>
      </c>
    </row>
    <row r="493" spans="1:19" ht="15" customHeight="1" x14ac:dyDescent="0.3">
      <c r="A493" s="22"/>
      <c r="B493" s="23"/>
      <c r="C493" s="3"/>
      <c r="D493" s="23">
        <v>2021</v>
      </c>
      <c r="E493" s="24">
        <f>Data!F493</f>
        <v>116212000000</v>
      </c>
      <c r="F493" s="24">
        <f>Data!H493</f>
        <v>64058000000</v>
      </c>
      <c r="G493" s="24">
        <f t="shared" si="56"/>
        <v>52154000000</v>
      </c>
      <c r="H493" s="24">
        <f>Data!G493</f>
        <v>48671323000000</v>
      </c>
      <c r="I493" s="25">
        <f t="shared" si="57"/>
        <v>7.0294008650638069E-3</v>
      </c>
      <c r="J493" s="24">
        <f>Data!J493</f>
        <v>2330513000000</v>
      </c>
      <c r="K493" s="24">
        <f t="shared" si="58"/>
        <v>48671323000000</v>
      </c>
      <c r="L493" s="25">
        <f t="shared" si="59"/>
        <v>0.15609751105389102</v>
      </c>
      <c r="M493" s="24">
        <f>Data!M493</f>
        <v>219290000000</v>
      </c>
      <c r="N493" s="24">
        <f t="shared" si="60"/>
        <v>48671323000000</v>
      </c>
      <c r="O493" s="25">
        <f t="shared" si="61"/>
        <v>3.0277146976259509E-2</v>
      </c>
      <c r="P493" s="24">
        <f>Data!K493</f>
        <v>19080381000000</v>
      </c>
      <c r="Q493" s="24">
        <f>Data!I493</f>
        <v>29590943000000</v>
      </c>
      <c r="R493" s="25">
        <f t="shared" si="62"/>
        <v>0.67704500157362335</v>
      </c>
      <c r="S493" s="25">
        <f t="shared" si="63"/>
        <v>0.87044906046883774</v>
      </c>
    </row>
    <row r="494" spans="1:19" ht="15" customHeight="1" x14ac:dyDescent="0.3">
      <c r="A494" s="22"/>
      <c r="B494" s="23"/>
      <c r="C494" s="3"/>
      <c r="D494" s="23">
        <v>2022</v>
      </c>
      <c r="E494" s="24">
        <f>Data!F494</f>
        <v>195685000000</v>
      </c>
      <c r="F494" s="24">
        <f>Data!H494</f>
        <v>58234000000</v>
      </c>
      <c r="G494" s="24">
        <f t="shared" si="56"/>
        <v>137451000000</v>
      </c>
      <c r="H494" s="24">
        <f>Data!G494</f>
        <v>52585440000000</v>
      </c>
      <c r="I494" s="25">
        <f t="shared" si="57"/>
        <v>1.7146924319735652E-2</v>
      </c>
      <c r="J494" s="24">
        <f>Data!J494</f>
        <v>2593586000000</v>
      </c>
      <c r="K494" s="24">
        <f t="shared" si="58"/>
        <v>52585440000000</v>
      </c>
      <c r="L494" s="25">
        <f t="shared" si="59"/>
        <v>0.16078766974280331</v>
      </c>
      <c r="M494" s="24">
        <f>Data!M494</f>
        <v>263073000000</v>
      </c>
      <c r="N494" s="24">
        <f t="shared" si="60"/>
        <v>52585440000000</v>
      </c>
      <c r="O494" s="25">
        <f t="shared" si="61"/>
        <v>3.3618632077624527E-2</v>
      </c>
      <c r="P494" s="24">
        <f>Data!K494</f>
        <v>18586736000000</v>
      </c>
      <c r="Q494" s="24">
        <f>Data!I494</f>
        <v>33995704000000</v>
      </c>
      <c r="R494" s="25">
        <f t="shared" si="62"/>
        <v>0.57407467720038974</v>
      </c>
      <c r="S494" s="25">
        <f t="shared" si="63"/>
        <v>0.78562790334055321</v>
      </c>
    </row>
    <row r="495" spans="1:19" ht="15" customHeight="1" x14ac:dyDescent="0.3">
      <c r="A495" s="22"/>
      <c r="B495" s="23"/>
      <c r="C495" s="3"/>
      <c r="D495" s="23">
        <v>2023</v>
      </c>
      <c r="E495" s="24">
        <f>Data!F495</f>
        <v>179873000000</v>
      </c>
      <c r="F495" s="24">
        <f>Data!H495</f>
        <v>24102000000</v>
      </c>
      <c r="G495" s="24">
        <f t="shared" si="56"/>
        <v>155771000000</v>
      </c>
      <c r="H495" s="24">
        <f>Data!G495</f>
        <v>55829030000000</v>
      </c>
      <c r="I495" s="25">
        <f t="shared" si="57"/>
        <v>1.8303340753009677E-2</v>
      </c>
      <c r="J495" s="24">
        <f>Data!J495</f>
        <v>2925129000000</v>
      </c>
      <c r="K495" s="24">
        <f t="shared" si="58"/>
        <v>55829030000000</v>
      </c>
      <c r="L495" s="25">
        <f t="shared" si="59"/>
        <v>0.17080577147767032</v>
      </c>
      <c r="M495" s="24">
        <f>Data!M495</f>
        <v>331543000000</v>
      </c>
      <c r="N495" s="24">
        <f t="shared" si="60"/>
        <v>55829030000000</v>
      </c>
      <c r="O495" s="25">
        <f t="shared" si="61"/>
        <v>3.9906997488582556E-2</v>
      </c>
      <c r="P495" s="24">
        <f>Data!K495</f>
        <v>18074841000000</v>
      </c>
      <c r="Q495" s="24">
        <f>Data!I495</f>
        <v>37754189000000</v>
      </c>
      <c r="R495" s="25">
        <f t="shared" si="62"/>
        <v>0.50268814011605445</v>
      </c>
      <c r="S495" s="25">
        <f t="shared" si="63"/>
        <v>0.73170424983531701</v>
      </c>
    </row>
    <row r="496" spans="1:19" ht="15" customHeight="1" x14ac:dyDescent="0.3">
      <c r="A496" s="22"/>
      <c r="B496" s="23"/>
      <c r="C496" s="3"/>
      <c r="D496" s="23">
        <v>2024</v>
      </c>
      <c r="E496" s="24">
        <f>Data!F496</f>
        <v>197027000000</v>
      </c>
      <c r="F496" s="24">
        <f>Data!H496</f>
        <v>20557000000</v>
      </c>
      <c r="G496" s="24">
        <f t="shared" si="56"/>
        <v>176470000000</v>
      </c>
      <c r="H496" s="24">
        <f>Data!G496</f>
        <v>60598376000000</v>
      </c>
      <c r="I496" s="25">
        <f t="shared" si="57"/>
        <v>1.910353505183043E-2</v>
      </c>
      <c r="J496" s="24">
        <f>Data!J496</f>
        <v>3203889000000</v>
      </c>
      <c r="K496" s="24">
        <f t="shared" si="58"/>
        <v>60598376000000</v>
      </c>
      <c r="L496" s="25">
        <f t="shared" si="59"/>
        <v>0.17235904374731098</v>
      </c>
      <c r="M496" s="24">
        <f>Data!M496</f>
        <v>278761000000</v>
      </c>
      <c r="N496" s="24">
        <f t="shared" si="60"/>
        <v>60598376000000</v>
      </c>
      <c r="O496" s="25">
        <f t="shared" si="61"/>
        <v>3.0912939317053641E-2</v>
      </c>
      <c r="P496" s="24">
        <f>Data!K496</f>
        <v>19101021000000</v>
      </c>
      <c r="Q496" s="24">
        <f>Data!I496</f>
        <v>41497355000000</v>
      </c>
      <c r="R496" s="25">
        <f t="shared" si="62"/>
        <v>0.48330964828963197</v>
      </c>
      <c r="S496" s="25">
        <f t="shared" si="63"/>
        <v>0.70568516640582701</v>
      </c>
    </row>
    <row r="497" spans="1:19" ht="15" customHeight="1" x14ac:dyDescent="0.3">
      <c r="A497" s="22"/>
      <c r="B497" s="23">
        <v>46</v>
      </c>
      <c r="C497" s="3" t="s">
        <v>16</v>
      </c>
      <c r="D497" s="23">
        <v>2014</v>
      </c>
      <c r="E497" s="24">
        <f>Data!F497</f>
        <v>0</v>
      </c>
      <c r="F497" s="24">
        <f>Data!H497</f>
        <v>0</v>
      </c>
      <c r="G497" s="24">
        <f t="shared" si="56"/>
        <v>0</v>
      </c>
      <c r="H497" s="24">
        <f>Data!G497</f>
        <v>0</v>
      </c>
      <c r="I497" s="25">
        <f t="shared" si="57"/>
        <v>0</v>
      </c>
      <c r="J497" s="24">
        <f>Data!J497</f>
        <v>0</v>
      </c>
      <c r="K497" s="24">
        <f t="shared" si="58"/>
        <v>0</v>
      </c>
      <c r="L497" s="25">
        <f t="shared" si="59"/>
        <v>0</v>
      </c>
      <c r="M497" s="24">
        <f>Data!M497</f>
        <v>0</v>
      </c>
      <c r="N497" s="24">
        <f t="shared" si="60"/>
        <v>0</v>
      </c>
      <c r="O497" s="25">
        <f t="shared" si="61"/>
        <v>0</v>
      </c>
      <c r="P497" s="24">
        <f>Data!K497</f>
        <v>0</v>
      </c>
      <c r="Q497" s="24">
        <f>Data!I497</f>
        <v>0</v>
      </c>
      <c r="R497" s="25">
        <f t="shared" si="62"/>
        <v>0</v>
      </c>
      <c r="S497" s="25">
        <f t="shared" si="63"/>
        <v>0</v>
      </c>
    </row>
    <row r="498" spans="1:19" ht="15" customHeight="1" x14ac:dyDescent="0.3">
      <c r="A498" s="22"/>
      <c r="B498" s="23"/>
      <c r="C498" s="3"/>
      <c r="D498" s="23">
        <v>2015</v>
      </c>
      <c r="E498" s="24">
        <f>Data!F498</f>
        <v>0</v>
      </c>
      <c r="F498" s="24">
        <f>Data!H498</f>
        <v>0</v>
      </c>
      <c r="G498" s="24">
        <f t="shared" si="56"/>
        <v>0</v>
      </c>
      <c r="H498" s="24">
        <f>Data!G498</f>
        <v>0</v>
      </c>
      <c r="I498" s="25">
        <f t="shared" si="57"/>
        <v>0</v>
      </c>
      <c r="J498" s="24">
        <f>Data!J498</f>
        <v>0</v>
      </c>
      <c r="K498" s="24">
        <f t="shared" si="58"/>
        <v>0</v>
      </c>
      <c r="L498" s="25">
        <f t="shared" si="59"/>
        <v>0</v>
      </c>
      <c r="M498" s="24">
        <f>Data!M498</f>
        <v>0</v>
      </c>
      <c r="N498" s="24">
        <f t="shared" si="60"/>
        <v>0</v>
      </c>
      <c r="O498" s="25">
        <f t="shared" si="61"/>
        <v>0</v>
      </c>
      <c r="P498" s="24">
        <f>Data!K498</f>
        <v>0</v>
      </c>
      <c r="Q498" s="24">
        <f>Data!I498</f>
        <v>0</v>
      </c>
      <c r="R498" s="25">
        <f t="shared" si="62"/>
        <v>0</v>
      </c>
      <c r="S498" s="25">
        <f t="shared" si="63"/>
        <v>0</v>
      </c>
    </row>
    <row r="499" spans="1:19" ht="15" customHeight="1" x14ac:dyDescent="0.3">
      <c r="A499" s="22"/>
      <c r="B499" s="23"/>
      <c r="C499" s="3"/>
      <c r="D499" s="23">
        <v>2016</v>
      </c>
      <c r="E499" s="24">
        <f>Data!F499</f>
        <v>4824000000</v>
      </c>
      <c r="F499" s="24">
        <f>Data!H499</f>
        <v>11864000000</v>
      </c>
      <c r="G499" s="24">
        <f t="shared" si="56"/>
        <v>-7040000000</v>
      </c>
      <c r="H499" s="24">
        <f>Data!G499</f>
        <v>114403000000</v>
      </c>
      <c r="I499" s="25">
        <f t="shared" si="57"/>
        <v>-0.40368172163317395</v>
      </c>
      <c r="J499" s="24">
        <f>Data!J499</f>
        <v>-19818000000</v>
      </c>
      <c r="K499" s="24">
        <f t="shared" si="58"/>
        <v>114403000000</v>
      </c>
      <c r="L499" s="25">
        <f t="shared" si="59"/>
        <v>-0.56472889696948503</v>
      </c>
      <c r="M499" s="24">
        <f>Data!M499</f>
        <v>-9810000000</v>
      </c>
      <c r="N499" s="24">
        <f t="shared" si="60"/>
        <v>114403000000</v>
      </c>
      <c r="O499" s="25">
        <f t="shared" si="61"/>
        <v>-0.57623663715112361</v>
      </c>
      <c r="P499" s="24">
        <f>Data!K499</f>
        <v>94182000000</v>
      </c>
      <c r="Q499" s="24">
        <f>Data!I499</f>
        <v>20220000000</v>
      </c>
      <c r="R499" s="25">
        <f t="shared" si="62"/>
        <v>4.8907566765578636</v>
      </c>
      <c r="S499" s="25">
        <f t="shared" si="63"/>
        <v>3.3461094208040811</v>
      </c>
    </row>
    <row r="500" spans="1:19" ht="15" customHeight="1" x14ac:dyDescent="0.3">
      <c r="A500" s="22"/>
      <c r="B500" s="23"/>
      <c r="C500" s="3"/>
      <c r="D500" s="23">
        <v>2017</v>
      </c>
      <c r="E500" s="24">
        <f>Data!F500</f>
        <v>12409000000</v>
      </c>
      <c r="F500" s="24">
        <f>Data!H500</f>
        <v>6577000000</v>
      </c>
      <c r="G500" s="24">
        <f t="shared" si="56"/>
        <v>5832000000</v>
      </c>
      <c r="H500" s="24">
        <f>Data!G500</f>
        <v>137120000000</v>
      </c>
      <c r="I500" s="25">
        <f t="shared" si="57"/>
        <v>0.27901050175029168</v>
      </c>
      <c r="J500" s="24">
        <f>Data!J500</f>
        <v>-23893000000</v>
      </c>
      <c r="K500" s="24">
        <f t="shared" si="58"/>
        <v>137120000000</v>
      </c>
      <c r="L500" s="25">
        <f t="shared" si="59"/>
        <v>-0.56805119603267207</v>
      </c>
      <c r="M500" s="24">
        <f>Data!M500</f>
        <v>-3603000000</v>
      </c>
      <c r="N500" s="24">
        <f t="shared" si="60"/>
        <v>137120000000</v>
      </c>
      <c r="O500" s="25">
        <f t="shared" si="61"/>
        <v>-0.17657642940490081</v>
      </c>
      <c r="P500" s="24">
        <f>Data!K500</f>
        <v>107580000000</v>
      </c>
      <c r="Q500" s="24">
        <f>Data!I500</f>
        <v>29540000000</v>
      </c>
      <c r="R500" s="25">
        <f t="shared" si="62"/>
        <v>3.8239336492890996</v>
      </c>
      <c r="S500" s="25">
        <f t="shared" si="63"/>
        <v>3.3583165256018184</v>
      </c>
    </row>
    <row r="501" spans="1:19" ht="15" customHeight="1" x14ac:dyDescent="0.3">
      <c r="A501" s="22"/>
      <c r="B501" s="23"/>
      <c r="C501" s="3"/>
      <c r="D501" s="23">
        <v>2018</v>
      </c>
      <c r="E501" s="24">
        <f>Data!F501</f>
        <v>19446000000</v>
      </c>
      <c r="F501" s="24">
        <f>Data!H501</f>
        <v>8121000000</v>
      </c>
      <c r="G501" s="24">
        <f t="shared" si="56"/>
        <v>11325000000</v>
      </c>
      <c r="H501" s="24">
        <f>Data!G501</f>
        <v>162534000000</v>
      </c>
      <c r="I501" s="25">
        <f t="shared" si="57"/>
        <v>0.45708590202665289</v>
      </c>
      <c r="J501" s="24">
        <f>Data!J501</f>
        <v>-26912000000</v>
      </c>
      <c r="K501" s="24">
        <f t="shared" si="58"/>
        <v>162534000000</v>
      </c>
      <c r="L501" s="25">
        <f t="shared" si="59"/>
        <v>-0.5397831838261532</v>
      </c>
      <c r="M501" s="24">
        <f>Data!M501</f>
        <v>-2255000000</v>
      </c>
      <c r="N501" s="24">
        <f t="shared" si="60"/>
        <v>162534000000</v>
      </c>
      <c r="O501" s="25">
        <f t="shared" si="61"/>
        <v>-9.3233415777621911E-2</v>
      </c>
      <c r="P501" s="24">
        <f>Data!K501</f>
        <v>100027000000</v>
      </c>
      <c r="Q501" s="24">
        <f>Data!I501</f>
        <v>62507000000</v>
      </c>
      <c r="R501" s="25">
        <f t="shared" si="62"/>
        <v>1.6802654102740493</v>
      </c>
      <c r="S501" s="25">
        <f t="shared" si="63"/>
        <v>1.5043347126969271</v>
      </c>
    </row>
    <row r="502" spans="1:19" ht="15" customHeight="1" x14ac:dyDescent="0.3">
      <c r="A502" s="22"/>
      <c r="B502" s="23"/>
      <c r="C502" s="3"/>
      <c r="D502" s="23">
        <v>2019</v>
      </c>
      <c r="E502" s="24">
        <f>Data!F502</f>
        <v>19898000000</v>
      </c>
      <c r="F502" s="24">
        <f>Data!H502</f>
        <v>12494000000</v>
      </c>
      <c r="G502" s="24">
        <f t="shared" si="56"/>
        <v>7404000000</v>
      </c>
      <c r="H502" s="24">
        <f>Data!G502</f>
        <v>170462000000</v>
      </c>
      <c r="I502" s="25">
        <f t="shared" si="57"/>
        <v>0.28493294693245413</v>
      </c>
      <c r="J502" s="24">
        <f>Data!J502</f>
        <v>-34649000000</v>
      </c>
      <c r="K502" s="24">
        <f t="shared" si="58"/>
        <v>170462000000</v>
      </c>
      <c r="L502" s="25">
        <f t="shared" si="59"/>
        <v>-0.6626446950053384</v>
      </c>
      <c r="M502" s="24">
        <f>Data!M502</f>
        <v>-9452000000</v>
      </c>
      <c r="N502" s="24">
        <f t="shared" si="60"/>
        <v>170462000000</v>
      </c>
      <c r="O502" s="25">
        <f t="shared" si="61"/>
        <v>-0.37261935211366753</v>
      </c>
      <c r="P502" s="24">
        <f>Data!K502</f>
        <v>102491000000</v>
      </c>
      <c r="Q502" s="24">
        <f>Data!I502</f>
        <v>67971000000</v>
      </c>
      <c r="R502" s="25">
        <f t="shared" si="62"/>
        <v>1.5832568301187271</v>
      </c>
      <c r="S502" s="25">
        <f t="shared" si="63"/>
        <v>0.83292572993217528</v>
      </c>
    </row>
    <row r="503" spans="1:19" ht="15" customHeight="1" x14ac:dyDescent="0.3">
      <c r="A503" s="22"/>
      <c r="B503" s="23"/>
      <c r="C503" s="3"/>
      <c r="D503" s="23">
        <v>2020</v>
      </c>
      <c r="E503" s="24">
        <f>Data!F503</f>
        <v>26515000000</v>
      </c>
      <c r="F503" s="24">
        <f>Data!H503</f>
        <v>15643000000</v>
      </c>
      <c r="G503" s="24">
        <f t="shared" si="56"/>
        <v>10872000000</v>
      </c>
      <c r="H503" s="24">
        <f>Data!G503</f>
        <v>184950000000</v>
      </c>
      <c r="I503" s="25">
        <f t="shared" si="57"/>
        <v>0.38561946472019459</v>
      </c>
      <c r="J503" s="24">
        <f>Data!J503</f>
        <v>-59726000000</v>
      </c>
      <c r="K503" s="24">
        <f t="shared" si="58"/>
        <v>184950000000</v>
      </c>
      <c r="L503" s="25">
        <f t="shared" si="59"/>
        <v>-1.0527535009462015</v>
      </c>
      <c r="M503" s="24">
        <f>Data!M503</f>
        <v>-25584000000</v>
      </c>
      <c r="N503" s="24">
        <f t="shared" si="60"/>
        <v>184950000000</v>
      </c>
      <c r="O503" s="25">
        <f t="shared" si="61"/>
        <v>-0.9295727493917274</v>
      </c>
      <c r="P503" s="24">
        <f>Data!K503</f>
        <v>104423000000</v>
      </c>
      <c r="Q503" s="24">
        <f>Data!I503</f>
        <v>80527000000</v>
      </c>
      <c r="R503" s="25">
        <f t="shared" si="62"/>
        <v>1.361582450606629</v>
      </c>
      <c r="S503" s="25">
        <f t="shared" si="63"/>
        <v>-0.23512433501110519</v>
      </c>
    </row>
    <row r="504" spans="1:19" ht="15" customHeight="1" x14ac:dyDescent="0.3">
      <c r="A504" s="22"/>
      <c r="B504" s="23"/>
      <c r="C504" s="3"/>
      <c r="D504" s="23">
        <v>2021</v>
      </c>
      <c r="E504" s="24">
        <f>Data!F504</f>
        <v>44598000000</v>
      </c>
      <c r="F504" s="24">
        <f>Data!H504</f>
        <v>31877000000</v>
      </c>
      <c r="G504" s="24">
        <f t="shared" si="56"/>
        <v>12721000000</v>
      </c>
      <c r="H504" s="24">
        <f>Data!G504</f>
        <v>235603000000</v>
      </c>
      <c r="I504" s="25">
        <f t="shared" si="57"/>
        <v>0.35419650853342272</v>
      </c>
      <c r="J504" s="24">
        <f>Data!J504</f>
        <v>-106878000000</v>
      </c>
      <c r="K504" s="24">
        <f t="shared" si="58"/>
        <v>235603000000</v>
      </c>
      <c r="L504" s="25">
        <f t="shared" si="59"/>
        <v>-1.4788533252972158</v>
      </c>
      <c r="M504" s="24">
        <f>Data!M504</f>
        <v>-48047000000</v>
      </c>
      <c r="N504" s="24">
        <f t="shared" si="60"/>
        <v>235603000000</v>
      </c>
      <c r="O504" s="25">
        <f t="shared" si="61"/>
        <v>-1.3704232968171033</v>
      </c>
      <c r="P504" s="24">
        <f>Data!K504</f>
        <v>107008000000</v>
      </c>
      <c r="Q504" s="24">
        <f>Data!I504</f>
        <v>128595000000</v>
      </c>
      <c r="R504" s="25">
        <f t="shared" si="62"/>
        <v>0.87373848127843234</v>
      </c>
      <c r="S504" s="25">
        <f t="shared" si="63"/>
        <v>-1.6213416323024641</v>
      </c>
    </row>
    <row r="505" spans="1:19" ht="15" customHeight="1" x14ac:dyDescent="0.3">
      <c r="A505" s="22"/>
      <c r="B505" s="23"/>
      <c r="C505" s="3"/>
      <c r="D505" s="23">
        <v>2022</v>
      </c>
      <c r="E505" s="24">
        <f>Data!F505</f>
        <v>26320000000</v>
      </c>
      <c r="F505" s="24">
        <f>Data!H505</f>
        <v>21296000000</v>
      </c>
      <c r="G505" s="24">
        <f t="shared" si="56"/>
        <v>5024000000</v>
      </c>
      <c r="H505" s="24">
        <f>Data!G505</f>
        <v>238711000000</v>
      </c>
      <c r="I505" s="25">
        <f t="shared" si="57"/>
        <v>0.13806418640112939</v>
      </c>
      <c r="J505" s="24">
        <f>Data!J505</f>
        <v>-115844000000</v>
      </c>
      <c r="K505" s="24">
        <f t="shared" si="58"/>
        <v>238711000000</v>
      </c>
      <c r="L505" s="25">
        <f t="shared" si="59"/>
        <v>-1.5820445643476839</v>
      </c>
      <c r="M505" s="24">
        <f>Data!M505</f>
        <v>-6200000000</v>
      </c>
      <c r="N505" s="24">
        <f t="shared" si="60"/>
        <v>238711000000</v>
      </c>
      <c r="O505" s="25">
        <f t="shared" si="61"/>
        <v>-0.17453741134677497</v>
      </c>
      <c r="P505" s="24">
        <f>Data!K505</f>
        <v>107315000000</v>
      </c>
      <c r="Q505" s="24">
        <f>Data!I505</f>
        <v>131396000000</v>
      </c>
      <c r="R505" s="25">
        <f t="shared" si="62"/>
        <v>0.85756605984961487</v>
      </c>
      <c r="S505" s="25">
        <f t="shared" si="63"/>
        <v>-0.7609517294437147</v>
      </c>
    </row>
    <row r="506" spans="1:19" ht="15" customHeight="1" x14ac:dyDescent="0.3">
      <c r="A506" s="22"/>
      <c r="B506" s="23"/>
      <c r="C506" s="3"/>
      <c r="D506" s="23">
        <v>2023</v>
      </c>
      <c r="E506" s="24">
        <f>Data!F506</f>
        <v>38244000000</v>
      </c>
      <c r="F506" s="24">
        <f>Data!H506</f>
        <v>22209000000</v>
      </c>
      <c r="G506" s="24">
        <f t="shared" si="56"/>
        <v>16035000000</v>
      </c>
      <c r="H506" s="24">
        <f>Data!G506</f>
        <v>287420000000</v>
      </c>
      <c r="I506" s="25">
        <f t="shared" si="57"/>
        <v>0.3659787071185025</v>
      </c>
      <c r="J506" s="24">
        <f>Data!J506</f>
        <v>-136026000000</v>
      </c>
      <c r="K506" s="24">
        <f t="shared" si="58"/>
        <v>287420000000</v>
      </c>
      <c r="L506" s="25">
        <f t="shared" si="59"/>
        <v>-1.5428458701551735</v>
      </c>
      <c r="M506" s="24">
        <f>Data!M506</f>
        <v>-17507000000</v>
      </c>
      <c r="N506" s="24">
        <f t="shared" si="60"/>
        <v>287420000000</v>
      </c>
      <c r="O506" s="25">
        <f t="shared" si="61"/>
        <v>-0.40932099366780322</v>
      </c>
      <c r="P506" s="24">
        <f>Data!K506</f>
        <v>121437000000</v>
      </c>
      <c r="Q506" s="24">
        <f>Data!I506</f>
        <v>165984000000</v>
      </c>
      <c r="R506" s="25">
        <f t="shared" si="62"/>
        <v>0.76819964574898791</v>
      </c>
      <c r="S506" s="25">
        <f t="shared" si="63"/>
        <v>-0.8179885109554863</v>
      </c>
    </row>
    <row r="507" spans="1:19" ht="15" customHeight="1" x14ac:dyDescent="0.3">
      <c r="A507" s="22"/>
      <c r="B507" s="23"/>
      <c r="C507" s="3"/>
      <c r="D507" s="23">
        <v>2024</v>
      </c>
      <c r="E507" s="24">
        <f>Data!F507</f>
        <v>28304000000</v>
      </c>
      <c r="F507" s="24">
        <f>Data!H507</f>
        <v>21991000000</v>
      </c>
      <c r="G507" s="24">
        <f t="shared" si="56"/>
        <v>6313000000</v>
      </c>
      <c r="H507" s="24">
        <f>Data!G507</f>
        <v>306445000000</v>
      </c>
      <c r="I507" s="25">
        <f t="shared" si="57"/>
        <v>0.13514098777920996</v>
      </c>
      <c r="J507" s="24">
        <f>Data!J507</f>
        <v>-145772000000</v>
      </c>
      <c r="K507" s="24">
        <f t="shared" si="58"/>
        <v>306445000000</v>
      </c>
      <c r="L507" s="25">
        <f t="shared" si="59"/>
        <v>-1.5507406549299221</v>
      </c>
      <c r="M507" s="24">
        <f>Data!M507</f>
        <v>-11274000000</v>
      </c>
      <c r="N507" s="24">
        <f t="shared" si="60"/>
        <v>306445000000</v>
      </c>
      <c r="O507" s="25">
        <f t="shared" si="61"/>
        <v>-0.24722635383184582</v>
      </c>
      <c r="P507" s="24">
        <f>Data!K507</f>
        <v>128224000000</v>
      </c>
      <c r="Q507" s="24">
        <f>Data!I507</f>
        <v>178221000000</v>
      </c>
      <c r="R507" s="25">
        <f t="shared" si="62"/>
        <v>0.75543959466056188</v>
      </c>
      <c r="S507" s="25">
        <f t="shared" si="63"/>
        <v>-0.90738642632199595</v>
      </c>
    </row>
    <row r="508" spans="1:19" ht="15" customHeight="1" x14ac:dyDescent="0.3">
      <c r="A508" s="22"/>
      <c r="B508" s="23">
        <v>47</v>
      </c>
      <c r="C508" s="3" t="s">
        <v>17</v>
      </c>
      <c r="D508" s="23">
        <v>2014</v>
      </c>
      <c r="E508" s="24">
        <f>Data!F508</f>
        <v>0</v>
      </c>
      <c r="F508" s="24">
        <f>Data!H508</f>
        <v>0</v>
      </c>
      <c r="G508" s="24">
        <f t="shared" si="56"/>
        <v>0</v>
      </c>
      <c r="H508" s="24">
        <f>Data!G508</f>
        <v>0</v>
      </c>
      <c r="I508" s="25">
        <f t="shared" si="57"/>
        <v>0</v>
      </c>
      <c r="J508" s="24">
        <f>Data!J508</f>
        <v>0</v>
      </c>
      <c r="K508" s="24">
        <f t="shared" si="58"/>
        <v>0</v>
      </c>
      <c r="L508" s="25">
        <f t="shared" si="59"/>
        <v>0</v>
      </c>
      <c r="M508" s="24">
        <f>Data!M508</f>
        <v>0</v>
      </c>
      <c r="N508" s="24">
        <f t="shared" si="60"/>
        <v>0</v>
      </c>
      <c r="O508" s="25">
        <f t="shared" si="61"/>
        <v>0</v>
      </c>
      <c r="P508" s="24">
        <f>Data!K508</f>
        <v>0</v>
      </c>
      <c r="Q508" s="24">
        <f>Data!I508</f>
        <v>0</v>
      </c>
      <c r="R508" s="25">
        <f t="shared" si="62"/>
        <v>0</v>
      </c>
      <c r="S508" s="25">
        <f t="shared" si="63"/>
        <v>0</v>
      </c>
    </row>
    <row r="509" spans="1:19" ht="15" customHeight="1" x14ac:dyDescent="0.3">
      <c r="A509" s="22"/>
      <c r="B509" s="23"/>
      <c r="C509" s="3"/>
      <c r="D509" s="23">
        <v>2015</v>
      </c>
      <c r="E509" s="24">
        <f>Data!F509</f>
        <v>0</v>
      </c>
      <c r="F509" s="24">
        <f>Data!H509</f>
        <v>0</v>
      </c>
      <c r="G509" s="24">
        <f t="shared" si="56"/>
        <v>0</v>
      </c>
      <c r="H509" s="24">
        <f>Data!G509</f>
        <v>0</v>
      </c>
      <c r="I509" s="25">
        <f t="shared" si="57"/>
        <v>0</v>
      </c>
      <c r="J509" s="24">
        <f>Data!J509</f>
        <v>0</v>
      </c>
      <c r="K509" s="24">
        <f t="shared" si="58"/>
        <v>0</v>
      </c>
      <c r="L509" s="25">
        <f t="shared" si="59"/>
        <v>0</v>
      </c>
      <c r="M509" s="24">
        <f>Data!M509</f>
        <v>0</v>
      </c>
      <c r="N509" s="24">
        <f t="shared" si="60"/>
        <v>0</v>
      </c>
      <c r="O509" s="25">
        <f t="shared" si="61"/>
        <v>0</v>
      </c>
      <c r="P509" s="24">
        <f>Data!K509</f>
        <v>0</v>
      </c>
      <c r="Q509" s="24">
        <f>Data!I509</f>
        <v>0</v>
      </c>
      <c r="R509" s="25">
        <f t="shared" si="62"/>
        <v>0</v>
      </c>
      <c r="S509" s="25">
        <f t="shared" si="63"/>
        <v>0</v>
      </c>
    </row>
    <row r="510" spans="1:19" ht="15" customHeight="1" x14ac:dyDescent="0.3">
      <c r="A510" s="22"/>
      <c r="B510" s="23"/>
      <c r="C510" s="3"/>
      <c r="D510" s="23">
        <v>2016</v>
      </c>
      <c r="E510" s="24">
        <f>Data!F510</f>
        <v>0</v>
      </c>
      <c r="F510" s="24">
        <f>Data!H510</f>
        <v>0</v>
      </c>
      <c r="G510" s="24">
        <f t="shared" si="56"/>
        <v>0</v>
      </c>
      <c r="H510" s="24">
        <f>Data!G510</f>
        <v>0</v>
      </c>
      <c r="I510" s="25">
        <f t="shared" si="57"/>
        <v>0</v>
      </c>
      <c r="J510" s="24">
        <f>Data!J510</f>
        <v>0</v>
      </c>
      <c r="K510" s="24">
        <f t="shared" si="58"/>
        <v>0</v>
      </c>
      <c r="L510" s="25">
        <f t="shared" si="59"/>
        <v>0</v>
      </c>
      <c r="M510" s="24">
        <f>Data!M510</f>
        <v>0</v>
      </c>
      <c r="N510" s="24">
        <f t="shared" si="60"/>
        <v>0</v>
      </c>
      <c r="O510" s="25">
        <f t="shared" si="61"/>
        <v>0</v>
      </c>
      <c r="P510" s="24">
        <f>Data!K510</f>
        <v>0</v>
      </c>
      <c r="Q510" s="24">
        <f>Data!I510</f>
        <v>0</v>
      </c>
      <c r="R510" s="25">
        <f t="shared" si="62"/>
        <v>0</v>
      </c>
      <c r="S510" s="25">
        <f t="shared" si="63"/>
        <v>0</v>
      </c>
    </row>
    <row r="511" spans="1:19" ht="15" customHeight="1" x14ac:dyDescent="0.3">
      <c r="A511" s="22"/>
      <c r="B511" s="23"/>
      <c r="C511" s="3"/>
      <c r="D511" s="23">
        <v>2017</v>
      </c>
      <c r="E511" s="24">
        <f>Data!F511</f>
        <v>0</v>
      </c>
      <c r="F511" s="24">
        <f>Data!H511</f>
        <v>0</v>
      </c>
      <c r="G511" s="24">
        <f t="shared" si="56"/>
        <v>0</v>
      </c>
      <c r="H511" s="24">
        <f>Data!G511</f>
        <v>0</v>
      </c>
      <c r="I511" s="25">
        <f t="shared" si="57"/>
        <v>0</v>
      </c>
      <c r="J511" s="24">
        <f>Data!J511</f>
        <v>0</v>
      </c>
      <c r="K511" s="24">
        <f t="shared" si="58"/>
        <v>0</v>
      </c>
      <c r="L511" s="25">
        <f t="shared" si="59"/>
        <v>0</v>
      </c>
      <c r="M511" s="24">
        <f>Data!M511</f>
        <v>0</v>
      </c>
      <c r="N511" s="24">
        <f t="shared" si="60"/>
        <v>0</v>
      </c>
      <c r="O511" s="25">
        <f t="shared" si="61"/>
        <v>0</v>
      </c>
      <c r="P511" s="24">
        <f>Data!K511</f>
        <v>0</v>
      </c>
      <c r="Q511" s="24">
        <f>Data!I511</f>
        <v>0</v>
      </c>
      <c r="R511" s="25">
        <f t="shared" si="62"/>
        <v>0</v>
      </c>
      <c r="S511" s="25">
        <f t="shared" si="63"/>
        <v>0</v>
      </c>
    </row>
    <row r="512" spans="1:19" ht="15" customHeight="1" x14ac:dyDescent="0.3">
      <c r="A512" s="22"/>
      <c r="B512" s="23"/>
      <c r="C512" s="3"/>
      <c r="D512" s="23">
        <v>2018</v>
      </c>
      <c r="E512" s="24">
        <f>Data!F512</f>
        <v>0</v>
      </c>
      <c r="F512" s="24">
        <f>Data!H512</f>
        <v>0</v>
      </c>
      <c r="G512" s="24">
        <f t="shared" si="56"/>
        <v>0</v>
      </c>
      <c r="H512" s="24">
        <f>Data!G512</f>
        <v>0</v>
      </c>
      <c r="I512" s="25">
        <f t="shared" si="57"/>
        <v>0</v>
      </c>
      <c r="J512" s="24">
        <f>Data!J512</f>
        <v>0</v>
      </c>
      <c r="K512" s="24">
        <f t="shared" si="58"/>
        <v>0</v>
      </c>
      <c r="L512" s="25">
        <f t="shared" si="59"/>
        <v>0</v>
      </c>
      <c r="M512" s="24">
        <f>Data!M512</f>
        <v>0</v>
      </c>
      <c r="N512" s="24">
        <f t="shared" si="60"/>
        <v>0</v>
      </c>
      <c r="O512" s="25">
        <f t="shared" si="61"/>
        <v>0</v>
      </c>
      <c r="P512" s="24">
        <f>Data!K512</f>
        <v>0</v>
      </c>
      <c r="Q512" s="24">
        <f>Data!I512</f>
        <v>0</v>
      </c>
      <c r="R512" s="25">
        <f t="shared" si="62"/>
        <v>0</v>
      </c>
      <c r="S512" s="25">
        <f t="shared" si="63"/>
        <v>0</v>
      </c>
    </row>
    <row r="513" spans="1:19" ht="15" customHeight="1" x14ac:dyDescent="0.3">
      <c r="A513" s="22"/>
      <c r="B513" s="23"/>
      <c r="C513" s="3"/>
      <c r="D513" s="23">
        <v>2019</v>
      </c>
      <c r="E513" s="24">
        <f>Data!F513</f>
        <v>171528490000</v>
      </c>
      <c r="F513" s="24">
        <f>Data!H513</f>
        <v>31570130000</v>
      </c>
      <c r="G513" s="24">
        <f t="shared" si="56"/>
        <v>139958360000</v>
      </c>
      <c r="H513" s="24">
        <f>Data!G513</f>
        <v>504064360000</v>
      </c>
      <c r="I513" s="25">
        <f t="shared" si="57"/>
        <v>1.8214476452967234</v>
      </c>
      <c r="J513" s="24">
        <f>Data!J513</f>
        <v>-174124770000</v>
      </c>
      <c r="K513" s="24">
        <f t="shared" si="58"/>
        <v>504064360000</v>
      </c>
      <c r="L513" s="25">
        <f t="shared" si="59"/>
        <v>-1.1261394283063377</v>
      </c>
      <c r="M513" s="24">
        <f>Data!M513</f>
        <v>-22332190000</v>
      </c>
      <c r="N513" s="24">
        <f t="shared" si="60"/>
        <v>504064360000</v>
      </c>
      <c r="O513" s="25">
        <f t="shared" si="61"/>
        <v>-0.29772451438542491</v>
      </c>
      <c r="P513" s="24">
        <f>Data!K513</f>
        <v>108072260000</v>
      </c>
      <c r="Q513" s="24">
        <f>Data!I513</f>
        <v>395992100000</v>
      </c>
      <c r="R513" s="25">
        <f t="shared" si="62"/>
        <v>0.28656095159474143</v>
      </c>
      <c r="S513" s="25">
        <f t="shared" si="63"/>
        <v>0.68414465419970227</v>
      </c>
    </row>
    <row r="514" spans="1:19" ht="15" customHeight="1" x14ac:dyDescent="0.3">
      <c r="A514" s="22"/>
      <c r="B514" s="23"/>
      <c r="C514" s="3"/>
      <c r="D514" s="23">
        <v>2020</v>
      </c>
      <c r="E514" s="24">
        <f>Data!F514</f>
        <v>125580350000</v>
      </c>
      <c r="F514" s="24">
        <f>Data!H514</f>
        <v>75595850000</v>
      </c>
      <c r="G514" s="24">
        <f t="shared" si="56"/>
        <v>49984500000</v>
      </c>
      <c r="H514" s="24">
        <f>Data!G514</f>
        <v>384395640000</v>
      </c>
      <c r="I514" s="25">
        <f t="shared" si="57"/>
        <v>0.85302299474572607</v>
      </c>
      <c r="J514" s="24">
        <f>Data!J514</f>
        <v>-192016450000</v>
      </c>
      <c r="K514" s="24">
        <f t="shared" si="58"/>
        <v>384395640000</v>
      </c>
      <c r="L514" s="25">
        <f t="shared" si="59"/>
        <v>-1.6284618290675721</v>
      </c>
      <c r="M514" s="24">
        <f>Data!M514</f>
        <v>-14638000000</v>
      </c>
      <c r="N514" s="24">
        <f t="shared" si="60"/>
        <v>384395640000</v>
      </c>
      <c r="O514" s="25">
        <f t="shared" si="61"/>
        <v>-0.25590134164893236</v>
      </c>
      <c r="P514" s="24">
        <f>Data!K514</f>
        <v>100180580000</v>
      </c>
      <c r="Q514" s="24">
        <f>Data!I514</f>
        <v>284215060000</v>
      </c>
      <c r="R514" s="25">
        <f t="shared" si="62"/>
        <v>0.37010568335119187</v>
      </c>
      <c r="S514" s="25">
        <f t="shared" si="63"/>
        <v>-0.66123449261958644</v>
      </c>
    </row>
    <row r="515" spans="1:19" ht="15" customHeight="1" x14ac:dyDescent="0.3">
      <c r="A515" s="22"/>
      <c r="B515" s="23"/>
      <c r="C515" s="3"/>
      <c r="D515" s="23">
        <v>2021</v>
      </c>
      <c r="E515" s="24">
        <f>Data!F515</f>
        <v>104318780000</v>
      </c>
      <c r="F515" s="24">
        <f>Data!H515</f>
        <v>33850260000.000004</v>
      </c>
      <c r="G515" s="24">
        <f t="shared" ref="G515:G578" si="64">E515-F515</f>
        <v>70468520000</v>
      </c>
      <c r="H515" s="24">
        <f>Data!G515</f>
        <v>376601330000</v>
      </c>
      <c r="I515" s="25">
        <f t="shared" ref="I515:I578" si="65">IFERROR(6.56*(G515/H515),0)</f>
        <v>1.2274876756276989</v>
      </c>
      <c r="J515" s="24">
        <f>Data!J515</f>
        <v>-195396170000</v>
      </c>
      <c r="K515" s="24">
        <f t="shared" ref="K515:K578" si="66">H515</f>
        <v>376601330000</v>
      </c>
      <c r="L515" s="25">
        <f t="shared" ref="L515:L578" si="67">IFERROR(3.26*(J515/K515),0)</f>
        <v>-1.6914213080447698</v>
      </c>
      <c r="M515" s="24">
        <f>Data!M515</f>
        <v>15023530000</v>
      </c>
      <c r="N515" s="24">
        <f t="shared" ref="N515:N578" si="68">K515</f>
        <v>376601330000</v>
      </c>
      <c r="O515" s="25">
        <f t="shared" ref="O515:O578" si="69">IFERROR(6.72*(M515/N515),0)</f>
        <v>0.26807691199603567</v>
      </c>
      <c r="P515" s="24">
        <f>Data!K515</f>
        <v>111800860000</v>
      </c>
      <c r="Q515" s="24">
        <f>Data!I515</f>
        <v>264800469999.99997</v>
      </c>
      <c r="R515" s="25">
        <f t="shared" ref="R515:R578" si="70">IFERROR(1.05*(P515/Q515),0)</f>
        <v>0.44331833323407632</v>
      </c>
      <c r="S515" s="25">
        <f t="shared" ref="S515:S578" si="71">IFERROR(I515+L515+O515+R515,0)</f>
        <v>0.24746161281304113</v>
      </c>
    </row>
    <row r="516" spans="1:19" ht="15" customHeight="1" x14ac:dyDescent="0.3">
      <c r="A516" s="22"/>
      <c r="B516" s="23"/>
      <c r="C516" s="3"/>
      <c r="D516" s="23">
        <v>2022</v>
      </c>
      <c r="E516" s="24">
        <f>Data!F516</f>
        <v>100138000000</v>
      </c>
      <c r="F516" s="24">
        <f>Data!H516</f>
        <v>22509000000</v>
      </c>
      <c r="G516" s="24">
        <f t="shared" si="64"/>
        <v>77629000000</v>
      </c>
      <c r="H516" s="24">
        <f>Data!G516</f>
        <v>371969000000</v>
      </c>
      <c r="I516" s="25">
        <f t="shared" si="65"/>
        <v>1.369055593342456</v>
      </c>
      <c r="J516" s="24">
        <f>Data!J516</f>
        <v>-188971000000</v>
      </c>
      <c r="K516" s="24">
        <f t="shared" si="66"/>
        <v>371969000000</v>
      </c>
      <c r="L516" s="25">
        <f t="shared" si="67"/>
        <v>-1.6561741973121413</v>
      </c>
      <c r="M516" s="24">
        <f>Data!M516</f>
        <v>11939000000</v>
      </c>
      <c r="N516" s="24">
        <f t="shared" si="68"/>
        <v>371969000000</v>
      </c>
      <c r="O516" s="25">
        <f t="shared" si="69"/>
        <v>0.21569023225053699</v>
      </c>
      <c r="P516" s="24">
        <f>Data!K516</f>
        <v>113978000000</v>
      </c>
      <c r="Q516" s="24">
        <f>Data!I516</f>
        <v>257990000000</v>
      </c>
      <c r="R516" s="25">
        <f t="shared" si="70"/>
        <v>0.46388193340827166</v>
      </c>
      <c r="S516" s="25">
        <f t="shared" si="71"/>
        <v>0.39245356168912326</v>
      </c>
    </row>
    <row r="517" spans="1:19" ht="15" customHeight="1" x14ac:dyDescent="0.3">
      <c r="A517" s="22"/>
      <c r="B517" s="23"/>
      <c r="C517" s="3"/>
      <c r="D517" s="23">
        <v>2023</v>
      </c>
      <c r="E517" s="24">
        <f>Data!F517</f>
        <v>156318000000</v>
      </c>
      <c r="F517" s="24">
        <f>Data!H517</f>
        <v>29303000000</v>
      </c>
      <c r="G517" s="24">
        <f t="shared" si="64"/>
        <v>127015000000</v>
      </c>
      <c r="H517" s="24">
        <f>Data!G517</f>
        <v>405875000000</v>
      </c>
      <c r="I517" s="25">
        <f t="shared" si="65"/>
        <v>2.0528941176470585</v>
      </c>
      <c r="J517" s="24">
        <f>Data!J517</f>
        <v>-176192000000</v>
      </c>
      <c r="K517" s="24">
        <f t="shared" si="66"/>
        <v>405875000000</v>
      </c>
      <c r="L517" s="25">
        <f t="shared" si="67"/>
        <v>-1.415179353249153</v>
      </c>
      <c r="M517" s="24">
        <f>Data!M517</f>
        <v>19703000000</v>
      </c>
      <c r="N517" s="24">
        <f t="shared" si="68"/>
        <v>405875000000</v>
      </c>
      <c r="O517" s="25">
        <f t="shared" si="69"/>
        <v>0.32621905759162306</v>
      </c>
      <c r="P517" s="24">
        <f>Data!K517</f>
        <v>123153000000</v>
      </c>
      <c r="Q517" s="24">
        <f>Data!I517</f>
        <v>282722000000</v>
      </c>
      <c r="R517" s="25">
        <f t="shared" si="70"/>
        <v>0.45737738838859376</v>
      </c>
      <c r="S517" s="25">
        <f t="shared" si="71"/>
        <v>1.4213112103781222</v>
      </c>
    </row>
    <row r="518" spans="1:19" ht="15" customHeight="1" x14ac:dyDescent="0.3">
      <c r="A518" s="22"/>
      <c r="B518" s="23"/>
      <c r="C518" s="3"/>
      <c r="D518" s="23">
        <v>2024</v>
      </c>
      <c r="E518" s="24">
        <f>Data!F518</f>
        <v>90902000000</v>
      </c>
      <c r="F518" s="24">
        <f>Data!H518</f>
        <v>33572000000</v>
      </c>
      <c r="G518" s="24">
        <f t="shared" si="64"/>
        <v>57330000000</v>
      </c>
      <c r="H518" s="24">
        <f>Data!G518</f>
        <v>693393000000</v>
      </c>
      <c r="I518" s="25">
        <f t="shared" si="65"/>
        <v>0.54238332374281251</v>
      </c>
      <c r="J518" s="24">
        <f>Data!J518</f>
        <v>-127172000000</v>
      </c>
      <c r="K518" s="24">
        <f t="shared" si="66"/>
        <v>693393000000</v>
      </c>
      <c r="L518" s="25">
        <f t="shared" si="67"/>
        <v>-0.59790150751449755</v>
      </c>
      <c r="M518" s="24">
        <f>Data!M518</f>
        <v>61787000000</v>
      </c>
      <c r="N518" s="24">
        <f t="shared" si="68"/>
        <v>693393000000</v>
      </c>
      <c r="O518" s="25">
        <f t="shared" si="69"/>
        <v>0.59880708342887801</v>
      </c>
      <c r="P518" s="24">
        <f>Data!K518</f>
        <v>170996000000</v>
      </c>
      <c r="Q518" s="24">
        <f>Data!I518</f>
        <v>522397000000</v>
      </c>
      <c r="R518" s="25">
        <f t="shared" si="70"/>
        <v>0.3436960778871242</v>
      </c>
      <c r="S518" s="25">
        <f t="shared" si="71"/>
        <v>0.88698497754431715</v>
      </c>
    </row>
    <row r="519" spans="1:19" ht="15" customHeight="1" x14ac:dyDescent="0.3">
      <c r="A519" s="22"/>
      <c r="B519" s="23">
        <v>48</v>
      </c>
      <c r="C519" s="3" t="s">
        <v>26</v>
      </c>
      <c r="D519" s="23">
        <v>2014</v>
      </c>
      <c r="E519" s="24">
        <f>Data!F519</f>
        <v>0</v>
      </c>
      <c r="F519" s="24">
        <f>Data!H519</f>
        <v>0</v>
      </c>
      <c r="G519" s="24">
        <f t="shared" si="64"/>
        <v>0</v>
      </c>
      <c r="H519" s="24">
        <f>Data!G519</f>
        <v>0</v>
      </c>
      <c r="I519" s="25">
        <f t="shared" si="65"/>
        <v>0</v>
      </c>
      <c r="J519" s="24">
        <f>Data!J519</f>
        <v>0</v>
      </c>
      <c r="K519" s="24">
        <f t="shared" si="66"/>
        <v>0</v>
      </c>
      <c r="L519" s="25">
        <f t="shared" si="67"/>
        <v>0</v>
      </c>
      <c r="M519" s="24">
        <f>Data!M519</f>
        <v>0</v>
      </c>
      <c r="N519" s="24">
        <f t="shared" si="68"/>
        <v>0</v>
      </c>
      <c r="O519" s="25">
        <f t="shared" si="69"/>
        <v>0</v>
      </c>
      <c r="P519" s="24">
        <f>Data!K519</f>
        <v>0</v>
      </c>
      <c r="Q519" s="24">
        <f>Data!I519</f>
        <v>0</v>
      </c>
      <c r="R519" s="25">
        <f t="shared" si="70"/>
        <v>0</v>
      </c>
      <c r="S519" s="25">
        <f t="shared" si="71"/>
        <v>0</v>
      </c>
    </row>
    <row r="520" spans="1:19" ht="15" customHeight="1" x14ac:dyDescent="0.3">
      <c r="A520" s="22"/>
      <c r="B520" s="23"/>
      <c r="C520" s="3"/>
      <c r="D520" s="23">
        <v>2015</v>
      </c>
      <c r="E520" s="24">
        <f>Data!F520</f>
        <v>331362949999.99994</v>
      </c>
      <c r="F520" s="24">
        <f>Data!H520</f>
        <v>367867520000</v>
      </c>
      <c r="G520" s="24">
        <f t="shared" si="64"/>
        <v>-36504570000.000061</v>
      </c>
      <c r="H520" s="24">
        <f>Data!G520</f>
        <v>15348592390000</v>
      </c>
      <c r="I520" s="25">
        <f t="shared" si="65"/>
        <v>-1.5602080836808278E-2</v>
      </c>
      <c r="J520" s="24">
        <f>Data!J520</f>
        <v>242242460000</v>
      </c>
      <c r="K520" s="24">
        <f t="shared" si="66"/>
        <v>15348592390000</v>
      </c>
      <c r="L520" s="25">
        <f t="shared" si="67"/>
        <v>5.1451651039642984E-2</v>
      </c>
      <c r="M520" s="24">
        <f>Data!M520</f>
        <v>-1854702000000</v>
      </c>
      <c r="N520" s="24">
        <f t="shared" si="68"/>
        <v>15348592390000</v>
      </c>
      <c r="O520" s="25">
        <f t="shared" si="69"/>
        <v>-0.81203520969912213</v>
      </c>
      <c r="P520" s="24">
        <f>Data!K520</f>
        <v>7223445250000</v>
      </c>
      <c r="Q520" s="24">
        <f>Data!I520</f>
        <v>8125147140000</v>
      </c>
      <c r="R520" s="25">
        <f t="shared" si="70"/>
        <v>0.93347448136182309</v>
      </c>
      <c r="S520" s="25">
        <f t="shared" si="71"/>
        <v>0.15728884186553571</v>
      </c>
    </row>
    <row r="521" spans="1:19" ht="15" customHeight="1" x14ac:dyDescent="0.3">
      <c r="A521" s="22"/>
      <c r="B521" s="23"/>
      <c r="C521" s="3"/>
      <c r="D521" s="23">
        <v>2016</v>
      </c>
      <c r="E521" s="24">
        <f>Data!F521</f>
        <v>408898820000</v>
      </c>
      <c r="F521" s="24">
        <f>Data!H521</f>
        <v>642036840000</v>
      </c>
      <c r="G521" s="24">
        <f t="shared" si="64"/>
        <v>-233138020000</v>
      </c>
      <c r="H521" s="24">
        <f>Data!G521</f>
        <v>15860037150000</v>
      </c>
      <c r="I521" s="25">
        <f t="shared" si="65"/>
        <v>-9.6430127920601988E-2</v>
      </c>
      <c r="J521" s="24">
        <f>Data!J521</f>
        <v>550511740000</v>
      </c>
      <c r="K521" s="24">
        <f t="shared" si="66"/>
        <v>15860037150000</v>
      </c>
      <c r="L521" s="25">
        <f t="shared" si="67"/>
        <v>0.11315662475607756</v>
      </c>
      <c r="M521" s="24">
        <f>Data!M521</f>
        <v>338923520000</v>
      </c>
      <c r="N521" s="24">
        <f t="shared" si="68"/>
        <v>15860037150000</v>
      </c>
      <c r="O521" s="25">
        <f t="shared" si="69"/>
        <v>0.14360408067518302</v>
      </c>
      <c r="P521" s="24">
        <f>Data!K521</f>
        <v>7773714670000</v>
      </c>
      <c r="Q521" s="24">
        <f>Data!I521</f>
        <v>8086322480000</v>
      </c>
      <c r="R521" s="25">
        <f t="shared" si="70"/>
        <v>1.0094082227969716</v>
      </c>
      <c r="S521" s="25">
        <f t="shared" si="71"/>
        <v>1.1697388003076301</v>
      </c>
    </row>
    <row r="522" spans="1:19" ht="15" customHeight="1" x14ac:dyDescent="0.3">
      <c r="A522" s="22"/>
      <c r="B522" s="23"/>
      <c r="C522" s="3"/>
      <c r="D522" s="23">
        <v>2017</v>
      </c>
      <c r="E522" s="24">
        <f>Data!F522</f>
        <v>727370100000</v>
      </c>
      <c r="F522" s="24">
        <f>Data!H522</f>
        <v>471887300000</v>
      </c>
      <c r="G522" s="24">
        <f t="shared" si="64"/>
        <v>255482800000</v>
      </c>
      <c r="H522" s="24">
        <f>Data!G522</f>
        <v>15534781440000</v>
      </c>
      <c r="I522" s="25">
        <f t="shared" si="65"/>
        <v>0.10788482441630025</v>
      </c>
      <c r="J522" s="24">
        <f>Data!J522</f>
        <v>940017430000</v>
      </c>
      <c r="K522" s="24">
        <f t="shared" si="66"/>
        <v>15534781440000</v>
      </c>
      <c r="L522" s="25">
        <f t="shared" si="67"/>
        <v>0.19726423790613687</v>
      </c>
      <c r="M522" s="24">
        <f>Data!M522</f>
        <v>521121210000</v>
      </c>
      <c r="N522" s="24">
        <f t="shared" si="68"/>
        <v>15534781440000</v>
      </c>
      <c r="O522" s="25">
        <f t="shared" si="69"/>
        <v>0.22542541359371709</v>
      </c>
      <c r="P522" s="24">
        <f>Data!K522</f>
        <v>8510513980000</v>
      </c>
      <c r="Q522" s="24">
        <f>Data!I522</f>
        <v>7024267460000</v>
      </c>
      <c r="R522" s="25">
        <f t="shared" si="70"/>
        <v>1.2721667746689134</v>
      </c>
      <c r="S522" s="25">
        <f t="shared" si="71"/>
        <v>1.8027412505850675</v>
      </c>
    </row>
    <row r="523" spans="1:19" ht="15" customHeight="1" x14ac:dyDescent="0.3">
      <c r="A523" s="22"/>
      <c r="B523" s="23"/>
      <c r="C523" s="3"/>
      <c r="D523" s="23">
        <v>2018</v>
      </c>
      <c r="E523" s="24">
        <f>Data!F523</f>
        <v>785010480000</v>
      </c>
      <c r="F523" s="24">
        <f>Data!H523</f>
        <v>661481230000</v>
      </c>
      <c r="G523" s="24">
        <f t="shared" si="64"/>
        <v>123529250000</v>
      </c>
      <c r="H523" s="24">
        <f>Data!G523</f>
        <v>14646070810000</v>
      </c>
      <c r="I523" s="25">
        <f t="shared" si="65"/>
        <v>5.532896095563803E-2</v>
      </c>
      <c r="J523" s="24">
        <f>Data!J523</f>
        <v>25364420000</v>
      </c>
      <c r="K523" s="24">
        <f t="shared" si="66"/>
        <v>14646070810000</v>
      </c>
      <c r="L523" s="25">
        <f t="shared" si="67"/>
        <v>5.6457469223446964E-3</v>
      </c>
      <c r="M523" s="24">
        <f>Data!M523</f>
        <v>366740790000</v>
      </c>
      <c r="N523" s="24">
        <f t="shared" si="68"/>
        <v>14646070810000</v>
      </c>
      <c r="O523" s="25">
        <f t="shared" si="69"/>
        <v>0.16827025765281001</v>
      </c>
      <c r="P523" s="24">
        <f>Data!K523</f>
        <v>7103034820000</v>
      </c>
      <c r="Q523" s="24">
        <f>Data!I523</f>
        <v>7543035990000</v>
      </c>
      <c r="R523" s="25">
        <f t="shared" si="70"/>
        <v>0.98875128938633117</v>
      </c>
      <c r="S523" s="25">
        <f t="shared" si="71"/>
        <v>1.2179962549171239</v>
      </c>
    </row>
    <row r="524" spans="1:19" ht="15" customHeight="1" x14ac:dyDescent="0.3">
      <c r="A524" s="22"/>
      <c r="B524" s="23"/>
      <c r="C524" s="3"/>
      <c r="D524" s="23">
        <v>2019</v>
      </c>
      <c r="E524" s="24">
        <f>Data!F524</f>
        <v>704569290000</v>
      </c>
      <c r="F524" s="24">
        <f>Data!H524</f>
        <v>420773560000</v>
      </c>
      <c r="G524" s="24">
        <f t="shared" si="64"/>
        <v>283795730000</v>
      </c>
      <c r="H524" s="24">
        <f>Data!G524</f>
        <v>15520643350000</v>
      </c>
      <c r="I524" s="25">
        <f t="shared" si="65"/>
        <v>0.11994992390569943</v>
      </c>
      <c r="J524" s="24">
        <f>Data!J524</f>
        <v>276204740000</v>
      </c>
      <c r="K524" s="24">
        <f t="shared" si="66"/>
        <v>15520643350000</v>
      </c>
      <c r="L524" s="25">
        <f t="shared" si="67"/>
        <v>5.8014827871165527E-2</v>
      </c>
      <c r="M524" s="24">
        <f>Data!M524</f>
        <v>266725330000.00003</v>
      </c>
      <c r="N524" s="24">
        <f t="shared" si="68"/>
        <v>15520643350000</v>
      </c>
      <c r="O524" s="25">
        <f t="shared" si="69"/>
        <v>0.11548453096823463</v>
      </c>
      <c r="P524" s="24">
        <f>Data!K524</f>
        <v>7742214170000</v>
      </c>
      <c r="Q524" s="24">
        <f>Data!I524</f>
        <v>7778429180000</v>
      </c>
      <c r="R524" s="25">
        <f t="shared" si="70"/>
        <v>1.0451113830800476</v>
      </c>
      <c r="S524" s="25">
        <f t="shared" si="71"/>
        <v>1.3385606658251472</v>
      </c>
    </row>
    <row r="525" spans="1:19" ht="15" customHeight="1" x14ac:dyDescent="0.3">
      <c r="A525" s="22"/>
      <c r="B525" s="23"/>
      <c r="C525" s="3"/>
      <c r="D525" s="23">
        <v>2020</v>
      </c>
      <c r="E525" s="24">
        <f>Data!F525</f>
        <v>1129805410000</v>
      </c>
      <c r="F525" s="24">
        <f>Data!H525</f>
        <v>499314920000</v>
      </c>
      <c r="G525" s="24">
        <f t="shared" si="64"/>
        <v>630490490000</v>
      </c>
      <c r="H525" s="24">
        <f>Data!G525</f>
        <v>15214292140000</v>
      </c>
      <c r="I525" s="25">
        <f t="shared" si="65"/>
        <v>0.2718508081967197</v>
      </c>
      <c r="J525" s="24">
        <f>Data!J525</f>
        <v>480336500000</v>
      </c>
      <c r="K525" s="24">
        <f t="shared" si="66"/>
        <v>15214292140000</v>
      </c>
      <c r="L525" s="25">
        <f t="shared" si="67"/>
        <v>0.10292276338529674</v>
      </c>
      <c r="M525" s="24">
        <f>Data!M525</f>
        <v>368190060000</v>
      </c>
      <c r="N525" s="24">
        <f t="shared" si="68"/>
        <v>15214292140000</v>
      </c>
      <c r="O525" s="25">
        <f t="shared" si="69"/>
        <v>0.16262585077454678</v>
      </c>
      <c r="P525" s="24">
        <f>Data!K525</f>
        <v>8041917720000</v>
      </c>
      <c r="Q525" s="24">
        <f>Data!I525</f>
        <v>7172374420000</v>
      </c>
      <c r="R525" s="25">
        <f t="shared" si="70"/>
        <v>1.1772968213223871</v>
      </c>
      <c r="S525" s="25">
        <f t="shared" si="71"/>
        <v>1.7146962436789503</v>
      </c>
    </row>
    <row r="526" spans="1:19" ht="15" customHeight="1" x14ac:dyDescent="0.3">
      <c r="A526" s="22"/>
      <c r="B526" s="23"/>
      <c r="C526" s="3"/>
      <c r="D526" s="23">
        <v>2021</v>
      </c>
      <c r="E526" s="24">
        <f>Data!F526</f>
        <v>1572428750000</v>
      </c>
      <c r="F526" s="24">
        <f>Data!H526</f>
        <v>667619490000</v>
      </c>
      <c r="G526" s="24">
        <f t="shared" si="64"/>
        <v>904809260000</v>
      </c>
      <c r="H526" s="24">
        <f>Data!G526</f>
        <v>15792655920000</v>
      </c>
      <c r="I526" s="25">
        <f t="shared" si="65"/>
        <v>0.37584233935491196</v>
      </c>
      <c r="J526" s="24">
        <f>Data!J526</f>
        <v>76832350000</v>
      </c>
      <c r="K526" s="24">
        <f t="shared" si="66"/>
        <v>15792655920000</v>
      </c>
      <c r="L526" s="25">
        <f t="shared" si="67"/>
        <v>1.5860122722157047E-2</v>
      </c>
      <c r="M526" s="24">
        <f>Data!M526</f>
        <v>98940390000</v>
      </c>
      <c r="N526" s="24">
        <f t="shared" si="68"/>
        <v>15792655920000</v>
      </c>
      <c r="O526" s="25">
        <f t="shared" si="69"/>
        <v>4.2100544972805305E-2</v>
      </c>
      <c r="P526" s="24">
        <f>Data!K526</f>
        <v>7595506270000</v>
      </c>
      <c r="Q526" s="24">
        <f>Data!I526</f>
        <v>8197149650000</v>
      </c>
      <c r="R526" s="25">
        <f t="shared" si="70"/>
        <v>0.97293351030867181</v>
      </c>
      <c r="S526" s="25">
        <f t="shared" si="71"/>
        <v>1.4067365173585462</v>
      </c>
    </row>
    <row r="527" spans="1:19" ht="15" customHeight="1" x14ac:dyDescent="0.3">
      <c r="A527" s="22"/>
      <c r="B527" s="23"/>
      <c r="C527" s="3"/>
      <c r="D527" s="23">
        <v>2022</v>
      </c>
      <c r="E527" s="24">
        <f>Data!F527</f>
        <v>1602718799999.9998</v>
      </c>
      <c r="F527" s="24">
        <f>Data!H527</f>
        <v>659902540000</v>
      </c>
      <c r="G527" s="24">
        <f t="shared" si="64"/>
        <v>942816259999.99976</v>
      </c>
      <c r="H527" s="24">
        <f>Data!G527</f>
        <v>14863256240000</v>
      </c>
      <c r="I527" s="25">
        <f t="shared" si="65"/>
        <v>0.41611841750768325</v>
      </c>
      <c r="J527" s="24">
        <f>Data!J527</f>
        <v>359464600000</v>
      </c>
      <c r="K527" s="24">
        <f t="shared" si="66"/>
        <v>14863256240000</v>
      </c>
      <c r="L527" s="25">
        <f t="shared" si="67"/>
        <v>7.8842386693590366E-2</v>
      </c>
      <c r="M527" s="24">
        <f>Data!M527</f>
        <v>373340900000</v>
      </c>
      <c r="N527" s="24">
        <f t="shared" si="68"/>
        <v>14863256240000</v>
      </c>
      <c r="O527" s="25">
        <f t="shared" si="69"/>
        <v>0.1687955053380685</v>
      </c>
      <c r="P527" s="24">
        <f>Data!K527</f>
        <v>7571633800000</v>
      </c>
      <c r="Q527" s="24">
        <f>Data!I527</f>
        <v>7291622440000</v>
      </c>
      <c r="R527" s="25">
        <f t="shared" si="70"/>
        <v>1.0903218804071815</v>
      </c>
      <c r="S527" s="25">
        <f t="shared" si="71"/>
        <v>1.7540781899465236</v>
      </c>
    </row>
    <row r="528" spans="1:19" ht="15" customHeight="1" x14ac:dyDescent="0.3">
      <c r="A528" s="22"/>
      <c r="B528" s="23"/>
      <c r="C528" s="3"/>
      <c r="D528" s="23">
        <v>2023</v>
      </c>
      <c r="E528" s="24">
        <f>Data!F528</f>
        <v>1006621880000</v>
      </c>
      <c r="F528" s="24">
        <f>Data!H528</f>
        <v>810615190000</v>
      </c>
      <c r="G528" s="24">
        <f t="shared" si="64"/>
        <v>196006690000</v>
      </c>
      <c r="H528" s="24">
        <f>Data!G528</f>
        <v>14368742350000</v>
      </c>
      <c r="I528" s="25">
        <f t="shared" si="65"/>
        <v>8.9486181537662551E-2</v>
      </c>
      <c r="J528" s="24">
        <f>Data!J528</f>
        <v>181660700000</v>
      </c>
      <c r="K528" s="24">
        <f t="shared" si="66"/>
        <v>14368742350000</v>
      </c>
      <c r="L528" s="25">
        <f t="shared" si="67"/>
        <v>4.1215429129049699E-2</v>
      </c>
      <c r="M528" s="24">
        <f>Data!M528</f>
        <v>135130000000</v>
      </c>
      <c r="N528" s="24">
        <f t="shared" si="68"/>
        <v>14368742350000</v>
      </c>
      <c r="O528" s="25">
        <f t="shared" si="69"/>
        <v>6.3197848348919686E-2</v>
      </c>
      <c r="P528" s="24">
        <f>Data!K528</f>
        <v>7441337270000</v>
      </c>
      <c r="Q528" s="24">
        <f>Data!I528</f>
        <v>6927405080000</v>
      </c>
      <c r="R528" s="25">
        <f t="shared" si="70"/>
        <v>1.1278976822155173</v>
      </c>
      <c r="S528" s="25">
        <f t="shared" si="71"/>
        <v>1.3217971412311493</v>
      </c>
    </row>
    <row r="529" spans="1:19" ht="15" customHeight="1" x14ac:dyDescent="0.3">
      <c r="A529" s="22"/>
      <c r="B529" s="23"/>
      <c r="C529" s="3"/>
      <c r="D529" s="23">
        <v>2024</v>
      </c>
      <c r="E529" s="24">
        <f>Data!F529</f>
        <v>911092750000</v>
      </c>
      <c r="F529" s="24">
        <f>Data!H529</f>
        <v>873359750000</v>
      </c>
      <c r="G529" s="24">
        <f t="shared" si="64"/>
        <v>37733000000</v>
      </c>
      <c r="H529" s="24">
        <f>Data!G529</f>
        <v>14072702040000</v>
      </c>
      <c r="I529" s="25">
        <f t="shared" si="65"/>
        <v>1.7589264612895904E-2</v>
      </c>
      <c r="J529" s="24">
        <f>Data!J529</f>
        <v>446387540000</v>
      </c>
      <c r="K529" s="24">
        <f t="shared" si="66"/>
        <v>14072702040000</v>
      </c>
      <c r="L529" s="25">
        <f t="shared" si="67"/>
        <v>0.1034075315645637</v>
      </c>
      <c r="M529" s="24">
        <f>Data!M529</f>
        <v>394264540000</v>
      </c>
      <c r="N529" s="24">
        <f t="shared" si="68"/>
        <v>14072702040000</v>
      </c>
      <c r="O529" s="25">
        <f t="shared" si="69"/>
        <v>0.18826929620688537</v>
      </c>
      <c r="P529" s="24">
        <f>Data!K529</f>
        <v>7592926740000</v>
      </c>
      <c r="Q529" s="24">
        <f>Data!I529</f>
        <v>6479775300000</v>
      </c>
      <c r="R529" s="25">
        <f t="shared" si="70"/>
        <v>1.2303780158858286</v>
      </c>
      <c r="S529" s="25">
        <f t="shared" si="71"/>
        <v>1.5396441082701737</v>
      </c>
    </row>
    <row r="530" spans="1:19" ht="15" customHeight="1" x14ac:dyDescent="0.3">
      <c r="A530" s="22"/>
      <c r="B530" s="23">
        <v>49</v>
      </c>
      <c r="C530" s="3" t="s">
        <v>38</v>
      </c>
      <c r="D530" s="23">
        <v>2014</v>
      </c>
      <c r="E530" s="24">
        <f>Data!F530</f>
        <v>0</v>
      </c>
      <c r="F530" s="24">
        <f>Data!H530</f>
        <v>0</v>
      </c>
      <c r="G530" s="24">
        <f t="shared" si="64"/>
        <v>0</v>
      </c>
      <c r="H530" s="24">
        <f>Data!G530</f>
        <v>0</v>
      </c>
      <c r="I530" s="25">
        <f t="shared" si="65"/>
        <v>0</v>
      </c>
      <c r="J530" s="24">
        <f>Data!J530</f>
        <v>0</v>
      </c>
      <c r="K530" s="24">
        <f t="shared" si="66"/>
        <v>0</v>
      </c>
      <c r="L530" s="25">
        <f t="shared" si="67"/>
        <v>0</v>
      </c>
      <c r="M530" s="24">
        <f>Data!M530</f>
        <v>0</v>
      </c>
      <c r="N530" s="24">
        <f t="shared" si="68"/>
        <v>0</v>
      </c>
      <c r="O530" s="25">
        <f t="shared" si="69"/>
        <v>0</v>
      </c>
      <c r="P530" s="24">
        <f>Data!K530</f>
        <v>0</v>
      </c>
      <c r="Q530" s="24">
        <f>Data!I530</f>
        <v>0</v>
      </c>
      <c r="R530" s="25">
        <f t="shared" si="70"/>
        <v>0</v>
      </c>
      <c r="S530" s="25">
        <f t="shared" si="71"/>
        <v>0</v>
      </c>
    </row>
    <row r="531" spans="1:19" ht="15" customHeight="1" x14ac:dyDescent="0.3">
      <c r="A531" s="22"/>
      <c r="B531" s="23"/>
      <c r="C531" s="3"/>
      <c r="D531" s="23">
        <v>2015</v>
      </c>
      <c r="E531" s="24">
        <f>Data!F531</f>
        <v>0</v>
      </c>
      <c r="F531" s="24">
        <f>Data!H531</f>
        <v>0</v>
      </c>
      <c r="G531" s="24">
        <f t="shared" si="64"/>
        <v>0</v>
      </c>
      <c r="H531" s="24">
        <f>Data!G531</f>
        <v>0</v>
      </c>
      <c r="I531" s="25">
        <f t="shared" si="65"/>
        <v>0</v>
      </c>
      <c r="J531" s="24">
        <f>Data!J531</f>
        <v>0</v>
      </c>
      <c r="K531" s="24">
        <f t="shared" si="66"/>
        <v>0</v>
      </c>
      <c r="L531" s="25">
        <f t="shared" si="67"/>
        <v>0</v>
      </c>
      <c r="M531" s="24">
        <f>Data!M531</f>
        <v>0</v>
      </c>
      <c r="N531" s="24">
        <f t="shared" si="68"/>
        <v>0</v>
      </c>
      <c r="O531" s="25">
        <f t="shared" si="69"/>
        <v>0</v>
      </c>
      <c r="P531" s="24">
        <f>Data!K531</f>
        <v>0</v>
      </c>
      <c r="Q531" s="24">
        <f>Data!I531</f>
        <v>0</v>
      </c>
      <c r="R531" s="25">
        <f t="shared" si="70"/>
        <v>0</v>
      </c>
      <c r="S531" s="25">
        <f t="shared" si="71"/>
        <v>0</v>
      </c>
    </row>
    <row r="532" spans="1:19" ht="15" customHeight="1" x14ac:dyDescent="0.3">
      <c r="A532" s="22"/>
      <c r="B532" s="23"/>
      <c r="C532" s="3"/>
      <c r="D532" s="23">
        <v>2016</v>
      </c>
      <c r="E532" s="24">
        <f>Data!F532</f>
        <v>4927000000</v>
      </c>
      <c r="F532" s="24">
        <f>Data!H532</f>
        <v>22162000000</v>
      </c>
      <c r="G532" s="24">
        <f t="shared" si="64"/>
        <v>-17235000000</v>
      </c>
      <c r="H532" s="24">
        <f>Data!G532</f>
        <v>130830000000</v>
      </c>
      <c r="I532" s="25">
        <f t="shared" si="65"/>
        <v>-0.86418711304746609</v>
      </c>
      <c r="J532" s="24">
        <f>Data!J532</f>
        <v>3668000000</v>
      </c>
      <c r="K532" s="24">
        <f t="shared" si="66"/>
        <v>130830000000</v>
      </c>
      <c r="L532" s="25">
        <f t="shared" si="67"/>
        <v>9.1398608881754939E-2</v>
      </c>
      <c r="M532" s="24">
        <f>Data!M532</f>
        <v>3668000000</v>
      </c>
      <c r="N532" s="24">
        <f t="shared" si="68"/>
        <v>130830000000</v>
      </c>
      <c r="O532" s="25">
        <f t="shared" si="69"/>
        <v>0.18840449438202247</v>
      </c>
      <c r="P532" s="24">
        <f>Data!K532</f>
        <v>108668000000</v>
      </c>
      <c r="Q532" s="24">
        <f>Data!I532</f>
        <v>22162000000</v>
      </c>
      <c r="R532" s="25">
        <f t="shared" si="70"/>
        <v>5.1485154769425145</v>
      </c>
      <c r="S532" s="25">
        <f t="shared" si="71"/>
        <v>4.564131467158826</v>
      </c>
    </row>
    <row r="533" spans="1:19" ht="15" customHeight="1" x14ac:dyDescent="0.3">
      <c r="A533" s="22"/>
      <c r="B533" s="23"/>
      <c r="C533" s="3"/>
      <c r="D533" s="23">
        <v>2017</v>
      </c>
      <c r="E533" s="24">
        <f>Data!F533</f>
        <v>1751000000</v>
      </c>
      <c r="F533" s="24">
        <f>Data!H533</f>
        <v>142000000</v>
      </c>
      <c r="G533" s="24">
        <f t="shared" si="64"/>
        <v>1609000000</v>
      </c>
      <c r="H533" s="24">
        <f>Data!G533</f>
        <v>113846000000</v>
      </c>
      <c r="I533" s="25">
        <f t="shared" si="65"/>
        <v>9.2713314477452E-2</v>
      </c>
      <c r="J533" s="24">
        <f>Data!J533</f>
        <v>3770000000</v>
      </c>
      <c r="K533" s="24">
        <f t="shared" si="66"/>
        <v>113846000000</v>
      </c>
      <c r="L533" s="25">
        <f t="shared" si="67"/>
        <v>0.10795460534406126</v>
      </c>
      <c r="M533" s="24">
        <f>Data!M533</f>
        <v>97000000</v>
      </c>
      <c r="N533" s="24">
        <f t="shared" si="68"/>
        <v>113846000000</v>
      </c>
      <c r="O533" s="25">
        <f t="shared" si="69"/>
        <v>5.7256293589585932E-3</v>
      </c>
      <c r="P533" s="24">
        <f>Data!K533</f>
        <v>110770000000</v>
      </c>
      <c r="Q533" s="24">
        <f>Data!I533</f>
        <v>3076000000</v>
      </c>
      <c r="R533" s="25">
        <f t="shared" si="70"/>
        <v>37.811605981794543</v>
      </c>
      <c r="S533" s="25">
        <f t="shared" si="71"/>
        <v>38.017999530975011</v>
      </c>
    </row>
    <row r="534" spans="1:19" ht="15" customHeight="1" x14ac:dyDescent="0.3">
      <c r="A534" s="22"/>
      <c r="B534" s="23"/>
      <c r="C534" s="3"/>
      <c r="D534" s="23">
        <v>2018</v>
      </c>
      <c r="E534" s="24">
        <f>Data!F534</f>
        <v>3879000000</v>
      </c>
      <c r="F534" s="24">
        <f>Data!H534</f>
        <v>3721000000</v>
      </c>
      <c r="G534" s="24">
        <f t="shared" si="64"/>
        <v>158000000</v>
      </c>
      <c r="H534" s="24">
        <f>Data!G534</f>
        <v>259861000000</v>
      </c>
      <c r="I534" s="25">
        <f t="shared" si="65"/>
        <v>3.9885939021245967E-3</v>
      </c>
      <c r="J534" s="24">
        <f>Data!J534</f>
        <v>5668000000</v>
      </c>
      <c r="K534" s="24">
        <f t="shared" si="66"/>
        <v>259861000000</v>
      </c>
      <c r="L534" s="25">
        <f t="shared" si="67"/>
        <v>7.1106014369220469E-2</v>
      </c>
      <c r="M534" s="24">
        <f>Data!M534</f>
        <v>1831000000</v>
      </c>
      <c r="N534" s="24">
        <f t="shared" si="68"/>
        <v>259861000000</v>
      </c>
      <c r="O534" s="25">
        <f t="shared" si="69"/>
        <v>4.7349621528432508E-2</v>
      </c>
      <c r="P534" s="24">
        <f>Data!K534</f>
        <v>110469000000</v>
      </c>
      <c r="Q534" s="24">
        <f>Data!I534</f>
        <v>149392000000</v>
      </c>
      <c r="R534" s="25">
        <f t="shared" si="70"/>
        <v>0.77643013012744999</v>
      </c>
      <c r="S534" s="25">
        <f t="shared" si="71"/>
        <v>0.89887435992722753</v>
      </c>
    </row>
    <row r="535" spans="1:19" ht="15" customHeight="1" x14ac:dyDescent="0.3">
      <c r="A535" s="22"/>
      <c r="B535" s="23"/>
      <c r="C535" s="3"/>
      <c r="D535" s="23">
        <v>2019</v>
      </c>
      <c r="E535" s="24">
        <f>Data!F535</f>
        <v>7955000000</v>
      </c>
      <c r="F535" s="24">
        <f>Data!H535</f>
        <v>28024000000</v>
      </c>
      <c r="G535" s="24">
        <f t="shared" si="64"/>
        <v>-20069000000</v>
      </c>
      <c r="H535" s="24">
        <f>Data!G535</f>
        <v>1042407000000</v>
      </c>
      <c r="I535" s="25">
        <f t="shared" si="65"/>
        <v>-0.12629677275766568</v>
      </c>
      <c r="J535" s="24">
        <f>Data!J535</f>
        <v>7239000000</v>
      </c>
      <c r="K535" s="24">
        <f t="shared" si="66"/>
        <v>1042407000000</v>
      </c>
      <c r="L535" s="25">
        <f t="shared" si="67"/>
        <v>2.2639084349970789E-2</v>
      </c>
      <c r="M535" s="24">
        <f>Data!M535</f>
        <v>1487000000</v>
      </c>
      <c r="N535" s="24">
        <f t="shared" si="68"/>
        <v>1042407000000</v>
      </c>
      <c r="O535" s="25">
        <f t="shared" si="69"/>
        <v>9.5861213518328263E-3</v>
      </c>
      <c r="P535" s="24">
        <f>Data!K535</f>
        <v>180930000000</v>
      </c>
      <c r="Q535" s="24">
        <f>Data!I535</f>
        <v>861477000000</v>
      </c>
      <c r="R535" s="25">
        <f t="shared" si="70"/>
        <v>0.22052416953673748</v>
      </c>
      <c r="S535" s="25">
        <f t="shared" si="71"/>
        <v>0.12645260248087542</v>
      </c>
    </row>
    <row r="536" spans="1:19" ht="15" customHeight="1" x14ac:dyDescent="0.3">
      <c r="A536" s="22"/>
      <c r="B536" s="23"/>
      <c r="C536" s="3"/>
      <c r="D536" s="23">
        <v>2020</v>
      </c>
      <c r="E536" s="24">
        <f>Data!F536</f>
        <v>6132000000</v>
      </c>
      <c r="F536" s="24">
        <f>Data!H536</f>
        <v>13512000000</v>
      </c>
      <c r="G536" s="24">
        <f t="shared" si="64"/>
        <v>-7380000000</v>
      </c>
      <c r="H536" s="24">
        <f>Data!G536</f>
        <v>1732276000000</v>
      </c>
      <c r="I536" s="25">
        <f t="shared" si="65"/>
        <v>-2.7947509519268287E-2</v>
      </c>
      <c r="J536" s="24">
        <f>Data!J536</f>
        <v>13348000000</v>
      </c>
      <c r="K536" s="24">
        <f t="shared" si="66"/>
        <v>1732276000000</v>
      </c>
      <c r="L536" s="25">
        <f t="shared" si="67"/>
        <v>2.5119830789089036E-2</v>
      </c>
      <c r="M536" s="24">
        <f>Data!M536</f>
        <v>5994000000</v>
      </c>
      <c r="N536" s="24">
        <f t="shared" si="68"/>
        <v>1732276000000</v>
      </c>
      <c r="O536" s="25">
        <f t="shared" si="69"/>
        <v>2.3252460924240711E-2</v>
      </c>
      <c r="P536" s="24">
        <f>Data!K536</f>
        <v>317651000000</v>
      </c>
      <c r="Q536" s="24">
        <f>Data!I536</f>
        <v>1414625000000</v>
      </c>
      <c r="R536" s="25">
        <f t="shared" si="70"/>
        <v>0.23577524078819476</v>
      </c>
      <c r="S536" s="25">
        <f t="shared" si="71"/>
        <v>0.25620002298225619</v>
      </c>
    </row>
    <row r="537" spans="1:19" ht="15" customHeight="1" x14ac:dyDescent="0.3">
      <c r="A537" s="22"/>
      <c r="B537" s="23"/>
      <c r="C537" s="3"/>
      <c r="D537" s="23">
        <v>2021</v>
      </c>
      <c r="E537" s="24">
        <f>Data!F537</f>
        <v>9525000000</v>
      </c>
      <c r="F537" s="24">
        <f>Data!H537</f>
        <v>10556000000</v>
      </c>
      <c r="G537" s="24">
        <f t="shared" si="64"/>
        <v>-1031000000</v>
      </c>
      <c r="H537" s="24">
        <f>Data!G537</f>
        <v>2538317000000</v>
      </c>
      <c r="I537" s="25">
        <f t="shared" si="65"/>
        <v>-2.6645056547310677E-3</v>
      </c>
      <c r="J537" s="24">
        <f>Data!J537</f>
        <v>21501000000</v>
      </c>
      <c r="K537" s="24">
        <f t="shared" si="66"/>
        <v>2538317000000</v>
      </c>
      <c r="L537" s="25">
        <f t="shared" si="67"/>
        <v>2.7614068691971885E-2</v>
      </c>
      <c r="M537" s="24">
        <f>Data!M537</f>
        <v>7846000000</v>
      </c>
      <c r="N537" s="24">
        <f t="shared" si="68"/>
        <v>2538317000000</v>
      </c>
      <c r="O537" s="25">
        <f t="shared" si="69"/>
        <v>2.0771684545310927E-2</v>
      </c>
      <c r="P537" s="24">
        <f>Data!K537</f>
        <v>374094000000</v>
      </c>
      <c r="Q537" s="24">
        <f>Data!I537</f>
        <v>2164223000000</v>
      </c>
      <c r="R537" s="25">
        <f t="shared" si="70"/>
        <v>0.18149640771768899</v>
      </c>
      <c r="S537" s="25">
        <f t="shared" si="71"/>
        <v>0.22721765530024074</v>
      </c>
    </row>
    <row r="538" spans="1:19" ht="15" customHeight="1" x14ac:dyDescent="0.3">
      <c r="A538" s="22"/>
      <c r="B538" s="23"/>
      <c r="C538" s="3"/>
      <c r="D538" s="23">
        <v>2022</v>
      </c>
      <c r="E538" s="24">
        <f>Data!F538</f>
        <v>13619000000</v>
      </c>
      <c r="F538" s="24">
        <f>Data!H538</f>
        <v>6926000000</v>
      </c>
      <c r="G538" s="24">
        <f t="shared" si="64"/>
        <v>6693000000</v>
      </c>
      <c r="H538" s="24">
        <f>Data!G538</f>
        <v>2772112000000</v>
      </c>
      <c r="I538" s="25">
        <f t="shared" si="65"/>
        <v>1.5838494259972181E-2</v>
      </c>
      <c r="J538" s="24">
        <f>Data!J538</f>
        <v>30082000000</v>
      </c>
      <c r="K538" s="24">
        <f t="shared" si="66"/>
        <v>2772112000000</v>
      </c>
      <c r="L538" s="25">
        <f t="shared" si="67"/>
        <v>3.5376391718660714E-2</v>
      </c>
      <c r="M538" s="24">
        <f>Data!M538</f>
        <v>8211000000</v>
      </c>
      <c r="N538" s="24">
        <f t="shared" si="68"/>
        <v>2772112000000</v>
      </c>
      <c r="O538" s="25">
        <f t="shared" si="69"/>
        <v>1.9904650317158903E-2</v>
      </c>
      <c r="P538" s="24">
        <f>Data!K538</f>
        <v>382139000000</v>
      </c>
      <c r="Q538" s="24">
        <f>Data!I538</f>
        <v>2389973000000</v>
      </c>
      <c r="R538" s="25">
        <f t="shared" si="70"/>
        <v>0.16788723136202796</v>
      </c>
      <c r="S538" s="25">
        <f t="shared" si="71"/>
        <v>0.23900676765781975</v>
      </c>
    </row>
    <row r="539" spans="1:19" ht="15" customHeight="1" x14ac:dyDescent="0.3">
      <c r="A539" s="22"/>
      <c r="B539" s="23"/>
      <c r="C539" s="3"/>
      <c r="D539" s="23">
        <v>2023</v>
      </c>
      <c r="E539" s="24">
        <f>Data!F539</f>
        <v>70724000000</v>
      </c>
      <c r="F539" s="24">
        <f>Data!H539</f>
        <v>8482000000</v>
      </c>
      <c r="G539" s="24">
        <f t="shared" si="64"/>
        <v>62242000000</v>
      </c>
      <c r="H539" s="24">
        <f>Data!G539</f>
        <v>2933798000000</v>
      </c>
      <c r="I539" s="25">
        <f t="shared" si="65"/>
        <v>0.13917369907539645</v>
      </c>
      <c r="J539" s="24">
        <f>Data!J539</f>
        <v>39634000000</v>
      </c>
      <c r="K539" s="24">
        <f t="shared" si="66"/>
        <v>2933798000000</v>
      </c>
      <c r="L539" s="25">
        <f t="shared" si="67"/>
        <v>4.4040809898977358E-2</v>
      </c>
      <c r="M539" s="24">
        <f>Data!M539</f>
        <v>9136000000</v>
      </c>
      <c r="N539" s="24">
        <f t="shared" si="68"/>
        <v>2933798000000</v>
      </c>
      <c r="O539" s="25">
        <f t="shared" si="69"/>
        <v>2.0926430517711168E-2</v>
      </c>
      <c r="P539" s="24">
        <f>Data!K539</f>
        <v>373304000000</v>
      </c>
      <c r="Q539" s="24">
        <f>Data!I539</f>
        <v>2410494000000</v>
      </c>
      <c r="R539" s="25">
        <f t="shared" si="70"/>
        <v>0.16260949000495334</v>
      </c>
      <c r="S539" s="25">
        <f t="shared" si="71"/>
        <v>0.36675042949703829</v>
      </c>
    </row>
    <row r="540" spans="1:19" ht="15" customHeight="1" x14ac:dyDescent="0.3">
      <c r="A540" s="22"/>
      <c r="B540" s="23"/>
      <c r="C540" s="3"/>
      <c r="D540" s="23">
        <v>2024</v>
      </c>
      <c r="E540" s="24">
        <f>Data!F540</f>
        <v>23962000000</v>
      </c>
      <c r="F540" s="24">
        <f>Data!H540</f>
        <v>12454000000</v>
      </c>
      <c r="G540" s="24">
        <f t="shared" si="64"/>
        <v>11508000000</v>
      </c>
      <c r="H540" s="24">
        <f>Data!G540</f>
        <v>3369312000000</v>
      </c>
      <c r="I540" s="25">
        <f t="shared" si="65"/>
        <v>2.2405903638487618E-2</v>
      </c>
      <c r="J540" s="24">
        <f>Data!J540</f>
        <v>8206000000</v>
      </c>
      <c r="K540" s="24">
        <f t="shared" si="66"/>
        <v>3369312000000</v>
      </c>
      <c r="L540" s="25">
        <f t="shared" si="67"/>
        <v>7.9397693060185588E-3</v>
      </c>
      <c r="M540" s="24">
        <f>Data!M540</f>
        <v>-32326000000</v>
      </c>
      <c r="N540" s="24">
        <f t="shared" si="68"/>
        <v>3369312000000</v>
      </c>
      <c r="O540" s="25">
        <f t="shared" si="69"/>
        <v>-6.4473316807704364E-2</v>
      </c>
      <c r="P540" s="24">
        <f>Data!K540</f>
        <v>367505000000</v>
      </c>
      <c r="Q540" s="24">
        <f>Data!I540</f>
        <v>2651807000000</v>
      </c>
      <c r="R540" s="25">
        <f t="shared" si="70"/>
        <v>0.14551596326580329</v>
      </c>
      <c r="S540" s="25">
        <f t="shared" si="71"/>
        <v>0.1113883194026051</v>
      </c>
    </row>
    <row r="541" spans="1:19" ht="15" customHeight="1" x14ac:dyDescent="0.3">
      <c r="A541" s="22"/>
      <c r="B541" s="23">
        <v>50</v>
      </c>
      <c r="C541" s="3" t="s">
        <v>39</v>
      </c>
      <c r="D541" s="23">
        <v>2014</v>
      </c>
      <c r="E541" s="24">
        <f>Data!F541</f>
        <v>0</v>
      </c>
      <c r="F541" s="24">
        <f>Data!H541</f>
        <v>0</v>
      </c>
      <c r="G541" s="24">
        <f t="shared" si="64"/>
        <v>0</v>
      </c>
      <c r="H541" s="24">
        <f>Data!G541</f>
        <v>0</v>
      </c>
      <c r="I541" s="25">
        <f t="shared" si="65"/>
        <v>0</v>
      </c>
      <c r="J541" s="24">
        <f>Data!J541</f>
        <v>0</v>
      </c>
      <c r="K541" s="24">
        <f t="shared" si="66"/>
        <v>0</v>
      </c>
      <c r="L541" s="25">
        <f t="shared" si="67"/>
        <v>0</v>
      </c>
      <c r="M541" s="24">
        <f>Data!M541</f>
        <v>0</v>
      </c>
      <c r="N541" s="24">
        <f t="shared" si="68"/>
        <v>0</v>
      </c>
      <c r="O541" s="25">
        <f t="shared" si="69"/>
        <v>0</v>
      </c>
      <c r="P541" s="24">
        <f>Data!K541</f>
        <v>0</v>
      </c>
      <c r="Q541" s="24">
        <f>Data!I541</f>
        <v>0</v>
      </c>
      <c r="R541" s="25">
        <f t="shared" si="70"/>
        <v>0</v>
      </c>
      <c r="S541" s="25">
        <f t="shared" si="71"/>
        <v>0</v>
      </c>
    </row>
    <row r="542" spans="1:19" ht="15" customHeight="1" x14ac:dyDescent="0.3">
      <c r="A542" s="22"/>
      <c r="B542" s="23"/>
      <c r="C542" s="3"/>
      <c r="D542" s="23">
        <v>2015</v>
      </c>
      <c r="E542" s="24">
        <f>Data!F542</f>
        <v>193112000000</v>
      </c>
      <c r="F542" s="24">
        <f>Data!H542</f>
        <v>292900000000</v>
      </c>
      <c r="G542" s="24">
        <f t="shared" si="64"/>
        <v>-99788000000</v>
      </c>
      <c r="H542" s="24">
        <f>Data!G542</f>
        <v>8887980000000</v>
      </c>
      <c r="I542" s="25">
        <f t="shared" si="65"/>
        <v>-7.3651074822400589E-2</v>
      </c>
      <c r="J542" s="24">
        <f>Data!J542</f>
        <v>680960000000</v>
      </c>
      <c r="K542" s="24">
        <f t="shared" si="66"/>
        <v>8887980000000</v>
      </c>
      <c r="L542" s="25">
        <f t="shared" si="67"/>
        <v>0.24976761873901604</v>
      </c>
      <c r="M542" s="24">
        <f>Data!M542</f>
        <v>344783000000</v>
      </c>
      <c r="N542" s="24">
        <f t="shared" si="68"/>
        <v>8887980000000</v>
      </c>
      <c r="O542" s="25">
        <f t="shared" si="69"/>
        <v>0.26068260279613592</v>
      </c>
      <c r="P542" s="24">
        <f>Data!K542</f>
        <v>4605738000000</v>
      </c>
      <c r="Q542" s="24">
        <f>Data!I542</f>
        <v>4282242000000</v>
      </c>
      <c r="R542" s="25">
        <f t="shared" si="70"/>
        <v>1.1293207857005747</v>
      </c>
      <c r="S542" s="25">
        <f t="shared" si="71"/>
        <v>1.5661199324133261</v>
      </c>
    </row>
    <row r="543" spans="1:19" ht="15" customHeight="1" x14ac:dyDescent="0.3">
      <c r="A543" s="22"/>
      <c r="B543" s="23"/>
      <c r="C543" s="3"/>
      <c r="D543" s="23">
        <v>2016</v>
      </c>
      <c r="E543" s="24">
        <f>Data!F543</f>
        <v>199383000000</v>
      </c>
      <c r="F543" s="24">
        <f>Data!H543</f>
        <v>274769000000</v>
      </c>
      <c r="G543" s="24">
        <f t="shared" si="64"/>
        <v>-75386000000</v>
      </c>
      <c r="H543" s="24">
        <f>Data!G543</f>
        <v>9079542000000</v>
      </c>
      <c r="I543" s="25">
        <f t="shared" si="65"/>
        <v>-5.4466641599322956E-2</v>
      </c>
      <c r="J543" s="24">
        <f>Data!J543</f>
        <v>812855000000</v>
      </c>
      <c r="K543" s="24">
        <f t="shared" si="66"/>
        <v>9079542000000</v>
      </c>
      <c r="L543" s="25">
        <f t="shared" si="67"/>
        <v>0.29185473232019848</v>
      </c>
      <c r="M543" s="24">
        <f>Data!M543</f>
        <v>341420000000</v>
      </c>
      <c r="N543" s="24">
        <f t="shared" si="68"/>
        <v>9079542000000</v>
      </c>
      <c r="O543" s="25">
        <f t="shared" si="69"/>
        <v>0.25269362705740001</v>
      </c>
      <c r="P543" s="24">
        <f>Data!K543</f>
        <v>4758210000000</v>
      </c>
      <c r="Q543" s="24">
        <f>Data!I543</f>
        <v>4321332000000</v>
      </c>
      <c r="R543" s="25">
        <f t="shared" si="70"/>
        <v>1.1561528945241883</v>
      </c>
      <c r="S543" s="25">
        <f t="shared" si="71"/>
        <v>1.6462346123024638</v>
      </c>
    </row>
    <row r="544" spans="1:19" ht="15" customHeight="1" x14ac:dyDescent="0.3">
      <c r="A544" s="22"/>
      <c r="B544" s="23"/>
      <c r="C544" s="3"/>
      <c r="D544" s="23">
        <v>2017</v>
      </c>
      <c r="E544" s="24">
        <f>Data!F544</f>
        <v>193453000000</v>
      </c>
      <c r="F544" s="24">
        <f>Data!H544</f>
        <v>314014000000</v>
      </c>
      <c r="G544" s="24">
        <f t="shared" si="64"/>
        <v>-120561000000</v>
      </c>
      <c r="H544" s="24">
        <f>Data!G544</f>
        <v>9158871000000</v>
      </c>
      <c r="I544" s="25">
        <f t="shared" si="65"/>
        <v>-8.6351271898031975E-2</v>
      </c>
      <c r="J544" s="24">
        <f>Data!J544</f>
        <v>931122000000</v>
      </c>
      <c r="K544" s="24">
        <f t="shared" si="66"/>
        <v>9158871000000</v>
      </c>
      <c r="L544" s="25">
        <f t="shared" si="67"/>
        <v>0.33142269609431119</v>
      </c>
      <c r="M544" s="24">
        <f>Data!M544</f>
        <v>365371000000</v>
      </c>
      <c r="N544" s="24">
        <f t="shared" si="68"/>
        <v>9158871000000</v>
      </c>
      <c r="O544" s="25">
        <f t="shared" si="69"/>
        <v>0.26807814194566121</v>
      </c>
      <c r="P544" s="24">
        <f>Data!K544</f>
        <v>4972132000000</v>
      </c>
      <c r="Q544" s="24">
        <f>Data!I544</f>
        <v>4186739000000</v>
      </c>
      <c r="R544" s="25">
        <f t="shared" si="70"/>
        <v>1.2469701598308374</v>
      </c>
      <c r="S544" s="25">
        <f t="shared" si="71"/>
        <v>1.7601197259727779</v>
      </c>
    </row>
    <row r="545" spans="1:19" ht="15" customHeight="1" x14ac:dyDescent="0.3">
      <c r="A545" s="22"/>
      <c r="B545" s="23"/>
      <c r="C545" s="3"/>
      <c r="D545" s="23">
        <v>2018</v>
      </c>
      <c r="E545" s="24">
        <f>Data!F545</f>
        <v>215354000000</v>
      </c>
      <c r="F545" s="24">
        <f>Data!H545</f>
        <v>318030000000</v>
      </c>
      <c r="G545" s="24">
        <f t="shared" si="64"/>
        <v>-102676000000</v>
      </c>
      <c r="H545" s="24">
        <f>Data!G545</f>
        <v>9082567000000</v>
      </c>
      <c r="I545" s="25">
        <f t="shared" si="65"/>
        <v>-7.415905217104371E-2</v>
      </c>
      <c r="J545" s="24">
        <f>Data!J545</f>
        <v>965528000000</v>
      </c>
      <c r="K545" s="24">
        <f t="shared" si="66"/>
        <v>9082567000000</v>
      </c>
      <c r="L545" s="25">
        <f t="shared" si="67"/>
        <v>0.34655635130464763</v>
      </c>
      <c r="M545" s="24">
        <f>Data!M545</f>
        <v>398212000000</v>
      </c>
      <c r="N545" s="24">
        <f t="shared" si="68"/>
        <v>9082567000000</v>
      </c>
      <c r="O545" s="25">
        <f t="shared" si="69"/>
        <v>0.29462867050691727</v>
      </c>
      <c r="P545" s="24">
        <f>Data!K545</f>
        <v>4874632000000</v>
      </c>
      <c r="Q545" s="24">
        <f>Data!I545</f>
        <v>4207935000000</v>
      </c>
      <c r="R545" s="25">
        <f t="shared" si="70"/>
        <v>1.2163599485258207</v>
      </c>
      <c r="S545" s="25">
        <f t="shared" si="71"/>
        <v>1.7833859181663418</v>
      </c>
    </row>
    <row r="546" spans="1:19" ht="15" customHeight="1" x14ac:dyDescent="0.3">
      <c r="A546" s="22"/>
      <c r="B546" s="23"/>
      <c r="C546" s="3"/>
      <c r="D546" s="23">
        <v>2019</v>
      </c>
      <c r="E546" s="24">
        <f>Data!F546</f>
        <v>282629000000</v>
      </c>
      <c r="F546" s="24">
        <f>Data!H546</f>
        <v>387921000000</v>
      </c>
      <c r="G546" s="24">
        <f t="shared" si="64"/>
        <v>-105292000000</v>
      </c>
      <c r="H546" s="24">
        <f>Data!G546</f>
        <v>9112658000000</v>
      </c>
      <c r="I546" s="25">
        <f t="shared" si="65"/>
        <v>-7.5797371085362789E-2</v>
      </c>
      <c r="J546" s="24">
        <f>Data!J546</f>
        <v>975527000000</v>
      </c>
      <c r="K546" s="24">
        <f t="shared" si="66"/>
        <v>9112658000000</v>
      </c>
      <c r="L546" s="25">
        <f t="shared" si="67"/>
        <v>0.34898906773413418</v>
      </c>
      <c r="M546" s="24">
        <f>Data!M546</f>
        <v>416929000000</v>
      </c>
      <c r="N546" s="24">
        <f t="shared" si="68"/>
        <v>9112658000000</v>
      </c>
      <c r="O546" s="25">
        <f t="shared" si="69"/>
        <v>0.30745835956973255</v>
      </c>
      <c r="P546" s="24">
        <f>Data!K546</f>
        <v>4983140000000</v>
      </c>
      <c r="Q546" s="24">
        <f>Data!I546</f>
        <v>4129518000000</v>
      </c>
      <c r="R546" s="25">
        <f t="shared" si="70"/>
        <v>1.2670478733837702</v>
      </c>
      <c r="S546" s="25">
        <f t="shared" si="71"/>
        <v>1.8476979296022742</v>
      </c>
    </row>
    <row r="547" spans="1:19" ht="15" customHeight="1" x14ac:dyDescent="0.3">
      <c r="A547" s="22"/>
      <c r="B547" s="23"/>
      <c r="C547" s="3"/>
      <c r="D547" s="23">
        <v>2020</v>
      </c>
      <c r="E547" s="24">
        <f>Data!F547</f>
        <v>406420000000</v>
      </c>
      <c r="F547" s="24">
        <f>Data!H547</f>
        <v>527908000000</v>
      </c>
      <c r="G547" s="24">
        <f t="shared" si="64"/>
        <v>-121488000000</v>
      </c>
      <c r="H547" s="24">
        <f>Data!G547</f>
        <v>9641705000000</v>
      </c>
      <c r="I547" s="25">
        <f t="shared" si="65"/>
        <v>-8.2657712510391043E-2</v>
      </c>
      <c r="J547" s="24">
        <f>Data!J547</f>
        <v>1191538000000</v>
      </c>
      <c r="K547" s="24">
        <f t="shared" si="66"/>
        <v>9641705000000</v>
      </c>
      <c r="L547" s="25">
        <f t="shared" si="67"/>
        <v>0.40287624232436064</v>
      </c>
      <c r="M547" s="24">
        <f>Data!M547</f>
        <v>435182000000</v>
      </c>
      <c r="N547" s="24">
        <f t="shared" si="68"/>
        <v>9641705000000</v>
      </c>
      <c r="O547" s="25">
        <f t="shared" si="69"/>
        <v>0.30330974034156821</v>
      </c>
      <c r="P547" s="24">
        <f>Data!K547</f>
        <v>5267465000000</v>
      </c>
      <c r="Q547" s="24">
        <f>Data!I547</f>
        <v>4274240000000</v>
      </c>
      <c r="R547" s="25">
        <f t="shared" si="70"/>
        <v>1.2939933766002845</v>
      </c>
      <c r="S547" s="25">
        <f t="shared" si="71"/>
        <v>1.9175216467558223</v>
      </c>
    </row>
    <row r="548" spans="1:19" ht="15" customHeight="1" x14ac:dyDescent="0.3">
      <c r="A548" s="22"/>
      <c r="B548" s="23"/>
      <c r="C548" s="3"/>
      <c r="D548" s="23">
        <v>2021</v>
      </c>
      <c r="E548" s="24">
        <f>Data!F548</f>
        <v>478785000000</v>
      </c>
      <c r="F548" s="24">
        <f>Data!H548</f>
        <v>398551000000</v>
      </c>
      <c r="G548" s="24">
        <f t="shared" si="64"/>
        <v>80234000000</v>
      </c>
      <c r="H548" s="24">
        <f>Data!G548</f>
        <v>9598517000000</v>
      </c>
      <c r="I548" s="25">
        <f t="shared" si="65"/>
        <v>5.4835037537569603E-2</v>
      </c>
      <c r="J548" s="24">
        <f>Data!J548</f>
        <v>1156065000000</v>
      </c>
      <c r="K548" s="24">
        <f t="shared" si="66"/>
        <v>9598517000000</v>
      </c>
      <c r="L548" s="25">
        <f t="shared" si="67"/>
        <v>0.39264106111391994</v>
      </c>
      <c r="M548" s="24">
        <f>Data!M548</f>
        <v>407086000000</v>
      </c>
      <c r="N548" s="24">
        <f t="shared" si="68"/>
        <v>9598517000000</v>
      </c>
      <c r="O548" s="25">
        <f t="shared" si="69"/>
        <v>0.28500422721551671</v>
      </c>
      <c r="P548" s="24">
        <f>Data!K548</f>
        <v>5211162000000</v>
      </c>
      <c r="Q548" s="24">
        <f>Data!I548</f>
        <v>4387355000000</v>
      </c>
      <c r="R548" s="25">
        <f t="shared" si="70"/>
        <v>1.2471569088892966</v>
      </c>
      <c r="S548" s="25">
        <f t="shared" si="71"/>
        <v>1.9796372347563029</v>
      </c>
    </row>
    <row r="549" spans="1:19" ht="15" customHeight="1" x14ac:dyDescent="0.3">
      <c r="A549" s="22"/>
      <c r="B549" s="23"/>
      <c r="C549" s="3"/>
      <c r="D549" s="23">
        <v>2022</v>
      </c>
      <c r="E549" s="24">
        <f>Data!F549</f>
        <v>545151000000</v>
      </c>
      <c r="F549" s="24">
        <f>Data!H549</f>
        <v>403065000000</v>
      </c>
      <c r="G549" s="24">
        <f t="shared" si="64"/>
        <v>142086000000</v>
      </c>
      <c r="H549" s="24">
        <f>Data!G549</f>
        <v>8650793000000</v>
      </c>
      <c r="I549" s="25">
        <f t="shared" si="65"/>
        <v>0.10774551650929573</v>
      </c>
      <c r="J549" s="24">
        <f>Data!J549</f>
        <v>528871000000</v>
      </c>
      <c r="K549" s="24">
        <f t="shared" si="66"/>
        <v>8650793000000</v>
      </c>
      <c r="L549" s="25">
        <f t="shared" si="67"/>
        <v>0.19930189752546384</v>
      </c>
      <c r="M549" s="24">
        <f>Data!M549</f>
        <v>435222000000</v>
      </c>
      <c r="N549" s="24">
        <f t="shared" si="68"/>
        <v>8650793000000</v>
      </c>
      <c r="O549" s="25">
        <f t="shared" si="69"/>
        <v>0.33808366932372552</v>
      </c>
      <c r="P549" s="24">
        <f>Data!K549</f>
        <v>4525398000000</v>
      </c>
      <c r="Q549" s="24">
        <f>Data!I549</f>
        <v>4125395000000</v>
      </c>
      <c r="R549" s="25">
        <f t="shared" si="70"/>
        <v>1.1518091964527033</v>
      </c>
      <c r="S549" s="25">
        <f t="shared" si="71"/>
        <v>1.7969402798111884</v>
      </c>
    </row>
    <row r="550" spans="1:19" ht="15" customHeight="1" x14ac:dyDescent="0.3">
      <c r="A550" s="22"/>
      <c r="B550" s="23"/>
      <c r="C550" s="3"/>
      <c r="D550" s="23">
        <v>2023</v>
      </c>
      <c r="E550" s="24">
        <f>Data!F550</f>
        <v>667211000000</v>
      </c>
      <c r="F550" s="24">
        <f>Data!H550</f>
        <v>485978000000</v>
      </c>
      <c r="G550" s="24">
        <f t="shared" si="64"/>
        <v>181233000000</v>
      </c>
      <c r="H550" s="24">
        <f>Data!G550</f>
        <v>8978472000000</v>
      </c>
      <c r="I550" s="25">
        <f t="shared" si="65"/>
        <v>0.13241545777499777</v>
      </c>
      <c r="J550" s="24">
        <f>Data!J550</f>
        <v>705746000000</v>
      </c>
      <c r="K550" s="24">
        <f t="shared" si="66"/>
        <v>8978472000000</v>
      </c>
      <c r="L550" s="25">
        <f t="shared" si="67"/>
        <v>0.25624983404748602</v>
      </c>
      <c r="M550" s="24">
        <f>Data!M550</f>
        <v>437691000000</v>
      </c>
      <c r="N550" s="24">
        <f t="shared" si="68"/>
        <v>8978472000000</v>
      </c>
      <c r="O550" s="25">
        <f t="shared" si="69"/>
        <v>0.32759288217416055</v>
      </c>
      <c r="P550" s="24">
        <f>Data!K550</f>
        <v>4741594000000</v>
      </c>
      <c r="Q550" s="24">
        <f>Data!I550</f>
        <v>4236878000000</v>
      </c>
      <c r="R550" s="25">
        <f t="shared" si="70"/>
        <v>1.1750807316141745</v>
      </c>
      <c r="S550" s="25">
        <f t="shared" si="71"/>
        <v>1.8913389056108187</v>
      </c>
    </row>
    <row r="551" spans="1:19" ht="15" customHeight="1" x14ac:dyDescent="0.3">
      <c r="A551" s="22"/>
      <c r="B551" s="23"/>
      <c r="C551" s="3"/>
      <c r="D551" s="23">
        <v>2024</v>
      </c>
      <c r="E551" s="24">
        <f>Data!F551</f>
        <v>652575000000</v>
      </c>
      <c r="F551" s="24">
        <f>Data!H551</f>
        <v>532821000000</v>
      </c>
      <c r="G551" s="24">
        <f t="shared" si="64"/>
        <v>119754000000</v>
      </c>
      <c r="H551" s="24">
        <f>Data!G551</f>
        <v>8986258000000</v>
      </c>
      <c r="I551" s="25">
        <f t="shared" si="65"/>
        <v>8.7420841912173003E-2</v>
      </c>
      <c r="J551" s="24">
        <f>Data!J551</f>
        <v>754481000000</v>
      </c>
      <c r="K551" s="24">
        <f t="shared" si="66"/>
        <v>8986258000000</v>
      </c>
      <c r="L551" s="25">
        <f t="shared" si="67"/>
        <v>0.27370770569907965</v>
      </c>
      <c r="M551" s="24">
        <f>Data!M551</f>
        <v>361932000000</v>
      </c>
      <c r="N551" s="24">
        <f t="shared" si="68"/>
        <v>8986258000000</v>
      </c>
      <c r="O551" s="25">
        <f t="shared" si="69"/>
        <v>0.27065582136635735</v>
      </c>
      <c r="P551" s="24">
        <f>Data!K551</f>
        <v>4711715000000</v>
      </c>
      <c r="Q551" s="24">
        <f>Data!I551</f>
        <v>4274543000000</v>
      </c>
      <c r="R551" s="25">
        <f t="shared" si="70"/>
        <v>1.1573870586867416</v>
      </c>
      <c r="S551" s="25">
        <f t="shared" si="71"/>
        <v>1.7891714276643516</v>
      </c>
    </row>
    <row r="552" spans="1:19" ht="15" customHeight="1" x14ac:dyDescent="0.3">
      <c r="A552" s="22"/>
      <c r="B552" s="23">
        <v>51</v>
      </c>
      <c r="C552" s="3" t="s">
        <v>48</v>
      </c>
      <c r="D552" s="23">
        <v>2014</v>
      </c>
      <c r="E552" s="24">
        <f>Data!F552</f>
        <v>0</v>
      </c>
      <c r="F552" s="24">
        <f>Data!H552</f>
        <v>0</v>
      </c>
      <c r="G552" s="24">
        <f t="shared" si="64"/>
        <v>0</v>
      </c>
      <c r="H552" s="24">
        <f>Data!G552</f>
        <v>0</v>
      </c>
      <c r="I552" s="25">
        <f t="shared" si="65"/>
        <v>0</v>
      </c>
      <c r="J552" s="24">
        <f>Data!J552</f>
        <v>0</v>
      </c>
      <c r="K552" s="24">
        <f t="shared" si="66"/>
        <v>0</v>
      </c>
      <c r="L552" s="25">
        <f t="shared" si="67"/>
        <v>0</v>
      </c>
      <c r="M552" s="24">
        <f>Data!M552</f>
        <v>0</v>
      </c>
      <c r="N552" s="24">
        <f t="shared" si="68"/>
        <v>0</v>
      </c>
      <c r="O552" s="25">
        <f t="shared" si="69"/>
        <v>0</v>
      </c>
      <c r="P552" s="24">
        <f>Data!K552</f>
        <v>0</v>
      </c>
      <c r="Q552" s="24">
        <f>Data!I552</f>
        <v>0</v>
      </c>
      <c r="R552" s="25">
        <f t="shared" si="70"/>
        <v>0</v>
      </c>
      <c r="S552" s="25">
        <f t="shared" si="71"/>
        <v>0</v>
      </c>
    </row>
    <row r="553" spans="1:19" ht="15" customHeight="1" x14ac:dyDescent="0.3">
      <c r="A553" s="22"/>
      <c r="B553" s="23"/>
      <c r="C553" s="3"/>
      <c r="D553" s="23">
        <v>2015</v>
      </c>
      <c r="E553" s="24">
        <f>Data!F553</f>
        <v>0</v>
      </c>
      <c r="F553" s="24">
        <f>Data!H553</f>
        <v>0</v>
      </c>
      <c r="G553" s="24">
        <f t="shared" si="64"/>
        <v>0</v>
      </c>
      <c r="H553" s="24">
        <f>Data!G553</f>
        <v>0</v>
      </c>
      <c r="I553" s="25">
        <f t="shared" si="65"/>
        <v>0</v>
      </c>
      <c r="J553" s="24">
        <f>Data!J553</f>
        <v>0</v>
      </c>
      <c r="K553" s="24">
        <f t="shared" si="66"/>
        <v>0</v>
      </c>
      <c r="L553" s="25">
        <f t="shared" si="67"/>
        <v>0</v>
      </c>
      <c r="M553" s="24">
        <f>Data!M553</f>
        <v>0</v>
      </c>
      <c r="N553" s="24">
        <f t="shared" si="68"/>
        <v>0</v>
      </c>
      <c r="O553" s="25">
        <f t="shared" si="69"/>
        <v>0</v>
      </c>
      <c r="P553" s="24">
        <f>Data!K553</f>
        <v>0</v>
      </c>
      <c r="Q553" s="24">
        <f>Data!I553</f>
        <v>0</v>
      </c>
      <c r="R553" s="25">
        <f t="shared" si="70"/>
        <v>0</v>
      </c>
      <c r="S553" s="25">
        <f t="shared" si="71"/>
        <v>0</v>
      </c>
    </row>
    <row r="554" spans="1:19" ht="15" customHeight="1" x14ac:dyDescent="0.3">
      <c r="A554" s="22"/>
      <c r="B554" s="23"/>
      <c r="C554" s="3"/>
      <c r="D554" s="23">
        <v>2016</v>
      </c>
      <c r="E554" s="24">
        <f>Data!F554</f>
        <v>0</v>
      </c>
      <c r="F554" s="24">
        <f>Data!H554</f>
        <v>0</v>
      </c>
      <c r="G554" s="24">
        <f t="shared" si="64"/>
        <v>0</v>
      </c>
      <c r="H554" s="24">
        <f>Data!G554</f>
        <v>0</v>
      </c>
      <c r="I554" s="25">
        <f t="shared" si="65"/>
        <v>0</v>
      </c>
      <c r="J554" s="24">
        <f>Data!J554</f>
        <v>0</v>
      </c>
      <c r="K554" s="24">
        <f t="shared" si="66"/>
        <v>0</v>
      </c>
      <c r="L554" s="25">
        <f t="shared" si="67"/>
        <v>0</v>
      </c>
      <c r="M554" s="24">
        <f>Data!M554</f>
        <v>0</v>
      </c>
      <c r="N554" s="24">
        <f t="shared" si="68"/>
        <v>0</v>
      </c>
      <c r="O554" s="25">
        <f t="shared" si="69"/>
        <v>0</v>
      </c>
      <c r="P554" s="24">
        <f>Data!K554</f>
        <v>0</v>
      </c>
      <c r="Q554" s="24">
        <f>Data!I554</f>
        <v>0</v>
      </c>
      <c r="R554" s="25">
        <f t="shared" si="70"/>
        <v>0</v>
      </c>
      <c r="S554" s="25">
        <f t="shared" si="71"/>
        <v>0</v>
      </c>
    </row>
    <row r="555" spans="1:19" ht="15" customHeight="1" x14ac:dyDescent="0.3">
      <c r="A555" s="22"/>
      <c r="B555" s="23"/>
      <c r="C555" s="3"/>
      <c r="D555" s="23">
        <v>2017</v>
      </c>
      <c r="E555" s="24">
        <f>Data!F555</f>
        <v>0</v>
      </c>
      <c r="F555" s="24">
        <f>Data!H555</f>
        <v>0</v>
      </c>
      <c r="G555" s="24">
        <f t="shared" si="64"/>
        <v>0</v>
      </c>
      <c r="H555" s="24">
        <f>Data!G555</f>
        <v>0</v>
      </c>
      <c r="I555" s="25">
        <f t="shared" si="65"/>
        <v>0</v>
      </c>
      <c r="J555" s="24">
        <f>Data!J555</f>
        <v>0</v>
      </c>
      <c r="K555" s="24">
        <f t="shared" si="66"/>
        <v>0</v>
      </c>
      <c r="L555" s="25">
        <f t="shared" si="67"/>
        <v>0</v>
      </c>
      <c r="M555" s="24">
        <f>Data!M555</f>
        <v>0</v>
      </c>
      <c r="N555" s="24">
        <f t="shared" si="68"/>
        <v>0</v>
      </c>
      <c r="O555" s="25">
        <f t="shared" si="69"/>
        <v>0</v>
      </c>
      <c r="P555" s="24">
        <f>Data!K555</f>
        <v>0</v>
      </c>
      <c r="Q555" s="24">
        <f>Data!I555</f>
        <v>0</v>
      </c>
      <c r="R555" s="25">
        <f t="shared" si="70"/>
        <v>0</v>
      </c>
      <c r="S555" s="25">
        <f t="shared" si="71"/>
        <v>0</v>
      </c>
    </row>
    <row r="556" spans="1:19" ht="15" customHeight="1" x14ac:dyDescent="0.3">
      <c r="A556" s="22"/>
      <c r="B556" s="23"/>
      <c r="C556" s="3"/>
      <c r="D556" s="23">
        <v>2018</v>
      </c>
      <c r="E556" s="24">
        <f>Data!F556</f>
        <v>0</v>
      </c>
      <c r="F556" s="24">
        <f>Data!H556</f>
        <v>0</v>
      </c>
      <c r="G556" s="24">
        <f t="shared" si="64"/>
        <v>0</v>
      </c>
      <c r="H556" s="24">
        <f>Data!G556</f>
        <v>0</v>
      </c>
      <c r="I556" s="25">
        <f t="shared" si="65"/>
        <v>0</v>
      </c>
      <c r="J556" s="24">
        <f>Data!J556</f>
        <v>0</v>
      </c>
      <c r="K556" s="24">
        <f t="shared" si="66"/>
        <v>0</v>
      </c>
      <c r="L556" s="25">
        <f t="shared" si="67"/>
        <v>0</v>
      </c>
      <c r="M556" s="24">
        <f>Data!M556</f>
        <v>0</v>
      </c>
      <c r="N556" s="24">
        <f t="shared" si="68"/>
        <v>0</v>
      </c>
      <c r="O556" s="25">
        <f t="shared" si="69"/>
        <v>0</v>
      </c>
      <c r="P556" s="24">
        <f>Data!K556</f>
        <v>0</v>
      </c>
      <c r="Q556" s="24">
        <f>Data!I556</f>
        <v>0</v>
      </c>
      <c r="R556" s="25">
        <f t="shared" si="70"/>
        <v>0</v>
      </c>
      <c r="S556" s="25">
        <f t="shared" si="71"/>
        <v>0</v>
      </c>
    </row>
    <row r="557" spans="1:19" ht="15" customHeight="1" x14ac:dyDescent="0.3">
      <c r="A557" s="22"/>
      <c r="B557" s="23"/>
      <c r="C557" s="3"/>
      <c r="D557" s="23">
        <v>2019</v>
      </c>
      <c r="E557" s="24">
        <f>Data!F557</f>
        <v>98945000000</v>
      </c>
      <c r="F557" s="24">
        <f>Data!H557</f>
        <v>44411000000</v>
      </c>
      <c r="G557" s="24">
        <f t="shared" si="64"/>
        <v>54534000000</v>
      </c>
      <c r="H557" s="24">
        <f>Data!G557</f>
        <v>1697933000000</v>
      </c>
      <c r="I557" s="25">
        <f t="shared" si="65"/>
        <v>0.21069326057035229</v>
      </c>
      <c r="J557" s="24">
        <f>Data!J557</f>
        <v>-235654000000</v>
      </c>
      <c r="K557" s="24">
        <f t="shared" si="66"/>
        <v>1697933000000</v>
      </c>
      <c r="L557" s="25">
        <f t="shared" si="67"/>
        <v>-0.45245132758477513</v>
      </c>
      <c r="M557" s="24">
        <f>Data!M557</f>
        <v>383000000</v>
      </c>
      <c r="N557" s="24">
        <f t="shared" si="68"/>
        <v>1697933000000</v>
      </c>
      <c r="O557" s="25">
        <f t="shared" si="69"/>
        <v>1.5158195288035511E-3</v>
      </c>
      <c r="P557" s="24">
        <f>Data!K557</f>
        <v>163700000000</v>
      </c>
      <c r="Q557" s="24">
        <f>Data!I557</f>
        <v>1534233000000</v>
      </c>
      <c r="R557" s="25">
        <f t="shared" si="70"/>
        <v>0.11203317879357308</v>
      </c>
      <c r="S557" s="25">
        <f t="shared" si="71"/>
        <v>-0.12820906869204621</v>
      </c>
    </row>
    <row r="558" spans="1:19" ht="15" customHeight="1" x14ac:dyDescent="0.3">
      <c r="A558" s="22"/>
      <c r="B558" s="23"/>
      <c r="C558" s="3"/>
      <c r="D558" s="23">
        <v>2020</v>
      </c>
      <c r="E558" s="24">
        <f>Data!F558</f>
        <v>169627000000</v>
      </c>
      <c r="F558" s="24">
        <f>Data!H558</f>
        <v>95681000000</v>
      </c>
      <c r="G558" s="24">
        <f t="shared" si="64"/>
        <v>73946000000</v>
      </c>
      <c r="H558" s="24">
        <f>Data!G558</f>
        <v>1957853000000</v>
      </c>
      <c r="I558" s="25">
        <f t="shared" si="65"/>
        <v>0.24776413755271717</v>
      </c>
      <c r="J558" s="24">
        <f>Data!J558</f>
        <v>-217267000000</v>
      </c>
      <c r="K558" s="24">
        <f t="shared" si="66"/>
        <v>1957853000000</v>
      </c>
      <c r="L558" s="25">
        <f t="shared" si="67"/>
        <v>-0.36176894792407804</v>
      </c>
      <c r="M558" s="24">
        <f>Data!M558</f>
        <v>-1764000000</v>
      </c>
      <c r="N558" s="24">
        <f t="shared" si="68"/>
        <v>1957853000000</v>
      </c>
      <c r="O558" s="25">
        <f t="shared" si="69"/>
        <v>-6.0546322936400228E-3</v>
      </c>
      <c r="P558" s="24">
        <f>Data!K558</f>
        <v>329512000000</v>
      </c>
      <c r="Q558" s="24">
        <f>Data!I558</f>
        <v>1628341000000</v>
      </c>
      <c r="R558" s="25">
        <f t="shared" si="70"/>
        <v>0.2124785901724516</v>
      </c>
      <c r="S558" s="25">
        <f t="shared" si="71"/>
        <v>9.2419147507450713E-2</v>
      </c>
    </row>
    <row r="559" spans="1:19" ht="15" customHeight="1" x14ac:dyDescent="0.3">
      <c r="A559" s="22"/>
      <c r="B559" s="23"/>
      <c r="C559" s="3"/>
      <c r="D559" s="23">
        <v>2021</v>
      </c>
      <c r="E559" s="24">
        <f>Data!F559</f>
        <v>264200699999.99994</v>
      </c>
      <c r="F559" s="24">
        <f>Data!H559</f>
        <v>76167000000</v>
      </c>
      <c r="G559" s="24">
        <f t="shared" si="64"/>
        <v>188033699999.99994</v>
      </c>
      <c r="H559" s="24">
        <f>Data!G559</f>
        <v>2100153000000</v>
      </c>
      <c r="I559" s="25">
        <f t="shared" si="65"/>
        <v>0.58733867103968118</v>
      </c>
      <c r="J559" s="24">
        <f>Data!J559</f>
        <v>-168313000000</v>
      </c>
      <c r="K559" s="24">
        <f t="shared" si="66"/>
        <v>2100153000000</v>
      </c>
      <c r="L559" s="25">
        <f t="shared" si="67"/>
        <v>-0.26126686008114641</v>
      </c>
      <c r="M559" s="24">
        <f>Data!M559</f>
        <v>49748000000</v>
      </c>
      <c r="N559" s="24">
        <f t="shared" si="68"/>
        <v>2100153000000</v>
      </c>
      <c r="O559" s="25">
        <f t="shared" si="69"/>
        <v>0.15918200245410691</v>
      </c>
      <c r="P559" s="24">
        <f>Data!K559</f>
        <v>356219000000</v>
      </c>
      <c r="Q559" s="24">
        <f>Data!I559</f>
        <v>1743934000000</v>
      </c>
      <c r="R559" s="25">
        <f t="shared" si="70"/>
        <v>0.2144748310429179</v>
      </c>
      <c r="S559" s="25">
        <f t="shared" si="71"/>
        <v>0.6997286444555596</v>
      </c>
    </row>
    <row r="560" spans="1:19" ht="15" customHeight="1" x14ac:dyDescent="0.3">
      <c r="A560" s="22"/>
      <c r="B560" s="23"/>
      <c r="C560" s="3"/>
      <c r="D560" s="23">
        <v>2022</v>
      </c>
      <c r="E560" s="24">
        <f>Data!F560</f>
        <v>430709000000</v>
      </c>
      <c r="F560" s="24">
        <f>Data!H560</f>
        <v>208363000000</v>
      </c>
      <c r="G560" s="24">
        <f t="shared" si="64"/>
        <v>222346000000</v>
      </c>
      <c r="H560" s="24">
        <f>Data!G560</f>
        <v>2377506000000</v>
      </c>
      <c r="I560" s="25">
        <f t="shared" si="65"/>
        <v>0.61349572198766267</v>
      </c>
      <c r="J560" s="24">
        <f>Data!J560</f>
        <v>-87338000000</v>
      </c>
      <c r="K560" s="24">
        <f t="shared" si="66"/>
        <v>2377506000000</v>
      </c>
      <c r="L560" s="25">
        <f t="shared" si="67"/>
        <v>-0.11975653478897633</v>
      </c>
      <c r="M560" s="24">
        <f>Data!M560</f>
        <v>72016000000</v>
      </c>
      <c r="N560" s="24">
        <f t="shared" si="68"/>
        <v>2377506000000</v>
      </c>
      <c r="O560" s="25">
        <f t="shared" si="69"/>
        <v>0.20355259671268969</v>
      </c>
      <c r="P560" s="24">
        <f>Data!K560</f>
        <v>422277000000</v>
      </c>
      <c r="Q560" s="24">
        <f>Data!I560</f>
        <v>1955230000000</v>
      </c>
      <c r="R560" s="25">
        <f t="shared" si="70"/>
        <v>0.2267717097221299</v>
      </c>
      <c r="S560" s="25">
        <f t="shared" si="71"/>
        <v>0.92406349363350593</v>
      </c>
    </row>
    <row r="561" spans="1:19" ht="15" customHeight="1" x14ac:dyDescent="0.3">
      <c r="A561" s="22"/>
      <c r="B561" s="23"/>
      <c r="C561" s="3"/>
      <c r="D561" s="23">
        <v>2023</v>
      </c>
      <c r="E561" s="24">
        <f>Data!F561</f>
        <v>297443000000</v>
      </c>
      <c r="F561" s="24">
        <f>Data!H561</f>
        <v>151372000000</v>
      </c>
      <c r="G561" s="24">
        <f t="shared" si="64"/>
        <v>146071000000</v>
      </c>
      <c r="H561" s="24">
        <f>Data!G561</f>
        <v>2877857000000</v>
      </c>
      <c r="I561" s="25">
        <f t="shared" si="65"/>
        <v>0.33296503613626388</v>
      </c>
      <c r="J561" s="24">
        <f>Data!J561</f>
        <v>316000000</v>
      </c>
      <c r="K561" s="24">
        <f t="shared" si="66"/>
        <v>2877857000000</v>
      </c>
      <c r="L561" s="25">
        <f t="shared" si="67"/>
        <v>3.5796080208293874E-4</v>
      </c>
      <c r="M561" s="24">
        <f>Data!M561</f>
        <v>92117000000</v>
      </c>
      <c r="N561" s="24">
        <f t="shared" si="68"/>
        <v>2877857000000</v>
      </c>
      <c r="O561" s="25">
        <f t="shared" si="69"/>
        <v>0.21509972177213807</v>
      </c>
      <c r="P561" s="24">
        <f>Data!K561</f>
        <v>515777000000</v>
      </c>
      <c r="Q561" s="24">
        <f>Data!I561</f>
        <v>2326080000000</v>
      </c>
      <c r="R561" s="25">
        <f t="shared" si="70"/>
        <v>0.23282339816343378</v>
      </c>
      <c r="S561" s="25">
        <f t="shared" si="71"/>
        <v>0.78124611687391865</v>
      </c>
    </row>
    <row r="562" spans="1:19" ht="15" customHeight="1" x14ac:dyDescent="0.3">
      <c r="A562" s="22"/>
      <c r="B562" s="23"/>
      <c r="C562" s="3"/>
      <c r="D562" s="23">
        <v>2024</v>
      </c>
      <c r="E562" s="24">
        <f>Data!F562</f>
        <v>241972000000</v>
      </c>
      <c r="F562" s="24">
        <f>Data!H562</f>
        <v>128256000000</v>
      </c>
      <c r="G562" s="24">
        <f t="shared" si="64"/>
        <v>113716000000</v>
      </c>
      <c r="H562" s="24">
        <f>Data!G562</f>
        <v>3111702000000</v>
      </c>
      <c r="I562" s="25">
        <f t="shared" si="65"/>
        <v>0.23973277646766944</v>
      </c>
      <c r="J562" s="24">
        <f>Data!J562</f>
        <v>97154000000</v>
      </c>
      <c r="K562" s="24">
        <f t="shared" si="66"/>
        <v>3111702000000</v>
      </c>
      <c r="L562" s="25">
        <f t="shared" si="67"/>
        <v>0.10178418113302623</v>
      </c>
      <c r="M562" s="24">
        <f>Data!M562</f>
        <v>103156000000</v>
      </c>
      <c r="N562" s="24">
        <f t="shared" si="68"/>
        <v>3111702000000</v>
      </c>
      <c r="O562" s="25">
        <f t="shared" si="69"/>
        <v>0.22277464872921637</v>
      </c>
      <c r="P562" s="24">
        <f>Data!K562</f>
        <v>606065000000</v>
      </c>
      <c r="Q562" s="24">
        <f>Data!I562</f>
        <v>2505638000000</v>
      </c>
      <c r="R562" s="25">
        <f t="shared" si="70"/>
        <v>0.2539745366250033</v>
      </c>
      <c r="S562" s="25">
        <f t="shared" si="71"/>
        <v>0.8182661429549154</v>
      </c>
    </row>
    <row r="563" spans="1:19" ht="15" customHeight="1" x14ac:dyDescent="0.3">
      <c r="A563" s="22"/>
      <c r="B563" s="23">
        <v>52</v>
      </c>
      <c r="C563" s="3" t="s">
        <v>37</v>
      </c>
      <c r="D563" s="23">
        <v>2014</v>
      </c>
      <c r="E563" s="24">
        <f>Data!F563</f>
        <v>0</v>
      </c>
      <c r="F563" s="24">
        <f>Data!H563</f>
        <v>0</v>
      </c>
      <c r="G563" s="24">
        <f t="shared" si="64"/>
        <v>0</v>
      </c>
      <c r="H563" s="24">
        <f>Data!G563</f>
        <v>0</v>
      </c>
      <c r="I563" s="25">
        <f t="shared" si="65"/>
        <v>0</v>
      </c>
      <c r="J563" s="24">
        <f>Data!J563</f>
        <v>0</v>
      </c>
      <c r="K563" s="24">
        <f t="shared" si="66"/>
        <v>0</v>
      </c>
      <c r="L563" s="25">
        <f t="shared" si="67"/>
        <v>0</v>
      </c>
      <c r="M563" s="24">
        <f>Data!M563</f>
        <v>0</v>
      </c>
      <c r="N563" s="24">
        <f t="shared" si="68"/>
        <v>0</v>
      </c>
      <c r="O563" s="25">
        <f t="shared" si="69"/>
        <v>0</v>
      </c>
      <c r="P563" s="24">
        <f>Data!K563</f>
        <v>0</v>
      </c>
      <c r="Q563" s="24">
        <f>Data!I563</f>
        <v>0</v>
      </c>
      <c r="R563" s="25">
        <f t="shared" si="70"/>
        <v>0</v>
      </c>
      <c r="S563" s="25">
        <f t="shared" si="71"/>
        <v>0</v>
      </c>
    </row>
    <row r="564" spans="1:19" ht="15" customHeight="1" x14ac:dyDescent="0.3">
      <c r="A564" s="22"/>
      <c r="B564" s="23"/>
      <c r="C564" s="3"/>
      <c r="D564" s="23">
        <v>2015</v>
      </c>
      <c r="E564" s="24">
        <f>Data!F564</f>
        <v>17005000000</v>
      </c>
      <c r="F564" s="24">
        <f>Data!H564</f>
        <v>16676000000</v>
      </c>
      <c r="G564" s="24">
        <f t="shared" si="64"/>
        <v>329000000</v>
      </c>
      <c r="H564" s="24">
        <f>Data!G564</f>
        <v>233945000000</v>
      </c>
      <c r="I564" s="25">
        <f t="shared" si="65"/>
        <v>9.2254162303105434E-3</v>
      </c>
      <c r="J564" s="24">
        <f>Data!J564</f>
        <v>42927000000</v>
      </c>
      <c r="K564" s="24">
        <f t="shared" si="66"/>
        <v>233945000000</v>
      </c>
      <c r="L564" s="25">
        <f t="shared" si="67"/>
        <v>0.59818341917972173</v>
      </c>
      <c r="M564" s="24">
        <f>Data!M564</f>
        <v>46330000000</v>
      </c>
      <c r="N564" s="24">
        <f t="shared" si="68"/>
        <v>233945000000</v>
      </c>
      <c r="O564" s="25">
        <f t="shared" si="69"/>
        <v>1.330815362585223</v>
      </c>
      <c r="P564" s="24">
        <f>Data!K564</f>
        <v>142763000000</v>
      </c>
      <c r="Q564" s="24">
        <f>Data!I564</f>
        <v>91182000000</v>
      </c>
      <c r="R564" s="25">
        <f t="shared" si="70"/>
        <v>1.6439774297558729</v>
      </c>
      <c r="S564" s="25">
        <f t="shared" si="71"/>
        <v>3.5822016277511279</v>
      </c>
    </row>
    <row r="565" spans="1:19" ht="15" customHeight="1" x14ac:dyDescent="0.3">
      <c r="A565" s="22"/>
      <c r="B565" s="23"/>
      <c r="C565" s="3"/>
      <c r="D565" s="23">
        <v>2016</v>
      </c>
      <c r="E565" s="24">
        <f>Data!F565</f>
        <v>78793000000</v>
      </c>
      <c r="F565" s="24">
        <f>Data!H565</f>
        <v>28414000000</v>
      </c>
      <c r="G565" s="24">
        <f t="shared" si="64"/>
        <v>50379000000</v>
      </c>
      <c r="H565" s="24">
        <f>Data!G565</f>
        <v>423296000000</v>
      </c>
      <c r="I565" s="25">
        <f t="shared" si="65"/>
        <v>0.78074501058361045</v>
      </c>
      <c r="J565" s="24">
        <f>Data!J565</f>
        <v>116701000000</v>
      </c>
      <c r="K565" s="24">
        <f t="shared" si="66"/>
        <v>423296000000</v>
      </c>
      <c r="L565" s="25">
        <f t="shared" si="67"/>
        <v>0.89876885205624435</v>
      </c>
      <c r="M565" s="24">
        <f>Data!M565</f>
        <v>94506000000</v>
      </c>
      <c r="N565" s="24">
        <f t="shared" si="68"/>
        <v>423296000000</v>
      </c>
      <c r="O565" s="25">
        <f t="shared" si="69"/>
        <v>1.5003220441487752</v>
      </c>
      <c r="P565" s="24">
        <f>Data!K565</f>
        <v>216345000000</v>
      </c>
      <c r="Q565" s="24">
        <f>Data!I565</f>
        <v>206951000000</v>
      </c>
      <c r="R565" s="25">
        <f t="shared" si="70"/>
        <v>1.0976620069485046</v>
      </c>
      <c r="S565" s="25">
        <f t="shared" si="71"/>
        <v>4.2774979137371343</v>
      </c>
    </row>
    <row r="566" spans="1:19" ht="15" customHeight="1" x14ac:dyDescent="0.3">
      <c r="A566" s="22"/>
      <c r="B566" s="23"/>
      <c r="C566" s="3"/>
      <c r="D566" s="23">
        <v>2017</v>
      </c>
      <c r="E566" s="24">
        <f>Data!F566</f>
        <v>73567000000</v>
      </c>
      <c r="F566" s="24">
        <f>Data!H566</f>
        <v>43747000000</v>
      </c>
      <c r="G566" s="24">
        <f t="shared" si="64"/>
        <v>29820000000</v>
      </c>
      <c r="H566" s="24">
        <f>Data!G566</f>
        <v>741105000000</v>
      </c>
      <c r="I566" s="25">
        <f t="shared" si="65"/>
        <v>0.26395611957819737</v>
      </c>
      <c r="J566" s="24">
        <f>Data!J566</f>
        <v>87358000000</v>
      </c>
      <c r="K566" s="24">
        <f t="shared" si="66"/>
        <v>741105000000</v>
      </c>
      <c r="L566" s="25">
        <f t="shared" si="67"/>
        <v>0.38427359146139883</v>
      </c>
      <c r="M566" s="24">
        <f>Data!M566</f>
        <v>108706000000</v>
      </c>
      <c r="N566" s="24">
        <f t="shared" si="68"/>
        <v>741105000000</v>
      </c>
      <c r="O566" s="25">
        <f t="shared" si="69"/>
        <v>0.98569611593498896</v>
      </c>
      <c r="P566" s="24">
        <f>Data!K566</f>
        <v>303026000000</v>
      </c>
      <c r="Q566" s="24">
        <f>Data!I566</f>
        <v>438079000000</v>
      </c>
      <c r="R566" s="25">
        <f t="shared" si="70"/>
        <v>0.72630119225071277</v>
      </c>
      <c r="S566" s="25">
        <f t="shared" si="71"/>
        <v>2.3602270192252979</v>
      </c>
    </row>
    <row r="567" spans="1:19" ht="15" customHeight="1" x14ac:dyDescent="0.3">
      <c r="A567" s="22"/>
      <c r="B567" s="23"/>
      <c r="C567" s="3"/>
      <c r="D567" s="23">
        <v>2018</v>
      </c>
      <c r="E567" s="24">
        <f>Data!F567</f>
        <v>64637000000</v>
      </c>
      <c r="F567" s="24">
        <f>Data!H567</f>
        <v>57508000000</v>
      </c>
      <c r="G567" s="24">
        <f t="shared" si="64"/>
        <v>7129000000</v>
      </c>
      <c r="H567" s="24">
        <f>Data!G567</f>
        <v>1011939000000</v>
      </c>
      <c r="I567" s="25">
        <f t="shared" si="65"/>
        <v>4.6214485260475183E-2</v>
      </c>
      <c r="J567" s="24">
        <f>Data!J567</f>
        <v>60045000000</v>
      </c>
      <c r="K567" s="24">
        <f t="shared" si="66"/>
        <v>1011939000000</v>
      </c>
      <c r="L567" s="25">
        <f t="shared" si="67"/>
        <v>0.19343725264072242</v>
      </c>
      <c r="M567" s="24">
        <f>Data!M567</f>
        <v>87796000000</v>
      </c>
      <c r="N567" s="24">
        <f t="shared" si="68"/>
        <v>1011939000000</v>
      </c>
      <c r="O567" s="25">
        <f t="shared" si="69"/>
        <v>0.58302834459389352</v>
      </c>
      <c r="P567" s="24">
        <f>Data!K567</f>
        <v>275220000000</v>
      </c>
      <c r="Q567" s="24">
        <f>Data!I567</f>
        <v>736719000000</v>
      </c>
      <c r="R567" s="25">
        <f t="shared" si="70"/>
        <v>0.39225403444189716</v>
      </c>
      <c r="S567" s="25">
        <f t="shared" si="71"/>
        <v>1.2149341169369883</v>
      </c>
    </row>
    <row r="568" spans="1:19" ht="15" customHeight="1" x14ac:dyDescent="0.3">
      <c r="A568" s="22"/>
      <c r="B568" s="23"/>
      <c r="C568" s="3"/>
      <c r="D568" s="23">
        <v>2019</v>
      </c>
      <c r="E568" s="24">
        <f>Data!F568</f>
        <v>70171000000</v>
      </c>
      <c r="F568" s="24">
        <f>Data!H568</f>
        <v>91711000000</v>
      </c>
      <c r="G568" s="24">
        <f t="shared" si="64"/>
        <v>-21540000000</v>
      </c>
      <c r="H568" s="24">
        <f>Data!G568</f>
        <v>1335416000000</v>
      </c>
      <c r="I568" s="25">
        <f t="shared" si="65"/>
        <v>-0.10581152240200806</v>
      </c>
      <c r="J568" s="24">
        <f>Data!J568</f>
        <v>54936000000</v>
      </c>
      <c r="K568" s="24">
        <f t="shared" si="66"/>
        <v>1335416000000</v>
      </c>
      <c r="L568" s="25">
        <f t="shared" si="67"/>
        <v>0.13410904167690069</v>
      </c>
      <c r="M568" s="24">
        <f>Data!M568</f>
        <v>70840000000</v>
      </c>
      <c r="N568" s="24">
        <f t="shared" si="68"/>
        <v>1335416000000</v>
      </c>
      <c r="O568" s="25">
        <f t="shared" si="69"/>
        <v>0.35647678326454074</v>
      </c>
      <c r="P568" s="24">
        <f>Data!K568</f>
        <v>268893000000</v>
      </c>
      <c r="Q568" s="24">
        <f>Data!I568</f>
        <v>1066523000000</v>
      </c>
      <c r="R568" s="25">
        <f t="shared" si="70"/>
        <v>0.26472720232006247</v>
      </c>
      <c r="S568" s="25">
        <f t="shared" si="71"/>
        <v>0.64950150485949587</v>
      </c>
    </row>
    <row r="569" spans="1:19" ht="15" customHeight="1" x14ac:dyDescent="0.3">
      <c r="A569" s="22"/>
      <c r="B569" s="23"/>
      <c r="C569" s="3"/>
      <c r="D569" s="23">
        <v>2020</v>
      </c>
      <c r="E569" s="24">
        <f>Data!F569</f>
        <v>72826000000</v>
      </c>
      <c r="F569" s="24">
        <f>Data!H569</f>
        <v>126756000000</v>
      </c>
      <c r="G569" s="24">
        <f t="shared" si="64"/>
        <v>-53930000000</v>
      </c>
      <c r="H569" s="24">
        <f>Data!G569</f>
        <v>1779231000000</v>
      </c>
      <c r="I569" s="25">
        <f t="shared" si="65"/>
        <v>-0.19883916141299246</v>
      </c>
      <c r="J569" s="24">
        <f>Data!J569</f>
        <v>105322000000</v>
      </c>
      <c r="K569" s="24">
        <f t="shared" si="66"/>
        <v>1779231000000</v>
      </c>
      <c r="L569" s="25">
        <f t="shared" si="67"/>
        <v>0.19297647129574516</v>
      </c>
      <c r="M569" s="24">
        <f>Data!M569</f>
        <v>60421000000</v>
      </c>
      <c r="N569" s="24">
        <f t="shared" si="68"/>
        <v>1779231000000</v>
      </c>
      <c r="O569" s="25">
        <f t="shared" si="69"/>
        <v>0.22820483680871118</v>
      </c>
      <c r="P569" s="24">
        <f>Data!K569</f>
        <v>320301000000</v>
      </c>
      <c r="Q569" s="24">
        <f>Data!I569</f>
        <v>1458930000000</v>
      </c>
      <c r="R569" s="25">
        <f t="shared" si="70"/>
        <v>0.23052240340523536</v>
      </c>
      <c r="S569" s="25">
        <f t="shared" si="71"/>
        <v>0.45286455009669924</v>
      </c>
    </row>
    <row r="570" spans="1:19" ht="15" customHeight="1" x14ac:dyDescent="0.3">
      <c r="A570" s="22"/>
      <c r="B570" s="23"/>
      <c r="C570" s="3"/>
      <c r="D570" s="23">
        <v>2021</v>
      </c>
      <c r="E570" s="24">
        <f>Data!F570</f>
        <v>104188000000</v>
      </c>
      <c r="F570" s="24">
        <f>Data!H570</f>
        <v>115737000000</v>
      </c>
      <c r="G570" s="24">
        <f t="shared" si="64"/>
        <v>-11549000000</v>
      </c>
      <c r="H570" s="24">
        <f>Data!G570</f>
        <v>2080340000000</v>
      </c>
      <c r="I570" s="25">
        <f t="shared" si="65"/>
        <v>-3.6417816318486396E-2</v>
      </c>
      <c r="J570" s="24">
        <f>Data!J570</f>
        <v>152447000000</v>
      </c>
      <c r="K570" s="24">
        <f t="shared" si="66"/>
        <v>2080340000000</v>
      </c>
      <c r="L570" s="25">
        <f t="shared" si="67"/>
        <v>0.23889230606535472</v>
      </c>
      <c r="M570" s="24">
        <f>Data!M570</f>
        <v>56653000000</v>
      </c>
      <c r="N570" s="24">
        <f t="shared" si="68"/>
        <v>2080340000000</v>
      </c>
      <c r="O570" s="25">
        <f t="shared" si="69"/>
        <v>0.18300285530249863</v>
      </c>
      <c r="P570" s="24">
        <f>Data!K570</f>
        <v>368124000000</v>
      </c>
      <c r="Q570" s="24">
        <f>Data!I570</f>
        <v>1712216000000</v>
      </c>
      <c r="R570" s="25">
        <f t="shared" si="70"/>
        <v>0.22574850369345925</v>
      </c>
      <c r="S570" s="25">
        <f t="shared" si="71"/>
        <v>0.61122584874282615</v>
      </c>
    </row>
    <row r="571" spans="1:19" ht="15" customHeight="1" x14ac:dyDescent="0.3">
      <c r="A571" s="22"/>
      <c r="B571" s="23"/>
      <c r="C571" s="3"/>
      <c r="D571" s="23">
        <v>2022</v>
      </c>
      <c r="E571" s="24">
        <f>Data!F571</f>
        <v>79609000000</v>
      </c>
      <c r="F571" s="24">
        <f>Data!H571</f>
        <v>131702000000</v>
      </c>
      <c r="G571" s="24">
        <f t="shared" si="64"/>
        <v>-52093000000</v>
      </c>
      <c r="H571" s="24">
        <f>Data!G571</f>
        <v>1986810000000</v>
      </c>
      <c r="I571" s="25">
        <f t="shared" si="65"/>
        <v>-0.17199937588395467</v>
      </c>
      <c r="J571" s="24">
        <f>Data!J571</f>
        <v>214229000000</v>
      </c>
      <c r="K571" s="24">
        <f t="shared" si="66"/>
        <v>1986810000000</v>
      </c>
      <c r="L571" s="25">
        <f t="shared" si="67"/>
        <v>0.35151148826510836</v>
      </c>
      <c r="M571" s="24">
        <f>Data!M571</f>
        <v>74874000000</v>
      </c>
      <c r="N571" s="24">
        <f t="shared" si="68"/>
        <v>1986810000000</v>
      </c>
      <c r="O571" s="25">
        <f t="shared" si="69"/>
        <v>0.25324680266356625</v>
      </c>
      <c r="P571" s="24">
        <f>Data!K571</f>
        <v>426613000000</v>
      </c>
      <c r="Q571" s="24">
        <f>Data!I571</f>
        <v>1560197000000</v>
      </c>
      <c r="R571" s="25">
        <f t="shared" si="70"/>
        <v>0.28710710890996455</v>
      </c>
      <c r="S571" s="25">
        <f t="shared" si="71"/>
        <v>0.71986602395468458</v>
      </c>
    </row>
    <row r="572" spans="1:19" ht="15" customHeight="1" x14ac:dyDescent="0.3">
      <c r="A572" s="22"/>
      <c r="B572" s="23"/>
      <c r="C572" s="3"/>
      <c r="D572" s="23">
        <v>2023</v>
      </c>
      <c r="E572" s="24">
        <f>Data!F572</f>
        <v>73259000000</v>
      </c>
      <c r="F572" s="24">
        <f>Data!H572</f>
        <v>108267000000</v>
      </c>
      <c r="G572" s="24">
        <f t="shared" si="64"/>
        <v>-35008000000</v>
      </c>
      <c r="H572" s="24">
        <f>Data!G572</f>
        <v>2162993000000</v>
      </c>
      <c r="I572" s="25">
        <f t="shared" si="65"/>
        <v>-0.10617347351563321</v>
      </c>
      <c r="J572" s="24">
        <f>Data!J572</f>
        <v>253813000000</v>
      </c>
      <c r="K572" s="24">
        <f t="shared" si="66"/>
        <v>2162993000000</v>
      </c>
      <c r="L572" s="25">
        <f t="shared" si="67"/>
        <v>0.38253955514419136</v>
      </c>
      <c r="M572" s="24">
        <f>Data!M572</f>
        <v>44866000000</v>
      </c>
      <c r="N572" s="24">
        <f t="shared" si="68"/>
        <v>2162993000000</v>
      </c>
      <c r="O572" s="25">
        <f t="shared" si="69"/>
        <v>0.13938996566331929</v>
      </c>
      <c r="P572" s="24">
        <f>Data!K572</f>
        <v>472006000000</v>
      </c>
      <c r="Q572" s="24">
        <f>Data!I572</f>
        <v>1690987000000</v>
      </c>
      <c r="R572" s="25">
        <f t="shared" si="70"/>
        <v>0.29308699593787535</v>
      </c>
      <c r="S572" s="25">
        <f t="shared" si="71"/>
        <v>0.70884304322975278</v>
      </c>
    </row>
    <row r="573" spans="1:19" ht="15" customHeight="1" x14ac:dyDescent="0.3">
      <c r="A573" s="22"/>
      <c r="B573" s="23"/>
      <c r="C573" s="3"/>
      <c r="D573" s="23">
        <v>2024</v>
      </c>
      <c r="E573" s="24">
        <f>Data!F573</f>
        <v>104654000000</v>
      </c>
      <c r="F573" s="24">
        <f>Data!H573</f>
        <v>134237000000</v>
      </c>
      <c r="G573" s="24">
        <f t="shared" si="64"/>
        <v>-29583000000</v>
      </c>
      <c r="H573" s="24">
        <f>Data!G573</f>
        <v>2029003000000</v>
      </c>
      <c r="I573" s="25">
        <f t="shared" si="65"/>
        <v>-9.5645240544247598E-2</v>
      </c>
      <c r="J573" s="24">
        <f>Data!J573</f>
        <v>295207000000</v>
      </c>
      <c r="K573" s="24">
        <f t="shared" si="66"/>
        <v>2029003000000</v>
      </c>
      <c r="L573" s="25">
        <f t="shared" si="67"/>
        <v>0.47430921491983996</v>
      </c>
      <c r="M573" s="24">
        <f>Data!M573</f>
        <v>43224000000</v>
      </c>
      <c r="N573" s="24">
        <f t="shared" si="68"/>
        <v>2029003000000</v>
      </c>
      <c r="O573" s="25">
        <f t="shared" si="69"/>
        <v>0.14315665378513487</v>
      </c>
      <c r="P573" s="24">
        <f>Data!K573</f>
        <v>500794000000</v>
      </c>
      <c r="Q573" s="24">
        <f>Data!I573</f>
        <v>1528209000000</v>
      </c>
      <c r="R573" s="25">
        <f t="shared" si="70"/>
        <v>0.34408493864386352</v>
      </c>
      <c r="S573" s="25">
        <f t="shared" si="71"/>
        <v>0.86590556680459074</v>
      </c>
    </row>
    <row r="574" spans="1:19" ht="15" customHeight="1" x14ac:dyDescent="0.3">
      <c r="A574" s="22"/>
      <c r="B574" s="23">
        <v>53</v>
      </c>
      <c r="C574" s="3" t="s">
        <v>43</v>
      </c>
      <c r="D574" s="23">
        <v>2014</v>
      </c>
      <c r="E574" s="24">
        <f>Data!F574</f>
        <v>0</v>
      </c>
      <c r="F574" s="24">
        <f>Data!H574</f>
        <v>0</v>
      </c>
      <c r="G574" s="24">
        <f t="shared" si="64"/>
        <v>0</v>
      </c>
      <c r="H574" s="24">
        <f>Data!G574</f>
        <v>0</v>
      </c>
      <c r="I574" s="25">
        <f t="shared" si="65"/>
        <v>0</v>
      </c>
      <c r="J574" s="24">
        <f>Data!J574</f>
        <v>0</v>
      </c>
      <c r="K574" s="24">
        <f t="shared" si="66"/>
        <v>0</v>
      </c>
      <c r="L574" s="25">
        <f t="shared" si="67"/>
        <v>0</v>
      </c>
      <c r="M574" s="24">
        <f>Data!M574</f>
        <v>0</v>
      </c>
      <c r="N574" s="24">
        <f t="shared" si="68"/>
        <v>0</v>
      </c>
      <c r="O574" s="25">
        <f t="shared" si="69"/>
        <v>0</v>
      </c>
      <c r="P574" s="24">
        <f>Data!K574</f>
        <v>0</v>
      </c>
      <c r="Q574" s="24">
        <f>Data!I574</f>
        <v>0</v>
      </c>
      <c r="R574" s="25">
        <f t="shared" si="70"/>
        <v>0</v>
      </c>
      <c r="S574" s="25">
        <f t="shared" si="71"/>
        <v>0</v>
      </c>
    </row>
    <row r="575" spans="1:19" ht="15" customHeight="1" x14ac:dyDescent="0.3">
      <c r="A575" s="22"/>
      <c r="B575" s="23"/>
      <c r="C575" s="3"/>
      <c r="D575" s="23">
        <v>2015</v>
      </c>
      <c r="E575" s="24">
        <f>Data!F575</f>
        <v>0</v>
      </c>
      <c r="F575" s="24">
        <f>Data!H575</f>
        <v>0</v>
      </c>
      <c r="G575" s="24">
        <f t="shared" si="64"/>
        <v>0</v>
      </c>
      <c r="H575" s="24">
        <f>Data!G575</f>
        <v>0</v>
      </c>
      <c r="I575" s="25">
        <f t="shared" si="65"/>
        <v>0</v>
      </c>
      <c r="J575" s="24">
        <f>Data!J575</f>
        <v>0</v>
      </c>
      <c r="K575" s="24">
        <f t="shared" si="66"/>
        <v>0</v>
      </c>
      <c r="L575" s="25">
        <f t="shared" si="67"/>
        <v>0</v>
      </c>
      <c r="M575" s="24">
        <f>Data!M575</f>
        <v>0</v>
      </c>
      <c r="N575" s="24">
        <f t="shared" si="68"/>
        <v>0</v>
      </c>
      <c r="O575" s="25">
        <f t="shared" si="69"/>
        <v>0</v>
      </c>
      <c r="P575" s="24">
        <f>Data!K575</f>
        <v>0</v>
      </c>
      <c r="Q575" s="24">
        <f>Data!I575</f>
        <v>0</v>
      </c>
      <c r="R575" s="25">
        <f t="shared" si="70"/>
        <v>0</v>
      </c>
      <c r="S575" s="25">
        <f t="shared" si="71"/>
        <v>0</v>
      </c>
    </row>
    <row r="576" spans="1:19" ht="15" customHeight="1" x14ac:dyDescent="0.3">
      <c r="A576" s="22"/>
      <c r="B576" s="23"/>
      <c r="C576" s="3"/>
      <c r="D576" s="23">
        <v>2016</v>
      </c>
      <c r="E576" s="24">
        <f>Data!F576</f>
        <v>3024924000000</v>
      </c>
      <c r="F576" s="24">
        <f>Data!H576</f>
        <v>3004966000000</v>
      </c>
      <c r="G576" s="24">
        <f t="shared" si="64"/>
        <v>19958000000</v>
      </c>
      <c r="H576" s="24">
        <f>Data!G576</f>
        <v>60793273000000</v>
      </c>
      <c r="I576" s="25">
        <f t="shared" si="65"/>
        <v>2.1536014354746123E-3</v>
      </c>
      <c r="J576" s="24">
        <f>Data!J576</f>
        <v>6456250000000</v>
      </c>
      <c r="K576" s="24">
        <f t="shared" si="66"/>
        <v>60793273000000</v>
      </c>
      <c r="L576" s="25">
        <f t="shared" si="67"/>
        <v>0.34621223634397835</v>
      </c>
      <c r="M576" s="24">
        <f>Data!M576</f>
        <v>6370547000000</v>
      </c>
      <c r="N576" s="24">
        <f t="shared" si="68"/>
        <v>60793273000000</v>
      </c>
      <c r="O576" s="25">
        <f t="shared" si="69"/>
        <v>0.70419100218538977</v>
      </c>
      <c r="P576" s="24">
        <f>Data!K576</f>
        <v>6557750000000</v>
      </c>
      <c r="Q576" s="24">
        <f>Data!I576</f>
        <v>54215523000000</v>
      </c>
      <c r="R576" s="25">
        <f t="shared" si="70"/>
        <v>0.12700490780103699</v>
      </c>
      <c r="S576" s="25">
        <f t="shared" si="71"/>
        <v>1.1795617477658795</v>
      </c>
    </row>
    <row r="577" spans="1:19" ht="15" customHeight="1" x14ac:dyDescent="0.3">
      <c r="A577" s="22"/>
      <c r="B577" s="23"/>
      <c r="C577" s="3"/>
      <c r="D577" s="23">
        <v>2017</v>
      </c>
      <c r="E577" s="24">
        <f>Data!F577</f>
        <v>2554374000000</v>
      </c>
      <c r="F577" s="24">
        <f>Data!H577</f>
        <v>3056753000000</v>
      </c>
      <c r="G577" s="24">
        <f t="shared" si="64"/>
        <v>-502379000000</v>
      </c>
      <c r="H577" s="24">
        <f>Data!G577</f>
        <v>71757702000000</v>
      </c>
      <c r="I577" s="25">
        <f t="shared" si="65"/>
        <v>-4.5926864268869695E-2</v>
      </c>
      <c r="J577" s="24">
        <f>Data!J577</f>
        <v>6163222000000</v>
      </c>
      <c r="K577" s="24">
        <f t="shared" si="66"/>
        <v>71757702000000</v>
      </c>
      <c r="L577" s="25">
        <f t="shared" si="67"/>
        <v>0.27999926363305222</v>
      </c>
      <c r="M577" s="24">
        <f>Data!M577</f>
        <v>6779940000000</v>
      </c>
      <c r="N577" s="24">
        <f t="shared" si="68"/>
        <v>71757702000000</v>
      </c>
      <c r="O577" s="25">
        <f t="shared" si="69"/>
        <v>0.63493110189063739</v>
      </c>
      <c r="P577" s="24">
        <f>Data!K577</f>
        <v>6284722000000</v>
      </c>
      <c r="Q577" s="24">
        <f>Data!I577</f>
        <v>65472980000000</v>
      </c>
      <c r="R577" s="25">
        <f t="shared" si="70"/>
        <v>0.10078902930644063</v>
      </c>
      <c r="S577" s="25">
        <f t="shared" si="71"/>
        <v>0.96979253056126058</v>
      </c>
    </row>
    <row r="578" spans="1:19" ht="15" customHeight="1" x14ac:dyDescent="0.3">
      <c r="A578" s="22"/>
      <c r="B578" s="23"/>
      <c r="C578" s="3"/>
      <c r="D578" s="23">
        <v>2018</v>
      </c>
      <c r="E578" s="24">
        <f>Data!F578</f>
        <v>1860677000000</v>
      </c>
      <c r="F578" s="24">
        <f>Data!H578</f>
        <v>3204706000000</v>
      </c>
      <c r="G578" s="24">
        <f t="shared" si="64"/>
        <v>-1344029000000</v>
      </c>
      <c r="H578" s="24">
        <f>Data!G578</f>
        <v>67767980000000</v>
      </c>
      <c r="I578" s="25">
        <f t="shared" si="65"/>
        <v>-0.13010318796576198</v>
      </c>
      <c r="J578" s="24">
        <f>Data!J578</f>
        <v>5470968000000</v>
      </c>
      <c r="K578" s="24">
        <f t="shared" si="66"/>
        <v>67767980000000</v>
      </c>
      <c r="L578" s="25">
        <f t="shared" si="67"/>
        <v>0.26318263699168842</v>
      </c>
      <c r="M578" s="24">
        <f>Data!M578</f>
        <v>5992082000000</v>
      </c>
      <c r="N578" s="24">
        <f t="shared" si="68"/>
        <v>67767980000000</v>
      </c>
      <c r="O578" s="25">
        <f t="shared" si="69"/>
        <v>0.59418608965473074</v>
      </c>
      <c r="P578" s="24">
        <f>Data!K578</f>
        <v>5592468000000</v>
      </c>
      <c r="Q578" s="24">
        <f>Data!I578</f>
        <v>64175512000000</v>
      </c>
      <c r="R578" s="25">
        <f t="shared" si="70"/>
        <v>9.1500499442840444E-2</v>
      </c>
      <c r="S578" s="25">
        <f t="shared" si="71"/>
        <v>0.81876603812349769</v>
      </c>
    </row>
    <row r="579" spans="1:19" ht="15" customHeight="1" x14ac:dyDescent="0.3">
      <c r="A579" s="22"/>
      <c r="B579" s="23"/>
      <c r="C579" s="3"/>
      <c r="D579" s="23">
        <v>2019</v>
      </c>
      <c r="E579" s="24">
        <f>Data!F579</f>
        <v>1419833000000</v>
      </c>
      <c r="F579" s="24">
        <f>Data!H579</f>
        <v>4422507000000</v>
      </c>
      <c r="G579" s="24">
        <f t="shared" ref="G579:G642" si="72">E579-F579</f>
        <v>-3002674000000</v>
      </c>
      <c r="H579" s="24">
        <f>Data!G579</f>
        <v>71619133000000</v>
      </c>
      <c r="I579" s="25">
        <f t="shared" ref="I579:I642" si="73">IFERROR(6.56*(G579/H579),0)</f>
        <v>-0.27503183318345947</v>
      </c>
      <c r="J579" s="24">
        <f>Data!J579</f>
        <v>5319230000000</v>
      </c>
      <c r="K579" s="24">
        <f t="shared" ref="K579:K642" si="74">H579</f>
        <v>71619133000000</v>
      </c>
      <c r="L579" s="25">
        <f t="shared" ref="L579:L642" si="75">IFERROR(3.26*(J579/K579),0)</f>
        <v>0.2421237045692804</v>
      </c>
      <c r="M579" s="24">
        <f>Data!M579</f>
        <v>5246361000000</v>
      </c>
      <c r="N579" s="24">
        <f t="shared" ref="N579:N642" si="76">K579</f>
        <v>71619133000000</v>
      </c>
      <c r="O579" s="25">
        <f t="shared" ref="O579:O642" si="77">IFERROR(6.72*(M579/N579),0)</f>
        <v>0.49226434952793963</v>
      </c>
      <c r="P579" s="24">
        <f>Data!K579</f>
        <v>5440730000000</v>
      </c>
      <c r="Q579" s="24">
        <f>Data!I579</f>
        <v>66178403000000</v>
      </c>
      <c r="R579" s="25">
        <f t="shared" ref="R579:R642" si="78">IFERROR(1.05*(P579/Q579),0)</f>
        <v>8.6323728603725905E-2</v>
      </c>
      <c r="S579" s="25">
        <f t="shared" ref="S579:S642" si="79">IFERROR(I579+L579+O579+R579,0)</f>
        <v>0.54567994951748644</v>
      </c>
    </row>
    <row r="580" spans="1:19" ht="15" customHeight="1" x14ac:dyDescent="0.3">
      <c r="A580" s="22"/>
      <c r="B580" s="23"/>
      <c r="C580" s="3"/>
      <c r="D580" s="23">
        <v>2020</v>
      </c>
      <c r="E580" s="24">
        <f>Data!F580</f>
        <v>1473455000000</v>
      </c>
      <c r="F580" s="24">
        <f>Data!H580</f>
        <v>3739598000000</v>
      </c>
      <c r="G580" s="24">
        <f t="shared" si="72"/>
        <v>-2266143000000</v>
      </c>
      <c r="H580" s="24">
        <f>Data!G580</f>
        <v>67396709000000</v>
      </c>
      <c r="I580" s="25">
        <f t="shared" si="73"/>
        <v>-0.22057305617103645</v>
      </c>
      <c r="J580" s="24">
        <f>Data!J580</f>
        <v>5020308000000</v>
      </c>
      <c r="K580" s="24">
        <f t="shared" si="74"/>
        <v>67396709000000</v>
      </c>
      <c r="L580" s="25">
        <f t="shared" si="75"/>
        <v>0.24283387605765736</v>
      </c>
      <c r="M580" s="24">
        <f>Data!M580</f>
        <v>5526292000000</v>
      </c>
      <c r="N580" s="24">
        <f t="shared" si="76"/>
        <v>67396709000000</v>
      </c>
      <c r="O580" s="25">
        <f t="shared" si="77"/>
        <v>0.55101625570471102</v>
      </c>
      <c r="P580" s="24">
        <f>Data!K580</f>
        <v>5371808000000</v>
      </c>
      <c r="Q580" s="24">
        <f>Data!I580</f>
        <v>62024901000000</v>
      </c>
      <c r="R580" s="25">
        <f t="shared" si="78"/>
        <v>9.0937644543761548E-2</v>
      </c>
      <c r="S580" s="25">
        <f t="shared" si="79"/>
        <v>0.66421472013509342</v>
      </c>
    </row>
    <row r="581" spans="1:19" ht="15" customHeight="1" x14ac:dyDescent="0.3">
      <c r="A581" s="22"/>
      <c r="B581" s="23"/>
      <c r="C581" s="3"/>
      <c r="D581" s="23">
        <v>2021</v>
      </c>
      <c r="E581" s="24">
        <f>Data!F581</f>
        <v>1826658000000</v>
      </c>
      <c r="F581" s="24">
        <f>Data!H581</f>
        <v>3016962000000</v>
      </c>
      <c r="G581" s="24">
        <f t="shared" si="72"/>
        <v>-1190304000000</v>
      </c>
      <c r="H581" s="24">
        <f>Data!G581</f>
        <v>64403397000000</v>
      </c>
      <c r="I581" s="25">
        <f t="shared" si="73"/>
        <v>-0.12124196243872043</v>
      </c>
      <c r="J581" s="24">
        <f>Data!J581</f>
        <v>4836758000000</v>
      </c>
      <c r="K581" s="24">
        <f t="shared" si="74"/>
        <v>64403397000000</v>
      </c>
      <c r="L581" s="25">
        <f t="shared" si="75"/>
        <v>0.24482918315628596</v>
      </c>
      <c r="M581" s="24">
        <f>Data!M581</f>
        <v>3196368000000</v>
      </c>
      <c r="N581" s="24">
        <f t="shared" si="76"/>
        <v>64403397000000</v>
      </c>
      <c r="O581" s="25">
        <f t="shared" si="77"/>
        <v>0.3335164596985466</v>
      </c>
      <c r="P581" s="24">
        <f>Data!K581</f>
        <v>4958258000000</v>
      </c>
      <c r="Q581" s="24">
        <f>Data!I581</f>
        <v>59445139000000</v>
      </c>
      <c r="R581" s="25">
        <f t="shared" si="78"/>
        <v>8.7579421758943149E-2</v>
      </c>
      <c r="S581" s="25">
        <f t="shared" si="79"/>
        <v>0.54468310217505533</v>
      </c>
    </row>
    <row r="582" spans="1:19" ht="15" customHeight="1" x14ac:dyDescent="0.3">
      <c r="A582" s="22"/>
      <c r="B582" s="23"/>
      <c r="C582" s="3"/>
      <c r="D582" s="23">
        <v>2022</v>
      </c>
      <c r="E582" s="24">
        <f>Data!F582</f>
        <v>1903222000000</v>
      </c>
      <c r="F582" s="24">
        <f>Data!H582</f>
        <v>2725654000000</v>
      </c>
      <c r="G582" s="24">
        <f t="shared" si="72"/>
        <v>-822432000000</v>
      </c>
      <c r="H582" s="24">
        <f>Data!G582</f>
        <v>61327114000000</v>
      </c>
      <c r="I582" s="25">
        <f t="shared" si="73"/>
        <v>-8.7973386779622464E-2</v>
      </c>
      <c r="J582" s="24">
        <f>Data!J582</f>
        <v>5483943000000</v>
      </c>
      <c r="K582" s="24">
        <f t="shared" si="74"/>
        <v>61327114000000</v>
      </c>
      <c r="L582" s="25">
        <f t="shared" si="75"/>
        <v>0.29151305212242662</v>
      </c>
      <c r="M582" s="24">
        <f>Data!M582</f>
        <v>2737015000000</v>
      </c>
      <c r="N582" s="24">
        <f t="shared" si="76"/>
        <v>61327114000000</v>
      </c>
      <c r="O582" s="25">
        <f t="shared" si="77"/>
        <v>0.29991205521264214</v>
      </c>
      <c r="P582" s="24">
        <f>Data!K582</f>
        <v>5699419000000</v>
      </c>
      <c r="Q582" s="24">
        <f>Data!I582</f>
        <v>55627695000000</v>
      </c>
      <c r="R582" s="25">
        <f t="shared" si="78"/>
        <v>0.10757932626904639</v>
      </c>
      <c r="S582" s="25">
        <f t="shared" si="79"/>
        <v>0.61103104682449272</v>
      </c>
    </row>
    <row r="583" spans="1:19" ht="15" customHeight="1" x14ac:dyDescent="0.3">
      <c r="A583" s="22"/>
      <c r="B583" s="23"/>
      <c r="C583" s="3"/>
      <c r="D583" s="23">
        <v>2023</v>
      </c>
      <c r="E583" s="24">
        <f>Data!F583</f>
        <v>2457780000000</v>
      </c>
      <c r="F583" s="24">
        <f>Data!H583</f>
        <v>2422273000000</v>
      </c>
      <c r="G583" s="24">
        <f t="shared" si="72"/>
        <v>35507000000</v>
      </c>
      <c r="H583" s="24">
        <f>Data!G583</f>
        <v>60222226000000</v>
      </c>
      <c r="I583" s="25">
        <f t="shared" si="73"/>
        <v>3.8677733367079459E-3</v>
      </c>
      <c r="J583" s="24">
        <f>Data!J583</f>
        <v>5931917000000</v>
      </c>
      <c r="K583" s="24">
        <f t="shared" si="74"/>
        <v>60222226000000</v>
      </c>
      <c r="L583" s="25">
        <f t="shared" si="75"/>
        <v>0.32111150159079144</v>
      </c>
      <c r="M583" s="24">
        <f>Data!M583</f>
        <v>2388466000000</v>
      </c>
      <c r="N583" s="24">
        <f t="shared" si="76"/>
        <v>60222226000000</v>
      </c>
      <c r="O583" s="25">
        <f t="shared" si="77"/>
        <v>0.2665210601813357</v>
      </c>
      <c r="P583" s="24">
        <f>Data!K583</f>
        <v>6151455000000</v>
      </c>
      <c r="Q583" s="24">
        <f>Data!I583</f>
        <v>54070771000000</v>
      </c>
      <c r="R583" s="25">
        <f t="shared" si="78"/>
        <v>0.11945507028187188</v>
      </c>
      <c r="S583" s="25">
        <f t="shared" si="79"/>
        <v>0.7109554053907069</v>
      </c>
    </row>
    <row r="584" spans="1:19" ht="15" customHeight="1" x14ac:dyDescent="0.3">
      <c r="A584" s="22"/>
      <c r="B584" s="23"/>
      <c r="C584" s="3"/>
      <c r="D584" s="23">
        <v>2024</v>
      </c>
      <c r="E584" s="24">
        <f>Data!F584</f>
        <v>2928069000000</v>
      </c>
      <c r="F584" s="24">
        <f>Data!H584</f>
        <v>2557916000000</v>
      </c>
      <c r="G584" s="24">
        <f t="shared" si="72"/>
        <v>370153000000</v>
      </c>
      <c r="H584" s="24">
        <f>Data!G584</f>
        <v>57560023000000</v>
      </c>
      <c r="I584" s="25">
        <f t="shared" si="73"/>
        <v>4.2185592594360152E-2</v>
      </c>
      <c r="J584" s="24">
        <f>Data!J584</f>
        <v>6382781000000</v>
      </c>
      <c r="K584" s="24">
        <f t="shared" si="74"/>
        <v>57560023000000</v>
      </c>
      <c r="L584" s="25">
        <f t="shared" si="75"/>
        <v>0.36149857097868077</v>
      </c>
      <c r="M584" s="24">
        <f>Data!M584</f>
        <v>1740986000000</v>
      </c>
      <c r="N584" s="24">
        <f t="shared" si="76"/>
        <v>57560023000000</v>
      </c>
      <c r="O584" s="25">
        <f t="shared" si="77"/>
        <v>0.20325610224304461</v>
      </c>
      <c r="P584" s="24">
        <f>Data!K584</f>
        <v>6605104000000</v>
      </c>
      <c r="Q584" s="24">
        <f>Data!I584</f>
        <v>50954919000000</v>
      </c>
      <c r="R584" s="25">
        <f t="shared" si="78"/>
        <v>0.13610774653571719</v>
      </c>
      <c r="S584" s="25">
        <f t="shared" si="79"/>
        <v>0.74304801235180273</v>
      </c>
    </row>
    <row r="585" spans="1:19" ht="15" customHeight="1" x14ac:dyDescent="0.3">
      <c r="A585" s="22"/>
      <c r="B585" s="23">
        <v>54</v>
      </c>
      <c r="C585" s="4" t="s">
        <v>150</v>
      </c>
      <c r="D585" s="23">
        <v>2014</v>
      </c>
      <c r="E585" s="24">
        <f>Data!F585</f>
        <v>0</v>
      </c>
      <c r="F585" s="24">
        <f>Data!H585</f>
        <v>0</v>
      </c>
      <c r="G585" s="24">
        <f t="shared" si="72"/>
        <v>0</v>
      </c>
      <c r="H585" s="24">
        <f>Data!G585</f>
        <v>0</v>
      </c>
      <c r="I585" s="25">
        <f t="shared" si="73"/>
        <v>0</v>
      </c>
      <c r="J585" s="24">
        <f>Data!J585</f>
        <v>0</v>
      </c>
      <c r="K585" s="24">
        <f t="shared" si="74"/>
        <v>0</v>
      </c>
      <c r="L585" s="25">
        <f t="shared" si="75"/>
        <v>0</v>
      </c>
      <c r="M585" s="24">
        <f>Data!M585</f>
        <v>0</v>
      </c>
      <c r="N585" s="24">
        <f t="shared" si="76"/>
        <v>0</v>
      </c>
      <c r="O585" s="25">
        <f t="shared" si="77"/>
        <v>0</v>
      </c>
      <c r="P585" s="24">
        <f>Data!K585</f>
        <v>0</v>
      </c>
      <c r="Q585" s="24">
        <f>Data!I585</f>
        <v>0</v>
      </c>
      <c r="R585" s="25">
        <f t="shared" si="78"/>
        <v>0</v>
      </c>
      <c r="S585" s="25">
        <f t="shared" si="79"/>
        <v>0</v>
      </c>
    </row>
    <row r="586" spans="1:19" ht="15" customHeight="1" x14ac:dyDescent="0.3">
      <c r="A586" s="22"/>
      <c r="B586" s="23"/>
      <c r="C586" s="4"/>
      <c r="D586" s="23">
        <v>2015</v>
      </c>
      <c r="E586" s="24">
        <f>Data!F586</f>
        <v>0</v>
      </c>
      <c r="F586" s="24">
        <f>Data!H586</f>
        <v>0</v>
      </c>
      <c r="G586" s="24">
        <f t="shared" si="72"/>
        <v>0</v>
      </c>
      <c r="H586" s="24">
        <f>Data!G586</f>
        <v>0</v>
      </c>
      <c r="I586" s="25">
        <f t="shared" si="73"/>
        <v>0</v>
      </c>
      <c r="J586" s="24">
        <f>Data!J586</f>
        <v>0</v>
      </c>
      <c r="K586" s="24">
        <f t="shared" si="74"/>
        <v>0</v>
      </c>
      <c r="L586" s="25">
        <f t="shared" si="75"/>
        <v>0</v>
      </c>
      <c r="M586" s="24">
        <f>Data!M586</f>
        <v>0</v>
      </c>
      <c r="N586" s="24">
        <f t="shared" si="76"/>
        <v>0</v>
      </c>
      <c r="O586" s="25">
        <f t="shared" si="77"/>
        <v>0</v>
      </c>
      <c r="P586" s="24">
        <f>Data!K586</f>
        <v>0</v>
      </c>
      <c r="Q586" s="24">
        <f>Data!I586</f>
        <v>0</v>
      </c>
      <c r="R586" s="25">
        <f t="shared" si="78"/>
        <v>0</v>
      </c>
      <c r="S586" s="25">
        <f t="shared" si="79"/>
        <v>0</v>
      </c>
    </row>
    <row r="587" spans="1:19" ht="15" customHeight="1" x14ac:dyDescent="0.3">
      <c r="A587" s="22"/>
      <c r="B587" s="23"/>
      <c r="C587" s="4"/>
      <c r="D587" s="23">
        <v>2016</v>
      </c>
      <c r="E587" s="24">
        <f>Data!F587</f>
        <v>0</v>
      </c>
      <c r="F587" s="24">
        <f>Data!H587</f>
        <v>0</v>
      </c>
      <c r="G587" s="24">
        <f t="shared" si="72"/>
        <v>0</v>
      </c>
      <c r="H587" s="24">
        <f>Data!G587</f>
        <v>0</v>
      </c>
      <c r="I587" s="25">
        <f t="shared" si="73"/>
        <v>0</v>
      </c>
      <c r="J587" s="24">
        <f>Data!J587</f>
        <v>0</v>
      </c>
      <c r="K587" s="24">
        <f t="shared" si="74"/>
        <v>0</v>
      </c>
      <c r="L587" s="25">
        <f t="shared" si="75"/>
        <v>0</v>
      </c>
      <c r="M587" s="24">
        <f>Data!M587</f>
        <v>0</v>
      </c>
      <c r="N587" s="24">
        <f t="shared" si="76"/>
        <v>0</v>
      </c>
      <c r="O587" s="25">
        <f t="shared" si="77"/>
        <v>0</v>
      </c>
      <c r="P587" s="24">
        <f>Data!K587</f>
        <v>0</v>
      </c>
      <c r="Q587" s="24">
        <f>Data!I587</f>
        <v>0</v>
      </c>
      <c r="R587" s="25">
        <f t="shared" si="78"/>
        <v>0</v>
      </c>
      <c r="S587" s="25">
        <f t="shared" si="79"/>
        <v>0</v>
      </c>
    </row>
    <row r="588" spans="1:19" ht="15" customHeight="1" x14ac:dyDescent="0.3">
      <c r="A588" s="22"/>
      <c r="B588" s="23"/>
      <c r="C588" s="4"/>
      <c r="D588" s="23">
        <v>2017</v>
      </c>
      <c r="E588" s="24">
        <f>Data!F588</f>
        <v>0</v>
      </c>
      <c r="F588" s="24">
        <f>Data!H588</f>
        <v>0</v>
      </c>
      <c r="G588" s="24">
        <f t="shared" si="72"/>
        <v>0</v>
      </c>
      <c r="H588" s="24">
        <f>Data!G588</f>
        <v>0</v>
      </c>
      <c r="I588" s="25">
        <f t="shared" si="73"/>
        <v>0</v>
      </c>
      <c r="J588" s="24">
        <f>Data!J588</f>
        <v>0</v>
      </c>
      <c r="K588" s="24">
        <f t="shared" si="74"/>
        <v>0</v>
      </c>
      <c r="L588" s="25">
        <f t="shared" si="75"/>
        <v>0</v>
      </c>
      <c r="M588" s="24">
        <f>Data!M588</f>
        <v>0</v>
      </c>
      <c r="N588" s="24">
        <f t="shared" si="76"/>
        <v>0</v>
      </c>
      <c r="O588" s="25">
        <f t="shared" si="77"/>
        <v>0</v>
      </c>
      <c r="P588" s="24">
        <f>Data!K588</f>
        <v>0</v>
      </c>
      <c r="Q588" s="24">
        <f>Data!I588</f>
        <v>0</v>
      </c>
      <c r="R588" s="25">
        <f t="shared" si="78"/>
        <v>0</v>
      </c>
      <c r="S588" s="25">
        <f t="shared" si="79"/>
        <v>0</v>
      </c>
    </row>
    <row r="589" spans="1:19" ht="15" customHeight="1" x14ac:dyDescent="0.3">
      <c r="A589" s="22"/>
      <c r="B589" s="23"/>
      <c r="C589" s="4"/>
      <c r="D589" s="23">
        <v>2018</v>
      </c>
      <c r="E589" s="24">
        <f>Data!F589</f>
        <v>0</v>
      </c>
      <c r="F589" s="24">
        <f>Data!H589</f>
        <v>0</v>
      </c>
      <c r="G589" s="24">
        <f t="shared" si="72"/>
        <v>0</v>
      </c>
      <c r="H589" s="24">
        <f>Data!G589</f>
        <v>0</v>
      </c>
      <c r="I589" s="25">
        <f t="shared" si="73"/>
        <v>0</v>
      </c>
      <c r="J589" s="24">
        <f>Data!J589</f>
        <v>0</v>
      </c>
      <c r="K589" s="24">
        <f t="shared" si="74"/>
        <v>0</v>
      </c>
      <c r="L589" s="25">
        <f t="shared" si="75"/>
        <v>0</v>
      </c>
      <c r="M589" s="24">
        <f>Data!M589</f>
        <v>0</v>
      </c>
      <c r="N589" s="24">
        <f t="shared" si="76"/>
        <v>0</v>
      </c>
      <c r="O589" s="25">
        <f t="shared" si="77"/>
        <v>0</v>
      </c>
      <c r="P589" s="24">
        <f>Data!K589</f>
        <v>0</v>
      </c>
      <c r="Q589" s="24">
        <f>Data!I589</f>
        <v>0</v>
      </c>
      <c r="R589" s="25">
        <f t="shared" si="78"/>
        <v>0</v>
      </c>
      <c r="S589" s="25">
        <f t="shared" si="79"/>
        <v>0</v>
      </c>
    </row>
    <row r="590" spans="1:19" ht="15" customHeight="1" x14ac:dyDescent="0.3">
      <c r="A590" s="22"/>
      <c r="B590" s="23"/>
      <c r="C590" s="4"/>
      <c r="D590" s="23">
        <v>2019</v>
      </c>
      <c r="E590" s="24">
        <f>Data!F590</f>
        <v>0</v>
      </c>
      <c r="F590" s="24">
        <f>Data!H590</f>
        <v>0</v>
      </c>
      <c r="G590" s="24">
        <f t="shared" si="72"/>
        <v>0</v>
      </c>
      <c r="H590" s="24">
        <f>Data!G590</f>
        <v>0</v>
      </c>
      <c r="I590" s="25">
        <f t="shared" si="73"/>
        <v>0</v>
      </c>
      <c r="J590" s="24">
        <f>Data!J590</f>
        <v>0</v>
      </c>
      <c r="K590" s="24">
        <f t="shared" si="74"/>
        <v>0</v>
      </c>
      <c r="L590" s="25">
        <f t="shared" si="75"/>
        <v>0</v>
      </c>
      <c r="M590" s="24">
        <f>Data!M590</f>
        <v>0</v>
      </c>
      <c r="N590" s="24">
        <f t="shared" si="76"/>
        <v>0</v>
      </c>
      <c r="O590" s="25">
        <f t="shared" si="77"/>
        <v>0</v>
      </c>
      <c r="P590" s="24">
        <f>Data!K590</f>
        <v>0</v>
      </c>
      <c r="Q590" s="24">
        <f>Data!I590</f>
        <v>0</v>
      </c>
      <c r="R590" s="25">
        <f t="shared" si="78"/>
        <v>0</v>
      </c>
      <c r="S590" s="25">
        <f t="shared" si="79"/>
        <v>0</v>
      </c>
    </row>
    <row r="591" spans="1:19" ht="15" customHeight="1" x14ac:dyDescent="0.3">
      <c r="A591" s="22"/>
      <c r="B591" s="23"/>
      <c r="C591" s="4"/>
      <c r="D591" s="23">
        <v>2020</v>
      </c>
      <c r="E591" s="24">
        <f>Data!F591</f>
        <v>0</v>
      </c>
      <c r="F591" s="24">
        <f>Data!H591</f>
        <v>0</v>
      </c>
      <c r="G591" s="24">
        <f t="shared" si="72"/>
        <v>0</v>
      </c>
      <c r="H591" s="24">
        <f>Data!G591</f>
        <v>0</v>
      </c>
      <c r="I591" s="25">
        <f t="shared" si="73"/>
        <v>0</v>
      </c>
      <c r="J591" s="24">
        <f>Data!J591</f>
        <v>0</v>
      </c>
      <c r="K591" s="24">
        <f t="shared" si="74"/>
        <v>0</v>
      </c>
      <c r="L591" s="25">
        <f t="shared" si="75"/>
        <v>0</v>
      </c>
      <c r="M591" s="24">
        <f>Data!M591</f>
        <v>0</v>
      </c>
      <c r="N591" s="24">
        <f t="shared" si="76"/>
        <v>0</v>
      </c>
      <c r="O591" s="25">
        <f t="shared" si="77"/>
        <v>0</v>
      </c>
      <c r="P591" s="24">
        <f>Data!K591</f>
        <v>0</v>
      </c>
      <c r="Q591" s="24">
        <f>Data!I591</f>
        <v>0</v>
      </c>
      <c r="R591" s="25">
        <f t="shared" si="78"/>
        <v>0</v>
      </c>
      <c r="S591" s="25">
        <f t="shared" si="79"/>
        <v>0</v>
      </c>
    </row>
    <row r="592" spans="1:19" ht="15" customHeight="1" x14ac:dyDescent="0.3">
      <c r="A592" s="22"/>
      <c r="B592" s="23"/>
      <c r="C592" s="4"/>
      <c r="D592" s="23">
        <v>2021</v>
      </c>
      <c r="E592" s="24">
        <f>Data!F592</f>
        <v>80562000000</v>
      </c>
      <c r="F592" s="24">
        <f>Data!H592</f>
        <v>402000000</v>
      </c>
      <c r="G592" s="24">
        <f t="shared" si="72"/>
        <v>80160000000</v>
      </c>
      <c r="H592" s="24">
        <f>Data!G592</f>
        <v>101008000000</v>
      </c>
      <c r="I592" s="25">
        <f t="shared" si="73"/>
        <v>5.2060193252019635</v>
      </c>
      <c r="J592" s="24">
        <f>Data!J592</f>
        <v>606000000</v>
      </c>
      <c r="K592" s="24">
        <f t="shared" si="74"/>
        <v>101008000000</v>
      </c>
      <c r="L592" s="25">
        <f t="shared" si="75"/>
        <v>1.9558450815776968E-2</v>
      </c>
      <c r="M592" s="24">
        <f>Data!M592</f>
        <v>750000000</v>
      </c>
      <c r="N592" s="24">
        <f t="shared" si="76"/>
        <v>101008000000</v>
      </c>
      <c r="O592" s="25">
        <f t="shared" si="77"/>
        <v>4.989703785838745E-2</v>
      </c>
      <c r="P592" s="24">
        <f>Data!K592</f>
        <v>100606000000</v>
      </c>
      <c r="Q592" s="24">
        <f>Data!I592</f>
        <v>402000000</v>
      </c>
      <c r="R592" s="25">
        <f t="shared" si="78"/>
        <v>262.77686567164181</v>
      </c>
      <c r="S592" s="25">
        <f t="shared" si="79"/>
        <v>268.05234048551796</v>
      </c>
    </row>
    <row r="593" spans="1:19" ht="15" customHeight="1" x14ac:dyDescent="0.3">
      <c r="A593" s="22"/>
      <c r="B593" s="23"/>
      <c r="C593" s="4"/>
      <c r="D593" s="23">
        <v>2022</v>
      </c>
      <c r="E593" s="24">
        <f>Data!F593</f>
        <v>1082381000000</v>
      </c>
      <c r="F593" s="24">
        <f>Data!H593</f>
        <v>491304000000</v>
      </c>
      <c r="G593" s="24">
        <f t="shared" si="72"/>
        <v>591077000000</v>
      </c>
      <c r="H593" s="24">
        <f>Data!G593</f>
        <v>6700834000000</v>
      </c>
      <c r="I593" s="25">
        <f t="shared" si="73"/>
        <v>0.57865410783195048</v>
      </c>
      <c r="J593" s="24">
        <f>Data!J593</f>
        <v>390977000000</v>
      </c>
      <c r="K593" s="24">
        <f t="shared" si="74"/>
        <v>6700834000000</v>
      </c>
      <c r="L593" s="25">
        <f t="shared" si="75"/>
        <v>0.19021289290258495</v>
      </c>
      <c r="M593" s="24">
        <f>Data!M593</f>
        <v>465464000000</v>
      </c>
      <c r="N593" s="24">
        <f t="shared" si="76"/>
        <v>6700834000000</v>
      </c>
      <c r="O593" s="25">
        <f t="shared" si="77"/>
        <v>0.46679533920703004</v>
      </c>
      <c r="P593" s="24">
        <f>Data!K593</f>
        <v>491084000000</v>
      </c>
      <c r="Q593" s="24">
        <f>Data!I593</f>
        <v>1441321000000</v>
      </c>
      <c r="R593" s="25">
        <f t="shared" si="78"/>
        <v>0.3577538938237908</v>
      </c>
      <c r="S593" s="25">
        <f t="shared" si="79"/>
        <v>1.5934162337653561</v>
      </c>
    </row>
    <row r="594" spans="1:19" ht="15" customHeight="1" x14ac:dyDescent="0.3">
      <c r="A594" s="22"/>
      <c r="B594" s="23"/>
      <c r="C594" s="4"/>
      <c r="D594" s="23">
        <v>2023</v>
      </c>
      <c r="E594" s="24">
        <f>Data!F594</f>
        <v>963830000000</v>
      </c>
      <c r="F594" s="24">
        <f>Data!H594</f>
        <v>575915000000</v>
      </c>
      <c r="G594" s="24">
        <f t="shared" si="72"/>
        <v>387915000000</v>
      </c>
      <c r="H594" s="24">
        <f>Data!G594</f>
        <v>6672476000000</v>
      </c>
      <c r="I594" s="25">
        <f t="shared" si="73"/>
        <v>0.38137602892839179</v>
      </c>
      <c r="J594" s="24">
        <f>Data!J594</f>
        <v>622231000000</v>
      </c>
      <c r="K594" s="24">
        <f t="shared" si="74"/>
        <v>6672476000000</v>
      </c>
      <c r="L594" s="25">
        <f t="shared" si="75"/>
        <v>0.30400604812965981</v>
      </c>
      <c r="M594" s="24">
        <f>Data!M594</f>
        <v>655656000000</v>
      </c>
      <c r="N594" s="24">
        <f t="shared" si="76"/>
        <v>6672476000000</v>
      </c>
      <c r="O594" s="25">
        <f t="shared" si="77"/>
        <v>0.66032584006296913</v>
      </c>
      <c r="P594" s="24">
        <f>Data!K594</f>
        <v>722768000000</v>
      </c>
      <c r="Q594" s="24">
        <f>Data!I594</f>
        <v>1722952000000</v>
      </c>
      <c r="R594" s="25">
        <f t="shared" si="78"/>
        <v>0.44046868397958855</v>
      </c>
      <c r="S594" s="25">
        <f t="shared" si="79"/>
        <v>1.7861766011006095</v>
      </c>
    </row>
    <row r="595" spans="1:19" ht="15" customHeight="1" x14ac:dyDescent="0.3">
      <c r="A595" s="22"/>
      <c r="B595" s="23"/>
      <c r="C595" s="4"/>
      <c r="D595" s="23">
        <v>2024</v>
      </c>
      <c r="E595" s="24">
        <f>Data!F595</f>
        <v>953024000000</v>
      </c>
      <c r="F595" s="24">
        <f>Data!H595</f>
        <v>541296000000</v>
      </c>
      <c r="G595" s="24">
        <f t="shared" si="72"/>
        <v>411728000000</v>
      </c>
      <c r="H595" s="24">
        <f>Data!G595</f>
        <v>6628170000000</v>
      </c>
      <c r="I595" s="25">
        <f t="shared" si="73"/>
        <v>0.40749342276978412</v>
      </c>
      <c r="J595" s="24">
        <f>Data!J595</f>
        <v>684348000000</v>
      </c>
      <c r="K595" s="24">
        <f t="shared" si="74"/>
        <v>6628170000000</v>
      </c>
      <c r="L595" s="25">
        <f t="shared" si="75"/>
        <v>0.33658980985701936</v>
      </c>
      <c r="M595" s="24">
        <f>Data!M595</f>
        <v>247989000000</v>
      </c>
      <c r="N595" s="24">
        <f t="shared" si="76"/>
        <v>6628170000000</v>
      </c>
      <c r="O595" s="25">
        <f t="shared" si="77"/>
        <v>0.25142476430145877</v>
      </c>
      <c r="P595" s="24">
        <f>Data!K595</f>
        <v>785244000000</v>
      </c>
      <c r="Q595" s="24">
        <f>Data!I595</f>
        <v>2107312000000</v>
      </c>
      <c r="R595" s="25">
        <f t="shared" si="78"/>
        <v>0.39125967108809712</v>
      </c>
      <c r="S595" s="25">
        <f t="shared" si="79"/>
        <v>1.3867676680163594</v>
      </c>
    </row>
    <row r="596" spans="1:19" ht="15" customHeight="1" x14ac:dyDescent="0.3">
      <c r="A596" s="22"/>
      <c r="B596" s="23">
        <v>55</v>
      </c>
      <c r="C596" s="3" t="s">
        <v>40</v>
      </c>
      <c r="D596" s="23">
        <v>2014</v>
      </c>
      <c r="E596" s="24">
        <f>Data!F596</f>
        <v>0</v>
      </c>
      <c r="F596" s="24">
        <f>Data!H596</f>
        <v>0</v>
      </c>
      <c r="G596" s="24">
        <f t="shared" si="72"/>
        <v>0</v>
      </c>
      <c r="H596" s="24">
        <f>Data!G596</f>
        <v>0</v>
      </c>
      <c r="I596" s="25">
        <f t="shared" si="73"/>
        <v>0</v>
      </c>
      <c r="J596" s="24">
        <f>Data!J596</f>
        <v>0</v>
      </c>
      <c r="K596" s="24">
        <f t="shared" si="74"/>
        <v>0</v>
      </c>
      <c r="L596" s="25">
        <f t="shared" si="75"/>
        <v>0</v>
      </c>
      <c r="M596" s="24">
        <f>Data!M596</f>
        <v>0</v>
      </c>
      <c r="N596" s="24">
        <f t="shared" si="76"/>
        <v>0</v>
      </c>
      <c r="O596" s="25">
        <f t="shared" si="77"/>
        <v>0</v>
      </c>
      <c r="P596" s="24">
        <f>Data!K596</f>
        <v>0</v>
      </c>
      <c r="Q596" s="24">
        <f>Data!I596</f>
        <v>0</v>
      </c>
      <c r="R596" s="25">
        <f t="shared" si="78"/>
        <v>0</v>
      </c>
      <c r="S596" s="25">
        <f t="shared" si="79"/>
        <v>0</v>
      </c>
    </row>
    <row r="597" spans="1:19" ht="15" customHeight="1" x14ac:dyDescent="0.3">
      <c r="A597" s="22"/>
      <c r="B597" s="23"/>
      <c r="C597" s="3"/>
      <c r="D597" s="23">
        <v>2015</v>
      </c>
      <c r="E597" s="24">
        <f>Data!F597</f>
        <v>394277000000</v>
      </c>
      <c r="F597" s="24">
        <f>Data!H597</f>
        <v>329271000000</v>
      </c>
      <c r="G597" s="24">
        <f t="shared" si="72"/>
        <v>65006000000</v>
      </c>
      <c r="H597" s="24">
        <f>Data!G597</f>
        <v>6060345000000</v>
      </c>
      <c r="I597" s="25">
        <f t="shared" si="73"/>
        <v>7.0365525395006387E-2</v>
      </c>
      <c r="J597" s="24">
        <f>Data!J597</f>
        <v>480340000000</v>
      </c>
      <c r="K597" s="24">
        <f t="shared" si="74"/>
        <v>6060345000000</v>
      </c>
      <c r="L597" s="25">
        <f t="shared" si="75"/>
        <v>0.25838601597763822</v>
      </c>
      <c r="M597" s="24">
        <f>Data!M597</f>
        <v>96931000000</v>
      </c>
      <c r="N597" s="24">
        <f t="shared" si="76"/>
        <v>6060345000000</v>
      </c>
      <c r="O597" s="25">
        <f t="shared" si="77"/>
        <v>0.10748172257519992</v>
      </c>
      <c r="P597" s="24">
        <f>Data!K597</f>
        <v>1066111000000</v>
      </c>
      <c r="Q597" s="24">
        <f>Data!I597</f>
        <v>4994243000000</v>
      </c>
      <c r="R597" s="25">
        <f t="shared" si="78"/>
        <v>0.22414138639229209</v>
      </c>
      <c r="S597" s="25">
        <f t="shared" si="79"/>
        <v>0.66037465034013665</v>
      </c>
    </row>
    <row r="598" spans="1:19" ht="15" customHeight="1" x14ac:dyDescent="0.3">
      <c r="A598" s="22"/>
      <c r="B598" s="23"/>
      <c r="C598" s="3"/>
      <c r="D598" s="23">
        <v>2016</v>
      </c>
      <c r="E598" s="24">
        <f>Data!F598</f>
        <v>526676000000</v>
      </c>
      <c r="F598" s="24">
        <f>Data!H598</f>
        <v>629809000000</v>
      </c>
      <c r="G598" s="24">
        <f t="shared" si="72"/>
        <v>-103133000000</v>
      </c>
      <c r="H598" s="24">
        <f>Data!G598</f>
        <v>9618219000000</v>
      </c>
      <c r="I598" s="25">
        <f t="shared" si="73"/>
        <v>-7.0340723162988894E-2</v>
      </c>
      <c r="J598" s="24">
        <f>Data!J598</f>
        <v>225585000000</v>
      </c>
      <c r="K598" s="24">
        <f t="shared" si="74"/>
        <v>9618219000000</v>
      </c>
      <c r="L598" s="25">
        <f t="shared" si="75"/>
        <v>7.6459799886028787E-2</v>
      </c>
      <c r="M598" s="24">
        <f>Data!M598</f>
        <v>-254061000000</v>
      </c>
      <c r="N598" s="24">
        <f t="shared" si="76"/>
        <v>9618219000000</v>
      </c>
      <c r="O598" s="25">
        <f t="shared" si="77"/>
        <v>-0.1775058272222747</v>
      </c>
      <c r="P598" s="24">
        <f>Data!K598</f>
        <v>1288588000000</v>
      </c>
      <c r="Q598" s="24">
        <f>Data!I598</f>
        <v>8329631000000</v>
      </c>
      <c r="R598" s="25">
        <f t="shared" si="78"/>
        <v>0.16243425429049621</v>
      </c>
      <c r="S598" s="25">
        <f t="shared" si="79"/>
        <v>-8.9524962087385862E-3</v>
      </c>
    </row>
    <row r="599" spans="1:19" ht="15" customHeight="1" x14ac:dyDescent="0.3">
      <c r="A599" s="22"/>
      <c r="B599" s="23"/>
      <c r="C599" s="3"/>
      <c r="D599" s="23">
        <v>2017</v>
      </c>
      <c r="E599" s="24">
        <f>Data!F599</f>
        <v>403342000000</v>
      </c>
      <c r="F599" s="24">
        <f>Data!H599</f>
        <v>748107000000</v>
      </c>
      <c r="G599" s="24">
        <f t="shared" si="72"/>
        <v>-344765000000</v>
      </c>
      <c r="H599" s="24">
        <f>Data!G599</f>
        <v>11742806000000</v>
      </c>
      <c r="I599" s="25">
        <f t="shared" si="73"/>
        <v>-0.19259948601722621</v>
      </c>
      <c r="J599" s="24">
        <f>Data!J599</f>
        <v>-126873000000</v>
      </c>
      <c r="K599" s="24">
        <f t="shared" si="74"/>
        <v>11742806000000</v>
      </c>
      <c r="L599" s="25">
        <f t="shared" si="75"/>
        <v>-3.5222073838229125E-2</v>
      </c>
      <c r="M599" s="24">
        <f>Data!M599</f>
        <v>-351462000000</v>
      </c>
      <c r="N599" s="24">
        <f t="shared" si="76"/>
        <v>11742806000000</v>
      </c>
      <c r="O599" s="25">
        <f t="shared" si="77"/>
        <v>-0.20112949494354246</v>
      </c>
      <c r="P599" s="24">
        <f>Data!K599</f>
        <v>1550979000000</v>
      </c>
      <c r="Q599" s="24">
        <f>Data!I599</f>
        <v>10191827000000</v>
      </c>
      <c r="R599" s="25">
        <f t="shared" si="78"/>
        <v>0.15978763670144716</v>
      </c>
      <c r="S599" s="25">
        <f t="shared" si="79"/>
        <v>-0.26916341809755062</v>
      </c>
    </row>
    <row r="600" spans="1:19" ht="15" customHeight="1" x14ac:dyDescent="0.3">
      <c r="A600" s="22"/>
      <c r="B600" s="23"/>
      <c r="C600" s="3"/>
      <c r="D600" s="23">
        <v>2018</v>
      </c>
      <c r="E600" s="24">
        <f>Data!F600</f>
        <v>480463000000</v>
      </c>
      <c r="F600" s="24">
        <f>Data!H600</f>
        <v>844384000000</v>
      </c>
      <c r="G600" s="24">
        <f t="shared" si="72"/>
        <v>-363921000000</v>
      </c>
      <c r="H600" s="24">
        <f>Data!G600</f>
        <v>11996023000000</v>
      </c>
      <c r="I600" s="25">
        <f t="shared" si="73"/>
        <v>-0.19900943504359736</v>
      </c>
      <c r="J600" s="24">
        <f>Data!J600</f>
        <v>50104000000</v>
      </c>
      <c r="K600" s="24">
        <f t="shared" si="74"/>
        <v>11996023000000</v>
      </c>
      <c r="L600" s="25">
        <f t="shared" si="75"/>
        <v>1.3616099268899368E-2</v>
      </c>
      <c r="M600" s="24">
        <f>Data!M600</f>
        <v>178320000000</v>
      </c>
      <c r="N600" s="24">
        <f t="shared" si="76"/>
        <v>11996023000000</v>
      </c>
      <c r="O600" s="25">
        <f t="shared" si="77"/>
        <v>9.9892305975071899E-2</v>
      </c>
      <c r="P600" s="24">
        <f>Data!K600</f>
        <v>1495844000000</v>
      </c>
      <c r="Q600" s="24">
        <f>Data!I600</f>
        <v>10500179000000</v>
      </c>
      <c r="R600" s="25">
        <f t="shared" si="78"/>
        <v>0.14958184998560503</v>
      </c>
      <c r="S600" s="25">
        <f t="shared" si="79"/>
        <v>6.4080820185978937E-2</v>
      </c>
    </row>
    <row r="601" spans="1:19" ht="15" customHeight="1" x14ac:dyDescent="0.3">
      <c r="A601" s="22"/>
      <c r="B601" s="23"/>
      <c r="C601" s="3"/>
      <c r="D601" s="23">
        <v>2019</v>
      </c>
      <c r="E601" s="24">
        <f>Data!F601</f>
        <v>441573000000</v>
      </c>
      <c r="F601" s="24">
        <f>Data!H601</f>
        <v>928508000000</v>
      </c>
      <c r="G601" s="24">
        <f t="shared" si="72"/>
        <v>-486935000000</v>
      </c>
      <c r="H601" s="24">
        <f>Data!G601</f>
        <v>13386719000000</v>
      </c>
      <c r="I601" s="25">
        <f t="shared" si="73"/>
        <v>-0.23861661696193068</v>
      </c>
      <c r="J601" s="24">
        <f>Data!J601</f>
        <v>-251927000000</v>
      </c>
      <c r="K601" s="24">
        <f t="shared" si="74"/>
        <v>13386719000000</v>
      </c>
      <c r="L601" s="25">
        <f t="shared" si="75"/>
        <v>-6.1350508664595113E-2</v>
      </c>
      <c r="M601" s="24">
        <f>Data!M601</f>
        <v>-302032000000</v>
      </c>
      <c r="N601" s="24">
        <f t="shared" si="76"/>
        <v>13386719000000</v>
      </c>
      <c r="O601" s="25">
        <f t="shared" si="77"/>
        <v>-0.15161706464444349</v>
      </c>
      <c r="P601" s="24">
        <f>Data!K601</f>
        <v>1384284000000</v>
      </c>
      <c r="Q601" s="24">
        <f>Data!I601</f>
        <v>12002435000000</v>
      </c>
      <c r="R601" s="25">
        <f t="shared" si="78"/>
        <v>0.12110027673551242</v>
      </c>
      <c r="S601" s="25">
        <f t="shared" si="79"/>
        <v>-0.33048391353545686</v>
      </c>
    </row>
    <row r="602" spans="1:19" ht="15" customHeight="1" x14ac:dyDescent="0.3">
      <c r="A602" s="22"/>
      <c r="B602" s="23"/>
      <c r="C602" s="3"/>
      <c r="D602" s="23">
        <v>2020</v>
      </c>
      <c r="E602" s="24">
        <f>Data!F602</f>
        <v>517826000000</v>
      </c>
      <c r="F602" s="24">
        <f>Data!H602</f>
        <v>993385000000</v>
      </c>
      <c r="G602" s="24">
        <f t="shared" si="72"/>
        <v>-475559000000</v>
      </c>
      <c r="H602" s="24">
        <f>Data!G602</f>
        <v>14446272000000</v>
      </c>
      <c r="I602" s="25">
        <f t="shared" si="73"/>
        <v>-0.21594962631189557</v>
      </c>
      <c r="J602" s="24">
        <f>Data!J602</f>
        <v>-571594000000</v>
      </c>
      <c r="K602" s="24">
        <f t="shared" si="74"/>
        <v>14446272000000</v>
      </c>
      <c r="L602" s="25">
        <f t="shared" si="75"/>
        <v>-0.12898804895823643</v>
      </c>
      <c r="M602" s="24">
        <f>Data!M602</f>
        <v>-301688000000</v>
      </c>
      <c r="N602" s="24">
        <f t="shared" si="76"/>
        <v>14446272000000</v>
      </c>
      <c r="O602" s="25">
        <f t="shared" si="77"/>
        <v>-0.14033678446591619</v>
      </c>
      <c r="P602" s="24">
        <f>Data!K602</f>
        <v>1121514000000</v>
      </c>
      <c r="Q602" s="24">
        <f>Data!I602</f>
        <v>13324758000000</v>
      </c>
      <c r="R602" s="25">
        <f t="shared" si="78"/>
        <v>8.8376066567212697E-2</v>
      </c>
      <c r="S602" s="25">
        <f t="shared" si="79"/>
        <v>-0.39689839316883546</v>
      </c>
    </row>
    <row r="603" spans="1:19" ht="15" customHeight="1" x14ac:dyDescent="0.3">
      <c r="A603" s="22"/>
      <c r="B603" s="23"/>
      <c r="C603" s="3"/>
      <c r="D603" s="23">
        <v>2021</v>
      </c>
      <c r="E603" s="24">
        <f>Data!F603</f>
        <v>1044949000000</v>
      </c>
      <c r="F603" s="24">
        <f>Data!H603</f>
        <v>1116255000000</v>
      </c>
      <c r="G603" s="24">
        <f t="shared" si="72"/>
        <v>-71306000000</v>
      </c>
      <c r="H603" s="24">
        <f>Data!G603</f>
        <v>15389456000000</v>
      </c>
      <c r="I603" s="25">
        <f t="shared" si="73"/>
        <v>-3.039531481814562E-2</v>
      </c>
      <c r="J603" s="24">
        <f>Data!J603</f>
        <v>-706518000000</v>
      </c>
      <c r="K603" s="24">
        <f t="shared" si="74"/>
        <v>15389456000000</v>
      </c>
      <c r="L603" s="25">
        <f t="shared" si="75"/>
        <v>-0.14966407389578942</v>
      </c>
      <c r="M603" s="24">
        <f>Data!M603</f>
        <v>-141422000000</v>
      </c>
      <c r="N603" s="24">
        <f t="shared" si="76"/>
        <v>15389456000000</v>
      </c>
      <c r="O603" s="25">
        <f t="shared" si="77"/>
        <v>-6.1753699416015745E-2</v>
      </c>
      <c r="P603" s="24">
        <f>Data!K603</f>
        <v>1237305000000</v>
      </c>
      <c r="Q603" s="24">
        <f>Data!I603</f>
        <v>14152151000000</v>
      </c>
      <c r="R603" s="25">
        <f t="shared" si="78"/>
        <v>9.1800197015987184E-2</v>
      </c>
      <c r="S603" s="25">
        <f t="shared" si="79"/>
        <v>-0.1500128911139636</v>
      </c>
    </row>
    <row r="604" spans="1:19" ht="15" customHeight="1" x14ac:dyDescent="0.3">
      <c r="A604" s="22"/>
      <c r="B604" s="23"/>
      <c r="C604" s="3"/>
      <c r="D604" s="23">
        <v>2022</v>
      </c>
      <c r="E604" s="24">
        <f>Data!F604</f>
        <v>559920000000</v>
      </c>
      <c r="F604" s="24">
        <f>Data!H604</f>
        <v>1093068000000</v>
      </c>
      <c r="G604" s="24">
        <f t="shared" si="72"/>
        <v>-533148000000</v>
      </c>
      <c r="H604" s="24">
        <f>Data!G604</f>
        <v>20936453000000</v>
      </c>
      <c r="I604" s="25">
        <f t="shared" si="73"/>
        <v>-0.16705078362605164</v>
      </c>
      <c r="J604" s="24">
        <f>Data!J604</f>
        <v>-786390000000</v>
      </c>
      <c r="K604" s="24">
        <f t="shared" si="74"/>
        <v>20936453000000</v>
      </c>
      <c r="L604" s="25">
        <f t="shared" si="75"/>
        <v>-0.12244821985844496</v>
      </c>
      <c r="M604" s="24">
        <f>Data!M604</f>
        <v>-57220000000</v>
      </c>
      <c r="N604" s="24">
        <f t="shared" si="76"/>
        <v>20936453000000</v>
      </c>
      <c r="O604" s="25">
        <f t="shared" si="77"/>
        <v>-1.8365976318911327E-2</v>
      </c>
      <c r="P604" s="24">
        <f>Data!K604</f>
        <v>7234540000000</v>
      </c>
      <c r="Q604" s="24">
        <f>Data!I604</f>
        <v>13701913000000</v>
      </c>
      <c r="R604" s="25">
        <f t="shared" si="78"/>
        <v>0.55439463088110408</v>
      </c>
      <c r="S604" s="25">
        <f t="shared" si="79"/>
        <v>0.24652965107769614</v>
      </c>
    </row>
    <row r="605" spans="1:19" ht="15" customHeight="1" x14ac:dyDescent="0.3">
      <c r="A605" s="22"/>
      <c r="B605" s="23"/>
      <c r="C605" s="3"/>
      <c r="D605" s="23">
        <v>2023</v>
      </c>
      <c r="E605" s="24">
        <f>Data!F605</f>
        <v>981491000000</v>
      </c>
      <c r="F605" s="24">
        <f>Data!H605</f>
        <v>1147074000000</v>
      </c>
      <c r="G605" s="24">
        <f t="shared" si="72"/>
        <v>-165583000000</v>
      </c>
      <c r="H605" s="24">
        <f>Data!G605</f>
        <v>20527159000000</v>
      </c>
      <c r="I605" s="25">
        <f t="shared" si="73"/>
        <v>-5.2916454731996763E-2</v>
      </c>
      <c r="J605" s="24">
        <f>Data!J605</f>
        <v>-990482000000</v>
      </c>
      <c r="K605" s="24">
        <f t="shared" si="74"/>
        <v>20527159000000</v>
      </c>
      <c r="L605" s="25">
        <f t="shared" si="75"/>
        <v>-0.15730239727767489</v>
      </c>
      <c r="M605" s="24">
        <f>Data!M605</f>
        <v>-155896000000</v>
      </c>
      <c r="N605" s="24">
        <f t="shared" si="76"/>
        <v>20527159000000</v>
      </c>
      <c r="O605" s="25">
        <f t="shared" si="77"/>
        <v>-5.1035855473229391E-2</v>
      </c>
      <c r="P605" s="24">
        <f>Data!K605</f>
        <v>7055589000000</v>
      </c>
      <c r="Q605" s="24">
        <f>Data!I605</f>
        <v>12752277000000</v>
      </c>
      <c r="R605" s="25">
        <f t="shared" si="78"/>
        <v>0.58094475598357853</v>
      </c>
      <c r="S605" s="25">
        <f t="shared" si="79"/>
        <v>0.3196900485006775</v>
      </c>
    </row>
    <row r="606" spans="1:19" ht="15" customHeight="1" x14ac:dyDescent="0.3">
      <c r="A606" s="22"/>
      <c r="B606" s="23"/>
      <c r="C606" s="3"/>
      <c r="D606" s="23">
        <v>2024</v>
      </c>
      <c r="E606" s="24">
        <f>Data!F606</f>
        <v>1069774000000</v>
      </c>
      <c r="F606" s="24">
        <f>Data!H606</f>
        <v>1224064000000</v>
      </c>
      <c r="G606" s="24">
        <f t="shared" si="72"/>
        <v>-154290000000</v>
      </c>
      <c r="H606" s="24">
        <f>Data!G606</f>
        <v>19441396000000</v>
      </c>
      <c r="I606" s="25">
        <f t="shared" si="73"/>
        <v>-5.2061199720431592E-2</v>
      </c>
      <c r="J606" s="24">
        <f>Data!J606</f>
        <v>-938525000000</v>
      </c>
      <c r="K606" s="24">
        <f t="shared" si="74"/>
        <v>19441396000000</v>
      </c>
      <c r="L606" s="25">
        <f t="shared" si="75"/>
        <v>-0.15737509281740877</v>
      </c>
      <c r="M606" s="24">
        <f>Data!M606</f>
        <v>49100000000</v>
      </c>
      <c r="N606" s="24">
        <f t="shared" si="76"/>
        <v>19441396000000</v>
      </c>
      <c r="O606" s="25">
        <f t="shared" si="77"/>
        <v>1.6971620762212754E-2</v>
      </c>
      <c r="P606" s="24">
        <f>Data!K606</f>
        <v>7077686000000</v>
      </c>
      <c r="Q606" s="24">
        <f>Data!I606</f>
        <v>11478728000000</v>
      </c>
      <c r="R606" s="25">
        <f t="shared" si="78"/>
        <v>0.64742106442455993</v>
      </c>
      <c r="S606" s="25">
        <f t="shared" si="79"/>
        <v>0.45495639264893234</v>
      </c>
    </row>
    <row r="607" spans="1:19" ht="15" customHeight="1" x14ac:dyDescent="0.3">
      <c r="A607" s="22"/>
      <c r="B607" s="23">
        <v>56</v>
      </c>
      <c r="C607" s="3" t="s">
        <v>47</v>
      </c>
      <c r="D607" s="23">
        <v>2014</v>
      </c>
      <c r="E607" s="24">
        <f>Data!F607</f>
        <v>0</v>
      </c>
      <c r="F607" s="24">
        <f>Data!H607</f>
        <v>0</v>
      </c>
      <c r="G607" s="24">
        <f t="shared" si="72"/>
        <v>0</v>
      </c>
      <c r="H607" s="24">
        <f>Data!G607</f>
        <v>0</v>
      </c>
      <c r="I607" s="25">
        <f t="shared" si="73"/>
        <v>0</v>
      </c>
      <c r="J607" s="24">
        <f>Data!J607</f>
        <v>0</v>
      </c>
      <c r="K607" s="24">
        <f t="shared" si="74"/>
        <v>0</v>
      </c>
      <c r="L607" s="25">
        <f t="shared" si="75"/>
        <v>0</v>
      </c>
      <c r="M607" s="24">
        <f>Data!M607</f>
        <v>0</v>
      </c>
      <c r="N607" s="24">
        <f t="shared" si="76"/>
        <v>0</v>
      </c>
      <c r="O607" s="25">
        <f t="shared" si="77"/>
        <v>0</v>
      </c>
      <c r="P607" s="24">
        <f>Data!K607</f>
        <v>0</v>
      </c>
      <c r="Q607" s="24">
        <f>Data!I607</f>
        <v>0</v>
      </c>
      <c r="R607" s="25">
        <f t="shared" si="78"/>
        <v>0</v>
      </c>
      <c r="S607" s="25">
        <f t="shared" si="79"/>
        <v>0</v>
      </c>
    </row>
    <row r="608" spans="1:19" ht="15" customHeight="1" x14ac:dyDescent="0.3">
      <c r="A608" s="22"/>
      <c r="B608" s="23"/>
      <c r="C608" s="3"/>
      <c r="D608" s="23">
        <v>2015</v>
      </c>
      <c r="E608" s="24">
        <f>Data!F608</f>
        <v>58823000000</v>
      </c>
      <c r="F608" s="24">
        <f>Data!H608</f>
        <v>102667000000</v>
      </c>
      <c r="G608" s="24">
        <f t="shared" si="72"/>
        <v>-43844000000</v>
      </c>
      <c r="H608" s="24">
        <f>Data!G608</f>
        <v>791528000000</v>
      </c>
      <c r="I608" s="25">
        <f t="shared" si="73"/>
        <v>-0.3633688764010875</v>
      </c>
      <c r="J608" s="24">
        <f>Data!J608</f>
        <v>-537620000000</v>
      </c>
      <c r="K608" s="24">
        <f t="shared" si="74"/>
        <v>791528000000</v>
      </c>
      <c r="L608" s="25">
        <f t="shared" si="75"/>
        <v>-2.214250411861614</v>
      </c>
      <c r="M608" s="24">
        <f>Data!M608</f>
        <v>-129475000000</v>
      </c>
      <c r="N608" s="24">
        <f t="shared" si="76"/>
        <v>791528000000</v>
      </c>
      <c r="O608" s="25">
        <f t="shared" si="77"/>
        <v>-1.0992308547518219</v>
      </c>
      <c r="P608" s="24">
        <f>Data!K608</f>
        <v>489233000000</v>
      </c>
      <c r="Q608" s="24">
        <f>Data!I608</f>
        <v>302295000000</v>
      </c>
      <c r="R608" s="25">
        <f t="shared" si="78"/>
        <v>1.69931573463008</v>
      </c>
      <c r="S608" s="25">
        <f t="shared" si="79"/>
        <v>-1.9775344083844437</v>
      </c>
    </row>
    <row r="609" spans="1:19" ht="15" customHeight="1" x14ac:dyDescent="0.3">
      <c r="A609" s="22"/>
      <c r="B609" s="23"/>
      <c r="C609" s="3"/>
      <c r="D609" s="23">
        <v>2016</v>
      </c>
      <c r="E609" s="24">
        <f>Data!F609</f>
        <v>74566000000</v>
      </c>
      <c r="F609" s="24">
        <f>Data!H609</f>
        <v>152337000000</v>
      </c>
      <c r="G609" s="24">
        <f t="shared" si="72"/>
        <v>-77771000000</v>
      </c>
      <c r="H609" s="24">
        <f>Data!G609</f>
        <v>1192863000000</v>
      </c>
      <c r="I609" s="25">
        <f t="shared" si="73"/>
        <v>-0.42769183049520354</v>
      </c>
      <c r="J609" s="24">
        <f>Data!J609</f>
        <v>-835501000000</v>
      </c>
      <c r="K609" s="24">
        <f t="shared" si="74"/>
        <v>1192863000000</v>
      </c>
      <c r="L609" s="25">
        <f t="shared" si="75"/>
        <v>-2.2833579883020931</v>
      </c>
      <c r="M609" s="24">
        <f>Data!M609</f>
        <v>-292869000000</v>
      </c>
      <c r="N609" s="24">
        <f t="shared" si="76"/>
        <v>1192863000000</v>
      </c>
      <c r="O609" s="25">
        <f t="shared" si="77"/>
        <v>-1.6498790556836787</v>
      </c>
      <c r="P609" s="24">
        <f>Data!K609</f>
        <v>614267000000</v>
      </c>
      <c r="Q609" s="24">
        <f>Data!I609</f>
        <v>578596000000</v>
      </c>
      <c r="R609" s="25">
        <f t="shared" si="78"/>
        <v>1.1147335100830287</v>
      </c>
      <c r="S609" s="25">
        <f t="shared" si="79"/>
        <v>-3.2461953643979466</v>
      </c>
    </row>
    <row r="610" spans="1:19" ht="15" customHeight="1" x14ac:dyDescent="0.3">
      <c r="A610" s="22"/>
      <c r="B610" s="23"/>
      <c r="C610" s="3"/>
      <c r="D610" s="23">
        <v>2017</v>
      </c>
      <c r="E610" s="24">
        <f>Data!F610</f>
        <v>70500000000</v>
      </c>
      <c r="F610" s="24">
        <f>Data!H610</f>
        <v>155284000000</v>
      </c>
      <c r="G610" s="24">
        <f t="shared" si="72"/>
        <v>-84784000000</v>
      </c>
      <c r="H610" s="24">
        <f>Data!G610</f>
        <v>2300432000000</v>
      </c>
      <c r="I610" s="25">
        <f t="shared" si="73"/>
        <v>-0.24177330171028744</v>
      </c>
      <c r="J610" s="24">
        <f>Data!J610</f>
        <v>-1095490000000</v>
      </c>
      <c r="K610" s="24">
        <f t="shared" si="74"/>
        <v>2300432000000</v>
      </c>
      <c r="L610" s="25">
        <f t="shared" si="75"/>
        <v>-1.5524464100655875</v>
      </c>
      <c r="M610" s="24">
        <f>Data!M610</f>
        <v>-258234000000</v>
      </c>
      <c r="N610" s="24">
        <f t="shared" si="76"/>
        <v>2300432000000</v>
      </c>
      <c r="O610" s="25">
        <f t="shared" si="77"/>
        <v>-0.75435069586929759</v>
      </c>
      <c r="P610" s="24">
        <f>Data!K610</f>
        <v>1461947000000</v>
      </c>
      <c r="Q610" s="24">
        <f>Data!I610</f>
        <v>838485000000</v>
      </c>
      <c r="R610" s="25">
        <f t="shared" si="78"/>
        <v>1.8307356124438721</v>
      </c>
      <c r="S610" s="25">
        <f t="shared" si="79"/>
        <v>-0.71783479520130045</v>
      </c>
    </row>
    <row r="611" spans="1:19" ht="15" customHeight="1" x14ac:dyDescent="0.3">
      <c r="A611" s="22"/>
      <c r="B611" s="23"/>
      <c r="C611" s="3"/>
      <c r="D611" s="23">
        <v>2018</v>
      </c>
      <c r="E611" s="24">
        <f>Data!F611</f>
        <v>85051000000</v>
      </c>
      <c r="F611" s="24">
        <f>Data!H611</f>
        <v>154994000000</v>
      </c>
      <c r="G611" s="24">
        <f t="shared" si="72"/>
        <v>-69943000000</v>
      </c>
      <c r="H611" s="24">
        <f>Data!G611</f>
        <v>2364703000000</v>
      </c>
      <c r="I611" s="25">
        <f t="shared" si="73"/>
        <v>-0.19403116585888375</v>
      </c>
      <c r="J611" s="24">
        <f>Data!J611</f>
        <v>-1319707000000</v>
      </c>
      <c r="K611" s="24">
        <f t="shared" si="74"/>
        <v>2364703000000</v>
      </c>
      <c r="L611" s="25">
        <f t="shared" si="75"/>
        <v>-1.8193594798162813</v>
      </c>
      <c r="M611" s="24">
        <f>Data!M611</f>
        <v>-210607000000</v>
      </c>
      <c r="N611" s="24">
        <f t="shared" si="76"/>
        <v>2364703000000</v>
      </c>
      <c r="O611" s="25">
        <f t="shared" si="77"/>
        <v>-0.5985018160843032</v>
      </c>
      <c r="P611" s="24">
        <f>Data!K611</f>
        <v>1311548000000</v>
      </c>
      <c r="Q611" s="24">
        <f>Data!I611</f>
        <v>1053155000000</v>
      </c>
      <c r="R611" s="25">
        <f t="shared" si="78"/>
        <v>1.3076189164937735</v>
      </c>
      <c r="S611" s="25">
        <f t="shared" si="79"/>
        <v>-1.3042735452656946</v>
      </c>
    </row>
    <row r="612" spans="1:19" ht="15" customHeight="1" x14ac:dyDescent="0.3">
      <c r="A612" s="22"/>
      <c r="B612" s="23"/>
      <c r="C612" s="3"/>
      <c r="D612" s="23">
        <v>2019</v>
      </c>
      <c r="E612" s="24">
        <f>Data!F612</f>
        <v>98433000000</v>
      </c>
      <c r="F612" s="24">
        <f>Data!H612</f>
        <v>161274000000</v>
      </c>
      <c r="G612" s="24">
        <f t="shared" si="72"/>
        <v>-62841000000</v>
      </c>
      <c r="H612" s="24">
        <f>Data!G612</f>
        <v>2454333000000</v>
      </c>
      <c r="I612" s="25">
        <f t="shared" si="73"/>
        <v>-0.16796292923576384</v>
      </c>
      <c r="J612" s="24">
        <f>Data!J612</f>
        <v>-1508069000000</v>
      </c>
      <c r="K612" s="24">
        <f t="shared" si="74"/>
        <v>2454333000000</v>
      </c>
      <c r="L612" s="25">
        <f t="shared" si="75"/>
        <v>-2.0031124301388603</v>
      </c>
      <c r="M612" s="24">
        <f>Data!M612</f>
        <v>-173450000000</v>
      </c>
      <c r="N612" s="24">
        <f t="shared" si="76"/>
        <v>2454333000000</v>
      </c>
      <c r="O612" s="25">
        <f t="shared" si="77"/>
        <v>-0.47490866153859318</v>
      </c>
      <c r="P612" s="24">
        <f>Data!K612</f>
        <v>1157517000000</v>
      </c>
      <c r="Q612" s="24">
        <f>Data!I612</f>
        <v>1296816000000</v>
      </c>
      <c r="R612" s="25">
        <f t="shared" si="78"/>
        <v>0.93721302790835403</v>
      </c>
      <c r="S612" s="25">
        <f t="shared" si="79"/>
        <v>-1.7087709930048636</v>
      </c>
    </row>
    <row r="613" spans="1:19" ht="15" customHeight="1" x14ac:dyDescent="0.3">
      <c r="A613" s="22"/>
      <c r="B613" s="23"/>
      <c r="C613" s="3"/>
      <c r="D613" s="23">
        <v>2020</v>
      </c>
      <c r="E613" s="24">
        <f>Data!F613</f>
        <v>98487000000</v>
      </c>
      <c r="F613" s="24">
        <f>Data!H613</f>
        <v>193663000000</v>
      </c>
      <c r="G613" s="24">
        <f t="shared" si="72"/>
        <v>-95176000000</v>
      </c>
      <c r="H613" s="24">
        <f>Data!G613</f>
        <v>2494484000000</v>
      </c>
      <c r="I613" s="25">
        <f t="shared" si="73"/>
        <v>-0.2502940728423193</v>
      </c>
      <c r="J613" s="24">
        <f>Data!J613</f>
        <v>-1637018000000</v>
      </c>
      <c r="K613" s="24">
        <f t="shared" si="74"/>
        <v>2494484000000</v>
      </c>
      <c r="L613" s="25">
        <f t="shared" si="75"/>
        <v>-2.1393918261251623</v>
      </c>
      <c r="M613" s="24">
        <f>Data!M613</f>
        <v>-119858000000</v>
      </c>
      <c r="N613" s="24">
        <f t="shared" si="76"/>
        <v>2494484000000</v>
      </c>
      <c r="O613" s="25">
        <f t="shared" si="77"/>
        <v>-0.32289073010690789</v>
      </c>
      <c r="P613" s="24">
        <f>Data!K613</f>
        <v>1054658000000</v>
      </c>
      <c r="Q613" s="24">
        <f>Data!I613</f>
        <v>1440826000000</v>
      </c>
      <c r="R613" s="25">
        <f t="shared" si="78"/>
        <v>0.76858059196599737</v>
      </c>
      <c r="S613" s="25">
        <f t="shared" si="79"/>
        <v>-1.9439960371083924</v>
      </c>
    </row>
    <row r="614" spans="1:19" ht="15" customHeight="1" x14ac:dyDescent="0.3">
      <c r="A614" s="22"/>
      <c r="B614" s="23"/>
      <c r="C614" s="3"/>
      <c r="D614" s="23">
        <v>2021</v>
      </c>
      <c r="E614" s="24">
        <f>Data!F614</f>
        <v>114763000000</v>
      </c>
      <c r="F614" s="24">
        <f>Data!H614</f>
        <v>199660000000</v>
      </c>
      <c r="G614" s="24">
        <f t="shared" si="72"/>
        <v>-84897000000</v>
      </c>
      <c r="H614" s="24">
        <f>Data!G614</f>
        <v>2367310000000</v>
      </c>
      <c r="I614" s="25">
        <f t="shared" si="73"/>
        <v>-0.23525618529047734</v>
      </c>
      <c r="J614" s="24">
        <f>Data!J614</f>
        <v>-1848505000000</v>
      </c>
      <c r="K614" s="24">
        <f t="shared" si="74"/>
        <v>2367310000000</v>
      </c>
      <c r="L614" s="25">
        <f t="shared" si="75"/>
        <v>-2.5455585875952029</v>
      </c>
      <c r="M614" s="24">
        <f>Data!M614</f>
        <v>-206170000000</v>
      </c>
      <c r="N614" s="24">
        <f t="shared" si="76"/>
        <v>2367310000000</v>
      </c>
      <c r="O614" s="25">
        <f t="shared" si="77"/>
        <v>-0.58524755946622953</v>
      </c>
      <c r="P614" s="24">
        <f>Data!K614</f>
        <v>861140000000</v>
      </c>
      <c r="Q614" s="24">
        <f>Data!I614</f>
        <v>1506170000000</v>
      </c>
      <c r="R614" s="25">
        <f t="shared" si="78"/>
        <v>0.60032864816056619</v>
      </c>
      <c r="S614" s="25">
        <f t="shared" si="79"/>
        <v>-2.7657336841913436</v>
      </c>
    </row>
    <row r="615" spans="1:19" ht="15" customHeight="1" x14ac:dyDescent="0.3">
      <c r="A615" s="22"/>
      <c r="B615" s="23"/>
      <c r="C615" s="3"/>
      <c r="D615" s="23">
        <v>2022</v>
      </c>
      <c r="E615" s="24">
        <f>Data!F615</f>
        <v>165982000000</v>
      </c>
      <c r="F615" s="24">
        <f>Data!H615</f>
        <v>188609000000</v>
      </c>
      <c r="G615" s="24">
        <f t="shared" si="72"/>
        <v>-22627000000</v>
      </c>
      <c r="H615" s="24">
        <f>Data!G615</f>
        <v>2250592000000</v>
      </c>
      <c r="I615" s="25">
        <f t="shared" si="73"/>
        <v>-6.5952922608806933E-2</v>
      </c>
      <c r="J615" s="24">
        <f>Data!J615</f>
        <v>-1941439000000</v>
      </c>
      <c r="K615" s="24">
        <f t="shared" si="74"/>
        <v>2250592000000</v>
      </c>
      <c r="L615" s="25">
        <f t="shared" si="75"/>
        <v>-2.8121894772575393</v>
      </c>
      <c r="M615" s="24">
        <f>Data!M615</f>
        <v>-87552000000</v>
      </c>
      <c r="N615" s="24">
        <f t="shared" si="76"/>
        <v>2250592000000</v>
      </c>
      <c r="O615" s="25">
        <f t="shared" si="77"/>
        <v>-0.26141985753081853</v>
      </c>
      <c r="P615" s="24">
        <f>Data!K615</f>
        <v>690847000000</v>
      </c>
      <c r="Q615" s="24">
        <f>Data!I615</f>
        <v>1559745000000</v>
      </c>
      <c r="R615" s="25">
        <f t="shared" si="78"/>
        <v>0.46506919400286584</v>
      </c>
      <c r="S615" s="25">
        <f t="shared" si="79"/>
        <v>-2.6744930633942987</v>
      </c>
    </row>
    <row r="616" spans="1:19" ht="15" customHeight="1" x14ac:dyDescent="0.3">
      <c r="A616" s="22"/>
      <c r="B616" s="23"/>
      <c r="C616" s="3"/>
      <c r="D616" s="23">
        <v>2023</v>
      </c>
      <c r="E616" s="24">
        <f>Data!F616</f>
        <v>116417000000</v>
      </c>
      <c r="F616" s="24">
        <f>Data!H616</f>
        <v>158195000000</v>
      </c>
      <c r="G616" s="24">
        <f t="shared" si="72"/>
        <v>-41778000000</v>
      </c>
      <c r="H616" s="24">
        <f>Data!G616</f>
        <v>2041725000000</v>
      </c>
      <c r="I616" s="25">
        <f t="shared" si="73"/>
        <v>-0.13423143665283033</v>
      </c>
      <c r="J616" s="24">
        <f>Data!J616</f>
        <v>-2141320000000</v>
      </c>
      <c r="K616" s="24">
        <f t="shared" si="74"/>
        <v>2041725000000</v>
      </c>
      <c r="L616" s="25">
        <f t="shared" si="75"/>
        <v>-3.419022248343925</v>
      </c>
      <c r="M616" s="24">
        <f>Data!M616</f>
        <v>-193047000000</v>
      </c>
      <c r="N616" s="24">
        <f t="shared" si="76"/>
        <v>2041725000000</v>
      </c>
      <c r="O616" s="25">
        <f t="shared" si="77"/>
        <v>-0.6353822576497814</v>
      </c>
      <c r="P616" s="24">
        <f>Data!K616</f>
        <v>493513000000</v>
      </c>
      <c r="Q616" s="24">
        <f>Data!I616</f>
        <v>1548212000000</v>
      </c>
      <c r="R616" s="25">
        <f t="shared" si="78"/>
        <v>0.33470135226958581</v>
      </c>
      <c r="S616" s="25">
        <f t="shared" si="79"/>
        <v>-3.8539345903769506</v>
      </c>
    </row>
    <row r="617" spans="1:19" ht="15" customHeight="1" x14ac:dyDescent="0.3">
      <c r="A617" s="22"/>
      <c r="B617" s="23"/>
      <c r="C617" s="3"/>
      <c r="D617" s="23">
        <v>2024</v>
      </c>
      <c r="E617" s="24">
        <f>Data!F617</f>
        <v>151166000000</v>
      </c>
      <c r="F617" s="24">
        <f>Data!H617</f>
        <v>195205000000</v>
      </c>
      <c r="G617" s="24">
        <f t="shared" si="72"/>
        <v>-44039000000</v>
      </c>
      <c r="H617" s="24">
        <f>Data!G617</f>
        <v>1857834000000</v>
      </c>
      <c r="I617" s="25">
        <f t="shared" si="73"/>
        <v>-0.15550142800702321</v>
      </c>
      <c r="J617" s="24">
        <f>Data!J617</f>
        <v>-2323509000000</v>
      </c>
      <c r="K617" s="24">
        <f t="shared" si="74"/>
        <v>1857834000000</v>
      </c>
      <c r="L617" s="25">
        <f t="shared" si="75"/>
        <v>-4.0771346309734886</v>
      </c>
      <c r="M617" s="24">
        <f>Data!M617</f>
        <v>-176313000000</v>
      </c>
      <c r="N617" s="24">
        <f t="shared" si="76"/>
        <v>1857834000000</v>
      </c>
      <c r="O617" s="25">
        <f t="shared" si="77"/>
        <v>-0.63774447017333091</v>
      </c>
      <c r="P617" s="24">
        <f>Data!K617</f>
        <v>312893000000</v>
      </c>
      <c r="Q617" s="24">
        <f>Data!I617</f>
        <v>1544940000000</v>
      </c>
      <c r="R617" s="25">
        <f t="shared" si="78"/>
        <v>0.21265398656258494</v>
      </c>
      <c r="S617" s="25">
        <f t="shared" si="79"/>
        <v>-4.6577265425912575</v>
      </c>
    </row>
    <row r="618" spans="1:19" ht="15" customHeight="1" x14ac:dyDescent="0.3">
      <c r="A618" s="22"/>
      <c r="B618" s="23">
        <v>57</v>
      </c>
      <c r="C618" s="3" t="s">
        <v>41</v>
      </c>
      <c r="D618" s="23">
        <v>2014</v>
      </c>
      <c r="E618" s="24">
        <f>Data!F618</f>
        <v>0</v>
      </c>
      <c r="F618" s="24">
        <f>Data!H618</f>
        <v>0</v>
      </c>
      <c r="G618" s="24">
        <f t="shared" si="72"/>
        <v>0</v>
      </c>
      <c r="H618" s="24">
        <f>Data!G618</f>
        <v>0</v>
      </c>
      <c r="I618" s="25">
        <f t="shared" si="73"/>
        <v>0</v>
      </c>
      <c r="J618" s="24">
        <f>Data!J618</f>
        <v>0</v>
      </c>
      <c r="K618" s="24">
        <f t="shared" si="74"/>
        <v>0</v>
      </c>
      <c r="L618" s="25">
        <f t="shared" si="75"/>
        <v>0</v>
      </c>
      <c r="M618" s="24">
        <f>Data!M618</f>
        <v>0</v>
      </c>
      <c r="N618" s="24">
        <f t="shared" si="76"/>
        <v>0</v>
      </c>
      <c r="O618" s="25">
        <f t="shared" si="77"/>
        <v>0</v>
      </c>
      <c r="P618" s="24">
        <f>Data!K618</f>
        <v>0</v>
      </c>
      <c r="Q618" s="24">
        <f>Data!I618</f>
        <v>0</v>
      </c>
      <c r="R618" s="25">
        <f t="shared" si="78"/>
        <v>0</v>
      </c>
      <c r="S618" s="25">
        <f t="shared" si="79"/>
        <v>0</v>
      </c>
    </row>
    <row r="619" spans="1:19" ht="15" customHeight="1" x14ac:dyDescent="0.3">
      <c r="A619" s="22"/>
      <c r="B619" s="23"/>
      <c r="C619" s="3"/>
      <c r="D619" s="23">
        <v>2015</v>
      </c>
      <c r="E619" s="24">
        <f>Data!F619</f>
        <v>0</v>
      </c>
      <c r="F619" s="24">
        <f>Data!H619</f>
        <v>0</v>
      </c>
      <c r="G619" s="24">
        <f t="shared" si="72"/>
        <v>0</v>
      </c>
      <c r="H619" s="24">
        <f>Data!G619</f>
        <v>0</v>
      </c>
      <c r="I619" s="25">
        <f t="shared" si="73"/>
        <v>0</v>
      </c>
      <c r="J619" s="24">
        <f>Data!J619</f>
        <v>0</v>
      </c>
      <c r="K619" s="24">
        <f t="shared" si="74"/>
        <v>0</v>
      </c>
      <c r="L619" s="25">
        <f t="shared" si="75"/>
        <v>0</v>
      </c>
      <c r="M619" s="24">
        <f>Data!M619</f>
        <v>0</v>
      </c>
      <c r="N619" s="24">
        <f t="shared" si="76"/>
        <v>0</v>
      </c>
      <c r="O619" s="25">
        <f t="shared" si="77"/>
        <v>0</v>
      </c>
      <c r="P619" s="24">
        <f>Data!K619</f>
        <v>0</v>
      </c>
      <c r="Q619" s="24">
        <f>Data!I619</f>
        <v>0</v>
      </c>
      <c r="R619" s="25">
        <f t="shared" si="78"/>
        <v>0</v>
      </c>
      <c r="S619" s="25">
        <f t="shared" si="79"/>
        <v>0</v>
      </c>
    </row>
    <row r="620" spans="1:19" ht="15" customHeight="1" x14ac:dyDescent="0.3">
      <c r="A620" s="22"/>
      <c r="B620" s="23"/>
      <c r="C620" s="3"/>
      <c r="D620" s="23">
        <v>2016</v>
      </c>
      <c r="E620" s="24">
        <f>Data!F620</f>
        <v>0</v>
      </c>
      <c r="F620" s="24">
        <f>Data!H620</f>
        <v>0</v>
      </c>
      <c r="G620" s="24">
        <f t="shared" si="72"/>
        <v>0</v>
      </c>
      <c r="H620" s="24">
        <f>Data!G620</f>
        <v>0</v>
      </c>
      <c r="I620" s="25">
        <f t="shared" si="73"/>
        <v>0</v>
      </c>
      <c r="J620" s="24">
        <f>Data!J620</f>
        <v>0</v>
      </c>
      <c r="K620" s="24">
        <f t="shared" si="74"/>
        <v>0</v>
      </c>
      <c r="L620" s="25">
        <f t="shared" si="75"/>
        <v>0</v>
      </c>
      <c r="M620" s="24">
        <f>Data!M620</f>
        <v>0</v>
      </c>
      <c r="N620" s="24">
        <f t="shared" si="76"/>
        <v>0</v>
      </c>
      <c r="O620" s="25">
        <f t="shared" si="77"/>
        <v>0</v>
      </c>
      <c r="P620" s="24">
        <f>Data!K620</f>
        <v>0</v>
      </c>
      <c r="Q620" s="24">
        <f>Data!I620</f>
        <v>0</v>
      </c>
      <c r="R620" s="25">
        <f t="shared" si="78"/>
        <v>0</v>
      </c>
      <c r="S620" s="25">
        <f t="shared" si="79"/>
        <v>0</v>
      </c>
    </row>
    <row r="621" spans="1:19" ht="15" customHeight="1" x14ac:dyDescent="0.3">
      <c r="A621" s="22"/>
      <c r="B621" s="23"/>
      <c r="C621" s="3"/>
      <c r="D621" s="23">
        <v>2017</v>
      </c>
      <c r="E621" s="24">
        <f>Data!F621</f>
        <v>749000000</v>
      </c>
      <c r="F621" s="24">
        <f>Data!H621</f>
        <v>1784000000</v>
      </c>
      <c r="G621" s="24">
        <f t="shared" si="72"/>
        <v>-1035000000</v>
      </c>
      <c r="H621" s="24">
        <f>Data!G621</f>
        <v>198763000000</v>
      </c>
      <c r="I621" s="25">
        <f t="shared" si="73"/>
        <v>-3.4159275116596145E-2</v>
      </c>
      <c r="J621" s="24">
        <f>Data!J621</f>
        <v>11173000000</v>
      </c>
      <c r="K621" s="24">
        <f t="shared" si="74"/>
        <v>198763000000</v>
      </c>
      <c r="L621" s="25">
        <f t="shared" si="75"/>
        <v>0.18325332179530396</v>
      </c>
      <c r="M621" s="24">
        <f>Data!M621</f>
        <v>10304000000</v>
      </c>
      <c r="N621" s="24">
        <f t="shared" si="76"/>
        <v>198763000000</v>
      </c>
      <c r="O621" s="25">
        <f t="shared" si="77"/>
        <v>0.34836906265250572</v>
      </c>
      <c r="P621" s="24">
        <f>Data!K621</f>
        <v>170950000000</v>
      </c>
      <c r="Q621" s="24">
        <f>Data!I621</f>
        <v>27813000000</v>
      </c>
      <c r="R621" s="25">
        <f t="shared" si="78"/>
        <v>6.4537266745766377</v>
      </c>
      <c r="S621" s="25">
        <f t="shared" si="79"/>
        <v>6.9511897839078509</v>
      </c>
    </row>
    <row r="622" spans="1:19" ht="15" customHeight="1" x14ac:dyDescent="0.3">
      <c r="A622" s="22"/>
      <c r="B622" s="23"/>
      <c r="C622" s="3"/>
      <c r="D622" s="23">
        <v>2018</v>
      </c>
      <c r="E622" s="24">
        <f>Data!F622</f>
        <v>2670000000</v>
      </c>
      <c r="F622" s="24">
        <f>Data!H622</f>
        <v>686000000</v>
      </c>
      <c r="G622" s="24">
        <f t="shared" si="72"/>
        <v>1984000000</v>
      </c>
      <c r="H622" s="24">
        <f>Data!G622</f>
        <v>412000000000</v>
      </c>
      <c r="I622" s="25">
        <f t="shared" si="73"/>
        <v>3.1589902912621357E-2</v>
      </c>
      <c r="J622" s="24">
        <f>Data!J622</f>
        <v>11620000000</v>
      </c>
      <c r="K622" s="24">
        <f t="shared" si="74"/>
        <v>412000000000</v>
      </c>
      <c r="L622" s="25">
        <f t="shared" si="75"/>
        <v>9.1944660194174757E-2</v>
      </c>
      <c r="M622" s="24">
        <f>Data!M622</f>
        <v>1605000000</v>
      </c>
      <c r="N622" s="24">
        <f t="shared" si="76"/>
        <v>412000000000</v>
      </c>
      <c r="O622" s="25">
        <f t="shared" si="77"/>
        <v>2.6178640776699028E-2</v>
      </c>
      <c r="P622" s="24">
        <f>Data!K622</f>
        <v>162845000000</v>
      </c>
      <c r="Q622" s="24">
        <f>Data!I622</f>
        <v>249155000000</v>
      </c>
      <c r="R622" s="25">
        <f t="shared" si="78"/>
        <v>0.68626858782685485</v>
      </c>
      <c r="S622" s="25">
        <f t="shared" si="79"/>
        <v>0.83598179171035003</v>
      </c>
    </row>
    <row r="623" spans="1:19" ht="15" customHeight="1" x14ac:dyDescent="0.3">
      <c r="A623" s="22"/>
      <c r="B623" s="23"/>
      <c r="C623" s="3"/>
      <c r="D623" s="23">
        <v>2019</v>
      </c>
      <c r="E623" s="24">
        <f>Data!F623</f>
        <v>12525000000</v>
      </c>
      <c r="F623" s="24">
        <f>Data!H623</f>
        <v>11575000000</v>
      </c>
      <c r="G623" s="24">
        <f t="shared" si="72"/>
        <v>950000000</v>
      </c>
      <c r="H623" s="24">
        <f>Data!G623</f>
        <v>421315000000</v>
      </c>
      <c r="I623" s="25">
        <f t="shared" si="73"/>
        <v>1.4791782870298946E-2</v>
      </c>
      <c r="J623" s="24">
        <f>Data!J623</f>
        <v>40985000000</v>
      </c>
      <c r="K623" s="24">
        <f t="shared" si="74"/>
        <v>421315000000</v>
      </c>
      <c r="L623" s="25">
        <f t="shared" si="75"/>
        <v>0.31712875164663018</v>
      </c>
      <c r="M623" s="24">
        <f>Data!M623</f>
        <v>29710000000</v>
      </c>
      <c r="N623" s="24">
        <f t="shared" si="76"/>
        <v>421315000000</v>
      </c>
      <c r="O623" s="25">
        <f t="shared" si="77"/>
        <v>0.47387631582070422</v>
      </c>
      <c r="P623" s="24">
        <f>Data!K623</f>
        <v>188614000000</v>
      </c>
      <c r="Q623" s="24">
        <f>Data!I623</f>
        <v>232698000000</v>
      </c>
      <c r="R623" s="25">
        <f t="shared" si="78"/>
        <v>0.85108037026532246</v>
      </c>
      <c r="S623" s="25">
        <f t="shared" si="79"/>
        <v>1.6568772206029558</v>
      </c>
    </row>
    <row r="624" spans="1:19" ht="15" customHeight="1" x14ac:dyDescent="0.3">
      <c r="A624" s="22"/>
      <c r="B624" s="23"/>
      <c r="C624" s="3"/>
      <c r="D624" s="23">
        <v>2020</v>
      </c>
      <c r="E624" s="24">
        <f>Data!F624</f>
        <v>6841000000</v>
      </c>
      <c r="F624" s="24">
        <f>Data!H624</f>
        <v>2806000000</v>
      </c>
      <c r="G624" s="24">
        <f t="shared" si="72"/>
        <v>4035000000</v>
      </c>
      <c r="H624" s="24">
        <f>Data!G624</f>
        <v>257248000000</v>
      </c>
      <c r="I624" s="25">
        <f t="shared" si="73"/>
        <v>0.1028952606045528</v>
      </c>
      <c r="J624" s="24">
        <f>Data!J624</f>
        <v>17951000000</v>
      </c>
      <c r="K624" s="24">
        <f t="shared" si="74"/>
        <v>257248000000</v>
      </c>
      <c r="L624" s="25">
        <f t="shared" si="75"/>
        <v>0.22748577248413981</v>
      </c>
      <c r="M624" s="24">
        <f>Data!M624</f>
        <v>10962000000</v>
      </c>
      <c r="N624" s="24">
        <f t="shared" si="76"/>
        <v>257248000000</v>
      </c>
      <c r="O624" s="25">
        <f t="shared" si="77"/>
        <v>0.2863565120039806</v>
      </c>
      <c r="P624" s="24">
        <f>Data!K624</f>
        <v>175149000000</v>
      </c>
      <c r="Q624" s="24">
        <f>Data!I624</f>
        <v>92098000000</v>
      </c>
      <c r="R624" s="25">
        <f t="shared" si="78"/>
        <v>1.9968560663640904</v>
      </c>
      <c r="S624" s="25">
        <f t="shared" si="79"/>
        <v>2.6135936114567637</v>
      </c>
    </row>
    <row r="625" spans="1:19" ht="15" customHeight="1" x14ac:dyDescent="0.3">
      <c r="A625" s="22"/>
      <c r="B625" s="23"/>
      <c r="C625" s="3"/>
      <c r="D625" s="23">
        <v>2021</v>
      </c>
      <c r="E625" s="24">
        <f>Data!F625</f>
        <v>17450000000</v>
      </c>
      <c r="F625" s="24">
        <f>Data!H625</f>
        <v>9610000000</v>
      </c>
      <c r="G625" s="24">
        <f t="shared" si="72"/>
        <v>7840000000</v>
      </c>
      <c r="H625" s="24">
        <f>Data!G625</f>
        <v>483985000000</v>
      </c>
      <c r="I625" s="25">
        <f t="shared" si="73"/>
        <v>0.10626445034453547</v>
      </c>
      <c r="J625" s="24">
        <f>Data!J625</f>
        <v>20248000000</v>
      </c>
      <c r="K625" s="24">
        <f t="shared" si="74"/>
        <v>483985000000</v>
      </c>
      <c r="L625" s="25">
        <f t="shared" si="75"/>
        <v>0.13638538384454063</v>
      </c>
      <c r="M625" s="24">
        <f>Data!M625</f>
        <v>2448000000</v>
      </c>
      <c r="N625" s="24">
        <f t="shared" si="76"/>
        <v>483985000000</v>
      </c>
      <c r="O625" s="25">
        <f t="shared" si="77"/>
        <v>3.3989813733896708E-2</v>
      </c>
      <c r="P625" s="24">
        <f>Data!K625</f>
        <v>262951000000</v>
      </c>
      <c r="Q625" s="24">
        <f>Data!I625</f>
        <v>221034000000</v>
      </c>
      <c r="R625" s="25">
        <f t="shared" si="78"/>
        <v>1.2491225331849398</v>
      </c>
      <c r="S625" s="25">
        <f t="shared" si="79"/>
        <v>1.5257621811079125</v>
      </c>
    </row>
    <row r="626" spans="1:19" ht="15" customHeight="1" x14ac:dyDescent="0.3">
      <c r="A626" s="22"/>
      <c r="B626" s="23"/>
      <c r="C626" s="3"/>
      <c r="D626" s="23">
        <v>2022</v>
      </c>
      <c r="E626" s="24">
        <f>Data!F626</f>
        <v>2866000000</v>
      </c>
      <c r="F626" s="24">
        <f>Data!H626</f>
        <v>2080000000</v>
      </c>
      <c r="G626" s="24">
        <f t="shared" si="72"/>
        <v>786000000</v>
      </c>
      <c r="H626" s="24">
        <f>Data!G626</f>
        <v>366488000000</v>
      </c>
      <c r="I626" s="25">
        <f t="shared" si="73"/>
        <v>1.4069110039073582E-2</v>
      </c>
      <c r="J626" s="24">
        <f>Data!J626</f>
        <v>7508000000</v>
      </c>
      <c r="K626" s="24">
        <f t="shared" si="74"/>
        <v>366488000000</v>
      </c>
      <c r="L626" s="25">
        <f t="shared" si="75"/>
        <v>6.6785488201523649E-2</v>
      </c>
      <c r="M626" s="24">
        <f>Data!M626</f>
        <v>6844000000</v>
      </c>
      <c r="N626" s="24">
        <f t="shared" si="76"/>
        <v>366488000000</v>
      </c>
      <c r="O626" s="25">
        <f t="shared" si="77"/>
        <v>0.12549300386370085</v>
      </c>
      <c r="P626" s="24">
        <f>Data!K626</f>
        <v>155341000000</v>
      </c>
      <c r="Q626" s="24">
        <f>Data!I626</f>
        <v>211147000000</v>
      </c>
      <c r="R626" s="25">
        <f t="shared" si="78"/>
        <v>0.77248575636878569</v>
      </c>
      <c r="S626" s="25">
        <f t="shared" si="79"/>
        <v>0.97883335847308373</v>
      </c>
    </row>
    <row r="627" spans="1:19" ht="15" customHeight="1" x14ac:dyDescent="0.3">
      <c r="A627" s="22"/>
      <c r="B627" s="23"/>
      <c r="C627" s="3"/>
      <c r="D627" s="23">
        <v>2023</v>
      </c>
      <c r="E627" s="24">
        <f>Data!F627</f>
        <v>3331000000</v>
      </c>
      <c r="F627" s="24">
        <f>Data!H627</f>
        <v>4029000000</v>
      </c>
      <c r="G627" s="24">
        <f t="shared" si="72"/>
        <v>-698000000</v>
      </c>
      <c r="H627" s="24">
        <f>Data!G627</f>
        <v>148210000000</v>
      </c>
      <c r="I627" s="25">
        <f t="shared" si="73"/>
        <v>-3.0894541528911679E-2</v>
      </c>
      <c r="J627" s="24">
        <f>Data!J627</f>
        <v>8674000000</v>
      </c>
      <c r="K627" s="24">
        <f t="shared" si="74"/>
        <v>148210000000</v>
      </c>
      <c r="L627" s="25">
        <f t="shared" si="75"/>
        <v>0.19079171445921325</v>
      </c>
      <c r="M627" s="24">
        <f>Data!M627</f>
        <v>1023000000</v>
      </c>
      <c r="N627" s="24">
        <f t="shared" si="76"/>
        <v>148210000000</v>
      </c>
      <c r="O627" s="25">
        <f t="shared" si="77"/>
        <v>4.6383914715606232E-2</v>
      </c>
      <c r="P627" s="24">
        <f>Data!K627</f>
        <v>126164000000</v>
      </c>
      <c r="Q627" s="24">
        <f>Data!I627</f>
        <v>22046000000</v>
      </c>
      <c r="R627" s="25">
        <f t="shared" si="78"/>
        <v>6.0088995736187973</v>
      </c>
      <c r="S627" s="25">
        <f t="shared" si="79"/>
        <v>6.2151806612647054</v>
      </c>
    </row>
    <row r="628" spans="1:19" ht="15" customHeight="1" x14ac:dyDescent="0.3">
      <c r="A628" s="22"/>
      <c r="B628" s="23"/>
      <c r="C628" s="3"/>
      <c r="D628" s="23">
        <v>2024</v>
      </c>
      <c r="E628" s="24">
        <f>Data!F628</f>
        <v>32598000000</v>
      </c>
      <c r="F628" s="24">
        <f>Data!H628</f>
        <v>4948000000</v>
      </c>
      <c r="G628" s="24">
        <f t="shared" si="72"/>
        <v>27650000000</v>
      </c>
      <c r="H628" s="24">
        <f>Data!G628</f>
        <v>179384000000</v>
      </c>
      <c r="I628" s="25">
        <f t="shared" si="73"/>
        <v>1.0111492663782722</v>
      </c>
      <c r="J628" s="24">
        <f>Data!J628</f>
        <v>17902000000</v>
      </c>
      <c r="K628" s="24">
        <f t="shared" si="74"/>
        <v>179384000000</v>
      </c>
      <c r="L628" s="25">
        <f t="shared" si="75"/>
        <v>0.32533849172724433</v>
      </c>
      <c r="M628" s="24">
        <f>Data!M628</f>
        <v>7547000000</v>
      </c>
      <c r="N628" s="24">
        <f t="shared" si="76"/>
        <v>179384000000</v>
      </c>
      <c r="O628" s="25">
        <f t="shared" si="77"/>
        <v>0.28272220487891897</v>
      </c>
      <c r="P628" s="24">
        <f>Data!K628</f>
        <v>132651000000</v>
      </c>
      <c r="Q628" s="24">
        <f>Data!I628</f>
        <v>46736000000</v>
      </c>
      <c r="R628" s="25">
        <f t="shared" si="78"/>
        <v>2.9802197449503596</v>
      </c>
      <c r="S628" s="25">
        <f t="shared" si="79"/>
        <v>4.599429707934795</v>
      </c>
    </row>
    <row r="629" spans="1:19" ht="15" customHeight="1" x14ac:dyDescent="0.3">
      <c r="A629" s="22"/>
      <c r="B629" s="23">
        <v>58</v>
      </c>
      <c r="C629" s="4" t="s">
        <v>49</v>
      </c>
      <c r="D629" s="23">
        <v>2014</v>
      </c>
      <c r="E629" s="24">
        <f>Data!F629</f>
        <v>0</v>
      </c>
      <c r="F629" s="24">
        <f>Data!H629</f>
        <v>0</v>
      </c>
      <c r="G629" s="24">
        <f t="shared" si="72"/>
        <v>0</v>
      </c>
      <c r="H629" s="24">
        <f>Data!G629</f>
        <v>0</v>
      </c>
      <c r="I629" s="25">
        <f t="shared" si="73"/>
        <v>0</v>
      </c>
      <c r="J629" s="24">
        <f>Data!J629</f>
        <v>0</v>
      </c>
      <c r="K629" s="24">
        <f t="shared" si="74"/>
        <v>0</v>
      </c>
      <c r="L629" s="25">
        <f t="shared" si="75"/>
        <v>0</v>
      </c>
      <c r="M629" s="24">
        <f>Data!M629</f>
        <v>0</v>
      </c>
      <c r="N629" s="24">
        <f t="shared" si="76"/>
        <v>0</v>
      </c>
      <c r="O629" s="25">
        <f t="shared" si="77"/>
        <v>0</v>
      </c>
      <c r="P629" s="24">
        <f>Data!K629</f>
        <v>0</v>
      </c>
      <c r="Q629" s="24">
        <f>Data!I629</f>
        <v>0</v>
      </c>
      <c r="R629" s="25">
        <f t="shared" si="78"/>
        <v>0</v>
      </c>
      <c r="S629" s="25">
        <f t="shared" si="79"/>
        <v>0</v>
      </c>
    </row>
    <row r="630" spans="1:19" ht="15" customHeight="1" x14ac:dyDescent="0.3">
      <c r="A630" s="22"/>
      <c r="B630" s="23"/>
      <c r="C630" s="4"/>
      <c r="D630" s="23">
        <v>2015</v>
      </c>
      <c r="E630" s="24">
        <f>Data!F630</f>
        <v>0</v>
      </c>
      <c r="F630" s="24">
        <f>Data!H630</f>
        <v>0</v>
      </c>
      <c r="G630" s="24">
        <f t="shared" si="72"/>
        <v>0</v>
      </c>
      <c r="H630" s="24">
        <f>Data!G630</f>
        <v>0</v>
      </c>
      <c r="I630" s="25">
        <f t="shared" si="73"/>
        <v>0</v>
      </c>
      <c r="J630" s="24">
        <f>Data!J630</f>
        <v>0</v>
      </c>
      <c r="K630" s="24">
        <f t="shared" si="74"/>
        <v>0</v>
      </c>
      <c r="L630" s="25">
        <f t="shared" si="75"/>
        <v>0</v>
      </c>
      <c r="M630" s="24">
        <f>Data!M630</f>
        <v>0</v>
      </c>
      <c r="N630" s="24">
        <f t="shared" si="76"/>
        <v>0</v>
      </c>
      <c r="O630" s="25">
        <f t="shared" si="77"/>
        <v>0</v>
      </c>
      <c r="P630" s="24">
        <f>Data!K630</f>
        <v>0</v>
      </c>
      <c r="Q630" s="24">
        <f>Data!I630</f>
        <v>0</v>
      </c>
      <c r="R630" s="25">
        <f t="shared" si="78"/>
        <v>0</v>
      </c>
      <c r="S630" s="25">
        <f t="shared" si="79"/>
        <v>0</v>
      </c>
    </row>
    <row r="631" spans="1:19" ht="15" customHeight="1" x14ac:dyDescent="0.3">
      <c r="A631" s="22"/>
      <c r="B631" s="23"/>
      <c r="C631" s="4"/>
      <c r="D631" s="23">
        <v>2016</v>
      </c>
      <c r="E631" s="24">
        <f>Data!F631</f>
        <v>0</v>
      </c>
      <c r="F631" s="24">
        <f>Data!H631</f>
        <v>0</v>
      </c>
      <c r="G631" s="24">
        <f t="shared" si="72"/>
        <v>0</v>
      </c>
      <c r="H631" s="24">
        <f>Data!G631</f>
        <v>0</v>
      </c>
      <c r="I631" s="25">
        <f t="shared" si="73"/>
        <v>0</v>
      </c>
      <c r="J631" s="24">
        <f>Data!J631</f>
        <v>0</v>
      </c>
      <c r="K631" s="24">
        <f t="shared" si="74"/>
        <v>0</v>
      </c>
      <c r="L631" s="25">
        <f t="shared" si="75"/>
        <v>0</v>
      </c>
      <c r="M631" s="24">
        <f>Data!M631</f>
        <v>0</v>
      </c>
      <c r="N631" s="24">
        <f t="shared" si="76"/>
        <v>0</v>
      </c>
      <c r="O631" s="25">
        <f t="shared" si="77"/>
        <v>0</v>
      </c>
      <c r="P631" s="24">
        <f>Data!K631</f>
        <v>0</v>
      </c>
      <c r="Q631" s="24">
        <f>Data!I631</f>
        <v>0</v>
      </c>
      <c r="R631" s="25">
        <f t="shared" si="78"/>
        <v>0</v>
      </c>
      <c r="S631" s="25">
        <f t="shared" si="79"/>
        <v>0</v>
      </c>
    </row>
    <row r="632" spans="1:19" ht="15" customHeight="1" x14ac:dyDescent="0.3">
      <c r="A632" s="22"/>
      <c r="B632" s="23"/>
      <c r="C632" s="4"/>
      <c r="D632" s="23">
        <v>2017</v>
      </c>
      <c r="E632" s="24">
        <f>Data!F632</f>
        <v>0</v>
      </c>
      <c r="F632" s="24">
        <f>Data!H632</f>
        <v>0</v>
      </c>
      <c r="G632" s="24">
        <f t="shared" si="72"/>
        <v>0</v>
      </c>
      <c r="H632" s="24">
        <f>Data!G632</f>
        <v>0</v>
      </c>
      <c r="I632" s="25">
        <f t="shared" si="73"/>
        <v>0</v>
      </c>
      <c r="J632" s="24">
        <f>Data!J632</f>
        <v>0</v>
      </c>
      <c r="K632" s="24">
        <f t="shared" si="74"/>
        <v>0</v>
      </c>
      <c r="L632" s="25">
        <f t="shared" si="75"/>
        <v>0</v>
      </c>
      <c r="M632" s="24">
        <f>Data!M632</f>
        <v>0</v>
      </c>
      <c r="N632" s="24">
        <f t="shared" si="76"/>
        <v>0</v>
      </c>
      <c r="O632" s="25">
        <f t="shared" si="77"/>
        <v>0</v>
      </c>
      <c r="P632" s="24">
        <f>Data!K632</f>
        <v>0</v>
      </c>
      <c r="Q632" s="24">
        <f>Data!I632</f>
        <v>0</v>
      </c>
      <c r="R632" s="25">
        <f t="shared" si="78"/>
        <v>0</v>
      </c>
      <c r="S632" s="25">
        <f t="shared" si="79"/>
        <v>0</v>
      </c>
    </row>
    <row r="633" spans="1:19" ht="15" customHeight="1" x14ac:dyDescent="0.3">
      <c r="A633" s="22"/>
      <c r="B633" s="23"/>
      <c r="C633" s="4"/>
      <c r="D633" s="23">
        <v>2018</v>
      </c>
      <c r="E633" s="24">
        <f>Data!F633</f>
        <v>0</v>
      </c>
      <c r="F633" s="24">
        <f>Data!H633</f>
        <v>0</v>
      </c>
      <c r="G633" s="24">
        <f t="shared" si="72"/>
        <v>0</v>
      </c>
      <c r="H633" s="24">
        <f>Data!G633</f>
        <v>0</v>
      </c>
      <c r="I633" s="25">
        <f t="shared" si="73"/>
        <v>0</v>
      </c>
      <c r="J633" s="24">
        <f>Data!J633</f>
        <v>0</v>
      </c>
      <c r="K633" s="24">
        <f t="shared" si="74"/>
        <v>0</v>
      </c>
      <c r="L633" s="25">
        <f t="shared" si="75"/>
        <v>0</v>
      </c>
      <c r="M633" s="24">
        <f>Data!M633</f>
        <v>0</v>
      </c>
      <c r="N633" s="24">
        <f t="shared" si="76"/>
        <v>0</v>
      </c>
      <c r="O633" s="25">
        <f t="shared" si="77"/>
        <v>0</v>
      </c>
      <c r="P633" s="24">
        <f>Data!K633</f>
        <v>0</v>
      </c>
      <c r="Q633" s="24">
        <f>Data!I633</f>
        <v>0</v>
      </c>
      <c r="R633" s="25">
        <f t="shared" si="78"/>
        <v>0</v>
      </c>
      <c r="S633" s="25">
        <f t="shared" si="79"/>
        <v>0</v>
      </c>
    </row>
    <row r="634" spans="1:19" ht="15" customHeight="1" x14ac:dyDescent="0.3">
      <c r="A634" s="22"/>
      <c r="B634" s="23"/>
      <c r="C634" s="4"/>
      <c r="D634" s="23">
        <v>2019</v>
      </c>
      <c r="E634" s="24">
        <f>Data!F634</f>
        <v>0</v>
      </c>
      <c r="F634" s="24">
        <f>Data!H634</f>
        <v>0</v>
      </c>
      <c r="G634" s="24">
        <f t="shared" si="72"/>
        <v>0</v>
      </c>
      <c r="H634" s="24">
        <f>Data!G634</f>
        <v>0</v>
      </c>
      <c r="I634" s="25">
        <f t="shared" si="73"/>
        <v>0</v>
      </c>
      <c r="J634" s="24">
        <f>Data!J634</f>
        <v>0</v>
      </c>
      <c r="K634" s="24">
        <f t="shared" si="74"/>
        <v>0</v>
      </c>
      <c r="L634" s="25">
        <f t="shared" si="75"/>
        <v>0</v>
      </c>
      <c r="M634" s="24">
        <f>Data!M634</f>
        <v>0</v>
      </c>
      <c r="N634" s="24">
        <f t="shared" si="76"/>
        <v>0</v>
      </c>
      <c r="O634" s="25">
        <f t="shared" si="77"/>
        <v>0</v>
      </c>
      <c r="P634" s="24">
        <f>Data!K634</f>
        <v>0</v>
      </c>
      <c r="Q634" s="24">
        <f>Data!I634</f>
        <v>0</v>
      </c>
      <c r="R634" s="25">
        <f t="shared" si="78"/>
        <v>0</v>
      </c>
      <c r="S634" s="25">
        <f t="shared" si="79"/>
        <v>0</v>
      </c>
    </row>
    <row r="635" spans="1:19" ht="15" customHeight="1" x14ac:dyDescent="0.3">
      <c r="A635" s="22"/>
      <c r="B635" s="23"/>
      <c r="C635" s="4"/>
      <c r="D635" s="23">
        <v>2020</v>
      </c>
      <c r="E635" s="24">
        <f>Data!F635</f>
        <v>122980000000</v>
      </c>
      <c r="F635" s="24">
        <f>Data!H635</f>
        <v>224870000000</v>
      </c>
      <c r="G635" s="24">
        <f t="shared" si="72"/>
        <v>-101890000000</v>
      </c>
      <c r="H635" s="24">
        <f>Data!G635</f>
        <v>1657001000000</v>
      </c>
      <c r="I635" s="25">
        <f t="shared" si="73"/>
        <v>-0.40337839265033631</v>
      </c>
      <c r="J635" s="24">
        <f>Data!J635</f>
        <v>-2196973000000</v>
      </c>
      <c r="K635" s="24">
        <f t="shared" si="74"/>
        <v>1657001000000</v>
      </c>
      <c r="L635" s="25">
        <f t="shared" si="75"/>
        <v>-4.3223462025671671</v>
      </c>
      <c r="M635" s="24">
        <f>Data!M635</f>
        <v>-258849000000</v>
      </c>
      <c r="N635" s="24">
        <f t="shared" si="76"/>
        <v>1657001000000</v>
      </c>
      <c r="O635" s="25">
        <f t="shared" si="77"/>
        <v>-1.0497671878290959</v>
      </c>
      <c r="P635" s="24">
        <f>Data!K635</f>
        <v>418031000000</v>
      </c>
      <c r="Q635" s="24">
        <f>Data!I635</f>
        <v>1238970000000</v>
      </c>
      <c r="R635" s="25">
        <f t="shared" si="78"/>
        <v>0.35427213733988722</v>
      </c>
      <c r="S635" s="25">
        <f t="shared" si="79"/>
        <v>-5.4212196457067119</v>
      </c>
    </row>
    <row r="636" spans="1:19" ht="15" customHeight="1" x14ac:dyDescent="0.3">
      <c r="A636" s="22"/>
      <c r="B636" s="23"/>
      <c r="C636" s="4"/>
      <c r="D636" s="23">
        <v>2021</v>
      </c>
      <c r="E636" s="24">
        <f>Data!F636</f>
        <v>171181000000</v>
      </c>
      <c r="F636" s="24">
        <f>Data!H636</f>
        <v>240029000000</v>
      </c>
      <c r="G636" s="24">
        <f t="shared" si="72"/>
        <v>-68848000000</v>
      </c>
      <c r="H636" s="24">
        <f>Data!G636</f>
        <v>1706301000000</v>
      </c>
      <c r="I636" s="25">
        <f t="shared" si="73"/>
        <v>-0.26469121216010538</v>
      </c>
      <c r="J636" s="24">
        <f>Data!J636</f>
        <v>-2487821000000</v>
      </c>
      <c r="K636" s="24">
        <f t="shared" si="74"/>
        <v>1706301000000</v>
      </c>
      <c r="L636" s="25">
        <f t="shared" si="75"/>
        <v>-4.7531452305308379</v>
      </c>
      <c r="M636" s="24">
        <f>Data!M636</f>
        <v>-291905000000</v>
      </c>
      <c r="N636" s="24">
        <f t="shared" si="76"/>
        <v>1706301000000</v>
      </c>
      <c r="O636" s="25">
        <f t="shared" si="77"/>
        <v>-1.1496222530491396</v>
      </c>
      <c r="P636" s="24">
        <f>Data!K636</f>
        <v>249530000000</v>
      </c>
      <c r="Q636" s="24">
        <f>Data!I636</f>
        <v>1456771000000</v>
      </c>
      <c r="R636" s="25">
        <f t="shared" si="78"/>
        <v>0.17985428046000365</v>
      </c>
      <c r="S636" s="25">
        <f t="shared" si="79"/>
        <v>-5.9876044152800798</v>
      </c>
    </row>
    <row r="637" spans="1:19" ht="15" customHeight="1" x14ac:dyDescent="0.3">
      <c r="A637" s="22"/>
      <c r="B637" s="23"/>
      <c r="C637" s="4"/>
      <c r="D637" s="23">
        <v>2022</v>
      </c>
      <c r="E637" s="24">
        <f>Data!F637</f>
        <v>148447000000</v>
      </c>
      <c r="F637" s="24">
        <f>Data!H637</f>
        <v>273984000000</v>
      </c>
      <c r="G637" s="24">
        <f t="shared" si="72"/>
        <v>-125537000000</v>
      </c>
      <c r="H637" s="24">
        <f>Data!G637</f>
        <v>2050028000000</v>
      </c>
      <c r="I637" s="25">
        <f t="shared" si="73"/>
        <v>-0.40171291318947838</v>
      </c>
      <c r="J637" s="24">
        <f>Data!J637</f>
        <v>-2483898000000</v>
      </c>
      <c r="K637" s="24">
        <f t="shared" si="74"/>
        <v>2050028000000</v>
      </c>
      <c r="L637" s="25">
        <f t="shared" si="75"/>
        <v>-3.9499496982480236</v>
      </c>
      <c r="M637" s="24">
        <f>Data!M637</f>
        <v>3782000000</v>
      </c>
      <c r="N637" s="24">
        <f t="shared" si="76"/>
        <v>2050028000000</v>
      </c>
      <c r="O637" s="25">
        <f t="shared" si="77"/>
        <v>1.2397411157311022E-2</v>
      </c>
      <c r="P637" s="24">
        <f>Data!K637</f>
        <v>357636000000</v>
      </c>
      <c r="Q637" s="24">
        <f>Data!I637</f>
        <v>1692392000000</v>
      </c>
      <c r="R637" s="25">
        <f t="shared" si="78"/>
        <v>0.22188582786966612</v>
      </c>
      <c r="S637" s="25">
        <f t="shared" si="79"/>
        <v>-4.1173793724105243</v>
      </c>
    </row>
    <row r="638" spans="1:19" ht="15" customHeight="1" x14ac:dyDescent="0.3">
      <c r="A638" s="22"/>
      <c r="B638" s="23"/>
      <c r="C638" s="4"/>
      <c r="D638" s="23">
        <v>2023</v>
      </c>
      <c r="E638" s="24">
        <f>Data!F638</f>
        <v>252439000000</v>
      </c>
      <c r="F638" s="24">
        <f>Data!H638</f>
        <v>277508000000</v>
      </c>
      <c r="G638" s="24">
        <f t="shared" si="72"/>
        <v>-25069000000</v>
      </c>
      <c r="H638" s="24">
        <f>Data!G638</f>
        <v>2178462000000</v>
      </c>
      <c r="I638" s="25">
        <f t="shared" si="73"/>
        <v>-7.5490249543026217E-2</v>
      </c>
      <c r="J638" s="24">
        <f>Data!J638</f>
        <v>-2613219000000</v>
      </c>
      <c r="K638" s="24">
        <f t="shared" si="74"/>
        <v>2178462000000</v>
      </c>
      <c r="L638" s="25">
        <f t="shared" si="75"/>
        <v>-3.9106002032626686</v>
      </c>
      <c r="M638" s="24">
        <f>Data!M638</f>
        <v>-130513000000</v>
      </c>
      <c r="N638" s="24">
        <f t="shared" si="76"/>
        <v>2178462000000</v>
      </c>
      <c r="O638" s="25">
        <f t="shared" si="77"/>
        <v>-0.40259933843234358</v>
      </c>
      <c r="P638" s="24">
        <f>Data!K638</f>
        <v>247025000000</v>
      </c>
      <c r="Q638" s="24">
        <f>Data!I638</f>
        <v>1931437000000</v>
      </c>
      <c r="R638" s="25">
        <f t="shared" si="78"/>
        <v>0.13429185109325337</v>
      </c>
      <c r="S638" s="25">
        <f t="shared" si="79"/>
        <v>-4.2543979401447842</v>
      </c>
    </row>
    <row r="639" spans="1:19" ht="15" customHeight="1" x14ac:dyDescent="0.3">
      <c r="A639" s="22"/>
      <c r="B639" s="23"/>
      <c r="C639" s="4"/>
      <c r="D639" s="23">
        <v>2024</v>
      </c>
      <c r="E639" s="24">
        <f>Data!F639</f>
        <v>174576000000</v>
      </c>
      <c r="F639" s="24">
        <f>Data!H639</f>
        <v>216375000000</v>
      </c>
      <c r="G639" s="24">
        <f t="shared" si="72"/>
        <v>-41799000000</v>
      </c>
      <c r="H639" s="24">
        <f>Data!G639</f>
        <v>2347784000000</v>
      </c>
      <c r="I639" s="25">
        <f t="shared" si="73"/>
        <v>-0.11679159581971765</v>
      </c>
      <c r="J639" s="24">
        <f>Data!J639</f>
        <v>-2686792000000</v>
      </c>
      <c r="K639" s="24">
        <f t="shared" si="74"/>
        <v>2347784000000</v>
      </c>
      <c r="L639" s="25">
        <f t="shared" si="75"/>
        <v>-3.7307273241490697</v>
      </c>
      <c r="M639" s="24">
        <f>Data!M639</f>
        <v>-78321000000</v>
      </c>
      <c r="N639" s="24">
        <f t="shared" si="76"/>
        <v>2347784000000</v>
      </c>
      <c r="O639" s="25">
        <f t="shared" si="77"/>
        <v>-0.22417612523128191</v>
      </c>
      <c r="P639" s="24">
        <f>Data!K639</f>
        <v>289762000000</v>
      </c>
      <c r="Q639" s="24">
        <f>Data!I639</f>
        <v>2058022000000</v>
      </c>
      <c r="R639" s="25">
        <f t="shared" si="78"/>
        <v>0.14783617473476962</v>
      </c>
      <c r="S639" s="25">
        <f t="shared" si="79"/>
        <v>-3.9238588704652999</v>
      </c>
    </row>
    <row r="640" spans="1:19" ht="15" customHeight="1" x14ac:dyDescent="0.3">
      <c r="A640" s="22" t="s">
        <v>154</v>
      </c>
      <c r="B640" s="23">
        <v>59</v>
      </c>
      <c r="C640" s="2" t="s">
        <v>59</v>
      </c>
      <c r="D640" s="23">
        <v>2014</v>
      </c>
      <c r="E640" s="24">
        <f>Data!F640</f>
        <v>0</v>
      </c>
      <c r="F640" s="24">
        <f>Data!H640</f>
        <v>0</v>
      </c>
      <c r="G640" s="24">
        <f t="shared" si="72"/>
        <v>0</v>
      </c>
      <c r="H640" s="24">
        <f>Data!G640</f>
        <v>0</v>
      </c>
      <c r="I640" s="25">
        <f t="shared" si="73"/>
        <v>0</v>
      </c>
      <c r="J640" s="24">
        <f>Data!J640</f>
        <v>0</v>
      </c>
      <c r="K640" s="24">
        <f t="shared" si="74"/>
        <v>0</v>
      </c>
      <c r="L640" s="25">
        <f t="shared" si="75"/>
        <v>0</v>
      </c>
      <c r="M640" s="24">
        <f>Data!M640</f>
        <v>0</v>
      </c>
      <c r="N640" s="24">
        <f t="shared" si="76"/>
        <v>0</v>
      </c>
      <c r="O640" s="25">
        <f t="shared" si="77"/>
        <v>0</v>
      </c>
      <c r="P640" s="24">
        <f>Data!K640</f>
        <v>0</v>
      </c>
      <c r="Q640" s="24">
        <f>Data!I640</f>
        <v>0</v>
      </c>
      <c r="R640" s="25">
        <f t="shared" si="78"/>
        <v>0</v>
      </c>
      <c r="S640" s="25">
        <f t="shared" si="79"/>
        <v>0</v>
      </c>
    </row>
    <row r="641" spans="1:19" ht="15" customHeight="1" x14ac:dyDescent="0.3">
      <c r="A641" s="22"/>
      <c r="B641" s="23"/>
      <c r="C641" s="2"/>
      <c r="D641" s="23">
        <v>2015</v>
      </c>
      <c r="E641" s="24">
        <f>Data!F641</f>
        <v>0</v>
      </c>
      <c r="F641" s="24">
        <f>Data!H641</f>
        <v>0</v>
      </c>
      <c r="G641" s="24">
        <f t="shared" si="72"/>
        <v>0</v>
      </c>
      <c r="H641" s="24">
        <f>Data!G641</f>
        <v>0</v>
      </c>
      <c r="I641" s="25">
        <f t="shared" si="73"/>
        <v>0</v>
      </c>
      <c r="J641" s="24">
        <f>Data!J641</f>
        <v>0</v>
      </c>
      <c r="K641" s="24">
        <f t="shared" si="74"/>
        <v>0</v>
      </c>
      <c r="L641" s="25">
        <f t="shared" si="75"/>
        <v>0</v>
      </c>
      <c r="M641" s="24">
        <f>Data!M641</f>
        <v>0</v>
      </c>
      <c r="N641" s="24">
        <f t="shared" si="76"/>
        <v>0</v>
      </c>
      <c r="O641" s="25">
        <f t="shared" si="77"/>
        <v>0</v>
      </c>
      <c r="P641" s="24">
        <f>Data!K641</f>
        <v>0</v>
      </c>
      <c r="Q641" s="24">
        <f>Data!I641</f>
        <v>0</v>
      </c>
      <c r="R641" s="25">
        <f t="shared" si="78"/>
        <v>0</v>
      </c>
      <c r="S641" s="25">
        <f t="shared" si="79"/>
        <v>0</v>
      </c>
    </row>
    <row r="642" spans="1:19" ht="15" customHeight="1" x14ac:dyDescent="0.3">
      <c r="A642" s="22"/>
      <c r="B642" s="23"/>
      <c r="C642" s="2"/>
      <c r="D642" s="23">
        <v>2016</v>
      </c>
      <c r="E642" s="24">
        <f>Data!F642</f>
        <v>0</v>
      </c>
      <c r="F642" s="24">
        <f>Data!H642</f>
        <v>0</v>
      </c>
      <c r="G642" s="24">
        <f t="shared" si="72"/>
        <v>0</v>
      </c>
      <c r="H642" s="24">
        <f>Data!G642</f>
        <v>0</v>
      </c>
      <c r="I642" s="25">
        <f t="shared" si="73"/>
        <v>0</v>
      </c>
      <c r="J642" s="24">
        <f>Data!J642</f>
        <v>0</v>
      </c>
      <c r="K642" s="24">
        <f t="shared" si="74"/>
        <v>0</v>
      </c>
      <c r="L642" s="25">
        <f t="shared" si="75"/>
        <v>0</v>
      </c>
      <c r="M642" s="24">
        <f>Data!M642</f>
        <v>0</v>
      </c>
      <c r="N642" s="24">
        <f t="shared" si="76"/>
        <v>0</v>
      </c>
      <c r="O642" s="25">
        <f t="shared" si="77"/>
        <v>0</v>
      </c>
      <c r="P642" s="24">
        <f>Data!K642</f>
        <v>0</v>
      </c>
      <c r="Q642" s="24">
        <f>Data!I642</f>
        <v>0</v>
      </c>
      <c r="R642" s="25">
        <f t="shared" si="78"/>
        <v>0</v>
      </c>
      <c r="S642" s="25">
        <f t="shared" si="79"/>
        <v>0</v>
      </c>
    </row>
    <row r="643" spans="1:19" ht="15" customHeight="1" x14ac:dyDescent="0.3">
      <c r="A643" s="22"/>
      <c r="B643" s="23"/>
      <c r="C643" s="2"/>
      <c r="D643" s="23">
        <v>2017</v>
      </c>
      <c r="E643" s="24">
        <f>Data!F643</f>
        <v>0</v>
      </c>
      <c r="F643" s="24">
        <f>Data!H643</f>
        <v>0</v>
      </c>
      <c r="G643" s="24">
        <f t="shared" ref="G643:G706" si="80">E643-F643</f>
        <v>0</v>
      </c>
      <c r="H643" s="24">
        <f>Data!G643</f>
        <v>0</v>
      </c>
      <c r="I643" s="25">
        <f t="shared" ref="I643:I706" si="81">IFERROR(6.56*(G643/H643),0)</f>
        <v>0</v>
      </c>
      <c r="J643" s="24">
        <f>Data!J643</f>
        <v>0</v>
      </c>
      <c r="K643" s="24">
        <f t="shared" ref="K643:K706" si="82">H643</f>
        <v>0</v>
      </c>
      <c r="L643" s="25">
        <f t="shared" ref="L643:L706" si="83">IFERROR(3.26*(J643/K643),0)</f>
        <v>0</v>
      </c>
      <c r="M643" s="24">
        <f>Data!M643</f>
        <v>0</v>
      </c>
      <c r="N643" s="24">
        <f t="shared" ref="N643:N706" si="84">K643</f>
        <v>0</v>
      </c>
      <c r="O643" s="25">
        <f t="shared" ref="O643:O706" si="85">IFERROR(6.72*(M643/N643),0)</f>
        <v>0</v>
      </c>
      <c r="P643" s="24">
        <f>Data!K643</f>
        <v>0</v>
      </c>
      <c r="Q643" s="24">
        <f>Data!I643</f>
        <v>0</v>
      </c>
      <c r="R643" s="25">
        <f t="shared" ref="R643:R706" si="86">IFERROR(1.05*(P643/Q643),0)</f>
        <v>0</v>
      </c>
      <c r="S643" s="25">
        <f t="shared" ref="S643:S706" si="87">IFERROR(I643+L643+O643+R643,0)</f>
        <v>0</v>
      </c>
    </row>
    <row r="644" spans="1:19" ht="15" customHeight="1" x14ac:dyDescent="0.3">
      <c r="A644" s="22"/>
      <c r="B644" s="23"/>
      <c r="C644" s="2"/>
      <c r="D644" s="23">
        <v>2018</v>
      </c>
      <c r="E644" s="24">
        <f>Data!F644</f>
        <v>0</v>
      </c>
      <c r="F644" s="24">
        <f>Data!H644</f>
        <v>0</v>
      </c>
      <c r="G644" s="24">
        <f t="shared" si="80"/>
        <v>0</v>
      </c>
      <c r="H644" s="24">
        <f>Data!G644</f>
        <v>0</v>
      </c>
      <c r="I644" s="25">
        <f t="shared" si="81"/>
        <v>0</v>
      </c>
      <c r="J644" s="24">
        <f>Data!J644</f>
        <v>0</v>
      </c>
      <c r="K644" s="24">
        <f t="shared" si="82"/>
        <v>0</v>
      </c>
      <c r="L644" s="25">
        <f t="shared" si="83"/>
        <v>0</v>
      </c>
      <c r="M644" s="24">
        <f>Data!M644</f>
        <v>0</v>
      </c>
      <c r="N644" s="24">
        <f t="shared" si="84"/>
        <v>0</v>
      </c>
      <c r="O644" s="25">
        <f t="shared" si="85"/>
        <v>0</v>
      </c>
      <c r="P644" s="24">
        <f>Data!K644</f>
        <v>0</v>
      </c>
      <c r="Q644" s="24">
        <f>Data!I644</f>
        <v>0</v>
      </c>
      <c r="R644" s="25">
        <f t="shared" si="86"/>
        <v>0</v>
      </c>
      <c r="S644" s="25">
        <f t="shared" si="87"/>
        <v>0</v>
      </c>
    </row>
    <row r="645" spans="1:19" ht="15" customHeight="1" x14ac:dyDescent="0.3">
      <c r="A645" s="22"/>
      <c r="B645" s="23"/>
      <c r="C645" s="2"/>
      <c r="D645" s="23">
        <v>2019</v>
      </c>
      <c r="E645" s="24">
        <f>Data!F645</f>
        <v>60558800000</v>
      </c>
      <c r="F645" s="24">
        <f>Data!H645</f>
        <v>225165000000</v>
      </c>
      <c r="G645" s="24">
        <f t="shared" si="80"/>
        <v>-164606200000</v>
      </c>
      <c r="H645" s="24">
        <f>Data!G645</f>
        <v>1222801000000</v>
      </c>
      <c r="I645" s="25">
        <f t="shared" si="81"/>
        <v>-0.88306819507017087</v>
      </c>
      <c r="J645" s="24">
        <f>Data!J645</f>
        <v>76999000000</v>
      </c>
      <c r="K645" s="24">
        <f t="shared" si="82"/>
        <v>1222801000000</v>
      </c>
      <c r="L645" s="25">
        <f t="shared" si="83"/>
        <v>0.20528012325799536</v>
      </c>
      <c r="M645" s="24">
        <f>Data!M645</f>
        <v>85996000000</v>
      </c>
      <c r="N645" s="24">
        <f t="shared" si="84"/>
        <v>1222801000000</v>
      </c>
      <c r="O645" s="25">
        <f t="shared" si="85"/>
        <v>0.47259784707405378</v>
      </c>
      <c r="P645" s="24">
        <f>Data!K645</f>
        <v>386100000000</v>
      </c>
      <c r="Q645" s="24">
        <f>Data!I645</f>
        <v>836701000000</v>
      </c>
      <c r="R645" s="25">
        <f t="shared" si="86"/>
        <v>0.48452792574647341</v>
      </c>
      <c r="S645" s="25">
        <f t="shared" si="87"/>
        <v>0.2793377010083517</v>
      </c>
    </row>
    <row r="646" spans="1:19" ht="15" customHeight="1" x14ac:dyDescent="0.3">
      <c r="A646" s="22"/>
      <c r="B646" s="23"/>
      <c r="C646" s="2"/>
      <c r="D646" s="23">
        <v>2020</v>
      </c>
      <c r="E646" s="24">
        <f>Data!F646</f>
        <v>542147000000</v>
      </c>
      <c r="F646" s="24">
        <f>Data!H646</f>
        <v>164785000000</v>
      </c>
      <c r="G646" s="24">
        <f t="shared" si="80"/>
        <v>377362000000</v>
      </c>
      <c r="H646" s="24">
        <f>Data!G646</f>
        <v>1153735000000</v>
      </c>
      <c r="I646" s="25">
        <f t="shared" si="81"/>
        <v>2.1456354535486919</v>
      </c>
      <c r="J646" s="24">
        <f>Data!J646</f>
        <v>78164000000</v>
      </c>
      <c r="K646" s="24">
        <f t="shared" si="82"/>
        <v>1153735000000</v>
      </c>
      <c r="L646" s="25">
        <f t="shared" si="83"/>
        <v>0.22086063090744407</v>
      </c>
      <c r="M646" s="24">
        <f>Data!M646</f>
        <v>94423000000</v>
      </c>
      <c r="N646" s="24">
        <f t="shared" si="84"/>
        <v>1153735000000</v>
      </c>
      <c r="O646" s="25">
        <f t="shared" si="85"/>
        <v>0.5499725326873155</v>
      </c>
      <c r="P646" s="24">
        <f>Data!K646</f>
        <v>388974000000</v>
      </c>
      <c r="Q646" s="24">
        <f>Data!I646</f>
        <v>764761000000</v>
      </c>
      <c r="R646" s="25">
        <f t="shared" si="86"/>
        <v>0.5340527301993695</v>
      </c>
      <c r="S646" s="25">
        <f t="shared" si="87"/>
        <v>3.4505213473428209</v>
      </c>
    </row>
    <row r="647" spans="1:19" ht="15" customHeight="1" x14ac:dyDescent="0.3">
      <c r="A647" s="22"/>
      <c r="B647" s="23"/>
      <c r="C647" s="2"/>
      <c r="D647" s="23">
        <v>2021</v>
      </c>
      <c r="E647" s="24">
        <f>Data!F647</f>
        <v>527973000000</v>
      </c>
      <c r="F647" s="24">
        <f>Data!H647</f>
        <v>188316000000</v>
      </c>
      <c r="G647" s="24">
        <f t="shared" si="80"/>
        <v>339657000000</v>
      </c>
      <c r="H647" s="24">
        <f>Data!G647</f>
        <v>1145364000000</v>
      </c>
      <c r="I647" s="25">
        <f t="shared" si="81"/>
        <v>1.9453640240133268</v>
      </c>
      <c r="J647" s="24">
        <f>Data!J647</f>
        <v>76268000000</v>
      </c>
      <c r="K647" s="24">
        <f t="shared" si="82"/>
        <v>1145364000000</v>
      </c>
      <c r="L647" s="25">
        <f t="shared" si="83"/>
        <v>0.21707830872980116</v>
      </c>
      <c r="M647" s="24">
        <f>Data!M647</f>
        <v>90826000000</v>
      </c>
      <c r="N647" s="24">
        <f t="shared" si="84"/>
        <v>1145364000000</v>
      </c>
      <c r="O647" s="25">
        <f t="shared" si="85"/>
        <v>0.53288799019351052</v>
      </c>
      <c r="P647" s="24">
        <f>Data!K647</f>
        <v>384789000000</v>
      </c>
      <c r="Q647" s="24">
        <f>Data!I647</f>
        <v>760574000000</v>
      </c>
      <c r="R647" s="25">
        <f t="shared" si="86"/>
        <v>0.53121517432886212</v>
      </c>
      <c r="S647" s="25">
        <f t="shared" si="87"/>
        <v>3.2265454972655001</v>
      </c>
    </row>
    <row r="648" spans="1:19" ht="15" customHeight="1" x14ac:dyDescent="0.3">
      <c r="A648" s="22"/>
      <c r="B648" s="23"/>
      <c r="C648" s="2"/>
      <c r="D648" s="23">
        <v>2022</v>
      </c>
      <c r="E648" s="24">
        <f>Data!F648</f>
        <v>635710000000</v>
      </c>
      <c r="F648" s="24">
        <f>Data!H648</f>
        <v>195114000000</v>
      </c>
      <c r="G648" s="24">
        <f t="shared" si="80"/>
        <v>440596000000</v>
      </c>
      <c r="H648" s="24">
        <f>Data!G648</f>
        <v>1200901000000</v>
      </c>
      <c r="I648" s="25">
        <f t="shared" si="81"/>
        <v>2.4067843727334726</v>
      </c>
      <c r="J648" s="24">
        <f>Data!J648</f>
        <v>86389000000</v>
      </c>
      <c r="K648" s="24">
        <f t="shared" si="82"/>
        <v>1200901000000</v>
      </c>
      <c r="L648" s="25">
        <f t="shared" si="83"/>
        <v>0.23451403571151994</v>
      </c>
      <c r="M648" s="24">
        <f>Data!M648</f>
        <v>99232000000</v>
      </c>
      <c r="N648" s="24">
        <f t="shared" si="84"/>
        <v>1200901000000</v>
      </c>
      <c r="O648" s="25">
        <f t="shared" si="85"/>
        <v>0.55528227555810172</v>
      </c>
      <c r="P648" s="24">
        <f>Data!K648</f>
        <v>391666000000</v>
      </c>
      <c r="Q648" s="24">
        <f>Data!I648</f>
        <v>809235000000</v>
      </c>
      <c r="R648" s="25">
        <f t="shared" si="86"/>
        <v>0.50819514726871673</v>
      </c>
      <c r="S648" s="25">
        <f t="shared" si="87"/>
        <v>3.7047758312718111</v>
      </c>
    </row>
    <row r="649" spans="1:19" ht="15" customHeight="1" x14ac:dyDescent="0.3">
      <c r="A649" s="22"/>
      <c r="B649" s="23"/>
      <c r="C649" s="2"/>
      <c r="D649" s="23">
        <v>2023</v>
      </c>
      <c r="E649" s="24">
        <f>Data!F649</f>
        <v>650576000000</v>
      </c>
      <c r="F649" s="24">
        <f>Data!H649</f>
        <v>182849000000</v>
      </c>
      <c r="G649" s="24">
        <f t="shared" si="80"/>
        <v>467727000000</v>
      </c>
      <c r="H649" s="24">
        <f>Data!G649</f>
        <v>1229251000000</v>
      </c>
      <c r="I649" s="25">
        <f t="shared" si="81"/>
        <v>2.4960639608997672</v>
      </c>
      <c r="J649" s="24">
        <f>Data!J649</f>
        <v>140097000000</v>
      </c>
      <c r="K649" s="24">
        <f t="shared" si="82"/>
        <v>1229251000000</v>
      </c>
      <c r="L649" s="25">
        <f t="shared" si="83"/>
        <v>0.3715402468657743</v>
      </c>
      <c r="M649" s="24">
        <f>Data!M649</f>
        <v>162458000000</v>
      </c>
      <c r="N649" s="24">
        <f t="shared" si="84"/>
        <v>1229251000000</v>
      </c>
      <c r="O649" s="25">
        <f t="shared" si="85"/>
        <v>0.88811622687311209</v>
      </c>
      <c r="P649" s="24">
        <f>Data!K649</f>
        <v>447003000000</v>
      </c>
      <c r="Q649" s="24">
        <f>Data!I649</f>
        <v>782248000000</v>
      </c>
      <c r="R649" s="25">
        <f t="shared" si="86"/>
        <v>0.60000556089628865</v>
      </c>
      <c r="S649" s="25">
        <f t="shared" si="87"/>
        <v>4.3557259955349421</v>
      </c>
    </row>
    <row r="650" spans="1:19" ht="15" customHeight="1" x14ac:dyDescent="0.3">
      <c r="A650" s="22"/>
      <c r="B650" s="23"/>
      <c r="C650" s="2"/>
      <c r="D650" s="23">
        <v>2024</v>
      </c>
      <c r="E650" s="24">
        <f>Data!F650</f>
        <v>796775000000</v>
      </c>
      <c r="F650" s="24">
        <f>Data!H650</f>
        <v>214218000000</v>
      </c>
      <c r="G650" s="24">
        <f t="shared" si="80"/>
        <v>582557000000</v>
      </c>
      <c r="H650" s="24">
        <f>Data!G650</f>
        <v>1460518000000</v>
      </c>
      <c r="I650" s="25">
        <f t="shared" si="81"/>
        <v>2.6165880324651938</v>
      </c>
      <c r="J650" s="24">
        <f>Data!J650</f>
        <v>295585000000</v>
      </c>
      <c r="K650" s="24">
        <f t="shared" si="82"/>
        <v>1460518000000</v>
      </c>
      <c r="L650" s="25">
        <f t="shared" si="83"/>
        <v>0.65977077995615252</v>
      </c>
      <c r="M650" s="24">
        <f>Data!M650</f>
        <v>190319000000</v>
      </c>
      <c r="N650" s="24">
        <f t="shared" si="84"/>
        <v>1460518000000</v>
      </c>
      <c r="O650" s="25">
        <f t="shared" si="85"/>
        <v>0.87567813611335155</v>
      </c>
      <c r="P650" s="24">
        <f>Data!K650</f>
        <v>599463000000</v>
      </c>
      <c r="Q650" s="24">
        <f>Data!I650</f>
        <v>861055000000</v>
      </c>
      <c r="R650" s="25">
        <f t="shared" si="86"/>
        <v>0.73100574295486354</v>
      </c>
      <c r="S650" s="25">
        <f t="shared" si="87"/>
        <v>4.8830426914895613</v>
      </c>
    </row>
    <row r="651" spans="1:19" ht="15" customHeight="1" x14ac:dyDescent="0.3">
      <c r="A651" s="22"/>
      <c r="B651" s="23">
        <v>60</v>
      </c>
      <c r="C651" s="2" t="s">
        <v>63</v>
      </c>
      <c r="D651" s="23">
        <v>2014</v>
      </c>
      <c r="E651" s="24">
        <f>Data!F651</f>
        <v>0</v>
      </c>
      <c r="F651" s="24">
        <f>Data!H651</f>
        <v>0</v>
      </c>
      <c r="G651" s="24">
        <f t="shared" si="80"/>
        <v>0</v>
      </c>
      <c r="H651" s="24">
        <f>Data!G651</f>
        <v>0</v>
      </c>
      <c r="I651" s="25">
        <f t="shared" si="81"/>
        <v>0</v>
      </c>
      <c r="J651" s="24">
        <f>Data!J651</f>
        <v>0</v>
      </c>
      <c r="K651" s="24">
        <f t="shared" si="82"/>
        <v>0</v>
      </c>
      <c r="L651" s="25">
        <f t="shared" si="83"/>
        <v>0</v>
      </c>
      <c r="M651" s="24">
        <f>Data!M651</f>
        <v>0</v>
      </c>
      <c r="N651" s="24">
        <f t="shared" si="84"/>
        <v>0</v>
      </c>
      <c r="O651" s="25">
        <f t="shared" si="85"/>
        <v>0</v>
      </c>
      <c r="P651" s="24">
        <f>Data!K651</f>
        <v>0</v>
      </c>
      <c r="Q651" s="24">
        <f>Data!I651</f>
        <v>0</v>
      </c>
      <c r="R651" s="25">
        <f t="shared" si="86"/>
        <v>0</v>
      </c>
      <c r="S651" s="25">
        <f t="shared" si="87"/>
        <v>0</v>
      </c>
    </row>
    <row r="652" spans="1:19" ht="15" customHeight="1" x14ac:dyDescent="0.3">
      <c r="A652" s="22"/>
      <c r="B652" s="23"/>
      <c r="C652" s="2"/>
      <c r="D652" s="23">
        <v>2015</v>
      </c>
      <c r="E652" s="24">
        <f>Data!F652</f>
        <v>0</v>
      </c>
      <c r="F652" s="24">
        <f>Data!H652</f>
        <v>0</v>
      </c>
      <c r="G652" s="24">
        <f t="shared" si="80"/>
        <v>0</v>
      </c>
      <c r="H652" s="24">
        <f>Data!G652</f>
        <v>0</v>
      </c>
      <c r="I652" s="25">
        <f t="shared" si="81"/>
        <v>0</v>
      </c>
      <c r="J652" s="24">
        <f>Data!J652</f>
        <v>0</v>
      </c>
      <c r="K652" s="24">
        <f t="shared" si="82"/>
        <v>0</v>
      </c>
      <c r="L652" s="25">
        <f t="shared" si="83"/>
        <v>0</v>
      </c>
      <c r="M652" s="24">
        <f>Data!M652</f>
        <v>0</v>
      </c>
      <c r="N652" s="24">
        <f t="shared" si="84"/>
        <v>0</v>
      </c>
      <c r="O652" s="25">
        <f t="shared" si="85"/>
        <v>0</v>
      </c>
      <c r="P652" s="24">
        <f>Data!K652</f>
        <v>0</v>
      </c>
      <c r="Q652" s="24">
        <f>Data!I652</f>
        <v>0</v>
      </c>
      <c r="R652" s="25">
        <f t="shared" si="86"/>
        <v>0</v>
      </c>
      <c r="S652" s="25">
        <f t="shared" si="87"/>
        <v>0</v>
      </c>
    </row>
    <row r="653" spans="1:19" ht="15" customHeight="1" x14ac:dyDescent="0.3">
      <c r="A653" s="22"/>
      <c r="B653" s="23"/>
      <c r="C653" s="2"/>
      <c r="D653" s="23">
        <v>2016</v>
      </c>
      <c r="E653" s="24">
        <f>Data!F653</f>
        <v>0</v>
      </c>
      <c r="F653" s="24">
        <f>Data!H653</f>
        <v>0</v>
      </c>
      <c r="G653" s="24">
        <f t="shared" si="80"/>
        <v>0</v>
      </c>
      <c r="H653" s="24">
        <f>Data!G653</f>
        <v>0</v>
      </c>
      <c r="I653" s="25">
        <f t="shared" si="81"/>
        <v>0</v>
      </c>
      <c r="J653" s="24">
        <f>Data!J653</f>
        <v>0</v>
      </c>
      <c r="K653" s="24">
        <f t="shared" si="82"/>
        <v>0</v>
      </c>
      <c r="L653" s="25">
        <f t="shared" si="83"/>
        <v>0</v>
      </c>
      <c r="M653" s="24">
        <f>Data!M653</f>
        <v>0</v>
      </c>
      <c r="N653" s="24">
        <f t="shared" si="84"/>
        <v>0</v>
      </c>
      <c r="O653" s="25">
        <f t="shared" si="85"/>
        <v>0</v>
      </c>
      <c r="P653" s="24">
        <f>Data!K653</f>
        <v>0</v>
      </c>
      <c r="Q653" s="24">
        <f>Data!I653</f>
        <v>0</v>
      </c>
      <c r="R653" s="25">
        <f t="shared" si="86"/>
        <v>0</v>
      </c>
      <c r="S653" s="25">
        <f t="shared" si="87"/>
        <v>0</v>
      </c>
    </row>
    <row r="654" spans="1:19" ht="15" customHeight="1" x14ac:dyDescent="0.3">
      <c r="A654" s="22"/>
      <c r="B654" s="23"/>
      <c r="C654" s="2"/>
      <c r="D654" s="23">
        <v>2017</v>
      </c>
      <c r="E654" s="24">
        <f>Data!F654</f>
        <v>0</v>
      </c>
      <c r="F654" s="24">
        <f>Data!H654</f>
        <v>0</v>
      </c>
      <c r="G654" s="24">
        <f t="shared" si="80"/>
        <v>0</v>
      </c>
      <c r="H654" s="24">
        <f>Data!G654</f>
        <v>0</v>
      </c>
      <c r="I654" s="25">
        <f t="shared" si="81"/>
        <v>0</v>
      </c>
      <c r="J654" s="24">
        <f>Data!J654</f>
        <v>0</v>
      </c>
      <c r="K654" s="24">
        <f t="shared" si="82"/>
        <v>0</v>
      </c>
      <c r="L654" s="25">
        <f t="shared" si="83"/>
        <v>0</v>
      </c>
      <c r="M654" s="24">
        <f>Data!M654</f>
        <v>0</v>
      </c>
      <c r="N654" s="24">
        <f t="shared" si="84"/>
        <v>0</v>
      </c>
      <c r="O654" s="25">
        <f t="shared" si="85"/>
        <v>0</v>
      </c>
      <c r="P654" s="24">
        <f>Data!K654</f>
        <v>0</v>
      </c>
      <c r="Q654" s="24">
        <f>Data!I654</f>
        <v>0</v>
      </c>
      <c r="R654" s="25">
        <f t="shared" si="86"/>
        <v>0</v>
      </c>
      <c r="S654" s="25">
        <f t="shared" si="87"/>
        <v>0</v>
      </c>
    </row>
    <row r="655" spans="1:19" ht="15" customHeight="1" x14ac:dyDescent="0.3">
      <c r="A655" s="22"/>
      <c r="B655" s="23"/>
      <c r="C655" s="2"/>
      <c r="D655" s="23">
        <v>2018</v>
      </c>
      <c r="E655" s="24">
        <f>Data!F655</f>
        <v>0</v>
      </c>
      <c r="F655" s="24">
        <f>Data!H655</f>
        <v>0</v>
      </c>
      <c r="G655" s="24">
        <f t="shared" si="80"/>
        <v>0</v>
      </c>
      <c r="H655" s="24">
        <f>Data!G655</f>
        <v>0</v>
      </c>
      <c r="I655" s="25">
        <f t="shared" si="81"/>
        <v>0</v>
      </c>
      <c r="J655" s="24">
        <f>Data!J655</f>
        <v>0</v>
      </c>
      <c r="K655" s="24">
        <f t="shared" si="82"/>
        <v>0</v>
      </c>
      <c r="L655" s="25">
        <f t="shared" si="83"/>
        <v>0</v>
      </c>
      <c r="M655" s="24">
        <f>Data!M655</f>
        <v>0</v>
      </c>
      <c r="N655" s="24">
        <f t="shared" si="84"/>
        <v>0</v>
      </c>
      <c r="O655" s="25">
        <f t="shared" si="85"/>
        <v>0</v>
      </c>
      <c r="P655" s="24">
        <f>Data!K655</f>
        <v>0</v>
      </c>
      <c r="Q655" s="24">
        <f>Data!I655</f>
        <v>0</v>
      </c>
      <c r="R655" s="25">
        <f t="shared" si="86"/>
        <v>0</v>
      </c>
      <c r="S655" s="25">
        <f t="shared" si="87"/>
        <v>0</v>
      </c>
    </row>
    <row r="656" spans="1:19" ht="15" customHeight="1" x14ac:dyDescent="0.3">
      <c r="A656" s="22"/>
      <c r="B656" s="23"/>
      <c r="C656" s="2"/>
      <c r="D656" s="23">
        <v>2019</v>
      </c>
      <c r="E656" s="24">
        <f>Data!F656</f>
        <v>0</v>
      </c>
      <c r="F656" s="24">
        <f>Data!H656</f>
        <v>0</v>
      </c>
      <c r="G656" s="24">
        <f t="shared" si="80"/>
        <v>0</v>
      </c>
      <c r="H656" s="24">
        <f>Data!G656</f>
        <v>0</v>
      </c>
      <c r="I656" s="25">
        <f t="shared" si="81"/>
        <v>0</v>
      </c>
      <c r="J656" s="24">
        <f>Data!J656</f>
        <v>0</v>
      </c>
      <c r="K656" s="24">
        <f t="shared" si="82"/>
        <v>0</v>
      </c>
      <c r="L656" s="25">
        <f t="shared" si="83"/>
        <v>0</v>
      </c>
      <c r="M656" s="24">
        <f>Data!M656</f>
        <v>0</v>
      </c>
      <c r="N656" s="24">
        <f t="shared" si="84"/>
        <v>0</v>
      </c>
      <c r="O656" s="25">
        <f t="shared" si="85"/>
        <v>0</v>
      </c>
      <c r="P656" s="24">
        <f>Data!K656</f>
        <v>0</v>
      </c>
      <c r="Q656" s="24">
        <f>Data!I656</f>
        <v>0</v>
      </c>
      <c r="R656" s="25">
        <f t="shared" si="86"/>
        <v>0</v>
      </c>
      <c r="S656" s="25">
        <f t="shared" si="87"/>
        <v>0</v>
      </c>
    </row>
    <row r="657" spans="1:19" ht="15" customHeight="1" x14ac:dyDescent="0.3">
      <c r="A657" s="22"/>
      <c r="B657" s="23"/>
      <c r="C657" s="2"/>
      <c r="D657" s="23">
        <v>2020</v>
      </c>
      <c r="E657" s="24">
        <f>Data!F657</f>
        <v>135916000000</v>
      </c>
      <c r="F657" s="24">
        <f>Data!H657</f>
        <v>85038000000</v>
      </c>
      <c r="G657" s="24">
        <f t="shared" si="80"/>
        <v>50878000000</v>
      </c>
      <c r="H657" s="24">
        <f>Data!G657</f>
        <v>426700000000</v>
      </c>
      <c r="I657" s="25">
        <f t="shared" si="81"/>
        <v>0.78218814155144123</v>
      </c>
      <c r="J657" s="24">
        <f>Data!J657</f>
        <v>107623000000</v>
      </c>
      <c r="K657" s="24">
        <f t="shared" si="82"/>
        <v>426700000000</v>
      </c>
      <c r="L657" s="25">
        <f t="shared" si="83"/>
        <v>0.82224274666041719</v>
      </c>
      <c r="M657" s="24">
        <f>Data!M657</f>
        <v>8120000000</v>
      </c>
      <c r="N657" s="24">
        <f t="shared" si="84"/>
        <v>426700000000</v>
      </c>
      <c r="O657" s="25">
        <f t="shared" si="85"/>
        <v>0.12788000937426763</v>
      </c>
      <c r="P657" s="24">
        <f>Data!K657</f>
        <v>226442000000</v>
      </c>
      <c r="Q657" s="24">
        <f>Data!I657</f>
        <v>200258000000</v>
      </c>
      <c r="R657" s="25">
        <f t="shared" si="86"/>
        <v>1.187288897322454</v>
      </c>
      <c r="S657" s="25">
        <f t="shared" si="87"/>
        <v>2.9195997949085801</v>
      </c>
    </row>
    <row r="658" spans="1:19" ht="15" customHeight="1" x14ac:dyDescent="0.3">
      <c r="A658" s="22"/>
      <c r="B658" s="23"/>
      <c r="C658" s="2"/>
      <c r="D658" s="23">
        <v>2021</v>
      </c>
      <c r="E658" s="24">
        <f>Data!F658</f>
        <v>310303000000</v>
      </c>
      <c r="F658" s="24">
        <f>Data!H658</f>
        <v>70345000000</v>
      </c>
      <c r="G658" s="24">
        <f t="shared" si="80"/>
        <v>239958000000</v>
      </c>
      <c r="H658" s="24">
        <f>Data!G658</f>
        <v>587684000000</v>
      </c>
      <c r="I658" s="25">
        <f t="shared" si="81"/>
        <v>2.6785219267497498</v>
      </c>
      <c r="J658" s="24">
        <f>Data!J658</f>
        <v>69672000000</v>
      </c>
      <c r="K658" s="24">
        <f t="shared" si="82"/>
        <v>587684000000</v>
      </c>
      <c r="L658" s="25">
        <f t="shared" si="83"/>
        <v>0.38648443721455744</v>
      </c>
      <c r="M658" s="24">
        <f>Data!M658</f>
        <v>15296000000</v>
      </c>
      <c r="N658" s="24">
        <f t="shared" si="84"/>
        <v>587684000000</v>
      </c>
      <c r="O658" s="25">
        <f t="shared" si="85"/>
        <v>0.17490542536465176</v>
      </c>
      <c r="P658" s="24">
        <f>Data!K658</f>
        <v>187468000000</v>
      </c>
      <c r="Q658" s="24">
        <f>Data!I658</f>
        <v>400530000000</v>
      </c>
      <c r="R658" s="25">
        <f t="shared" si="86"/>
        <v>0.49145232566848929</v>
      </c>
      <c r="S658" s="25">
        <f t="shared" si="87"/>
        <v>3.7313641149974481</v>
      </c>
    </row>
    <row r="659" spans="1:19" ht="15" customHeight="1" x14ac:dyDescent="0.3">
      <c r="A659" s="22"/>
      <c r="B659" s="23"/>
      <c r="C659" s="2"/>
      <c r="D659" s="23">
        <v>2022</v>
      </c>
      <c r="E659" s="24">
        <f>Data!F659</f>
        <v>304730000000</v>
      </c>
      <c r="F659" s="24">
        <f>Data!H659</f>
        <v>80237000000</v>
      </c>
      <c r="G659" s="24">
        <f t="shared" si="80"/>
        <v>224493000000</v>
      </c>
      <c r="H659" s="24">
        <f>Data!G659</f>
        <v>610818000000</v>
      </c>
      <c r="I659" s="25">
        <f t="shared" si="81"/>
        <v>2.4109867096254529</v>
      </c>
      <c r="J659" s="24">
        <f>Data!J659</f>
        <v>90807000000</v>
      </c>
      <c r="K659" s="24">
        <f t="shared" si="82"/>
        <v>610818000000</v>
      </c>
      <c r="L659" s="25">
        <f t="shared" si="83"/>
        <v>0.48464652318693946</v>
      </c>
      <c r="M659" s="24">
        <f>Data!M659</f>
        <v>27700000000</v>
      </c>
      <c r="N659" s="24">
        <f t="shared" si="84"/>
        <v>610818000000</v>
      </c>
      <c r="O659" s="25">
        <f t="shared" si="85"/>
        <v>0.30474543972181561</v>
      </c>
      <c r="P659" s="24">
        <f>Data!K659</f>
        <v>210306000000</v>
      </c>
      <c r="Q659" s="24">
        <f>Data!I659</f>
        <v>400512000000</v>
      </c>
      <c r="R659" s="25">
        <f t="shared" si="86"/>
        <v>0.55134752516778529</v>
      </c>
      <c r="S659" s="25">
        <f t="shared" si="87"/>
        <v>3.7517261977019931</v>
      </c>
    </row>
    <row r="660" spans="1:19" ht="15" customHeight="1" x14ac:dyDescent="0.3">
      <c r="A660" s="22"/>
      <c r="B660" s="23"/>
      <c r="C660" s="2"/>
      <c r="D660" s="23">
        <v>2023</v>
      </c>
      <c r="E660" s="24">
        <f>Data!F660</f>
        <v>248956000000</v>
      </c>
      <c r="F660" s="24">
        <f>Data!H660</f>
        <v>109480000000</v>
      </c>
      <c r="G660" s="24">
        <f t="shared" si="80"/>
        <v>139476000000</v>
      </c>
      <c r="H660" s="24">
        <f>Data!G660</f>
        <v>594083000000</v>
      </c>
      <c r="I660" s="25">
        <f t="shared" si="81"/>
        <v>1.5401258073366852</v>
      </c>
      <c r="J660" s="24">
        <f>Data!J660</f>
        <v>98777000000</v>
      </c>
      <c r="K660" s="24">
        <f t="shared" si="82"/>
        <v>594083000000</v>
      </c>
      <c r="L660" s="25">
        <f t="shared" si="83"/>
        <v>0.54203372256065219</v>
      </c>
      <c r="M660" s="24">
        <f>Data!M660</f>
        <v>11859000000</v>
      </c>
      <c r="N660" s="24">
        <f t="shared" si="84"/>
        <v>594083000000</v>
      </c>
      <c r="O660" s="25">
        <f t="shared" si="85"/>
        <v>0.13414368026016565</v>
      </c>
      <c r="P660" s="24">
        <f>Data!K660</f>
        <v>217500000000</v>
      </c>
      <c r="Q660" s="24">
        <f>Data!I660</f>
        <v>376583000000</v>
      </c>
      <c r="R660" s="25">
        <f t="shared" si="86"/>
        <v>0.60644001455190488</v>
      </c>
      <c r="S660" s="25">
        <f t="shared" si="87"/>
        <v>2.8227432247094075</v>
      </c>
    </row>
    <row r="661" spans="1:19" ht="15" customHeight="1" x14ac:dyDescent="0.3">
      <c r="A661" s="22"/>
      <c r="B661" s="23"/>
      <c r="C661" s="2"/>
      <c r="D661" s="23">
        <v>2024</v>
      </c>
      <c r="E661" s="24">
        <f>Data!F661</f>
        <v>311809000000</v>
      </c>
      <c r="F661" s="24">
        <f>Data!H661</f>
        <v>115062000000</v>
      </c>
      <c r="G661" s="24">
        <f t="shared" si="80"/>
        <v>196747000000</v>
      </c>
      <c r="H661" s="24">
        <f>Data!G661</f>
        <v>683086000000</v>
      </c>
      <c r="I661" s="25">
        <f t="shared" si="81"/>
        <v>1.8894550905742469</v>
      </c>
      <c r="J661" s="24">
        <f>Data!J661</f>
        <v>122336000000</v>
      </c>
      <c r="K661" s="24">
        <f t="shared" si="82"/>
        <v>683086000000</v>
      </c>
      <c r="L661" s="25">
        <f t="shared" si="83"/>
        <v>0.58384355703381408</v>
      </c>
      <c r="M661" s="24">
        <f>Data!M661</f>
        <v>8407000000</v>
      </c>
      <c r="N661" s="24">
        <f t="shared" si="84"/>
        <v>683086000000</v>
      </c>
      <c r="O661" s="25">
        <f t="shared" si="85"/>
        <v>8.2705603686797857E-2</v>
      </c>
      <c r="P661" s="24">
        <f>Data!K661</f>
        <v>262366000000</v>
      </c>
      <c r="Q661" s="24">
        <f>Data!I661</f>
        <v>420720000000</v>
      </c>
      <c r="R661" s="25">
        <f t="shared" si="86"/>
        <v>0.65479249857387334</v>
      </c>
      <c r="S661" s="25">
        <f t="shared" si="87"/>
        <v>3.2107967498687322</v>
      </c>
    </row>
    <row r="662" spans="1:19" ht="15" customHeight="1" x14ac:dyDescent="0.3">
      <c r="A662" s="22"/>
      <c r="B662" s="23">
        <v>61</v>
      </c>
      <c r="C662" s="2" t="s">
        <v>61</v>
      </c>
      <c r="D662" s="23">
        <v>2014</v>
      </c>
      <c r="E662" s="24">
        <f>Data!F662</f>
        <v>0</v>
      </c>
      <c r="F662" s="24">
        <f>Data!H662</f>
        <v>0</v>
      </c>
      <c r="G662" s="24">
        <f t="shared" si="80"/>
        <v>0</v>
      </c>
      <c r="H662" s="24">
        <f>Data!G662</f>
        <v>0</v>
      </c>
      <c r="I662" s="25">
        <f t="shared" si="81"/>
        <v>0</v>
      </c>
      <c r="J662" s="24">
        <f>Data!J662</f>
        <v>0</v>
      </c>
      <c r="K662" s="24">
        <f t="shared" si="82"/>
        <v>0</v>
      </c>
      <c r="L662" s="25">
        <f t="shared" si="83"/>
        <v>0</v>
      </c>
      <c r="M662" s="24">
        <f>Data!M662</f>
        <v>0</v>
      </c>
      <c r="N662" s="24">
        <f t="shared" si="84"/>
        <v>0</v>
      </c>
      <c r="O662" s="25">
        <f t="shared" si="85"/>
        <v>0</v>
      </c>
      <c r="P662" s="24">
        <f>Data!K662</f>
        <v>0</v>
      </c>
      <c r="Q662" s="24">
        <f>Data!I662</f>
        <v>0</v>
      </c>
      <c r="R662" s="25">
        <f t="shared" si="86"/>
        <v>0</v>
      </c>
      <c r="S662" s="25">
        <f t="shared" si="87"/>
        <v>0</v>
      </c>
    </row>
    <row r="663" spans="1:19" ht="15" customHeight="1" x14ac:dyDescent="0.3">
      <c r="A663" s="22"/>
      <c r="B663" s="23"/>
      <c r="C663" s="2"/>
      <c r="D663" s="23">
        <v>2015</v>
      </c>
      <c r="E663" s="24">
        <f>Data!F663</f>
        <v>1248817000000</v>
      </c>
      <c r="F663" s="24">
        <f>Data!H663</f>
        <v>263629000000</v>
      </c>
      <c r="G663" s="24">
        <f t="shared" si="80"/>
        <v>985188000000</v>
      </c>
      <c r="H663" s="24">
        <f>Data!G663</f>
        <v>2137811000000</v>
      </c>
      <c r="I663" s="25">
        <f t="shared" si="81"/>
        <v>3.0231078799762932</v>
      </c>
      <c r="J663" s="24">
        <f>Data!J663</f>
        <v>266759000000</v>
      </c>
      <c r="K663" s="24">
        <f t="shared" si="82"/>
        <v>2137811000000</v>
      </c>
      <c r="L663" s="25">
        <f t="shared" si="83"/>
        <v>0.40678728849276197</v>
      </c>
      <c r="M663" s="24">
        <f>Data!M663</f>
        <v>37409000000</v>
      </c>
      <c r="N663" s="24">
        <f t="shared" si="84"/>
        <v>2137811000000</v>
      </c>
      <c r="O663" s="25">
        <f t="shared" si="85"/>
        <v>0.11759153638932533</v>
      </c>
      <c r="P663" s="24">
        <f>Data!K663</f>
        <v>451915000000</v>
      </c>
      <c r="Q663" s="24">
        <f>Data!I663</f>
        <v>1685896000000</v>
      </c>
      <c r="R663" s="25">
        <f t="shared" si="86"/>
        <v>0.28145908763055372</v>
      </c>
      <c r="S663" s="25">
        <f t="shared" si="87"/>
        <v>3.8289457924889345</v>
      </c>
    </row>
    <row r="664" spans="1:19" ht="15" customHeight="1" x14ac:dyDescent="0.3">
      <c r="A664" s="22"/>
      <c r="B664" s="23"/>
      <c r="C664" s="2"/>
      <c r="D664" s="23">
        <v>2016</v>
      </c>
      <c r="E664" s="24">
        <f>Data!F664</f>
        <v>988464000000</v>
      </c>
      <c r="F664" s="24">
        <f>Data!H664</f>
        <v>290615000000</v>
      </c>
      <c r="G664" s="24">
        <f t="shared" si="80"/>
        <v>697849000000</v>
      </c>
      <c r="H664" s="24">
        <f>Data!G664</f>
        <v>1872156000000</v>
      </c>
      <c r="I664" s="25">
        <f t="shared" si="81"/>
        <v>2.445249989851273</v>
      </c>
      <c r="J664" s="24">
        <f>Data!J664</f>
        <v>200646000000</v>
      </c>
      <c r="K664" s="24">
        <f t="shared" si="82"/>
        <v>1872156000000</v>
      </c>
      <c r="L664" s="25">
        <f t="shared" si="83"/>
        <v>0.3493864613846282</v>
      </c>
      <c r="M664" s="24">
        <f>Data!M664</f>
        <v>-46551000000</v>
      </c>
      <c r="N664" s="24">
        <f t="shared" si="84"/>
        <v>1872156000000</v>
      </c>
      <c r="O664" s="25">
        <f t="shared" si="85"/>
        <v>-0.16709222949369604</v>
      </c>
      <c r="P664" s="24">
        <f>Data!K664</f>
        <v>391590000000</v>
      </c>
      <c r="Q664" s="24">
        <f>Data!I664</f>
        <v>1480566000000</v>
      </c>
      <c r="R664" s="25">
        <f t="shared" si="86"/>
        <v>0.27771102402729769</v>
      </c>
      <c r="S664" s="25">
        <f t="shared" si="87"/>
        <v>2.9052552457695029</v>
      </c>
    </row>
    <row r="665" spans="1:19" ht="15" customHeight="1" x14ac:dyDescent="0.3">
      <c r="A665" s="22"/>
      <c r="B665" s="23"/>
      <c r="C665" s="2"/>
      <c r="D665" s="23">
        <v>2017</v>
      </c>
      <c r="E665" s="24">
        <f>Data!F665</f>
        <v>809029000000</v>
      </c>
      <c r="F665" s="24">
        <f>Data!H665</f>
        <v>427191000000</v>
      </c>
      <c r="G665" s="24">
        <f t="shared" si="80"/>
        <v>381838000000</v>
      </c>
      <c r="H665" s="24">
        <f>Data!G665</f>
        <v>2305493000000</v>
      </c>
      <c r="I665" s="25">
        <f t="shared" si="81"/>
        <v>1.0864736002234663</v>
      </c>
      <c r="J665" s="24">
        <f>Data!J665</f>
        <v>156390000000</v>
      </c>
      <c r="K665" s="24">
        <f t="shared" si="82"/>
        <v>2305493000000</v>
      </c>
      <c r="L665" s="25">
        <f t="shared" si="83"/>
        <v>0.22113769159134294</v>
      </c>
      <c r="M665" s="24">
        <f>Data!M665</f>
        <v>-38837000000</v>
      </c>
      <c r="N665" s="24">
        <f t="shared" si="84"/>
        <v>2305493000000</v>
      </c>
      <c r="O665" s="25">
        <f t="shared" si="85"/>
        <v>-0.11320122854417687</v>
      </c>
      <c r="P665" s="24">
        <f>Data!K665</f>
        <v>942004000000</v>
      </c>
      <c r="Q665" s="24">
        <f>Data!I665</f>
        <v>1363489000000</v>
      </c>
      <c r="R665" s="25">
        <f t="shared" si="86"/>
        <v>0.72542147388061073</v>
      </c>
      <c r="S665" s="25">
        <f t="shared" si="87"/>
        <v>1.9198315371512433</v>
      </c>
    </row>
    <row r="666" spans="1:19" ht="15" customHeight="1" x14ac:dyDescent="0.3">
      <c r="A666" s="22"/>
      <c r="B666" s="23"/>
      <c r="C666" s="2"/>
      <c r="D666" s="23">
        <v>2018</v>
      </c>
      <c r="E666" s="24">
        <f>Data!F666</f>
        <v>1133718000000</v>
      </c>
      <c r="F666" s="24">
        <f>Data!H666</f>
        <v>394336000000</v>
      </c>
      <c r="G666" s="24">
        <f t="shared" si="80"/>
        <v>739382000000</v>
      </c>
      <c r="H666" s="24">
        <f>Data!G666</f>
        <v>2550221000000</v>
      </c>
      <c r="I666" s="25">
        <f t="shared" si="81"/>
        <v>1.9019316051432404</v>
      </c>
      <c r="J666" s="24">
        <f>Data!J666</f>
        <v>160889000000</v>
      </c>
      <c r="K666" s="24">
        <f t="shared" si="82"/>
        <v>2550221000000</v>
      </c>
      <c r="L666" s="25">
        <f t="shared" si="83"/>
        <v>0.20566772056225713</v>
      </c>
      <c r="M666" s="24">
        <f>Data!M666</f>
        <v>-16752000000</v>
      </c>
      <c r="N666" s="24">
        <f t="shared" si="84"/>
        <v>2550221000000</v>
      </c>
      <c r="O666" s="25">
        <f t="shared" si="85"/>
        <v>-4.4142621364971893E-2</v>
      </c>
      <c r="P666" s="24">
        <f>Data!K666</f>
        <v>911906000000</v>
      </c>
      <c r="Q666" s="24">
        <f>Data!I666</f>
        <v>1629372000000</v>
      </c>
      <c r="R666" s="25">
        <f t="shared" si="86"/>
        <v>0.58765051811372726</v>
      </c>
      <c r="S666" s="25">
        <f t="shared" si="87"/>
        <v>2.6511072224542529</v>
      </c>
    </row>
    <row r="667" spans="1:19" ht="15" customHeight="1" x14ac:dyDescent="0.3">
      <c r="A667" s="22"/>
      <c r="B667" s="23"/>
      <c r="C667" s="2"/>
      <c r="D667" s="23">
        <v>2019</v>
      </c>
      <c r="E667" s="24">
        <f>Data!F667</f>
        <v>816449000000</v>
      </c>
      <c r="F667" s="24">
        <f>Data!H667</f>
        <v>527360000000</v>
      </c>
      <c r="G667" s="24">
        <f t="shared" si="80"/>
        <v>289089000000</v>
      </c>
      <c r="H667" s="24">
        <f>Data!G667</f>
        <v>2424572000000</v>
      </c>
      <c r="I667" s="25">
        <f t="shared" si="81"/>
        <v>0.78216849819267065</v>
      </c>
      <c r="J667" s="24">
        <f>Data!J667</f>
        <v>151664000000</v>
      </c>
      <c r="K667" s="24">
        <f t="shared" si="82"/>
        <v>2424572000000</v>
      </c>
      <c r="L667" s="25">
        <f t="shared" si="83"/>
        <v>0.20392244074418081</v>
      </c>
      <c r="M667" s="24">
        <f>Data!M667</f>
        <v>-10654000000</v>
      </c>
      <c r="N667" s="24">
        <f t="shared" si="84"/>
        <v>2424572000000</v>
      </c>
      <c r="O667" s="25">
        <f t="shared" si="85"/>
        <v>-2.9528873549640927E-2</v>
      </c>
      <c r="P667" s="24">
        <f>Data!K667</f>
        <v>928182000000</v>
      </c>
      <c r="Q667" s="24">
        <f>Data!I667</f>
        <v>1486614000000</v>
      </c>
      <c r="R667" s="25">
        <f t="shared" si="86"/>
        <v>0.65557777607368162</v>
      </c>
      <c r="S667" s="25">
        <f t="shared" si="87"/>
        <v>1.6121398414608921</v>
      </c>
    </row>
    <row r="668" spans="1:19" ht="15" customHeight="1" x14ac:dyDescent="0.3">
      <c r="A668" s="22"/>
      <c r="B668" s="23"/>
      <c r="C668" s="2"/>
      <c r="D668" s="23">
        <v>2020</v>
      </c>
      <c r="E668" s="24">
        <f>Data!F668</f>
        <v>943240000000</v>
      </c>
      <c r="F668" s="24">
        <f>Data!H668</f>
        <v>526458000000</v>
      </c>
      <c r="G668" s="24">
        <f t="shared" si="80"/>
        <v>416782000000</v>
      </c>
      <c r="H668" s="24">
        <f>Data!G668</f>
        <v>2420320000000</v>
      </c>
      <c r="I668" s="25">
        <f t="shared" si="81"/>
        <v>1.1296398492761288</v>
      </c>
      <c r="J668" s="24">
        <f>Data!J668</f>
        <v>104798000000</v>
      </c>
      <c r="K668" s="24">
        <f t="shared" si="82"/>
        <v>2420320000000</v>
      </c>
      <c r="L668" s="25">
        <f t="shared" si="83"/>
        <v>0.14115550009916042</v>
      </c>
      <c r="M668" s="24">
        <f>Data!M668</f>
        <v>-53341000000</v>
      </c>
      <c r="N668" s="24">
        <f t="shared" si="84"/>
        <v>2420320000000</v>
      </c>
      <c r="O668" s="25">
        <f t="shared" si="85"/>
        <v>-0.14810087922258214</v>
      </c>
      <c r="P668" s="24">
        <f>Data!K668</f>
        <v>899031000000</v>
      </c>
      <c r="Q668" s="24">
        <f>Data!I668</f>
        <v>1510673000000</v>
      </c>
      <c r="R668" s="25">
        <f t="shared" si="86"/>
        <v>0.62487550250782276</v>
      </c>
      <c r="S668" s="25">
        <f t="shared" si="87"/>
        <v>1.7475699726605298</v>
      </c>
    </row>
    <row r="669" spans="1:19" ht="15" customHeight="1" x14ac:dyDescent="0.3">
      <c r="A669" s="22"/>
      <c r="B669" s="23"/>
      <c r="C669" s="2"/>
      <c r="D669" s="23">
        <v>2021</v>
      </c>
      <c r="E669" s="24">
        <f>Data!F669</f>
        <v>919891000000</v>
      </c>
      <c r="F669" s="24">
        <f>Data!H669</f>
        <v>509008000000</v>
      </c>
      <c r="G669" s="24">
        <f t="shared" si="80"/>
        <v>410883000000</v>
      </c>
      <c r="H669" s="24">
        <f>Data!G669</f>
        <v>2187497000000</v>
      </c>
      <c r="I669" s="25">
        <f t="shared" si="81"/>
        <v>1.2321811092769497</v>
      </c>
      <c r="J669" s="24">
        <f>Data!J669</f>
        <v>78472000000</v>
      </c>
      <c r="K669" s="24">
        <f t="shared" si="82"/>
        <v>2187497000000</v>
      </c>
      <c r="L669" s="25">
        <f t="shared" si="83"/>
        <v>0.11694586095432359</v>
      </c>
      <c r="M669" s="24">
        <f>Data!M669</f>
        <v>-25276000000</v>
      </c>
      <c r="N669" s="24">
        <f t="shared" si="84"/>
        <v>2187497000000</v>
      </c>
      <c r="O669" s="25">
        <f t="shared" si="85"/>
        <v>-7.7647978488656219E-2</v>
      </c>
      <c r="P669" s="24">
        <f>Data!K669</f>
        <v>856410000000</v>
      </c>
      <c r="Q669" s="24">
        <f>Data!I669</f>
        <v>1318945000000</v>
      </c>
      <c r="R669" s="25">
        <f t="shared" si="86"/>
        <v>0.68178013488052958</v>
      </c>
      <c r="S669" s="25">
        <f t="shared" si="87"/>
        <v>1.9532591266231467</v>
      </c>
    </row>
    <row r="670" spans="1:19" ht="15" customHeight="1" x14ac:dyDescent="0.3">
      <c r="A670" s="22"/>
      <c r="B670" s="23"/>
      <c r="C670" s="2"/>
      <c r="D670" s="23">
        <v>2022</v>
      </c>
      <c r="E670" s="24">
        <f>Data!F670</f>
        <v>786431000000</v>
      </c>
      <c r="F670" s="24">
        <f>Data!H670</f>
        <v>442021000000</v>
      </c>
      <c r="G670" s="24">
        <f t="shared" si="80"/>
        <v>344410000000</v>
      </c>
      <c r="H670" s="24">
        <f>Data!G670</f>
        <v>2029348000000</v>
      </c>
      <c r="I670" s="25">
        <f t="shared" si="81"/>
        <v>1.1133278274598541</v>
      </c>
      <c r="J670" s="24">
        <f>Data!J670</f>
        <v>84019000000</v>
      </c>
      <c r="K670" s="24">
        <f t="shared" si="82"/>
        <v>2029348000000</v>
      </c>
      <c r="L670" s="25">
        <f t="shared" si="83"/>
        <v>0.13497041414286756</v>
      </c>
      <c r="M670" s="24">
        <f>Data!M670</f>
        <v>4542000000</v>
      </c>
      <c r="N670" s="24">
        <f t="shared" si="84"/>
        <v>2029348000000</v>
      </c>
      <c r="O670" s="25">
        <f t="shared" si="85"/>
        <v>1.504041692208532E-2</v>
      </c>
      <c r="P670" s="24">
        <f>Data!K670</f>
        <v>834909000000</v>
      </c>
      <c r="Q670" s="24">
        <f>Data!I670</f>
        <v>1181869000000</v>
      </c>
      <c r="R670" s="25">
        <f t="shared" si="86"/>
        <v>0.74175263925189683</v>
      </c>
      <c r="S670" s="25">
        <f t="shared" si="87"/>
        <v>2.0050912977767039</v>
      </c>
    </row>
    <row r="671" spans="1:19" ht="15" customHeight="1" x14ac:dyDescent="0.3">
      <c r="A671" s="22"/>
      <c r="B671" s="23"/>
      <c r="C671" s="2"/>
      <c r="D671" s="23">
        <v>2023</v>
      </c>
      <c r="E671" s="24">
        <f>Data!F671</f>
        <v>766607000000</v>
      </c>
      <c r="F671" s="24">
        <f>Data!H671</f>
        <v>443480000000</v>
      </c>
      <c r="G671" s="24">
        <f t="shared" si="80"/>
        <v>323127000000</v>
      </c>
      <c r="H671" s="24">
        <f>Data!G671</f>
        <v>2056708000000</v>
      </c>
      <c r="I671" s="25">
        <f t="shared" si="81"/>
        <v>1.0306339645686213</v>
      </c>
      <c r="J671" s="24">
        <f>Data!J671</f>
        <v>100802000000</v>
      </c>
      <c r="K671" s="24">
        <f t="shared" si="82"/>
        <v>2056708000000</v>
      </c>
      <c r="L671" s="25">
        <f t="shared" si="83"/>
        <v>0.15977694451521557</v>
      </c>
      <c r="M671" s="24">
        <f>Data!M671</f>
        <v>16566000000</v>
      </c>
      <c r="N671" s="24">
        <f t="shared" si="84"/>
        <v>2056708000000</v>
      </c>
      <c r="O671" s="25">
        <f t="shared" si="85"/>
        <v>5.4127041855236611E-2</v>
      </c>
      <c r="P671" s="24">
        <f>Data!K671</f>
        <v>854359000000</v>
      </c>
      <c r="Q671" s="24">
        <f>Data!I671</f>
        <v>1189715000000</v>
      </c>
      <c r="R671" s="25">
        <f t="shared" si="86"/>
        <v>0.75402676271207814</v>
      </c>
      <c r="S671" s="25">
        <f t="shared" si="87"/>
        <v>1.9985647136511515</v>
      </c>
    </row>
    <row r="672" spans="1:19" ht="15" customHeight="1" x14ac:dyDescent="0.3">
      <c r="A672" s="22"/>
      <c r="B672" s="23"/>
      <c r="C672" s="2"/>
      <c r="D672" s="23">
        <v>2024</v>
      </c>
      <c r="E672" s="24">
        <f>Data!F672</f>
        <v>735903000000</v>
      </c>
      <c r="F672" s="24">
        <f>Data!H672</f>
        <v>353964000000</v>
      </c>
      <c r="G672" s="24">
        <f t="shared" si="80"/>
        <v>381939000000</v>
      </c>
      <c r="H672" s="24">
        <f>Data!G672</f>
        <v>1997940000000</v>
      </c>
      <c r="I672" s="25">
        <f t="shared" si="81"/>
        <v>1.2540515931409351</v>
      </c>
      <c r="J672" s="24">
        <f>Data!J672</f>
        <v>112368000000</v>
      </c>
      <c r="K672" s="24">
        <f t="shared" si="82"/>
        <v>1997940000000</v>
      </c>
      <c r="L672" s="25">
        <f t="shared" si="83"/>
        <v>0.1833486891498243</v>
      </c>
      <c r="M672" s="24">
        <f>Data!M672</f>
        <v>27197000000</v>
      </c>
      <c r="N672" s="24">
        <f t="shared" si="84"/>
        <v>1997940000000</v>
      </c>
      <c r="O672" s="25">
        <f t="shared" si="85"/>
        <v>9.1476140424637378E-2</v>
      </c>
      <c r="P672" s="24">
        <f>Data!K672</f>
        <v>872174000000</v>
      </c>
      <c r="Q672" s="24">
        <f>Data!I672</f>
        <v>1112875000000</v>
      </c>
      <c r="R672" s="25">
        <f t="shared" si="86"/>
        <v>0.82289807929911263</v>
      </c>
      <c r="S672" s="25">
        <f t="shared" si="87"/>
        <v>2.3517745020145093</v>
      </c>
    </row>
    <row r="673" spans="1:19" ht="15" customHeight="1" x14ac:dyDescent="0.3">
      <c r="A673" s="22"/>
      <c r="B673" s="23">
        <v>62</v>
      </c>
      <c r="C673" s="2" t="s">
        <v>62</v>
      </c>
      <c r="D673" s="23">
        <v>2014</v>
      </c>
      <c r="E673" s="24">
        <f>Data!F673</f>
        <v>0</v>
      </c>
      <c r="F673" s="24">
        <f>Data!H673</f>
        <v>0</v>
      </c>
      <c r="G673" s="24">
        <f t="shared" si="80"/>
        <v>0</v>
      </c>
      <c r="H673" s="24">
        <f>Data!G673</f>
        <v>0</v>
      </c>
      <c r="I673" s="25">
        <f t="shared" si="81"/>
        <v>0</v>
      </c>
      <c r="J673" s="24">
        <f>Data!J673</f>
        <v>0</v>
      </c>
      <c r="K673" s="24">
        <f t="shared" si="82"/>
        <v>0</v>
      </c>
      <c r="L673" s="25">
        <f t="shared" si="83"/>
        <v>0</v>
      </c>
      <c r="M673" s="24">
        <f>Data!M673</f>
        <v>0</v>
      </c>
      <c r="N673" s="24">
        <f t="shared" si="84"/>
        <v>0</v>
      </c>
      <c r="O673" s="25">
        <f t="shared" si="85"/>
        <v>0</v>
      </c>
      <c r="P673" s="24">
        <f>Data!K673</f>
        <v>0</v>
      </c>
      <c r="Q673" s="24">
        <f>Data!I673</f>
        <v>0</v>
      </c>
      <c r="R673" s="25">
        <f t="shared" si="86"/>
        <v>0</v>
      </c>
      <c r="S673" s="25">
        <f t="shared" si="87"/>
        <v>0</v>
      </c>
    </row>
    <row r="674" spans="1:19" ht="15" customHeight="1" x14ac:dyDescent="0.3">
      <c r="A674" s="22"/>
      <c r="B674" s="23"/>
      <c r="C674" s="2"/>
      <c r="D674" s="23">
        <v>2015</v>
      </c>
      <c r="E674" s="24">
        <f>Data!F674</f>
        <v>0</v>
      </c>
      <c r="F674" s="24">
        <f>Data!H674</f>
        <v>0</v>
      </c>
      <c r="G674" s="24">
        <f t="shared" si="80"/>
        <v>0</v>
      </c>
      <c r="H674" s="24">
        <f>Data!G674</f>
        <v>0</v>
      </c>
      <c r="I674" s="25">
        <f t="shared" si="81"/>
        <v>0</v>
      </c>
      <c r="J674" s="24">
        <f>Data!J674</f>
        <v>0</v>
      </c>
      <c r="K674" s="24">
        <f t="shared" si="82"/>
        <v>0</v>
      </c>
      <c r="L674" s="25">
        <f t="shared" si="83"/>
        <v>0</v>
      </c>
      <c r="M674" s="24">
        <f>Data!M674</f>
        <v>0</v>
      </c>
      <c r="N674" s="24">
        <f t="shared" si="84"/>
        <v>0</v>
      </c>
      <c r="O674" s="25">
        <f t="shared" si="85"/>
        <v>0</v>
      </c>
      <c r="P674" s="24">
        <f>Data!K674</f>
        <v>0</v>
      </c>
      <c r="Q674" s="24">
        <f>Data!I674</f>
        <v>0</v>
      </c>
      <c r="R674" s="25">
        <f t="shared" si="86"/>
        <v>0</v>
      </c>
      <c r="S674" s="25">
        <f t="shared" si="87"/>
        <v>0</v>
      </c>
    </row>
    <row r="675" spans="1:19" ht="15" customHeight="1" x14ac:dyDescent="0.3">
      <c r="A675" s="22"/>
      <c r="B675" s="23"/>
      <c r="C675" s="2"/>
      <c r="D675" s="23">
        <v>2016</v>
      </c>
      <c r="E675" s="24">
        <f>Data!F675</f>
        <v>0</v>
      </c>
      <c r="F675" s="24">
        <f>Data!H675</f>
        <v>0</v>
      </c>
      <c r="G675" s="24">
        <f t="shared" si="80"/>
        <v>0</v>
      </c>
      <c r="H675" s="24">
        <f>Data!G675</f>
        <v>0</v>
      </c>
      <c r="I675" s="25">
        <f t="shared" si="81"/>
        <v>0</v>
      </c>
      <c r="J675" s="24">
        <f>Data!J675</f>
        <v>0</v>
      </c>
      <c r="K675" s="24">
        <f t="shared" si="82"/>
        <v>0</v>
      </c>
      <c r="L675" s="25">
        <f t="shared" si="83"/>
        <v>0</v>
      </c>
      <c r="M675" s="24">
        <f>Data!M675</f>
        <v>0</v>
      </c>
      <c r="N675" s="24">
        <f t="shared" si="84"/>
        <v>0</v>
      </c>
      <c r="O675" s="25">
        <f t="shared" si="85"/>
        <v>0</v>
      </c>
      <c r="P675" s="24">
        <f>Data!K675</f>
        <v>0</v>
      </c>
      <c r="Q675" s="24">
        <f>Data!I675</f>
        <v>0</v>
      </c>
      <c r="R675" s="25">
        <f t="shared" si="86"/>
        <v>0</v>
      </c>
      <c r="S675" s="25">
        <f t="shared" si="87"/>
        <v>0</v>
      </c>
    </row>
    <row r="676" spans="1:19" ht="15" customHeight="1" x14ac:dyDescent="0.3">
      <c r="A676" s="22"/>
      <c r="B676" s="23"/>
      <c r="C676" s="2"/>
      <c r="D676" s="23">
        <v>2017</v>
      </c>
      <c r="E676" s="24">
        <f>Data!F676</f>
        <v>0</v>
      </c>
      <c r="F676" s="24">
        <f>Data!H676</f>
        <v>0</v>
      </c>
      <c r="G676" s="24">
        <f t="shared" si="80"/>
        <v>0</v>
      </c>
      <c r="H676" s="24">
        <f>Data!G676</f>
        <v>0</v>
      </c>
      <c r="I676" s="25">
        <f t="shared" si="81"/>
        <v>0</v>
      </c>
      <c r="J676" s="24">
        <f>Data!J676</f>
        <v>0</v>
      </c>
      <c r="K676" s="24">
        <f t="shared" si="82"/>
        <v>0</v>
      </c>
      <c r="L676" s="25">
        <f t="shared" si="83"/>
        <v>0</v>
      </c>
      <c r="M676" s="24">
        <f>Data!M676</f>
        <v>0</v>
      </c>
      <c r="N676" s="24">
        <f t="shared" si="84"/>
        <v>0</v>
      </c>
      <c r="O676" s="25">
        <f t="shared" si="85"/>
        <v>0</v>
      </c>
      <c r="P676" s="24">
        <f>Data!K676</f>
        <v>0</v>
      </c>
      <c r="Q676" s="24">
        <f>Data!I676</f>
        <v>0</v>
      </c>
      <c r="R676" s="25">
        <f t="shared" si="86"/>
        <v>0</v>
      </c>
      <c r="S676" s="25">
        <f t="shared" si="87"/>
        <v>0</v>
      </c>
    </row>
    <row r="677" spans="1:19" ht="15" customHeight="1" x14ac:dyDescent="0.3">
      <c r="A677" s="22"/>
      <c r="B677" s="23"/>
      <c r="C677" s="2"/>
      <c r="D677" s="23">
        <v>2018</v>
      </c>
      <c r="E677" s="24">
        <f>Data!F677</f>
        <v>98216440000.000015</v>
      </c>
      <c r="F677" s="24">
        <f>Data!H677</f>
        <v>106322810000</v>
      </c>
      <c r="G677" s="24">
        <f t="shared" si="80"/>
        <v>-8106369999.9999847</v>
      </c>
      <c r="H677" s="24">
        <f>Data!G677</f>
        <v>341369410000</v>
      </c>
      <c r="I677" s="25">
        <f t="shared" si="81"/>
        <v>-0.15577783375493398</v>
      </c>
      <c r="J677" s="24">
        <f>Data!J677</f>
        <v>94450810000</v>
      </c>
      <c r="K677" s="24">
        <f t="shared" si="82"/>
        <v>341369410000</v>
      </c>
      <c r="L677" s="25">
        <f t="shared" si="83"/>
        <v>0.90198369150885538</v>
      </c>
      <c r="M677" s="24">
        <f>Data!M677</f>
        <v>10939640000</v>
      </c>
      <c r="N677" s="24">
        <f t="shared" si="84"/>
        <v>341369410000</v>
      </c>
      <c r="O677" s="25">
        <f t="shared" si="85"/>
        <v>0.21535140128695188</v>
      </c>
      <c r="P677" s="24">
        <f>Data!K677</f>
        <v>154310470000</v>
      </c>
      <c r="Q677" s="24">
        <f>Data!I677</f>
        <v>187058940000</v>
      </c>
      <c r="R677" s="25">
        <f t="shared" si="86"/>
        <v>0.86617615549409188</v>
      </c>
      <c r="S677" s="25">
        <f t="shared" si="87"/>
        <v>1.8277334145349653</v>
      </c>
    </row>
    <row r="678" spans="1:19" ht="15" customHeight="1" x14ac:dyDescent="0.3">
      <c r="A678" s="22"/>
      <c r="B678" s="23"/>
      <c r="C678" s="2"/>
      <c r="D678" s="23">
        <v>2019</v>
      </c>
      <c r="E678" s="24">
        <f>Data!F678</f>
        <v>119744559999.99998</v>
      </c>
      <c r="F678" s="24">
        <f>Data!H678</f>
        <v>106487040000</v>
      </c>
      <c r="G678" s="24">
        <f t="shared" si="80"/>
        <v>13257519999.999985</v>
      </c>
      <c r="H678" s="24">
        <f>Data!G678</f>
        <v>369621330000</v>
      </c>
      <c r="I678" s="25">
        <f t="shared" si="81"/>
        <v>0.23529305302808118</v>
      </c>
      <c r="J678" s="24">
        <f>Data!J678</f>
        <v>48665450000</v>
      </c>
      <c r="K678" s="24">
        <f t="shared" si="82"/>
        <v>369621330000</v>
      </c>
      <c r="L678" s="25">
        <f t="shared" si="83"/>
        <v>0.42922135202532813</v>
      </c>
      <c r="M678" s="24">
        <f>Data!M678</f>
        <v>9483310000</v>
      </c>
      <c r="N678" s="24">
        <f t="shared" si="84"/>
        <v>369621330000</v>
      </c>
      <c r="O678" s="25">
        <f t="shared" si="85"/>
        <v>0.17241386799836469</v>
      </c>
      <c r="P678" s="24">
        <f>Data!K678</f>
        <v>168220730000</v>
      </c>
      <c r="Q678" s="24">
        <f>Data!I678</f>
        <v>201400590000</v>
      </c>
      <c r="R678" s="25">
        <f t="shared" si="86"/>
        <v>0.87701712542152932</v>
      </c>
      <c r="S678" s="25">
        <f t="shared" si="87"/>
        <v>1.7139453984733033</v>
      </c>
    </row>
    <row r="679" spans="1:19" ht="15" customHeight="1" x14ac:dyDescent="0.3">
      <c r="A679" s="22"/>
      <c r="B679" s="23"/>
      <c r="C679" s="2"/>
      <c r="D679" s="23">
        <v>2020</v>
      </c>
      <c r="E679" s="24">
        <f>Data!F679</f>
        <v>145275070000</v>
      </c>
      <c r="F679" s="24">
        <f>Data!H679</f>
        <v>97254110000</v>
      </c>
      <c r="G679" s="24">
        <f t="shared" si="80"/>
        <v>48020960000</v>
      </c>
      <c r="H679" s="24">
        <f>Data!G679</f>
        <v>387906760000</v>
      </c>
      <c r="I679" s="25">
        <f t="shared" si="81"/>
        <v>0.812095921195083</v>
      </c>
      <c r="J679" s="24">
        <f>Data!J679</f>
        <v>62178220000</v>
      </c>
      <c r="K679" s="24">
        <f t="shared" si="82"/>
        <v>387906760000</v>
      </c>
      <c r="L679" s="25">
        <f t="shared" si="83"/>
        <v>0.52255082432695943</v>
      </c>
      <c r="M679" s="24">
        <f>Data!M679</f>
        <v>14630010000</v>
      </c>
      <c r="N679" s="24">
        <f t="shared" si="84"/>
        <v>387906760000</v>
      </c>
      <c r="O679" s="25">
        <f t="shared" si="85"/>
        <v>0.25344664578673493</v>
      </c>
      <c r="P679" s="24">
        <f>Data!K679</f>
        <v>186309000000</v>
      </c>
      <c r="Q679" s="24">
        <f>Data!I679</f>
        <v>201597760000</v>
      </c>
      <c r="R679" s="25">
        <f t="shared" si="86"/>
        <v>0.97037015689063211</v>
      </c>
      <c r="S679" s="25">
        <f t="shared" si="87"/>
        <v>2.5584635481994096</v>
      </c>
    </row>
    <row r="680" spans="1:19" ht="15" customHeight="1" x14ac:dyDescent="0.3">
      <c r="A680" s="22"/>
      <c r="B680" s="23"/>
      <c r="C680" s="2"/>
      <c r="D680" s="23">
        <v>2021</v>
      </c>
      <c r="E680" s="24">
        <f>Data!F680</f>
        <v>253381890000</v>
      </c>
      <c r="F680" s="24">
        <f>Data!H680</f>
        <v>104758650000</v>
      </c>
      <c r="G680" s="24">
        <f t="shared" si="80"/>
        <v>148623240000</v>
      </c>
      <c r="H680" s="24">
        <f>Data!G680</f>
        <v>496279220000</v>
      </c>
      <c r="I680" s="25">
        <f t="shared" si="81"/>
        <v>1.9645562721727499</v>
      </c>
      <c r="J680" s="24">
        <f>Data!J680</f>
        <v>84650920000</v>
      </c>
      <c r="K680" s="24">
        <f t="shared" si="82"/>
        <v>496279220000</v>
      </c>
      <c r="L680" s="25">
        <f t="shared" si="83"/>
        <v>0.55606196689033238</v>
      </c>
      <c r="M680" s="24">
        <f>Data!M680</f>
        <v>25340490000</v>
      </c>
      <c r="N680" s="24">
        <f t="shared" si="84"/>
        <v>496279220000</v>
      </c>
      <c r="O680" s="25">
        <f t="shared" si="85"/>
        <v>0.34312960514445878</v>
      </c>
      <c r="P680" s="24">
        <f>Data!K680</f>
        <v>207053920000</v>
      </c>
      <c r="Q680" s="24">
        <f>Data!I680</f>
        <v>289225300000</v>
      </c>
      <c r="R680" s="25">
        <f t="shared" si="86"/>
        <v>0.75168602470115864</v>
      </c>
      <c r="S680" s="25">
        <f t="shared" si="87"/>
        <v>3.6154338689086996</v>
      </c>
    </row>
    <row r="681" spans="1:19" ht="15" customHeight="1" x14ac:dyDescent="0.3">
      <c r="A681" s="22"/>
      <c r="B681" s="23"/>
      <c r="C681" s="2"/>
      <c r="D681" s="23">
        <v>2022</v>
      </c>
      <c r="E681" s="24">
        <f>Data!F681</f>
        <v>251522550000.00003</v>
      </c>
      <c r="F681" s="24">
        <f>Data!H681</f>
        <v>121282130000</v>
      </c>
      <c r="G681" s="24">
        <f t="shared" si="80"/>
        <v>130240420000.00003</v>
      </c>
      <c r="H681" s="24">
        <f>Data!G681</f>
        <v>516469170000</v>
      </c>
      <c r="I681" s="25">
        <f t="shared" si="81"/>
        <v>1.6542655492872889</v>
      </c>
      <c r="J681" s="24">
        <f>Data!J681</f>
        <v>112826960000</v>
      </c>
      <c r="K681" s="24">
        <f t="shared" si="82"/>
        <v>516469170000</v>
      </c>
      <c r="L681" s="25">
        <f t="shared" si="83"/>
        <v>0.71217395144806028</v>
      </c>
      <c r="M681" s="24">
        <f>Data!M681</f>
        <v>34793840000</v>
      </c>
      <c r="N681" s="24">
        <f t="shared" si="84"/>
        <v>516469170000</v>
      </c>
      <c r="O681" s="25">
        <f t="shared" si="85"/>
        <v>0.45271744836192251</v>
      </c>
      <c r="P681" s="24">
        <f>Data!K681</f>
        <v>220391870000</v>
      </c>
      <c r="Q681" s="24">
        <f>Data!I681</f>
        <v>296077300000</v>
      </c>
      <c r="R681" s="25">
        <f t="shared" si="86"/>
        <v>0.7815913732663734</v>
      </c>
      <c r="S681" s="25">
        <f t="shared" si="87"/>
        <v>3.6007483223636449</v>
      </c>
    </row>
    <row r="682" spans="1:19" ht="15" customHeight="1" x14ac:dyDescent="0.3">
      <c r="A682" s="22"/>
      <c r="B682" s="23"/>
      <c r="C682" s="2"/>
      <c r="D682" s="23">
        <v>2023</v>
      </c>
      <c r="E682" s="24">
        <f>Data!F682</f>
        <v>309115670000.00006</v>
      </c>
      <c r="F682" s="24">
        <f>Data!H682</f>
        <v>133271299999.99998</v>
      </c>
      <c r="G682" s="24">
        <f t="shared" si="80"/>
        <v>175844370000.00006</v>
      </c>
      <c r="H682" s="24">
        <f>Data!G682</f>
        <v>595658540000</v>
      </c>
      <c r="I682" s="25">
        <f t="shared" si="81"/>
        <v>1.9365777366341468</v>
      </c>
      <c r="J682" s="24">
        <f>Data!J682</f>
        <v>136273340000</v>
      </c>
      <c r="K682" s="24">
        <f t="shared" si="82"/>
        <v>595658540000</v>
      </c>
      <c r="L682" s="25">
        <f t="shared" si="83"/>
        <v>0.74581502415796797</v>
      </c>
      <c r="M682" s="24">
        <f>Data!M682</f>
        <v>31267780000</v>
      </c>
      <c r="N682" s="24">
        <f t="shared" si="84"/>
        <v>595658540000</v>
      </c>
      <c r="O682" s="25">
        <f t="shared" si="85"/>
        <v>0.35275156400846697</v>
      </c>
      <c r="P682" s="24">
        <f>Data!K682</f>
        <v>243286130000</v>
      </c>
      <c r="Q682" s="24">
        <f>Data!I682</f>
        <v>352472400000</v>
      </c>
      <c r="R682" s="25">
        <f t="shared" si="86"/>
        <v>0.72473883487047497</v>
      </c>
      <c r="S682" s="25">
        <f t="shared" si="87"/>
        <v>3.7598831596710567</v>
      </c>
    </row>
    <row r="683" spans="1:19" ht="15" customHeight="1" x14ac:dyDescent="0.3">
      <c r="A683" s="22"/>
      <c r="B683" s="23"/>
      <c r="C683" s="2"/>
      <c r="D683" s="23">
        <v>2024</v>
      </c>
      <c r="E683" s="24">
        <f>Data!F683</f>
        <v>385083120000.00006</v>
      </c>
      <c r="F683" s="24">
        <f>Data!H683</f>
        <v>164999500000</v>
      </c>
      <c r="G683" s="24">
        <f t="shared" si="80"/>
        <v>220083620000.00006</v>
      </c>
      <c r="H683" s="24">
        <f>Data!G683</f>
        <v>697102860000</v>
      </c>
      <c r="I683" s="25">
        <f t="shared" si="81"/>
        <v>2.0710696082928139</v>
      </c>
      <c r="J683" s="24">
        <f>Data!J683</f>
        <v>156263310000</v>
      </c>
      <c r="K683" s="24">
        <f t="shared" si="82"/>
        <v>697102860000</v>
      </c>
      <c r="L683" s="25">
        <f t="shared" si="83"/>
        <v>0.73076502741647054</v>
      </c>
      <c r="M683" s="24">
        <f>Data!M683</f>
        <v>22968210000</v>
      </c>
      <c r="N683" s="24">
        <f t="shared" si="84"/>
        <v>697102860000</v>
      </c>
      <c r="O683" s="25">
        <f t="shared" si="85"/>
        <v>0.22141118629179057</v>
      </c>
      <c r="P683" s="24">
        <f>Data!K683</f>
        <v>256239820000</v>
      </c>
      <c r="Q683" s="24">
        <f>Data!I683</f>
        <v>440863040000</v>
      </c>
      <c r="R683" s="25">
        <f t="shared" si="86"/>
        <v>0.61028434363651807</v>
      </c>
      <c r="S683" s="25">
        <f t="shared" si="87"/>
        <v>3.6335301656375933</v>
      </c>
    </row>
    <row r="684" spans="1:19" ht="15" customHeight="1" x14ac:dyDescent="0.3">
      <c r="A684" s="22"/>
      <c r="B684" s="23">
        <v>63</v>
      </c>
      <c r="C684" s="2" t="s">
        <v>60</v>
      </c>
      <c r="D684" s="23">
        <v>2014</v>
      </c>
      <c r="E684" s="24">
        <f>Data!F684</f>
        <v>0</v>
      </c>
      <c r="F684" s="24">
        <f>Data!H684</f>
        <v>0</v>
      </c>
      <c r="G684" s="24">
        <f t="shared" si="80"/>
        <v>0</v>
      </c>
      <c r="H684" s="24">
        <f>Data!G684</f>
        <v>0</v>
      </c>
      <c r="I684" s="25">
        <f t="shared" si="81"/>
        <v>0</v>
      </c>
      <c r="J684" s="24">
        <f>Data!J684</f>
        <v>0</v>
      </c>
      <c r="K684" s="24">
        <f t="shared" si="82"/>
        <v>0</v>
      </c>
      <c r="L684" s="25">
        <f t="shared" si="83"/>
        <v>0</v>
      </c>
      <c r="M684" s="24">
        <f>Data!M684</f>
        <v>0</v>
      </c>
      <c r="N684" s="24">
        <f t="shared" si="84"/>
        <v>0</v>
      </c>
      <c r="O684" s="25">
        <f t="shared" si="85"/>
        <v>0</v>
      </c>
      <c r="P684" s="24">
        <f>Data!K684</f>
        <v>0</v>
      </c>
      <c r="Q684" s="24">
        <f>Data!I684</f>
        <v>0</v>
      </c>
      <c r="R684" s="25">
        <f t="shared" si="86"/>
        <v>0</v>
      </c>
      <c r="S684" s="25">
        <f t="shared" si="87"/>
        <v>0</v>
      </c>
    </row>
    <row r="685" spans="1:19" ht="15" customHeight="1" x14ac:dyDescent="0.3">
      <c r="A685" s="22"/>
      <c r="B685" s="23"/>
      <c r="C685" s="2"/>
      <c r="D685" s="23">
        <v>2015</v>
      </c>
      <c r="E685" s="24">
        <f>Data!F685</f>
        <v>1506481713654</v>
      </c>
      <c r="F685" s="24">
        <f>Data!H685</f>
        <v>1460563642928</v>
      </c>
      <c r="G685" s="24">
        <f t="shared" si="80"/>
        <v>45918070726</v>
      </c>
      <c r="H685" s="24">
        <f>Data!G685</f>
        <v>2091538245349</v>
      </c>
      <c r="I685" s="25">
        <f t="shared" si="81"/>
        <v>0.14401962031169893</v>
      </c>
      <c r="J685" s="24">
        <f>Data!J685</f>
        <v>73040180395</v>
      </c>
      <c r="K685" s="24">
        <f t="shared" si="82"/>
        <v>2091538245349</v>
      </c>
      <c r="L685" s="25">
        <f t="shared" si="83"/>
        <v>0.11384491228749589</v>
      </c>
      <c r="M685" s="24">
        <f>Data!M685</f>
        <v>38562534548</v>
      </c>
      <c r="N685" s="24">
        <f t="shared" si="84"/>
        <v>2091538245349</v>
      </c>
      <c r="O685" s="25">
        <f t="shared" si="85"/>
        <v>0.12389935146479673</v>
      </c>
      <c r="P685" s="24">
        <f>Data!K685</f>
        <v>590552561406</v>
      </c>
      <c r="Q685" s="24">
        <f>Data!I685</f>
        <v>1500985683943</v>
      </c>
      <c r="R685" s="25">
        <f t="shared" si="86"/>
        <v>0.41311532555552849</v>
      </c>
      <c r="S685" s="25">
        <f t="shared" si="87"/>
        <v>0.79487920961952008</v>
      </c>
    </row>
    <row r="686" spans="1:19" ht="15" customHeight="1" x14ac:dyDescent="0.3">
      <c r="A686" s="22"/>
      <c r="B686" s="23"/>
      <c r="C686" s="2"/>
      <c r="D686" s="23">
        <v>2016</v>
      </c>
      <c r="E686" s="24">
        <f>Data!F686</f>
        <v>1789731053581</v>
      </c>
      <c r="F686" s="24">
        <f>Data!H686</f>
        <v>1198742833687</v>
      </c>
      <c r="G686" s="24">
        <f t="shared" si="80"/>
        <v>590988219894</v>
      </c>
      <c r="H686" s="24">
        <f>Data!G686</f>
        <v>1847306963482</v>
      </c>
      <c r="I686" s="25">
        <f t="shared" si="81"/>
        <v>2.0986673028055285</v>
      </c>
      <c r="J686" s="24">
        <f>Data!J686</f>
        <v>85597463057</v>
      </c>
      <c r="K686" s="24">
        <f t="shared" si="82"/>
        <v>1847306963482</v>
      </c>
      <c r="L686" s="25">
        <f t="shared" si="83"/>
        <v>0.15105650283472177</v>
      </c>
      <c r="M686" s="24">
        <f>Data!M686</f>
        <v>10441495991</v>
      </c>
      <c r="N686" s="24">
        <f t="shared" si="84"/>
        <v>1847306963482</v>
      </c>
      <c r="O686" s="25">
        <f t="shared" si="85"/>
        <v>3.7983320826800795E-2</v>
      </c>
      <c r="P686" s="24">
        <f>Data!K686</f>
        <v>602078935898</v>
      </c>
      <c r="Q686" s="24">
        <f>Data!I686</f>
        <v>1245228027584</v>
      </c>
      <c r="R686" s="25">
        <f t="shared" si="86"/>
        <v>0.50768443103506566</v>
      </c>
      <c r="S686" s="25">
        <f t="shared" si="87"/>
        <v>2.7953915575021169</v>
      </c>
    </row>
    <row r="687" spans="1:19" ht="15" customHeight="1" x14ac:dyDescent="0.3">
      <c r="A687" s="22"/>
      <c r="B687" s="23"/>
      <c r="C687" s="2"/>
      <c r="D687" s="23">
        <v>2017</v>
      </c>
      <c r="E687" s="24">
        <f>Data!F687</f>
        <v>1488053245940</v>
      </c>
      <c r="F687" s="24">
        <f>Data!H687</f>
        <v>888978343853</v>
      </c>
      <c r="G687" s="24">
        <f t="shared" si="80"/>
        <v>599074902087</v>
      </c>
      <c r="H687" s="24">
        <f>Data!G687</f>
        <v>1558769299360</v>
      </c>
      <c r="I687" s="25">
        <f t="shared" si="81"/>
        <v>2.5211757501923295</v>
      </c>
      <c r="J687" s="24">
        <f>Data!J687</f>
        <v>-111191952904</v>
      </c>
      <c r="K687" s="24">
        <f t="shared" si="82"/>
        <v>1558769299360</v>
      </c>
      <c r="L687" s="25">
        <f t="shared" si="83"/>
        <v>-0.23254612893381302</v>
      </c>
      <c r="M687" s="24">
        <f>Data!M687</f>
        <v>-191357078452</v>
      </c>
      <c r="N687" s="24">
        <f t="shared" si="84"/>
        <v>1558769299360</v>
      </c>
      <c r="O687" s="25">
        <f t="shared" si="85"/>
        <v>-0.82495823321989548</v>
      </c>
      <c r="P687" s="24">
        <f>Data!K687</f>
        <v>434345925596</v>
      </c>
      <c r="Q687" s="24">
        <f>Data!I687</f>
        <v>1124423373764</v>
      </c>
      <c r="R687" s="25">
        <f t="shared" si="86"/>
        <v>0.40559742221395784</v>
      </c>
      <c r="S687" s="25">
        <f t="shared" si="87"/>
        <v>1.8692688102525787</v>
      </c>
    </row>
    <row r="688" spans="1:19" ht="15" customHeight="1" x14ac:dyDescent="0.3">
      <c r="A688" s="22"/>
      <c r="B688" s="23"/>
      <c r="C688" s="2"/>
      <c r="D688" s="23">
        <v>2018</v>
      </c>
      <c r="E688" s="24">
        <f>Data!F688</f>
        <v>1437313331247</v>
      </c>
      <c r="F688" s="24">
        <f>Data!H688</f>
        <v>763972708661</v>
      </c>
      <c r="G688" s="24">
        <f t="shared" si="80"/>
        <v>673340622586</v>
      </c>
      <c r="H688" s="24">
        <f>Data!G688</f>
        <v>1504014425963</v>
      </c>
      <c r="I688" s="25">
        <f t="shared" si="81"/>
        <v>2.9368830563815513</v>
      </c>
      <c r="J688" s="24">
        <f>Data!J688</f>
        <v>-96547918346</v>
      </c>
      <c r="K688" s="24">
        <f t="shared" si="82"/>
        <v>1504014425963</v>
      </c>
      <c r="L688" s="25">
        <f t="shared" si="83"/>
        <v>-0.20927074127392908</v>
      </c>
      <c r="M688" s="24">
        <f>Data!M688</f>
        <v>163831180</v>
      </c>
      <c r="N688" s="24">
        <f t="shared" si="84"/>
        <v>1504014425963</v>
      </c>
      <c r="O688" s="25">
        <f t="shared" si="85"/>
        <v>7.3200463412781392E-4</v>
      </c>
      <c r="P688" s="24">
        <f>Data!K688</f>
        <v>438884324322</v>
      </c>
      <c r="Q688" s="24">
        <f>Data!I688</f>
        <v>1065130101641</v>
      </c>
      <c r="R688" s="25">
        <f t="shared" si="86"/>
        <v>0.43265000193696657</v>
      </c>
      <c r="S688" s="25">
        <f t="shared" si="87"/>
        <v>3.1609943216787171</v>
      </c>
    </row>
    <row r="689" spans="1:19" ht="15" customHeight="1" x14ac:dyDescent="0.3">
      <c r="A689" s="22"/>
      <c r="B689" s="23"/>
      <c r="C689" s="2"/>
      <c r="D689" s="23">
        <v>2019</v>
      </c>
      <c r="E689" s="24">
        <f>Data!F689</f>
        <v>1752720892150</v>
      </c>
      <c r="F689" s="24">
        <f>Data!H689</f>
        <v>928279045262</v>
      </c>
      <c r="G689" s="24">
        <f t="shared" si="80"/>
        <v>824441846888</v>
      </c>
      <c r="H689" s="24">
        <f>Data!G689</f>
        <v>1814324020621</v>
      </c>
      <c r="I689" s="25">
        <f t="shared" si="81"/>
        <v>2.980911046822901</v>
      </c>
      <c r="J689" s="24">
        <f>Data!J689</f>
        <v>-94126355703</v>
      </c>
      <c r="K689" s="24">
        <f t="shared" si="82"/>
        <v>1814324020621</v>
      </c>
      <c r="L689" s="25">
        <f t="shared" si="83"/>
        <v>-0.16912740839243912</v>
      </c>
      <c r="M689" s="24">
        <f>Data!M689</f>
        <v>11335441429</v>
      </c>
      <c r="N689" s="24">
        <f t="shared" si="84"/>
        <v>1814324020621</v>
      </c>
      <c r="O689" s="25">
        <f t="shared" si="85"/>
        <v>4.1984874552235374E-2</v>
      </c>
      <c r="P689" s="24">
        <f>Data!K689</f>
        <v>449275043471</v>
      </c>
      <c r="Q689" s="24">
        <f>Data!I689</f>
        <v>1365048977150</v>
      </c>
      <c r="R689" s="25">
        <f t="shared" si="86"/>
        <v>0.34558378749857299</v>
      </c>
      <c r="S689" s="25">
        <f t="shared" si="87"/>
        <v>3.1993523004812703</v>
      </c>
    </row>
    <row r="690" spans="1:19" ht="15" customHeight="1" x14ac:dyDescent="0.3">
      <c r="A690" s="22"/>
      <c r="B690" s="23"/>
      <c r="C690" s="2"/>
      <c r="D690" s="23">
        <v>2020</v>
      </c>
      <c r="E690" s="24">
        <f>Data!F690</f>
        <v>1640322047066</v>
      </c>
      <c r="F690" s="24">
        <f>Data!H690</f>
        <v>808970689695</v>
      </c>
      <c r="G690" s="24">
        <f t="shared" si="80"/>
        <v>831351357371</v>
      </c>
      <c r="H690" s="24">
        <f>Data!G690</f>
        <v>1696979239602</v>
      </c>
      <c r="I690" s="25">
        <f t="shared" si="81"/>
        <v>3.2137487466451455</v>
      </c>
      <c r="J690" s="24">
        <f>Data!J690</f>
        <v>-90236219458</v>
      </c>
      <c r="K690" s="24">
        <f t="shared" si="82"/>
        <v>1696979239602</v>
      </c>
      <c r="L690" s="25">
        <f t="shared" si="83"/>
        <v>-0.17334924822184211</v>
      </c>
      <c r="M690" s="24">
        <f>Data!M690</f>
        <v>3731813181</v>
      </c>
      <c r="N690" s="24">
        <f t="shared" si="84"/>
        <v>1696979239602</v>
      </c>
      <c r="O690" s="25">
        <f t="shared" si="85"/>
        <v>1.4777897095666064E-2</v>
      </c>
      <c r="P690" s="24">
        <f>Data!K690</f>
        <v>457945125009</v>
      </c>
      <c r="Q690" s="24">
        <f>Data!I690</f>
        <v>1239034114593</v>
      </c>
      <c r="R690" s="25">
        <f t="shared" si="86"/>
        <v>0.38807840365024809</v>
      </c>
      <c r="S690" s="25">
        <f t="shared" si="87"/>
        <v>3.4432557991692176</v>
      </c>
    </row>
    <row r="691" spans="1:19" ht="15" customHeight="1" x14ac:dyDescent="0.3">
      <c r="A691" s="22"/>
      <c r="B691" s="23"/>
      <c r="C691" s="2"/>
      <c r="D691" s="23">
        <v>2021</v>
      </c>
      <c r="E691" s="24">
        <f>Data!F691</f>
        <v>1633942575063</v>
      </c>
      <c r="F691" s="24">
        <f>Data!H691</f>
        <v>786685333487</v>
      </c>
      <c r="G691" s="24">
        <f t="shared" si="80"/>
        <v>847257241576</v>
      </c>
      <c r="H691" s="24">
        <f>Data!G691</f>
        <v>1696009882944</v>
      </c>
      <c r="I691" s="25">
        <f t="shared" si="81"/>
        <v>3.2771079700849111</v>
      </c>
      <c r="J691" s="24">
        <f>Data!J691</f>
        <v>-74992176875</v>
      </c>
      <c r="K691" s="24">
        <f t="shared" si="82"/>
        <v>1696009882944</v>
      </c>
      <c r="L691" s="25">
        <f t="shared" si="83"/>
        <v>-0.14414685850068965</v>
      </c>
      <c r="M691" s="24">
        <f>Data!M691</f>
        <v>13086248637</v>
      </c>
      <c r="N691" s="24">
        <f t="shared" si="84"/>
        <v>1696009882944</v>
      </c>
      <c r="O691" s="25">
        <f t="shared" si="85"/>
        <v>5.185087169892609E-2</v>
      </c>
      <c r="P691" s="24">
        <f>Data!K691</f>
        <v>476385727010</v>
      </c>
      <c r="Q691" s="24">
        <f>Data!I691</f>
        <v>1219624155934</v>
      </c>
      <c r="R691" s="25">
        <f t="shared" si="86"/>
        <v>0.41013045775355128</v>
      </c>
      <c r="S691" s="25">
        <f t="shared" si="87"/>
        <v>3.5949424410366984</v>
      </c>
    </row>
    <row r="692" spans="1:19" ht="15" customHeight="1" x14ac:dyDescent="0.3">
      <c r="A692" s="22"/>
      <c r="B692" s="23"/>
      <c r="C692" s="2"/>
      <c r="D692" s="23">
        <v>2022</v>
      </c>
      <c r="E692" s="24">
        <f>Data!F692</f>
        <v>1740014557272</v>
      </c>
      <c r="F692" s="24">
        <f>Data!H692</f>
        <v>888717028449</v>
      </c>
      <c r="G692" s="24">
        <f t="shared" si="80"/>
        <v>851297528823</v>
      </c>
      <c r="H692" s="24">
        <f>Data!G692</f>
        <v>1806935158886</v>
      </c>
      <c r="I692" s="25">
        <f t="shared" si="81"/>
        <v>3.0905988859732005</v>
      </c>
      <c r="J692" s="24">
        <f>Data!J692</f>
        <v>-57932044715</v>
      </c>
      <c r="K692" s="24">
        <f t="shared" si="82"/>
        <v>1806935158886</v>
      </c>
      <c r="L692" s="25">
        <f t="shared" si="83"/>
        <v>-0.10451867342452607</v>
      </c>
      <c r="M692" s="24">
        <f>Data!M692</f>
        <v>5395376717</v>
      </c>
      <c r="N692" s="24">
        <f t="shared" si="84"/>
        <v>1806935158886</v>
      </c>
      <c r="O692" s="25">
        <f t="shared" si="85"/>
        <v>2.0065430328221015E-2</v>
      </c>
      <c r="P692" s="24">
        <f>Data!K692</f>
        <v>491914445068</v>
      </c>
      <c r="Q692" s="24">
        <f>Data!I692</f>
        <v>1315020713818</v>
      </c>
      <c r="R692" s="25">
        <f t="shared" si="86"/>
        <v>0.39277721019448936</v>
      </c>
      <c r="S692" s="25">
        <f t="shared" si="87"/>
        <v>3.3989228530713849</v>
      </c>
    </row>
    <row r="693" spans="1:19" ht="15" customHeight="1" x14ac:dyDescent="0.3">
      <c r="A693" s="22"/>
      <c r="B693" s="23"/>
      <c r="C693" s="2"/>
      <c r="D693" s="23">
        <v>2023</v>
      </c>
      <c r="E693" s="24">
        <f>Data!F693</f>
        <v>2169656448484</v>
      </c>
      <c r="F693" s="24">
        <f>Data!H693</f>
        <v>1335805044604</v>
      </c>
      <c r="G693" s="24">
        <f t="shared" si="80"/>
        <v>833851403880</v>
      </c>
      <c r="H693" s="24">
        <f>Data!G693</f>
        <v>2234736630576</v>
      </c>
      <c r="I693" s="25">
        <f t="shared" si="81"/>
        <v>2.4477449085545704</v>
      </c>
      <c r="J693" s="24">
        <f>Data!J693</f>
        <v>-87021476804</v>
      </c>
      <c r="K693" s="24">
        <f t="shared" si="82"/>
        <v>2234736630576</v>
      </c>
      <c r="L693" s="25">
        <f t="shared" si="83"/>
        <v>-0.12694561430620097</v>
      </c>
      <c r="M693" s="24">
        <f>Data!M693</f>
        <v>1634343512</v>
      </c>
      <c r="N693" s="24">
        <f t="shared" si="84"/>
        <v>2234736630576</v>
      </c>
      <c r="O693" s="25">
        <f t="shared" si="85"/>
        <v>4.9145784117787528E-3</v>
      </c>
      <c r="P693" s="24">
        <f>Data!K693</f>
        <v>466666894432</v>
      </c>
      <c r="Q693" s="24">
        <f>Data!I693</f>
        <v>1768069736144</v>
      </c>
      <c r="R693" s="25">
        <f t="shared" si="86"/>
        <v>0.2771385252157792</v>
      </c>
      <c r="S693" s="25">
        <f t="shared" si="87"/>
        <v>2.6028523978759273</v>
      </c>
    </row>
    <row r="694" spans="1:19" ht="15" customHeight="1" x14ac:dyDescent="0.3">
      <c r="A694" s="22"/>
      <c r="B694" s="23"/>
      <c r="C694" s="2"/>
      <c r="D694" s="23">
        <v>2024</v>
      </c>
      <c r="E694" s="24">
        <f>Data!F694</f>
        <v>2428478000000</v>
      </c>
      <c r="F694" s="24">
        <f>Data!H694</f>
        <v>149500000000</v>
      </c>
      <c r="G694" s="24">
        <f t="shared" si="80"/>
        <v>2278978000000</v>
      </c>
      <c r="H694" s="24">
        <f>Data!G694</f>
        <v>2539539000000</v>
      </c>
      <c r="I694" s="25">
        <f t="shared" si="81"/>
        <v>5.8869328960886209</v>
      </c>
      <c r="J694" s="24">
        <f>Data!J694</f>
        <v>-90332000000</v>
      </c>
      <c r="K694" s="24">
        <f t="shared" si="82"/>
        <v>2539539000000</v>
      </c>
      <c r="L694" s="25">
        <f t="shared" si="83"/>
        <v>-0.11595896735588623</v>
      </c>
      <c r="M694" s="24">
        <f>Data!M694</f>
        <v>-82503000000</v>
      </c>
      <c r="N694" s="24">
        <f t="shared" si="84"/>
        <v>2539539000000</v>
      </c>
      <c r="O694" s="25">
        <f t="shared" si="85"/>
        <v>-0.21831527690655667</v>
      </c>
      <c r="P694" s="24">
        <f>Data!K694</f>
        <v>366442000000</v>
      </c>
      <c r="Q694" s="24">
        <f>Data!I694</f>
        <v>1766098000000</v>
      </c>
      <c r="R694" s="25">
        <f t="shared" si="86"/>
        <v>0.21786112661924761</v>
      </c>
      <c r="S694" s="25">
        <f t="shared" si="87"/>
        <v>5.7705197784454256</v>
      </c>
    </row>
    <row r="695" spans="1:19" ht="15" customHeight="1" x14ac:dyDescent="0.3">
      <c r="A695" s="22"/>
      <c r="B695" s="23">
        <v>64</v>
      </c>
      <c r="C695" s="1" t="s">
        <v>131</v>
      </c>
      <c r="D695" s="23">
        <v>2014</v>
      </c>
      <c r="E695" s="24">
        <f>Data!F695</f>
        <v>0</v>
      </c>
      <c r="F695" s="24">
        <f>Data!H695</f>
        <v>0</v>
      </c>
      <c r="G695" s="24">
        <f t="shared" si="80"/>
        <v>0</v>
      </c>
      <c r="H695" s="24">
        <f>Data!G695</f>
        <v>0</v>
      </c>
      <c r="I695" s="25">
        <f t="shared" si="81"/>
        <v>0</v>
      </c>
      <c r="J695" s="24">
        <f>Data!J695</f>
        <v>0</v>
      </c>
      <c r="K695" s="24">
        <f t="shared" si="82"/>
        <v>0</v>
      </c>
      <c r="L695" s="25">
        <f t="shared" si="83"/>
        <v>0</v>
      </c>
      <c r="M695" s="24">
        <f>Data!M695</f>
        <v>0</v>
      </c>
      <c r="N695" s="24">
        <f t="shared" si="84"/>
        <v>0</v>
      </c>
      <c r="O695" s="25">
        <f t="shared" si="85"/>
        <v>0</v>
      </c>
      <c r="P695" s="24">
        <f>Data!K695</f>
        <v>0</v>
      </c>
      <c r="Q695" s="24">
        <f>Data!I695</f>
        <v>0</v>
      </c>
      <c r="R695" s="25">
        <f t="shared" si="86"/>
        <v>0</v>
      </c>
      <c r="S695" s="25">
        <f t="shared" si="87"/>
        <v>0</v>
      </c>
    </row>
    <row r="696" spans="1:19" ht="15" customHeight="1" x14ac:dyDescent="0.3">
      <c r="A696" s="22"/>
      <c r="B696" s="23"/>
      <c r="C696" s="1"/>
      <c r="D696" s="23">
        <v>2015</v>
      </c>
      <c r="E696" s="24">
        <f>Data!F696</f>
        <v>0</v>
      </c>
      <c r="F696" s="24">
        <f>Data!H696</f>
        <v>0</v>
      </c>
      <c r="G696" s="24">
        <f t="shared" si="80"/>
        <v>0</v>
      </c>
      <c r="H696" s="24">
        <f>Data!G696</f>
        <v>0</v>
      </c>
      <c r="I696" s="25">
        <f t="shared" si="81"/>
        <v>0</v>
      </c>
      <c r="J696" s="24">
        <f>Data!J696</f>
        <v>0</v>
      </c>
      <c r="K696" s="24">
        <f t="shared" si="82"/>
        <v>0</v>
      </c>
      <c r="L696" s="25">
        <f t="shared" si="83"/>
        <v>0</v>
      </c>
      <c r="M696" s="24">
        <f>Data!M696</f>
        <v>0</v>
      </c>
      <c r="N696" s="24">
        <f t="shared" si="84"/>
        <v>0</v>
      </c>
      <c r="O696" s="25">
        <f t="shared" si="85"/>
        <v>0</v>
      </c>
      <c r="P696" s="24">
        <f>Data!K696</f>
        <v>0</v>
      </c>
      <c r="Q696" s="24">
        <f>Data!I696</f>
        <v>0</v>
      </c>
      <c r="R696" s="25">
        <f t="shared" si="86"/>
        <v>0</v>
      </c>
      <c r="S696" s="25">
        <f t="shared" si="87"/>
        <v>0</v>
      </c>
    </row>
    <row r="697" spans="1:19" ht="15" customHeight="1" x14ac:dyDescent="0.3">
      <c r="A697" s="22"/>
      <c r="B697" s="23"/>
      <c r="C697" s="1"/>
      <c r="D697" s="23">
        <v>2016</v>
      </c>
      <c r="E697" s="24">
        <f>Data!F697</f>
        <v>0</v>
      </c>
      <c r="F697" s="24">
        <f>Data!H697</f>
        <v>0</v>
      </c>
      <c r="G697" s="24">
        <f t="shared" si="80"/>
        <v>0</v>
      </c>
      <c r="H697" s="24">
        <f>Data!G697</f>
        <v>0</v>
      </c>
      <c r="I697" s="25">
        <f t="shared" si="81"/>
        <v>0</v>
      </c>
      <c r="J697" s="24">
        <f>Data!J697</f>
        <v>0</v>
      </c>
      <c r="K697" s="24">
        <f t="shared" si="82"/>
        <v>0</v>
      </c>
      <c r="L697" s="25">
        <f t="shared" si="83"/>
        <v>0</v>
      </c>
      <c r="M697" s="24">
        <f>Data!M697</f>
        <v>0</v>
      </c>
      <c r="N697" s="24">
        <f t="shared" si="84"/>
        <v>0</v>
      </c>
      <c r="O697" s="25">
        <f t="shared" si="85"/>
        <v>0</v>
      </c>
      <c r="P697" s="24">
        <f>Data!K697</f>
        <v>0</v>
      </c>
      <c r="Q697" s="24">
        <f>Data!I697</f>
        <v>0</v>
      </c>
      <c r="R697" s="25">
        <f t="shared" si="86"/>
        <v>0</v>
      </c>
      <c r="S697" s="25">
        <f t="shared" si="87"/>
        <v>0</v>
      </c>
    </row>
    <row r="698" spans="1:19" ht="15" customHeight="1" x14ac:dyDescent="0.3">
      <c r="A698" s="22"/>
      <c r="B698" s="23"/>
      <c r="C698" s="1"/>
      <c r="D698" s="23">
        <v>2017</v>
      </c>
      <c r="E698" s="24">
        <f>Data!F698</f>
        <v>18509000000</v>
      </c>
      <c r="F698" s="24">
        <f>Data!H698</f>
        <v>55220000</v>
      </c>
      <c r="G698" s="24">
        <f t="shared" si="80"/>
        <v>18453780000</v>
      </c>
      <c r="H698" s="24">
        <f>Data!G698</f>
        <v>111934000000</v>
      </c>
      <c r="I698" s="25">
        <f t="shared" si="81"/>
        <v>1.0815015705683706</v>
      </c>
      <c r="J698" s="24">
        <f>Data!J698</f>
        <v>57000000</v>
      </c>
      <c r="K698" s="24">
        <f t="shared" si="82"/>
        <v>111934000000</v>
      </c>
      <c r="L698" s="25">
        <f t="shared" si="83"/>
        <v>1.6600854074722603E-3</v>
      </c>
      <c r="M698" s="24">
        <f>Data!M698</f>
        <v>8000000</v>
      </c>
      <c r="N698" s="24">
        <f t="shared" si="84"/>
        <v>111934000000</v>
      </c>
      <c r="O698" s="25">
        <f t="shared" si="85"/>
        <v>4.8028302392481284E-4</v>
      </c>
      <c r="P698" s="24">
        <f>Data!K698</f>
        <v>100495000000</v>
      </c>
      <c r="Q698" s="24">
        <f>Data!I698</f>
        <v>11439000000</v>
      </c>
      <c r="R698" s="25">
        <f t="shared" si="86"/>
        <v>9.224560713349069</v>
      </c>
      <c r="S698" s="25">
        <f t="shared" si="87"/>
        <v>10.308202652348836</v>
      </c>
    </row>
    <row r="699" spans="1:19" ht="15" customHeight="1" x14ac:dyDescent="0.3">
      <c r="A699" s="22"/>
      <c r="B699" s="23"/>
      <c r="C699" s="1"/>
      <c r="D699" s="23">
        <v>2018</v>
      </c>
      <c r="E699" s="24">
        <f>Data!F699</f>
        <v>130831000000</v>
      </c>
      <c r="F699" s="24">
        <f>Data!H699</f>
        <v>29268000000</v>
      </c>
      <c r="G699" s="24">
        <f t="shared" si="80"/>
        <v>101563000000</v>
      </c>
      <c r="H699" s="24">
        <f>Data!G699</f>
        <v>532259000000</v>
      </c>
      <c r="I699" s="25">
        <f t="shared" si="81"/>
        <v>1.2517463866275629</v>
      </c>
      <c r="J699" s="24">
        <f>Data!J699</f>
        <v>28675000000</v>
      </c>
      <c r="K699" s="24">
        <f t="shared" si="82"/>
        <v>532259000000</v>
      </c>
      <c r="L699" s="25">
        <f t="shared" si="83"/>
        <v>0.17562972162048926</v>
      </c>
      <c r="M699" s="24">
        <f>Data!M699</f>
        <v>34560000000</v>
      </c>
      <c r="N699" s="24">
        <f t="shared" si="84"/>
        <v>532259000000</v>
      </c>
      <c r="O699" s="25">
        <f t="shared" si="85"/>
        <v>0.4363349421991925</v>
      </c>
      <c r="P699" s="24">
        <f>Data!K699</f>
        <v>214517000000</v>
      </c>
      <c r="Q699" s="24">
        <f>Data!I699</f>
        <v>246438000000</v>
      </c>
      <c r="R699" s="25">
        <f t="shared" si="86"/>
        <v>0.91399398631704531</v>
      </c>
      <c r="S699" s="25">
        <f t="shared" si="87"/>
        <v>2.7777050367642899</v>
      </c>
    </row>
    <row r="700" spans="1:19" ht="15" customHeight="1" x14ac:dyDescent="0.3">
      <c r="A700" s="22"/>
      <c r="B700" s="23"/>
      <c r="C700" s="1"/>
      <c r="D700" s="23">
        <v>2019</v>
      </c>
      <c r="E700" s="24">
        <f>Data!F700</f>
        <v>156416000000</v>
      </c>
      <c r="F700" s="24">
        <f>Data!H700</f>
        <v>29598000000</v>
      </c>
      <c r="G700" s="24">
        <f t="shared" si="80"/>
        <v>126818000000</v>
      </c>
      <c r="H700" s="24">
        <f>Data!G700</f>
        <v>597964000000</v>
      </c>
      <c r="I700" s="25">
        <f t="shared" si="81"/>
        <v>1.3912644908389131</v>
      </c>
      <c r="J700" s="24">
        <f>Data!J700</f>
        <v>36894000000</v>
      </c>
      <c r="K700" s="24">
        <f t="shared" si="82"/>
        <v>597964000000</v>
      </c>
      <c r="L700" s="25">
        <f t="shared" si="83"/>
        <v>0.20113993484557596</v>
      </c>
      <c r="M700" s="24">
        <f>Data!M700</f>
        <v>22494000000</v>
      </c>
      <c r="N700" s="24">
        <f t="shared" si="84"/>
        <v>597964000000</v>
      </c>
      <c r="O700" s="25">
        <f t="shared" si="85"/>
        <v>0.25279060277876259</v>
      </c>
      <c r="P700" s="24">
        <f>Data!K700</f>
        <v>224771000000</v>
      </c>
      <c r="Q700" s="24">
        <f>Data!I700</f>
        <v>288105000000</v>
      </c>
      <c r="R700" s="25">
        <f t="shared" si="86"/>
        <v>0.8191789451762379</v>
      </c>
      <c r="S700" s="25">
        <f t="shared" si="87"/>
        <v>2.6643739736394894</v>
      </c>
    </row>
    <row r="701" spans="1:19" ht="15" customHeight="1" x14ac:dyDescent="0.3">
      <c r="A701" s="22"/>
      <c r="B701" s="23"/>
      <c r="C701" s="1"/>
      <c r="D701" s="23">
        <v>2020</v>
      </c>
      <c r="E701" s="24">
        <f>Data!F701</f>
        <v>187376000000</v>
      </c>
      <c r="F701" s="24">
        <f>Data!H701</f>
        <v>35552000000</v>
      </c>
      <c r="G701" s="24">
        <f t="shared" si="80"/>
        <v>151824000000</v>
      </c>
      <c r="H701" s="24">
        <f>Data!G701</f>
        <v>730449000000</v>
      </c>
      <c r="I701" s="25">
        <f t="shared" si="81"/>
        <v>1.3634975747793481</v>
      </c>
      <c r="J701" s="24">
        <f>Data!J701</f>
        <v>50144000000</v>
      </c>
      <c r="K701" s="24">
        <f t="shared" si="82"/>
        <v>730449000000</v>
      </c>
      <c r="L701" s="25">
        <f t="shared" si="83"/>
        <v>0.2237930916463709</v>
      </c>
      <c r="M701" s="24">
        <f>Data!M701</f>
        <v>29139000000</v>
      </c>
      <c r="N701" s="24">
        <f t="shared" si="84"/>
        <v>730449000000</v>
      </c>
      <c r="O701" s="25">
        <f t="shared" si="85"/>
        <v>0.26807358213920479</v>
      </c>
      <c r="P701" s="24">
        <f>Data!K701</f>
        <v>240113000000</v>
      </c>
      <c r="Q701" s="24">
        <f>Data!I701</f>
        <v>369381000000</v>
      </c>
      <c r="R701" s="25">
        <f t="shared" si="86"/>
        <v>0.68254363380899408</v>
      </c>
      <c r="S701" s="25">
        <f t="shared" si="87"/>
        <v>2.5379078823739176</v>
      </c>
    </row>
    <row r="702" spans="1:19" ht="15" customHeight="1" x14ac:dyDescent="0.3">
      <c r="A702" s="22"/>
      <c r="B702" s="23"/>
      <c r="C702" s="1"/>
      <c r="D702" s="23">
        <v>2021</v>
      </c>
      <c r="E702" s="24">
        <f>Data!F702</f>
        <v>226842000000</v>
      </c>
      <c r="F702" s="24">
        <f>Data!H702</f>
        <v>39107000000</v>
      </c>
      <c r="G702" s="24">
        <f t="shared" si="80"/>
        <v>187735000000</v>
      </c>
      <c r="H702" s="24">
        <f>Data!G702</f>
        <v>882584000000</v>
      </c>
      <c r="I702" s="25">
        <f t="shared" si="81"/>
        <v>1.3953817427009778</v>
      </c>
      <c r="J702" s="24">
        <f>Data!J702</f>
        <v>69761000000</v>
      </c>
      <c r="K702" s="24">
        <f t="shared" si="82"/>
        <v>882584000000</v>
      </c>
      <c r="L702" s="25">
        <f t="shared" si="83"/>
        <v>0.2576761645350471</v>
      </c>
      <c r="M702" s="24">
        <f>Data!M702</f>
        <v>41731000000</v>
      </c>
      <c r="N702" s="24">
        <f t="shared" si="84"/>
        <v>882584000000</v>
      </c>
      <c r="O702" s="25">
        <f t="shared" si="85"/>
        <v>0.31774009046164442</v>
      </c>
      <c r="P702" s="24">
        <f>Data!K702</f>
        <v>259262000000</v>
      </c>
      <c r="Q702" s="24">
        <f>Data!I702</f>
        <v>492812000000</v>
      </c>
      <c r="R702" s="25">
        <f t="shared" si="86"/>
        <v>0.5523913784566935</v>
      </c>
      <c r="S702" s="25">
        <f t="shared" si="87"/>
        <v>2.5231893761543631</v>
      </c>
    </row>
    <row r="703" spans="1:19" ht="15" customHeight="1" x14ac:dyDescent="0.3">
      <c r="A703" s="22"/>
      <c r="B703" s="23"/>
      <c r="C703" s="1"/>
      <c r="D703" s="23">
        <v>2022</v>
      </c>
      <c r="E703" s="24">
        <f>Data!F703</f>
        <v>204330000000</v>
      </c>
      <c r="F703" s="24">
        <f>Data!H703</f>
        <v>102479000000</v>
      </c>
      <c r="G703" s="24">
        <f t="shared" si="80"/>
        <v>101851000000</v>
      </c>
      <c r="H703" s="24">
        <f>Data!G703</f>
        <v>1025085000000</v>
      </c>
      <c r="I703" s="25">
        <f t="shared" si="81"/>
        <v>0.65179234892716209</v>
      </c>
      <c r="J703" s="24">
        <f>Data!J703</f>
        <v>95204000000</v>
      </c>
      <c r="K703" s="24">
        <f t="shared" si="82"/>
        <v>1025085000000</v>
      </c>
      <c r="L703" s="25">
        <f t="shared" si="83"/>
        <v>0.3027700532150992</v>
      </c>
      <c r="M703" s="24">
        <f>Data!M703</f>
        <v>60741000000</v>
      </c>
      <c r="N703" s="24">
        <f t="shared" si="84"/>
        <v>1025085000000</v>
      </c>
      <c r="O703" s="25">
        <f t="shared" si="85"/>
        <v>0.39819090124233597</v>
      </c>
      <c r="P703" s="24">
        <f>Data!K703</f>
        <v>297572000000</v>
      </c>
      <c r="Q703" s="24">
        <f>Data!I703</f>
        <v>583035000000</v>
      </c>
      <c r="R703" s="25">
        <f t="shared" si="86"/>
        <v>0.53590367645167103</v>
      </c>
      <c r="S703" s="25">
        <f t="shared" si="87"/>
        <v>1.8886569798362682</v>
      </c>
    </row>
    <row r="704" spans="1:19" ht="15" customHeight="1" x14ac:dyDescent="0.3">
      <c r="A704" s="22"/>
      <c r="B704" s="23"/>
      <c r="C704" s="1"/>
      <c r="D704" s="23">
        <v>2023</v>
      </c>
      <c r="E704" s="24">
        <f>Data!F704</f>
        <v>199685000000</v>
      </c>
      <c r="F704" s="24">
        <f>Data!H704</f>
        <v>102470000000</v>
      </c>
      <c r="G704" s="24">
        <f t="shared" si="80"/>
        <v>97215000000</v>
      </c>
      <c r="H704" s="24">
        <f>Data!G704</f>
        <v>1368246000000</v>
      </c>
      <c r="I704" s="25">
        <f t="shared" si="81"/>
        <v>0.46609337794519401</v>
      </c>
      <c r="J704" s="24">
        <f>Data!J704</f>
        <v>134353000000</v>
      </c>
      <c r="K704" s="24">
        <f t="shared" si="82"/>
        <v>1368246000000</v>
      </c>
      <c r="L704" s="25">
        <f t="shared" si="83"/>
        <v>0.32011113498596011</v>
      </c>
      <c r="M704" s="24">
        <f>Data!M704</f>
        <v>83170000000</v>
      </c>
      <c r="N704" s="24">
        <f t="shared" si="84"/>
        <v>1368246000000</v>
      </c>
      <c r="O704" s="25">
        <f t="shared" si="85"/>
        <v>0.40848093106064259</v>
      </c>
      <c r="P704" s="24">
        <f>Data!K704</f>
        <v>337181000000</v>
      </c>
      <c r="Q704" s="24">
        <f>Data!I704</f>
        <v>820409000000</v>
      </c>
      <c r="R704" s="25">
        <f t="shared" si="86"/>
        <v>0.43154091434881875</v>
      </c>
      <c r="S704" s="25">
        <f t="shared" si="87"/>
        <v>1.6262263583406154</v>
      </c>
    </row>
    <row r="705" spans="1:19" ht="15" customHeight="1" x14ac:dyDescent="0.3">
      <c r="A705" s="22"/>
      <c r="B705" s="23"/>
      <c r="C705" s="1"/>
      <c r="D705" s="23">
        <v>2024</v>
      </c>
      <c r="E705" s="24">
        <f>Data!F705</f>
        <v>119293000000</v>
      </c>
      <c r="F705" s="24">
        <f>Data!H705</f>
        <v>94895000000</v>
      </c>
      <c r="G705" s="24">
        <f t="shared" si="80"/>
        <v>24398000000</v>
      </c>
      <c r="H705" s="24">
        <f>Data!G705</f>
        <v>1631846000000</v>
      </c>
      <c r="I705" s="25">
        <f t="shared" si="81"/>
        <v>9.8079647221612817E-2</v>
      </c>
      <c r="J705" s="24">
        <f>Data!J705</f>
        <v>136200000000</v>
      </c>
      <c r="K705" s="24">
        <f t="shared" si="82"/>
        <v>1631846000000</v>
      </c>
      <c r="L705" s="25">
        <f t="shared" si="83"/>
        <v>0.27209185180464335</v>
      </c>
      <c r="M705" s="24">
        <f>Data!M705</f>
        <v>100463000000</v>
      </c>
      <c r="N705" s="24">
        <f t="shared" si="84"/>
        <v>1631846000000</v>
      </c>
      <c r="O705" s="25">
        <f t="shared" si="85"/>
        <v>0.41371021530217922</v>
      </c>
      <c r="P705" s="24">
        <f>Data!K705</f>
        <v>337333000000</v>
      </c>
      <c r="Q705" s="24">
        <f>Data!I705</f>
        <v>1542453000000</v>
      </c>
      <c r="R705" s="25">
        <f t="shared" si="86"/>
        <v>0.22963399857240382</v>
      </c>
      <c r="S705" s="25">
        <f t="shared" si="87"/>
        <v>1.0135157129008392</v>
      </c>
    </row>
    <row r="706" spans="1:19" ht="15" customHeight="1" x14ac:dyDescent="0.3">
      <c r="A706" s="22"/>
      <c r="B706" s="23">
        <v>65</v>
      </c>
      <c r="C706" s="2" t="s">
        <v>64</v>
      </c>
      <c r="D706" s="23">
        <v>2014</v>
      </c>
      <c r="E706" s="24">
        <f>Data!F706</f>
        <v>0</v>
      </c>
      <c r="F706" s="24">
        <f>Data!H706</f>
        <v>0</v>
      </c>
      <c r="G706" s="24">
        <f t="shared" si="80"/>
        <v>0</v>
      </c>
      <c r="H706" s="24">
        <f>Data!G706</f>
        <v>0</v>
      </c>
      <c r="I706" s="25">
        <f t="shared" si="81"/>
        <v>0</v>
      </c>
      <c r="J706" s="24">
        <f>Data!J706</f>
        <v>0</v>
      </c>
      <c r="K706" s="24">
        <f t="shared" si="82"/>
        <v>0</v>
      </c>
      <c r="L706" s="25">
        <f t="shared" si="83"/>
        <v>0</v>
      </c>
      <c r="M706" s="24">
        <f>Data!M706</f>
        <v>0</v>
      </c>
      <c r="N706" s="24">
        <f t="shared" si="84"/>
        <v>0</v>
      </c>
      <c r="O706" s="25">
        <f t="shared" si="85"/>
        <v>0</v>
      </c>
      <c r="P706" s="24">
        <f>Data!K706</f>
        <v>0</v>
      </c>
      <c r="Q706" s="24">
        <f>Data!I706</f>
        <v>0</v>
      </c>
      <c r="R706" s="25">
        <f t="shared" si="86"/>
        <v>0</v>
      </c>
      <c r="S706" s="25">
        <f t="shared" si="87"/>
        <v>0</v>
      </c>
    </row>
    <row r="707" spans="1:19" ht="15" customHeight="1" x14ac:dyDescent="0.3">
      <c r="A707" s="22"/>
      <c r="B707" s="23"/>
      <c r="C707" s="2"/>
      <c r="D707" s="23">
        <v>2015</v>
      </c>
      <c r="E707" s="24">
        <f>Data!F707</f>
        <v>0</v>
      </c>
      <c r="F707" s="24">
        <f>Data!H707</f>
        <v>0</v>
      </c>
      <c r="G707" s="24">
        <f t="shared" ref="G707:G770" si="88">E707-F707</f>
        <v>0</v>
      </c>
      <c r="H707" s="24">
        <f>Data!G707</f>
        <v>0</v>
      </c>
      <c r="I707" s="25">
        <f t="shared" ref="I707:I770" si="89">IFERROR(6.56*(G707/H707),0)</f>
        <v>0</v>
      </c>
      <c r="J707" s="24">
        <f>Data!J707</f>
        <v>0</v>
      </c>
      <c r="K707" s="24">
        <f t="shared" ref="K707:K770" si="90">H707</f>
        <v>0</v>
      </c>
      <c r="L707" s="25">
        <f t="shared" ref="L707:L770" si="91">IFERROR(3.26*(J707/K707),0)</f>
        <v>0</v>
      </c>
      <c r="M707" s="24">
        <f>Data!M707</f>
        <v>0</v>
      </c>
      <c r="N707" s="24">
        <f t="shared" ref="N707:N770" si="92">K707</f>
        <v>0</v>
      </c>
      <c r="O707" s="25">
        <f t="shared" ref="O707:O770" si="93">IFERROR(6.72*(M707/N707),0)</f>
        <v>0</v>
      </c>
      <c r="P707" s="24">
        <f>Data!K707</f>
        <v>0</v>
      </c>
      <c r="Q707" s="24">
        <f>Data!I707</f>
        <v>0</v>
      </c>
      <c r="R707" s="25">
        <f t="shared" ref="R707:R770" si="94">IFERROR(1.05*(P707/Q707),0)</f>
        <v>0</v>
      </c>
      <c r="S707" s="25">
        <f t="shared" ref="S707:S770" si="95">IFERROR(I707+L707+O707+R707,0)</f>
        <v>0</v>
      </c>
    </row>
    <row r="708" spans="1:19" ht="15" customHeight="1" x14ac:dyDescent="0.3">
      <c r="A708" s="22"/>
      <c r="B708" s="23"/>
      <c r="C708" s="2"/>
      <c r="D708" s="23">
        <v>2016</v>
      </c>
      <c r="E708" s="24">
        <f>Data!F708</f>
        <v>0</v>
      </c>
      <c r="F708" s="24">
        <f>Data!H708</f>
        <v>0</v>
      </c>
      <c r="G708" s="24">
        <f t="shared" si="88"/>
        <v>0</v>
      </c>
      <c r="H708" s="24">
        <f>Data!G708</f>
        <v>0</v>
      </c>
      <c r="I708" s="25">
        <f t="shared" si="89"/>
        <v>0</v>
      </c>
      <c r="J708" s="24">
        <f>Data!J708</f>
        <v>0</v>
      </c>
      <c r="K708" s="24">
        <f t="shared" si="90"/>
        <v>0</v>
      </c>
      <c r="L708" s="25">
        <f t="shared" si="91"/>
        <v>0</v>
      </c>
      <c r="M708" s="24">
        <f>Data!M708</f>
        <v>0</v>
      </c>
      <c r="N708" s="24">
        <f t="shared" si="92"/>
        <v>0</v>
      </c>
      <c r="O708" s="25">
        <f t="shared" si="93"/>
        <v>0</v>
      </c>
      <c r="P708" s="24">
        <f>Data!K708</f>
        <v>0</v>
      </c>
      <c r="Q708" s="24">
        <f>Data!I708</f>
        <v>0</v>
      </c>
      <c r="R708" s="25">
        <f t="shared" si="94"/>
        <v>0</v>
      </c>
      <c r="S708" s="25">
        <f t="shared" si="95"/>
        <v>0</v>
      </c>
    </row>
    <row r="709" spans="1:19" ht="15" customHeight="1" x14ac:dyDescent="0.3">
      <c r="A709" s="22"/>
      <c r="B709" s="23"/>
      <c r="C709" s="2"/>
      <c r="D709" s="23">
        <v>2017</v>
      </c>
      <c r="E709" s="24">
        <f>Data!F709</f>
        <v>0</v>
      </c>
      <c r="F709" s="24">
        <f>Data!H709</f>
        <v>0</v>
      </c>
      <c r="G709" s="24">
        <f t="shared" si="88"/>
        <v>0</v>
      </c>
      <c r="H709" s="24">
        <f>Data!G709</f>
        <v>0</v>
      </c>
      <c r="I709" s="25">
        <f t="shared" si="89"/>
        <v>0</v>
      </c>
      <c r="J709" s="24">
        <f>Data!J709</f>
        <v>0</v>
      </c>
      <c r="K709" s="24">
        <f t="shared" si="90"/>
        <v>0</v>
      </c>
      <c r="L709" s="25">
        <f t="shared" si="91"/>
        <v>0</v>
      </c>
      <c r="M709" s="24">
        <f>Data!M709</f>
        <v>0</v>
      </c>
      <c r="N709" s="24">
        <f t="shared" si="92"/>
        <v>0</v>
      </c>
      <c r="O709" s="25">
        <f t="shared" si="93"/>
        <v>0</v>
      </c>
      <c r="P709" s="24">
        <f>Data!K709</f>
        <v>0</v>
      </c>
      <c r="Q709" s="24">
        <f>Data!I709</f>
        <v>0</v>
      </c>
      <c r="R709" s="25">
        <f t="shared" si="94"/>
        <v>0</v>
      </c>
      <c r="S709" s="25">
        <f t="shared" si="95"/>
        <v>0</v>
      </c>
    </row>
    <row r="710" spans="1:19" ht="15" customHeight="1" x14ac:dyDescent="0.3">
      <c r="A710" s="22"/>
      <c r="B710" s="23"/>
      <c r="C710" s="2"/>
      <c r="D710" s="23">
        <v>2018</v>
      </c>
      <c r="E710" s="24">
        <f>Data!F710</f>
        <v>0</v>
      </c>
      <c r="F710" s="24">
        <f>Data!H710</f>
        <v>0</v>
      </c>
      <c r="G710" s="24">
        <f t="shared" si="88"/>
        <v>0</v>
      </c>
      <c r="H710" s="24">
        <f>Data!G710</f>
        <v>0</v>
      </c>
      <c r="I710" s="25">
        <f t="shared" si="89"/>
        <v>0</v>
      </c>
      <c r="J710" s="24">
        <f>Data!J710</f>
        <v>0</v>
      </c>
      <c r="K710" s="24">
        <f t="shared" si="90"/>
        <v>0</v>
      </c>
      <c r="L710" s="25">
        <f t="shared" si="91"/>
        <v>0</v>
      </c>
      <c r="M710" s="24">
        <f>Data!M710</f>
        <v>0</v>
      </c>
      <c r="N710" s="24">
        <f t="shared" si="92"/>
        <v>0</v>
      </c>
      <c r="O710" s="25">
        <f t="shared" si="93"/>
        <v>0</v>
      </c>
      <c r="P710" s="24">
        <f>Data!K710</f>
        <v>0</v>
      </c>
      <c r="Q710" s="24">
        <f>Data!I710</f>
        <v>0</v>
      </c>
      <c r="R710" s="25">
        <f t="shared" si="94"/>
        <v>0</v>
      </c>
      <c r="S710" s="25">
        <f t="shared" si="95"/>
        <v>0</v>
      </c>
    </row>
    <row r="711" spans="1:19" ht="15" customHeight="1" x14ac:dyDescent="0.3">
      <c r="A711" s="22"/>
      <c r="B711" s="23"/>
      <c r="C711" s="2"/>
      <c r="D711" s="23">
        <v>2019</v>
      </c>
      <c r="E711" s="24">
        <f>Data!F711</f>
        <v>0</v>
      </c>
      <c r="F711" s="24">
        <f>Data!H711</f>
        <v>0</v>
      </c>
      <c r="G711" s="24">
        <f t="shared" si="88"/>
        <v>0</v>
      </c>
      <c r="H711" s="24">
        <f>Data!G711</f>
        <v>0</v>
      </c>
      <c r="I711" s="25">
        <f t="shared" si="89"/>
        <v>0</v>
      </c>
      <c r="J711" s="24">
        <f>Data!J711</f>
        <v>0</v>
      </c>
      <c r="K711" s="24">
        <f t="shared" si="90"/>
        <v>0</v>
      </c>
      <c r="L711" s="25">
        <f t="shared" si="91"/>
        <v>0</v>
      </c>
      <c r="M711" s="24">
        <f>Data!M711</f>
        <v>0</v>
      </c>
      <c r="N711" s="24">
        <f t="shared" si="92"/>
        <v>0</v>
      </c>
      <c r="O711" s="25">
        <f t="shared" si="93"/>
        <v>0</v>
      </c>
      <c r="P711" s="24">
        <f>Data!K711</f>
        <v>0</v>
      </c>
      <c r="Q711" s="24">
        <f>Data!I711</f>
        <v>0</v>
      </c>
      <c r="R711" s="25">
        <f t="shared" si="94"/>
        <v>0</v>
      </c>
      <c r="S711" s="25">
        <f t="shared" si="95"/>
        <v>0</v>
      </c>
    </row>
    <row r="712" spans="1:19" ht="15" customHeight="1" x14ac:dyDescent="0.3">
      <c r="A712" s="22"/>
      <c r="B712" s="23"/>
      <c r="C712" s="2"/>
      <c r="D712" s="23">
        <v>2020</v>
      </c>
      <c r="E712" s="24">
        <f>Data!F712</f>
        <v>0</v>
      </c>
      <c r="F712" s="24">
        <f>Data!H712</f>
        <v>0</v>
      </c>
      <c r="G712" s="24">
        <f t="shared" si="88"/>
        <v>0</v>
      </c>
      <c r="H712" s="24">
        <f>Data!G712</f>
        <v>0</v>
      </c>
      <c r="I712" s="25">
        <f t="shared" si="89"/>
        <v>0</v>
      </c>
      <c r="J712" s="24">
        <f>Data!J712</f>
        <v>0</v>
      </c>
      <c r="K712" s="24">
        <f t="shared" si="90"/>
        <v>0</v>
      </c>
      <c r="L712" s="25">
        <f t="shared" si="91"/>
        <v>0</v>
      </c>
      <c r="M712" s="24">
        <f>Data!M712</f>
        <v>0</v>
      </c>
      <c r="N712" s="24">
        <f t="shared" si="92"/>
        <v>0</v>
      </c>
      <c r="O712" s="25">
        <f t="shared" si="93"/>
        <v>0</v>
      </c>
      <c r="P712" s="24">
        <f>Data!K712</f>
        <v>0</v>
      </c>
      <c r="Q712" s="24">
        <f>Data!I712</f>
        <v>0</v>
      </c>
      <c r="R712" s="25">
        <f t="shared" si="94"/>
        <v>0</v>
      </c>
      <c r="S712" s="25">
        <f t="shared" si="95"/>
        <v>0</v>
      </c>
    </row>
    <row r="713" spans="1:19" ht="15" customHeight="1" x14ac:dyDescent="0.3">
      <c r="A713" s="22"/>
      <c r="B713" s="23"/>
      <c r="C713" s="2"/>
      <c r="D713" s="23">
        <v>2021</v>
      </c>
      <c r="E713" s="24">
        <f>Data!F713</f>
        <v>0</v>
      </c>
      <c r="F713" s="24">
        <f>Data!H713</f>
        <v>0</v>
      </c>
      <c r="G713" s="24">
        <f t="shared" si="88"/>
        <v>0</v>
      </c>
      <c r="H713" s="24">
        <f>Data!G713</f>
        <v>0</v>
      </c>
      <c r="I713" s="25">
        <f t="shared" si="89"/>
        <v>0</v>
      </c>
      <c r="J713" s="24">
        <f>Data!J713</f>
        <v>0</v>
      </c>
      <c r="K713" s="24">
        <f t="shared" si="90"/>
        <v>0</v>
      </c>
      <c r="L713" s="25">
        <f t="shared" si="91"/>
        <v>0</v>
      </c>
      <c r="M713" s="24">
        <f>Data!M713</f>
        <v>0</v>
      </c>
      <c r="N713" s="24">
        <f t="shared" si="92"/>
        <v>0</v>
      </c>
      <c r="O713" s="25">
        <f t="shared" si="93"/>
        <v>0</v>
      </c>
      <c r="P713" s="24">
        <f>Data!K713</f>
        <v>0</v>
      </c>
      <c r="Q713" s="24">
        <f>Data!I713</f>
        <v>0</v>
      </c>
      <c r="R713" s="25">
        <f t="shared" si="94"/>
        <v>0</v>
      </c>
      <c r="S713" s="25">
        <f t="shared" si="95"/>
        <v>0</v>
      </c>
    </row>
    <row r="714" spans="1:19" ht="15" customHeight="1" x14ac:dyDescent="0.3">
      <c r="A714" s="22"/>
      <c r="B714" s="23"/>
      <c r="C714" s="2"/>
      <c r="D714" s="23">
        <v>2022</v>
      </c>
      <c r="E714" s="24">
        <f>Data!F714</f>
        <v>14108452635000</v>
      </c>
      <c r="F714" s="24">
        <f>Data!H714</f>
        <v>1780181093000</v>
      </c>
      <c r="G714" s="24">
        <f t="shared" si="88"/>
        <v>12328271542000</v>
      </c>
      <c r="H714" s="24">
        <f>Data!G714</f>
        <v>16603575802000</v>
      </c>
      <c r="I714" s="25">
        <f t="shared" si="89"/>
        <v>4.8708460322009861</v>
      </c>
      <c r="J714" s="24">
        <f>Data!J714</f>
        <v>6917794329000</v>
      </c>
      <c r="K714" s="24">
        <f t="shared" si="90"/>
        <v>16603575802000</v>
      </c>
      <c r="L714" s="25">
        <f t="shared" si="91"/>
        <v>1.3582622069773354</v>
      </c>
      <c r="M714" s="24">
        <f>Data!M714</f>
        <v>1365772405000</v>
      </c>
      <c r="N714" s="24">
        <f t="shared" si="92"/>
        <v>16603575802000</v>
      </c>
      <c r="O714" s="25">
        <f t="shared" si="93"/>
        <v>0.55277192521953344</v>
      </c>
      <c r="P714" s="24">
        <f>Data!K714</f>
        <v>7171253628000</v>
      </c>
      <c r="Q714" s="24">
        <f>Data!I714</f>
        <v>9433322174000</v>
      </c>
      <c r="R714" s="25">
        <f t="shared" si="94"/>
        <v>0.79821468730852663</v>
      </c>
      <c r="S714" s="25">
        <f t="shared" si="95"/>
        <v>7.5800948517063818</v>
      </c>
    </row>
    <row r="715" spans="1:19" ht="15" customHeight="1" x14ac:dyDescent="0.3">
      <c r="A715" s="22"/>
      <c r="B715" s="23"/>
      <c r="C715" s="2"/>
      <c r="D715" s="23">
        <v>2023</v>
      </c>
      <c r="E715" s="24">
        <f>Data!F715</f>
        <v>15492125475000</v>
      </c>
      <c r="F715" s="24">
        <f>Data!H715</f>
        <v>1609285534000</v>
      </c>
      <c r="G715" s="24">
        <f t="shared" si="88"/>
        <v>13882839941000</v>
      </c>
      <c r="H715" s="24">
        <f>Data!G715</f>
        <v>18377880959000</v>
      </c>
      <c r="I715" s="25">
        <f t="shared" si="89"/>
        <v>4.95549134397677</v>
      </c>
      <c r="J715" s="24">
        <f>Data!J715</f>
        <v>7674887524000</v>
      </c>
      <c r="K715" s="24">
        <f t="shared" si="90"/>
        <v>18377880959000</v>
      </c>
      <c r="L715" s="25">
        <f t="shared" si="91"/>
        <v>1.3614264552076751</v>
      </c>
      <c r="M715" s="24">
        <f>Data!M715</f>
        <v>1564878157000</v>
      </c>
      <c r="N715" s="24">
        <f t="shared" si="92"/>
        <v>18377880959000</v>
      </c>
      <c r="O715" s="25">
        <f t="shared" si="93"/>
        <v>0.57220858261627394</v>
      </c>
      <c r="P715" s="24">
        <f>Data!K715</f>
        <v>7751873212000</v>
      </c>
      <c r="Q715" s="24">
        <f>Data!I715</f>
        <v>10626007747000</v>
      </c>
      <c r="R715" s="25">
        <f t="shared" si="94"/>
        <v>0.76599481822305138</v>
      </c>
      <c r="S715" s="25">
        <f t="shared" si="95"/>
        <v>7.6551212000237703</v>
      </c>
    </row>
    <row r="716" spans="1:19" ht="15" customHeight="1" x14ac:dyDescent="0.3">
      <c r="A716" s="22"/>
      <c r="B716" s="23"/>
      <c r="C716" s="2"/>
      <c r="D716" s="23">
        <v>2024</v>
      </c>
      <c r="E716" s="24">
        <f>Data!F716</f>
        <v>17145454099000</v>
      </c>
      <c r="F716" s="24">
        <f>Data!H716</f>
        <v>1821116744000</v>
      </c>
      <c r="G716" s="24">
        <f t="shared" si="88"/>
        <v>15324337355000</v>
      </c>
      <c r="H716" s="24">
        <f>Data!G716</f>
        <v>20178714079000</v>
      </c>
      <c r="I716" s="25">
        <f t="shared" si="89"/>
        <v>4.9818661712154979</v>
      </c>
      <c r="J716" s="24">
        <f>Data!J716</f>
        <v>8468576589000</v>
      </c>
      <c r="K716" s="24">
        <f t="shared" si="90"/>
        <v>20178714079000</v>
      </c>
      <c r="L716" s="25">
        <f t="shared" si="91"/>
        <v>1.3681525776150028</v>
      </c>
      <c r="M716" s="24">
        <f>Data!M716</f>
        <v>1703138046000</v>
      </c>
      <c r="N716" s="24">
        <f t="shared" si="92"/>
        <v>20178714079000</v>
      </c>
      <c r="O716" s="25">
        <f t="shared" si="93"/>
        <v>0.56718617570536423</v>
      </c>
      <c r="P716" s="24">
        <f>Data!K716</f>
        <v>8359088765000</v>
      </c>
      <c r="Q716" s="24">
        <f>Data!I716</f>
        <v>11819625314000</v>
      </c>
      <c r="R716" s="25">
        <f t="shared" si="94"/>
        <v>0.742582185989758</v>
      </c>
      <c r="S716" s="25">
        <f t="shared" si="95"/>
        <v>7.659787110525623</v>
      </c>
    </row>
    <row r="717" spans="1:19" ht="15" customHeight="1" x14ac:dyDescent="0.3">
      <c r="A717" s="22"/>
      <c r="B717" s="23">
        <v>66</v>
      </c>
      <c r="C717" s="2" t="s">
        <v>67</v>
      </c>
      <c r="D717" s="23">
        <v>2014</v>
      </c>
      <c r="E717" s="24">
        <f>Data!F717</f>
        <v>0</v>
      </c>
      <c r="F717" s="24">
        <f>Data!H717</f>
        <v>0</v>
      </c>
      <c r="G717" s="24">
        <f t="shared" si="88"/>
        <v>0</v>
      </c>
      <c r="H717" s="24">
        <f>Data!G717</f>
        <v>0</v>
      </c>
      <c r="I717" s="25">
        <f t="shared" si="89"/>
        <v>0</v>
      </c>
      <c r="J717" s="24">
        <f>Data!J717</f>
        <v>0</v>
      </c>
      <c r="K717" s="24">
        <f t="shared" si="90"/>
        <v>0</v>
      </c>
      <c r="L717" s="25">
        <f t="shared" si="91"/>
        <v>0</v>
      </c>
      <c r="M717" s="24">
        <f>Data!M717</f>
        <v>0</v>
      </c>
      <c r="N717" s="24">
        <f t="shared" si="92"/>
        <v>0</v>
      </c>
      <c r="O717" s="25">
        <f t="shared" si="93"/>
        <v>0</v>
      </c>
      <c r="P717" s="24">
        <f>Data!K717</f>
        <v>0</v>
      </c>
      <c r="Q717" s="24">
        <f>Data!I717</f>
        <v>0</v>
      </c>
      <c r="R717" s="25">
        <f t="shared" si="94"/>
        <v>0</v>
      </c>
      <c r="S717" s="25">
        <f t="shared" si="95"/>
        <v>0</v>
      </c>
    </row>
    <row r="718" spans="1:19" ht="15" customHeight="1" x14ac:dyDescent="0.3">
      <c r="A718" s="22"/>
      <c r="B718" s="23"/>
      <c r="C718" s="2"/>
      <c r="D718" s="23">
        <v>2015</v>
      </c>
      <c r="E718" s="24">
        <f>Data!F718</f>
        <v>509621000000</v>
      </c>
      <c r="F718" s="24">
        <f>Data!H718</f>
        <v>315034000000</v>
      </c>
      <c r="G718" s="24">
        <f t="shared" si="88"/>
        <v>194587000000</v>
      </c>
      <c r="H718" s="24">
        <f>Data!G718</f>
        <v>2075168653798</v>
      </c>
      <c r="I718" s="25">
        <f t="shared" si="89"/>
        <v>0.61512625379327623</v>
      </c>
      <c r="J718" s="24">
        <f>Data!J718</f>
        <v>182849384937</v>
      </c>
      <c r="K718" s="24">
        <f t="shared" si="90"/>
        <v>2075168653798</v>
      </c>
      <c r="L718" s="25">
        <f t="shared" si="91"/>
        <v>0.28724845751869388</v>
      </c>
      <c r="M718" s="24">
        <f>Data!M718</f>
        <v>219705537586</v>
      </c>
      <c r="N718" s="24">
        <f t="shared" si="92"/>
        <v>2075168653798</v>
      </c>
      <c r="O718" s="25">
        <f t="shared" si="93"/>
        <v>0.71147046765367972</v>
      </c>
      <c r="P718" s="24">
        <f>Data!K718</f>
        <v>576540204055</v>
      </c>
      <c r="Q718" s="24">
        <f>Data!I718</f>
        <v>1470570630031</v>
      </c>
      <c r="R718" s="25">
        <f t="shared" si="94"/>
        <v>0.41165463385120693</v>
      </c>
      <c r="S718" s="25">
        <f t="shared" si="95"/>
        <v>2.0254998128168569</v>
      </c>
    </row>
    <row r="719" spans="1:19" ht="15" customHeight="1" x14ac:dyDescent="0.3">
      <c r="A719" s="22"/>
      <c r="B719" s="23"/>
      <c r="C719" s="2"/>
      <c r="D719" s="23">
        <v>2016</v>
      </c>
      <c r="E719" s="24">
        <f>Data!F719</f>
        <v>658252000000</v>
      </c>
      <c r="F719" s="24">
        <f>Data!H719</f>
        <v>269693000000</v>
      </c>
      <c r="G719" s="24">
        <f t="shared" si="88"/>
        <v>388559000000</v>
      </c>
      <c r="H719" s="24">
        <f>Data!G719</f>
        <v>2313046000000</v>
      </c>
      <c r="I719" s="25">
        <f t="shared" si="89"/>
        <v>1.1019871805402919</v>
      </c>
      <c r="J719" s="24">
        <f>Data!J719</f>
        <v>199702000000</v>
      </c>
      <c r="K719" s="24">
        <f t="shared" si="90"/>
        <v>2313046000000</v>
      </c>
      <c r="L719" s="25">
        <f t="shared" si="91"/>
        <v>0.28145939164201661</v>
      </c>
      <c r="M719" s="24">
        <f>Data!M719</f>
        <v>243292000000</v>
      </c>
      <c r="N719" s="24">
        <f t="shared" si="92"/>
        <v>2313046000000</v>
      </c>
      <c r="O719" s="25">
        <f t="shared" si="93"/>
        <v>0.70682651361019189</v>
      </c>
      <c r="P719" s="24">
        <f>Data!K719</f>
        <v>689345000000</v>
      </c>
      <c r="Q719" s="24">
        <f>Data!I719</f>
        <v>1585275000000</v>
      </c>
      <c r="R719" s="25">
        <f t="shared" si="94"/>
        <v>0.45658466196716657</v>
      </c>
      <c r="S719" s="25">
        <f t="shared" si="95"/>
        <v>2.5468577477596668</v>
      </c>
    </row>
    <row r="720" spans="1:19" ht="15" customHeight="1" x14ac:dyDescent="0.3">
      <c r="A720" s="22"/>
      <c r="B720" s="23"/>
      <c r="C720" s="2"/>
      <c r="D720" s="23">
        <v>2017</v>
      </c>
      <c r="E720" s="24">
        <f>Data!F720</f>
        <v>645131000000</v>
      </c>
      <c r="F720" s="24">
        <f>Data!H720</f>
        <v>381206000000</v>
      </c>
      <c r="G720" s="24">
        <f t="shared" si="88"/>
        <v>263925000000</v>
      </c>
      <c r="H720" s="24">
        <f>Data!G720</f>
        <v>2690394000000</v>
      </c>
      <c r="I720" s="25">
        <f t="shared" si="89"/>
        <v>0.64352953507924859</v>
      </c>
      <c r="J720" s="24">
        <f>Data!J720</f>
        <v>167677000000</v>
      </c>
      <c r="K720" s="24">
        <f t="shared" si="90"/>
        <v>2690394000000</v>
      </c>
      <c r="L720" s="25">
        <f t="shared" si="91"/>
        <v>0.20317731157592531</v>
      </c>
      <c r="M720" s="24">
        <f>Data!M720</f>
        <v>202435000000</v>
      </c>
      <c r="N720" s="24">
        <f t="shared" si="92"/>
        <v>2690394000000</v>
      </c>
      <c r="O720" s="25">
        <f t="shared" si="93"/>
        <v>0.50563716689823124</v>
      </c>
      <c r="P720" s="24">
        <f>Data!K720</f>
        <v>813386000000</v>
      </c>
      <c r="Q720" s="24">
        <f>Data!I720</f>
        <v>1830348000000</v>
      </c>
      <c r="R720" s="25">
        <f t="shared" si="94"/>
        <v>0.46660815320365312</v>
      </c>
      <c r="S720" s="25">
        <f t="shared" si="95"/>
        <v>1.8189521667570583</v>
      </c>
    </row>
    <row r="721" spans="1:19" ht="15" customHeight="1" x14ac:dyDescent="0.3">
      <c r="A721" s="22"/>
      <c r="B721" s="23"/>
      <c r="C721" s="2"/>
      <c r="D721" s="23">
        <v>2018</v>
      </c>
      <c r="E721" s="24">
        <f>Data!F721</f>
        <v>629608000000</v>
      </c>
      <c r="F721" s="24">
        <f>Data!H721</f>
        <v>358956000000</v>
      </c>
      <c r="G721" s="24">
        <f t="shared" si="88"/>
        <v>270652000000</v>
      </c>
      <c r="H721" s="24">
        <f>Data!G721</f>
        <v>2661545000000</v>
      </c>
      <c r="I721" s="25">
        <f t="shared" si="89"/>
        <v>0.66708514039777644</v>
      </c>
      <c r="J721" s="24">
        <f>Data!J721</f>
        <v>602342000000</v>
      </c>
      <c r="K721" s="24">
        <f t="shared" si="90"/>
        <v>2661545000000</v>
      </c>
      <c r="L721" s="25">
        <f t="shared" si="91"/>
        <v>0.73778009389283283</v>
      </c>
      <c r="M721" s="24">
        <f>Data!M721</f>
        <v>206240000000</v>
      </c>
      <c r="N721" s="24">
        <f t="shared" si="92"/>
        <v>2661545000000</v>
      </c>
      <c r="O721" s="25">
        <f t="shared" si="93"/>
        <v>0.52072491729427839</v>
      </c>
      <c r="P721" s="24">
        <f>Data!K721</f>
        <v>902048000000</v>
      </c>
      <c r="Q721" s="24">
        <f>Data!I721</f>
        <v>1759497000000</v>
      </c>
      <c r="R721" s="25">
        <f t="shared" si="94"/>
        <v>0.53830748219519553</v>
      </c>
      <c r="S721" s="25">
        <f t="shared" si="95"/>
        <v>2.4638976337800829</v>
      </c>
    </row>
    <row r="722" spans="1:19" ht="15" customHeight="1" x14ac:dyDescent="0.3">
      <c r="A722" s="22"/>
      <c r="B722" s="23"/>
      <c r="C722" s="2"/>
      <c r="D722" s="23">
        <v>2019</v>
      </c>
      <c r="E722" s="24">
        <f>Data!F722</f>
        <v>1001635000000</v>
      </c>
      <c r="F722" s="24">
        <f>Data!H722</f>
        <v>248305000000</v>
      </c>
      <c r="G722" s="24">
        <f t="shared" si="88"/>
        <v>753330000000</v>
      </c>
      <c r="H722" s="24">
        <f>Data!G722</f>
        <v>3040661000000</v>
      </c>
      <c r="I722" s="25">
        <f t="shared" si="89"/>
        <v>1.625253456403065</v>
      </c>
      <c r="J722" s="24">
        <f>Data!J722</f>
        <v>565295000000</v>
      </c>
      <c r="K722" s="24">
        <f t="shared" si="90"/>
        <v>3040661000000</v>
      </c>
      <c r="L722" s="25">
        <f t="shared" si="91"/>
        <v>0.60607272563432746</v>
      </c>
      <c r="M722" s="24">
        <f>Data!M722</f>
        <v>64193000000</v>
      </c>
      <c r="N722" s="24">
        <f t="shared" si="92"/>
        <v>3040661000000</v>
      </c>
      <c r="O722" s="25">
        <f t="shared" si="93"/>
        <v>0.14186946851358964</v>
      </c>
      <c r="P722" s="24">
        <f>Data!K722</f>
        <v>876030000000</v>
      </c>
      <c r="Q722" s="24">
        <f>Data!I722</f>
        <v>2164631000000</v>
      </c>
      <c r="R722" s="25">
        <f t="shared" si="94"/>
        <v>0.42493685990822461</v>
      </c>
      <c r="S722" s="25">
        <f t="shared" si="95"/>
        <v>2.7981325104592063</v>
      </c>
    </row>
    <row r="723" spans="1:19" ht="15" customHeight="1" x14ac:dyDescent="0.3">
      <c r="A723" s="22"/>
      <c r="B723" s="23"/>
      <c r="C723" s="2"/>
      <c r="D723" s="23">
        <v>2020</v>
      </c>
      <c r="E723" s="24">
        <f>Data!F723</f>
        <v>1133912000000</v>
      </c>
      <c r="F723" s="24">
        <f>Data!H723</f>
        <v>236618000000</v>
      </c>
      <c r="G723" s="24">
        <f t="shared" si="88"/>
        <v>897294000000</v>
      </c>
      <c r="H723" s="24">
        <f>Data!G723</f>
        <v>2996972000000</v>
      </c>
      <c r="I723" s="25">
        <f t="shared" si="89"/>
        <v>1.9640652765524669</v>
      </c>
      <c r="J723" s="24">
        <f>Data!J723</f>
        <v>591359000000</v>
      </c>
      <c r="K723" s="24">
        <f t="shared" si="90"/>
        <v>2996972000000</v>
      </c>
      <c r="L723" s="25">
        <f t="shared" si="91"/>
        <v>0.64325937646397757</v>
      </c>
      <c r="M723" s="24">
        <f>Data!M723</f>
        <v>71223000000</v>
      </c>
      <c r="N723" s="24">
        <f t="shared" si="92"/>
        <v>2996972000000</v>
      </c>
      <c r="O723" s="25">
        <f t="shared" si="93"/>
        <v>0.1597007112512229</v>
      </c>
      <c r="P723" s="24">
        <f>Data!K723</f>
        <v>907100000000</v>
      </c>
      <c r="Q723" s="24">
        <f>Data!I723</f>
        <v>2089872000000</v>
      </c>
      <c r="R723" s="25">
        <f t="shared" si="94"/>
        <v>0.45574800753347572</v>
      </c>
      <c r="S723" s="25">
        <f t="shared" si="95"/>
        <v>3.2227733718011433</v>
      </c>
    </row>
    <row r="724" spans="1:19" ht="15" customHeight="1" x14ac:dyDescent="0.3">
      <c r="A724" s="22"/>
      <c r="B724" s="23"/>
      <c r="C724" s="2"/>
      <c r="D724" s="23">
        <v>2021</v>
      </c>
      <c r="E724" s="24">
        <f>Data!F724</f>
        <v>1277193000000</v>
      </c>
      <c r="F724" s="24">
        <f>Data!H724</f>
        <v>250428000000</v>
      </c>
      <c r="G724" s="24">
        <f t="shared" si="88"/>
        <v>1026765000000</v>
      </c>
      <c r="H724" s="24">
        <f>Data!G724</f>
        <v>3088637000000</v>
      </c>
      <c r="I724" s="25">
        <f t="shared" si="89"/>
        <v>2.1807607692325126</v>
      </c>
      <c r="J724" s="24">
        <f>Data!J724</f>
        <v>618290000000</v>
      </c>
      <c r="K724" s="24">
        <f t="shared" si="90"/>
        <v>3088637000000</v>
      </c>
      <c r="L724" s="25">
        <f t="shared" si="91"/>
        <v>0.65259381403512295</v>
      </c>
      <c r="M724" s="24">
        <f>Data!M724</f>
        <v>75110000000</v>
      </c>
      <c r="N724" s="24">
        <f t="shared" si="92"/>
        <v>3088637000000</v>
      </c>
      <c r="O724" s="25">
        <f t="shared" si="93"/>
        <v>0.16341810319568145</v>
      </c>
      <c r="P724" s="24">
        <f>Data!K724</f>
        <v>951581000000</v>
      </c>
      <c r="Q724" s="24">
        <f>Data!I724</f>
        <v>2137056000000</v>
      </c>
      <c r="R724" s="25">
        <f t="shared" si="94"/>
        <v>0.46754041541260499</v>
      </c>
      <c r="S724" s="25">
        <f t="shared" si="95"/>
        <v>3.4643131018759217</v>
      </c>
    </row>
    <row r="725" spans="1:19" ht="15" customHeight="1" x14ac:dyDescent="0.3">
      <c r="A725" s="22"/>
      <c r="B725" s="23"/>
      <c r="C725" s="2"/>
      <c r="D725" s="23">
        <v>2022</v>
      </c>
      <c r="E725" s="24">
        <f>Data!F725</f>
        <v>1274647000000</v>
      </c>
      <c r="F725" s="24">
        <f>Data!H725</f>
        <v>526695000000</v>
      </c>
      <c r="G725" s="24">
        <f t="shared" si="88"/>
        <v>747952000000</v>
      </c>
      <c r="H725" s="24">
        <f>Data!G725</f>
        <v>3550161000000</v>
      </c>
      <c r="I725" s="25">
        <f t="shared" si="89"/>
        <v>1.3820683399992282</v>
      </c>
      <c r="J725" s="24">
        <f>Data!J725</f>
        <v>661376000000</v>
      </c>
      <c r="K725" s="24">
        <f t="shared" si="90"/>
        <v>3550161000000</v>
      </c>
      <c r="L725" s="25">
        <f t="shared" si="91"/>
        <v>0.60732055813806751</v>
      </c>
      <c r="M725" s="24">
        <f>Data!M725</f>
        <v>95320000000</v>
      </c>
      <c r="N725" s="24">
        <f t="shared" si="92"/>
        <v>3550161000000</v>
      </c>
      <c r="O725" s="25">
        <f t="shared" si="93"/>
        <v>0.18042854957845572</v>
      </c>
      <c r="P725" s="24">
        <f>Data!K725</f>
        <v>1002803000000</v>
      </c>
      <c r="Q725" s="24">
        <f>Data!I725</f>
        <v>2547358000000</v>
      </c>
      <c r="R725" s="25">
        <f t="shared" si="94"/>
        <v>0.4133471424118636</v>
      </c>
      <c r="S725" s="25">
        <f t="shared" si="95"/>
        <v>2.5831645901276148</v>
      </c>
    </row>
    <row r="726" spans="1:19" ht="15" customHeight="1" x14ac:dyDescent="0.3">
      <c r="A726" s="22"/>
      <c r="B726" s="23"/>
      <c r="C726" s="2"/>
      <c r="D726" s="23">
        <v>2023</v>
      </c>
      <c r="E726" s="24">
        <f>Data!F726</f>
        <v>1468451000000</v>
      </c>
      <c r="F726" s="24">
        <f>Data!H726</f>
        <v>325275000000</v>
      </c>
      <c r="G726" s="24">
        <f t="shared" si="88"/>
        <v>1143176000000</v>
      </c>
      <c r="H726" s="24">
        <f>Data!G726</f>
        <v>3862435000000</v>
      </c>
      <c r="I726" s="25">
        <f t="shared" si="89"/>
        <v>1.9415820745203478</v>
      </c>
      <c r="J726" s="24">
        <f>Data!J726</f>
        <v>715985000000</v>
      </c>
      <c r="K726" s="24">
        <f t="shared" si="90"/>
        <v>3862435000000</v>
      </c>
      <c r="L726" s="25">
        <f t="shared" si="91"/>
        <v>0.60431077804545574</v>
      </c>
      <c r="M726" s="24">
        <f>Data!M726</f>
        <v>109686000000</v>
      </c>
      <c r="N726" s="24">
        <f t="shared" si="92"/>
        <v>3862435000000</v>
      </c>
      <c r="O726" s="25">
        <f t="shared" si="93"/>
        <v>0.19083555321966583</v>
      </c>
      <c r="P726" s="24">
        <f>Data!K726</f>
        <v>1080977000000</v>
      </c>
      <c r="Q726" s="24">
        <f>Data!I726</f>
        <v>2781458000000</v>
      </c>
      <c r="R726" s="25">
        <f t="shared" si="94"/>
        <v>0.40806866398845498</v>
      </c>
      <c r="S726" s="25">
        <f t="shared" si="95"/>
        <v>3.1447970697739245</v>
      </c>
    </row>
    <row r="727" spans="1:19" ht="15" customHeight="1" x14ac:dyDescent="0.3">
      <c r="A727" s="22"/>
      <c r="B727" s="23"/>
      <c r="C727" s="2"/>
      <c r="D727" s="23">
        <v>2024</v>
      </c>
      <c r="E727" s="24">
        <f>Data!F727</f>
        <v>0</v>
      </c>
      <c r="F727" s="24">
        <f>Data!H727</f>
        <v>0</v>
      </c>
      <c r="G727" s="24">
        <f t="shared" si="88"/>
        <v>0</v>
      </c>
      <c r="H727" s="24">
        <f>Data!G727</f>
        <v>0</v>
      </c>
      <c r="I727" s="25">
        <f t="shared" si="89"/>
        <v>0</v>
      </c>
      <c r="J727" s="24">
        <f>Data!J727</f>
        <v>0</v>
      </c>
      <c r="K727" s="24">
        <f t="shared" si="90"/>
        <v>0</v>
      </c>
      <c r="L727" s="25">
        <f t="shared" si="91"/>
        <v>0</v>
      </c>
      <c r="M727" s="24">
        <f>Data!M727</f>
        <v>0</v>
      </c>
      <c r="N727" s="24">
        <f t="shared" si="92"/>
        <v>0</v>
      </c>
      <c r="O727" s="25">
        <f t="shared" si="93"/>
        <v>0</v>
      </c>
      <c r="P727" s="24">
        <f>Data!K727</f>
        <v>0</v>
      </c>
      <c r="Q727" s="24">
        <f>Data!I727</f>
        <v>0</v>
      </c>
      <c r="R727" s="25">
        <f t="shared" si="94"/>
        <v>0</v>
      </c>
      <c r="S727" s="25">
        <f t="shared" si="95"/>
        <v>0</v>
      </c>
    </row>
    <row r="728" spans="1:19" ht="15" customHeight="1" x14ac:dyDescent="0.3">
      <c r="A728" s="22"/>
      <c r="B728" s="23">
        <v>67</v>
      </c>
      <c r="C728" s="2" t="s">
        <v>68</v>
      </c>
      <c r="D728" s="23">
        <v>2014</v>
      </c>
      <c r="E728" s="24">
        <f>Data!F728</f>
        <v>0</v>
      </c>
      <c r="F728" s="24">
        <f>Data!H728</f>
        <v>0</v>
      </c>
      <c r="G728" s="24">
        <f t="shared" si="88"/>
        <v>0</v>
      </c>
      <c r="H728" s="24">
        <f>Data!G728</f>
        <v>0</v>
      </c>
      <c r="I728" s="25">
        <f t="shared" si="89"/>
        <v>0</v>
      </c>
      <c r="J728" s="24">
        <f>Data!J728</f>
        <v>0</v>
      </c>
      <c r="K728" s="24">
        <f t="shared" si="90"/>
        <v>0</v>
      </c>
      <c r="L728" s="25">
        <f t="shared" si="91"/>
        <v>0</v>
      </c>
      <c r="M728" s="24">
        <f>Data!M728</f>
        <v>0</v>
      </c>
      <c r="N728" s="24">
        <f t="shared" si="92"/>
        <v>0</v>
      </c>
      <c r="O728" s="25">
        <f t="shared" si="93"/>
        <v>0</v>
      </c>
      <c r="P728" s="24">
        <f>Data!K728</f>
        <v>0</v>
      </c>
      <c r="Q728" s="24">
        <f>Data!I728</f>
        <v>0</v>
      </c>
      <c r="R728" s="25">
        <f t="shared" si="94"/>
        <v>0</v>
      </c>
      <c r="S728" s="25">
        <f t="shared" si="95"/>
        <v>0</v>
      </c>
    </row>
    <row r="729" spans="1:19" ht="15" customHeight="1" x14ac:dyDescent="0.3">
      <c r="A729" s="22"/>
      <c r="B729" s="23"/>
      <c r="C729" s="2"/>
      <c r="D729" s="23">
        <v>2015</v>
      </c>
      <c r="E729" s="24">
        <f>Data!F729</f>
        <v>39024000000</v>
      </c>
      <c r="F729" s="24">
        <f>Data!H729</f>
        <v>33415000000</v>
      </c>
      <c r="G729" s="24">
        <f t="shared" si="88"/>
        <v>5609000000</v>
      </c>
      <c r="H729" s="24">
        <f>Data!G729</f>
        <v>180728000000</v>
      </c>
      <c r="I729" s="25">
        <f t="shared" si="89"/>
        <v>0.20359346642468237</v>
      </c>
      <c r="J729" s="24">
        <f>Data!J729</f>
        <v>31044000000</v>
      </c>
      <c r="K729" s="24">
        <f t="shared" si="90"/>
        <v>180728000000</v>
      </c>
      <c r="L729" s="25">
        <f t="shared" si="91"/>
        <v>0.55997653932982161</v>
      </c>
      <c r="M729" s="24">
        <f>Data!M729</f>
        <v>5949000000</v>
      </c>
      <c r="N729" s="24">
        <f t="shared" si="92"/>
        <v>180728000000</v>
      </c>
      <c r="O729" s="25">
        <f t="shared" si="93"/>
        <v>0.22120136337479526</v>
      </c>
      <c r="P729" s="24">
        <f>Data!K729</f>
        <v>105809000000</v>
      </c>
      <c r="Q729" s="24">
        <f>Data!I729</f>
        <v>74919000000</v>
      </c>
      <c r="R729" s="25">
        <f t="shared" si="94"/>
        <v>1.4829275617667079</v>
      </c>
      <c r="S729" s="25">
        <f t="shared" si="95"/>
        <v>2.4676989308960069</v>
      </c>
    </row>
    <row r="730" spans="1:19" ht="15" customHeight="1" x14ac:dyDescent="0.3">
      <c r="A730" s="22"/>
      <c r="B730" s="23"/>
      <c r="C730" s="2"/>
      <c r="D730" s="23">
        <v>2016</v>
      </c>
      <c r="E730" s="24">
        <f>Data!F730</f>
        <v>34068970000</v>
      </c>
      <c r="F730" s="24">
        <f>Data!H730</f>
        <v>21018000000</v>
      </c>
      <c r="G730" s="24">
        <f t="shared" si="88"/>
        <v>13050970000</v>
      </c>
      <c r="H730" s="24">
        <f>Data!G730</f>
        <v>172481000000</v>
      </c>
      <c r="I730" s="25">
        <f t="shared" si="89"/>
        <v>0.49636982160353887</v>
      </c>
      <c r="J730" s="24">
        <f>Data!J730</f>
        <v>34173000000</v>
      </c>
      <c r="K730" s="24">
        <f t="shared" si="90"/>
        <v>172481000000</v>
      </c>
      <c r="L730" s="25">
        <f t="shared" si="91"/>
        <v>0.64589131556519264</v>
      </c>
      <c r="M730" s="24">
        <f>Data!M730</f>
        <v>7519000000</v>
      </c>
      <c r="N730" s="24">
        <f t="shared" si="92"/>
        <v>172481000000</v>
      </c>
      <c r="O730" s="25">
        <f t="shared" si="93"/>
        <v>0.29294635351140125</v>
      </c>
      <c r="P730" s="24">
        <f>Data!K730</f>
        <v>111886000000</v>
      </c>
      <c r="Q730" s="24">
        <f>Data!I730</f>
        <v>60594000000</v>
      </c>
      <c r="R730" s="25">
        <f t="shared" si="94"/>
        <v>1.9388107733438955</v>
      </c>
      <c r="S730" s="25">
        <f t="shared" si="95"/>
        <v>3.3740182640240279</v>
      </c>
    </row>
    <row r="731" spans="1:19" ht="15" customHeight="1" x14ac:dyDescent="0.3">
      <c r="A731" s="22"/>
      <c r="B731" s="23"/>
      <c r="C731" s="2"/>
      <c r="D731" s="23">
        <v>2017</v>
      </c>
      <c r="E731" s="24">
        <f>Data!F731</f>
        <v>52586829999.999992</v>
      </c>
      <c r="F731" s="24">
        <f>Data!H731</f>
        <v>16282120000</v>
      </c>
      <c r="G731" s="24">
        <f t="shared" si="88"/>
        <v>36304709999.999992</v>
      </c>
      <c r="H731" s="24">
        <f>Data!G731</f>
        <v>171728990000</v>
      </c>
      <c r="I731" s="25">
        <f t="shared" si="89"/>
        <v>1.3868298975030362</v>
      </c>
      <c r="J731" s="24">
        <f>Data!J731</f>
        <v>34961630000</v>
      </c>
      <c r="K731" s="24">
        <f t="shared" si="90"/>
        <v>171728990000</v>
      </c>
      <c r="L731" s="25">
        <f t="shared" si="91"/>
        <v>0.66369058479875753</v>
      </c>
      <c r="M731" s="24">
        <f>Data!M731</f>
        <v>6117840000</v>
      </c>
      <c r="N731" s="24">
        <f t="shared" si="92"/>
        <v>171728990000</v>
      </c>
      <c r="O731" s="25">
        <f t="shared" si="93"/>
        <v>0.23939979382630736</v>
      </c>
      <c r="P731" s="24">
        <f>Data!K731</f>
        <v>111638670000</v>
      </c>
      <c r="Q731" s="24">
        <f>Data!I731</f>
        <v>60090320000</v>
      </c>
      <c r="R731" s="25">
        <f t="shared" si="94"/>
        <v>1.9507402107361054</v>
      </c>
      <c r="S731" s="25">
        <f t="shared" si="95"/>
        <v>4.2406604868642068</v>
      </c>
    </row>
    <row r="732" spans="1:19" ht="15" customHeight="1" x14ac:dyDescent="0.3">
      <c r="A732" s="22"/>
      <c r="B732" s="23"/>
      <c r="C732" s="2"/>
      <c r="D732" s="23">
        <v>2018</v>
      </c>
      <c r="E732" s="24">
        <f>Data!F732</f>
        <v>50671830000</v>
      </c>
      <c r="F732" s="24">
        <f>Data!H732</f>
        <v>17807910000</v>
      </c>
      <c r="G732" s="24">
        <f t="shared" si="88"/>
        <v>32863920000</v>
      </c>
      <c r="H732" s="24">
        <f>Data!G732</f>
        <v>171191550000</v>
      </c>
      <c r="I732" s="25">
        <f t="shared" si="89"/>
        <v>1.2593338584760754</v>
      </c>
      <c r="J732" s="24">
        <f>Data!J732</f>
        <v>36535840000</v>
      </c>
      <c r="K732" s="24">
        <f t="shared" si="90"/>
        <v>171191550000</v>
      </c>
      <c r="L732" s="25">
        <f t="shared" si="91"/>
        <v>0.69575185457459787</v>
      </c>
      <c r="M732" s="24">
        <f>Data!M732</f>
        <v>6051500000</v>
      </c>
      <c r="N732" s="24">
        <f t="shared" si="92"/>
        <v>171191550000</v>
      </c>
      <c r="O732" s="25">
        <f t="shared" si="93"/>
        <v>0.23754723875097805</v>
      </c>
      <c r="P732" s="24">
        <f>Data!K732</f>
        <v>112443380000</v>
      </c>
      <c r="Q732" s="24">
        <f>Data!I732</f>
        <v>58748170000</v>
      </c>
      <c r="R732" s="25">
        <f t="shared" si="94"/>
        <v>2.0096889656307595</v>
      </c>
      <c r="S732" s="25">
        <f t="shared" si="95"/>
        <v>4.2023219174324105</v>
      </c>
    </row>
    <row r="733" spans="1:19" ht="15" customHeight="1" x14ac:dyDescent="0.3">
      <c r="A733" s="22"/>
      <c r="B733" s="23"/>
      <c r="C733" s="2"/>
      <c r="D733" s="23">
        <v>2019</v>
      </c>
      <c r="E733" s="24">
        <f>Data!F733</f>
        <v>59184469999.999992</v>
      </c>
      <c r="F733" s="24">
        <f>Data!H733</f>
        <v>21915240000</v>
      </c>
      <c r="G733" s="24">
        <f t="shared" si="88"/>
        <v>37269229999.999992</v>
      </c>
      <c r="H733" s="24">
        <f>Data!G733</f>
        <v>186330430000</v>
      </c>
      <c r="I733" s="25">
        <f t="shared" si="89"/>
        <v>1.3121106885225347</v>
      </c>
      <c r="J733" s="24">
        <f>Data!J733</f>
        <v>39481210000</v>
      </c>
      <c r="K733" s="24">
        <f t="shared" si="90"/>
        <v>186330430000</v>
      </c>
      <c r="L733" s="25">
        <f t="shared" si="91"/>
        <v>0.69075536722584707</v>
      </c>
      <c r="M733" s="24">
        <f>Data!M733</f>
        <v>8202840000</v>
      </c>
      <c r="N733" s="24">
        <f t="shared" si="92"/>
        <v>186330430000</v>
      </c>
      <c r="O733" s="25">
        <f t="shared" si="93"/>
        <v>0.29583511828958908</v>
      </c>
      <c r="P733" s="24">
        <f>Data!K733</f>
        <v>114195750000</v>
      </c>
      <c r="Q733" s="24">
        <f>Data!I733</f>
        <v>72134670000</v>
      </c>
      <c r="R733" s="25">
        <f t="shared" si="94"/>
        <v>1.6622455956338331</v>
      </c>
      <c r="S733" s="25">
        <f t="shared" si="95"/>
        <v>3.9609467696718044</v>
      </c>
    </row>
    <row r="734" spans="1:19" ht="15" customHeight="1" x14ac:dyDescent="0.3">
      <c r="A734" s="22"/>
      <c r="B734" s="23"/>
      <c r="C734" s="2"/>
      <c r="D734" s="23">
        <v>2020</v>
      </c>
      <c r="E734" s="24">
        <f>Data!F734</f>
        <v>68371590000</v>
      </c>
      <c r="F734" s="24">
        <f>Data!H734</f>
        <v>22478030000</v>
      </c>
      <c r="G734" s="24">
        <f t="shared" si="88"/>
        <v>45893560000</v>
      </c>
      <c r="H734" s="24">
        <f>Data!G734</f>
        <v>211221340000</v>
      </c>
      <c r="I734" s="25">
        <f t="shared" si="89"/>
        <v>1.4253377693750071</v>
      </c>
      <c r="J734" s="24">
        <f>Data!J734</f>
        <v>43532270000</v>
      </c>
      <c r="K734" s="24">
        <f t="shared" si="90"/>
        <v>211221340000</v>
      </c>
      <c r="L734" s="25">
        <f t="shared" si="91"/>
        <v>0.67187908286160858</v>
      </c>
      <c r="M734" s="24">
        <f>Data!M734</f>
        <v>9016320000</v>
      </c>
      <c r="N734" s="24">
        <f t="shared" si="92"/>
        <v>211221340000</v>
      </c>
      <c r="O734" s="25">
        <f t="shared" si="93"/>
        <v>0.28685392489224809</v>
      </c>
      <c r="P734" s="24">
        <f>Data!K734</f>
        <v>119219370000</v>
      </c>
      <c r="Q734" s="24">
        <f>Data!I734</f>
        <v>92001970000</v>
      </c>
      <c r="R734" s="25">
        <f t="shared" si="94"/>
        <v>1.3606267181017973</v>
      </c>
      <c r="S734" s="25">
        <f t="shared" si="95"/>
        <v>3.7446974952306613</v>
      </c>
    </row>
    <row r="735" spans="1:19" ht="15" customHeight="1" x14ac:dyDescent="0.3">
      <c r="A735" s="22"/>
      <c r="B735" s="23"/>
      <c r="C735" s="2"/>
      <c r="D735" s="23">
        <v>2021</v>
      </c>
      <c r="E735" s="24">
        <f>Data!F735</f>
        <v>59669399999.999992</v>
      </c>
      <c r="F735" s="24">
        <f>Data!H735</f>
        <v>23644350000</v>
      </c>
      <c r="G735" s="24">
        <f t="shared" si="88"/>
        <v>36025049999.999992</v>
      </c>
      <c r="H735" s="24">
        <f>Data!G735</f>
        <v>208178180000</v>
      </c>
      <c r="I735" s="25">
        <f t="shared" si="89"/>
        <v>1.1352022003458764</v>
      </c>
      <c r="J735" s="24">
        <f>Data!J735</f>
        <v>45079240000</v>
      </c>
      <c r="K735" s="24">
        <f t="shared" si="90"/>
        <v>208178180000</v>
      </c>
      <c r="L735" s="25">
        <f t="shared" si="91"/>
        <v>0.70592567578408072</v>
      </c>
      <c r="M735" s="24">
        <f>Data!M735</f>
        <v>9019480000</v>
      </c>
      <c r="N735" s="24">
        <f t="shared" si="92"/>
        <v>208178180000</v>
      </c>
      <c r="O735" s="25">
        <f t="shared" si="93"/>
        <v>0.29114917615285135</v>
      </c>
      <c r="P735" s="24">
        <f>Data!K735</f>
        <v>126921280000</v>
      </c>
      <c r="Q735" s="24">
        <f>Data!I735</f>
        <v>81256900000</v>
      </c>
      <c r="R735" s="25">
        <f t="shared" si="94"/>
        <v>1.6400741844692575</v>
      </c>
      <c r="S735" s="25">
        <f t="shared" si="95"/>
        <v>3.772351236752066</v>
      </c>
    </row>
    <row r="736" spans="1:19" ht="15" customHeight="1" x14ac:dyDescent="0.3">
      <c r="A736" s="22"/>
      <c r="B736" s="23"/>
      <c r="C736" s="2"/>
      <c r="D736" s="23">
        <v>2022</v>
      </c>
      <c r="E736" s="24">
        <f>Data!F736</f>
        <v>74411370000</v>
      </c>
      <c r="F736" s="24">
        <f>Data!H736</f>
        <v>27204760000</v>
      </c>
      <c r="G736" s="24">
        <f t="shared" si="88"/>
        <v>47206610000</v>
      </c>
      <c r="H736" s="24">
        <f>Data!G736</f>
        <v>217432640000</v>
      </c>
      <c r="I736" s="25">
        <f t="shared" si="89"/>
        <v>1.4242358534578798</v>
      </c>
      <c r="J736" s="24">
        <f>Data!J736</f>
        <v>47491880000</v>
      </c>
      <c r="K736" s="24">
        <f t="shared" si="90"/>
        <v>217432640000</v>
      </c>
      <c r="L736" s="25">
        <f t="shared" si="91"/>
        <v>0.71205283990480917</v>
      </c>
      <c r="M736" s="24">
        <f>Data!M736</f>
        <v>9268170000</v>
      </c>
      <c r="N736" s="24">
        <f t="shared" si="92"/>
        <v>217432640000</v>
      </c>
      <c r="O736" s="25">
        <f t="shared" si="93"/>
        <v>0.28644320558311759</v>
      </c>
      <c r="P736" s="24">
        <f>Data!K736</f>
        <v>122374230000</v>
      </c>
      <c r="Q736" s="24">
        <f>Data!I736</f>
        <v>95058410000</v>
      </c>
      <c r="R736" s="25">
        <f t="shared" si="94"/>
        <v>1.3517261807766405</v>
      </c>
      <c r="S736" s="25">
        <f t="shared" si="95"/>
        <v>3.774458079722447</v>
      </c>
    </row>
    <row r="737" spans="1:19" ht="15" customHeight="1" x14ac:dyDescent="0.3">
      <c r="A737" s="22"/>
      <c r="B737" s="23"/>
      <c r="C737" s="2"/>
      <c r="D737" s="23">
        <v>2023</v>
      </c>
      <c r="E737" s="24">
        <f>Data!F737</f>
        <v>253342680000.00003</v>
      </c>
      <c r="F737" s="24">
        <f>Data!H737</f>
        <v>40349410000</v>
      </c>
      <c r="G737" s="24">
        <f t="shared" si="88"/>
        <v>212993270000.00003</v>
      </c>
      <c r="H737" s="24">
        <f>Data!G737</f>
        <v>408529730000</v>
      </c>
      <c r="I737" s="25">
        <f t="shared" si="89"/>
        <v>3.4201570867314848</v>
      </c>
      <c r="J737" s="24">
        <f>Data!J737</f>
        <v>45073960000</v>
      </c>
      <c r="K737" s="24">
        <f t="shared" si="90"/>
        <v>408529730000</v>
      </c>
      <c r="L737" s="25">
        <f t="shared" si="91"/>
        <v>0.35968278147100818</v>
      </c>
      <c r="M737" s="24">
        <f>Data!M737</f>
        <v>5423150000</v>
      </c>
      <c r="N737" s="24">
        <f t="shared" si="92"/>
        <v>408529730000</v>
      </c>
      <c r="O737" s="25">
        <f t="shared" si="93"/>
        <v>8.9206648436577676E-2</v>
      </c>
      <c r="P737" s="24">
        <f>Data!K737</f>
        <v>127722410000</v>
      </c>
      <c r="Q737" s="24">
        <f>Data!I737</f>
        <v>280807320000</v>
      </c>
      <c r="R737" s="25">
        <f t="shared" si="94"/>
        <v>0.47758203204959188</v>
      </c>
      <c r="S737" s="25">
        <f t="shared" si="95"/>
        <v>4.3466285486886624</v>
      </c>
    </row>
    <row r="738" spans="1:19" ht="15" customHeight="1" x14ac:dyDescent="0.3">
      <c r="A738" s="22"/>
      <c r="B738" s="23"/>
      <c r="C738" s="2"/>
      <c r="D738" s="23">
        <v>2024</v>
      </c>
      <c r="E738" s="24">
        <f>Data!F738</f>
        <v>154611060000</v>
      </c>
      <c r="F738" s="24">
        <f>Data!H738</f>
        <v>42785830000</v>
      </c>
      <c r="G738" s="24">
        <f t="shared" si="88"/>
        <v>111825230000</v>
      </c>
      <c r="H738" s="24">
        <f>Data!G738</f>
        <v>308465380000</v>
      </c>
      <c r="I738" s="25">
        <f t="shared" si="89"/>
        <v>2.3781388653728337</v>
      </c>
      <c r="J738" s="24">
        <f>Data!J738</f>
        <v>46943810000</v>
      </c>
      <c r="K738" s="24">
        <f t="shared" si="90"/>
        <v>308465380000</v>
      </c>
      <c r="L738" s="25">
        <f t="shared" si="91"/>
        <v>0.49612316493993586</v>
      </c>
      <c r="M738" s="24">
        <f>Data!M738</f>
        <v>4580900000</v>
      </c>
      <c r="N738" s="24">
        <f t="shared" si="92"/>
        <v>308465380000</v>
      </c>
      <c r="O738" s="25">
        <f t="shared" si="93"/>
        <v>9.979611974607977E-2</v>
      </c>
      <c r="P738" s="24">
        <f>Data!K738</f>
        <v>129661180000</v>
      </c>
      <c r="Q738" s="24">
        <f>Data!I738</f>
        <v>178804200000</v>
      </c>
      <c r="R738" s="25">
        <f t="shared" si="94"/>
        <v>0.76141521843446636</v>
      </c>
      <c r="S738" s="25">
        <f t="shared" si="95"/>
        <v>3.7354733684933157</v>
      </c>
    </row>
    <row r="739" spans="1:19" ht="15" customHeight="1" x14ac:dyDescent="0.3">
      <c r="A739" s="22"/>
      <c r="B739" s="23">
        <v>68</v>
      </c>
      <c r="C739" s="2" t="s">
        <v>69</v>
      </c>
      <c r="D739" s="23">
        <v>2014</v>
      </c>
      <c r="E739" s="24">
        <f>Data!F739</f>
        <v>0</v>
      </c>
      <c r="F739" s="24">
        <f>Data!H739</f>
        <v>0</v>
      </c>
      <c r="G739" s="24">
        <f t="shared" si="88"/>
        <v>0</v>
      </c>
      <c r="H739" s="24">
        <f>Data!G739</f>
        <v>0</v>
      </c>
      <c r="I739" s="25">
        <f t="shared" si="89"/>
        <v>0</v>
      </c>
      <c r="J739" s="24">
        <f>Data!J739</f>
        <v>0</v>
      </c>
      <c r="K739" s="24">
        <f t="shared" si="90"/>
        <v>0</v>
      </c>
      <c r="L739" s="25">
        <f t="shared" si="91"/>
        <v>0</v>
      </c>
      <c r="M739" s="24">
        <f>Data!M739</f>
        <v>0</v>
      </c>
      <c r="N739" s="24">
        <f t="shared" si="92"/>
        <v>0</v>
      </c>
      <c r="O739" s="25">
        <f t="shared" si="93"/>
        <v>0</v>
      </c>
      <c r="P739" s="24">
        <f>Data!K739</f>
        <v>0</v>
      </c>
      <c r="Q739" s="24">
        <f>Data!I739</f>
        <v>0</v>
      </c>
      <c r="R739" s="25">
        <f t="shared" si="94"/>
        <v>0</v>
      </c>
      <c r="S739" s="25">
        <f t="shared" si="95"/>
        <v>0</v>
      </c>
    </row>
    <row r="740" spans="1:19" ht="15" customHeight="1" x14ac:dyDescent="0.3">
      <c r="A740" s="22"/>
      <c r="B740" s="23"/>
      <c r="C740" s="2"/>
      <c r="D740" s="23">
        <v>2015</v>
      </c>
      <c r="E740" s="24">
        <f>Data!F740</f>
        <v>1496453240000</v>
      </c>
      <c r="F740" s="24">
        <f>Data!H740</f>
        <v>1579809224000</v>
      </c>
      <c r="G740" s="24">
        <f t="shared" si="88"/>
        <v>-83355984000</v>
      </c>
      <c r="H740" s="24">
        <f>Data!G740</f>
        <v>2846759759000</v>
      </c>
      <c r="I740" s="25">
        <f t="shared" si="89"/>
        <v>-0.19208338649274828</v>
      </c>
      <c r="J740" s="24">
        <f>Data!J740</f>
        <v>742817816000</v>
      </c>
      <c r="K740" s="24">
        <f t="shared" si="90"/>
        <v>2846759759000</v>
      </c>
      <c r="L740" s="25">
        <f t="shared" si="91"/>
        <v>0.85064644900370734</v>
      </c>
      <c r="M740" s="24">
        <f>Data!M740</f>
        <v>278975994000</v>
      </c>
      <c r="N740" s="24">
        <f t="shared" si="92"/>
        <v>2846759759000</v>
      </c>
      <c r="O740" s="25">
        <f t="shared" si="93"/>
        <v>0.6585447450397236</v>
      </c>
      <c r="P740" s="24">
        <f>Data!K740</f>
        <v>1222352590000</v>
      </c>
      <c r="Q740" s="24">
        <f>Data!I740</f>
        <v>1625205582000</v>
      </c>
      <c r="R740" s="25">
        <f t="shared" si="94"/>
        <v>0.78972791732633862</v>
      </c>
      <c r="S740" s="25">
        <f t="shared" si="95"/>
        <v>2.1068357248770213</v>
      </c>
    </row>
    <row r="741" spans="1:19" ht="15" customHeight="1" x14ac:dyDescent="0.3">
      <c r="A741" s="22"/>
      <c r="B741" s="23"/>
      <c r="C741" s="2"/>
      <c r="D741" s="23">
        <v>2016</v>
      </c>
      <c r="E741" s="24">
        <f>Data!F741</f>
        <v>1182793367000</v>
      </c>
      <c r="F741" s="24">
        <f>Data!H741</f>
        <v>1529583603000</v>
      </c>
      <c r="G741" s="24">
        <f t="shared" si="88"/>
        <v>-346790236000</v>
      </c>
      <c r="H741" s="24">
        <f>Data!G741</f>
        <v>2813838947000</v>
      </c>
      <c r="I741" s="25">
        <f t="shared" si="89"/>
        <v>-0.80848406430135322</v>
      </c>
      <c r="J741" s="24">
        <f>Data!J741</f>
        <v>836422128000</v>
      </c>
      <c r="K741" s="24">
        <f t="shared" si="90"/>
        <v>2813838947000</v>
      </c>
      <c r="L741" s="25">
        <f t="shared" si="91"/>
        <v>0.9690448489197061</v>
      </c>
      <c r="M741" s="24">
        <f>Data!M741</f>
        <v>197206138000</v>
      </c>
      <c r="N741" s="24">
        <f t="shared" si="92"/>
        <v>2813838947000</v>
      </c>
      <c r="O741" s="25">
        <f t="shared" si="93"/>
        <v>0.47096698578747759</v>
      </c>
      <c r="P741" s="24">
        <f>Data!K741</f>
        <v>1232196934000</v>
      </c>
      <c r="Q741" s="24">
        <f>Data!I741</f>
        <v>1582165362000</v>
      </c>
      <c r="R741" s="25">
        <f t="shared" si="94"/>
        <v>0.81774434694013987</v>
      </c>
      <c r="S741" s="25">
        <f t="shared" si="95"/>
        <v>1.4492721173459704</v>
      </c>
    </row>
    <row r="742" spans="1:19" ht="15" customHeight="1" x14ac:dyDescent="0.3">
      <c r="A742" s="22"/>
      <c r="B742" s="23"/>
      <c r="C742" s="2"/>
      <c r="D742" s="23">
        <v>2017</v>
      </c>
      <c r="E742" s="24">
        <f>Data!F742</f>
        <v>811383552000</v>
      </c>
      <c r="F742" s="24">
        <f>Data!H742</f>
        <v>1548214090000</v>
      </c>
      <c r="G742" s="24">
        <f t="shared" si="88"/>
        <v>-736830538000</v>
      </c>
      <c r="H742" s="24">
        <f>Data!G742</f>
        <v>2966605878000</v>
      </c>
      <c r="I742" s="25">
        <f t="shared" si="89"/>
        <v>-1.6293395644920243</v>
      </c>
      <c r="J742" s="24">
        <f>Data!J742</f>
        <v>941658708000</v>
      </c>
      <c r="K742" s="24">
        <f t="shared" si="90"/>
        <v>2966605878000</v>
      </c>
      <c r="L742" s="25">
        <f t="shared" si="91"/>
        <v>1.0347877386899722</v>
      </c>
      <c r="M742" s="24">
        <f>Data!M742</f>
        <v>165019709000</v>
      </c>
      <c r="N742" s="24">
        <f t="shared" si="92"/>
        <v>2966605878000</v>
      </c>
      <c r="O742" s="25">
        <f t="shared" si="93"/>
        <v>0.37380511267226718</v>
      </c>
      <c r="P742" s="24">
        <f>Data!K742</f>
        <v>1375352652000</v>
      </c>
      <c r="Q742" s="24">
        <f>Data!I742</f>
        <v>1591479311000</v>
      </c>
      <c r="R742" s="25">
        <f t="shared" si="94"/>
        <v>0.90740751363748018</v>
      </c>
      <c r="S742" s="25">
        <f t="shared" si="95"/>
        <v>0.68666080050769529</v>
      </c>
    </row>
    <row r="743" spans="1:19" ht="15" customHeight="1" x14ac:dyDescent="0.3">
      <c r="A743" s="22"/>
      <c r="B743" s="23"/>
      <c r="C743" s="2"/>
      <c r="D743" s="23">
        <v>2018</v>
      </c>
      <c r="E743" s="24">
        <f>Data!F743</f>
        <v>979951508000</v>
      </c>
      <c r="F743" s="24">
        <f>Data!H743</f>
        <v>1449498888000</v>
      </c>
      <c r="G743" s="24">
        <f t="shared" si="88"/>
        <v>-469547380000</v>
      </c>
      <c r="H743" s="24">
        <f>Data!G743</f>
        <v>2890427512000</v>
      </c>
      <c r="I743" s="25">
        <f t="shared" si="89"/>
        <v>-1.0656661687629272</v>
      </c>
      <c r="J743" s="24">
        <f>Data!J743</f>
        <v>955961484000</v>
      </c>
      <c r="K743" s="24">
        <f t="shared" si="90"/>
        <v>2890427512000</v>
      </c>
      <c r="L743" s="25">
        <f t="shared" si="91"/>
        <v>1.0781915218083489</v>
      </c>
      <c r="M743" s="24">
        <f>Data!M743</f>
        <v>50829464000</v>
      </c>
      <c r="N743" s="24">
        <f t="shared" si="92"/>
        <v>2890427512000</v>
      </c>
      <c r="O743" s="25">
        <f t="shared" si="93"/>
        <v>0.11817421355903562</v>
      </c>
      <c r="P743" s="24">
        <f>Data!K743</f>
        <v>1334408933000</v>
      </c>
      <c r="Q743" s="24">
        <f>Data!I743</f>
        <v>1556041961000</v>
      </c>
      <c r="R743" s="25">
        <f t="shared" si="94"/>
        <v>0.90044447050101117</v>
      </c>
      <c r="S743" s="25">
        <f t="shared" si="95"/>
        <v>1.0311440371054685</v>
      </c>
    </row>
    <row r="744" spans="1:19" ht="15" customHeight="1" x14ac:dyDescent="0.3">
      <c r="A744" s="22"/>
      <c r="B744" s="23"/>
      <c r="C744" s="2"/>
      <c r="D744" s="23">
        <v>2019</v>
      </c>
      <c r="E744" s="24">
        <f>Data!F744</f>
        <v>1173339185000</v>
      </c>
      <c r="F744" s="24">
        <f>Data!H744</f>
        <v>1200768430000</v>
      </c>
      <c r="G744" s="24">
        <f t="shared" si="88"/>
        <v>-27429245000</v>
      </c>
      <c r="H744" s="24">
        <f>Data!G744</f>
        <v>2579654391000</v>
      </c>
      <c r="I744" s="25">
        <f t="shared" si="89"/>
        <v>-6.9751920190459338E-2</v>
      </c>
      <c r="J744" s="24">
        <f>Data!J744</f>
        <v>926775436000</v>
      </c>
      <c r="K744" s="24">
        <f t="shared" si="90"/>
        <v>2579654391000</v>
      </c>
      <c r="L744" s="25">
        <f t="shared" si="91"/>
        <v>1.171198720224224</v>
      </c>
      <c r="M744" s="24">
        <f>Data!M744</f>
        <v>79923584000</v>
      </c>
      <c r="N744" s="24">
        <f t="shared" si="92"/>
        <v>2579654391000</v>
      </c>
      <c r="O744" s="25">
        <f t="shared" si="93"/>
        <v>0.20820094596927732</v>
      </c>
      <c r="P744" s="24">
        <f>Data!K744</f>
        <v>1253704378000</v>
      </c>
      <c r="Q744" s="24">
        <f>Data!I744</f>
        <v>1325948582000</v>
      </c>
      <c r="R744" s="25">
        <f t="shared" si="94"/>
        <v>0.99279083274437263</v>
      </c>
      <c r="S744" s="25">
        <f t="shared" si="95"/>
        <v>2.3024385787474149</v>
      </c>
    </row>
    <row r="745" spans="1:19" ht="15" customHeight="1" x14ac:dyDescent="0.3">
      <c r="A745" s="22"/>
      <c r="B745" s="23"/>
      <c r="C745" s="2"/>
      <c r="D745" s="23">
        <v>2020</v>
      </c>
      <c r="E745" s="24">
        <f>Data!F745</f>
        <v>748317310000</v>
      </c>
      <c r="F745" s="24">
        <f>Data!H745</f>
        <v>964031503000</v>
      </c>
      <c r="G745" s="24">
        <f t="shared" si="88"/>
        <v>-215714193000</v>
      </c>
      <c r="H745" s="24">
        <f>Data!G745</f>
        <v>2477781648000</v>
      </c>
      <c r="I745" s="25">
        <f t="shared" si="89"/>
        <v>-0.57110968887118008</v>
      </c>
      <c r="J745" s="24">
        <f>Data!J745</f>
        <v>1028487189000</v>
      </c>
      <c r="K745" s="24">
        <f t="shared" si="90"/>
        <v>2477781648000</v>
      </c>
      <c r="L745" s="25">
        <f t="shared" si="91"/>
        <v>1.3531734076916531</v>
      </c>
      <c r="M745" s="24">
        <f>Data!M745</f>
        <v>160874837000</v>
      </c>
      <c r="N745" s="24">
        <f t="shared" si="92"/>
        <v>2477781648000</v>
      </c>
      <c r="O745" s="25">
        <f t="shared" si="93"/>
        <v>0.43630919032458659</v>
      </c>
      <c r="P745" s="24">
        <f>Data!K745</f>
        <v>1387236002000</v>
      </c>
      <c r="Q745" s="24">
        <f>Data!I745</f>
        <v>1090545646000</v>
      </c>
      <c r="R745" s="25">
        <f t="shared" si="94"/>
        <v>1.3356596373958656</v>
      </c>
      <c r="S745" s="25">
        <f t="shared" si="95"/>
        <v>2.5540325465409253</v>
      </c>
    </row>
    <row r="746" spans="1:19" ht="15" customHeight="1" x14ac:dyDescent="0.3">
      <c r="A746" s="22"/>
      <c r="B746" s="23"/>
      <c r="C746" s="2"/>
      <c r="D746" s="23">
        <v>2021</v>
      </c>
      <c r="E746" s="24">
        <f>Data!F746</f>
        <v>564899053000</v>
      </c>
      <c r="F746" s="24">
        <f>Data!H746</f>
        <v>862621954000</v>
      </c>
      <c r="G746" s="24">
        <f t="shared" si="88"/>
        <v>-297722901000</v>
      </c>
      <c r="H746" s="24">
        <f>Data!G746</f>
        <v>2495890568000</v>
      </c>
      <c r="I746" s="25">
        <f t="shared" si="89"/>
        <v>-0.78251116278908905</v>
      </c>
      <c r="J746" s="24">
        <f>Data!J746</f>
        <v>1144206566000</v>
      </c>
      <c r="K746" s="24">
        <f t="shared" si="90"/>
        <v>2495890568000</v>
      </c>
      <c r="L746" s="25">
        <f t="shared" si="91"/>
        <v>1.4945019837744744</v>
      </c>
      <c r="M746" s="24">
        <f>Data!M746</f>
        <v>174699981000</v>
      </c>
      <c r="N746" s="24">
        <f t="shared" si="92"/>
        <v>2495890568000</v>
      </c>
      <c r="O746" s="25">
        <f t="shared" si="93"/>
        <v>0.47036672495650861</v>
      </c>
      <c r="P746" s="24">
        <f>Data!K746</f>
        <v>1512103062000</v>
      </c>
      <c r="Q746" s="24">
        <f>Data!I746</f>
        <v>983787506000</v>
      </c>
      <c r="R746" s="25">
        <f t="shared" si="94"/>
        <v>1.6138731234303763</v>
      </c>
      <c r="S746" s="25">
        <f t="shared" si="95"/>
        <v>2.7962306693722701</v>
      </c>
    </row>
    <row r="747" spans="1:19" ht="15" customHeight="1" x14ac:dyDescent="0.3">
      <c r="A747" s="22"/>
      <c r="B747" s="23"/>
      <c r="C747" s="2"/>
      <c r="D747" s="23">
        <v>2022</v>
      </c>
      <c r="E747" s="24">
        <f>Data!F747</f>
        <v>624669984000</v>
      </c>
      <c r="F747" s="24">
        <f>Data!H747</f>
        <v>824459703000</v>
      </c>
      <c r="G747" s="24">
        <f t="shared" si="88"/>
        <v>-199789719000</v>
      </c>
      <c r="H747" s="24">
        <f>Data!G747</f>
        <v>2472105924000</v>
      </c>
      <c r="I747" s="25">
        <f t="shared" si="89"/>
        <v>-0.53016359206782915</v>
      </c>
      <c r="J747" s="24">
        <f>Data!J747</f>
        <v>1184751003000</v>
      </c>
      <c r="K747" s="24">
        <f t="shared" si="90"/>
        <v>2472105924000</v>
      </c>
      <c r="L747" s="25">
        <f t="shared" si="91"/>
        <v>1.5623474027887163</v>
      </c>
      <c r="M747" s="24">
        <f>Data!M747</f>
        <v>105991095000</v>
      </c>
      <c r="N747" s="24">
        <f t="shared" si="92"/>
        <v>2472105924000</v>
      </c>
      <c r="O747" s="25">
        <f t="shared" si="93"/>
        <v>0.28811878628870596</v>
      </c>
      <c r="P747" s="24">
        <f>Data!K747</f>
        <v>1505488077000</v>
      </c>
      <c r="Q747" s="24">
        <f>Data!I747</f>
        <v>966617847000</v>
      </c>
      <c r="R747" s="25">
        <f t="shared" si="94"/>
        <v>1.6353541223722099</v>
      </c>
      <c r="S747" s="25">
        <f t="shared" si="95"/>
        <v>2.9556567193818033</v>
      </c>
    </row>
    <row r="748" spans="1:19" ht="15" customHeight="1" x14ac:dyDescent="0.3">
      <c r="A748" s="22"/>
      <c r="B748" s="23"/>
      <c r="C748" s="2"/>
      <c r="D748" s="23">
        <v>2023</v>
      </c>
      <c r="E748" s="24">
        <f>Data!F748</f>
        <v>988943910000</v>
      </c>
      <c r="F748" s="24">
        <f>Data!H748</f>
        <v>993201589000</v>
      </c>
      <c r="G748" s="24">
        <f t="shared" si="88"/>
        <v>-4257679000</v>
      </c>
      <c r="H748" s="24">
        <f>Data!G748</f>
        <v>2664450707000</v>
      </c>
      <c r="I748" s="25">
        <f t="shared" si="89"/>
        <v>-1.0482601223067024E-2</v>
      </c>
      <c r="J748" s="24">
        <f>Data!J748</f>
        <v>1269332310000</v>
      </c>
      <c r="K748" s="24">
        <f t="shared" si="90"/>
        <v>2664450707000</v>
      </c>
      <c r="L748" s="25">
        <f t="shared" si="91"/>
        <v>1.5530493094612914</v>
      </c>
      <c r="M748" s="24">
        <f>Data!M748</f>
        <v>68578074000</v>
      </c>
      <c r="N748" s="24">
        <f t="shared" si="92"/>
        <v>2664450707000</v>
      </c>
      <c r="O748" s="25">
        <f t="shared" si="93"/>
        <v>0.17296047401788167</v>
      </c>
      <c r="P748" s="24">
        <f>Data!K748</f>
        <v>1548860178000</v>
      </c>
      <c r="Q748" s="24">
        <f>Data!I748</f>
        <v>1115590529000</v>
      </c>
      <c r="R748" s="25">
        <f t="shared" si="94"/>
        <v>1.4577957992864961</v>
      </c>
      <c r="S748" s="25">
        <f t="shared" si="95"/>
        <v>3.1733229815426021</v>
      </c>
    </row>
    <row r="749" spans="1:19" ht="15" customHeight="1" x14ac:dyDescent="0.3">
      <c r="A749" s="22"/>
      <c r="B749" s="23"/>
      <c r="C749" s="2"/>
      <c r="D749" s="23">
        <v>2024</v>
      </c>
      <c r="E749" s="24">
        <f>Data!F749</f>
        <v>725019384000</v>
      </c>
      <c r="F749" s="24">
        <f>Data!H749</f>
        <v>1046909801000</v>
      </c>
      <c r="G749" s="24">
        <f t="shared" si="88"/>
        <v>-321890417000</v>
      </c>
      <c r="H749" s="24">
        <f>Data!G749</f>
        <v>2751906616000</v>
      </c>
      <c r="I749" s="25">
        <f t="shared" si="89"/>
        <v>-0.76732296192132121</v>
      </c>
      <c r="J749" s="24">
        <f>Data!J749</f>
        <v>1349389534000</v>
      </c>
      <c r="K749" s="24">
        <f t="shared" si="90"/>
        <v>2751906616000</v>
      </c>
      <c r="L749" s="25">
        <f t="shared" si="91"/>
        <v>1.5985316708290511</v>
      </c>
      <c r="M749" s="24">
        <f>Data!M749</f>
        <v>67474640000</v>
      </c>
      <c r="N749" s="24">
        <f t="shared" si="92"/>
        <v>2751906616000</v>
      </c>
      <c r="O749" s="25">
        <f t="shared" si="93"/>
        <v>0.16476924695180134</v>
      </c>
      <c r="P749" s="24">
        <f>Data!K749</f>
        <v>1559077737000</v>
      </c>
      <c r="Q749" s="24">
        <f>Data!I749</f>
        <v>1192828879000</v>
      </c>
      <c r="R749" s="25">
        <f t="shared" si="94"/>
        <v>1.3723943582103699</v>
      </c>
      <c r="S749" s="25">
        <f t="shared" si="95"/>
        <v>2.3683723140699011</v>
      </c>
    </row>
    <row r="750" spans="1:19" ht="15" customHeight="1" x14ac:dyDescent="0.3">
      <c r="A750" s="22"/>
      <c r="B750" s="23">
        <v>69</v>
      </c>
      <c r="C750" s="2" t="s">
        <v>70</v>
      </c>
      <c r="D750" s="23">
        <v>2014</v>
      </c>
      <c r="E750" s="24">
        <f>Data!F750</f>
        <v>0</v>
      </c>
      <c r="F750" s="24">
        <f>Data!H750</f>
        <v>0</v>
      </c>
      <c r="G750" s="24">
        <f t="shared" si="88"/>
        <v>0</v>
      </c>
      <c r="H750" s="24">
        <f>Data!G750</f>
        <v>0</v>
      </c>
      <c r="I750" s="25">
        <f t="shared" si="89"/>
        <v>0</v>
      </c>
      <c r="J750" s="24">
        <f>Data!J750</f>
        <v>0</v>
      </c>
      <c r="K750" s="24">
        <f t="shared" si="90"/>
        <v>0</v>
      </c>
      <c r="L750" s="25">
        <f t="shared" si="91"/>
        <v>0</v>
      </c>
      <c r="M750" s="24">
        <f>Data!M750</f>
        <v>0</v>
      </c>
      <c r="N750" s="24">
        <f t="shared" si="92"/>
        <v>0</v>
      </c>
      <c r="O750" s="25">
        <f t="shared" si="93"/>
        <v>0</v>
      </c>
      <c r="P750" s="24">
        <f>Data!K750</f>
        <v>0</v>
      </c>
      <c r="Q750" s="24">
        <f>Data!I750</f>
        <v>0</v>
      </c>
      <c r="R750" s="25">
        <f t="shared" si="94"/>
        <v>0</v>
      </c>
      <c r="S750" s="25">
        <f t="shared" si="95"/>
        <v>0</v>
      </c>
    </row>
    <row r="751" spans="1:19" ht="15" customHeight="1" x14ac:dyDescent="0.3">
      <c r="A751" s="22"/>
      <c r="B751" s="23"/>
      <c r="C751" s="2"/>
      <c r="D751" s="23">
        <v>2015</v>
      </c>
      <c r="E751" s="24">
        <f>Data!F751</f>
        <v>0</v>
      </c>
      <c r="F751" s="24">
        <f>Data!H751</f>
        <v>0</v>
      </c>
      <c r="G751" s="24">
        <f t="shared" si="88"/>
        <v>0</v>
      </c>
      <c r="H751" s="24">
        <f>Data!G751</f>
        <v>0</v>
      </c>
      <c r="I751" s="25">
        <f t="shared" si="89"/>
        <v>0</v>
      </c>
      <c r="J751" s="24">
        <f>Data!J751</f>
        <v>0</v>
      </c>
      <c r="K751" s="24">
        <f t="shared" si="90"/>
        <v>0</v>
      </c>
      <c r="L751" s="25">
        <f t="shared" si="91"/>
        <v>0</v>
      </c>
      <c r="M751" s="24">
        <f>Data!M751</f>
        <v>0</v>
      </c>
      <c r="N751" s="24">
        <f t="shared" si="92"/>
        <v>0</v>
      </c>
      <c r="O751" s="25">
        <f t="shared" si="93"/>
        <v>0</v>
      </c>
      <c r="P751" s="24">
        <f>Data!K751</f>
        <v>0</v>
      </c>
      <c r="Q751" s="24">
        <f>Data!I751</f>
        <v>0</v>
      </c>
      <c r="R751" s="25">
        <f t="shared" si="94"/>
        <v>0</v>
      </c>
      <c r="S751" s="25">
        <f t="shared" si="95"/>
        <v>0</v>
      </c>
    </row>
    <row r="752" spans="1:19" ht="15" customHeight="1" x14ac:dyDescent="0.3">
      <c r="A752" s="22"/>
      <c r="B752" s="23"/>
      <c r="C752" s="2"/>
      <c r="D752" s="23">
        <v>2016</v>
      </c>
      <c r="E752" s="24">
        <f>Data!F752</f>
        <v>0</v>
      </c>
      <c r="F752" s="24">
        <f>Data!H752</f>
        <v>0</v>
      </c>
      <c r="G752" s="24">
        <f t="shared" si="88"/>
        <v>0</v>
      </c>
      <c r="H752" s="24">
        <f>Data!G752</f>
        <v>0</v>
      </c>
      <c r="I752" s="25">
        <f t="shared" si="89"/>
        <v>0</v>
      </c>
      <c r="J752" s="24">
        <f>Data!J752</f>
        <v>0</v>
      </c>
      <c r="K752" s="24">
        <f t="shared" si="90"/>
        <v>0</v>
      </c>
      <c r="L752" s="25">
        <f t="shared" si="91"/>
        <v>0</v>
      </c>
      <c r="M752" s="24">
        <f>Data!M752</f>
        <v>0</v>
      </c>
      <c r="N752" s="24">
        <f t="shared" si="92"/>
        <v>0</v>
      </c>
      <c r="O752" s="25">
        <f t="shared" si="93"/>
        <v>0</v>
      </c>
      <c r="P752" s="24">
        <f>Data!K752</f>
        <v>0</v>
      </c>
      <c r="Q752" s="24">
        <f>Data!I752</f>
        <v>0</v>
      </c>
      <c r="R752" s="25">
        <f t="shared" si="94"/>
        <v>0</v>
      </c>
      <c r="S752" s="25">
        <f t="shared" si="95"/>
        <v>0</v>
      </c>
    </row>
    <row r="753" spans="1:19" ht="15" customHeight="1" x14ac:dyDescent="0.3">
      <c r="A753" s="22"/>
      <c r="B753" s="23"/>
      <c r="C753" s="2"/>
      <c r="D753" s="23">
        <v>2017</v>
      </c>
      <c r="E753" s="24">
        <f>Data!F753</f>
        <v>92755800000</v>
      </c>
      <c r="F753" s="24">
        <f>Data!H753</f>
        <v>52944070000</v>
      </c>
      <c r="G753" s="24">
        <f t="shared" si="88"/>
        <v>39811730000</v>
      </c>
      <c r="H753" s="24">
        <f>Data!G753</f>
        <v>390722630000</v>
      </c>
      <c r="I753" s="25">
        <f t="shared" si="89"/>
        <v>0.66841521004299143</v>
      </c>
      <c r="J753" s="24">
        <f>Data!J753</f>
        <v>73558490000</v>
      </c>
      <c r="K753" s="24">
        <f t="shared" si="90"/>
        <v>390722630000</v>
      </c>
      <c r="L753" s="25">
        <f t="shared" si="91"/>
        <v>0.61373634130175669</v>
      </c>
      <c r="M753" s="24">
        <f>Data!M753</f>
        <v>28760080000</v>
      </c>
      <c r="N753" s="24">
        <f t="shared" si="92"/>
        <v>390722630000</v>
      </c>
      <c r="O753" s="25">
        <f t="shared" si="93"/>
        <v>0.49464178105066497</v>
      </c>
      <c r="P753" s="24">
        <f>Data!K753</f>
        <v>151853840000</v>
      </c>
      <c r="Q753" s="24">
        <f>Data!I753</f>
        <v>238868790000</v>
      </c>
      <c r="R753" s="25">
        <f t="shared" si="94"/>
        <v>0.66750675967337558</v>
      </c>
      <c r="S753" s="25">
        <f t="shared" si="95"/>
        <v>2.4443000920687887</v>
      </c>
    </row>
    <row r="754" spans="1:19" ht="15" customHeight="1" x14ac:dyDescent="0.3">
      <c r="A754" s="22"/>
      <c r="B754" s="23"/>
      <c r="C754" s="2"/>
      <c r="D754" s="23">
        <v>2018</v>
      </c>
      <c r="E754" s="24">
        <f>Data!F754</f>
        <v>113531140000</v>
      </c>
      <c r="F754" s="24">
        <f>Data!H754</f>
        <v>54765320000</v>
      </c>
      <c r="G754" s="24">
        <f t="shared" si="88"/>
        <v>58765820000</v>
      </c>
      <c r="H754" s="24">
        <f>Data!G754</f>
        <v>445745740000</v>
      </c>
      <c r="I754" s="25">
        <f t="shared" si="89"/>
        <v>0.86485129212900602</v>
      </c>
      <c r="J754" s="24">
        <f>Data!J754</f>
        <v>82643650000</v>
      </c>
      <c r="K754" s="24">
        <f t="shared" si="90"/>
        <v>445745740000</v>
      </c>
      <c r="L754" s="25">
        <f t="shared" si="91"/>
        <v>0.60442147803812996</v>
      </c>
      <c r="M754" s="24">
        <f>Data!M754</f>
        <v>33743280000</v>
      </c>
      <c r="N754" s="24">
        <f t="shared" si="92"/>
        <v>445745740000</v>
      </c>
      <c r="O754" s="25">
        <f t="shared" si="93"/>
        <v>0.50870893707251141</v>
      </c>
      <c r="P754" s="24">
        <f>Data!K754</f>
        <v>164230810000</v>
      </c>
      <c r="Q754" s="24">
        <f>Data!I754</f>
        <v>281514920000</v>
      </c>
      <c r="R754" s="25">
        <f t="shared" si="94"/>
        <v>0.61255137205516497</v>
      </c>
      <c r="S754" s="25">
        <f t="shared" si="95"/>
        <v>2.5905330792948122</v>
      </c>
    </row>
    <row r="755" spans="1:19" ht="15" customHeight="1" x14ac:dyDescent="0.3">
      <c r="A755" s="22"/>
      <c r="B755" s="23"/>
      <c r="C755" s="2"/>
      <c r="D755" s="23">
        <v>2019</v>
      </c>
      <c r="E755" s="24">
        <f>Data!F755</f>
        <v>143108700000</v>
      </c>
      <c r="F755" s="24">
        <f>Data!H755</f>
        <v>50782820000</v>
      </c>
      <c r="G755" s="24">
        <f t="shared" si="88"/>
        <v>92325880000</v>
      </c>
      <c r="H755" s="24">
        <f>Data!G755</f>
        <v>541929699999.99994</v>
      </c>
      <c r="I755" s="25">
        <f t="shared" si="89"/>
        <v>1.1175947227103442</v>
      </c>
      <c r="J755" s="24">
        <f>Data!J755</f>
        <v>91511200000</v>
      </c>
      <c r="K755" s="24">
        <f t="shared" si="90"/>
        <v>541929699999.99994</v>
      </c>
      <c r="L755" s="25">
        <f t="shared" si="91"/>
        <v>0.55048931992470607</v>
      </c>
      <c r="M755" s="24">
        <f>Data!M755</f>
        <v>44165270000</v>
      </c>
      <c r="N755" s="24">
        <f t="shared" si="92"/>
        <v>541929699999.99994</v>
      </c>
      <c r="O755" s="25">
        <f t="shared" si="93"/>
        <v>0.54765519291524345</v>
      </c>
      <c r="P755" s="24">
        <f>Data!K755</f>
        <v>178025870000</v>
      </c>
      <c r="Q755" s="24">
        <f>Data!I755</f>
        <v>363903830000</v>
      </c>
      <c r="R755" s="25">
        <f t="shared" si="94"/>
        <v>0.51367187726493557</v>
      </c>
      <c r="S755" s="25">
        <f t="shared" si="95"/>
        <v>2.729411112815229</v>
      </c>
    </row>
    <row r="756" spans="1:19" ht="15" customHeight="1" x14ac:dyDescent="0.3">
      <c r="A756" s="22"/>
      <c r="B756" s="23"/>
      <c r="C756" s="2"/>
      <c r="D756" s="23">
        <v>2020</v>
      </c>
      <c r="E756" s="24">
        <f>Data!F756</f>
        <v>205739720000.00003</v>
      </c>
      <c r="F756" s="24">
        <f>Data!H756</f>
        <v>69018200000</v>
      </c>
      <c r="G756" s="24">
        <f t="shared" si="88"/>
        <v>136721520000.00003</v>
      </c>
      <c r="H756" s="24">
        <f>Data!G756</f>
        <v>651096710000</v>
      </c>
      <c r="I756" s="25">
        <f t="shared" si="89"/>
        <v>1.3775114471089867</v>
      </c>
      <c r="J756" s="24">
        <f>Data!J756</f>
        <v>95394340000</v>
      </c>
      <c r="K756" s="24">
        <f t="shared" si="90"/>
        <v>651096710000</v>
      </c>
      <c r="L756" s="25">
        <f t="shared" si="91"/>
        <v>0.47763342007979115</v>
      </c>
      <c r="M756" s="24">
        <f>Data!M756</f>
        <v>47208020000</v>
      </c>
      <c r="N756" s="24">
        <f t="shared" si="92"/>
        <v>651096710000</v>
      </c>
      <c r="O756" s="25">
        <f t="shared" si="93"/>
        <v>0.48723621165279729</v>
      </c>
      <c r="P756" s="24">
        <f>Data!K756</f>
        <v>189519000000</v>
      </c>
      <c r="Q756" s="24">
        <f>Data!I756</f>
        <v>461577700000</v>
      </c>
      <c r="R756" s="25">
        <f t="shared" si="94"/>
        <v>0.43111907269350319</v>
      </c>
      <c r="S756" s="25">
        <f t="shared" si="95"/>
        <v>2.7735001515350781</v>
      </c>
    </row>
    <row r="757" spans="1:19" ht="15" customHeight="1" x14ac:dyDescent="0.3">
      <c r="A757" s="22"/>
      <c r="B757" s="23"/>
      <c r="C757" s="2"/>
      <c r="D757" s="23">
        <v>2021</v>
      </c>
      <c r="E757" s="24">
        <f>Data!F757</f>
        <v>214528519999.99997</v>
      </c>
      <c r="F757" s="24">
        <f>Data!H757</f>
        <v>90856490000</v>
      </c>
      <c r="G757" s="24">
        <f t="shared" si="88"/>
        <v>123672029999.99997</v>
      </c>
      <c r="H757" s="24">
        <f>Data!G757</f>
        <v>638850140000</v>
      </c>
      <c r="I757" s="25">
        <f t="shared" si="89"/>
        <v>1.2699199170559776</v>
      </c>
      <c r="J757" s="24">
        <f>Data!J757</f>
        <v>84315600000</v>
      </c>
      <c r="K757" s="24">
        <f t="shared" si="90"/>
        <v>638850140000</v>
      </c>
      <c r="L757" s="25">
        <f t="shared" si="91"/>
        <v>0.4302556089288796</v>
      </c>
      <c r="M757" s="24">
        <f>Data!M757</f>
        <v>33320010000.000004</v>
      </c>
      <c r="N757" s="24">
        <f t="shared" si="92"/>
        <v>638850140000</v>
      </c>
      <c r="O757" s="25">
        <f t="shared" si="93"/>
        <v>0.35048981471617119</v>
      </c>
      <c r="P757" s="24">
        <f>Data!K757</f>
        <v>187287430000</v>
      </c>
      <c r="Q757" s="24">
        <f>Data!I757</f>
        <v>451562710000</v>
      </c>
      <c r="R757" s="25">
        <f t="shared" si="94"/>
        <v>0.43549167622809243</v>
      </c>
      <c r="S757" s="25">
        <f t="shared" si="95"/>
        <v>2.4861570169291207</v>
      </c>
    </row>
    <row r="758" spans="1:19" ht="15" customHeight="1" x14ac:dyDescent="0.3">
      <c r="A758" s="22"/>
      <c r="B758" s="23"/>
      <c r="C758" s="2"/>
      <c r="D758" s="23">
        <v>2022</v>
      </c>
      <c r="E758" s="24">
        <f>Data!F758</f>
        <v>240829060000.00003</v>
      </c>
      <c r="F758" s="24">
        <f>Data!H758</f>
        <v>74198980000</v>
      </c>
      <c r="G758" s="24">
        <f t="shared" si="88"/>
        <v>166630080000.00003</v>
      </c>
      <c r="H758" s="24">
        <f>Data!G758</f>
        <v>717529210000</v>
      </c>
      <c r="I758" s="25">
        <f t="shared" si="89"/>
        <v>1.523412997778864</v>
      </c>
      <c r="J758" s="24">
        <f>Data!J758</f>
        <v>94738000000</v>
      </c>
      <c r="K758" s="24">
        <f t="shared" si="90"/>
        <v>717529210000</v>
      </c>
      <c r="L758" s="25">
        <f t="shared" si="91"/>
        <v>0.430429696374312</v>
      </c>
      <c r="M758" s="24">
        <f>Data!M758</f>
        <v>46535400000</v>
      </c>
      <c r="N758" s="24">
        <f t="shared" si="92"/>
        <v>717529210000</v>
      </c>
      <c r="O758" s="25">
        <f t="shared" si="93"/>
        <v>0.43582600351559203</v>
      </c>
      <c r="P758" s="24">
        <f>Data!K758</f>
        <v>205262620000</v>
      </c>
      <c r="Q758" s="24">
        <f>Data!I758</f>
        <v>512266590000</v>
      </c>
      <c r="R758" s="25">
        <f t="shared" si="94"/>
        <v>0.42072966538770368</v>
      </c>
      <c r="S758" s="25">
        <f t="shared" si="95"/>
        <v>2.8103983630564717</v>
      </c>
    </row>
    <row r="759" spans="1:19" ht="15" customHeight="1" x14ac:dyDescent="0.3">
      <c r="A759" s="22"/>
      <c r="B759" s="23"/>
      <c r="C759" s="2"/>
      <c r="D759" s="23">
        <v>2023</v>
      </c>
      <c r="E759" s="24">
        <f>Data!F759</f>
        <v>304771829999.99994</v>
      </c>
      <c r="F759" s="24">
        <f>Data!H759</f>
        <v>82051450000</v>
      </c>
      <c r="G759" s="24">
        <f t="shared" si="88"/>
        <v>222720379999.99994</v>
      </c>
      <c r="H759" s="24">
        <f>Data!G759</f>
        <v>862563240000</v>
      </c>
      <c r="I759" s="25">
        <f t="shared" si="89"/>
        <v>1.6938418252092444</v>
      </c>
      <c r="J759" s="24">
        <f>Data!J759</f>
        <v>95793770000</v>
      </c>
      <c r="K759" s="24">
        <f t="shared" si="90"/>
        <v>862563240000</v>
      </c>
      <c r="L759" s="25">
        <f t="shared" si="91"/>
        <v>0.36204613843733935</v>
      </c>
      <c r="M759" s="24">
        <f>Data!M759</f>
        <v>54633590000</v>
      </c>
      <c r="N759" s="24">
        <f t="shared" si="92"/>
        <v>862563240000</v>
      </c>
      <c r="O759" s="25">
        <f t="shared" si="93"/>
        <v>0.42563571895319807</v>
      </c>
      <c r="P759" s="24">
        <f>Data!K759</f>
        <v>259373160000</v>
      </c>
      <c r="Q759" s="24">
        <f>Data!I759</f>
        <v>603190080000</v>
      </c>
      <c r="R759" s="25">
        <f t="shared" si="94"/>
        <v>0.45150248160579831</v>
      </c>
      <c r="S759" s="25">
        <f t="shared" si="95"/>
        <v>2.9330261642055802</v>
      </c>
    </row>
    <row r="760" spans="1:19" ht="15" customHeight="1" x14ac:dyDescent="0.3">
      <c r="A760" s="22"/>
      <c r="B760" s="23"/>
      <c r="C760" s="2"/>
      <c r="D760" s="23">
        <v>2024</v>
      </c>
      <c r="E760" s="24">
        <f>Data!F760</f>
        <v>268087660000.00003</v>
      </c>
      <c r="F760" s="24">
        <f>Data!H760</f>
        <v>95242450000</v>
      </c>
      <c r="G760" s="24">
        <f t="shared" si="88"/>
        <v>172845210000.00003</v>
      </c>
      <c r="H760" s="24">
        <f>Data!G760</f>
        <v>914639760000</v>
      </c>
      <c r="I760" s="25">
        <f t="shared" si="89"/>
        <v>1.2396843294894595</v>
      </c>
      <c r="J760" s="24">
        <f>Data!J760</f>
        <v>102357180000</v>
      </c>
      <c r="K760" s="24">
        <f t="shared" si="90"/>
        <v>914639760000</v>
      </c>
      <c r="L760" s="25">
        <f t="shared" si="91"/>
        <v>0.36482604561166243</v>
      </c>
      <c r="M760" s="24">
        <f>Data!M760</f>
        <v>58465820000</v>
      </c>
      <c r="N760" s="24">
        <f t="shared" si="92"/>
        <v>914639760000</v>
      </c>
      <c r="O760" s="25">
        <f t="shared" si="93"/>
        <v>0.42955743625227927</v>
      </c>
      <c r="P760" s="24">
        <f>Data!K760</f>
        <v>274121599999.99997</v>
      </c>
      <c r="Q760" s="24">
        <f>Data!I760</f>
        <v>640518160000</v>
      </c>
      <c r="R760" s="25">
        <f t="shared" si="94"/>
        <v>0.44936693129824762</v>
      </c>
      <c r="S760" s="25">
        <f t="shared" si="95"/>
        <v>2.483434742651649</v>
      </c>
    </row>
    <row r="761" spans="1:19" ht="15" customHeight="1" x14ac:dyDescent="0.3">
      <c r="A761" s="22"/>
      <c r="B761" s="23">
        <v>70</v>
      </c>
      <c r="C761" s="2" t="s">
        <v>71</v>
      </c>
      <c r="D761" s="23">
        <v>2014</v>
      </c>
      <c r="E761" s="24">
        <f>Data!F761</f>
        <v>0</v>
      </c>
      <c r="F761" s="24">
        <f>Data!H761</f>
        <v>0</v>
      </c>
      <c r="G761" s="24">
        <f t="shared" si="88"/>
        <v>0</v>
      </c>
      <c r="H761" s="24">
        <f>Data!G761</f>
        <v>0</v>
      </c>
      <c r="I761" s="25">
        <f t="shared" si="89"/>
        <v>0</v>
      </c>
      <c r="J761" s="24">
        <f>Data!J761</f>
        <v>0</v>
      </c>
      <c r="K761" s="24">
        <f t="shared" si="90"/>
        <v>0</v>
      </c>
      <c r="L761" s="25">
        <f t="shared" si="91"/>
        <v>0</v>
      </c>
      <c r="M761" s="24">
        <f>Data!M761</f>
        <v>0</v>
      </c>
      <c r="N761" s="24">
        <f t="shared" si="92"/>
        <v>0</v>
      </c>
      <c r="O761" s="25">
        <f t="shared" si="93"/>
        <v>0</v>
      </c>
      <c r="P761" s="24">
        <f>Data!K761</f>
        <v>0</v>
      </c>
      <c r="Q761" s="24">
        <f>Data!I761</f>
        <v>0</v>
      </c>
      <c r="R761" s="25">
        <f t="shared" si="94"/>
        <v>0</v>
      </c>
      <c r="S761" s="25">
        <f t="shared" si="95"/>
        <v>0</v>
      </c>
    </row>
    <row r="762" spans="1:19" ht="15" customHeight="1" x14ac:dyDescent="0.3">
      <c r="A762" s="22"/>
      <c r="B762" s="23"/>
      <c r="C762" s="2"/>
      <c r="D762" s="23">
        <v>2015</v>
      </c>
      <c r="E762" s="24">
        <f>Data!F762</f>
        <v>140990377000</v>
      </c>
      <c r="F762" s="24">
        <f>Data!H762</f>
        <v>76180300000</v>
      </c>
      <c r="G762" s="24">
        <f t="shared" si="88"/>
        <v>64810077000</v>
      </c>
      <c r="H762" s="24">
        <f>Data!G762</f>
        <v>494002999000</v>
      </c>
      <c r="I762" s="25">
        <f t="shared" si="89"/>
        <v>0.86063061556433995</v>
      </c>
      <c r="J762" s="24">
        <f>Data!J762</f>
        <v>74632455000</v>
      </c>
      <c r="K762" s="24">
        <f t="shared" si="90"/>
        <v>494002999000</v>
      </c>
      <c r="L762" s="25">
        <f t="shared" si="91"/>
        <v>0.4925107819031681</v>
      </c>
      <c r="M762" s="24">
        <f>Data!M762</f>
        <v>30471312000</v>
      </c>
      <c r="N762" s="24">
        <f t="shared" si="92"/>
        <v>494002999000</v>
      </c>
      <c r="O762" s="25">
        <f t="shared" si="93"/>
        <v>0.41450601930455078</v>
      </c>
      <c r="P762" s="24">
        <f>Data!K762</f>
        <v>160705086000</v>
      </c>
      <c r="Q762" s="24">
        <f>Data!I762</f>
        <v>333297913000</v>
      </c>
      <c r="R762" s="25">
        <f t="shared" si="94"/>
        <v>0.50627481816845343</v>
      </c>
      <c r="S762" s="25">
        <f t="shared" si="95"/>
        <v>2.2739222349405122</v>
      </c>
    </row>
    <row r="763" spans="1:19" ht="15" customHeight="1" x14ac:dyDescent="0.3">
      <c r="A763" s="22"/>
      <c r="B763" s="23"/>
      <c r="C763" s="2"/>
      <c r="D763" s="23">
        <v>2016</v>
      </c>
      <c r="E763" s="24">
        <f>Data!F763</f>
        <v>252687237000</v>
      </c>
      <c r="F763" s="24">
        <f>Data!H763</f>
        <v>58415820000</v>
      </c>
      <c r="G763" s="24">
        <f t="shared" si="88"/>
        <v>194271417000</v>
      </c>
      <c r="H763" s="24">
        <f>Data!G763</f>
        <v>525898830000</v>
      </c>
      <c r="I763" s="25">
        <f t="shared" si="89"/>
        <v>2.4233187503383489</v>
      </c>
      <c r="J763" s="24">
        <f>Data!J763</f>
        <v>87421595000</v>
      </c>
      <c r="K763" s="24">
        <f t="shared" si="90"/>
        <v>525898830000</v>
      </c>
      <c r="L763" s="25">
        <f t="shared" si="91"/>
        <v>0.54191867987232445</v>
      </c>
      <c r="M763" s="24">
        <f>Data!M763</f>
        <v>18730381000</v>
      </c>
      <c r="N763" s="24">
        <f t="shared" si="92"/>
        <v>525898830000</v>
      </c>
      <c r="O763" s="25">
        <f t="shared" si="93"/>
        <v>0.23933911455935356</v>
      </c>
      <c r="P763" s="24">
        <f>Data!K763</f>
        <v>173651622000</v>
      </c>
      <c r="Q763" s="24">
        <f>Data!I763</f>
        <v>352247208000</v>
      </c>
      <c r="R763" s="25">
        <f t="shared" si="94"/>
        <v>0.51763136501567386</v>
      </c>
      <c r="S763" s="25">
        <f t="shared" si="95"/>
        <v>3.722207909785701</v>
      </c>
    </row>
    <row r="764" spans="1:19" ht="15" customHeight="1" x14ac:dyDescent="0.3">
      <c r="A764" s="22"/>
      <c r="B764" s="23"/>
      <c r="C764" s="2"/>
      <c r="D764" s="23">
        <v>2017</v>
      </c>
      <c r="E764" s="24">
        <f>Data!F764</f>
        <v>331114439000</v>
      </c>
      <c r="F764" s="24">
        <f>Data!H764</f>
        <v>119138398000</v>
      </c>
      <c r="G764" s="24">
        <f t="shared" si="88"/>
        <v>211976041000</v>
      </c>
      <c r="H764" s="24">
        <f>Data!G764</f>
        <v>738183659000</v>
      </c>
      <c r="I764" s="25">
        <f t="shared" si="89"/>
        <v>1.8837626815578155</v>
      </c>
      <c r="J764" s="24">
        <f>Data!J764</f>
        <v>95370975000</v>
      </c>
      <c r="K764" s="24">
        <f t="shared" si="90"/>
        <v>738183659000</v>
      </c>
      <c r="L764" s="25">
        <f t="shared" si="91"/>
        <v>0.42118160529478743</v>
      </c>
      <c r="M764" s="24">
        <f>Data!M764</f>
        <v>13929913000</v>
      </c>
      <c r="N764" s="24">
        <f t="shared" si="92"/>
        <v>738183659000</v>
      </c>
      <c r="O764" s="25">
        <f t="shared" si="93"/>
        <v>0.12680992625440926</v>
      </c>
      <c r="P764" s="24">
        <f>Data!K764</f>
        <v>267548015000</v>
      </c>
      <c r="Q764" s="24">
        <f>Data!I764</f>
        <v>470635644000</v>
      </c>
      <c r="R764" s="25">
        <f t="shared" si="94"/>
        <v>0.59690637403145774</v>
      </c>
      <c r="S764" s="25">
        <f t="shared" si="95"/>
        <v>3.0286605871384698</v>
      </c>
    </row>
    <row r="765" spans="1:19" ht="15" customHeight="1" x14ac:dyDescent="0.3">
      <c r="A765" s="22"/>
      <c r="B765" s="23"/>
      <c r="C765" s="2"/>
      <c r="D765" s="23">
        <v>2018</v>
      </c>
      <c r="E765" s="24">
        <f>Data!F765</f>
        <v>439929132000</v>
      </c>
      <c r="F765" s="24">
        <f>Data!H765</f>
        <v>130924547000</v>
      </c>
      <c r="G765" s="24">
        <f t="shared" si="88"/>
        <v>309004585000</v>
      </c>
      <c r="H765" s="24">
        <f>Data!G765</f>
        <v>874472888000</v>
      </c>
      <c r="I765" s="25">
        <f t="shared" si="89"/>
        <v>2.3180479411272494</v>
      </c>
      <c r="J765" s="24">
        <f>Data!J765</f>
        <v>112936985000</v>
      </c>
      <c r="K765" s="24">
        <f t="shared" si="90"/>
        <v>874472888000</v>
      </c>
      <c r="L765" s="25">
        <f t="shared" si="91"/>
        <v>0.4210245693746425</v>
      </c>
      <c r="M765" s="24">
        <f>Data!M765</f>
        <v>15214756000</v>
      </c>
      <c r="N765" s="24">
        <f t="shared" si="92"/>
        <v>874472888000</v>
      </c>
      <c r="O765" s="25">
        <f t="shared" si="93"/>
        <v>0.11691976014698353</v>
      </c>
      <c r="P765" s="24">
        <f>Data!K765</f>
        <v>281361909000</v>
      </c>
      <c r="Q765" s="24">
        <f>Data!I765</f>
        <v>593110979000</v>
      </c>
      <c r="R765" s="25">
        <f t="shared" si="94"/>
        <v>0.49810240395162203</v>
      </c>
      <c r="S765" s="25">
        <f t="shared" si="95"/>
        <v>3.3540946746004976</v>
      </c>
    </row>
    <row r="766" spans="1:19" ht="15" customHeight="1" x14ac:dyDescent="0.3">
      <c r="A766" s="22"/>
      <c r="B766" s="23"/>
      <c r="C766" s="2"/>
      <c r="D766" s="23">
        <v>2019</v>
      </c>
      <c r="E766" s="24">
        <f>Data!F766</f>
        <v>446790288000</v>
      </c>
      <c r="F766" s="24">
        <f>Data!H766</f>
        <v>83135850000</v>
      </c>
      <c r="G766" s="24">
        <f t="shared" si="88"/>
        <v>363654438000</v>
      </c>
      <c r="H766" s="24">
        <f>Data!G766</f>
        <v>857520585000</v>
      </c>
      <c r="I766" s="25">
        <f t="shared" si="89"/>
        <v>2.7819426787054913</v>
      </c>
      <c r="J766" s="24">
        <f>Data!J766</f>
        <v>122867674000</v>
      </c>
      <c r="K766" s="24">
        <f t="shared" si="90"/>
        <v>857520585000</v>
      </c>
      <c r="L766" s="25">
        <f t="shared" si="91"/>
        <v>0.46710087693113511</v>
      </c>
      <c r="M766" s="24">
        <f>Data!M766</f>
        <v>7942780000</v>
      </c>
      <c r="N766" s="24">
        <f t="shared" si="92"/>
        <v>857520585000</v>
      </c>
      <c r="O766" s="25">
        <f t="shared" si="93"/>
        <v>6.2243965373729192E-2</v>
      </c>
      <c r="P766" s="24">
        <f>Data!K766</f>
        <v>291485498000</v>
      </c>
      <c r="Q766" s="24">
        <f>Data!I766</f>
        <v>566035087000</v>
      </c>
      <c r="R766" s="25">
        <f t="shared" si="94"/>
        <v>0.54070812910578459</v>
      </c>
      <c r="S766" s="25">
        <f t="shared" si="95"/>
        <v>3.8519956501161401</v>
      </c>
    </row>
    <row r="767" spans="1:19" ht="15" customHeight="1" x14ac:dyDescent="0.3">
      <c r="A767" s="22"/>
      <c r="B767" s="23"/>
      <c r="C767" s="2"/>
      <c r="D767" s="23">
        <v>2020</v>
      </c>
      <c r="E767" s="24">
        <f>Data!F767</f>
        <v>427207091000</v>
      </c>
      <c r="F767" s="24">
        <f>Data!H767</f>
        <v>101973594000</v>
      </c>
      <c r="G767" s="24">
        <f t="shared" si="88"/>
        <v>325233497000</v>
      </c>
      <c r="H767" s="24">
        <f>Data!G767</f>
        <v>871769183000</v>
      </c>
      <c r="I767" s="25">
        <f t="shared" si="89"/>
        <v>2.4473585232480048</v>
      </c>
      <c r="J767" s="24">
        <f>Data!J767</f>
        <v>149110586000</v>
      </c>
      <c r="K767" s="24">
        <f t="shared" si="90"/>
        <v>871769183000</v>
      </c>
      <c r="L767" s="25">
        <f t="shared" si="91"/>
        <v>0.55760231015186046</v>
      </c>
      <c r="M767" s="24">
        <f>Data!M767</f>
        <v>18627452000</v>
      </c>
      <c r="N767" s="24">
        <f t="shared" si="92"/>
        <v>871769183000</v>
      </c>
      <c r="O767" s="25">
        <f t="shared" si="93"/>
        <v>0.14358901402001037</v>
      </c>
      <c r="P767" s="24">
        <f>Data!K767</f>
        <v>313771731000</v>
      </c>
      <c r="Q767" s="24">
        <f>Data!I767</f>
        <v>557997452000</v>
      </c>
      <c r="R767" s="25">
        <f t="shared" si="94"/>
        <v>0.59043337271368046</v>
      </c>
      <c r="S767" s="25">
        <f t="shared" si="95"/>
        <v>3.738983220133556</v>
      </c>
    </row>
    <row r="768" spans="1:19" ht="15" customHeight="1" x14ac:dyDescent="0.3">
      <c r="A768" s="22"/>
      <c r="B768" s="23"/>
      <c r="C768" s="2"/>
      <c r="D768" s="23">
        <v>2021</v>
      </c>
      <c r="E768" s="24">
        <f>Data!F768</f>
        <v>447370600000</v>
      </c>
      <c r="F768" s="24">
        <f>Data!H768</f>
        <v>126100072000</v>
      </c>
      <c r="G768" s="24">
        <f t="shared" si="88"/>
        <v>321270528000</v>
      </c>
      <c r="H768" s="24">
        <f>Data!G768</f>
        <v>954657152000</v>
      </c>
      <c r="I768" s="25">
        <f t="shared" si="89"/>
        <v>2.2076351277154624</v>
      </c>
      <c r="J768" s="24">
        <f>Data!J768</f>
        <v>167106634000</v>
      </c>
      <c r="K768" s="24">
        <f t="shared" si="90"/>
        <v>954657152000</v>
      </c>
      <c r="L768" s="25">
        <f t="shared" si="91"/>
        <v>0.57064216792250033</v>
      </c>
      <c r="M768" s="24">
        <f>Data!M768</f>
        <v>12315070000</v>
      </c>
      <c r="N768" s="24">
        <f t="shared" si="92"/>
        <v>954657152000</v>
      </c>
      <c r="O768" s="25">
        <f t="shared" si="93"/>
        <v>8.6687948889948713E-2</v>
      </c>
      <c r="P768" s="24">
        <f>Data!K768</f>
        <v>355742467000</v>
      </c>
      <c r="Q768" s="24">
        <f>Data!I768</f>
        <v>498914085000</v>
      </c>
      <c r="R768" s="25">
        <f t="shared" si="94"/>
        <v>0.7486851976728619</v>
      </c>
      <c r="S768" s="25">
        <f t="shared" si="95"/>
        <v>3.6136504422007736</v>
      </c>
    </row>
    <row r="769" spans="1:19" ht="15" customHeight="1" x14ac:dyDescent="0.3">
      <c r="A769" s="22"/>
      <c r="B769" s="23"/>
      <c r="C769" s="2"/>
      <c r="D769" s="23">
        <v>2022</v>
      </c>
      <c r="E769" s="24">
        <f>Data!F769</f>
        <v>504595559000</v>
      </c>
      <c r="F769" s="24">
        <f>Data!H769</f>
        <v>91031534000</v>
      </c>
      <c r="G769" s="24">
        <f t="shared" si="88"/>
        <v>413564025000</v>
      </c>
      <c r="H769" s="24">
        <f>Data!G769</f>
        <v>989810930000</v>
      </c>
      <c r="I769" s="25">
        <f t="shared" si="89"/>
        <v>2.7409073003467439</v>
      </c>
      <c r="J769" s="24">
        <f>Data!J769</f>
        <v>178668004000</v>
      </c>
      <c r="K769" s="24">
        <f t="shared" si="90"/>
        <v>989810930000</v>
      </c>
      <c r="L769" s="25">
        <f t="shared" si="91"/>
        <v>0.58845348680883935</v>
      </c>
      <c r="M769" s="24">
        <f>Data!M769</f>
        <v>5978020000</v>
      </c>
      <c r="N769" s="24">
        <f t="shared" si="92"/>
        <v>989810930000</v>
      </c>
      <c r="O769" s="25">
        <f t="shared" si="93"/>
        <v>4.0585826224408331E-2</v>
      </c>
      <c r="P769" s="24">
        <f>Data!K769</f>
        <v>369251595000</v>
      </c>
      <c r="Q769" s="24">
        <f>Data!I769</f>
        <v>620559335000</v>
      </c>
      <c r="R769" s="25">
        <f t="shared" si="94"/>
        <v>0.62478179423406788</v>
      </c>
      <c r="S769" s="25">
        <f t="shared" si="95"/>
        <v>3.9947284076140597</v>
      </c>
    </row>
    <row r="770" spans="1:19" ht="15" customHeight="1" x14ac:dyDescent="0.3">
      <c r="A770" s="22"/>
      <c r="B770" s="23"/>
      <c r="C770" s="2"/>
      <c r="D770" s="23">
        <v>2023</v>
      </c>
      <c r="E770" s="24">
        <f>Data!F770</f>
        <v>474221779000</v>
      </c>
      <c r="F770" s="24">
        <f>Data!H770</f>
        <v>92642463000</v>
      </c>
      <c r="G770" s="24">
        <f t="shared" si="88"/>
        <v>381579316000</v>
      </c>
      <c r="H770" s="24">
        <f>Data!G770</f>
        <v>970378457000</v>
      </c>
      <c r="I770" s="25">
        <f t="shared" si="89"/>
        <v>2.5795711919437219</v>
      </c>
      <c r="J770" s="24">
        <f>Data!J770</f>
        <v>191451536000</v>
      </c>
      <c r="K770" s="24">
        <f t="shared" si="90"/>
        <v>970378457000</v>
      </c>
      <c r="L770" s="25">
        <f t="shared" si="91"/>
        <v>0.64318411322686642</v>
      </c>
      <c r="M770" s="24">
        <f>Data!M770</f>
        <v>6818059000</v>
      </c>
      <c r="N770" s="24">
        <f t="shared" si="92"/>
        <v>970378457000</v>
      </c>
      <c r="O770" s="25">
        <f t="shared" si="93"/>
        <v>4.7215966254700148E-2</v>
      </c>
      <c r="P770" s="24">
        <f>Data!K770</f>
        <v>387696811000</v>
      </c>
      <c r="Q770" s="24">
        <f>Data!I770</f>
        <v>582681646000</v>
      </c>
      <c r="R770" s="25">
        <f t="shared" si="94"/>
        <v>0.69863475938282771</v>
      </c>
      <c r="S770" s="25">
        <f t="shared" si="95"/>
        <v>3.9686060308081164</v>
      </c>
    </row>
    <row r="771" spans="1:19" ht="15" customHeight="1" x14ac:dyDescent="0.3">
      <c r="A771" s="22"/>
      <c r="B771" s="23"/>
      <c r="C771" s="2"/>
      <c r="D771" s="23">
        <v>2024</v>
      </c>
      <c r="E771" s="24">
        <f>Data!F771</f>
        <v>362727524000</v>
      </c>
      <c r="F771" s="24">
        <f>Data!H771</f>
        <v>110720162000</v>
      </c>
      <c r="G771" s="24">
        <f t="shared" ref="G771:G834" si="96">E771-F771</f>
        <v>252007362000</v>
      </c>
      <c r="H771" s="24">
        <f>Data!G771</f>
        <v>903498744000</v>
      </c>
      <c r="I771" s="25">
        <f t="shared" ref="I771:I834" si="97">IFERROR(6.56*(G771/H771),0)</f>
        <v>1.8297405565845477</v>
      </c>
      <c r="J771" s="24">
        <f>Data!J771</f>
        <v>210209202000</v>
      </c>
      <c r="K771" s="24">
        <f t="shared" ref="K771:K834" si="98">H771</f>
        <v>903498744000</v>
      </c>
      <c r="L771" s="25">
        <f t="shared" ref="L771:L834" si="99">IFERROR(3.26*(J771/K771),0)</f>
        <v>0.7584758729006047</v>
      </c>
      <c r="M771" s="24">
        <f>Data!M771</f>
        <v>2143505000</v>
      </c>
      <c r="N771" s="24">
        <f t="shared" ref="N771:N834" si="100">K771</f>
        <v>903498744000</v>
      </c>
      <c r="O771" s="25">
        <f t="shared" ref="O771:O834" si="101">IFERROR(6.72*(M771/N771),0)</f>
        <v>1.5942859573028913E-2</v>
      </c>
      <c r="P771" s="24">
        <f>Data!K771</f>
        <v>422232510000</v>
      </c>
      <c r="Q771" s="24">
        <f>Data!I771</f>
        <v>481266234000</v>
      </c>
      <c r="R771" s="25">
        <f t="shared" ref="R771:R834" si="102">IFERROR(1.05*(P771/Q771),0)</f>
        <v>0.92120349232728438</v>
      </c>
      <c r="S771" s="25">
        <f t="shared" ref="S771:S834" si="103">IFERROR(I771+L771+O771+R771,0)</f>
        <v>3.525362781385466</v>
      </c>
    </row>
    <row r="772" spans="1:19" ht="15" customHeight="1" x14ac:dyDescent="0.3">
      <c r="A772" s="22"/>
      <c r="B772" s="23">
        <v>71</v>
      </c>
      <c r="C772" s="2" t="s">
        <v>73</v>
      </c>
      <c r="D772" s="23">
        <v>2014</v>
      </c>
      <c r="E772" s="24">
        <f>Data!F772</f>
        <v>0</v>
      </c>
      <c r="F772" s="24">
        <f>Data!H772</f>
        <v>0</v>
      </c>
      <c r="G772" s="24">
        <f t="shared" si="96"/>
        <v>0</v>
      </c>
      <c r="H772" s="24">
        <f>Data!G772</f>
        <v>0</v>
      </c>
      <c r="I772" s="25">
        <f t="shared" si="97"/>
        <v>0</v>
      </c>
      <c r="J772" s="24">
        <f>Data!J772</f>
        <v>0</v>
      </c>
      <c r="K772" s="24">
        <f t="shared" si="98"/>
        <v>0</v>
      </c>
      <c r="L772" s="25">
        <f t="shared" si="99"/>
        <v>0</v>
      </c>
      <c r="M772" s="24">
        <f>Data!M772</f>
        <v>0</v>
      </c>
      <c r="N772" s="24">
        <f t="shared" si="100"/>
        <v>0</v>
      </c>
      <c r="O772" s="25">
        <f t="shared" si="101"/>
        <v>0</v>
      </c>
      <c r="P772" s="24">
        <f>Data!K772</f>
        <v>0</v>
      </c>
      <c r="Q772" s="24">
        <f>Data!I772</f>
        <v>0</v>
      </c>
      <c r="R772" s="25">
        <f t="shared" si="102"/>
        <v>0</v>
      </c>
      <c r="S772" s="25">
        <f t="shared" si="103"/>
        <v>0</v>
      </c>
    </row>
    <row r="773" spans="1:19" ht="15" customHeight="1" x14ac:dyDescent="0.3">
      <c r="A773" s="22"/>
      <c r="B773" s="23"/>
      <c r="C773" s="2"/>
      <c r="D773" s="23">
        <v>2015</v>
      </c>
      <c r="E773" s="24">
        <f>Data!F773</f>
        <v>151503000000</v>
      </c>
      <c r="F773" s="24">
        <f>Data!H773</f>
        <v>65534000000</v>
      </c>
      <c r="G773" s="24">
        <f t="shared" si="96"/>
        <v>85969000000</v>
      </c>
      <c r="H773" s="24">
        <f>Data!G773</f>
        <v>393493000000</v>
      </c>
      <c r="I773" s="25">
        <f t="shared" si="97"/>
        <v>1.4332062832121537</v>
      </c>
      <c r="J773" s="24">
        <f>Data!J773</f>
        <v>95484000000</v>
      </c>
      <c r="K773" s="24">
        <f t="shared" si="98"/>
        <v>393493000000</v>
      </c>
      <c r="L773" s="25">
        <f t="shared" si="99"/>
        <v>0.79106322094675119</v>
      </c>
      <c r="M773" s="24">
        <f>Data!M773</f>
        <v>29625000000</v>
      </c>
      <c r="N773" s="24">
        <f t="shared" si="100"/>
        <v>393493000000</v>
      </c>
      <c r="O773" s="25">
        <f t="shared" si="101"/>
        <v>0.50593021985143316</v>
      </c>
      <c r="P773" s="24">
        <f>Data!K773</f>
        <v>145167000000</v>
      </c>
      <c r="Q773" s="24">
        <f>Data!I773</f>
        <v>248326000000</v>
      </c>
      <c r="R773" s="25">
        <f t="shared" si="102"/>
        <v>0.61381148168133826</v>
      </c>
      <c r="S773" s="25">
        <f t="shared" si="103"/>
        <v>3.3440112056916762</v>
      </c>
    </row>
    <row r="774" spans="1:19" ht="15" customHeight="1" x14ac:dyDescent="0.3">
      <c r="A774" s="22"/>
      <c r="B774" s="23"/>
      <c r="C774" s="2"/>
      <c r="D774" s="23">
        <v>2016</v>
      </c>
      <c r="E774" s="24">
        <f>Data!F774</f>
        <v>155143000000</v>
      </c>
      <c r="F774" s="24">
        <f>Data!H774</f>
        <v>83251000000</v>
      </c>
      <c r="G774" s="24">
        <f t="shared" si="96"/>
        <v>71892000000</v>
      </c>
      <c r="H774" s="24">
        <f>Data!G774</f>
        <v>445968000000</v>
      </c>
      <c r="I774" s="25">
        <f t="shared" si="97"/>
        <v>1.057500807232806</v>
      </c>
      <c r="J774" s="24">
        <f>Data!J774</f>
        <v>116758000000</v>
      </c>
      <c r="K774" s="24">
        <f t="shared" si="98"/>
        <v>445968000000</v>
      </c>
      <c r="L774" s="25">
        <f t="shared" si="99"/>
        <v>0.85349415204678369</v>
      </c>
      <c r="M774" s="24">
        <f>Data!M774</f>
        <v>48105000000</v>
      </c>
      <c r="N774" s="24">
        <f t="shared" si="100"/>
        <v>445968000000</v>
      </c>
      <c r="O774" s="25">
        <f t="shared" si="101"/>
        <v>0.72486277042298997</v>
      </c>
      <c r="P774" s="24">
        <f>Data!K774</f>
        <v>167079000000</v>
      </c>
      <c r="Q774" s="24">
        <f>Data!I774</f>
        <v>278889000000</v>
      </c>
      <c r="R774" s="25">
        <f t="shared" si="102"/>
        <v>0.62904219958478103</v>
      </c>
      <c r="S774" s="25">
        <f t="shared" si="103"/>
        <v>3.2648999292873606</v>
      </c>
    </row>
    <row r="775" spans="1:19" ht="15" customHeight="1" x14ac:dyDescent="0.3">
      <c r="A775" s="22"/>
      <c r="B775" s="23"/>
      <c r="C775" s="2"/>
      <c r="D775" s="23">
        <v>2017</v>
      </c>
      <c r="E775" s="24">
        <f>Data!F775</f>
        <v>118183000000</v>
      </c>
      <c r="F775" s="24">
        <f>Data!H775</f>
        <v>74365000000</v>
      </c>
      <c r="G775" s="24">
        <f t="shared" si="96"/>
        <v>43818000000</v>
      </c>
      <c r="H775" s="24">
        <f>Data!G775</f>
        <v>413902000000</v>
      </c>
      <c r="I775" s="25">
        <f t="shared" si="97"/>
        <v>0.69447859638271858</v>
      </c>
      <c r="J775" s="24">
        <f>Data!J775</f>
        <v>131268000000</v>
      </c>
      <c r="K775" s="24">
        <f t="shared" si="98"/>
        <v>413902000000</v>
      </c>
      <c r="L775" s="25">
        <f t="shared" si="99"/>
        <v>1.0339009717276069</v>
      </c>
      <c r="M775" s="24">
        <f>Data!M775</f>
        <v>47815000000</v>
      </c>
      <c r="N775" s="24">
        <f t="shared" si="100"/>
        <v>413902000000</v>
      </c>
      <c r="O775" s="25">
        <f t="shared" si="101"/>
        <v>0.77631130074268784</v>
      </c>
      <c r="P775" s="24">
        <f>Data!K775</f>
        <v>181683000000</v>
      </c>
      <c r="Q775" s="24">
        <f>Data!I775</f>
        <v>232219000000</v>
      </c>
      <c r="R775" s="25">
        <f t="shared" si="102"/>
        <v>0.82149673368673548</v>
      </c>
      <c r="S775" s="25">
        <f t="shared" si="103"/>
        <v>3.3261876025397488</v>
      </c>
    </row>
    <row r="776" spans="1:19" ht="15" customHeight="1" x14ac:dyDescent="0.3">
      <c r="A776" s="22"/>
      <c r="B776" s="23"/>
      <c r="C776" s="2"/>
      <c r="D776" s="23">
        <v>2018</v>
      </c>
      <c r="E776" s="24">
        <f>Data!F776</f>
        <v>131190000000</v>
      </c>
      <c r="F776" s="24">
        <f>Data!H776</f>
        <v>88296000000</v>
      </c>
      <c r="G776" s="24">
        <f t="shared" si="96"/>
        <v>42894000000</v>
      </c>
      <c r="H776" s="24">
        <f>Data!G776</f>
        <v>458423000000</v>
      </c>
      <c r="I776" s="25">
        <f t="shared" si="97"/>
        <v>0.61381004007216033</v>
      </c>
      <c r="J776" s="24">
        <f>Data!J776</f>
        <v>148043000000</v>
      </c>
      <c r="K776" s="24">
        <f t="shared" si="98"/>
        <v>458423000000</v>
      </c>
      <c r="L776" s="25">
        <f t="shared" si="99"/>
        <v>1.0527835208966392</v>
      </c>
      <c r="M776" s="24">
        <f>Data!M776</f>
        <v>49525000000</v>
      </c>
      <c r="N776" s="24">
        <f t="shared" si="100"/>
        <v>458423000000</v>
      </c>
      <c r="O776" s="25">
        <f t="shared" si="101"/>
        <v>0.72598451648368423</v>
      </c>
      <c r="P776" s="24">
        <f>Data!K776</f>
        <v>198713000000</v>
      </c>
      <c r="Q776" s="24">
        <f>Data!I776</f>
        <v>259710000000</v>
      </c>
      <c r="R776" s="25">
        <f t="shared" si="102"/>
        <v>0.80339089753956339</v>
      </c>
      <c r="S776" s="25">
        <f t="shared" si="103"/>
        <v>3.1959689749920472</v>
      </c>
    </row>
    <row r="777" spans="1:19" ht="15" customHeight="1" x14ac:dyDescent="0.3">
      <c r="A777" s="22"/>
      <c r="B777" s="23"/>
      <c r="C777" s="2"/>
      <c r="D777" s="23">
        <v>2019</v>
      </c>
      <c r="E777" s="24">
        <f>Data!F777</f>
        <v>120525000000</v>
      </c>
      <c r="F777" s="24">
        <f>Data!H777</f>
        <v>83426000000</v>
      </c>
      <c r="G777" s="24">
        <f t="shared" si="96"/>
        <v>37099000000</v>
      </c>
      <c r="H777" s="24">
        <f>Data!G777</f>
        <v>475599000000</v>
      </c>
      <c r="I777" s="25">
        <f t="shared" si="97"/>
        <v>0.51171142075572063</v>
      </c>
      <c r="J777" s="24">
        <f>Data!J777</f>
        <v>158040000000</v>
      </c>
      <c r="K777" s="24">
        <f t="shared" si="98"/>
        <v>475599000000</v>
      </c>
      <c r="L777" s="25">
        <f t="shared" si="99"/>
        <v>1.0832873912686949</v>
      </c>
      <c r="M777" s="24">
        <f>Data!M777</f>
        <v>48250000000</v>
      </c>
      <c r="N777" s="24">
        <f t="shared" si="100"/>
        <v>475599000000</v>
      </c>
      <c r="O777" s="25">
        <f t="shared" si="101"/>
        <v>0.68175080267199883</v>
      </c>
      <c r="P777" s="24">
        <f>Data!K777</f>
        <v>209123000000</v>
      </c>
      <c r="Q777" s="24">
        <f>Data!I777</f>
        <v>266476000000</v>
      </c>
      <c r="R777" s="25">
        <f t="shared" si="102"/>
        <v>0.82401098035095099</v>
      </c>
      <c r="S777" s="25">
        <f t="shared" si="103"/>
        <v>3.1007605950473653</v>
      </c>
    </row>
    <row r="778" spans="1:19" ht="15" customHeight="1" x14ac:dyDescent="0.3">
      <c r="A778" s="22"/>
      <c r="B778" s="23"/>
      <c r="C778" s="2"/>
      <c r="D778" s="23">
        <v>2020</v>
      </c>
      <c r="E778" s="24">
        <f>Data!F778</f>
        <v>157446000000</v>
      </c>
      <c r="F778" s="24">
        <f>Data!H778</f>
        <v>84355000000</v>
      </c>
      <c r="G778" s="24">
        <f t="shared" si="96"/>
        <v>73091000000</v>
      </c>
      <c r="H778" s="24">
        <f>Data!G778</f>
        <v>491590000000</v>
      </c>
      <c r="I778" s="25">
        <f t="shared" si="97"/>
        <v>0.97535946622185155</v>
      </c>
      <c r="J778" s="24">
        <f>Data!J778</f>
        <v>179484000000</v>
      </c>
      <c r="K778" s="24">
        <f t="shared" si="98"/>
        <v>491590000000</v>
      </c>
      <c r="L778" s="25">
        <f t="shared" si="99"/>
        <v>1.1902557822575723</v>
      </c>
      <c r="M778" s="24">
        <f>Data!M778</f>
        <v>63300000000</v>
      </c>
      <c r="N778" s="24">
        <f t="shared" si="100"/>
        <v>491590000000</v>
      </c>
      <c r="O778" s="25">
        <f t="shared" si="101"/>
        <v>0.86530645456579658</v>
      </c>
      <c r="P778" s="24">
        <f>Data!K778</f>
        <v>231115000000</v>
      </c>
      <c r="Q778" s="24">
        <f>Data!I778</f>
        <v>250475000000</v>
      </c>
      <c r="R778" s="25">
        <f t="shared" si="102"/>
        <v>0.96884219982034148</v>
      </c>
      <c r="S778" s="25">
        <f t="shared" si="103"/>
        <v>3.999763902865562</v>
      </c>
    </row>
    <row r="779" spans="1:19" ht="15" customHeight="1" x14ac:dyDescent="0.3">
      <c r="A779" s="22"/>
      <c r="B779" s="23"/>
      <c r="C779" s="2"/>
      <c r="D779" s="23">
        <v>2021</v>
      </c>
      <c r="E779" s="24">
        <f>Data!F779</f>
        <v>203280000000</v>
      </c>
      <c r="F779" s="24">
        <f>Data!H779</f>
        <v>73439000000</v>
      </c>
      <c r="G779" s="24">
        <f t="shared" si="96"/>
        <v>129841000000</v>
      </c>
      <c r="H779" s="24">
        <f>Data!G779</f>
        <v>558562000000</v>
      </c>
      <c r="I779" s="25">
        <f t="shared" si="97"/>
        <v>1.5249103232944596</v>
      </c>
      <c r="J779" s="24">
        <f>Data!J779</f>
        <v>183744000000</v>
      </c>
      <c r="K779" s="24">
        <f t="shared" si="98"/>
        <v>558562000000</v>
      </c>
      <c r="L779" s="25">
        <f t="shared" si="99"/>
        <v>1.0724063577543763</v>
      </c>
      <c r="M779" s="24">
        <f>Data!M779</f>
        <v>48675000000</v>
      </c>
      <c r="N779" s="24">
        <f t="shared" si="100"/>
        <v>558562000000</v>
      </c>
      <c r="O779" s="25">
        <f t="shared" si="101"/>
        <v>0.58560374676401183</v>
      </c>
      <c r="P779" s="24">
        <f>Data!K779</f>
        <v>235830000000</v>
      </c>
      <c r="Q779" s="24">
        <f>Data!I779</f>
        <v>322732000000</v>
      </c>
      <c r="R779" s="25">
        <f t="shared" si="102"/>
        <v>0.76726664848852921</v>
      </c>
      <c r="S779" s="25">
        <f t="shared" si="103"/>
        <v>3.9501870763013773</v>
      </c>
    </row>
    <row r="780" spans="1:19" ht="15" customHeight="1" x14ac:dyDescent="0.3">
      <c r="A780" s="22"/>
      <c r="B780" s="23"/>
      <c r="C780" s="2"/>
      <c r="D780" s="23">
        <v>2022</v>
      </c>
      <c r="E780" s="24">
        <f>Data!F780</f>
        <v>278524000000</v>
      </c>
      <c r="F780" s="24">
        <f>Data!H780</f>
        <v>44117000000</v>
      </c>
      <c r="G780" s="24">
        <f t="shared" si="96"/>
        <v>234407000000</v>
      </c>
      <c r="H780" s="24">
        <f>Data!G780</f>
        <v>633061000000</v>
      </c>
      <c r="I780" s="25">
        <f t="shared" si="97"/>
        <v>2.4290075048060138</v>
      </c>
      <c r="J780" s="24">
        <f>Data!J780</f>
        <v>204553000000</v>
      </c>
      <c r="K780" s="24">
        <f t="shared" si="98"/>
        <v>633061000000</v>
      </c>
      <c r="L780" s="25">
        <f t="shared" si="99"/>
        <v>1.053362598548955</v>
      </c>
      <c r="M780" s="24">
        <f>Data!M780</f>
        <v>62285000000</v>
      </c>
      <c r="N780" s="24">
        <f t="shared" si="100"/>
        <v>633061000000</v>
      </c>
      <c r="O780" s="25">
        <f t="shared" si="101"/>
        <v>0.66116093077918237</v>
      </c>
      <c r="P780" s="24">
        <f>Data!K780</f>
        <v>257553000000</v>
      </c>
      <c r="Q780" s="24">
        <f>Data!I780</f>
        <v>375508000000</v>
      </c>
      <c r="R780" s="25">
        <f t="shared" si="102"/>
        <v>0.72017280590559996</v>
      </c>
      <c r="S780" s="25">
        <f t="shared" si="103"/>
        <v>4.8637038400397508</v>
      </c>
    </row>
    <row r="781" spans="1:19" ht="15" customHeight="1" x14ac:dyDescent="0.3">
      <c r="A781" s="22"/>
      <c r="B781" s="23"/>
      <c r="C781" s="2"/>
      <c r="D781" s="23">
        <v>2023</v>
      </c>
      <c r="E781" s="24">
        <f>Data!F781</f>
        <v>340607000000</v>
      </c>
      <c r="F781" s="24">
        <f>Data!H781</f>
        <v>39662000000</v>
      </c>
      <c r="G781" s="24">
        <f t="shared" si="96"/>
        <v>300945000000</v>
      </c>
      <c r="H781" s="24">
        <f>Data!G781</f>
        <v>720422000000</v>
      </c>
      <c r="I781" s="25">
        <f t="shared" si="97"/>
        <v>2.7403371912573462</v>
      </c>
      <c r="J781" s="24">
        <f>Data!J781</f>
        <v>192407000000</v>
      </c>
      <c r="K781" s="24">
        <f t="shared" si="98"/>
        <v>720422000000</v>
      </c>
      <c r="L781" s="25">
        <f t="shared" si="99"/>
        <v>0.87066583197070602</v>
      </c>
      <c r="M781" s="24">
        <f>Data!M781</f>
        <v>27903000000</v>
      </c>
      <c r="N781" s="24">
        <f t="shared" si="100"/>
        <v>720422000000</v>
      </c>
      <c r="O781" s="25">
        <f t="shared" si="101"/>
        <v>0.26027544966700072</v>
      </c>
      <c r="P781" s="24">
        <f>Data!K781</f>
        <v>245707000000</v>
      </c>
      <c r="Q781" s="24">
        <f>Data!I781</f>
        <v>474715000000</v>
      </c>
      <c r="R781" s="25">
        <f t="shared" si="102"/>
        <v>0.54346787019580167</v>
      </c>
      <c r="S781" s="25">
        <f t="shared" si="103"/>
        <v>4.4147463430908545</v>
      </c>
    </row>
    <row r="782" spans="1:19" ht="15" customHeight="1" x14ac:dyDescent="0.3">
      <c r="A782" s="22"/>
      <c r="B782" s="23"/>
      <c r="C782" s="2"/>
      <c r="D782" s="23">
        <v>2024</v>
      </c>
      <c r="E782" s="24">
        <f>Data!F782</f>
        <v>270345000000</v>
      </c>
      <c r="F782" s="24">
        <f>Data!H782</f>
        <v>38377000000</v>
      </c>
      <c r="G782" s="24">
        <f t="shared" si="96"/>
        <v>231968000000</v>
      </c>
      <c r="H782" s="24">
        <f>Data!G782</f>
        <v>708738000000</v>
      </c>
      <c r="I782" s="25">
        <f t="shared" si="97"/>
        <v>2.1470699750824704</v>
      </c>
      <c r="J782" s="24">
        <f>Data!J782</f>
        <v>260233000000</v>
      </c>
      <c r="K782" s="24">
        <f t="shared" si="98"/>
        <v>708738000000</v>
      </c>
      <c r="L782" s="25">
        <f t="shared" si="99"/>
        <v>1.1970002737259748</v>
      </c>
      <c r="M782" s="24">
        <f>Data!M782</f>
        <v>33468000000</v>
      </c>
      <c r="N782" s="24">
        <f t="shared" si="100"/>
        <v>708738000000</v>
      </c>
      <c r="O782" s="25">
        <f t="shared" si="101"/>
        <v>0.31733159503229685</v>
      </c>
      <c r="P782" s="24">
        <f>Data!K782</f>
        <v>313833000000</v>
      </c>
      <c r="Q782" s="24">
        <f>Data!I782</f>
        <v>394905000000</v>
      </c>
      <c r="R782" s="25">
        <f t="shared" si="102"/>
        <v>0.8344403084286095</v>
      </c>
      <c r="S782" s="25">
        <f t="shared" si="103"/>
        <v>4.4958421522693515</v>
      </c>
    </row>
    <row r="783" spans="1:19" ht="15" customHeight="1" x14ac:dyDescent="0.3">
      <c r="A783" s="22"/>
      <c r="B783" s="23">
        <v>72</v>
      </c>
      <c r="C783" s="2" t="s">
        <v>75</v>
      </c>
      <c r="D783" s="23">
        <v>2014</v>
      </c>
      <c r="E783" s="24">
        <f>Data!F783</f>
        <v>0</v>
      </c>
      <c r="F783" s="24">
        <f>Data!H783</f>
        <v>0</v>
      </c>
      <c r="G783" s="24">
        <f t="shared" si="96"/>
        <v>0</v>
      </c>
      <c r="H783" s="24">
        <f>Data!G783</f>
        <v>0</v>
      </c>
      <c r="I783" s="25">
        <f t="shared" si="97"/>
        <v>0</v>
      </c>
      <c r="J783" s="24">
        <f>Data!J783</f>
        <v>0</v>
      </c>
      <c r="K783" s="24">
        <f t="shared" si="98"/>
        <v>0</v>
      </c>
      <c r="L783" s="25">
        <f t="shared" si="99"/>
        <v>0</v>
      </c>
      <c r="M783" s="24">
        <f>Data!M783</f>
        <v>0</v>
      </c>
      <c r="N783" s="24">
        <f t="shared" si="100"/>
        <v>0</v>
      </c>
      <c r="O783" s="25">
        <f t="shared" si="101"/>
        <v>0</v>
      </c>
      <c r="P783" s="24">
        <f>Data!K783</f>
        <v>0</v>
      </c>
      <c r="Q783" s="24">
        <f>Data!I783</f>
        <v>0</v>
      </c>
      <c r="R783" s="25">
        <f t="shared" si="102"/>
        <v>0</v>
      </c>
      <c r="S783" s="25">
        <f t="shared" si="103"/>
        <v>0</v>
      </c>
    </row>
    <row r="784" spans="1:19" ht="15" customHeight="1" x14ac:dyDescent="0.3">
      <c r="A784" s="22"/>
      <c r="B784" s="23"/>
      <c r="C784" s="2"/>
      <c r="D784" s="23">
        <v>2015</v>
      </c>
      <c r="E784" s="24">
        <f>Data!F784</f>
        <v>198056000000</v>
      </c>
      <c r="F784" s="24">
        <f>Data!H784</f>
        <v>71272000000</v>
      </c>
      <c r="G784" s="24">
        <f t="shared" si="96"/>
        <v>126784000000</v>
      </c>
      <c r="H784" s="24">
        <f>Data!G784</f>
        <v>376932000000</v>
      </c>
      <c r="I784" s="25">
        <f t="shared" si="97"/>
        <v>2.2065068500419169</v>
      </c>
      <c r="J784" s="24">
        <f>Data!J784</f>
        <v>-1111000000</v>
      </c>
      <c r="K784" s="24">
        <f t="shared" si="98"/>
        <v>376932000000</v>
      </c>
      <c r="L784" s="25">
        <f t="shared" si="99"/>
        <v>-9.6087888531618433E-3</v>
      </c>
      <c r="M784" s="24">
        <f>Data!M784</f>
        <v>4078000000</v>
      </c>
      <c r="N784" s="24">
        <f t="shared" si="100"/>
        <v>376932000000</v>
      </c>
      <c r="O784" s="25">
        <f t="shared" si="101"/>
        <v>7.270319314889688E-2</v>
      </c>
      <c r="P784" s="24">
        <f>Data!K784</f>
        <v>118753000000</v>
      </c>
      <c r="Q784" s="24">
        <f>Data!I784</f>
        <v>258179000000</v>
      </c>
      <c r="R784" s="25">
        <f t="shared" si="102"/>
        <v>0.48296201472621714</v>
      </c>
      <c r="S784" s="25">
        <f t="shared" si="103"/>
        <v>2.7525632690638693</v>
      </c>
    </row>
    <row r="785" spans="1:19" ht="15" customHeight="1" x14ac:dyDescent="0.3">
      <c r="A785" s="22"/>
      <c r="B785" s="23"/>
      <c r="C785" s="2"/>
      <c r="D785" s="23">
        <v>2016</v>
      </c>
      <c r="E785" s="24">
        <f>Data!F785</f>
        <v>234256000000</v>
      </c>
      <c r="F785" s="24">
        <f>Data!H785</f>
        <v>65619000000</v>
      </c>
      <c r="G785" s="24">
        <f t="shared" si="96"/>
        <v>168637000000</v>
      </c>
      <c r="H785" s="24">
        <f>Data!G785</f>
        <v>505969000000</v>
      </c>
      <c r="I785" s="25">
        <f t="shared" si="97"/>
        <v>2.1864160057236708</v>
      </c>
      <c r="J785" s="24">
        <f>Data!J785</f>
        <v>14781000000</v>
      </c>
      <c r="K785" s="24">
        <f t="shared" si="98"/>
        <v>505969000000</v>
      </c>
      <c r="L785" s="25">
        <f t="shared" si="99"/>
        <v>9.5235202156653861E-2</v>
      </c>
      <c r="M785" s="24">
        <f>Data!M785</f>
        <v>17858000000</v>
      </c>
      <c r="N785" s="24">
        <f t="shared" si="100"/>
        <v>505969000000</v>
      </c>
      <c r="O785" s="25">
        <f t="shared" si="101"/>
        <v>0.23718006439129669</v>
      </c>
      <c r="P785" s="24">
        <f>Data!K785</f>
        <v>145579000000</v>
      </c>
      <c r="Q785" s="24">
        <f>Data!I785</f>
        <v>360390000000</v>
      </c>
      <c r="R785" s="25">
        <f t="shared" si="102"/>
        <v>0.42414592524764838</v>
      </c>
      <c r="S785" s="25">
        <f t="shared" si="103"/>
        <v>2.9429771975192698</v>
      </c>
    </row>
    <row r="786" spans="1:19" ht="15" customHeight="1" x14ac:dyDescent="0.3">
      <c r="A786" s="22"/>
      <c r="B786" s="23"/>
      <c r="C786" s="2"/>
      <c r="D786" s="23">
        <v>2017</v>
      </c>
      <c r="E786" s="24">
        <f>Data!F786</f>
        <v>438998000000</v>
      </c>
      <c r="F786" s="24">
        <f>Data!H786</f>
        <v>171672000000</v>
      </c>
      <c r="G786" s="24">
        <f t="shared" si="96"/>
        <v>267326000000</v>
      </c>
      <c r="H786" s="24">
        <f>Data!G786</f>
        <v>786758000000</v>
      </c>
      <c r="I786" s="25">
        <f t="shared" si="97"/>
        <v>2.228968196065372</v>
      </c>
      <c r="J786" s="24">
        <f>Data!J786</f>
        <v>37863000000</v>
      </c>
      <c r="K786" s="24">
        <f t="shared" si="98"/>
        <v>786758000000</v>
      </c>
      <c r="L786" s="25">
        <f t="shared" si="99"/>
        <v>0.15688862394789757</v>
      </c>
      <c r="M786" s="24">
        <f>Data!M786</f>
        <v>15088000000</v>
      </c>
      <c r="N786" s="24">
        <f t="shared" si="100"/>
        <v>786758000000</v>
      </c>
      <c r="O786" s="25">
        <f t="shared" si="101"/>
        <v>0.12887235973450539</v>
      </c>
      <c r="P786" s="24">
        <f>Data!K786</f>
        <v>175966000000</v>
      </c>
      <c r="Q786" s="24">
        <f>Data!I786</f>
        <v>610792000000</v>
      </c>
      <c r="R786" s="25">
        <f t="shared" si="102"/>
        <v>0.30249954157880266</v>
      </c>
      <c r="S786" s="25">
        <f t="shared" si="103"/>
        <v>2.8172287213265776</v>
      </c>
    </row>
    <row r="787" spans="1:19" ht="15" customHeight="1" x14ac:dyDescent="0.3">
      <c r="A787" s="22"/>
      <c r="B787" s="23"/>
      <c r="C787" s="2"/>
      <c r="D787" s="23">
        <v>2018</v>
      </c>
      <c r="E787" s="24">
        <f>Data!F787</f>
        <v>609411000000</v>
      </c>
      <c r="F787" s="24">
        <f>Data!H787</f>
        <v>254286000000</v>
      </c>
      <c r="G787" s="24">
        <f t="shared" si="96"/>
        <v>355125000000</v>
      </c>
      <c r="H787" s="24">
        <f>Data!G787</f>
        <v>1105918000000</v>
      </c>
      <c r="I787" s="25">
        <f t="shared" si="97"/>
        <v>2.1065033754763012</v>
      </c>
      <c r="J787" s="24">
        <f>Data!J787</f>
        <v>94124000000</v>
      </c>
      <c r="K787" s="24">
        <f t="shared" si="98"/>
        <v>1105918000000</v>
      </c>
      <c r="L787" s="25">
        <f t="shared" si="99"/>
        <v>0.27745659262259953</v>
      </c>
      <c r="M787" s="24">
        <f>Data!M787</f>
        <v>82497000000</v>
      </c>
      <c r="N787" s="24">
        <f t="shared" si="100"/>
        <v>1105918000000</v>
      </c>
      <c r="O787" s="25">
        <f t="shared" si="101"/>
        <v>0.50128476071462802</v>
      </c>
      <c r="P787" s="24">
        <f>Data!K787</f>
        <v>226807000000</v>
      </c>
      <c r="Q787" s="24">
        <f>Data!I787</f>
        <v>879111000000</v>
      </c>
      <c r="R787" s="25">
        <f t="shared" si="102"/>
        <v>0.27089565481492101</v>
      </c>
      <c r="S787" s="25">
        <f t="shared" si="103"/>
        <v>3.1561403836284496</v>
      </c>
    </row>
    <row r="788" spans="1:19" ht="15" customHeight="1" x14ac:dyDescent="0.3">
      <c r="A788" s="22"/>
      <c r="B788" s="23"/>
      <c r="C788" s="2"/>
      <c r="D788" s="23">
        <v>2019</v>
      </c>
      <c r="E788" s="24">
        <f>Data!F788</f>
        <v>559842000000</v>
      </c>
      <c r="F788" s="24">
        <f>Data!H788</f>
        <v>331285000000</v>
      </c>
      <c r="G788" s="24">
        <f t="shared" si="96"/>
        <v>228557000000</v>
      </c>
      <c r="H788" s="24">
        <f>Data!G788</f>
        <v>1092838000000</v>
      </c>
      <c r="I788" s="25">
        <f t="shared" si="97"/>
        <v>1.3719635664206407</v>
      </c>
      <c r="J788" s="24">
        <f>Data!J788</f>
        <v>130762000000</v>
      </c>
      <c r="K788" s="24">
        <f t="shared" si="98"/>
        <v>1092838000000</v>
      </c>
      <c r="L788" s="25">
        <f t="shared" si="99"/>
        <v>0.39007073326513164</v>
      </c>
      <c r="M788" s="24">
        <f>Data!M788</f>
        <v>68103000000</v>
      </c>
      <c r="N788" s="24">
        <f t="shared" si="100"/>
        <v>1092838000000</v>
      </c>
      <c r="O788" s="25">
        <f t="shared" si="101"/>
        <v>0.41877401774096434</v>
      </c>
      <c r="P788" s="24">
        <f>Data!K788</f>
        <v>294148000000</v>
      </c>
      <c r="Q788" s="24">
        <f>Data!I788</f>
        <v>798690000000</v>
      </c>
      <c r="R788" s="25">
        <f t="shared" si="102"/>
        <v>0.3867024753033092</v>
      </c>
      <c r="S788" s="25">
        <f t="shared" si="103"/>
        <v>2.567510792730046</v>
      </c>
    </row>
    <row r="789" spans="1:19" ht="15" customHeight="1" x14ac:dyDescent="0.3">
      <c r="A789" s="22"/>
      <c r="B789" s="23"/>
      <c r="C789" s="2"/>
      <c r="D789" s="23">
        <v>2020</v>
      </c>
      <c r="E789" s="24">
        <f>Data!F789</f>
        <v>603524000000</v>
      </c>
      <c r="F789" s="24">
        <f>Data!H789</f>
        <v>290993000000</v>
      </c>
      <c r="G789" s="24">
        <f t="shared" si="96"/>
        <v>312531000000</v>
      </c>
      <c r="H789" s="24">
        <f>Data!G789</f>
        <v>1071885000000</v>
      </c>
      <c r="I789" s="25">
        <f t="shared" si="97"/>
        <v>1.9127083222547192</v>
      </c>
      <c r="J789" s="24">
        <f>Data!J789</f>
        <v>131447000000</v>
      </c>
      <c r="K789" s="24">
        <f t="shared" si="98"/>
        <v>1071885000000</v>
      </c>
      <c r="L789" s="25">
        <f t="shared" si="99"/>
        <v>0.39977909943697315</v>
      </c>
      <c r="M789" s="24">
        <f>Data!M789</f>
        <v>759000000</v>
      </c>
      <c r="N789" s="24">
        <f t="shared" si="100"/>
        <v>1071885000000</v>
      </c>
      <c r="O789" s="25">
        <f t="shared" si="101"/>
        <v>4.7584209126911936E-3</v>
      </c>
      <c r="P789" s="24">
        <f>Data!K789</f>
        <v>303799000000</v>
      </c>
      <c r="Q789" s="24">
        <f>Data!I789</f>
        <v>768086000000</v>
      </c>
      <c r="R789" s="25">
        <f t="shared" si="102"/>
        <v>0.41530368995138567</v>
      </c>
      <c r="S789" s="25">
        <f t="shared" si="103"/>
        <v>2.7325495325557689</v>
      </c>
    </row>
    <row r="790" spans="1:19" ht="15" customHeight="1" x14ac:dyDescent="0.3">
      <c r="A790" s="22"/>
      <c r="B790" s="23"/>
      <c r="C790" s="2"/>
      <c r="D790" s="23">
        <v>2021</v>
      </c>
      <c r="E790" s="24">
        <f>Data!F790</f>
        <v>629944000000</v>
      </c>
      <c r="F790" s="24">
        <f>Data!H790</f>
        <v>333827000000</v>
      </c>
      <c r="G790" s="24">
        <f t="shared" si="96"/>
        <v>296117000000</v>
      </c>
      <c r="H790" s="24">
        <f>Data!G790</f>
        <v>1104816000000</v>
      </c>
      <c r="I790" s="25">
        <f t="shared" si="97"/>
        <v>1.7582362311914381</v>
      </c>
      <c r="J790" s="24">
        <f>Data!J790</f>
        <v>147639000000</v>
      </c>
      <c r="K790" s="24">
        <f t="shared" si="98"/>
        <v>1104816000000</v>
      </c>
      <c r="L790" s="25">
        <f t="shared" si="99"/>
        <v>0.43564099361341613</v>
      </c>
      <c r="M790" s="24">
        <f>Data!M790</f>
        <v>18708000000</v>
      </c>
      <c r="N790" s="24">
        <f t="shared" si="100"/>
        <v>1104816000000</v>
      </c>
      <c r="O790" s="25">
        <f t="shared" si="101"/>
        <v>0.11379067645653212</v>
      </c>
      <c r="P790" s="24">
        <f>Data!K790</f>
        <v>344977000000</v>
      </c>
      <c r="Q790" s="24">
        <f>Data!I790</f>
        <v>759838000000</v>
      </c>
      <c r="R790" s="25">
        <f t="shared" si="102"/>
        <v>0.47671457600172668</v>
      </c>
      <c r="S790" s="25">
        <f t="shared" si="103"/>
        <v>2.7843824772631129</v>
      </c>
    </row>
    <row r="791" spans="1:19" ht="15" customHeight="1" x14ac:dyDescent="0.3">
      <c r="A791" s="22"/>
      <c r="B791" s="23"/>
      <c r="C791" s="2"/>
      <c r="D791" s="23">
        <v>2022</v>
      </c>
      <c r="E791" s="24">
        <f>Data!F791</f>
        <v>520461000000</v>
      </c>
      <c r="F791" s="24">
        <f>Data!H791</f>
        <v>257723000000</v>
      </c>
      <c r="G791" s="24">
        <f t="shared" si="96"/>
        <v>262738000000</v>
      </c>
      <c r="H791" s="24">
        <f>Data!G791</f>
        <v>1001209000000</v>
      </c>
      <c r="I791" s="25">
        <f t="shared" si="97"/>
        <v>1.7214800106671035</v>
      </c>
      <c r="J791" s="24">
        <f>Data!J791</f>
        <v>166761000000</v>
      </c>
      <c r="K791" s="24">
        <f t="shared" si="98"/>
        <v>1001209000000</v>
      </c>
      <c r="L791" s="25">
        <f t="shared" si="99"/>
        <v>0.54298439187022884</v>
      </c>
      <c r="M791" s="24">
        <f>Data!M791</f>
        <v>18715000000</v>
      </c>
      <c r="N791" s="24">
        <f t="shared" si="100"/>
        <v>1001209000000</v>
      </c>
      <c r="O791" s="25">
        <f t="shared" si="101"/>
        <v>0.1256129339628389</v>
      </c>
      <c r="P791" s="24">
        <f>Data!K791</f>
        <v>360854000000</v>
      </c>
      <c r="Q791" s="24">
        <f>Data!I791</f>
        <v>640355000000</v>
      </c>
      <c r="R791" s="25">
        <f t="shared" si="102"/>
        <v>0.59169788632867715</v>
      </c>
      <c r="S791" s="25">
        <f t="shared" si="103"/>
        <v>2.9817752228288485</v>
      </c>
    </row>
    <row r="792" spans="1:19" ht="15" customHeight="1" x14ac:dyDescent="0.3">
      <c r="A792" s="22"/>
      <c r="B792" s="23"/>
      <c r="C792" s="2"/>
      <c r="D792" s="23">
        <v>2023</v>
      </c>
      <c r="E792" s="24">
        <f>Data!F792</f>
        <v>519868000000</v>
      </c>
      <c r="F792" s="24">
        <f>Data!H792</f>
        <v>301484000000</v>
      </c>
      <c r="G792" s="24">
        <f t="shared" si="96"/>
        <v>218384000000</v>
      </c>
      <c r="H792" s="24">
        <f>Data!G792</f>
        <v>1085786000000</v>
      </c>
      <c r="I792" s="25">
        <f t="shared" si="97"/>
        <v>1.3194119651570382</v>
      </c>
      <c r="J792" s="24">
        <f>Data!J792</f>
        <v>186143000000</v>
      </c>
      <c r="K792" s="24">
        <f t="shared" si="98"/>
        <v>1085786000000</v>
      </c>
      <c r="L792" s="25">
        <f t="shared" si="99"/>
        <v>0.55888193437749245</v>
      </c>
      <c r="M792" s="24">
        <f>Data!M792</f>
        <v>18615000000</v>
      </c>
      <c r="N792" s="24">
        <f t="shared" si="100"/>
        <v>1085786000000</v>
      </c>
      <c r="O792" s="25">
        <f t="shared" si="101"/>
        <v>0.11520944274470291</v>
      </c>
      <c r="P792" s="24">
        <f>Data!K792</f>
        <v>380920000000</v>
      </c>
      <c r="Q792" s="24">
        <f>Data!I792</f>
        <v>704866000000</v>
      </c>
      <c r="R792" s="25">
        <f t="shared" si="102"/>
        <v>0.56743551256550895</v>
      </c>
      <c r="S792" s="25">
        <f t="shared" si="103"/>
        <v>2.5609388548447423</v>
      </c>
    </row>
    <row r="793" spans="1:19" ht="15" customHeight="1" x14ac:dyDescent="0.3">
      <c r="A793" s="22"/>
      <c r="B793" s="23"/>
      <c r="C793" s="2"/>
      <c r="D793" s="23">
        <v>2024</v>
      </c>
      <c r="E793" s="24">
        <f>Data!F793</f>
        <v>532674000000</v>
      </c>
      <c r="F793" s="24">
        <f>Data!H793</f>
        <v>255706000000</v>
      </c>
      <c r="G793" s="24">
        <f t="shared" si="96"/>
        <v>276968000000</v>
      </c>
      <c r="H793" s="24">
        <f>Data!G793</f>
        <v>1007550000000</v>
      </c>
      <c r="I793" s="25">
        <f t="shared" si="97"/>
        <v>1.803295201230708</v>
      </c>
      <c r="J793" s="24">
        <f>Data!J793</f>
        <v>208249000000</v>
      </c>
      <c r="K793" s="24">
        <f t="shared" si="98"/>
        <v>1007550000000</v>
      </c>
      <c r="L793" s="25">
        <f t="shared" si="99"/>
        <v>0.67380451590491786</v>
      </c>
      <c r="M793" s="24">
        <f>Data!M793</f>
        <v>28966000000</v>
      </c>
      <c r="N793" s="24">
        <f t="shared" si="100"/>
        <v>1007550000000</v>
      </c>
      <c r="O793" s="25">
        <f t="shared" si="101"/>
        <v>0.19319291350305196</v>
      </c>
      <c r="P793" s="24">
        <f>Data!K793</f>
        <v>402958000000</v>
      </c>
      <c r="Q793" s="24">
        <f>Data!I793</f>
        <v>604592000000</v>
      </c>
      <c r="R793" s="25">
        <f t="shared" si="102"/>
        <v>0.69982054013285</v>
      </c>
      <c r="S793" s="25">
        <f t="shared" si="103"/>
        <v>3.3701131707715279</v>
      </c>
    </row>
    <row r="794" spans="1:19" ht="15" customHeight="1" x14ac:dyDescent="0.3">
      <c r="A794" s="22"/>
      <c r="B794" s="23">
        <v>73</v>
      </c>
      <c r="C794" s="2" t="s">
        <v>96</v>
      </c>
      <c r="D794" s="23">
        <v>2014</v>
      </c>
      <c r="E794" s="24">
        <f>Data!F794</f>
        <v>0</v>
      </c>
      <c r="F794" s="24">
        <f>Data!H794</f>
        <v>0</v>
      </c>
      <c r="G794" s="24">
        <f t="shared" si="96"/>
        <v>0</v>
      </c>
      <c r="H794" s="24">
        <f>Data!G794</f>
        <v>0</v>
      </c>
      <c r="I794" s="25">
        <f t="shared" si="97"/>
        <v>0</v>
      </c>
      <c r="J794" s="24">
        <f>Data!J794</f>
        <v>0</v>
      </c>
      <c r="K794" s="24">
        <f t="shared" si="98"/>
        <v>0</v>
      </c>
      <c r="L794" s="25">
        <f t="shared" si="99"/>
        <v>0</v>
      </c>
      <c r="M794" s="24">
        <f>Data!M794</f>
        <v>0</v>
      </c>
      <c r="N794" s="24">
        <f t="shared" si="100"/>
        <v>0</v>
      </c>
      <c r="O794" s="25">
        <f t="shared" si="101"/>
        <v>0</v>
      </c>
      <c r="P794" s="24">
        <f>Data!K794</f>
        <v>0</v>
      </c>
      <c r="Q794" s="24">
        <f>Data!I794</f>
        <v>0</v>
      </c>
      <c r="R794" s="25">
        <f t="shared" si="102"/>
        <v>0</v>
      </c>
      <c r="S794" s="25">
        <f t="shared" si="103"/>
        <v>0</v>
      </c>
    </row>
    <row r="795" spans="1:19" ht="15" customHeight="1" x14ac:dyDescent="0.3">
      <c r="A795" s="22"/>
      <c r="B795" s="23"/>
      <c r="C795" s="2"/>
      <c r="D795" s="23">
        <v>2015</v>
      </c>
      <c r="E795" s="24">
        <f>Data!F795</f>
        <v>0</v>
      </c>
      <c r="F795" s="24">
        <f>Data!H795</f>
        <v>0</v>
      </c>
      <c r="G795" s="24">
        <f t="shared" si="96"/>
        <v>0</v>
      </c>
      <c r="H795" s="24">
        <f>Data!G795</f>
        <v>0</v>
      </c>
      <c r="I795" s="25">
        <f t="shared" si="97"/>
        <v>0</v>
      </c>
      <c r="J795" s="24">
        <f>Data!J795</f>
        <v>0</v>
      </c>
      <c r="K795" s="24">
        <f t="shared" si="98"/>
        <v>0</v>
      </c>
      <c r="L795" s="25">
        <f t="shared" si="99"/>
        <v>0</v>
      </c>
      <c r="M795" s="24">
        <f>Data!M795</f>
        <v>0</v>
      </c>
      <c r="N795" s="24">
        <f t="shared" si="100"/>
        <v>0</v>
      </c>
      <c r="O795" s="25">
        <f t="shared" si="101"/>
        <v>0</v>
      </c>
      <c r="P795" s="24">
        <f>Data!K795</f>
        <v>0</v>
      </c>
      <c r="Q795" s="24">
        <f>Data!I795</f>
        <v>0</v>
      </c>
      <c r="R795" s="25">
        <f t="shared" si="102"/>
        <v>0</v>
      </c>
      <c r="S795" s="25">
        <f t="shared" si="103"/>
        <v>0</v>
      </c>
    </row>
    <row r="796" spans="1:19" ht="15" customHeight="1" x14ac:dyDescent="0.3">
      <c r="A796" s="22"/>
      <c r="B796" s="23"/>
      <c r="C796" s="2"/>
      <c r="D796" s="23">
        <v>2016</v>
      </c>
      <c r="E796" s="24">
        <f>Data!F796</f>
        <v>0</v>
      </c>
      <c r="F796" s="24">
        <f>Data!H796</f>
        <v>0</v>
      </c>
      <c r="G796" s="24">
        <f t="shared" si="96"/>
        <v>0</v>
      </c>
      <c r="H796" s="24">
        <f>Data!G796</f>
        <v>0</v>
      </c>
      <c r="I796" s="25">
        <f t="shared" si="97"/>
        <v>0</v>
      </c>
      <c r="J796" s="24">
        <f>Data!J796</f>
        <v>0</v>
      </c>
      <c r="K796" s="24">
        <f t="shared" si="98"/>
        <v>0</v>
      </c>
      <c r="L796" s="25">
        <f t="shared" si="99"/>
        <v>0</v>
      </c>
      <c r="M796" s="24">
        <f>Data!M796</f>
        <v>0</v>
      </c>
      <c r="N796" s="24">
        <f t="shared" si="100"/>
        <v>0</v>
      </c>
      <c r="O796" s="25">
        <f t="shared" si="101"/>
        <v>0</v>
      </c>
      <c r="P796" s="24">
        <f>Data!K796</f>
        <v>0</v>
      </c>
      <c r="Q796" s="24">
        <f>Data!I796</f>
        <v>0</v>
      </c>
      <c r="R796" s="25">
        <f t="shared" si="102"/>
        <v>0</v>
      </c>
      <c r="S796" s="25">
        <f t="shared" si="103"/>
        <v>0</v>
      </c>
    </row>
    <row r="797" spans="1:19" ht="15" customHeight="1" x14ac:dyDescent="0.3">
      <c r="A797" s="22"/>
      <c r="B797" s="23"/>
      <c r="C797" s="2"/>
      <c r="D797" s="23">
        <v>2017</v>
      </c>
      <c r="E797" s="24">
        <f>Data!F797</f>
        <v>0</v>
      </c>
      <c r="F797" s="24">
        <f>Data!H797</f>
        <v>0</v>
      </c>
      <c r="G797" s="24">
        <f t="shared" si="96"/>
        <v>0</v>
      </c>
      <c r="H797" s="24">
        <f>Data!G797</f>
        <v>0</v>
      </c>
      <c r="I797" s="25">
        <f t="shared" si="97"/>
        <v>0</v>
      </c>
      <c r="J797" s="24">
        <f>Data!J797</f>
        <v>0</v>
      </c>
      <c r="K797" s="24">
        <f t="shared" si="98"/>
        <v>0</v>
      </c>
      <c r="L797" s="25">
        <f t="shared" si="99"/>
        <v>0</v>
      </c>
      <c r="M797" s="24">
        <f>Data!M797</f>
        <v>0</v>
      </c>
      <c r="N797" s="24">
        <f t="shared" si="100"/>
        <v>0</v>
      </c>
      <c r="O797" s="25">
        <f t="shared" si="101"/>
        <v>0</v>
      </c>
      <c r="P797" s="24">
        <f>Data!K797</f>
        <v>0</v>
      </c>
      <c r="Q797" s="24">
        <f>Data!I797</f>
        <v>0</v>
      </c>
      <c r="R797" s="25">
        <f t="shared" si="102"/>
        <v>0</v>
      </c>
      <c r="S797" s="25">
        <f t="shared" si="103"/>
        <v>0</v>
      </c>
    </row>
    <row r="798" spans="1:19" ht="15" customHeight="1" x14ac:dyDescent="0.3">
      <c r="A798" s="22"/>
      <c r="B798" s="23"/>
      <c r="C798" s="2"/>
      <c r="D798" s="23">
        <v>2018</v>
      </c>
      <c r="E798" s="24">
        <f>Data!F798</f>
        <v>0</v>
      </c>
      <c r="F798" s="24">
        <f>Data!H798</f>
        <v>0</v>
      </c>
      <c r="G798" s="24">
        <f t="shared" si="96"/>
        <v>0</v>
      </c>
      <c r="H798" s="24">
        <f>Data!G798</f>
        <v>0</v>
      </c>
      <c r="I798" s="25">
        <f t="shared" si="97"/>
        <v>0</v>
      </c>
      <c r="J798" s="24">
        <f>Data!J798</f>
        <v>0</v>
      </c>
      <c r="K798" s="24">
        <f t="shared" si="98"/>
        <v>0</v>
      </c>
      <c r="L798" s="25">
        <f t="shared" si="99"/>
        <v>0</v>
      </c>
      <c r="M798" s="24">
        <f>Data!M798</f>
        <v>0</v>
      </c>
      <c r="N798" s="24">
        <f t="shared" si="100"/>
        <v>0</v>
      </c>
      <c r="O798" s="25">
        <f t="shared" si="101"/>
        <v>0</v>
      </c>
      <c r="P798" s="24">
        <f>Data!K798</f>
        <v>0</v>
      </c>
      <c r="Q798" s="24">
        <f>Data!I798</f>
        <v>0</v>
      </c>
      <c r="R798" s="25">
        <f t="shared" si="102"/>
        <v>0</v>
      </c>
      <c r="S798" s="25">
        <f t="shared" si="103"/>
        <v>0</v>
      </c>
    </row>
    <row r="799" spans="1:19" ht="15" customHeight="1" x14ac:dyDescent="0.3">
      <c r="A799" s="22"/>
      <c r="B799" s="23"/>
      <c r="C799" s="2"/>
      <c r="D799" s="23">
        <v>2019</v>
      </c>
      <c r="E799" s="24">
        <f>Data!F799</f>
        <v>4612000000</v>
      </c>
      <c r="F799" s="24">
        <f>Data!H799</f>
        <v>59000000</v>
      </c>
      <c r="G799" s="24">
        <f t="shared" si="96"/>
        <v>4553000000</v>
      </c>
      <c r="H799" s="24">
        <f>Data!G799</f>
        <v>200264000000</v>
      </c>
      <c r="I799" s="25">
        <f t="shared" si="97"/>
        <v>0.1491415331762074</v>
      </c>
      <c r="J799" s="24">
        <f>Data!J799</f>
        <v>205000000</v>
      </c>
      <c r="K799" s="24">
        <f t="shared" si="98"/>
        <v>200264000000</v>
      </c>
      <c r="L799" s="25">
        <f t="shared" si="99"/>
        <v>3.337095034554388E-3</v>
      </c>
      <c r="M799" s="24">
        <f>Data!M799</f>
        <v>0</v>
      </c>
      <c r="N799" s="24">
        <f t="shared" si="100"/>
        <v>200264000000</v>
      </c>
      <c r="O799" s="25">
        <f t="shared" si="101"/>
        <v>0</v>
      </c>
      <c r="P799" s="24">
        <f>Data!K799</f>
        <v>200205000000</v>
      </c>
      <c r="Q799" s="24">
        <f>Data!I799</f>
        <v>59000000</v>
      </c>
      <c r="R799" s="25">
        <f t="shared" si="102"/>
        <v>3562.9703389830506</v>
      </c>
      <c r="S799" s="25">
        <f t="shared" si="103"/>
        <v>3563.1228176112613</v>
      </c>
    </row>
    <row r="800" spans="1:19" ht="15" customHeight="1" x14ac:dyDescent="0.3">
      <c r="A800" s="22"/>
      <c r="B800" s="23"/>
      <c r="C800" s="2"/>
      <c r="D800" s="23">
        <v>2020</v>
      </c>
      <c r="E800" s="24">
        <f>Data!F800</f>
        <v>171970000000</v>
      </c>
      <c r="F800" s="24">
        <f>Data!H800</f>
        <v>96944000000</v>
      </c>
      <c r="G800" s="24">
        <f t="shared" si="96"/>
        <v>75026000000</v>
      </c>
      <c r="H800" s="24">
        <f>Data!G800</f>
        <v>361478000000</v>
      </c>
      <c r="I800" s="25">
        <f t="shared" si="97"/>
        <v>1.3615505231300382</v>
      </c>
      <c r="J800" s="24">
        <f>Data!J800</f>
        <v>3305000000</v>
      </c>
      <c r="K800" s="24">
        <f t="shared" si="98"/>
        <v>361478000000</v>
      </c>
      <c r="L800" s="25">
        <f t="shared" si="99"/>
        <v>2.9806239937146938E-2</v>
      </c>
      <c r="M800" s="24">
        <f>Data!M800</f>
        <v>1004000000</v>
      </c>
      <c r="N800" s="24">
        <f t="shared" si="100"/>
        <v>361478000000</v>
      </c>
      <c r="O800" s="25">
        <f t="shared" si="101"/>
        <v>1.8664704352685361E-2</v>
      </c>
      <c r="P800" s="24">
        <f>Data!K800</f>
        <v>203291000000</v>
      </c>
      <c r="Q800" s="24">
        <f>Data!I800</f>
        <v>158187000000</v>
      </c>
      <c r="R800" s="25">
        <f t="shared" si="102"/>
        <v>1.3493874338599252</v>
      </c>
      <c r="S800" s="25">
        <f t="shared" si="103"/>
        <v>2.7594089012797958</v>
      </c>
    </row>
    <row r="801" spans="1:19" ht="15" customHeight="1" x14ac:dyDescent="0.3">
      <c r="A801" s="22"/>
      <c r="B801" s="23"/>
      <c r="C801" s="2"/>
      <c r="D801" s="23">
        <v>2021</v>
      </c>
      <c r="E801" s="24">
        <f>Data!F801</f>
        <v>234592000000</v>
      </c>
      <c r="F801" s="24">
        <f>Data!H801</f>
        <v>83232000000</v>
      </c>
      <c r="G801" s="24">
        <f t="shared" si="96"/>
        <v>151360000000</v>
      </c>
      <c r="H801" s="24">
        <f>Data!G801</f>
        <v>451600000000</v>
      </c>
      <c r="I801" s="25">
        <f t="shared" si="97"/>
        <v>2.1986749335695301</v>
      </c>
      <c r="J801" s="24">
        <f>Data!J801</f>
        <v>10460000000</v>
      </c>
      <c r="K801" s="24">
        <f t="shared" si="98"/>
        <v>451600000000</v>
      </c>
      <c r="L801" s="25">
        <f t="shared" si="99"/>
        <v>7.5508414526129317E-2</v>
      </c>
      <c r="M801" s="24">
        <f>Data!M801</f>
        <v>7383000000</v>
      </c>
      <c r="N801" s="24">
        <f t="shared" si="100"/>
        <v>451600000000</v>
      </c>
      <c r="O801" s="25">
        <f t="shared" si="101"/>
        <v>0.1098621789193977</v>
      </c>
      <c r="P801" s="24">
        <f>Data!K801</f>
        <v>208429000000</v>
      </c>
      <c r="Q801" s="24">
        <f>Data!I801</f>
        <v>243171000000</v>
      </c>
      <c r="R801" s="25">
        <f t="shared" si="102"/>
        <v>0.89998581245296527</v>
      </c>
      <c r="S801" s="25">
        <f t="shared" si="103"/>
        <v>3.2840313394680223</v>
      </c>
    </row>
    <row r="802" spans="1:19" ht="15" customHeight="1" x14ac:dyDescent="0.3">
      <c r="A802" s="22"/>
      <c r="B802" s="23"/>
      <c r="C802" s="2"/>
      <c r="D802" s="23">
        <v>2022</v>
      </c>
      <c r="E802" s="24">
        <f>Data!F802</f>
        <v>281130000000</v>
      </c>
      <c r="F802" s="24">
        <f>Data!H802</f>
        <v>104582000000</v>
      </c>
      <c r="G802" s="24">
        <f t="shared" si="96"/>
        <v>176548000000</v>
      </c>
      <c r="H802" s="24">
        <f>Data!G802</f>
        <v>513082000000</v>
      </c>
      <c r="I802" s="25">
        <f t="shared" si="97"/>
        <v>2.257251043692821</v>
      </c>
      <c r="J802" s="24">
        <f>Data!J802</f>
        <v>18661000000</v>
      </c>
      <c r="K802" s="24">
        <f t="shared" si="98"/>
        <v>513082000000</v>
      </c>
      <c r="L802" s="25">
        <f t="shared" si="99"/>
        <v>0.11856751942184679</v>
      </c>
      <c r="M802" s="24">
        <f>Data!M802</f>
        <v>9399000000</v>
      </c>
      <c r="N802" s="24">
        <f t="shared" si="100"/>
        <v>513082000000</v>
      </c>
      <c r="O802" s="25">
        <f t="shared" si="101"/>
        <v>0.1231017264296935</v>
      </c>
      <c r="P802" s="24">
        <f>Data!K802</f>
        <v>217554000000</v>
      </c>
      <c r="Q802" s="24">
        <f>Data!I802</f>
        <v>295528000000</v>
      </c>
      <c r="R802" s="25">
        <f t="shared" si="102"/>
        <v>0.77296127608889853</v>
      </c>
      <c r="S802" s="25">
        <f t="shared" si="103"/>
        <v>3.2718815656332598</v>
      </c>
    </row>
    <row r="803" spans="1:19" ht="15" customHeight="1" x14ac:dyDescent="0.3">
      <c r="A803" s="22"/>
      <c r="B803" s="23"/>
      <c r="C803" s="2"/>
      <c r="D803" s="23">
        <v>2023</v>
      </c>
      <c r="E803" s="24">
        <f>Data!F803</f>
        <v>360988000000</v>
      </c>
      <c r="F803" s="24">
        <f>Data!H803</f>
        <v>93855000000</v>
      </c>
      <c r="G803" s="24">
        <f t="shared" si="96"/>
        <v>267133000000</v>
      </c>
      <c r="H803" s="24">
        <f>Data!G803</f>
        <v>624335000000</v>
      </c>
      <c r="I803" s="25">
        <f t="shared" si="97"/>
        <v>2.806814418541328</v>
      </c>
      <c r="J803" s="24">
        <f>Data!J803</f>
        <v>27917000000</v>
      </c>
      <c r="K803" s="24">
        <f t="shared" si="98"/>
        <v>624335000000</v>
      </c>
      <c r="L803" s="25">
        <f t="shared" si="99"/>
        <v>0.14577017146243601</v>
      </c>
      <c r="M803" s="24">
        <f>Data!M803</f>
        <v>6858000000</v>
      </c>
      <c r="N803" s="24">
        <f t="shared" si="100"/>
        <v>624335000000</v>
      </c>
      <c r="O803" s="25">
        <f t="shared" si="101"/>
        <v>7.3815755964346058E-2</v>
      </c>
      <c r="P803" s="24">
        <f>Data!K803</f>
        <v>229594000000</v>
      </c>
      <c r="Q803" s="24">
        <f>Data!I803</f>
        <v>394741000000</v>
      </c>
      <c r="R803" s="25">
        <f t="shared" si="102"/>
        <v>0.61071360715000478</v>
      </c>
      <c r="S803" s="25">
        <f t="shared" si="103"/>
        <v>3.6371139531181145</v>
      </c>
    </row>
    <row r="804" spans="1:19" ht="15" customHeight="1" x14ac:dyDescent="0.3">
      <c r="A804" s="22"/>
      <c r="B804" s="23"/>
      <c r="C804" s="2"/>
      <c r="D804" s="23">
        <v>2024</v>
      </c>
      <c r="E804" s="24">
        <f>Data!F804</f>
        <v>477437000000</v>
      </c>
      <c r="F804" s="24">
        <f>Data!H804</f>
        <v>131053000000</v>
      </c>
      <c r="G804" s="24">
        <f t="shared" si="96"/>
        <v>346384000000</v>
      </c>
      <c r="H804" s="24">
        <f>Data!G804</f>
        <v>714332000000</v>
      </c>
      <c r="I804" s="25">
        <f t="shared" si="97"/>
        <v>3.1809845282025719</v>
      </c>
      <c r="J804" s="24">
        <f>Data!J804</f>
        <v>45999000000</v>
      </c>
      <c r="K804" s="24">
        <f t="shared" si="98"/>
        <v>714332000000</v>
      </c>
      <c r="L804" s="25">
        <f t="shared" si="99"/>
        <v>0.20992583280603413</v>
      </c>
      <c r="M804" s="24">
        <f>Data!M804</f>
        <v>18573000000</v>
      </c>
      <c r="N804" s="24">
        <f t="shared" si="100"/>
        <v>714332000000</v>
      </c>
      <c r="O804" s="25">
        <f t="shared" si="101"/>
        <v>0.17472346191966762</v>
      </c>
      <c r="P804" s="24">
        <f>Data!K804</f>
        <v>245987000000</v>
      </c>
      <c r="Q804" s="24">
        <f>Data!I804</f>
        <v>468345000000</v>
      </c>
      <c r="R804" s="25">
        <f t="shared" si="102"/>
        <v>0.5514873650834321</v>
      </c>
      <c r="S804" s="25">
        <f t="shared" si="103"/>
        <v>4.1171211880117058</v>
      </c>
    </row>
    <row r="805" spans="1:19" ht="15" customHeight="1" x14ac:dyDescent="0.3">
      <c r="A805" s="22"/>
      <c r="B805" s="23">
        <v>74</v>
      </c>
      <c r="C805" s="2" t="s">
        <v>76</v>
      </c>
      <c r="D805" s="23">
        <v>2014</v>
      </c>
      <c r="E805" s="24">
        <f>Data!F805</f>
        <v>0</v>
      </c>
      <c r="F805" s="24">
        <f>Data!H805</f>
        <v>0</v>
      </c>
      <c r="G805" s="24">
        <f t="shared" si="96"/>
        <v>0</v>
      </c>
      <c r="H805" s="24">
        <f>Data!G805</f>
        <v>0</v>
      </c>
      <c r="I805" s="25">
        <f t="shared" si="97"/>
        <v>0</v>
      </c>
      <c r="J805" s="24">
        <f>Data!J805</f>
        <v>0</v>
      </c>
      <c r="K805" s="24">
        <f t="shared" si="98"/>
        <v>0</v>
      </c>
      <c r="L805" s="25">
        <f t="shared" si="99"/>
        <v>0</v>
      </c>
      <c r="M805" s="24">
        <f>Data!M805</f>
        <v>0</v>
      </c>
      <c r="N805" s="24">
        <f t="shared" si="100"/>
        <v>0</v>
      </c>
      <c r="O805" s="25">
        <f t="shared" si="101"/>
        <v>0</v>
      </c>
      <c r="P805" s="24">
        <f>Data!K805</f>
        <v>0</v>
      </c>
      <c r="Q805" s="24">
        <f>Data!I805</f>
        <v>0</v>
      </c>
      <c r="R805" s="25">
        <f t="shared" si="102"/>
        <v>0</v>
      </c>
      <c r="S805" s="25">
        <f t="shared" si="103"/>
        <v>0</v>
      </c>
    </row>
    <row r="806" spans="1:19" ht="15" customHeight="1" x14ac:dyDescent="0.3">
      <c r="A806" s="22"/>
      <c r="B806" s="23"/>
      <c r="C806" s="2"/>
      <c r="D806" s="23">
        <v>2015</v>
      </c>
      <c r="E806" s="24">
        <f>Data!F806</f>
        <v>4229671000000</v>
      </c>
      <c r="F806" s="24">
        <f>Data!H806</f>
        <v>1448447000000</v>
      </c>
      <c r="G806" s="24">
        <f t="shared" si="96"/>
        <v>2781224000000</v>
      </c>
      <c r="H806" s="24">
        <f>Data!G806</f>
        <v>9225611000000</v>
      </c>
      <c r="I806" s="25">
        <f t="shared" si="97"/>
        <v>1.9776283045101293</v>
      </c>
      <c r="J806" s="24">
        <f>Data!J806</f>
        <v>2119378000000</v>
      </c>
      <c r="K806" s="24">
        <f t="shared" si="98"/>
        <v>9225611000000</v>
      </c>
      <c r="L806" s="25">
        <f t="shared" si="99"/>
        <v>0.74891216202374022</v>
      </c>
      <c r="M806" s="24">
        <f>Data!M806</f>
        <v>223630000000</v>
      </c>
      <c r="N806" s="24">
        <f t="shared" si="100"/>
        <v>9225611000000</v>
      </c>
      <c r="O806" s="25">
        <f t="shared" si="101"/>
        <v>0.16289366633819702</v>
      </c>
      <c r="P806" s="24">
        <f>Data!K806</f>
        <v>4262582000000</v>
      </c>
      <c r="Q806" s="24">
        <f>Data!I806</f>
        <v>4963028593627</v>
      </c>
      <c r="R806" s="25">
        <f t="shared" si="102"/>
        <v>0.9018104601990885</v>
      </c>
      <c r="S806" s="25">
        <f t="shared" si="103"/>
        <v>3.7912445930711547</v>
      </c>
    </row>
    <row r="807" spans="1:19" ht="15" customHeight="1" x14ac:dyDescent="0.3">
      <c r="A807" s="22"/>
      <c r="B807" s="23"/>
      <c r="C807" s="2"/>
      <c r="D807" s="23">
        <v>2016</v>
      </c>
      <c r="E807" s="24">
        <f>Data!F807</f>
        <v>3558250000000</v>
      </c>
      <c r="F807" s="24">
        <f>Data!H807</f>
        <v>1425025000000</v>
      </c>
      <c r="G807" s="24">
        <f t="shared" si="96"/>
        <v>2133225000000</v>
      </c>
      <c r="H807" s="24">
        <f>Data!G807</f>
        <v>8734642000000</v>
      </c>
      <c r="I807" s="25">
        <f t="shared" si="97"/>
        <v>1.6021213004494059</v>
      </c>
      <c r="J807" s="24">
        <f>Data!J807</f>
        <v>2607427000000</v>
      </c>
      <c r="K807" s="24">
        <f t="shared" si="98"/>
        <v>8734642000000</v>
      </c>
      <c r="L807" s="25">
        <f t="shared" si="99"/>
        <v>0.97316089428736741</v>
      </c>
      <c r="M807" s="24">
        <f>Data!M807</f>
        <v>543609000000</v>
      </c>
      <c r="N807" s="24">
        <f t="shared" si="100"/>
        <v>8734642000000</v>
      </c>
      <c r="O807" s="25">
        <f t="shared" si="101"/>
        <v>0.41822578189237747</v>
      </c>
      <c r="P807" s="24">
        <f>Data!K807</f>
        <v>4337145000000</v>
      </c>
      <c r="Q807" s="24">
        <f>Data!I807</f>
        <v>4357497000000</v>
      </c>
      <c r="R807" s="25">
        <f t="shared" si="102"/>
        <v>1.0450959002381415</v>
      </c>
      <c r="S807" s="25">
        <f t="shared" si="103"/>
        <v>4.0386038768672927</v>
      </c>
    </row>
    <row r="808" spans="1:19" ht="15" customHeight="1" x14ac:dyDescent="0.3">
      <c r="A808" s="22"/>
      <c r="B808" s="23"/>
      <c r="C808" s="2"/>
      <c r="D808" s="23">
        <v>2017</v>
      </c>
      <c r="E808" s="24">
        <f>Data!F808</f>
        <v>3884714000000</v>
      </c>
      <c r="F808" s="24">
        <f>Data!H808</f>
        <v>1977547000000</v>
      </c>
      <c r="G808" s="24">
        <f t="shared" si="96"/>
        <v>1907167000000</v>
      </c>
      <c r="H808" s="24">
        <f>Data!G808</f>
        <v>8918691000000</v>
      </c>
      <c r="I808" s="25">
        <f t="shared" si="97"/>
        <v>1.4027860725301502</v>
      </c>
      <c r="J808" s="24">
        <f>Data!J808</f>
        <v>2987933000000</v>
      </c>
      <c r="K808" s="24">
        <f t="shared" si="98"/>
        <v>8918691000000</v>
      </c>
      <c r="L808" s="25">
        <f t="shared" si="99"/>
        <v>1.0921626929333015</v>
      </c>
      <c r="M808" s="24">
        <f>Data!M808</f>
        <v>375574000000</v>
      </c>
      <c r="N808" s="24">
        <f t="shared" si="100"/>
        <v>8918691000000</v>
      </c>
      <c r="O808" s="25">
        <f t="shared" si="101"/>
        <v>0.28298516901190995</v>
      </c>
      <c r="P808" s="24">
        <f>Data!K808</f>
        <v>3990690000000</v>
      </c>
      <c r="Q808" s="24">
        <f>Data!I808</f>
        <v>4928001000000</v>
      </c>
      <c r="R808" s="25">
        <f t="shared" si="102"/>
        <v>0.85028888995761165</v>
      </c>
      <c r="S808" s="25">
        <f t="shared" si="103"/>
        <v>3.6282228244329731</v>
      </c>
    </row>
    <row r="809" spans="1:19" ht="15" customHeight="1" x14ac:dyDescent="0.3">
      <c r="A809" s="22"/>
      <c r="B809" s="23"/>
      <c r="C809" s="2"/>
      <c r="D809" s="23">
        <v>2018</v>
      </c>
      <c r="E809" s="24">
        <f>Data!F809</f>
        <v>3873673000000</v>
      </c>
      <c r="F809" s="24">
        <f>Data!H809</f>
        <v>1817846000000</v>
      </c>
      <c r="G809" s="24">
        <f t="shared" si="96"/>
        <v>2055827000000</v>
      </c>
      <c r="H809" s="24">
        <f>Data!G809</f>
        <v>9398031000000</v>
      </c>
      <c r="I809" s="25">
        <f t="shared" si="97"/>
        <v>1.4350053878307061</v>
      </c>
      <c r="J809" s="24">
        <f>Data!J809</f>
        <v>3102208000000</v>
      </c>
      <c r="K809" s="24">
        <f t="shared" si="98"/>
        <v>9398031000000</v>
      </c>
      <c r="L809" s="25">
        <f t="shared" si="99"/>
        <v>1.0760975442621969</v>
      </c>
      <c r="M809" s="24">
        <f>Data!M809</f>
        <v>322542000000</v>
      </c>
      <c r="N809" s="24">
        <f t="shared" si="100"/>
        <v>9398031000000</v>
      </c>
      <c r="O809" s="25">
        <f t="shared" si="101"/>
        <v>0.23063152696559522</v>
      </c>
      <c r="P809" s="24">
        <f>Data!K809</f>
        <v>4493149000000</v>
      </c>
      <c r="Q809" s="24">
        <f>Data!I809</f>
        <v>4904882000000</v>
      </c>
      <c r="R809" s="25">
        <f t="shared" si="102"/>
        <v>0.96185931690099791</v>
      </c>
      <c r="S809" s="25">
        <f t="shared" si="103"/>
        <v>3.7035937759594963</v>
      </c>
    </row>
    <row r="810" spans="1:19" ht="15" customHeight="1" x14ac:dyDescent="0.3">
      <c r="A810" s="22"/>
      <c r="B810" s="23"/>
      <c r="C810" s="2"/>
      <c r="D810" s="23">
        <v>2019</v>
      </c>
      <c r="E810" s="24">
        <f>Data!F810</f>
        <v>4133079000000</v>
      </c>
      <c r="F810" s="24">
        <f>Data!H810</f>
        <v>1626780000000</v>
      </c>
      <c r="G810" s="24">
        <f t="shared" si="96"/>
        <v>2506299000000</v>
      </c>
      <c r="H810" s="24">
        <f>Data!G810</f>
        <v>10790332000000</v>
      </c>
      <c r="I810" s="25">
        <f t="shared" si="97"/>
        <v>1.5237085791243494</v>
      </c>
      <c r="J810" s="24">
        <f>Data!J810</f>
        <v>3295752000000</v>
      </c>
      <c r="K810" s="24">
        <f t="shared" si="98"/>
        <v>10790332000000</v>
      </c>
      <c r="L810" s="25">
        <f t="shared" si="99"/>
        <v>0.99572019841465487</v>
      </c>
      <c r="M810" s="24">
        <f>Data!M810</f>
        <v>280885000000</v>
      </c>
      <c r="N810" s="24">
        <f t="shared" si="100"/>
        <v>10790332000000</v>
      </c>
      <c r="O810" s="25">
        <f t="shared" si="101"/>
        <v>0.17492948317067539</v>
      </c>
      <c r="P810" s="24">
        <f>Data!K810</f>
        <v>5531057000000</v>
      </c>
      <c r="Q810" s="24">
        <f>Data!I810</f>
        <v>5259275000000</v>
      </c>
      <c r="R810" s="25">
        <f t="shared" si="102"/>
        <v>1.1042605397131733</v>
      </c>
      <c r="S810" s="25">
        <f t="shared" si="103"/>
        <v>3.7986188004228532</v>
      </c>
    </row>
    <row r="811" spans="1:19" ht="15" customHeight="1" x14ac:dyDescent="0.3">
      <c r="A811" s="22"/>
      <c r="B811" s="23"/>
      <c r="C811" s="2"/>
      <c r="D811" s="23">
        <v>2020</v>
      </c>
      <c r="E811" s="24">
        <f>Data!F811</f>
        <v>3946405000000</v>
      </c>
      <c r="F811" s="24">
        <f>Data!H811</f>
        <v>1404323000000</v>
      </c>
      <c r="G811" s="24">
        <f t="shared" si="96"/>
        <v>2542082000000</v>
      </c>
      <c r="H811" s="24">
        <f>Data!G811</f>
        <v>10589546000000</v>
      </c>
      <c r="I811" s="25">
        <f t="shared" si="97"/>
        <v>1.5747660872335791</v>
      </c>
      <c r="J811" s="24">
        <f>Data!J811</f>
        <v>3561450000000</v>
      </c>
      <c r="K811" s="24">
        <f t="shared" si="98"/>
        <v>10589546000000</v>
      </c>
      <c r="L811" s="25">
        <f t="shared" si="99"/>
        <v>1.0963951617944716</v>
      </c>
      <c r="M811" s="24">
        <f>Data!M811</f>
        <v>373168000000</v>
      </c>
      <c r="N811" s="24">
        <f t="shared" si="100"/>
        <v>10589546000000</v>
      </c>
      <c r="O811" s="25">
        <f t="shared" si="101"/>
        <v>0.23680797647037935</v>
      </c>
      <c r="P811" s="24">
        <f>Data!K811</f>
        <v>5750905000000</v>
      </c>
      <c r="Q811" s="24">
        <f>Data!I811</f>
        <v>4838640000000</v>
      </c>
      <c r="R811" s="25">
        <f t="shared" si="102"/>
        <v>1.2479643556867219</v>
      </c>
      <c r="S811" s="25">
        <f t="shared" si="103"/>
        <v>4.1559335811851525</v>
      </c>
    </row>
    <row r="812" spans="1:19" ht="15" customHeight="1" x14ac:dyDescent="0.3">
      <c r="A812" s="22"/>
      <c r="B812" s="23"/>
      <c r="C812" s="2"/>
      <c r="D812" s="23">
        <v>2021</v>
      </c>
      <c r="E812" s="24">
        <f>Data!F812</f>
        <v>4524880000000</v>
      </c>
      <c r="F812" s="24">
        <f>Data!H812</f>
        <v>1546917000000</v>
      </c>
      <c r="G812" s="24">
        <f t="shared" si="96"/>
        <v>2977963000000</v>
      </c>
      <c r="H812" s="24">
        <f>Data!G812</f>
        <v>12170557000000</v>
      </c>
      <c r="I812" s="25">
        <f t="shared" si="97"/>
        <v>1.6051391304440707</v>
      </c>
      <c r="J812" s="24">
        <f>Data!J812</f>
        <v>3813709000000</v>
      </c>
      <c r="K812" s="24">
        <f t="shared" si="98"/>
        <v>12170557000000</v>
      </c>
      <c r="L812" s="25">
        <f t="shared" si="99"/>
        <v>1.0215384012416193</v>
      </c>
      <c r="M812" s="24">
        <f>Data!M812</f>
        <v>334876000000</v>
      </c>
      <c r="N812" s="24">
        <f t="shared" si="100"/>
        <v>12170557000000</v>
      </c>
      <c r="O812" s="25">
        <f t="shared" si="101"/>
        <v>0.18490252500358034</v>
      </c>
      <c r="P812" s="24">
        <f>Data!K812</f>
        <v>6771089000000</v>
      </c>
      <c r="Q812" s="24">
        <f>Data!I812</f>
        <v>5339467000000</v>
      </c>
      <c r="R812" s="25">
        <f t="shared" si="102"/>
        <v>1.3315268078255751</v>
      </c>
      <c r="S812" s="25">
        <f t="shared" si="103"/>
        <v>4.143106864514845</v>
      </c>
    </row>
    <row r="813" spans="1:19" ht="15" customHeight="1" x14ac:dyDescent="0.3">
      <c r="A813" s="22"/>
      <c r="B813" s="23"/>
      <c r="C813" s="2"/>
      <c r="D813" s="23">
        <v>2022</v>
      </c>
      <c r="E813" s="24">
        <f>Data!F813</f>
        <v>5483134000000</v>
      </c>
      <c r="F813" s="24">
        <f>Data!H813</f>
        <v>1889979000000</v>
      </c>
      <c r="G813" s="24">
        <f t="shared" si="96"/>
        <v>3593155000000</v>
      </c>
      <c r="H813" s="24">
        <f>Data!G813</f>
        <v>13092783000000</v>
      </c>
      <c r="I813" s="25">
        <f t="shared" si="97"/>
        <v>1.8003121872561394</v>
      </c>
      <c r="J813" s="24">
        <f>Data!J813</f>
        <v>4102935000000</v>
      </c>
      <c r="K813" s="24">
        <f t="shared" si="98"/>
        <v>13092783000000</v>
      </c>
      <c r="L813" s="25">
        <f t="shared" si="99"/>
        <v>1.0215985478412037</v>
      </c>
      <c r="M813" s="24">
        <f>Data!M813</f>
        <v>388437000000</v>
      </c>
      <c r="N813" s="24">
        <f t="shared" si="100"/>
        <v>13092783000000</v>
      </c>
      <c r="O813" s="25">
        <f t="shared" si="101"/>
        <v>0.19936912114101335</v>
      </c>
      <c r="P813" s="24">
        <f>Data!K813</f>
        <v>6863880000000</v>
      </c>
      <c r="Q813" s="24">
        <f>Data!I813</f>
        <v>6228902000000</v>
      </c>
      <c r="R813" s="25">
        <f t="shared" si="102"/>
        <v>1.1570376287827293</v>
      </c>
      <c r="S813" s="25">
        <f t="shared" si="103"/>
        <v>4.1783174850210862</v>
      </c>
    </row>
    <row r="814" spans="1:19" ht="15" customHeight="1" x14ac:dyDescent="0.3">
      <c r="A814" s="22"/>
      <c r="B814" s="23"/>
      <c r="C814" s="2"/>
      <c r="D814" s="23">
        <v>2023</v>
      </c>
      <c r="E814" s="24">
        <f>Data!F814</f>
        <v>6358670000000</v>
      </c>
      <c r="F814" s="24">
        <f>Data!H814</f>
        <v>1976992000000</v>
      </c>
      <c r="G814" s="24">
        <f t="shared" si="96"/>
        <v>4381678000000</v>
      </c>
      <c r="H814" s="24">
        <f>Data!G814</f>
        <v>14409652000000</v>
      </c>
      <c r="I814" s="25">
        <f t="shared" si="97"/>
        <v>1.994760711778466</v>
      </c>
      <c r="J814" s="24">
        <f>Data!J814</f>
        <v>4488197000000</v>
      </c>
      <c r="K814" s="24">
        <f t="shared" si="98"/>
        <v>14409652000000</v>
      </c>
      <c r="L814" s="25">
        <f t="shared" si="99"/>
        <v>1.0153973336760664</v>
      </c>
      <c r="M814" s="24">
        <f>Data!M814</f>
        <v>455387000000</v>
      </c>
      <c r="N814" s="24">
        <f t="shared" si="100"/>
        <v>14409652000000</v>
      </c>
      <c r="O814" s="25">
        <f t="shared" si="101"/>
        <v>0.21237158537902232</v>
      </c>
      <c r="P814" s="24">
        <f>Data!K814</f>
        <v>7173512000000</v>
      </c>
      <c r="Q814" s="24">
        <f>Data!I814</f>
        <v>7236140000000</v>
      </c>
      <c r="R814" s="25">
        <f t="shared" si="102"/>
        <v>1.0409123648796181</v>
      </c>
      <c r="S814" s="25">
        <f t="shared" si="103"/>
        <v>4.2634419957131726</v>
      </c>
    </row>
    <row r="815" spans="1:19" ht="15" customHeight="1" x14ac:dyDescent="0.3">
      <c r="A815" s="22"/>
      <c r="B815" s="23"/>
      <c r="C815" s="2"/>
      <c r="D815" s="23">
        <v>2024</v>
      </c>
      <c r="E815" s="24">
        <f>Data!F815</f>
        <v>6938104000000</v>
      </c>
      <c r="F815" s="24">
        <f>Data!H815</f>
        <v>2194910000000</v>
      </c>
      <c r="G815" s="24">
        <f t="shared" si="96"/>
        <v>4743194000000</v>
      </c>
      <c r="H815" s="24">
        <f>Data!G815</f>
        <v>16164429000000</v>
      </c>
      <c r="I815" s="25">
        <f t="shared" si="97"/>
        <v>1.9249274218099506</v>
      </c>
      <c r="J815" s="24">
        <f>Data!J815</f>
        <v>5103357000000</v>
      </c>
      <c r="K815" s="24">
        <f t="shared" si="98"/>
        <v>16164429000000</v>
      </c>
      <c r="L815" s="25">
        <f t="shared" si="99"/>
        <v>1.0292317668629063</v>
      </c>
      <c r="M815" s="24">
        <f>Data!M815</f>
        <v>642036000000</v>
      </c>
      <c r="N815" s="24">
        <f t="shared" si="100"/>
        <v>16164429000000</v>
      </c>
      <c r="O815" s="25">
        <f t="shared" si="101"/>
        <v>0.26691211424789579</v>
      </c>
      <c r="P815" s="24">
        <f>Data!K815</f>
        <v>8566984000000</v>
      </c>
      <c r="Q815" s="24">
        <f>Data!I815</f>
        <v>7597445000000</v>
      </c>
      <c r="R815" s="25">
        <f t="shared" si="102"/>
        <v>1.1839945139451487</v>
      </c>
      <c r="S815" s="25">
        <f t="shared" si="103"/>
        <v>4.4050658168659007</v>
      </c>
    </row>
    <row r="816" spans="1:19" ht="15" customHeight="1" x14ac:dyDescent="0.3">
      <c r="A816" s="22"/>
      <c r="B816" s="23">
        <v>75</v>
      </c>
      <c r="C816" s="1" t="s">
        <v>130</v>
      </c>
      <c r="D816" s="23">
        <v>2014</v>
      </c>
      <c r="E816" s="24">
        <f>Data!F816</f>
        <v>0</v>
      </c>
      <c r="F816" s="24">
        <f>Data!H816</f>
        <v>0</v>
      </c>
      <c r="G816" s="24">
        <f t="shared" si="96"/>
        <v>0</v>
      </c>
      <c r="H816" s="24">
        <f>Data!G816</f>
        <v>0</v>
      </c>
      <c r="I816" s="25">
        <f t="shared" si="97"/>
        <v>0</v>
      </c>
      <c r="J816" s="24">
        <f>Data!J816</f>
        <v>0</v>
      </c>
      <c r="K816" s="24">
        <f t="shared" si="98"/>
        <v>0</v>
      </c>
      <c r="L816" s="25">
        <f t="shared" si="99"/>
        <v>0</v>
      </c>
      <c r="M816" s="24">
        <f>Data!M816</f>
        <v>0</v>
      </c>
      <c r="N816" s="24">
        <f t="shared" si="100"/>
        <v>0</v>
      </c>
      <c r="O816" s="25">
        <f t="shared" si="101"/>
        <v>0</v>
      </c>
      <c r="P816" s="24">
        <f>Data!K816</f>
        <v>0</v>
      </c>
      <c r="Q816" s="24">
        <f>Data!I816</f>
        <v>0</v>
      </c>
      <c r="R816" s="25">
        <f t="shared" si="102"/>
        <v>0</v>
      </c>
      <c r="S816" s="25">
        <f t="shared" si="103"/>
        <v>0</v>
      </c>
    </row>
    <row r="817" spans="1:19" ht="15" customHeight="1" x14ac:dyDescent="0.3">
      <c r="A817" s="22"/>
      <c r="B817" s="23"/>
      <c r="C817" s="1"/>
      <c r="D817" s="23">
        <v>2015</v>
      </c>
      <c r="E817" s="24">
        <f>Data!F817</f>
        <v>0</v>
      </c>
      <c r="F817" s="24">
        <f>Data!H817</f>
        <v>0</v>
      </c>
      <c r="G817" s="24">
        <f t="shared" si="96"/>
        <v>0</v>
      </c>
      <c r="H817" s="24">
        <f>Data!G817</f>
        <v>0</v>
      </c>
      <c r="I817" s="25">
        <f t="shared" si="97"/>
        <v>0</v>
      </c>
      <c r="J817" s="24">
        <f>Data!J817</f>
        <v>0</v>
      </c>
      <c r="K817" s="24">
        <f t="shared" si="98"/>
        <v>0</v>
      </c>
      <c r="L817" s="25">
        <f t="shared" si="99"/>
        <v>0</v>
      </c>
      <c r="M817" s="24">
        <f>Data!M817</f>
        <v>0</v>
      </c>
      <c r="N817" s="24">
        <f t="shared" si="100"/>
        <v>0</v>
      </c>
      <c r="O817" s="25">
        <f t="shared" si="101"/>
        <v>0</v>
      </c>
      <c r="P817" s="24">
        <f>Data!K817</f>
        <v>0</v>
      </c>
      <c r="Q817" s="24">
        <f>Data!I817</f>
        <v>0</v>
      </c>
      <c r="R817" s="25">
        <f t="shared" si="102"/>
        <v>0</v>
      </c>
      <c r="S817" s="25">
        <f t="shared" si="103"/>
        <v>0</v>
      </c>
    </row>
    <row r="818" spans="1:19" ht="15" customHeight="1" x14ac:dyDescent="0.3">
      <c r="A818" s="22"/>
      <c r="B818" s="23"/>
      <c r="C818" s="1"/>
      <c r="D818" s="23">
        <v>2016</v>
      </c>
      <c r="E818" s="24">
        <f>Data!F818</f>
        <v>0</v>
      </c>
      <c r="F818" s="24">
        <f>Data!H818</f>
        <v>0</v>
      </c>
      <c r="G818" s="24">
        <f t="shared" si="96"/>
        <v>0</v>
      </c>
      <c r="H818" s="24">
        <f>Data!G818</f>
        <v>0</v>
      </c>
      <c r="I818" s="25">
        <f t="shared" si="97"/>
        <v>0</v>
      </c>
      <c r="J818" s="24">
        <f>Data!J818</f>
        <v>0</v>
      </c>
      <c r="K818" s="24">
        <f t="shared" si="98"/>
        <v>0</v>
      </c>
      <c r="L818" s="25">
        <f t="shared" si="99"/>
        <v>0</v>
      </c>
      <c r="M818" s="24">
        <f>Data!M818</f>
        <v>0</v>
      </c>
      <c r="N818" s="24">
        <f t="shared" si="100"/>
        <v>0</v>
      </c>
      <c r="O818" s="25">
        <f t="shared" si="101"/>
        <v>0</v>
      </c>
      <c r="P818" s="24">
        <f>Data!K818</f>
        <v>0</v>
      </c>
      <c r="Q818" s="24">
        <f>Data!I818</f>
        <v>0</v>
      </c>
      <c r="R818" s="25">
        <f t="shared" si="102"/>
        <v>0</v>
      </c>
      <c r="S818" s="25">
        <f t="shared" si="103"/>
        <v>0</v>
      </c>
    </row>
    <row r="819" spans="1:19" ht="15" customHeight="1" x14ac:dyDescent="0.3">
      <c r="A819" s="22"/>
      <c r="B819" s="23"/>
      <c r="C819" s="1"/>
      <c r="D819" s="23">
        <v>2017</v>
      </c>
      <c r="E819" s="24">
        <f>Data!F819</f>
        <v>0</v>
      </c>
      <c r="F819" s="24">
        <f>Data!H819</f>
        <v>0</v>
      </c>
      <c r="G819" s="24">
        <f t="shared" si="96"/>
        <v>0</v>
      </c>
      <c r="H819" s="24">
        <f>Data!G819</f>
        <v>0</v>
      </c>
      <c r="I819" s="25">
        <f t="shared" si="97"/>
        <v>0</v>
      </c>
      <c r="J819" s="24">
        <f>Data!J819</f>
        <v>0</v>
      </c>
      <c r="K819" s="24">
        <f t="shared" si="98"/>
        <v>0</v>
      </c>
      <c r="L819" s="25">
        <f t="shared" si="99"/>
        <v>0</v>
      </c>
      <c r="M819" s="24">
        <f>Data!M819</f>
        <v>0</v>
      </c>
      <c r="N819" s="24">
        <f t="shared" si="100"/>
        <v>0</v>
      </c>
      <c r="O819" s="25">
        <f t="shared" si="101"/>
        <v>0</v>
      </c>
      <c r="P819" s="24">
        <f>Data!K819</f>
        <v>0</v>
      </c>
      <c r="Q819" s="24">
        <f>Data!I819</f>
        <v>0</v>
      </c>
      <c r="R819" s="25">
        <f t="shared" si="102"/>
        <v>0</v>
      </c>
      <c r="S819" s="25">
        <f t="shared" si="103"/>
        <v>0</v>
      </c>
    </row>
    <row r="820" spans="1:19" ht="15" customHeight="1" x14ac:dyDescent="0.3">
      <c r="A820" s="22"/>
      <c r="B820" s="23"/>
      <c r="C820" s="1"/>
      <c r="D820" s="23">
        <v>2018</v>
      </c>
      <c r="E820" s="24">
        <f>Data!F820</f>
        <v>0</v>
      </c>
      <c r="F820" s="24">
        <f>Data!H820</f>
        <v>0</v>
      </c>
      <c r="G820" s="24">
        <f t="shared" si="96"/>
        <v>0</v>
      </c>
      <c r="H820" s="24">
        <f>Data!G820</f>
        <v>0</v>
      </c>
      <c r="I820" s="25">
        <f t="shared" si="97"/>
        <v>0</v>
      </c>
      <c r="J820" s="24">
        <f>Data!J820</f>
        <v>0</v>
      </c>
      <c r="K820" s="24">
        <f t="shared" si="98"/>
        <v>0</v>
      </c>
      <c r="L820" s="25">
        <f t="shared" si="99"/>
        <v>0</v>
      </c>
      <c r="M820" s="24">
        <f>Data!M820</f>
        <v>0</v>
      </c>
      <c r="N820" s="24">
        <f t="shared" si="100"/>
        <v>0</v>
      </c>
      <c r="O820" s="25">
        <f t="shared" si="101"/>
        <v>0</v>
      </c>
      <c r="P820" s="24">
        <f>Data!K820</f>
        <v>0</v>
      </c>
      <c r="Q820" s="24">
        <f>Data!I820</f>
        <v>0</v>
      </c>
      <c r="R820" s="25">
        <f t="shared" si="102"/>
        <v>0</v>
      </c>
      <c r="S820" s="25">
        <f t="shared" si="103"/>
        <v>0</v>
      </c>
    </row>
    <row r="821" spans="1:19" ht="15" customHeight="1" x14ac:dyDescent="0.3">
      <c r="A821" s="22"/>
      <c r="B821" s="23"/>
      <c r="C821" s="1"/>
      <c r="D821" s="23">
        <v>2019</v>
      </c>
      <c r="E821" s="24">
        <f>Data!F821</f>
        <v>0</v>
      </c>
      <c r="F821" s="24">
        <f>Data!H821</f>
        <v>0</v>
      </c>
      <c r="G821" s="24">
        <f t="shared" si="96"/>
        <v>0</v>
      </c>
      <c r="H821" s="24">
        <f>Data!G821</f>
        <v>0</v>
      </c>
      <c r="I821" s="25">
        <f t="shared" si="97"/>
        <v>0</v>
      </c>
      <c r="J821" s="24">
        <f>Data!J821</f>
        <v>0</v>
      </c>
      <c r="K821" s="24">
        <f t="shared" si="98"/>
        <v>0</v>
      </c>
      <c r="L821" s="25">
        <f t="shared" si="99"/>
        <v>0</v>
      </c>
      <c r="M821" s="24">
        <f>Data!M821</f>
        <v>0</v>
      </c>
      <c r="N821" s="24">
        <f t="shared" si="100"/>
        <v>0</v>
      </c>
      <c r="O821" s="25">
        <f t="shared" si="101"/>
        <v>0</v>
      </c>
      <c r="P821" s="24">
        <f>Data!K821</f>
        <v>0</v>
      </c>
      <c r="Q821" s="24">
        <f>Data!I821</f>
        <v>0</v>
      </c>
      <c r="R821" s="25">
        <f t="shared" si="102"/>
        <v>0</v>
      </c>
      <c r="S821" s="25">
        <f t="shared" si="103"/>
        <v>0</v>
      </c>
    </row>
    <row r="822" spans="1:19" ht="15" customHeight="1" x14ac:dyDescent="0.3">
      <c r="A822" s="22"/>
      <c r="B822" s="23"/>
      <c r="C822" s="1"/>
      <c r="D822" s="23">
        <v>2020</v>
      </c>
      <c r="E822" s="24">
        <f>Data!F822</f>
        <v>0</v>
      </c>
      <c r="F822" s="24">
        <f>Data!H822</f>
        <v>0</v>
      </c>
      <c r="G822" s="24">
        <f t="shared" si="96"/>
        <v>0</v>
      </c>
      <c r="H822" s="24">
        <f>Data!G822</f>
        <v>0</v>
      </c>
      <c r="I822" s="25">
        <f t="shared" si="97"/>
        <v>0</v>
      </c>
      <c r="J822" s="24">
        <f>Data!J822</f>
        <v>0</v>
      </c>
      <c r="K822" s="24">
        <f t="shared" si="98"/>
        <v>0</v>
      </c>
      <c r="L822" s="25">
        <f t="shared" si="99"/>
        <v>0</v>
      </c>
      <c r="M822" s="24">
        <f>Data!M822</f>
        <v>0</v>
      </c>
      <c r="N822" s="24">
        <f t="shared" si="100"/>
        <v>0</v>
      </c>
      <c r="O822" s="25">
        <f t="shared" si="101"/>
        <v>0</v>
      </c>
      <c r="P822" s="24">
        <f>Data!K822</f>
        <v>0</v>
      </c>
      <c r="Q822" s="24">
        <f>Data!I822</f>
        <v>0</v>
      </c>
      <c r="R822" s="25">
        <f t="shared" si="102"/>
        <v>0</v>
      </c>
      <c r="S822" s="25">
        <f t="shared" si="103"/>
        <v>0</v>
      </c>
    </row>
    <row r="823" spans="1:19" ht="15" customHeight="1" x14ac:dyDescent="0.3">
      <c r="A823" s="22"/>
      <c r="B823" s="23"/>
      <c r="C823" s="1"/>
      <c r="D823" s="23">
        <v>2021</v>
      </c>
      <c r="E823" s="24">
        <f>Data!F823</f>
        <v>0</v>
      </c>
      <c r="F823" s="24">
        <f>Data!H823</f>
        <v>0</v>
      </c>
      <c r="G823" s="24">
        <f t="shared" si="96"/>
        <v>0</v>
      </c>
      <c r="H823" s="24">
        <f>Data!G823</f>
        <v>0</v>
      </c>
      <c r="I823" s="25">
        <f t="shared" si="97"/>
        <v>0</v>
      </c>
      <c r="J823" s="24">
        <f>Data!J823</f>
        <v>0</v>
      </c>
      <c r="K823" s="24">
        <f t="shared" si="98"/>
        <v>0</v>
      </c>
      <c r="L823" s="25">
        <f t="shared" si="99"/>
        <v>0</v>
      </c>
      <c r="M823" s="24">
        <f>Data!M823</f>
        <v>0</v>
      </c>
      <c r="N823" s="24">
        <f t="shared" si="100"/>
        <v>0</v>
      </c>
      <c r="O823" s="25">
        <f t="shared" si="101"/>
        <v>0</v>
      </c>
      <c r="P823" s="24">
        <f>Data!K823</f>
        <v>0</v>
      </c>
      <c r="Q823" s="24">
        <f>Data!I823</f>
        <v>0</v>
      </c>
      <c r="R823" s="25">
        <f t="shared" si="102"/>
        <v>0</v>
      </c>
      <c r="S823" s="25">
        <f t="shared" si="103"/>
        <v>0</v>
      </c>
    </row>
    <row r="824" spans="1:19" ht="15" customHeight="1" x14ac:dyDescent="0.3">
      <c r="A824" s="22"/>
      <c r="B824" s="23"/>
      <c r="C824" s="1"/>
      <c r="D824" s="23">
        <v>2022</v>
      </c>
      <c r="E824" s="24">
        <f>Data!F824</f>
        <v>0</v>
      </c>
      <c r="F824" s="24">
        <f>Data!H824</f>
        <v>0</v>
      </c>
      <c r="G824" s="24">
        <f t="shared" si="96"/>
        <v>0</v>
      </c>
      <c r="H824" s="24">
        <f>Data!G824</f>
        <v>0</v>
      </c>
      <c r="I824" s="25">
        <f t="shared" si="97"/>
        <v>0</v>
      </c>
      <c r="J824" s="24">
        <f>Data!J824</f>
        <v>0</v>
      </c>
      <c r="K824" s="24">
        <f t="shared" si="98"/>
        <v>0</v>
      </c>
      <c r="L824" s="25">
        <f t="shared" si="99"/>
        <v>0</v>
      </c>
      <c r="M824" s="24">
        <f>Data!M824</f>
        <v>0</v>
      </c>
      <c r="N824" s="24">
        <f t="shared" si="100"/>
        <v>0</v>
      </c>
      <c r="O824" s="25">
        <f t="shared" si="101"/>
        <v>0</v>
      </c>
      <c r="P824" s="24">
        <f>Data!K824</f>
        <v>0</v>
      </c>
      <c r="Q824" s="24">
        <f>Data!I824</f>
        <v>0</v>
      </c>
      <c r="R824" s="25">
        <f t="shared" si="102"/>
        <v>0</v>
      </c>
      <c r="S824" s="25">
        <f t="shared" si="103"/>
        <v>0</v>
      </c>
    </row>
    <row r="825" spans="1:19" ht="15" customHeight="1" x14ac:dyDescent="0.3">
      <c r="A825" s="22"/>
      <c r="B825" s="23"/>
      <c r="C825" s="1"/>
      <c r="D825" s="23">
        <v>2023</v>
      </c>
      <c r="E825" s="24">
        <f>Data!F825</f>
        <v>0</v>
      </c>
      <c r="F825" s="24">
        <f>Data!H825</f>
        <v>0</v>
      </c>
      <c r="G825" s="24">
        <f t="shared" si="96"/>
        <v>0</v>
      </c>
      <c r="H825" s="24">
        <f>Data!G825</f>
        <v>0</v>
      </c>
      <c r="I825" s="25">
        <f t="shared" si="97"/>
        <v>0</v>
      </c>
      <c r="J825" s="24">
        <f>Data!J825</f>
        <v>0</v>
      </c>
      <c r="K825" s="24">
        <f t="shared" si="98"/>
        <v>0</v>
      </c>
      <c r="L825" s="25">
        <f t="shared" si="99"/>
        <v>0</v>
      </c>
      <c r="M825" s="24">
        <f>Data!M825</f>
        <v>0</v>
      </c>
      <c r="N825" s="24">
        <f t="shared" si="100"/>
        <v>0</v>
      </c>
      <c r="O825" s="25">
        <f t="shared" si="101"/>
        <v>0</v>
      </c>
      <c r="P825" s="24">
        <f>Data!K825</f>
        <v>0</v>
      </c>
      <c r="Q825" s="24">
        <f>Data!I825</f>
        <v>0</v>
      </c>
      <c r="R825" s="25">
        <f t="shared" si="102"/>
        <v>0</v>
      </c>
      <c r="S825" s="25">
        <f t="shared" si="103"/>
        <v>0</v>
      </c>
    </row>
    <row r="826" spans="1:19" ht="15" customHeight="1" x14ac:dyDescent="0.3">
      <c r="A826" s="22"/>
      <c r="B826" s="23"/>
      <c r="C826" s="1"/>
      <c r="D826" s="23">
        <v>2024</v>
      </c>
      <c r="E826" s="24">
        <f>Data!F826</f>
        <v>0</v>
      </c>
      <c r="F826" s="24">
        <f>Data!H826</f>
        <v>0</v>
      </c>
      <c r="G826" s="24">
        <f t="shared" si="96"/>
        <v>0</v>
      </c>
      <c r="H826" s="24">
        <f>Data!G826</f>
        <v>0</v>
      </c>
      <c r="I826" s="25">
        <f t="shared" si="97"/>
        <v>0</v>
      </c>
      <c r="J826" s="24">
        <f>Data!J826</f>
        <v>0</v>
      </c>
      <c r="K826" s="24">
        <f t="shared" si="98"/>
        <v>0</v>
      </c>
      <c r="L826" s="25">
        <f t="shared" si="99"/>
        <v>0</v>
      </c>
      <c r="M826" s="24">
        <f>Data!M826</f>
        <v>0</v>
      </c>
      <c r="N826" s="24">
        <f t="shared" si="100"/>
        <v>0</v>
      </c>
      <c r="O826" s="25">
        <f t="shared" si="101"/>
        <v>0</v>
      </c>
      <c r="P826" s="24">
        <f>Data!K826</f>
        <v>0</v>
      </c>
      <c r="Q826" s="24">
        <f>Data!I826</f>
        <v>0</v>
      </c>
      <c r="R826" s="25">
        <f t="shared" si="102"/>
        <v>0</v>
      </c>
      <c r="S826" s="25">
        <f t="shared" si="103"/>
        <v>0</v>
      </c>
    </row>
    <row r="827" spans="1:19" ht="15" customHeight="1" x14ac:dyDescent="0.3">
      <c r="A827" s="22"/>
      <c r="B827" s="23">
        <v>76</v>
      </c>
      <c r="C827" s="2" t="s">
        <v>79</v>
      </c>
      <c r="D827" s="23">
        <v>2014</v>
      </c>
      <c r="E827" s="24">
        <f>Data!F827</f>
        <v>0</v>
      </c>
      <c r="F827" s="24">
        <f>Data!H827</f>
        <v>0</v>
      </c>
      <c r="G827" s="24">
        <f t="shared" si="96"/>
        <v>0</v>
      </c>
      <c r="H827" s="24">
        <f>Data!G827</f>
        <v>0</v>
      </c>
      <c r="I827" s="25">
        <f t="shared" si="97"/>
        <v>0</v>
      </c>
      <c r="J827" s="24">
        <f>Data!J827</f>
        <v>0</v>
      </c>
      <c r="K827" s="24">
        <f t="shared" si="98"/>
        <v>0</v>
      </c>
      <c r="L827" s="25">
        <f t="shared" si="99"/>
        <v>0</v>
      </c>
      <c r="M827" s="24">
        <f>Data!M827</f>
        <v>0</v>
      </c>
      <c r="N827" s="24">
        <f t="shared" si="100"/>
        <v>0</v>
      </c>
      <c r="O827" s="25">
        <f t="shared" si="101"/>
        <v>0</v>
      </c>
      <c r="P827" s="24">
        <f>Data!K827</f>
        <v>0</v>
      </c>
      <c r="Q827" s="24">
        <f>Data!I827</f>
        <v>0</v>
      </c>
      <c r="R827" s="25">
        <f t="shared" si="102"/>
        <v>0</v>
      </c>
      <c r="S827" s="25">
        <f t="shared" si="103"/>
        <v>0</v>
      </c>
    </row>
    <row r="828" spans="1:19" ht="15" customHeight="1" x14ac:dyDescent="0.3">
      <c r="A828" s="22"/>
      <c r="B828" s="23"/>
      <c r="C828" s="2"/>
      <c r="D828" s="23">
        <v>2015</v>
      </c>
      <c r="E828" s="24">
        <f>Data!F828</f>
        <v>0</v>
      </c>
      <c r="F828" s="24">
        <f>Data!H828</f>
        <v>0</v>
      </c>
      <c r="G828" s="24">
        <f t="shared" si="96"/>
        <v>0</v>
      </c>
      <c r="H828" s="24">
        <f>Data!G828</f>
        <v>0</v>
      </c>
      <c r="I828" s="25">
        <f t="shared" si="97"/>
        <v>0</v>
      </c>
      <c r="J828" s="24">
        <f>Data!J828</f>
        <v>0</v>
      </c>
      <c r="K828" s="24">
        <f t="shared" si="98"/>
        <v>0</v>
      </c>
      <c r="L828" s="25">
        <f t="shared" si="99"/>
        <v>0</v>
      </c>
      <c r="M828" s="24">
        <f>Data!M828</f>
        <v>0</v>
      </c>
      <c r="N828" s="24">
        <f t="shared" si="100"/>
        <v>0</v>
      </c>
      <c r="O828" s="25">
        <f t="shared" si="101"/>
        <v>0</v>
      </c>
      <c r="P828" s="24">
        <f>Data!K828</f>
        <v>0</v>
      </c>
      <c r="Q828" s="24">
        <f>Data!I828</f>
        <v>0</v>
      </c>
      <c r="R828" s="25">
        <f t="shared" si="102"/>
        <v>0</v>
      </c>
      <c r="S828" s="25">
        <f t="shared" si="103"/>
        <v>0</v>
      </c>
    </row>
    <row r="829" spans="1:19" ht="15" customHeight="1" x14ac:dyDescent="0.3">
      <c r="A829" s="22"/>
      <c r="B829" s="23"/>
      <c r="C829" s="2"/>
      <c r="D829" s="23">
        <v>2016</v>
      </c>
      <c r="E829" s="24">
        <f>Data!F829</f>
        <v>0</v>
      </c>
      <c r="F829" s="24">
        <f>Data!H829</f>
        <v>0</v>
      </c>
      <c r="G829" s="24">
        <f t="shared" si="96"/>
        <v>0</v>
      </c>
      <c r="H829" s="24">
        <f>Data!G829</f>
        <v>0</v>
      </c>
      <c r="I829" s="25">
        <f t="shared" si="97"/>
        <v>0</v>
      </c>
      <c r="J829" s="24">
        <f>Data!J829</f>
        <v>0</v>
      </c>
      <c r="K829" s="24">
        <f t="shared" si="98"/>
        <v>0</v>
      </c>
      <c r="L829" s="25">
        <f t="shared" si="99"/>
        <v>0</v>
      </c>
      <c r="M829" s="24">
        <f>Data!M829</f>
        <v>0</v>
      </c>
      <c r="N829" s="24">
        <f t="shared" si="100"/>
        <v>0</v>
      </c>
      <c r="O829" s="25">
        <f t="shared" si="101"/>
        <v>0</v>
      </c>
      <c r="P829" s="24">
        <f>Data!K829</f>
        <v>0</v>
      </c>
      <c r="Q829" s="24">
        <f>Data!I829</f>
        <v>0</v>
      </c>
      <c r="R829" s="25">
        <f t="shared" si="102"/>
        <v>0</v>
      </c>
      <c r="S829" s="25">
        <f t="shared" si="103"/>
        <v>0</v>
      </c>
    </row>
    <row r="830" spans="1:19" ht="15" customHeight="1" x14ac:dyDescent="0.3">
      <c r="A830" s="22"/>
      <c r="B830" s="23"/>
      <c r="C830" s="2"/>
      <c r="D830" s="23">
        <v>2017</v>
      </c>
      <c r="E830" s="24">
        <f>Data!F830</f>
        <v>0</v>
      </c>
      <c r="F830" s="24">
        <f>Data!H830</f>
        <v>0</v>
      </c>
      <c r="G830" s="24">
        <f t="shared" si="96"/>
        <v>0</v>
      </c>
      <c r="H830" s="24">
        <f>Data!G830</f>
        <v>0</v>
      </c>
      <c r="I830" s="25">
        <f t="shared" si="97"/>
        <v>0</v>
      </c>
      <c r="J830" s="24">
        <f>Data!J830</f>
        <v>0</v>
      </c>
      <c r="K830" s="24">
        <f t="shared" si="98"/>
        <v>0</v>
      </c>
      <c r="L830" s="25">
        <f t="shared" si="99"/>
        <v>0</v>
      </c>
      <c r="M830" s="24">
        <f>Data!M830</f>
        <v>0</v>
      </c>
      <c r="N830" s="24">
        <f t="shared" si="100"/>
        <v>0</v>
      </c>
      <c r="O830" s="25">
        <f t="shared" si="101"/>
        <v>0</v>
      </c>
      <c r="P830" s="24">
        <f>Data!K830</f>
        <v>0</v>
      </c>
      <c r="Q830" s="24">
        <f>Data!I830</f>
        <v>0</v>
      </c>
      <c r="R830" s="25">
        <f t="shared" si="102"/>
        <v>0</v>
      </c>
      <c r="S830" s="25">
        <f t="shared" si="103"/>
        <v>0</v>
      </c>
    </row>
    <row r="831" spans="1:19" ht="15" customHeight="1" x14ac:dyDescent="0.3">
      <c r="A831" s="22"/>
      <c r="B831" s="23"/>
      <c r="C831" s="2"/>
      <c r="D831" s="23">
        <v>2018</v>
      </c>
      <c r="E831" s="24">
        <f>Data!F831</f>
        <v>0</v>
      </c>
      <c r="F831" s="24">
        <f>Data!H831</f>
        <v>0</v>
      </c>
      <c r="G831" s="24">
        <f t="shared" si="96"/>
        <v>0</v>
      </c>
      <c r="H831" s="24">
        <f>Data!G831</f>
        <v>0</v>
      </c>
      <c r="I831" s="25">
        <f t="shared" si="97"/>
        <v>0</v>
      </c>
      <c r="J831" s="24">
        <f>Data!J831</f>
        <v>0</v>
      </c>
      <c r="K831" s="24">
        <f t="shared" si="98"/>
        <v>0</v>
      </c>
      <c r="L831" s="25">
        <f t="shared" si="99"/>
        <v>0</v>
      </c>
      <c r="M831" s="24">
        <f>Data!M831</f>
        <v>0</v>
      </c>
      <c r="N831" s="24">
        <f t="shared" si="100"/>
        <v>0</v>
      </c>
      <c r="O831" s="25">
        <f t="shared" si="101"/>
        <v>0</v>
      </c>
      <c r="P831" s="24">
        <f>Data!K831</f>
        <v>0</v>
      </c>
      <c r="Q831" s="24">
        <f>Data!I831</f>
        <v>0</v>
      </c>
      <c r="R831" s="25">
        <f t="shared" si="102"/>
        <v>0</v>
      </c>
      <c r="S831" s="25">
        <f t="shared" si="103"/>
        <v>0</v>
      </c>
    </row>
    <row r="832" spans="1:19" ht="15" customHeight="1" x14ac:dyDescent="0.3">
      <c r="A832" s="22"/>
      <c r="B832" s="23"/>
      <c r="C832" s="2"/>
      <c r="D832" s="23">
        <v>2019</v>
      </c>
      <c r="E832" s="24">
        <f>Data!F832</f>
        <v>747463623000</v>
      </c>
      <c r="F832" s="24">
        <f>Data!H832</f>
        <v>204901967000</v>
      </c>
      <c r="G832" s="24">
        <f t="shared" si="96"/>
        <v>542561656000</v>
      </c>
      <c r="H832" s="24">
        <f>Data!G832</f>
        <v>1158038755000</v>
      </c>
      <c r="I832" s="25">
        <f t="shared" si="97"/>
        <v>3.07347612330988</v>
      </c>
      <c r="J832" s="24">
        <f>Data!J832</f>
        <v>300201088000</v>
      </c>
      <c r="K832" s="24">
        <f t="shared" si="98"/>
        <v>1158038755000</v>
      </c>
      <c r="L832" s="25">
        <f t="shared" si="99"/>
        <v>0.84509740512095377</v>
      </c>
      <c r="M832" s="24">
        <f>Data!M832</f>
        <v>33647050000</v>
      </c>
      <c r="N832" s="24">
        <f t="shared" si="100"/>
        <v>1158038755000</v>
      </c>
      <c r="O832" s="25">
        <f t="shared" si="101"/>
        <v>0.19525095772809434</v>
      </c>
      <c r="P832" s="24">
        <f>Data!K832</f>
        <v>334102591000</v>
      </c>
      <c r="Q832" s="24">
        <f>Data!I832</f>
        <v>823936164000</v>
      </c>
      <c r="R832" s="25">
        <f t="shared" si="102"/>
        <v>0.42577050975274344</v>
      </c>
      <c r="S832" s="25">
        <f t="shared" si="103"/>
        <v>4.5395949959116715</v>
      </c>
    </row>
    <row r="833" spans="1:19" ht="15" customHeight="1" x14ac:dyDescent="0.3">
      <c r="A833" s="22"/>
      <c r="B833" s="23"/>
      <c r="C833" s="2"/>
      <c r="D833" s="23">
        <v>2020</v>
      </c>
      <c r="E833" s="24">
        <f>Data!F833</f>
        <v>471912125000</v>
      </c>
      <c r="F833" s="24">
        <f>Data!H833</f>
        <v>123690172000</v>
      </c>
      <c r="G833" s="24">
        <f t="shared" si="96"/>
        <v>348221953000</v>
      </c>
      <c r="H833" s="24">
        <f>Data!G833</f>
        <v>859876511000</v>
      </c>
      <c r="I833" s="25">
        <f t="shared" si="97"/>
        <v>2.656586128888919</v>
      </c>
      <c r="J833" s="24">
        <f>Data!J833</f>
        <v>312029702000</v>
      </c>
      <c r="K833" s="24">
        <f t="shared" si="98"/>
        <v>859876511000</v>
      </c>
      <c r="L833" s="25">
        <f t="shared" si="99"/>
        <v>1.182980132038983</v>
      </c>
      <c r="M833" s="24">
        <f>Data!M833</f>
        <v>31060958000</v>
      </c>
      <c r="N833" s="24">
        <f t="shared" si="100"/>
        <v>859876511000</v>
      </c>
      <c r="O833" s="25">
        <f t="shared" si="101"/>
        <v>0.24274373714111139</v>
      </c>
      <c r="P833" s="24">
        <f>Data!K833</f>
        <v>351701797000</v>
      </c>
      <c r="Q833" s="24">
        <f>Data!I833</f>
        <v>508174714000</v>
      </c>
      <c r="R833" s="25">
        <f t="shared" si="102"/>
        <v>0.72669276269814564</v>
      </c>
      <c r="S833" s="25">
        <f t="shared" si="103"/>
        <v>4.809002760767159</v>
      </c>
    </row>
    <row r="834" spans="1:19" ht="15" customHeight="1" x14ac:dyDescent="0.3">
      <c r="A834" s="22"/>
      <c r="B834" s="23"/>
      <c r="C834" s="2"/>
      <c r="D834" s="23">
        <v>2021</v>
      </c>
      <c r="E834" s="24">
        <f>Data!F834</f>
        <v>423446727000</v>
      </c>
      <c r="F834" s="24">
        <f>Data!H834</f>
        <v>116712744000</v>
      </c>
      <c r="G834" s="24">
        <f t="shared" si="96"/>
        <v>306733983000</v>
      </c>
      <c r="H834" s="24">
        <f>Data!G834</f>
        <v>822740369000</v>
      </c>
      <c r="I834" s="25">
        <f t="shared" si="97"/>
        <v>2.4456985512035812</v>
      </c>
      <c r="J834" s="24">
        <f>Data!J834</f>
        <v>314074061000</v>
      </c>
      <c r="K834" s="24">
        <f t="shared" si="98"/>
        <v>822740369000</v>
      </c>
      <c r="L834" s="25">
        <f t="shared" si="99"/>
        <v>1.2444769667792974</v>
      </c>
      <c r="M834" s="24">
        <f>Data!M834</f>
        <v>22837331000</v>
      </c>
      <c r="N834" s="24">
        <f t="shared" si="100"/>
        <v>822740369000</v>
      </c>
      <c r="O834" s="25">
        <f t="shared" si="101"/>
        <v>0.18653134099464616</v>
      </c>
      <c r="P834" s="24">
        <f>Data!K834</f>
        <v>359942738000</v>
      </c>
      <c r="Q834" s="24">
        <f>Data!I834</f>
        <v>462797631000</v>
      </c>
      <c r="R834" s="25">
        <f t="shared" si="102"/>
        <v>0.81664176647438369</v>
      </c>
      <c r="S834" s="25">
        <f t="shared" si="103"/>
        <v>4.6933486254519092</v>
      </c>
    </row>
    <row r="835" spans="1:19" ht="15" customHeight="1" x14ac:dyDescent="0.3">
      <c r="A835" s="22"/>
      <c r="B835" s="23"/>
      <c r="C835" s="2"/>
      <c r="D835" s="23">
        <v>2022</v>
      </c>
      <c r="E835" s="24">
        <f>Data!F835</f>
        <v>481563389000</v>
      </c>
      <c r="F835" s="24">
        <f>Data!H835</f>
        <v>205051401000</v>
      </c>
      <c r="G835" s="24">
        <f t="shared" ref="G835:G898" si="104">E835-F835</f>
        <v>276511988000</v>
      </c>
      <c r="H835" s="24">
        <f>Data!G835</f>
        <v>888973513000</v>
      </c>
      <c r="I835" s="25">
        <f t="shared" ref="I835:I898" si="105">IFERROR(6.56*(G835/H835),0)</f>
        <v>2.0404642149107537</v>
      </c>
      <c r="J835" s="24">
        <f>Data!J835</f>
        <v>324659361000</v>
      </c>
      <c r="K835" s="24">
        <f t="shared" ref="K835:K898" si="106">H835</f>
        <v>888973513000</v>
      </c>
      <c r="L835" s="25">
        <f t="shared" ref="L835:L898" si="107">IFERROR(3.26*(J835/K835),0)</f>
        <v>1.1905748612107412</v>
      </c>
      <c r="M835" s="24">
        <f>Data!M835</f>
        <v>25124569000</v>
      </c>
      <c r="N835" s="24">
        <f t="shared" ref="N835:N898" si="108">K835</f>
        <v>888973513000</v>
      </c>
      <c r="O835" s="25">
        <f t="shared" ref="O835:O898" si="109">IFERROR(6.72*(M835/N835),0)</f>
        <v>0.18992366050393225</v>
      </c>
      <c r="P835" s="24">
        <f>Data!K835</f>
        <v>365125870000</v>
      </c>
      <c r="Q835" s="24">
        <f>Data!I835</f>
        <v>823847643000</v>
      </c>
      <c r="R835" s="25">
        <f t="shared" ref="R835:R898" si="110">IFERROR(1.05*(P835/Q835),0)</f>
        <v>0.46535565982070792</v>
      </c>
      <c r="S835" s="25">
        <f t="shared" ref="S835:S898" si="111">IFERROR(I835+L835+O835+R835,0)</f>
        <v>3.8863183964461352</v>
      </c>
    </row>
    <row r="836" spans="1:19" ht="15" customHeight="1" x14ac:dyDescent="0.3">
      <c r="A836" s="22"/>
      <c r="B836" s="23"/>
      <c r="C836" s="2"/>
      <c r="D836" s="23">
        <v>2023</v>
      </c>
      <c r="E836" s="24">
        <f>Data!F836</f>
        <v>550921765000</v>
      </c>
      <c r="F836" s="24">
        <f>Data!H836</f>
        <v>157547114000</v>
      </c>
      <c r="G836" s="24">
        <f t="shared" si="104"/>
        <v>393374651000</v>
      </c>
      <c r="H836" s="24">
        <f>Data!G836</f>
        <v>982940217000</v>
      </c>
      <c r="I836" s="25">
        <f t="shared" si="105"/>
        <v>2.6253251885816367</v>
      </c>
      <c r="J836" s="24">
        <f>Data!J836</f>
        <v>333025352000</v>
      </c>
      <c r="K836" s="24">
        <f t="shared" si="106"/>
        <v>982940217000</v>
      </c>
      <c r="L836" s="25">
        <f t="shared" si="107"/>
        <v>1.1045052677094807</v>
      </c>
      <c r="M836" s="24">
        <f>Data!M836</f>
        <v>26354319000</v>
      </c>
      <c r="N836" s="24">
        <f t="shared" si="108"/>
        <v>982940217000</v>
      </c>
      <c r="O836" s="25">
        <f t="shared" si="109"/>
        <v>0.18017476609159841</v>
      </c>
      <c r="P836" s="24">
        <f>Data!K836</f>
        <v>371724043000</v>
      </c>
      <c r="Q836" s="24">
        <f>Data!I836</f>
        <v>611216174000</v>
      </c>
      <c r="R836" s="25">
        <f t="shared" si="110"/>
        <v>0.63857970674382059</v>
      </c>
      <c r="S836" s="25">
        <f t="shared" si="111"/>
        <v>4.5485849291265366</v>
      </c>
    </row>
    <row r="837" spans="1:19" ht="15" customHeight="1" x14ac:dyDescent="0.3">
      <c r="A837" s="22"/>
      <c r="B837" s="23"/>
      <c r="C837" s="2"/>
      <c r="D837" s="23">
        <v>2024</v>
      </c>
      <c r="E837" s="24">
        <f>Data!F837</f>
        <v>585668329000</v>
      </c>
      <c r="F837" s="24">
        <f>Data!H837</f>
        <v>152224187000</v>
      </c>
      <c r="G837" s="24">
        <f t="shared" si="104"/>
        <v>433444142000</v>
      </c>
      <c r="H837" s="24">
        <f>Data!G837</f>
        <v>1082550737000</v>
      </c>
      <c r="I837" s="25">
        <f t="shared" si="105"/>
        <v>2.6265684132271758</v>
      </c>
      <c r="J837" s="24">
        <f>Data!J837</f>
        <v>347791163000</v>
      </c>
      <c r="K837" s="24">
        <f t="shared" si="106"/>
        <v>1082550737000</v>
      </c>
      <c r="L837" s="25">
        <f t="shared" si="107"/>
        <v>1.0473404641726274</v>
      </c>
      <c r="M837" s="24">
        <f>Data!M837</f>
        <v>333251634000</v>
      </c>
      <c r="N837" s="24">
        <f t="shared" si="108"/>
        <v>1082550737000</v>
      </c>
      <c r="O837" s="25">
        <f t="shared" si="109"/>
        <v>2.0686799278212487</v>
      </c>
      <c r="P837" s="24">
        <f>Data!K837</f>
        <v>398470362000</v>
      </c>
      <c r="Q837" s="24">
        <f>Data!I837</f>
        <v>684080375000</v>
      </c>
      <c r="R837" s="25">
        <f t="shared" si="110"/>
        <v>0.61161508996658476</v>
      </c>
      <c r="S837" s="25">
        <f t="shared" si="111"/>
        <v>6.354203895187637</v>
      </c>
    </row>
    <row r="838" spans="1:19" ht="15" customHeight="1" x14ac:dyDescent="0.3">
      <c r="A838" s="22"/>
      <c r="B838" s="23">
        <v>77</v>
      </c>
      <c r="C838" s="2" t="s">
        <v>119</v>
      </c>
      <c r="D838" s="23">
        <v>2014</v>
      </c>
      <c r="E838" s="24">
        <f>Data!F838</f>
        <v>0</v>
      </c>
      <c r="F838" s="24">
        <f>Data!H838</f>
        <v>0</v>
      </c>
      <c r="G838" s="24">
        <f t="shared" si="104"/>
        <v>0</v>
      </c>
      <c r="H838" s="24">
        <f>Data!G838</f>
        <v>0</v>
      </c>
      <c r="I838" s="25">
        <f t="shared" si="105"/>
        <v>0</v>
      </c>
      <c r="J838" s="24">
        <f>Data!J838</f>
        <v>0</v>
      </c>
      <c r="K838" s="24">
        <f t="shared" si="106"/>
        <v>0</v>
      </c>
      <c r="L838" s="25">
        <f t="shared" si="107"/>
        <v>0</v>
      </c>
      <c r="M838" s="24">
        <f>Data!M838</f>
        <v>0</v>
      </c>
      <c r="N838" s="24">
        <f t="shared" si="108"/>
        <v>0</v>
      </c>
      <c r="O838" s="25">
        <f t="shared" si="109"/>
        <v>0</v>
      </c>
      <c r="P838" s="24">
        <f>Data!K838</f>
        <v>0</v>
      </c>
      <c r="Q838" s="24">
        <f>Data!I838</f>
        <v>0</v>
      </c>
      <c r="R838" s="25">
        <f t="shared" si="110"/>
        <v>0</v>
      </c>
      <c r="S838" s="25">
        <f t="shared" si="111"/>
        <v>0</v>
      </c>
    </row>
    <row r="839" spans="1:19" ht="15" customHeight="1" x14ac:dyDescent="0.3">
      <c r="A839" s="22"/>
      <c r="B839" s="23"/>
      <c r="C839" s="2"/>
      <c r="D839" s="23">
        <v>2015</v>
      </c>
      <c r="E839" s="24">
        <f>Data!F839</f>
        <v>0</v>
      </c>
      <c r="F839" s="24">
        <f>Data!H839</f>
        <v>0</v>
      </c>
      <c r="G839" s="24">
        <f t="shared" si="104"/>
        <v>0</v>
      </c>
      <c r="H839" s="24">
        <f>Data!G839</f>
        <v>0</v>
      </c>
      <c r="I839" s="25">
        <f t="shared" si="105"/>
        <v>0</v>
      </c>
      <c r="J839" s="24">
        <f>Data!J839</f>
        <v>0</v>
      </c>
      <c r="K839" s="24">
        <f t="shared" si="106"/>
        <v>0</v>
      </c>
      <c r="L839" s="25">
        <f t="shared" si="107"/>
        <v>0</v>
      </c>
      <c r="M839" s="24">
        <f>Data!M839</f>
        <v>0</v>
      </c>
      <c r="N839" s="24">
        <f t="shared" si="108"/>
        <v>0</v>
      </c>
      <c r="O839" s="25">
        <f t="shared" si="109"/>
        <v>0</v>
      </c>
      <c r="P839" s="24">
        <f>Data!K839</f>
        <v>0</v>
      </c>
      <c r="Q839" s="24">
        <f>Data!I839</f>
        <v>0</v>
      </c>
      <c r="R839" s="25">
        <f t="shared" si="110"/>
        <v>0</v>
      </c>
      <c r="S839" s="25">
        <f t="shared" si="111"/>
        <v>0</v>
      </c>
    </row>
    <row r="840" spans="1:19" ht="15" customHeight="1" x14ac:dyDescent="0.3">
      <c r="A840" s="22"/>
      <c r="B840" s="23"/>
      <c r="C840" s="2"/>
      <c r="D840" s="23">
        <v>2016</v>
      </c>
      <c r="E840" s="24">
        <f>Data!F840</f>
        <v>0</v>
      </c>
      <c r="F840" s="24">
        <f>Data!H840</f>
        <v>0</v>
      </c>
      <c r="G840" s="24">
        <f t="shared" si="104"/>
        <v>0</v>
      </c>
      <c r="H840" s="24">
        <f>Data!G840</f>
        <v>0</v>
      </c>
      <c r="I840" s="25">
        <f t="shared" si="105"/>
        <v>0</v>
      </c>
      <c r="J840" s="24">
        <f>Data!J840</f>
        <v>0</v>
      </c>
      <c r="K840" s="24">
        <f t="shared" si="106"/>
        <v>0</v>
      </c>
      <c r="L840" s="25">
        <f t="shared" si="107"/>
        <v>0</v>
      </c>
      <c r="M840" s="24">
        <f>Data!M840</f>
        <v>0</v>
      </c>
      <c r="N840" s="24">
        <f t="shared" si="108"/>
        <v>0</v>
      </c>
      <c r="O840" s="25">
        <f t="shared" si="109"/>
        <v>0</v>
      </c>
      <c r="P840" s="24">
        <f>Data!K840</f>
        <v>0</v>
      </c>
      <c r="Q840" s="24">
        <f>Data!I840</f>
        <v>0</v>
      </c>
      <c r="R840" s="25">
        <f t="shared" si="110"/>
        <v>0</v>
      </c>
      <c r="S840" s="25">
        <f t="shared" si="111"/>
        <v>0</v>
      </c>
    </row>
    <row r="841" spans="1:19" ht="15" customHeight="1" x14ac:dyDescent="0.3">
      <c r="A841" s="22"/>
      <c r="B841" s="23"/>
      <c r="C841" s="2"/>
      <c r="D841" s="23">
        <v>2017</v>
      </c>
      <c r="E841" s="24">
        <f>Data!F841</f>
        <v>0</v>
      </c>
      <c r="F841" s="24">
        <f>Data!H841</f>
        <v>0</v>
      </c>
      <c r="G841" s="24">
        <f t="shared" si="104"/>
        <v>0</v>
      </c>
      <c r="H841" s="24">
        <f>Data!G841</f>
        <v>0</v>
      </c>
      <c r="I841" s="25">
        <f t="shared" si="105"/>
        <v>0</v>
      </c>
      <c r="J841" s="24">
        <f>Data!J841</f>
        <v>0</v>
      </c>
      <c r="K841" s="24">
        <f t="shared" si="106"/>
        <v>0</v>
      </c>
      <c r="L841" s="25">
        <f t="shared" si="107"/>
        <v>0</v>
      </c>
      <c r="M841" s="24">
        <f>Data!M841</f>
        <v>0</v>
      </c>
      <c r="N841" s="24">
        <f t="shared" si="108"/>
        <v>0</v>
      </c>
      <c r="O841" s="25">
        <f t="shared" si="109"/>
        <v>0</v>
      </c>
      <c r="P841" s="24">
        <f>Data!K841</f>
        <v>0</v>
      </c>
      <c r="Q841" s="24">
        <f>Data!I841</f>
        <v>0</v>
      </c>
      <c r="R841" s="25">
        <f t="shared" si="110"/>
        <v>0</v>
      </c>
      <c r="S841" s="25">
        <f t="shared" si="111"/>
        <v>0</v>
      </c>
    </row>
    <row r="842" spans="1:19" ht="15" customHeight="1" x14ac:dyDescent="0.3">
      <c r="A842" s="22"/>
      <c r="B842" s="23"/>
      <c r="C842" s="2"/>
      <c r="D842" s="23">
        <v>2018</v>
      </c>
      <c r="E842" s="24">
        <f>Data!F842</f>
        <v>237921409999.99997</v>
      </c>
      <c r="F842" s="24">
        <f>Data!H842</f>
        <v>95091040000</v>
      </c>
      <c r="G842" s="24">
        <f t="shared" si="104"/>
        <v>142830369999.99997</v>
      </c>
      <c r="H842" s="24">
        <f>Data!G842</f>
        <v>364590550000</v>
      </c>
      <c r="I842" s="25">
        <f t="shared" si="105"/>
        <v>2.569916382089442</v>
      </c>
      <c r="J842" s="24">
        <f>Data!J842</f>
        <v>-75476090000</v>
      </c>
      <c r="K842" s="24">
        <f t="shared" si="106"/>
        <v>364590550000</v>
      </c>
      <c r="L842" s="25">
        <f t="shared" si="107"/>
        <v>-0.67487227356825341</v>
      </c>
      <c r="M842" s="24">
        <f>Data!M842</f>
        <v>-502740000</v>
      </c>
      <c r="N842" s="24">
        <f t="shared" si="108"/>
        <v>364590550000</v>
      </c>
      <c r="O842" s="25">
        <f t="shared" si="109"/>
        <v>-9.2663202598092572E-3</v>
      </c>
      <c r="P842" s="24">
        <f>Data!K842</f>
        <v>117659090000</v>
      </c>
      <c r="Q842" s="24">
        <f>Data!I842</f>
        <v>246931460000</v>
      </c>
      <c r="R842" s="25">
        <f t="shared" si="110"/>
        <v>0.50030905134566495</v>
      </c>
      <c r="S842" s="25">
        <f t="shared" si="111"/>
        <v>2.386086839607044</v>
      </c>
    </row>
    <row r="843" spans="1:19" ht="15" customHeight="1" x14ac:dyDescent="0.3">
      <c r="A843" s="22"/>
      <c r="B843" s="23"/>
      <c r="C843" s="2"/>
      <c r="D843" s="23">
        <v>2019</v>
      </c>
      <c r="E843" s="24">
        <f>Data!F843</f>
        <v>143947060000</v>
      </c>
      <c r="F843" s="24">
        <f>Data!H843</f>
        <v>56007480000</v>
      </c>
      <c r="G843" s="24">
        <f t="shared" si="104"/>
        <v>87939580000</v>
      </c>
      <c r="H843" s="24">
        <f>Data!G843</f>
        <v>255980130000</v>
      </c>
      <c r="I843" s="25">
        <f t="shared" si="105"/>
        <v>2.2536266576628425</v>
      </c>
      <c r="J843" s="24">
        <f>Data!J843</f>
        <v>-71293950000</v>
      </c>
      <c r="K843" s="24">
        <f t="shared" si="106"/>
        <v>255980130000</v>
      </c>
      <c r="L843" s="25">
        <f t="shared" si="107"/>
        <v>-0.90795436739562552</v>
      </c>
      <c r="M843" s="24">
        <f>Data!M843</f>
        <v>7463400000</v>
      </c>
      <c r="N843" s="24">
        <f t="shared" si="108"/>
        <v>255980130000</v>
      </c>
      <c r="O843" s="25">
        <f t="shared" si="109"/>
        <v>0.19592945749343904</v>
      </c>
      <c r="P843" s="24">
        <f>Data!K843</f>
        <v>118755840000</v>
      </c>
      <c r="Q843" s="24">
        <f>Data!I843</f>
        <v>137224290000.00002</v>
      </c>
      <c r="R843" s="25">
        <f t="shared" si="110"/>
        <v>0.9086848399798606</v>
      </c>
      <c r="S843" s="25">
        <f t="shared" si="111"/>
        <v>2.4502865877405169</v>
      </c>
    </row>
    <row r="844" spans="1:19" ht="15" customHeight="1" x14ac:dyDescent="0.3">
      <c r="A844" s="22"/>
      <c r="B844" s="23"/>
      <c r="C844" s="2"/>
      <c r="D844" s="23">
        <v>2020</v>
      </c>
      <c r="E844" s="24">
        <f>Data!F844</f>
        <v>204622460000.00003</v>
      </c>
      <c r="F844" s="24">
        <f>Data!H844</f>
        <v>43036940000</v>
      </c>
      <c r="G844" s="24">
        <f t="shared" si="104"/>
        <v>161585520000.00003</v>
      </c>
      <c r="H844" s="24">
        <f>Data!G844</f>
        <v>314220790000</v>
      </c>
      <c r="I844" s="25">
        <f t="shared" si="105"/>
        <v>3.3734273636063361</v>
      </c>
      <c r="J844" s="24">
        <f>Data!J844</f>
        <v>-85959440000</v>
      </c>
      <c r="K844" s="24">
        <f t="shared" si="106"/>
        <v>314220790000</v>
      </c>
      <c r="L844" s="25">
        <f t="shared" si="107"/>
        <v>-0.89181805697834304</v>
      </c>
      <c r="M844" s="24">
        <f>Data!M844</f>
        <v>-11296790000</v>
      </c>
      <c r="N844" s="24">
        <f t="shared" si="108"/>
        <v>314220790000</v>
      </c>
      <c r="O844" s="25">
        <f t="shared" si="109"/>
        <v>-0.24159581802337138</v>
      </c>
      <c r="P844" s="24">
        <f>Data!K844</f>
        <v>106708340000</v>
      </c>
      <c r="Q844" s="24">
        <f>Data!I844</f>
        <v>207512450000</v>
      </c>
      <c r="R844" s="25">
        <f t="shared" si="110"/>
        <v>0.539937517001992</v>
      </c>
      <c r="S844" s="25">
        <f t="shared" si="111"/>
        <v>2.7799510056066135</v>
      </c>
    </row>
    <row r="845" spans="1:19" ht="15" customHeight="1" x14ac:dyDescent="0.3">
      <c r="A845" s="22"/>
      <c r="B845" s="23"/>
      <c r="C845" s="2"/>
      <c r="D845" s="23">
        <v>2021</v>
      </c>
      <c r="E845" s="24">
        <f>Data!F845</f>
        <v>131277490000.00002</v>
      </c>
      <c r="F845" s="24">
        <f>Data!H845</f>
        <v>35514240000</v>
      </c>
      <c r="G845" s="24">
        <f t="shared" si="104"/>
        <v>95763250000.000015</v>
      </c>
      <c r="H845" s="24">
        <f>Data!G845</f>
        <v>240789680000</v>
      </c>
      <c r="I845" s="25">
        <f t="shared" si="105"/>
        <v>2.6089445361611845</v>
      </c>
      <c r="J845" s="24">
        <f>Data!J845</f>
        <v>-105214420000</v>
      </c>
      <c r="K845" s="24">
        <f t="shared" si="106"/>
        <v>240789680000</v>
      </c>
      <c r="L845" s="25">
        <f t="shared" si="107"/>
        <v>-1.4244755389848933</v>
      </c>
      <c r="M845" s="24">
        <f>Data!M845</f>
        <v>-28543930000</v>
      </c>
      <c r="N845" s="24">
        <f t="shared" si="108"/>
        <v>240789680000</v>
      </c>
      <c r="O845" s="25">
        <f t="shared" si="109"/>
        <v>-0.79660893108043496</v>
      </c>
      <c r="P845" s="24">
        <f>Data!K845</f>
        <v>87561810000</v>
      </c>
      <c r="Q845" s="24">
        <f>Data!I845</f>
        <v>153227870000</v>
      </c>
      <c r="R845" s="25">
        <f t="shared" si="110"/>
        <v>0.60002074361537494</v>
      </c>
      <c r="S845" s="25">
        <f t="shared" si="111"/>
        <v>0.98788080971123116</v>
      </c>
    </row>
    <row r="846" spans="1:19" ht="15" customHeight="1" x14ac:dyDescent="0.3">
      <c r="A846" s="22"/>
      <c r="B846" s="23"/>
      <c r="C846" s="2"/>
      <c r="D846" s="23">
        <v>2022</v>
      </c>
      <c r="E846" s="24">
        <f>Data!F846</f>
        <v>108307790000</v>
      </c>
      <c r="F846" s="24">
        <f>Data!H846</f>
        <v>37382400000</v>
      </c>
      <c r="G846" s="24">
        <f t="shared" si="104"/>
        <v>70925390000</v>
      </c>
      <c r="H846" s="24">
        <f>Data!G846</f>
        <v>218360480000</v>
      </c>
      <c r="I846" s="25">
        <f t="shared" si="105"/>
        <v>2.1307452630622539</v>
      </c>
      <c r="J846" s="24">
        <f>Data!J846</f>
        <v>-162114100000</v>
      </c>
      <c r="K846" s="24">
        <f t="shared" si="106"/>
        <v>218360480000</v>
      </c>
      <c r="L846" s="25">
        <f t="shared" si="107"/>
        <v>-2.4202729633127751</v>
      </c>
      <c r="M846" s="24">
        <f>Data!M846</f>
        <v>-64922840000</v>
      </c>
      <c r="N846" s="24">
        <f t="shared" si="108"/>
        <v>218360480000</v>
      </c>
      <c r="O846" s="25">
        <f t="shared" si="109"/>
        <v>-1.9979873867285876</v>
      </c>
      <c r="P846" s="24">
        <f>Data!K846</f>
        <v>103111140000</v>
      </c>
      <c r="Q846" s="24">
        <f>Data!I846</f>
        <v>115249340000</v>
      </c>
      <c r="R846" s="25">
        <f t="shared" si="110"/>
        <v>0.93941272895792727</v>
      </c>
      <c r="S846" s="25">
        <f t="shared" si="111"/>
        <v>-1.3481023580211815</v>
      </c>
    </row>
    <row r="847" spans="1:19" ht="15" customHeight="1" x14ac:dyDescent="0.3">
      <c r="A847" s="22"/>
      <c r="B847" s="23"/>
      <c r="C847" s="2"/>
      <c r="D847" s="23">
        <v>2023</v>
      </c>
      <c r="E847" s="24">
        <f>Data!F847</f>
        <v>64674000000</v>
      </c>
      <c r="F847" s="24">
        <f>Data!H847</f>
        <v>93465000000</v>
      </c>
      <c r="G847" s="24">
        <f t="shared" si="104"/>
        <v>-28791000000</v>
      </c>
      <c r="H847" s="24">
        <f>Data!G847</f>
        <v>252198000000</v>
      </c>
      <c r="I847" s="25">
        <f t="shared" si="105"/>
        <v>-0.74889158518307042</v>
      </c>
      <c r="J847" s="24">
        <f>Data!J847</f>
        <v>-186172000000</v>
      </c>
      <c r="K847" s="24">
        <f t="shared" si="106"/>
        <v>252198000000</v>
      </c>
      <c r="L847" s="25">
        <f t="shared" si="107"/>
        <v>-2.4065247147082847</v>
      </c>
      <c r="M847" s="24">
        <f>Data!M847</f>
        <v>-38454000000</v>
      </c>
      <c r="N847" s="24">
        <f t="shared" si="108"/>
        <v>252198000000</v>
      </c>
      <c r="O847" s="25">
        <f t="shared" si="109"/>
        <v>-1.0246349296980943</v>
      </c>
      <c r="P847" s="24">
        <f>Data!K847</f>
        <v>105142000000</v>
      </c>
      <c r="Q847" s="24">
        <f>Data!I847</f>
        <v>147057000000</v>
      </c>
      <c r="R847" s="25">
        <f t="shared" si="110"/>
        <v>0.75072318896754331</v>
      </c>
      <c r="S847" s="25">
        <f t="shared" si="111"/>
        <v>-3.4293280406219062</v>
      </c>
    </row>
    <row r="848" spans="1:19" ht="15" customHeight="1" x14ac:dyDescent="0.3">
      <c r="A848" s="22"/>
      <c r="B848" s="23"/>
      <c r="C848" s="2"/>
      <c r="D848" s="23">
        <v>2024</v>
      </c>
      <c r="E848" s="24">
        <f>Data!F848</f>
        <v>50055000000</v>
      </c>
      <c r="F848" s="24">
        <f>Data!H848</f>
        <v>433710000000</v>
      </c>
      <c r="G848" s="24">
        <f t="shared" si="104"/>
        <v>-383655000000</v>
      </c>
      <c r="H848" s="24">
        <f>Data!G848</f>
        <v>256066000000</v>
      </c>
      <c r="I848" s="25">
        <f t="shared" si="105"/>
        <v>-9.8286254325056817</v>
      </c>
      <c r="J848" s="24">
        <f>Data!J848</f>
        <v>-169714000000</v>
      </c>
      <c r="K848" s="24">
        <f t="shared" si="106"/>
        <v>256066000000</v>
      </c>
      <c r="L848" s="25">
        <f t="shared" si="107"/>
        <v>-2.1606446775440706</v>
      </c>
      <c r="M848" s="24">
        <f>Data!M848</f>
        <v>14342000000</v>
      </c>
      <c r="N848" s="24">
        <f t="shared" si="108"/>
        <v>256066000000</v>
      </c>
      <c r="O848" s="25">
        <f t="shared" si="109"/>
        <v>0.37638046441151884</v>
      </c>
      <c r="P848" s="24">
        <f>Data!K848</f>
        <v>167502000000</v>
      </c>
      <c r="Q848" s="24">
        <f>Data!I848</f>
        <v>88564000000</v>
      </c>
      <c r="R848" s="25">
        <f t="shared" si="110"/>
        <v>1.9858757508694278</v>
      </c>
      <c r="S848" s="25">
        <f t="shared" si="111"/>
        <v>-9.6270138947688064</v>
      </c>
    </row>
    <row r="849" spans="1:19" ht="15" customHeight="1" x14ac:dyDescent="0.3">
      <c r="A849" s="22"/>
      <c r="B849" s="23">
        <v>78</v>
      </c>
      <c r="C849" s="2" t="s">
        <v>80</v>
      </c>
      <c r="D849" s="23">
        <v>2014</v>
      </c>
      <c r="E849" s="24">
        <f>Data!F849</f>
        <v>0</v>
      </c>
      <c r="F849" s="24">
        <f>Data!H849</f>
        <v>0</v>
      </c>
      <c r="G849" s="24">
        <f t="shared" si="104"/>
        <v>0</v>
      </c>
      <c r="H849" s="24">
        <f>Data!G849</f>
        <v>0</v>
      </c>
      <c r="I849" s="25">
        <f t="shared" si="105"/>
        <v>0</v>
      </c>
      <c r="J849" s="24">
        <f>Data!J849</f>
        <v>0</v>
      </c>
      <c r="K849" s="24">
        <f t="shared" si="106"/>
        <v>0</v>
      </c>
      <c r="L849" s="25">
        <f t="shared" si="107"/>
        <v>0</v>
      </c>
      <c r="M849" s="24">
        <f>Data!M849</f>
        <v>0</v>
      </c>
      <c r="N849" s="24">
        <f t="shared" si="108"/>
        <v>0</v>
      </c>
      <c r="O849" s="25">
        <f t="shared" si="109"/>
        <v>0</v>
      </c>
      <c r="P849" s="24">
        <f>Data!K849</f>
        <v>0</v>
      </c>
      <c r="Q849" s="24">
        <f>Data!I849</f>
        <v>0</v>
      </c>
      <c r="R849" s="25">
        <f t="shared" si="110"/>
        <v>0</v>
      </c>
      <c r="S849" s="25">
        <f t="shared" si="111"/>
        <v>0</v>
      </c>
    </row>
    <row r="850" spans="1:19" ht="15" customHeight="1" x14ac:dyDescent="0.3">
      <c r="A850" s="22"/>
      <c r="B850" s="23"/>
      <c r="C850" s="2"/>
      <c r="D850" s="23">
        <v>2015</v>
      </c>
      <c r="E850" s="24">
        <f>Data!F850</f>
        <v>28201754000</v>
      </c>
      <c r="F850" s="24">
        <f>Data!H850</f>
        <v>11045828000</v>
      </c>
      <c r="G850" s="24">
        <f t="shared" si="104"/>
        <v>17155926000</v>
      </c>
      <c r="H850" s="24">
        <f>Data!G850</f>
        <v>158115174000</v>
      </c>
      <c r="I850" s="25">
        <f t="shared" si="105"/>
        <v>0.71177782443574955</v>
      </c>
      <c r="J850" s="24">
        <f>Data!J850</f>
        <v>11678042000</v>
      </c>
      <c r="K850" s="24">
        <f t="shared" si="106"/>
        <v>158115174000</v>
      </c>
      <c r="L850" s="25">
        <f t="shared" si="107"/>
        <v>0.24077649195136705</v>
      </c>
      <c r="M850" s="24">
        <f>Data!M850</f>
        <v>2712837000</v>
      </c>
      <c r="N850" s="24">
        <f t="shared" si="108"/>
        <v>158115174000</v>
      </c>
      <c r="O850" s="25">
        <f t="shared" si="109"/>
        <v>0.11529737582301872</v>
      </c>
      <c r="P850" s="24">
        <f>Data!K850</f>
        <v>111678042000</v>
      </c>
      <c r="Q850" s="24">
        <f>Data!I850</f>
        <v>46437132000</v>
      </c>
      <c r="R850" s="25">
        <f t="shared" si="110"/>
        <v>2.5251762770362305</v>
      </c>
      <c r="S850" s="25">
        <f t="shared" si="111"/>
        <v>3.593027969246366</v>
      </c>
    </row>
    <row r="851" spans="1:19" ht="15" customHeight="1" x14ac:dyDescent="0.3">
      <c r="A851" s="22"/>
      <c r="B851" s="23"/>
      <c r="C851" s="2"/>
      <c r="D851" s="23">
        <v>2016</v>
      </c>
      <c r="E851" s="24">
        <f>Data!F851</f>
        <v>31170694000</v>
      </c>
      <c r="F851" s="24">
        <f>Data!H851</f>
        <v>16322405000</v>
      </c>
      <c r="G851" s="24">
        <f t="shared" si="104"/>
        <v>14848289000</v>
      </c>
      <c r="H851" s="24">
        <f>Data!G851</f>
        <v>157375377000</v>
      </c>
      <c r="I851" s="25">
        <f t="shared" si="105"/>
        <v>0.61893275617061749</v>
      </c>
      <c r="J851" s="24">
        <f>Data!J851</f>
        <v>13569618000</v>
      </c>
      <c r="K851" s="24">
        <f t="shared" si="106"/>
        <v>157375377000</v>
      </c>
      <c r="L851" s="25">
        <f t="shared" si="107"/>
        <v>0.2810919695525177</v>
      </c>
      <c r="M851" s="24">
        <f>Data!M851</f>
        <v>3770791000</v>
      </c>
      <c r="N851" s="24">
        <f t="shared" si="108"/>
        <v>157375377000</v>
      </c>
      <c r="O851" s="25">
        <f t="shared" si="109"/>
        <v>0.16101448652923639</v>
      </c>
      <c r="P851" s="24">
        <f>Data!K851</f>
        <v>113569618000</v>
      </c>
      <c r="Q851" s="24">
        <f>Data!I851</f>
        <v>53805659000</v>
      </c>
      <c r="R851" s="25">
        <f t="shared" si="110"/>
        <v>2.216274293750403</v>
      </c>
      <c r="S851" s="25">
        <f t="shared" si="111"/>
        <v>3.2773135060027743</v>
      </c>
    </row>
    <row r="852" spans="1:19" ht="15" customHeight="1" x14ac:dyDescent="0.3">
      <c r="A852" s="22"/>
      <c r="B852" s="23"/>
      <c r="C852" s="2"/>
      <c r="D852" s="23">
        <v>2017</v>
      </c>
      <c r="E852" s="24">
        <f>Data!F852</f>
        <v>28792795000</v>
      </c>
      <c r="F852" s="24">
        <f>Data!H852</f>
        <v>12066535000</v>
      </c>
      <c r="G852" s="24">
        <f t="shared" si="104"/>
        <v>16726260000</v>
      </c>
      <c r="H852" s="24">
        <f>Data!G852</f>
        <v>165304046000</v>
      </c>
      <c r="I852" s="25">
        <f t="shared" si="105"/>
        <v>0.66377241365283934</v>
      </c>
      <c r="J852" s="24">
        <f>Data!J852</f>
        <v>14981130000</v>
      </c>
      <c r="K852" s="24">
        <f t="shared" si="106"/>
        <v>165304046000</v>
      </c>
      <c r="L852" s="25">
        <f t="shared" si="107"/>
        <v>0.29544639094919672</v>
      </c>
      <c r="M852" s="24">
        <f>Data!M852</f>
        <v>2440050000</v>
      </c>
      <c r="N852" s="24">
        <f t="shared" si="108"/>
        <v>165304046000</v>
      </c>
      <c r="O852" s="25">
        <f t="shared" si="109"/>
        <v>9.9193797107664267E-2</v>
      </c>
      <c r="P852" s="24">
        <f>Data!K852</f>
        <v>114981130000</v>
      </c>
      <c r="Q852" s="24">
        <f>Data!I852</f>
        <v>50322916000</v>
      </c>
      <c r="R852" s="25">
        <f t="shared" si="110"/>
        <v>2.3991095130496811</v>
      </c>
      <c r="S852" s="25">
        <f t="shared" si="111"/>
        <v>3.4575221147593815</v>
      </c>
    </row>
    <row r="853" spans="1:19" ht="15" customHeight="1" x14ac:dyDescent="0.3">
      <c r="A853" s="22"/>
      <c r="B853" s="23"/>
      <c r="C853" s="2"/>
      <c r="D853" s="23">
        <v>2018</v>
      </c>
      <c r="E853" s="24">
        <f>Data!F853</f>
        <v>90842000000</v>
      </c>
      <c r="F853" s="24">
        <f>Data!H853</f>
        <v>29307000000</v>
      </c>
      <c r="G853" s="24">
        <f t="shared" si="104"/>
        <v>61535000000</v>
      </c>
      <c r="H853" s="24">
        <f>Data!G853</f>
        <v>229521000000</v>
      </c>
      <c r="I853" s="25">
        <f t="shared" si="105"/>
        <v>1.7587480012722148</v>
      </c>
      <c r="J853" s="24">
        <f>Data!J853</f>
        <v>20347000000</v>
      </c>
      <c r="K853" s="24">
        <f t="shared" si="106"/>
        <v>229521000000</v>
      </c>
      <c r="L853" s="25">
        <f t="shared" si="107"/>
        <v>0.28899847944196827</v>
      </c>
      <c r="M853" s="24">
        <f>Data!M853</f>
        <v>7035000000</v>
      </c>
      <c r="N853" s="24">
        <f t="shared" si="108"/>
        <v>229521000000</v>
      </c>
      <c r="O853" s="25">
        <f t="shared" si="109"/>
        <v>0.20597330963179838</v>
      </c>
      <c r="P853" s="24">
        <f>Data!K853</f>
        <v>127939000000</v>
      </c>
      <c r="Q853" s="24">
        <f>Data!I853</f>
        <v>101582000000</v>
      </c>
      <c r="R853" s="25">
        <f t="shared" si="110"/>
        <v>1.3224385225728967</v>
      </c>
      <c r="S853" s="25">
        <f t="shared" si="111"/>
        <v>3.5761583129188788</v>
      </c>
    </row>
    <row r="854" spans="1:19" ht="15" customHeight="1" x14ac:dyDescent="0.3">
      <c r="A854" s="22"/>
      <c r="B854" s="23"/>
      <c r="C854" s="2"/>
      <c r="D854" s="23">
        <v>2019</v>
      </c>
      <c r="E854" s="24">
        <f>Data!F854</f>
        <v>72847563000</v>
      </c>
      <c r="F854" s="24">
        <f>Data!H854</f>
        <v>17140093000</v>
      </c>
      <c r="G854" s="24">
        <f t="shared" si="104"/>
        <v>55707470000</v>
      </c>
      <c r="H854" s="24">
        <f>Data!G854</f>
        <v>211559644000</v>
      </c>
      <c r="I854" s="25">
        <f t="shared" si="105"/>
        <v>1.7273663175572369</v>
      </c>
      <c r="J854" s="24">
        <f>Data!J854</f>
        <v>23327763000</v>
      </c>
      <c r="K854" s="24">
        <f t="shared" si="106"/>
        <v>211559644000</v>
      </c>
      <c r="L854" s="25">
        <f t="shared" si="107"/>
        <v>0.35946603965735541</v>
      </c>
      <c r="M854" s="24">
        <f>Data!M854</f>
        <v>7680865000</v>
      </c>
      <c r="N854" s="24">
        <f t="shared" si="108"/>
        <v>211559644000</v>
      </c>
      <c r="O854" s="25">
        <f t="shared" si="109"/>
        <v>0.24397570266283866</v>
      </c>
      <c r="P854" s="24">
        <f>Data!K854</f>
        <v>130678469000</v>
      </c>
      <c r="Q854" s="24">
        <f>Data!I854</f>
        <v>80881175000</v>
      </c>
      <c r="R854" s="25">
        <f t="shared" si="110"/>
        <v>1.6964688315915293</v>
      </c>
      <c r="S854" s="25">
        <f t="shared" si="111"/>
        <v>4.0272768914689605</v>
      </c>
    </row>
    <row r="855" spans="1:19" ht="15" customHeight="1" x14ac:dyDescent="0.3">
      <c r="A855" s="22"/>
      <c r="B855" s="23"/>
      <c r="C855" s="2"/>
      <c r="D855" s="23">
        <v>2020</v>
      </c>
      <c r="E855" s="24">
        <f>Data!F855</f>
        <v>71320948000</v>
      </c>
      <c r="F855" s="24">
        <f>Data!H855</f>
        <v>18347530000</v>
      </c>
      <c r="G855" s="24">
        <f t="shared" si="104"/>
        <v>52973418000</v>
      </c>
      <c r="H855" s="24">
        <f>Data!G855</f>
        <v>207903297000</v>
      </c>
      <c r="I855" s="25">
        <f t="shared" si="105"/>
        <v>1.6714772064437247</v>
      </c>
      <c r="J855" s="24">
        <f>Data!J855</f>
        <v>22066155000</v>
      </c>
      <c r="K855" s="24">
        <f t="shared" si="106"/>
        <v>207903297000</v>
      </c>
      <c r="L855" s="25">
        <f t="shared" si="107"/>
        <v>0.34600540894741072</v>
      </c>
      <c r="M855" s="24">
        <f>Data!M855</f>
        <v>3632223000</v>
      </c>
      <c r="N855" s="24">
        <f t="shared" si="108"/>
        <v>207903297000</v>
      </c>
      <c r="O855" s="25">
        <f t="shared" si="109"/>
        <v>0.11740332602806199</v>
      </c>
      <c r="P855" s="24">
        <f>Data!K855</f>
        <v>132006192000</v>
      </c>
      <c r="Q855" s="24">
        <f>Data!I855</f>
        <v>75897105000</v>
      </c>
      <c r="R855" s="25">
        <f t="shared" si="110"/>
        <v>1.8262422736677506</v>
      </c>
      <c r="S855" s="25">
        <f t="shared" si="111"/>
        <v>3.9611282150869478</v>
      </c>
    </row>
    <row r="856" spans="1:19" ht="15" customHeight="1" x14ac:dyDescent="0.3">
      <c r="A856" s="22"/>
      <c r="B856" s="23"/>
      <c r="C856" s="2"/>
      <c r="D856" s="23">
        <v>2021</v>
      </c>
      <c r="E856" s="24">
        <f>Data!F856</f>
        <v>53814000000</v>
      </c>
      <c r="F856" s="24">
        <f>Data!H856</f>
        <v>26323000000</v>
      </c>
      <c r="G856" s="24">
        <f t="shared" si="104"/>
        <v>27491000000</v>
      </c>
      <c r="H856" s="24">
        <f>Data!G856</f>
        <v>179676000000</v>
      </c>
      <c r="I856" s="25">
        <f t="shared" si="105"/>
        <v>1.0037008838130856</v>
      </c>
      <c r="J856" s="24">
        <f>Data!J856</f>
        <v>1034000000</v>
      </c>
      <c r="K856" s="24">
        <f t="shared" si="106"/>
        <v>179676000000</v>
      </c>
      <c r="L856" s="25">
        <f t="shared" si="107"/>
        <v>1.8760658073421047E-2</v>
      </c>
      <c r="M856" s="24">
        <f>Data!M856</f>
        <v>-39402000000</v>
      </c>
      <c r="N856" s="24">
        <f t="shared" si="108"/>
        <v>179676000000</v>
      </c>
      <c r="O856" s="25">
        <f t="shared" si="109"/>
        <v>-1.4736605890603085</v>
      </c>
      <c r="P856" s="24">
        <f>Data!K856</f>
        <v>100981000000</v>
      </c>
      <c r="Q856" s="24">
        <f>Data!I856</f>
        <v>76165000000</v>
      </c>
      <c r="R856" s="25">
        <f t="shared" si="110"/>
        <v>1.3921098929954705</v>
      </c>
      <c r="S856" s="25">
        <f t="shared" si="111"/>
        <v>0.94091084582166862</v>
      </c>
    </row>
    <row r="857" spans="1:19" ht="15" customHeight="1" x14ac:dyDescent="0.3">
      <c r="A857" s="22"/>
      <c r="B857" s="23"/>
      <c r="C857" s="2"/>
      <c r="D857" s="23">
        <v>2022</v>
      </c>
      <c r="E857" s="24">
        <f>Data!F857</f>
        <v>124224000000</v>
      </c>
      <c r="F857" s="24">
        <f>Data!H857</f>
        <v>51134000000</v>
      </c>
      <c r="G857" s="24">
        <f t="shared" si="104"/>
        <v>73090000000</v>
      </c>
      <c r="H857" s="24">
        <f>Data!G857</f>
        <v>269647000000</v>
      </c>
      <c r="I857" s="25">
        <f t="shared" si="105"/>
        <v>1.7781410510778908</v>
      </c>
      <c r="J857" s="24">
        <f>Data!J857</f>
        <v>2380000000</v>
      </c>
      <c r="K857" s="24">
        <f t="shared" si="106"/>
        <v>269647000000</v>
      </c>
      <c r="L857" s="25">
        <f t="shared" si="107"/>
        <v>2.8773915526595879E-2</v>
      </c>
      <c r="M857" s="24">
        <f>Data!M857</f>
        <v>13388000000</v>
      </c>
      <c r="N857" s="24">
        <f t="shared" si="108"/>
        <v>269647000000</v>
      </c>
      <c r="O857" s="25">
        <f t="shared" si="109"/>
        <v>0.33364865917291864</v>
      </c>
      <c r="P857" s="24">
        <f>Data!K857</f>
        <v>115067000000</v>
      </c>
      <c r="Q857" s="24">
        <f>Data!I857</f>
        <v>154580000000</v>
      </c>
      <c r="R857" s="25">
        <f t="shared" si="110"/>
        <v>0.78160402380644323</v>
      </c>
      <c r="S857" s="25">
        <f t="shared" si="111"/>
        <v>2.9221676495838484</v>
      </c>
    </row>
    <row r="858" spans="1:19" ht="15" customHeight="1" x14ac:dyDescent="0.3">
      <c r="A858" s="22"/>
      <c r="B858" s="23"/>
      <c r="C858" s="2"/>
      <c r="D858" s="23">
        <v>2023</v>
      </c>
      <c r="E858" s="24">
        <f>Data!F858</f>
        <v>142095000000</v>
      </c>
      <c r="F858" s="24">
        <f>Data!H858</f>
        <v>64300000000</v>
      </c>
      <c r="G858" s="24">
        <f t="shared" si="104"/>
        <v>77795000000</v>
      </c>
      <c r="H858" s="24">
        <f>Data!G858</f>
        <v>387608000000</v>
      </c>
      <c r="I858" s="25">
        <f t="shared" si="105"/>
        <v>1.3166271077996325</v>
      </c>
      <c r="J858" s="24">
        <f>Data!J858</f>
        <v>14926000000</v>
      </c>
      <c r="K858" s="24">
        <f t="shared" si="106"/>
        <v>387608000000</v>
      </c>
      <c r="L858" s="25">
        <f t="shared" si="107"/>
        <v>0.12553600544880394</v>
      </c>
      <c r="M858" s="24">
        <f>Data!M858</f>
        <v>1826000000</v>
      </c>
      <c r="N858" s="24">
        <f t="shared" si="108"/>
        <v>387608000000</v>
      </c>
      <c r="O858" s="25">
        <f t="shared" si="109"/>
        <v>3.1657550927741432E-2</v>
      </c>
      <c r="P858" s="24">
        <f>Data!K858</f>
        <v>118774000000</v>
      </c>
      <c r="Q858" s="24">
        <f>Data!I858</f>
        <v>268834000000</v>
      </c>
      <c r="R858" s="25">
        <f t="shared" si="110"/>
        <v>0.46390225938683349</v>
      </c>
      <c r="S858" s="25">
        <f t="shared" si="111"/>
        <v>1.9377229235630113</v>
      </c>
    </row>
    <row r="859" spans="1:19" ht="15" customHeight="1" x14ac:dyDescent="0.3">
      <c r="A859" s="22"/>
      <c r="B859" s="23"/>
      <c r="C859" s="2"/>
      <c r="D859" s="23">
        <v>2024</v>
      </c>
      <c r="E859" s="24">
        <f>Data!F859</f>
        <v>250983000000</v>
      </c>
      <c r="F859" s="24">
        <f>Data!H859</f>
        <v>118180000000</v>
      </c>
      <c r="G859" s="24">
        <f t="shared" si="104"/>
        <v>132803000000</v>
      </c>
      <c r="H859" s="24">
        <f>Data!G859</f>
        <v>576261000000</v>
      </c>
      <c r="I859" s="25">
        <f t="shared" si="105"/>
        <v>1.5117935796453341</v>
      </c>
      <c r="J859" s="24">
        <f>Data!J859</f>
        <v>53327000000</v>
      </c>
      <c r="K859" s="24">
        <f t="shared" si="106"/>
        <v>576261000000</v>
      </c>
      <c r="L859" s="25">
        <f t="shared" si="107"/>
        <v>0.30167930850777686</v>
      </c>
      <c r="M859" s="24">
        <f>Data!M859</f>
        <v>47231000000</v>
      </c>
      <c r="N859" s="24">
        <f t="shared" si="108"/>
        <v>576261000000</v>
      </c>
      <c r="O859" s="25">
        <f t="shared" si="109"/>
        <v>0.55077876170693485</v>
      </c>
      <c r="P859" s="24">
        <f>Data!K859</f>
        <v>162780000000</v>
      </c>
      <c r="Q859" s="24">
        <f>Data!I859</f>
        <v>413481000000</v>
      </c>
      <c r="R859" s="25">
        <f t="shared" si="110"/>
        <v>0.41336603132913002</v>
      </c>
      <c r="S859" s="25">
        <f t="shared" si="111"/>
        <v>2.777617681189176</v>
      </c>
    </row>
    <row r="860" spans="1:19" ht="15" customHeight="1" x14ac:dyDescent="0.3">
      <c r="A860" s="22"/>
      <c r="B860" s="23">
        <v>79</v>
      </c>
      <c r="C860" s="2" t="s">
        <v>97</v>
      </c>
      <c r="D860" s="23">
        <v>2014</v>
      </c>
      <c r="E860" s="24">
        <f>Data!F860</f>
        <v>0</v>
      </c>
      <c r="F860" s="24">
        <f>Data!H860</f>
        <v>0</v>
      </c>
      <c r="G860" s="24">
        <f t="shared" si="104"/>
        <v>0</v>
      </c>
      <c r="H860" s="24">
        <f>Data!G860</f>
        <v>0</v>
      </c>
      <c r="I860" s="25">
        <f t="shared" si="105"/>
        <v>0</v>
      </c>
      <c r="J860" s="24">
        <f>Data!J860</f>
        <v>0</v>
      </c>
      <c r="K860" s="24">
        <f t="shared" si="106"/>
        <v>0</v>
      </c>
      <c r="L860" s="25">
        <f t="shared" si="107"/>
        <v>0</v>
      </c>
      <c r="M860" s="24">
        <f>Data!M860</f>
        <v>0</v>
      </c>
      <c r="N860" s="24">
        <f t="shared" si="108"/>
        <v>0</v>
      </c>
      <c r="O860" s="25">
        <f t="shared" si="109"/>
        <v>0</v>
      </c>
      <c r="P860" s="24">
        <f>Data!K860</f>
        <v>0</v>
      </c>
      <c r="Q860" s="24">
        <f>Data!I860</f>
        <v>0</v>
      </c>
      <c r="R860" s="25">
        <f t="shared" si="110"/>
        <v>0</v>
      </c>
      <c r="S860" s="25">
        <f t="shared" si="111"/>
        <v>0</v>
      </c>
    </row>
    <row r="861" spans="1:19" ht="15" customHeight="1" x14ac:dyDescent="0.3">
      <c r="A861" s="22"/>
      <c r="B861" s="23"/>
      <c r="C861" s="2"/>
      <c r="D861" s="23">
        <v>2015</v>
      </c>
      <c r="E861" s="24">
        <f>Data!F861</f>
        <v>299093040000</v>
      </c>
      <c r="F861" s="24">
        <f>Data!H861</f>
        <v>142006400000</v>
      </c>
      <c r="G861" s="24">
        <f t="shared" si="104"/>
        <v>157086640000</v>
      </c>
      <c r="H861" s="24">
        <f>Data!G861</f>
        <v>726345620000</v>
      </c>
      <c r="I861" s="25">
        <f t="shared" si="105"/>
        <v>1.4187300508537519</v>
      </c>
      <c r="J861" s="24">
        <f>Data!J861</f>
        <v>23946640000</v>
      </c>
      <c r="K861" s="24">
        <f t="shared" si="106"/>
        <v>726345620000</v>
      </c>
      <c r="L861" s="25">
        <f t="shared" si="107"/>
        <v>0.1074778235738518</v>
      </c>
      <c r="M861" s="24">
        <f>Data!M861</f>
        <v>20044560000</v>
      </c>
      <c r="N861" s="24">
        <f t="shared" si="108"/>
        <v>726345620000</v>
      </c>
      <c r="O861" s="25">
        <f t="shared" si="109"/>
        <v>0.18544813858724721</v>
      </c>
      <c r="P861" s="24">
        <f>Data!K861</f>
        <v>122164320000</v>
      </c>
      <c r="Q861" s="24">
        <f>Data!I861</f>
        <v>604181300000</v>
      </c>
      <c r="R861" s="25">
        <f t="shared" si="110"/>
        <v>0.21230802078779998</v>
      </c>
      <c r="S861" s="25">
        <f t="shared" si="111"/>
        <v>1.9239640338026511</v>
      </c>
    </row>
    <row r="862" spans="1:19" ht="15" customHeight="1" x14ac:dyDescent="0.3">
      <c r="A862" s="22"/>
      <c r="B862" s="23"/>
      <c r="C862" s="2"/>
      <c r="D862" s="23">
        <v>2016</v>
      </c>
      <c r="E862" s="24">
        <f>Data!F862</f>
        <v>375766070000</v>
      </c>
      <c r="F862" s="24">
        <f>Data!H862</f>
        <v>197646970000</v>
      </c>
      <c r="G862" s="24">
        <f t="shared" si="104"/>
        <v>178119100000</v>
      </c>
      <c r="H862" s="24">
        <f>Data!G862</f>
        <v>865785160000</v>
      </c>
      <c r="I862" s="25">
        <f t="shared" si="105"/>
        <v>1.3495972788445576</v>
      </c>
      <c r="J862" s="24">
        <f>Data!J862</f>
        <v>46799660000</v>
      </c>
      <c r="K862" s="24">
        <f t="shared" si="106"/>
        <v>865785160000</v>
      </c>
      <c r="L862" s="25">
        <f t="shared" si="107"/>
        <v>0.17621795642697316</v>
      </c>
      <c r="M862" s="24">
        <f>Data!M862</f>
        <v>39229260000</v>
      </c>
      <c r="N862" s="24">
        <f t="shared" si="108"/>
        <v>865785160000</v>
      </c>
      <c r="O862" s="25">
        <f t="shared" si="109"/>
        <v>0.30448734787738796</v>
      </c>
      <c r="P862" s="24">
        <f>Data!K862</f>
        <v>147349430000</v>
      </c>
      <c r="Q862" s="24">
        <f>Data!I862</f>
        <v>718435730000</v>
      </c>
      <c r="R862" s="25">
        <f t="shared" si="110"/>
        <v>0.21535245957213181</v>
      </c>
      <c r="S862" s="25">
        <f t="shared" si="111"/>
        <v>2.0456550427210507</v>
      </c>
    </row>
    <row r="863" spans="1:19" ht="15" customHeight="1" x14ac:dyDescent="0.3">
      <c r="A863" s="22"/>
      <c r="B863" s="23"/>
      <c r="C863" s="2"/>
      <c r="D863" s="23">
        <v>2017</v>
      </c>
      <c r="E863" s="24">
        <f>Data!F863</f>
        <v>362217720000</v>
      </c>
      <c r="F863" s="24">
        <f>Data!H863</f>
        <v>168716880000</v>
      </c>
      <c r="G863" s="24">
        <f t="shared" si="104"/>
        <v>193500840000</v>
      </c>
      <c r="H863" s="24">
        <f>Data!G863</f>
        <v>927525210000</v>
      </c>
      <c r="I863" s="25">
        <f t="shared" si="105"/>
        <v>1.3685509533482114</v>
      </c>
      <c r="J863" s="24">
        <f>Data!J863</f>
        <v>48128530000</v>
      </c>
      <c r="K863" s="24">
        <f t="shared" si="106"/>
        <v>927525210000</v>
      </c>
      <c r="L863" s="25">
        <f t="shared" si="107"/>
        <v>0.16915875289254939</v>
      </c>
      <c r="M863" s="24">
        <f>Data!M863</f>
        <v>1404690000</v>
      </c>
      <c r="N863" s="24">
        <f t="shared" si="108"/>
        <v>927525210000</v>
      </c>
      <c r="O863" s="25">
        <f t="shared" si="109"/>
        <v>1.0177099984161078E-2</v>
      </c>
      <c r="P863" s="24">
        <f>Data!K863</f>
        <v>198488620000</v>
      </c>
      <c r="Q863" s="24">
        <f>Data!I863</f>
        <v>729036600000</v>
      </c>
      <c r="R863" s="25">
        <f t="shared" si="110"/>
        <v>0.28587460629548644</v>
      </c>
      <c r="S863" s="25">
        <f t="shared" si="111"/>
        <v>1.8337614125204083</v>
      </c>
    </row>
    <row r="864" spans="1:19" ht="15" customHeight="1" x14ac:dyDescent="0.3">
      <c r="A864" s="22"/>
      <c r="B864" s="23"/>
      <c r="C864" s="2"/>
      <c r="D864" s="23">
        <v>2018</v>
      </c>
      <c r="E864" s="24">
        <f>Data!F864</f>
        <v>812065810000</v>
      </c>
      <c r="F864" s="24">
        <f>Data!H864</f>
        <v>88808670000</v>
      </c>
      <c r="G864" s="24">
        <f t="shared" si="104"/>
        <v>723257140000</v>
      </c>
      <c r="H864" s="24">
        <f>Data!G864</f>
        <v>1045273900000</v>
      </c>
      <c r="I864" s="25">
        <f t="shared" si="105"/>
        <v>4.5390656347585061</v>
      </c>
      <c r="J864" s="24">
        <f>Data!J864</f>
        <v>-128312450000</v>
      </c>
      <c r="K864" s="24">
        <f t="shared" si="106"/>
        <v>1045273900000</v>
      </c>
      <c r="L864" s="25">
        <f t="shared" si="107"/>
        <v>-0.40018083968230717</v>
      </c>
      <c r="M864" s="24">
        <f>Data!M864</f>
        <v>-192401070000</v>
      </c>
      <c r="N864" s="24">
        <f t="shared" si="108"/>
        <v>1045273900000</v>
      </c>
      <c r="O864" s="25">
        <f t="shared" si="109"/>
        <v>-1.2369343484038011</v>
      </c>
      <c r="P864" s="24">
        <f>Data!K864</f>
        <v>21894360000</v>
      </c>
      <c r="Q864" s="24">
        <f>Data!I864</f>
        <v>823379540000</v>
      </c>
      <c r="R864" s="25">
        <f t="shared" si="110"/>
        <v>2.7920390152031228E-2</v>
      </c>
      <c r="S864" s="25">
        <f t="shared" si="111"/>
        <v>2.9298708368244286</v>
      </c>
    </row>
    <row r="865" spans="1:19" ht="15" customHeight="1" x14ac:dyDescent="0.3">
      <c r="A865" s="22"/>
      <c r="B865" s="23"/>
      <c r="C865" s="2"/>
      <c r="D865" s="23">
        <v>2019</v>
      </c>
      <c r="E865" s="24">
        <f>Data!F865</f>
        <v>476001840000</v>
      </c>
      <c r="F865" s="24">
        <f>Data!H865</f>
        <v>56343740000</v>
      </c>
      <c r="G865" s="24">
        <f t="shared" si="104"/>
        <v>419658100000</v>
      </c>
      <c r="H865" s="24">
        <f>Data!G865</f>
        <v>617588470000</v>
      </c>
      <c r="I865" s="25">
        <f t="shared" si="105"/>
        <v>4.4575915350233144</v>
      </c>
      <c r="J865" s="24">
        <f>Data!J865</f>
        <v>-153878910000</v>
      </c>
      <c r="K865" s="24">
        <f t="shared" si="106"/>
        <v>617588470000</v>
      </c>
      <c r="L865" s="25">
        <f t="shared" si="107"/>
        <v>-0.81226459198631085</v>
      </c>
      <c r="M865" s="24">
        <f>Data!M865</f>
        <v>-20744710000</v>
      </c>
      <c r="N865" s="24">
        <f t="shared" si="108"/>
        <v>617588470000</v>
      </c>
      <c r="O865" s="25">
        <f t="shared" si="109"/>
        <v>-0.2257238565350807</v>
      </c>
      <c r="P865" s="24">
        <f>Data!K865</f>
        <v>111492870000</v>
      </c>
      <c r="Q865" s="24">
        <f>Data!I865</f>
        <v>418595600000</v>
      </c>
      <c r="R865" s="25">
        <f t="shared" si="110"/>
        <v>0.27966732927914201</v>
      </c>
      <c r="S865" s="25">
        <f t="shared" si="111"/>
        <v>3.699270415781065</v>
      </c>
    </row>
    <row r="866" spans="1:19" ht="15" customHeight="1" x14ac:dyDescent="0.3">
      <c r="A866" s="22"/>
      <c r="B866" s="23"/>
      <c r="C866" s="2"/>
      <c r="D866" s="23">
        <v>2020</v>
      </c>
      <c r="E866" s="24">
        <f>Data!F866</f>
        <v>532012402000</v>
      </c>
      <c r="F866" s="24">
        <f>Data!H866</f>
        <v>139301000000</v>
      </c>
      <c r="G866" s="24">
        <f t="shared" si="104"/>
        <v>392711402000</v>
      </c>
      <c r="H866" s="24">
        <f>Data!G866</f>
        <v>1015763000000</v>
      </c>
      <c r="I866" s="25">
        <f t="shared" si="105"/>
        <v>2.5362085418744331</v>
      </c>
      <c r="J866" s="24">
        <f>Data!J866</f>
        <v>-142371000000</v>
      </c>
      <c r="K866" s="24">
        <f t="shared" si="106"/>
        <v>1015763000000</v>
      </c>
      <c r="L866" s="25">
        <f t="shared" si="107"/>
        <v>-0.45692692094514165</v>
      </c>
      <c r="M866" s="24">
        <f>Data!M866</f>
        <v>8426000000</v>
      </c>
      <c r="N866" s="24">
        <f t="shared" si="108"/>
        <v>1015763000000</v>
      </c>
      <c r="O866" s="25">
        <f t="shared" si="109"/>
        <v>5.5744026903913606E-2</v>
      </c>
      <c r="P866" s="24">
        <f>Data!K866</f>
        <v>123984000000</v>
      </c>
      <c r="Q866" s="24">
        <f>Data!I866</f>
        <v>804279000000</v>
      </c>
      <c r="R866" s="25">
        <f t="shared" si="110"/>
        <v>0.16186323402699812</v>
      </c>
      <c r="S866" s="25">
        <f t="shared" si="111"/>
        <v>2.2968888818602031</v>
      </c>
    </row>
    <row r="867" spans="1:19" ht="15" customHeight="1" x14ac:dyDescent="0.3">
      <c r="A867" s="22"/>
      <c r="B867" s="23"/>
      <c r="C867" s="2"/>
      <c r="D867" s="23">
        <v>2021</v>
      </c>
      <c r="E867" s="24">
        <f>Data!F867</f>
        <v>1039233000000</v>
      </c>
      <c r="F867" s="24">
        <f>Data!H867</f>
        <v>471302000000</v>
      </c>
      <c r="G867" s="24">
        <f t="shared" si="104"/>
        <v>567931000000</v>
      </c>
      <c r="H867" s="24">
        <f>Data!G867</f>
        <v>1306165000000</v>
      </c>
      <c r="I867" s="25">
        <f t="shared" si="105"/>
        <v>2.8523405235938797</v>
      </c>
      <c r="J867" s="24">
        <f>Data!J867</f>
        <v>-302614000000</v>
      </c>
      <c r="K867" s="24">
        <f t="shared" si="106"/>
        <v>1306165000000</v>
      </c>
      <c r="L867" s="25">
        <f t="shared" si="107"/>
        <v>-0.75528102498535787</v>
      </c>
      <c r="M867" s="24">
        <f>Data!M867</f>
        <v>-167002000000</v>
      </c>
      <c r="N867" s="24">
        <f t="shared" si="108"/>
        <v>1306165000000</v>
      </c>
      <c r="O867" s="25">
        <f t="shared" si="109"/>
        <v>-0.85919729896299457</v>
      </c>
      <c r="P867" s="24">
        <f>Data!K867</f>
        <v>-37353000000</v>
      </c>
      <c r="Q867" s="24">
        <f>Data!I867</f>
        <v>1256018000000</v>
      </c>
      <c r="R867" s="25">
        <f t="shared" si="110"/>
        <v>-3.1226184656589318E-2</v>
      </c>
      <c r="S867" s="25">
        <f t="shared" si="111"/>
        <v>1.2066360149889379</v>
      </c>
    </row>
    <row r="868" spans="1:19" ht="15" customHeight="1" x14ac:dyDescent="0.3">
      <c r="A868" s="22"/>
      <c r="B868" s="23"/>
      <c r="C868" s="2"/>
      <c r="D868" s="23">
        <v>2022</v>
      </c>
      <c r="E868" s="24">
        <f>Data!F868</f>
        <v>841244000000</v>
      </c>
      <c r="F868" s="24">
        <f>Data!H868</f>
        <v>363664000000</v>
      </c>
      <c r="G868" s="24">
        <f t="shared" si="104"/>
        <v>477580000000</v>
      </c>
      <c r="H868" s="24">
        <f>Data!G868</f>
        <v>1207430000000</v>
      </c>
      <c r="I868" s="25">
        <f t="shared" si="105"/>
        <v>2.5947051174809301</v>
      </c>
      <c r="J868" s="24">
        <f>Data!J868</f>
        <v>-383623000000</v>
      </c>
      <c r="K868" s="24">
        <f t="shared" si="106"/>
        <v>1207430000000</v>
      </c>
      <c r="L868" s="25">
        <f t="shared" si="107"/>
        <v>-1.0357627191638439</v>
      </c>
      <c r="M868" s="24">
        <f>Data!M868</f>
        <v>-75238000000</v>
      </c>
      <c r="N868" s="24">
        <f t="shared" si="108"/>
        <v>1207430000000</v>
      </c>
      <c r="O868" s="25">
        <f t="shared" si="109"/>
        <v>-0.41874010087541302</v>
      </c>
      <c r="P868" s="24">
        <f>Data!K868</f>
        <v>135021000000</v>
      </c>
      <c r="Q868" s="24">
        <f>Data!I868</f>
        <v>984909000000</v>
      </c>
      <c r="R868" s="25">
        <f t="shared" si="110"/>
        <v>0.14394431363709745</v>
      </c>
      <c r="S868" s="25">
        <f t="shared" si="111"/>
        <v>1.2841466110787707</v>
      </c>
    </row>
    <row r="869" spans="1:19" ht="15" customHeight="1" x14ac:dyDescent="0.3">
      <c r="A869" s="22"/>
      <c r="B869" s="23"/>
      <c r="C869" s="2"/>
      <c r="D869" s="23">
        <v>2023</v>
      </c>
      <c r="E869" s="24">
        <f>Data!F869</f>
        <v>623843000000</v>
      </c>
      <c r="F869" s="24">
        <f>Data!H869</f>
        <v>308755000000</v>
      </c>
      <c r="G869" s="24">
        <f t="shared" si="104"/>
        <v>315088000000</v>
      </c>
      <c r="H869" s="24">
        <f>Data!G869</f>
        <v>952959000000</v>
      </c>
      <c r="I869" s="25">
        <f t="shared" si="105"/>
        <v>2.1690096635846872</v>
      </c>
      <c r="J869" s="24">
        <f>Data!J869</f>
        <v>-393334000000</v>
      </c>
      <c r="K869" s="24">
        <f t="shared" si="106"/>
        <v>952959000000</v>
      </c>
      <c r="L869" s="25">
        <f t="shared" si="107"/>
        <v>-1.3455655909645641</v>
      </c>
      <c r="M869" s="24">
        <f>Data!M869</f>
        <v>-21421000000</v>
      </c>
      <c r="N869" s="24">
        <f t="shared" si="108"/>
        <v>952959000000</v>
      </c>
      <c r="O869" s="25">
        <f t="shared" si="109"/>
        <v>-0.15105489323255247</v>
      </c>
      <c r="P869" s="24">
        <f>Data!K869</f>
        <v>125690000000</v>
      </c>
      <c r="Q869" s="24">
        <f>Data!I869</f>
        <v>739769000000</v>
      </c>
      <c r="R869" s="25">
        <f t="shared" si="110"/>
        <v>0.17839960852644543</v>
      </c>
      <c r="S869" s="25">
        <f t="shared" si="111"/>
        <v>0.85078878791401602</v>
      </c>
    </row>
    <row r="870" spans="1:19" ht="15" customHeight="1" x14ac:dyDescent="0.3">
      <c r="A870" s="22"/>
      <c r="B870" s="23"/>
      <c r="C870" s="2"/>
      <c r="D870" s="23">
        <v>2024</v>
      </c>
      <c r="E870" s="24">
        <f>Data!F870</f>
        <v>509945000000</v>
      </c>
      <c r="F870" s="24">
        <f>Data!H870</f>
        <v>144736000000</v>
      </c>
      <c r="G870" s="24">
        <f t="shared" si="104"/>
        <v>365209000000</v>
      </c>
      <c r="H870" s="24">
        <f>Data!G870</f>
        <v>880166000000</v>
      </c>
      <c r="I870" s="25">
        <f t="shared" si="105"/>
        <v>2.7219536314740629</v>
      </c>
      <c r="J870" s="24">
        <f>Data!J870</f>
        <v>-406518000000</v>
      </c>
      <c r="K870" s="24">
        <f t="shared" si="106"/>
        <v>880166000000</v>
      </c>
      <c r="L870" s="25">
        <f t="shared" si="107"/>
        <v>-1.5056803830186576</v>
      </c>
      <c r="M870" s="24">
        <f>Data!M870</f>
        <v>-17675000000</v>
      </c>
      <c r="N870" s="24">
        <f t="shared" si="108"/>
        <v>880166000000</v>
      </c>
      <c r="O870" s="25">
        <f t="shared" si="109"/>
        <v>-0.13494727131018466</v>
      </c>
      <c r="P870" s="24">
        <f>Data!K870</f>
        <v>110404000000</v>
      </c>
      <c r="Q870" s="24">
        <f>Data!I870</f>
        <v>639262000000</v>
      </c>
      <c r="R870" s="25">
        <f t="shared" si="110"/>
        <v>0.18134067096120213</v>
      </c>
      <c r="S870" s="25">
        <f t="shared" si="111"/>
        <v>1.2626666481064228</v>
      </c>
    </row>
    <row r="871" spans="1:19" ht="15" customHeight="1" x14ac:dyDescent="0.3">
      <c r="A871" s="22"/>
      <c r="B871" s="23">
        <v>80</v>
      </c>
      <c r="C871" s="2" t="s">
        <v>81</v>
      </c>
      <c r="D871" s="23">
        <v>2014</v>
      </c>
      <c r="E871" s="24">
        <f>Data!F871</f>
        <v>0</v>
      </c>
      <c r="F871" s="24">
        <f>Data!H871</f>
        <v>0</v>
      </c>
      <c r="G871" s="24">
        <f t="shared" si="104"/>
        <v>0</v>
      </c>
      <c r="H871" s="24">
        <f>Data!G871</f>
        <v>0</v>
      </c>
      <c r="I871" s="25">
        <f t="shared" si="105"/>
        <v>0</v>
      </c>
      <c r="J871" s="24">
        <f>Data!J871</f>
        <v>0</v>
      </c>
      <c r="K871" s="24">
        <f t="shared" si="106"/>
        <v>0</v>
      </c>
      <c r="L871" s="25">
        <f t="shared" si="107"/>
        <v>0</v>
      </c>
      <c r="M871" s="24">
        <f>Data!M871</f>
        <v>0</v>
      </c>
      <c r="N871" s="24">
        <f t="shared" si="108"/>
        <v>0</v>
      </c>
      <c r="O871" s="25">
        <f t="shared" si="109"/>
        <v>0</v>
      </c>
      <c r="P871" s="24">
        <f>Data!K871</f>
        <v>0</v>
      </c>
      <c r="Q871" s="24">
        <f>Data!I871</f>
        <v>0</v>
      </c>
      <c r="R871" s="25">
        <f t="shared" si="110"/>
        <v>0</v>
      </c>
      <c r="S871" s="25">
        <f t="shared" si="111"/>
        <v>0</v>
      </c>
    </row>
    <row r="872" spans="1:19" ht="15" customHeight="1" x14ac:dyDescent="0.3">
      <c r="A872" s="22"/>
      <c r="B872" s="23"/>
      <c r="C872" s="2"/>
      <c r="D872" s="23">
        <v>2015</v>
      </c>
      <c r="E872" s="24">
        <f>Data!F872</f>
        <v>1115575000000</v>
      </c>
      <c r="F872" s="24">
        <f>Data!H872</f>
        <v>425659000000</v>
      </c>
      <c r="G872" s="24">
        <f t="shared" si="104"/>
        <v>689916000000</v>
      </c>
      <c r="H872" s="24">
        <f>Data!G872</f>
        <v>1425414000000</v>
      </c>
      <c r="I872" s="25">
        <f t="shared" si="105"/>
        <v>3.1751119043309521</v>
      </c>
      <c r="J872" s="24">
        <f>Data!J872</f>
        <v>101551000000</v>
      </c>
      <c r="K872" s="24">
        <f t="shared" si="106"/>
        <v>1425414000000</v>
      </c>
      <c r="L872" s="25">
        <f t="shared" si="107"/>
        <v>0.23225270693286301</v>
      </c>
      <c r="M872" s="24">
        <f>Data!M872</f>
        <v>27189000000</v>
      </c>
      <c r="N872" s="24">
        <f t="shared" si="108"/>
        <v>1425414000000</v>
      </c>
      <c r="O872" s="25">
        <f t="shared" si="109"/>
        <v>0.12818036023218515</v>
      </c>
      <c r="P872" s="24">
        <f>Data!K872</f>
        <v>182744000000</v>
      </c>
      <c r="Q872" s="24">
        <f>Data!I872</f>
        <v>1242670000000</v>
      </c>
      <c r="R872" s="25">
        <f t="shared" si="110"/>
        <v>0.15441042271882319</v>
      </c>
      <c r="S872" s="25">
        <f t="shared" si="111"/>
        <v>3.6899553942148229</v>
      </c>
    </row>
    <row r="873" spans="1:19" ht="15" customHeight="1" x14ac:dyDescent="0.3">
      <c r="A873" s="22"/>
      <c r="B873" s="23"/>
      <c r="C873" s="2"/>
      <c r="D873" s="23">
        <v>2016</v>
      </c>
      <c r="E873" s="24">
        <f>Data!F873</f>
        <v>1098076000000</v>
      </c>
      <c r="F873" s="24">
        <f>Data!H873</f>
        <v>324697000000</v>
      </c>
      <c r="G873" s="24">
        <f t="shared" si="104"/>
        <v>773379000000</v>
      </c>
      <c r="H873" s="24">
        <f>Data!G873</f>
        <v>1447531000000</v>
      </c>
      <c r="I873" s="25">
        <f t="shared" si="105"/>
        <v>3.5048411674775872</v>
      </c>
      <c r="J873" s="24">
        <f>Data!J873</f>
        <v>120758000000</v>
      </c>
      <c r="K873" s="24">
        <f t="shared" si="106"/>
        <v>1447531000000</v>
      </c>
      <c r="L873" s="25">
        <f t="shared" si="107"/>
        <v>0.27196037943228851</v>
      </c>
      <c r="M873" s="24">
        <f>Data!M873</f>
        <v>26323000000</v>
      </c>
      <c r="N873" s="24">
        <f t="shared" si="108"/>
        <v>1447531000000</v>
      </c>
      <c r="O873" s="25">
        <f t="shared" si="109"/>
        <v>0.12220156943098283</v>
      </c>
      <c r="P873" s="24">
        <f>Data!K873</f>
        <v>202257000000</v>
      </c>
      <c r="Q873" s="24">
        <f>Data!I873</f>
        <v>1245274000000</v>
      </c>
      <c r="R873" s="25">
        <f t="shared" si="110"/>
        <v>0.17054066012781124</v>
      </c>
      <c r="S873" s="25">
        <f t="shared" si="111"/>
        <v>4.0695437764686702</v>
      </c>
    </row>
    <row r="874" spans="1:19" ht="15" customHeight="1" x14ac:dyDescent="0.3">
      <c r="A874" s="22"/>
      <c r="B874" s="23"/>
      <c r="C874" s="2"/>
      <c r="D874" s="23">
        <v>2017</v>
      </c>
      <c r="E874" s="24">
        <f>Data!F874</f>
        <v>1203302000000</v>
      </c>
      <c r="F874" s="24">
        <f>Data!H874</f>
        <v>383500000000</v>
      </c>
      <c r="G874" s="24">
        <f t="shared" si="104"/>
        <v>819802000000</v>
      </c>
      <c r="H874" s="24">
        <f>Data!G874</f>
        <v>1546804000000</v>
      </c>
      <c r="I874" s="25">
        <f t="shared" si="105"/>
        <v>3.4767825270687167</v>
      </c>
      <c r="J874" s="24">
        <f>Data!J874</f>
        <v>130684000000</v>
      </c>
      <c r="K874" s="24">
        <f t="shared" si="106"/>
        <v>1546804000000</v>
      </c>
      <c r="L874" s="25">
        <f t="shared" si="107"/>
        <v>0.27542587166829152</v>
      </c>
      <c r="M874" s="24">
        <f>Data!M874</f>
        <v>12244000000</v>
      </c>
      <c r="N874" s="24">
        <f t="shared" si="108"/>
        <v>1546804000000</v>
      </c>
      <c r="O874" s="25">
        <f t="shared" si="109"/>
        <v>5.3193345763264122E-2</v>
      </c>
      <c r="P874" s="24">
        <f>Data!K874</f>
        <v>212684000000</v>
      </c>
      <c r="Q874" s="24">
        <f>Data!I874</f>
        <v>1320815000000</v>
      </c>
      <c r="R874" s="25">
        <f t="shared" si="110"/>
        <v>0.16907606288541546</v>
      </c>
      <c r="S874" s="25">
        <f t="shared" si="111"/>
        <v>3.9744778073856879</v>
      </c>
    </row>
    <row r="875" spans="1:19" ht="15" customHeight="1" x14ac:dyDescent="0.3">
      <c r="A875" s="22"/>
      <c r="B875" s="23"/>
      <c r="C875" s="2"/>
      <c r="D875" s="23">
        <v>2018</v>
      </c>
      <c r="E875" s="24">
        <f>Data!F875</f>
        <v>1418031000000</v>
      </c>
      <c r="F875" s="24">
        <f>Data!H875</f>
        <v>360699000000</v>
      </c>
      <c r="G875" s="24">
        <f t="shared" si="104"/>
        <v>1057332000000</v>
      </c>
      <c r="H875" s="24">
        <f>Data!G875</f>
        <v>1778439000000</v>
      </c>
      <c r="I875" s="25">
        <f t="shared" si="105"/>
        <v>3.9001044848881512</v>
      </c>
      <c r="J875" s="24">
        <f>Data!J875</f>
        <v>148454000000</v>
      </c>
      <c r="K875" s="24">
        <f t="shared" si="106"/>
        <v>1778439000000</v>
      </c>
      <c r="L875" s="25">
        <f t="shared" si="107"/>
        <v>0.2721263085211244</v>
      </c>
      <c r="M875" s="24">
        <f>Data!M875</f>
        <v>24256000000</v>
      </c>
      <c r="N875" s="24">
        <f t="shared" si="108"/>
        <v>1778439000000</v>
      </c>
      <c r="O875" s="25">
        <f t="shared" si="109"/>
        <v>9.1653590592648951E-2</v>
      </c>
      <c r="P875" s="24">
        <f>Data!K875</f>
        <v>230454000000</v>
      </c>
      <c r="Q875" s="24">
        <f>Data!I875</f>
        <v>1505101000000</v>
      </c>
      <c r="R875" s="25">
        <f t="shared" si="110"/>
        <v>0.16077107117728312</v>
      </c>
      <c r="S875" s="25">
        <f t="shared" si="111"/>
        <v>4.4246554551792077</v>
      </c>
    </row>
    <row r="876" spans="1:19" ht="15" customHeight="1" x14ac:dyDescent="0.3">
      <c r="A876" s="22"/>
      <c r="B876" s="23"/>
      <c r="C876" s="2"/>
      <c r="D876" s="23">
        <v>2019</v>
      </c>
      <c r="E876" s="24">
        <f>Data!F876</f>
        <v>1416306000000</v>
      </c>
      <c r="F876" s="24">
        <f>Data!H876</f>
        <v>356029000000</v>
      </c>
      <c r="G876" s="24">
        <f t="shared" si="104"/>
        <v>1060277000000</v>
      </c>
      <c r="H876" s="24">
        <f>Data!G876</f>
        <v>1785466000000</v>
      </c>
      <c r="I876" s="25">
        <f t="shared" si="105"/>
        <v>3.8955752279796982</v>
      </c>
      <c r="J876" s="24">
        <f>Data!J876</f>
        <v>187322000000</v>
      </c>
      <c r="K876" s="24">
        <f t="shared" si="106"/>
        <v>1785466000000</v>
      </c>
      <c r="L876" s="25">
        <f t="shared" si="107"/>
        <v>0.34202259802202895</v>
      </c>
      <c r="M876" s="24">
        <f>Data!M876</f>
        <v>49805000000</v>
      </c>
      <c r="N876" s="24">
        <f t="shared" si="108"/>
        <v>1785466000000</v>
      </c>
      <c r="O876" s="25">
        <f t="shared" si="109"/>
        <v>0.18745223935936051</v>
      </c>
      <c r="P876" s="24">
        <f>Data!K876</f>
        <v>269322000000</v>
      </c>
      <c r="Q876" s="24">
        <f>Data!I876</f>
        <v>1485112000000</v>
      </c>
      <c r="R876" s="25">
        <f t="shared" si="110"/>
        <v>0.19041533567838656</v>
      </c>
      <c r="S876" s="25">
        <f t="shared" si="111"/>
        <v>4.615465401039474</v>
      </c>
    </row>
    <row r="877" spans="1:19" ht="15" customHeight="1" x14ac:dyDescent="0.3">
      <c r="A877" s="22"/>
      <c r="B877" s="23"/>
      <c r="C877" s="2"/>
      <c r="D877" s="23">
        <v>2020</v>
      </c>
      <c r="E877" s="24">
        <f>Data!F877</f>
        <v>1238020000000</v>
      </c>
      <c r="F877" s="24">
        <f>Data!H877</f>
        <v>348478000000</v>
      </c>
      <c r="G877" s="24">
        <f t="shared" si="104"/>
        <v>889542000000</v>
      </c>
      <c r="H877" s="24">
        <f>Data!G877</f>
        <v>1618403000000</v>
      </c>
      <c r="I877" s="25">
        <f t="shared" si="105"/>
        <v>3.6056504591254463</v>
      </c>
      <c r="J877" s="24">
        <f>Data!J877</f>
        <v>198899000000</v>
      </c>
      <c r="K877" s="24">
        <f t="shared" si="106"/>
        <v>1618403000000</v>
      </c>
      <c r="L877" s="25">
        <f t="shared" si="107"/>
        <v>0.40064850349387632</v>
      </c>
      <c r="M877" s="24">
        <f>Data!M877</f>
        <v>18285000000</v>
      </c>
      <c r="N877" s="24">
        <f t="shared" si="108"/>
        <v>1618403000000</v>
      </c>
      <c r="O877" s="25">
        <f t="shared" si="109"/>
        <v>7.5923734694016254E-2</v>
      </c>
      <c r="P877" s="24">
        <f>Data!K877</f>
        <v>282749000000</v>
      </c>
      <c r="Q877" s="24">
        <f>Data!I877</f>
        <v>1332323000000</v>
      </c>
      <c r="R877" s="25">
        <f t="shared" si="110"/>
        <v>0.22283368972839171</v>
      </c>
      <c r="S877" s="25">
        <f t="shared" si="111"/>
        <v>4.3050563870417307</v>
      </c>
    </row>
    <row r="878" spans="1:19" ht="15" customHeight="1" x14ac:dyDescent="0.3">
      <c r="A878" s="22"/>
      <c r="B878" s="23"/>
      <c r="C878" s="2"/>
      <c r="D878" s="23">
        <v>2021</v>
      </c>
      <c r="E878" s="24">
        <f>Data!F878</f>
        <v>1288581000000</v>
      </c>
      <c r="F878" s="24">
        <f>Data!H878</f>
        <v>359383000000</v>
      </c>
      <c r="G878" s="24">
        <f t="shared" si="104"/>
        <v>929198000000</v>
      </c>
      <c r="H878" s="24">
        <f>Data!G878</f>
        <v>1662278000000</v>
      </c>
      <c r="I878" s="25">
        <f t="shared" si="105"/>
        <v>3.6669792176759843</v>
      </c>
      <c r="J878" s="24">
        <f>Data!J878</f>
        <v>214497000000</v>
      </c>
      <c r="K878" s="24">
        <f t="shared" si="106"/>
        <v>1662278000000</v>
      </c>
      <c r="L878" s="25">
        <f t="shared" si="107"/>
        <v>0.42066382398130753</v>
      </c>
      <c r="M878" s="24">
        <f>Data!M878</f>
        <v>19479000000</v>
      </c>
      <c r="N878" s="24">
        <f t="shared" si="108"/>
        <v>1662278000000</v>
      </c>
      <c r="O878" s="25">
        <f t="shared" si="109"/>
        <v>7.8746683767697098E-2</v>
      </c>
      <c r="P878" s="24">
        <f>Data!K878</f>
        <v>299465000000</v>
      </c>
      <c r="Q878" s="24">
        <f>Data!I878</f>
        <v>1362813000000</v>
      </c>
      <c r="R878" s="25">
        <f t="shared" si="110"/>
        <v>0.23072736318188922</v>
      </c>
      <c r="S878" s="25">
        <f t="shared" si="111"/>
        <v>4.397117088606878</v>
      </c>
    </row>
    <row r="879" spans="1:19" ht="15" customHeight="1" x14ac:dyDescent="0.3">
      <c r="A879" s="22"/>
      <c r="B879" s="23"/>
      <c r="C879" s="2"/>
      <c r="D879" s="23">
        <v>2022</v>
      </c>
      <c r="E879" s="24">
        <f>Data!F879</f>
        <v>1486908000000</v>
      </c>
      <c r="F879" s="24">
        <f>Data!H879</f>
        <v>471420000000</v>
      </c>
      <c r="G879" s="24">
        <f t="shared" si="104"/>
        <v>1015488000000</v>
      </c>
      <c r="H879" s="24">
        <f>Data!G879</f>
        <v>2086886000000</v>
      </c>
      <c r="I879" s="25">
        <f t="shared" si="105"/>
        <v>3.1921251472289334</v>
      </c>
      <c r="J879" s="24">
        <f>Data!J879</f>
        <v>222314000000</v>
      </c>
      <c r="K879" s="24">
        <f t="shared" si="106"/>
        <v>2086886000000</v>
      </c>
      <c r="L879" s="25">
        <f t="shared" si="107"/>
        <v>0.3472847294964842</v>
      </c>
      <c r="M879" s="24">
        <f>Data!M879</f>
        <v>8827000000</v>
      </c>
      <c r="N879" s="24">
        <f t="shared" si="108"/>
        <v>2086886000000</v>
      </c>
      <c r="O879" s="25">
        <f t="shared" si="109"/>
        <v>2.8423900490970756E-2</v>
      </c>
      <c r="P879" s="24">
        <f>Data!K879</f>
        <v>307721000000</v>
      </c>
      <c r="Q879" s="24">
        <f>Data!I879</f>
        <v>1771107000000</v>
      </c>
      <c r="R879" s="25">
        <f t="shared" si="110"/>
        <v>0.18243225846885594</v>
      </c>
      <c r="S879" s="25">
        <f t="shared" si="111"/>
        <v>3.7502660356852444</v>
      </c>
    </row>
    <row r="880" spans="1:19" ht="15" customHeight="1" x14ac:dyDescent="0.3">
      <c r="A880" s="22"/>
      <c r="B880" s="23"/>
      <c r="C880" s="2"/>
      <c r="D880" s="23">
        <v>2023</v>
      </c>
      <c r="E880" s="24">
        <f>Data!F880</f>
        <v>1202030000000</v>
      </c>
      <c r="F880" s="24">
        <f>Data!H880</f>
        <v>364675000000</v>
      </c>
      <c r="G880" s="24">
        <f t="shared" si="104"/>
        <v>837355000000</v>
      </c>
      <c r="H880" s="24">
        <f>Data!G880</f>
        <v>1616151000000</v>
      </c>
      <c r="I880" s="25">
        <f t="shared" si="105"/>
        <v>3.3988462711714433</v>
      </c>
      <c r="J880" s="24">
        <f>Data!J880</f>
        <v>241245000000</v>
      </c>
      <c r="K880" s="24">
        <f t="shared" si="106"/>
        <v>1616151000000</v>
      </c>
      <c r="L880" s="25">
        <f t="shared" si="107"/>
        <v>0.48662451713979693</v>
      </c>
      <c r="M880" s="24">
        <f>Data!M880</f>
        <v>21717000000</v>
      </c>
      <c r="N880" s="24">
        <f t="shared" si="108"/>
        <v>1616151000000</v>
      </c>
      <c r="O880" s="25">
        <f t="shared" si="109"/>
        <v>9.0299879157331217E-2</v>
      </c>
      <c r="P880" s="24">
        <f>Data!K880</f>
        <v>326315000000</v>
      </c>
      <c r="Q880" s="24">
        <f>Data!I880</f>
        <v>1289836000000</v>
      </c>
      <c r="R880" s="25">
        <f t="shared" si="110"/>
        <v>0.26563900371830218</v>
      </c>
      <c r="S880" s="25">
        <f t="shared" si="111"/>
        <v>4.2414096711868732</v>
      </c>
    </row>
    <row r="881" spans="1:19" ht="15" customHeight="1" x14ac:dyDescent="0.3">
      <c r="A881" s="22"/>
      <c r="B881" s="23"/>
      <c r="C881" s="2"/>
      <c r="D881" s="23">
        <v>2024</v>
      </c>
      <c r="E881" s="24">
        <f>Data!F881</f>
        <v>941459000000</v>
      </c>
      <c r="F881" s="24">
        <f>Data!H881</f>
        <v>529310000000</v>
      </c>
      <c r="G881" s="24">
        <f t="shared" si="104"/>
        <v>412149000000</v>
      </c>
      <c r="H881" s="24">
        <f>Data!G881</f>
        <v>1596064000000</v>
      </c>
      <c r="I881" s="25">
        <f t="shared" si="105"/>
        <v>1.6939780860917859</v>
      </c>
      <c r="J881" s="24">
        <f>Data!J881</f>
        <v>178243000000</v>
      </c>
      <c r="K881" s="24">
        <f t="shared" si="106"/>
        <v>1596064000000</v>
      </c>
      <c r="L881" s="25">
        <f t="shared" si="107"/>
        <v>0.36406571415682576</v>
      </c>
      <c r="M881" s="24">
        <f>Data!M881</f>
        <v>-87750000000</v>
      </c>
      <c r="N881" s="24">
        <f t="shared" si="108"/>
        <v>1596064000000</v>
      </c>
      <c r="O881" s="25">
        <f t="shared" si="109"/>
        <v>-0.36945886881729051</v>
      </c>
      <c r="P881" s="24">
        <f>Data!K881</f>
        <v>264419000000</v>
      </c>
      <c r="Q881" s="24">
        <f>Data!I881</f>
        <v>1323407000000</v>
      </c>
      <c r="R881" s="25">
        <f t="shared" si="110"/>
        <v>0.20979181007807879</v>
      </c>
      <c r="S881" s="25">
        <f t="shared" si="111"/>
        <v>1.8983767415094004</v>
      </c>
    </row>
    <row r="882" spans="1:19" ht="15" customHeight="1" x14ac:dyDescent="0.3">
      <c r="A882" s="22"/>
      <c r="B882" s="23">
        <v>81</v>
      </c>
      <c r="C882" s="2" t="s">
        <v>82</v>
      </c>
      <c r="D882" s="23">
        <v>2014</v>
      </c>
      <c r="E882" s="24">
        <f>Data!F882</f>
        <v>0</v>
      </c>
      <c r="F882" s="24">
        <f>Data!H882</f>
        <v>0</v>
      </c>
      <c r="G882" s="24">
        <f t="shared" si="104"/>
        <v>0</v>
      </c>
      <c r="H882" s="24">
        <f>Data!G882</f>
        <v>0</v>
      </c>
      <c r="I882" s="25">
        <f t="shared" si="105"/>
        <v>0</v>
      </c>
      <c r="J882" s="24">
        <f>Data!J882</f>
        <v>0</v>
      </c>
      <c r="K882" s="24">
        <f t="shared" si="106"/>
        <v>0</v>
      </c>
      <c r="L882" s="25">
        <f t="shared" si="107"/>
        <v>0</v>
      </c>
      <c r="M882" s="24">
        <f>Data!M882</f>
        <v>0</v>
      </c>
      <c r="N882" s="24">
        <f t="shared" si="108"/>
        <v>0</v>
      </c>
      <c r="O882" s="25">
        <f t="shared" si="109"/>
        <v>0</v>
      </c>
      <c r="P882" s="24">
        <f>Data!K882</f>
        <v>0</v>
      </c>
      <c r="Q882" s="24">
        <f>Data!I882</f>
        <v>0</v>
      </c>
      <c r="R882" s="25">
        <f t="shared" si="110"/>
        <v>0</v>
      </c>
      <c r="S882" s="25">
        <f t="shared" si="111"/>
        <v>0</v>
      </c>
    </row>
    <row r="883" spans="1:19" ht="15" customHeight="1" x14ac:dyDescent="0.3">
      <c r="A883" s="22"/>
      <c r="B883" s="23"/>
      <c r="C883" s="2"/>
      <c r="D883" s="23">
        <v>2015</v>
      </c>
      <c r="E883" s="24">
        <f>Data!F883</f>
        <v>0</v>
      </c>
      <c r="F883" s="24">
        <f>Data!H883</f>
        <v>0</v>
      </c>
      <c r="G883" s="24">
        <f t="shared" si="104"/>
        <v>0</v>
      </c>
      <c r="H883" s="24">
        <f>Data!G883</f>
        <v>0</v>
      </c>
      <c r="I883" s="25">
        <f t="shared" si="105"/>
        <v>0</v>
      </c>
      <c r="J883" s="24">
        <f>Data!J883</f>
        <v>0</v>
      </c>
      <c r="K883" s="24">
        <f t="shared" si="106"/>
        <v>0</v>
      </c>
      <c r="L883" s="25">
        <f t="shared" si="107"/>
        <v>0</v>
      </c>
      <c r="M883" s="24">
        <f>Data!M883</f>
        <v>0</v>
      </c>
      <c r="N883" s="24">
        <f t="shared" si="108"/>
        <v>0</v>
      </c>
      <c r="O883" s="25">
        <f t="shared" si="109"/>
        <v>0</v>
      </c>
      <c r="P883" s="24">
        <f>Data!K883</f>
        <v>0</v>
      </c>
      <c r="Q883" s="24">
        <f>Data!I883</f>
        <v>0</v>
      </c>
      <c r="R883" s="25">
        <f t="shared" si="110"/>
        <v>0</v>
      </c>
      <c r="S883" s="25">
        <f t="shared" si="111"/>
        <v>0</v>
      </c>
    </row>
    <row r="884" spans="1:19" ht="15" customHeight="1" x14ac:dyDescent="0.3">
      <c r="A884" s="22"/>
      <c r="B884" s="23"/>
      <c r="C884" s="2"/>
      <c r="D884" s="23">
        <v>2016</v>
      </c>
      <c r="E884" s="24">
        <f>Data!F884</f>
        <v>0</v>
      </c>
      <c r="F884" s="24">
        <f>Data!H884</f>
        <v>0</v>
      </c>
      <c r="G884" s="24">
        <f t="shared" si="104"/>
        <v>0</v>
      </c>
      <c r="H884" s="24">
        <f>Data!G884</f>
        <v>0</v>
      </c>
      <c r="I884" s="25">
        <f t="shared" si="105"/>
        <v>0</v>
      </c>
      <c r="J884" s="24">
        <f>Data!J884</f>
        <v>0</v>
      </c>
      <c r="K884" s="24">
        <f t="shared" si="106"/>
        <v>0</v>
      </c>
      <c r="L884" s="25">
        <f t="shared" si="107"/>
        <v>0</v>
      </c>
      <c r="M884" s="24">
        <f>Data!M884</f>
        <v>0</v>
      </c>
      <c r="N884" s="24">
        <f t="shared" si="108"/>
        <v>0</v>
      </c>
      <c r="O884" s="25">
        <f t="shared" si="109"/>
        <v>0</v>
      </c>
      <c r="P884" s="24">
        <f>Data!K884</f>
        <v>0</v>
      </c>
      <c r="Q884" s="24">
        <f>Data!I884</f>
        <v>0</v>
      </c>
      <c r="R884" s="25">
        <f t="shared" si="110"/>
        <v>0</v>
      </c>
      <c r="S884" s="25">
        <f t="shared" si="111"/>
        <v>0</v>
      </c>
    </row>
    <row r="885" spans="1:19" ht="15" customHeight="1" x14ac:dyDescent="0.3">
      <c r="A885" s="22"/>
      <c r="B885" s="23"/>
      <c r="C885" s="2"/>
      <c r="D885" s="23">
        <v>2017</v>
      </c>
      <c r="E885" s="24">
        <f>Data!F885</f>
        <v>0</v>
      </c>
      <c r="F885" s="24">
        <f>Data!H885</f>
        <v>0</v>
      </c>
      <c r="G885" s="24">
        <f t="shared" si="104"/>
        <v>0</v>
      </c>
      <c r="H885" s="24">
        <f>Data!G885</f>
        <v>0</v>
      </c>
      <c r="I885" s="25">
        <f t="shared" si="105"/>
        <v>0</v>
      </c>
      <c r="J885" s="24">
        <f>Data!J885</f>
        <v>0</v>
      </c>
      <c r="K885" s="24">
        <f t="shared" si="106"/>
        <v>0</v>
      </c>
      <c r="L885" s="25">
        <f t="shared" si="107"/>
        <v>0</v>
      </c>
      <c r="M885" s="24">
        <f>Data!M885</f>
        <v>0</v>
      </c>
      <c r="N885" s="24">
        <f t="shared" si="108"/>
        <v>0</v>
      </c>
      <c r="O885" s="25">
        <f t="shared" si="109"/>
        <v>0</v>
      </c>
      <c r="P885" s="24">
        <f>Data!K885</f>
        <v>0</v>
      </c>
      <c r="Q885" s="24">
        <f>Data!I885</f>
        <v>0</v>
      </c>
      <c r="R885" s="25">
        <f t="shared" si="110"/>
        <v>0</v>
      </c>
      <c r="S885" s="25">
        <f t="shared" si="111"/>
        <v>0</v>
      </c>
    </row>
    <row r="886" spans="1:19" ht="15" customHeight="1" x14ac:dyDescent="0.3">
      <c r="A886" s="22"/>
      <c r="B886" s="23"/>
      <c r="C886" s="2"/>
      <c r="D886" s="23">
        <v>2018</v>
      </c>
      <c r="E886" s="24">
        <f>Data!F886</f>
        <v>439623416000</v>
      </c>
      <c r="F886" s="24">
        <f>Data!H886</f>
        <v>113969800000</v>
      </c>
      <c r="G886" s="24">
        <f t="shared" si="104"/>
        <v>325653616000</v>
      </c>
      <c r="H886" s="24">
        <f>Data!G886</f>
        <v>628464862000</v>
      </c>
      <c r="I886" s="25">
        <f t="shared" si="105"/>
        <v>3.3992158514026838</v>
      </c>
      <c r="J886" s="24">
        <f>Data!J886</f>
        <v>37592967000</v>
      </c>
      <c r="K886" s="24">
        <f t="shared" si="106"/>
        <v>628464862000</v>
      </c>
      <c r="L886" s="25">
        <f t="shared" si="107"/>
        <v>0.19500385754263536</v>
      </c>
      <c r="M886" s="24">
        <f>Data!M886</f>
        <v>-26701088000</v>
      </c>
      <c r="N886" s="24">
        <f t="shared" si="108"/>
        <v>628464862000</v>
      </c>
      <c r="O886" s="25">
        <f t="shared" si="109"/>
        <v>-0.28550730869659985</v>
      </c>
      <c r="P886" s="24">
        <f>Data!K886</f>
        <v>263872170000</v>
      </c>
      <c r="Q886" s="24">
        <f>Data!I886</f>
        <v>364592692000</v>
      </c>
      <c r="R886" s="25">
        <f t="shared" si="110"/>
        <v>0.75993234252758968</v>
      </c>
      <c r="S886" s="25">
        <f t="shared" si="111"/>
        <v>4.0686447427763088</v>
      </c>
    </row>
    <row r="887" spans="1:19" ht="15" customHeight="1" x14ac:dyDescent="0.3">
      <c r="A887" s="22"/>
      <c r="B887" s="23"/>
      <c r="C887" s="2"/>
      <c r="D887" s="23">
        <v>2019</v>
      </c>
      <c r="E887" s="24">
        <f>Data!F887</f>
        <v>429729092000</v>
      </c>
      <c r="F887" s="24">
        <f>Data!H887</f>
        <v>159104105000</v>
      </c>
      <c r="G887" s="24">
        <f t="shared" si="104"/>
        <v>270624987000</v>
      </c>
      <c r="H887" s="24">
        <f>Data!G887</f>
        <v>582236244000</v>
      </c>
      <c r="I887" s="25">
        <f t="shared" si="105"/>
        <v>3.0491058105960165</v>
      </c>
      <c r="J887" s="24">
        <f>Data!J887</f>
        <v>-77859728000</v>
      </c>
      <c r="K887" s="24">
        <f t="shared" si="106"/>
        <v>582236244000</v>
      </c>
      <c r="L887" s="25">
        <f t="shared" si="107"/>
        <v>-0.43594454295085067</v>
      </c>
      <c r="M887" s="24">
        <f>Data!M887</f>
        <v>-114954132000</v>
      </c>
      <c r="N887" s="24">
        <f t="shared" si="108"/>
        <v>582236244000</v>
      </c>
      <c r="O887" s="25">
        <f t="shared" si="109"/>
        <v>-1.3267668837187676</v>
      </c>
      <c r="P887" s="24">
        <f>Data!K887</f>
        <v>148924854000</v>
      </c>
      <c r="Q887" s="24">
        <f>Data!I887</f>
        <v>433311390000</v>
      </c>
      <c r="R887" s="25">
        <f t="shared" si="110"/>
        <v>0.36087465113714184</v>
      </c>
      <c r="S887" s="25">
        <f t="shared" si="111"/>
        <v>1.6472690350635402</v>
      </c>
    </row>
    <row r="888" spans="1:19" ht="15" customHeight="1" x14ac:dyDescent="0.3">
      <c r="A888" s="22"/>
      <c r="B888" s="23"/>
      <c r="C888" s="2"/>
      <c r="D888" s="23">
        <v>2020</v>
      </c>
      <c r="E888" s="24">
        <f>Data!F888</f>
        <v>409166872000</v>
      </c>
      <c r="F888" s="24">
        <f>Data!H888</f>
        <v>100459890000</v>
      </c>
      <c r="G888" s="24">
        <f t="shared" si="104"/>
        <v>308706982000</v>
      </c>
      <c r="H888" s="24">
        <f>Data!G888</f>
        <v>577744818000</v>
      </c>
      <c r="I888" s="25">
        <f t="shared" si="105"/>
        <v>3.50521153773464</v>
      </c>
      <c r="J888" s="24">
        <f>Data!J888</f>
        <v>-127021437000</v>
      </c>
      <c r="K888" s="24">
        <f t="shared" si="106"/>
        <v>577744818000</v>
      </c>
      <c r="L888" s="25">
        <f t="shared" si="107"/>
        <v>-0.71673491776779552</v>
      </c>
      <c r="M888" s="24">
        <f>Data!M888</f>
        <v>9797219000</v>
      </c>
      <c r="N888" s="24">
        <f t="shared" si="108"/>
        <v>577744818000</v>
      </c>
      <c r="O888" s="25">
        <f t="shared" si="109"/>
        <v>0.11395569398252915</v>
      </c>
      <c r="P888" s="24">
        <f>Data!K888</f>
        <v>105569150000</v>
      </c>
      <c r="Q888" s="24">
        <f>Data!I888</f>
        <v>472175668000</v>
      </c>
      <c r="R888" s="25">
        <f t="shared" si="110"/>
        <v>0.23475925383770518</v>
      </c>
      <c r="S888" s="25">
        <f t="shared" si="111"/>
        <v>3.1371915677870783</v>
      </c>
    </row>
    <row r="889" spans="1:19" ht="15" customHeight="1" x14ac:dyDescent="0.3">
      <c r="A889" s="22"/>
      <c r="B889" s="23"/>
      <c r="C889" s="2"/>
      <c r="D889" s="23">
        <v>2021</v>
      </c>
      <c r="E889" s="24">
        <f>Data!F889</f>
        <v>446296311000</v>
      </c>
      <c r="F889" s="24">
        <f>Data!H889</f>
        <v>78433465000</v>
      </c>
      <c r="G889" s="24">
        <f t="shared" si="104"/>
        <v>367862846000</v>
      </c>
      <c r="H889" s="24">
        <f>Data!G889</f>
        <v>666903763000</v>
      </c>
      <c r="I889" s="25">
        <f t="shared" si="105"/>
        <v>3.6184835108810147</v>
      </c>
      <c r="J889" s="24">
        <f>Data!J889</f>
        <v>-111605766000</v>
      </c>
      <c r="K889" s="24">
        <f t="shared" si="106"/>
        <v>666903763000</v>
      </c>
      <c r="L889" s="25">
        <f t="shared" si="107"/>
        <v>-0.54555817097706194</v>
      </c>
      <c r="M889" s="24">
        <f>Data!M889</f>
        <v>18379569000</v>
      </c>
      <c r="N889" s="24">
        <f t="shared" si="108"/>
        <v>666903763000</v>
      </c>
      <c r="O889" s="25">
        <f t="shared" si="109"/>
        <v>0.18520019009099517</v>
      </c>
      <c r="P889" s="24">
        <f>Data!K889</f>
        <v>122136221000</v>
      </c>
      <c r="Q889" s="24">
        <f>Data!I889</f>
        <v>544767542000</v>
      </c>
      <c r="R889" s="25">
        <f t="shared" si="110"/>
        <v>0.23540872420405695</v>
      </c>
      <c r="S889" s="25">
        <f t="shared" si="111"/>
        <v>3.4935342541990044</v>
      </c>
    </row>
    <row r="890" spans="1:19" ht="15" customHeight="1" x14ac:dyDescent="0.3">
      <c r="A890" s="22"/>
      <c r="B890" s="23"/>
      <c r="C890" s="2"/>
      <c r="D890" s="23">
        <v>2022</v>
      </c>
      <c r="E890" s="24">
        <f>Data!F890</f>
        <v>715765814000</v>
      </c>
      <c r="F890" s="24">
        <f>Data!H890</f>
        <v>58527371000</v>
      </c>
      <c r="G890" s="24">
        <f t="shared" si="104"/>
        <v>657238443000</v>
      </c>
      <c r="H890" s="24">
        <f>Data!G890</f>
        <v>933279448000</v>
      </c>
      <c r="I890" s="25">
        <f t="shared" si="105"/>
        <v>4.6197140581199214</v>
      </c>
      <c r="J890" s="24">
        <f>Data!J890</f>
        <v>-119075149000</v>
      </c>
      <c r="K890" s="24">
        <f t="shared" si="106"/>
        <v>933279448000</v>
      </c>
      <c r="L890" s="25">
        <f t="shared" si="107"/>
        <v>-0.41593649851807296</v>
      </c>
      <c r="M890" s="24">
        <f>Data!M890</f>
        <v>-7050650000</v>
      </c>
      <c r="N890" s="24">
        <f t="shared" si="108"/>
        <v>933279448000</v>
      </c>
      <c r="O890" s="25">
        <f t="shared" si="109"/>
        <v>-5.0767611031760335E-2</v>
      </c>
      <c r="P890" s="24">
        <f>Data!K890</f>
        <v>210067263000</v>
      </c>
      <c r="Q890" s="24">
        <f>Data!I890</f>
        <v>723212185000</v>
      </c>
      <c r="R890" s="25">
        <f t="shared" si="110"/>
        <v>0.30498743069435424</v>
      </c>
      <c r="S890" s="25">
        <f t="shared" si="111"/>
        <v>4.4579973792644418</v>
      </c>
    </row>
    <row r="891" spans="1:19" ht="15" customHeight="1" x14ac:dyDescent="0.3">
      <c r="A891" s="22"/>
      <c r="B891" s="23"/>
      <c r="C891" s="2"/>
      <c r="D891" s="23">
        <v>2023</v>
      </c>
      <c r="E891" s="24">
        <f>Data!F891</f>
        <v>718756264000</v>
      </c>
      <c r="F891" s="24">
        <f>Data!H891</f>
        <v>39381671000</v>
      </c>
      <c r="G891" s="24">
        <f t="shared" si="104"/>
        <v>679374593000</v>
      </c>
      <c r="H891" s="24">
        <f>Data!G891</f>
        <v>997499063000</v>
      </c>
      <c r="I891" s="25">
        <f t="shared" si="105"/>
        <v>4.4678711944614626</v>
      </c>
      <c r="J891" s="24">
        <f>Data!J891</f>
        <v>-114096418000</v>
      </c>
      <c r="K891" s="24">
        <f t="shared" si="106"/>
        <v>997499063000</v>
      </c>
      <c r="L891" s="25">
        <f t="shared" si="107"/>
        <v>-0.37288688929826092</v>
      </c>
      <c r="M891" s="24">
        <f>Data!M891</f>
        <v>1459490000</v>
      </c>
      <c r="N891" s="24">
        <f t="shared" si="108"/>
        <v>997499063000</v>
      </c>
      <c r="O891" s="25">
        <f t="shared" si="109"/>
        <v>9.8323629202246177E-3</v>
      </c>
      <c r="P891" s="24">
        <f>Data!K891</f>
        <v>215979111000</v>
      </c>
      <c r="Q891" s="24">
        <f>Data!I891</f>
        <v>781419952000</v>
      </c>
      <c r="R891" s="25">
        <f t="shared" si="110"/>
        <v>0.29021279271098011</v>
      </c>
      <c r="S891" s="25">
        <f t="shared" si="111"/>
        <v>4.3950294607944063</v>
      </c>
    </row>
    <row r="892" spans="1:19" ht="15" customHeight="1" x14ac:dyDescent="0.3">
      <c r="A892" s="22"/>
      <c r="B892" s="23"/>
      <c r="C892" s="2"/>
      <c r="D892" s="23">
        <v>2024</v>
      </c>
      <c r="E892" s="24">
        <f>Data!F892</f>
        <v>778129528000</v>
      </c>
      <c r="F892" s="24">
        <f>Data!H892</f>
        <v>94523757000</v>
      </c>
      <c r="G892" s="24">
        <f t="shared" si="104"/>
        <v>683605771000</v>
      </c>
      <c r="H892" s="24">
        <f>Data!G892</f>
        <v>1071029173000</v>
      </c>
      <c r="I892" s="25">
        <f t="shared" si="105"/>
        <v>4.1870510820903659</v>
      </c>
      <c r="J892" s="24">
        <f>Data!J892</f>
        <v>-107158974000</v>
      </c>
      <c r="K892" s="24">
        <f t="shared" si="106"/>
        <v>1071029173000</v>
      </c>
      <c r="L892" s="25">
        <f t="shared" si="107"/>
        <v>-0.3261706254569034</v>
      </c>
      <c r="M892" s="24">
        <f>Data!M892</f>
        <v>5822749000</v>
      </c>
      <c r="N892" s="24">
        <f t="shared" si="108"/>
        <v>1071029173000</v>
      </c>
      <c r="O892" s="25">
        <f t="shared" si="109"/>
        <v>3.6533900538300274E-2</v>
      </c>
      <c r="P892" s="24">
        <f>Data!K892</f>
        <v>223291047000</v>
      </c>
      <c r="Q892" s="24">
        <f>Data!I892</f>
        <v>847738126000</v>
      </c>
      <c r="R892" s="25">
        <f t="shared" si="110"/>
        <v>0.27656606699555236</v>
      </c>
      <c r="S892" s="25">
        <f t="shared" si="111"/>
        <v>4.1739804241673149</v>
      </c>
    </row>
    <row r="893" spans="1:19" ht="15" customHeight="1" x14ac:dyDescent="0.3">
      <c r="A893" s="22"/>
      <c r="B893" s="23">
        <v>82</v>
      </c>
      <c r="C893" s="2" t="s">
        <v>83</v>
      </c>
      <c r="D893" s="23">
        <v>2014</v>
      </c>
      <c r="E893" s="24">
        <f>Data!F893</f>
        <v>0</v>
      </c>
      <c r="F893" s="24">
        <f>Data!H893</f>
        <v>0</v>
      </c>
      <c r="G893" s="24">
        <f t="shared" si="104"/>
        <v>0</v>
      </c>
      <c r="H893" s="24">
        <f>Data!G893</f>
        <v>0</v>
      </c>
      <c r="I893" s="25">
        <f t="shared" si="105"/>
        <v>0</v>
      </c>
      <c r="J893" s="24">
        <f>Data!J893</f>
        <v>0</v>
      </c>
      <c r="K893" s="24">
        <f t="shared" si="106"/>
        <v>0</v>
      </c>
      <c r="L893" s="25">
        <f t="shared" si="107"/>
        <v>0</v>
      </c>
      <c r="M893" s="24">
        <f>Data!M893</f>
        <v>0</v>
      </c>
      <c r="N893" s="24">
        <f t="shared" si="108"/>
        <v>0</v>
      </c>
      <c r="O893" s="25">
        <f t="shared" si="109"/>
        <v>0</v>
      </c>
      <c r="P893" s="24">
        <f>Data!K893</f>
        <v>0</v>
      </c>
      <c r="Q893" s="24">
        <f>Data!I893</f>
        <v>0</v>
      </c>
      <c r="R893" s="25">
        <f t="shared" si="110"/>
        <v>0</v>
      </c>
      <c r="S893" s="25">
        <f t="shared" si="111"/>
        <v>0</v>
      </c>
    </row>
    <row r="894" spans="1:19" ht="15" customHeight="1" x14ac:dyDescent="0.3">
      <c r="A894" s="22"/>
      <c r="B894" s="23"/>
      <c r="C894" s="2"/>
      <c r="D894" s="23">
        <v>2015</v>
      </c>
      <c r="E894" s="24">
        <f>Data!F894</f>
        <v>0</v>
      </c>
      <c r="F894" s="24">
        <f>Data!H894</f>
        <v>0</v>
      </c>
      <c r="G894" s="24">
        <f t="shared" si="104"/>
        <v>0</v>
      </c>
      <c r="H894" s="24">
        <f>Data!G894</f>
        <v>0</v>
      </c>
      <c r="I894" s="25">
        <f t="shared" si="105"/>
        <v>0</v>
      </c>
      <c r="J894" s="24">
        <f>Data!J894</f>
        <v>0</v>
      </c>
      <c r="K894" s="24">
        <f t="shared" si="106"/>
        <v>0</v>
      </c>
      <c r="L894" s="25">
        <f t="shared" si="107"/>
        <v>0</v>
      </c>
      <c r="M894" s="24">
        <f>Data!M894</f>
        <v>0</v>
      </c>
      <c r="N894" s="24">
        <f t="shared" si="108"/>
        <v>0</v>
      </c>
      <c r="O894" s="25">
        <f t="shared" si="109"/>
        <v>0</v>
      </c>
      <c r="P894" s="24">
        <f>Data!K894</f>
        <v>0</v>
      </c>
      <c r="Q894" s="24">
        <f>Data!I894</f>
        <v>0</v>
      </c>
      <c r="R894" s="25">
        <f t="shared" si="110"/>
        <v>0</v>
      </c>
      <c r="S894" s="25">
        <f t="shared" si="111"/>
        <v>0</v>
      </c>
    </row>
    <row r="895" spans="1:19" ht="15" customHeight="1" x14ac:dyDescent="0.3">
      <c r="A895" s="22"/>
      <c r="B895" s="23"/>
      <c r="C895" s="2"/>
      <c r="D895" s="23">
        <v>2016</v>
      </c>
      <c r="E895" s="24">
        <f>Data!F895</f>
        <v>0</v>
      </c>
      <c r="F895" s="24">
        <f>Data!H895</f>
        <v>0</v>
      </c>
      <c r="G895" s="24">
        <f t="shared" si="104"/>
        <v>0</v>
      </c>
      <c r="H895" s="24">
        <f>Data!G895</f>
        <v>0</v>
      </c>
      <c r="I895" s="25">
        <f t="shared" si="105"/>
        <v>0</v>
      </c>
      <c r="J895" s="24">
        <f>Data!J895</f>
        <v>0</v>
      </c>
      <c r="K895" s="24">
        <f t="shared" si="106"/>
        <v>0</v>
      </c>
      <c r="L895" s="25">
        <f t="shared" si="107"/>
        <v>0</v>
      </c>
      <c r="M895" s="24">
        <f>Data!M895</f>
        <v>0</v>
      </c>
      <c r="N895" s="24">
        <f t="shared" si="108"/>
        <v>0</v>
      </c>
      <c r="O895" s="25">
        <f t="shared" si="109"/>
        <v>0</v>
      </c>
      <c r="P895" s="24">
        <f>Data!K895</f>
        <v>0</v>
      </c>
      <c r="Q895" s="24">
        <f>Data!I895</f>
        <v>0</v>
      </c>
      <c r="R895" s="25">
        <f t="shared" si="110"/>
        <v>0</v>
      </c>
      <c r="S895" s="25">
        <f t="shared" si="111"/>
        <v>0</v>
      </c>
    </row>
    <row r="896" spans="1:19" ht="15" customHeight="1" x14ac:dyDescent="0.3">
      <c r="A896" s="22"/>
      <c r="B896" s="23"/>
      <c r="C896" s="2"/>
      <c r="D896" s="23">
        <v>2017</v>
      </c>
      <c r="E896" s="24">
        <f>Data!F896</f>
        <v>0</v>
      </c>
      <c r="F896" s="24">
        <f>Data!H896</f>
        <v>0</v>
      </c>
      <c r="G896" s="24">
        <f t="shared" si="104"/>
        <v>0</v>
      </c>
      <c r="H896" s="24">
        <f>Data!G896</f>
        <v>0</v>
      </c>
      <c r="I896" s="25">
        <f t="shared" si="105"/>
        <v>0</v>
      </c>
      <c r="J896" s="24">
        <f>Data!J896</f>
        <v>0</v>
      </c>
      <c r="K896" s="24">
        <f t="shared" si="106"/>
        <v>0</v>
      </c>
      <c r="L896" s="25">
        <f t="shared" si="107"/>
        <v>0</v>
      </c>
      <c r="M896" s="24">
        <f>Data!M896</f>
        <v>0</v>
      </c>
      <c r="N896" s="24">
        <f t="shared" si="108"/>
        <v>0</v>
      </c>
      <c r="O896" s="25">
        <f t="shared" si="109"/>
        <v>0</v>
      </c>
      <c r="P896" s="24">
        <f>Data!K896</f>
        <v>0</v>
      </c>
      <c r="Q896" s="24">
        <f>Data!I896</f>
        <v>0</v>
      </c>
      <c r="R896" s="25">
        <f t="shared" si="110"/>
        <v>0</v>
      </c>
      <c r="S896" s="25">
        <f t="shared" si="111"/>
        <v>0</v>
      </c>
    </row>
    <row r="897" spans="1:19" ht="15" customHeight="1" x14ac:dyDescent="0.3">
      <c r="A897" s="22"/>
      <c r="B897" s="23"/>
      <c r="C897" s="2"/>
      <c r="D897" s="23">
        <v>2018</v>
      </c>
      <c r="E897" s="24">
        <f>Data!F897</f>
        <v>0</v>
      </c>
      <c r="F897" s="24">
        <f>Data!H897</f>
        <v>0</v>
      </c>
      <c r="G897" s="24">
        <f t="shared" si="104"/>
        <v>0</v>
      </c>
      <c r="H897" s="24">
        <f>Data!G897</f>
        <v>0</v>
      </c>
      <c r="I897" s="25">
        <f t="shared" si="105"/>
        <v>0</v>
      </c>
      <c r="J897" s="24">
        <f>Data!J897</f>
        <v>0</v>
      </c>
      <c r="K897" s="24">
        <f t="shared" si="106"/>
        <v>0</v>
      </c>
      <c r="L897" s="25">
        <f t="shared" si="107"/>
        <v>0</v>
      </c>
      <c r="M897" s="24">
        <f>Data!M897</f>
        <v>0</v>
      </c>
      <c r="N897" s="24">
        <f t="shared" si="108"/>
        <v>0</v>
      </c>
      <c r="O897" s="25">
        <f t="shared" si="109"/>
        <v>0</v>
      </c>
      <c r="P897" s="24">
        <f>Data!K897</f>
        <v>0</v>
      </c>
      <c r="Q897" s="24">
        <f>Data!I897</f>
        <v>0</v>
      </c>
      <c r="R897" s="25">
        <f t="shared" si="110"/>
        <v>0</v>
      </c>
      <c r="S897" s="25">
        <f t="shared" si="111"/>
        <v>0</v>
      </c>
    </row>
    <row r="898" spans="1:19" ht="15" customHeight="1" x14ac:dyDescent="0.3">
      <c r="A898" s="22"/>
      <c r="B898" s="23"/>
      <c r="C898" s="2"/>
      <c r="D898" s="23">
        <v>2019</v>
      </c>
      <c r="E898" s="24">
        <f>Data!F898</f>
        <v>0</v>
      </c>
      <c r="F898" s="24">
        <f>Data!H898</f>
        <v>0</v>
      </c>
      <c r="G898" s="24">
        <f t="shared" si="104"/>
        <v>0</v>
      </c>
      <c r="H898" s="24">
        <f>Data!G898</f>
        <v>0</v>
      </c>
      <c r="I898" s="25">
        <f t="shared" si="105"/>
        <v>0</v>
      </c>
      <c r="J898" s="24">
        <f>Data!J898</f>
        <v>0</v>
      </c>
      <c r="K898" s="24">
        <f t="shared" si="106"/>
        <v>0</v>
      </c>
      <c r="L898" s="25">
        <f t="shared" si="107"/>
        <v>0</v>
      </c>
      <c r="M898" s="24">
        <f>Data!M898</f>
        <v>0</v>
      </c>
      <c r="N898" s="24">
        <f t="shared" si="108"/>
        <v>0</v>
      </c>
      <c r="O898" s="25">
        <f t="shared" si="109"/>
        <v>0</v>
      </c>
      <c r="P898" s="24">
        <f>Data!K898</f>
        <v>0</v>
      </c>
      <c r="Q898" s="24">
        <f>Data!I898</f>
        <v>0</v>
      </c>
      <c r="R898" s="25">
        <f t="shared" si="110"/>
        <v>0</v>
      </c>
      <c r="S898" s="25">
        <f t="shared" si="111"/>
        <v>0</v>
      </c>
    </row>
    <row r="899" spans="1:19" ht="15" customHeight="1" x14ac:dyDescent="0.3">
      <c r="A899" s="22"/>
      <c r="B899" s="23"/>
      <c r="C899" s="2"/>
      <c r="D899" s="23">
        <v>2020</v>
      </c>
      <c r="E899" s="24">
        <f>Data!F899</f>
        <v>117459000000</v>
      </c>
      <c r="F899" s="24">
        <f>Data!H899</f>
        <v>67462000000</v>
      </c>
      <c r="G899" s="24">
        <f t="shared" ref="G899:G962" si="112">E899-F899</f>
        <v>49997000000</v>
      </c>
      <c r="H899" s="24">
        <f>Data!G899</f>
        <v>268957000000</v>
      </c>
      <c r="I899" s="25">
        <f t="shared" ref="I899:I962" si="113">IFERROR(6.56*(G899/H899),0)</f>
        <v>1.2194526262562417</v>
      </c>
      <c r="J899" s="24">
        <f>Data!J899</f>
        <v>33591000000</v>
      </c>
      <c r="K899" s="24">
        <f t="shared" ref="K899:K962" si="114">H899</f>
        <v>268957000000</v>
      </c>
      <c r="L899" s="25">
        <f t="shared" ref="L899:L962" si="115">IFERROR(3.26*(J899/K899),0)</f>
        <v>0.407153039333425</v>
      </c>
      <c r="M899" s="24">
        <f>Data!M899</f>
        <v>229000000</v>
      </c>
      <c r="N899" s="24">
        <f t="shared" ref="N899:N962" si="116">K899</f>
        <v>268957000000</v>
      </c>
      <c r="O899" s="25">
        <f t="shared" ref="O899:O962" si="117">IFERROR(6.72*(M899/N899),0)</f>
        <v>5.7216581089170387E-3</v>
      </c>
      <c r="P899" s="24">
        <f>Data!K899</f>
        <v>127713000000</v>
      </c>
      <c r="Q899" s="24">
        <f>Data!I899</f>
        <v>113494000000</v>
      </c>
      <c r="R899" s="25">
        <f t="shared" ref="R899:R962" si="118">IFERROR(1.05*(P899/Q899),0)</f>
        <v>1.1815483637901563</v>
      </c>
      <c r="S899" s="25">
        <f t="shared" ref="S899:S962" si="119">IFERROR(I899+L899+O899+R899,0)</f>
        <v>2.8138756874887401</v>
      </c>
    </row>
    <row r="900" spans="1:19" ht="15" customHeight="1" x14ac:dyDescent="0.3">
      <c r="A900" s="22"/>
      <c r="B900" s="23"/>
      <c r="C900" s="2"/>
      <c r="D900" s="23">
        <v>2021</v>
      </c>
      <c r="E900" s="24">
        <f>Data!F900</f>
        <v>177990000000</v>
      </c>
      <c r="F900" s="24">
        <f>Data!H900</f>
        <v>111761000000</v>
      </c>
      <c r="G900" s="24">
        <f t="shared" si="112"/>
        <v>66229000000</v>
      </c>
      <c r="H900" s="24">
        <f>Data!G900</f>
        <v>300393000000</v>
      </c>
      <c r="I900" s="25">
        <f t="shared" si="113"/>
        <v>1.4463127969027241</v>
      </c>
      <c r="J900" s="24">
        <f>Data!J900</f>
        <v>35723000000</v>
      </c>
      <c r="K900" s="24">
        <f t="shared" si="114"/>
        <v>300393000000</v>
      </c>
      <c r="L900" s="25">
        <f t="shared" si="115"/>
        <v>0.3876820698218667</v>
      </c>
      <c r="M900" s="24">
        <f>Data!M900</f>
        <v>683000000</v>
      </c>
      <c r="N900" s="24">
        <f t="shared" si="116"/>
        <v>300393000000</v>
      </c>
      <c r="O900" s="25">
        <f t="shared" si="117"/>
        <v>1.5279184268608123E-2</v>
      </c>
      <c r="P900" s="24">
        <f>Data!K900</f>
        <v>129301000000</v>
      </c>
      <c r="Q900" s="24">
        <f>Data!I900</f>
        <v>144392000000</v>
      </c>
      <c r="R900" s="25">
        <f t="shared" si="118"/>
        <v>0.94026019447060782</v>
      </c>
      <c r="S900" s="25">
        <f t="shared" si="119"/>
        <v>2.7895342454638068</v>
      </c>
    </row>
    <row r="901" spans="1:19" ht="15" customHeight="1" x14ac:dyDescent="0.3">
      <c r="A901" s="22"/>
      <c r="B901" s="23"/>
      <c r="C901" s="2"/>
      <c r="D901" s="23">
        <v>2022</v>
      </c>
      <c r="E901" s="24">
        <f>Data!F901</f>
        <v>224070000000</v>
      </c>
      <c r="F901" s="24">
        <f>Data!H901</f>
        <v>90895000000</v>
      </c>
      <c r="G901" s="24">
        <f t="shared" si="112"/>
        <v>133175000000</v>
      </c>
      <c r="H901" s="24">
        <f>Data!G901</f>
        <v>335530000000</v>
      </c>
      <c r="I901" s="25">
        <f t="shared" si="113"/>
        <v>2.6037254492891839</v>
      </c>
      <c r="J901" s="24">
        <f>Data!J901</f>
        <v>39195000000</v>
      </c>
      <c r="K901" s="24">
        <f t="shared" si="114"/>
        <v>335530000000</v>
      </c>
      <c r="L901" s="25">
        <f t="shared" si="115"/>
        <v>0.38081751259201857</v>
      </c>
      <c r="M901" s="24">
        <f>Data!M901</f>
        <v>4011000000</v>
      </c>
      <c r="N901" s="24">
        <f t="shared" si="116"/>
        <v>335530000000</v>
      </c>
      <c r="O901" s="25">
        <f t="shared" si="117"/>
        <v>8.0332369683783864E-2</v>
      </c>
      <c r="P901" s="24">
        <f>Data!K901</f>
        <v>140743000000</v>
      </c>
      <c r="Q901" s="24">
        <f>Data!I901</f>
        <v>168087000000</v>
      </c>
      <c r="R901" s="25">
        <f t="shared" si="118"/>
        <v>0.8791884559781542</v>
      </c>
      <c r="S901" s="25">
        <f t="shared" si="119"/>
        <v>3.9440637875431408</v>
      </c>
    </row>
    <row r="902" spans="1:19" ht="15" customHeight="1" x14ac:dyDescent="0.3">
      <c r="A902" s="22"/>
      <c r="B902" s="23"/>
      <c r="C902" s="2"/>
      <c r="D902" s="23">
        <v>2023</v>
      </c>
      <c r="E902" s="24">
        <f>Data!F902</f>
        <v>394864000000</v>
      </c>
      <c r="F902" s="24">
        <f>Data!H902</f>
        <v>66752000000</v>
      </c>
      <c r="G902" s="24">
        <f t="shared" si="112"/>
        <v>328112000000</v>
      </c>
      <c r="H902" s="24">
        <f>Data!G902</f>
        <v>512116000000</v>
      </c>
      <c r="I902" s="25">
        <f t="shared" si="113"/>
        <v>4.2029827617180473</v>
      </c>
      <c r="J902" s="24">
        <f>Data!J902</f>
        <v>69149000000</v>
      </c>
      <c r="K902" s="24">
        <f t="shared" si="114"/>
        <v>512116000000</v>
      </c>
      <c r="L902" s="25">
        <f t="shared" si="115"/>
        <v>0.44018491904177959</v>
      </c>
      <c r="M902" s="24">
        <f>Data!M902</f>
        <v>24028000000</v>
      </c>
      <c r="N902" s="24">
        <f t="shared" si="116"/>
        <v>512116000000</v>
      </c>
      <c r="O902" s="25">
        <f t="shared" si="117"/>
        <v>0.31529606573510688</v>
      </c>
      <c r="P902" s="24">
        <f>Data!K902</f>
        <v>171505000000</v>
      </c>
      <c r="Q902" s="24">
        <f>Data!I902</f>
        <v>313912000000</v>
      </c>
      <c r="R902" s="25">
        <f t="shared" si="118"/>
        <v>0.57366475317923493</v>
      </c>
      <c r="S902" s="25">
        <f t="shared" si="119"/>
        <v>5.5321284996741689</v>
      </c>
    </row>
    <row r="903" spans="1:19" ht="15" customHeight="1" x14ac:dyDescent="0.3">
      <c r="A903" s="22"/>
      <c r="B903" s="23"/>
      <c r="C903" s="2"/>
      <c r="D903" s="23">
        <v>2024</v>
      </c>
      <c r="E903" s="24">
        <f>Data!F903</f>
        <v>445514000000</v>
      </c>
      <c r="F903" s="24">
        <f>Data!H903</f>
        <v>61881000000</v>
      </c>
      <c r="G903" s="24">
        <f t="shared" si="112"/>
        <v>383633000000</v>
      </c>
      <c r="H903" s="24">
        <f>Data!G903</f>
        <v>554465000000</v>
      </c>
      <c r="I903" s="25">
        <f t="shared" si="113"/>
        <v>4.5388482230618701</v>
      </c>
      <c r="J903" s="24">
        <f>Data!J903</f>
        <v>98426000000</v>
      </c>
      <c r="K903" s="24">
        <f t="shared" si="114"/>
        <v>554465000000</v>
      </c>
      <c r="L903" s="25">
        <f t="shared" si="115"/>
        <v>0.57869975562028253</v>
      </c>
      <c r="M903" s="24">
        <f>Data!M903</f>
        <v>31996000000</v>
      </c>
      <c r="N903" s="24">
        <f t="shared" si="116"/>
        <v>554465000000</v>
      </c>
      <c r="O903" s="25">
        <f t="shared" si="117"/>
        <v>0.38778483763628002</v>
      </c>
      <c r="P903" s="24">
        <f>Data!K903</f>
        <v>260782000000</v>
      </c>
      <c r="Q903" s="24">
        <f>Data!I903</f>
        <v>293683000000</v>
      </c>
      <c r="R903" s="25">
        <f t="shared" si="118"/>
        <v>0.93236959578865652</v>
      </c>
      <c r="S903" s="25">
        <f t="shared" si="119"/>
        <v>6.4377024121070887</v>
      </c>
    </row>
    <row r="904" spans="1:19" ht="15" customHeight="1" x14ac:dyDescent="0.3">
      <c r="A904" s="22"/>
      <c r="B904" s="23">
        <v>83</v>
      </c>
      <c r="C904" s="2" t="s">
        <v>98</v>
      </c>
      <c r="D904" s="23">
        <v>2014</v>
      </c>
      <c r="E904" s="24">
        <f>Data!F904</f>
        <v>0</v>
      </c>
      <c r="F904" s="24">
        <f>Data!H904</f>
        <v>0</v>
      </c>
      <c r="G904" s="24">
        <f t="shared" si="112"/>
        <v>0</v>
      </c>
      <c r="H904" s="24">
        <f>Data!G904</f>
        <v>0</v>
      </c>
      <c r="I904" s="25">
        <f t="shared" si="113"/>
        <v>0</v>
      </c>
      <c r="J904" s="24">
        <f>Data!J904</f>
        <v>0</v>
      </c>
      <c r="K904" s="24">
        <f t="shared" si="114"/>
        <v>0</v>
      </c>
      <c r="L904" s="25">
        <f t="shared" si="115"/>
        <v>0</v>
      </c>
      <c r="M904" s="24">
        <f>Data!M904</f>
        <v>0</v>
      </c>
      <c r="N904" s="24">
        <f t="shared" si="116"/>
        <v>0</v>
      </c>
      <c r="O904" s="25">
        <f t="shared" si="117"/>
        <v>0</v>
      </c>
      <c r="P904" s="24">
        <f>Data!K904</f>
        <v>0</v>
      </c>
      <c r="Q904" s="24">
        <f>Data!I904</f>
        <v>0</v>
      </c>
      <c r="R904" s="25">
        <f t="shared" si="118"/>
        <v>0</v>
      </c>
      <c r="S904" s="25">
        <f t="shared" si="119"/>
        <v>0</v>
      </c>
    </row>
    <row r="905" spans="1:19" ht="15" customHeight="1" x14ac:dyDescent="0.3">
      <c r="A905" s="22"/>
      <c r="B905" s="23"/>
      <c r="C905" s="2"/>
      <c r="D905" s="23">
        <v>2015</v>
      </c>
      <c r="E905" s="24">
        <f>Data!F905</f>
        <v>8877196000000</v>
      </c>
      <c r="F905" s="24">
        <f>Data!H905</f>
        <v>2127477000000</v>
      </c>
      <c r="G905" s="24">
        <f t="shared" si="112"/>
        <v>6749719000000</v>
      </c>
      <c r="H905" s="24">
        <f>Data!G905</f>
        <v>11393914000000</v>
      </c>
      <c r="I905" s="25">
        <f t="shared" si="113"/>
        <v>3.8861234725836966</v>
      </c>
      <c r="J905" s="24">
        <f>Data!J905</f>
        <v>384532000000</v>
      </c>
      <c r="K905" s="24">
        <f t="shared" si="114"/>
        <v>11393914000000</v>
      </c>
      <c r="L905" s="25">
        <f t="shared" si="115"/>
        <v>0.11002139563279133</v>
      </c>
      <c r="M905" s="24">
        <f>Data!M905</f>
        <v>482944000000</v>
      </c>
      <c r="N905" s="24">
        <f t="shared" si="116"/>
        <v>11393914000000</v>
      </c>
      <c r="O905" s="25">
        <f t="shared" si="117"/>
        <v>0.28483484077552279</v>
      </c>
      <c r="P905" s="24">
        <f>Data!K905</f>
        <v>2346927000000</v>
      </c>
      <c r="Q905" s="24">
        <f>Data!I905</f>
        <v>9046986000000</v>
      </c>
      <c r="R905" s="25">
        <f t="shared" si="118"/>
        <v>0.27238611289992049</v>
      </c>
      <c r="S905" s="25">
        <f t="shared" si="119"/>
        <v>4.5533658218919308</v>
      </c>
    </row>
    <row r="906" spans="1:19" ht="15" customHeight="1" x14ac:dyDescent="0.3">
      <c r="A906" s="22"/>
      <c r="B906" s="23"/>
      <c r="C906" s="2"/>
      <c r="D906" s="23">
        <v>2016</v>
      </c>
      <c r="E906" s="24">
        <f>Data!F906</f>
        <v>9633244000000</v>
      </c>
      <c r="F906" s="24">
        <f>Data!H906</f>
        <v>2756358000000</v>
      </c>
      <c r="G906" s="24">
        <f t="shared" si="112"/>
        <v>6876886000000</v>
      </c>
      <c r="H906" s="24">
        <f>Data!G906</f>
        <v>12076472000000</v>
      </c>
      <c r="I906" s="25">
        <f t="shared" si="113"/>
        <v>3.7355588751416806</v>
      </c>
      <c r="J906" s="24">
        <f>Data!J906</f>
        <v>368297000000</v>
      </c>
      <c r="K906" s="24">
        <f t="shared" si="114"/>
        <v>12076472000000</v>
      </c>
      <c r="L906" s="25">
        <f t="shared" si="115"/>
        <v>9.9420444977639161E-2</v>
      </c>
      <c r="M906" s="24">
        <f>Data!M906</f>
        <v>475203000000</v>
      </c>
      <c r="N906" s="24">
        <f t="shared" si="116"/>
        <v>12076472000000</v>
      </c>
      <c r="O906" s="25">
        <f t="shared" si="117"/>
        <v>0.26442856489875516</v>
      </c>
      <c r="P906" s="24">
        <f>Data!K906</f>
        <v>2700301000000</v>
      </c>
      <c r="Q906" s="24">
        <f>Data!I906</f>
        <v>9376170000000</v>
      </c>
      <c r="R906" s="25">
        <f t="shared" si="118"/>
        <v>0.30239597298257176</v>
      </c>
      <c r="S906" s="25">
        <f t="shared" si="119"/>
        <v>4.4018038580006467</v>
      </c>
    </row>
    <row r="907" spans="1:19" ht="15" customHeight="1" x14ac:dyDescent="0.3">
      <c r="A907" s="22"/>
      <c r="B907" s="23"/>
      <c r="C907" s="2"/>
      <c r="D907" s="23">
        <v>2017</v>
      </c>
      <c r="E907" s="24">
        <f>Data!F907</f>
        <v>10005084000000</v>
      </c>
      <c r="F907" s="24">
        <f>Data!H907</f>
        <v>3763335000000</v>
      </c>
      <c r="G907" s="24">
        <f t="shared" si="112"/>
        <v>6241749000000</v>
      </c>
      <c r="H907" s="24">
        <f>Data!G907</f>
        <v>11752706000000</v>
      </c>
      <c r="I907" s="25">
        <f t="shared" si="113"/>
        <v>3.483952839456717</v>
      </c>
      <c r="J907" s="24">
        <f>Data!J907</f>
        <v>960789000000</v>
      </c>
      <c r="K907" s="24">
        <f t="shared" si="114"/>
        <v>11752706000000</v>
      </c>
      <c r="L907" s="25">
        <f t="shared" si="115"/>
        <v>0.26650646583008203</v>
      </c>
      <c r="M907" s="24">
        <f>Data!M907</f>
        <v>457232000000</v>
      </c>
      <c r="N907" s="24">
        <f t="shared" si="116"/>
        <v>11752706000000</v>
      </c>
      <c r="O907" s="25">
        <f t="shared" si="117"/>
        <v>0.26143758211938595</v>
      </c>
      <c r="P907" s="24">
        <f>Data!K907</f>
        <v>3029485000000</v>
      </c>
      <c r="Q907" s="24">
        <f>Data!I907</f>
        <v>8691107000000</v>
      </c>
      <c r="R907" s="25">
        <f t="shared" si="118"/>
        <v>0.36600162096727146</v>
      </c>
      <c r="S907" s="25">
        <f t="shared" si="119"/>
        <v>4.3778985083734563</v>
      </c>
    </row>
    <row r="908" spans="1:19" ht="15" customHeight="1" x14ac:dyDescent="0.3">
      <c r="A908" s="22"/>
      <c r="B908" s="23"/>
      <c r="C908" s="2"/>
      <c r="D908" s="23">
        <v>2018</v>
      </c>
      <c r="E908" s="24">
        <f>Data!F908</f>
        <v>11010482000000</v>
      </c>
      <c r="F908" s="24">
        <f>Data!H908</f>
        <v>3811889000000</v>
      </c>
      <c r="G908" s="24">
        <f t="shared" si="112"/>
        <v>7198593000000</v>
      </c>
      <c r="H908" s="24">
        <f>Data!G908</f>
        <v>13475850000000</v>
      </c>
      <c r="I908" s="25">
        <f t="shared" si="113"/>
        <v>3.5042516857934753</v>
      </c>
      <c r="J908" s="24">
        <f>Data!J908</f>
        <v>1142848000000</v>
      </c>
      <c r="K908" s="24">
        <f t="shared" si="114"/>
        <v>13475850000000</v>
      </c>
      <c r="L908" s="25">
        <f t="shared" si="115"/>
        <v>0.27647120441382173</v>
      </c>
      <c r="M908" s="24">
        <f>Data!M908</f>
        <v>239165000000</v>
      </c>
      <c r="N908" s="24">
        <f t="shared" si="116"/>
        <v>13475850000000</v>
      </c>
      <c r="O908" s="25">
        <f t="shared" si="117"/>
        <v>0.11926437293380381</v>
      </c>
      <c r="P908" s="24">
        <f>Data!K908</f>
        <v>3167976000000</v>
      </c>
      <c r="Q908" s="24">
        <f>Data!I908</f>
        <v>10292519000000</v>
      </c>
      <c r="R908" s="25">
        <f t="shared" si="118"/>
        <v>0.32318374151167467</v>
      </c>
      <c r="S908" s="25">
        <f t="shared" si="119"/>
        <v>4.2231710046527757</v>
      </c>
    </row>
    <row r="909" spans="1:19" ht="15" customHeight="1" x14ac:dyDescent="0.3">
      <c r="A909" s="22"/>
      <c r="B909" s="23"/>
      <c r="C909" s="2"/>
      <c r="D909" s="23">
        <v>2019</v>
      </c>
      <c r="E909" s="24">
        <f>Data!F909</f>
        <v>10068074000000</v>
      </c>
      <c r="F909" s="24">
        <f>Data!H909</f>
        <v>3427714000000</v>
      </c>
      <c r="G909" s="24">
        <f t="shared" si="112"/>
        <v>6640360000000</v>
      </c>
      <c r="H909" s="24">
        <f>Data!G909</f>
        <v>12688036000000</v>
      </c>
      <c r="I909" s="25">
        <f t="shared" si="113"/>
        <v>3.4332154795273278</v>
      </c>
      <c r="J909" s="24">
        <f>Data!J909</f>
        <v>1205137000000</v>
      </c>
      <c r="K909" s="24">
        <f t="shared" si="114"/>
        <v>12688036000000</v>
      </c>
      <c r="L909" s="25">
        <f t="shared" si="115"/>
        <v>0.30964182478675184</v>
      </c>
      <c r="M909" s="24">
        <f>Data!M909</f>
        <v>144031000000</v>
      </c>
      <c r="N909" s="24">
        <f t="shared" si="116"/>
        <v>12688036000000</v>
      </c>
      <c r="O909" s="25">
        <f t="shared" si="117"/>
        <v>7.628354144014092E-2</v>
      </c>
      <c r="P909" s="24">
        <f>Data!K909</f>
        <v>3267355000000</v>
      </c>
      <c r="Q909" s="24">
        <f>Data!I909</f>
        <v>9400478000000</v>
      </c>
      <c r="R909" s="25">
        <f t="shared" si="118"/>
        <v>0.36495194712439094</v>
      </c>
      <c r="S909" s="25">
        <f t="shared" si="119"/>
        <v>4.1840927928786114</v>
      </c>
    </row>
    <row r="910" spans="1:19" ht="15" customHeight="1" x14ac:dyDescent="0.3">
      <c r="A910" s="22"/>
      <c r="B910" s="23"/>
      <c r="C910" s="2"/>
      <c r="D910" s="23">
        <v>2020</v>
      </c>
      <c r="E910" s="24">
        <f>Data!F910</f>
        <v>10844082000000</v>
      </c>
      <c r="F910" s="24">
        <f>Data!H910</f>
        <v>3059741000000</v>
      </c>
      <c r="G910" s="24">
        <f t="shared" si="112"/>
        <v>7784341000000</v>
      </c>
      <c r="H910" s="24">
        <f>Data!G910</f>
        <v>13914348000000</v>
      </c>
      <c r="I910" s="25">
        <f t="shared" si="113"/>
        <v>3.6699726756869953</v>
      </c>
      <c r="J910" s="24">
        <f>Data!J910</f>
        <v>-1177415000000</v>
      </c>
      <c r="K910" s="24">
        <f t="shared" si="114"/>
        <v>13914348000000</v>
      </c>
      <c r="L910" s="25">
        <f t="shared" si="115"/>
        <v>-0.2758571871279919</v>
      </c>
      <c r="M910" s="24">
        <f>Data!M910</f>
        <v>-91328000000</v>
      </c>
      <c r="N910" s="24">
        <f t="shared" si="116"/>
        <v>13914348000000</v>
      </c>
      <c r="O910" s="25">
        <f t="shared" si="117"/>
        <v>-4.4107288390372298E-2</v>
      </c>
      <c r="P910" s="24">
        <f>Data!K910</f>
        <v>922556000000</v>
      </c>
      <c r="Q910" s="24">
        <f>Data!I910</f>
        <v>12975487000000</v>
      </c>
      <c r="R910" s="25">
        <f t="shared" si="118"/>
        <v>7.465490890630927E-2</v>
      </c>
      <c r="S910" s="25">
        <f t="shared" si="119"/>
        <v>3.42466310907494</v>
      </c>
    </row>
    <row r="911" spans="1:19" ht="15" customHeight="1" x14ac:dyDescent="0.3">
      <c r="A911" s="22"/>
      <c r="B911" s="23"/>
      <c r="C911" s="2"/>
      <c r="D911" s="23">
        <v>2021</v>
      </c>
      <c r="E911" s="24">
        <f>Data!F911</f>
        <v>10491782000000</v>
      </c>
      <c r="F911" s="24">
        <f>Data!H911</f>
        <v>2790390000000</v>
      </c>
      <c r="G911" s="24">
        <f t="shared" si="112"/>
        <v>7701392000000</v>
      </c>
      <c r="H911" s="24">
        <f>Data!G911</f>
        <v>14077069000000</v>
      </c>
      <c r="I911" s="25">
        <f t="shared" si="113"/>
        <v>3.5888956372949505</v>
      </c>
      <c r="J911" s="24">
        <f>Data!J911</f>
        <v>-1159675000000</v>
      </c>
      <c r="K911" s="24">
        <f t="shared" si="114"/>
        <v>14077069000000</v>
      </c>
      <c r="L911" s="25">
        <f t="shared" si="115"/>
        <v>-0.26856020241145367</v>
      </c>
      <c r="M911" s="24">
        <f>Data!M911</f>
        <v>170964000000</v>
      </c>
      <c r="N911" s="24">
        <f t="shared" si="116"/>
        <v>14077069000000</v>
      </c>
      <c r="O911" s="25">
        <f t="shared" si="117"/>
        <v>8.161344382129547E-2</v>
      </c>
      <c r="P911" s="24">
        <f>Data!K911</f>
        <v>938868000000</v>
      </c>
      <c r="Q911" s="24">
        <f>Data!I911</f>
        <v>13118813000000</v>
      </c>
      <c r="R911" s="25">
        <f t="shared" si="118"/>
        <v>7.5144862572551346E-2</v>
      </c>
      <c r="S911" s="25">
        <f t="shared" si="119"/>
        <v>3.4770937412773439</v>
      </c>
    </row>
    <row r="912" spans="1:19" ht="15" customHeight="1" x14ac:dyDescent="0.3">
      <c r="A912" s="22"/>
      <c r="B912" s="23"/>
      <c r="C912" s="2"/>
      <c r="D912" s="23">
        <v>2022</v>
      </c>
      <c r="E912" s="24">
        <f>Data!F912</f>
        <v>10674244000000</v>
      </c>
      <c r="F912" s="24">
        <f>Data!H912</f>
        <v>3256663000000</v>
      </c>
      <c r="G912" s="24">
        <f t="shared" si="112"/>
        <v>7417581000000</v>
      </c>
      <c r="H912" s="24">
        <f>Data!G912</f>
        <v>12576512000000</v>
      </c>
      <c r="I912" s="25">
        <f t="shared" si="113"/>
        <v>3.8690641220713657</v>
      </c>
      <c r="J912" s="24">
        <f>Data!J912</f>
        <v>-1109552000000</v>
      </c>
      <c r="K912" s="24">
        <f t="shared" si="114"/>
        <v>12576512000000</v>
      </c>
      <c r="L912" s="25">
        <f t="shared" si="115"/>
        <v>-0.28761070796099902</v>
      </c>
      <c r="M912" s="24">
        <f>Data!M912</f>
        <v>286224000000</v>
      </c>
      <c r="N912" s="24">
        <f t="shared" si="116"/>
        <v>12576512000000</v>
      </c>
      <c r="O912" s="25">
        <f t="shared" si="117"/>
        <v>0.15293789565819202</v>
      </c>
      <c r="P912" s="24">
        <f>Data!K912</f>
        <v>2703441000000</v>
      </c>
      <c r="Q912" s="24">
        <f>Data!I912</f>
        <v>12493562000000</v>
      </c>
      <c r="R912" s="25">
        <f t="shared" si="118"/>
        <v>0.2272060642113114</v>
      </c>
      <c r="S912" s="25">
        <f t="shared" si="119"/>
        <v>3.9615973739798704</v>
      </c>
    </row>
    <row r="913" spans="1:19" ht="15" customHeight="1" x14ac:dyDescent="0.3">
      <c r="A913" s="22"/>
      <c r="B913" s="23"/>
      <c r="C913" s="2"/>
      <c r="D913" s="23">
        <v>2023</v>
      </c>
      <c r="E913" s="24">
        <f>Data!F913</f>
        <v>10267106000000</v>
      </c>
      <c r="F913" s="24">
        <f>Data!H913</f>
        <v>3758053000000</v>
      </c>
      <c r="G913" s="24">
        <f t="shared" si="112"/>
        <v>6509053000000</v>
      </c>
      <c r="H913" s="24">
        <f>Data!G913</f>
        <v>12154715000000</v>
      </c>
      <c r="I913" s="25">
        <f t="shared" si="113"/>
        <v>3.5129896241911056</v>
      </c>
      <c r="J913" s="24">
        <f>Data!J913</f>
        <v>-984983000000</v>
      </c>
      <c r="K913" s="24">
        <f t="shared" si="114"/>
        <v>12154715000000</v>
      </c>
      <c r="L913" s="25">
        <f t="shared" si="115"/>
        <v>-0.26418098490997116</v>
      </c>
      <c r="M913" s="24">
        <f>Data!M913</f>
        <v>109011000000</v>
      </c>
      <c r="N913" s="24">
        <f t="shared" si="116"/>
        <v>12154715000000</v>
      </c>
      <c r="O913" s="25">
        <f t="shared" si="117"/>
        <v>6.0269115318623258E-2</v>
      </c>
      <c r="P913" s="24">
        <f>Data!K913</f>
        <v>2866830000000</v>
      </c>
      <c r="Q913" s="24">
        <f>Data!I913</f>
        <v>12043350000000</v>
      </c>
      <c r="R913" s="25">
        <f t="shared" si="118"/>
        <v>0.2499446997720734</v>
      </c>
      <c r="S913" s="25">
        <f t="shared" si="119"/>
        <v>3.5590224543718314</v>
      </c>
    </row>
    <row r="914" spans="1:19" ht="15" customHeight="1" x14ac:dyDescent="0.3">
      <c r="A914" s="22"/>
      <c r="B914" s="23"/>
      <c r="C914" s="2"/>
      <c r="D914" s="23">
        <v>2024</v>
      </c>
      <c r="E914" s="24">
        <f>Data!F914</f>
        <v>10302036000000</v>
      </c>
      <c r="F914" s="24">
        <f>Data!H914</f>
        <v>3814570000000</v>
      </c>
      <c r="G914" s="24">
        <f t="shared" si="112"/>
        <v>6487466000000</v>
      </c>
      <c r="H914" s="24">
        <f>Data!G914</f>
        <v>15005896000000</v>
      </c>
      <c r="I914" s="25">
        <f t="shared" si="113"/>
        <v>2.8360703659414939</v>
      </c>
      <c r="J914" s="24">
        <f>Data!J914</f>
        <v>-827648000000</v>
      </c>
      <c r="K914" s="24">
        <f t="shared" si="114"/>
        <v>15005896000000</v>
      </c>
      <c r="L914" s="25">
        <f t="shared" si="115"/>
        <v>-0.17980482338408849</v>
      </c>
      <c r="M914" s="24">
        <f>Data!M914</f>
        <v>106769000000</v>
      </c>
      <c r="N914" s="24">
        <f t="shared" si="116"/>
        <v>15005896000000</v>
      </c>
      <c r="O914" s="25">
        <f t="shared" si="117"/>
        <v>4.7813718021236448E-2</v>
      </c>
      <c r="P914" s="24">
        <f>Data!K914</f>
        <v>2991970000000</v>
      </c>
      <c r="Q914" s="24">
        <f>Data!I914</f>
        <v>11763926000000</v>
      </c>
      <c r="R914" s="25">
        <f t="shared" si="118"/>
        <v>0.26705102531246794</v>
      </c>
      <c r="S914" s="25">
        <f t="shared" si="119"/>
        <v>2.9711302858911099</v>
      </c>
    </row>
    <row r="915" spans="1:19" ht="15" customHeight="1" x14ac:dyDescent="0.3">
      <c r="A915" s="22"/>
      <c r="B915" s="23">
        <v>84</v>
      </c>
      <c r="C915" s="2" t="s">
        <v>84</v>
      </c>
      <c r="D915" s="23">
        <v>2014</v>
      </c>
      <c r="E915" s="24">
        <f>Data!F915</f>
        <v>0</v>
      </c>
      <c r="F915" s="24">
        <f>Data!H915</f>
        <v>0</v>
      </c>
      <c r="G915" s="24">
        <f t="shared" si="112"/>
        <v>0</v>
      </c>
      <c r="H915" s="24">
        <f>Data!G915</f>
        <v>0</v>
      </c>
      <c r="I915" s="25">
        <f t="shared" si="113"/>
        <v>0</v>
      </c>
      <c r="J915" s="24">
        <f>Data!J915</f>
        <v>0</v>
      </c>
      <c r="K915" s="24">
        <f t="shared" si="114"/>
        <v>0</v>
      </c>
      <c r="L915" s="25">
        <f t="shared" si="115"/>
        <v>0</v>
      </c>
      <c r="M915" s="24">
        <f>Data!M915</f>
        <v>0</v>
      </c>
      <c r="N915" s="24">
        <f t="shared" si="116"/>
        <v>0</v>
      </c>
      <c r="O915" s="25">
        <f t="shared" si="117"/>
        <v>0</v>
      </c>
      <c r="P915" s="24">
        <f>Data!K915</f>
        <v>0</v>
      </c>
      <c r="Q915" s="24">
        <f>Data!I915</f>
        <v>0</v>
      </c>
      <c r="R915" s="25">
        <f t="shared" si="118"/>
        <v>0</v>
      </c>
      <c r="S915" s="25">
        <f t="shared" si="119"/>
        <v>0</v>
      </c>
    </row>
    <row r="916" spans="1:19" ht="15" customHeight="1" x14ac:dyDescent="0.3">
      <c r="A916" s="22"/>
      <c r="B916" s="23"/>
      <c r="C916" s="2"/>
      <c r="D916" s="23">
        <v>2015</v>
      </c>
      <c r="E916" s="24">
        <f>Data!F916</f>
        <v>167848000000</v>
      </c>
      <c r="F916" s="24">
        <f>Data!H916</f>
        <v>213518000000</v>
      </c>
      <c r="G916" s="24">
        <f t="shared" si="112"/>
        <v>-45670000000</v>
      </c>
      <c r="H916" s="24">
        <f>Data!G916</f>
        <v>390083000000</v>
      </c>
      <c r="I916" s="25">
        <f t="shared" si="113"/>
        <v>-0.76802936810883826</v>
      </c>
      <c r="J916" s="24">
        <f>Data!J916</f>
        <v>55350000000</v>
      </c>
      <c r="K916" s="24">
        <f t="shared" si="114"/>
        <v>390083000000</v>
      </c>
      <c r="L916" s="25">
        <f t="shared" si="115"/>
        <v>0.46257078621729214</v>
      </c>
      <c r="M916" s="24">
        <f>Data!M916</f>
        <v>22086000000</v>
      </c>
      <c r="N916" s="24">
        <f t="shared" si="116"/>
        <v>390083000000</v>
      </c>
      <c r="O916" s="25">
        <f t="shared" si="117"/>
        <v>0.38047779575116064</v>
      </c>
      <c r="P916" s="24">
        <f>Data!K916</f>
        <v>166216000000</v>
      </c>
      <c r="Q916" s="24">
        <f>Data!I916</f>
        <v>223867000000</v>
      </c>
      <c r="R916" s="25">
        <f t="shared" si="118"/>
        <v>0.77960038773021478</v>
      </c>
      <c r="S916" s="25">
        <f t="shared" si="119"/>
        <v>0.8546196015898293</v>
      </c>
    </row>
    <row r="917" spans="1:19" ht="15" customHeight="1" x14ac:dyDescent="0.3">
      <c r="A917" s="22"/>
      <c r="B917" s="23"/>
      <c r="C917" s="2"/>
      <c r="D917" s="23">
        <v>2016</v>
      </c>
      <c r="E917" s="24">
        <f>Data!F917</f>
        <v>167645000000</v>
      </c>
      <c r="F917" s="24">
        <f>Data!H917</f>
        <v>230303000000</v>
      </c>
      <c r="G917" s="24">
        <f t="shared" si="112"/>
        <v>-62658000000</v>
      </c>
      <c r="H917" s="24">
        <f>Data!G917</f>
        <v>427049000000</v>
      </c>
      <c r="I917" s="25">
        <f t="shared" si="113"/>
        <v>-0.96250425595189293</v>
      </c>
      <c r="J917" s="24">
        <f>Data!J917</f>
        <v>72371000000</v>
      </c>
      <c r="K917" s="24">
        <f t="shared" si="114"/>
        <v>427049000000</v>
      </c>
      <c r="L917" s="25">
        <f t="shared" si="115"/>
        <v>0.55246461178927941</v>
      </c>
      <c r="M917" s="24">
        <f>Data!M917</f>
        <v>28243000000</v>
      </c>
      <c r="N917" s="24">
        <f t="shared" si="116"/>
        <v>427049000000</v>
      </c>
      <c r="O917" s="25">
        <f t="shared" si="117"/>
        <v>0.4444289999508253</v>
      </c>
      <c r="P917" s="24">
        <f>Data!K917</f>
        <v>183530000000</v>
      </c>
      <c r="Q917" s="24">
        <f>Data!I917</f>
        <v>243519000000</v>
      </c>
      <c r="R917" s="25">
        <f t="shared" si="118"/>
        <v>0.79134071674078821</v>
      </c>
      <c r="S917" s="25">
        <f t="shared" si="119"/>
        <v>0.82573007252899999</v>
      </c>
    </row>
    <row r="918" spans="1:19" ht="15" customHeight="1" x14ac:dyDescent="0.3">
      <c r="A918" s="22"/>
      <c r="B918" s="23"/>
      <c r="C918" s="2"/>
      <c r="D918" s="23">
        <v>2017</v>
      </c>
      <c r="E918" s="24">
        <f>Data!F918</f>
        <v>191957000000</v>
      </c>
      <c r="F918" s="24">
        <f>Data!H918</f>
        <v>225398000000</v>
      </c>
      <c r="G918" s="24">
        <f t="shared" si="112"/>
        <v>-33441000000</v>
      </c>
      <c r="H918" s="24">
        <f>Data!G918</f>
        <v>446108000000</v>
      </c>
      <c r="I918" s="25">
        <f t="shared" si="113"/>
        <v>-0.49174854519533379</v>
      </c>
      <c r="J918" s="24">
        <f>Data!J918</f>
        <v>86593000000</v>
      </c>
      <c r="K918" s="24">
        <f t="shared" si="114"/>
        <v>446108000000</v>
      </c>
      <c r="L918" s="25">
        <f t="shared" si="115"/>
        <v>0.63279111784590281</v>
      </c>
      <c r="M918" s="24">
        <f>Data!M918</f>
        <v>26630000000</v>
      </c>
      <c r="N918" s="24">
        <f t="shared" si="116"/>
        <v>446108000000</v>
      </c>
      <c r="O918" s="25">
        <f t="shared" si="117"/>
        <v>0.40114411756794316</v>
      </c>
      <c r="P918" s="24">
        <f>Data!K918</f>
        <v>211444000000</v>
      </c>
      <c r="Q918" s="24">
        <f>Data!I918</f>
        <v>234664000000</v>
      </c>
      <c r="R918" s="25">
        <f t="shared" si="118"/>
        <v>0.94610251252855149</v>
      </c>
      <c r="S918" s="25">
        <f t="shared" si="119"/>
        <v>1.4882892027470636</v>
      </c>
    </row>
    <row r="919" spans="1:19" ht="15" customHeight="1" x14ac:dyDescent="0.3">
      <c r="A919" s="22"/>
      <c r="B919" s="23"/>
      <c r="C919" s="2"/>
      <c r="D919" s="23">
        <v>2018</v>
      </c>
      <c r="E919" s="24">
        <f>Data!F919</f>
        <v>221872000000</v>
      </c>
      <c r="F919" s="24">
        <f>Data!H919</f>
        <v>250599000000</v>
      </c>
      <c r="G919" s="24">
        <f t="shared" si="112"/>
        <v>-28727000000</v>
      </c>
      <c r="H919" s="24">
        <f>Data!G919</f>
        <v>478439000000</v>
      </c>
      <c r="I919" s="25">
        <f t="shared" si="113"/>
        <v>-0.39388327456582761</v>
      </c>
      <c r="J919" s="24">
        <f>Data!J919</f>
        <v>100457000000</v>
      </c>
      <c r="K919" s="24">
        <f t="shared" si="114"/>
        <v>478439000000</v>
      </c>
      <c r="L919" s="25">
        <f t="shared" si="115"/>
        <v>0.68449649798615908</v>
      </c>
      <c r="M919" s="24">
        <f>Data!M919</f>
        <v>29616000000</v>
      </c>
      <c r="N919" s="24">
        <f t="shared" si="116"/>
        <v>478439000000</v>
      </c>
      <c r="O919" s="25">
        <f t="shared" si="117"/>
        <v>0.41597679118968145</v>
      </c>
      <c r="P919" s="24">
        <f>Data!K919</f>
        <v>219626000000</v>
      </c>
      <c r="Q919" s="24">
        <f>Data!I919</f>
        <v>258813000000</v>
      </c>
      <c r="R919" s="25">
        <f t="shared" si="118"/>
        <v>0.89101899827288433</v>
      </c>
      <c r="S919" s="25">
        <f t="shared" si="119"/>
        <v>1.5976090128828973</v>
      </c>
    </row>
    <row r="920" spans="1:19" ht="15" customHeight="1" x14ac:dyDescent="0.3">
      <c r="A920" s="22"/>
      <c r="B920" s="23"/>
      <c r="C920" s="2"/>
      <c r="D920" s="23">
        <v>2019</v>
      </c>
      <c r="E920" s="24">
        <f>Data!F920</f>
        <v>217404000000</v>
      </c>
      <c r="F920" s="24">
        <f>Data!H920</f>
        <v>234994000000</v>
      </c>
      <c r="G920" s="24">
        <f t="shared" si="112"/>
        <v>-17590000000</v>
      </c>
      <c r="H920" s="24">
        <f>Data!G920</f>
        <v>447670000000</v>
      </c>
      <c r="I920" s="25">
        <f t="shared" si="113"/>
        <v>-0.25775772332298341</v>
      </c>
      <c r="J920" s="24">
        <f>Data!J920</f>
        <v>88545000000</v>
      </c>
      <c r="K920" s="24">
        <f t="shared" si="114"/>
        <v>447670000000</v>
      </c>
      <c r="L920" s="25">
        <f t="shared" si="115"/>
        <v>0.6447979538499341</v>
      </c>
      <c r="M920" s="24">
        <f>Data!M920</f>
        <v>2598000000</v>
      </c>
      <c r="N920" s="24">
        <f t="shared" si="116"/>
        <v>447670000000</v>
      </c>
      <c r="O920" s="25">
        <f t="shared" si="117"/>
        <v>3.8998726740679515E-2</v>
      </c>
      <c r="P920" s="24">
        <f>Data!K920</f>
        <v>209363000000</v>
      </c>
      <c r="Q920" s="24">
        <f>Data!I920</f>
        <v>238307000000</v>
      </c>
      <c r="R920" s="25">
        <f t="shared" si="118"/>
        <v>0.92247038483972355</v>
      </c>
      <c r="S920" s="25">
        <f t="shared" si="119"/>
        <v>1.3485093421073537</v>
      </c>
    </row>
    <row r="921" spans="1:19" ht="15" customHeight="1" x14ac:dyDescent="0.3">
      <c r="A921" s="22"/>
      <c r="B921" s="23"/>
      <c r="C921" s="2"/>
      <c r="D921" s="23">
        <v>2020</v>
      </c>
      <c r="E921" s="24">
        <f>Data!F921</f>
        <v>164104000000</v>
      </c>
      <c r="F921" s="24">
        <f>Data!H921</f>
        <v>145779000000</v>
      </c>
      <c r="G921" s="24">
        <f t="shared" si="112"/>
        <v>18325000000</v>
      </c>
      <c r="H921" s="24">
        <f>Data!G921</f>
        <v>365764000000</v>
      </c>
      <c r="I921" s="25">
        <f t="shared" si="113"/>
        <v>0.32866001027985259</v>
      </c>
      <c r="J921" s="24">
        <f>Data!J921</f>
        <v>82778000000</v>
      </c>
      <c r="K921" s="24">
        <f t="shared" si="114"/>
        <v>365764000000</v>
      </c>
      <c r="L921" s="25">
        <f t="shared" si="115"/>
        <v>0.73778797257247841</v>
      </c>
      <c r="M921" s="24">
        <f>Data!M921</f>
        <v>-6406000000</v>
      </c>
      <c r="N921" s="24">
        <f t="shared" si="116"/>
        <v>365764000000</v>
      </c>
      <c r="O921" s="25">
        <f t="shared" si="117"/>
        <v>-0.11769425093776315</v>
      </c>
      <c r="P921" s="24">
        <f>Data!K921</f>
        <v>209535000000</v>
      </c>
      <c r="Q921" s="24">
        <f>Data!I921</f>
        <v>156229000000</v>
      </c>
      <c r="R921" s="25">
        <f t="shared" si="118"/>
        <v>1.4082644707448682</v>
      </c>
      <c r="S921" s="25">
        <f t="shared" si="119"/>
        <v>2.357018202659436</v>
      </c>
    </row>
    <row r="922" spans="1:19" ht="15" customHeight="1" x14ac:dyDescent="0.3">
      <c r="A922" s="22"/>
      <c r="B922" s="23"/>
      <c r="C922" s="2"/>
      <c r="D922" s="23">
        <v>2021</v>
      </c>
      <c r="E922" s="24">
        <f>Data!F922</f>
        <v>244237000000</v>
      </c>
      <c r="F922" s="24">
        <f>Data!H922</f>
        <v>213911000000</v>
      </c>
      <c r="G922" s="24">
        <f t="shared" si="112"/>
        <v>30326000000</v>
      </c>
      <c r="H922" s="24">
        <f>Data!G922</f>
        <v>527852000000</v>
      </c>
      <c r="I922" s="25">
        <f t="shared" si="113"/>
        <v>0.3768832172654456</v>
      </c>
      <c r="J922" s="24">
        <f>Data!J922</f>
        <v>81124000000</v>
      </c>
      <c r="K922" s="24">
        <f t="shared" si="114"/>
        <v>527852000000</v>
      </c>
      <c r="L922" s="25">
        <f t="shared" si="115"/>
        <v>0.50101967975872019</v>
      </c>
      <c r="M922" s="24">
        <f>Data!M922</f>
        <v>1129000000</v>
      </c>
      <c r="N922" s="24">
        <f t="shared" si="116"/>
        <v>527852000000</v>
      </c>
      <c r="O922" s="25">
        <f t="shared" si="117"/>
        <v>1.437311973810841E-2</v>
      </c>
      <c r="P922" s="24">
        <f>Data!K922</f>
        <v>308454000000</v>
      </c>
      <c r="Q922" s="24">
        <f>Data!I922</f>
        <v>219398000000</v>
      </c>
      <c r="R922" s="25">
        <f t="shared" si="118"/>
        <v>1.4762062552985897</v>
      </c>
      <c r="S922" s="25">
        <f t="shared" si="119"/>
        <v>2.3684822720608638</v>
      </c>
    </row>
    <row r="923" spans="1:19" ht="15" customHeight="1" x14ac:dyDescent="0.3">
      <c r="A923" s="22"/>
      <c r="B923" s="23"/>
      <c r="C923" s="2"/>
      <c r="D923" s="23">
        <v>2022</v>
      </c>
      <c r="E923" s="24">
        <f>Data!F923</f>
        <v>209195000000</v>
      </c>
      <c r="F923" s="24">
        <f>Data!H923</f>
        <v>177296000000</v>
      </c>
      <c r="G923" s="24">
        <f t="shared" si="112"/>
        <v>31899000000</v>
      </c>
      <c r="H923" s="24">
        <f>Data!G923</f>
        <v>499032000000</v>
      </c>
      <c r="I923" s="25">
        <f t="shared" si="113"/>
        <v>0.41932669648439375</v>
      </c>
      <c r="J923" s="24">
        <f>Data!J923</f>
        <v>81698000000</v>
      </c>
      <c r="K923" s="24">
        <f t="shared" si="114"/>
        <v>499032000000</v>
      </c>
      <c r="L923" s="25">
        <f t="shared" si="115"/>
        <v>0.53370421135317969</v>
      </c>
      <c r="M923" s="24">
        <f>Data!M923</f>
        <v>1028000000</v>
      </c>
      <c r="N923" s="24">
        <f t="shared" si="116"/>
        <v>499032000000</v>
      </c>
      <c r="O923" s="25">
        <f t="shared" si="117"/>
        <v>1.3843120280863753E-2</v>
      </c>
      <c r="P923" s="24">
        <f>Data!K923</f>
        <v>317842000000</v>
      </c>
      <c r="Q923" s="24">
        <f>Data!I923</f>
        <v>181190000000</v>
      </c>
      <c r="R923" s="25">
        <f t="shared" si="118"/>
        <v>1.8419013190573432</v>
      </c>
      <c r="S923" s="25">
        <f t="shared" si="119"/>
        <v>2.8087753471757804</v>
      </c>
    </row>
    <row r="924" spans="1:19" ht="15" customHeight="1" x14ac:dyDescent="0.3">
      <c r="A924" s="22"/>
      <c r="B924" s="23"/>
      <c r="C924" s="2"/>
      <c r="D924" s="23">
        <v>2023</v>
      </c>
      <c r="E924" s="24">
        <f>Data!F924</f>
        <v>203378000000</v>
      </c>
      <c r="F924" s="24">
        <f>Data!H924</f>
        <v>169625000000</v>
      </c>
      <c r="G924" s="24">
        <f t="shared" si="112"/>
        <v>33753000000</v>
      </c>
      <c r="H924" s="24">
        <f>Data!G924</f>
        <v>498723000000</v>
      </c>
      <c r="I924" s="25">
        <f t="shared" si="113"/>
        <v>0.44397326772577161</v>
      </c>
      <c r="J924" s="24">
        <f>Data!J924</f>
        <v>85718000000</v>
      </c>
      <c r="K924" s="24">
        <f t="shared" si="114"/>
        <v>498723000000</v>
      </c>
      <c r="L924" s="25">
        <f t="shared" si="115"/>
        <v>0.560312397864145</v>
      </c>
      <c r="M924" s="24">
        <f>Data!M924</f>
        <v>4818000000</v>
      </c>
      <c r="N924" s="24">
        <f t="shared" si="116"/>
        <v>498723000000</v>
      </c>
      <c r="O924" s="25">
        <f t="shared" si="117"/>
        <v>6.4919724977592769E-2</v>
      </c>
      <c r="P924" s="24">
        <f>Data!K924</f>
        <v>324374000000</v>
      </c>
      <c r="Q924" s="24">
        <f>Data!I924</f>
        <v>174349000000</v>
      </c>
      <c r="R924" s="25">
        <f t="shared" si="118"/>
        <v>1.9535110611474689</v>
      </c>
      <c r="S924" s="25">
        <f t="shared" si="119"/>
        <v>3.0227164517149783</v>
      </c>
    </row>
    <row r="925" spans="1:19" ht="15" customHeight="1" x14ac:dyDescent="0.3">
      <c r="A925" s="22"/>
      <c r="B925" s="23"/>
      <c r="C925" s="2"/>
      <c r="D925" s="23">
        <v>2024</v>
      </c>
      <c r="E925" s="24">
        <f>Data!F925</f>
        <v>253013000000</v>
      </c>
      <c r="F925" s="24">
        <f>Data!H925</f>
        <v>243065000000</v>
      </c>
      <c r="G925" s="24">
        <f t="shared" si="112"/>
        <v>9948000000</v>
      </c>
      <c r="H925" s="24">
        <f>Data!G925</f>
        <v>573438000000</v>
      </c>
      <c r="I925" s="25">
        <f t="shared" si="113"/>
        <v>0.11380285226999257</v>
      </c>
      <c r="J925" s="24">
        <f>Data!J925</f>
        <v>90488000000</v>
      </c>
      <c r="K925" s="24">
        <f t="shared" si="114"/>
        <v>573438000000</v>
      </c>
      <c r="L925" s="25">
        <f t="shared" si="115"/>
        <v>0.51442506426152435</v>
      </c>
      <c r="M925" s="24">
        <f>Data!M925</f>
        <v>4157000000</v>
      </c>
      <c r="N925" s="24">
        <f t="shared" si="116"/>
        <v>573438000000</v>
      </c>
      <c r="O925" s="25">
        <f t="shared" si="117"/>
        <v>4.8715013654484003E-2</v>
      </c>
      <c r="P925" s="24">
        <f>Data!K925</f>
        <v>327097000000</v>
      </c>
      <c r="Q925" s="24">
        <f>Data!I925</f>
        <v>246340000000</v>
      </c>
      <c r="R925" s="25">
        <f t="shared" si="118"/>
        <v>1.394218762685719</v>
      </c>
      <c r="S925" s="25">
        <f t="shared" si="119"/>
        <v>2.07116169287172</v>
      </c>
    </row>
    <row r="926" spans="1:19" ht="15" customHeight="1" x14ac:dyDescent="0.3">
      <c r="A926" s="22"/>
      <c r="B926" s="23">
        <v>85</v>
      </c>
      <c r="C926" s="2" t="s">
        <v>99</v>
      </c>
      <c r="D926" s="23">
        <v>2014</v>
      </c>
      <c r="E926" s="24">
        <f>Data!F926</f>
        <v>0</v>
      </c>
      <c r="F926" s="24">
        <f>Data!H926</f>
        <v>0</v>
      </c>
      <c r="G926" s="24">
        <f t="shared" si="112"/>
        <v>0</v>
      </c>
      <c r="H926" s="24">
        <f>Data!G926</f>
        <v>0</v>
      </c>
      <c r="I926" s="25">
        <f t="shared" si="113"/>
        <v>0</v>
      </c>
      <c r="J926" s="24">
        <f>Data!J926</f>
        <v>0</v>
      </c>
      <c r="K926" s="24">
        <f t="shared" si="114"/>
        <v>0</v>
      </c>
      <c r="L926" s="25">
        <f t="shared" si="115"/>
        <v>0</v>
      </c>
      <c r="M926" s="24">
        <f>Data!M926</f>
        <v>0</v>
      </c>
      <c r="N926" s="24">
        <f t="shared" si="116"/>
        <v>0</v>
      </c>
      <c r="O926" s="25">
        <f t="shared" si="117"/>
        <v>0</v>
      </c>
      <c r="P926" s="24">
        <f>Data!K926</f>
        <v>0</v>
      </c>
      <c r="Q926" s="24">
        <f>Data!I926</f>
        <v>0</v>
      </c>
      <c r="R926" s="25">
        <f t="shared" si="118"/>
        <v>0</v>
      </c>
      <c r="S926" s="25">
        <f t="shared" si="119"/>
        <v>0</v>
      </c>
    </row>
    <row r="927" spans="1:19" ht="15" customHeight="1" x14ac:dyDescent="0.3">
      <c r="A927" s="22"/>
      <c r="B927" s="23"/>
      <c r="C927" s="2"/>
      <c r="D927" s="23">
        <v>2015</v>
      </c>
      <c r="E927" s="24">
        <f>Data!F927</f>
        <v>556858000000</v>
      </c>
      <c r="F927" s="24">
        <f>Data!H927</f>
        <v>839866000000</v>
      </c>
      <c r="G927" s="24">
        <f t="shared" si="112"/>
        <v>-283008000000</v>
      </c>
      <c r="H927" s="24">
        <f>Data!G927</f>
        <v>1561827000000</v>
      </c>
      <c r="I927" s="25">
        <f t="shared" si="113"/>
        <v>-1.1886927809546126</v>
      </c>
      <c r="J927" s="24">
        <f>Data!J927</f>
        <v>614945000000</v>
      </c>
      <c r="K927" s="24">
        <f t="shared" si="114"/>
        <v>1561827000000</v>
      </c>
      <c r="L927" s="25">
        <f t="shared" si="115"/>
        <v>1.2835741090402457</v>
      </c>
      <c r="M927" s="24">
        <f>Data!M927</f>
        <v>128315000000</v>
      </c>
      <c r="N927" s="24">
        <f t="shared" si="116"/>
        <v>1561827000000</v>
      </c>
      <c r="O927" s="25">
        <f t="shared" si="117"/>
        <v>0.55209495033700917</v>
      </c>
      <c r="P927" s="24">
        <f>Data!K927</f>
        <v>704477000000</v>
      </c>
      <c r="Q927" s="24">
        <f>Data!I927</f>
        <v>857350000000</v>
      </c>
      <c r="R927" s="25">
        <f t="shared" si="118"/>
        <v>0.86277582084329629</v>
      </c>
      <c r="S927" s="25">
        <f t="shared" si="119"/>
        <v>1.5097520992659386</v>
      </c>
    </row>
    <row r="928" spans="1:19" ht="15" customHeight="1" x14ac:dyDescent="0.3">
      <c r="A928" s="22"/>
      <c r="B928" s="23"/>
      <c r="C928" s="2"/>
      <c r="D928" s="23">
        <v>2016</v>
      </c>
      <c r="E928" s="24">
        <f>Data!F928</f>
        <v>608191000000</v>
      </c>
      <c r="F928" s="24">
        <f>Data!H928</f>
        <v>845138000000</v>
      </c>
      <c r="G928" s="24">
        <f t="shared" si="112"/>
        <v>-236947000000</v>
      </c>
      <c r="H928" s="24">
        <f>Data!G928</f>
        <v>1616165000000</v>
      </c>
      <c r="I928" s="25">
        <f t="shared" si="113"/>
        <v>-0.96176585930273206</v>
      </c>
      <c r="J928" s="24">
        <f>Data!J928</f>
        <v>661105000000</v>
      </c>
      <c r="K928" s="24">
        <f t="shared" si="114"/>
        <v>1616165000000</v>
      </c>
      <c r="L928" s="25">
        <f t="shared" si="115"/>
        <v>1.3335286310494285</v>
      </c>
      <c r="M928" s="24">
        <f>Data!M928</f>
        <v>71223000000</v>
      </c>
      <c r="N928" s="24">
        <f t="shared" si="116"/>
        <v>1616165000000</v>
      </c>
      <c r="O928" s="25">
        <f t="shared" si="117"/>
        <v>0.29614461394721453</v>
      </c>
      <c r="P928" s="24">
        <f>Data!K928</f>
        <v>748405000000</v>
      </c>
      <c r="Q928" s="24">
        <f>Data!I928</f>
        <v>867760000000</v>
      </c>
      <c r="R928" s="25">
        <f t="shared" si="118"/>
        <v>0.90557901954457465</v>
      </c>
      <c r="S928" s="25">
        <f t="shared" si="119"/>
        <v>1.5734864052384858</v>
      </c>
    </row>
    <row r="929" spans="1:19" ht="15" customHeight="1" x14ac:dyDescent="0.3">
      <c r="A929" s="22"/>
      <c r="B929" s="23"/>
      <c r="C929" s="2"/>
      <c r="D929" s="23">
        <v>2017</v>
      </c>
      <c r="E929" s="24">
        <f>Data!F929</f>
        <v>663375000000</v>
      </c>
      <c r="F929" s="24">
        <f>Data!H929</f>
        <v>149256000000</v>
      </c>
      <c r="G929" s="24">
        <f t="shared" si="112"/>
        <v>514119000000</v>
      </c>
      <c r="H929" s="24">
        <f>Data!G929</f>
        <v>1972319000000</v>
      </c>
      <c r="I929" s="25">
        <f t="shared" si="113"/>
        <v>1.7099772602707777</v>
      </c>
      <c r="J929" s="24">
        <f>Data!J929</f>
        <v>755656000000</v>
      </c>
      <c r="K929" s="24">
        <f t="shared" si="114"/>
        <v>1972319000000</v>
      </c>
      <c r="L929" s="25">
        <f t="shared" si="115"/>
        <v>1.2490061496137288</v>
      </c>
      <c r="M929" s="24">
        <f>Data!M929</f>
        <v>138498000000</v>
      </c>
      <c r="N929" s="24">
        <f t="shared" si="116"/>
        <v>1972319000000</v>
      </c>
      <c r="O929" s="25">
        <f t="shared" si="117"/>
        <v>0.47188439598259713</v>
      </c>
      <c r="P929" s="24">
        <f>Data!K929</f>
        <v>849987000000</v>
      </c>
      <c r="Q929" s="24">
        <f>Data!I929</f>
        <v>1122332000000</v>
      </c>
      <c r="R929" s="25">
        <f t="shared" si="118"/>
        <v>0.79520707776308619</v>
      </c>
      <c r="S929" s="25">
        <f t="shared" si="119"/>
        <v>4.22607488363019</v>
      </c>
    </row>
    <row r="930" spans="1:19" ht="15" customHeight="1" x14ac:dyDescent="0.3">
      <c r="A930" s="22"/>
      <c r="B930" s="23"/>
      <c r="C930" s="2"/>
      <c r="D930" s="23">
        <v>2018</v>
      </c>
      <c r="E930" s="24">
        <f>Data!F930</f>
        <v>803506000000</v>
      </c>
      <c r="F930" s="24">
        <f>Data!H930</f>
        <v>262242000000</v>
      </c>
      <c r="G930" s="24">
        <f t="shared" si="112"/>
        <v>541264000000</v>
      </c>
      <c r="H930" s="24">
        <f>Data!G930</f>
        <v>2152910000000</v>
      </c>
      <c r="I930" s="25">
        <f t="shared" si="113"/>
        <v>1.6492523328889734</v>
      </c>
      <c r="J930" s="24">
        <f>Data!J930</f>
        <v>837334000000</v>
      </c>
      <c r="K930" s="24">
        <f t="shared" si="114"/>
        <v>2152910000000</v>
      </c>
      <c r="L930" s="25">
        <f t="shared" si="115"/>
        <v>1.2679159091648047</v>
      </c>
      <c r="M930" s="24">
        <f>Data!M930</f>
        <v>119447000000</v>
      </c>
      <c r="N930" s="24">
        <f t="shared" si="116"/>
        <v>2152910000000</v>
      </c>
      <c r="O930" s="25">
        <f t="shared" si="117"/>
        <v>0.37283669080453896</v>
      </c>
      <c r="P930" s="24">
        <f>Data!K930</f>
        <v>915495000000</v>
      </c>
      <c r="Q930" s="24">
        <f>Data!I930</f>
        <v>1237414000000</v>
      </c>
      <c r="R930" s="25">
        <f t="shared" si="118"/>
        <v>0.77683762265498857</v>
      </c>
      <c r="S930" s="25">
        <f t="shared" si="119"/>
        <v>4.0668425555133059</v>
      </c>
    </row>
    <row r="931" spans="1:19" ht="15" customHeight="1" x14ac:dyDescent="0.3">
      <c r="A931" s="22"/>
      <c r="B931" s="23"/>
      <c r="C931" s="2"/>
      <c r="D931" s="23">
        <v>2019</v>
      </c>
      <c r="E931" s="24">
        <f>Data!F931</f>
        <v>1381527000000</v>
      </c>
      <c r="F931" s="24">
        <f>Data!H931</f>
        <v>402832000000</v>
      </c>
      <c r="G931" s="24">
        <f t="shared" si="112"/>
        <v>978695000000</v>
      </c>
      <c r="H931" s="24">
        <f>Data!G931</f>
        <v>3001696000000</v>
      </c>
      <c r="I931" s="25">
        <f t="shared" si="113"/>
        <v>2.1388705585109213</v>
      </c>
      <c r="J931" s="24">
        <f>Data!J931</f>
        <v>936716000000</v>
      </c>
      <c r="K931" s="24">
        <f t="shared" si="114"/>
        <v>3001696000000</v>
      </c>
      <c r="L931" s="25">
        <f t="shared" si="115"/>
        <v>1.0173229267720647</v>
      </c>
      <c r="M931" s="24">
        <f>Data!M931</f>
        <v>148287000000</v>
      </c>
      <c r="N931" s="24">
        <f t="shared" si="116"/>
        <v>3001696000000</v>
      </c>
      <c r="O931" s="25">
        <f t="shared" si="117"/>
        <v>0.33197520335170516</v>
      </c>
      <c r="P931" s="24">
        <f>Data!K931</f>
        <v>1024377000000</v>
      </c>
      <c r="Q931" s="24">
        <f>Data!I931</f>
        <v>1977319000000</v>
      </c>
      <c r="R931" s="25">
        <f t="shared" si="118"/>
        <v>0.543966780271671</v>
      </c>
      <c r="S931" s="25">
        <f t="shared" si="119"/>
        <v>4.0321354689063629</v>
      </c>
    </row>
    <row r="932" spans="1:19" ht="15" customHeight="1" x14ac:dyDescent="0.3">
      <c r="A932" s="22"/>
      <c r="B932" s="23"/>
      <c r="C932" s="2"/>
      <c r="D932" s="23">
        <v>2020</v>
      </c>
      <c r="E932" s="24">
        <f>Data!F932</f>
        <v>1628700000000</v>
      </c>
      <c r="F932" s="24">
        <f>Data!H932</f>
        <v>390634000000</v>
      </c>
      <c r="G932" s="24">
        <f t="shared" si="112"/>
        <v>1238066000000</v>
      </c>
      <c r="H932" s="24">
        <f>Data!G932</f>
        <v>3337722000000</v>
      </c>
      <c r="I932" s="25">
        <f t="shared" si="113"/>
        <v>2.4333101918014739</v>
      </c>
      <c r="J932" s="24">
        <f>Data!J932</f>
        <v>984563000000</v>
      </c>
      <c r="K932" s="24">
        <f t="shared" si="114"/>
        <v>3337722000000</v>
      </c>
      <c r="L932" s="25">
        <f t="shared" si="115"/>
        <v>0.96163652335335281</v>
      </c>
      <c r="M932" s="24">
        <f>Data!M932</f>
        <v>72645000000</v>
      </c>
      <c r="N932" s="24">
        <f t="shared" si="116"/>
        <v>3337722000000</v>
      </c>
      <c r="O932" s="25">
        <f t="shared" si="117"/>
        <v>0.14625975440734729</v>
      </c>
      <c r="P932" s="24">
        <f>Data!K932</f>
        <v>1088225000000</v>
      </c>
      <c r="Q932" s="24">
        <f>Data!I932</f>
        <v>2249497000000</v>
      </c>
      <c r="R932" s="25">
        <f t="shared" si="118"/>
        <v>0.50795188880002951</v>
      </c>
      <c r="S932" s="25">
        <f t="shared" si="119"/>
        <v>4.0491583583622042</v>
      </c>
    </row>
    <row r="933" spans="1:19" ht="15" customHeight="1" x14ac:dyDescent="0.3">
      <c r="A933" s="22"/>
      <c r="B933" s="23"/>
      <c r="C933" s="2"/>
      <c r="D933" s="23">
        <v>2021</v>
      </c>
      <c r="E933" s="24">
        <f>Data!F933</f>
        <v>1514848000000</v>
      </c>
      <c r="F933" s="24">
        <f>Data!H933</f>
        <v>354040000000</v>
      </c>
      <c r="G933" s="24">
        <f t="shared" si="112"/>
        <v>1160808000000</v>
      </c>
      <c r="H933" s="24">
        <f>Data!G933</f>
        <v>3327804000000</v>
      </c>
      <c r="I933" s="25">
        <f t="shared" si="113"/>
        <v>2.2882659195072788</v>
      </c>
      <c r="J933" s="24">
        <f>Data!J933</f>
        <v>1064883000000</v>
      </c>
      <c r="K933" s="24">
        <f t="shared" si="114"/>
        <v>3327804000000</v>
      </c>
      <c r="L933" s="25">
        <f t="shared" si="115"/>
        <v>1.043186010954972</v>
      </c>
      <c r="M933" s="24">
        <f>Data!M933</f>
        <v>71404000000</v>
      </c>
      <c r="N933" s="24">
        <f t="shared" si="116"/>
        <v>3327804000000</v>
      </c>
      <c r="O933" s="25">
        <f t="shared" si="117"/>
        <v>0.1441896457844272</v>
      </c>
      <c r="P933" s="24">
        <f>Data!K933</f>
        <v>1140637000000</v>
      </c>
      <c r="Q933" s="24">
        <f>Data!I933</f>
        <v>2187167000000</v>
      </c>
      <c r="R933" s="25">
        <f t="shared" si="118"/>
        <v>0.54758911870927096</v>
      </c>
      <c r="S933" s="25">
        <f t="shared" si="119"/>
        <v>4.0232306949559486</v>
      </c>
    </row>
    <row r="934" spans="1:19" ht="15" customHeight="1" x14ac:dyDescent="0.3">
      <c r="A934" s="22"/>
      <c r="B934" s="23"/>
      <c r="C934" s="2"/>
      <c r="D934" s="23">
        <v>2022</v>
      </c>
      <c r="E934" s="24">
        <f>Data!F934</f>
        <v>1931153000000</v>
      </c>
      <c r="F934" s="24">
        <f>Data!H934</f>
        <v>442158000000</v>
      </c>
      <c r="G934" s="24">
        <f t="shared" si="112"/>
        <v>1488995000000</v>
      </c>
      <c r="H934" s="24">
        <f>Data!G934</f>
        <v>3595146000000</v>
      </c>
      <c r="I934" s="25">
        <f t="shared" si="113"/>
        <v>2.7169431227549588</v>
      </c>
      <c r="J934" s="24">
        <f>Data!J934</f>
        <v>1148968000000</v>
      </c>
      <c r="K934" s="24">
        <f t="shared" si="114"/>
        <v>3595146000000</v>
      </c>
      <c r="L934" s="25">
        <f t="shared" si="115"/>
        <v>1.0418591289477535</v>
      </c>
      <c r="M934" s="24">
        <f>Data!M934</f>
        <v>106775000000</v>
      </c>
      <c r="N934" s="24">
        <f t="shared" si="116"/>
        <v>3595146000000</v>
      </c>
      <c r="O934" s="25">
        <f t="shared" si="117"/>
        <v>0.19958243698586928</v>
      </c>
      <c r="P934" s="24">
        <f>Data!K934</f>
        <v>1201468000000</v>
      </c>
      <c r="Q934" s="24">
        <f>Data!I934</f>
        <v>2393678000000</v>
      </c>
      <c r="R934" s="25">
        <f t="shared" si="118"/>
        <v>0.52703053627096041</v>
      </c>
      <c r="S934" s="25">
        <f t="shared" si="119"/>
        <v>4.4854152249595423</v>
      </c>
    </row>
    <row r="935" spans="1:19" ht="15" customHeight="1" x14ac:dyDescent="0.3">
      <c r="A935" s="22"/>
      <c r="B935" s="23"/>
      <c r="C935" s="2"/>
      <c r="D935" s="23">
        <v>2023</v>
      </c>
      <c r="E935" s="24">
        <f>Data!F935</f>
        <v>2287404000000</v>
      </c>
      <c r="F935" s="24">
        <f>Data!H935</f>
        <v>787043000000</v>
      </c>
      <c r="G935" s="24">
        <f t="shared" si="112"/>
        <v>1500361000000</v>
      </c>
      <c r="H935" s="24">
        <f>Data!G935</f>
        <v>4115086000000</v>
      </c>
      <c r="I935" s="25">
        <f t="shared" si="113"/>
        <v>2.3917770272601837</v>
      </c>
      <c r="J935" s="24">
        <f>Data!J935</f>
        <v>1264219000000</v>
      </c>
      <c r="K935" s="24">
        <f t="shared" si="114"/>
        <v>4115086000000</v>
      </c>
      <c r="L935" s="25">
        <f t="shared" si="115"/>
        <v>1.0015231613628488</v>
      </c>
      <c r="M935" s="24">
        <f>Data!M935</f>
        <v>151385000000</v>
      </c>
      <c r="N935" s="24">
        <f t="shared" si="116"/>
        <v>4115086000000</v>
      </c>
      <c r="O935" s="25">
        <f t="shared" si="117"/>
        <v>0.24721408009455939</v>
      </c>
      <c r="P935" s="24">
        <f>Data!K935</f>
        <v>1318493000000</v>
      </c>
      <c r="Q935" s="24">
        <f>Data!I935</f>
        <v>2796593000000</v>
      </c>
      <c r="R935" s="25">
        <f t="shared" si="118"/>
        <v>0.49503722922856491</v>
      </c>
      <c r="S935" s="25">
        <f t="shared" si="119"/>
        <v>4.1355514979461567</v>
      </c>
    </row>
    <row r="936" spans="1:19" ht="15" customHeight="1" x14ac:dyDescent="0.3">
      <c r="A936" s="22"/>
      <c r="B936" s="23"/>
      <c r="C936" s="2"/>
      <c r="D936" s="23">
        <v>2024</v>
      </c>
      <c r="E936" s="24">
        <f>Data!F936</f>
        <v>2123931000000</v>
      </c>
      <c r="F936" s="24">
        <f>Data!H936</f>
        <v>1041274000000</v>
      </c>
      <c r="G936" s="24">
        <f t="shared" si="112"/>
        <v>1082657000000</v>
      </c>
      <c r="H936" s="24">
        <f>Data!G936</f>
        <v>4320584000000</v>
      </c>
      <c r="I936" s="25">
        <f t="shared" si="113"/>
        <v>1.643812484608562</v>
      </c>
      <c r="J936" s="24">
        <f>Data!J936</f>
        <v>1413710000000</v>
      </c>
      <c r="K936" s="24">
        <f t="shared" si="114"/>
        <v>4320584000000</v>
      </c>
      <c r="L936" s="25">
        <f t="shared" si="115"/>
        <v>1.0666832539304871</v>
      </c>
      <c r="M936" s="24">
        <f>Data!M936</f>
        <v>187817000000</v>
      </c>
      <c r="N936" s="24">
        <f t="shared" si="116"/>
        <v>4320584000000</v>
      </c>
      <c r="O936" s="25">
        <f t="shared" si="117"/>
        <v>0.29212028744262347</v>
      </c>
      <c r="P936" s="24">
        <f>Data!K936</f>
        <v>1429557000000</v>
      </c>
      <c r="Q936" s="24">
        <f>Data!I936</f>
        <v>2891027000000</v>
      </c>
      <c r="R936" s="25">
        <f t="shared" si="118"/>
        <v>0.51920471514102084</v>
      </c>
      <c r="S936" s="25">
        <f t="shared" si="119"/>
        <v>3.5218207411226938</v>
      </c>
    </row>
    <row r="937" spans="1:19" ht="15" customHeight="1" x14ac:dyDescent="0.3">
      <c r="A937" s="22"/>
      <c r="B937" s="23">
        <v>86</v>
      </c>
      <c r="C937" s="1" t="s">
        <v>132</v>
      </c>
      <c r="D937" s="23">
        <v>2014</v>
      </c>
      <c r="E937" s="24">
        <f>Data!F937</f>
        <v>0</v>
      </c>
      <c r="F937" s="24">
        <f>Data!H937</f>
        <v>0</v>
      </c>
      <c r="G937" s="24">
        <f t="shared" si="112"/>
        <v>0</v>
      </c>
      <c r="H937" s="24">
        <f>Data!G937</f>
        <v>0</v>
      </c>
      <c r="I937" s="25">
        <f t="shared" si="113"/>
        <v>0</v>
      </c>
      <c r="J937" s="24">
        <f>Data!J937</f>
        <v>0</v>
      </c>
      <c r="K937" s="24">
        <f t="shared" si="114"/>
        <v>0</v>
      </c>
      <c r="L937" s="25">
        <f t="shared" si="115"/>
        <v>0</v>
      </c>
      <c r="M937" s="24">
        <f>Data!M937</f>
        <v>0</v>
      </c>
      <c r="N937" s="24">
        <f t="shared" si="116"/>
        <v>0</v>
      </c>
      <c r="O937" s="25">
        <f t="shared" si="117"/>
        <v>0</v>
      </c>
      <c r="P937" s="24">
        <f>Data!K937</f>
        <v>0</v>
      </c>
      <c r="Q937" s="24">
        <f>Data!I937</f>
        <v>0</v>
      </c>
      <c r="R937" s="25">
        <f t="shared" si="118"/>
        <v>0</v>
      </c>
      <c r="S937" s="25">
        <f t="shared" si="119"/>
        <v>0</v>
      </c>
    </row>
    <row r="938" spans="1:19" ht="15" customHeight="1" x14ac:dyDescent="0.3">
      <c r="A938" s="22"/>
      <c r="B938" s="23"/>
      <c r="C938" s="1"/>
      <c r="D938" s="23">
        <v>2015</v>
      </c>
      <c r="E938" s="24">
        <f>Data!F938</f>
        <v>0</v>
      </c>
      <c r="F938" s="24">
        <f>Data!H938</f>
        <v>0</v>
      </c>
      <c r="G938" s="24">
        <f t="shared" si="112"/>
        <v>0</v>
      </c>
      <c r="H938" s="24">
        <f>Data!G938</f>
        <v>0</v>
      </c>
      <c r="I938" s="25">
        <f t="shared" si="113"/>
        <v>0</v>
      </c>
      <c r="J938" s="24">
        <f>Data!J938</f>
        <v>0</v>
      </c>
      <c r="K938" s="24">
        <f t="shared" si="114"/>
        <v>0</v>
      </c>
      <c r="L938" s="25">
        <f t="shared" si="115"/>
        <v>0</v>
      </c>
      <c r="M938" s="24">
        <f>Data!M938</f>
        <v>0</v>
      </c>
      <c r="N938" s="24">
        <f t="shared" si="116"/>
        <v>0</v>
      </c>
      <c r="O938" s="25">
        <f t="shared" si="117"/>
        <v>0</v>
      </c>
      <c r="P938" s="24">
        <f>Data!K938</f>
        <v>0</v>
      </c>
      <c r="Q938" s="24">
        <f>Data!I938</f>
        <v>0</v>
      </c>
      <c r="R938" s="25">
        <f t="shared" si="118"/>
        <v>0</v>
      </c>
      <c r="S938" s="25">
        <f t="shared" si="119"/>
        <v>0</v>
      </c>
    </row>
    <row r="939" spans="1:19" ht="15" customHeight="1" x14ac:dyDescent="0.3">
      <c r="A939" s="22"/>
      <c r="B939" s="23"/>
      <c r="C939" s="1"/>
      <c r="D939" s="23">
        <v>2016</v>
      </c>
      <c r="E939" s="24">
        <f>Data!F939</f>
        <v>51545000000</v>
      </c>
      <c r="F939" s="24">
        <f>Data!H939</f>
        <v>60781000000</v>
      </c>
      <c r="G939" s="24">
        <f t="shared" si="112"/>
        <v>-9236000000</v>
      </c>
      <c r="H939" s="24">
        <f>Data!G939</f>
        <v>259049000000</v>
      </c>
      <c r="I939" s="25">
        <f t="shared" si="113"/>
        <v>-0.23388687082366652</v>
      </c>
      <c r="J939" s="24">
        <f>Data!J939</f>
        <v>12722000000</v>
      </c>
      <c r="K939" s="24">
        <f t="shared" si="114"/>
        <v>259049000000</v>
      </c>
      <c r="L939" s="25">
        <f t="shared" si="115"/>
        <v>0.16009990387918885</v>
      </c>
      <c r="M939" s="24">
        <f>Data!M939</f>
        <v>17398000000</v>
      </c>
      <c r="N939" s="24">
        <f t="shared" si="116"/>
        <v>259049000000</v>
      </c>
      <c r="O939" s="25">
        <f t="shared" si="117"/>
        <v>0.451322182289837</v>
      </c>
      <c r="P939" s="24">
        <f>Data!K939</f>
        <v>87541000000</v>
      </c>
      <c r="Q939" s="24">
        <f>Data!I939</f>
        <v>143626000000</v>
      </c>
      <c r="R939" s="25">
        <f t="shared" si="118"/>
        <v>0.63998196705331911</v>
      </c>
      <c r="S939" s="25">
        <f t="shared" si="119"/>
        <v>1.0175171823986784</v>
      </c>
    </row>
    <row r="940" spans="1:19" ht="15" customHeight="1" x14ac:dyDescent="0.3">
      <c r="A940" s="22"/>
      <c r="B940" s="23"/>
      <c r="C940" s="1"/>
      <c r="D940" s="23">
        <v>2017</v>
      </c>
      <c r="E940" s="24">
        <f>Data!F940</f>
        <v>52050000000</v>
      </c>
      <c r="F940" s="24">
        <f>Data!H940</f>
        <v>46850000000</v>
      </c>
      <c r="G940" s="24">
        <f t="shared" si="112"/>
        <v>5200000000</v>
      </c>
      <c r="H940" s="24">
        <f>Data!G940</f>
        <v>262108000000</v>
      </c>
      <c r="I940" s="25">
        <f t="shared" si="113"/>
        <v>0.13014482579699971</v>
      </c>
      <c r="J940" s="24">
        <f>Data!J940</f>
        <v>1088000000</v>
      </c>
      <c r="K940" s="24">
        <f t="shared" si="114"/>
        <v>262108000000</v>
      </c>
      <c r="L940" s="25">
        <f t="shared" si="115"/>
        <v>1.3532131793001358E-2</v>
      </c>
      <c r="M940" s="24">
        <f>Data!M940</f>
        <v>1272000000</v>
      </c>
      <c r="N940" s="24">
        <f t="shared" si="116"/>
        <v>262108000000</v>
      </c>
      <c r="O940" s="25">
        <f t="shared" si="117"/>
        <v>3.2611900437987396E-2</v>
      </c>
      <c r="P940" s="24">
        <f>Data!K940</f>
        <v>95137000000</v>
      </c>
      <c r="Q940" s="24">
        <f>Data!I940</f>
        <v>134857000000</v>
      </c>
      <c r="R940" s="25">
        <f t="shared" si="118"/>
        <v>0.74073907917275339</v>
      </c>
      <c r="S940" s="25">
        <f t="shared" si="119"/>
        <v>0.91702793720074183</v>
      </c>
    </row>
    <row r="941" spans="1:19" ht="15" customHeight="1" x14ac:dyDescent="0.3">
      <c r="A941" s="22"/>
      <c r="B941" s="23"/>
      <c r="C941" s="1"/>
      <c r="D941" s="23">
        <v>2018</v>
      </c>
      <c r="E941" s="24">
        <f>Data!F941</f>
        <v>62578000000</v>
      </c>
      <c r="F941" s="24">
        <f>Data!H941</f>
        <v>69364000000</v>
      </c>
      <c r="G941" s="24">
        <f t="shared" si="112"/>
        <v>-6786000000</v>
      </c>
      <c r="H941" s="24">
        <f>Data!G941</f>
        <v>256197000000</v>
      </c>
      <c r="I941" s="25">
        <f t="shared" si="113"/>
        <v>-0.17375753814447475</v>
      </c>
      <c r="J941" s="24">
        <f>Data!J941</f>
        <v>1591000000</v>
      </c>
      <c r="K941" s="24">
        <f t="shared" si="114"/>
        <v>256197000000</v>
      </c>
      <c r="L941" s="25">
        <f t="shared" si="115"/>
        <v>2.0244811609815883E-2</v>
      </c>
      <c r="M941" s="24">
        <f>Data!M941</f>
        <v>1385000000</v>
      </c>
      <c r="N941" s="24">
        <f t="shared" si="116"/>
        <v>256197000000</v>
      </c>
      <c r="O941" s="25">
        <f t="shared" si="117"/>
        <v>3.6328294242321341E-2</v>
      </c>
      <c r="P941" s="24">
        <f>Data!K941</f>
        <v>96280000000</v>
      </c>
      <c r="Q941" s="24">
        <f>Data!I941</f>
        <v>144562000000</v>
      </c>
      <c r="R941" s="25">
        <f t="shared" si="118"/>
        <v>0.69931240574978215</v>
      </c>
      <c r="S941" s="25">
        <f t="shared" si="119"/>
        <v>0.5821279734574446</v>
      </c>
    </row>
    <row r="942" spans="1:19" ht="15" customHeight="1" x14ac:dyDescent="0.3">
      <c r="A942" s="22"/>
      <c r="B942" s="23"/>
      <c r="C942" s="1"/>
      <c r="D942" s="23">
        <v>2019</v>
      </c>
      <c r="E942" s="24">
        <f>Data!F942</f>
        <v>129948000000</v>
      </c>
      <c r="F942" s="24">
        <f>Data!H942</f>
        <v>92578000000</v>
      </c>
      <c r="G942" s="24">
        <f t="shared" si="112"/>
        <v>37370000000</v>
      </c>
      <c r="H942" s="24">
        <f>Data!G942</f>
        <v>300364000000</v>
      </c>
      <c r="I942" s="25">
        <f t="shared" si="113"/>
        <v>0.81616705064521711</v>
      </c>
      <c r="J942" s="24">
        <f>Data!J942</f>
        <v>23681000000</v>
      </c>
      <c r="K942" s="24">
        <f t="shared" si="114"/>
        <v>300364000000</v>
      </c>
      <c r="L942" s="25">
        <f t="shared" si="115"/>
        <v>0.25702168036116174</v>
      </c>
      <c r="M942" s="24">
        <f>Data!M942</f>
        <v>8540000000</v>
      </c>
      <c r="N942" s="24">
        <f t="shared" si="116"/>
        <v>300364000000</v>
      </c>
      <c r="O942" s="25">
        <f t="shared" si="117"/>
        <v>0.19106417546709992</v>
      </c>
      <c r="P942" s="24">
        <f>Data!K942</f>
        <v>104117000000</v>
      </c>
      <c r="Q942" s="24">
        <f>Data!I942</f>
        <v>176045000000</v>
      </c>
      <c r="R942" s="25">
        <f t="shared" si="118"/>
        <v>0.62099377999943195</v>
      </c>
      <c r="S942" s="25">
        <f t="shared" si="119"/>
        <v>1.8852466864729105</v>
      </c>
    </row>
    <row r="943" spans="1:19" ht="15" customHeight="1" x14ac:dyDescent="0.3">
      <c r="A943" s="22"/>
      <c r="B943" s="23"/>
      <c r="C943" s="1"/>
      <c r="D943" s="23">
        <v>2020</v>
      </c>
      <c r="E943" s="24">
        <f>Data!F943</f>
        <v>282133000000</v>
      </c>
      <c r="F943" s="24">
        <f>Data!H943</f>
        <v>101774000000</v>
      </c>
      <c r="G943" s="24">
        <f t="shared" si="112"/>
        <v>180359000000</v>
      </c>
      <c r="H943" s="24">
        <f>Data!G943</f>
        <v>462210000000</v>
      </c>
      <c r="I943" s="25">
        <f t="shared" si="113"/>
        <v>2.5597781095173189</v>
      </c>
      <c r="J943" s="24">
        <f>Data!J943</f>
        <v>-59055000000</v>
      </c>
      <c r="K943" s="24">
        <f t="shared" si="114"/>
        <v>462210000000</v>
      </c>
      <c r="L943" s="25">
        <f t="shared" si="115"/>
        <v>-0.41651911468812874</v>
      </c>
      <c r="M943" s="24">
        <f>Data!M943</f>
        <v>3582000000</v>
      </c>
      <c r="N943" s="24">
        <f t="shared" si="116"/>
        <v>462210000000</v>
      </c>
      <c r="O943" s="25">
        <f t="shared" si="117"/>
        <v>5.207814629713766E-2</v>
      </c>
      <c r="P943" s="24">
        <f>Data!K943</f>
        <v>31897000000</v>
      </c>
      <c r="Q943" s="24">
        <f>Data!I943</f>
        <v>414010000000</v>
      </c>
      <c r="R943" s="25">
        <f t="shared" si="118"/>
        <v>8.0896234390473665E-2</v>
      </c>
      <c r="S943" s="25">
        <f t="shared" si="119"/>
        <v>2.2762333755168016</v>
      </c>
    </row>
    <row r="944" spans="1:19" ht="15" customHeight="1" x14ac:dyDescent="0.3">
      <c r="A944" s="22"/>
      <c r="B944" s="23"/>
      <c r="C944" s="1"/>
      <c r="D944" s="23">
        <v>2021</v>
      </c>
      <c r="E944" s="24">
        <f>Data!F944</f>
        <v>270305000000</v>
      </c>
      <c r="F944" s="24">
        <f>Data!H944</f>
        <v>101675000000</v>
      </c>
      <c r="G944" s="24">
        <f t="shared" si="112"/>
        <v>168630000000</v>
      </c>
      <c r="H944" s="24">
        <f>Data!G944</f>
        <v>430360000000</v>
      </c>
      <c r="I944" s="25">
        <f t="shared" si="113"/>
        <v>2.5704359141184123</v>
      </c>
      <c r="J944" s="24">
        <f>Data!J944</f>
        <v>-52868000000</v>
      </c>
      <c r="K944" s="24">
        <f t="shared" si="114"/>
        <v>430360000000</v>
      </c>
      <c r="L944" s="25">
        <f t="shared" si="115"/>
        <v>-0.40047792545775629</v>
      </c>
      <c r="M944" s="24">
        <f>Data!M944</f>
        <v>7379000000</v>
      </c>
      <c r="N944" s="24">
        <f t="shared" si="116"/>
        <v>430360000000</v>
      </c>
      <c r="O944" s="25">
        <f t="shared" si="117"/>
        <v>0.11522186076772935</v>
      </c>
      <c r="P944" s="24">
        <f>Data!K944</f>
        <v>37602000000</v>
      </c>
      <c r="Q944" s="24">
        <f>Data!I944</f>
        <v>433870000000</v>
      </c>
      <c r="R944" s="25">
        <f t="shared" si="118"/>
        <v>9.0999838661350169E-2</v>
      </c>
      <c r="S944" s="25">
        <f t="shared" si="119"/>
        <v>2.3761796880897359</v>
      </c>
    </row>
    <row r="945" spans="1:19" ht="15" customHeight="1" x14ac:dyDescent="0.3">
      <c r="A945" s="22"/>
      <c r="B945" s="23"/>
      <c r="C945" s="1"/>
      <c r="D945" s="23">
        <v>2022</v>
      </c>
      <c r="E945" s="24">
        <f>Data!F945</f>
        <v>303441000000</v>
      </c>
      <c r="F945" s="24">
        <f>Data!H945</f>
        <v>109752000000</v>
      </c>
      <c r="G945" s="24">
        <f t="shared" si="112"/>
        <v>193689000000</v>
      </c>
      <c r="H945" s="24">
        <f>Data!G945</f>
        <v>567878000000</v>
      </c>
      <c r="I945" s="25">
        <f t="shared" si="113"/>
        <v>2.237452128802313</v>
      </c>
      <c r="J945" s="24">
        <f>Data!J945</f>
        <v>38369000000</v>
      </c>
      <c r="K945" s="24">
        <f t="shared" si="114"/>
        <v>567878000000</v>
      </c>
      <c r="L945" s="25">
        <f t="shared" si="115"/>
        <v>0.22026375383445035</v>
      </c>
      <c r="M945" s="24">
        <f>Data!M945</f>
        <v>18880000000</v>
      </c>
      <c r="N945" s="24">
        <f t="shared" si="116"/>
        <v>567878000000</v>
      </c>
      <c r="O945" s="25">
        <f t="shared" si="117"/>
        <v>0.22341700153906296</v>
      </c>
      <c r="P945" s="24">
        <f>Data!K945</f>
        <v>52085000000</v>
      </c>
      <c r="Q945" s="24">
        <f>Data!I945</f>
        <v>501977000000</v>
      </c>
      <c r="R945" s="25">
        <f t="shared" si="118"/>
        <v>0.10894772071230356</v>
      </c>
      <c r="S945" s="25">
        <f t="shared" si="119"/>
        <v>2.7900806048881304</v>
      </c>
    </row>
    <row r="946" spans="1:19" ht="15" customHeight="1" x14ac:dyDescent="0.3">
      <c r="A946" s="22"/>
      <c r="B946" s="23"/>
      <c r="C946" s="1"/>
      <c r="D946" s="23">
        <v>2023</v>
      </c>
      <c r="E946" s="24">
        <f>Data!F946</f>
        <v>280069000000</v>
      </c>
      <c r="F946" s="24">
        <f>Data!H946</f>
        <v>103714000000</v>
      </c>
      <c r="G946" s="24">
        <f t="shared" si="112"/>
        <v>176355000000</v>
      </c>
      <c r="H946" s="24">
        <f>Data!G946</f>
        <v>580720000000</v>
      </c>
      <c r="I946" s="25">
        <f t="shared" si="113"/>
        <v>1.992162832346053</v>
      </c>
      <c r="J946" s="24">
        <f>Data!J946</f>
        <v>-28906000000</v>
      </c>
      <c r="K946" s="24">
        <f t="shared" si="114"/>
        <v>580720000000</v>
      </c>
      <c r="L946" s="25">
        <f t="shared" si="115"/>
        <v>-0.1622702162832346</v>
      </c>
      <c r="M946" s="24">
        <f>Data!M946</f>
        <v>12607000000</v>
      </c>
      <c r="N946" s="24">
        <f t="shared" si="116"/>
        <v>580720000000</v>
      </c>
      <c r="O946" s="25">
        <f t="shared" si="117"/>
        <v>0.14588621022179363</v>
      </c>
      <c r="P946" s="24">
        <f>Data!K946</f>
        <v>61841000000</v>
      </c>
      <c r="Q946" s="24">
        <f>Data!I946</f>
        <v>496049000000</v>
      </c>
      <c r="R946" s="25">
        <f t="shared" si="118"/>
        <v>0.13090047555785819</v>
      </c>
      <c r="S946" s="25">
        <f t="shared" si="119"/>
        <v>2.1066793018424703</v>
      </c>
    </row>
    <row r="947" spans="1:19" ht="15" customHeight="1" x14ac:dyDescent="0.3">
      <c r="A947" s="22"/>
      <c r="B947" s="23"/>
      <c r="C947" s="1"/>
      <c r="D947" s="23">
        <v>2024</v>
      </c>
      <c r="E947" s="24">
        <f>Data!F947</f>
        <v>373910000000</v>
      </c>
      <c r="F947" s="24">
        <f>Data!H947</f>
        <v>158442000000</v>
      </c>
      <c r="G947" s="24">
        <f t="shared" si="112"/>
        <v>215468000000</v>
      </c>
      <c r="H947" s="24">
        <f>Data!G947</f>
        <v>603899000000</v>
      </c>
      <c r="I947" s="25">
        <f t="shared" si="113"/>
        <v>2.3405736389694303</v>
      </c>
      <c r="J947" s="24">
        <f>Data!J947</f>
        <v>-19186000000</v>
      </c>
      <c r="K947" s="24">
        <f t="shared" si="114"/>
        <v>603899000000</v>
      </c>
      <c r="L947" s="25">
        <f t="shared" si="115"/>
        <v>-0.10357089513312655</v>
      </c>
      <c r="M947" s="24">
        <f>Data!M947</f>
        <v>12502000000</v>
      </c>
      <c r="N947" s="24">
        <f t="shared" si="116"/>
        <v>603899000000</v>
      </c>
      <c r="O947" s="25">
        <f t="shared" si="117"/>
        <v>0.13911836250763787</v>
      </c>
      <c r="P947" s="24">
        <f>Data!K947</f>
        <v>71716000000</v>
      </c>
      <c r="Q947" s="24">
        <f>Data!I947</f>
        <v>520310000000</v>
      </c>
      <c r="R947" s="25">
        <f t="shared" si="118"/>
        <v>0.14472487555495761</v>
      </c>
      <c r="S947" s="25">
        <f t="shared" si="119"/>
        <v>2.5208459818988991</v>
      </c>
    </row>
    <row r="948" spans="1:19" ht="15" customHeight="1" x14ac:dyDescent="0.3">
      <c r="A948" s="22"/>
      <c r="B948" s="23">
        <v>87</v>
      </c>
      <c r="C948" s="4" t="s">
        <v>129</v>
      </c>
      <c r="D948" s="23">
        <v>2014</v>
      </c>
      <c r="E948" s="24">
        <f>Data!F948</f>
        <v>0</v>
      </c>
      <c r="F948" s="24">
        <f>Data!H948</f>
        <v>0</v>
      </c>
      <c r="G948" s="24">
        <f t="shared" si="112"/>
        <v>0</v>
      </c>
      <c r="H948" s="24">
        <f>Data!G948</f>
        <v>0</v>
      </c>
      <c r="I948" s="25">
        <f t="shared" si="113"/>
        <v>0</v>
      </c>
      <c r="J948" s="24">
        <f>Data!J948</f>
        <v>0</v>
      </c>
      <c r="K948" s="24">
        <f t="shared" si="114"/>
        <v>0</v>
      </c>
      <c r="L948" s="25">
        <f t="shared" si="115"/>
        <v>0</v>
      </c>
      <c r="M948" s="24">
        <f>Data!M948</f>
        <v>0</v>
      </c>
      <c r="N948" s="24">
        <f t="shared" si="116"/>
        <v>0</v>
      </c>
      <c r="O948" s="25">
        <f t="shared" si="117"/>
        <v>0</v>
      </c>
      <c r="P948" s="24">
        <f>Data!K948</f>
        <v>0</v>
      </c>
      <c r="Q948" s="24">
        <f>Data!I948</f>
        <v>0</v>
      </c>
      <c r="R948" s="25">
        <f t="shared" si="118"/>
        <v>0</v>
      </c>
      <c r="S948" s="25">
        <f t="shared" si="119"/>
        <v>0</v>
      </c>
    </row>
    <row r="949" spans="1:19" ht="15" customHeight="1" x14ac:dyDescent="0.3">
      <c r="A949" s="22"/>
      <c r="B949" s="23"/>
      <c r="C949" s="4"/>
      <c r="D949" s="23">
        <v>2015</v>
      </c>
      <c r="E949" s="24">
        <f>Data!F949</f>
        <v>0</v>
      </c>
      <c r="F949" s="24">
        <f>Data!H949</f>
        <v>0</v>
      </c>
      <c r="G949" s="24">
        <f t="shared" si="112"/>
        <v>0</v>
      </c>
      <c r="H949" s="24">
        <f>Data!G949</f>
        <v>0</v>
      </c>
      <c r="I949" s="25">
        <f t="shared" si="113"/>
        <v>0</v>
      </c>
      <c r="J949" s="24">
        <f>Data!J949</f>
        <v>0</v>
      </c>
      <c r="K949" s="24">
        <f t="shared" si="114"/>
        <v>0</v>
      </c>
      <c r="L949" s="25">
        <f t="shared" si="115"/>
        <v>0</v>
      </c>
      <c r="M949" s="24">
        <f>Data!M949</f>
        <v>0</v>
      </c>
      <c r="N949" s="24">
        <f t="shared" si="116"/>
        <v>0</v>
      </c>
      <c r="O949" s="25">
        <f t="shared" si="117"/>
        <v>0</v>
      </c>
      <c r="P949" s="24">
        <f>Data!K949</f>
        <v>0</v>
      </c>
      <c r="Q949" s="24">
        <f>Data!I949</f>
        <v>0</v>
      </c>
      <c r="R949" s="25">
        <f t="shared" si="118"/>
        <v>0</v>
      </c>
      <c r="S949" s="25">
        <f t="shared" si="119"/>
        <v>0</v>
      </c>
    </row>
    <row r="950" spans="1:19" ht="15" customHeight="1" x14ac:dyDescent="0.3">
      <c r="A950" s="22"/>
      <c r="B950" s="23"/>
      <c r="C950" s="4"/>
      <c r="D950" s="23">
        <v>2016</v>
      </c>
      <c r="E950" s="24">
        <f>Data!F950</f>
        <v>0</v>
      </c>
      <c r="F950" s="24">
        <f>Data!H950</f>
        <v>0</v>
      </c>
      <c r="G950" s="24">
        <f t="shared" si="112"/>
        <v>0</v>
      </c>
      <c r="H950" s="24">
        <f>Data!G950</f>
        <v>0</v>
      </c>
      <c r="I950" s="25">
        <f t="shared" si="113"/>
        <v>0</v>
      </c>
      <c r="J950" s="24">
        <f>Data!J950</f>
        <v>0</v>
      </c>
      <c r="K950" s="24">
        <f t="shared" si="114"/>
        <v>0</v>
      </c>
      <c r="L950" s="25">
        <f t="shared" si="115"/>
        <v>0</v>
      </c>
      <c r="M950" s="24">
        <f>Data!M950</f>
        <v>0</v>
      </c>
      <c r="N950" s="24">
        <f t="shared" si="116"/>
        <v>0</v>
      </c>
      <c r="O950" s="25">
        <f t="shared" si="117"/>
        <v>0</v>
      </c>
      <c r="P950" s="24">
        <f>Data!K950</f>
        <v>0</v>
      </c>
      <c r="Q950" s="24">
        <f>Data!I950</f>
        <v>0</v>
      </c>
      <c r="R950" s="25">
        <f t="shared" si="118"/>
        <v>0</v>
      </c>
      <c r="S950" s="25">
        <f t="shared" si="119"/>
        <v>0</v>
      </c>
    </row>
    <row r="951" spans="1:19" ht="15" customHeight="1" x14ac:dyDescent="0.3">
      <c r="A951" s="22"/>
      <c r="B951" s="23"/>
      <c r="C951" s="4"/>
      <c r="D951" s="23">
        <v>2017</v>
      </c>
      <c r="E951" s="24">
        <f>Data!F951</f>
        <v>0</v>
      </c>
      <c r="F951" s="24">
        <f>Data!H951</f>
        <v>0</v>
      </c>
      <c r="G951" s="24">
        <f t="shared" si="112"/>
        <v>0</v>
      </c>
      <c r="H951" s="24">
        <f>Data!G951</f>
        <v>0</v>
      </c>
      <c r="I951" s="25">
        <f t="shared" si="113"/>
        <v>0</v>
      </c>
      <c r="J951" s="24">
        <f>Data!J951</f>
        <v>0</v>
      </c>
      <c r="K951" s="24">
        <f t="shared" si="114"/>
        <v>0</v>
      </c>
      <c r="L951" s="25">
        <f t="shared" si="115"/>
        <v>0</v>
      </c>
      <c r="M951" s="24">
        <f>Data!M951</f>
        <v>0</v>
      </c>
      <c r="N951" s="24">
        <f t="shared" si="116"/>
        <v>0</v>
      </c>
      <c r="O951" s="25">
        <f t="shared" si="117"/>
        <v>0</v>
      </c>
      <c r="P951" s="24">
        <f>Data!K951</f>
        <v>0</v>
      </c>
      <c r="Q951" s="24">
        <f>Data!I951</f>
        <v>0</v>
      </c>
      <c r="R951" s="25">
        <f t="shared" si="118"/>
        <v>0</v>
      </c>
      <c r="S951" s="25">
        <f t="shared" si="119"/>
        <v>0</v>
      </c>
    </row>
    <row r="952" spans="1:19" ht="15" customHeight="1" x14ac:dyDescent="0.3">
      <c r="A952" s="22"/>
      <c r="B952" s="23"/>
      <c r="C952" s="4"/>
      <c r="D952" s="23">
        <v>2018</v>
      </c>
      <c r="E952" s="24">
        <f>Data!F952</f>
        <v>0</v>
      </c>
      <c r="F952" s="24">
        <f>Data!H952</f>
        <v>0</v>
      </c>
      <c r="G952" s="24">
        <f t="shared" si="112"/>
        <v>0</v>
      </c>
      <c r="H952" s="24">
        <f>Data!G952</f>
        <v>0</v>
      </c>
      <c r="I952" s="25">
        <f t="shared" si="113"/>
        <v>0</v>
      </c>
      <c r="J952" s="24">
        <f>Data!J952</f>
        <v>0</v>
      </c>
      <c r="K952" s="24">
        <f t="shared" si="114"/>
        <v>0</v>
      </c>
      <c r="L952" s="25">
        <f t="shared" si="115"/>
        <v>0</v>
      </c>
      <c r="M952" s="24">
        <f>Data!M952</f>
        <v>0</v>
      </c>
      <c r="N952" s="24">
        <f t="shared" si="116"/>
        <v>0</v>
      </c>
      <c r="O952" s="25">
        <f t="shared" si="117"/>
        <v>0</v>
      </c>
      <c r="P952" s="24">
        <f>Data!K952</f>
        <v>0</v>
      </c>
      <c r="Q952" s="24">
        <f>Data!I952</f>
        <v>0</v>
      </c>
      <c r="R952" s="25">
        <f t="shared" si="118"/>
        <v>0</v>
      </c>
      <c r="S952" s="25">
        <f t="shared" si="119"/>
        <v>0</v>
      </c>
    </row>
    <row r="953" spans="1:19" ht="15" customHeight="1" x14ac:dyDescent="0.3">
      <c r="A953" s="22"/>
      <c r="B953" s="23"/>
      <c r="C953" s="4"/>
      <c r="D953" s="23">
        <v>2019</v>
      </c>
      <c r="E953" s="24">
        <f>Data!F953</f>
        <v>0</v>
      </c>
      <c r="F953" s="24">
        <f>Data!H953</f>
        <v>0</v>
      </c>
      <c r="G953" s="24">
        <f t="shared" si="112"/>
        <v>0</v>
      </c>
      <c r="H953" s="24">
        <f>Data!G953</f>
        <v>0</v>
      </c>
      <c r="I953" s="25">
        <f t="shared" si="113"/>
        <v>0</v>
      </c>
      <c r="J953" s="24">
        <f>Data!J953</f>
        <v>0</v>
      </c>
      <c r="K953" s="24">
        <f t="shared" si="114"/>
        <v>0</v>
      </c>
      <c r="L953" s="25">
        <f t="shared" si="115"/>
        <v>0</v>
      </c>
      <c r="M953" s="24">
        <f>Data!M953</f>
        <v>0</v>
      </c>
      <c r="N953" s="24">
        <f t="shared" si="116"/>
        <v>0</v>
      </c>
      <c r="O953" s="25">
        <f t="shared" si="117"/>
        <v>0</v>
      </c>
      <c r="P953" s="24">
        <f>Data!K953</f>
        <v>0</v>
      </c>
      <c r="Q953" s="24">
        <f>Data!I953</f>
        <v>0</v>
      </c>
      <c r="R953" s="25">
        <f t="shared" si="118"/>
        <v>0</v>
      </c>
      <c r="S953" s="25">
        <f t="shared" si="119"/>
        <v>0</v>
      </c>
    </row>
    <row r="954" spans="1:19" ht="15" customHeight="1" x14ac:dyDescent="0.3">
      <c r="A954" s="22"/>
      <c r="B954" s="23"/>
      <c r="C954" s="4"/>
      <c r="D954" s="23">
        <v>2020</v>
      </c>
      <c r="E954" s="24">
        <f>Data!F954</f>
        <v>0</v>
      </c>
      <c r="F954" s="24">
        <f>Data!H954</f>
        <v>0</v>
      </c>
      <c r="G954" s="24">
        <f t="shared" si="112"/>
        <v>0</v>
      </c>
      <c r="H954" s="24">
        <f>Data!G954</f>
        <v>0</v>
      </c>
      <c r="I954" s="25">
        <f t="shared" si="113"/>
        <v>0</v>
      </c>
      <c r="J954" s="24">
        <f>Data!J954</f>
        <v>0</v>
      </c>
      <c r="K954" s="24">
        <f t="shared" si="114"/>
        <v>0</v>
      </c>
      <c r="L954" s="25">
        <f t="shared" si="115"/>
        <v>0</v>
      </c>
      <c r="M954" s="24">
        <f>Data!M954</f>
        <v>0</v>
      </c>
      <c r="N954" s="24">
        <f t="shared" si="116"/>
        <v>0</v>
      </c>
      <c r="O954" s="25">
        <f t="shared" si="117"/>
        <v>0</v>
      </c>
      <c r="P954" s="24">
        <f>Data!K954</f>
        <v>0</v>
      </c>
      <c r="Q954" s="24">
        <f>Data!I954</f>
        <v>0</v>
      </c>
      <c r="R954" s="25">
        <f t="shared" si="118"/>
        <v>0</v>
      </c>
      <c r="S954" s="25">
        <f t="shared" si="119"/>
        <v>0</v>
      </c>
    </row>
    <row r="955" spans="1:19" ht="15" customHeight="1" x14ac:dyDescent="0.3">
      <c r="A955" s="22"/>
      <c r="B955" s="23"/>
      <c r="C955" s="4"/>
      <c r="D955" s="23">
        <v>2021</v>
      </c>
      <c r="E955" s="24">
        <f>Data!F955</f>
        <v>0</v>
      </c>
      <c r="F955" s="24">
        <f>Data!H955</f>
        <v>0</v>
      </c>
      <c r="G955" s="24">
        <f t="shared" si="112"/>
        <v>0</v>
      </c>
      <c r="H955" s="24">
        <f>Data!G955</f>
        <v>0</v>
      </c>
      <c r="I955" s="25">
        <f t="shared" si="113"/>
        <v>0</v>
      </c>
      <c r="J955" s="24">
        <f>Data!J955</f>
        <v>0</v>
      </c>
      <c r="K955" s="24">
        <f t="shared" si="114"/>
        <v>0</v>
      </c>
      <c r="L955" s="25">
        <f t="shared" si="115"/>
        <v>0</v>
      </c>
      <c r="M955" s="24">
        <f>Data!M955</f>
        <v>0</v>
      </c>
      <c r="N955" s="24">
        <f t="shared" si="116"/>
        <v>0</v>
      </c>
      <c r="O955" s="25">
        <f t="shared" si="117"/>
        <v>0</v>
      </c>
      <c r="P955" s="24">
        <f>Data!K955</f>
        <v>0</v>
      </c>
      <c r="Q955" s="24">
        <f>Data!I955</f>
        <v>0</v>
      </c>
      <c r="R955" s="25">
        <f t="shared" si="118"/>
        <v>0</v>
      </c>
      <c r="S955" s="25">
        <f t="shared" si="119"/>
        <v>0</v>
      </c>
    </row>
    <row r="956" spans="1:19" ht="15" customHeight="1" x14ac:dyDescent="0.3">
      <c r="A956" s="22"/>
      <c r="B956" s="23"/>
      <c r="C956" s="4"/>
      <c r="D956" s="23">
        <v>2022</v>
      </c>
      <c r="E956" s="24">
        <f>Data!F956</f>
        <v>0</v>
      </c>
      <c r="F956" s="24">
        <f>Data!H956</f>
        <v>0</v>
      </c>
      <c r="G956" s="24">
        <f t="shared" si="112"/>
        <v>0</v>
      </c>
      <c r="H956" s="24">
        <f>Data!G956</f>
        <v>0</v>
      </c>
      <c r="I956" s="25">
        <f t="shared" si="113"/>
        <v>0</v>
      </c>
      <c r="J956" s="24">
        <f>Data!J956</f>
        <v>0</v>
      </c>
      <c r="K956" s="24">
        <f t="shared" si="114"/>
        <v>0</v>
      </c>
      <c r="L956" s="25">
        <f t="shared" si="115"/>
        <v>0</v>
      </c>
      <c r="M956" s="24">
        <f>Data!M956</f>
        <v>0</v>
      </c>
      <c r="N956" s="24">
        <f t="shared" si="116"/>
        <v>0</v>
      </c>
      <c r="O956" s="25">
        <f t="shared" si="117"/>
        <v>0</v>
      </c>
      <c r="P956" s="24">
        <f>Data!K956</f>
        <v>0</v>
      </c>
      <c r="Q956" s="24">
        <f>Data!I956</f>
        <v>0</v>
      </c>
      <c r="R956" s="25">
        <f t="shared" si="118"/>
        <v>0</v>
      </c>
      <c r="S956" s="25">
        <f t="shared" si="119"/>
        <v>0</v>
      </c>
    </row>
    <row r="957" spans="1:19" ht="15" customHeight="1" x14ac:dyDescent="0.3">
      <c r="A957" s="22"/>
      <c r="B957" s="23"/>
      <c r="C957" s="4"/>
      <c r="D957" s="23">
        <v>2023</v>
      </c>
      <c r="E957" s="24">
        <f>Data!F957</f>
        <v>0</v>
      </c>
      <c r="F957" s="24">
        <f>Data!H957</f>
        <v>0</v>
      </c>
      <c r="G957" s="24">
        <f t="shared" si="112"/>
        <v>0</v>
      </c>
      <c r="H957" s="24">
        <f>Data!G957</f>
        <v>0</v>
      </c>
      <c r="I957" s="25">
        <f t="shared" si="113"/>
        <v>0</v>
      </c>
      <c r="J957" s="24">
        <f>Data!J957</f>
        <v>0</v>
      </c>
      <c r="K957" s="24">
        <f t="shared" si="114"/>
        <v>0</v>
      </c>
      <c r="L957" s="25">
        <f t="shared" si="115"/>
        <v>0</v>
      </c>
      <c r="M957" s="24">
        <f>Data!M957</f>
        <v>0</v>
      </c>
      <c r="N957" s="24">
        <f t="shared" si="116"/>
        <v>0</v>
      </c>
      <c r="O957" s="25">
        <f t="shared" si="117"/>
        <v>0</v>
      </c>
      <c r="P957" s="24">
        <f>Data!K957</f>
        <v>0</v>
      </c>
      <c r="Q957" s="24">
        <f>Data!I957</f>
        <v>0</v>
      </c>
      <c r="R957" s="25">
        <f t="shared" si="118"/>
        <v>0</v>
      </c>
      <c r="S957" s="25">
        <f t="shared" si="119"/>
        <v>0</v>
      </c>
    </row>
    <row r="958" spans="1:19" ht="15" customHeight="1" x14ac:dyDescent="0.3">
      <c r="A958" s="22"/>
      <c r="B958" s="23"/>
      <c r="C958" s="4"/>
      <c r="D958" s="23">
        <v>2024</v>
      </c>
      <c r="E958" s="24">
        <f>Data!F958</f>
        <v>0</v>
      </c>
      <c r="F958" s="24">
        <f>Data!H958</f>
        <v>0</v>
      </c>
      <c r="G958" s="24">
        <f t="shared" si="112"/>
        <v>0</v>
      </c>
      <c r="H958" s="24">
        <f>Data!G958</f>
        <v>0</v>
      </c>
      <c r="I958" s="25">
        <f t="shared" si="113"/>
        <v>0</v>
      </c>
      <c r="J958" s="24">
        <f>Data!J958</f>
        <v>0</v>
      </c>
      <c r="K958" s="24">
        <f t="shared" si="114"/>
        <v>0</v>
      </c>
      <c r="L958" s="25">
        <f t="shared" si="115"/>
        <v>0</v>
      </c>
      <c r="M958" s="24">
        <f>Data!M958</f>
        <v>0</v>
      </c>
      <c r="N958" s="24">
        <f t="shared" si="116"/>
        <v>0</v>
      </c>
      <c r="O958" s="25">
        <f t="shared" si="117"/>
        <v>0</v>
      </c>
      <c r="P958" s="24">
        <f>Data!K958</f>
        <v>0</v>
      </c>
      <c r="Q958" s="24">
        <f>Data!I958</f>
        <v>0</v>
      </c>
      <c r="R958" s="25">
        <f t="shared" si="118"/>
        <v>0</v>
      </c>
      <c r="S958" s="25">
        <f t="shared" si="119"/>
        <v>0</v>
      </c>
    </row>
    <row r="959" spans="1:19" ht="15" customHeight="1" x14ac:dyDescent="0.3">
      <c r="A959" s="22"/>
      <c r="B959" s="23">
        <v>88</v>
      </c>
      <c r="C959" s="2" t="s">
        <v>100</v>
      </c>
      <c r="D959" s="23">
        <v>2014</v>
      </c>
      <c r="E959" s="24">
        <f>Data!F959</f>
        <v>0</v>
      </c>
      <c r="F959" s="24">
        <f>Data!H959</f>
        <v>0</v>
      </c>
      <c r="G959" s="24">
        <f t="shared" si="112"/>
        <v>0</v>
      </c>
      <c r="H959" s="24">
        <f>Data!G959</f>
        <v>0</v>
      </c>
      <c r="I959" s="25">
        <f t="shared" si="113"/>
        <v>0</v>
      </c>
      <c r="J959" s="24">
        <f>Data!J959</f>
        <v>0</v>
      </c>
      <c r="K959" s="24">
        <f t="shared" si="114"/>
        <v>0</v>
      </c>
      <c r="L959" s="25">
        <f t="shared" si="115"/>
        <v>0</v>
      </c>
      <c r="M959" s="24">
        <f>Data!M959</f>
        <v>0</v>
      </c>
      <c r="N959" s="24">
        <f t="shared" si="116"/>
        <v>0</v>
      </c>
      <c r="O959" s="25">
        <f t="shared" si="117"/>
        <v>0</v>
      </c>
      <c r="P959" s="24">
        <f>Data!K959</f>
        <v>0</v>
      </c>
      <c r="Q959" s="24">
        <f>Data!I959</f>
        <v>0</v>
      </c>
      <c r="R959" s="25">
        <f t="shared" si="118"/>
        <v>0</v>
      </c>
      <c r="S959" s="25">
        <f t="shared" si="119"/>
        <v>0</v>
      </c>
    </row>
    <row r="960" spans="1:19" ht="15" customHeight="1" x14ac:dyDescent="0.3">
      <c r="A960" s="22"/>
      <c r="B960" s="23"/>
      <c r="C960" s="2"/>
      <c r="D960" s="23">
        <v>2015</v>
      </c>
      <c r="E960" s="24">
        <f>Data!F960</f>
        <v>0</v>
      </c>
      <c r="F960" s="24">
        <f>Data!H960</f>
        <v>0</v>
      </c>
      <c r="G960" s="24">
        <f t="shared" si="112"/>
        <v>0</v>
      </c>
      <c r="H960" s="24">
        <f>Data!G960</f>
        <v>0</v>
      </c>
      <c r="I960" s="25">
        <f t="shared" si="113"/>
        <v>0</v>
      </c>
      <c r="J960" s="24">
        <f>Data!J960</f>
        <v>0</v>
      </c>
      <c r="K960" s="24">
        <f t="shared" si="114"/>
        <v>0</v>
      </c>
      <c r="L960" s="25">
        <f t="shared" si="115"/>
        <v>0</v>
      </c>
      <c r="M960" s="24">
        <f>Data!M960</f>
        <v>0</v>
      </c>
      <c r="N960" s="24">
        <f t="shared" si="116"/>
        <v>0</v>
      </c>
      <c r="O960" s="25">
        <f t="shared" si="117"/>
        <v>0</v>
      </c>
      <c r="P960" s="24">
        <f>Data!K960</f>
        <v>0</v>
      </c>
      <c r="Q960" s="24">
        <f>Data!I960</f>
        <v>0</v>
      </c>
      <c r="R960" s="25">
        <f t="shared" si="118"/>
        <v>0</v>
      </c>
      <c r="S960" s="25">
        <f t="shared" si="119"/>
        <v>0</v>
      </c>
    </row>
    <row r="961" spans="1:19" ht="15" customHeight="1" x14ac:dyDescent="0.3">
      <c r="A961" s="22"/>
      <c r="B961" s="23"/>
      <c r="C961" s="2"/>
      <c r="D961" s="23">
        <v>2016</v>
      </c>
      <c r="E961" s="24">
        <f>Data!F961</f>
        <v>0</v>
      </c>
      <c r="F961" s="24">
        <f>Data!H961</f>
        <v>0</v>
      </c>
      <c r="G961" s="24">
        <f t="shared" si="112"/>
        <v>0</v>
      </c>
      <c r="H961" s="24">
        <f>Data!G961</f>
        <v>0</v>
      </c>
      <c r="I961" s="25">
        <f t="shared" si="113"/>
        <v>0</v>
      </c>
      <c r="J961" s="24">
        <f>Data!J961</f>
        <v>0</v>
      </c>
      <c r="K961" s="24">
        <f t="shared" si="114"/>
        <v>0</v>
      </c>
      <c r="L961" s="25">
        <f t="shared" si="115"/>
        <v>0</v>
      </c>
      <c r="M961" s="24">
        <f>Data!M961</f>
        <v>0</v>
      </c>
      <c r="N961" s="24">
        <f t="shared" si="116"/>
        <v>0</v>
      </c>
      <c r="O961" s="25">
        <f t="shared" si="117"/>
        <v>0</v>
      </c>
      <c r="P961" s="24">
        <f>Data!K961</f>
        <v>0</v>
      </c>
      <c r="Q961" s="24">
        <f>Data!I961</f>
        <v>0</v>
      </c>
      <c r="R961" s="25">
        <f t="shared" si="118"/>
        <v>0</v>
      </c>
      <c r="S961" s="25">
        <f t="shared" si="119"/>
        <v>0</v>
      </c>
    </row>
    <row r="962" spans="1:19" ht="15" customHeight="1" x14ac:dyDescent="0.3">
      <c r="A962" s="22"/>
      <c r="B962" s="23"/>
      <c r="C962" s="2"/>
      <c r="D962" s="23">
        <v>2017</v>
      </c>
      <c r="E962" s="24">
        <f>Data!F962</f>
        <v>0</v>
      </c>
      <c r="F962" s="24">
        <f>Data!H962</f>
        <v>0</v>
      </c>
      <c r="G962" s="24">
        <f t="shared" si="112"/>
        <v>0</v>
      </c>
      <c r="H962" s="24">
        <f>Data!G962</f>
        <v>0</v>
      </c>
      <c r="I962" s="25">
        <f t="shared" si="113"/>
        <v>0</v>
      </c>
      <c r="J962" s="24">
        <f>Data!J962</f>
        <v>0</v>
      </c>
      <c r="K962" s="24">
        <f t="shared" si="114"/>
        <v>0</v>
      </c>
      <c r="L962" s="25">
        <f t="shared" si="115"/>
        <v>0</v>
      </c>
      <c r="M962" s="24">
        <f>Data!M962</f>
        <v>0</v>
      </c>
      <c r="N962" s="24">
        <f t="shared" si="116"/>
        <v>0</v>
      </c>
      <c r="O962" s="25">
        <f t="shared" si="117"/>
        <v>0</v>
      </c>
      <c r="P962" s="24">
        <f>Data!K962</f>
        <v>0</v>
      </c>
      <c r="Q962" s="24">
        <f>Data!I962</f>
        <v>0</v>
      </c>
      <c r="R962" s="25">
        <f t="shared" si="118"/>
        <v>0</v>
      </c>
      <c r="S962" s="25">
        <f t="shared" si="119"/>
        <v>0</v>
      </c>
    </row>
    <row r="963" spans="1:19" ht="15" customHeight="1" x14ac:dyDescent="0.3">
      <c r="A963" s="22"/>
      <c r="B963" s="23"/>
      <c r="C963" s="2"/>
      <c r="D963" s="23">
        <v>2018</v>
      </c>
      <c r="E963" s="24">
        <f>Data!F963</f>
        <v>0</v>
      </c>
      <c r="F963" s="24">
        <f>Data!H963</f>
        <v>0</v>
      </c>
      <c r="G963" s="24">
        <f t="shared" ref="G963:G1026" si="120">E963-F963</f>
        <v>0</v>
      </c>
      <c r="H963" s="24">
        <f>Data!G963</f>
        <v>0</v>
      </c>
      <c r="I963" s="25">
        <f t="shared" ref="I963:I1026" si="121">IFERROR(6.56*(G963/H963),0)</f>
        <v>0</v>
      </c>
      <c r="J963" s="24">
        <f>Data!J963</f>
        <v>0</v>
      </c>
      <c r="K963" s="24">
        <f t="shared" ref="K963:K1026" si="122">H963</f>
        <v>0</v>
      </c>
      <c r="L963" s="25">
        <f t="shared" ref="L963:L1026" si="123">IFERROR(3.26*(J963/K963),0)</f>
        <v>0</v>
      </c>
      <c r="M963" s="24">
        <f>Data!M963</f>
        <v>0</v>
      </c>
      <c r="N963" s="24">
        <f t="shared" ref="N963:N1026" si="124">K963</f>
        <v>0</v>
      </c>
      <c r="O963" s="25">
        <f t="shared" ref="O963:O1026" si="125">IFERROR(6.72*(M963/N963),0)</f>
        <v>0</v>
      </c>
      <c r="P963" s="24">
        <f>Data!K963</f>
        <v>0</v>
      </c>
      <c r="Q963" s="24">
        <f>Data!I963</f>
        <v>0</v>
      </c>
      <c r="R963" s="25">
        <f t="shared" ref="R963:R1026" si="126">IFERROR(1.05*(P963/Q963),0)</f>
        <v>0</v>
      </c>
      <c r="S963" s="25">
        <f t="shared" ref="S963:S1026" si="127">IFERROR(I963+L963+O963+R963,0)</f>
        <v>0</v>
      </c>
    </row>
    <row r="964" spans="1:19" ht="15" customHeight="1" x14ac:dyDescent="0.3">
      <c r="A964" s="22"/>
      <c r="B964" s="23"/>
      <c r="C964" s="2"/>
      <c r="D964" s="23">
        <v>2019</v>
      </c>
      <c r="E964" s="24">
        <f>Data!F964</f>
        <v>0</v>
      </c>
      <c r="F964" s="24">
        <f>Data!H964</f>
        <v>0</v>
      </c>
      <c r="G964" s="24">
        <f t="shared" si="120"/>
        <v>0</v>
      </c>
      <c r="H964" s="24">
        <f>Data!G964</f>
        <v>0</v>
      </c>
      <c r="I964" s="25">
        <f t="shared" si="121"/>
        <v>0</v>
      </c>
      <c r="J964" s="24">
        <f>Data!J964</f>
        <v>0</v>
      </c>
      <c r="K964" s="24">
        <f t="shared" si="122"/>
        <v>0</v>
      </c>
      <c r="L964" s="25">
        <f t="shared" si="123"/>
        <v>0</v>
      </c>
      <c r="M964" s="24">
        <f>Data!M964</f>
        <v>0</v>
      </c>
      <c r="N964" s="24">
        <f t="shared" si="124"/>
        <v>0</v>
      </c>
      <c r="O964" s="25">
        <f t="shared" si="125"/>
        <v>0</v>
      </c>
      <c r="P964" s="24">
        <f>Data!K964</f>
        <v>0</v>
      </c>
      <c r="Q964" s="24">
        <f>Data!I964</f>
        <v>0</v>
      </c>
      <c r="R964" s="25">
        <f t="shared" si="126"/>
        <v>0</v>
      </c>
      <c r="S964" s="25">
        <f t="shared" si="127"/>
        <v>0</v>
      </c>
    </row>
    <row r="965" spans="1:19" ht="15" customHeight="1" x14ac:dyDescent="0.3">
      <c r="A965" s="22"/>
      <c r="B965" s="23"/>
      <c r="C965" s="2"/>
      <c r="D965" s="23">
        <v>2020</v>
      </c>
      <c r="E965" s="24">
        <f>Data!F965</f>
        <v>0</v>
      </c>
      <c r="F965" s="24">
        <f>Data!H965</f>
        <v>0</v>
      </c>
      <c r="G965" s="24">
        <f t="shared" si="120"/>
        <v>0</v>
      </c>
      <c r="H965" s="24">
        <f>Data!G965</f>
        <v>0</v>
      </c>
      <c r="I965" s="25">
        <f t="shared" si="121"/>
        <v>0</v>
      </c>
      <c r="J965" s="24">
        <f>Data!J965</f>
        <v>0</v>
      </c>
      <c r="K965" s="24">
        <f t="shared" si="122"/>
        <v>0</v>
      </c>
      <c r="L965" s="25">
        <f t="shared" si="123"/>
        <v>0</v>
      </c>
      <c r="M965" s="24">
        <f>Data!M965</f>
        <v>0</v>
      </c>
      <c r="N965" s="24">
        <f t="shared" si="124"/>
        <v>0</v>
      </c>
      <c r="O965" s="25">
        <f t="shared" si="125"/>
        <v>0</v>
      </c>
      <c r="P965" s="24">
        <f>Data!K965</f>
        <v>0</v>
      </c>
      <c r="Q965" s="24">
        <f>Data!I965</f>
        <v>0</v>
      </c>
      <c r="R965" s="25">
        <f t="shared" si="126"/>
        <v>0</v>
      </c>
      <c r="S965" s="25">
        <f t="shared" si="127"/>
        <v>0</v>
      </c>
    </row>
    <row r="966" spans="1:19" ht="15" customHeight="1" x14ac:dyDescent="0.3">
      <c r="A966" s="22"/>
      <c r="B966" s="23"/>
      <c r="C966" s="2"/>
      <c r="D966" s="23">
        <v>2021</v>
      </c>
      <c r="E966" s="24">
        <f>Data!F966</f>
        <v>0</v>
      </c>
      <c r="F966" s="24">
        <f>Data!H966</f>
        <v>0</v>
      </c>
      <c r="G966" s="24">
        <f t="shared" si="120"/>
        <v>0</v>
      </c>
      <c r="H966" s="24">
        <f>Data!G966</f>
        <v>0</v>
      </c>
      <c r="I966" s="25">
        <f t="shared" si="121"/>
        <v>0</v>
      </c>
      <c r="J966" s="24">
        <f>Data!J966</f>
        <v>0</v>
      </c>
      <c r="K966" s="24">
        <f t="shared" si="122"/>
        <v>0</v>
      </c>
      <c r="L966" s="25">
        <f t="shared" si="123"/>
        <v>0</v>
      </c>
      <c r="M966" s="24">
        <f>Data!M966</f>
        <v>0</v>
      </c>
      <c r="N966" s="24">
        <f t="shared" si="124"/>
        <v>0</v>
      </c>
      <c r="O966" s="25">
        <f t="shared" si="125"/>
        <v>0</v>
      </c>
      <c r="P966" s="24">
        <f>Data!K966</f>
        <v>0</v>
      </c>
      <c r="Q966" s="24">
        <f>Data!I966</f>
        <v>0</v>
      </c>
      <c r="R966" s="25">
        <f t="shared" si="126"/>
        <v>0</v>
      </c>
      <c r="S966" s="25">
        <f t="shared" si="127"/>
        <v>0</v>
      </c>
    </row>
    <row r="967" spans="1:19" ht="15" customHeight="1" x14ac:dyDescent="0.3">
      <c r="A967" s="22"/>
      <c r="B967" s="23"/>
      <c r="C967" s="2"/>
      <c r="D967" s="23">
        <v>2022</v>
      </c>
      <c r="E967" s="24">
        <f>Data!F967</f>
        <v>0</v>
      </c>
      <c r="F967" s="24">
        <f>Data!H967</f>
        <v>0</v>
      </c>
      <c r="G967" s="24">
        <f t="shared" si="120"/>
        <v>0</v>
      </c>
      <c r="H967" s="24">
        <f>Data!G967</f>
        <v>0</v>
      </c>
      <c r="I967" s="25">
        <f t="shared" si="121"/>
        <v>0</v>
      </c>
      <c r="J967" s="24">
        <f>Data!J967</f>
        <v>0</v>
      </c>
      <c r="K967" s="24">
        <f t="shared" si="122"/>
        <v>0</v>
      </c>
      <c r="L967" s="25">
        <f t="shared" si="123"/>
        <v>0</v>
      </c>
      <c r="M967" s="24">
        <f>Data!M967</f>
        <v>0</v>
      </c>
      <c r="N967" s="24">
        <f t="shared" si="124"/>
        <v>0</v>
      </c>
      <c r="O967" s="25">
        <f t="shared" si="125"/>
        <v>0</v>
      </c>
      <c r="P967" s="24">
        <f>Data!K967</f>
        <v>0</v>
      </c>
      <c r="Q967" s="24">
        <f>Data!I967</f>
        <v>0</v>
      </c>
      <c r="R967" s="25">
        <f t="shared" si="126"/>
        <v>0</v>
      </c>
      <c r="S967" s="25">
        <f t="shared" si="127"/>
        <v>0</v>
      </c>
    </row>
    <row r="968" spans="1:19" ht="15" customHeight="1" x14ac:dyDescent="0.3">
      <c r="A968" s="22"/>
      <c r="B968" s="23"/>
      <c r="C968" s="2"/>
      <c r="D968" s="23">
        <v>2023</v>
      </c>
      <c r="E968" s="24">
        <f>Data!F968</f>
        <v>0</v>
      </c>
      <c r="F968" s="24">
        <f>Data!H968</f>
        <v>0</v>
      </c>
      <c r="G968" s="24">
        <f t="shared" si="120"/>
        <v>0</v>
      </c>
      <c r="H968" s="24">
        <f>Data!G968</f>
        <v>0</v>
      </c>
      <c r="I968" s="25">
        <f t="shared" si="121"/>
        <v>0</v>
      </c>
      <c r="J968" s="24">
        <f>Data!J968</f>
        <v>0</v>
      </c>
      <c r="K968" s="24">
        <f t="shared" si="122"/>
        <v>0</v>
      </c>
      <c r="L968" s="25">
        <f t="shared" si="123"/>
        <v>0</v>
      </c>
      <c r="M968" s="24">
        <f>Data!M968</f>
        <v>0</v>
      </c>
      <c r="N968" s="24">
        <f t="shared" si="124"/>
        <v>0</v>
      </c>
      <c r="O968" s="25">
        <f t="shared" si="125"/>
        <v>0</v>
      </c>
      <c r="P968" s="24">
        <f>Data!K968</f>
        <v>0</v>
      </c>
      <c r="Q968" s="24">
        <f>Data!I968</f>
        <v>0</v>
      </c>
      <c r="R968" s="25">
        <f t="shared" si="126"/>
        <v>0</v>
      </c>
      <c r="S968" s="25">
        <f t="shared" si="127"/>
        <v>0</v>
      </c>
    </row>
    <row r="969" spans="1:19" ht="15" customHeight="1" x14ac:dyDescent="0.3">
      <c r="A969" s="22"/>
      <c r="B969" s="23"/>
      <c r="C969" s="2"/>
      <c r="D969" s="23">
        <v>2024</v>
      </c>
      <c r="E969" s="24">
        <f>Data!F969</f>
        <v>0</v>
      </c>
      <c r="F969" s="24">
        <f>Data!H969</f>
        <v>0</v>
      </c>
      <c r="G969" s="24">
        <f t="shared" si="120"/>
        <v>0</v>
      </c>
      <c r="H969" s="24">
        <f>Data!G969</f>
        <v>0</v>
      </c>
      <c r="I969" s="25">
        <f t="shared" si="121"/>
        <v>0</v>
      </c>
      <c r="J969" s="24">
        <f>Data!J969</f>
        <v>0</v>
      </c>
      <c r="K969" s="24">
        <f t="shared" si="122"/>
        <v>0</v>
      </c>
      <c r="L969" s="25">
        <f t="shared" si="123"/>
        <v>0</v>
      </c>
      <c r="M969" s="24">
        <f>Data!M969</f>
        <v>0</v>
      </c>
      <c r="N969" s="24">
        <f t="shared" si="124"/>
        <v>0</v>
      </c>
      <c r="O969" s="25">
        <f t="shared" si="125"/>
        <v>0</v>
      </c>
      <c r="P969" s="24">
        <f>Data!K969</f>
        <v>0</v>
      </c>
      <c r="Q969" s="24">
        <f>Data!I969</f>
        <v>0</v>
      </c>
      <c r="R969" s="25">
        <f t="shared" si="126"/>
        <v>0</v>
      </c>
      <c r="S969" s="25">
        <f t="shared" si="127"/>
        <v>0</v>
      </c>
    </row>
    <row r="970" spans="1:19" ht="15" customHeight="1" x14ac:dyDescent="0.3">
      <c r="A970" s="22"/>
      <c r="B970" s="23">
        <v>89</v>
      </c>
      <c r="C970" s="2" t="s">
        <v>101</v>
      </c>
      <c r="D970" s="23">
        <v>2014</v>
      </c>
      <c r="E970" s="24">
        <f>Data!F970</f>
        <v>0</v>
      </c>
      <c r="F970" s="24">
        <f>Data!H970</f>
        <v>0</v>
      </c>
      <c r="G970" s="24">
        <f t="shared" si="120"/>
        <v>0</v>
      </c>
      <c r="H970" s="24">
        <f>Data!G970</f>
        <v>0</v>
      </c>
      <c r="I970" s="25">
        <f t="shared" si="121"/>
        <v>0</v>
      </c>
      <c r="J970" s="24">
        <f>Data!J970</f>
        <v>0</v>
      </c>
      <c r="K970" s="24">
        <f t="shared" si="122"/>
        <v>0</v>
      </c>
      <c r="L970" s="25">
        <f t="shared" si="123"/>
        <v>0</v>
      </c>
      <c r="M970" s="24">
        <f>Data!M970</f>
        <v>0</v>
      </c>
      <c r="N970" s="24">
        <f t="shared" si="124"/>
        <v>0</v>
      </c>
      <c r="O970" s="25">
        <f t="shared" si="125"/>
        <v>0</v>
      </c>
      <c r="P970" s="24">
        <f>Data!K970</f>
        <v>0</v>
      </c>
      <c r="Q970" s="24">
        <f>Data!I970</f>
        <v>0</v>
      </c>
      <c r="R970" s="25">
        <f t="shared" si="126"/>
        <v>0</v>
      </c>
      <c r="S970" s="25">
        <f t="shared" si="127"/>
        <v>0</v>
      </c>
    </row>
    <row r="971" spans="1:19" ht="15" customHeight="1" x14ac:dyDescent="0.3">
      <c r="A971" s="22"/>
      <c r="B971" s="23"/>
      <c r="C971" s="2"/>
      <c r="D971" s="23">
        <v>2015</v>
      </c>
      <c r="E971" s="24">
        <f>Data!F971</f>
        <v>150700192791</v>
      </c>
      <c r="F971" s="24">
        <f>Data!H971</f>
        <v>139680162903</v>
      </c>
      <c r="G971" s="24">
        <f t="shared" si="120"/>
        <v>11020029888</v>
      </c>
      <c r="H971" s="24">
        <f>Data!G971</f>
        <v>559080454850</v>
      </c>
      <c r="I971" s="25">
        <f t="shared" si="121"/>
        <v>0.12930410183034499</v>
      </c>
      <c r="J971" s="24">
        <f>Data!J971</f>
        <v>45078261315</v>
      </c>
      <c r="K971" s="24">
        <f t="shared" si="122"/>
        <v>559080454850</v>
      </c>
      <c r="L971" s="25">
        <f t="shared" si="123"/>
        <v>0.26285149232470972</v>
      </c>
      <c r="M971" s="24">
        <f>Data!M971</f>
        <v>9451458779</v>
      </c>
      <c r="N971" s="24">
        <f t="shared" si="124"/>
        <v>559080454850</v>
      </c>
      <c r="O971" s="25">
        <f t="shared" si="125"/>
        <v>0.1136040482973432</v>
      </c>
      <c r="P971" s="24">
        <f>Data!K971</f>
        <v>225241558243</v>
      </c>
      <c r="Q971" s="24">
        <f>Data!I971</f>
        <v>333838896607</v>
      </c>
      <c r="R971" s="25">
        <f t="shared" si="126"/>
        <v>0.7084364301430266</v>
      </c>
      <c r="S971" s="25">
        <f t="shared" si="127"/>
        <v>1.2141960725954246</v>
      </c>
    </row>
    <row r="972" spans="1:19" ht="15" customHeight="1" x14ac:dyDescent="0.3">
      <c r="A972" s="22"/>
      <c r="B972" s="23"/>
      <c r="C972" s="2"/>
      <c r="D972" s="23">
        <v>2016</v>
      </c>
      <c r="E972" s="24">
        <f>Data!F972</f>
        <v>192866787465</v>
      </c>
      <c r="F972" s="24">
        <f>Data!H972</f>
        <v>146731297668</v>
      </c>
      <c r="G972" s="24">
        <f t="shared" si="120"/>
        <v>46135489797</v>
      </c>
      <c r="H972" s="24">
        <f>Data!G972</f>
        <v>617651155745</v>
      </c>
      <c r="I972" s="25">
        <f t="shared" si="121"/>
        <v>0.4899995899842044</v>
      </c>
      <c r="J972" s="24">
        <f>Data!J972</f>
        <v>88373519606</v>
      </c>
      <c r="K972" s="24">
        <f t="shared" si="122"/>
        <v>617651155745</v>
      </c>
      <c r="L972" s="25">
        <f t="shared" si="123"/>
        <v>0.46644075905283722</v>
      </c>
      <c r="M972" s="24">
        <f>Data!M972</f>
        <v>44418078188</v>
      </c>
      <c r="N972" s="24">
        <f t="shared" si="124"/>
        <v>617651155745</v>
      </c>
      <c r="O972" s="25">
        <f t="shared" si="125"/>
        <v>0.48326548513185769</v>
      </c>
      <c r="P972" s="24">
        <f>Data!K972</f>
        <v>269632579797</v>
      </c>
      <c r="Q972" s="24">
        <f>Data!I972</f>
        <v>348018575948</v>
      </c>
      <c r="R972" s="25">
        <f t="shared" si="126"/>
        <v>0.8135031528580019</v>
      </c>
      <c r="S972" s="25">
        <f t="shared" si="127"/>
        <v>2.253208987026901</v>
      </c>
    </row>
    <row r="973" spans="1:19" ht="15" customHeight="1" x14ac:dyDescent="0.3">
      <c r="A973" s="22"/>
      <c r="B973" s="23"/>
      <c r="C973" s="2"/>
      <c r="D973" s="23">
        <v>2017</v>
      </c>
      <c r="E973" s="24">
        <f>Data!F973</f>
        <v>268253317598</v>
      </c>
      <c r="F973" s="24">
        <f>Data!H973</f>
        <v>155395632847</v>
      </c>
      <c r="G973" s="24">
        <f t="shared" si="120"/>
        <v>112857684751</v>
      </c>
      <c r="H973" s="24">
        <f>Data!G973</f>
        <v>858490283480</v>
      </c>
      <c r="I973" s="25">
        <f t="shared" si="121"/>
        <v>0.86238181865666697</v>
      </c>
      <c r="J973" s="24">
        <f>Data!J973</f>
        <v>145039631118</v>
      </c>
      <c r="K973" s="24">
        <f t="shared" si="122"/>
        <v>858490283480</v>
      </c>
      <c r="L973" s="25">
        <f t="shared" si="123"/>
        <v>0.55076825742046431</v>
      </c>
      <c r="M973" s="24">
        <f>Data!M973</f>
        <v>52663921606</v>
      </c>
      <c r="N973" s="24">
        <f t="shared" si="124"/>
        <v>858490283480</v>
      </c>
      <c r="O973" s="25">
        <f t="shared" si="125"/>
        <v>0.41223710972911054</v>
      </c>
      <c r="P973" s="24">
        <f>Data!K973</f>
        <v>454968310890</v>
      </c>
      <c r="Q973" s="24">
        <f>Data!I973</f>
        <v>403521972590</v>
      </c>
      <c r="R973" s="25">
        <f t="shared" si="126"/>
        <v>1.1838679399991083</v>
      </c>
      <c r="S973" s="25">
        <f t="shared" si="127"/>
        <v>3.0092551258053497</v>
      </c>
    </row>
    <row r="974" spans="1:19" ht="15" customHeight="1" x14ac:dyDescent="0.3">
      <c r="A974" s="22"/>
      <c r="B974" s="23"/>
      <c r="C974" s="2"/>
      <c r="D974" s="23">
        <v>2018</v>
      </c>
      <c r="E974" s="24">
        <f>Data!F974</f>
        <v>327819110936</v>
      </c>
      <c r="F974" s="24">
        <f>Data!H974</f>
        <v>187888163205</v>
      </c>
      <c r="G974" s="24">
        <f t="shared" si="120"/>
        <v>139930947731</v>
      </c>
      <c r="H974" s="24">
        <f>Data!G974</f>
        <v>969866560976</v>
      </c>
      <c r="I974" s="25">
        <f t="shared" si="121"/>
        <v>0.94646733277576645</v>
      </c>
      <c r="J974" s="24">
        <f>Data!J974</f>
        <v>213782118205</v>
      </c>
      <c r="K974" s="24">
        <f t="shared" si="122"/>
        <v>969866560976</v>
      </c>
      <c r="L974" s="25">
        <f t="shared" si="123"/>
        <v>0.7185830849214585</v>
      </c>
      <c r="M974" s="24">
        <f>Data!M974</f>
        <v>72568168863</v>
      </c>
      <c r="N974" s="24">
        <f t="shared" si="124"/>
        <v>969866560976</v>
      </c>
      <c r="O974" s="25">
        <f t="shared" si="125"/>
        <v>0.50280947336571535</v>
      </c>
      <c r="P974" s="24">
        <f>Data!K974</f>
        <v>519594297238</v>
      </c>
      <c r="Q974" s="24">
        <f>Data!I974</f>
        <v>450272263738</v>
      </c>
      <c r="R974" s="25">
        <f t="shared" si="126"/>
        <v>1.2116536061331846</v>
      </c>
      <c r="S974" s="25">
        <f t="shared" si="127"/>
        <v>3.3795134971961249</v>
      </c>
    </row>
    <row r="975" spans="1:19" ht="15" customHeight="1" x14ac:dyDescent="0.3">
      <c r="A975" s="22"/>
      <c r="B975" s="23"/>
      <c r="C975" s="2"/>
      <c r="D975" s="23">
        <v>2019</v>
      </c>
      <c r="E975" s="24">
        <f>Data!F975</f>
        <v>328254362064</v>
      </c>
      <c r="F975" s="24">
        <f>Data!H975</f>
        <v>169711432103</v>
      </c>
      <c r="G975" s="24">
        <f t="shared" si="120"/>
        <v>158542929961</v>
      </c>
      <c r="H975" s="24">
        <f>Data!G975</f>
        <v>975687462693</v>
      </c>
      <c r="I975" s="25">
        <f t="shared" si="121"/>
        <v>1.0659577583107767</v>
      </c>
      <c r="J975" s="24">
        <f>Data!J975</f>
        <v>224348262795</v>
      </c>
      <c r="K975" s="24">
        <f t="shared" si="122"/>
        <v>975687462693</v>
      </c>
      <c r="L975" s="25">
        <f t="shared" si="123"/>
        <v>0.74960001504275475</v>
      </c>
      <c r="M975" s="24">
        <f>Data!M975</f>
        <v>11013910061</v>
      </c>
      <c r="N975" s="24">
        <f t="shared" si="124"/>
        <v>975687462693</v>
      </c>
      <c r="O975" s="25">
        <f t="shared" si="125"/>
        <v>7.5857770484858977E-2</v>
      </c>
      <c r="P975" s="24">
        <f>Data!K975</f>
        <v>530294832434</v>
      </c>
      <c r="Q975" s="24">
        <f>Data!I975</f>
        <v>445392630259</v>
      </c>
      <c r="R975" s="25">
        <f t="shared" si="126"/>
        <v>1.2501544395377848</v>
      </c>
      <c r="S975" s="25">
        <f t="shared" si="127"/>
        <v>3.1415699833761757</v>
      </c>
    </row>
    <row r="976" spans="1:19" ht="15" customHeight="1" x14ac:dyDescent="0.3">
      <c r="A976" s="22"/>
      <c r="B976" s="23"/>
      <c r="C976" s="2"/>
      <c r="D976" s="23">
        <v>2020</v>
      </c>
      <c r="E976" s="24">
        <f>Data!F976</f>
        <v>540352807215</v>
      </c>
      <c r="F976" s="24">
        <f>Data!H976</f>
        <v>129463585915</v>
      </c>
      <c r="G976" s="24">
        <f t="shared" si="120"/>
        <v>410889221300</v>
      </c>
      <c r="H976" s="24">
        <f>Data!G976</f>
        <v>990991744064</v>
      </c>
      <c r="I976" s="25">
        <f t="shared" si="121"/>
        <v>2.719935163812953</v>
      </c>
      <c r="J976" s="24">
        <f>Data!J976</f>
        <v>137362245559</v>
      </c>
      <c r="K976" s="24">
        <f t="shared" si="122"/>
        <v>990991744064</v>
      </c>
      <c r="L976" s="25">
        <f t="shared" si="123"/>
        <v>0.45187149459584214</v>
      </c>
      <c r="M976" s="24">
        <f>Data!M976</f>
        <v>-99983145556</v>
      </c>
      <c r="N976" s="24">
        <f t="shared" si="124"/>
        <v>990991744064</v>
      </c>
      <c r="O976" s="25">
        <f t="shared" si="125"/>
        <v>-0.67799428417127994</v>
      </c>
      <c r="P976" s="24">
        <f>Data!K976</f>
        <v>443450319375</v>
      </c>
      <c r="Q976" s="24">
        <f>Data!I976</f>
        <v>547541424689</v>
      </c>
      <c r="R976" s="25">
        <f t="shared" si="126"/>
        <v>0.8503883256106527</v>
      </c>
      <c r="S976" s="25">
        <f t="shared" si="127"/>
        <v>3.3442006998481681</v>
      </c>
    </row>
    <row r="977" spans="1:19" ht="15" customHeight="1" x14ac:dyDescent="0.3">
      <c r="A977" s="22"/>
      <c r="B977" s="23"/>
      <c r="C977" s="2"/>
      <c r="D977" s="23">
        <v>2021</v>
      </c>
      <c r="E977" s="24">
        <f>Data!F977</f>
        <v>444588775462</v>
      </c>
      <c r="F977" s="24">
        <f>Data!H977</f>
        <v>84785705077</v>
      </c>
      <c r="G977" s="24">
        <f t="shared" si="120"/>
        <v>359803070385</v>
      </c>
      <c r="H977" s="24">
        <f>Data!G977</f>
        <v>981089572950</v>
      </c>
      <c r="I977" s="25">
        <f t="shared" si="121"/>
        <v>2.40580290200056</v>
      </c>
      <c r="J977" s="24">
        <f>Data!J977</f>
        <v>156903863542</v>
      </c>
      <c r="K977" s="24">
        <f t="shared" si="122"/>
        <v>981089572950</v>
      </c>
      <c r="L977" s="25">
        <f t="shared" si="123"/>
        <v>0.52136584594298641</v>
      </c>
      <c r="M977" s="24">
        <f>Data!M977</f>
        <v>12308010250</v>
      </c>
      <c r="N977" s="24">
        <f t="shared" si="124"/>
        <v>981089572950</v>
      </c>
      <c r="O977" s="25">
        <f t="shared" si="125"/>
        <v>8.4304054553656138E-2</v>
      </c>
      <c r="P977" s="24">
        <f>Data!K977</f>
        <v>462879983946</v>
      </c>
      <c r="Q977" s="24">
        <f>Data!I977</f>
        <v>518209589004</v>
      </c>
      <c r="R977" s="25">
        <f t="shared" si="126"/>
        <v>0.93789075589558113</v>
      </c>
      <c r="S977" s="25">
        <f t="shared" si="127"/>
        <v>3.9493635583927835</v>
      </c>
    </row>
    <row r="978" spans="1:19" ht="15" customHeight="1" x14ac:dyDescent="0.3">
      <c r="A978" s="22"/>
      <c r="B978" s="23"/>
      <c r="C978" s="2"/>
      <c r="D978" s="23">
        <v>2022</v>
      </c>
      <c r="E978" s="24">
        <f>Data!F978</f>
        <v>618742227049</v>
      </c>
      <c r="F978" s="24">
        <f>Data!H978</f>
        <v>162928979422</v>
      </c>
      <c r="G978" s="24">
        <f t="shared" si="120"/>
        <v>455813247627</v>
      </c>
      <c r="H978" s="24">
        <f>Data!G978</f>
        <v>1063470852516</v>
      </c>
      <c r="I978" s="25">
        <f t="shared" si="121"/>
        <v>2.8116754656311871</v>
      </c>
      <c r="J978" s="24">
        <f>Data!J978</f>
        <v>72452349563</v>
      </c>
      <c r="K978" s="24">
        <f t="shared" si="122"/>
        <v>1063470852516</v>
      </c>
      <c r="L978" s="25">
        <f t="shared" si="123"/>
        <v>0.22209791553438596</v>
      </c>
      <c r="M978" s="24">
        <f>Data!M978</f>
        <v>-86840603201</v>
      </c>
      <c r="N978" s="24">
        <f t="shared" si="124"/>
        <v>1063470852516</v>
      </c>
      <c r="O978" s="25">
        <f t="shared" si="125"/>
        <v>-0.54873986638194228</v>
      </c>
      <c r="P978" s="24">
        <f>Data!K978</f>
        <v>376952349563</v>
      </c>
      <c r="Q978" s="24">
        <f>Data!I978</f>
        <v>686518502953</v>
      </c>
      <c r="R978" s="25">
        <f t="shared" si="126"/>
        <v>0.57653211871005761</v>
      </c>
      <c r="S978" s="25">
        <f t="shared" si="127"/>
        <v>3.061565633493688</v>
      </c>
    </row>
    <row r="979" spans="1:19" ht="15" customHeight="1" x14ac:dyDescent="0.3">
      <c r="A979" s="22"/>
      <c r="B979" s="23"/>
      <c r="C979" s="2"/>
      <c r="D979" s="23">
        <v>2023</v>
      </c>
      <c r="E979" s="24">
        <f>Data!F979</f>
        <v>501356714444</v>
      </c>
      <c r="F979" s="24">
        <f>Data!H979</f>
        <v>75021397740</v>
      </c>
      <c r="G979" s="24">
        <f t="shared" si="120"/>
        <v>426335316704</v>
      </c>
      <c r="H979" s="24">
        <f>Data!G979</f>
        <v>961063073477</v>
      </c>
      <c r="I979" s="25">
        <f t="shared" si="121"/>
        <v>2.9100688131320358</v>
      </c>
      <c r="J979" s="24">
        <f>Data!J979</f>
        <v>80057104143</v>
      </c>
      <c r="K979" s="24">
        <f t="shared" si="122"/>
        <v>961063073477</v>
      </c>
      <c r="L979" s="25">
        <f t="shared" si="123"/>
        <v>0.2715598660574548</v>
      </c>
      <c r="M979" s="24">
        <f>Data!M979</f>
        <v>12349579697</v>
      </c>
      <c r="N979" s="24">
        <f t="shared" si="124"/>
        <v>961063073477</v>
      </c>
      <c r="O979" s="25">
        <f t="shared" si="125"/>
        <v>8.6351435045356653E-2</v>
      </c>
      <c r="P979" s="24">
        <f>Data!K979</f>
        <v>385442024803</v>
      </c>
      <c r="Q979" s="24">
        <f>Data!I979</f>
        <v>575621048674</v>
      </c>
      <c r="R979" s="25">
        <f t="shared" si="126"/>
        <v>0.70309125591471866</v>
      </c>
      <c r="S979" s="25">
        <f t="shared" si="127"/>
        <v>3.9710713701495663</v>
      </c>
    </row>
    <row r="980" spans="1:19" ht="15" customHeight="1" x14ac:dyDescent="0.3">
      <c r="A980" s="22"/>
      <c r="B980" s="23"/>
      <c r="C980" s="2"/>
      <c r="D980" s="23">
        <v>2024</v>
      </c>
      <c r="E980" s="24">
        <f>Data!F980</f>
        <v>643740061139</v>
      </c>
      <c r="F980" s="24">
        <f>Data!H980</f>
        <v>80749877256</v>
      </c>
      <c r="G980" s="24">
        <f t="shared" si="120"/>
        <v>562990183883</v>
      </c>
      <c r="H980" s="24">
        <f>Data!G980</f>
        <v>1108514523644</v>
      </c>
      <c r="I980" s="25">
        <f t="shared" si="121"/>
        <v>3.3316799441939997</v>
      </c>
      <c r="J980" s="24">
        <f>Data!J980</f>
        <v>85667810605</v>
      </c>
      <c r="K980" s="24">
        <f t="shared" si="122"/>
        <v>1108514523644</v>
      </c>
      <c r="L980" s="25">
        <f t="shared" si="123"/>
        <v>0.25193811773817582</v>
      </c>
      <c r="M980" s="24">
        <f>Data!M980</f>
        <v>9736244072</v>
      </c>
      <c r="N980" s="24">
        <f t="shared" si="124"/>
        <v>1108514523644</v>
      </c>
      <c r="O980" s="25">
        <f t="shared" si="125"/>
        <v>5.9022736074545196E-2</v>
      </c>
      <c r="P980" s="24">
        <f>Data!K980</f>
        <v>390973640398</v>
      </c>
      <c r="Q980" s="24">
        <f>Data!I980</f>
        <v>717540883246</v>
      </c>
      <c r="R980" s="25">
        <f t="shared" si="126"/>
        <v>0.57212394722484061</v>
      </c>
      <c r="S980" s="25">
        <f t="shared" si="127"/>
        <v>4.2147647452315606</v>
      </c>
    </row>
    <row r="981" spans="1:19" ht="15" customHeight="1" x14ac:dyDescent="0.3">
      <c r="A981" s="22"/>
      <c r="B981" s="23">
        <v>90</v>
      </c>
      <c r="C981" s="2" t="s">
        <v>93</v>
      </c>
      <c r="D981" s="23">
        <v>2014</v>
      </c>
      <c r="E981" s="24">
        <f>Data!F981</f>
        <v>0</v>
      </c>
      <c r="F981" s="24">
        <f>Data!H981</f>
        <v>0</v>
      </c>
      <c r="G981" s="24">
        <f t="shared" si="120"/>
        <v>0</v>
      </c>
      <c r="H981" s="24">
        <f>Data!G981</f>
        <v>0</v>
      </c>
      <c r="I981" s="25">
        <f t="shared" si="121"/>
        <v>0</v>
      </c>
      <c r="J981" s="24">
        <f>Data!J981</f>
        <v>0</v>
      </c>
      <c r="K981" s="24">
        <f t="shared" si="122"/>
        <v>0</v>
      </c>
      <c r="L981" s="25">
        <f t="shared" si="123"/>
        <v>0</v>
      </c>
      <c r="M981" s="24">
        <f>Data!M981</f>
        <v>0</v>
      </c>
      <c r="N981" s="24">
        <f t="shared" si="124"/>
        <v>0</v>
      </c>
      <c r="O981" s="25">
        <f t="shared" si="125"/>
        <v>0</v>
      </c>
      <c r="P981" s="24">
        <f>Data!K981</f>
        <v>0</v>
      </c>
      <c r="Q981" s="24">
        <f>Data!I981</f>
        <v>0</v>
      </c>
      <c r="R981" s="25">
        <f t="shared" si="126"/>
        <v>0</v>
      </c>
      <c r="S981" s="25">
        <f t="shared" si="127"/>
        <v>0</v>
      </c>
    </row>
    <row r="982" spans="1:19" ht="15" customHeight="1" x14ac:dyDescent="0.3">
      <c r="A982" s="22"/>
      <c r="B982" s="23"/>
      <c r="C982" s="2"/>
      <c r="D982" s="23">
        <v>2015</v>
      </c>
      <c r="E982" s="24">
        <f>Data!F982</f>
        <v>153288000000</v>
      </c>
      <c r="F982" s="24">
        <f>Data!H982</f>
        <v>72703000000</v>
      </c>
      <c r="G982" s="24">
        <f t="shared" si="120"/>
        <v>80585000000</v>
      </c>
      <c r="H982" s="24">
        <f>Data!G982</f>
        <v>431955000000</v>
      </c>
      <c r="I982" s="25">
        <f t="shared" si="121"/>
        <v>1.2238256299846049</v>
      </c>
      <c r="J982" s="24">
        <f>Data!J982</f>
        <v>54911000000</v>
      </c>
      <c r="K982" s="24">
        <f t="shared" si="122"/>
        <v>431955000000</v>
      </c>
      <c r="L982" s="25">
        <f t="shared" si="123"/>
        <v>0.41441784445138963</v>
      </c>
      <c r="M982" s="24">
        <f>Data!M982</f>
        <v>39237000000</v>
      </c>
      <c r="N982" s="24">
        <f t="shared" si="124"/>
        <v>431955000000</v>
      </c>
      <c r="O982" s="25">
        <f t="shared" si="125"/>
        <v>0.61041691842900303</v>
      </c>
      <c r="P982" s="24">
        <f>Data!K982</f>
        <v>164901000000</v>
      </c>
      <c r="Q982" s="24">
        <f>Data!I982</f>
        <v>267054000000</v>
      </c>
      <c r="R982" s="25">
        <f t="shared" si="126"/>
        <v>0.64835595048192507</v>
      </c>
      <c r="S982" s="25">
        <f t="shared" si="127"/>
        <v>2.8970163433469227</v>
      </c>
    </row>
    <row r="983" spans="1:19" ht="15" customHeight="1" x14ac:dyDescent="0.3">
      <c r="A983" s="22"/>
      <c r="B983" s="23"/>
      <c r="C983" s="2"/>
      <c r="D983" s="23">
        <v>2016</v>
      </c>
      <c r="E983" s="24">
        <f>Data!F983</f>
        <v>247697000000</v>
      </c>
      <c r="F983" s="24">
        <f>Data!H983</f>
        <v>83019000000</v>
      </c>
      <c r="G983" s="24">
        <f t="shared" si="120"/>
        <v>164678000000</v>
      </c>
      <c r="H983" s="24">
        <f>Data!G983</f>
        <v>594080000000</v>
      </c>
      <c r="I983" s="25">
        <f t="shared" si="121"/>
        <v>1.8184212227309453</v>
      </c>
      <c r="J983" s="24">
        <f>Data!J983</f>
        <v>95451000000</v>
      </c>
      <c r="K983" s="24">
        <f t="shared" si="122"/>
        <v>594080000000</v>
      </c>
      <c r="L983" s="25">
        <f t="shared" si="123"/>
        <v>0.52378511311607856</v>
      </c>
      <c r="M983" s="24">
        <f>Data!M983</f>
        <v>48750000000</v>
      </c>
      <c r="N983" s="24">
        <f t="shared" si="124"/>
        <v>594080000000</v>
      </c>
      <c r="O983" s="25">
        <f t="shared" si="125"/>
        <v>0.55144088338270936</v>
      </c>
      <c r="P983" s="24">
        <f>Data!K983</f>
        <v>206064000000</v>
      </c>
      <c r="Q983" s="24">
        <f>Data!I983</f>
        <v>388016000000</v>
      </c>
      <c r="R983" s="25">
        <f t="shared" si="126"/>
        <v>0.55762442785864497</v>
      </c>
      <c r="S983" s="25">
        <f t="shared" si="127"/>
        <v>3.4512716470883786</v>
      </c>
    </row>
    <row r="984" spans="1:19" ht="15" customHeight="1" x14ac:dyDescent="0.3">
      <c r="A984" s="22"/>
      <c r="B984" s="23"/>
      <c r="C984" s="2"/>
      <c r="D984" s="23">
        <v>2017</v>
      </c>
      <c r="E984" s="24">
        <f>Data!F984</f>
        <v>328784000000</v>
      </c>
      <c r="F984" s="24">
        <f>Data!H984</f>
        <v>106657000000</v>
      </c>
      <c r="G984" s="24">
        <f t="shared" si="120"/>
        <v>222127000000</v>
      </c>
      <c r="H984" s="24">
        <f>Data!G984</f>
        <v>782898000000</v>
      </c>
      <c r="I984" s="25">
        <f t="shared" si="121"/>
        <v>1.8612298409243604</v>
      </c>
      <c r="J984" s="24">
        <f>Data!J984</f>
        <v>162401000000</v>
      </c>
      <c r="K984" s="24">
        <f t="shared" si="122"/>
        <v>782898000000</v>
      </c>
      <c r="L984" s="25">
        <f t="shared" si="123"/>
        <v>0.67624040424167631</v>
      </c>
      <c r="M984" s="24">
        <f>Data!M984</f>
        <v>82901000000</v>
      </c>
      <c r="N984" s="24">
        <f t="shared" si="124"/>
        <v>782898000000</v>
      </c>
      <c r="O984" s="25">
        <f t="shared" si="125"/>
        <v>0.71158020585057058</v>
      </c>
      <c r="P984" s="24">
        <f>Data!K984</f>
        <v>272915000000</v>
      </c>
      <c r="Q984" s="24">
        <f>Data!I984</f>
        <v>509983000000</v>
      </c>
      <c r="R984" s="25">
        <f t="shared" si="126"/>
        <v>0.56190255361453223</v>
      </c>
      <c r="S984" s="25">
        <f t="shared" si="127"/>
        <v>3.8109530046311395</v>
      </c>
    </row>
    <row r="985" spans="1:19" ht="15" customHeight="1" x14ac:dyDescent="0.3">
      <c r="A985" s="22"/>
      <c r="B985" s="23"/>
      <c r="C985" s="2"/>
      <c r="D985" s="23">
        <v>2018</v>
      </c>
      <c r="E985" s="24">
        <f>Data!F985</f>
        <v>390619000000</v>
      </c>
      <c r="F985" s="24">
        <f>Data!H985</f>
        <v>87834000000</v>
      </c>
      <c r="G985" s="24">
        <f t="shared" si="120"/>
        <v>302785000000</v>
      </c>
      <c r="H985" s="24">
        <f>Data!G985</f>
        <v>1026523000000</v>
      </c>
      <c r="I985" s="25">
        <f t="shared" si="121"/>
        <v>1.9349489490250096</v>
      </c>
      <c r="J985" s="24">
        <f>Data!J985</f>
        <v>225222000000</v>
      </c>
      <c r="K985" s="24">
        <f t="shared" si="122"/>
        <v>1026523000000</v>
      </c>
      <c r="L985" s="25">
        <f t="shared" si="123"/>
        <v>0.71525306300979119</v>
      </c>
      <c r="M985" s="24">
        <f>Data!M985</f>
        <v>74782000000</v>
      </c>
      <c r="N985" s="24">
        <f t="shared" si="124"/>
        <v>1026523000000</v>
      </c>
      <c r="O985" s="25">
        <f t="shared" si="125"/>
        <v>0.4895506871253737</v>
      </c>
      <c r="P985" s="24">
        <f>Data!K985</f>
        <v>335459000000</v>
      </c>
      <c r="Q985" s="24">
        <f>Data!I985</f>
        <v>691064000000</v>
      </c>
      <c r="R985" s="25">
        <f t="shared" si="126"/>
        <v>0.50969512230415714</v>
      </c>
      <c r="S985" s="25">
        <f t="shared" si="127"/>
        <v>3.649447821464332</v>
      </c>
    </row>
    <row r="986" spans="1:19" ht="15" customHeight="1" x14ac:dyDescent="0.3">
      <c r="A986" s="22"/>
      <c r="B986" s="23"/>
      <c r="C986" s="2"/>
      <c r="D986" s="23">
        <v>2019</v>
      </c>
      <c r="E986" s="24">
        <f>Data!F986</f>
        <v>354761000000</v>
      </c>
      <c r="F986" s="24">
        <f>Data!H986</f>
        <v>100487000000</v>
      </c>
      <c r="G986" s="24">
        <f t="shared" si="120"/>
        <v>254274000000</v>
      </c>
      <c r="H986" s="24">
        <f>Data!G986</f>
        <v>1118465000000</v>
      </c>
      <c r="I986" s="25">
        <f t="shared" si="121"/>
        <v>1.4913631092613537</v>
      </c>
      <c r="J986" s="24">
        <f>Data!J986</f>
        <v>303476000000</v>
      </c>
      <c r="K986" s="24">
        <f t="shared" si="122"/>
        <v>1118465000000</v>
      </c>
      <c r="L986" s="25">
        <f t="shared" si="123"/>
        <v>0.88454422802680455</v>
      </c>
      <c r="M986" s="24">
        <f>Data!M986</f>
        <v>91893000000</v>
      </c>
      <c r="N986" s="24">
        <f t="shared" si="124"/>
        <v>1118465000000</v>
      </c>
      <c r="O986" s="25">
        <f t="shared" si="125"/>
        <v>0.55211469290500814</v>
      </c>
      <c r="P986" s="24">
        <f>Data!K986</f>
        <v>415061000000</v>
      </c>
      <c r="Q986" s="24">
        <f>Data!I986</f>
        <v>703404000000</v>
      </c>
      <c r="R986" s="25">
        <f t="shared" si="126"/>
        <v>0.61957857788696113</v>
      </c>
      <c r="S986" s="25">
        <f t="shared" si="127"/>
        <v>3.5476006080801272</v>
      </c>
    </row>
    <row r="987" spans="1:19" ht="15" customHeight="1" x14ac:dyDescent="0.3">
      <c r="A987" s="22"/>
      <c r="B987" s="23"/>
      <c r="C987" s="2"/>
      <c r="D987" s="23">
        <v>2020</v>
      </c>
      <c r="E987" s="24">
        <f>Data!F987</f>
        <v>909465000000</v>
      </c>
      <c r="F987" s="24">
        <f>Data!H987</f>
        <v>119555000000</v>
      </c>
      <c r="G987" s="24">
        <f t="shared" si="120"/>
        <v>789910000000</v>
      </c>
      <c r="H987" s="24">
        <f>Data!G987</f>
        <v>1702005000000</v>
      </c>
      <c r="I987" s="25">
        <f t="shared" si="121"/>
        <v>3.0445325366259204</v>
      </c>
      <c r="J987" s="24">
        <f>Data!J987</f>
        <v>406833000000</v>
      </c>
      <c r="K987" s="24">
        <f t="shared" si="122"/>
        <v>1702005000000</v>
      </c>
      <c r="L987" s="25">
        <f t="shared" si="123"/>
        <v>0.77924305745282763</v>
      </c>
      <c r="M987" s="24">
        <f>Data!M987</f>
        <v>120017000000</v>
      </c>
      <c r="N987" s="24">
        <f t="shared" si="124"/>
        <v>1702005000000</v>
      </c>
      <c r="O987" s="25">
        <f t="shared" si="125"/>
        <v>0.47386126362731013</v>
      </c>
      <c r="P987" s="24">
        <f>Data!K987</f>
        <v>523192000000</v>
      </c>
      <c r="Q987" s="24">
        <f>Data!I987</f>
        <v>1178813000000</v>
      </c>
      <c r="R987" s="25">
        <f t="shared" si="126"/>
        <v>0.46602098891003069</v>
      </c>
      <c r="S987" s="25">
        <f t="shared" si="127"/>
        <v>4.7636578466160886</v>
      </c>
    </row>
    <row r="988" spans="1:19" ht="15" customHeight="1" x14ac:dyDescent="0.3">
      <c r="A988" s="22"/>
      <c r="B988" s="23"/>
      <c r="C988" s="2"/>
      <c r="D988" s="23">
        <v>2021</v>
      </c>
      <c r="E988" s="24">
        <f>Data!F988</f>
        <v>1154884000000</v>
      </c>
      <c r="F988" s="24">
        <f>Data!H988</f>
        <v>152595000000</v>
      </c>
      <c r="G988" s="24">
        <f t="shared" si="120"/>
        <v>1002289000000</v>
      </c>
      <c r="H988" s="24">
        <f>Data!G988</f>
        <v>2024029000000</v>
      </c>
      <c r="I988" s="25">
        <f t="shared" si="121"/>
        <v>3.248479068234694</v>
      </c>
      <c r="J988" s="24">
        <f>Data!J988</f>
        <v>495580000000</v>
      </c>
      <c r="K988" s="24">
        <f t="shared" si="122"/>
        <v>2024029000000</v>
      </c>
      <c r="L988" s="25">
        <f t="shared" si="123"/>
        <v>0.79820536168207068</v>
      </c>
      <c r="M988" s="24">
        <f>Data!M988</f>
        <v>102713000000</v>
      </c>
      <c r="N988" s="24">
        <f t="shared" si="124"/>
        <v>2024029000000</v>
      </c>
      <c r="O988" s="25">
        <f t="shared" si="125"/>
        <v>0.34101851307466446</v>
      </c>
      <c r="P988" s="24">
        <f>Data!K988</f>
        <v>606923000000</v>
      </c>
      <c r="Q988" s="24">
        <f>Data!I988</f>
        <v>1417106000000</v>
      </c>
      <c r="R988" s="25">
        <f t="shared" si="126"/>
        <v>0.44969758790097564</v>
      </c>
      <c r="S988" s="25">
        <f t="shared" si="127"/>
        <v>4.8374005308924044</v>
      </c>
    </row>
    <row r="989" spans="1:19" ht="15" customHeight="1" x14ac:dyDescent="0.3">
      <c r="A989" s="22"/>
      <c r="B989" s="23"/>
      <c r="C989" s="2"/>
      <c r="D989" s="23">
        <v>2022</v>
      </c>
      <c r="E989" s="24">
        <f>Data!F989</f>
        <v>1116964000000</v>
      </c>
      <c r="F989" s="24">
        <f>Data!H989</f>
        <v>104736000000</v>
      </c>
      <c r="G989" s="24">
        <f t="shared" si="120"/>
        <v>1012228000000</v>
      </c>
      <c r="H989" s="24">
        <f>Data!G989</f>
        <v>2022456000000</v>
      </c>
      <c r="I989" s="25">
        <f t="shared" si="121"/>
        <v>3.2832435810717269</v>
      </c>
      <c r="J989" s="24">
        <f>Data!J989</f>
        <v>558610000000</v>
      </c>
      <c r="K989" s="24">
        <f t="shared" si="122"/>
        <v>2022456000000</v>
      </c>
      <c r="L989" s="25">
        <f t="shared" si="123"/>
        <v>0.90042433556032864</v>
      </c>
      <c r="M989" s="24">
        <f>Data!M989</f>
        <v>70483000000</v>
      </c>
      <c r="N989" s="24">
        <f t="shared" si="124"/>
        <v>2022456000000</v>
      </c>
      <c r="O989" s="25">
        <f t="shared" si="125"/>
        <v>0.23419335698774166</v>
      </c>
      <c r="P989" s="24">
        <f>Data!K989</f>
        <v>670856000000</v>
      </c>
      <c r="Q989" s="24">
        <f>Data!I989</f>
        <v>1351600000000</v>
      </c>
      <c r="R989" s="25">
        <f t="shared" si="126"/>
        <v>0.52115921870375848</v>
      </c>
      <c r="S989" s="25">
        <f t="shared" si="127"/>
        <v>4.9390204923235554</v>
      </c>
    </row>
    <row r="990" spans="1:19" ht="15" customHeight="1" x14ac:dyDescent="0.3">
      <c r="A990" s="22"/>
      <c r="B990" s="23"/>
      <c r="C990" s="2"/>
      <c r="D990" s="23">
        <v>2023</v>
      </c>
      <c r="E990" s="24">
        <f>Data!F990</f>
        <v>1204646000000</v>
      </c>
      <c r="F990" s="24">
        <f>Data!H990</f>
        <v>183912000000</v>
      </c>
      <c r="G990" s="24">
        <f t="shared" si="120"/>
        <v>1020734000000</v>
      </c>
      <c r="H990" s="24">
        <f>Data!G990</f>
        <v>2148834000000</v>
      </c>
      <c r="I990" s="25">
        <f t="shared" si="121"/>
        <v>3.1161155491769024</v>
      </c>
      <c r="J990" s="24">
        <f>Data!J990</f>
        <v>606367000000</v>
      </c>
      <c r="K990" s="24">
        <f t="shared" si="122"/>
        <v>2148834000000</v>
      </c>
      <c r="L990" s="25">
        <f t="shared" si="123"/>
        <v>0.91992048711068408</v>
      </c>
      <c r="M990" s="24">
        <f>Data!M990</f>
        <v>51037000000</v>
      </c>
      <c r="N990" s="24">
        <f t="shared" si="124"/>
        <v>2148834000000</v>
      </c>
      <c r="O990" s="25">
        <f t="shared" si="125"/>
        <v>0.15960685655569484</v>
      </c>
      <c r="P990" s="24">
        <f>Data!K990</f>
        <v>717467000000</v>
      </c>
      <c r="Q990" s="24">
        <f>Data!I990</f>
        <v>1431367000000</v>
      </c>
      <c r="R990" s="25">
        <f t="shared" si="126"/>
        <v>0.52630831226373109</v>
      </c>
      <c r="S990" s="25">
        <f t="shared" si="127"/>
        <v>4.7219512051070129</v>
      </c>
    </row>
    <row r="991" spans="1:19" ht="15" customHeight="1" x14ac:dyDescent="0.3">
      <c r="A991" s="22"/>
      <c r="B991" s="23"/>
      <c r="C991" s="2"/>
      <c r="D991" s="23">
        <v>2024</v>
      </c>
      <c r="E991" s="24">
        <f>Data!F991</f>
        <v>1121749000000</v>
      </c>
      <c r="F991" s="24">
        <f>Data!H991</f>
        <v>187808000000</v>
      </c>
      <c r="G991" s="24">
        <f t="shared" si="120"/>
        <v>933941000000</v>
      </c>
      <c r="H991" s="24">
        <f>Data!G991</f>
        <v>2133757000000</v>
      </c>
      <c r="I991" s="25">
        <f t="shared" si="121"/>
        <v>2.8712983530926905</v>
      </c>
      <c r="J991" s="24">
        <f>Data!J991</f>
        <v>644602000000</v>
      </c>
      <c r="K991" s="24">
        <f t="shared" si="122"/>
        <v>2133757000000</v>
      </c>
      <c r="L991" s="25">
        <f t="shared" si="123"/>
        <v>0.98483684880705724</v>
      </c>
      <c r="M991" s="24">
        <f>Data!M991</f>
        <v>40620000000</v>
      </c>
      <c r="N991" s="24">
        <f t="shared" si="124"/>
        <v>2133757000000</v>
      </c>
      <c r="O991" s="25">
        <f t="shared" si="125"/>
        <v>0.12792759437930373</v>
      </c>
      <c r="P991" s="24">
        <f>Data!K991</f>
        <v>755759000000</v>
      </c>
      <c r="Q991" s="24">
        <f>Data!I991</f>
        <v>1377998000000</v>
      </c>
      <c r="R991" s="25">
        <f t="shared" si="126"/>
        <v>0.57586944973795318</v>
      </c>
      <c r="S991" s="25">
        <f t="shared" si="127"/>
        <v>4.5599322460170049</v>
      </c>
    </row>
    <row r="992" spans="1:19" ht="15" customHeight="1" x14ac:dyDescent="0.3">
      <c r="A992" s="22"/>
      <c r="B992" s="23">
        <v>91</v>
      </c>
      <c r="C992" s="2" t="s">
        <v>88</v>
      </c>
      <c r="D992" s="23">
        <v>2014</v>
      </c>
      <c r="E992" s="24">
        <f>Data!F992</f>
        <v>0</v>
      </c>
      <c r="F992" s="24">
        <f>Data!H992</f>
        <v>0</v>
      </c>
      <c r="G992" s="24">
        <f t="shared" si="120"/>
        <v>0</v>
      </c>
      <c r="H992" s="24">
        <f>Data!G992</f>
        <v>0</v>
      </c>
      <c r="I992" s="25">
        <f t="shared" si="121"/>
        <v>0</v>
      </c>
      <c r="J992" s="24">
        <f>Data!J992</f>
        <v>0</v>
      </c>
      <c r="K992" s="24">
        <f t="shared" si="122"/>
        <v>0</v>
      </c>
      <c r="L992" s="25">
        <f t="shared" si="123"/>
        <v>0</v>
      </c>
      <c r="M992" s="24">
        <f>Data!M992</f>
        <v>0</v>
      </c>
      <c r="N992" s="24">
        <f t="shared" si="124"/>
        <v>0</v>
      </c>
      <c r="O992" s="25">
        <f t="shared" si="125"/>
        <v>0</v>
      </c>
      <c r="P992" s="24">
        <f>Data!K992</f>
        <v>0</v>
      </c>
      <c r="Q992" s="24">
        <f>Data!I992</f>
        <v>0</v>
      </c>
      <c r="R992" s="25">
        <f t="shared" si="126"/>
        <v>0</v>
      </c>
      <c r="S992" s="25">
        <f t="shared" si="127"/>
        <v>0</v>
      </c>
    </row>
    <row r="993" spans="1:19" ht="15" customHeight="1" x14ac:dyDescent="0.3">
      <c r="A993" s="22"/>
      <c r="B993" s="23"/>
      <c r="C993" s="2"/>
      <c r="D993" s="23">
        <v>2015</v>
      </c>
      <c r="E993" s="24">
        <f>Data!F993</f>
        <v>1677565000000</v>
      </c>
      <c r="F993" s="24">
        <f>Data!H993</f>
        <v>367727000000</v>
      </c>
      <c r="G993" s="24">
        <f t="shared" si="120"/>
        <v>1309838000000</v>
      </c>
      <c r="H993" s="24">
        <f>Data!G993</f>
        <v>2926660000000</v>
      </c>
      <c r="I993" s="25">
        <f t="shared" si="121"/>
        <v>2.9359533666363702</v>
      </c>
      <c r="J993" s="24">
        <f>Data!J993</f>
        <v>580621000000</v>
      </c>
      <c r="K993" s="24">
        <f t="shared" si="122"/>
        <v>2926660000000</v>
      </c>
      <c r="L993" s="25">
        <f t="shared" si="123"/>
        <v>0.64675242768206753</v>
      </c>
      <c r="M993" s="24">
        <f>Data!M993</f>
        <v>243801000000</v>
      </c>
      <c r="N993" s="24">
        <f t="shared" si="124"/>
        <v>2926660000000</v>
      </c>
      <c r="O993" s="25">
        <f t="shared" si="125"/>
        <v>0.55979947106941019</v>
      </c>
      <c r="P993" s="24">
        <f>Data!K993</f>
        <v>726372000000</v>
      </c>
      <c r="Q993" s="24">
        <f>Data!I993</f>
        <v>2200288000000</v>
      </c>
      <c r="R993" s="25">
        <f t="shared" si="126"/>
        <v>0.34663216815253278</v>
      </c>
      <c r="S993" s="25">
        <f t="shared" si="127"/>
        <v>4.48913743354038</v>
      </c>
    </row>
    <row r="994" spans="1:19" ht="15" customHeight="1" x14ac:dyDescent="0.3">
      <c r="A994" s="22"/>
      <c r="B994" s="23"/>
      <c r="C994" s="2"/>
      <c r="D994" s="23">
        <v>2016</v>
      </c>
      <c r="E994" s="24">
        <f>Data!F994</f>
        <v>1241736000000</v>
      </c>
      <c r="F994" s="24">
        <f>Data!H994</f>
        <v>338229000000</v>
      </c>
      <c r="G994" s="24">
        <f t="shared" si="120"/>
        <v>903507000000</v>
      </c>
      <c r="H994" s="24">
        <f>Data!G994</f>
        <v>2513178000000</v>
      </c>
      <c r="I994" s="25">
        <f t="shared" si="121"/>
        <v>2.3583709231896823</v>
      </c>
      <c r="J994" s="24">
        <f>Data!J994</f>
        <v>634211000000</v>
      </c>
      <c r="K994" s="24">
        <f t="shared" si="122"/>
        <v>2513178000000</v>
      </c>
      <c r="L994" s="25">
        <f t="shared" si="123"/>
        <v>0.82267466132522238</v>
      </c>
      <c r="M994" s="24">
        <f>Data!M994</f>
        <v>193275000000</v>
      </c>
      <c r="N994" s="24">
        <f t="shared" si="124"/>
        <v>2513178000000</v>
      </c>
      <c r="O994" s="25">
        <f t="shared" si="125"/>
        <v>0.51679904885368244</v>
      </c>
      <c r="P994" s="24">
        <f>Data!K994</f>
        <v>788925000000</v>
      </c>
      <c r="Q994" s="24">
        <f>Data!I994</f>
        <v>1724253000000</v>
      </c>
      <c r="R994" s="25">
        <f t="shared" si="126"/>
        <v>0.48042326155152404</v>
      </c>
      <c r="S994" s="25">
        <f t="shared" si="127"/>
        <v>4.1782678949201113</v>
      </c>
    </row>
    <row r="995" spans="1:19" ht="15" customHeight="1" x14ac:dyDescent="0.3">
      <c r="A995" s="22"/>
      <c r="B995" s="23"/>
      <c r="C995" s="2"/>
      <c r="D995" s="23">
        <v>2017</v>
      </c>
      <c r="E995" s="24">
        <f>Data!F995</f>
        <v>1485495000000</v>
      </c>
      <c r="F995" s="24">
        <f>Data!H995</f>
        <v>372558000000</v>
      </c>
      <c r="G995" s="24">
        <f t="shared" si="120"/>
        <v>1112937000000</v>
      </c>
      <c r="H995" s="24">
        <f>Data!G995</f>
        <v>2547394000000</v>
      </c>
      <c r="I995" s="25">
        <f t="shared" si="121"/>
        <v>2.8660139420914077</v>
      </c>
      <c r="J995" s="24">
        <f>Data!J995</f>
        <v>702970000000</v>
      </c>
      <c r="K995" s="24">
        <f t="shared" si="122"/>
        <v>2547394000000</v>
      </c>
      <c r="L995" s="25">
        <f t="shared" si="123"/>
        <v>0.89961827656028082</v>
      </c>
      <c r="M995" s="24">
        <f>Data!M995</f>
        <v>134222000000</v>
      </c>
      <c r="N995" s="24">
        <f t="shared" si="124"/>
        <v>2547394000000</v>
      </c>
      <c r="O995" s="25">
        <f t="shared" si="125"/>
        <v>0.35407629915121097</v>
      </c>
      <c r="P995" s="24">
        <f>Data!K995</f>
        <v>842970000000</v>
      </c>
      <c r="Q995" s="24">
        <f>Data!I995</f>
        <v>1704424000000</v>
      </c>
      <c r="R995" s="25">
        <f t="shared" si="126"/>
        <v>0.51930652232073715</v>
      </c>
      <c r="S995" s="25">
        <f t="shared" si="127"/>
        <v>4.6390150401236365</v>
      </c>
    </row>
    <row r="996" spans="1:19" ht="15" customHeight="1" x14ac:dyDescent="0.3">
      <c r="A996" s="22"/>
      <c r="B996" s="23"/>
      <c r="C996" s="2"/>
      <c r="D996" s="23">
        <v>2018</v>
      </c>
      <c r="E996" s="24">
        <f>Data!F996</f>
        <v>1951497000000</v>
      </c>
      <c r="F996" s="24">
        <f>Data!H996</f>
        <v>842161000000</v>
      </c>
      <c r="G996" s="24">
        <f t="shared" si="120"/>
        <v>1109336000000</v>
      </c>
      <c r="H996" s="24">
        <f>Data!G996</f>
        <v>3374090000000</v>
      </c>
      <c r="I996" s="25">
        <f t="shared" si="121"/>
        <v>2.1568020295842731</v>
      </c>
      <c r="J996" s="24">
        <f>Data!J996</f>
        <v>735126000000</v>
      </c>
      <c r="K996" s="24">
        <f t="shared" si="122"/>
        <v>3374090000000</v>
      </c>
      <c r="L996" s="25">
        <f t="shared" si="123"/>
        <v>0.71026877172808067</v>
      </c>
      <c r="M996" s="24">
        <f>Data!M996</f>
        <v>146520000000</v>
      </c>
      <c r="N996" s="24">
        <f t="shared" si="124"/>
        <v>3374090000000</v>
      </c>
      <c r="O996" s="25">
        <f t="shared" si="125"/>
        <v>0.29181628231612078</v>
      </c>
      <c r="P996" s="24">
        <f>Data!K996</f>
        <v>875126000000</v>
      </c>
      <c r="Q996" s="24">
        <f>Data!I996</f>
        <v>2498964000000</v>
      </c>
      <c r="R996" s="25">
        <f t="shared" si="126"/>
        <v>0.36770529707510796</v>
      </c>
      <c r="S996" s="25">
        <f t="shared" si="127"/>
        <v>3.5265923807035828</v>
      </c>
    </row>
    <row r="997" spans="1:19" ht="15" customHeight="1" x14ac:dyDescent="0.3">
      <c r="A997" s="22"/>
      <c r="B997" s="23"/>
      <c r="C997" s="2"/>
      <c r="D997" s="23">
        <v>2019</v>
      </c>
      <c r="E997" s="24">
        <f>Data!F997</f>
        <v>1892921000000</v>
      </c>
      <c r="F997" s="24">
        <f>Data!H997</f>
        <v>760848000000</v>
      </c>
      <c r="G997" s="24">
        <f t="shared" si="120"/>
        <v>1132073000000</v>
      </c>
      <c r="H997" s="24">
        <f>Data!G997</f>
        <v>3475230000000</v>
      </c>
      <c r="I997" s="25">
        <f t="shared" si="121"/>
        <v>2.1369517643436549</v>
      </c>
      <c r="J997" s="24">
        <f>Data!J997</f>
        <v>812119000000</v>
      </c>
      <c r="K997" s="24">
        <f t="shared" si="122"/>
        <v>3475230000000</v>
      </c>
      <c r="L997" s="25">
        <f t="shared" si="123"/>
        <v>0.76182236571392392</v>
      </c>
      <c r="M997" s="24">
        <f>Data!M997</f>
        <v>142222000000</v>
      </c>
      <c r="N997" s="24">
        <f t="shared" si="124"/>
        <v>3475230000000</v>
      </c>
      <c r="O997" s="25">
        <f t="shared" si="125"/>
        <v>0.27501254305470429</v>
      </c>
      <c r="P997" s="24">
        <f>Data!K997</f>
        <v>952119000000</v>
      </c>
      <c r="Q997" s="24">
        <f>Data!I997</f>
        <v>2523111000000</v>
      </c>
      <c r="R997" s="25">
        <f t="shared" si="126"/>
        <v>0.39622709821327717</v>
      </c>
      <c r="S997" s="25">
        <f t="shared" si="127"/>
        <v>3.5700137713255602</v>
      </c>
    </row>
    <row r="998" spans="1:19" ht="15" customHeight="1" x14ac:dyDescent="0.3">
      <c r="A998" s="22"/>
      <c r="B998" s="23"/>
      <c r="C998" s="2"/>
      <c r="D998" s="23">
        <v>2020</v>
      </c>
      <c r="E998" s="24">
        <f>Data!F998</f>
        <v>3530939000000</v>
      </c>
      <c r="F998" s="24">
        <f>Data!H998</f>
        <v>884413000000</v>
      </c>
      <c r="G998" s="24">
        <f t="shared" si="120"/>
        <v>2646526000000</v>
      </c>
      <c r="H998" s="24">
        <f>Data!G998</f>
        <v>5184821000000</v>
      </c>
      <c r="I998" s="25">
        <f t="shared" si="121"/>
        <v>3.3484686472300589</v>
      </c>
      <c r="J998" s="24">
        <f>Data!J998</f>
        <v>879667000000</v>
      </c>
      <c r="K998" s="24">
        <f t="shared" si="122"/>
        <v>5184821000000</v>
      </c>
      <c r="L998" s="25">
        <f t="shared" si="123"/>
        <v>0.55309805680851853</v>
      </c>
      <c r="M998" s="24">
        <f>Data!M998</f>
        <v>89245000000</v>
      </c>
      <c r="N998" s="24">
        <f t="shared" si="124"/>
        <v>5184821000000</v>
      </c>
      <c r="O998" s="25">
        <f t="shared" si="125"/>
        <v>0.11566964414007735</v>
      </c>
      <c r="P998" s="24">
        <f>Data!K998</f>
        <v>1019667000000</v>
      </c>
      <c r="Q998" s="24">
        <f>Data!I998</f>
        <v>4165154000000</v>
      </c>
      <c r="R998" s="25">
        <f t="shared" si="126"/>
        <v>0.25704940321534331</v>
      </c>
      <c r="S998" s="25">
        <f t="shared" si="127"/>
        <v>4.2742857513939985</v>
      </c>
    </row>
    <row r="999" spans="1:19" ht="15" customHeight="1" x14ac:dyDescent="0.3">
      <c r="A999" s="22"/>
      <c r="B999" s="23"/>
      <c r="C999" s="2"/>
      <c r="D999" s="23">
        <v>2021</v>
      </c>
      <c r="E999" s="24">
        <f>Data!F999</f>
        <v>3225533000000</v>
      </c>
      <c r="F999" s="24">
        <f>Data!H999</f>
        <v>903737000000</v>
      </c>
      <c r="G999" s="24">
        <f t="shared" si="120"/>
        <v>2321796000000</v>
      </c>
      <c r="H999" s="24">
        <f>Data!G999</f>
        <v>5087106000000</v>
      </c>
      <c r="I999" s="25">
        <f t="shared" si="121"/>
        <v>2.9940366408720398</v>
      </c>
      <c r="J999" s="24">
        <f>Data!J999</f>
        <v>956891000000</v>
      </c>
      <c r="K999" s="24">
        <f t="shared" si="122"/>
        <v>5087106000000</v>
      </c>
      <c r="L999" s="25">
        <f t="shared" si="123"/>
        <v>0.61321007661330418</v>
      </c>
      <c r="M999" s="24">
        <f>Data!M999</f>
        <v>197437000000</v>
      </c>
      <c r="N999" s="24">
        <f t="shared" si="124"/>
        <v>5087106000000</v>
      </c>
      <c r="O999" s="25">
        <f t="shared" si="125"/>
        <v>0.26081167563640306</v>
      </c>
      <c r="P999" s="24">
        <f>Data!K999</f>
        <v>1096891000000</v>
      </c>
      <c r="Q999" s="24">
        <f>Data!I999</f>
        <v>3990215000000</v>
      </c>
      <c r="R999" s="25">
        <f t="shared" si="126"/>
        <v>0.28863997303403449</v>
      </c>
      <c r="S999" s="25">
        <f t="shared" si="127"/>
        <v>4.1566983661557817</v>
      </c>
    </row>
    <row r="1000" spans="1:19" ht="15" customHeight="1" x14ac:dyDescent="0.3">
      <c r="A1000" s="22"/>
      <c r="B1000" s="23"/>
      <c r="C1000" s="2"/>
      <c r="D1000" s="23">
        <v>2022</v>
      </c>
      <c r="E1000" s="24">
        <f>Data!F1000</f>
        <v>2734829000000</v>
      </c>
      <c r="F1000" s="24">
        <f>Data!H1000</f>
        <v>1085174000000</v>
      </c>
      <c r="G1000" s="24">
        <f t="shared" si="120"/>
        <v>1649655000000</v>
      </c>
      <c r="H1000" s="24">
        <f>Data!G1000</f>
        <v>4655875000000</v>
      </c>
      <c r="I1000" s="25">
        <f t="shared" si="121"/>
        <v>2.3243185867318172</v>
      </c>
      <c r="J1000" s="24">
        <f>Data!J1000</f>
        <v>922324000000</v>
      </c>
      <c r="K1000" s="24">
        <f t="shared" si="122"/>
        <v>4655875000000</v>
      </c>
      <c r="L1000" s="25">
        <f t="shared" si="123"/>
        <v>0.64580261282787865</v>
      </c>
      <c r="M1000" s="24">
        <f>Data!M1000</f>
        <v>201252000000</v>
      </c>
      <c r="N1000" s="24">
        <f t="shared" si="124"/>
        <v>4655875000000</v>
      </c>
      <c r="O1000" s="25">
        <f t="shared" si="125"/>
        <v>0.29047460251832363</v>
      </c>
      <c r="P1000" s="24">
        <f>Data!K1000</f>
        <v>1062324000000</v>
      </c>
      <c r="Q1000" s="24">
        <f>Data!I1000</f>
        <v>3593551000000</v>
      </c>
      <c r="R1000" s="25">
        <f t="shared" si="126"/>
        <v>0.31040054809295875</v>
      </c>
      <c r="S1000" s="25">
        <f t="shared" si="127"/>
        <v>3.5709963501709781</v>
      </c>
    </row>
    <row r="1001" spans="1:19" ht="15" customHeight="1" x14ac:dyDescent="0.3">
      <c r="A1001" s="22"/>
      <c r="B1001" s="23"/>
      <c r="C1001" s="2"/>
      <c r="D1001" s="23">
        <v>2023</v>
      </c>
      <c r="E1001" s="24">
        <f>Data!F1001</f>
        <v>2449132000000</v>
      </c>
      <c r="F1001" s="24">
        <f>Data!H1001</f>
        <v>1044353000000</v>
      </c>
      <c r="G1001" s="24">
        <f t="shared" si="120"/>
        <v>1404779000000</v>
      </c>
      <c r="H1001" s="24">
        <f>Data!G1001</f>
        <v>4304220000000</v>
      </c>
      <c r="I1001" s="25">
        <f t="shared" si="121"/>
        <v>2.1410035360646065</v>
      </c>
      <c r="J1001" s="24">
        <f>Data!J1001</f>
        <v>1091642000000</v>
      </c>
      <c r="K1001" s="24">
        <f t="shared" si="122"/>
        <v>4304220000000</v>
      </c>
      <c r="L1001" s="25">
        <f t="shared" si="123"/>
        <v>0.82680553503306053</v>
      </c>
      <c r="M1001" s="24">
        <f>Data!M1001</f>
        <v>249532000000</v>
      </c>
      <c r="N1001" s="24">
        <f t="shared" si="124"/>
        <v>4304220000000</v>
      </c>
      <c r="O1001" s="25">
        <f t="shared" si="125"/>
        <v>0.3895839524931346</v>
      </c>
      <c r="P1001" s="24">
        <f>Data!K1001</f>
        <v>1231642000000</v>
      </c>
      <c r="Q1001" s="24">
        <f>Data!I1001</f>
        <v>3072578000000</v>
      </c>
      <c r="R1001" s="25">
        <f t="shared" si="126"/>
        <v>0.42089219541375356</v>
      </c>
      <c r="S1001" s="25">
        <f t="shared" si="127"/>
        <v>3.7782852190045553</v>
      </c>
    </row>
    <row r="1002" spans="1:19" ht="15" customHeight="1" x14ac:dyDescent="0.3">
      <c r="A1002" s="22"/>
      <c r="B1002" s="23"/>
      <c r="C1002" s="2"/>
      <c r="D1002" s="23">
        <v>2024</v>
      </c>
      <c r="E1002" s="24">
        <f>Data!F1002</f>
        <v>2253921000000</v>
      </c>
      <c r="F1002" s="24">
        <f>Data!H1002</f>
        <v>978116000000</v>
      </c>
      <c r="G1002" s="24">
        <f t="shared" si="120"/>
        <v>1275805000000</v>
      </c>
      <c r="H1002" s="24">
        <f>Data!G1002</f>
        <v>4131880000000</v>
      </c>
      <c r="I1002" s="25">
        <f t="shared" si="121"/>
        <v>2.0255382053689845</v>
      </c>
      <c r="J1002" s="24">
        <f>Data!J1002</f>
        <v>988071000000</v>
      </c>
      <c r="K1002" s="24">
        <f t="shared" si="122"/>
        <v>4131880000000</v>
      </c>
      <c r="L1002" s="25">
        <f t="shared" si="123"/>
        <v>0.77957526840082481</v>
      </c>
      <c r="M1002" s="24">
        <f>Data!M1002</f>
        <v>133267000000</v>
      </c>
      <c r="N1002" s="24">
        <f t="shared" si="124"/>
        <v>4131880000000</v>
      </c>
      <c r="O1002" s="25">
        <f t="shared" si="125"/>
        <v>0.21674255786712102</v>
      </c>
      <c r="P1002" s="24">
        <f>Data!K1002</f>
        <v>1128071000000</v>
      </c>
      <c r="Q1002" s="24">
        <f>Data!I1002</f>
        <v>3003809000000</v>
      </c>
      <c r="R1002" s="25">
        <f t="shared" si="126"/>
        <v>0.39432418972045163</v>
      </c>
      <c r="S1002" s="25">
        <f t="shared" si="127"/>
        <v>3.416180221357382</v>
      </c>
    </row>
    <row r="1003" spans="1:19" ht="15" customHeight="1" x14ac:dyDescent="0.3">
      <c r="A1003" s="22"/>
      <c r="B1003" s="23">
        <v>92</v>
      </c>
      <c r="C1003" s="2" t="s">
        <v>94</v>
      </c>
      <c r="D1003" s="23">
        <v>2014</v>
      </c>
      <c r="E1003" s="24">
        <f>Data!F1003</f>
        <v>0</v>
      </c>
      <c r="F1003" s="24">
        <f>Data!H1003</f>
        <v>0</v>
      </c>
      <c r="G1003" s="24">
        <f t="shared" si="120"/>
        <v>0</v>
      </c>
      <c r="H1003" s="24">
        <f>Data!G1003</f>
        <v>0</v>
      </c>
      <c r="I1003" s="25">
        <f t="shared" si="121"/>
        <v>0</v>
      </c>
      <c r="J1003" s="24">
        <f>Data!J1003</f>
        <v>0</v>
      </c>
      <c r="K1003" s="24">
        <f t="shared" si="122"/>
        <v>0</v>
      </c>
      <c r="L1003" s="25">
        <f t="shared" si="123"/>
        <v>0</v>
      </c>
      <c r="M1003" s="24">
        <f>Data!M1003</f>
        <v>0</v>
      </c>
      <c r="N1003" s="24">
        <f t="shared" si="124"/>
        <v>0</v>
      </c>
      <c r="O1003" s="25">
        <f t="shared" si="125"/>
        <v>0</v>
      </c>
      <c r="P1003" s="24">
        <f>Data!K1003</f>
        <v>0</v>
      </c>
      <c r="Q1003" s="24">
        <f>Data!I1003</f>
        <v>0</v>
      </c>
      <c r="R1003" s="25">
        <f t="shared" si="126"/>
        <v>0</v>
      </c>
      <c r="S1003" s="25">
        <f t="shared" si="127"/>
        <v>0</v>
      </c>
    </row>
    <row r="1004" spans="1:19" ht="15" customHeight="1" x14ac:dyDescent="0.3">
      <c r="A1004" s="22"/>
      <c r="B1004" s="23"/>
      <c r="C1004" s="2"/>
      <c r="D1004" s="23">
        <v>2015</v>
      </c>
      <c r="E1004" s="24">
        <f>Data!F1004</f>
        <v>414272096000</v>
      </c>
      <c r="F1004" s="24">
        <f>Data!H1004</f>
        <v>184957408000</v>
      </c>
      <c r="G1004" s="24">
        <f t="shared" si="120"/>
        <v>229314688000</v>
      </c>
      <c r="H1004" s="24">
        <f>Data!G1004</f>
        <v>2627811764000</v>
      </c>
      <c r="I1004" s="25">
        <f t="shared" si="121"/>
        <v>0.572455140770882</v>
      </c>
      <c r="J1004" s="24">
        <f>Data!J1004</f>
        <v>788599100000</v>
      </c>
      <c r="K1004" s="24">
        <f t="shared" si="122"/>
        <v>2627811764000</v>
      </c>
      <c r="L1004" s="25">
        <f t="shared" si="123"/>
        <v>0.97831705498065491</v>
      </c>
      <c r="M1004" s="24">
        <f>Data!M1004</f>
        <v>211949051000</v>
      </c>
      <c r="N1004" s="24">
        <f t="shared" si="124"/>
        <v>2627811764000</v>
      </c>
      <c r="O1004" s="25">
        <f t="shared" si="125"/>
        <v>0.54200899860192575</v>
      </c>
      <c r="P1004" s="24">
        <f>Data!K1004</f>
        <v>1508526723000</v>
      </c>
      <c r="Q1004" s="24">
        <f>Data!I1004</f>
        <v>1119285041000</v>
      </c>
      <c r="R1004" s="25">
        <f t="shared" si="126"/>
        <v>1.4151471708536842</v>
      </c>
      <c r="S1004" s="25">
        <f t="shared" si="127"/>
        <v>3.5079283652071469</v>
      </c>
    </row>
    <row r="1005" spans="1:19" ht="15" customHeight="1" x14ac:dyDescent="0.3">
      <c r="A1005" s="22"/>
      <c r="B1005" s="23"/>
      <c r="C1005" s="2"/>
      <c r="D1005" s="23">
        <v>2016</v>
      </c>
      <c r="E1005" s="24">
        <f>Data!F1005</f>
        <v>963908487000</v>
      </c>
      <c r="F1005" s="24">
        <f>Data!H1005</f>
        <v>268669474000</v>
      </c>
      <c r="G1005" s="24">
        <f t="shared" si="120"/>
        <v>695239013000</v>
      </c>
      <c r="H1005" s="24">
        <f>Data!G1005</f>
        <v>3436388457000</v>
      </c>
      <c r="I1005" s="25">
        <f t="shared" si="121"/>
        <v>1.3271980110367365</v>
      </c>
      <c r="J1005" s="24">
        <f>Data!J1005</f>
        <v>918880707000</v>
      </c>
      <c r="K1005" s="24">
        <f t="shared" si="122"/>
        <v>3436388457000</v>
      </c>
      <c r="L1005" s="25">
        <f t="shared" si="123"/>
        <v>0.87171492463781131</v>
      </c>
      <c r="M1005" s="24">
        <f>Data!M1005</f>
        <v>138846826000</v>
      </c>
      <c r="N1005" s="24">
        <f t="shared" si="124"/>
        <v>3436388457000</v>
      </c>
      <c r="O1005" s="25">
        <f t="shared" si="125"/>
        <v>0.27152072077862877</v>
      </c>
      <c r="P1005" s="24">
        <f>Data!K1005</f>
        <v>1763758503000</v>
      </c>
      <c r="Q1005" s="24">
        <f>Data!I1005</f>
        <v>1672629954000</v>
      </c>
      <c r="R1005" s="25">
        <f t="shared" si="126"/>
        <v>1.107206303295702</v>
      </c>
      <c r="S1005" s="25">
        <f t="shared" si="127"/>
        <v>3.5776399597488782</v>
      </c>
    </row>
    <row r="1006" spans="1:19" ht="15" customHeight="1" x14ac:dyDescent="0.3">
      <c r="A1006" s="22"/>
      <c r="B1006" s="23"/>
      <c r="C1006" s="2"/>
      <c r="D1006" s="23">
        <v>2017</v>
      </c>
      <c r="E1006" s="24">
        <f>Data!F1006</f>
        <v>1338482783000</v>
      </c>
      <c r="F1006" s="24">
        <f>Data!H1006</f>
        <v>350343544000</v>
      </c>
      <c r="G1006" s="24">
        <f t="shared" si="120"/>
        <v>988139239000</v>
      </c>
      <c r="H1006" s="24">
        <f>Data!G1006</f>
        <v>3886960940000</v>
      </c>
      <c r="I1006" s="25">
        <f t="shared" si="121"/>
        <v>1.6676764978862895</v>
      </c>
      <c r="J1006" s="24">
        <f>Data!J1006</f>
        <v>1002058197000</v>
      </c>
      <c r="K1006" s="24">
        <f t="shared" si="122"/>
        <v>3886960940000</v>
      </c>
      <c r="L1006" s="25">
        <f t="shared" si="123"/>
        <v>0.84042772043394898</v>
      </c>
      <c r="M1006" s="24">
        <f>Data!M1006</f>
        <v>135713877000</v>
      </c>
      <c r="N1006" s="24">
        <f t="shared" si="124"/>
        <v>3886960940000</v>
      </c>
      <c r="O1006" s="25">
        <f t="shared" si="125"/>
        <v>0.23462989917259111</v>
      </c>
      <c r="P1006" s="24">
        <f>Data!K1006</f>
        <v>1854009404000</v>
      </c>
      <c r="Q1006" s="24">
        <f>Data!I1006</f>
        <v>2032951536000</v>
      </c>
      <c r="R1006" s="25">
        <f t="shared" si="126"/>
        <v>0.95757810244228081</v>
      </c>
      <c r="S1006" s="25">
        <f t="shared" si="127"/>
        <v>3.7003122199351104</v>
      </c>
    </row>
    <row r="1007" spans="1:19" ht="15" customHeight="1" x14ac:dyDescent="0.3">
      <c r="A1007" s="22"/>
      <c r="B1007" s="23"/>
      <c r="C1007" s="2"/>
      <c r="D1007" s="23">
        <v>2018</v>
      </c>
      <c r="E1007" s="24">
        <f>Data!F1007</f>
        <v>1754971269000</v>
      </c>
      <c r="F1007" s="24">
        <f>Data!H1007</f>
        <v>359981966000</v>
      </c>
      <c r="G1007" s="24">
        <f t="shared" si="120"/>
        <v>1394989303000</v>
      </c>
      <c r="H1007" s="24">
        <f>Data!G1007</f>
        <v>4280729979000</v>
      </c>
      <c r="I1007" s="25">
        <f t="shared" si="121"/>
        <v>2.1377498399975581</v>
      </c>
      <c r="J1007" s="24">
        <f>Data!J1007</f>
        <v>1030305112000</v>
      </c>
      <c r="K1007" s="24">
        <f t="shared" si="122"/>
        <v>4280729979000</v>
      </c>
      <c r="L1007" s="25">
        <f t="shared" si="123"/>
        <v>0.78463128522407555</v>
      </c>
      <c r="M1007" s="24">
        <f>Data!M1007</f>
        <v>54333348000</v>
      </c>
      <c r="N1007" s="24">
        <f t="shared" si="124"/>
        <v>4280729979000</v>
      </c>
      <c r="O1007" s="25">
        <f t="shared" si="125"/>
        <v>8.5293886872372618E-2</v>
      </c>
      <c r="P1007" s="24">
        <f>Data!K1007</f>
        <v>1826304984000</v>
      </c>
      <c r="Q1007" s="24">
        <f>Data!I1007</f>
        <v>2454424995000</v>
      </c>
      <c r="R1007" s="25">
        <f t="shared" si="126"/>
        <v>0.78129103032541436</v>
      </c>
      <c r="S1007" s="25">
        <f t="shared" si="127"/>
        <v>3.7889660424194203</v>
      </c>
    </row>
    <row r="1008" spans="1:19" ht="15" customHeight="1" x14ac:dyDescent="0.3">
      <c r="A1008" s="22"/>
      <c r="B1008" s="23"/>
      <c r="C1008" s="2"/>
      <c r="D1008" s="23">
        <v>2019</v>
      </c>
      <c r="E1008" s="24">
        <f>Data!F1008</f>
        <v>1727313641000</v>
      </c>
      <c r="F1008" s="24">
        <f>Data!H1008</f>
        <v>396037217000</v>
      </c>
      <c r="G1008" s="24">
        <f t="shared" si="120"/>
        <v>1331276424000</v>
      </c>
      <c r="H1008" s="24">
        <f>Data!G1008</f>
        <v>4626630367000</v>
      </c>
      <c r="I1008" s="25">
        <f t="shared" si="121"/>
        <v>1.8875882983283934</v>
      </c>
      <c r="J1008" s="24">
        <f>Data!J1008</f>
        <v>1103365422000</v>
      </c>
      <c r="K1008" s="24">
        <f t="shared" si="122"/>
        <v>4626630367000</v>
      </c>
      <c r="L1008" s="25">
        <f t="shared" si="123"/>
        <v>0.77744945897900808</v>
      </c>
      <c r="M1008" s="24">
        <f>Data!M1008</f>
        <v>78933529000</v>
      </c>
      <c r="N1008" s="24">
        <f t="shared" si="124"/>
        <v>4626630367000</v>
      </c>
      <c r="O1008" s="25">
        <f t="shared" si="125"/>
        <v>0.11464786957336806</v>
      </c>
      <c r="P1008" s="24">
        <f>Data!K1008</f>
        <v>1951094614000</v>
      </c>
      <c r="Q1008" s="24">
        <f>Data!I1008</f>
        <v>2675535753000</v>
      </c>
      <c r="R1008" s="25">
        <f t="shared" si="126"/>
        <v>0.76569686740418608</v>
      </c>
      <c r="S1008" s="25">
        <f t="shared" si="127"/>
        <v>3.5453824942849557</v>
      </c>
    </row>
    <row r="1009" spans="1:19" ht="15" customHeight="1" x14ac:dyDescent="0.3">
      <c r="A1009" s="22"/>
      <c r="B1009" s="23"/>
      <c r="C1009" s="2"/>
      <c r="D1009" s="23">
        <v>2020</v>
      </c>
      <c r="E1009" s="24">
        <f>Data!F1009</f>
        <v>2786964057000</v>
      </c>
      <c r="F1009" s="24">
        <f>Data!H1009</f>
        <v>505994348000</v>
      </c>
      <c r="G1009" s="24">
        <f t="shared" si="120"/>
        <v>2280969709000</v>
      </c>
      <c r="H1009" s="24">
        <f>Data!G1009</f>
        <v>4737130041000</v>
      </c>
      <c r="I1009" s="25">
        <f t="shared" si="121"/>
        <v>3.1586975999251443</v>
      </c>
      <c r="J1009" s="24">
        <f>Data!J1009</f>
        <v>1060572113000</v>
      </c>
      <c r="K1009" s="24">
        <f t="shared" si="122"/>
        <v>4737130041000</v>
      </c>
      <c r="L1009" s="25">
        <f t="shared" si="123"/>
        <v>0.72986493054983448</v>
      </c>
      <c r="M1009" s="24">
        <f>Data!M1009</f>
        <v>123855201000</v>
      </c>
      <c r="N1009" s="24">
        <f t="shared" si="124"/>
        <v>4737130041000</v>
      </c>
      <c r="O1009" s="25">
        <f t="shared" si="125"/>
        <v>0.17569856506288803</v>
      </c>
      <c r="P1009" s="24">
        <f>Data!K1009</f>
        <v>2006374654000</v>
      </c>
      <c r="Q1009" s="24">
        <f>Data!I1009</f>
        <v>2730755387000</v>
      </c>
      <c r="R1009" s="25">
        <f t="shared" si="126"/>
        <v>0.77146909486257842</v>
      </c>
      <c r="S1009" s="25">
        <f t="shared" si="127"/>
        <v>4.8357301904004455</v>
      </c>
    </row>
    <row r="1010" spans="1:19" ht="15" customHeight="1" x14ac:dyDescent="0.3">
      <c r="A1010" s="22"/>
      <c r="B1010" s="23"/>
      <c r="C1010" s="2"/>
      <c r="D1010" s="23">
        <v>2021</v>
      </c>
      <c r="E1010" s="24">
        <f>Data!F1010</f>
        <v>1976135523000</v>
      </c>
      <c r="F1010" s="24">
        <f>Data!H1010</f>
        <v>488236990000</v>
      </c>
      <c r="G1010" s="24">
        <f t="shared" si="120"/>
        <v>1487898533000</v>
      </c>
      <c r="H1010" s="24">
        <f>Data!G1010</f>
        <v>4652817906000</v>
      </c>
      <c r="I1010" s="25">
        <f t="shared" si="121"/>
        <v>2.0977855943799746</v>
      </c>
      <c r="J1010" s="24">
        <f>Data!J1010</f>
        <v>959932956000</v>
      </c>
      <c r="K1010" s="24">
        <f t="shared" si="122"/>
        <v>4652817906000</v>
      </c>
      <c r="L1010" s="25">
        <f t="shared" si="123"/>
        <v>0.67257767223697573</v>
      </c>
      <c r="M1010" s="24">
        <f>Data!M1010</f>
        <v>161169331000</v>
      </c>
      <c r="N1010" s="24">
        <f t="shared" si="124"/>
        <v>4652817906000</v>
      </c>
      <c r="O1010" s="25">
        <f t="shared" si="125"/>
        <v>0.23277461663035476</v>
      </c>
      <c r="P1010" s="24">
        <f>Data!K1010</f>
        <v>1859762049000</v>
      </c>
      <c r="Q1010" s="24">
        <f>Data!I1010</f>
        <v>2793055857000</v>
      </c>
      <c r="R1010" s="25">
        <f t="shared" si="126"/>
        <v>0.69914468289489717</v>
      </c>
      <c r="S1010" s="25">
        <f t="shared" si="127"/>
        <v>3.7022825661422023</v>
      </c>
    </row>
    <row r="1011" spans="1:19" ht="15" customHeight="1" x14ac:dyDescent="0.3">
      <c r="A1011" s="22"/>
      <c r="B1011" s="23"/>
      <c r="C1011" s="2"/>
      <c r="D1011" s="23">
        <v>2022</v>
      </c>
      <c r="E1011" s="24">
        <f>Data!F1011</f>
        <v>2015243157000</v>
      </c>
      <c r="F1011" s="24">
        <f>Data!H1011</f>
        <v>489851066000</v>
      </c>
      <c r="G1011" s="24">
        <f t="shared" si="120"/>
        <v>1525392091000</v>
      </c>
      <c r="H1011" s="24">
        <f>Data!G1011</f>
        <v>4705846343000</v>
      </c>
      <c r="I1011" s="25">
        <f t="shared" si="121"/>
        <v>2.1264128464043219</v>
      </c>
      <c r="J1011" s="24">
        <f>Data!J1011</f>
        <v>880398157000</v>
      </c>
      <c r="K1011" s="24">
        <f t="shared" si="122"/>
        <v>4705846343000</v>
      </c>
      <c r="L1011" s="25">
        <f t="shared" si="123"/>
        <v>0.60990049028891546</v>
      </c>
      <c r="M1011" s="24">
        <f>Data!M1011</f>
        <v>192812423000</v>
      </c>
      <c r="N1011" s="24">
        <f t="shared" si="124"/>
        <v>4705846343000</v>
      </c>
      <c r="O1011" s="25">
        <f t="shared" si="125"/>
        <v>0.27533824696324127</v>
      </c>
      <c r="P1011" s="24">
        <f>Data!K1011</f>
        <v>1700336893000</v>
      </c>
      <c r="Q1011" s="24">
        <f>Data!I1011</f>
        <v>3005509450000</v>
      </c>
      <c r="R1011" s="25">
        <f t="shared" si="126"/>
        <v>0.59402699187986252</v>
      </c>
      <c r="S1011" s="25">
        <f t="shared" si="127"/>
        <v>3.605678575536341</v>
      </c>
    </row>
    <row r="1012" spans="1:19" ht="15" customHeight="1" x14ac:dyDescent="0.3">
      <c r="A1012" s="22"/>
      <c r="B1012" s="23"/>
      <c r="C1012" s="2"/>
      <c r="D1012" s="23">
        <v>2023</v>
      </c>
      <c r="E1012" s="24">
        <f>Data!F1012</f>
        <v>2271242778000</v>
      </c>
      <c r="F1012" s="24">
        <f>Data!H1012</f>
        <v>522666097000</v>
      </c>
      <c r="G1012" s="24">
        <f t="shared" si="120"/>
        <v>1748576681000</v>
      </c>
      <c r="H1012" s="24">
        <f>Data!G1012</f>
        <v>5116000794000</v>
      </c>
      <c r="I1012" s="25">
        <f t="shared" si="121"/>
        <v>2.2421151773105059</v>
      </c>
      <c r="J1012" s="24">
        <f>Data!J1012</f>
        <v>928750252000</v>
      </c>
      <c r="K1012" s="24">
        <f t="shared" si="122"/>
        <v>5116000794000</v>
      </c>
      <c r="L1012" s="25">
        <f t="shared" si="123"/>
        <v>0.59181496317805304</v>
      </c>
      <c r="M1012" s="24">
        <f>Data!M1012</f>
        <v>157763030000</v>
      </c>
      <c r="N1012" s="24">
        <f t="shared" si="124"/>
        <v>5116000794000</v>
      </c>
      <c r="O1012" s="25">
        <f t="shared" si="125"/>
        <v>0.20722583992624768</v>
      </c>
      <c r="P1012" s="24">
        <f>Data!K1012</f>
        <v>1705656748000</v>
      </c>
      <c r="Q1012" s="24">
        <f>Data!I1012</f>
        <v>3410344046000</v>
      </c>
      <c r="R1012" s="25">
        <f t="shared" si="126"/>
        <v>0.52514924044117983</v>
      </c>
      <c r="S1012" s="25">
        <f t="shared" si="127"/>
        <v>3.5663052208559867</v>
      </c>
    </row>
    <row r="1013" spans="1:19" ht="15" customHeight="1" x14ac:dyDescent="0.3">
      <c r="A1013" s="22"/>
      <c r="B1013" s="23"/>
      <c r="C1013" s="2"/>
      <c r="D1013" s="23">
        <v>2024</v>
      </c>
      <c r="E1013" s="24">
        <f>Data!F1013</f>
        <v>2395363782000</v>
      </c>
      <c r="F1013" s="24">
        <f>Data!H1013</f>
        <v>591519962000</v>
      </c>
      <c r="G1013" s="24">
        <f t="shared" si="120"/>
        <v>1803843820000</v>
      </c>
      <c r="H1013" s="24">
        <f>Data!G1013</f>
        <v>5366438278000</v>
      </c>
      <c r="I1013" s="25">
        <f t="shared" si="121"/>
        <v>2.2050408196644873</v>
      </c>
      <c r="J1013" s="24">
        <f>Data!J1013</f>
        <v>1008737588000</v>
      </c>
      <c r="K1013" s="24">
        <f t="shared" si="122"/>
        <v>5366438278000</v>
      </c>
      <c r="L1013" s="25">
        <f t="shared" si="123"/>
        <v>0.61278717214755218</v>
      </c>
      <c r="M1013" s="24">
        <f>Data!M1013</f>
        <v>247655387000</v>
      </c>
      <c r="N1013" s="24">
        <f t="shared" si="124"/>
        <v>5366438278000</v>
      </c>
      <c r="O1013" s="25">
        <f t="shared" si="125"/>
        <v>0.31012081280477177</v>
      </c>
      <c r="P1013" s="24">
        <f>Data!K1013</f>
        <v>1817705803000</v>
      </c>
      <c r="Q1013" s="24">
        <f>Data!I1013</f>
        <v>3548732475000</v>
      </c>
      <c r="R1013" s="25">
        <f t="shared" si="126"/>
        <v>0.53782332328390015</v>
      </c>
      <c r="S1013" s="25">
        <f t="shared" si="127"/>
        <v>3.6657721279007114</v>
      </c>
    </row>
    <row r="1014" spans="1:19" ht="15" customHeight="1" x14ac:dyDescent="0.3">
      <c r="A1014" s="22"/>
      <c r="B1014" s="23">
        <v>93</v>
      </c>
      <c r="C1014" s="2" t="s">
        <v>102</v>
      </c>
      <c r="D1014" s="23">
        <v>2014</v>
      </c>
      <c r="E1014" s="24">
        <f>Data!F1014</f>
        <v>0</v>
      </c>
      <c r="F1014" s="24">
        <f>Data!H1014</f>
        <v>0</v>
      </c>
      <c r="G1014" s="24">
        <f t="shared" si="120"/>
        <v>0</v>
      </c>
      <c r="H1014" s="24">
        <f>Data!G1014</f>
        <v>0</v>
      </c>
      <c r="I1014" s="25">
        <f t="shared" si="121"/>
        <v>0</v>
      </c>
      <c r="J1014" s="24">
        <f>Data!J1014</f>
        <v>0</v>
      </c>
      <c r="K1014" s="24">
        <f t="shared" si="122"/>
        <v>0</v>
      </c>
      <c r="L1014" s="25">
        <f t="shared" si="123"/>
        <v>0</v>
      </c>
      <c r="M1014" s="24">
        <f>Data!M1014</f>
        <v>0</v>
      </c>
      <c r="N1014" s="24">
        <f t="shared" si="124"/>
        <v>0</v>
      </c>
      <c r="O1014" s="25">
        <f t="shared" si="125"/>
        <v>0</v>
      </c>
      <c r="P1014" s="24">
        <f>Data!K1014</f>
        <v>0</v>
      </c>
      <c r="Q1014" s="24">
        <f>Data!I1014</f>
        <v>0</v>
      </c>
      <c r="R1014" s="25">
        <f t="shared" si="126"/>
        <v>0</v>
      </c>
      <c r="S1014" s="25">
        <f t="shared" si="127"/>
        <v>0</v>
      </c>
    </row>
    <row r="1015" spans="1:19" ht="15" customHeight="1" x14ac:dyDescent="0.3">
      <c r="A1015" s="22"/>
      <c r="B1015" s="23"/>
      <c r="C1015" s="2"/>
      <c r="D1015" s="23">
        <v>2015</v>
      </c>
      <c r="E1015" s="24">
        <f>Data!F1015</f>
        <v>621463000000</v>
      </c>
      <c r="F1015" s="24">
        <f>Data!H1015</f>
        <v>230544000000</v>
      </c>
      <c r="G1015" s="24">
        <f t="shared" si="120"/>
        <v>390919000000</v>
      </c>
      <c r="H1015" s="24">
        <f>Data!G1015</f>
        <v>688536000000</v>
      </c>
      <c r="I1015" s="25">
        <f t="shared" si="121"/>
        <v>3.7244655907606861</v>
      </c>
      <c r="J1015" s="24">
        <f>Data!J1015</f>
        <v>6985000000</v>
      </c>
      <c r="K1015" s="24">
        <f t="shared" si="122"/>
        <v>688536000000</v>
      </c>
      <c r="L1015" s="25">
        <f t="shared" si="123"/>
        <v>3.3071763858389391E-2</v>
      </c>
      <c r="M1015" s="24">
        <f>Data!M1015</f>
        <v>3015000000</v>
      </c>
      <c r="N1015" s="24">
        <f t="shared" si="124"/>
        <v>688536000000</v>
      </c>
      <c r="O1015" s="25">
        <f t="shared" si="125"/>
        <v>2.9425912370594998E-2</v>
      </c>
      <c r="P1015" s="24">
        <f>Data!K1015</f>
        <v>107881000000</v>
      </c>
      <c r="Q1015" s="24">
        <f>Data!I1015</f>
        <v>565655000000</v>
      </c>
      <c r="R1015" s="25">
        <f t="shared" si="126"/>
        <v>0.20025466052629254</v>
      </c>
      <c r="S1015" s="25">
        <f t="shared" si="127"/>
        <v>3.9872179275159629</v>
      </c>
    </row>
    <row r="1016" spans="1:19" ht="15" customHeight="1" x14ac:dyDescent="0.3">
      <c r="A1016" s="22"/>
      <c r="B1016" s="23"/>
      <c r="C1016" s="2"/>
      <c r="D1016" s="23">
        <v>2016</v>
      </c>
      <c r="E1016" s="24">
        <f>Data!F1016</f>
        <v>428409000000</v>
      </c>
      <c r="F1016" s="24">
        <f>Data!H1016</f>
        <v>170455000000</v>
      </c>
      <c r="G1016" s="24">
        <f t="shared" si="120"/>
        <v>257954000000</v>
      </c>
      <c r="H1016" s="24">
        <f>Data!G1016</f>
        <v>585160000000</v>
      </c>
      <c r="I1016" s="25">
        <f t="shared" si="121"/>
        <v>2.891821450543441</v>
      </c>
      <c r="J1016" s="24">
        <f>Data!J1016</f>
        <v>15890000000</v>
      </c>
      <c r="K1016" s="24">
        <f t="shared" si="122"/>
        <v>585160000000</v>
      </c>
      <c r="L1016" s="25">
        <f t="shared" si="123"/>
        <v>8.852518969170825E-2</v>
      </c>
      <c r="M1016" s="24">
        <f>Data!M1016</f>
        <v>10086000000</v>
      </c>
      <c r="N1016" s="24">
        <f t="shared" si="124"/>
        <v>585160000000</v>
      </c>
      <c r="O1016" s="25">
        <f t="shared" si="125"/>
        <v>0.11582801285118599</v>
      </c>
      <c r="P1016" s="24">
        <f>Data!K1016</f>
        <v>218751000000</v>
      </c>
      <c r="Q1016" s="24">
        <f>Data!I1016</f>
        <v>366409000000</v>
      </c>
      <c r="R1016" s="25">
        <f t="shared" si="126"/>
        <v>0.62686383249319744</v>
      </c>
      <c r="S1016" s="25">
        <f t="shared" si="127"/>
        <v>3.7230384855795329</v>
      </c>
    </row>
    <row r="1017" spans="1:19" ht="15" customHeight="1" x14ac:dyDescent="0.3">
      <c r="A1017" s="22"/>
      <c r="B1017" s="23"/>
      <c r="C1017" s="2"/>
      <c r="D1017" s="23">
        <v>2017</v>
      </c>
      <c r="E1017" s="24">
        <f>Data!F1017</f>
        <v>671720000000</v>
      </c>
      <c r="F1017" s="24">
        <f>Data!H1017</f>
        <v>192539000000</v>
      </c>
      <c r="G1017" s="24">
        <f t="shared" si="120"/>
        <v>479181000000</v>
      </c>
      <c r="H1017" s="24">
        <f>Data!G1017</f>
        <v>803478000000</v>
      </c>
      <c r="I1017" s="25">
        <f t="shared" si="121"/>
        <v>3.9122755819076565</v>
      </c>
      <c r="J1017" s="24">
        <f>Data!J1017</f>
        <v>40004000000</v>
      </c>
      <c r="K1017" s="24">
        <f t="shared" si="122"/>
        <v>803478000000</v>
      </c>
      <c r="L1017" s="25">
        <f t="shared" si="123"/>
        <v>0.16231065442986614</v>
      </c>
      <c r="M1017" s="24">
        <f>Data!M1017</f>
        <v>12722000000</v>
      </c>
      <c r="N1017" s="24">
        <f t="shared" si="124"/>
        <v>803478000000</v>
      </c>
      <c r="O1017" s="25">
        <f t="shared" si="125"/>
        <v>0.10640221636435596</v>
      </c>
      <c r="P1017" s="24">
        <f>Data!K1017</f>
        <v>226379000000</v>
      </c>
      <c r="Q1017" s="24">
        <f>Data!I1017</f>
        <v>577099000000</v>
      </c>
      <c r="R1017" s="25">
        <f t="shared" si="126"/>
        <v>0.41188418278319666</v>
      </c>
      <c r="S1017" s="25">
        <f t="shared" si="127"/>
        <v>4.5928726354850751</v>
      </c>
    </row>
    <row r="1018" spans="1:19" ht="15" customHeight="1" x14ac:dyDescent="0.3">
      <c r="A1018" s="22"/>
      <c r="B1018" s="23"/>
      <c r="C1018" s="2"/>
      <c r="D1018" s="23">
        <v>2018</v>
      </c>
      <c r="E1018" s="24">
        <f>Data!F1018</f>
        <v>889858000000</v>
      </c>
      <c r="F1018" s="24">
        <f>Data!H1018</f>
        <v>212641000000</v>
      </c>
      <c r="G1018" s="24">
        <f t="shared" si="120"/>
        <v>677217000000</v>
      </c>
      <c r="H1018" s="24">
        <f>Data!G1018</f>
        <v>1041532000000</v>
      </c>
      <c r="I1018" s="25">
        <f t="shared" si="121"/>
        <v>4.2653932092340892</v>
      </c>
      <c r="J1018" s="24">
        <f>Data!J1018</f>
        <v>48116000000</v>
      </c>
      <c r="K1018" s="24">
        <f t="shared" si="122"/>
        <v>1041532000000</v>
      </c>
      <c r="L1018" s="25">
        <f t="shared" si="123"/>
        <v>0.15060330359508875</v>
      </c>
      <c r="M1018" s="24">
        <f>Data!M1018</f>
        <v>17297000000</v>
      </c>
      <c r="N1018" s="24">
        <f t="shared" si="124"/>
        <v>1041532000000</v>
      </c>
      <c r="O1018" s="25">
        <f t="shared" si="125"/>
        <v>0.11160083415583967</v>
      </c>
      <c r="P1018" s="24">
        <f>Data!K1018</f>
        <v>234924000000</v>
      </c>
      <c r="Q1018" s="24">
        <f>Data!I1018</f>
        <v>806608000000</v>
      </c>
      <c r="R1018" s="25">
        <f t="shared" si="126"/>
        <v>0.30581174498641228</v>
      </c>
      <c r="S1018" s="25">
        <f t="shared" si="127"/>
        <v>4.8334090919714301</v>
      </c>
    </row>
    <row r="1019" spans="1:19" ht="15" customHeight="1" x14ac:dyDescent="0.3">
      <c r="A1019" s="22"/>
      <c r="B1019" s="23"/>
      <c r="C1019" s="2"/>
      <c r="D1019" s="23">
        <v>2019</v>
      </c>
      <c r="E1019" s="24">
        <f>Data!F1019</f>
        <v>952089000000</v>
      </c>
      <c r="F1019" s="24">
        <f>Data!H1019</f>
        <v>189099000000</v>
      </c>
      <c r="G1019" s="24">
        <f t="shared" si="120"/>
        <v>762990000000</v>
      </c>
      <c r="H1019" s="24">
        <f>Data!G1019</f>
        <v>1221480000000</v>
      </c>
      <c r="I1019" s="25">
        <f t="shared" si="121"/>
        <v>4.0976638176638174</v>
      </c>
      <c r="J1019" s="24">
        <f>Data!J1019</f>
        <v>-95491000000</v>
      </c>
      <c r="K1019" s="24">
        <f t="shared" si="122"/>
        <v>1221480000000</v>
      </c>
      <c r="L1019" s="25">
        <f t="shared" si="123"/>
        <v>-0.25485530667714573</v>
      </c>
      <c r="M1019" s="24">
        <f>Data!M1019</f>
        <v>30281000000</v>
      </c>
      <c r="N1019" s="24">
        <f t="shared" si="124"/>
        <v>1221480000000</v>
      </c>
      <c r="O1019" s="25">
        <f t="shared" si="125"/>
        <v>0.16659161017781707</v>
      </c>
      <c r="P1019" s="24">
        <f>Data!K1019</f>
        <v>182828000000</v>
      </c>
      <c r="Q1019" s="24">
        <f>Data!I1019</f>
        <v>1038652000000</v>
      </c>
      <c r="R1019" s="25">
        <f t="shared" si="126"/>
        <v>0.18482552385206982</v>
      </c>
      <c r="S1019" s="25">
        <f t="shared" si="127"/>
        <v>4.1942256450165587</v>
      </c>
    </row>
    <row r="1020" spans="1:19" ht="15" customHeight="1" x14ac:dyDescent="0.3">
      <c r="A1020" s="22"/>
      <c r="B1020" s="23"/>
      <c r="C1020" s="2"/>
      <c r="D1020" s="23">
        <v>2020</v>
      </c>
      <c r="E1020" s="24">
        <f>Data!F1020</f>
        <v>901046000000</v>
      </c>
      <c r="F1020" s="24">
        <f>Data!H1020</f>
        <v>117471000000</v>
      </c>
      <c r="G1020" s="24">
        <f t="shared" si="120"/>
        <v>783575000000</v>
      </c>
      <c r="H1020" s="24">
        <f>Data!G1020</f>
        <v>1204013000000</v>
      </c>
      <c r="I1020" s="25">
        <f t="shared" si="121"/>
        <v>4.2692661956307774</v>
      </c>
      <c r="J1020" s="24">
        <f>Data!J1020</f>
        <v>-65550000000</v>
      </c>
      <c r="K1020" s="24">
        <f t="shared" si="122"/>
        <v>1204013000000</v>
      </c>
      <c r="L1020" s="25">
        <f t="shared" si="123"/>
        <v>-0.17748396404357758</v>
      </c>
      <c r="M1020" s="24">
        <f>Data!M1020</f>
        <v>30637000000</v>
      </c>
      <c r="N1020" s="24">
        <f t="shared" si="124"/>
        <v>1204013000000</v>
      </c>
      <c r="O1020" s="25">
        <f t="shared" si="125"/>
        <v>0.17099536300687782</v>
      </c>
      <c r="P1020" s="24">
        <f>Data!K1020</f>
        <v>230431000000</v>
      </c>
      <c r="Q1020" s="24">
        <f>Data!I1020</f>
        <v>969383000000</v>
      </c>
      <c r="R1020" s="25">
        <f t="shared" si="126"/>
        <v>0.24959438116822766</v>
      </c>
      <c r="S1020" s="25">
        <f t="shared" si="127"/>
        <v>4.5123719757623046</v>
      </c>
    </row>
    <row r="1021" spans="1:19" ht="15" customHeight="1" x14ac:dyDescent="0.3">
      <c r="A1021" s="22"/>
      <c r="B1021" s="23"/>
      <c r="C1021" s="2"/>
      <c r="D1021" s="23">
        <v>2021</v>
      </c>
      <c r="E1021" s="24">
        <f>Data!F1021</f>
        <v>1161657000000</v>
      </c>
      <c r="F1021" s="24">
        <f>Data!H1021</f>
        <v>125241000000</v>
      </c>
      <c r="G1021" s="24">
        <f t="shared" si="120"/>
        <v>1036416000000</v>
      </c>
      <c r="H1021" s="24">
        <f>Data!G1021</f>
        <v>1538686000000</v>
      </c>
      <c r="I1021" s="25">
        <f t="shared" si="121"/>
        <v>4.4186331454240824</v>
      </c>
      <c r="J1021" s="24">
        <f>Data!J1021</f>
        <v>-41921000000</v>
      </c>
      <c r="K1021" s="24">
        <f t="shared" si="122"/>
        <v>1538686000000</v>
      </c>
      <c r="L1021" s="25">
        <f t="shared" si="123"/>
        <v>-8.8817640506250128E-2</v>
      </c>
      <c r="M1021" s="24">
        <f>Data!M1021</f>
        <v>28649000000</v>
      </c>
      <c r="N1021" s="24">
        <f t="shared" si="124"/>
        <v>1538686000000</v>
      </c>
      <c r="O1021" s="25">
        <f t="shared" si="125"/>
        <v>0.12512057690782916</v>
      </c>
      <c r="P1021" s="24">
        <f>Data!K1021</f>
        <v>250885000000</v>
      </c>
      <c r="Q1021" s="24">
        <f>Data!I1021</f>
        <v>1287801000000</v>
      </c>
      <c r="R1021" s="25">
        <f t="shared" si="126"/>
        <v>0.2045574199740488</v>
      </c>
      <c r="S1021" s="25">
        <f t="shared" si="127"/>
        <v>4.6594935017997097</v>
      </c>
    </row>
    <row r="1022" spans="1:19" ht="15" customHeight="1" x14ac:dyDescent="0.3">
      <c r="A1022" s="22"/>
      <c r="B1022" s="23"/>
      <c r="C1022" s="2"/>
      <c r="D1022" s="23">
        <v>2022</v>
      </c>
      <c r="E1022" s="24">
        <f>Data!F1022</f>
        <v>1254202000000</v>
      </c>
      <c r="F1022" s="24">
        <f>Data!H1022</f>
        <v>173851000000</v>
      </c>
      <c r="G1022" s="24">
        <f t="shared" si="120"/>
        <v>1080351000000</v>
      </c>
      <c r="H1022" s="24">
        <f>Data!G1022</f>
        <v>1734932000000</v>
      </c>
      <c r="I1022" s="25">
        <f t="shared" si="121"/>
        <v>4.0849454387837678</v>
      </c>
      <c r="J1022" s="24">
        <f>Data!J1022</f>
        <v>13682000000</v>
      </c>
      <c r="K1022" s="24">
        <f t="shared" si="122"/>
        <v>1734932000000</v>
      </c>
      <c r="L1022" s="25">
        <f t="shared" si="123"/>
        <v>2.5708973031796058E-2</v>
      </c>
      <c r="M1022" s="24">
        <f>Data!M1022</f>
        <v>54372000000</v>
      </c>
      <c r="N1022" s="24">
        <f t="shared" si="124"/>
        <v>1734932000000</v>
      </c>
      <c r="O1022" s="25">
        <f t="shared" si="125"/>
        <v>0.21060182185814774</v>
      </c>
      <c r="P1022" s="24">
        <f>Data!K1022</f>
        <v>305975000000</v>
      </c>
      <c r="Q1022" s="24">
        <f>Data!I1022</f>
        <v>1428957000000</v>
      </c>
      <c r="R1022" s="25">
        <f t="shared" si="126"/>
        <v>0.22483094312844965</v>
      </c>
      <c r="S1022" s="25">
        <f t="shared" si="127"/>
        <v>4.5460871768021613</v>
      </c>
    </row>
    <row r="1023" spans="1:19" ht="15" customHeight="1" x14ac:dyDescent="0.3">
      <c r="A1023" s="22"/>
      <c r="B1023" s="23"/>
      <c r="C1023" s="2"/>
      <c r="D1023" s="23">
        <v>2023</v>
      </c>
      <c r="E1023" s="24">
        <f>Data!F1023</f>
        <v>1328076000000</v>
      </c>
      <c r="F1023" s="24">
        <f>Data!H1023</f>
        <v>128803000000</v>
      </c>
      <c r="G1023" s="24">
        <f t="shared" si="120"/>
        <v>1199273000000</v>
      </c>
      <c r="H1023" s="24">
        <f>Data!G1023</f>
        <v>1763338000000</v>
      </c>
      <c r="I1023" s="25">
        <f t="shared" si="121"/>
        <v>4.4615557992852191</v>
      </c>
      <c r="J1023" s="24">
        <f>Data!J1023</f>
        <v>64822000000</v>
      </c>
      <c r="K1023" s="24">
        <f t="shared" si="122"/>
        <v>1763338000000</v>
      </c>
      <c r="L1023" s="25">
        <f t="shared" si="123"/>
        <v>0.11984073388085552</v>
      </c>
      <c r="M1023" s="24">
        <f>Data!M1023</f>
        <v>69732000000</v>
      </c>
      <c r="N1023" s="24">
        <f t="shared" si="124"/>
        <v>1763338000000</v>
      </c>
      <c r="O1023" s="25">
        <f t="shared" si="125"/>
        <v>0.26574544415194368</v>
      </c>
      <c r="P1023" s="24">
        <f>Data!K1023</f>
        <v>355143000000</v>
      </c>
      <c r="Q1023" s="24">
        <f>Data!I1023</f>
        <v>1388194000000</v>
      </c>
      <c r="R1023" s="25">
        <f t="shared" si="126"/>
        <v>0.26862250521180758</v>
      </c>
      <c r="S1023" s="25">
        <f t="shared" si="127"/>
        <v>5.1157644825298254</v>
      </c>
    </row>
    <row r="1024" spans="1:19" ht="15" customHeight="1" x14ac:dyDescent="0.3">
      <c r="A1024" s="22"/>
      <c r="B1024" s="23"/>
      <c r="C1024" s="2"/>
      <c r="D1024" s="23">
        <v>2024</v>
      </c>
      <c r="E1024" s="24">
        <f>Data!F1024</f>
        <v>5944590000000</v>
      </c>
      <c r="F1024" s="24">
        <f>Data!H1024</f>
        <v>1094311000000</v>
      </c>
      <c r="G1024" s="24">
        <f t="shared" si="120"/>
        <v>4850279000000</v>
      </c>
      <c r="H1024" s="24">
        <f>Data!G1024</f>
        <v>6304848000000</v>
      </c>
      <c r="I1024" s="25">
        <f t="shared" si="121"/>
        <v>5.0465657919112399</v>
      </c>
      <c r="J1024" s="24">
        <f>Data!J1024</f>
        <v>113372000000</v>
      </c>
      <c r="K1024" s="24">
        <f t="shared" si="122"/>
        <v>6304848000000</v>
      </c>
      <c r="L1024" s="25">
        <f t="shared" si="123"/>
        <v>5.8620401316574165E-2</v>
      </c>
      <c r="M1024" s="24">
        <f>Data!M1024</f>
        <v>83670000000</v>
      </c>
      <c r="N1024" s="24">
        <f t="shared" si="124"/>
        <v>6304848000000</v>
      </c>
      <c r="O1024" s="25">
        <f t="shared" si="125"/>
        <v>8.9179374348120691E-2</v>
      </c>
      <c r="P1024" s="24">
        <f>Data!K1024</f>
        <v>401299000000</v>
      </c>
      <c r="Q1024" s="24">
        <f>Data!I1024</f>
        <v>5903549000000</v>
      </c>
      <c r="R1024" s="25">
        <f t="shared" si="126"/>
        <v>7.1374684956455853E-2</v>
      </c>
      <c r="S1024" s="25">
        <f t="shared" si="127"/>
        <v>5.2657402525323906</v>
      </c>
    </row>
    <row r="1025" spans="1:19" ht="15" customHeight="1" x14ac:dyDescent="0.3">
      <c r="A1025" s="22"/>
      <c r="B1025" s="23">
        <v>94</v>
      </c>
      <c r="C1025" s="2" t="s">
        <v>114</v>
      </c>
      <c r="D1025" s="23">
        <v>2014</v>
      </c>
      <c r="E1025" s="24">
        <f>Data!F1025</f>
        <v>0</v>
      </c>
      <c r="F1025" s="24">
        <f>Data!H1025</f>
        <v>0</v>
      </c>
      <c r="G1025" s="24">
        <f t="shared" si="120"/>
        <v>0</v>
      </c>
      <c r="H1025" s="24">
        <f>Data!G1025</f>
        <v>0</v>
      </c>
      <c r="I1025" s="25">
        <f t="shared" si="121"/>
        <v>0</v>
      </c>
      <c r="J1025" s="24">
        <f>Data!J1025</f>
        <v>0</v>
      </c>
      <c r="K1025" s="24">
        <f t="shared" si="122"/>
        <v>0</v>
      </c>
      <c r="L1025" s="25">
        <f t="shared" si="123"/>
        <v>0</v>
      </c>
      <c r="M1025" s="24">
        <f>Data!M1025</f>
        <v>0</v>
      </c>
      <c r="N1025" s="24">
        <f t="shared" si="124"/>
        <v>0</v>
      </c>
      <c r="O1025" s="25">
        <f t="shared" si="125"/>
        <v>0</v>
      </c>
      <c r="P1025" s="24">
        <f>Data!K1025</f>
        <v>0</v>
      </c>
      <c r="Q1025" s="24">
        <f>Data!I1025</f>
        <v>0</v>
      </c>
      <c r="R1025" s="25">
        <f t="shared" si="126"/>
        <v>0</v>
      </c>
      <c r="S1025" s="25">
        <f t="shared" si="127"/>
        <v>0</v>
      </c>
    </row>
    <row r="1026" spans="1:19" ht="15" customHeight="1" x14ac:dyDescent="0.3">
      <c r="A1026" s="22"/>
      <c r="B1026" s="23"/>
      <c r="C1026" s="2"/>
      <c r="D1026" s="23">
        <v>2015</v>
      </c>
      <c r="E1026" s="24">
        <f>Data!F1026</f>
        <v>1287954750000</v>
      </c>
      <c r="F1026" s="24">
        <f>Data!H1026</f>
        <v>688812200000</v>
      </c>
      <c r="G1026" s="24">
        <f t="shared" si="120"/>
        <v>599142550000</v>
      </c>
      <c r="H1026" s="24">
        <f>Data!G1026</f>
        <v>1609399500000</v>
      </c>
      <c r="I1026" s="25">
        <f t="shared" si="121"/>
        <v>2.4421376594189321</v>
      </c>
      <c r="J1026" s="24">
        <f>Data!J1026</f>
        <v>309357850000</v>
      </c>
      <c r="K1026" s="24">
        <f t="shared" si="122"/>
        <v>1609399500000</v>
      </c>
      <c r="L1026" s="25">
        <f t="shared" si="123"/>
        <v>0.62663533261940241</v>
      </c>
      <c r="M1026" s="24">
        <f>Data!M1026</f>
        <v>80721690000</v>
      </c>
      <c r="N1026" s="24">
        <f t="shared" si="124"/>
        <v>1609399500000</v>
      </c>
      <c r="O1026" s="25">
        <f t="shared" si="125"/>
        <v>0.33705102853579855</v>
      </c>
      <c r="P1026" s="24">
        <f>Data!K1026</f>
        <v>345020010000</v>
      </c>
      <c r="Q1026" s="24">
        <f>Data!I1026</f>
        <v>1264379490000</v>
      </c>
      <c r="R1026" s="25">
        <f t="shared" si="126"/>
        <v>0.28652079013081749</v>
      </c>
      <c r="S1026" s="25">
        <f t="shared" si="127"/>
        <v>3.6923448107049506</v>
      </c>
    </row>
    <row r="1027" spans="1:19" ht="15" customHeight="1" x14ac:dyDescent="0.3">
      <c r="A1027" s="22"/>
      <c r="B1027" s="23"/>
      <c r="C1027" s="2"/>
      <c r="D1027" s="23">
        <v>2016</v>
      </c>
      <c r="E1027" s="24">
        <f>Data!F1027</f>
        <v>670891870000</v>
      </c>
      <c r="F1027" s="24">
        <f>Data!H1027</f>
        <v>601214530000</v>
      </c>
      <c r="G1027" s="24">
        <f t="shared" ref="G1027:G1090" si="128">E1027-F1027</f>
        <v>69677340000</v>
      </c>
      <c r="H1027" s="24">
        <f>Data!G1027</f>
        <v>1527605960000</v>
      </c>
      <c r="I1027" s="25">
        <f t="shared" ref="I1027:I1090" si="129">IFERROR(6.56*(G1027/H1027),0)</f>
        <v>0.29921547988723474</v>
      </c>
      <c r="J1027" s="24">
        <f>Data!J1027</f>
        <v>336742250000</v>
      </c>
      <c r="K1027" s="24">
        <f t="shared" ref="K1027:K1090" si="130">H1027</f>
        <v>1527605960000</v>
      </c>
      <c r="L1027" s="25">
        <f t="shared" ref="L1027:L1090" si="131">IFERROR(3.26*(J1027/K1027),0)</f>
        <v>0.7186275543203563</v>
      </c>
      <c r="M1027" s="24">
        <f>Data!M1027</f>
        <v>51514600000</v>
      </c>
      <c r="N1027" s="24">
        <f t="shared" ref="N1027:N1090" si="132">K1027</f>
        <v>1527605960000</v>
      </c>
      <c r="O1027" s="25">
        <f t="shared" ref="O1027:O1090" si="133">IFERROR(6.72*(M1027/N1027),0)</f>
        <v>0.22661479534944989</v>
      </c>
      <c r="P1027" s="24">
        <f>Data!K1027</f>
        <v>370247190000</v>
      </c>
      <c r="Q1027" s="24">
        <f>Data!I1027</f>
        <v>1157358770000</v>
      </c>
      <c r="R1027" s="25">
        <f t="shared" ref="R1027:R1090" si="134">IFERROR(1.05*(P1027/Q1027),0)</f>
        <v>0.33590236629908637</v>
      </c>
      <c r="S1027" s="25">
        <f t="shared" ref="S1027:S1090" si="135">IFERROR(I1027+L1027+O1027+R1027,0)</f>
        <v>1.5803601958561273</v>
      </c>
    </row>
    <row r="1028" spans="1:19" ht="15" customHeight="1" x14ac:dyDescent="0.3">
      <c r="A1028" s="22"/>
      <c r="B1028" s="23"/>
      <c r="C1028" s="2"/>
      <c r="D1028" s="23">
        <v>2017</v>
      </c>
      <c r="E1028" s="24">
        <f>Data!F1028</f>
        <v>568746000000</v>
      </c>
      <c r="F1028" s="24">
        <f>Data!H1028</f>
        <v>656686000000</v>
      </c>
      <c r="G1028" s="24">
        <f t="shared" si="128"/>
        <v>-87940000000</v>
      </c>
      <c r="H1028" s="24">
        <f>Data!G1028</f>
        <v>1595563000000</v>
      </c>
      <c r="I1028" s="25">
        <f t="shared" si="129"/>
        <v>-0.36155664176218671</v>
      </c>
      <c r="J1028" s="24">
        <f>Data!J1028</f>
        <v>358026000000</v>
      </c>
      <c r="K1028" s="24">
        <f t="shared" si="130"/>
        <v>1595563000000</v>
      </c>
      <c r="L1028" s="25">
        <f t="shared" si="131"/>
        <v>0.73150653405725741</v>
      </c>
      <c r="M1028" s="24">
        <f>Data!M1028</f>
        <v>42985000000</v>
      </c>
      <c r="N1028" s="24">
        <f t="shared" si="132"/>
        <v>1595563000000</v>
      </c>
      <c r="O1028" s="25">
        <f t="shared" si="133"/>
        <v>0.18103904389861133</v>
      </c>
      <c r="P1028" s="24">
        <f>Data!K1028</f>
        <v>396791000000</v>
      </c>
      <c r="Q1028" s="24">
        <f>Data!I1028</f>
        <v>1198772000000</v>
      </c>
      <c r="R1028" s="25">
        <f t="shared" si="134"/>
        <v>0.34754778223048255</v>
      </c>
      <c r="S1028" s="25">
        <f t="shared" si="135"/>
        <v>0.8985367184241646</v>
      </c>
    </row>
    <row r="1029" spans="1:19" ht="15" customHeight="1" x14ac:dyDescent="0.3">
      <c r="A1029" s="22"/>
      <c r="B1029" s="23"/>
      <c r="C1029" s="2"/>
      <c r="D1029" s="23">
        <v>2018</v>
      </c>
      <c r="E1029" s="24">
        <f>Data!F1029</f>
        <v>592995000000</v>
      </c>
      <c r="F1029" s="24">
        <f>Data!H1029</f>
        <v>752357000000</v>
      </c>
      <c r="G1029" s="24">
        <f t="shared" si="128"/>
        <v>-159362000000</v>
      </c>
      <c r="H1029" s="24">
        <f>Data!G1029</f>
        <v>1741510000000</v>
      </c>
      <c r="I1029" s="25">
        <f t="shared" si="129"/>
        <v>-0.60029211431458906</v>
      </c>
      <c r="J1029" s="24">
        <f>Data!J1029</f>
        <v>391033000000</v>
      </c>
      <c r="K1029" s="24">
        <f t="shared" si="130"/>
        <v>1741510000000</v>
      </c>
      <c r="L1029" s="25">
        <f t="shared" si="131"/>
        <v>0.7319898134377637</v>
      </c>
      <c r="M1029" s="24">
        <f>Data!M1029</f>
        <v>54954000000</v>
      </c>
      <c r="N1029" s="24">
        <f t="shared" si="132"/>
        <v>1741510000000</v>
      </c>
      <c r="O1029" s="25">
        <f t="shared" si="133"/>
        <v>0.21205211569270344</v>
      </c>
      <c r="P1029" s="24">
        <f>Data!K1029</f>
        <v>424393000000</v>
      </c>
      <c r="Q1029" s="24">
        <f>Data!I1029</f>
        <v>1317117000000</v>
      </c>
      <c r="R1029" s="25">
        <f t="shared" si="134"/>
        <v>0.33832427187561925</v>
      </c>
      <c r="S1029" s="25">
        <f t="shared" si="135"/>
        <v>0.68207408669149738</v>
      </c>
    </row>
    <row r="1030" spans="1:19" ht="15" customHeight="1" x14ac:dyDescent="0.3">
      <c r="A1030" s="22"/>
      <c r="B1030" s="23"/>
      <c r="C1030" s="2"/>
      <c r="D1030" s="23">
        <v>2019</v>
      </c>
      <c r="E1030" s="24">
        <f>Data!F1030</f>
        <v>522084000000</v>
      </c>
      <c r="F1030" s="24">
        <f>Data!H1030</f>
        <v>710207000000</v>
      </c>
      <c r="G1030" s="24">
        <f t="shared" si="128"/>
        <v>-188123000000</v>
      </c>
      <c r="H1030" s="24">
        <f>Data!G1030</f>
        <v>1763884000000</v>
      </c>
      <c r="I1030" s="25">
        <f t="shared" si="129"/>
        <v>-0.69964174514877397</v>
      </c>
      <c r="J1030" s="24">
        <f>Data!J1030</f>
        <v>423499000000</v>
      </c>
      <c r="K1030" s="24">
        <f t="shared" si="130"/>
        <v>1763884000000</v>
      </c>
      <c r="L1030" s="25">
        <f t="shared" si="131"/>
        <v>0.78270835270346573</v>
      </c>
      <c r="M1030" s="24">
        <f>Data!M1030</f>
        <v>63842000000</v>
      </c>
      <c r="N1030" s="24">
        <f t="shared" si="132"/>
        <v>1763884000000</v>
      </c>
      <c r="O1030" s="25">
        <f t="shared" si="133"/>
        <v>0.24322361334418818</v>
      </c>
      <c r="P1030" s="24">
        <f>Data!K1030</f>
        <v>456958000000</v>
      </c>
      <c r="Q1030" s="24">
        <f>Data!I1030</f>
        <v>1306926000000</v>
      </c>
      <c r="R1030" s="25">
        <f t="shared" si="134"/>
        <v>0.36712552967803841</v>
      </c>
      <c r="S1030" s="25">
        <f t="shared" si="135"/>
        <v>0.69341575057691829</v>
      </c>
    </row>
    <row r="1031" spans="1:19" ht="15" customHeight="1" x14ac:dyDescent="0.3">
      <c r="A1031" s="22"/>
      <c r="B1031" s="23"/>
      <c r="C1031" s="2"/>
      <c r="D1031" s="23">
        <v>2020</v>
      </c>
      <c r="E1031" s="24">
        <f>Data!F1031</f>
        <v>277199000000</v>
      </c>
      <c r="F1031" s="24">
        <f>Data!H1031</f>
        <v>543425000000</v>
      </c>
      <c r="G1031" s="24">
        <f t="shared" si="128"/>
        <v>-266226000000</v>
      </c>
      <c r="H1031" s="24">
        <f>Data!G1031</f>
        <v>1554564000000</v>
      </c>
      <c r="I1031" s="25">
        <f t="shared" si="129"/>
        <v>-1.123429180143114</v>
      </c>
      <c r="J1031" s="24">
        <f>Data!J1031</f>
        <v>463607000000</v>
      </c>
      <c r="K1031" s="24">
        <f t="shared" si="130"/>
        <v>1554564000000</v>
      </c>
      <c r="L1031" s="25">
        <f t="shared" si="131"/>
        <v>0.97220752571138913</v>
      </c>
      <c r="M1031" s="24">
        <f>Data!M1031</f>
        <v>90778000000</v>
      </c>
      <c r="N1031" s="24">
        <f t="shared" si="132"/>
        <v>1554564000000</v>
      </c>
      <c r="O1031" s="25">
        <f t="shared" si="133"/>
        <v>0.3924110940430886</v>
      </c>
      <c r="P1031" s="24">
        <f>Data!K1031</f>
        <v>497227000000</v>
      </c>
      <c r="Q1031" s="24">
        <f>Data!I1031</f>
        <v>1057337000000</v>
      </c>
      <c r="R1031" s="25">
        <f t="shared" si="134"/>
        <v>0.49377667668870001</v>
      </c>
      <c r="S1031" s="25">
        <f t="shared" si="135"/>
        <v>0.73496611630006381</v>
      </c>
    </row>
    <row r="1032" spans="1:19" ht="15" customHeight="1" x14ac:dyDescent="0.3">
      <c r="A1032" s="22"/>
      <c r="B1032" s="23"/>
      <c r="C1032" s="2"/>
      <c r="D1032" s="23">
        <v>2021</v>
      </c>
      <c r="E1032" s="24">
        <f>Data!F1032</f>
        <v>338564000000</v>
      </c>
      <c r="F1032" s="24">
        <f>Data!H1032</f>
        <v>554772000000</v>
      </c>
      <c r="G1032" s="24">
        <f t="shared" si="128"/>
        <v>-216208000000</v>
      </c>
      <c r="H1032" s="24">
        <f>Data!G1032</f>
        <v>1639874000000</v>
      </c>
      <c r="I1032" s="25">
        <f t="shared" si="129"/>
        <v>-0.86489844951502359</v>
      </c>
      <c r="J1032" s="24">
        <f>Data!J1032</f>
        <v>510051000000</v>
      </c>
      <c r="K1032" s="24">
        <f t="shared" si="130"/>
        <v>1639874000000</v>
      </c>
      <c r="L1032" s="25">
        <f t="shared" si="131"/>
        <v>1.0139597676406844</v>
      </c>
      <c r="M1032" s="24">
        <f>Data!M1032</f>
        <v>107449000000</v>
      </c>
      <c r="N1032" s="24">
        <f t="shared" si="132"/>
        <v>1639874000000</v>
      </c>
      <c r="O1032" s="25">
        <f t="shared" si="133"/>
        <v>0.44031265816763965</v>
      </c>
      <c r="P1032" s="24">
        <f>Data!K1032</f>
        <v>543742000000</v>
      </c>
      <c r="Q1032" s="24">
        <f>Data!I1032</f>
        <v>1096132000000</v>
      </c>
      <c r="R1032" s="25">
        <f t="shared" si="134"/>
        <v>0.5208579806081749</v>
      </c>
      <c r="S1032" s="25">
        <f t="shared" si="135"/>
        <v>1.1102319569014754</v>
      </c>
    </row>
    <row r="1033" spans="1:19" ht="15" customHeight="1" x14ac:dyDescent="0.3">
      <c r="A1033" s="22"/>
      <c r="B1033" s="23"/>
      <c r="C1033" s="2"/>
      <c r="D1033" s="23">
        <v>2022</v>
      </c>
      <c r="E1033" s="24">
        <f>Data!F1033</f>
        <v>418483000000</v>
      </c>
      <c r="F1033" s="24">
        <f>Data!H1033</f>
        <v>662959000000</v>
      </c>
      <c r="G1033" s="24">
        <f t="shared" si="128"/>
        <v>-244476000000</v>
      </c>
      <c r="H1033" s="24">
        <f>Data!G1033</f>
        <v>1939292000000</v>
      </c>
      <c r="I1033" s="25">
        <f t="shared" si="129"/>
        <v>-0.82698353832223304</v>
      </c>
      <c r="J1033" s="24">
        <f>Data!J1033</f>
        <v>617711000000</v>
      </c>
      <c r="K1033" s="24">
        <f t="shared" si="130"/>
        <v>1939292000000</v>
      </c>
      <c r="L1033" s="25">
        <f t="shared" si="131"/>
        <v>1.0383881643403881</v>
      </c>
      <c r="M1033" s="24">
        <f>Data!M1033</f>
        <v>126002000000</v>
      </c>
      <c r="N1033" s="24">
        <f t="shared" si="132"/>
        <v>1939292000000</v>
      </c>
      <c r="O1033" s="25">
        <f t="shared" si="133"/>
        <v>0.43661987983243372</v>
      </c>
      <c r="P1033" s="24">
        <f>Data!K1033</f>
        <v>651077000000</v>
      </c>
      <c r="Q1033" s="24">
        <f>Data!I1033</f>
        <v>1288215000000</v>
      </c>
      <c r="R1033" s="25">
        <f t="shared" si="134"/>
        <v>0.53068070935364053</v>
      </c>
      <c r="S1033" s="25">
        <f t="shared" si="135"/>
        <v>1.1787052152042292</v>
      </c>
    </row>
    <row r="1034" spans="1:19" ht="15" customHeight="1" x14ac:dyDescent="0.3">
      <c r="A1034" s="22"/>
      <c r="B1034" s="23"/>
      <c r="C1034" s="2"/>
      <c r="D1034" s="23">
        <v>2023</v>
      </c>
      <c r="E1034" s="24">
        <f>Data!F1034</f>
        <v>525249000000</v>
      </c>
      <c r="F1034" s="24">
        <f>Data!H1034</f>
        <v>754896000000</v>
      </c>
      <c r="G1034" s="24">
        <f t="shared" si="128"/>
        <v>-229647000000</v>
      </c>
      <c r="H1034" s="24">
        <f>Data!G1034</f>
        <v>2186737000000</v>
      </c>
      <c r="I1034" s="25">
        <f t="shared" si="129"/>
        <v>-0.68891884117751701</v>
      </c>
      <c r="J1034" s="24">
        <f>Data!J1034</f>
        <v>406205000000</v>
      </c>
      <c r="K1034" s="24">
        <f t="shared" si="130"/>
        <v>2186737000000</v>
      </c>
      <c r="L1034" s="25">
        <f t="shared" si="131"/>
        <v>0.60557273234046882</v>
      </c>
      <c r="M1034" s="24">
        <f>Data!M1034</f>
        <v>124949000000</v>
      </c>
      <c r="N1034" s="24">
        <f t="shared" si="132"/>
        <v>2186737000000</v>
      </c>
      <c r="O1034" s="25">
        <f t="shared" si="133"/>
        <v>0.38397725926803267</v>
      </c>
      <c r="P1034" s="24">
        <f>Data!K1034</f>
        <v>706430000000</v>
      </c>
      <c r="Q1034" s="24">
        <f>Data!I1034</f>
        <v>1480307000000</v>
      </c>
      <c r="R1034" s="25">
        <f t="shared" si="134"/>
        <v>0.50107950580521476</v>
      </c>
      <c r="S1034" s="25">
        <f t="shared" si="135"/>
        <v>0.8017106562361993</v>
      </c>
    </row>
    <row r="1035" spans="1:19" ht="15" customHeight="1" x14ac:dyDescent="0.3">
      <c r="A1035" s="22"/>
      <c r="B1035" s="23"/>
      <c r="C1035" s="2"/>
      <c r="D1035" s="23">
        <v>2024</v>
      </c>
      <c r="E1035" s="24">
        <f>Data!F1035</f>
        <v>508342000000</v>
      </c>
      <c r="F1035" s="24">
        <f>Data!H1035</f>
        <v>758191000000</v>
      </c>
      <c r="G1035" s="24">
        <f t="shared" si="128"/>
        <v>-249849000000</v>
      </c>
      <c r="H1035" s="24">
        <f>Data!G1035</f>
        <v>2288683000000</v>
      </c>
      <c r="I1035" s="25">
        <f t="shared" si="129"/>
        <v>-0.71613650295825149</v>
      </c>
      <c r="J1035" s="24">
        <f>Data!J1035</f>
        <v>276431000000</v>
      </c>
      <c r="K1035" s="24">
        <f t="shared" si="130"/>
        <v>2288683000000</v>
      </c>
      <c r="L1035" s="25">
        <f t="shared" si="131"/>
        <v>0.39374830852503379</v>
      </c>
      <c r="M1035" s="24">
        <f>Data!M1035</f>
        <v>145065000000</v>
      </c>
      <c r="N1035" s="24">
        <f t="shared" si="132"/>
        <v>2288683000000</v>
      </c>
      <c r="O1035" s="25">
        <f t="shared" si="133"/>
        <v>0.42593788654872689</v>
      </c>
      <c r="P1035" s="24">
        <f>Data!K1035</f>
        <v>776677000000</v>
      </c>
      <c r="Q1035" s="24">
        <f>Data!I1035</f>
        <v>1512006000000</v>
      </c>
      <c r="R1035" s="25">
        <f t="shared" si="134"/>
        <v>0.53935688747266874</v>
      </c>
      <c r="S1035" s="25">
        <f t="shared" si="135"/>
        <v>0.64290657958817787</v>
      </c>
    </row>
    <row r="1036" spans="1:19" ht="15" customHeight="1" x14ac:dyDescent="0.3">
      <c r="A1036" s="22"/>
      <c r="B1036" s="23">
        <v>95</v>
      </c>
      <c r="C1036" s="2" t="s">
        <v>115</v>
      </c>
      <c r="D1036" s="23">
        <v>2014</v>
      </c>
      <c r="E1036" s="24">
        <f>Data!F1036</f>
        <v>0</v>
      </c>
      <c r="F1036" s="24">
        <f>Data!H1036</f>
        <v>0</v>
      </c>
      <c r="G1036" s="24">
        <f t="shared" si="128"/>
        <v>0</v>
      </c>
      <c r="H1036" s="24">
        <f>Data!G1036</f>
        <v>0</v>
      </c>
      <c r="I1036" s="25">
        <f t="shared" si="129"/>
        <v>0</v>
      </c>
      <c r="J1036" s="24">
        <f>Data!J1036</f>
        <v>0</v>
      </c>
      <c r="K1036" s="24">
        <f t="shared" si="130"/>
        <v>0</v>
      </c>
      <c r="L1036" s="25">
        <f t="shared" si="131"/>
        <v>0</v>
      </c>
      <c r="M1036" s="24">
        <f>Data!M1036</f>
        <v>0</v>
      </c>
      <c r="N1036" s="24">
        <f t="shared" si="132"/>
        <v>0</v>
      </c>
      <c r="O1036" s="25">
        <f t="shared" si="133"/>
        <v>0</v>
      </c>
      <c r="P1036" s="24">
        <f>Data!K1036</f>
        <v>0</v>
      </c>
      <c r="Q1036" s="24">
        <f>Data!I1036</f>
        <v>0</v>
      </c>
      <c r="R1036" s="25">
        <f t="shared" si="134"/>
        <v>0</v>
      </c>
      <c r="S1036" s="25">
        <f t="shared" si="135"/>
        <v>0</v>
      </c>
    </row>
    <row r="1037" spans="1:19" ht="15" customHeight="1" x14ac:dyDescent="0.3">
      <c r="A1037" s="22"/>
      <c r="B1037" s="23"/>
      <c r="C1037" s="2"/>
      <c r="D1037" s="23">
        <v>2015</v>
      </c>
      <c r="E1037" s="24">
        <f>Data!F1037</f>
        <v>0</v>
      </c>
      <c r="F1037" s="24">
        <f>Data!H1037</f>
        <v>0</v>
      </c>
      <c r="G1037" s="24">
        <f t="shared" si="128"/>
        <v>0</v>
      </c>
      <c r="H1037" s="24">
        <f>Data!G1037</f>
        <v>0</v>
      </c>
      <c r="I1037" s="25">
        <f t="shared" si="129"/>
        <v>0</v>
      </c>
      <c r="J1037" s="24">
        <f>Data!J1037</f>
        <v>0</v>
      </c>
      <c r="K1037" s="24">
        <f t="shared" si="130"/>
        <v>0</v>
      </c>
      <c r="L1037" s="25">
        <f t="shared" si="131"/>
        <v>0</v>
      </c>
      <c r="M1037" s="24">
        <f>Data!M1037</f>
        <v>0</v>
      </c>
      <c r="N1037" s="24">
        <f t="shared" si="132"/>
        <v>0</v>
      </c>
      <c r="O1037" s="25">
        <f t="shared" si="133"/>
        <v>0</v>
      </c>
      <c r="P1037" s="24">
        <f>Data!K1037</f>
        <v>0</v>
      </c>
      <c r="Q1037" s="24">
        <f>Data!I1037</f>
        <v>0</v>
      </c>
      <c r="R1037" s="25">
        <f t="shared" si="134"/>
        <v>0</v>
      </c>
      <c r="S1037" s="25">
        <f t="shared" si="135"/>
        <v>0</v>
      </c>
    </row>
    <row r="1038" spans="1:19" ht="15" customHeight="1" x14ac:dyDescent="0.3">
      <c r="A1038" s="22"/>
      <c r="B1038" s="23"/>
      <c r="C1038" s="2"/>
      <c r="D1038" s="23">
        <v>2016</v>
      </c>
      <c r="E1038" s="24">
        <f>Data!F1038</f>
        <v>0</v>
      </c>
      <c r="F1038" s="24">
        <f>Data!H1038</f>
        <v>0</v>
      </c>
      <c r="G1038" s="24">
        <f t="shared" si="128"/>
        <v>0</v>
      </c>
      <c r="H1038" s="24">
        <f>Data!G1038</f>
        <v>0</v>
      </c>
      <c r="I1038" s="25">
        <f t="shared" si="129"/>
        <v>0</v>
      </c>
      <c r="J1038" s="24">
        <f>Data!J1038</f>
        <v>0</v>
      </c>
      <c r="K1038" s="24">
        <f t="shared" si="130"/>
        <v>0</v>
      </c>
      <c r="L1038" s="25">
        <f t="shared" si="131"/>
        <v>0</v>
      </c>
      <c r="M1038" s="24">
        <f>Data!M1038</f>
        <v>0</v>
      </c>
      <c r="N1038" s="24">
        <f t="shared" si="132"/>
        <v>0</v>
      </c>
      <c r="O1038" s="25">
        <f t="shared" si="133"/>
        <v>0</v>
      </c>
      <c r="P1038" s="24">
        <f>Data!K1038</f>
        <v>0</v>
      </c>
      <c r="Q1038" s="24">
        <f>Data!I1038</f>
        <v>0</v>
      </c>
      <c r="R1038" s="25">
        <f t="shared" si="134"/>
        <v>0</v>
      </c>
      <c r="S1038" s="25">
        <f t="shared" si="135"/>
        <v>0</v>
      </c>
    </row>
    <row r="1039" spans="1:19" ht="15" customHeight="1" x14ac:dyDescent="0.3">
      <c r="A1039" s="22"/>
      <c r="B1039" s="23"/>
      <c r="C1039" s="2"/>
      <c r="D1039" s="23">
        <v>2017</v>
      </c>
      <c r="E1039" s="24">
        <f>Data!F1039</f>
        <v>0</v>
      </c>
      <c r="F1039" s="24">
        <f>Data!H1039</f>
        <v>0</v>
      </c>
      <c r="G1039" s="24">
        <f t="shared" si="128"/>
        <v>0</v>
      </c>
      <c r="H1039" s="24">
        <f>Data!G1039</f>
        <v>0</v>
      </c>
      <c r="I1039" s="25">
        <f t="shared" si="129"/>
        <v>0</v>
      </c>
      <c r="J1039" s="24">
        <f>Data!J1039</f>
        <v>0</v>
      </c>
      <c r="K1039" s="24">
        <f t="shared" si="130"/>
        <v>0</v>
      </c>
      <c r="L1039" s="25">
        <f t="shared" si="131"/>
        <v>0</v>
      </c>
      <c r="M1039" s="24">
        <f>Data!M1039</f>
        <v>0</v>
      </c>
      <c r="N1039" s="24">
        <f t="shared" si="132"/>
        <v>0</v>
      </c>
      <c r="O1039" s="25">
        <f t="shared" si="133"/>
        <v>0</v>
      </c>
      <c r="P1039" s="24">
        <f>Data!K1039</f>
        <v>0</v>
      </c>
      <c r="Q1039" s="24">
        <f>Data!I1039</f>
        <v>0</v>
      </c>
      <c r="R1039" s="25">
        <f t="shared" si="134"/>
        <v>0</v>
      </c>
      <c r="S1039" s="25">
        <f t="shared" si="135"/>
        <v>0</v>
      </c>
    </row>
    <row r="1040" spans="1:19" ht="15" customHeight="1" x14ac:dyDescent="0.3">
      <c r="A1040" s="22"/>
      <c r="B1040" s="23"/>
      <c r="C1040" s="2"/>
      <c r="D1040" s="23">
        <v>2018</v>
      </c>
      <c r="E1040" s="24">
        <f>Data!F1040</f>
        <v>0</v>
      </c>
      <c r="F1040" s="24">
        <f>Data!H1040</f>
        <v>0</v>
      </c>
      <c r="G1040" s="24">
        <f t="shared" si="128"/>
        <v>0</v>
      </c>
      <c r="H1040" s="24">
        <f>Data!G1040</f>
        <v>0</v>
      </c>
      <c r="I1040" s="25">
        <f t="shared" si="129"/>
        <v>0</v>
      </c>
      <c r="J1040" s="24">
        <f>Data!J1040</f>
        <v>0</v>
      </c>
      <c r="K1040" s="24">
        <f t="shared" si="130"/>
        <v>0</v>
      </c>
      <c r="L1040" s="25">
        <f t="shared" si="131"/>
        <v>0</v>
      </c>
      <c r="M1040" s="24">
        <f>Data!M1040</f>
        <v>0</v>
      </c>
      <c r="N1040" s="24">
        <f t="shared" si="132"/>
        <v>0</v>
      </c>
      <c r="O1040" s="25">
        <f t="shared" si="133"/>
        <v>0</v>
      </c>
      <c r="P1040" s="24">
        <f>Data!K1040</f>
        <v>0</v>
      </c>
      <c r="Q1040" s="24">
        <f>Data!I1040</f>
        <v>0</v>
      </c>
      <c r="R1040" s="25">
        <f t="shared" si="134"/>
        <v>0</v>
      </c>
      <c r="S1040" s="25">
        <f t="shared" si="135"/>
        <v>0</v>
      </c>
    </row>
    <row r="1041" spans="1:19" ht="15" customHeight="1" x14ac:dyDescent="0.3">
      <c r="A1041" s="22"/>
      <c r="B1041" s="23"/>
      <c r="C1041" s="2"/>
      <c r="D1041" s="23">
        <v>2019</v>
      </c>
      <c r="E1041" s="24">
        <f>Data!F1041</f>
        <v>73037088814</v>
      </c>
      <c r="F1041" s="24">
        <f>Data!H1041</f>
        <v>42676527001</v>
      </c>
      <c r="G1041" s="24">
        <f t="shared" si="128"/>
        <v>30360561813</v>
      </c>
      <c r="H1041" s="24">
        <f>Data!G1041</f>
        <v>196174651501</v>
      </c>
      <c r="I1041" s="25">
        <f t="shared" si="129"/>
        <v>1.0152447524152464</v>
      </c>
      <c r="J1041" s="24">
        <f>Data!J1041</f>
        <v>-56696418247</v>
      </c>
      <c r="K1041" s="24">
        <f t="shared" si="130"/>
        <v>196174651501</v>
      </c>
      <c r="L1041" s="25">
        <f t="shared" si="131"/>
        <v>-0.94217230447980582</v>
      </c>
      <c r="M1041" s="24">
        <f>Data!M1041</f>
        <v>7022307637</v>
      </c>
      <c r="N1041" s="24">
        <f t="shared" si="132"/>
        <v>196174651501</v>
      </c>
      <c r="O1041" s="25">
        <f t="shared" si="133"/>
        <v>0.24055048376318611</v>
      </c>
      <c r="P1041" s="24">
        <f>Data!K1041</f>
        <v>111210002226</v>
      </c>
      <c r="Q1041" s="24">
        <f>Data!I1041</f>
        <v>84964649275</v>
      </c>
      <c r="R1041" s="25">
        <f t="shared" si="134"/>
        <v>1.3743421921198766</v>
      </c>
      <c r="S1041" s="25">
        <f t="shared" si="135"/>
        <v>1.6879651238185032</v>
      </c>
    </row>
    <row r="1042" spans="1:19" ht="15" customHeight="1" x14ac:dyDescent="0.3">
      <c r="A1042" s="22"/>
      <c r="B1042" s="23"/>
      <c r="C1042" s="2"/>
      <c r="D1042" s="23">
        <v>2020</v>
      </c>
      <c r="E1042" s="24">
        <f>Data!F1042</f>
        <v>62198000000</v>
      </c>
      <c r="F1042" s="24">
        <f>Data!H1042</f>
        <v>61586000000</v>
      </c>
      <c r="G1042" s="24">
        <f t="shared" si="128"/>
        <v>612000000</v>
      </c>
      <c r="H1042" s="24">
        <f>Data!G1042</f>
        <v>199744000000</v>
      </c>
      <c r="I1042" s="25">
        <f t="shared" si="129"/>
        <v>2.0099327138737584E-2</v>
      </c>
      <c r="J1042" s="24">
        <f>Data!J1042</f>
        <v>-56066000000</v>
      </c>
      <c r="K1042" s="24">
        <f t="shared" si="130"/>
        <v>199744000000</v>
      </c>
      <c r="L1042" s="25">
        <f t="shared" si="131"/>
        <v>-0.91504706023710336</v>
      </c>
      <c r="M1042" s="24">
        <f>Data!M1042</f>
        <v>3747000000</v>
      </c>
      <c r="N1042" s="24">
        <f t="shared" si="132"/>
        <v>199744000000</v>
      </c>
      <c r="O1042" s="25">
        <f t="shared" si="133"/>
        <v>0.12606055751361742</v>
      </c>
      <c r="P1042" s="24">
        <f>Data!K1042</f>
        <v>111413000000</v>
      </c>
      <c r="Q1042" s="24">
        <f>Data!I1042</f>
        <v>88331000000</v>
      </c>
      <c r="R1042" s="25">
        <f t="shared" si="134"/>
        <v>1.3243781911220296</v>
      </c>
      <c r="S1042" s="25">
        <f t="shared" si="135"/>
        <v>0.55549101553728131</v>
      </c>
    </row>
    <row r="1043" spans="1:19" ht="15" customHeight="1" x14ac:dyDescent="0.3">
      <c r="A1043" s="22"/>
      <c r="B1043" s="23"/>
      <c r="C1043" s="2"/>
      <c r="D1043" s="23">
        <v>2021</v>
      </c>
      <c r="E1043" s="24">
        <f>Data!F1043</f>
        <v>53059000000</v>
      </c>
      <c r="F1043" s="24">
        <f>Data!H1043</f>
        <v>34249000000</v>
      </c>
      <c r="G1043" s="24">
        <f t="shared" si="128"/>
        <v>18810000000</v>
      </c>
      <c r="H1043" s="24">
        <f>Data!G1043</f>
        <v>173288000000</v>
      </c>
      <c r="I1043" s="25">
        <f t="shared" si="129"/>
        <v>0.71207238816305807</v>
      </c>
      <c r="J1043" s="24">
        <f>Data!J1043</f>
        <v>-55611000000</v>
      </c>
      <c r="K1043" s="24">
        <f t="shared" si="130"/>
        <v>173288000000</v>
      </c>
      <c r="L1043" s="25">
        <f t="shared" si="131"/>
        <v>-1.0461881953741747</v>
      </c>
      <c r="M1043" s="24">
        <f>Data!M1043</f>
        <v>292000000</v>
      </c>
      <c r="N1043" s="24">
        <f t="shared" si="132"/>
        <v>173288000000</v>
      </c>
      <c r="O1043" s="25">
        <f t="shared" si="133"/>
        <v>1.1323576935506209E-2</v>
      </c>
      <c r="P1043" s="24">
        <f>Data!K1043</f>
        <v>115443000000</v>
      </c>
      <c r="Q1043" s="24">
        <f>Data!I1043</f>
        <v>57845000000</v>
      </c>
      <c r="R1043" s="25">
        <f t="shared" si="134"/>
        <v>2.0955164664188781</v>
      </c>
      <c r="S1043" s="25">
        <f t="shared" si="135"/>
        <v>1.7727242361432678</v>
      </c>
    </row>
    <row r="1044" spans="1:19" ht="15" customHeight="1" x14ac:dyDescent="0.3">
      <c r="A1044" s="22"/>
      <c r="B1044" s="23"/>
      <c r="C1044" s="2"/>
      <c r="D1044" s="23">
        <v>2022</v>
      </c>
      <c r="E1044" s="24">
        <f>Data!F1044</f>
        <v>43190000000</v>
      </c>
      <c r="F1044" s="24">
        <f>Data!H1044</f>
        <v>29853000000</v>
      </c>
      <c r="G1044" s="24">
        <f t="shared" si="128"/>
        <v>13337000000</v>
      </c>
      <c r="H1044" s="24">
        <f>Data!G1044</f>
        <v>163542000000</v>
      </c>
      <c r="I1044" s="25">
        <f t="shared" si="129"/>
        <v>0.534974012791821</v>
      </c>
      <c r="J1044" s="24">
        <f>Data!J1044</f>
        <v>-68281000000</v>
      </c>
      <c r="K1044" s="24">
        <f t="shared" si="130"/>
        <v>163542000000</v>
      </c>
      <c r="L1044" s="25">
        <f t="shared" si="131"/>
        <v>-1.3610941531838916</v>
      </c>
      <c r="M1044" s="24">
        <f>Data!M1044</f>
        <v>-16378000000</v>
      </c>
      <c r="N1044" s="24">
        <f t="shared" si="132"/>
        <v>163542000000</v>
      </c>
      <c r="O1044" s="25">
        <f t="shared" si="133"/>
        <v>-0.67297795061818977</v>
      </c>
      <c r="P1044" s="24">
        <f>Data!K1044</f>
        <v>102516000000</v>
      </c>
      <c r="Q1044" s="24">
        <f>Data!I1044</f>
        <v>61026000000</v>
      </c>
      <c r="R1044" s="25">
        <f t="shared" si="134"/>
        <v>1.7638678596008259</v>
      </c>
      <c r="S1044" s="25">
        <f t="shared" si="135"/>
        <v>0.26476976859056567</v>
      </c>
    </row>
    <row r="1045" spans="1:19" ht="15" customHeight="1" x14ac:dyDescent="0.3">
      <c r="A1045" s="22"/>
      <c r="B1045" s="23"/>
      <c r="C1045" s="2"/>
      <c r="D1045" s="23">
        <v>2023</v>
      </c>
      <c r="E1045" s="24">
        <f>Data!F1045</f>
        <v>56375000000</v>
      </c>
      <c r="F1045" s="24">
        <f>Data!H1045</f>
        <v>46121000000</v>
      </c>
      <c r="G1045" s="24">
        <f t="shared" si="128"/>
        <v>10254000000</v>
      </c>
      <c r="H1045" s="24">
        <f>Data!G1045</f>
        <v>180812000000</v>
      </c>
      <c r="I1045" s="25">
        <f t="shared" si="129"/>
        <v>0.37202309581222487</v>
      </c>
      <c r="J1045" s="24">
        <f>Data!J1045</f>
        <v>-73641000000</v>
      </c>
      <c r="K1045" s="24">
        <f t="shared" si="130"/>
        <v>180812000000</v>
      </c>
      <c r="L1045" s="25">
        <f t="shared" si="131"/>
        <v>-1.3277307922040573</v>
      </c>
      <c r="M1045" s="24">
        <f>Data!M1045</f>
        <v>-5389000000</v>
      </c>
      <c r="N1045" s="24">
        <f t="shared" si="132"/>
        <v>180812000000</v>
      </c>
      <c r="O1045" s="25">
        <f t="shared" si="133"/>
        <v>-0.20028582173749529</v>
      </c>
      <c r="P1045" s="24">
        <f>Data!K1045</f>
        <v>100378000000</v>
      </c>
      <c r="Q1045" s="24">
        <f>Data!I1045</f>
        <v>80434000000</v>
      </c>
      <c r="R1045" s="25">
        <f t="shared" si="134"/>
        <v>1.3103525872143622</v>
      </c>
      <c r="S1045" s="25">
        <f t="shared" si="135"/>
        <v>0.15435906908503449</v>
      </c>
    </row>
    <row r="1046" spans="1:19" ht="15" customHeight="1" x14ac:dyDescent="0.3">
      <c r="A1046" s="22"/>
      <c r="B1046" s="23"/>
      <c r="C1046" s="2"/>
      <c r="D1046" s="23">
        <v>2024</v>
      </c>
      <c r="E1046" s="24">
        <f>Data!F1046</f>
        <v>76718000000</v>
      </c>
      <c r="F1046" s="24">
        <f>Data!H1046</f>
        <v>48097000000</v>
      </c>
      <c r="G1046" s="24">
        <f t="shared" si="128"/>
        <v>28621000000</v>
      </c>
      <c r="H1046" s="24">
        <f>Data!G1046</f>
        <v>237329000000</v>
      </c>
      <c r="I1046" s="25">
        <f t="shared" si="129"/>
        <v>0.79111174782685634</v>
      </c>
      <c r="J1046" s="24">
        <f>Data!J1046</f>
        <v>-74357000000</v>
      </c>
      <c r="K1046" s="24">
        <f t="shared" si="130"/>
        <v>237329000000</v>
      </c>
      <c r="L1046" s="25">
        <f t="shared" si="131"/>
        <v>-1.0213830589603461</v>
      </c>
      <c r="M1046" s="24">
        <f>Data!M1046</f>
        <v>-1370000000</v>
      </c>
      <c r="N1046" s="24">
        <f t="shared" si="132"/>
        <v>237329000000</v>
      </c>
      <c r="O1046" s="25">
        <f t="shared" si="133"/>
        <v>-3.8791719511732659E-2</v>
      </c>
      <c r="P1046" s="24">
        <f>Data!K1046</f>
        <v>140032000000</v>
      </c>
      <c r="Q1046" s="24">
        <f>Data!I1046</f>
        <v>97296000000</v>
      </c>
      <c r="R1046" s="25">
        <f t="shared" si="134"/>
        <v>1.5111988159842131</v>
      </c>
      <c r="S1046" s="25">
        <f t="shared" si="135"/>
        <v>1.2421357853389907</v>
      </c>
    </row>
    <row r="1047" spans="1:19" ht="15" customHeight="1" x14ac:dyDescent="0.3">
      <c r="A1047" s="22"/>
      <c r="B1047" s="23">
        <v>96</v>
      </c>
      <c r="C1047" s="2" t="s">
        <v>116</v>
      </c>
      <c r="D1047" s="23">
        <v>2014</v>
      </c>
      <c r="E1047" s="24">
        <f>Data!F1047</f>
        <v>0</v>
      </c>
      <c r="F1047" s="24">
        <f>Data!H1047</f>
        <v>0</v>
      </c>
      <c r="G1047" s="24">
        <f t="shared" si="128"/>
        <v>0</v>
      </c>
      <c r="H1047" s="24">
        <f>Data!G1047</f>
        <v>0</v>
      </c>
      <c r="I1047" s="25">
        <f t="shared" si="129"/>
        <v>0</v>
      </c>
      <c r="J1047" s="24">
        <f>Data!J1047</f>
        <v>0</v>
      </c>
      <c r="K1047" s="24">
        <f t="shared" si="130"/>
        <v>0</v>
      </c>
      <c r="L1047" s="25">
        <f t="shared" si="131"/>
        <v>0</v>
      </c>
      <c r="M1047" s="24">
        <f>Data!M1047</f>
        <v>0</v>
      </c>
      <c r="N1047" s="24">
        <f t="shared" si="132"/>
        <v>0</v>
      </c>
      <c r="O1047" s="25">
        <f t="shared" si="133"/>
        <v>0</v>
      </c>
      <c r="P1047" s="24">
        <f>Data!K1047</f>
        <v>0</v>
      </c>
      <c r="Q1047" s="24">
        <f>Data!I1047</f>
        <v>0</v>
      </c>
      <c r="R1047" s="25">
        <f t="shared" si="134"/>
        <v>0</v>
      </c>
      <c r="S1047" s="25">
        <f t="shared" si="135"/>
        <v>0</v>
      </c>
    </row>
    <row r="1048" spans="1:19" ht="15" customHeight="1" x14ac:dyDescent="0.3">
      <c r="A1048" s="22"/>
      <c r="B1048" s="23"/>
      <c r="C1048" s="2"/>
      <c r="D1048" s="23">
        <v>2015</v>
      </c>
      <c r="E1048" s="24">
        <f>Data!F1048</f>
        <v>812898457202</v>
      </c>
      <c r="F1048" s="24">
        <f>Data!H1048</f>
        <v>141427534686</v>
      </c>
      <c r="G1048" s="24">
        <f t="shared" si="128"/>
        <v>671470922516</v>
      </c>
      <c r="H1048" s="24">
        <f>Data!G1048</f>
        <v>1422094069358</v>
      </c>
      <c r="I1048" s="25">
        <f t="shared" si="129"/>
        <v>3.0974387325119186</v>
      </c>
      <c r="J1048" s="24">
        <f>Data!J1048</f>
        <v>161171997594</v>
      </c>
      <c r="K1048" s="24">
        <f t="shared" si="130"/>
        <v>1422094069358</v>
      </c>
      <c r="L1048" s="25">
        <f t="shared" si="131"/>
        <v>0.36946973022230489</v>
      </c>
      <c r="M1048" s="24">
        <f>Data!M1048</f>
        <v>79479258285</v>
      </c>
      <c r="N1048" s="24">
        <f t="shared" si="132"/>
        <v>1422094069358</v>
      </c>
      <c r="O1048" s="25">
        <f t="shared" si="133"/>
        <v>0.37557333736460774</v>
      </c>
      <c r="P1048" s="24">
        <f>Data!K1048</f>
        <v>274413615021</v>
      </c>
      <c r="Q1048" s="24">
        <f>Data!I1048</f>
        <v>1147680454337</v>
      </c>
      <c r="R1048" s="25">
        <f t="shared" si="134"/>
        <v>0.25105794446808927</v>
      </c>
      <c r="S1048" s="25">
        <f t="shared" si="135"/>
        <v>4.0935397445669199</v>
      </c>
    </row>
    <row r="1049" spans="1:19" ht="15" customHeight="1" x14ac:dyDescent="0.3">
      <c r="A1049" s="22"/>
      <c r="B1049" s="23"/>
      <c r="C1049" s="2"/>
      <c r="D1049" s="23">
        <v>2016</v>
      </c>
      <c r="E1049" s="24">
        <f>Data!F1049</f>
        <v>1163809220059</v>
      </c>
      <c r="F1049" s="24">
        <f>Data!H1049</f>
        <v>145158529681</v>
      </c>
      <c r="G1049" s="24">
        <f t="shared" si="128"/>
        <v>1018650690378</v>
      </c>
      <c r="H1049" s="24">
        <f>Data!G1049</f>
        <v>1434654843880</v>
      </c>
      <c r="I1049" s="25">
        <f t="shared" si="129"/>
        <v>4.6578091987668477</v>
      </c>
      <c r="J1049" s="24">
        <f>Data!J1049</f>
        <v>206007430681</v>
      </c>
      <c r="K1049" s="24">
        <f t="shared" si="130"/>
        <v>1434654843880</v>
      </c>
      <c r="L1049" s="25">
        <f t="shared" si="131"/>
        <v>0.46811553795320671</v>
      </c>
      <c r="M1049" s="24">
        <f>Data!M1049</f>
        <v>77829512162</v>
      </c>
      <c r="N1049" s="24">
        <f t="shared" si="132"/>
        <v>1434654843880</v>
      </c>
      <c r="O1049" s="25">
        <f t="shared" si="133"/>
        <v>0.36455759652555625</v>
      </c>
      <c r="P1049" s="24">
        <f>Data!K1049</f>
        <v>310491043060</v>
      </c>
      <c r="Q1049" s="24">
        <f>Data!I1049</f>
        <v>1124162800820</v>
      </c>
      <c r="R1049" s="25">
        <f t="shared" si="134"/>
        <v>0.2900074570829011</v>
      </c>
      <c r="S1049" s="25">
        <f t="shared" si="135"/>
        <v>5.7804897903285122</v>
      </c>
    </row>
    <row r="1050" spans="1:19" ht="15" customHeight="1" x14ac:dyDescent="0.3">
      <c r="A1050" s="22"/>
      <c r="B1050" s="23"/>
      <c r="C1050" s="2"/>
      <c r="D1050" s="23">
        <v>2017</v>
      </c>
      <c r="E1050" s="24">
        <f>Data!F1050</f>
        <v>788321917558</v>
      </c>
      <c r="F1050" s="24">
        <f>Data!H1050</f>
        <v>176219226792</v>
      </c>
      <c r="G1050" s="24">
        <f t="shared" si="128"/>
        <v>612102690766</v>
      </c>
      <c r="H1050" s="24">
        <f>Data!G1050</f>
        <v>1418524795003</v>
      </c>
      <c r="I1050" s="25">
        <f t="shared" si="129"/>
        <v>2.830682738553377</v>
      </c>
      <c r="J1050" s="24">
        <f>Data!J1050</f>
        <v>244270277639</v>
      </c>
      <c r="K1050" s="24">
        <f t="shared" si="130"/>
        <v>1418524795003</v>
      </c>
      <c r="L1050" s="25">
        <f t="shared" si="131"/>
        <v>0.5613727076948668</v>
      </c>
      <c r="M1050" s="24">
        <f>Data!M1050</f>
        <v>73843996987</v>
      </c>
      <c r="N1050" s="24">
        <f t="shared" si="132"/>
        <v>1418524795003</v>
      </c>
      <c r="O1050" s="25">
        <f t="shared" si="133"/>
        <v>0.34982233761489556</v>
      </c>
      <c r="P1050" s="24">
        <f>Data!K1050</f>
        <v>356295920510</v>
      </c>
      <c r="Q1050" s="24">
        <f>Data!I1050</f>
        <v>1062228874493</v>
      </c>
      <c r="R1050" s="25">
        <f t="shared" si="134"/>
        <v>0.35219407560735194</v>
      </c>
      <c r="S1050" s="25">
        <f t="shared" si="135"/>
        <v>4.0940718594704917</v>
      </c>
    </row>
    <row r="1051" spans="1:19" ht="15" customHeight="1" x14ac:dyDescent="0.3">
      <c r="A1051" s="22"/>
      <c r="B1051" s="23"/>
      <c r="C1051" s="2"/>
      <c r="D1051" s="23">
        <v>2018</v>
      </c>
      <c r="E1051" s="24">
        <f>Data!F1051</f>
        <v>810232782796</v>
      </c>
      <c r="F1051" s="24">
        <f>Data!H1051</f>
        <v>165438514304</v>
      </c>
      <c r="G1051" s="24">
        <f t="shared" si="128"/>
        <v>644794268492</v>
      </c>
      <c r="H1051" s="24">
        <f>Data!G1051</f>
        <v>1478007061719</v>
      </c>
      <c r="I1051" s="25">
        <f t="shared" si="129"/>
        <v>2.861860752131983</v>
      </c>
      <c r="J1051" s="24">
        <f>Data!J1051</f>
        <v>300276937908</v>
      </c>
      <c r="K1051" s="24">
        <f t="shared" si="130"/>
        <v>1478007061719</v>
      </c>
      <c r="L1051" s="25">
        <f t="shared" si="131"/>
        <v>0.66231267964414486</v>
      </c>
      <c r="M1051" s="24">
        <f>Data!M1051</f>
        <v>88198904566</v>
      </c>
      <c r="N1051" s="24">
        <f t="shared" si="132"/>
        <v>1478007061719</v>
      </c>
      <c r="O1051" s="25">
        <f t="shared" si="133"/>
        <v>0.40101069476229878</v>
      </c>
      <c r="P1051" s="24">
        <f>Data!K1051</f>
        <v>405785338438</v>
      </c>
      <c r="Q1051" s="24">
        <f>Data!I1051</f>
        <v>1072221723281</v>
      </c>
      <c r="R1051" s="25">
        <f t="shared" si="134"/>
        <v>0.39737546452249739</v>
      </c>
      <c r="S1051" s="25">
        <f t="shared" si="135"/>
        <v>4.3225595910609238</v>
      </c>
    </row>
    <row r="1052" spans="1:19" ht="15" customHeight="1" x14ac:dyDescent="0.3">
      <c r="A1052" s="22"/>
      <c r="B1052" s="23"/>
      <c r="C1052" s="2"/>
      <c r="D1052" s="23">
        <v>2019</v>
      </c>
      <c r="E1052" s="24">
        <f>Data!F1052</f>
        <v>879588708610</v>
      </c>
      <c r="F1052" s="24">
        <f>Data!H1052</f>
        <v>174880404531</v>
      </c>
      <c r="G1052" s="24">
        <f t="shared" si="128"/>
        <v>704708304079</v>
      </c>
      <c r="H1052" s="24">
        <f>Data!G1052</f>
        <v>1548001829554</v>
      </c>
      <c r="I1052" s="25">
        <f t="shared" si="129"/>
        <v>2.9863572422844973</v>
      </c>
      <c r="J1052" s="24">
        <f>Data!J1052</f>
        <v>288846879053</v>
      </c>
      <c r="K1052" s="24">
        <f t="shared" si="130"/>
        <v>1548001829554</v>
      </c>
      <c r="L1052" s="25">
        <f t="shared" si="131"/>
        <v>0.60829438811715042</v>
      </c>
      <c r="M1052" s="24">
        <f>Data!M1052</f>
        <v>75010199318</v>
      </c>
      <c r="N1052" s="24">
        <f t="shared" si="132"/>
        <v>1548001829554</v>
      </c>
      <c r="O1052" s="25">
        <f t="shared" si="133"/>
        <v>0.32562528660717982</v>
      </c>
      <c r="P1052" s="24">
        <f>Data!K1052</f>
        <v>443289279365</v>
      </c>
      <c r="Q1052" s="24">
        <f>Data!I1052</f>
        <v>1104712550189</v>
      </c>
      <c r="R1052" s="25">
        <f t="shared" si="134"/>
        <v>0.42133471123652733</v>
      </c>
      <c r="S1052" s="25">
        <f t="shared" si="135"/>
        <v>4.3416116282453547</v>
      </c>
    </row>
    <row r="1053" spans="1:19" ht="15" customHeight="1" x14ac:dyDescent="0.3">
      <c r="A1053" s="22"/>
      <c r="B1053" s="23"/>
      <c r="C1053" s="2"/>
      <c r="D1053" s="23">
        <v>2020</v>
      </c>
      <c r="E1053" s="24">
        <f>Data!F1053</f>
        <v>1023080684284</v>
      </c>
      <c r="F1053" s="24">
        <f>Data!H1053</f>
        <v>169182471154</v>
      </c>
      <c r="G1053" s="24">
        <f t="shared" si="128"/>
        <v>853898213130</v>
      </c>
      <c r="H1053" s="24">
        <f>Data!G1053</f>
        <v>1516562973028</v>
      </c>
      <c r="I1053" s="25">
        <f t="shared" si="129"/>
        <v>3.6935968883300565</v>
      </c>
      <c r="J1053" s="24">
        <f>Data!J1053</f>
        <v>344031237264</v>
      </c>
      <c r="K1053" s="24">
        <f t="shared" si="130"/>
        <v>1516562973028</v>
      </c>
      <c r="L1053" s="25">
        <f t="shared" si="131"/>
        <v>0.73952869312201863</v>
      </c>
      <c r="M1053" s="24">
        <f>Data!M1053</f>
        <v>76829288523</v>
      </c>
      <c r="N1053" s="24">
        <f t="shared" si="132"/>
        <v>1516562973028</v>
      </c>
      <c r="O1053" s="25">
        <f t="shared" si="133"/>
        <v>0.34043612303399401</v>
      </c>
      <c r="P1053" s="24">
        <f>Data!K1053</f>
        <v>503181214943</v>
      </c>
      <c r="Q1053" s="24">
        <f>Data!I1053</f>
        <v>1013381758085</v>
      </c>
      <c r="R1053" s="25">
        <f t="shared" si="134"/>
        <v>0.52136351525466684</v>
      </c>
      <c r="S1053" s="25">
        <f t="shared" si="135"/>
        <v>5.2949252197407359</v>
      </c>
    </row>
    <row r="1054" spans="1:19" ht="15" customHeight="1" x14ac:dyDescent="0.3">
      <c r="A1054" s="22"/>
      <c r="B1054" s="23"/>
      <c r="C1054" s="2"/>
      <c r="D1054" s="23">
        <v>2021</v>
      </c>
      <c r="E1054" s="24">
        <f>Data!F1054</f>
        <v>730177855402</v>
      </c>
      <c r="F1054" s="24">
        <f>Data!H1054</f>
        <v>222775899875</v>
      </c>
      <c r="G1054" s="24">
        <f t="shared" si="128"/>
        <v>507401955527</v>
      </c>
      <c r="H1054" s="24">
        <f>Data!G1054</f>
        <v>1411160148272</v>
      </c>
      <c r="I1054" s="25">
        <f t="shared" si="129"/>
        <v>2.3587378316578871</v>
      </c>
      <c r="J1054" s="24">
        <f>Data!J1054</f>
        <v>392621132141</v>
      </c>
      <c r="K1054" s="24">
        <f t="shared" si="130"/>
        <v>1411160148272</v>
      </c>
      <c r="L1054" s="25">
        <f t="shared" si="131"/>
        <v>0.90701604091284993</v>
      </c>
      <c r="M1054" s="24">
        <f>Data!M1054</f>
        <v>77767898297</v>
      </c>
      <c r="N1054" s="24">
        <f t="shared" si="132"/>
        <v>1411160148272</v>
      </c>
      <c r="O1054" s="25">
        <f t="shared" si="133"/>
        <v>0.37033378330289213</v>
      </c>
      <c r="P1054" s="24">
        <f>Data!K1054</f>
        <v>549046298074</v>
      </c>
      <c r="Q1054" s="24">
        <f>Data!I1054</f>
        <v>862113850198</v>
      </c>
      <c r="R1054" s="25">
        <f t="shared" si="134"/>
        <v>0.66870357418025084</v>
      </c>
      <c r="S1054" s="25">
        <f t="shared" si="135"/>
        <v>4.3047912300538798</v>
      </c>
    </row>
    <row r="1055" spans="1:19" ht="15" customHeight="1" x14ac:dyDescent="0.3">
      <c r="A1055" s="22"/>
      <c r="B1055" s="23"/>
      <c r="C1055" s="2"/>
      <c r="D1055" s="23">
        <v>2022</v>
      </c>
      <c r="E1055" s="24">
        <f>Data!F1055</f>
        <v>837163043119</v>
      </c>
      <c r="F1055" s="24">
        <f>Data!H1055</f>
        <v>222589977877</v>
      </c>
      <c r="G1055" s="24">
        <f t="shared" si="128"/>
        <v>614573065242</v>
      </c>
      <c r="H1055" s="24">
        <f>Data!G1055</f>
        <v>1627241657686</v>
      </c>
      <c r="I1055" s="25">
        <f t="shared" si="129"/>
        <v>2.47756643209381</v>
      </c>
      <c r="J1055" s="24">
        <f>Data!J1055</f>
        <v>455023152999</v>
      </c>
      <c r="K1055" s="24">
        <f t="shared" si="130"/>
        <v>1627241657686</v>
      </c>
      <c r="L1055" s="25">
        <f t="shared" si="131"/>
        <v>0.91158892827642857</v>
      </c>
      <c r="M1055" s="24">
        <f>Data!M1055</f>
        <v>90091897136</v>
      </c>
      <c r="N1055" s="24">
        <f t="shared" si="132"/>
        <v>1627241657686</v>
      </c>
      <c r="O1055" s="25">
        <f t="shared" si="133"/>
        <v>0.37205140729671765</v>
      </c>
      <c r="P1055" s="24">
        <f>Data!K1055</f>
        <v>614117783224</v>
      </c>
      <c r="Q1055" s="24">
        <f>Data!I1055</f>
        <v>1013123874462</v>
      </c>
      <c r="R1055" s="25">
        <f t="shared" si="134"/>
        <v>0.63647071067950234</v>
      </c>
      <c r="S1055" s="25">
        <f t="shared" si="135"/>
        <v>4.3976774783464583</v>
      </c>
    </row>
    <row r="1056" spans="1:19" ht="15" customHeight="1" x14ac:dyDescent="0.3">
      <c r="A1056" s="22"/>
      <c r="B1056" s="23"/>
      <c r="C1056" s="2"/>
      <c r="D1056" s="23">
        <v>2023</v>
      </c>
      <c r="E1056" s="24">
        <f>Data!F1056</f>
        <v>1011581042172</v>
      </c>
      <c r="F1056" s="24">
        <f>Data!H1056</f>
        <v>313204489304</v>
      </c>
      <c r="G1056" s="24">
        <f t="shared" si="128"/>
        <v>698376552868</v>
      </c>
      <c r="H1056" s="24">
        <f>Data!G1056</f>
        <v>1850769013354</v>
      </c>
      <c r="I1056" s="25">
        <f t="shared" si="129"/>
        <v>2.4753765347041696</v>
      </c>
      <c r="J1056" s="24">
        <f>Data!J1056</f>
        <v>520326913391</v>
      </c>
      <c r="K1056" s="24">
        <f t="shared" si="130"/>
        <v>1850769013354</v>
      </c>
      <c r="L1056" s="25">
        <f t="shared" si="131"/>
        <v>0.91651941728841346</v>
      </c>
      <c r="M1056" s="24">
        <f>Data!M1056</f>
        <v>106229973998</v>
      </c>
      <c r="N1056" s="24">
        <f t="shared" si="132"/>
        <v>1850769013354</v>
      </c>
      <c r="O1056" s="25">
        <f t="shared" si="133"/>
        <v>0.38571286860529347</v>
      </c>
      <c r="P1056" s="24">
        <f>Data!K1056</f>
        <v>678478999511</v>
      </c>
      <c r="Q1056" s="24">
        <f>Data!I1056</f>
        <v>1172290013843</v>
      </c>
      <c r="R1056" s="25">
        <f t="shared" si="134"/>
        <v>0.60770196885935368</v>
      </c>
      <c r="S1056" s="25">
        <f t="shared" si="135"/>
        <v>4.3853107894572307</v>
      </c>
    </row>
    <row r="1057" spans="1:19" ht="15" customHeight="1" x14ac:dyDescent="0.3">
      <c r="A1057" s="22"/>
      <c r="B1057" s="23"/>
      <c r="C1057" s="2"/>
      <c r="D1057" s="23">
        <v>2024</v>
      </c>
      <c r="E1057" s="24">
        <f>Data!F1057</f>
        <v>999046277328</v>
      </c>
      <c r="F1057" s="24">
        <f>Data!H1057</f>
        <v>347898320669</v>
      </c>
      <c r="G1057" s="24">
        <f t="shared" si="128"/>
        <v>651147956659</v>
      </c>
      <c r="H1057" s="24">
        <f>Data!G1057</f>
        <v>1748726624469</v>
      </c>
      <c r="I1057" s="25">
        <f t="shared" si="129"/>
        <v>2.4426520051297831</v>
      </c>
      <c r="J1057" s="24">
        <f>Data!J1057</f>
        <v>533145420798</v>
      </c>
      <c r="K1057" s="24">
        <f t="shared" si="130"/>
        <v>1748726624469</v>
      </c>
      <c r="L1057" s="25">
        <f t="shared" si="131"/>
        <v>0.99389695763866981</v>
      </c>
      <c r="M1057" s="24">
        <f>Data!M1057</f>
        <v>41916383803</v>
      </c>
      <c r="N1057" s="24">
        <f t="shared" si="132"/>
        <v>1748726624469</v>
      </c>
      <c r="O1057" s="25">
        <f t="shared" si="133"/>
        <v>0.16107611974038047</v>
      </c>
      <c r="P1057" s="24">
        <f>Data!K1057</f>
        <v>688490922678</v>
      </c>
      <c r="Q1057" s="24">
        <f>Data!I1057</f>
        <v>1060235701791</v>
      </c>
      <c r="R1057" s="25">
        <f t="shared" si="134"/>
        <v>0.68184411031501502</v>
      </c>
      <c r="S1057" s="25">
        <f t="shared" si="135"/>
        <v>4.2794691928238482</v>
      </c>
    </row>
    <row r="1058" spans="1:19" ht="15" customHeight="1" x14ac:dyDescent="0.3">
      <c r="A1058" s="22"/>
      <c r="B1058" s="23">
        <v>97</v>
      </c>
      <c r="C1058" s="2" t="s">
        <v>117</v>
      </c>
      <c r="D1058" s="23">
        <v>2014</v>
      </c>
      <c r="E1058" s="24">
        <f>Data!F1058</f>
        <v>0</v>
      </c>
      <c r="F1058" s="24">
        <f>Data!H1058</f>
        <v>0</v>
      </c>
      <c r="G1058" s="24">
        <f t="shared" si="128"/>
        <v>0</v>
      </c>
      <c r="H1058" s="24">
        <f>Data!G1058</f>
        <v>0</v>
      </c>
      <c r="I1058" s="25">
        <f t="shared" si="129"/>
        <v>0</v>
      </c>
      <c r="J1058" s="24">
        <f>Data!J1058</f>
        <v>0</v>
      </c>
      <c r="K1058" s="24">
        <f t="shared" si="130"/>
        <v>0</v>
      </c>
      <c r="L1058" s="25">
        <f t="shared" si="131"/>
        <v>0</v>
      </c>
      <c r="M1058" s="24">
        <f>Data!M1058</f>
        <v>0</v>
      </c>
      <c r="N1058" s="24">
        <f t="shared" si="132"/>
        <v>0</v>
      </c>
      <c r="O1058" s="25">
        <f t="shared" si="133"/>
        <v>0</v>
      </c>
      <c r="P1058" s="24">
        <f>Data!K1058</f>
        <v>0</v>
      </c>
      <c r="Q1058" s="24">
        <f>Data!I1058</f>
        <v>0</v>
      </c>
      <c r="R1058" s="25">
        <f t="shared" si="134"/>
        <v>0</v>
      </c>
      <c r="S1058" s="25">
        <f t="shared" si="135"/>
        <v>0</v>
      </c>
    </row>
    <row r="1059" spans="1:19" ht="15" customHeight="1" x14ac:dyDescent="0.3">
      <c r="A1059" s="22"/>
      <c r="B1059" s="23"/>
      <c r="C1059" s="2"/>
      <c r="D1059" s="23">
        <v>2015</v>
      </c>
      <c r="E1059" s="24">
        <f>Data!F1059</f>
        <v>0</v>
      </c>
      <c r="F1059" s="24">
        <f>Data!H1059</f>
        <v>0</v>
      </c>
      <c r="G1059" s="24">
        <f t="shared" si="128"/>
        <v>0</v>
      </c>
      <c r="H1059" s="24">
        <f>Data!G1059</f>
        <v>0</v>
      </c>
      <c r="I1059" s="25">
        <f t="shared" si="129"/>
        <v>0</v>
      </c>
      <c r="J1059" s="24">
        <f>Data!J1059</f>
        <v>0</v>
      </c>
      <c r="K1059" s="24">
        <f t="shared" si="130"/>
        <v>0</v>
      </c>
      <c r="L1059" s="25">
        <f t="shared" si="131"/>
        <v>0</v>
      </c>
      <c r="M1059" s="24">
        <f>Data!M1059</f>
        <v>0</v>
      </c>
      <c r="N1059" s="24">
        <f t="shared" si="132"/>
        <v>0</v>
      </c>
      <c r="O1059" s="25">
        <f t="shared" si="133"/>
        <v>0</v>
      </c>
      <c r="P1059" s="24">
        <f>Data!K1059</f>
        <v>0</v>
      </c>
      <c r="Q1059" s="24">
        <f>Data!I1059</f>
        <v>0</v>
      </c>
      <c r="R1059" s="25">
        <f t="shared" si="134"/>
        <v>0</v>
      </c>
      <c r="S1059" s="25">
        <f t="shared" si="135"/>
        <v>0</v>
      </c>
    </row>
    <row r="1060" spans="1:19" ht="15" customHeight="1" x14ac:dyDescent="0.3">
      <c r="A1060" s="22"/>
      <c r="B1060" s="23"/>
      <c r="C1060" s="2"/>
      <c r="D1060" s="23">
        <v>2016</v>
      </c>
      <c r="E1060" s="24">
        <f>Data!F1060</f>
        <v>0</v>
      </c>
      <c r="F1060" s="24">
        <f>Data!H1060</f>
        <v>0</v>
      </c>
      <c r="G1060" s="24">
        <f t="shared" si="128"/>
        <v>0</v>
      </c>
      <c r="H1060" s="24">
        <f>Data!G1060</f>
        <v>0</v>
      </c>
      <c r="I1060" s="25">
        <f t="shared" si="129"/>
        <v>0</v>
      </c>
      <c r="J1060" s="24">
        <f>Data!J1060</f>
        <v>0</v>
      </c>
      <c r="K1060" s="24">
        <f t="shared" si="130"/>
        <v>0</v>
      </c>
      <c r="L1060" s="25">
        <f t="shared" si="131"/>
        <v>0</v>
      </c>
      <c r="M1060" s="24">
        <f>Data!M1060</f>
        <v>0</v>
      </c>
      <c r="N1060" s="24">
        <f t="shared" si="132"/>
        <v>0</v>
      </c>
      <c r="O1060" s="25">
        <f t="shared" si="133"/>
        <v>0</v>
      </c>
      <c r="P1060" s="24">
        <f>Data!K1060</f>
        <v>0</v>
      </c>
      <c r="Q1060" s="24">
        <f>Data!I1060</f>
        <v>0</v>
      </c>
      <c r="R1060" s="25">
        <f t="shared" si="134"/>
        <v>0</v>
      </c>
      <c r="S1060" s="25">
        <f t="shared" si="135"/>
        <v>0</v>
      </c>
    </row>
    <row r="1061" spans="1:19" ht="15" customHeight="1" x14ac:dyDescent="0.3">
      <c r="A1061" s="22"/>
      <c r="B1061" s="23"/>
      <c r="C1061" s="2"/>
      <c r="D1061" s="23">
        <v>2017</v>
      </c>
      <c r="E1061" s="24">
        <f>Data!F1061</f>
        <v>181921000000</v>
      </c>
      <c r="F1061" s="24">
        <f>Data!H1061</f>
        <v>36385000000</v>
      </c>
      <c r="G1061" s="24">
        <f t="shared" si="128"/>
        <v>145536000000</v>
      </c>
      <c r="H1061" s="24">
        <f>Data!G1061</f>
        <v>443187000000</v>
      </c>
      <c r="I1061" s="25">
        <f t="shared" si="129"/>
        <v>2.1542061477435031</v>
      </c>
      <c r="J1061" s="24">
        <f>Data!J1061</f>
        <v>160742000000</v>
      </c>
      <c r="K1061" s="24">
        <f t="shared" si="130"/>
        <v>443187000000</v>
      </c>
      <c r="L1061" s="25">
        <f t="shared" si="131"/>
        <v>1.1823878407985793</v>
      </c>
      <c r="M1061" s="24">
        <f>Data!M1061</f>
        <v>26594000000</v>
      </c>
      <c r="N1061" s="24">
        <f t="shared" si="132"/>
        <v>443187000000</v>
      </c>
      <c r="O1061" s="25">
        <f t="shared" si="133"/>
        <v>0.40324215286098192</v>
      </c>
      <c r="P1061" s="24">
        <f>Data!K1061</f>
        <v>213009000000</v>
      </c>
      <c r="Q1061" s="24">
        <f>Data!I1061</f>
        <v>230178000000</v>
      </c>
      <c r="R1061" s="25">
        <f t="shared" si="134"/>
        <v>0.97168039517243188</v>
      </c>
      <c r="S1061" s="25">
        <f t="shared" si="135"/>
        <v>4.7115165365754965</v>
      </c>
    </row>
    <row r="1062" spans="1:19" ht="15" customHeight="1" x14ac:dyDescent="0.3">
      <c r="A1062" s="22"/>
      <c r="B1062" s="23"/>
      <c r="C1062" s="2"/>
      <c r="D1062" s="23">
        <v>2018</v>
      </c>
      <c r="E1062" s="24">
        <f>Data!F1062</f>
        <v>225852000000</v>
      </c>
      <c r="F1062" s="24">
        <f>Data!H1062</f>
        <v>51794000000</v>
      </c>
      <c r="G1062" s="24">
        <f t="shared" si="128"/>
        <v>174058000000</v>
      </c>
      <c r="H1062" s="24">
        <f>Data!G1062</f>
        <v>543888000000</v>
      </c>
      <c r="I1062" s="25">
        <f t="shared" si="129"/>
        <v>2.0993669284852761</v>
      </c>
      <c r="J1062" s="24">
        <f>Data!J1062</f>
        <v>203191000000</v>
      </c>
      <c r="K1062" s="24">
        <f t="shared" si="130"/>
        <v>543888000000</v>
      </c>
      <c r="L1062" s="25">
        <f t="shared" si="131"/>
        <v>1.2179026932015413</v>
      </c>
      <c r="M1062" s="24">
        <f>Data!M1062</f>
        <v>55465000000</v>
      </c>
      <c r="N1062" s="24">
        <f t="shared" si="132"/>
        <v>543888000000</v>
      </c>
      <c r="O1062" s="25">
        <f t="shared" si="133"/>
        <v>0.68529697290618663</v>
      </c>
      <c r="P1062" s="24">
        <f>Data!K1062</f>
        <v>255458000000</v>
      </c>
      <c r="Q1062" s="24">
        <f>Data!I1062</f>
        <v>288430000000</v>
      </c>
      <c r="R1062" s="25">
        <f t="shared" si="134"/>
        <v>0.92996879658842702</v>
      </c>
      <c r="S1062" s="25">
        <f t="shared" si="135"/>
        <v>4.9325353911814309</v>
      </c>
    </row>
    <row r="1063" spans="1:19" ht="15" customHeight="1" x14ac:dyDescent="0.3">
      <c r="A1063" s="22"/>
      <c r="B1063" s="23"/>
      <c r="C1063" s="2"/>
      <c r="D1063" s="23">
        <v>2019</v>
      </c>
      <c r="E1063" s="24">
        <f>Data!F1063</f>
        <v>212814000000</v>
      </c>
      <c r="F1063" s="24">
        <f>Data!H1063</f>
        <v>57546000000</v>
      </c>
      <c r="G1063" s="24">
        <f t="shared" si="128"/>
        <v>155268000000</v>
      </c>
      <c r="H1063" s="24">
        <f>Data!G1063</f>
        <v>606281000000</v>
      </c>
      <c r="I1063" s="25">
        <f t="shared" si="129"/>
        <v>1.6800098964011736</v>
      </c>
      <c r="J1063" s="24">
        <f>Data!J1063</f>
        <v>235476000000</v>
      </c>
      <c r="K1063" s="24">
        <f t="shared" si="130"/>
        <v>606281000000</v>
      </c>
      <c r="L1063" s="25">
        <f t="shared" si="131"/>
        <v>1.2661649631111644</v>
      </c>
      <c r="M1063" s="24">
        <f>Data!M1063</f>
        <v>43691000000</v>
      </c>
      <c r="N1063" s="24">
        <f t="shared" si="132"/>
        <v>606281000000</v>
      </c>
      <c r="O1063" s="25">
        <f t="shared" si="133"/>
        <v>0.48426970332238684</v>
      </c>
      <c r="P1063" s="24">
        <f>Data!K1063</f>
        <v>287743000000</v>
      </c>
      <c r="Q1063" s="24">
        <f>Data!I1063</f>
        <v>318537000000</v>
      </c>
      <c r="R1063" s="25">
        <f t="shared" si="134"/>
        <v>0.94849311069043796</v>
      </c>
      <c r="S1063" s="25">
        <f t="shared" si="135"/>
        <v>4.3789376735251624</v>
      </c>
    </row>
    <row r="1064" spans="1:19" ht="15" customHeight="1" x14ac:dyDescent="0.3">
      <c r="A1064" s="22"/>
      <c r="B1064" s="23"/>
      <c r="C1064" s="2"/>
      <c r="D1064" s="23">
        <v>2020</v>
      </c>
      <c r="E1064" s="24">
        <f>Data!F1064</f>
        <v>268693000000</v>
      </c>
      <c r="F1064" s="24">
        <f>Data!H1064</f>
        <v>49670000000</v>
      </c>
      <c r="G1064" s="24">
        <f t="shared" si="128"/>
        <v>219023000000</v>
      </c>
      <c r="H1064" s="24">
        <f>Data!G1064</f>
        <v>606330000000</v>
      </c>
      <c r="I1064" s="25">
        <f t="shared" si="129"/>
        <v>2.3696516418451998</v>
      </c>
      <c r="J1064" s="24">
        <f>Data!J1064</f>
        <v>271276000000</v>
      </c>
      <c r="K1064" s="24">
        <f t="shared" si="130"/>
        <v>606330000000</v>
      </c>
      <c r="L1064" s="25">
        <f t="shared" si="131"/>
        <v>1.4585452806227632</v>
      </c>
      <c r="M1064" s="24">
        <f>Data!M1064</f>
        <v>40696000000</v>
      </c>
      <c r="N1064" s="24">
        <f t="shared" si="132"/>
        <v>606330000000</v>
      </c>
      <c r="O1064" s="25">
        <f t="shared" si="133"/>
        <v>0.45103676215922023</v>
      </c>
      <c r="P1064" s="24">
        <f>Data!K1064</f>
        <v>323542000000</v>
      </c>
      <c r="Q1064" s="24">
        <f>Data!I1064</f>
        <v>282787000000</v>
      </c>
      <c r="R1064" s="25">
        <f t="shared" si="134"/>
        <v>1.2013250255492651</v>
      </c>
      <c r="S1064" s="25">
        <f t="shared" si="135"/>
        <v>5.4805587101764477</v>
      </c>
    </row>
    <row r="1065" spans="1:19" ht="15" customHeight="1" x14ac:dyDescent="0.3">
      <c r="A1065" s="22"/>
      <c r="B1065" s="23"/>
      <c r="C1065" s="2"/>
      <c r="D1065" s="23">
        <v>2021</v>
      </c>
      <c r="E1065" s="24">
        <f>Data!F1065</f>
        <v>284298000000</v>
      </c>
      <c r="F1065" s="24">
        <f>Data!H1065</f>
        <v>101252000000</v>
      </c>
      <c r="G1065" s="24">
        <f t="shared" si="128"/>
        <v>183046000000</v>
      </c>
      <c r="H1065" s="24">
        <f>Data!G1065</f>
        <v>734486000000</v>
      </c>
      <c r="I1065" s="25">
        <f t="shared" si="129"/>
        <v>1.6348599701015403</v>
      </c>
      <c r="J1065" s="24">
        <f>Data!J1065</f>
        <v>319778000000</v>
      </c>
      <c r="K1065" s="24">
        <f t="shared" si="130"/>
        <v>734486000000</v>
      </c>
      <c r="L1065" s="25">
        <f t="shared" si="131"/>
        <v>1.4193276386479796</v>
      </c>
      <c r="M1065" s="24">
        <f>Data!M1065</f>
        <v>58069000000</v>
      </c>
      <c r="N1065" s="24">
        <f t="shared" si="132"/>
        <v>734486000000</v>
      </c>
      <c r="O1065" s="25">
        <f t="shared" si="133"/>
        <v>0.53128811168626766</v>
      </c>
      <c r="P1065" s="24">
        <f>Data!K1065</f>
        <v>372044000000</v>
      </c>
      <c r="Q1065" s="24">
        <f>Data!I1065</f>
        <v>362441000000</v>
      </c>
      <c r="R1065" s="25">
        <f t="shared" si="134"/>
        <v>1.0778201141703063</v>
      </c>
      <c r="S1065" s="25">
        <f t="shared" si="135"/>
        <v>4.6632958346060942</v>
      </c>
    </row>
    <row r="1066" spans="1:19" ht="15" customHeight="1" x14ac:dyDescent="0.3">
      <c r="A1066" s="22"/>
      <c r="B1066" s="23"/>
      <c r="C1066" s="2"/>
      <c r="D1066" s="23">
        <v>2022</v>
      </c>
      <c r="E1066" s="24">
        <f>Data!F1066</f>
        <v>317951000000</v>
      </c>
      <c r="F1066" s="24">
        <f>Data!H1066</f>
        <v>67472000000</v>
      </c>
      <c r="G1066" s="24">
        <f t="shared" si="128"/>
        <v>250479000000</v>
      </c>
      <c r="H1066" s="24">
        <f>Data!G1066</f>
        <v>693414000000</v>
      </c>
      <c r="I1066" s="25">
        <f t="shared" si="129"/>
        <v>2.3696409936920797</v>
      </c>
      <c r="J1066" s="24">
        <f>Data!J1066</f>
        <v>324453000000</v>
      </c>
      <c r="K1066" s="24">
        <f t="shared" si="130"/>
        <v>693414000000</v>
      </c>
      <c r="L1066" s="25">
        <f t="shared" si="131"/>
        <v>1.5253755764954269</v>
      </c>
      <c r="M1066" s="24">
        <f>Data!M1066</f>
        <v>14961000000</v>
      </c>
      <c r="N1066" s="24">
        <f t="shared" si="132"/>
        <v>693414000000</v>
      </c>
      <c r="O1066" s="25">
        <f t="shared" si="133"/>
        <v>0.14498974638527631</v>
      </c>
      <c r="P1066" s="24">
        <f>Data!K1066</f>
        <v>376719000000</v>
      </c>
      <c r="Q1066" s="24">
        <f>Data!I1066</f>
        <v>316695000000</v>
      </c>
      <c r="R1066" s="25">
        <f t="shared" si="134"/>
        <v>1.2490091412873585</v>
      </c>
      <c r="S1066" s="25">
        <f t="shared" si="135"/>
        <v>5.2890154578601418</v>
      </c>
    </row>
    <row r="1067" spans="1:19" ht="15" customHeight="1" x14ac:dyDescent="0.3">
      <c r="A1067" s="22"/>
      <c r="B1067" s="23"/>
      <c r="C1067" s="2"/>
      <c r="D1067" s="23">
        <v>2023</v>
      </c>
      <c r="E1067" s="24">
        <f>Data!F1067</f>
        <v>267258000000</v>
      </c>
      <c r="F1067" s="24">
        <f>Data!H1067</f>
        <v>129755000000</v>
      </c>
      <c r="G1067" s="24">
        <f t="shared" si="128"/>
        <v>137503000000</v>
      </c>
      <c r="H1067" s="24">
        <f>Data!G1067</f>
        <v>842799000000</v>
      </c>
      <c r="I1067" s="25">
        <f t="shared" si="129"/>
        <v>1.0702666709381476</v>
      </c>
      <c r="J1067" s="24">
        <f>Data!J1067</f>
        <v>342679000000</v>
      </c>
      <c r="K1067" s="24">
        <f t="shared" si="130"/>
        <v>842799000000</v>
      </c>
      <c r="L1067" s="25">
        <f t="shared" si="131"/>
        <v>1.3255041118938204</v>
      </c>
      <c r="M1067" s="24">
        <f>Data!M1067</f>
        <v>18744000000</v>
      </c>
      <c r="N1067" s="24">
        <f t="shared" si="132"/>
        <v>842799000000</v>
      </c>
      <c r="O1067" s="25">
        <f t="shared" si="133"/>
        <v>0.14945399792833167</v>
      </c>
      <c r="P1067" s="24">
        <f>Data!K1067</f>
        <v>394945000000</v>
      </c>
      <c r="Q1067" s="24">
        <f>Data!I1067</f>
        <v>447854000000</v>
      </c>
      <c r="R1067" s="25">
        <f t="shared" si="134"/>
        <v>0.92595410557905033</v>
      </c>
      <c r="S1067" s="25">
        <f t="shared" si="135"/>
        <v>3.47117888633935</v>
      </c>
    </row>
    <row r="1068" spans="1:19" ht="15" customHeight="1" x14ac:dyDescent="0.3">
      <c r="A1068" s="22"/>
      <c r="B1068" s="23"/>
      <c r="C1068" s="2"/>
      <c r="D1068" s="23">
        <v>2024</v>
      </c>
      <c r="E1068" s="24">
        <f>Data!F1068</f>
        <v>278341000000</v>
      </c>
      <c r="F1068" s="24">
        <f>Data!H1068</f>
        <v>147238000000</v>
      </c>
      <c r="G1068" s="24">
        <f t="shared" si="128"/>
        <v>131103000000</v>
      </c>
      <c r="H1068" s="24">
        <f>Data!G1068</f>
        <v>965173000000</v>
      </c>
      <c r="I1068" s="25">
        <f t="shared" si="129"/>
        <v>0.89106893790025199</v>
      </c>
      <c r="J1068" s="24">
        <f>Data!J1068</f>
        <v>337700000000</v>
      </c>
      <c r="K1068" s="24">
        <f t="shared" si="130"/>
        <v>965173000000</v>
      </c>
      <c r="L1068" s="25">
        <f t="shared" si="131"/>
        <v>1.1406266026919527</v>
      </c>
      <c r="M1068" s="24">
        <f>Data!M1068</f>
        <v>-3221000000</v>
      </c>
      <c r="N1068" s="24">
        <f t="shared" si="132"/>
        <v>965173000000</v>
      </c>
      <c r="O1068" s="25">
        <f t="shared" si="133"/>
        <v>-2.2426155725450255E-2</v>
      </c>
      <c r="P1068" s="24">
        <f>Data!K1068</f>
        <v>389967000000</v>
      </c>
      <c r="Q1068" s="24">
        <f>Data!I1068</f>
        <v>575206000000</v>
      </c>
      <c r="R1068" s="25">
        <f t="shared" si="134"/>
        <v>0.71185862108531561</v>
      </c>
      <c r="S1068" s="25">
        <f t="shared" si="135"/>
        <v>2.7211280059520702</v>
      </c>
    </row>
    <row r="1069" spans="1:19" ht="15" customHeight="1" x14ac:dyDescent="0.3">
      <c r="A1069" s="22"/>
      <c r="B1069" s="23">
        <v>98</v>
      </c>
      <c r="C1069" s="2" t="s">
        <v>103</v>
      </c>
      <c r="D1069" s="23">
        <v>2014</v>
      </c>
      <c r="E1069" s="24">
        <f>Data!F1069</f>
        <v>0</v>
      </c>
      <c r="F1069" s="24">
        <f>Data!H1069</f>
        <v>0</v>
      </c>
      <c r="G1069" s="24">
        <f t="shared" si="128"/>
        <v>0</v>
      </c>
      <c r="H1069" s="24">
        <f>Data!G1069</f>
        <v>0</v>
      </c>
      <c r="I1069" s="25">
        <f t="shared" si="129"/>
        <v>0</v>
      </c>
      <c r="J1069" s="24">
        <f>Data!J1069</f>
        <v>0</v>
      </c>
      <c r="K1069" s="24">
        <f t="shared" si="130"/>
        <v>0</v>
      </c>
      <c r="L1069" s="25">
        <f t="shared" si="131"/>
        <v>0</v>
      </c>
      <c r="M1069" s="24">
        <f>Data!M1069</f>
        <v>0</v>
      </c>
      <c r="N1069" s="24">
        <f t="shared" si="132"/>
        <v>0</v>
      </c>
      <c r="O1069" s="25">
        <f t="shared" si="133"/>
        <v>0</v>
      </c>
      <c r="P1069" s="24">
        <f>Data!K1069</f>
        <v>0</v>
      </c>
      <c r="Q1069" s="24">
        <f>Data!I1069</f>
        <v>0</v>
      </c>
      <c r="R1069" s="25">
        <f t="shared" si="134"/>
        <v>0</v>
      </c>
      <c r="S1069" s="25">
        <f t="shared" si="135"/>
        <v>0</v>
      </c>
    </row>
    <row r="1070" spans="1:19" ht="15" customHeight="1" x14ac:dyDescent="0.3">
      <c r="A1070" s="22"/>
      <c r="B1070" s="23"/>
      <c r="C1070" s="2"/>
      <c r="D1070" s="23">
        <v>2015</v>
      </c>
      <c r="E1070" s="24">
        <f>Data!F1070</f>
        <v>0</v>
      </c>
      <c r="F1070" s="24">
        <f>Data!H1070</f>
        <v>0</v>
      </c>
      <c r="G1070" s="24">
        <f t="shared" si="128"/>
        <v>0</v>
      </c>
      <c r="H1070" s="24">
        <f>Data!G1070</f>
        <v>0</v>
      </c>
      <c r="I1070" s="25">
        <f t="shared" si="129"/>
        <v>0</v>
      </c>
      <c r="J1070" s="24">
        <f>Data!J1070</f>
        <v>0</v>
      </c>
      <c r="K1070" s="24">
        <f t="shared" si="130"/>
        <v>0</v>
      </c>
      <c r="L1070" s="25">
        <f t="shared" si="131"/>
        <v>0</v>
      </c>
      <c r="M1070" s="24">
        <f>Data!M1070</f>
        <v>0</v>
      </c>
      <c r="N1070" s="24">
        <f t="shared" si="132"/>
        <v>0</v>
      </c>
      <c r="O1070" s="25">
        <f t="shared" si="133"/>
        <v>0</v>
      </c>
      <c r="P1070" s="24">
        <f>Data!K1070</f>
        <v>0</v>
      </c>
      <c r="Q1070" s="24">
        <f>Data!I1070</f>
        <v>0</v>
      </c>
      <c r="R1070" s="25">
        <f t="shared" si="134"/>
        <v>0</v>
      </c>
      <c r="S1070" s="25">
        <f t="shared" si="135"/>
        <v>0</v>
      </c>
    </row>
    <row r="1071" spans="1:19" ht="15" customHeight="1" x14ac:dyDescent="0.3">
      <c r="A1071" s="22"/>
      <c r="B1071" s="23"/>
      <c r="C1071" s="2"/>
      <c r="D1071" s="23">
        <v>2016</v>
      </c>
      <c r="E1071" s="24">
        <f>Data!F1071</f>
        <v>0</v>
      </c>
      <c r="F1071" s="24">
        <f>Data!H1071</f>
        <v>0</v>
      </c>
      <c r="G1071" s="24">
        <f t="shared" si="128"/>
        <v>0</v>
      </c>
      <c r="H1071" s="24">
        <f>Data!G1071</f>
        <v>0</v>
      </c>
      <c r="I1071" s="25">
        <f t="shared" si="129"/>
        <v>0</v>
      </c>
      <c r="J1071" s="24">
        <f>Data!J1071</f>
        <v>0</v>
      </c>
      <c r="K1071" s="24">
        <f t="shared" si="130"/>
        <v>0</v>
      </c>
      <c r="L1071" s="25">
        <f t="shared" si="131"/>
        <v>0</v>
      </c>
      <c r="M1071" s="24">
        <f>Data!M1071</f>
        <v>0</v>
      </c>
      <c r="N1071" s="24">
        <f t="shared" si="132"/>
        <v>0</v>
      </c>
      <c r="O1071" s="25">
        <f t="shared" si="133"/>
        <v>0</v>
      </c>
      <c r="P1071" s="24">
        <f>Data!K1071</f>
        <v>0</v>
      </c>
      <c r="Q1071" s="24">
        <f>Data!I1071</f>
        <v>0</v>
      </c>
      <c r="R1071" s="25">
        <f t="shared" si="134"/>
        <v>0</v>
      </c>
      <c r="S1071" s="25">
        <f t="shared" si="135"/>
        <v>0</v>
      </c>
    </row>
    <row r="1072" spans="1:19" ht="15" customHeight="1" x14ac:dyDescent="0.3">
      <c r="A1072" s="22"/>
      <c r="B1072" s="23"/>
      <c r="C1072" s="2"/>
      <c r="D1072" s="23">
        <v>2017</v>
      </c>
      <c r="E1072" s="24">
        <f>Data!F1072</f>
        <v>149661800000.00003</v>
      </c>
      <c r="F1072" s="24">
        <f>Data!H1072</f>
        <v>71592790000</v>
      </c>
      <c r="G1072" s="24">
        <f t="shared" si="128"/>
        <v>78069010000.000031</v>
      </c>
      <c r="H1072" s="24">
        <f>Data!G1072</f>
        <v>438728480000</v>
      </c>
      <c r="I1072" s="25">
        <f t="shared" si="129"/>
        <v>1.167311284646942</v>
      </c>
      <c r="J1072" s="24">
        <f>Data!J1072</f>
        <v>25716210000</v>
      </c>
      <c r="K1072" s="24">
        <f t="shared" si="130"/>
        <v>438728480000</v>
      </c>
      <c r="L1072" s="25">
        <f t="shared" si="131"/>
        <v>0.1910859413548899</v>
      </c>
      <c r="M1072" s="24">
        <f>Data!M1072</f>
        <v>1384160000</v>
      </c>
      <c r="N1072" s="24">
        <f t="shared" si="132"/>
        <v>438728480000</v>
      </c>
      <c r="O1072" s="25">
        <f t="shared" si="133"/>
        <v>2.1201165695921995E-2</v>
      </c>
      <c r="P1072" s="24">
        <f>Data!K1072</f>
        <v>155996990000</v>
      </c>
      <c r="Q1072" s="24">
        <f>Data!I1072</f>
        <v>282731490000</v>
      </c>
      <c r="R1072" s="25">
        <f t="shared" si="134"/>
        <v>0.5793370929428483</v>
      </c>
      <c r="S1072" s="25">
        <f t="shared" si="135"/>
        <v>1.9589354846406022</v>
      </c>
    </row>
    <row r="1073" spans="1:19" ht="15" customHeight="1" x14ac:dyDescent="0.3">
      <c r="A1073" s="22"/>
      <c r="B1073" s="23"/>
      <c r="C1073" s="2"/>
      <c r="D1073" s="23">
        <v>2018</v>
      </c>
      <c r="E1073" s="24">
        <f>Data!F1073</f>
        <v>167422850000</v>
      </c>
      <c r="F1073" s="24">
        <f>Data!H1073</f>
        <v>90213460000</v>
      </c>
      <c r="G1073" s="24">
        <f t="shared" si="128"/>
        <v>77209390000</v>
      </c>
      <c r="H1073" s="24">
        <f>Data!G1073</f>
        <v>465529950000</v>
      </c>
      <c r="I1073" s="25">
        <f t="shared" si="129"/>
        <v>1.0879935832270298</v>
      </c>
      <c r="J1073" s="24">
        <f>Data!J1073</f>
        <v>26893750000</v>
      </c>
      <c r="K1073" s="24">
        <f t="shared" si="130"/>
        <v>465529950000</v>
      </c>
      <c r="L1073" s="25">
        <f t="shared" si="131"/>
        <v>0.1883307937545157</v>
      </c>
      <c r="M1073" s="24">
        <f>Data!M1073</f>
        <v>1501570000</v>
      </c>
      <c r="N1073" s="24">
        <f t="shared" si="132"/>
        <v>465529950000</v>
      </c>
      <c r="O1073" s="25">
        <f t="shared" si="133"/>
        <v>2.1675405416987672E-2</v>
      </c>
      <c r="P1073" s="24">
        <f>Data!K1073</f>
        <v>157650080000</v>
      </c>
      <c r="Q1073" s="24">
        <f>Data!I1073</f>
        <v>307879870000</v>
      </c>
      <c r="R1073" s="25">
        <f t="shared" si="134"/>
        <v>0.53765315673285163</v>
      </c>
      <c r="S1073" s="25">
        <f t="shared" si="135"/>
        <v>1.8356529391313847</v>
      </c>
    </row>
    <row r="1074" spans="1:19" ht="15" customHeight="1" x14ac:dyDescent="0.3">
      <c r="A1074" s="22"/>
      <c r="B1074" s="23"/>
      <c r="C1074" s="2"/>
      <c r="D1074" s="23">
        <v>2019</v>
      </c>
      <c r="E1074" s="24">
        <f>Data!F1074</f>
        <v>214362540000</v>
      </c>
      <c r="F1074" s="24">
        <f>Data!H1074</f>
        <v>67526820000.000008</v>
      </c>
      <c r="G1074" s="24">
        <f t="shared" si="128"/>
        <v>146835720000</v>
      </c>
      <c r="H1074" s="24">
        <f>Data!G1074</f>
        <v>530838510000</v>
      </c>
      <c r="I1074" s="25">
        <f t="shared" si="129"/>
        <v>1.8145675286444456</v>
      </c>
      <c r="J1074" s="24">
        <f>Data!J1074</f>
        <v>31109350000</v>
      </c>
      <c r="K1074" s="24">
        <f t="shared" si="130"/>
        <v>530838510000</v>
      </c>
      <c r="L1074" s="25">
        <f t="shared" si="131"/>
        <v>0.19104959246457082</v>
      </c>
      <c r="M1074" s="24">
        <f>Data!M1074</f>
        <v>3146260000</v>
      </c>
      <c r="N1074" s="24">
        <f t="shared" si="132"/>
        <v>530838510000</v>
      </c>
      <c r="O1074" s="25">
        <f t="shared" si="133"/>
        <v>3.9829188730109273E-2</v>
      </c>
      <c r="P1074" s="24">
        <f>Data!K1074</f>
        <v>162055820000</v>
      </c>
      <c r="Q1074" s="24">
        <f>Data!I1074</f>
        <v>368782690000</v>
      </c>
      <c r="R1074" s="25">
        <f t="shared" si="134"/>
        <v>0.46140617662938577</v>
      </c>
      <c r="S1074" s="25">
        <f t="shared" si="135"/>
        <v>2.506852486468512</v>
      </c>
    </row>
    <row r="1075" spans="1:19" ht="15" customHeight="1" x14ac:dyDescent="0.3">
      <c r="A1075" s="22"/>
      <c r="B1075" s="23"/>
      <c r="C1075" s="2"/>
      <c r="D1075" s="23">
        <v>2020</v>
      </c>
      <c r="E1075" s="24">
        <f>Data!F1075</f>
        <v>208293280000.00003</v>
      </c>
      <c r="F1075" s="24">
        <f>Data!H1075</f>
        <v>99569210000</v>
      </c>
      <c r="G1075" s="24">
        <f t="shared" si="128"/>
        <v>108724070000.00003</v>
      </c>
      <c r="H1075" s="24">
        <f>Data!G1075</f>
        <v>602525150000</v>
      </c>
      <c r="I1075" s="25">
        <f t="shared" si="129"/>
        <v>1.1837346527360728</v>
      </c>
      <c r="J1075" s="24">
        <f>Data!J1075</f>
        <v>45684700000</v>
      </c>
      <c r="K1075" s="24">
        <f t="shared" si="130"/>
        <v>602525150000</v>
      </c>
      <c r="L1075" s="25">
        <f t="shared" si="131"/>
        <v>0.24717992601636629</v>
      </c>
      <c r="M1075" s="24">
        <f>Data!M1075</f>
        <v>17976760000</v>
      </c>
      <c r="N1075" s="24">
        <f t="shared" si="132"/>
        <v>602525150000</v>
      </c>
      <c r="O1075" s="25">
        <f t="shared" si="133"/>
        <v>0.20049590826208663</v>
      </c>
      <c r="P1075" s="24">
        <f>Data!K1075</f>
        <v>196620040000</v>
      </c>
      <c r="Q1075" s="24">
        <f>Data!I1075</f>
        <v>405905110000</v>
      </c>
      <c r="R1075" s="25">
        <f t="shared" si="134"/>
        <v>0.50861897747480933</v>
      </c>
      <c r="S1075" s="25">
        <f t="shared" si="135"/>
        <v>2.1400294644893352</v>
      </c>
    </row>
    <row r="1076" spans="1:19" ht="15" customHeight="1" x14ac:dyDescent="0.3">
      <c r="A1076" s="22"/>
      <c r="B1076" s="23"/>
      <c r="C1076" s="2"/>
      <c r="D1076" s="23">
        <v>2021</v>
      </c>
      <c r="E1076" s="24">
        <f>Data!F1076</f>
        <v>173725829999.99997</v>
      </c>
      <c r="F1076" s="24">
        <f>Data!H1076</f>
        <v>105411690000</v>
      </c>
      <c r="G1076" s="24">
        <f t="shared" si="128"/>
        <v>68314139999.999969</v>
      </c>
      <c r="H1076" s="24">
        <f>Data!G1076</f>
        <v>612411540000</v>
      </c>
      <c r="I1076" s="25">
        <f t="shared" si="129"/>
        <v>0.73176406571306574</v>
      </c>
      <c r="J1076" s="24">
        <f>Data!J1076</f>
        <v>12533730000</v>
      </c>
      <c r="K1076" s="24">
        <f t="shared" si="130"/>
        <v>612411540000</v>
      </c>
      <c r="L1076" s="25">
        <f t="shared" si="131"/>
        <v>6.6719774418359259E-2</v>
      </c>
      <c r="M1076" s="24">
        <f>Data!M1076</f>
        <v>15937750000</v>
      </c>
      <c r="N1076" s="24">
        <f t="shared" si="132"/>
        <v>612411540000</v>
      </c>
      <c r="O1076" s="25">
        <f t="shared" si="133"/>
        <v>0.17488514341189584</v>
      </c>
      <c r="P1076" s="24">
        <f>Data!K1076</f>
        <v>208742630000</v>
      </c>
      <c r="Q1076" s="24">
        <f>Data!I1076</f>
        <v>403668910000</v>
      </c>
      <c r="R1076" s="25">
        <f t="shared" si="134"/>
        <v>0.54296914146794217</v>
      </c>
      <c r="S1076" s="25">
        <f t="shared" si="135"/>
        <v>1.5163381250112631</v>
      </c>
    </row>
    <row r="1077" spans="1:19" ht="15" customHeight="1" x14ac:dyDescent="0.3">
      <c r="A1077" s="22"/>
      <c r="B1077" s="23"/>
      <c r="C1077" s="2"/>
      <c r="D1077" s="23">
        <v>2022</v>
      </c>
      <c r="E1077" s="24">
        <f>Data!F1077</f>
        <v>228972550000</v>
      </c>
      <c r="F1077" s="24">
        <f>Data!H1077</f>
        <v>106391240000</v>
      </c>
      <c r="G1077" s="24">
        <f t="shared" si="128"/>
        <v>122581310000</v>
      </c>
      <c r="H1077" s="24">
        <f>Data!G1077</f>
        <v>767599240000</v>
      </c>
      <c r="I1077" s="25">
        <f t="shared" si="129"/>
        <v>1.0475953488437535</v>
      </c>
      <c r="J1077" s="24">
        <f>Data!J1077</f>
        <v>30358320000</v>
      </c>
      <c r="K1077" s="24">
        <f t="shared" si="130"/>
        <v>767599240000</v>
      </c>
      <c r="L1077" s="25">
        <f t="shared" si="131"/>
        <v>0.12893202343452032</v>
      </c>
      <c r="M1077" s="24">
        <f>Data!M1077</f>
        <v>20214430000</v>
      </c>
      <c r="N1077" s="24">
        <f t="shared" si="132"/>
        <v>767599240000</v>
      </c>
      <c r="O1077" s="25">
        <f t="shared" si="133"/>
        <v>0.17696860877558973</v>
      </c>
      <c r="P1077" s="24">
        <f>Data!K1077</f>
        <v>226906850000</v>
      </c>
      <c r="Q1077" s="24">
        <f>Data!I1077</f>
        <v>540692390000</v>
      </c>
      <c r="R1077" s="25">
        <f t="shared" si="134"/>
        <v>0.44064277009706021</v>
      </c>
      <c r="S1077" s="25">
        <f t="shared" si="135"/>
        <v>1.7941387511509239</v>
      </c>
    </row>
    <row r="1078" spans="1:19" ht="15" customHeight="1" x14ac:dyDescent="0.3">
      <c r="A1078" s="22"/>
      <c r="B1078" s="23"/>
      <c r="C1078" s="2"/>
      <c r="D1078" s="23">
        <v>2023</v>
      </c>
      <c r="E1078" s="24">
        <f>Data!F1078</f>
        <v>341698559999.99994</v>
      </c>
      <c r="F1078" s="24">
        <f>Data!H1078</f>
        <v>107575740000</v>
      </c>
      <c r="G1078" s="24">
        <f t="shared" si="128"/>
        <v>234122819999.99994</v>
      </c>
      <c r="H1078" s="24">
        <f>Data!G1078</f>
        <v>914778240000</v>
      </c>
      <c r="I1078" s="25">
        <f t="shared" si="129"/>
        <v>1.6789267956351908</v>
      </c>
      <c r="J1078" s="24">
        <f>Data!J1078</f>
        <v>60823660000</v>
      </c>
      <c r="K1078" s="24">
        <f t="shared" si="130"/>
        <v>914778240000</v>
      </c>
      <c r="L1078" s="25">
        <f t="shared" si="131"/>
        <v>0.21675759537087369</v>
      </c>
      <c r="M1078" s="24">
        <f>Data!M1078</f>
        <v>40887550000</v>
      </c>
      <c r="N1078" s="24">
        <f t="shared" si="132"/>
        <v>914778240000</v>
      </c>
      <c r="O1078" s="25">
        <f t="shared" si="133"/>
        <v>0.30036168765885818</v>
      </c>
      <c r="P1078" s="24">
        <f>Data!K1078</f>
        <v>257198700000</v>
      </c>
      <c r="Q1078" s="24">
        <f>Data!I1078</f>
        <v>657579540000</v>
      </c>
      <c r="R1078" s="25">
        <f t="shared" si="134"/>
        <v>0.41068588447870502</v>
      </c>
      <c r="S1078" s="25">
        <f t="shared" si="135"/>
        <v>2.6067319631436274</v>
      </c>
    </row>
    <row r="1079" spans="1:19" ht="15" customHeight="1" x14ac:dyDescent="0.3">
      <c r="A1079" s="22"/>
      <c r="B1079" s="23"/>
      <c r="C1079" s="2"/>
      <c r="D1079" s="23">
        <v>2024</v>
      </c>
      <c r="E1079" s="24">
        <f>Data!F1079</f>
        <v>297927480000</v>
      </c>
      <c r="F1079" s="24">
        <f>Data!H1079</f>
        <v>82817300000</v>
      </c>
      <c r="G1079" s="24">
        <f t="shared" si="128"/>
        <v>215110180000</v>
      </c>
      <c r="H1079" s="24">
        <f>Data!G1079</f>
        <v>896022680000</v>
      </c>
      <c r="I1079" s="25">
        <f t="shared" si="129"/>
        <v>1.5748739538601857</v>
      </c>
      <c r="J1079" s="24">
        <f>Data!J1079</f>
        <v>98954660000</v>
      </c>
      <c r="K1079" s="24">
        <f t="shared" si="130"/>
        <v>896022680000</v>
      </c>
      <c r="L1079" s="25">
        <f t="shared" si="131"/>
        <v>0.36002681494624666</v>
      </c>
      <c r="M1079" s="24">
        <f>Data!M1079</f>
        <v>48744080000</v>
      </c>
      <c r="N1079" s="24">
        <f t="shared" si="132"/>
        <v>896022680000</v>
      </c>
      <c r="O1079" s="25">
        <f t="shared" si="133"/>
        <v>0.36557134647529232</v>
      </c>
      <c r="P1079" s="24">
        <f>Data!K1079</f>
        <v>294957250000</v>
      </c>
      <c r="Q1079" s="24">
        <f>Data!I1079</f>
        <v>601065430000</v>
      </c>
      <c r="R1079" s="25">
        <f t="shared" si="134"/>
        <v>0.51526023131957532</v>
      </c>
      <c r="S1079" s="25">
        <f t="shared" si="135"/>
        <v>2.8157323466013002</v>
      </c>
    </row>
    <row r="1080" spans="1:19" ht="15" customHeight="1" x14ac:dyDescent="0.3">
      <c r="A1080" s="22"/>
      <c r="B1080" s="23">
        <v>99</v>
      </c>
      <c r="C1080" s="2" t="s">
        <v>118</v>
      </c>
      <c r="D1080" s="23">
        <v>2014</v>
      </c>
      <c r="E1080" s="24">
        <f>Data!F1080</f>
        <v>0</v>
      </c>
      <c r="F1080" s="24">
        <f>Data!H1080</f>
        <v>0</v>
      </c>
      <c r="G1080" s="24">
        <f t="shared" si="128"/>
        <v>0</v>
      </c>
      <c r="H1080" s="24">
        <f>Data!G1080</f>
        <v>0</v>
      </c>
      <c r="I1080" s="25">
        <f t="shared" si="129"/>
        <v>0</v>
      </c>
      <c r="J1080" s="24">
        <f>Data!J1080</f>
        <v>0</v>
      </c>
      <c r="K1080" s="24">
        <f t="shared" si="130"/>
        <v>0</v>
      </c>
      <c r="L1080" s="25">
        <f t="shared" si="131"/>
        <v>0</v>
      </c>
      <c r="M1080" s="24">
        <f>Data!M1080</f>
        <v>0</v>
      </c>
      <c r="N1080" s="24">
        <f t="shared" si="132"/>
        <v>0</v>
      </c>
      <c r="O1080" s="25">
        <f t="shared" si="133"/>
        <v>0</v>
      </c>
      <c r="P1080" s="24">
        <f>Data!K1080</f>
        <v>0</v>
      </c>
      <c r="Q1080" s="24">
        <f>Data!I1080</f>
        <v>0</v>
      </c>
      <c r="R1080" s="25">
        <f t="shared" si="134"/>
        <v>0</v>
      </c>
      <c r="S1080" s="25">
        <f t="shared" si="135"/>
        <v>0</v>
      </c>
    </row>
    <row r="1081" spans="1:19" ht="15" customHeight="1" x14ac:dyDescent="0.3">
      <c r="A1081" s="22"/>
      <c r="B1081" s="23"/>
      <c r="C1081" s="2"/>
      <c r="D1081" s="23">
        <v>2015</v>
      </c>
      <c r="E1081" s="24">
        <f>Data!F1081</f>
        <v>0</v>
      </c>
      <c r="F1081" s="24">
        <f>Data!H1081</f>
        <v>0</v>
      </c>
      <c r="G1081" s="24">
        <f t="shared" si="128"/>
        <v>0</v>
      </c>
      <c r="H1081" s="24">
        <f>Data!G1081</f>
        <v>0</v>
      </c>
      <c r="I1081" s="25">
        <f t="shared" si="129"/>
        <v>0</v>
      </c>
      <c r="J1081" s="24">
        <f>Data!J1081</f>
        <v>0</v>
      </c>
      <c r="K1081" s="24">
        <f t="shared" si="130"/>
        <v>0</v>
      </c>
      <c r="L1081" s="25">
        <f t="shared" si="131"/>
        <v>0</v>
      </c>
      <c r="M1081" s="24">
        <f>Data!M1081</f>
        <v>0</v>
      </c>
      <c r="N1081" s="24">
        <f t="shared" si="132"/>
        <v>0</v>
      </c>
      <c r="O1081" s="25">
        <f t="shared" si="133"/>
        <v>0</v>
      </c>
      <c r="P1081" s="24">
        <f>Data!K1081</f>
        <v>0</v>
      </c>
      <c r="Q1081" s="24">
        <f>Data!I1081</f>
        <v>0</v>
      </c>
      <c r="R1081" s="25">
        <f t="shared" si="134"/>
        <v>0</v>
      </c>
      <c r="S1081" s="25">
        <f t="shared" si="135"/>
        <v>0</v>
      </c>
    </row>
    <row r="1082" spans="1:19" ht="15" customHeight="1" x14ac:dyDescent="0.3">
      <c r="A1082" s="22"/>
      <c r="B1082" s="23"/>
      <c r="C1082" s="2"/>
      <c r="D1082" s="23">
        <v>2016</v>
      </c>
      <c r="E1082" s="24">
        <f>Data!F1082</f>
        <v>0</v>
      </c>
      <c r="F1082" s="24">
        <f>Data!H1082</f>
        <v>0</v>
      </c>
      <c r="G1082" s="24">
        <f t="shared" si="128"/>
        <v>0</v>
      </c>
      <c r="H1082" s="24">
        <f>Data!G1082</f>
        <v>0</v>
      </c>
      <c r="I1082" s="25">
        <f t="shared" si="129"/>
        <v>0</v>
      </c>
      <c r="J1082" s="24">
        <f>Data!J1082</f>
        <v>0</v>
      </c>
      <c r="K1082" s="24">
        <f t="shared" si="130"/>
        <v>0</v>
      </c>
      <c r="L1082" s="25">
        <f t="shared" si="131"/>
        <v>0</v>
      </c>
      <c r="M1082" s="24">
        <f>Data!M1082</f>
        <v>0</v>
      </c>
      <c r="N1082" s="24">
        <f t="shared" si="132"/>
        <v>0</v>
      </c>
      <c r="O1082" s="25">
        <f t="shared" si="133"/>
        <v>0</v>
      </c>
      <c r="P1082" s="24">
        <f>Data!K1082</f>
        <v>0</v>
      </c>
      <c r="Q1082" s="24">
        <f>Data!I1082</f>
        <v>0</v>
      </c>
      <c r="R1082" s="25">
        <f t="shared" si="134"/>
        <v>0</v>
      </c>
      <c r="S1082" s="25">
        <f t="shared" si="135"/>
        <v>0</v>
      </c>
    </row>
    <row r="1083" spans="1:19" ht="15" customHeight="1" x14ac:dyDescent="0.3">
      <c r="A1083" s="22"/>
      <c r="B1083" s="23"/>
      <c r="C1083" s="2"/>
      <c r="D1083" s="23">
        <v>2017</v>
      </c>
      <c r="E1083" s="24">
        <f>Data!F1083</f>
        <v>0</v>
      </c>
      <c r="F1083" s="24">
        <f>Data!H1083</f>
        <v>0</v>
      </c>
      <c r="G1083" s="24">
        <f t="shared" si="128"/>
        <v>0</v>
      </c>
      <c r="H1083" s="24">
        <f>Data!G1083</f>
        <v>0</v>
      </c>
      <c r="I1083" s="25">
        <f t="shared" si="129"/>
        <v>0</v>
      </c>
      <c r="J1083" s="24">
        <f>Data!J1083</f>
        <v>0</v>
      </c>
      <c r="K1083" s="24">
        <f t="shared" si="130"/>
        <v>0</v>
      </c>
      <c r="L1083" s="25">
        <f t="shared" si="131"/>
        <v>0</v>
      </c>
      <c r="M1083" s="24">
        <f>Data!M1083</f>
        <v>0</v>
      </c>
      <c r="N1083" s="24">
        <f t="shared" si="132"/>
        <v>0</v>
      </c>
      <c r="O1083" s="25">
        <f t="shared" si="133"/>
        <v>0</v>
      </c>
      <c r="P1083" s="24">
        <f>Data!K1083</f>
        <v>0</v>
      </c>
      <c r="Q1083" s="24">
        <f>Data!I1083</f>
        <v>0</v>
      </c>
      <c r="R1083" s="25">
        <f t="shared" si="134"/>
        <v>0</v>
      </c>
      <c r="S1083" s="25">
        <f t="shared" si="135"/>
        <v>0</v>
      </c>
    </row>
    <row r="1084" spans="1:19" ht="15" customHeight="1" x14ac:dyDescent="0.3">
      <c r="A1084" s="22"/>
      <c r="B1084" s="23"/>
      <c r="C1084" s="2"/>
      <c r="D1084" s="23">
        <v>2018</v>
      </c>
      <c r="E1084" s="24">
        <f>Data!F1084</f>
        <v>0</v>
      </c>
      <c r="F1084" s="24">
        <f>Data!H1084</f>
        <v>0</v>
      </c>
      <c r="G1084" s="24">
        <f t="shared" si="128"/>
        <v>0</v>
      </c>
      <c r="H1084" s="24">
        <f>Data!G1084</f>
        <v>0</v>
      </c>
      <c r="I1084" s="25">
        <f t="shared" si="129"/>
        <v>0</v>
      </c>
      <c r="J1084" s="24">
        <f>Data!J1084</f>
        <v>0</v>
      </c>
      <c r="K1084" s="24">
        <f t="shared" si="130"/>
        <v>0</v>
      </c>
      <c r="L1084" s="25">
        <f t="shared" si="131"/>
        <v>0</v>
      </c>
      <c r="M1084" s="24">
        <f>Data!M1084</f>
        <v>0</v>
      </c>
      <c r="N1084" s="24">
        <f t="shared" si="132"/>
        <v>0</v>
      </c>
      <c r="O1084" s="25">
        <f t="shared" si="133"/>
        <v>0</v>
      </c>
      <c r="P1084" s="24">
        <f>Data!K1084</f>
        <v>0</v>
      </c>
      <c r="Q1084" s="24">
        <f>Data!I1084</f>
        <v>0</v>
      </c>
      <c r="R1084" s="25">
        <f t="shared" si="134"/>
        <v>0</v>
      </c>
      <c r="S1084" s="25">
        <f t="shared" si="135"/>
        <v>0</v>
      </c>
    </row>
    <row r="1085" spans="1:19" ht="15" customHeight="1" x14ac:dyDescent="0.3">
      <c r="A1085" s="22"/>
      <c r="B1085" s="23"/>
      <c r="C1085" s="2"/>
      <c r="D1085" s="23">
        <v>2019</v>
      </c>
      <c r="E1085" s="24">
        <f>Data!F1085</f>
        <v>0</v>
      </c>
      <c r="F1085" s="24">
        <f>Data!H1085</f>
        <v>0</v>
      </c>
      <c r="G1085" s="24">
        <f t="shared" si="128"/>
        <v>0</v>
      </c>
      <c r="H1085" s="24">
        <f>Data!G1085</f>
        <v>0</v>
      </c>
      <c r="I1085" s="25">
        <f t="shared" si="129"/>
        <v>0</v>
      </c>
      <c r="J1085" s="24">
        <f>Data!J1085</f>
        <v>0</v>
      </c>
      <c r="K1085" s="24">
        <f t="shared" si="130"/>
        <v>0</v>
      </c>
      <c r="L1085" s="25">
        <f t="shared" si="131"/>
        <v>0</v>
      </c>
      <c r="M1085" s="24">
        <f>Data!M1085</f>
        <v>0</v>
      </c>
      <c r="N1085" s="24">
        <f t="shared" si="132"/>
        <v>0</v>
      </c>
      <c r="O1085" s="25">
        <f t="shared" si="133"/>
        <v>0</v>
      </c>
      <c r="P1085" s="24">
        <f>Data!K1085</f>
        <v>0</v>
      </c>
      <c r="Q1085" s="24">
        <f>Data!I1085</f>
        <v>0</v>
      </c>
      <c r="R1085" s="25">
        <f t="shared" si="134"/>
        <v>0</v>
      </c>
      <c r="S1085" s="25">
        <f t="shared" si="135"/>
        <v>0</v>
      </c>
    </row>
    <row r="1086" spans="1:19" ht="15" customHeight="1" x14ac:dyDescent="0.3">
      <c r="A1086" s="22"/>
      <c r="B1086" s="23"/>
      <c r="C1086" s="2"/>
      <c r="D1086" s="23">
        <v>2020</v>
      </c>
      <c r="E1086" s="24">
        <f>Data!F1086</f>
        <v>0</v>
      </c>
      <c r="F1086" s="24">
        <f>Data!H1086</f>
        <v>0</v>
      </c>
      <c r="G1086" s="24">
        <f t="shared" si="128"/>
        <v>0</v>
      </c>
      <c r="H1086" s="24">
        <f>Data!G1086</f>
        <v>0</v>
      </c>
      <c r="I1086" s="25">
        <f t="shared" si="129"/>
        <v>0</v>
      </c>
      <c r="J1086" s="24">
        <f>Data!J1086</f>
        <v>0</v>
      </c>
      <c r="K1086" s="24">
        <f t="shared" si="130"/>
        <v>0</v>
      </c>
      <c r="L1086" s="25">
        <f t="shared" si="131"/>
        <v>0</v>
      </c>
      <c r="M1086" s="24">
        <f>Data!M1086</f>
        <v>0</v>
      </c>
      <c r="N1086" s="24">
        <f t="shared" si="132"/>
        <v>0</v>
      </c>
      <c r="O1086" s="25">
        <f t="shared" si="133"/>
        <v>0</v>
      </c>
      <c r="P1086" s="24">
        <f>Data!K1086</f>
        <v>0</v>
      </c>
      <c r="Q1086" s="24">
        <f>Data!I1086</f>
        <v>0</v>
      </c>
      <c r="R1086" s="25">
        <f t="shared" si="134"/>
        <v>0</v>
      </c>
      <c r="S1086" s="25">
        <f t="shared" si="135"/>
        <v>0</v>
      </c>
    </row>
    <row r="1087" spans="1:19" ht="15" customHeight="1" x14ac:dyDescent="0.3">
      <c r="A1087" s="22"/>
      <c r="B1087" s="23"/>
      <c r="C1087" s="2"/>
      <c r="D1087" s="23">
        <v>2021</v>
      </c>
      <c r="E1087" s="24">
        <f>Data!F1087</f>
        <v>934443000000</v>
      </c>
      <c r="F1087" s="24">
        <f>Data!H1087</f>
        <v>259571000000</v>
      </c>
      <c r="G1087" s="24">
        <f t="shared" si="128"/>
        <v>674872000000</v>
      </c>
      <c r="H1087" s="24">
        <f>Data!G1087</f>
        <v>1386012000000</v>
      </c>
      <c r="I1087" s="25">
        <f t="shared" si="129"/>
        <v>3.1941717099130451</v>
      </c>
      <c r="J1087" s="24">
        <f>Data!J1087</f>
        <v>318318000000</v>
      </c>
      <c r="K1087" s="24">
        <f t="shared" si="130"/>
        <v>1386012000000</v>
      </c>
      <c r="L1087" s="25">
        <f t="shared" si="131"/>
        <v>0.74870685102293477</v>
      </c>
      <c r="M1087" s="24">
        <f>Data!M1087</f>
        <v>36837000000</v>
      </c>
      <c r="N1087" s="24">
        <f t="shared" si="132"/>
        <v>1386012000000</v>
      </c>
      <c r="O1087" s="25">
        <f t="shared" si="133"/>
        <v>0.17860209002519459</v>
      </c>
      <c r="P1087" s="24">
        <f>Data!K1087</f>
        <v>339559000000</v>
      </c>
      <c r="Q1087" s="24">
        <f>Data!I1087</f>
        <v>1046453000000</v>
      </c>
      <c r="R1087" s="25">
        <f t="shared" si="134"/>
        <v>0.34070995066190268</v>
      </c>
      <c r="S1087" s="25">
        <f t="shared" si="135"/>
        <v>4.4621906016230772</v>
      </c>
    </row>
    <row r="1088" spans="1:19" ht="15" customHeight="1" x14ac:dyDescent="0.3">
      <c r="A1088" s="22"/>
      <c r="B1088" s="23"/>
      <c r="C1088" s="2"/>
      <c r="D1088" s="23">
        <v>2022</v>
      </c>
      <c r="E1088" s="24">
        <f>Data!F1088</f>
        <v>938167000000</v>
      </c>
      <c r="F1088" s="24">
        <f>Data!H1088</f>
        <v>337904000000</v>
      </c>
      <c r="G1088" s="24">
        <f t="shared" si="128"/>
        <v>600263000000</v>
      </c>
      <c r="H1088" s="24">
        <f>Data!G1088</f>
        <v>1289972000000</v>
      </c>
      <c r="I1088" s="25">
        <f t="shared" si="129"/>
        <v>3.0525664743110701</v>
      </c>
      <c r="J1088" s="24">
        <f>Data!J1088</f>
        <v>369529000000</v>
      </c>
      <c r="K1088" s="24">
        <f t="shared" si="130"/>
        <v>1289972000000</v>
      </c>
      <c r="L1088" s="25">
        <f t="shared" si="131"/>
        <v>0.93386875063954877</v>
      </c>
      <c r="M1088" s="24">
        <f>Data!M1088</f>
        <v>71454000000</v>
      </c>
      <c r="N1088" s="24">
        <f t="shared" si="132"/>
        <v>1289972000000</v>
      </c>
      <c r="O1088" s="25">
        <f t="shared" si="133"/>
        <v>0.37223356786038764</v>
      </c>
      <c r="P1088" s="24">
        <f>Data!K1088</f>
        <v>385447000000</v>
      </c>
      <c r="Q1088" s="24">
        <f>Data!I1088</f>
        <v>1004525000000</v>
      </c>
      <c r="R1088" s="25">
        <f t="shared" si="134"/>
        <v>0.40289624449366618</v>
      </c>
      <c r="S1088" s="25">
        <f t="shared" si="135"/>
        <v>4.7615650373046723</v>
      </c>
    </row>
    <row r="1089" spans="1:19" ht="15" customHeight="1" x14ac:dyDescent="0.3">
      <c r="A1089" s="22"/>
      <c r="B1089" s="23"/>
      <c r="C1089" s="2"/>
      <c r="D1089" s="23">
        <v>2023</v>
      </c>
      <c r="E1089" s="24">
        <f>Data!F1089</f>
        <v>843437000000</v>
      </c>
      <c r="F1089" s="24">
        <f>Data!H1089</f>
        <v>313105000000</v>
      </c>
      <c r="G1089" s="24">
        <f t="shared" si="128"/>
        <v>530332000000</v>
      </c>
      <c r="H1089" s="24">
        <f>Data!G1089</f>
        <v>1334934000000</v>
      </c>
      <c r="I1089" s="25">
        <f t="shared" si="129"/>
        <v>2.6061048111741854</v>
      </c>
      <c r="J1089" s="24">
        <f>Data!J1089</f>
        <v>358988000000</v>
      </c>
      <c r="K1089" s="24">
        <f t="shared" si="130"/>
        <v>1334934000000</v>
      </c>
      <c r="L1089" s="25">
        <f t="shared" si="131"/>
        <v>0.87667321380682495</v>
      </c>
      <c r="M1089" s="24">
        <f>Data!M1089</f>
        <v>31984000000</v>
      </c>
      <c r="N1089" s="24">
        <f t="shared" si="132"/>
        <v>1334934000000</v>
      </c>
      <c r="O1089" s="25">
        <f t="shared" si="133"/>
        <v>0.16100607221031152</v>
      </c>
      <c r="P1089" s="24">
        <f>Data!K1089</f>
        <v>399865000000</v>
      </c>
      <c r="Q1089" s="24">
        <f>Data!I1089</f>
        <v>935069000000</v>
      </c>
      <c r="R1089" s="25">
        <f t="shared" si="134"/>
        <v>0.4490131209568492</v>
      </c>
      <c r="S1089" s="25">
        <f t="shared" si="135"/>
        <v>4.0927972181481707</v>
      </c>
    </row>
    <row r="1090" spans="1:19" ht="15" customHeight="1" x14ac:dyDescent="0.3">
      <c r="A1090" s="22"/>
      <c r="B1090" s="23"/>
      <c r="C1090" s="2"/>
      <c r="D1090" s="23">
        <v>2024</v>
      </c>
      <c r="E1090" s="24">
        <f>Data!F1090</f>
        <v>788453000000</v>
      </c>
      <c r="F1090" s="24">
        <f>Data!H1090</f>
        <v>347075000000</v>
      </c>
      <c r="G1090" s="24">
        <f t="shared" si="128"/>
        <v>441378000000</v>
      </c>
      <c r="H1090" s="24">
        <f>Data!G1090</f>
        <v>1374888000000</v>
      </c>
      <c r="I1090" s="25">
        <f t="shared" si="129"/>
        <v>2.1059458515893659</v>
      </c>
      <c r="J1090" s="24">
        <f>Data!J1090</f>
        <v>382400000000</v>
      </c>
      <c r="K1090" s="24">
        <f t="shared" si="130"/>
        <v>1374888000000</v>
      </c>
      <c r="L1090" s="25">
        <f t="shared" si="131"/>
        <v>0.90670949197316442</v>
      </c>
      <c r="M1090" s="24">
        <f>Data!M1090</f>
        <v>43711000000</v>
      </c>
      <c r="N1090" s="24">
        <f t="shared" si="132"/>
        <v>1374888000000</v>
      </c>
      <c r="O1090" s="25">
        <f t="shared" si="133"/>
        <v>0.21364498053659645</v>
      </c>
      <c r="P1090" s="24">
        <f>Data!K1090</f>
        <v>435288000000</v>
      </c>
      <c r="Q1090" s="24">
        <f>Data!I1090</f>
        <v>939600000000</v>
      </c>
      <c r="R1090" s="25">
        <f t="shared" si="134"/>
        <v>0.4864329501915709</v>
      </c>
      <c r="S1090" s="25">
        <f t="shared" si="135"/>
        <v>3.7127332742906973</v>
      </c>
    </row>
    <row r="1091" spans="1:19" ht="15" customHeight="1" x14ac:dyDescent="0.3">
      <c r="A1091" s="22"/>
      <c r="B1091" s="23">
        <v>100</v>
      </c>
      <c r="C1091" s="2" t="s">
        <v>104</v>
      </c>
      <c r="D1091" s="23">
        <v>2014</v>
      </c>
      <c r="E1091" s="24">
        <f>Data!F1091</f>
        <v>0</v>
      </c>
      <c r="F1091" s="24">
        <f>Data!H1091</f>
        <v>0</v>
      </c>
      <c r="G1091" s="24">
        <f t="shared" ref="G1091:G1154" si="136">E1091-F1091</f>
        <v>0</v>
      </c>
      <c r="H1091" s="24">
        <f>Data!G1091</f>
        <v>0</v>
      </c>
      <c r="I1091" s="25">
        <f t="shared" ref="I1091:I1154" si="137">IFERROR(6.56*(G1091/H1091),0)</f>
        <v>0</v>
      </c>
      <c r="J1091" s="24">
        <f>Data!J1091</f>
        <v>0</v>
      </c>
      <c r="K1091" s="24">
        <f t="shared" ref="K1091:K1154" si="138">H1091</f>
        <v>0</v>
      </c>
      <c r="L1091" s="25">
        <f t="shared" ref="L1091:L1154" si="139">IFERROR(3.26*(J1091/K1091),0)</f>
        <v>0</v>
      </c>
      <c r="M1091" s="24">
        <f>Data!M1091</f>
        <v>0</v>
      </c>
      <c r="N1091" s="24">
        <f t="shared" ref="N1091:N1154" si="140">K1091</f>
        <v>0</v>
      </c>
      <c r="O1091" s="25">
        <f t="shared" ref="O1091:O1154" si="141">IFERROR(6.72*(M1091/N1091),0)</f>
        <v>0</v>
      </c>
      <c r="P1091" s="24">
        <f>Data!K1091</f>
        <v>0</v>
      </c>
      <c r="Q1091" s="24">
        <f>Data!I1091</f>
        <v>0</v>
      </c>
      <c r="R1091" s="25">
        <f t="shared" ref="R1091:R1154" si="142">IFERROR(1.05*(P1091/Q1091),0)</f>
        <v>0</v>
      </c>
      <c r="S1091" s="25">
        <f t="shared" ref="S1091:S1154" si="143">IFERROR(I1091+L1091+O1091+R1091,0)</f>
        <v>0</v>
      </c>
    </row>
    <row r="1092" spans="1:19" ht="15" customHeight="1" x14ac:dyDescent="0.3">
      <c r="A1092" s="22"/>
      <c r="B1092" s="23"/>
      <c r="C1092" s="2"/>
      <c r="D1092" s="23">
        <v>2015</v>
      </c>
      <c r="E1092" s="24">
        <f>Data!F1092</f>
        <v>4773000000</v>
      </c>
      <c r="F1092" s="24">
        <f>Data!H1092</f>
        <v>4349000000</v>
      </c>
      <c r="G1092" s="24">
        <f t="shared" si="136"/>
        <v>424000000</v>
      </c>
      <c r="H1092" s="24">
        <f>Data!G1092</f>
        <v>122165000000</v>
      </c>
      <c r="I1092" s="25">
        <f t="shared" si="137"/>
        <v>2.2767895878524944E-2</v>
      </c>
      <c r="J1092" s="24">
        <f>Data!J1092</f>
        <v>12836000000</v>
      </c>
      <c r="K1092" s="24">
        <f t="shared" si="138"/>
        <v>122165000000</v>
      </c>
      <c r="L1092" s="25">
        <f t="shared" si="139"/>
        <v>0.34253149429050872</v>
      </c>
      <c r="M1092" s="24">
        <f>Data!M1092</f>
        <v>3601000000</v>
      </c>
      <c r="N1092" s="24">
        <f t="shared" si="140"/>
        <v>122165000000</v>
      </c>
      <c r="O1092" s="25">
        <f t="shared" si="141"/>
        <v>0.1980822657880735</v>
      </c>
      <c r="P1092" s="24">
        <f>Data!K1092</f>
        <v>112836000000</v>
      </c>
      <c r="Q1092" s="24">
        <f>Data!I1092</f>
        <v>9329000000</v>
      </c>
      <c r="R1092" s="25">
        <f t="shared" si="142"/>
        <v>12.699946403687427</v>
      </c>
      <c r="S1092" s="25">
        <f t="shared" si="143"/>
        <v>13.263328059644534</v>
      </c>
    </row>
    <row r="1093" spans="1:19" ht="15" customHeight="1" x14ac:dyDescent="0.3">
      <c r="A1093" s="22"/>
      <c r="B1093" s="23"/>
      <c r="C1093" s="2"/>
      <c r="D1093" s="23">
        <v>2016</v>
      </c>
      <c r="E1093" s="24">
        <f>Data!F1093</f>
        <v>6891000000</v>
      </c>
      <c r="F1093" s="24">
        <f>Data!H1093</f>
        <v>6228000000</v>
      </c>
      <c r="G1093" s="24">
        <f t="shared" si="136"/>
        <v>663000000</v>
      </c>
      <c r="H1093" s="24">
        <f>Data!G1093</f>
        <v>130238000000</v>
      </c>
      <c r="I1093" s="25">
        <f t="shared" si="137"/>
        <v>3.3394861714706917E-2</v>
      </c>
      <c r="J1093" s="24">
        <f>Data!J1093</f>
        <v>14246000000</v>
      </c>
      <c r="K1093" s="24">
        <f t="shared" si="138"/>
        <v>130238000000</v>
      </c>
      <c r="L1093" s="25">
        <f t="shared" si="139"/>
        <v>0.356593006649365</v>
      </c>
      <c r="M1093" s="24">
        <f>Data!M1093</f>
        <v>2697000000</v>
      </c>
      <c r="N1093" s="24">
        <f t="shared" si="140"/>
        <v>130238000000</v>
      </c>
      <c r="O1093" s="25">
        <f t="shared" si="141"/>
        <v>0.13915938512569295</v>
      </c>
      <c r="P1093" s="24">
        <f>Data!K1093</f>
        <v>114246000000</v>
      </c>
      <c r="Q1093" s="24">
        <f>Data!I1093</f>
        <v>15992000000</v>
      </c>
      <c r="R1093" s="25">
        <f t="shared" si="142"/>
        <v>7.501144322161081</v>
      </c>
      <c r="S1093" s="25">
        <f t="shared" si="143"/>
        <v>8.0302915756508462</v>
      </c>
    </row>
    <row r="1094" spans="1:19" ht="15" customHeight="1" x14ac:dyDescent="0.3">
      <c r="A1094" s="22"/>
      <c r="B1094" s="23"/>
      <c r="C1094" s="2"/>
      <c r="D1094" s="23">
        <v>2017</v>
      </c>
      <c r="E1094" s="24">
        <f>Data!F1094</f>
        <v>7041000000</v>
      </c>
      <c r="F1094" s="24">
        <f>Data!H1094</f>
        <v>8040000000</v>
      </c>
      <c r="G1094" s="24">
        <f t="shared" si="136"/>
        <v>-999000000</v>
      </c>
      <c r="H1094" s="24">
        <f>Data!G1094</f>
        <v>177485000000</v>
      </c>
      <c r="I1094" s="25">
        <f t="shared" si="137"/>
        <v>-3.6923909062737695E-2</v>
      </c>
      <c r="J1094" s="24">
        <f>Data!J1094</f>
        <v>9010000000</v>
      </c>
      <c r="K1094" s="24">
        <f t="shared" si="138"/>
        <v>177485000000</v>
      </c>
      <c r="L1094" s="25">
        <f t="shared" si="139"/>
        <v>0.16549342197932218</v>
      </c>
      <c r="M1094" s="24">
        <f>Data!M1094</f>
        <v>6006000000</v>
      </c>
      <c r="N1094" s="24">
        <f t="shared" si="140"/>
        <v>177485000000</v>
      </c>
      <c r="O1094" s="25">
        <f t="shared" si="141"/>
        <v>0.22740130151843818</v>
      </c>
      <c r="P1094" s="24">
        <f>Data!K1094</f>
        <v>159010000000</v>
      </c>
      <c r="Q1094" s="24">
        <f>Data!I1094</f>
        <v>18475000000</v>
      </c>
      <c r="R1094" s="25">
        <f t="shared" si="142"/>
        <v>9.0371041948579158</v>
      </c>
      <c r="S1094" s="25">
        <f t="shared" si="143"/>
        <v>9.3930750092929394</v>
      </c>
    </row>
    <row r="1095" spans="1:19" ht="15" customHeight="1" x14ac:dyDescent="0.3">
      <c r="A1095" s="22"/>
      <c r="B1095" s="23"/>
      <c r="C1095" s="2"/>
      <c r="D1095" s="23">
        <v>2018</v>
      </c>
      <c r="E1095" s="24">
        <f>Data!F1095</f>
        <v>25253000000</v>
      </c>
      <c r="F1095" s="24">
        <f>Data!H1095</f>
        <v>18070000000</v>
      </c>
      <c r="G1095" s="24">
        <f t="shared" si="136"/>
        <v>7183000000</v>
      </c>
      <c r="H1095" s="24">
        <f>Data!G1095</f>
        <v>311845000000</v>
      </c>
      <c r="I1095" s="25">
        <f t="shared" si="137"/>
        <v>0.15110224630826211</v>
      </c>
      <c r="J1095" s="24">
        <f>Data!J1095</f>
        <v>19011000000</v>
      </c>
      <c r="K1095" s="24">
        <f t="shared" si="138"/>
        <v>311845000000</v>
      </c>
      <c r="L1095" s="25">
        <f t="shared" si="139"/>
        <v>0.19873930959290673</v>
      </c>
      <c r="M1095" s="24">
        <f>Data!M1095</f>
        <v>6365000000</v>
      </c>
      <c r="N1095" s="24">
        <f t="shared" si="140"/>
        <v>311845000000</v>
      </c>
      <c r="O1095" s="25">
        <f t="shared" si="141"/>
        <v>0.13716044829963603</v>
      </c>
      <c r="P1095" s="24">
        <f>Data!K1095</f>
        <v>269011000000</v>
      </c>
      <c r="Q1095" s="24">
        <f>Data!I1095</f>
        <v>42834000000</v>
      </c>
      <c r="R1095" s="25">
        <f t="shared" si="142"/>
        <v>6.5943304384367565</v>
      </c>
      <c r="S1095" s="25">
        <f t="shared" si="143"/>
        <v>7.081332442637561</v>
      </c>
    </row>
    <row r="1096" spans="1:19" ht="15" customHeight="1" x14ac:dyDescent="0.3">
      <c r="A1096" s="22"/>
      <c r="B1096" s="23"/>
      <c r="C1096" s="2"/>
      <c r="D1096" s="23">
        <v>2019</v>
      </c>
      <c r="E1096" s="24">
        <f>Data!F1096</f>
        <v>375984000000</v>
      </c>
      <c r="F1096" s="24">
        <f>Data!H1096</f>
        <v>141519000000</v>
      </c>
      <c r="G1096" s="24">
        <f t="shared" si="136"/>
        <v>234465000000</v>
      </c>
      <c r="H1096" s="24">
        <f>Data!G1096</f>
        <v>889636000000</v>
      </c>
      <c r="I1096" s="25">
        <f t="shared" si="137"/>
        <v>1.7288985607596814</v>
      </c>
      <c r="J1096" s="24">
        <f>Data!J1096</f>
        <v>81056000000</v>
      </c>
      <c r="K1096" s="24">
        <f t="shared" si="138"/>
        <v>889636000000</v>
      </c>
      <c r="L1096" s="25">
        <f t="shared" si="139"/>
        <v>0.2970232319735262</v>
      </c>
      <c r="M1096" s="24">
        <f>Data!M1096</f>
        <v>61945000000</v>
      </c>
      <c r="N1096" s="24">
        <f t="shared" si="140"/>
        <v>889636000000</v>
      </c>
      <c r="O1096" s="25">
        <f t="shared" si="141"/>
        <v>0.46791092087100794</v>
      </c>
      <c r="P1096" s="24">
        <f>Data!K1096</f>
        <v>331077000000</v>
      </c>
      <c r="Q1096" s="24">
        <f>Data!I1096</f>
        <v>558559000000</v>
      </c>
      <c r="R1096" s="25">
        <f t="shared" si="142"/>
        <v>0.62237086861012003</v>
      </c>
      <c r="S1096" s="25">
        <f t="shared" si="143"/>
        <v>3.116203582214335</v>
      </c>
    </row>
    <row r="1097" spans="1:19" ht="15" customHeight="1" x14ac:dyDescent="0.3">
      <c r="A1097" s="22"/>
      <c r="B1097" s="23"/>
      <c r="C1097" s="2"/>
      <c r="D1097" s="23">
        <v>2020</v>
      </c>
      <c r="E1097" s="24">
        <f>Data!F1097</f>
        <v>65563000000</v>
      </c>
      <c r="F1097" s="24">
        <f>Data!H1097</f>
        <v>91855000000</v>
      </c>
      <c r="G1097" s="24">
        <f t="shared" si="136"/>
        <v>-26292000000</v>
      </c>
      <c r="H1097" s="24">
        <f>Data!G1097</f>
        <v>767127000000</v>
      </c>
      <c r="I1097" s="25">
        <f t="shared" si="137"/>
        <v>-0.22483307196852673</v>
      </c>
      <c r="J1097" s="24">
        <f>Data!J1097</f>
        <v>60843000000</v>
      </c>
      <c r="K1097" s="24">
        <f t="shared" si="138"/>
        <v>767127000000</v>
      </c>
      <c r="L1097" s="25">
        <f t="shared" si="139"/>
        <v>0.25855976911254586</v>
      </c>
      <c r="M1097" s="24">
        <f>Data!M1097</f>
        <v>21279000000</v>
      </c>
      <c r="N1097" s="24">
        <f t="shared" si="140"/>
        <v>767127000000</v>
      </c>
      <c r="O1097" s="25">
        <f t="shared" si="141"/>
        <v>0.18640313794195745</v>
      </c>
      <c r="P1097" s="24">
        <f>Data!K1097</f>
        <v>310676000000</v>
      </c>
      <c r="Q1097" s="24">
        <f>Data!I1097</f>
        <v>456451000000</v>
      </c>
      <c r="R1097" s="25">
        <f t="shared" si="142"/>
        <v>0.71466553912687236</v>
      </c>
      <c r="S1097" s="25">
        <f t="shared" si="143"/>
        <v>0.93479537421284897</v>
      </c>
    </row>
    <row r="1098" spans="1:19" ht="15" customHeight="1" x14ac:dyDescent="0.3">
      <c r="A1098" s="22"/>
      <c r="B1098" s="23"/>
      <c r="C1098" s="2"/>
      <c r="D1098" s="23">
        <v>2021</v>
      </c>
      <c r="E1098" s="24">
        <f>Data!F1098</f>
        <v>83598000000</v>
      </c>
      <c r="F1098" s="24">
        <f>Data!H1098</f>
        <v>113472000000</v>
      </c>
      <c r="G1098" s="24">
        <f t="shared" si="136"/>
        <v>-29874000000</v>
      </c>
      <c r="H1098" s="24">
        <f>Data!G1098</f>
        <v>808290000000</v>
      </c>
      <c r="I1098" s="25">
        <f t="shared" si="137"/>
        <v>-0.24245436662583975</v>
      </c>
      <c r="J1098" s="24">
        <f>Data!J1098</f>
        <v>113144000000</v>
      </c>
      <c r="K1098" s="24">
        <f t="shared" si="138"/>
        <v>808290000000</v>
      </c>
      <c r="L1098" s="25">
        <f t="shared" si="139"/>
        <v>0.45633304878199654</v>
      </c>
      <c r="M1098" s="24">
        <f>Data!M1098</f>
        <v>72416000000</v>
      </c>
      <c r="N1098" s="24">
        <f t="shared" si="140"/>
        <v>808290000000</v>
      </c>
      <c r="O1098" s="25">
        <f t="shared" si="141"/>
        <v>0.6020555988568459</v>
      </c>
      <c r="P1098" s="24">
        <f>Data!K1098</f>
        <v>363354000000</v>
      </c>
      <c r="Q1098" s="24">
        <f>Data!I1098</f>
        <v>444935000000</v>
      </c>
      <c r="R1098" s="25">
        <f t="shared" si="142"/>
        <v>0.85747738433703802</v>
      </c>
      <c r="S1098" s="25">
        <f t="shared" si="143"/>
        <v>1.6734116653500406</v>
      </c>
    </row>
    <row r="1099" spans="1:19" ht="15" customHeight="1" x14ac:dyDescent="0.3">
      <c r="A1099" s="22"/>
      <c r="B1099" s="23"/>
      <c r="C1099" s="2"/>
      <c r="D1099" s="23">
        <v>2022</v>
      </c>
      <c r="E1099" s="24">
        <f>Data!F1099</f>
        <v>135918000000</v>
      </c>
      <c r="F1099" s="24">
        <f>Data!H1099</f>
        <v>97248000000</v>
      </c>
      <c r="G1099" s="24">
        <f t="shared" si="136"/>
        <v>38670000000</v>
      </c>
      <c r="H1099" s="24">
        <f>Data!G1099</f>
        <v>920252000000</v>
      </c>
      <c r="I1099" s="25">
        <f t="shared" si="137"/>
        <v>0.27565840661036323</v>
      </c>
      <c r="J1099" s="24">
        <f>Data!J1099</f>
        <v>257704000000</v>
      </c>
      <c r="K1099" s="24">
        <f t="shared" si="138"/>
        <v>920252000000</v>
      </c>
      <c r="L1099" s="25">
        <f t="shared" si="139"/>
        <v>0.91291846146490307</v>
      </c>
      <c r="M1099" s="24">
        <f>Data!M1099</f>
        <v>144998000000</v>
      </c>
      <c r="N1099" s="24">
        <f t="shared" si="140"/>
        <v>920252000000</v>
      </c>
      <c r="O1099" s="25">
        <f t="shared" si="141"/>
        <v>1.0588257998895956</v>
      </c>
      <c r="P1099" s="24">
        <f>Data!K1099</f>
        <v>510437000000</v>
      </c>
      <c r="Q1099" s="24">
        <f>Data!I1099</f>
        <v>409815000000</v>
      </c>
      <c r="R1099" s="25">
        <f t="shared" si="142"/>
        <v>1.3078068152703048</v>
      </c>
      <c r="S1099" s="25">
        <f t="shared" si="143"/>
        <v>3.5552094832351666</v>
      </c>
    </row>
    <row r="1100" spans="1:19" ht="15" customHeight="1" x14ac:dyDescent="0.3">
      <c r="A1100" s="22"/>
      <c r="B1100" s="23"/>
      <c r="C1100" s="2"/>
      <c r="D1100" s="23">
        <v>2023</v>
      </c>
      <c r="E1100" s="24">
        <f>Data!F1100</f>
        <v>649506000000</v>
      </c>
      <c r="F1100" s="24">
        <f>Data!H1100</f>
        <v>82789000000</v>
      </c>
      <c r="G1100" s="24">
        <f t="shared" si="136"/>
        <v>566717000000</v>
      </c>
      <c r="H1100" s="24">
        <f>Data!G1100</f>
        <v>1176944000000</v>
      </c>
      <c r="I1100" s="25">
        <f t="shared" si="137"/>
        <v>3.1587429138514662</v>
      </c>
      <c r="J1100" s="24">
        <f>Data!J1100</f>
        <v>377136000000</v>
      </c>
      <c r="K1100" s="24">
        <f t="shared" si="138"/>
        <v>1176944000000</v>
      </c>
      <c r="L1100" s="25">
        <f t="shared" si="139"/>
        <v>1.0446234995037997</v>
      </c>
      <c r="M1100" s="24">
        <f>Data!M1100</f>
        <v>207051000000</v>
      </c>
      <c r="N1100" s="24">
        <f t="shared" si="140"/>
        <v>1176944000000</v>
      </c>
      <c r="O1100" s="25">
        <f t="shared" si="141"/>
        <v>1.1821995948830191</v>
      </c>
      <c r="P1100" s="24">
        <f>Data!K1100</f>
        <v>631193000000</v>
      </c>
      <c r="Q1100" s="24">
        <f>Data!I1100</f>
        <v>545751000000</v>
      </c>
      <c r="R1100" s="25">
        <f t="shared" si="142"/>
        <v>1.2143865059340251</v>
      </c>
      <c r="S1100" s="25">
        <f t="shared" si="143"/>
        <v>6.5999525141723101</v>
      </c>
    </row>
    <row r="1101" spans="1:19" ht="15" customHeight="1" x14ac:dyDescent="0.3">
      <c r="A1101" s="22"/>
      <c r="B1101" s="23"/>
      <c r="C1101" s="2"/>
      <c r="D1101" s="23">
        <v>2024</v>
      </c>
      <c r="E1101" s="24">
        <f>Data!F1101</f>
        <v>775498000000</v>
      </c>
      <c r="F1101" s="24">
        <f>Data!H1101</f>
        <v>70301000000</v>
      </c>
      <c r="G1101" s="24">
        <f t="shared" si="136"/>
        <v>705197000000</v>
      </c>
      <c r="H1101" s="24">
        <f>Data!G1101</f>
        <v>1733065000000</v>
      </c>
      <c r="I1101" s="25">
        <f t="shared" si="137"/>
        <v>2.6693126455153151</v>
      </c>
      <c r="J1101" s="24">
        <f>Data!J1101</f>
        <v>510914000000</v>
      </c>
      <c r="K1101" s="24">
        <f t="shared" si="138"/>
        <v>1733065000000</v>
      </c>
      <c r="L1101" s="25">
        <f t="shared" si="139"/>
        <v>0.96106011026707017</v>
      </c>
      <c r="M1101" s="24">
        <f>Data!M1101</f>
        <v>121399000000</v>
      </c>
      <c r="N1101" s="24">
        <f t="shared" si="140"/>
        <v>1733065000000</v>
      </c>
      <c r="O1101" s="25">
        <f t="shared" si="141"/>
        <v>0.47072745684668488</v>
      </c>
      <c r="P1101" s="24">
        <f>Data!K1101</f>
        <v>759942000000</v>
      </c>
      <c r="Q1101" s="24">
        <f>Data!I1101</f>
        <v>973123000000</v>
      </c>
      <c r="R1101" s="25">
        <f t="shared" si="142"/>
        <v>0.81997763900349696</v>
      </c>
      <c r="S1101" s="25">
        <f t="shared" si="143"/>
        <v>4.9210778516325675</v>
      </c>
    </row>
    <row r="1102" spans="1:19" ht="15" customHeight="1" x14ac:dyDescent="0.3">
      <c r="A1102" s="22"/>
      <c r="B1102" s="23">
        <v>101</v>
      </c>
      <c r="C1102" s="2" t="s">
        <v>120</v>
      </c>
      <c r="D1102" s="23">
        <v>2014</v>
      </c>
      <c r="E1102" s="24">
        <f>Data!F1102</f>
        <v>0</v>
      </c>
      <c r="F1102" s="24">
        <f>Data!H1102</f>
        <v>0</v>
      </c>
      <c r="G1102" s="24">
        <f t="shared" si="136"/>
        <v>0</v>
      </c>
      <c r="H1102" s="24">
        <f>Data!G1102</f>
        <v>0</v>
      </c>
      <c r="I1102" s="25">
        <f t="shared" si="137"/>
        <v>0</v>
      </c>
      <c r="J1102" s="24">
        <f>Data!J1102</f>
        <v>0</v>
      </c>
      <c r="K1102" s="24">
        <f t="shared" si="138"/>
        <v>0</v>
      </c>
      <c r="L1102" s="25">
        <f t="shared" si="139"/>
        <v>0</v>
      </c>
      <c r="M1102" s="24">
        <f>Data!M1102</f>
        <v>0</v>
      </c>
      <c r="N1102" s="24">
        <f t="shared" si="140"/>
        <v>0</v>
      </c>
      <c r="O1102" s="25">
        <f t="shared" si="141"/>
        <v>0</v>
      </c>
      <c r="P1102" s="24">
        <f>Data!K1102</f>
        <v>0</v>
      </c>
      <c r="Q1102" s="24">
        <f>Data!I1102</f>
        <v>0</v>
      </c>
      <c r="R1102" s="25">
        <f t="shared" si="142"/>
        <v>0</v>
      </c>
      <c r="S1102" s="25">
        <f t="shared" si="143"/>
        <v>0</v>
      </c>
    </row>
    <row r="1103" spans="1:19" ht="15" customHeight="1" x14ac:dyDescent="0.3">
      <c r="A1103" s="22"/>
      <c r="B1103" s="23"/>
      <c r="C1103" s="2"/>
      <c r="D1103" s="23">
        <v>2015</v>
      </c>
      <c r="E1103" s="24">
        <f>Data!F1103</f>
        <v>1556709000000</v>
      </c>
      <c r="F1103" s="24">
        <f>Data!H1103</f>
        <v>488901000000</v>
      </c>
      <c r="G1103" s="24">
        <f t="shared" si="136"/>
        <v>1067808000000</v>
      </c>
      <c r="H1103" s="24">
        <f>Data!G1103</f>
        <v>6191014000000</v>
      </c>
      <c r="I1103" s="25">
        <f t="shared" si="137"/>
        <v>1.1314496268301122</v>
      </c>
      <c r="J1103" s="24">
        <f>Data!J1103</f>
        <v>2485210000000</v>
      </c>
      <c r="K1103" s="24">
        <f t="shared" si="138"/>
        <v>6191014000000</v>
      </c>
      <c r="L1103" s="25">
        <f t="shared" si="139"/>
        <v>1.3086361297196225</v>
      </c>
      <c r="M1103" s="24">
        <f>Data!M1103</f>
        <v>495299000000</v>
      </c>
      <c r="N1103" s="24">
        <f t="shared" si="140"/>
        <v>6191014000000</v>
      </c>
      <c r="O1103" s="25">
        <f t="shared" si="141"/>
        <v>0.53761940774160744</v>
      </c>
      <c r="P1103" s="24">
        <f>Data!K1103</f>
        <v>2662842000000</v>
      </c>
      <c r="Q1103" s="24">
        <f>Data!I1103</f>
        <v>3528172000000</v>
      </c>
      <c r="R1103" s="25">
        <f t="shared" si="142"/>
        <v>0.79247386465285707</v>
      </c>
      <c r="S1103" s="25">
        <f t="shared" si="143"/>
        <v>3.7701790289441992</v>
      </c>
    </row>
    <row r="1104" spans="1:19" ht="15" customHeight="1" x14ac:dyDescent="0.3">
      <c r="A1104" s="22"/>
      <c r="B1104" s="23"/>
      <c r="C1104" s="2"/>
      <c r="D1104" s="23">
        <v>2016</v>
      </c>
      <c r="E1104" s="24">
        <f>Data!F1104</f>
        <v>1177591000000</v>
      </c>
      <c r="F1104" s="24">
        <f>Data!H1104</f>
        <v>469691000000</v>
      </c>
      <c r="G1104" s="24">
        <f t="shared" si="136"/>
        <v>707900000000</v>
      </c>
      <c r="H1104" s="24">
        <f>Data!G1104</f>
        <v>5916686000000</v>
      </c>
      <c r="I1104" s="25">
        <f t="shared" si="137"/>
        <v>0.78486909732914667</v>
      </c>
      <c r="J1104" s="24">
        <f>Data!J1104</f>
        <v>2536544000000</v>
      </c>
      <c r="K1104" s="24">
        <f t="shared" si="138"/>
        <v>5916686000000</v>
      </c>
      <c r="L1104" s="25">
        <f t="shared" si="139"/>
        <v>1.3975954512373987</v>
      </c>
      <c r="M1104" s="24">
        <f>Data!M1104</f>
        <v>516842000000</v>
      </c>
      <c r="N1104" s="24">
        <f t="shared" si="140"/>
        <v>5916686000000</v>
      </c>
      <c r="O1104" s="25">
        <f t="shared" si="141"/>
        <v>0.58701412243272666</v>
      </c>
      <c r="P1104" s="24">
        <f>Data!K1104</f>
        <v>2707109000000</v>
      </c>
      <c r="Q1104" s="24">
        <f>Data!I1104</f>
        <v>3209577000000</v>
      </c>
      <c r="R1104" s="25">
        <f t="shared" si="142"/>
        <v>0.88561964707498853</v>
      </c>
      <c r="S1104" s="25">
        <f t="shared" si="143"/>
        <v>3.6550983180742604</v>
      </c>
    </row>
    <row r="1105" spans="1:19" ht="15" customHeight="1" x14ac:dyDescent="0.3">
      <c r="A1105" s="22"/>
      <c r="B1105" s="23"/>
      <c r="C1105" s="2"/>
      <c r="D1105" s="23">
        <v>2017</v>
      </c>
      <c r="E1105" s="24">
        <f>Data!F1105</f>
        <v>2973819000000</v>
      </c>
      <c r="F1105" s="24">
        <f>Data!H1105</f>
        <v>1621142000000</v>
      </c>
      <c r="G1105" s="24">
        <f t="shared" si="136"/>
        <v>1352677000000</v>
      </c>
      <c r="H1105" s="24">
        <f>Data!G1105</f>
        <v>31271077000000</v>
      </c>
      <c r="I1105" s="25">
        <f t="shared" si="137"/>
        <v>0.28376256820319939</v>
      </c>
      <c r="J1105" s="24">
        <f>Data!J1105</f>
        <v>3092769000000</v>
      </c>
      <c r="K1105" s="24">
        <f t="shared" si="138"/>
        <v>31271077000000</v>
      </c>
      <c r="L1105" s="25">
        <f t="shared" si="139"/>
        <v>0.32242020126137644</v>
      </c>
      <c r="M1105" s="24">
        <f>Data!M1105</f>
        <v>641458000000</v>
      </c>
      <c r="N1105" s="24">
        <f t="shared" si="140"/>
        <v>31271077000000</v>
      </c>
      <c r="O1105" s="25">
        <f t="shared" si="141"/>
        <v>0.13784615605020575</v>
      </c>
      <c r="P1105" s="24">
        <f>Data!K1105</f>
        <v>3317169000000</v>
      </c>
      <c r="Q1105" s="24">
        <f>Data!I1105</f>
        <v>27953908000000</v>
      </c>
      <c r="R1105" s="25">
        <f t="shared" si="142"/>
        <v>0.12459894516358858</v>
      </c>
      <c r="S1105" s="25">
        <f t="shared" si="143"/>
        <v>0.86862787067837022</v>
      </c>
    </row>
    <row r="1106" spans="1:19" ht="15" customHeight="1" x14ac:dyDescent="0.3">
      <c r="A1106" s="22"/>
      <c r="B1106" s="23"/>
      <c r="C1106" s="2"/>
      <c r="D1106" s="23">
        <v>2018</v>
      </c>
      <c r="E1106" s="24">
        <f>Data!F1106</f>
        <v>2675089000000</v>
      </c>
      <c r="F1106" s="24">
        <f>Data!H1106</f>
        <v>1905285000000</v>
      </c>
      <c r="G1106" s="24">
        <f t="shared" si="136"/>
        <v>769804000000</v>
      </c>
      <c r="H1106" s="24">
        <f>Data!G1106</f>
        <v>39097329000000</v>
      </c>
      <c r="I1106" s="25">
        <f t="shared" si="137"/>
        <v>0.12916264024071822</v>
      </c>
      <c r="J1106" s="24">
        <f>Data!J1106</f>
        <v>3537357000000</v>
      </c>
      <c r="K1106" s="24">
        <f t="shared" si="138"/>
        <v>39097329000000</v>
      </c>
      <c r="L1106" s="25">
        <f t="shared" si="139"/>
        <v>0.29495068115778444</v>
      </c>
      <c r="M1106" s="24">
        <f>Data!M1106</f>
        <v>555881000000</v>
      </c>
      <c r="N1106" s="24">
        <f t="shared" si="140"/>
        <v>39097329000000</v>
      </c>
      <c r="O1106" s="25">
        <f t="shared" si="141"/>
        <v>9.5544130904696836E-2</v>
      </c>
      <c r="P1106" s="24">
        <f>Data!K1106</f>
        <v>3806605000000</v>
      </c>
      <c r="Q1106" s="24">
        <f>Data!I1106</f>
        <v>35290723000000</v>
      </c>
      <c r="R1106" s="25">
        <f t="shared" si="142"/>
        <v>0.11325739203472822</v>
      </c>
      <c r="S1106" s="25">
        <f t="shared" si="143"/>
        <v>0.63291484433792766</v>
      </c>
    </row>
    <row r="1107" spans="1:19" ht="15" customHeight="1" x14ac:dyDescent="0.3">
      <c r="A1107" s="22"/>
      <c r="B1107" s="23"/>
      <c r="C1107" s="2"/>
      <c r="D1107" s="23">
        <v>2019</v>
      </c>
      <c r="E1107" s="24">
        <f>Data!F1107</f>
        <v>2766529000000</v>
      </c>
      <c r="F1107" s="24">
        <f>Data!H1107</f>
        <v>1788693000000</v>
      </c>
      <c r="G1107" s="24">
        <f t="shared" si="136"/>
        <v>977836000000</v>
      </c>
      <c r="H1107" s="24">
        <f>Data!G1107</f>
        <v>44577624000000</v>
      </c>
      <c r="I1107" s="25">
        <f t="shared" si="137"/>
        <v>0.1438973992871401</v>
      </c>
      <c r="J1107" s="24">
        <f>Data!J1107</f>
        <v>4106114000000</v>
      </c>
      <c r="K1107" s="24">
        <f t="shared" si="138"/>
        <v>44577624000000</v>
      </c>
      <c r="L1107" s="25">
        <f t="shared" si="139"/>
        <v>0.30028364993163387</v>
      </c>
      <c r="M1107" s="24">
        <f>Data!M1107</f>
        <v>751488000000</v>
      </c>
      <c r="N1107" s="24">
        <f t="shared" si="140"/>
        <v>44577624000000</v>
      </c>
      <c r="O1107" s="25">
        <f t="shared" si="141"/>
        <v>0.11328552100488801</v>
      </c>
      <c r="P1107" s="24">
        <f>Data!K1107</f>
        <v>4376065000000</v>
      </c>
      <c r="Q1107" s="24">
        <f>Data!I1107</f>
        <v>40201558000000</v>
      </c>
      <c r="R1107" s="25">
        <f t="shared" si="142"/>
        <v>0.11429577555178334</v>
      </c>
      <c r="S1107" s="25">
        <f t="shared" si="143"/>
        <v>0.67176234577544536</v>
      </c>
    </row>
    <row r="1108" spans="1:19" ht="15" customHeight="1" x14ac:dyDescent="0.3">
      <c r="A1108" s="22"/>
      <c r="B1108" s="23"/>
      <c r="C1108" s="2"/>
      <c r="D1108" s="23">
        <v>2020</v>
      </c>
      <c r="E1108" s="24">
        <f>Data!F1108</f>
        <v>2887037000000</v>
      </c>
      <c r="F1108" s="24">
        <f>Data!H1108</f>
        <v>1926735000000</v>
      </c>
      <c r="G1108" s="24">
        <f t="shared" si="136"/>
        <v>960302000000</v>
      </c>
      <c r="H1108" s="24">
        <f>Data!G1108</f>
        <v>44790941000000</v>
      </c>
      <c r="I1108" s="25">
        <f t="shared" si="137"/>
        <v>0.14064408961624628</v>
      </c>
      <c r="J1108" s="24">
        <f>Data!J1108</f>
        <v>4726123000000</v>
      </c>
      <c r="K1108" s="24">
        <f t="shared" si="138"/>
        <v>44790941000000</v>
      </c>
      <c r="L1108" s="25">
        <f t="shared" si="139"/>
        <v>0.3439793993164823</v>
      </c>
      <c r="M1108" s="24">
        <f>Data!M1108</f>
        <v>907615000000</v>
      </c>
      <c r="N1108" s="24">
        <f t="shared" si="140"/>
        <v>44790941000000</v>
      </c>
      <c r="O1108" s="25">
        <f t="shared" si="141"/>
        <v>0.13616978486788209</v>
      </c>
      <c r="P1108" s="24">
        <f>Data!K1108</f>
        <v>4995796000000</v>
      </c>
      <c r="Q1108" s="24">
        <f>Data!I1108</f>
        <v>39795144000000</v>
      </c>
      <c r="R1108" s="25">
        <f t="shared" si="142"/>
        <v>0.13181472091167706</v>
      </c>
      <c r="S1108" s="25">
        <f t="shared" si="143"/>
        <v>0.75260799471228768</v>
      </c>
    </row>
    <row r="1109" spans="1:19" ht="15" customHeight="1" x14ac:dyDescent="0.3">
      <c r="A1109" s="22"/>
      <c r="B1109" s="23"/>
      <c r="C1109" s="2"/>
      <c r="D1109" s="23">
        <v>2021</v>
      </c>
      <c r="E1109" s="24">
        <f>Data!F1109</f>
        <v>4664437000000</v>
      </c>
      <c r="F1109" s="24">
        <f>Data!H1109</f>
        <v>1881779000000</v>
      </c>
      <c r="G1109" s="24">
        <f t="shared" si="136"/>
        <v>2782658000000</v>
      </c>
      <c r="H1109" s="24">
        <f>Data!G1109</f>
        <v>47706642000000</v>
      </c>
      <c r="I1109" s="25">
        <f t="shared" si="137"/>
        <v>0.38263511567215314</v>
      </c>
      <c r="J1109" s="24">
        <f>Data!J1109</f>
        <v>4229733000000</v>
      </c>
      <c r="K1109" s="24">
        <f t="shared" si="138"/>
        <v>47706642000000</v>
      </c>
      <c r="L1109" s="25">
        <f t="shared" si="139"/>
        <v>0.28903584494586726</v>
      </c>
      <c r="M1109" s="24">
        <f>Data!M1109</f>
        <v>219706000000</v>
      </c>
      <c r="N1109" s="24">
        <f t="shared" si="140"/>
        <v>47706642000000</v>
      </c>
      <c r="O1109" s="25">
        <f t="shared" si="141"/>
        <v>3.0947982463322404E-2</v>
      </c>
      <c r="P1109" s="24">
        <f>Data!K1109</f>
        <v>4509286000000</v>
      </c>
      <c r="Q1109" s="24">
        <f>Data!I1109</f>
        <v>43197356000000</v>
      </c>
      <c r="R1109" s="25">
        <f t="shared" si="142"/>
        <v>0.10960740976832009</v>
      </c>
      <c r="S1109" s="25">
        <f t="shared" si="143"/>
        <v>0.81222635284966294</v>
      </c>
    </row>
    <row r="1110" spans="1:19" ht="15" customHeight="1" x14ac:dyDescent="0.3">
      <c r="A1110" s="22"/>
      <c r="B1110" s="23"/>
      <c r="C1110" s="2"/>
      <c r="D1110" s="23">
        <v>2022</v>
      </c>
      <c r="E1110" s="24">
        <f>Data!F1110</f>
        <v>5263058000000</v>
      </c>
      <c r="F1110" s="24">
        <f>Data!H1110</f>
        <v>2960094000000</v>
      </c>
      <c r="G1110" s="24">
        <f t="shared" si="136"/>
        <v>2302964000000</v>
      </c>
      <c r="H1110" s="24">
        <f>Data!G1110</f>
        <v>45035755000000</v>
      </c>
      <c r="I1110" s="25">
        <f t="shared" si="137"/>
        <v>0.33545443703563976</v>
      </c>
      <c r="J1110" s="24">
        <f>Data!J1110</f>
        <v>4576356000000</v>
      </c>
      <c r="K1110" s="24">
        <f t="shared" si="138"/>
        <v>45035755000000</v>
      </c>
      <c r="L1110" s="25">
        <f t="shared" si="139"/>
        <v>0.33126835688665596</v>
      </c>
      <c r="M1110" s="24">
        <f>Data!M1110</f>
        <v>529848000000</v>
      </c>
      <c r="N1110" s="24">
        <f t="shared" si="140"/>
        <v>45035755000000</v>
      </c>
      <c r="O1110" s="25">
        <f t="shared" si="141"/>
        <v>7.9061149524416771E-2</v>
      </c>
      <c r="P1110" s="24">
        <f>Data!K1110</f>
        <v>4888329000000</v>
      </c>
      <c r="Q1110" s="24">
        <f>Data!I1110</f>
        <v>40147435000000</v>
      </c>
      <c r="R1110" s="25">
        <f t="shared" si="142"/>
        <v>0.12784740668986699</v>
      </c>
      <c r="S1110" s="25">
        <f t="shared" si="143"/>
        <v>0.87363135013657955</v>
      </c>
    </row>
    <row r="1111" spans="1:19" ht="15" customHeight="1" x14ac:dyDescent="0.3">
      <c r="A1111" s="22"/>
      <c r="B1111" s="23"/>
      <c r="C1111" s="2"/>
      <c r="D1111" s="23">
        <v>2023</v>
      </c>
      <c r="E1111" s="24">
        <f>Data!F1111</f>
        <v>5268545000000</v>
      </c>
      <c r="F1111" s="24">
        <f>Data!H1111</f>
        <v>2554865000000</v>
      </c>
      <c r="G1111" s="24">
        <f t="shared" si="136"/>
        <v>2713680000000</v>
      </c>
      <c r="H1111" s="24">
        <f>Data!G1111</f>
        <v>40386010000000</v>
      </c>
      <c r="I1111" s="25">
        <f t="shared" si="137"/>
        <v>0.44078978834502341</v>
      </c>
      <c r="J1111" s="24">
        <f>Data!J1111</f>
        <v>5179528000000</v>
      </c>
      <c r="K1111" s="24">
        <f t="shared" si="138"/>
        <v>40386010000000</v>
      </c>
      <c r="L1111" s="25">
        <f t="shared" si="139"/>
        <v>0.41809679341930533</v>
      </c>
      <c r="M1111" s="24">
        <f>Data!M1111</f>
        <v>702670000000</v>
      </c>
      <c r="N1111" s="24">
        <f t="shared" si="140"/>
        <v>40386010000000</v>
      </c>
      <c r="O1111" s="25">
        <f t="shared" si="141"/>
        <v>0.11692025035402109</v>
      </c>
      <c r="P1111" s="24">
        <f>Data!K1111</f>
        <v>5530230000000</v>
      </c>
      <c r="Q1111" s="24">
        <f>Data!I1111</f>
        <v>34855780000000</v>
      </c>
      <c r="R1111" s="25">
        <f t="shared" si="142"/>
        <v>0.16659335983874124</v>
      </c>
      <c r="S1111" s="25">
        <f t="shared" si="143"/>
        <v>1.142400191957091</v>
      </c>
    </row>
    <row r="1112" spans="1:19" ht="15" customHeight="1" x14ac:dyDescent="0.3">
      <c r="A1112" s="22"/>
      <c r="B1112" s="23"/>
      <c r="C1112" s="2"/>
      <c r="D1112" s="23">
        <v>2024</v>
      </c>
      <c r="E1112" s="24">
        <f>Data!F1112</f>
        <v>4381146000000</v>
      </c>
      <c r="F1112" s="24">
        <f>Data!H1112</f>
        <v>2594531000000</v>
      </c>
      <c r="G1112" s="24">
        <f t="shared" si="136"/>
        <v>1786615000000</v>
      </c>
      <c r="H1112" s="24">
        <f>Data!G1112</f>
        <v>40268335000000</v>
      </c>
      <c r="I1112" s="25">
        <f t="shared" si="137"/>
        <v>0.29105237154702324</v>
      </c>
      <c r="J1112" s="24">
        <f>Data!J1112</f>
        <v>5796245000000</v>
      </c>
      <c r="K1112" s="24">
        <f t="shared" si="138"/>
        <v>40268335000000</v>
      </c>
      <c r="L1112" s="25">
        <f t="shared" si="139"/>
        <v>0.46924608876925256</v>
      </c>
      <c r="M1112" s="24">
        <f>Data!M1112</f>
        <v>773486000000</v>
      </c>
      <c r="N1112" s="24">
        <f t="shared" si="140"/>
        <v>40268335000000</v>
      </c>
      <c r="O1112" s="25">
        <f t="shared" si="141"/>
        <v>0.12907973274782777</v>
      </c>
      <c r="P1112" s="24">
        <f>Data!K1112</f>
        <v>6101724000000</v>
      </c>
      <c r="Q1112" s="24">
        <f>Data!I1112</f>
        <v>34166611000000</v>
      </c>
      <c r="R1112" s="25">
        <f t="shared" si="142"/>
        <v>0.18751670161257727</v>
      </c>
      <c r="S1112" s="25">
        <f t="shared" si="143"/>
        <v>1.076894894676681</v>
      </c>
    </row>
    <row r="1113" spans="1:19" ht="15" customHeight="1" x14ac:dyDescent="0.3">
      <c r="A1113" s="22"/>
      <c r="B1113" s="23">
        <v>102</v>
      </c>
      <c r="C1113" s="1" t="s">
        <v>134</v>
      </c>
      <c r="D1113" s="23">
        <v>2014</v>
      </c>
      <c r="E1113" s="24">
        <f>Data!F1113</f>
        <v>0</v>
      </c>
      <c r="F1113" s="24">
        <f>Data!H1113</f>
        <v>0</v>
      </c>
      <c r="G1113" s="24">
        <f t="shared" si="136"/>
        <v>0</v>
      </c>
      <c r="H1113" s="24">
        <f>Data!G1113</f>
        <v>0</v>
      </c>
      <c r="I1113" s="25">
        <f t="shared" si="137"/>
        <v>0</v>
      </c>
      <c r="J1113" s="24">
        <f>Data!J1113</f>
        <v>0</v>
      </c>
      <c r="K1113" s="24">
        <f t="shared" si="138"/>
        <v>0</v>
      </c>
      <c r="L1113" s="25">
        <f t="shared" si="139"/>
        <v>0</v>
      </c>
      <c r="M1113" s="24">
        <f>Data!M1113</f>
        <v>0</v>
      </c>
      <c r="N1113" s="24">
        <f t="shared" si="140"/>
        <v>0</v>
      </c>
      <c r="O1113" s="25">
        <f t="shared" si="141"/>
        <v>0</v>
      </c>
      <c r="P1113" s="24">
        <f>Data!K1113</f>
        <v>0</v>
      </c>
      <c r="Q1113" s="24">
        <f>Data!I1113</f>
        <v>0</v>
      </c>
      <c r="R1113" s="25">
        <f t="shared" si="142"/>
        <v>0</v>
      </c>
      <c r="S1113" s="25">
        <f t="shared" si="143"/>
        <v>0</v>
      </c>
    </row>
    <row r="1114" spans="1:19" ht="15" customHeight="1" x14ac:dyDescent="0.3">
      <c r="A1114" s="22"/>
      <c r="B1114" s="23"/>
      <c r="C1114" s="1"/>
      <c r="D1114" s="23">
        <v>2015</v>
      </c>
      <c r="E1114" s="24">
        <f>Data!F1114</f>
        <v>12932000000</v>
      </c>
      <c r="F1114" s="24">
        <f>Data!H1114</f>
        <v>1340000000</v>
      </c>
      <c r="G1114" s="24">
        <f t="shared" si="136"/>
        <v>11592000000</v>
      </c>
      <c r="H1114" s="24">
        <f>Data!G1114</f>
        <v>61417000000</v>
      </c>
      <c r="I1114" s="25">
        <f t="shared" si="137"/>
        <v>1.2381510005373104</v>
      </c>
      <c r="J1114" s="24">
        <f>Data!J1114</f>
        <v>48992000000</v>
      </c>
      <c r="K1114" s="24">
        <f t="shared" si="138"/>
        <v>61417000000</v>
      </c>
      <c r="L1114" s="25">
        <f t="shared" si="139"/>
        <v>2.6004839051077062</v>
      </c>
      <c r="M1114" s="24">
        <f>Data!M1114</f>
        <v>545000000</v>
      </c>
      <c r="N1114" s="24">
        <f t="shared" si="140"/>
        <v>61417000000</v>
      </c>
      <c r="O1114" s="25">
        <f t="shared" si="141"/>
        <v>5.9631698064053926E-2</v>
      </c>
      <c r="P1114" s="24">
        <f>Data!K1114</f>
        <v>56992000000</v>
      </c>
      <c r="Q1114" s="24">
        <f>Data!I1114</f>
        <v>4196000000</v>
      </c>
      <c r="R1114" s="25">
        <f t="shared" si="142"/>
        <v>14.261582459485224</v>
      </c>
      <c r="S1114" s="25">
        <f t="shared" si="143"/>
        <v>18.159849063194294</v>
      </c>
    </row>
    <row r="1115" spans="1:19" ht="15" customHeight="1" x14ac:dyDescent="0.3">
      <c r="A1115" s="22"/>
      <c r="B1115" s="23"/>
      <c r="C1115" s="1"/>
      <c r="D1115" s="23">
        <v>2016</v>
      </c>
      <c r="E1115" s="24">
        <f>Data!F1115</f>
        <v>11275000000</v>
      </c>
      <c r="F1115" s="24">
        <f>Data!H1115</f>
        <v>1181000000</v>
      </c>
      <c r="G1115" s="24">
        <f t="shared" si="136"/>
        <v>10094000000</v>
      </c>
      <c r="H1115" s="24">
        <f>Data!G1115</f>
        <v>65069000000</v>
      </c>
      <c r="I1115" s="25">
        <f t="shared" si="137"/>
        <v>1.0176372773517344</v>
      </c>
      <c r="J1115" s="24">
        <f>Data!J1115</f>
        <v>49274000000</v>
      </c>
      <c r="K1115" s="24">
        <f t="shared" si="138"/>
        <v>65069000000</v>
      </c>
      <c r="L1115" s="25">
        <f t="shared" si="139"/>
        <v>2.4686600378060213</v>
      </c>
      <c r="M1115" s="24">
        <f>Data!M1115</f>
        <v>577000000</v>
      </c>
      <c r="N1115" s="24">
        <f t="shared" si="140"/>
        <v>65069000000</v>
      </c>
      <c r="O1115" s="25">
        <f t="shared" si="141"/>
        <v>5.9589666354177867E-2</v>
      </c>
      <c r="P1115" s="24">
        <f>Data!K1115</f>
        <v>58299000000</v>
      </c>
      <c r="Q1115" s="24">
        <f>Data!I1115</f>
        <v>5077000000</v>
      </c>
      <c r="R1115" s="25">
        <f t="shared" si="142"/>
        <v>12.057110498325782</v>
      </c>
      <c r="S1115" s="25">
        <f t="shared" si="143"/>
        <v>15.602997479837715</v>
      </c>
    </row>
    <row r="1116" spans="1:19" ht="15" customHeight="1" x14ac:dyDescent="0.3">
      <c r="A1116" s="22"/>
      <c r="B1116" s="23"/>
      <c r="C1116" s="1"/>
      <c r="D1116" s="23">
        <v>2017</v>
      </c>
      <c r="E1116" s="24">
        <f>Data!F1116</f>
        <v>13601000000</v>
      </c>
      <c r="F1116" s="24">
        <f>Data!H1116</f>
        <v>111000000</v>
      </c>
      <c r="G1116" s="24">
        <f t="shared" si="136"/>
        <v>13490000000</v>
      </c>
      <c r="H1116" s="24">
        <f>Data!G1116</f>
        <v>66934000000</v>
      </c>
      <c r="I1116" s="25">
        <f t="shared" si="137"/>
        <v>1.3221143215705022</v>
      </c>
      <c r="J1116" s="24">
        <f>Data!J1116</f>
        <v>48621000000</v>
      </c>
      <c r="K1116" s="24">
        <f t="shared" si="138"/>
        <v>66934000000</v>
      </c>
      <c r="L1116" s="25">
        <f t="shared" si="139"/>
        <v>2.3680709355484506</v>
      </c>
      <c r="M1116" s="24">
        <f>Data!M1116</f>
        <v>190000000</v>
      </c>
      <c r="N1116" s="24">
        <f t="shared" si="140"/>
        <v>66934000000</v>
      </c>
      <c r="O1116" s="25">
        <f t="shared" si="141"/>
        <v>1.9075507216063586E-2</v>
      </c>
      <c r="P1116" s="24">
        <f>Data!K1116</f>
        <v>57678000000</v>
      </c>
      <c r="Q1116" s="24">
        <f>Data!I1116</f>
        <v>6240000000</v>
      </c>
      <c r="R1116" s="25">
        <f t="shared" si="142"/>
        <v>9.7054326923076921</v>
      </c>
      <c r="S1116" s="25">
        <f t="shared" si="143"/>
        <v>13.414693456642709</v>
      </c>
    </row>
    <row r="1117" spans="1:19" ht="15" customHeight="1" x14ac:dyDescent="0.3">
      <c r="A1117" s="22"/>
      <c r="B1117" s="23"/>
      <c r="C1117" s="1"/>
      <c r="D1117" s="23">
        <v>2018</v>
      </c>
      <c r="E1117" s="24">
        <f>Data!F1117</f>
        <v>13334000000</v>
      </c>
      <c r="F1117" s="24">
        <f>Data!H1117</f>
        <v>1641000000</v>
      </c>
      <c r="G1117" s="24">
        <f t="shared" si="136"/>
        <v>11693000000</v>
      </c>
      <c r="H1117" s="24">
        <f>Data!G1117</f>
        <v>79330000000</v>
      </c>
      <c r="I1117" s="25">
        <f t="shared" si="137"/>
        <v>0.96692398840287397</v>
      </c>
      <c r="J1117" s="24">
        <f>Data!J1117</f>
        <v>58509000000</v>
      </c>
      <c r="K1117" s="24">
        <f t="shared" si="138"/>
        <v>79330000000</v>
      </c>
      <c r="L1117" s="25">
        <f t="shared" si="139"/>
        <v>2.4043784192613131</v>
      </c>
      <c r="M1117" s="24">
        <f>Data!M1117</f>
        <v>-40000000</v>
      </c>
      <c r="N1117" s="24">
        <f t="shared" si="140"/>
        <v>79330000000</v>
      </c>
      <c r="O1117" s="25">
        <f t="shared" si="141"/>
        <v>-3.3883776629270133E-3</v>
      </c>
      <c r="P1117" s="24">
        <f>Data!K1117</f>
        <v>67777000000</v>
      </c>
      <c r="Q1117" s="24">
        <f>Data!I1117</f>
        <v>6603000000</v>
      </c>
      <c r="R1117" s="25">
        <f t="shared" si="142"/>
        <v>10.777805542935029</v>
      </c>
      <c r="S1117" s="25">
        <f t="shared" si="143"/>
        <v>14.14571957293629</v>
      </c>
    </row>
    <row r="1118" spans="1:19" ht="15" customHeight="1" x14ac:dyDescent="0.3">
      <c r="A1118" s="22"/>
      <c r="B1118" s="23"/>
      <c r="C1118" s="1"/>
      <c r="D1118" s="23">
        <v>2019</v>
      </c>
      <c r="E1118" s="24">
        <f>Data!F1118</f>
        <v>12622000000</v>
      </c>
      <c r="F1118" s="24">
        <f>Data!H1118</f>
        <v>274000000</v>
      </c>
      <c r="G1118" s="24">
        <f t="shared" si="136"/>
        <v>12348000000</v>
      </c>
      <c r="H1118" s="24">
        <f>Data!G1118</f>
        <v>78593000000</v>
      </c>
      <c r="I1118" s="25">
        <f t="shared" si="137"/>
        <v>1.0306627816726681</v>
      </c>
      <c r="J1118" s="24">
        <f>Data!J1118</f>
        <v>57720000000</v>
      </c>
      <c r="K1118" s="24">
        <f t="shared" si="138"/>
        <v>78593000000</v>
      </c>
      <c r="L1118" s="25">
        <f t="shared" si="139"/>
        <v>2.3941979565610167</v>
      </c>
      <c r="M1118" s="24">
        <f>Data!M1118</f>
        <v>-2267000000</v>
      </c>
      <c r="N1118" s="24">
        <f t="shared" si="140"/>
        <v>78593000000</v>
      </c>
      <c r="O1118" s="25">
        <f t="shared" si="141"/>
        <v>-0.19383711017520644</v>
      </c>
      <c r="P1118" s="24">
        <f>Data!K1118</f>
        <v>66617000000</v>
      </c>
      <c r="Q1118" s="24">
        <f>Data!I1118</f>
        <v>6214000000</v>
      </c>
      <c r="R1118" s="25">
        <f t="shared" si="142"/>
        <v>11.256493401995494</v>
      </c>
      <c r="S1118" s="25">
        <f t="shared" si="143"/>
        <v>14.487517030053972</v>
      </c>
    </row>
    <row r="1119" spans="1:19" ht="15" customHeight="1" x14ac:dyDescent="0.3">
      <c r="A1119" s="22"/>
      <c r="B1119" s="23"/>
      <c r="C1119" s="1"/>
      <c r="D1119" s="23">
        <v>2020</v>
      </c>
      <c r="E1119" s="24">
        <f>Data!F1119</f>
        <v>6984000000</v>
      </c>
      <c r="F1119" s="24">
        <f>Data!H1119</f>
        <v>700000000</v>
      </c>
      <c r="G1119" s="24">
        <f t="shared" si="136"/>
        <v>6284000000</v>
      </c>
      <c r="H1119" s="24">
        <f>Data!G1119</f>
        <v>74531000000</v>
      </c>
      <c r="I1119" s="25">
        <f t="shared" si="137"/>
        <v>0.55309924729307269</v>
      </c>
      <c r="J1119" s="24">
        <f>Data!J1119</f>
        <v>51286000000</v>
      </c>
      <c r="K1119" s="24">
        <f t="shared" si="138"/>
        <v>74531000000</v>
      </c>
      <c r="L1119" s="25">
        <f t="shared" si="139"/>
        <v>2.243259314915941</v>
      </c>
      <c r="M1119" s="24">
        <f>Data!M1119</f>
        <v>-6421000000</v>
      </c>
      <c r="N1119" s="24">
        <f t="shared" si="140"/>
        <v>74531000000</v>
      </c>
      <c r="O1119" s="25">
        <f t="shared" si="141"/>
        <v>-0.57894191678630369</v>
      </c>
      <c r="P1119" s="24">
        <f>Data!K1119</f>
        <v>69482000000</v>
      </c>
      <c r="Q1119" s="24">
        <f>Data!I1119</f>
        <v>7306000000</v>
      </c>
      <c r="R1119" s="25">
        <f t="shared" si="142"/>
        <v>9.9857788119353952</v>
      </c>
      <c r="S1119" s="25">
        <f t="shared" si="143"/>
        <v>12.203195457358106</v>
      </c>
    </row>
    <row r="1120" spans="1:19" ht="15" customHeight="1" x14ac:dyDescent="0.3">
      <c r="A1120" s="22"/>
      <c r="B1120" s="23"/>
      <c r="C1120" s="1"/>
      <c r="D1120" s="23">
        <v>2021</v>
      </c>
      <c r="E1120" s="24">
        <f>Data!F1120</f>
        <v>8399000000</v>
      </c>
      <c r="F1120" s="24">
        <f>Data!H1120</f>
        <v>993000000</v>
      </c>
      <c r="G1120" s="24">
        <f t="shared" si="136"/>
        <v>7406000000</v>
      </c>
      <c r="H1120" s="24">
        <f>Data!G1120</f>
        <v>74654000000</v>
      </c>
      <c r="I1120" s="25">
        <f t="shared" si="137"/>
        <v>0.65078040024647033</v>
      </c>
      <c r="J1120" s="24">
        <f>Data!J1120</f>
        <v>50216000000</v>
      </c>
      <c r="K1120" s="24">
        <f t="shared" si="138"/>
        <v>74654000000</v>
      </c>
      <c r="L1120" s="25">
        <f t="shared" si="139"/>
        <v>2.1928384279475983</v>
      </c>
      <c r="M1120" s="24">
        <f>Data!M1120</f>
        <v>-1024000000</v>
      </c>
      <c r="N1120" s="24">
        <f t="shared" si="140"/>
        <v>74654000000</v>
      </c>
      <c r="O1120" s="25">
        <f t="shared" si="141"/>
        <v>-9.2175636938409189E-2</v>
      </c>
      <c r="P1120" s="24">
        <f>Data!K1120</f>
        <v>59162000000</v>
      </c>
      <c r="Q1120" s="24">
        <f>Data!I1120</f>
        <v>7599000000</v>
      </c>
      <c r="R1120" s="25">
        <f t="shared" si="142"/>
        <v>8.1747729964469009</v>
      </c>
      <c r="S1120" s="25">
        <f t="shared" si="143"/>
        <v>10.926216187702561</v>
      </c>
    </row>
    <row r="1121" spans="1:19" ht="15" customHeight="1" x14ac:dyDescent="0.3">
      <c r="A1121" s="22"/>
      <c r="B1121" s="23"/>
      <c r="C1121" s="1"/>
      <c r="D1121" s="23">
        <v>2022</v>
      </c>
      <c r="E1121" s="24">
        <f>Data!F1121</f>
        <v>6022000000</v>
      </c>
      <c r="F1121" s="24">
        <f>Data!H1121</f>
        <v>555000000</v>
      </c>
      <c r="G1121" s="24">
        <f t="shared" si="136"/>
        <v>5467000000</v>
      </c>
      <c r="H1121" s="24">
        <f>Data!G1121</f>
        <v>73360000000</v>
      </c>
      <c r="I1121" s="25">
        <f t="shared" si="137"/>
        <v>0.48887022900763361</v>
      </c>
      <c r="J1121" s="24">
        <f>Data!J1121</f>
        <v>36600000000</v>
      </c>
      <c r="K1121" s="24">
        <f t="shared" si="138"/>
        <v>73360000000</v>
      </c>
      <c r="L1121" s="25">
        <f t="shared" si="139"/>
        <v>1.6264449291166847</v>
      </c>
      <c r="M1121" s="24">
        <f>Data!M1121</f>
        <v>-1407000000</v>
      </c>
      <c r="N1121" s="24">
        <f t="shared" si="140"/>
        <v>73360000000</v>
      </c>
      <c r="O1121" s="25">
        <f t="shared" si="141"/>
        <v>-0.12888549618320611</v>
      </c>
      <c r="P1121" s="24">
        <f>Data!K1121</f>
        <v>65363000000</v>
      </c>
      <c r="Q1121" s="24">
        <f>Data!I1121</f>
        <v>6866000000</v>
      </c>
      <c r="R1121" s="25">
        <f t="shared" si="142"/>
        <v>9.9957981357413352</v>
      </c>
      <c r="S1121" s="25">
        <f t="shared" si="143"/>
        <v>11.982227797682448</v>
      </c>
    </row>
    <row r="1122" spans="1:19" ht="15" customHeight="1" x14ac:dyDescent="0.3">
      <c r="A1122" s="22"/>
      <c r="B1122" s="23"/>
      <c r="C1122" s="1"/>
      <c r="D1122" s="23">
        <v>2023</v>
      </c>
      <c r="E1122" s="24">
        <f>Data!F1122</f>
        <v>4959000000</v>
      </c>
      <c r="F1122" s="24">
        <f>Data!H1122</f>
        <v>736000000</v>
      </c>
      <c r="G1122" s="24">
        <f t="shared" si="136"/>
        <v>4223000000</v>
      </c>
      <c r="H1122" s="24">
        <f>Data!G1122</f>
        <v>74204000000</v>
      </c>
      <c r="I1122" s="25">
        <f t="shared" si="137"/>
        <v>0.37333405207266451</v>
      </c>
      <c r="J1122" s="24">
        <f>Data!J1122</f>
        <v>35108000000</v>
      </c>
      <c r="K1122" s="24">
        <f t="shared" si="138"/>
        <v>74204000000</v>
      </c>
      <c r="L1122" s="25">
        <f t="shared" si="139"/>
        <v>1.5423977144089267</v>
      </c>
      <c r="M1122" s="24">
        <f>Data!M1122</f>
        <v>-1932000000</v>
      </c>
      <c r="N1122" s="24">
        <f t="shared" si="140"/>
        <v>74204000000</v>
      </c>
      <c r="O1122" s="25">
        <f t="shared" si="141"/>
        <v>-0.17496415287585576</v>
      </c>
      <c r="P1122" s="24">
        <f>Data!K1122</f>
        <v>54638000000</v>
      </c>
      <c r="Q1122" s="24">
        <f>Data!I1122</f>
        <v>8163000000</v>
      </c>
      <c r="R1122" s="25">
        <f t="shared" si="142"/>
        <v>7.0280411613377431</v>
      </c>
      <c r="S1122" s="25">
        <f t="shared" si="143"/>
        <v>8.7688087749434782</v>
      </c>
    </row>
    <row r="1123" spans="1:19" ht="15" customHeight="1" x14ac:dyDescent="0.3">
      <c r="A1123" s="22"/>
      <c r="B1123" s="23"/>
      <c r="C1123" s="1"/>
      <c r="D1123" s="23">
        <v>2024</v>
      </c>
      <c r="E1123" s="24">
        <f>Data!F1123</f>
        <v>5822000000</v>
      </c>
      <c r="F1123" s="24">
        <f>Data!H1123</f>
        <v>123000000</v>
      </c>
      <c r="G1123" s="24">
        <f t="shared" si="136"/>
        <v>5699000000</v>
      </c>
      <c r="H1123" s="24">
        <f>Data!G1123</f>
        <v>67569000000</v>
      </c>
      <c r="I1123" s="25">
        <f t="shared" si="137"/>
        <v>0.55329278219301747</v>
      </c>
      <c r="J1123" s="24">
        <f>Data!J1123</f>
        <v>33255000000</v>
      </c>
      <c r="K1123" s="24">
        <f t="shared" si="138"/>
        <v>67569000000</v>
      </c>
      <c r="L1123" s="25">
        <f t="shared" si="139"/>
        <v>1.6044532255916173</v>
      </c>
      <c r="M1123" s="24">
        <f>Data!M1123</f>
        <v>-2855000000</v>
      </c>
      <c r="N1123" s="24">
        <f t="shared" si="140"/>
        <v>67569000000</v>
      </c>
      <c r="O1123" s="25">
        <f t="shared" si="141"/>
        <v>-0.28394086045375838</v>
      </c>
      <c r="P1123" s="24">
        <f>Data!K1123</f>
        <v>52401000000</v>
      </c>
      <c r="Q1123" s="24">
        <f>Data!I1123</f>
        <v>2673000000</v>
      </c>
      <c r="R1123" s="25">
        <f t="shared" si="142"/>
        <v>20.584006734006735</v>
      </c>
      <c r="S1123" s="25">
        <f t="shared" si="143"/>
        <v>22.457811881337612</v>
      </c>
    </row>
    <row r="1124" spans="1:19" ht="15" customHeight="1" x14ac:dyDescent="0.3">
      <c r="A1124" s="22"/>
      <c r="B1124" s="23">
        <v>103</v>
      </c>
      <c r="C1124" s="2" t="s">
        <v>122</v>
      </c>
      <c r="D1124" s="23">
        <v>2014</v>
      </c>
      <c r="E1124" s="24">
        <f>Data!F1124</f>
        <v>0</v>
      </c>
      <c r="F1124" s="24">
        <f>Data!H1124</f>
        <v>0</v>
      </c>
      <c r="G1124" s="24">
        <f t="shared" si="136"/>
        <v>0</v>
      </c>
      <c r="H1124" s="24">
        <f>Data!G1124</f>
        <v>0</v>
      </c>
      <c r="I1124" s="25">
        <f t="shared" si="137"/>
        <v>0</v>
      </c>
      <c r="J1124" s="24">
        <f>Data!J1124</f>
        <v>0</v>
      </c>
      <c r="K1124" s="24">
        <f t="shared" si="138"/>
        <v>0</v>
      </c>
      <c r="L1124" s="25">
        <f t="shared" si="139"/>
        <v>0</v>
      </c>
      <c r="M1124" s="24">
        <f>Data!M1124</f>
        <v>0</v>
      </c>
      <c r="N1124" s="24">
        <f t="shared" si="140"/>
        <v>0</v>
      </c>
      <c r="O1124" s="25">
        <f t="shared" si="141"/>
        <v>0</v>
      </c>
      <c r="P1124" s="24">
        <f>Data!K1124</f>
        <v>0</v>
      </c>
      <c r="Q1124" s="24">
        <f>Data!I1124</f>
        <v>0</v>
      </c>
      <c r="R1124" s="25">
        <f t="shared" si="142"/>
        <v>0</v>
      </c>
      <c r="S1124" s="25">
        <f t="shared" si="143"/>
        <v>0</v>
      </c>
    </row>
    <row r="1125" spans="1:19" ht="15" customHeight="1" x14ac:dyDescent="0.3">
      <c r="A1125" s="22"/>
      <c r="B1125" s="23"/>
      <c r="C1125" s="2"/>
      <c r="D1125" s="23">
        <v>2015</v>
      </c>
      <c r="E1125" s="24">
        <f>Data!F1125</f>
        <v>141707000000</v>
      </c>
      <c r="F1125" s="24">
        <f>Data!H1125</f>
        <v>39911000000</v>
      </c>
      <c r="G1125" s="24">
        <f t="shared" si="136"/>
        <v>101796000000</v>
      </c>
      <c r="H1125" s="24">
        <f>Data!G1125</f>
        <v>261120000000</v>
      </c>
      <c r="I1125" s="25">
        <f t="shared" si="137"/>
        <v>2.557375</v>
      </c>
      <c r="J1125" s="24">
        <f>Data!J1125</f>
        <v>29774000000</v>
      </c>
      <c r="K1125" s="24">
        <f t="shared" si="138"/>
        <v>261120000000</v>
      </c>
      <c r="L1125" s="25">
        <f t="shared" si="139"/>
        <v>0.37171890318627449</v>
      </c>
      <c r="M1125" s="24">
        <f>Data!M1125</f>
        <v>2354000000</v>
      </c>
      <c r="N1125" s="24">
        <f t="shared" si="140"/>
        <v>261120000000</v>
      </c>
      <c r="O1125" s="25">
        <f t="shared" si="141"/>
        <v>6.0580882352941172E-2</v>
      </c>
      <c r="P1125" s="24">
        <f>Data!K1125</f>
        <v>116417000000</v>
      </c>
      <c r="Q1125" s="24">
        <f>Data!I1125</f>
        <v>138772000000</v>
      </c>
      <c r="R1125" s="25">
        <f t="shared" si="142"/>
        <v>0.88085384659729637</v>
      </c>
      <c r="S1125" s="25">
        <f t="shared" si="143"/>
        <v>3.8705286321365122</v>
      </c>
    </row>
    <row r="1126" spans="1:19" ht="15" customHeight="1" x14ac:dyDescent="0.3">
      <c r="A1126" s="22"/>
      <c r="B1126" s="23"/>
      <c r="C1126" s="2"/>
      <c r="D1126" s="23">
        <v>2016</v>
      </c>
      <c r="E1126" s="24">
        <f>Data!F1126</f>
        <v>72988000000</v>
      </c>
      <c r="F1126" s="24">
        <f>Data!H1126</f>
        <v>19425000000</v>
      </c>
      <c r="G1126" s="24">
        <f t="shared" si="136"/>
        <v>53563000000</v>
      </c>
      <c r="H1126" s="24">
        <f>Data!G1126</f>
        <v>204210000000</v>
      </c>
      <c r="I1126" s="25">
        <f t="shared" si="137"/>
        <v>1.7206467851721265</v>
      </c>
      <c r="J1126" s="24">
        <f>Data!J1126</f>
        <v>34014000000</v>
      </c>
      <c r="K1126" s="24">
        <f t="shared" si="138"/>
        <v>204210000000</v>
      </c>
      <c r="L1126" s="25">
        <f t="shared" si="139"/>
        <v>0.54299809020126333</v>
      </c>
      <c r="M1126" s="24">
        <f>Data!M1126</f>
        <v>4174000000</v>
      </c>
      <c r="N1126" s="24">
        <f t="shared" si="140"/>
        <v>204210000000</v>
      </c>
      <c r="O1126" s="25">
        <f t="shared" si="141"/>
        <v>0.13735507565741148</v>
      </c>
      <c r="P1126" s="24">
        <f>Data!K1126</f>
        <v>128700000000</v>
      </c>
      <c r="Q1126" s="24">
        <f>Data!I1126</f>
        <v>67978000000</v>
      </c>
      <c r="R1126" s="25">
        <f t="shared" si="142"/>
        <v>1.9879225631822059</v>
      </c>
      <c r="S1126" s="25">
        <f t="shared" si="143"/>
        <v>4.3889225142130073</v>
      </c>
    </row>
    <row r="1127" spans="1:19" ht="15" customHeight="1" x14ac:dyDescent="0.3">
      <c r="A1127" s="22"/>
      <c r="B1127" s="23"/>
      <c r="C1127" s="2"/>
      <c r="D1127" s="23">
        <v>2017</v>
      </c>
      <c r="E1127" s="24">
        <f>Data!F1127</f>
        <v>81330000000</v>
      </c>
      <c r="F1127" s="24">
        <f>Data!H1127</f>
        <v>20016000000</v>
      </c>
      <c r="G1127" s="24">
        <f t="shared" si="136"/>
        <v>61314000000</v>
      </c>
      <c r="H1127" s="24">
        <f>Data!G1127</f>
        <v>213492000000</v>
      </c>
      <c r="I1127" s="25">
        <f t="shared" si="137"/>
        <v>1.8840042718228316</v>
      </c>
      <c r="J1127" s="24">
        <f>Data!J1127</f>
        <v>39064000000</v>
      </c>
      <c r="K1127" s="24">
        <f t="shared" si="138"/>
        <v>213492000000</v>
      </c>
      <c r="L1127" s="25">
        <f t="shared" si="139"/>
        <v>0.59650310081876601</v>
      </c>
      <c r="M1127" s="24">
        <f>Data!M1127</f>
        <v>5262000000</v>
      </c>
      <c r="N1127" s="24">
        <f t="shared" si="140"/>
        <v>213492000000</v>
      </c>
      <c r="O1127" s="25">
        <f t="shared" si="141"/>
        <v>0.16562981282671013</v>
      </c>
      <c r="P1127" s="24">
        <f>Data!K1127</f>
        <v>133380000000</v>
      </c>
      <c r="Q1127" s="24">
        <f>Data!I1127</f>
        <v>70561000000</v>
      </c>
      <c r="R1127" s="25">
        <f t="shared" si="142"/>
        <v>1.9847932994146908</v>
      </c>
      <c r="S1127" s="25">
        <f t="shared" si="143"/>
        <v>4.6309304848829989</v>
      </c>
    </row>
    <row r="1128" spans="1:19" ht="15" customHeight="1" x14ac:dyDescent="0.3">
      <c r="A1128" s="22"/>
      <c r="B1128" s="23"/>
      <c r="C1128" s="2"/>
      <c r="D1128" s="23">
        <v>2018</v>
      </c>
      <c r="E1128" s="24">
        <f>Data!F1128</f>
        <v>99449000000</v>
      </c>
      <c r="F1128" s="24">
        <f>Data!H1128</f>
        <v>17068000000</v>
      </c>
      <c r="G1128" s="24">
        <f t="shared" si="136"/>
        <v>82381000000</v>
      </c>
      <c r="H1128" s="24">
        <f>Data!G1128</f>
        <v>227819000000</v>
      </c>
      <c r="I1128" s="25">
        <f t="shared" si="137"/>
        <v>2.3721434998836797</v>
      </c>
      <c r="J1128" s="24">
        <f>Data!J1128</f>
        <v>41953000000</v>
      </c>
      <c r="K1128" s="24">
        <f t="shared" si="138"/>
        <v>227819000000</v>
      </c>
      <c r="L1128" s="25">
        <f t="shared" si="139"/>
        <v>0.60033087670475238</v>
      </c>
      <c r="M1128" s="24">
        <f>Data!M1128</f>
        <v>3391000000</v>
      </c>
      <c r="N1128" s="24">
        <f t="shared" si="140"/>
        <v>227819000000</v>
      </c>
      <c r="O1128" s="25">
        <f t="shared" si="141"/>
        <v>0.10002466870629755</v>
      </c>
      <c r="P1128" s="24">
        <f>Data!K1128</f>
        <v>137939000000</v>
      </c>
      <c r="Q1128" s="24">
        <f>Data!I1128</f>
        <v>78253000000</v>
      </c>
      <c r="R1128" s="25">
        <f t="shared" si="142"/>
        <v>1.8508676983630021</v>
      </c>
      <c r="S1128" s="25">
        <f t="shared" si="143"/>
        <v>4.9233667436577315</v>
      </c>
    </row>
    <row r="1129" spans="1:19" ht="15" customHeight="1" x14ac:dyDescent="0.3">
      <c r="A1129" s="22"/>
      <c r="B1129" s="23"/>
      <c r="C1129" s="2"/>
      <c r="D1129" s="23">
        <v>2019</v>
      </c>
      <c r="E1129" s="24">
        <f>Data!F1129</f>
        <v>102549000000</v>
      </c>
      <c r="F1129" s="24">
        <f>Data!H1129</f>
        <v>18415000000</v>
      </c>
      <c r="G1129" s="24">
        <f t="shared" si="136"/>
        <v>84134000000</v>
      </c>
      <c r="H1129" s="24">
        <f>Data!G1129</f>
        <v>238823000000</v>
      </c>
      <c r="I1129" s="25">
        <f t="shared" si="137"/>
        <v>2.3109961770851215</v>
      </c>
      <c r="J1129" s="24">
        <f>Data!J1129</f>
        <v>47355000000</v>
      </c>
      <c r="K1129" s="24">
        <f t="shared" si="138"/>
        <v>238823000000</v>
      </c>
      <c r="L1129" s="25">
        <f t="shared" si="139"/>
        <v>0.64640884671911825</v>
      </c>
      <c r="M1129" s="24">
        <f>Data!M1129</f>
        <v>5920000000</v>
      </c>
      <c r="N1129" s="24">
        <f t="shared" si="140"/>
        <v>238823000000</v>
      </c>
      <c r="O1129" s="25">
        <f t="shared" si="141"/>
        <v>0.16657692098332239</v>
      </c>
      <c r="P1129" s="24">
        <f>Data!K1129</f>
        <v>114421000000</v>
      </c>
      <c r="Q1129" s="24">
        <f>Data!I1129</f>
        <v>80937000000</v>
      </c>
      <c r="R1129" s="25">
        <f t="shared" si="142"/>
        <v>1.4843897105155861</v>
      </c>
      <c r="S1129" s="25">
        <f t="shared" si="143"/>
        <v>4.6083716553031486</v>
      </c>
    </row>
    <row r="1130" spans="1:19" ht="15" customHeight="1" x14ac:dyDescent="0.3">
      <c r="A1130" s="22"/>
      <c r="B1130" s="23"/>
      <c r="C1130" s="2"/>
      <c r="D1130" s="23">
        <v>2020</v>
      </c>
      <c r="E1130" s="24">
        <f>Data!F1130</f>
        <v>153037000000</v>
      </c>
      <c r="F1130" s="24">
        <f>Data!H1130</f>
        <v>34058000000</v>
      </c>
      <c r="G1130" s="24">
        <f t="shared" si="136"/>
        <v>118979000000</v>
      </c>
      <c r="H1130" s="24">
        <f>Data!G1130</f>
        <v>298910000000</v>
      </c>
      <c r="I1130" s="25">
        <f t="shared" si="137"/>
        <v>2.6111613529155933</v>
      </c>
      <c r="J1130" s="24">
        <f>Data!J1130</f>
        <v>69606000000</v>
      </c>
      <c r="K1130" s="24">
        <f t="shared" si="138"/>
        <v>298910000000</v>
      </c>
      <c r="L1130" s="25">
        <f t="shared" si="139"/>
        <v>0.75914342109665112</v>
      </c>
      <c r="M1130" s="24">
        <f>Data!M1130</f>
        <v>21858000000</v>
      </c>
      <c r="N1130" s="24">
        <f t="shared" si="140"/>
        <v>298910000000</v>
      </c>
      <c r="O1130" s="25">
        <f t="shared" si="141"/>
        <v>0.49140463684721153</v>
      </c>
      <c r="P1130" s="24">
        <f>Data!K1130</f>
        <v>179001000000</v>
      </c>
      <c r="Q1130" s="24">
        <f>Data!I1130</f>
        <v>119908000000</v>
      </c>
      <c r="R1130" s="25">
        <f t="shared" si="142"/>
        <v>1.5674604696934316</v>
      </c>
      <c r="S1130" s="25">
        <f t="shared" si="143"/>
        <v>5.4291698805528874</v>
      </c>
    </row>
    <row r="1131" spans="1:19" ht="15" customHeight="1" x14ac:dyDescent="0.3">
      <c r="A1131" s="22"/>
      <c r="B1131" s="23"/>
      <c r="C1131" s="2"/>
      <c r="D1131" s="23">
        <v>2021</v>
      </c>
      <c r="E1131" s="24">
        <f>Data!F1131</f>
        <v>128872000000</v>
      </c>
      <c r="F1131" s="24">
        <f>Data!H1131</f>
        <v>47109000000</v>
      </c>
      <c r="G1131" s="24">
        <f t="shared" si="136"/>
        <v>81763000000</v>
      </c>
      <c r="H1131" s="24">
        <f>Data!G1131</f>
        <v>348144000000</v>
      </c>
      <c r="I1131" s="25">
        <f t="shared" si="137"/>
        <v>1.5406420331816717</v>
      </c>
      <c r="J1131" s="24">
        <f>Data!J1131</f>
        <v>46178000000</v>
      </c>
      <c r="K1131" s="24">
        <f t="shared" si="138"/>
        <v>348144000000</v>
      </c>
      <c r="L1131" s="25">
        <f t="shared" si="139"/>
        <v>0.43240808401121367</v>
      </c>
      <c r="M1131" s="24">
        <f>Data!M1131</f>
        <v>-21332000000</v>
      </c>
      <c r="N1131" s="24">
        <f t="shared" si="140"/>
        <v>348144000000</v>
      </c>
      <c r="O1131" s="25">
        <f t="shared" si="141"/>
        <v>-0.41175789328553702</v>
      </c>
      <c r="P1131" s="24">
        <f>Data!K1131</f>
        <v>142995000000</v>
      </c>
      <c r="Q1131" s="24">
        <f>Data!I1131</f>
        <v>47109000000</v>
      </c>
      <c r="R1131" s="25">
        <f t="shared" si="142"/>
        <v>3.1871776093740052</v>
      </c>
      <c r="S1131" s="25">
        <f t="shared" si="143"/>
        <v>4.7484698332813533</v>
      </c>
    </row>
    <row r="1132" spans="1:19" ht="15" customHeight="1" x14ac:dyDescent="0.3">
      <c r="A1132" s="22"/>
      <c r="B1132" s="23"/>
      <c r="C1132" s="2"/>
      <c r="D1132" s="23">
        <v>2022</v>
      </c>
      <c r="E1132" s="24">
        <f>Data!F1132</f>
        <v>116383000000</v>
      </c>
      <c r="F1132" s="24">
        <f>Data!H1132</f>
        <v>65212000000</v>
      </c>
      <c r="G1132" s="24">
        <f t="shared" si="136"/>
        <v>51171000000</v>
      </c>
      <c r="H1132" s="24">
        <f>Data!G1132</f>
        <v>362411000000</v>
      </c>
      <c r="I1132" s="25">
        <f t="shared" si="137"/>
        <v>0.92624605765277535</v>
      </c>
      <c r="J1132" s="24">
        <f>Data!J1132</f>
        <v>58394000000</v>
      </c>
      <c r="K1132" s="24">
        <f t="shared" si="138"/>
        <v>362411000000</v>
      </c>
      <c r="L1132" s="25">
        <f t="shared" si="139"/>
        <v>0.52527224615146884</v>
      </c>
      <c r="M1132" s="24">
        <f>Data!M1132</f>
        <v>12077000000</v>
      </c>
      <c r="N1132" s="24">
        <f t="shared" si="140"/>
        <v>362411000000</v>
      </c>
      <c r="O1132" s="25">
        <f t="shared" si="141"/>
        <v>0.22393757363876921</v>
      </c>
      <c r="P1132" s="24">
        <f>Data!K1132</f>
        <v>154113000000</v>
      </c>
      <c r="Q1132" s="24">
        <f>Data!I1132</f>
        <v>65212000000</v>
      </c>
      <c r="R1132" s="25">
        <f t="shared" si="142"/>
        <v>2.4814244310863032</v>
      </c>
      <c r="S1132" s="25">
        <f t="shared" si="143"/>
        <v>4.1568803085293169</v>
      </c>
    </row>
    <row r="1133" spans="1:19" ht="15" customHeight="1" x14ac:dyDescent="0.3">
      <c r="A1133" s="22"/>
      <c r="B1133" s="23"/>
      <c r="C1133" s="2"/>
      <c r="D1133" s="23">
        <v>2023</v>
      </c>
      <c r="E1133" s="24">
        <f>Data!F1133</f>
        <v>93254000000</v>
      </c>
      <c r="F1133" s="24">
        <f>Data!H1133</f>
        <v>51047000000</v>
      </c>
      <c r="G1133" s="24">
        <f t="shared" si="136"/>
        <v>42207000000</v>
      </c>
      <c r="H1133" s="24">
        <f>Data!G1133</f>
        <v>369134000000</v>
      </c>
      <c r="I1133" s="25">
        <f t="shared" si="137"/>
        <v>0.75007428196806569</v>
      </c>
      <c r="J1133" s="24">
        <f>Data!J1133</f>
        <v>59221000000</v>
      </c>
      <c r="K1133" s="24">
        <f t="shared" si="138"/>
        <v>369134000000</v>
      </c>
      <c r="L1133" s="25">
        <f t="shared" si="139"/>
        <v>0.52300915114836344</v>
      </c>
      <c r="M1133" s="24">
        <f>Data!M1133</f>
        <v>3859000000</v>
      </c>
      <c r="N1133" s="24">
        <f t="shared" si="140"/>
        <v>369134000000</v>
      </c>
      <c r="O1133" s="25">
        <f t="shared" si="141"/>
        <v>7.0252211933877665E-2</v>
      </c>
      <c r="P1133" s="24">
        <f>Data!K1133</f>
        <v>149416000000</v>
      </c>
      <c r="Q1133" s="24">
        <f>Data!I1133</f>
        <v>219718000000</v>
      </c>
      <c r="R1133" s="25">
        <f t="shared" si="142"/>
        <v>0.71403708389845166</v>
      </c>
      <c r="S1133" s="25">
        <f t="shared" si="143"/>
        <v>2.0573727289487587</v>
      </c>
    </row>
    <row r="1134" spans="1:19" ht="15" customHeight="1" x14ac:dyDescent="0.3">
      <c r="A1134" s="22"/>
      <c r="B1134" s="23"/>
      <c r="C1134" s="2"/>
      <c r="D1134" s="23">
        <v>2024</v>
      </c>
      <c r="E1134" s="24">
        <f>Data!F1134</f>
        <v>187773000000</v>
      </c>
      <c r="F1134" s="24">
        <f>Data!H1134</f>
        <v>80450000000</v>
      </c>
      <c r="G1134" s="24">
        <f t="shared" si="136"/>
        <v>107323000000</v>
      </c>
      <c r="H1134" s="24">
        <f>Data!G1134</f>
        <v>574269000000</v>
      </c>
      <c r="I1134" s="25">
        <f t="shared" si="137"/>
        <v>1.2259740295924033</v>
      </c>
      <c r="J1134" s="24">
        <f>Data!J1134</f>
        <v>66855000000</v>
      </c>
      <c r="K1134" s="24">
        <f t="shared" si="138"/>
        <v>574269000000</v>
      </c>
      <c r="L1134" s="25">
        <f t="shared" si="139"/>
        <v>0.37952126964889277</v>
      </c>
      <c r="M1134" s="24">
        <f>Data!M1134</f>
        <v>9796000000</v>
      </c>
      <c r="N1134" s="24">
        <f t="shared" si="140"/>
        <v>574269000000</v>
      </c>
      <c r="O1134" s="25">
        <f t="shared" si="141"/>
        <v>0.11463115717547002</v>
      </c>
      <c r="P1134" s="24">
        <f>Data!K1134</f>
        <v>262297000000</v>
      </c>
      <c r="Q1134" s="24">
        <f>Data!I1134</f>
        <v>311972000000</v>
      </c>
      <c r="R1134" s="25">
        <f t="shared" si="142"/>
        <v>0.88280951495647053</v>
      </c>
      <c r="S1134" s="25">
        <f t="shared" si="143"/>
        <v>2.6029359713732365</v>
      </c>
    </row>
    <row r="1135" spans="1:19" ht="15" customHeight="1" x14ac:dyDescent="0.3">
      <c r="A1135" s="22"/>
      <c r="B1135" s="23">
        <v>104</v>
      </c>
      <c r="C1135" s="2" t="s">
        <v>123</v>
      </c>
      <c r="D1135" s="23">
        <v>2014</v>
      </c>
      <c r="E1135" s="24">
        <f>Data!F1135</f>
        <v>0</v>
      </c>
      <c r="F1135" s="24">
        <f>Data!H1135</f>
        <v>0</v>
      </c>
      <c r="G1135" s="24">
        <f t="shared" si="136"/>
        <v>0</v>
      </c>
      <c r="H1135" s="24">
        <f>Data!G1135</f>
        <v>0</v>
      </c>
      <c r="I1135" s="25">
        <f t="shared" si="137"/>
        <v>0</v>
      </c>
      <c r="J1135" s="24">
        <f>Data!J1135</f>
        <v>0</v>
      </c>
      <c r="K1135" s="24">
        <f t="shared" si="138"/>
        <v>0</v>
      </c>
      <c r="L1135" s="25">
        <f t="shared" si="139"/>
        <v>0</v>
      </c>
      <c r="M1135" s="24">
        <f>Data!M1135</f>
        <v>0</v>
      </c>
      <c r="N1135" s="24">
        <f t="shared" si="140"/>
        <v>0</v>
      </c>
      <c r="O1135" s="25">
        <f t="shared" si="141"/>
        <v>0</v>
      </c>
      <c r="P1135" s="24">
        <f>Data!K1135</f>
        <v>0</v>
      </c>
      <c r="Q1135" s="24">
        <f>Data!I1135</f>
        <v>0</v>
      </c>
      <c r="R1135" s="25">
        <f t="shared" si="142"/>
        <v>0</v>
      </c>
      <c r="S1135" s="25">
        <f t="shared" si="143"/>
        <v>0</v>
      </c>
    </row>
    <row r="1136" spans="1:19" ht="15" customHeight="1" x14ac:dyDescent="0.3">
      <c r="A1136" s="22"/>
      <c r="B1136" s="23"/>
      <c r="C1136" s="2"/>
      <c r="D1136" s="23">
        <v>2015</v>
      </c>
      <c r="E1136" s="24">
        <f>Data!F1136</f>
        <v>16871000000</v>
      </c>
      <c r="F1136" s="24">
        <f>Data!H1136</f>
        <v>19532000000</v>
      </c>
      <c r="G1136" s="24">
        <f t="shared" si="136"/>
        <v>-2661000000</v>
      </c>
      <c r="H1136" s="24">
        <f>Data!G1136</f>
        <v>580123000000</v>
      </c>
      <c r="I1136" s="25">
        <f t="shared" si="137"/>
        <v>-3.0090446336380389E-2</v>
      </c>
      <c r="J1136" s="24">
        <f>Data!J1136</f>
        <v>39592000000</v>
      </c>
      <c r="K1136" s="24">
        <f t="shared" si="138"/>
        <v>580123000000</v>
      </c>
      <c r="L1136" s="25">
        <f t="shared" si="139"/>
        <v>0.22248716220525644</v>
      </c>
      <c r="M1136" s="24">
        <f>Data!M1136</f>
        <v>87755000000</v>
      </c>
      <c r="N1136" s="24">
        <f t="shared" si="140"/>
        <v>580123000000</v>
      </c>
      <c r="O1136" s="25">
        <f t="shared" si="141"/>
        <v>1.0165320113148417</v>
      </c>
      <c r="P1136" s="24">
        <f>Data!K1136</f>
        <v>139620000000</v>
      </c>
      <c r="Q1136" s="24">
        <f>Data!I1136</f>
        <v>440503000000</v>
      </c>
      <c r="R1136" s="25">
        <f t="shared" si="142"/>
        <v>0.3328036358435697</v>
      </c>
      <c r="S1136" s="25">
        <f t="shared" si="143"/>
        <v>1.5417323630272874</v>
      </c>
    </row>
    <row r="1137" spans="1:19" ht="15" customHeight="1" x14ac:dyDescent="0.3">
      <c r="A1137" s="22"/>
      <c r="B1137" s="23"/>
      <c r="C1137" s="2"/>
      <c r="D1137" s="23">
        <v>2016</v>
      </c>
      <c r="E1137" s="24">
        <f>Data!F1137</f>
        <v>21123000000</v>
      </c>
      <c r="F1137" s="24">
        <f>Data!H1137</f>
        <v>43459000000</v>
      </c>
      <c r="G1137" s="24">
        <f t="shared" si="136"/>
        <v>-22336000000</v>
      </c>
      <c r="H1137" s="24">
        <f>Data!G1137</f>
        <v>580699000000</v>
      </c>
      <c r="I1137" s="25">
        <f t="shared" si="137"/>
        <v>-0.25232376842391668</v>
      </c>
      <c r="J1137" s="24">
        <f>Data!J1137</f>
        <v>20719000000</v>
      </c>
      <c r="K1137" s="24">
        <f t="shared" si="138"/>
        <v>580699000000</v>
      </c>
      <c r="L1137" s="25">
        <f t="shared" si="139"/>
        <v>0.11631488946941529</v>
      </c>
      <c r="M1137" s="24">
        <f>Data!M1137</f>
        <v>81165000000</v>
      </c>
      <c r="N1137" s="24">
        <f t="shared" si="140"/>
        <v>580699000000</v>
      </c>
      <c r="O1137" s="25">
        <f t="shared" si="141"/>
        <v>0.93926250949286971</v>
      </c>
      <c r="P1137" s="24">
        <f>Data!K1137</f>
        <v>120706000000</v>
      </c>
      <c r="Q1137" s="24">
        <f>Data!I1137</f>
        <v>459993000000</v>
      </c>
      <c r="R1137" s="25">
        <f t="shared" si="142"/>
        <v>0.2755287580463181</v>
      </c>
      <c r="S1137" s="25">
        <f t="shared" si="143"/>
        <v>1.0787823885846863</v>
      </c>
    </row>
    <row r="1138" spans="1:19" ht="15" customHeight="1" x14ac:dyDescent="0.3">
      <c r="A1138" s="22"/>
      <c r="B1138" s="23"/>
      <c r="C1138" s="2"/>
      <c r="D1138" s="23">
        <v>2017</v>
      </c>
      <c r="E1138" s="24">
        <f>Data!F1138</f>
        <v>22739000000</v>
      </c>
      <c r="F1138" s="24">
        <f>Data!H1138</f>
        <v>283014000000</v>
      </c>
      <c r="G1138" s="24">
        <f t="shared" si="136"/>
        <v>-260275000000</v>
      </c>
      <c r="H1138" s="24">
        <f>Data!G1138</f>
        <v>582719000000</v>
      </c>
      <c r="I1138" s="25">
        <f t="shared" si="137"/>
        <v>-2.9300640617518905</v>
      </c>
      <c r="J1138" s="24">
        <f>Data!J1138</f>
        <v>40127000000</v>
      </c>
      <c r="K1138" s="24">
        <f t="shared" si="138"/>
        <v>582719000000</v>
      </c>
      <c r="L1138" s="25">
        <f t="shared" si="139"/>
        <v>0.2244890247271841</v>
      </c>
      <c r="M1138" s="24">
        <f>Data!M1138</f>
        <v>111037000000</v>
      </c>
      <c r="N1138" s="24">
        <f t="shared" si="140"/>
        <v>582719000000</v>
      </c>
      <c r="O1138" s="25">
        <f t="shared" si="141"/>
        <v>1.2804947839353102</v>
      </c>
      <c r="P1138" s="24">
        <f>Data!K1138</f>
        <v>140052000000</v>
      </c>
      <c r="Q1138" s="24">
        <f>Data!I1138</f>
        <v>442666000000</v>
      </c>
      <c r="R1138" s="25">
        <f t="shared" si="142"/>
        <v>0.33220215693095928</v>
      </c>
      <c r="S1138" s="25">
        <f t="shared" si="143"/>
        <v>-1.092878096158437</v>
      </c>
    </row>
    <row r="1139" spans="1:19" ht="15" customHeight="1" x14ac:dyDescent="0.3">
      <c r="A1139" s="22"/>
      <c r="B1139" s="23"/>
      <c r="C1139" s="2"/>
      <c r="D1139" s="23">
        <v>2018</v>
      </c>
      <c r="E1139" s="24">
        <f>Data!F1139</f>
        <v>25474000000</v>
      </c>
      <c r="F1139" s="24">
        <f>Data!H1139</f>
        <v>291073000000</v>
      </c>
      <c r="G1139" s="24">
        <f t="shared" si="136"/>
        <v>-265599000000</v>
      </c>
      <c r="H1139" s="24">
        <f>Data!G1139</f>
        <v>584313000000</v>
      </c>
      <c r="I1139" s="25">
        <f t="shared" si="137"/>
        <v>-2.9818426767845314</v>
      </c>
      <c r="J1139" s="24">
        <f>Data!J1139</f>
        <v>35346000000</v>
      </c>
      <c r="K1139" s="24">
        <f t="shared" si="138"/>
        <v>584313000000</v>
      </c>
      <c r="L1139" s="25">
        <f t="shared" si="139"/>
        <v>0.19720245827150859</v>
      </c>
      <c r="M1139" s="24">
        <f>Data!M1139</f>
        <v>92532000000</v>
      </c>
      <c r="N1139" s="24">
        <f t="shared" si="140"/>
        <v>584313000000</v>
      </c>
      <c r="O1139" s="25">
        <f t="shared" si="141"/>
        <v>1.0641814233125055</v>
      </c>
      <c r="P1139" s="24">
        <f>Data!K1139</f>
        <v>135467000000</v>
      </c>
      <c r="Q1139" s="24">
        <f>Data!I1139</f>
        <v>448846000000</v>
      </c>
      <c r="R1139" s="25">
        <f t="shared" si="142"/>
        <v>0.316902345125054</v>
      </c>
      <c r="S1139" s="25">
        <f t="shared" si="143"/>
        <v>-1.4035564500754631</v>
      </c>
    </row>
    <row r="1140" spans="1:19" ht="15" customHeight="1" x14ac:dyDescent="0.3">
      <c r="A1140" s="22"/>
      <c r="B1140" s="23"/>
      <c r="C1140" s="2"/>
      <c r="D1140" s="23">
        <v>2019</v>
      </c>
      <c r="E1140" s="24">
        <f>Data!F1140</f>
        <v>13886000000</v>
      </c>
      <c r="F1140" s="24">
        <f>Data!H1140</f>
        <v>219056000000</v>
      </c>
      <c r="G1140" s="24">
        <f t="shared" si="136"/>
        <v>-205170000000</v>
      </c>
      <c r="H1140" s="24">
        <f>Data!G1140</f>
        <v>492869000000</v>
      </c>
      <c r="I1140" s="25">
        <f t="shared" si="137"/>
        <v>-2.7307767378350025</v>
      </c>
      <c r="J1140" s="24">
        <f>Data!J1140</f>
        <v>46262000000</v>
      </c>
      <c r="K1140" s="24">
        <f t="shared" si="138"/>
        <v>492869000000</v>
      </c>
      <c r="L1140" s="25">
        <f t="shared" si="139"/>
        <v>0.30599230221417856</v>
      </c>
      <c r="M1140" s="24">
        <f>Data!M1140</f>
        <v>94992000000</v>
      </c>
      <c r="N1140" s="24">
        <f t="shared" si="140"/>
        <v>492869000000</v>
      </c>
      <c r="O1140" s="25">
        <f t="shared" si="141"/>
        <v>1.2951641105445868</v>
      </c>
      <c r="P1140" s="24">
        <f>Data!K1140</f>
        <v>146256000000</v>
      </c>
      <c r="Q1140" s="24">
        <f>Data!I1140</f>
        <v>346613000000</v>
      </c>
      <c r="R1140" s="25">
        <f t="shared" si="142"/>
        <v>0.44305551147821925</v>
      </c>
      <c r="S1140" s="25">
        <f t="shared" si="143"/>
        <v>-0.68656481359801802</v>
      </c>
    </row>
    <row r="1141" spans="1:19" ht="15" customHeight="1" x14ac:dyDescent="0.3">
      <c r="A1141" s="22"/>
      <c r="B1141" s="23"/>
      <c r="C1141" s="2"/>
      <c r="D1141" s="23">
        <v>2020</v>
      </c>
      <c r="E1141" s="24">
        <f>Data!F1141</f>
        <v>5150000000</v>
      </c>
      <c r="F1141" s="24">
        <f>Data!H1141</f>
        <v>112999000000</v>
      </c>
      <c r="G1141" s="24">
        <f t="shared" si="136"/>
        <v>-107849000000</v>
      </c>
      <c r="H1141" s="24">
        <f>Data!G1141</f>
        <v>330001000000</v>
      </c>
      <c r="I1141" s="25">
        <f t="shared" si="137"/>
        <v>-2.143900897270008</v>
      </c>
      <c r="J1141" s="24">
        <f>Data!J1141</f>
        <v>39436000000</v>
      </c>
      <c r="K1141" s="24">
        <f t="shared" si="138"/>
        <v>330001000000</v>
      </c>
      <c r="L1141" s="25">
        <f t="shared" si="139"/>
        <v>0.38957869824636893</v>
      </c>
      <c r="M1141" s="24">
        <f>Data!M1141</f>
        <v>113490000000</v>
      </c>
      <c r="N1141" s="24">
        <f t="shared" si="140"/>
        <v>330001000000</v>
      </c>
      <c r="O1141" s="25">
        <f t="shared" si="141"/>
        <v>2.3110620876906429</v>
      </c>
      <c r="P1141" s="24">
        <f>Data!K1141</f>
        <v>139429000000</v>
      </c>
      <c r="Q1141" s="24">
        <f>Data!I1141</f>
        <v>190572000000</v>
      </c>
      <c r="R1141" s="25">
        <f t="shared" si="142"/>
        <v>0.76821594987721187</v>
      </c>
      <c r="S1141" s="25">
        <f t="shared" si="143"/>
        <v>1.3249558385442157</v>
      </c>
    </row>
    <row r="1142" spans="1:19" ht="15" customHeight="1" x14ac:dyDescent="0.3">
      <c r="A1142" s="22"/>
      <c r="B1142" s="23"/>
      <c r="C1142" s="2"/>
      <c r="D1142" s="23">
        <v>2021</v>
      </c>
      <c r="E1142" s="24">
        <f>Data!F1142</f>
        <v>8238000000</v>
      </c>
      <c r="F1142" s="24">
        <f>Data!H1142</f>
        <v>100656000000</v>
      </c>
      <c r="G1142" s="24">
        <f t="shared" si="136"/>
        <v>-92418000000</v>
      </c>
      <c r="H1142" s="24">
        <f>Data!G1142</f>
        <v>321358000000</v>
      </c>
      <c r="I1142" s="25">
        <f t="shared" si="137"/>
        <v>-1.8865628986986476</v>
      </c>
      <c r="J1142" s="24">
        <f>Data!J1142</f>
        <v>58550000000</v>
      </c>
      <c r="K1142" s="24">
        <f t="shared" si="138"/>
        <v>321358000000</v>
      </c>
      <c r="L1142" s="25">
        <f t="shared" si="139"/>
        <v>0.59395751778390449</v>
      </c>
      <c r="M1142" s="24">
        <f>Data!M1142</f>
        <v>53900000000</v>
      </c>
      <c r="N1142" s="24">
        <f t="shared" si="140"/>
        <v>321358000000</v>
      </c>
      <c r="O1142" s="25">
        <f t="shared" si="141"/>
        <v>1.1271167980881134</v>
      </c>
      <c r="P1142" s="24">
        <f>Data!K1142</f>
        <v>158508000000</v>
      </c>
      <c r="Q1142" s="24">
        <f>Data!I1142</f>
        <v>162850000000</v>
      </c>
      <c r="R1142" s="25">
        <f t="shared" si="142"/>
        <v>1.0220042984341418</v>
      </c>
      <c r="S1142" s="25">
        <f t="shared" si="143"/>
        <v>0.85651571560751205</v>
      </c>
    </row>
    <row r="1143" spans="1:19" ht="15" customHeight="1" x14ac:dyDescent="0.3">
      <c r="A1143" s="22"/>
      <c r="B1143" s="23"/>
      <c r="C1143" s="2"/>
      <c r="D1143" s="23">
        <v>2022</v>
      </c>
      <c r="E1143" s="24">
        <f>Data!F1143</f>
        <v>6418000000</v>
      </c>
      <c r="F1143" s="24">
        <f>Data!H1143</f>
        <v>149594000000</v>
      </c>
      <c r="G1143" s="24">
        <f t="shared" si="136"/>
        <v>-143176000000</v>
      </c>
      <c r="H1143" s="24">
        <f>Data!G1143</f>
        <v>390637000000</v>
      </c>
      <c r="I1143" s="25">
        <f t="shared" si="137"/>
        <v>-2.404366611457696</v>
      </c>
      <c r="J1143" s="24">
        <f>Data!J1143</f>
        <v>63085000000</v>
      </c>
      <c r="K1143" s="24">
        <f t="shared" si="138"/>
        <v>390637000000</v>
      </c>
      <c r="L1143" s="25">
        <f t="shared" si="139"/>
        <v>0.52646600296438895</v>
      </c>
      <c r="M1143" s="24">
        <f>Data!M1143</f>
        <v>38694000000</v>
      </c>
      <c r="N1143" s="24">
        <f t="shared" si="140"/>
        <v>390637000000</v>
      </c>
      <c r="O1143" s="25">
        <f t="shared" si="141"/>
        <v>0.66564017233390582</v>
      </c>
      <c r="P1143" s="24">
        <f>Data!K1143</f>
        <v>163152000000</v>
      </c>
      <c r="Q1143" s="24">
        <f>Data!I1143</f>
        <v>227485000000</v>
      </c>
      <c r="R1143" s="25">
        <f t="shared" si="142"/>
        <v>0.75305888300327495</v>
      </c>
      <c r="S1143" s="25">
        <f t="shared" si="143"/>
        <v>-0.45920155315612643</v>
      </c>
    </row>
    <row r="1144" spans="1:19" ht="15" customHeight="1" x14ac:dyDescent="0.3">
      <c r="A1144" s="22"/>
      <c r="B1144" s="23"/>
      <c r="C1144" s="2"/>
      <c r="D1144" s="23">
        <v>2023</v>
      </c>
      <c r="E1144" s="24">
        <f>Data!F1144</f>
        <v>12603000000</v>
      </c>
      <c r="F1144" s="24">
        <f>Data!H1144</f>
        <v>203228000000</v>
      </c>
      <c r="G1144" s="24">
        <f t="shared" si="136"/>
        <v>-190625000000</v>
      </c>
      <c r="H1144" s="24">
        <f>Data!G1144</f>
        <v>495889000000</v>
      </c>
      <c r="I1144" s="25">
        <f t="shared" si="137"/>
        <v>-2.5217336944356497</v>
      </c>
      <c r="J1144" s="24">
        <f>Data!J1144</f>
        <v>90849000000</v>
      </c>
      <c r="K1144" s="24">
        <f t="shared" si="138"/>
        <v>495889000000</v>
      </c>
      <c r="L1144" s="25">
        <f t="shared" si="139"/>
        <v>0.59724603691551936</v>
      </c>
      <c r="M1144" s="24">
        <f>Data!M1144</f>
        <v>46583000000</v>
      </c>
      <c r="N1144" s="24">
        <f t="shared" si="140"/>
        <v>495889000000</v>
      </c>
      <c r="O1144" s="25">
        <f t="shared" si="141"/>
        <v>0.63126578730320693</v>
      </c>
      <c r="P1144" s="24">
        <f>Data!K1144</f>
        <v>191029000000</v>
      </c>
      <c r="Q1144" s="24">
        <f>Data!I1144</f>
        <v>304860000000</v>
      </c>
      <c r="R1144" s="25">
        <f t="shared" si="142"/>
        <v>0.65794282621531197</v>
      </c>
      <c r="S1144" s="25">
        <f t="shared" si="143"/>
        <v>-0.63527904400161139</v>
      </c>
    </row>
    <row r="1145" spans="1:19" ht="15" customHeight="1" x14ac:dyDescent="0.3">
      <c r="A1145" s="22"/>
      <c r="B1145" s="23"/>
      <c r="C1145" s="2"/>
      <c r="D1145" s="23">
        <v>2024</v>
      </c>
      <c r="E1145" s="24">
        <f>Data!F1145</f>
        <v>15021000000</v>
      </c>
      <c r="F1145" s="24">
        <f>Data!H1145</f>
        <v>258144000000</v>
      </c>
      <c r="G1145" s="24">
        <f t="shared" si="136"/>
        <v>-243123000000</v>
      </c>
      <c r="H1145" s="24">
        <f>Data!G1145</f>
        <v>637359000000</v>
      </c>
      <c r="I1145" s="25">
        <f t="shared" si="137"/>
        <v>-2.5023367991979399</v>
      </c>
      <c r="J1145" s="24">
        <f>Data!J1145</f>
        <v>148368000000</v>
      </c>
      <c r="K1145" s="24">
        <f t="shared" si="138"/>
        <v>637359000000</v>
      </c>
      <c r="L1145" s="25">
        <f t="shared" si="139"/>
        <v>0.75888107016610729</v>
      </c>
      <c r="M1145" s="24">
        <f>Data!M1145</f>
        <v>65862000000</v>
      </c>
      <c r="N1145" s="24">
        <f t="shared" si="140"/>
        <v>637359000000</v>
      </c>
      <c r="O1145" s="25">
        <f t="shared" si="141"/>
        <v>0.69441655330826102</v>
      </c>
      <c r="P1145" s="24">
        <f>Data!K1145</f>
        <v>248527000000</v>
      </c>
      <c r="Q1145" s="24">
        <f>Data!I1145</f>
        <v>388832000000</v>
      </c>
      <c r="R1145" s="25">
        <f t="shared" si="142"/>
        <v>0.67112107542589094</v>
      </c>
      <c r="S1145" s="25">
        <f t="shared" si="143"/>
        <v>-0.3779181002976808</v>
      </c>
    </row>
    <row r="1146" spans="1:19" ht="15" customHeight="1" x14ac:dyDescent="0.3">
      <c r="A1146" s="22"/>
      <c r="B1146" s="23">
        <v>105</v>
      </c>
      <c r="C1146" s="1" t="s">
        <v>135</v>
      </c>
      <c r="D1146" s="23">
        <v>2014</v>
      </c>
      <c r="E1146" s="24">
        <f>Data!F1146</f>
        <v>0</v>
      </c>
      <c r="F1146" s="24">
        <f>Data!H1146</f>
        <v>0</v>
      </c>
      <c r="G1146" s="24">
        <f t="shared" si="136"/>
        <v>0</v>
      </c>
      <c r="H1146" s="24">
        <f>Data!G1146</f>
        <v>0</v>
      </c>
      <c r="I1146" s="25">
        <f t="shared" si="137"/>
        <v>0</v>
      </c>
      <c r="J1146" s="24">
        <f>Data!J1146</f>
        <v>0</v>
      </c>
      <c r="K1146" s="24">
        <f t="shared" si="138"/>
        <v>0</v>
      </c>
      <c r="L1146" s="25">
        <f t="shared" si="139"/>
        <v>0</v>
      </c>
      <c r="M1146" s="24">
        <f>Data!M1146</f>
        <v>0</v>
      </c>
      <c r="N1146" s="24">
        <f t="shared" si="140"/>
        <v>0</v>
      </c>
      <c r="O1146" s="25">
        <f t="shared" si="141"/>
        <v>0</v>
      </c>
      <c r="P1146" s="24">
        <f>Data!K1146</f>
        <v>0</v>
      </c>
      <c r="Q1146" s="24">
        <f>Data!I1146</f>
        <v>0</v>
      </c>
      <c r="R1146" s="25">
        <f t="shared" si="142"/>
        <v>0</v>
      </c>
      <c r="S1146" s="25">
        <f t="shared" si="143"/>
        <v>0</v>
      </c>
    </row>
    <row r="1147" spans="1:19" ht="15" customHeight="1" x14ac:dyDescent="0.3">
      <c r="A1147" s="22"/>
      <c r="B1147" s="23"/>
      <c r="C1147" s="1"/>
      <c r="D1147" s="23">
        <v>2015</v>
      </c>
      <c r="E1147" s="24">
        <f>Data!F1147</f>
        <v>0</v>
      </c>
      <c r="F1147" s="24">
        <f>Data!H1147</f>
        <v>0</v>
      </c>
      <c r="G1147" s="24">
        <f t="shared" si="136"/>
        <v>0</v>
      </c>
      <c r="H1147" s="24">
        <f>Data!G1147</f>
        <v>0</v>
      </c>
      <c r="I1147" s="25">
        <f t="shared" si="137"/>
        <v>0</v>
      </c>
      <c r="J1147" s="24">
        <f>Data!J1147</f>
        <v>0</v>
      </c>
      <c r="K1147" s="24">
        <f t="shared" si="138"/>
        <v>0</v>
      </c>
      <c r="L1147" s="25">
        <f t="shared" si="139"/>
        <v>0</v>
      </c>
      <c r="M1147" s="24">
        <f>Data!M1147</f>
        <v>0</v>
      </c>
      <c r="N1147" s="24">
        <f t="shared" si="140"/>
        <v>0</v>
      </c>
      <c r="O1147" s="25">
        <f t="shared" si="141"/>
        <v>0</v>
      </c>
      <c r="P1147" s="24">
        <f>Data!K1147</f>
        <v>0</v>
      </c>
      <c r="Q1147" s="24">
        <f>Data!I1147</f>
        <v>0</v>
      </c>
      <c r="R1147" s="25">
        <f t="shared" si="142"/>
        <v>0</v>
      </c>
      <c r="S1147" s="25">
        <f t="shared" si="143"/>
        <v>0</v>
      </c>
    </row>
    <row r="1148" spans="1:19" ht="15" customHeight="1" x14ac:dyDescent="0.3">
      <c r="A1148" s="22"/>
      <c r="B1148" s="23"/>
      <c r="C1148" s="1"/>
      <c r="D1148" s="23">
        <v>2016</v>
      </c>
      <c r="E1148" s="24">
        <f>Data!F1148</f>
        <v>25199000000</v>
      </c>
      <c r="F1148" s="24">
        <f>Data!H1148</f>
        <v>9397000000</v>
      </c>
      <c r="G1148" s="24">
        <f t="shared" si="136"/>
        <v>15802000000</v>
      </c>
      <c r="H1148" s="24">
        <f>Data!G1148</f>
        <v>133494000000</v>
      </c>
      <c r="I1148" s="25">
        <f t="shared" si="137"/>
        <v>0.77652269015835917</v>
      </c>
      <c r="J1148" s="24">
        <f>Data!J1148</f>
        <v>-20784000000</v>
      </c>
      <c r="K1148" s="24">
        <f t="shared" si="138"/>
        <v>133494000000</v>
      </c>
      <c r="L1148" s="25">
        <f t="shared" si="139"/>
        <v>-0.50755719358173401</v>
      </c>
      <c r="M1148" s="24">
        <f>Data!M1148</f>
        <v>-26159000000</v>
      </c>
      <c r="N1148" s="24">
        <f t="shared" si="140"/>
        <v>133494000000</v>
      </c>
      <c r="O1148" s="25">
        <f t="shared" si="141"/>
        <v>-1.3168268236774687</v>
      </c>
      <c r="P1148" s="24">
        <f>Data!K1148</f>
        <v>29216000000</v>
      </c>
      <c r="Q1148" s="24">
        <f>Data!I1148</f>
        <v>70292000000</v>
      </c>
      <c r="R1148" s="25">
        <f t="shared" si="142"/>
        <v>0.43641950719854322</v>
      </c>
      <c r="S1148" s="25">
        <f t="shared" si="143"/>
        <v>-0.61144181990230018</v>
      </c>
    </row>
    <row r="1149" spans="1:19" ht="15" customHeight="1" x14ac:dyDescent="0.3">
      <c r="A1149" s="22"/>
      <c r="B1149" s="23"/>
      <c r="C1149" s="1"/>
      <c r="D1149" s="23">
        <v>2017</v>
      </c>
      <c r="E1149" s="24">
        <f>Data!F1149</f>
        <v>8798000000</v>
      </c>
      <c r="F1149" s="24">
        <f>Data!H1149</f>
        <v>7403000000</v>
      </c>
      <c r="G1149" s="24">
        <f t="shared" si="136"/>
        <v>1395000000</v>
      </c>
      <c r="H1149" s="24">
        <f>Data!G1149</f>
        <v>81636000000</v>
      </c>
      <c r="I1149" s="25">
        <f t="shared" si="137"/>
        <v>0.11209760399823607</v>
      </c>
      <c r="J1149" s="24">
        <f>Data!J1149</f>
        <v>-39026000000</v>
      </c>
      <c r="K1149" s="24">
        <f t="shared" si="138"/>
        <v>81636000000</v>
      </c>
      <c r="L1149" s="25">
        <f t="shared" si="139"/>
        <v>-1.5584394139840265</v>
      </c>
      <c r="M1149" s="24">
        <f>Data!M1149</f>
        <v>-2549000000</v>
      </c>
      <c r="N1149" s="24">
        <f t="shared" si="140"/>
        <v>81636000000</v>
      </c>
      <c r="O1149" s="25">
        <f t="shared" si="141"/>
        <v>-0.20982507717183596</v>
      </c>
      <c r="P1149" s="24">
        <f>Data!K1149</f>
        <v>10975000000</v>
      </c>
      <c r="Q1149" s="24">
        <f>Data!I1149</f>
        <v>44709000000</v>
      </c>
      <c r="R1149" s="25">
        <f t="shared" si="142"/>
        <v>0.25775011742602161</v>
      </c>
      <c r="S1149" s="25">
        <f t="shared" si="143"/>
        <v>-1.3984167697316048</v>
      </c>
    </row>
    <row r="1150" spans="1:19" ht="15" customHeight="1" x14ac:dyDescent="0.3">
      <c r="A1150" s="22"/>
      <c r="B1150" s="23"/>
      <c r="C1150" s="1"/>
      <c r="D1150" s="23">
        <v>2018</v>
      </c>
      <c r="E1150" s="24">
        <f>Data!F1150</f>
        <v>7221000000</v>
      </c>
      <c r="F1150" s="24">
        <f>Data!H1150</f>
        <v>4082000000</v>
      </c>
      <c r="G1150" s="24">
        <f t="shared" si="136"/>
        <v>3139000000</v>
      </c>
      <c r="H1150" s="24">
        <f>Data!G1150</f>
        <v>130776000000</v>
      </c>
      <c r="I1150" s="25">
        <f t="shared" si="137"/>
        <v>0.15745886095308007</v>
      </c>
      <c r="J1150" s="24">
        <f>Data!J1150</f>
        <v>-37582000000</v>
      </c>
      <c r="K1150" s="24">
        <f t="shared" si="138"/>
        <v>130776000000</v>
      </c>
      <c r="L1150" s="25">
        <f t="shared" si="139"/>
        <v>-0.93684865724597777</v>
      </c>
      <c r="M1150" s="24">
        <f>Data!M1150</f>
        <v>612000000</v>
      </c>
      <c r="N1150" s="24">
        <f t="shared" si="140"/>
        <v>130776000000</v>
      </c>
      <c r="O1150" s="25">
        <f t="shared" si="141"/>
        <v>3.1447972104973389E-2</v>
      </c>
      <c r="P1150" s="24">
        <f>Data!K1150</f>
        <v>62614000000</v>
      </c>
      <c r="Q1150" s="24">
        <f>Data!I1150</f>
        <v>41119000000</v>
      </c>
      <c r="R1150" s="25">
        <f t="shared" si="142"/>
        <v>1.5988885916486295</v>
      </c>
      <c r="S1150" s="25">
        <f t="shared" si="143"/>
        <v>0.85094676746070519</v>
      </c>
    </row>
    <row r="1151" spans="1:19" ht="15" customHeight="1" x14ac:dyDescent="0.3">
      <c r="A1151" s="22"/>
      <c r="B1151" s="23"/>
      <c r="C1151" s="1"/>
      <c r="D1151" s="23">
        <v>2019</v>
      </c>
      <c r="E1151" s="24">
        <f>Data!F1151</f>
        <v>18314000000</v>
      </c>
      <c r="F1151" s="24">
        <f>Data!H1151</f>
        <v>18935000000</v>
      </c>
      <c r="G1151" s="24">
        <f t="shared" si="136"/>
        <v>-621000000</v>
      </c>
      <c r="H1151" s="24">
        <f>Data!G1151</f>
        <v>158605000000</v>
      </c>
      <c r="I1151" s="25">
        <f t="shared" si="137"/>
        <v>-2.5684940575643894E-2</v>
      </c>
      <c r="J1151" s="24">
        <f>Data!J1151</f>
        <v>-36527000000</v>
      </c>
      <c r="K1151" s="24">
        <f t="shared" si="138"/>
        <v>158605000000</v>
      </c>
      <c r="L1151" s="25">
        <f t="shared" si="139"/>
        <v>-0.75078351880457739</v>
      </c>
      <c r="M1151" s="24">
        <f>Data!M1151</f>
        <v>607000000</v>
      </c>
      <c r="N1151" s="24">
        <f t="shared" si="140"/>
        <v>158605000000</v>
      </c>
      <c r="O1151" s="25">
        <f t="shared" si="141"/>
        <v>2.5718230825005517E-2</v>
      </c>
      <c r="P1151" s="24">
        <f>Data!K1151</f>
        <v>65521000000</v>
      </c>
      <c r="Q1151" s="24">
        <f>Data!I1151</f>
        <v>57485000000</v>
      </c>
      <c r="R1151" s="25">
        <f t="shared" si="142"/>
        <v>1.1967826389492913</v>
      </c>
      <c r="S1151" s="25">
        <f t="shared" si="143"/>
        <v>0.4460324103940756</v>
      </c>
    </row>
    <row r="1152" spans="1:19" ht="15" customHeight="1" x14ac:dyDescent="0.3">
      <c r="A1152" s="22"/>
      <c r="B1152" s="23"/>
      <c r="C1152" s="1"/>
      <c r="D1152" s="23">
        <v>2020</v>
      </c>
      <c r="E1152" s="24">
        <f>Data!F1152</f>
        <v>37720000000</v>
      </c>
      <c r="F1152" s="24">
        <f>Data!H1152</f>
        <v>20555000000</v>
      </c>
      <c r="G1152" s="24">
        <f t="shared" si="136"/>
        <v>17165000000</v>
      </c>
      <c r="H1152" s="24">
        <f>Data!G1152</f>
        <v>189052000000</v>
      </c>
      <c r="I1152" s="25">
        <f t="shared" si="137"/>
        <v>0.59561602098893429</v>
      </c>
      <c r="J1152" s="24">
        <f>Data!J1152</f>
        <v>-32917000000</v>
      </c>
      <c r="K1152" s="24">
        <f t="shared" si="138"/>
        <v>189052000000</v>
      </c>
      <c r="L1152" s="25">
        <f t="shared" si="139"/>
        <v>-0.56761853881471769</v>
      </c>
      <c r="M1152" s="24">
        <f>Data!M1152</f>
        <v>4297000000</v>
      </c>
      <c r="N1152" s="24">
        <f t="shared" si="140"/>
        <v>189052000000</v>
      </c>
      <c r="O1152" s="25">
        <f t="shared" si="141"/>
        <v>0.15274019846391468</v>
      </c>
      <c r="P1152" s="24">
        <f>Data!K1152</f>
        <v>68747000000</v>
      </c>
      <c r="Q1152" s="24">
        <f>Data!I1152</f>
        <v>69115000000</v>
      </c>
      <c r="R1152" s="25">
        <f t="shared" si="142"/>
        <v>1.0444093178036606</v>
      </c>
      <c r="S1152" s="25">
        <f t="shared" si="143"/>
        <v>1.225146998441792</v>
      </c>
    </row>
    <row r="1153" spans="1:19" ht="15" customHeight="1" x14ac:dyDescent="0.3">
      <c r="A1153" s="22"/>
      <c r="B1153" s="23"/>
      <c r="C1153" s="1"/>
      <c r="D1153" s="23">
        <v>2021</v>
      </c>
      <c r="E1153" s="24">
        <f>Data!F1153</f>
        <v>71420000000</v>
      </c>
      <c r="F1153" s="24">
        <f>Data!H1153</f>
        <v>25229000000</v>
      </c>
      <c r="G1153" s="24">
        <f t="shared" si="136"/>
        <v>46191000000</v>
      </c>
      <c r="H1153" s="24">
        <f>Data!G1153</f>
        <v>214266000000</v>
      </c>
      <c r="I1153" s="25">
        <f t="shared" si="137"/>
        <v>1.414190585533869</v>
      </c>
      <c r="J1153" s="24">
        <f>Data!J1153</f>
        <v>-27666000000</v>
      </c>
      <c r="K1153" s="24">
        <f t="shared" si="138"/>
        <v>214266000000</v>
      </c>
      <c r="L1153" s="25">
        <f t="shared" si="139"/>
        <v>-0.42093080563411828</v>
      </c>
      <c r="M1153" s="24">
        <f>Data!M1153</f>
        <v>2620000000</v>
      </c>
      <c r="N1153" s="24">
        <f t="shared" si="140"/>
        <v>214266000000</v>
      </c>
      <c r="O1153" s="25">
        <f t="shared" si="141"/>
        <v>8.2170759709893307E-2</v>
      </c>
      <c r="P1153" s="24">
        <f>Data!K1153</f>
        <v>70597000000</v>
      </c>
      <c r="Q1153" s="24">
        <f>Data!I1153</f>
        <v>103695000000</v>
      </c>
      <c r="R1153" s="25">
        <f t="shared" si="142"/>
        <v>0.71485462172718062</v>
      </c>
      <c r="S1153" s="25">
        <f t="shared" si="143"/>
        <v>1.7902851613368247</v>
      </c>
    </row>
    <row r="1154" spans="1:19" ht="15" customHeight="1" x14ac:dyDescent="0.3">
      <c r="A1154" s="22"/>
      <c r="B1154" s="23"/>
      <c r="C1154" s="1"/>
      <c r="D1154" s="23">
        <v>2022</v>
      </c>
      <c r="E1154" s="24">
        <f>Data!F1154</f>
        <v>74621000000</v>
      </c>
      <c r="F1154" s="24">
        <f>Data!H1154</f>
        <v>29428000000</v>
      </c>
      <c r="G1154" s="24">
        <f t="shared" si="136"/>
        <v>45193000000</v>
      </c>
      <c r="H1154" s="24">
        <f>Data!G1154</f>
        <v>294328000000</v>
      </c>
      <c r="I1154" s="25">
        <f t="shared" si="137"/>
        <v>1.0072642765893833</v>
      </c>
      <c r="J1154" s="24">
        <f>Data!J1154</f>
        <v>-18210000000</v>
      </c>
      <c r="K1154" s="24">
        <f t="shared" si="138"/>
        <v>294328000000</v>
      </c>
      <c r="L1154" s="25">
        <f t="shared" si="139"/>
        <v>-0.20169538745888937</v>
      </c>
      <c r="M1154" s="24">
        <f>Data!M1154</f>
        <v>10538000000</v>
      </c>
      <c r="N1154" s="24">
        <f t="shared" si="140"/>
        <v>294328000000</v>
      </c>
      <c r="O1154" s="25">
        <f t="shared" si="141"/>
        <v>0.24060014677502647</v>
      </c>
      <c r="P1154" s="24">
        <f>Data!K1154</f>
        <v>78029000000</v>
      </c>
      <c r="Q1154" s="24">
        <f>Data!I1154</f>
        <v>184450000000</v>
      </c>
      <c r="R1154" s="25">
        <f t="shared" si="142"/>
        <v>0.44418785578747627</v>
      </c>
      <c r="S1154" s="25">
        <f t="shared" si="143"/>
        <v>1.4903568916929968</v>
      </c>
    </row>
    <row r="1155" spans="1:19" ht="15" customHeight="1" x14ac:dyDescent="0.3">
      <c r="A1155" s="22"/>
      <c r="B1155" s="23"/>
      <c r="C1155" s="1"/>
      <c r="D1155" s="23">
        <v>2023</v>
      </c>
      <c r="E1155" s="24">
        <f>Data!F1155</f>
        <v>84835000000</v>
      </c>
      <c r="F1155" s="24">
        <f>Data!H1155</f>
        <v>30794000000</v>
      </c>
      <c r="G1155" s="24">
        <f t="shared" ref="G1155:G1218" si="144">E1155-F1155</f>
        <v>54041000000</v>
      </c>
      <c r="H1155" s="24">
        <f>Data!G1155</f>
        <v>360413000000</v>
      </c>
      <c r="I1155" s="25">
        <f t="shared" ref="I1155:I1218" si="145">IFERROR(6.56*(G1155/H1155),0)</f>
        <v>0.98361868190104118</v>
      </c>
      <c r="J1155" s="24">
        <f>Data!J1155</f>
        <v>-11184000000</v>
      </c>
      <c r="K1155" s="24">
        <f t="shared" ref="K1155:K1218" si="146">H1155</f>
        <v>360413000000</v>
      </c>
      <c r="L1155" s="25">
        <f t="shared" ref="L1155:L1218" si="147">IFERROR(3.26*(J1155/K1155),0)</f>
        <v>-0.10116127886618961</v>
      </c>
      <c r="M1155" s="24">
        <f>Data!M1155</f>
        <v>14375000000</v>
      </c>
      <c r="N1155" s="24">
        <f t="shared" ref="N1155:N1218" si="148">K1155</f>
        <v>360413000000</v>
      </c>
      <c r="O1155" s="25">
        <f t="shared" ref="O1155:O1218" si="149">IFERROR(6.72*(M1155/N1155),0)</f>
        <v>0.26802584812423524</v>
      </c>
      <c r="P1155" s="24">
        <f>Data!K1155</f>
        <v>89908000000</v>
      </c>
      <c r="Q1155" s="24">
        <f>Data!I1155</f>
        <v>258818000000</v>
      </c>
      <c r="R1155" s="25">
        <f t="shared" ref="R1155:R1218" si="150">IFERROR(1.05*(P1155/Q1155),0)</f>
        <v>0.36474820143884895</v>
      </c>
      <c r="S1155" s="25">
        <f t="shared" ref="S1155:S1218" si="151">IFERROR(I1155+L1155+O1155+R1155,0)</f>
        <v>1.5152314525979358</v>
      </c>
    </row>
    <row r="1156" spans="1:19" ht="15" customHeight="1" x14ac:dyDescent="0.3">
      <c r="A1156" s="22"/>
      <c r="B1156" s="23"/>
      <c r="C1156" s="1"/>
      <c r="D1156" s="23">
        <v>2024</v>
      </c>
      <c r="E1156" s="24">
        <f>Data!F1156</f>
        <v>59217000000</v>
      </c>
      <c r="F1156" s="24">
        <f>Data!H1156</f>
        <v>25950000000</v>
      </c>
      <c r="G1156" s="24">
        <f t="shared" si="144"/>
        <v>33267000000</v>
      </c>
      <c r="H1156" s="24">
        <f>Data!G1156</f>
        <v>365145000000</v>
      </c>
      <c r="I1156" s="25">
        <f t="shared" si="145"/>
        <v>0.59765714989935503</v>
      </c>
      <c r="J1156" s="24">
        <f>Data!J1156</f>
        <v>-7063000000</v>
      </c>
      <c r="K1156" s="24">
        <f t="shared" si="146"/>
        <v>365145000000</v>
      </c>
      <c r="L1156" s="25">
        <f t="shared" si="147"/>
        <v>-6.3058182365909432E-2</v>
      </c>
      <c r="M1156" s="24">
        <f>Data!M1156</f>
        <v>5552000000</v>
      </c>
      <c r="N1156" s="24">
        <f t="shared" si="148"/>
        <v>365145000000</v>
      </c>
      <c r="O1156" s="25">
        <f t="shared" si="149"/>
        <v>0.10217705295156719</v>
      </c>
      <c r="P1156" s="24">
        <f>Data!K1156</f>
        <v>96582000000</v>
      </c>
      <c r="Q1156" s="24">
        <f>Data!I1156</f>
        <v>230991000000</v>
      </c>
      <c r="R1156" s="25">
        <f t="shared" si="150"/>
        <v>0.43902619582581143</v>
      </c>
      <c r="S1156" s="25">
        <f t="shared" si="151"/>
        <v>1.0758022163108243</v>
      </c>
    </row>
    <row r="1157" spans="1:19" ht="15" customHeight="1" x14ac:dyDescent="0.3">
      <c r="A1157" s="22"/>
      <c r="B1157" s="23">
        <v>106</v>
      </c>
      <c r="C1157" s="2" t="s">
        <v>124</v>
      </c>
      <c r="D1157" s="23">
        <v>2014</v>
      </c>
      <c r="E1157" s="24">
        <f>Data!F1157</f>
        <v>0</v>
      </c>
      <c r="F1157" s="24">
        <f>Data!H1157</f>
        <v>0</v>
      </c>
      <c r="G1157" s="24">
        <f t="shared" si="144"/>
        <v>0</v>
      </c>
      <c r="H1157" s="24">
        <f>Data!G1157</f>
        <v>0</v>
      </c>
      <c r="I1157" s="25">
        <f t="shared" si="145"/>
        <v>0</v>
      </c>
      <c r="J1157" s="24">
        <f>Data!J1157</f>
        <v>0</v>
      </c>
      <c r="K1157" s="24">
        <f t="shared" si="146"/>
        <v>0</v>
      </c>
      <c r="L1157" s="25">
        <f t="shared" si="147"/>
        <v>0</v>
      </c>
      <c r="M1157" s="24">
        <f>Data!M1157</f>
        <v>0</v>
      </c>
      <c r="N1157" s="24">
        <f t="shared" si="148"/>
        <v>0</v>
      </c>
      <c r="O1157" s="25">
        <f t="shared" si="149"/>
        <v>0</v>
      </c>
      <c r="P1157" s="24">
        <f>Data!K1157</f>
        <v>0</v>
      </c>
      <c r="Q1157" s="24">
        <f>Data!I1157</f>
        <v>0</v>
      </c>
      <c r="R1157" s="25">
        <f t="shared" si="150"/>
        <v>0</v>
      </c>
      <c r="S1157" s="25">
        <f t="shared" si="151"/>
        <v>0</v>
      </c>
    </row>
    <row r="1158" spans="1:19" ht="15" customHeight="1" x14ac:dyDescent="0.3">
      <c r="A1158" s="22"/>
      <c r="B1158" s="23"/>
      <c r="C1158" s="2"/>
      <c r="D1158" s="23">
        <v>2015</v>
      </c>
      <c r="E1158" s="24">
        <f>Data!F1158</f>
        <v>1650768000000</v>
      </c>
      <c r="F1158" s="24">
        <f>Data!H1158</f>
        <v>511940000000</v>
      </c>
      <c r="G1158" s="24">
        <f t="shared" si="144"/>
        <v>1138828000000</v>
      </c>
      <c r="H1158" s="24">
        <f>Data!G1158</f>
        <v>2895488000000</v>
      </c>
      <c r="I1158" s="25">
        <f t="shared" si="145"/>
        <v>2.5801217894876443</v>
      </c>
      <c r="J1158" s="24">
        <f>Data!J1158</f>
        <v>365608000000</v>
      </c>
      <c r="K1158" s="24">
        <f t="shared" si="146"/>
        <v>2895488000000</v>
      </c>
      <c r="L1158" s="25">
        <f t="shared" si="147"/>
        <v>0.41163426683170501</v>
      </c>
      <c r="M1158" s="24">
        <f>Data!M1158</f>
        <v>199316000000</v>
      </c>
      <c r="N1158" s="24">
        <f t="shared" si="148"/>
        <v>2895488000000</v>
      </c>
      <c r="O1158" s="25">
        <f t="shared" si="149"/>
        <v>0.46258299809911141</v>
      </c>
      <c r="P1158" s="24">
        <f>Data!K1158</f>
        <v>761704000000</v>
      </c>
      <c r="Q1158" s="24">
        <f>Data!I1158</f>
        <v>2133784000000</v>
      </c>
      <c r="R1158" s="25">
        <f t="shared" si="150"/>
        <v>0.37482200635115837</v>
      </c>
      <c r="S1158" s="25">
        <f t="shared" si="151"/>
        <v>3.8291610607696192</v>
      </c>
    </row>
    <row r="1159" spans="1:19" ht="15" customHeight="1" x14ac:dyDescent="0.3">
      <c r="A1159" s="22"/>
      <c r="B1159" s="23"/>
      <c r="C1159" s="2"/>
      <c r="D1159" s="23">
        <v>2016</v>
      </c>
      <c r="E1159" s="24">
        <f>Data!F1159</f>
        <v>1433916000000</v>
      </c>
      <c r="F1159" s="24">
        <f>Data!H1159</f>
        <v>584313000000</v>
      </c>
      <c r="G1159" s="24">
        <f t="shared" si="144"/>
        <v>849603000000</v>
      </c>
      <c r="H1159" s="24">
        <f>Data!G1159</f>
        <v>2337953000000</v>
      </c>
      <c r="I1159" s="25">
        <f t="shared" si="145"/>
        <v>2.3838784098739367</v>
      </c>
      <c r="J1159" s="24">
        <f>Data!J1159</f>
        <v>390222000000</v>
      </c>
      <c r="K1159" s="24">
        <f t="shared" si="146"/>
        <v>2337953000000</v>
      </c>
      <c r="L1159" s="25">
        <f t="shared" si="147"/>
        <v>0.54411860289749192</v>
      </c>
      <c r="M1159" s="24">
        <f>Data!M1159</f>
        <v>110495000000</v>
      </c>
      <c r="N1159" s="24">
        <f t="shared" si="148"/>
        <v>2337953000000</v>
      </c>
      <c r="O1159" s="25">
        <f t="shared" si="149"/>
        <v>0.3175968036996466</v>
      </c>
      <c r="P1159" s="24">
        <f>Data!K1159</f>
        <v>790735000000</v>
      </c>
      <c r="Q1159" s="24">
        <f>Data!I1159</f>
        <v>1848075000000</v>
      </c>
      <c r="R1159" s="25">
        <f t="shared" si="150"/>
        <v>0.44926301692301451</v>
      </c>
      <c r="S1159" s="25">
        <f t="shared" si="151"/>
        <v>3.6948568333940894</v>
      </c>
    </row>
    <row r="1160" spans="1:19" ht="15" customHeight="1" x14ac:dyDescent="0.3">
      <c r="A1160" s="22"/>
      <c r="B1160" s="23"/>
      <c r="C1160" s="2"/>
      <c r="D1160" s="23">
        <v>2017</v>
      </c>
      <c r="E1160" s="24">
        <f>Data!F1160</f>
        <v>978486000000</v>
      </c>
      <c r="F1160" s="24">
        <f>Data!H1160</f>
        <v>624845000000</v>
      </c>
      <c r="G1160" s="24">
        <f t="shared" si="144"/>
        <v>353641000000</v>
      </c>
      <c r="H1160" s="24">
        <f>Data!G1160</f>
        <v>2337953000000</v>
      </c>
      <c r="I1160" s="25">
        <f t="shared" si="145"/>
        <v>0.99227185490897385</v>
      </c>
      <c r="J1160" s="24">
        <f>Data!J1160</f>
        <v>366438000000</v>
      </c>
      <c r="K1160" s="24">
        <f t="shared" si="146"/>
        <v>2337953000000</v>
      </c>
      <c r="L1160" s="25">
        <f t="shared" si="147"/>
        <v>0.51095461713729906</v>
      </c>
      <c r="M1160" s="24">
        <f>Data!M1160</f>
        <v>140694000000</v>
      </c>
      <c r="N1160" s="24">
        <f t="shared" si="148"/>
        <v>2337953000000</v>
      </c>
      <c r="O1160" s="25">
        <f t="shared" si="149"/>
        <v>0.40439806959335795</v>
      </c>
      <c r="P1160" s="24">
        <f>Data!K1160</f>
        <v>783168000000</v>
      </c>
      <c r="Q1160" s="24">
        <f>Data!I1160</f>
        <v>1554785000000</v>
      </c>
      <c r="R1160" s="25">
        <f t="shared" si="150"/>
        <v>0.52890039458831939</v>
      </c>
      <c r="S1160" s="25">
        <f t="shared" si="151"/>
        <v>2.4365249362279502</v>
      </c>
    </row>
    <row r="1161" spans="1:19" ht="15" customHeight="1" x14ac:dyDescent="0.3">
      <c r="A1161" s="22"/>
      <c r="B1161" s="23"/>
      <c r="C1161" s="2"/>
      <c r="D1161" s="23">
        <v>2018</v>
      </c>
      <c r="E1161" s="24">
        <f>Data!F1161</f>
        <v>1317613000000</v>
      </c>
      <c r="F1161" s="24">
        <f>Data!H1161</f>
        <v>446487000000</v>
      </c>
      <c r="G1161" s="24">
        <f t="shared" si="144"/>
        <v>871126000000</v>
      </c>
      <c r="H1161" s="24">
        <f>Data!G1161</f>
        <v>2952776000000</v>
      </c>
      <c r="I1161" s="25">
        <f t="shared" si="145"/>
        <v>1.9353268111092745</v>
      </c>
      <c r="J1161" s="24">
        <f>Data!J1161</f>
        <v>484608000000</v>
      </c>
      <c r="K1161" s="24">
        <f t="shared" si="146"/>
        <v>2952776000000</v>
      </c>
      <c r="L1161" s="25">
        <f t="shared" si="147"/>
        <v>0.53502943670633996</v>
      </c>
      <c r="M1161" s="24">
        <f>Data!M1161</f>
        <v>154769000000</v>
      </c>
      <c r="N1161" s="24">
        <f t="shared" si="148"/>
        <v>2952776000000</v>
      </c>
      <c r="O1161" s="25">
        <f t="shared" si="149"/>
        <v>0.3522270839372848</v>
      </c>
      <c r="P1161" s="24">
        <f>Data!K1161</f>
        <v>857084000000</v>
      </c>
      <c r="Q1161" s="24">
        <f>Data!I1161</f>
        <v>2095692000000</v>
      </c>
      <c r="R1161" s="25">
        <f t="shared" si="150"/>
        <v>0.42942293046879026</v>
      </c>
      <c r="S1161" s="25">
        <f t="shared" si="151"/>
        <v>3.2520062622216894</v>
      </c>
    </row>
    <row r="1162" spans="1:19" ht="15" customHeight="1" x14ac:dyDescent="0.3">
      <c r="A1162" s="22"/>
      <c r="B1162" s="23"/>
      <c r="C1162" s="2"/>
      <c r="D1162" s="23">
        <v>2019</v>
      </c>
      <c r="E1162" s="24">
        <f>Data!F1162</f>
        <v>1456948000000</v>
      </c>
      <c r="F1162" s="24">
        <f>Data!H1162</f>
        <v>427673000000</v>
      </c>
      <c r="G1162" s="24">
        <f t="shared" si="144"/>
        <v>1029275000000</v>
      </c>
      <c r="H1162" s="24">
        <f>Data!G1162</f>
        <v>3421606000000</v>
      </c>
      <c r="I1162" s="25">
        <f t="shared" si="145"/>
        <v>1.9733552022062151</v>
      </c>
      <c r="J1162" s="24">
        <f>Data!J1162</f>
        <v>599106000000</v>
      </c>
      <c r="K1162" s="24">
        <f t="shared" si="146"/>
        <v>3421606000000</v>
      </c>
      <c r="L1162" s="25">
        <f t="shared" si="147"/>
        <v>0.5708096022744874</v>
      </c>
      <c r="M1162" s="24">
        <f>Data!M1162</f>
        <v>193237000000</v>
      </c>
      <c r="N1162" s="24">
        <f t="shared" si="148"/>
        <v>3421606000000</v>
      </c>
      <c r="O1162" s="25">
        <f t="shared" si="149"/>
        <v>0.37951553744060534</v>
      </c>
      <c r="P1162" s="24">
        <f>Data!K1162</f>
        <v>992211000000</v>
      </c>
      <c r="Q1162" s="24">
        <f>Data!I1162</f>
        <v>2429395000000</v>
      </c>
      <c r="R1162" s="25">
        <f t="shared" si="150"/>
        <v>0.42883991693405149</v>
      </c>
      <c r="S1162" s="25">
        <f t="shared" si="151"/>
        <v>3.3525202588553591</v>
      </c>
    </row>
    <row r="1163" spans="1:19" ht="15" customHeight="1" x14ac:dyDescent="0.3">
      <c r="A1163" s="22"/>
      <c r="B1163" s="23"/>
      <c r="C1163" s="2"/>
      <c r="D1163" s="23">
        <v>2020</v>
      </c>
      <c r="E1163" s="24">
        <f>Data!F1163</f>
        <v>1758785000000</v>
      </c>
      <c r="F1163" s="24">
        <f>Data!H1163</f>
        <v>504997000000</v>
      </c>
      <c r="G1163" s="24">
        <f t="shared" si="144"/>
        <v>1253788000000</v>
      </c>
      <c r="H1163" s="24">
        <f>Data!G1163</f>
        <v>3929286000000</v>
      </c>
      <c r="I1163" s="25">
        <f t="shared" si="145"/>
        <v>2.0932172613548619</v>
      </c>
      <c r="J1163" s="24">
        <f>Data!J1163</f>
        <v>733864000000</v>
      </c>
      <c r="K1163" s="24">
        <f t="shared" si="146"/>
        <v>3929286000000</v>
      </c>
      <c r="L1163" s="25">
        <f t="shared" si="147"/>
        <v>0.60886294354750448</v>
      </c>
      <c r="M1163" s="24">
        <f>Data!M1163</f>
        <v>243784000000</v>
      </c>
      <c r="N1163" s="24">
        <f t="shared" si="148"/>
        <v>3929286000000</v>
      </c>
      <c r="O1163" s="25">
        <f t="shared" si="149"/>
        <v>0.41692777771839462</v>
      </c>
      <c r="P1163" s="24">
        <f>Data!K1163</f>
        <v>1159604000000</v>
      </c>
      <c r="Q1163" s="24">
        <f>Data!I1163</f>
        <v>2769682000000</v>
      </c>
      <c r="R1163" s="25">
        <f t="shared" si="150"/>
        <v>0.4396115510733723</v>
      </c>
      <c r="S1163" s="25">
        <f t="shared" si="151"/>
        <v>3.5586195336941331</v>
      </c>
    </row>
    <row r="1164" spans="1:19" ht="15" customHeight="1" x14ac:dyDescent="0.3">
      <c r="A1164" s="22"/>
      <c r="B1164" s="23"/>
      <c r="C1164" s="2"/>
      <c r="D1164" s="23">
        <v>2021</v>
      </c>
      <c r="E1164" s="24">
        <f>Data!F1164</f>
        <v>2204463000000</v>
      </c>
      <c r="F1164" s="24">
        <f>Data!H1164</f>
        <v>503749000000</v>
      </c>
      <c r="G1164" s="24">
        <f t="shared" si="144"/>
        <v>1700714000000</v>
      </c>
      <c r="H1164" s="24">
        <f>Data!G1164</f>
        <v>4358974000000</v>
      </c>
      <c r="I1164" s="25">
        <f t="shared" si="145"/>
        <v>2.5594747387802728</v>
      </c>
      <c r="J1164" s="24">
        <f>Data!J1164</f>
        <v>899034000000</v>
      </c>
      <c r="K1164" s="24">
        <f t="shared" si="146"/>
        <v>4358974000000</v>
      </c>
      <c r="L1164" s="25">
        <f t="shared" si="147"/>
        <v>0.67237171866590628</v>
      </c>
      <c r="M1164" s="24">
        <f>Data!M1164</f>
        <v>266658000000</v>
      </c>
      <c r="N1164" s="24">
        <f t="shared" si="148"/>
        <v>4358974000000</v>
      </c>
      <c r="O1164" s="25">
        <f t="shared" si="149"/>
        <v>0.41109255526644572</v>
      </c>
      <c r="P1164" s="24">
        <f>Data!K1164</f>
        <v>1318513000000</v>
      </c>
      <c r="Q1164" s="24">
        <f>Data!I1164</f>
        <v>3040461000000</v>
      </c>
      <c r="R1164" s="25">
        <f t="shared" si="150"/>
        <v>0.45533840098590317</v>
      </c>
      <c r="S1164" s="25">
        <f t="shared" si="151"/>
        <v>4.0982774136985283</v>
      </c>
    </row>
    <row r="1165" spans="1:19" ht="15" customHeight="1" x14ac:dyDescent="0.3">
      <c r="A1165" s="22"/>
      <c r="B1165" s="23"/>
      <c r="C1165" s="2"/>
      <c r="D1165" s="23">
        <v>2022</v>
      </c>
      <c r="E1165" s="24">
        <f>Data!F1165</f>
        <v>2131401000000</v>
      </c>
      <c r="F1165" s="24">
        <f>Data!H1165</f>
        <v>628663000000</v>
      </c>
      <c r="G1165" s="24">
        <f t="shared" si="144"/>
        <v>1502738000000</v>
      </c>
      <c r="H1165" s="24">
        <f>Data!G1165</f>
        <v>4638732000000</v>
      </c>
      <c r="I1165" s="25">
        <f t="shared" si="145"/>
        <v>2.1251413705297049</v>
      </c>
      <c r="J1165" s="24">
        <f>Data!J1165</f>
        <v>1079245000000</v>
      </c>
      <c r="K1165" s="24">
        <f t="shared" si="146"/>
        <v>4638732000000</v>
      </c>
      <c r="L1165" s="25">
        <f t="shared" si="147"/>
        <v>0.75846992238396171</v>
      </c>
      <c r="M1165" s="24">
        <f>Data!M1165</f>
        <v>311552000000</v>
      </c>
      <c r="N1165" s="24">
        <f t="shared" si="148"/>
        <v>4638732000000</v>
      </c>
      <c r="O1165" s="25">
        <f t="shared" si="149"/>
        <v>0.45133658077250416</v>
      </c>
      <c r="P1165" s="24">
        <f>Data!K1165</f>
        <v>1456690000000</v>
      </c>
      <c r="Q1165" s="24">
        <f>Data!I1165</f>
        <v>3182042000000</v>
      </c>
      <c r="R1165" s="25">
        <f t="shared" si="150"/>
        <v>0.48067388802536232</v>
      </c>
      <c r="S1165" s="25">
        <f t="shared" si="151"/>
        <v>3.8156217617115336</v>
      </c>
    </row>
    <row r="1166" spans="1:19" ht="15" customHeight="1" x14ac:dyDescent="0.3">
      <c r="A1166" s="22"/>
      <c r="B1166" s="23"/>
      <c r="C1166" s="2"/>
      <c r="D1166" s="23">
        <v>2023</v>
      </c>
      <c r="E1166" s="24">
        <f>Data!F1166</f>
        <v>3280862000000</v>
      </c>
      <c r="F1166" s="24">
        <f>Data!H1166</f>
        <v>662759000000</v>
      </c>
      <c r="G1166" s="24">
        <f t="shared" si="144"/>
        <v>2618103000000</v>
      </c>
      <c r="H1166" s="24">
        <f>Data!G1166</f>
        <v>5986249000000</v>
      </c>
      <c r="I1166" s="25">
        <f t="shared" si="145"/>
        <v>2.8690346291976829</v>
      </c>
      <c r="J1166" s="24">
        <f>Data!J1166</f>
        <v>1102061000000</v>
      </c>
      <c r="K1166" s="24">
        <f t="shared" si="146"/>
        <v>5986249000000</v>
      </c>
      <c r="L1166" s="25">
        <f t="shared" si="147"/>
        <v>0.60016194782408816</v>
      </c>
      <c r="M1166" s="24">
        <f>Data!M1166</f>
        <v>284882000000</v>
      </c>
      <c r="N1166" s="24">
        <f t="shared" si="148"/>
        <v>5986249000000</v>
      </c>
      <c r="O1166" s="25">
        <f t="shared" si="149"/>
        <v>0.3198007700648603</v>
      </c>
      <c r="P1166" s="24">
        <f>Data!K1166</f>
        <v>1474249000000</v>
      </c>
      <c r="Q1166" s="24">
        <f>Data!I1166</f>
        <v>4512000000000</v>
      </c>
      <c r="R1166" s="25">
        <f t="shared" si="150"/>
        <v>0.34307656250000007</v>
      </c>
      <c r="S1166" s="25">
        <f t="shared" si="151"/>
        <v>4.132073909586631</v>
      </c>
    </row>
    <row r="1167" spans="1:19" ht="15" customHeight="1" x14ac:dyDescent="0.3">
      <c r="A1167" s="22"/>
      <c r="B1167" s="23"/>
      <c r="C1167" s="2"/>
      <c r="D1167" s="23">
        <v>2024</v>
      </c>
      <c r="E1167" s="24">
        <f>Data!F1167</f>
        <v>2762612000000</v>
      </c>
      <c r="F1167" s="24">
        <f>Data!H1167</f>
        <v>769685000000</v>
      </c>
      <c r="G1167" s="24">
        <f t="shared" si="144"/>
        <v>1992927000000</v>
      </c>
      <c r="H1167" s="24">
        <f>Data!G1167</f>
        <v>5352761000000</v>
      </c>
      <c r="I1167" s="25">
        <f t="shared" si="145"/>
        <v>2.4424032980362842</v>
      </c>
      <c r="J1167" s="24">
        <f>Data!J1167</f>
        <v>1205995000000</v>
      </c>
      <c r="K1167" s="24">
        <f t="shared" si="146"/>
        <v>5352761000000</v>
      </c>
      <c r="L1167" s="25">
        <f t="shared" si="147"/>
        <v>0.7344889301054166</v>
      </c>
      <c r="M1167" s="24">
        <f>Data!M1167</f>
        <v>350588000000</v>
      </c>
      <c r="N1167" s="24">
        <f t="shared" si="148"/>
        <v>5352761000000</v>
      </c>
      <c r="O1167" s="25">
        <f t="shared" si="149"/>
        <v>0.44013759627975174</v>
      </c>
      <c r="P1167" s="24">
        <f>Data!K1167</f>
        <v>1557157000000</v>
      </c>
      <c r="Q1167" s="24">
        <f>Data!I1167</f>
        <v>3795604000000</v>
      </c>
      <c r="R1167" s="25">
        <f t="shared" si="150"/>
        <v>0.43076539333397273</v>
      </c>
      <c r="S1167" s="25">
        <f t="shared" si="151"/>
        <v>4.0477952177554251</v>
      </c>
    </row>
    <row r="1168" spans="1:19" ht="15" customHeight="1" x14ac:dyDescent="0.3">
      <c r="A1168" s="22"/>
      <c r="B1168" s="23">
        <v>107</v>
      </c>
      <c r="C1168" s="2" t="s">
        <v>105</v>
      </c>
      <c r="D1168" s="23">
        <v>2014</v>
      </c>
      <c r="E1168" s="24">
        <f>Data!F1168</f>
        <v>0</v>
      </c>
      <c r="F1168" s="24">
        <f>Data!H1168</f>
        <v>0</v>
      </c>
      <c r="G1168" s="24">
        <f t="shared" si="144"/>
        <v>0</v>
      </c>
      <c r="H1168" s="24">
        <f>Data!G1168</f>
        <v>0</v>
      </c>
      <c r="I1168" s="25">
        <f t="shared" si="145"/>
        <v>0</v>
      </c>
      <c r="J1168" s="24">
        <f>Data!J1168</f>
        <v>0</v>
      </c>
      <c r="K1168" s="24">
        <f t="shared" si="146"/>
        <v>0</v>
      </c>
      <c r="L1168" s="25">
        <f t="shared" si="147"/>
        <v>0</v>
      </c>
      <c r="M1168" s="24">
        <f>Data!M1168</f>
        <v>0</v>
      </c>
      <c r="N1168" s="24">
        <f t="shared" si="148"/>
        <v>0</v>
      </c>
      <c r="O1168" s="25">
        <f t="shared" si="149"/>
        <v>0</v>
      </c>
      <c r="P1168" s="24">
        <f>Data!K1168</f>
        <v>0</v>
      </c>
      <c r="Q1168" s="24">
        <f>Data!I1168</f>
        <v>0</v>
      </c>
      <c r="R1168" s="25">
        <f t="shared" si="150"/>
        <v>0</v>
      </c>
      <c r="S1168" s="25">
        <f t="shared" si="151"/>
        <v>0</v>
      </c>
    </row>
    <row r="1169" spans="1:19" ht="15" customHeight="1" x14ac:dyDescent="0.3">
      <c r="A1169" s="22"/>
      <c r="B1169" s="23"/>
      <c r="C1169" s="2"/>
      <c r="D1169" s="23">
        <v>2015</v>
      </c>
      <c r="E1169" s="24">
        <f>Data!F1169</f>
        <v>0</v>
      </c>
      <c r="F1169" s="24">
        <f>Data!H1169</f>
        <v>0</v>
      </c>
      <c r="G1169" s="24">
        <f t="shared" si="144"/>
        <v>0</v>
      </c>
      <c r="H1169" s="24">
        <f>Data!G1169</f>
        <v>0</v>
      </c>
      <c r="I1169" s="25">
        <f t="shared" si="145"/>
        <v>0</v>
      </c>
      <c r="J1169" s="24">
        <f>Data!J1169</f>
        <v>0</v>
      </c>
      <c r="K1169" s="24">
        <f t="shared" si="146"/>
        <v>0</v>
      </c>
      <c r="L1169" s="25">
        <f t="shared" si="147"/>
        <v>0</v>
      </c>
      <c r="M1169" s="24">
        <f>Data!M1169</f>
        <v>0</v>
      </c>
      <c r="N1169" s="24">
        <f t="shared" si="148"/>
        <v>0</v>
      </c>
      <c r="O1169" s="25">
        <f t="shared" si="149"/>
        <v>0</v>
      </c>
      <c r="P1169" s="24">
        <f>Data!K1169</f>
        <v>0</v>
      </c>
      <c r="Q1169" s="24">
        <f>Data!I1169</f>
        <v>0</v>
      </c>
      <c r="R1169" s="25">
        <f t="shared" si="150"/>
        <v>0</v>
      </c>
      <c r="S1169" s="25">
        <f t="shared" si="151"/>
        <v>0</v>
      </c>
    </row>
    <row r="1170" spans="1:19" ht="15" customHeight="1" x14ac:dyDescent="0.3">
      <c r="A1170" s="22"/>
      <c r="B1170" s="23"/>
      <c r="C1170" s="2"/>
      <c r="D1170" s="23">
        <v>2016</v>
      </c>
      <c r="E1170" s="24">
        <f>Data!F1170</f>
        <v>0</v>
      </c>
      <c r="F1170" s="24">
        <f>Data!H1170</f>
        <v>0</v>
      </c>
      <c r="G1170" s="24">
        <f t="shared" si="144"/>
        <v>0</v>
      </c>
      <c r="H1170" s="24">
        <f>Data!G1170</f>
        <v>0</v>
      </c>
      <c r="I1170" s="25">
        <f t="shared" si="145"/>
        <v>0</v>
      </c>
      <c r="J1170" s="24">
        <f>Data!J1170</f>
        <v>0</v>
      </c>
      <c r="K1170" s="24">
        <f t="shared" si="146"/>
        <v>0</v>
      </c>
      <c r="L1170" s="25">
        <f t="shared" si="147"/>
        <v>0</v>
      </c>
      <c r="M1170" s="24">
        <f>Data!M1170</f>
        <v>0</v>
      </c>
      <c r="N1170" s="24">
        <f t="shared" si="148"/>
        <v>0</v>
      </c>
      <c r="O1170" s="25">
        <f t="shared" si="149"/>
        <v>0</v>
      </c>
      <c r="P1170" s="24">
        <f>Data!K1170</f>
        <v>0</v>
      </c>
      <c r="Q1170" s="24">
        <f>Data!I1170</f>
        <v>0</v>
      </c>
      <c r="R1170" s="25">
        <f t="shared" si="150"/>
        <v>0</v>
      </c>
      <c r="S1170" s="25">
        <f t="shared" si="151"/>
        <v>0</v>
      </c>
    </row>
    <row r="1171" spans="1:19" ht="15" customHeight="1" x14ac:dyDescent="0.3">
      <c r="A1171" s="22"/>
      <c r="B1171" s="23"/>
      <c r="C1171" s="2"/>
      <c r="D1171" s="23">
        <v>2017</v>
      </c>
      <c r="E1171" s="24">
        <f>Data!F1171</f>
        <v>0</v>
      </c>
      <c r="F1171" s="24">
        <f>Data!H1171</f>
        <v>0</v>
      </c>
      <c r="G1171" s="24">
        <f t="shared" si="144"/>
        <v>0</v>
      </c>
      <c r="H1171" s="24">
        <f>Data!G1171</f>
        <v>0</v>
      </c>
      <c r="I1171" s="25">
        <f t="shared" si="145"/>
        <v>0</v>
      </c>
      <c r="J1171" s="24">
        <f>Data!J1171</f>
        <v>0</v>
      </c>
      <c r="K1171" s="24">
        <f t="shared" si="146"/>
        <v>0</v>
      </c>
      <c r="L1171" s="25">
        <f t="shared" si="147"/>
        <v>0</v>
      </c>
      <c r="M1171" s="24">
        <f>Data!M1171</f>
        <v>0</v>
      </c>
      <c r="N1171" s="24">
        <f t="shared" si="148"/>
        <v>0</v>
      </c>
      <c r="O1171" s="25">
        <f t="shared" si="149"/>
        <v>0</v>
      </c>
      <c r="P1171" s="24">
        <f>Data!K1171</f>
        <v>0</v>
      </c>
      <c r="Q1171" s="24">
        <f>Data!I1171</f>
        <v>0</v>
      </c>
      <c r="R1171" s="25">
        <f t="shared" si="150"/>
        <v>0</v>
      </c>
      <c r="S1171" s="25">
        <f t="shared" si="151"/>
        <v>0</v>
      </c>
    </row>
    <row r="1172" spans="1:19" ht="15" customHeight="1" x14ac:dyDescent="0.3">
      <c r="A1172" s="22"/>
      <c r="B1172" s="23"/>
      <c r="C1172" s="2"/>
      <c r="D1172" s="23">
        <v>2018</v>
      </c>
      <c r="E1172" s="24">
        <f>Data!F1172</f>
        <v>0</v>
      </c>
      <c r="F1172" s="24">
        <f>Data!H1172</f>
        <v>0</v>
      </c>
      <c r="G1172" s="24">
        <f t="shared" si="144"/>
        <v>0</v>
      </c>
      <c r="H1172" s="24">
        <f>Data!G1172</f>
        <v>0</v>
      </c>
      <c r="I1172" s="25">
        <f t="shared" si="145"/>
        <v>0</v>
      </c>
      <c r="J1172" s="24">
        <f>Data!J1172</f>
        <v>0</v>
      </c>
      <c r="K1172" s="24">
        <f t="shared" si="146"/>
        <v>0</v>
      </c>
      <c r="L1172" s="25">
        <f t="shared" si="147"/>
        <v>0</v>
      </c>
      <c r="M1172" s="24">
        <f>Data!M1172</f>
        <v>0</v>
      </c>
      <c r="N1172" s="24">
        <f t="shared" si="148"/>
        <v>0</v>
      </c>
      <c r="O1172" s="25">
        <f t="shared" si="149"/>
        <v>0</v>
      </c>
      <c r="P1172" s="24">
        <f>Data!K1172</f>
        <v>0</v>
      </c>
      <c r="Q1172" s="24">
        <f>Data!I1172</f>
        <v>0</v>
      </c>
      <c r="R1172" s="25">
        <f t="shared" si="150"/>
        <v>0</v>
      </c>
      <c r="S1172" s="25">
        <f t="shared" si="151"/>
        <v>0</v>
      </c>
    </row>
    <row r="1173" spans="1:19" ht="15" customHeight="1" x14ac:dyDescent="0.3">
      <c r="A1173" s="22"/>
      <c r="B1173" s="23"/>
      <c r="C1173" s="2"/>
      <c r="D1173" s="23">
        <v>2019</v>
      </c>
      <c r="E1173" s="24">
        <f>Data!F1173</f>
        <v>83675000000</v>
      </c>
      <c r="F1173" s="24">
        <f>Data!H1173</f>
        <v>52198000000</v>
      </c>
      <c r="G1173" s="24">
        <f t="shared" si="144"/>
        <v>31477000000</v>
      </c>
      <c r="H1173" s="24">
        <f>Data!G1173</f>
        <v>421963000000</v>
      </c>
      <c r="I1173" s="25">
        <f t="shared" si="145"/>
        <v>0.48935361631233065</v>
      </c>
      <c r="J1173" s="24">
        <f>Data!J1173</f>
        <v>-7379000000</v>
      </c>
      <c r="K1173" s="24">
        <f t="shared" si="146"/>
        <v>421963000000</v>
      </c>
      <c r="L1173" s="25">
        <f t="shared" si="147"/>
        <v>-5.7008647677639981E-2</v>
      </c>
      <c r="M1173" s="24">
        <f>Data!M1173</f>
        <v>-10816000000</v>
      </c>
      <c r="N1173" s="24">
        <f t="shared" si="148"/>
        <v>421963000000</v>
      </c>
      <c r="O1173" s="25">
        <f t="shared" si="149"/>
        <v>-0.17225093195374949</v>
      </c>
      <c r="P1173" s="24">
        <f>Data!K1173</f>
        <v>193148000000</v>
      </c>
      <c r="Q1173" s="24">
        <f>Data!I1173</f>
        <v>228814000000</v>
      </c>
      <c r="R1173" s="25">
        <f t="shared" si="150"/>
        <v>0.88633300409939952</v>
      </c>
      <c r="S1173" s="25">
        <f t="shared" si="151"/>
        <v>1.1464270407803407</v>
      </c>
    </row>
    <row r="1174" spans="1:19" ht="15" customHeight="1" x14ac:dyDescent="0.3">
      <c r="A1174" s="22"/>
      <c r="B1174" s="23"/>
      <c r="C1174" s="2"/>
      <c r="D1174" s="23">
        <v>2020</v>
      </c>
      <c r="E1174" s="24">
        <f>Data!F1174</f>
        <v>125421000000</v>
      </c>
      <c r="F1174" s="24">
        <f>Data!H1174</f>
        <v>79494000000</v>
      </c>
      <c r="G1174" s="24">
        <f t="shared" si="144"/>
        <v>45927000000</v>
      </c>
      <c r="H1174" s="24">
        <f>Data!G1174</f>
        <v>574266000000</v>
      </c>
      <c r="I1174" s="25">
        <f t="shared" si="145"/>
        <v>0.52463687559423677</v>
      </c>
      <c r="J1174" s="24">
        <f>Data!J1174</f>
        <v>5357000000</v>
      </c>
      <c r="K1174" s="24">
        <f t="shared" si="146"/>
        <v>574266000000</v>
      </c>
      <c r="L1174" s="25">
        <f t="shared" si="147"/>
        <v>3.0410680764663064E-2</v>
      </c>
      <c r="M1174" s="24">
        <f>Data!M1174</f>
        <v>8453000000</v>
      </c>
      <c r="N1174" s="24">
        <f t="shared" si="148"/>
        <v>574266000000</v>
      </c>
      <c r="O1174" s="25">
        <f t="shared" si="149"/>
        <v>9.8916112045637383E-2</v>
      </c>
      <c r="P1174" s="24">
        <f>Data!K1174</f>
        <v>208124000000</v>
      </c>
      <c r="Q1174" s="24">
        <f>Data!I1174</f>
        <v>366142000000</v>
      </c>
      <c r="R1174" s="25">
        <f t="shared" si="150"/>
        <v>0.596845486177494</v>
      </c>
      <c r="S1174" s="25">
        <f t="shared" si="151"/>
        <v>1.250809154582031</v>
      </c>
    </row>
    <row r="1175" spans="1:19" ht="15" customHeight="1" x14ac:dyDescent="0.3">
      <c r="A1175" s="22"/>
      <c r="B1175" s="23"/>
      <c r="C1175" s="2"/>
      <c r="D1175" s="23">
        <v>2021</v>
      </c>
      <c r="E1175" s="24">
        <f>Data!F1175</f>
        <v>263261000000</v>
      </c>
      <c r="F1175" s="24">
        <f>Data!H1175</f>
        <v>90646000000</v>
      </c>
      <c r="G1175" s="24">
        <f t="shared" si="144"/>
        <v>172615000000</v>
      </c>
      <c r="H1175" s="24">
        <f>Data!G1175</f>
        <v>744732000000</v>
      </c>
      <c r="I1175" s="25">
        <f t="shared" si="145"/>
        <v>1.5204857586353211</v>
      </c>
      <c r="J1175" s="24">
        <f>Data!J1175</f>
        <v>24976000000</v>
      </c>
      <c r="K1175" s="24">
        <f t="shared" si="146"/>
        <v>744732000000</v>
      </c>
      <c r="L1175" s="25">
        <f t="shared" si="147"/>
        <v>0.10933028257144851</v>
      </c>
      <c r="M1175" s="24">
        <f>Data!M1175</f>
        <v>24047000000</v>
      </c>
      <c r="N1175" s="24">
        <f t="shared" si="148"/>
        <v>744732000000</v>
      </c>
      <c r="O1175" s="25">
        <f t="shared" si="149"/>
        <v>0.21698522421488534</v>
      </c>
      <c r="P1175" s="24">
        <f>Data!K1175</f>
        <v>227467000000</v>
      </c>
      <c r="Q1175" s="24">
        <f>Data!I1175</f>
        <v>517265000000</v>
      </c>
      <c r="R1175" s="25">
        <f t="shared" si="150"/>
        <v>0.4617369240138034</v>
      </c>
      <c r="S1175" s="25">
        <f t="shared" si="151"/>
        <v>2.3085381894354584</v>
      </c>
    </row>
    <row r="1176" spans="1:19" ht="15" customHeight="1" x14ac:dyDescent="0.3">
      <c r="A1176" s="22"/>
      <c r="B1176" s="23"/>
      <c r="C1176" s="2"/>
      <c r="D1176" s="23">
        <v>2022</v>
      </c>
      <c r="E1176" s="24">
        <f>Data!F1176</f>
        <v>181557000000</v>
      </c>
      <c r="F1176" s="24">
        <f>Data!H1176</f>
        <v>100027000000</v>
      </c>
      <c r="G1176" s="24">
        <f t="shared" si="144"/>
        <v>81530000000</v>
      </c>
      <c r="H1176" s="24">
        <f>Data!G1176</f>
        <v>918561000000</v>
      </c>
      <c r="I1176" s="25">
        <f t="shared" si="145"/>
        <v>0.58225507070297988</v>
      </c>
      <c r="J1176" s="24">
        <f>Data!J1176</f>
        <v>52751000000</v>
      </c>
      <c r="K1176" s="24">
        <f t="shared" si="146"/>
        <v>918561000000</v>
      </c>
      <c r="L1176" s="25">
        <f t="shared" si="147"/>
        <v>0.18721485018414671</v>
      </c>
      <c r="M1176" s="24">
        <f>Data!M1176</f>
        <v>30205000000</v>
      </c>
      <c r="N1176" s="24">
        <f t="shared" si="148"/>
        <v>918561000000</v>
      </c>
      <c r="O1176" s="25">
        <f t="shared" si="149"/>
        <v>0.22097345739695021</v>
      </c>
      <c r="P1176" s="24">
        <f>Data!K1176</f>
        <v>251145000000</v>
      </c>
      <c r="Q1176" s="24">
        <f>Data!I1176</f>
        <v>667416000000</v>
      </c>
      <c r="R1176" s="25">
        <f t="shared" si="150"/>
        <v>0.39510927217807185</v>
      </c>
      <c r="S1176" s="25">
        <f t="shared" si="151"/>
        <v>1.3855526504621487</v>
      </c>
    </row>
    <row r="1177" spans="1:19" ht="15" customHeight="1" x14ac:dyDescent="0.3">
      <c r="A1177" s="22"/>
      <c r="B1177" s="23"/>
      <c r="C1177" s="2"/>
      <c r="D1177" s="23">
        <v>2023</v>
      </c>
      <c r="E1177" s="24">
        <f>Data!F1177</f>
        <v>180142000000</v>
      </c>
      <c r="F1177" s="24">
        <f>Data!H1177</f>
        <v>70858000000</v>
      </c>
      <c r="G1177" s="24">
        <f t="shared" si="144"/>
        <v>109284000000</v>
      </c>
      <c r="H1177" s="24">
        <f>Data!G1177</f>
        <v>1085789000000</v>
      </c>
      <c r="I1177" s="25">
        <f t="shared" si="145"/>
        <v>0.66025999526611523</v>
      </c>
      <c r="J1177" s="24">
        <f>Data!J1177</f>
        <v>120114000000</v>
      </c>
      <c r="K1177" s="24">
        <f t="shared" si="146"/>
        <v>1085789000000</v>
      </c>
      <c r="L1177" s="25">
        <f t="shared" si="147"/>
        <v>0.36063327221034658</v>
      </c>
      <c r="M1177" s="24">
        <f>Data!M1177</f>
        <v>72275000000</v>
      </c>
      <c r="N1177" s="24">
        <f t="shared" si="148"/>
        <v>1085789000000</v>
      </c>
      <c r="O1177" s="25">
        <f t="shared" si="149"/>
        <v>0.44731342829960513</v>
      </c>
      <c r="P1177" s="24">
        <f>Data!K1177</f>
        <v>316470000000</v>
      </c>
      <c r="Q1177" s="24">
        <f>Data!I1177</f>
        <v>769319000000</v>
      </c>
      <c r="R1177" s="25">
        <f t="shared" si="150"/>
        <v>0.43193200739875137</v>
      </c>
      <c r="S1177" s="25">
        <f t="shared" si="151"/>
        <v>1.9001387031748185</v>
      </c>
    </row>
    <row r="1178" spans="1:19" ht="15" customHeight="1" x14ac:dyDescent="0.3">
      <c r="A1178" s="22"/>
      <c r="B1178" s="23"/>
      <c r="C1178" s="2"/>
      <c r="D1178" s="23">
        <v>2024</v>
      </c>
      <c r="E1178" s="24">
        <f>Data!F1178</f>
        <v>187691000000</v>
      </c>
      <c r="F1178" s="24">
        <f>Data!H1178</f>
        <v>77100000000</v>
      </c>
      <c r="G1178" s="24">
        <f t="shared" si="144"/>
        <v>110591000000</v>
      </c>
      <c r="H1178" s="24">
        <f>Data!G1178</f>
        <v>1280162000000</v>
      </c>
      <c r="I1178" s="25">
        <f t="shared" si="145"/>
        <v>0.56670715112618553</v>
      </c>
      <c r="J1178" s="24">
        <f>Data!J1178</f>
        <v>201191000000</v>
      </c>
      <c r="K1178" s="24">
        <f t="shared" si="146"/>
        <v>1280162000000</v>
      </c>
      <c r="L1178" s="25">
        <f t="shared" si="147"/>
        <v>0.51234348465272361</v>
      </c>
      <c r="M1178" s="24">
        <f>Data!M1178</f>
        <v>88140000000</v>
      </c>
      <c r="N1178" s="24">
        <f t="shared" si="148"/>
        <v>1280162000000</v>
      </c>
      <c r="O1178" s="25">
        <f t="shared" si="149"/>
        <v>0.46267644251274442</v>
      </c>
      <c r="P1178" s="24">
        <f>Data!K1178</f>
        <v>391579000000</v>
      </c>
      <c r="Q1178" s="24">
        <f>Data!I1178</f>
        <v>888613000000</v>
      </c>
      <c r="R1178" s="25">
        <f t="shared" si="150"/>
        <v>0.46269630311507937</v>
      </c>
      <c r="S1178" s="25">
        <f t="shared" si="151"/>
        <v>2.0044233814067329</v>
      </c>
    </row>
    <row r="1179" spans="1:19" ht="15" customHeight="1" x14ac:dyDescent="0.3">
      <c r="A1179" s="22"/>
      <c r="B1179" s="23">
        <v>108</v>
      </c>
      <c r="C1179" s="1" t="s">
        <v>125</v>
      </c>
      <c r="D1179" s="23">
        <v>2014</v>
      </c>
      <c r="E1179" s="24">
        <f>Data!F1179</f>
        <v>0</v>
      </c>
      <c r="F1179" s="24">
        <f>Data!H1179</f>
        <v>0</v>
      </c>
      <c r="G1179" s="24">
        <f t="shared" si="144"/>
        <v>0</v>
      </c>
      <c r="H1179" s="24">
        <f>Data!G1179</f>
        <v>0</v>
      </c>
      <c r="I1179" s="25">
        <f t="shared" si="145"/>
        <v>0</v>
      </c>
      <c r="J1179" s="24">
        <f>Data!J1179</f>
        <v>0</v>
      </c>
      <c r="K1179" s="24">
        <f t="shared" si="146"/>
        <v>0</v>
      </c>
      <c r="L1179" s="25">
        <f t="shared" si="147"/>
        <v>0</v>
      </c>
      <c r="M1179" s="24">
        <f>Data!M1179</f>
        <v>0</v>
      </c>
      <c r="N1179" s="24">
        <f t="shared" si="148"/>
        <v>0</v>
      </c>
      <c r="O1179" s="25">
        <f t="shared" si="149"/>
        <v>0</v>
      </c>
      <c r="P1179" s="24">
        <f>Data!K1179</f>
        <v>0</v>
      </c>
      <c r="Q1179" s="24">
        <f>Data!I1179</f>
        <v>0</v>
      </c>
      <c r="R1179" s="25">
        <f t="shared" si="150"/>
        <v>0</v>
      </c>
      <c r="S1179" s="25">
        <f t="shared" si="151"/>
        <v>0</v>
      </c>
    </row>
    <row r="1180" spans="1:19" ht="15" customHeight="1" x14ac:dyDescent="0.3">
      <c r="A1180" s="22"/>
      <c r="B1180" s="23"/>
      <c r="C1180" s="1"/>
      <c r="D1180" s="23">
        <v>2015</v>
      </c>
      <c r="E1180" s="24">
        <f>Data!F1180</f>
        <v>692140000000</v>
      </c>
      <c r="F1180" s="24">
        <f>Data!H1180</f>
        <v>119265000000</v>
      </c>
      <c r="G1180" s="24">
        <f t="shared" si="144"/>
        <v>572875000000</v>
      </c>
      <c r="H1180" s="24">
        <f>Data!G1180</f>
        <v>1342781000000</v>
      </c>
      <c r="I1180" s="25">
        <f t="shared" si="145"/>
        <v>2.798714012188138</v>
      </c>
      <c r="J1180" s="24">
        <f>Data!J1180</f>
        <v>246709000000</v>
      </c>
      <c r="K1180" s="24">
        <f t="shared" si="146"/>
        <v>1342781000000</v>
      </c>
      <c r="L1180" s="25">
        <f t="shared" si="147"/>
        <v>0.59895942823140924</v>
      </c>
      <c r="M1180" s="24">
        <f>Data!M1180</f>
        <v>16912000000</v>
      </c>
      <c r="N1180" s="24">
        <f t="shared" si="148"/>
        <v>1342781000000</v>
      </c>
      <c r="O1180" s="25">
        <f t="shared" si="149"/>
        <v>8.4636765042102907E-2</v>
      </c>
      <c r="P1180" s="24">
        <f>Data!K1180</f>
        <v>388717000000</v>
      </c>
      <c r="Q1180" s="24">
        <f>Data!I1180</f>
        <v>928826000000</v>
      </c>
      <c r="R1180" s="25">
        <f t="shared" si="150"/>
        <v>0.43942875199445319</v>
      </c>
      <c r="S1180" s="25">
        <f t="shared" si="151"/>
        <v>3.9217389574561032</v>
      </c>
    </row>
    <row r="1181" spans="1:19" ht="15" customHeight="1" x14ac:dyDescent="0.3">
      <c r="A1181" s="22"/>
      <c r="B1181" s="23"/>
      <c r="C1181" s="1"/>
      <c r="D1181" s="23">
        <v>2016</v>
      </c>
      <c r="E1181" s="24">
        <f>Data!F1181</f>
        <v>684723000000</v>
      </c>
      <c r="F1181" s="24">
        <f>Data!H1181</f>
        <v>181103000000</v>
      </c>
      <c r="G1181" s="24">
        <f t="shared" si="144"/>
        <v>503620000000</v>
      </c>
      <c r="H1181" s="24">
        <f>Data!G1181</f>
        <v>1316613000000</v>
      </c>
      <c r="I1181" s="25">
        <f t="shared" si="145"/>
        <v>2.5092773654824918</v>
      </c>
      <c r="J1181" s="24">
        <f>Data!J1181</f>
        <v>267669000000</v>
      </c>
      <c r="K1181" s="24">
        <f t="shared" si="146"/>
        <v>1316613000000</v>
      </c>
      <c r="L1181" s="25">
        <f t="shared" si="147"/>
        <v>0.66276190497891174</v>
      </c>
      <c r="M1181" s="24">
        <f>Data!M1181</f>
        <v>40065000000</v>
      </c>
      <c r="N1181" s="24">
        <f t="shared" si="148"/>
        <v>1316613000000</v>
      </c>
      <c r="O1181" s="25">
        <f t="shared" si="149"/>
        <v>0.20449198055920759</v>
      </c>
      <c r="P1181" s="24">
        <f>Data!K1181</f>
        <v>414363000000</v>
      </c>
      <c r="Q1181" s="24">
        <f>Data!I1181</f>
        <v>892922000000</v>
      </c>
      <c r="R1181" s="25">
        <f t="shared" si="150"/>
        <v>0.48725549376093324</v>
      </c>
      <c r="S1181" s="25">
        <f t="shared" si="151"/>
        <v>3.8637867447815442</v>
      </c>
    </row>
    <row r="1182" spans="1:19" ht="15" customHeight="1" x14ac:dyDescent="0.3">
      <c r="A1182" s="22"/>
      <c r="B1182" s="23"/>
      <c r="C1182" s="1"/>
      <c r="D1182" s="23">
        <v>2017</v>
      </c>
      <c r="E1182" s="24">
        <f>Data!F1182</f>
        <v>695788000000</v>
      </c>
      <c r="F1182" s="24">
        <f>Data!H1182</f>
        <v>255461000000</v>
      </c>
      <c r="G1182" s="24">
        <f t="shared" si="144"/>
        <v>440327000000</v>
      </c>
      <c r="H1182" s="24">
        <f>Data!G1182</f>
        <v>1393354000000</v>
      </c>
      <c r="I1182" s="25">
        <f t="shared" si="145"/>
        <v>2.0730877580284695</v>
      </c>
      <c r="J1182" s="24">
        <f>Data!J1182</f>
        <v>207055000000</v>
      </c>
      <c r="K1182" s="24">
        <f t="shared" si="146"/>
        <v>1393354000000</v>
      </c>
      <c r="L1182" s="25">
        <f t="shared" si="147"/>
        <v>0.48444207286877561</v>
      </c>
      <c r="M1182" s="24">
        <f>Data!M1182</f>
        <v>40709000000</v>
      </c>
      <c r="N1182" s="24">
        <f t="shared" si="148"/>
        <v>1393354000000</v>
      </c>
      <c r="O1182" s="25">
        <f t="shared" si="149"/>
        <v>0.19633523139130471</v>
      </c>
      <c r="P1182" s="24">
        <f>Data!K1182</f>
        <v>419617000000</v>
      </c>
      <c r="Q1182" s="24">
        <f>Data!I1182</f>
        <v>973737000000</v>
      </c>
      <c r="R1182" s="25">
        <f t="shared" si="150"/>
        <v>0.45248136817230938</v>
      </c>
      <c r="S1182" s="25">
        <f t="shared" si="151"/>
        <v>3.2063464304608589</v>
      </c>
    </row>
    <row r="1183" spans="1:19" ht="15" customHeight="1" x14ac:dyDescent="0.3">
      <c r="A1183" s="22"/>
      <c r="B1183" s="23"/>
      <c r="C1183" s="1"/>
      <c r="D1183" s="23">
        <v>2018</v>
      </c>
      <c r="E1183" s="24">
        <f>Data!F1183</f>
        <v>948968000000</v>
      </c>
      <c r="F1183" s="24">
        <f>Data!H1183</f>
        <v>287932000000</v>
      </c>
      <c r="G1183" s="24">
        <f t="shared" si="144"/>
        <v>661036000000</v>
      </c>
      <c r="H1183" s="24">
        <f>Data!G1183</f>
        <v>1768434000000</v>
      </c>
      <c r="I1183" s="25">
        <f t="shared" si="145"/>
        <v>2.4521108279981045</v>
      </c>
      <c r="J1183" s="24">
        <f>Data!J1183</f>
        <v>227956000000</v>
      </c>
      <c r="K1183" s="24">
        <f t="shared" si="146"/>
        <v>1768434000000</v>
      </c>
      <c r="L1183" s="25">
        <f t="shared" si="147"/>
        <v>0.42022295432003676</v>
      </c>
      <c r="M1183" s="24">
        <f>Data!M1183</f>
        <v>47156000000</v>
      </c>
      <c r="N1183" s="24">
        <f t="shared" si="148"/>
        <v>1768434000000</v>
      </c>
      <c r="O1183" s="25">
        <f t="shared" si="149"/>
        <v>0.17919148806231952</v>
      </c>
      <c r="P1183" s="24">
        <f>Data!K1183</f>
        <v>440344000000</v>
      </c>
      <c r="Q1183" s="24">
        <f>Data!I1183</f>
        <v>1328090000000</v>
      </c>
      <c r="R1183" s="25">
        <f t="shared" si="150"/>
        <v>0.34813996039425044</v>
      </c>
      <c r="S1183" s="25">
        <f t="shared" si="151"/>
        <v>3.3996652307747111</v>
      </c>
    </row>
    <row r="1184" spans="1:19" ht="15" customHeight="1" x14ac:dyDescent="0.3">
      <c r="A1184" s="22"/>
      <c r="B1184" s="23"/>
      <c r="C1184" s="1"/>
      <c r="D1184" s="23">
        <v>2019</v>
      </c>
      <c r="E1184" s="24">
        <f>Data!F1184</f>
        <v>747627000000</v>
      </c>
      <c r="F1184" s="24">
        <f>Data!H1184</f>
        <v>355930000000</v>
      </c>
      <c r="G1184" s="24">
        <f t="shared" si="144"/>
        <v>391697000000</v>
      </c>
      <c r="H1184" s="24">
        <f>Data!G1184</f>
        <v>1704845000000</v>
      </c>
      <c r="I1184" s="25">
        <f t="shared" si="145"/>
        <v>1.5071940968240514</v>
      </c>
      <c r="J1184" s="24">
        <f>Data!J1184</f>
        <v>248709000000</v>
      </c>
      <c r="K1184" s="24">
        <f t="shared" si="146"/>
        <v>1704845000000</v>
      </c>
      <c r="L1184" s="25">
        <f t="shared" si="147"/>
        <v>0.4755806774222876</v>
      </c>
      <c r="M1184" s="24">
        <f>Data!M1184</f>
        <v>47950000000</v>
      </c>
      <c r="N1184" s="24">
        <f t="shared" si="148"/>
        <v>1704845000000</v>
      </c>
      <c r="O1184" s="25">
        <f t="shared" si="149"/>
        <v>0.18900486554496157</v>
      </c>
      <c r="P1184" s="24">
        <f>Data!K1184</f>
        <v>471299000000</v>
      </c>
      <c r="Q1184" s="24">
        <f>Data!I1184</f>
        <v>1233545000000</v>
      </c>
      <c r="R1184" s="25">
        <f t="shared" si="150"/>
        <v>0.40117219071861993</v>
      </c>
      <c r="S1184" s="25">
        <f t="shared" si="151"/>
        <v>2.5729518305099206</v>
      </c>
    </row>
    <row r="1185" spans="1:19" ht="15" customHeight="1" x14ac:dyDescent="0.3">
      <c r="A1185" s="22"/>
      <c r="B1185" s="23"/>
      <c r="C1185" s="1"/>
      <c r="D1185" s="23">
        <v>2020</v>
      </c>
      <c r="E1185" s="24">
        <f>Data!F1185</f>
        <v>768437000000</v>
      </c>
      <c r="F1185" s="24">
        <f>Data!H1185</f>
        <v>353206000000</v>
      </c>
      <c r="G1185" s="24">
        <f t="shared" si="144"/>
        <v>415231000000</v>
      </c>
      <c r="H1185" s="24">
        <f>Data!G1185</f>
        <v>1867407000000</v>
      </c>
      <c r="I1185" s="25">
        <f t="shared" si="145"/>
        <v>1.4586618557175806</v>
      </c>
      <c r="J1185" s="24">
        <f>Data!J1185</f>
        <v>259194000000</v>
      </c>
      <c r="K1185" s="24">
        <f t="shared" si="146"/>
        <v>1867407000000</v>
      </c>
      <c r="L1185" s="25">
        <f t="shared" si="147"/>
        <v>0.45248434861816411</v>
      </c>
      <c r="M1185" s="24">
        <f>Data!M1185</f>
        <v>35749000000</v>
      </c>
      <c r="N1185" s="24">
        <f t="shared" si="148"/>
        <v>1867407000000</v>
      </c>
      <c r="O1185" s="25">
        <f t="shared" si="149"/>
        <v>0.12864537832406112</v>
      </c>
      <c r="P1185" s="24">
        <f>Data!K1185</f>
        <v>486407000000</v>
      </c>
      <c r="Q1185" s="24">
        <f>Data!I1185</f>
        <v>1381000000000</v>
      </c>
      <c r="R1185" s="25">
        <f t="shared" si="150"/>
        <v>0.36982429398986244</v>
      </c>
      <c r="S1185" s="25">
        <f t="shared" si="151"/>
        <v>2.4096158766496685</v>
      </c>
    </row>
    <row r="1186" spans="1:19" ht="15" customHeight="1" x14ac:dyDescent="0.3">
      <c r="A1186" s="22"/>
      <c r="B1186" s="23"/>
      <c r="C1186" s="1"/>
      <c r="D1186" s="23">
        <v>2021</v>
      </c>
      <c r="E1186" s="24">
        <f>Data!F1186</f>
        <v>1151604000000</v>
      </c>
      <c r="F1186" s="24">
        <f>Data!H1186</f>
        <v>332105000000</v>
      </c>
      <c r="G1186" s="24">
        <f t="shared" si="144"/>
        <v>819499000000</v>
      </c>
      <c r="H1186" s="24">
        <f>Data!G1186</f>
        <v>2331114000000</v>
      </c>
      <c r="I1186" s="25">
        <f t="shared" si="145"/>
        <v>2.3061563870321229</v>
      </c>
      <c r="J1186" s="24">
        <f>Data!J1186</f>
        <v>300574000000</v>
      </c>
      <c r="K1186" s="24">
        <f t="shared" si="146"/>
        <v>2331114000000</v>
      </c>
      <c r="L1186" s="25">
        <f t="shared" si="147"/>
        <v>0.42034462493039804</v>
      </c>
      <c r="M1186" s="24">
        <f>Data!M1186</f>
        <v>76478000000</v>
      </c>
      <c r="N1186" s="24">
        <f t="shared" si="148"/>
        <v>2331114000000</v>
      </c>
      <c r="O1186" s="25">
        <f t="shared" si="149"/>
        <v>0.22046633497975646</v>
      </c>
      <c r="P1186" s="24">
        <f>Data!K1186</f>
        <v>522027000000</v>
      </c>
      <c r="Q1186" s="24">
        <f>Data!I1186</f>
        <v>1809087000000</v>
      </c>
      <c r="R1186" s="25">
        <f t="shared" si="150"/>
        <v>0.30298617479424705</v>
      </c>
      <c r="S1186" s="25">
        <f t="shared" si="151"/>
        <v>3.2499535217365247</v>
      </c>
    </row>
    <row r="1187" spans="1:19" ht="15" customHeight="1" x14ac:dyDescent="0.3">
      <c r="A1187" s="22"/>
      <c r="B1187" s="23"/>
      <c r="C1187" s="1"/>
      <c r="D1187" s="23">
        <v>2022</v>
      </c>
      <c r="E1187" s="24">
        <f>Data!F1187</f>
        <v>1316398000000</v>
      </c>
      <c r="F1187" s="24">
        <f>Data!H1187</f>
        <v>453906000000</v>
      </c>
      <c r="G1187" s="24">
        <f t="shared" si="144"/>
        <v>862492000000</v>
      </c>
      <c r="H1187" s="24">
        <f>Data!G1187</f>
        <v>2797976000000</v>
      </c>
      <c r="I1187" s="25">
        <f t="shared" si="145"/>
        <v>2.0221572736864073</v>
      </c>
      <c r="J1187" s="24">
        <f>Data!J1187</f>
        <v>348734000000</v>
      </c>
      <c r="K1187" s="24">
        <f t="shared" si="146"/>
        <v>2797976000000</v>
      </c>
      <c r="L1187" s="25">
        <f t="shared" si="147"/>
        <v>0.40631972540150452</v>
      </c>
      <c r="M1187" s="24">
        <f>Data!M1187</f>
        <v>101566000000</v>
      </c>
      <c r="N1187" s="24">
        <f t="shared" si="148"/>
        <v>2797976000000</v>
      </c>
      <c r="O1187" s="25">
        <f t="shared" si="149"/>
        <v>0.2439347299619439</v>
      </c>
      <c r="P1187" s="24">
        <f>Data!K1187</f>
        <v>562427000000</v>
      </c>
      <c r="Q1187" s="24">
        <f>Data!I1187</f>
        <v>2235549000000</v>
      </c>
      <c r="R1187" s="25">
        <f t="shared" si="150"/>
        <v>0.26416256141108968</v>
      </c>
      <c r="S1187" s="25">
        <f t="shared" si="151"/>
        <v>2.9365742904609458</v>
      </c>
    </row>
    <row r="1188" spans="1:19" ht="15" customHeight="1" x14ac:dyDescent="0.3">
      <c r="A1188" s="22"/>
      <c r="B1188" s="23"/>
      <c r="C1188" s="1"/>
      <c r="D1188" s="23">
        <v>2023</v>
      </c>
      <c r="E1188" s="24">
        <f>Data!F1188</f>
        <v>1828701000000</v>
      </c>
      <c r="F1188" s="24">
        <f>Data!H1188</f>
        <v>465383000000</v>
      </c>
      <c r="G1188" s="24">
        <f t="shared" si="144"/>
        <v>1363318000000</v>
      </c>
      <c r="H1188" s="24">
        <f>Data!G1188</f>
        <v>3492067000000</v>
      </c>
      <c r="I1188" s="25">
        <f t="shared" si="145"/>
        <v>2.5610522593065936</v>
      </c>
      <c r="J1188" s="24">
        <f>Data!J1188</f>
        <v>404888000000</v>
      </c>
      <c r="K1188" s="24">
        <f t="shared" si="146"/>
        <v>3492067000000</v>
      </c>
      <c r="L1188" s="25">
        <f t="shared" si="147"/>
        <v>0.37798097230093231</v>
      </c>
      <c r="M1188" s="24">
        <f>Data!M1188</f>
        <v>123802000000</v>
      </c>
      <c r="N1188" s="24">
        <f t="shared" si="148"/>
        <v>3492067000000</v>
      </c>
      <c r="O1188" s="25">
        <f t="shared" si="149"/>
        <v>0.23823982758635501</v>
      </c>
      <c r="P1188" s="24">
        <f>Data!K1188</f>
        <v>629515000000</v>
      </c>
      <c r="Q1188" s="24">
        <f>Data!I1188</f>
        <v>2862552000000</v>
      </c>
      <c r="R1188" s="25">
        <f t="shared" si="150"/>
        <v>0.23090960443688011</v>
      </c>
      <c r="S1188" s="25">
        <f t="shared" si="151"/>
        <v>3.4081826636307611</v>
      </c>
    </row>
    <row r="1189" spans="1:19" ht="15" customHeight="1" x14ac:dyDescent="0.3">
      <c r="A1189" s="22"/>
      <c r="B1189" s="23"/>
      <c r="C1189" s="1"/>
      <c r="D1189" s="23">
        <v>2024</v>
      </c>
      <c r="E1189" s="24">
        <f>Data!F1189</f>
        <v>1974237000000</v>
      </c>
      <c r="F1189" s="24">
        <f>Data!H1189</f>
        <v>470191000000</v>
      </c>
      <c r="G1189" s="24">
        <f t="shared" si="144"/>
        <v>1504046000000</v>
      </c>
      <c r="H1189" s="24">
        <f>Data!G1189</f>
        <v>3901353000000</v>
      </c>
      <c r="I1189" s="25">
        <f t="shared" si="145"/>
        <v>2.5290051323220428</v>
      </c>
      <c r="J1189" s="24">
        <f>Data!J1189</f>
        <v>479411000000</v>
      </c>
      <c r="K1189" s="24">
        <f t="shared" si="146"/>
        <v>3901353000000</v>
      </c>
      <c r="L1189" s="25">
        <f t="shared" si="147"/>
        <v>0.40059944844775641</v>
      </c>
      <c r="M1189" s="24">
        <f>Data!M1189</f>
        <v>149933000000</v>
      </c>
      <c r="N1189" s="24">
        <f t="shared" si="148"/>
        <v>3901353000000</v>
      </c>
      <c r="O1189" s="25">
        <f t="shared" si="149"/>
        <v>0.25825649716905902</v>
      </c>
      <c r="P1189" s="24">
        <f>Data!K1189</f>
        <v>695935000000</v>
      </c>
      <c r="Q1189" s="24">
        <f>Data!I1189</f>
        <v>3205418000000</v>
      </c>
      <c r="R1189" s="25">
        <f t="shared" si="150"/>
        <v>0.22796769407297271</v>
      </c>
      <c r="S1189" s="25">
        <f t="shared" si="151"/>
        <v>3.4158287720118312</v>
      </c>
    </row>
    <row r="1190" spans="1:19" ht="15" customHeight="1" x14ac:dyDescent="0.3">
      <c r="A1190" s="22"/>
      <c r="B1190" s="23">
        <v>109</v>
      </c>
      <c r="C1190" s="2" t="s">
        <v>106</v>
      </c>
      <c r="D1190" s="23">
        <v>2014</v>
      </c>
      <c r="E1190" s="24">
        <f>Data!F1190</f>
        <v>0</v>
      </c>
      <c r="F1190" s="24">
        <f>Data!H1190</f>
        <v>0</v>
      </c>
      <c r="G1190" s="24">
        <f t="shared" si="144"/>
        <v>0</v>
      </c>
      <c r="H1190" s="24">
        <f>Data!G1190</f>
        <v>0</v>
      </c>
      <c r="I1190" s="25">
        <f t="shared" si="145"/>
        <v>0</v>
      </c>
      <c r="J1190" s="24">
        <f>Data!J1190</f>
        <v>0</v>
      </c>
      <c r="K1190" s="24">
        <f t="shared" si="146"/>
        <v>0</v>
      </c>
      <c r="L1190" s="25">
        <f t="shared" si="147"/>
        <v>0</v>
      </c>
      <c r="M1190" s="24">
        <f>Data!M1190</f>
        <v>0</v>
      </c>
      <c r="N1190" s="24">
        <f t="shared" si="148"/>
        <v>0</v>
      </c>
      <c r="O1190" s="25">
        <f t="shared" si="149"/>
        <v>0</v>
      </c>
      <c r="P1190" s="24">
        <f>Data!K1190</f>
        <v>0</v>
      </c>
      <c r="Q1190" s="24">
        <f>Data!I1190</f>
        <v>0</v>
      </c>
      <c r="R1190" s="25">
        <f t="shared" si="150"/>
        <v>0</v>
      </c>
      <c r="S1190" s="25">
        <f t="shared" si="151"/>
        <v>0</v>
      </c>
    </row>
    <row r="1191" spans="1:19" ht="15" customHeight="1" x14ac:dyDescent="0.3">
      <c r="A1191" s="22"/>
      <c r="B1191" s="23"/>
      <c r="C1191" s="2"/>
      <c r="D1191" s="23">
        <v>2015</v>
      </c>
      <c r="E1191" s="24">
        <f>Data!F1191</f>
        <v>5483081000000</v>
      </c>
      <c r="F1191" s="24">
        <f>Data!H1191</f>
        <v>1409949000000</v>
      </c>
      <c r="G1191" s="24">
        <f t="shared" si="144"/>
        <v>4073132000000</v>
      </c>
      <c r="H1191" s="24">
        <f>Data!G1191</f>
        <v>9091174000000</v>
      </c>
      <c r="I1191" s="25">
        <f t="shared" si="145"/>
        <v>2.9390864062221227</v>
      </c>
      <c r="J1191" s="24">
        <f>Data!J1191</f>
        <v>2273421000000</v>
      </c>
      <c r="K1191" s="24">
        <f t="shared" si="146"/>
        <v>9091174000000</v>
      </c>
      <c r="L1191" s="25">
        <f t="shared" si="147"/>
        <v>0.81522501494306454</v>
      </c>
      <c r="M1191" s="24">
        <f>Data!M1191</f>
        <v>182917000000</v>
      </c>
      <c r="N1191" s="24">
        <f t="shared" si="148"/>
        <v>9091174000000</v>
      </c>
      <c r="O1191" s="25">
        <f t="shared" si="149"/>
        <v>0.13520830642995063</v>
      </c>
      <c r="P1191" s="24">
        <f>Data!K1191</f>
        <v>3309243000000</v>
      </c>
      <c r="Q1191" s="24">
        <f>Data!I1191</f>
        <v>5778925000000</v>
      </c>
      <c r="R1191" s="25">
        <f t="shared" si="150"/>
        <v>0.60127188880284832</v>
      </c>
      <c r="S1191" s="25">
        <f t="shared" si="151"/>
        <v>4.4907916163979866</v>
      </c>
    </row>
    <row r="1192" spans="1:19" ht="15" customHeight="1" x14ac:dyDescent="0.3">
      <c r="A1192" s="22"/>
      <c r="B1192" s="23"/>
      <c r="C1192" s="2"/>
      <c r="D1192" s="23">
        <v>2016</v>
      </c>
      <c r="E1192" s="24">
        <f>Data!F1192</f>
        <v>5875655000000</v>
      </c>
      <c r="F1192" s="24">
        <f>Data!H1192</f>
        <v>1883912000000</v>
      </c>
      <c r="G1192" s="24">
        <f t="shared" si="144"/>
        <v>3991743000000</v>
      </c>
      <c r="H1192" s="24">
        <f>Data!G1192</f>
        <v>8872768000000</v>
      </c>
      <c r="I1192" s="25">
        <f t="shared" si="145"/>
        <v>2.9512587368451424</v>
      </c>
      <c r="J1192" s="24">
        <f>Data!J1192</f>
        <v>2430826000000</v>
      </c>
      <c r="K1192" s="24">
        <f t="shared" si="146"/>
        <v>8872768000000</v>
      </c>
      <c r="L1192" s="25">
        <f t="shared" si="147"/>
        <v>0.89312520737609724</v>
      </c>
      <c r="M1192" s="24">
        <f>Data!M1192</f>
        <v>207711000000</v>
      </c>
      <c r="N1192" s="24">
        <f t="shared" si="148"/>
        <v>8872768000000</v>
      </c>
      <c r="O1192" s="25">
        <f t="shared" si="149"/>
        <v>0.15731482216147205</v>
      </c>
      <c r="P1192" s="24">
        <f>Data!K1192</f>
        <v>3393737000000</v>
      </c>
      <c r="Q1192" s="24">
        <f>Data!I1192</f>
        <v>5474975000000</v>
      </c>
      <c r="R1192" s="25">
        <f t="shared" si="150"/>
        <v>0.6508566431810191</v>
      </c>
      <c r="S1192" s="25">
        <f t="shared" si="151"/>
        <v>4.65255540956373</v>
      </c>
    </row>
    <row r="1193" spans="1:19" ht="15" customHeight="1" x14ac:dyDescent="0.3">
      <c r="A1193" s="22"/>
      <c r="B1193" s="23"/>
      <c r="C1193" s="2"/>
      <c r="D1193" s="23">
        <v>2017</v>
      </c>
      <c r="E1193" s="24">
        <f>Data!F1193</f>
        <v>3639342000000</v>
      </c>
      <c r="F1193" s="24">
        <f>Data!H1193</f>
        <v>1390252000000</v>
      </c>
      <c r="G1193" s="24">
        <f t="shared" si="144"/>
        <v>2249090000000</v>
      </c>
      <c r="H1193" s="24">
        <f>Data!G1193</f>
        <v>8165389000000</v>
      </c>
      <c r="I1193" s="25">
        <f t="shared" si="145"/>
        <v>1.8068986547977077</v>
      </c>
      <c r="J1193" s="24">
        <f>Data!J1193</f>
        <v>2678398000000</v>
      </c>
      <c r="K1193" s="24">
        <f t="shared" si="146"/>
        <v>8165389000000</v>
      </c>
      <c r="L1193" s="25">
        <f t="shared" si="147"/>
        <v>1.069340049812691</v>
      </c>
      <c r="M1193" s="24">
        <f>Data!M1193</f>
        <v>352725000000</v>
      </c>
      <c r="N1193" s="24">
        <f t="shared" si="148"/>
        <v>8165389000000</v>
      </c>
      <c r="O1193" s="25">
        <f t="shared" si="149"/>
        <v>0.29028770092888406</v>
      </c>
      <c r="P1193" s="24">
        <f>Data!K1193</f>
        <v>3709251000000</v>
      </c>
      <c r="Q1193" s="24">
        <f>Data!I1193</f>
        <v>4449194000000</v>
      </c>
      <c r="R1193" s="25">
        <f t="shared" si="150"/>
        <v>0.87537507917164326</v>
      </c>
      <c r="S1193" s="25">
        <f t="shared" si="151"/>
        <v>4.0419014847109258</v>
      </c>
    </row>
    <row r="1194" spans="1:19" ht="15" customHeight="1" x14ac:dyDescent="0.3">
      <c r="A1194" s="22"/>
      <c r="B1194" s="23"/>
      <c r="C1194" s="2"/>
      <c r="D1194" s="23">
        <v>2018</v>
      </c>
      <c r="E1194" s="24">
        <f>Data!F1194</f>
        <v>4936228000000</v>
      </c>
      <c r="F1194" s="24">
        <f>Data!H1194</f>
        <v>1808654000000</v>
      </c>
      <c r="G1194" s="24">
        <f t="shared" si="144"/>
        <v>3127574000000</v>
      </c>
      <c r="H1194" s="24">
        <f>Data!G1194</f>
        <v>10452506000000</v>
      </c>
      <c r="I1194" s="25">
        <f t="shared" si="145"/>
        <v>1.962867607059972</v>
      </c>
      <c r="J1194" s="24">
        <f>Data!J1194</f>
        <v>3557283000000</v>
      </c>
      <c r="K1194" s="24">
        <f t="shared" si="146"/>
        <v>10452506000000</v>
      </c>
      <c r="L1194" s="25">
        <f t="shared" si="147"/>
        <v>1.1094700715790069</v>
      </c>
      <c r="M1194" s="24">
        <f>Data!M1194</f>
        <v>290982000000</v>
      </c>
      <c r="N1194" s="24">
        <f t="shared" si="148"/>
        <v>10452506000000</v>
      </c>
      <c r="O1194" s="25">
        <f t="shared" si="149"/>
        <v>0.18707466324343655</v>
      </c>
      <c r="P1194" s="24">
        <f>Data!K1194</f>
        <v>4667403000000</v>
      </c>
      <c r="Q1194" s="24">
        <f>Data!I1194</f>
        <v>5785103000000</v>
      </c>
      <c r="R1194" s="25">
        <f t="shared" si="150"/>
        <v>0.84713671476549346</v>
      </c>
      <c r="S1194" s="25">
        <f t="shared" si="151"/>
        <v>4.1065490566479088</v>
      </c>
    </row>
    <row r="1195" spans="1:19" ht="15" customHeight="1" x14ac:dyDescent="0.3">
      <c r="A1195" s="22"/>
      <c r="B1195" s="23"/>
      <c r="C1195" s="2"/>
      <c r="D1195" s="23">
        <v>2019</v>
      </c>
      <c r="E1195" s="24">
        <f>Data!F1195</f>
        <v>8562448000000</v>
      </c>
      <c r="F1195" s="24">
        <f>Data!H1195</f>
        <v>1880432000000</v>
      </c>
      <c r="G1195" s="24">
        <f t="shared" si="144"/>
        <v>6682016000000</v>
      </c>
      <c r="H1195" s="24">
        <f>Data!G1195</f>
        <v>12848766000000</v>
      </c>
      <c r="I1195" s="25">
        <f t="shared" si="145"/>
        <v>3.4115357817240968</v>
      </c>
      <c r="J1195" s="24">
        <f>Data!J1195</f>
        <v>3873587000000</v>
      </c>
      <c r="K1195" s="24">
        <f t="shared" si="146"/>
        <v>12848766000000</v>
      </c>
      <c r="L1195" s="25">
        <f t="shared" si="147"/>
        <v>0.98280983714700698</v>
      </c>
      <c r="M1195" s="24">
        <f>Data!M1195</f>
        <v>447018000000</v>
      </c>
      <c r="N1195" s="24">
        <f t="shared" si="148"/>
        <v>12848766000000</v>
      </c>
      <c r="O1195" s="25">
        <f t="shared" si="149"/>
        <v>0.23379373240978937</v>
      </c>
      <c r="P1195" s="24">
        <f>Data!K1195</f>
        <v>5024879000000</v>
      </c>
      <c r="Q1195" s="24">
        <f>Data!I1195</f>
        <v>7823887000000</v>
      </c>
      <c r="R1195" s="25">
        <f t="shared" si="150"/>
        <v>0.67436083240977274</v>
      </c>
      <c r="S1195" s="25">
        <f t="shared" si="151"/>
        <v>5.3025001836906664</v>
      </c>
    </row>
    <row r="1196" spans="1:19" ht="15" customHeight="1" x14ac:dyDescent="0.3">
      <c r="A1196" s="22"/>
      <c r="B1196" s="23"/>
      <c r="C1196" s="2"/>
      <c r="D1196" s="23">
        <v>2020</v>
      </c>
      <c r="E1196" s="24">
        <f>Data!F1196</f>
        <v>6504646000000</v>
      </c>
      <c r="F1196" s="24">
        <f>Data!H1196</f>
        <v>1836937000000</v>
      </c>
      <c r="G1196" s="24">
        <f t="shared" si="144"/>
        <v>4667709000000</v>
      </c>
      <c r="H1196" s="24">
        <f>Data!G1196</f>
        <v>12366469000000</v>
      </c>
      <c r="I1196" s="25">
        <f t="shared" si="145"/>
        <v>2.4760641893817872</v>
      </c>
      <c r="J1196" s="24">
        <f>Data!J1196</f>
        <v>3995872000000</v>
      </c>
      <c r="K1196" s="24">
        <f t="shared" si="146"/>
        <v>12366469000000</v>
      </c>
      <c r="L1196" s="25">
        <f t="shared" si="147"/>
        <v>1.0533760865773405</v>
      </c>
      <c r="M1196" s="24">
        <f>Data!M1196</f>
        <v>306600000000</v>
      </c>
      <c r="N1196" s="24">
        <f t="shared" si="148"/>
        <v>12366469000000</v>
      </c>
      <c r="O1196" s="25">
        <f t="shared" si="149"/>
        <v>0.16660794605153662</v>
      </c>
      <c r="P1196" s="24">
        <f>Data!K1196</f>
        <v>5218711000000</v>
      </c>
      <c r="Q1196" s="24">
        <f>Data!I1196</f>
        <v>7147757000000</v>
      </c>
      <c r="R1196" s="25">
        <f t="shared" si="150"/>
        <v>0.76662462783779584</v>
      </c>
      <c r="S1196" s="25">
        <f t="shared" si="151"/>
        <v>4.4626728498484605</v>
      </c>
    </row>
    <row r="1197" spans="1:19" ht="15" customHeight="1" x14ac:dyDescent="0.3">
      <c r="A1197" s="22"/>
      <c r="B1197" s="23"/>
      <c r="C1197" s="2"/>
      <c r="D1197" s="23">
        <v>2021</v>
      </c>
      <c r="E1197" s="24">
        <f>Data!F1197</f>
        <v>7104963000000</v>
      </c>
      <c r="F1197" s="24">
        <f>Data!H1197</f>
        <v>2241147000000</v>
      </c>
      <c r="G1197" s="24">
        <f t="shared" si="144"/>
        <v>4863816000000</v>
      </c>
      <c r="H1197" s="24">
        <f>Data!G1197</f>
        <v>12838271000000</v>
      </c>
      <c r="I1197" s="25">
        <f t="shared" si="145"/>
        <v>2.4852749221448898</v>
      </c>
      <c r="J1197" s="24">
        <f>Data!J1197</f>
        <v>4138263000000</v>
      </c>
      <c r="K1197" s="24">
        <f t="shared" si="146"/>
        <v>12838271000000</v>
      </c>
      <c r="L1197" s="25">
        <f t="shared" si="147"/>
        <v>1.0508219821812452</v>
      </c>
      <c r="M1197" s="24">
        <f>Data!M1197</f>
        <v>287822000000</v>
      </c>
      <c r="N1197" s="24">
        <f t="shared" si="148"/>
        <v>12838271000000</v>
      </c>
      <c r="O1197" s="25">
        <f t="shared" si="149"/>
        <v>0.15065610003091537</v>
      </c>
      <c r="P1197" s="24">
        <f>Data!K1197</f>
        <v>5340392000000</v>
      </c>
      <c r="Q1197" s="24">
        <f>Data!I1197</f>
        <v>7497879000000</v>
      </c>
      <c r="R1197" s="25">
        <f t="shared" si="150"/>
        <v>0.74786637661130562</v>
      </c>
      <c r="S1197" s="25">
        <f t="shared" si="151"/>
        <v>4.4346193809683561</v>
      </c>
    </row>
    <row r="1198" spans="1:19" ht="15" customHeight="1" x14ac:dyDescent="0.3">
      <c r="A1198" s="22"/>
      <c r="B1198" s="23"/>
      <c r="C1198" s="2"/>
      <c r="D1198" s="23">
        <v>2022</v>
      </c>
      <c r="E1198" s="24">
        <f>Data!F1198</f>
        <v>7354677000000</v>
      </c>
      <c r="F1198" s="24">
        <f>Data!H1198</f>
        <v>2147657000000</v>
      </c>
      <c r="G1198" s="24">
        <f t="shared" si="144"/>
        <v>5207020000000</v>
      </c>
      <c r="H1198" s="24">
        <f>Data!G1198</f>
        <v>13358610000000</v>
      </c>
      <c r="I1198" s="25">
        <f t="shared" si="145"/>
        <v>2.557006395126439</v>
      </c>
      <c r="J1198" s="24">
        <f>Data!J1198</f>
        <v>4409120000000</v>
      </c>
      <c r="K1198" s="24">
        <f t="shared" si="146"/>
        <v>13358610000000</v>
      </c>
      <c r="L1198" s="25">
        <f t="shared" si="147"/>
        <v>1.075990031897031</v>
      </c>
      <c r="M1198" s="24">
        <f>Data!M1198</f>
        <v>498552000000</v>
      </c>
      <c r="N1198" s="24">
        <f t="shared" si="148"/>
        <v>13358610000000</v>
      </c>
      <c r="O1198" s="25">
        <f t="shared" si="149"/>
        <v>0.25079476382647597</v>
      </c>
      <c r="P1198" s="24">
        <f>Data!K1198</f>
        <v>5603741000000</v>
      </c>
      <c r="Q1198" s="24">
        <f>Data!I1198</f>
        <v>7754869000000</v>
      </c>
      <c r="R1198" s="25">
        <f t="shared" si="150"/>
        <v>0.75873983815845258</v>
      </c>
      <c r="S1198" s="25">
        <f t="shared" si="151"/>
        <v>4.6425310290083983</v>
      </c>
    </row>
    <row r="1199" spans="1:19" ht="15" customHeight="1" x14ac:dyDescent="0.3">
      <c r="A1199" s="22"/>
      <c r="B1199" s="23"/>
      <c r="C1199" s="2"/>
      <c r="D1199" s="23">
        <v>2023</v>
      </c>
      <c r="E1199" s="24">
        <f>Data!F1199</f>
        <v>7972310000000</v>
      </c>
      <c r="F1199" s="24">
        <f>Data!H1199</f>
        <v>3065006000000</v>
      </c>
      <c r="G1199" s="24">
        <f t="shared" si="144"/>
        <v>4907304000000</v>
      </c>
      <c r="H1199" s="24">
        <f>Data!G1199</f>
        <v>16003743000000</v>
      </c>
      <c r="I1199" s="25">
        <f t="shared" si="145"/>
        <v>2.0115240690880878</v>
      </c>
      <c r="J1199" s="24">
        <f>Data!J1199</f>
        <v>5416082000000</v>
      </c>
      <c r="K1199" s="24">
        <f t="shared" si="146"/>
        <v>16003743000000</v>
      </c>
      <c r="L1199" s="25">
        <f t="shared" si="147"/>
        <v>1.1032686115991739</v>
      </c>
      <c r="M1199" s="24">
        <f>Data!M1199</f>
        <v>1562367000000</v>
      </c>
      <c r="N1199" s="24">
        <f t="shared" si="148"/>
        <v>16003743000000</v>
      </c>
      <c r="O1199" s="25">
        <f t="shared" si="149"/>
        <v>0.65604066748634982</v>
      </c>
      <c r="P1199" s="24">
        <f>Data!K1199</f>
        <v>6652105000000</v>
      </c>
      <c r="Q1199" s="24">
        <f>Data!I1199</f>
        <v>9351637000000</v>
      </c>
      <c r="R1199" s="25">
        <f t="shared" si="150"/>
        <v>0.74689706732628736</v>
      </c>
      <c r="S1199" s="25">
        <f t="shared" si="151"/>
        <v>4.5177304154998987</v>
      </c>
    </row>
    <row r="1200" spans="1:19" ht="15" customHeight="1" x14ac:dyDescent="0.3">
      <c r="A1200" s="22"/>
      <c r="B1200" s="23"/>
      <c r="C1200" s="2"/>
      <c r="D1200" s="23">
        <v>2024</v>
      </c>
      <c r="E1200" s="24">
        <f>Data!F1200</f>
        <v>8422810000000</v>
      </c>
      <c r="F1200" s="24">
        <f>Data!H1200</f>
        <v>2654735000000</v>
      </c>
      <c r="G1200" s="24">
        <f t="shared" si="144"/>
        <v>5768075000000</v>
      </c>
      <c r="H1200" s="24">
        <f>Data!G1200</f>
        <v>15761233000000</v>
      </c>
      <c r="I1200" s="25">
        <f t="shared" si="145"/>
        <v>2.4007367951479428</v>
      </c>
      <c r="J1200" s="24">
        <f>Data!J1200</f>
        <v>5624497000000</v>
      </c>
      <c r="K1200" s="24">
        <f t="shared" si="146"/>
        <v>15761233000000</v>
      </c>
      <c r="L1200" s="25">
        <f t="shared" si="147"/>
        <v>1.1633518913145944</v>
      </c>
      <c r="M1200" s="24">
        <f>Data!M1200</f>
        <v>803165000000</v>
      </c>
      <c r="N1200" s="24">
        <f t="shared" si="148"/>
        <v>15761233000000</v>
      </c>
      <c r="O1200" s="25">
        <f t="shared" si="149"/>
        <v>0.34243950330535688</v>
      </c>
      <c r="P1200" s="24">
        <f>Data!K1200</f>
        <v>5768032000000</v>
      </c>
      <c r="Q1200" s="24">
        <f>Data!I1200</f>
        <v>9993200000000</v>
      </c>
      <c r="R1200" s="25">
        <f t="shared" si="150"/>
        <v>0.60605547772485291</v>
      </c>
      <c r="S1200" s="25">
        <f t="shared" si="151"/>
        <v>4.5125836674927475</v>
      </c>
    </row>
    <row r="1201" spans="1:19" ht="15" customHeight="1" x14ac:dyDescent="0.3">
      <c r="A1201" s="22"/>
      <c r="B1201" s="23">
        <v>110</v>
      </c>
      <c r="C1201" s="2" t="s">
        <v>66</v>
      </c>
      <c r="D1201" s="23">
        <v>2014</v>
      </c>
      <c r="E1201" s="24">
        <f>Data!F1201</f>
        <v>0</v>
      </c>
      <c r="F1201" s="24">
        <f>Data!H1201</f>
        <v>0</v>
      </c>
      <c r="G1201" s="24">
        <f t="shared" si="144"/>
        <v>0</v>
      </c>
      <c r="H1201" s="24">
        <f>Data!G1201</f>
        <v>0</v>
      </c>
      <c r="I1201" s="25">
        <f t="shared" si="145"/>
        <v>0</v>
      </c>
      <c r="J1201" s="24">
        <f>Data!J1201</f>
        <v>0</v>
      </c>
      <c r="K1201" s="24">
        <f t="shared" si="146"/>
        <v>0</v>
      </c>
      <c r="L1201" s="25">
        <f t="shared" si="147"/>
        <v>0</v>
      </c>
      <c r="M1201" s="24">
        <f>Data!M1201</f>
        <v>0</v>
      </c>
      <c r="N1201" s="24">
        <f t="shared" si="148"/>
        <v>0</v>
      </c>
      <c r="O1201" s="25">
        <f t="shared" si="149"/>
        <v>0</v>
      </c>
      <c r="P1201" s="24">
        <f>Data!K1201</f>
        <v>0</v>
      </c>
      <c r="Q1201" s="24">
        <f>Data!I1201</f>
        <v>0</v>
      </c>
      <c r="R1201" s="25">
        <f t="shared" si="150"/>
        <v>0</v>
      </c>
      <c r="S1201" s="25">
        <f t="shared" si="151"/>
        <v>0</v>
      </c>
    </row>
    <row r="1202" spans="1:19" ht="15" customHeight="1" x14ac:dyDescent="0.3">
      <c r="A1202" s="22"/>
      <c r="B1202" s="23"/>
      <c r="C1202" s="2"/>
      <c r="D1202" s="23">
        <v>2015</v>
      </c>
      <c r="E1202" s="24">
        <f>Data!F1202</f>
        <v>134022000000</v>
      </c>
      <c r="F1202" s="24">
        <f>Data!H1202</f>
        <v>301178000000</v>
      </c>
      <c r="G1202" s="24">
        <f t="shared" si="144"/>
        <v>-167156000000</v>
      </c>
      <c r="H1202" s="24">
        <f>Data!G1202</f>
        <v>898627000000</v>
      </c>
      <c r="I1202" s="25">
        <f t="shared" si="145"/>
        <v>-1.2202430596899492</v>
      </c>
      <c r="J1202" s="24">
        <f>Data!J1202</f>
        <v>125867000000</v>
      </c>
      <c r="K1202" s="24">
        <f t="shared" si="146"/>
        <v>898627000000</v>
      </c>
      <c r="L1202" s="25">
        <f t="shared" si="147"/>
        <v>0.45661483574386258</v>
      </c>
      <c r="M1202" s="24">
        <f>Data!M1202</f>
        <v>45516000000</v>
      </c>
      <c r="N1202" s="24">
        <f t="shared" si="148"/>
        <v>898627000000</v>
      </c>
      <c r="O1202" s="25">
        <f t="shared" si="149"/>
        <v>0.34037205648172153</v>
      </c>
      <c r="P1202" s="24">
        <f>Data!K1202</f>
        <v>321230000000</v>
      </c>
      <c r="Q1202" s="24">
        <f>Data!I1202</f>
        <v>577397000000</v>
      </c>
      <c r="R1202" s="25">
        <f t="shared" si="150"/>
        <v>0.58415873307273858</v>
      </c>
      <c r="S1202" s="25">
        <f t="shared" si="151"/>
        <v>0.16090256560837357</v>
      </c>
    </row>
    <row r="1203" spans="1:19" ht="15" customHeight="1" x14ac:dyDescent="0.3">
      <c r="A1203" s="22"/>
      <c r="B1203" s="23"/>
      <c r="C1203" s="2"/>
      <c r="D1203" s="23">
        <v>2016</v>
      </c>
      <c r="E1203" s="24">
        <f>Data!F1203</f>
        <v>173448000000</v>
      </c>
      <c r="F1203" s="24">
        <f>Data!H1203</f>
        <v>394427000000</v>
      </c>
      <c r="G1203" s="24">
        <f t="shared" si="144"/>
        <v>-220979000000</v>
      </c>
      <c r="H1203" s="24">
        <f>Data!G1203</f>
        <v>1133794000000</v>
      </c>
      <c r="I1203" s="25">
        <f t="shared" si="145"/>
        <v>-1.2785587505314016</v>
      </c>
      <c r="J1203" s="24">
        <f>Data!J1203</f>
        <v>182195000000</v>
      </c>
      <c r="K1203" s="24">
        <f t="shared" si="146"/>
        <v>1133794000000</v>
      </c>
      <c r="L1203" s="25">
        <f t="shared" si="147"/>
        <v>0.52386562285565108</v>
      </c>
      <c r="M1203" s="24">
        <f>Data!M1203</f>
        <v>61465000000</v>
      </c>
      <c r="N1203" s="24">
        <f t="shared" si="148"/>
        <v>1133794000000</v>
      </c>
      <c r="O1203" s="25">
        <f t="shared" si="149"/>
        <v>0.36430321557531614</v>
      </c>
      <c r="P1203" s="24">
        <f>Data!K1203</f>
        <v>373351000000</v>
      </c>
      <c r="Q1203" s="24">
        <f>Data!I1203</f>
        <v>760443000000</v>
      </c>
      <c r="R1203" s="25">
        <f t="shared" si="150"/>
        <v>0.51551339153624931</v>
      </c>
      <c r="S1203" s="25">
        <f t="shared" si="151"/>
        <v>0.12512347943581498</v>
      </c>
    </row>
    <row r="1204" spans="1:19" ht="15" customHeight="1" x14ac:dyDescent="0.3">
      <c r="A1204" s="22"/>
      <c r="B1204" s="23"/>
      <c r="C1204" s="2"/>
      <c r="D1204" s="23">
        <v>2017</v>
      </c>
      <c r="E1204" s="24">
        <f>Data!F1204</f>
        <v>196594000000</v>
      </c>
      <c r="F1204" s="24">
        <f>Data!H1204</f>
        <v>515658000000</v>
      </c>
      <c r="G1204" s="24">
        <f t="shared" si="144"/>
        <v>-319064000000</v>
      </c>
      <c r="H1204" s="24">
        <f>Data!G1204</f>
        <v>1430475000000</v>
      </c>
      <c r="I1204" s="25">
        <f t="shared" si="145"/>
        <v>-1.4631921844142679</v>
      </c>
      <c r="J1204" s="24">
        <f>Data!J1204</f>
        <v>245373000000</v>
      </c>
      <c r="K1204" s="24">
        <f t="shared" si="146"/>
        <v>1430475000000</v>
      </c>
      <c r="L1204" s="25">
        <f t="shared" si="147"/>
        <v>0.55919605725370936</v>
      </c>
      <c r="M1204" s="24">
        <f>Data!M1204</f>
        <v>70087000000</v>
      </c>
      <c r="N1204" s="24">
        <f t="shared" si="148"/>
        <v>1430475000000</v>
      </c>
      <c r="O1204" s="25">
        <f t="shared" si="149"/>
        <v>0.32925052167986157</v>
      </c>
      <c r="P1204" s="24">
        <f>Data!K1204</f>
        <v>445305000000</v>
      </c>
      <c r="Q1204" s="24">
        <f>Data!I1204</f>
        <v>985170000000</v>
      </c>
      <c r="R1204" s="25">
        <f t="shared" si="150"/>
        <v>0.47460869697615643</v>
      </c>
      <c r="S1204" s="25">
        <f t="shared" si="151"/>
        <v>-0.10013690850454054</v>
      </c>
    </row>
    <row r="1205" spans="1:19" ht="15" customHeight="1" x14ac:dyDescent="0.3">
      <c r="A1205" s="22"/>
      <c r="B1205" s="23"/>
      <c r="C1205" s="2"/>
      <c r="D1205" s="23">
        <v>2018</v>
      </c>
      <c r="E1205" s="24">
        <f>Data!F1205</f>
        <v>291073000000</v>
      </c>
      <c r="F1205" s="24">
        <f>Data!H1205</f>
        <v>608232000000</v>
      </c>
      <c r="G1205" s="24">
        <f t="shared" si="144"/>
        <v>-317159000000</v>
      </c>
      <c r="H1205" s="24">
        <f>Data!G1205</f>
        <v>1765350000000</v>
      </c>
      <c r="I1205" s="25">
        <f t="shared" si="145"/>
        <v>-1.1785555498909563</v>
      </c>
      <c r="J1205" s="24">
        <f>Data!J1205</f>
        <v>332623000000</v>
      </c>
      <c r="K1205" s="24">
        <f t="shared" si="146"/>
        <v>1765350000000</v>
      </c>
      <c r="L1205" s="25">
        <f t="shared" si="147"/>
        <v>0.61424135723794149</v>
      </c>
      <c r="M1205" s="24">
        <f>Data!M1205</f>
        <v>99811000000</v>
      </c>
      <c r="N1205" s="24">
        <f t="shared" si="148"/>
        <v>1765350000000</v>
      </c>
      <c r="O1205" s="25">
        <f t="shared" si="149"/>
        <v>0.37994160931260085</v>
      </c>
      <c r="P1205" s="24">
        <f>Data!K1205</f>
        <v>525277000000</v>
      </c>
      <c r="Q1205" s="24">
        <f>Data!I1205</f>
        <v>1240072000000</v>
      </c>
      <c r="R1205" s="25">
        <f t="shared" si="150"/>
        <v>0.44476518298937484</v>
      </c>
      <c r="S1205" s="25">
        <f t="shared" si="151"/>
        <v>0.26039259964896083</v>
      </c>
    </row>
    <row r="1206" spans="1:19" ht="15" customHeight="1" x14ac:dyDescent="0.3">
      <c r="A1206" s="22"/>
      <c r="B1206" s="23"/>
      <c r="C1206" s="2"/>
      <c r="D1206" s="23">
        <v>2019</v>
      </c>
      <c r="E1206" s="24">
        <f>Data!F1206</f>
        <v>369700000000</v>
      </c>
      <c r="F1206" s="24">
        <f>Data!H1206</f>
        <v>650813000000</v>
      </c>
      <c r="G1206" s="24">
        <f t="shared" si="144"/>
        <v>-281113000000</v>
      </c>
      <c r="H1206" s="24">
        <f>Data!G1206</f>
        <v>2060362000000</v>
      </c>
      <c r="I1206" s="25">
        <f t="shared" si="145"/>
        <v>-0.8950375128254161</v>
      </c>
      <c r="J1206" s="24">
        <f>Data!J1206</f>
        <v>456095000000</v>
      </c>
      <c r="K1206" s="24">
        <f t="shared" si="146"/>
        <v>2060362000000</v>
      </c>
      <c r="L1206" s="25">
        <f t="shared" si="147"/>
        <v>0.72165459273661614</v>
      </c>
      <c r="M1206" s="24">
        <f>Data!M1206</f>
        <v>144353000000</v>
      </c>
      <c r="N1206" s="24">
        <f t="shared" si="148"/>
        <v>2060362000000</v>
      </c>
      <c r="O1206" s="25">
        <f t="shared" si="149"/>
        <v>0.47081637110371866</v>
      </c>
      <c r="P1206" s="24">
        <f>Data!K1206</f>
        <v>664200000000</v>
      </c>
      <c r="Q1206" s="24">
        <f>Data!I1206</f>
        <v>1396162000000</v>
      </c>
      <c r="R1206" s="25">
        <f t="shared" si="150"/>
        <v>0.49951939674622287</v>
      </c>
      <c r="S1206" s="25">
        <f t="shared" si="151"/>
        <v>0.79695284776114161</v>
      </c>
    </row>
    <row r="1207" spans="1:19" ht="15" customHeight="1" x14ac:dyDescent="0.3">
      <c r="A1207" s="22"/>
      <c r="B1207" s="23"/>
      <c r="C1207" s="2"/>
      <c r="D1207" s="23">
        <v>2020</v>
      </c>
      <c r="E1207" s="24">
        <f>Data!F1207</f>
        <v>380413000000</v>
      </c>
      <c r="F1207" s="24">
        <f>Data!H1207</f>
        <v>494639000000</v>
      </c>
      <c r="G1207" s="24">
        <f t="shared" si="144"/>
        <v>-114226000000</v>
      </c>
      <c r="H1207" s="24">
        <f>Data!G1207</f>
        <v>2127340000000</v>
      </c>
      <c r="I1207" s="25">
        <f t="shared" si="145"/>
        <v>-0.35223450882322521</v>
      </c>
      <c r="J1207" s="24">
        <f>Data!J1207</f>
        <v>579656000000</v>
      </c>
      <c r="K1207" s="24">
        <f t="shared" si="146"/>
        <v>2127340000000</v>
      </c>
      <c r="L1207" s="25">
        <f t="shared" si="147"/>
        <v>0.88828234320794974</v>
      </c>
      <c r="M1207" s="24">
        <f>Data!M1207</f>
        <v>148418000000</v>
      </c>
      <c r="N1207" s="24">
        <f t="shared" si="148"/>
        <v>2127340000000</v>
      </c>
      <c r="O1207" s="25">
        <f t="shared" si="149"/>
        <v>0.46883383004127216</v>
      </c>
      <c r="P1207" s="24">
        <f>Data!K1207</f>
        <v>802062000000</v>
      </c>
      <c r="Q1207" s="24">
        <f>Data!I1207</f>
        <v>1325278000000</v>
      </c>
      <c r="R1207" s="25">
        <f t="shared" si="150"/>
        <v>0.63546297456080914</v>
      </c>
      <c r="S1207" s="25">
        <f t="shared" si="151"/>
        <v>1.6403446389868059</v>
      </c>
    </row>
    <row r="1208" spans="1:19" ht="15" customHeight="1" x14ac:dyDescent="0.3">
      <c r="A1208" s="22"/>
      <c r="B1208" s="23"/>
      <c r="C1208" s="2"/>
      <c r="D1208" s="23">
        <v>2021</v>
      </c>
      <c r="E1208" s="24">
        <f>Data!F1208</f>
        <v>601456000000</v>
      </c>
      <c r="F1208" s="24">
        <f>Data!H1208</f>
        <v>496923000000</v>
      </c>
      <c r="G1208" s="24">
        <f t="shared" si="144"/>
        <v>104533000000</v>
      </c>
      <c r="H1208" s="24">
        <f>Data!G1208</f>
        <v>2305472000000</v>
      </c>
      <c r="I1208" s="25">
        <f t="shared" si="145"/>
        <v>0.29743865030674849</v>
      </c>
      <c r="J1208" s="24">
        <f>Data!J1208</f>
        <v>713761000000</v>
      </c>
      <c r="K1208" s="24">
        <f t="shared" si="146"/>
        <v>2305472000000</v>
      </c>
      <c r="L1208" s="25">
        <f t="shared" si="147"/>
        <v>1.0092774321266966</v>
      </c>
      <c r="M1208" s="24">
        <f>Data!M1208</f>
        <v>154955000000</v>
      </c>
      <c r="N1208" s="24">
        <f t="shared" si="148"/>
        <v>2305472000000</v>
      </c>
      <c r="O1208" s="25">
        <f t="shared" si="149"/>
        <v>0.45166352052855119</v>
      </c>
      <c r="P1208" s="24">
        <f>Data!K1208</f>
        <v>928725000000</v>
      </c>
      <c r="Q1208" s="24">
        <f>Data!I1208</f>
        <v>1376746000000</v>
      </c>
      <c r="R1208" s="25">
        <f t="shared" si="150"/>
        <v>0.70830875847832497</v>
      </c>
      <c r="S1208" s="25">
        <f t="shared" si="151"/>
        <v>2.4666883614403217</v>
      </c>
    </row>
    <row r="1209" spans="1:19" ht="15" customHeight="1" x14ac:dyDescent="0.3">
      <c r="A1209" s="22"/>
      <c r="B1209" s="23"/>
      <c r="C1209" s="2"/>
      <c r="D1209" s="23">
        <v>2022</v>
      </c>
      <c r="E1209" s="24">
        <f>Data!F1209</f>
        <v>312471000000</v>
      </c>
      <c r="F1209" s="24">
        <f>Data!H1209</f>
        <v>552127000000</v>
      </c>
      <c r="G1209" s="24">
        <f t="shared" si="144"/>
        <v>-239656000000</v>
      </c>
      <c r="H1209" s="24">
        <f>Data!G1209</f>
        <v>2431927000000</v>
      </c>
      <c r="I1209" s="25">
        <f t="shared" si="145"/>
        <v>-0.6464599307462765</v>
      </c>
      <c r="J1209" s="24">
        <f>Data!J1209</f>
        <v>862936000000</v>
      </c>
      <c r="K1209" s="24">
        <f t="shared" si="146"/>
        <v>2431927000000</v>
      </c>
      <c r="L1209" s="25">
        <f t="shared" si="147"/>
        <v>1.1567663667536072</v>
      </c>
      <c r="M1209" s="24">
        <f>Data!M1209</f>
        <v>175679000000</v>
      </c>
      <c r="N1209" s="24">
        <f t="shared" si="148"/>
        <v>2431927000000</v>
      </c>
      <c r="O1209" s="25">
        <f t="shared" si="149"/>
        <v>0.48544338707535212</v>
      </c>
      <c r="P1209" s="24">
        <f>Data!K1209</f>
        <v>1064050000000</v>
      </c>
      <c r="Q1209" s="24">
        <f>Data!I1209</f>
        <v>1367878000000</v>
      </c>
      <c r="R1209" s="25">
        <f t="shared" si="150"/>
        <v>0.81677788516227334</v>
      </c>
      <c r="S1209" s="25">
        <f t="shared" si="151"/>
        <v>1.8125277082449562</v>
      </c>
    </row>
    <row r="1210" spans="1:19" ht="15" customHeight="1" x14ac:dyDescent="0.3">
      <c r="A1210" s="22"/>
      <c r="B1210" s="23"/>
      <c r="C1210" s="2"/>
      <c r="D1210" s="23">
        <v>2023</v>
      </c>
      <c r="E1210" s="24">
        <f>Data!F1210</f>
        <v>614800000000</v>
      </c>
      <c r="F1210" s="24">
        <f>Data!H1210</f>
        <v>737034000000</v>
      </c>
      <c r="G1210" s="24">
        <f t="shared" si="144"/>
        <v>-122234000000</v>
      </c>
      <c r="H1210" s="24">
        <f>Data!G1210</f>
        <v>3005651000000</v>
      </c>
      <c r="I1210" s="25">
        <f t="shared" si="145"/>
        <v>-0.26678248406085736</v>
      </c>
      <c r="J1210" s="24">
        <f>Data!J1210</f>
        <v>1040747000000</v>
      </c>
      <c r="K1210" s="24">
        <f t="shared" si="146"/>
        <v>3005651000000</v>
      </c>
      <c r="L1210" s="25">
        <f t="shared" si="147"/>
        <v>1.1288187550716966</v>
      </c>
      <c r="M1210" s="24">
        <f>Data!M1210</f>
        <v>212767000000</v>
      </c>
      <c r="N1210" s="24">
        <f t="shared" si="148"/>
        <v>3005651000000</v>
      </c>
      <c r="O1210" s="25">
        <f t="shared" si="149"/>
        <v>0.47570201596925255</v>
      </c>
      <c r="P1210" s="24">
        <f>Data!K1210</f>
        <v>1244312000000</v>
      </c>
      <c r="Q1210" s="24">
        <f>Data!I1210</f>
        <v>1761339000000</v>
      </c>
      <c r="R1210" s="25">
        <f t="shared" si="150"/>
        <v>0.74178088374810303</v>
      </c>
      <c r="S1210" s="25">
        <f t="shared" si="151"/>
        <v>2.0795191707281946</v>
      </c>
    </row>
    <row r="1211" spans="1:19" ht="15" customHeight="1" x14ac:dyDescent="0.3">
      <c r="A1211" s="22"/>
      <c r="B1211" s="23"/>
      <c r="C1211" s="2"/>
      <c r="D1211" s="23">
        <v>2024</v>
      </c>
      <c r="E1211" s="24">
        <f>Data!F1211</f>
        <v>565555000000</v>
      </c>
      <c r="F1211" s="24">
        <f>Data!H1211</f>
        <v>876156000000</v>
      </c>
      <c r="G1211" s="24">
        <f t="shared" si="144"/>
        <v>-310601000000</v>
      </c>
      <c r="H1211" s="24">
        <f>Data!G1211</f>
        <v>3382556000000</v>
      </c>
      <c r="I1211" s="25">
        <f t="shared" si="145"/>
        <v>-0.60236772428896956</v>
      </c>
      <c r="J1211" s="24">
        <f>Data!J1211</f>
        <v>1178432000000</v>
      </c>
      <c r="K1211" s="24">
        <f t="shared" si="146"/>
        <v>3382556000000</v>
      </c>
      <c r="L1211" s="25">
        <f t="shared" si="147"/>
        <v>1.1357353196813296</v>
      </c>
      <c r="M1211" s="24">
        <f>Data!M1211</f>
        <v>265219000000</v>
      </c>
      <c r="N1211" s="24">
        <f t="shared" si="148"/>
        <v>3382556000000</v>
      </c>
      <c r="O1211" s="25">
        <f t="shared" si="149"/>
        <v>0.52690086431680661</v>
      </c>
      <c r="P1211" s="24">
        <f>Data!K1211</f>
        <v>1378271000000</v>
      </c>
      <c r="Q1211" s="24">
        <f>Data!I1211</f>
        <v>2007285000000</v>
      </c>
      <c r="R1211" s="25">
        <f t="shared" si="150"/>
        <v>0.72096615577758028</v>
      </c>
      <c r="S1211" s="25">
        <f t="shared" si="151"/>
        <v>1.7812346154867469</v>
      </c>
    </row>
    <row r="1212" spans="1:19" ht="15" customHeight="1" x14ac:dyDescent="0.3">
      <c r="A1212" s="22"/>
      <c r="B1212" s="23">
        <v>111</v>
      </c>
      <c r="C1212" s="2" t="s">
        <v>74</v>
      </c>
      <c r="D1212" s="23">
        <v>2014</v>
      </c>
      <c r="E1212" s="24">
        <f>Data!F1212</f>
        <v>0</v>
      </c>
      <c r="F1212" s="24">
        <f>Data!H1212</f>
        <v>0</v>
      </c>
      <c r="G1212" s="24">
        <f t="shared" si="144"/>
        <v>0</v>
      </c>
      <c r="H1212" s="24">
        <f>Data!G1212</f>
        <v>0</v>
      </c>
      <c r="I1212" s="25">
        <f t="shared" si="145"/>
        <v>0</v>
      </c>
      <c r="J1212" s="24">
        <f>Data!J1212</f>
        <v>0</v>
      </c>
      <c r="K1212" s="24">
        <f t="shared" si="146"/>
        <v>0</v>
      </c>
      <c r="L1212" s="25">
        <f t="shared" si="147"/>
        <v>0</v>
      </c>
      <c r="M1212" s="24">
        <f>Data!M1212</f>
        <v>0</v>
      </c>
      <c r="N1212" s="24">
        <f t="shared" si="148"/>
        <v>0</v>
      </c>
      <c r="O1212" s="25">
        <f t="shared" si="149"/>
        <v>0</v>
      </c>
      <c r="P1212" s="24">
        <f>Data!K1212</f>
        <v>0</v>
      </c>
      <c r="Q1212" s="24">
        <f>Data!I1212</f>
        <v>0</v>
      </c>
      <c r="R1212" s="25">
        <f t="shared" si="150"/>
        <v>0</v>
      </c>
      <c r="S1212" s="25">
        <f t="shared" si="151"/>
        <v>0</v>
      </c>
    </row>
    <row r="1213" spans="1:19" ht="15" customHeight="1" x14ac:dyDescent="0.3">
      <c r="A1213" s="22"/>
      <c r="B1213" s="23"/>
      <c r="C1213" s="2"/>
      <c r="D1213" s="23">
        <v>2015</v>
      </c>
      <c r="E1213" s="24">
        <f>Data!F1213</f>
        <v>234698000000</v>
      </c>
      <c r="F1213" s="24">
        <f>Data!H1213</f>
        <v>62788000000</v>
      </c>
      <c r="G1213" s="24">
        <f t="shared" si="144"/>
        <v>171910000000</v>
      </c>
      <c r="H1213" s="24">
        <f>Data!G1213</f>
        <v>655205000000</v>
      </c>
      <c r="I1213" s="25">
        <f t="shared" si="145"/>
        <v>1.7211858883860778</v>
      </c>
      <c r="J1213" s="24">
        <f>Data!J1213</f>
        <v>20859000000</v>
      </c>
      <c r="K1213" s="24">
        <f t="shared" si="146"/>
        <v>655205000000</v>
      </c>
      <c r="L1213" s="25">
        <f t="shared" si="147"/>
        <v>0.1037848307018414</v>
      </c>
      <c r="M1213" s="24">
        <f>Data!M1213</f>
        <v>7399000000</v>
      </c>
      <c r="N1213" s="24">
        <f t="shared" si="148"/>
        <v>655205000000</v>
      </c>
      <c r="O1213" s="25">
        <f t="shared" si="149"/>
        <v>7.588660037698125E-2</v>
      </c>
      <c r="P1213" s="24">
        <f>Data!K1213</f>
        <v>193635000000</v>
      </c>
      <c r="Q1213" s="24">
        <f>Data!I1213</f>
        <v>430645000000</v>
      </c>
      <c r="R1213" s="25">
        <f t="shared" si="150"/>
        <v>0.4721214689593517</v>
      </c>
      <c r="S1213" s="25">
        <f t="shared" si="151"/>
        <v>2.3729787884242524</v>
      </c>
    </row>
    <row r="1214" spans="1:19" ht="15" customHeight="1" x14ac:dyDescent="0.3">
      <c r="A1214" s="22"/>
      <c r="B1214" s="23"/>
      <c r="C1214" s="2"/>
      <c r="D1214" s="23">
        <v>2016</v>
      </c>
      <c r="E1214" s="24">
        <f>Data!F1214</f>
        <v>215626000000</v>
      </c>
      <c r="F1214" s="24">
        <f>Data!H1214</f>
        <v>55489000000</v>
      </c>
      <c r="G1214" s="24">
        <f t="shared" si="144"/>
        <v>160137000000</v>
      </c>
      <c r="H1214" s="24">
        <f>Data!G1214</f>
        <v>719020000000</v>
      </c>
      <c r="I1214" s="25">
        <f t="shared" si="145"/>
        <v>1.4610146032099247</v>
      </c>
      <c r="J1214" s="24">
        <f>Data!J1214</f>
        <v>16817000000</v>
      </c>
      <c r="K1214" s="24">
        <f t="shared" si="146"/>
        <v>719020000000</v>
      </c>
      <c r="L1214" s="25">
        <f t="shared" si="147"/>
        <v>7.6247420099579979E-2</v>
      </c>
      <c r="M1214" s="24">
        <f>Data!M1214</f>
        <v>2347000000</v>
      </c>
      <c r="N1214" s="24">
        <f t="shared" si="148"/>
        <v>719020000000</v>
      </c>
      <c r="O1214" s="25">
        <f t="shared" si="149"/>
        <v>2.1935189563572641E-2</v>
      </c>
      <c r="P1214" s="24">
        <f>Data!K1214</f>
        <v>250544000000</v>
      </c>
      <c r="Q1214" s="24">
        <f>Data!I1214</f>
        <v>436347000000</v>
      </c>
      <c r="R1214" s="25">
        <f t="shared" si="150"/>
        <v>0.60289448535225409</v>
      </c>
      <c r="S1214" s="25">
        <f t="shared" si="151"/>
        <v>2.1620916982253315</v>
      </c>
    </row>
    <row r="1215" spans="1:19" ht="15" customHeight="1" x14ac:dyDescent="0.3">
      <c r="A1215" s="22"/>
      <c r="B1215" s="23"/>
      <c r="C1215" s="2"/>
      <c r="D1215" s="23">
        <v>2017</v>
      </c>
      <c r="E1215" s="24">
        <f>Data!F1215</f>
        <v>238412000000</v>
      </c>
      <c r="F1215" s="24">
        <f>Data!H1215</f>
        <v>113380000000</v>
      </c>
      <c r="G1215" s="24">
        <f t="shared" si="144"/>
        <v>125032000000</v>
      </c>
      <c r="H1215" s="24">
        <f>Data!G1215</f>
        <v>736964000000</v>
      </c>
      <c r="I1215" s="25">
        <f t="shared" si="145"/>
        <v>1.1129579192470731</v>
      </c>
      <c r="J1215" s="24">
        <f>Data!J1215</f>
        <v>73481000000</v>
      </c>
      <c r="K1215" s="24">
        <f t="shared" si="146"/>
        <v>736964000000</v>
      </c>
      <c r="L1215" s="25">
        <f t="shared" si="147"/>
        <v>0.32504716648303039</v>
      </c>
      <c r="M1215" s="24">
        <f>Data!M1215</f>
        <v>6965000000</v>
      </c>
      <c r="N1215" s="24">
        <f t="shared" si="148"/>
        <v>736964000000</v>
      </c>
      <c r="O1215" s="25">
        <f t="shared" si="149"/>
        <v>6.3510293582861574E-2</v>
      </c>
      <c r="P1215" s="24">
        <f>Data!K1215</f>
        <v>250894000000</v>
      </c>
      <c r="Q1215" s="24">
        <f>Data!I1215</f>
        <v>466070000000</v>
      </c>
      <c r="R1215" s="25">
        <f t="shared" si="150"/>
        <v>0.56523419228871197</v>
      </c>
      <c r="S1215" s="25">
        <f t="shared" si="151"/>
        <v>2.0667495716016768</v>
      </c>
    </row>
    <row r="1216" spans="1:19" ht="15" customHeight="1" x14ac:dyDescent="0.3">
      <c r="A1216" s="22"/>
      <c r="B1216" s="23"/>
      <c r="C1216" s="2"/>
      <c r="D1216" s="23">
        <v>2018</v>
      </c>
      <c r="E1216" s="24">
        <f>Data!F1216</f>
        <v>293825000000</v>
      </c>
      <c r="F1216" s="24">
        <f>Data!H1216</f>
        <v>97191000000</v>
      </c>
      <c r="G1216" s="24">
        <f t="shared" si="144"/>
        <v>196634000000</v>
      </c>
      <c r="H1216" s="24">
        <f>Data!G1216</f>
        <v>845010000000</v>
      </c>
      <c r="I1216" s="25">
        <f t="shared" si="145"/>
        <v>1.5265133430373603</v>
      </c>
      <c r="J1216" s="24">
        <f>Data!J1216</f>
        <v>84110000000</v>
      </c>
      <c r="K1216" s="24">
        <f t="shared" si="146"/>
        <v>845010000000</v>
      </c>
      <c r="L1216" s="25">
        <f t="shared" si="147"/>
        <v>0.32449154447876355</v>
      </c>
      <c r="M1216" s="24">
        <f>Data!M1216</f>
        <v>15992000000</v>
      </c>
      <c r="N1216" s="24">
        <f t="shared" si="148"/>
        <v>845010000000</v>
      </c>
      <c r="O1216" s="25">
        <f t="shared" si="149"/>
        <v>0.12717747718961905</v>
      </c>
      <c r="P1216" s="24">
        <f>Data!K1216</f>
        <v>256676000000</v>
      </c>
      <c r="Q1216" s="24">
        <f>Data!I1216</f>
        <v>568334000000</v>
      </c>
      <c r="R1216" s="25">
        <f t="shared" si="150"/>
        <v>0.4742102355305155</v>
      </c>
      <c r="S1216" s="25">
        <f t="shared" si="151"/>
        <v>2.4523926002362582</v>
      </c>
    </row>
    <row r="1217" spans="1:19" ht="15" customHeight="1" x14ac:dyDescent="0.3">
      <c r="A1217" s="22"/>
      <c r="B1217" s="23"/>
      <c r="C1217" s="2"/>
      <c r="D1217" s="23">
        <v>2019</v>
      </c>
      <c r="E1217" s="24">
        <f>Data!F1217</f>
        <v>278827000000</v>
      </c>
      <c r="F1217" s="24">
        <f>Data!H1217</f>
        <v>96719000000</v>
      </c>
      <c r="G1217" s="24">
        <f t="shared" si="144"/>
        <v>182108000000</v>
      </c>
      <c r="H1217" s="24">
        <f>Data!G1217</f>
        <v>744475000000</v>
      </c>
      <c r="I1217" s="25">
        <f t="shared" si="145"/>
        <v>1.6046589610127941</v>
      </c>
      <c r="J1217" s="24">
        <f>Data!J1217</f>
        <v>89804000000</v>
      </c>
      <c r="K1217" s="24">
        <f t="shared" si="146"/>
        <v>744475000000</v>
      </c>
      <c r="L1217" s="25">
        <f t="shared" si="147"/>
        <v>0.39324495785620733</v>
      </c>
      <c r="M1217" s="24">
        <f>Data!M1217</f>
        <v>19396000000</v>
      </c>
      <c r="N1217" s="24">
        <f t="shared" si="148"/>
        <v>744475000000</v>
      </c>
      <c r="O1217" s="25">
        <f t="shared" si="149"/>
        <v>0.17507790053393329</v>
      </c>
      <c r="P1217" s="24">
        <f>Data!K1217</f>
        <v>274252000000</v>
      </c>
      <c r="Q1217" s="24">
        <f>Data!I1217</f>
        <v>452723000000</v>
      </c>
      <c r="R1217" s="25">
        <f t="shared" si="150"/>
        <v>0.63607238863499327</v>
      </c>
      <c r="S1217" s="25">
        <f t="shared" si="151"/>
        <v>2.8090542080379279</v>
      </c>
    </row>
    <row r="1218" spans="1:19" ht="15" customHeight="1" x14ac:dyDescent="0.3">
      <c r="A1218" s="22"/>
      <c r="B1218" s="23"/>
      <c r="C1218" s="2"/>
      <c r="D1218" s="23">
        <v>2020</v>
      </c>
      <c r="E1218" s="24">
        <f>Data!F1218</f>
        <v>130532000000</v>
      </c>
      <c r="F1218" s="24">
        <f>Data!H1218</f>
        <v>96245000000</v>
      </c>
      <c r="G1218" s="24">
        <f t="shared" si="144"/>
        <v>34287000000</v>
      </c>
      <c r="H1218" s="24">
        <f>Data!G1218</f>
        <v>709777000000</v>
      </c>
      <c r="I1218" s="25">
        <f t="shared" si="145"/>
        <v>0.31689209427749837</v>
      </c>
      <c r="J1218" s="24">
        <f>Data!J1218</f>
        <v>79149000000</v>
      </c>
      <c r="K1218" s="24">
        <f t="shared" si="146"/>
        <v>709777000000</v>
      </c>
      <c r="L1218" s="25">
        <f t="shared" si="147"/>
        <v>0.36353071457655006</v>
      </c>
      <c r="M1218" s="24">
        <f>Data!M1218</f>
        <v>19039000000</v>
      </c>
      <c r="N1218" s="24">
        <f t="shared" si="148"/>
        <v>709777000000</v>
      </c>
      <c r="O1218" s="25">
        <f t="shared" si="149"/>
        <v>0.18025672852177513</v>
      </c>
      <c r="P1218" s="24">
        <f>Data!K1218</f>
        <v>267840000000</v>
      </c>
      <c r="Q1218" s="24">
        <f>Data!I1218</f>
        <v>424437000000</v>
      </c>
      <c r="R1218" s="25">
        <f t="shared" si="150"/>
        <v>0.66260010319552731</v>
      </c>
      <c r="S1218" s="25">
        <f t="shared" si="151"/>
        <v>1.5232796405713509</v>
      </c>
    </row>
    <row r="1219" spans="1:19" ht="15" customHeight="1" x14ac:dyDescent="0.3">
      <c r="A1219" s="22"/>
      <c r="B1219" s="23"/>
      <c r="C1219" s="2"/>
      <c r="D1219" s="23">
        <v>2021</v>
      </c>
      <c r="E1219" s="24">
        <f>Data!F1219</f>
        <v>143909000000</v>
      </c>
      <c r="F1219" s="24">
        <f>Data!H1219</f>
        <v>90416000000</v>
      </c>
      <c r="G1219" s="24">
        <f t="shared" ref="G1219:G1282" si="152">E1219-F1219</f>
        <v>53493000000</v>
      </c>
      <c r="H1219" s="24">
        <f>Data!G1219</f>
        <v>733503000000</v>
      </c>
      <c r="I1219" s="25">
        <f t="shared" ref="I1219:I1282" si="153">IFERROR(6.56*(G1219/H1219),0)</f>
        <v>0.47840851366661075</v>
      </c>
      <c r="J1219" s="24">
        <f>Data!J1219</f>
        <v>93310000000</v>
      </c>
      <c r="K1219" s="24">
        <f t="shared" ref="K1219:K1282" si="154">H1219</f>
        <v>733503000000</v>
      </c>
      <c r="L1219" s="25">
        <f t="shared" ref="L1219:L1282" si="155">IFERROR(3.26*(J1219/K1219),0)</f>
        <v>0.41470941495808467</v>
      </c>
      <c r="M1219" s="24">
        <f>Data!M1219</f>
        <v>21307000000</v>
      </c>
      <c r="N1219" s="24">
        <f t="shared" ref="N1219:N1282" si="156">K1219</f>
        <v>733503000000</v>
      </c>
      <c r="O1219" s="25">
        <f t="shared" ref="O1219:O1282" si="157">IFERROR(6.72*(M1219/N1219),0)</f>
        <v>0.19520443679166957</v>
      </c>
      <c r="P1219" s="24">
        <f>Data!K1219</f>
        <v>287427000000</v>
      </c>
      <c r="Q1219" s="24">
        <f>Data!I1219</f>
        <v>436076000000</v>
      </c>
      <c r="R1219" s="25">
        <f t="shared" ref="R1219:R1282" si="158">IFERROR(1.05*(P1219/Q1219),0)</f>
        <v>0.69207741311147608</v>
      </c>
      <c r="S1219" s="25">
        <f t="shared" ref="S1219:S1282" si="159">IFERROR(I1219+L1219+O1219+R1219,0)</f>
        <v>1.7803997785278409</v>
      </c>
    </row>
    <row r="1220" spans="1:19" ht="15" customHeight="1" x14ac:dyDescent="0.3">
      <c r="A1220" s="22"/>
      <c r="B1220" s="23"/>
      <c r="C1220" s="2"/>
      <c r="D1220" s="23">
        <v>2022</v>
      </c>
      <c r="E1220" s="24">
        <f>Data!F1220</f>
        <v>162749000000</v>
      </c>
      <c r="F1220" s="24">
        <f>Data!H1220</f>
        <v>94054000000</v>
      </c>
      <c r="G1220" s="24">
        <f t="shared" si="152"/>
        <v>68695000000</v>
      </c>
      <c r="H1220" s="24">
        <f>Data!G1220</f>
        <v>804217000000</v>
      </c>
      <c r="I1220" s="25">
        <f t="shared" si="153"/>
        <v>0.56034527994309991</v>
      </c>
      <c r="J1220" s="24">
        <f>Data!J1220</f>
        <v>101579000000</v>
      </c>
      <c r="K1220" s="24">
        <f t="shared" si="154"/>
        <v>804217000000</v>
      </c>
      <c r="L1220" s="25">
        <f t="shared" si="155"/>
        <v>0.41176391446587179</v>
      </c>
      <c r="M1220" s="24">
        <f>Data!M1220</f>
        <v>31215000000</v>
      </c>
      <c r="N1220" s="24">
        <f t="shared" si="156"/>
        <v>804217000000</v>
      </c>
      <c r="O1220" s="25">
        <f t="shared" si="157"/>
        <v>0.2608310940952504</v>
      </c>
      <c r="P1220" s="24">
        <f>Data!K1220</f>
        <v>311967000000</v>
      </c>
      <c r="Q1220" s="24">
        <f>Data!I1220</f>
        <v>482251000000</v>
      </c>
      <c r="R1220" s="25">
        <f t="shared" si="158"/>
        <v>0.67924244843452897</v>
      </c>
      <c r="S1220" s="25">
        <f t="shared" si="159"/>
        <v>1.912182736938751</v>
      </c>
    </row>
    <row r="1221" spans="1:19" ht="15" customHeight="1" x14ac:dyDescent="0.3">
      <c r="A1221" s="22"/>
      <c r="B1221" s="23"/>
      <c r="C1221" s="2"/>
      <c r="D1221" s="23">
        <v>2023</v>
      </c>
      <c r="E1221" s="24">
        <f>Data!F1221</f>
        <v>153882000000</v>
      </c>
      <c r="F1221" s="24">
        <f>Data!H1221</f>
        <v>138144000000</v>
      </c>
      <c r="G1221" s="24">
        <f t="shared" si="152"/>
        <v>15738000000</v>
      </c>
      <c r="H1221" s="24">
        <f>Data!G1221</f>
        <v>824850000000</v>
      </c>
      <c r="I1221" s="25">
        <f t="shared" si="153"/>
        <v>0.12516370249136205</v>
      </c>
      <c r="J1221" s="24">
        <f>Data!J1221</f>
        <v>108331000000</v>
      </c>
      <c r="K1221" s="24">
        <f t="shared" si="154"/>
        <v>824850000000</v>
      </c>
      <c r="L1221" s="25">
        <f t="shared" si="155"/>
        <v>0.42814943323028426</v>
      </c>
      <c r="M1221" s="24">
        <f>Data!M1221</f>
        <v>43934000000</v>
      </c>
      <c r="N1221" s="24">
        <f t="shared" si="156"/>
        <v>824850000000</v>
      </c>
      <c r="O1221" s="25">
        <f t="shared" si="157"/>
        <v>0.35792747772322242</v>
      </c>
      <c r="P1221" s="24">
        <f>Data!K1221</f>
        <v>319258000000</v>
      </c>
      <c r="Q1221" s="24">
        <f>Data!I1221</f>
        <v>499592000000</v>
      </c>
      <c r="R1221" s="25">
        <f t="shared" si="158"/>
        <v>0.67098932729106953</v>
      </c>
      <c r="S1221" s="25">
        <f t="shared" si="159"/>
        <v>1.5822299407359384</v>
      </c>
    </row>
    <row r="1222" spans="1:19" ht="15" customHeight="1" x14ac:dyDescent="0.3">
      <c r="A1222" s="22"/>
      <c r="B1222" s="23"/>
      <c r="C1222" s="2"/>
      <c r="D1222" s="23">
        <v>2024</v>
      </c>
      <c r="E1222" s="24">
        <f>Data!F1222</f>
        <v>180744000000</v>
      </c>
      <c r="F1222" s="24">
        <f>Data!H1222</f>
        <v>125560000000</v>
      </c>
      <c r="G1222" s="24">
        <f t="shared" si="152"/>
        <v>55184000000</v>
      </c>
      <c r="H1222" s="24">
        <f>Data!G1222</f>
        <v>817749000000</v>
      </c>
      <c r="I1222" s="25">
        <f t="shared" si="153"/>
        <v>0.44268723043378833</v>
      </c>
      <c r="J1222" s="24">
        <f>Data!J1222</f>
        <v>108726000000</v>
      </c>
      <c r="K1222" s="24">
        <f t="shared" si="154"/>
        <v>817749000000</v>
      </c>
      <c r="L1222" s="25">
        <f t="shared" si="155"/>
        <v>0.43344199748333534</v>
      </c>
      <c r="M1222" s="24">
        <f>Data!M1222</f>
        <v>53707000000</v>
      </c>
      <c r="N1222" s="24">
        <f t="shared" si="156"/>
        <v>817749000000</v>
      </c>
      <c r="O1222" s="25">
        <f t="shared" si="157"/>
        <v>0.44134696587828293</v>
      </c>
      <c r="P1222" s="24">
        <f>Data!K1222</f>
        <v>320760000000</v>
      </c>
      <c r="Q1222" s="24">
        <f>Data!I1222</f>
        <v>496989000000</v>
      </c>
      <c r="R1222" s="25">
        <f t="shared" si="158"/>
        <v>0.67767697071766186</v>
      </c>
      <c r="S1222" s="25">
        <f t="shared" si="159"/>
        <v>1.9951531645130682</v>
      </c>
    </row>
    <row r="1223" spans="1:19" ht="15" customHeight="1" x14ac:dyDescent="0.3">
      <c r="A1223" s="22"/>
      <c r="B1223" s="23">
        <v>112</v>
      </c>
      <c r="C1223" s="2" t="s">
        <v>91</v>
      </c>
      <c r="D1223" s="23">
        <v>2014</v>
      </c>
      <c r="E1223" s="24">
        <f>Data!F1223</f>
        <v>0</v>
      </c>
      <c r="F1223" s="24">
        <f>Data!H1223</f>
        <v>0</v>
      </c>
      <c r="G1223" s="24">
        <f t="shared" si="152"/>
        <v>0</v>
      </c>
      <c r="H1223" s="24">
        <f>Data!G1223</f>
        <v>0</v>
      </c>
      <c r="I1223" s="25">
        <f t="shared" si="153"/>
        <v>0</v>
      </c>
      <c r="J1223" s="24">
        <f>Data!J1223</f>
        <v>0</v>
      </c>
      <c r="K1223" s="24">
        <f t="shared" si="154"/>
        <v>0</v>
      </c>
      <c r="L1223" s="25">
        <f t="shared" si="155"/>
        <v>0</v>
      </c>
      <c r="M1223" s="24">
        <f>Data!M1223</f>
        <v>0</v>
      </c>
      <c r="N1223" s="24">
        <f t="shared" si="156"/>
        <v>0</v>
      </c>
      <c r="O1223" s="25">
        <f t="shared" si="157"/>
        <v>0</v>
      </c>
      <c r="P1223" s="24">
        <f>Data!K1223</f>
        <v>0</v>
      </c>
      <c r="Q1223" s="24">
        <f>Data!I1223</f>
        <v>0</v>
      </c>
      <c r="R1223" s="25">
        <f t="shared" si="158"/>
        <v>0</v>
      </c>
      <c r="S1223" s="25">
        <f t="shared" si="159"/>
        <v>0</v>
      </c>
    </row>
    <row r="1224" spans="1:19" ht="15" customHeight="1" x14ac:dyDescent="0.3">
      <c r="A1224" s="22"/>
      <c r="B1224" s="23"/>
      <c r="C1224" s="2"/>
      <c r="D1224" s="23">
        <v>2015</v>
      </c>
      <c r="E1224" s="24">
        <f>Data!F1224</f>
        <v>324380000000</v>
      </c>
      <c r="F1224" s="24">
        <f>Data!H1224</f>
        <v>261534000000</v>
      </c>
      <c r="G1224" s="24">
        <f t="shared" si="152"/>
        <v>62846000000</v>
      </c>
      <c r="H1224" s="24">
        <f>Data!G1224</f>
        <v>906989000000</v>
      </c>
      <c r="I1224" s="25">
        <f t="shared" si="153"/>
        <v>0.45454769572729103</v>
      </c>
      <c r="J1224" s="24">
        <f>Data!J1224</f>
        <v>289754000000</v>
      </c>
      <c r="K1224" s="24">
        <f t="shared" si="154"/>
        <v>906989000000</v>
      </c>
      <c r="L1224" s="25">
        <f t="shared" si="155"/>
        <v>1.0414658171157531</v>
      </c>
      <c r="M1224" s="24">
        <f>Data!M1224</f>
        <v>98317000000</v>
      </c>
      <c r="N1224" s="24">
        <f t="shared" si="156"/>
        <v>906989000000</v>
      </c>
      <c r="O1224" s="25">
        <f t="shared" si="157"/>
        <v>0.72844349821221643</v>
      </c>
      <c r="P1224" s="24">
        <f>Data!K1224</f>
        <v>349754000000</v>
      </c>
      <c r="Q1224" s="24">
        <f>Data!I1224</f>
        <v>557236000000</v>
      </c>
      <c r="R1224" s="25">
        <f t="shared" si="158"/>
        <v>0.65904159099555659</v>
      </c>
      <c r="S1224" s="25">
        <f t="shared" si="159"/>
        <v>2.8834986020508171</v>
      </c>
    </row>
    <row r="1225" spans="1:19" ht="15" customHeight="1" x14ac:dyDescent="0.3">
      <c r="A1225" s="22"/>
      <c r="B1225" s="23"/>
      <c r="C1225" s="2"/>
      <c r="D1225" s="23">
        <v>2016</v>
      </c>
      <c r="E1225" s="24">
        <f>Data!F1225</f>
        <v>398998000000</v>
      </c>
      <c r="F1225" s="24">
        <f>Data!H1225</f>
        <v>201250000000</v>
      </c>
      <c r="G1225" s="24">
        <f t="shared" si="152"/>
        <v>197748000000</v>
      </c>
      <c r="H1225" s="24">
        <f>Data!G1225</f>
        <v>886222000000</v>
      </c>
      <c r="I1225" s="25">
        <f t="shared" si="153"/>
        <v>1.4637719217081047</v>
      </c>
      <c r="J1225" s="24">
        <f>Data!J1225</f>
        <v>244334000000</v>
      </c>
      <c r="K1225" s="24">
        <f t="shared" si="154"/>
        <v>886222000000</v>
      </c>
      <c r="L1225" s="25">
        <f t="shared" si="155"/>
        <v>0.89879154433087871</v>
      </c>
      <c r="M1225" s="24">
        <f>Data!M1225</f>
        <v>88485000000</v>
      </c>
      <c r="N1225" s="24">
        <f t="shared" si="156"/>
        <v>886222000000</v>
      </c>
      <c r="O1225" s="25">
        <f t="shared" si="157"/>
        <v>0.67095964667995156</v>
      </c>
      <c r="P1225" s="24">
        <f>Data!K1225</f>
        <v>304334000000</v>
      </c>
      <c r="Q1225" s="24">
        <f>Data!I1225</f>
        <v>581888000000</v>
      </c>
      <c r="R1225" s="25">
        <f t="shared" si="158"/>
        <v>0.54916186620105589</v>
      </c>
      <c r="S1225" s="25">
        <f t="shared" si="159"/>
        <v>3.5826849789199908</v>
      </c>
    </row>
    <row r="1226" spans="1:19" ht="15" customHeight="1" x14ac:dyDescent="0.3">
      <c r="A1226" s="22"/>
      <c r="B1226" s="23"/>
      <c r="C1226" s="2"/>
      <c r="D1226" s="23">
        <v>2017</v>
      </c>
      <c r="E1226" s="24">
        <f>Data!F1226</f>
        <v>565684000000</v>
      </c>
      <c r="F1226" s="24">
        <f>Data!H1226</f>
        <v>217204000000</v>
      </c>
      <c r="G1226" s="24">
        <f t="shared" si="152"/>
        <v>348480000000</v>
      </c>
      <c r="H1226" s="24">
        <f>Data!G1226</f>
        <v>910239000000</v>
      </c>
      <c r="I1226" s="25">
        <f t="shared" si="153"/>
        <v>2.5114599572200267</v>
      </c>
      <c r="J1226" s="24">
        <f>Data!J1226</f>
        <v>85885000000</v>
      </c>
      <c r="K1226" s="24">
        <f t="shared" si="154"/>
        <v>910239000000</v>
      </c>
      <c r="L1226" s="25">
        <f t="shared" si="155"/>
        <v>0.30759514808748029</v>
      </c>
      <c r="M1226" s="24">
        <f>Data!M1226</f>
        <v>75224000000</v>
      </c>
      <c r="N1226" s="24">
        <f t="shared" si="156"/>
        <v>910239000000</v>
      </c>
      <c r="O1226" s="25">
        <f t="shared" si="157"/>
        <v>0.55535445086400381</v>
      </c>
      <c r="P1226" s="24">
        <f>Data!K1226</f>
        <v>316865000000</v>
      </c>
      <c r="Q1226" s="24">
        <f>Data!I1226</f>
        <v>593374000000</v>
      </c>
      <c r="R1226" s="25">
        <f t="shared" si="158"/>
        <v>0.56070581117473972</v>
      </c>
      <c r="S1226" s="25">
        <f t="shared" si="159"/>
        <v>3.9351153673462504</v>
      </c>
    </row>
    <row r="1227" spans="1:19" ht="15" customHeight="1" x14ac:dyDescent="0.3">
      <c r="A1227" s="22"/>
      <c r="B1227" s="23"/>
      <c r="C1227" s="2"/>
      <c r="D1227" s="23">
        <v>2018</v>
      </c>
      <c r="E1227" s="24">
        <f>Data!F1227</f>
        <v>507830000000</v>
      </c>
      <c r="F1227" s="24">
        <f>Data!H1227</f>
        <v>215836000000</v>
      </c>
      <c r="G1227" s="24">
        <f t="shared" si="152"/>
        <v>291994000000</v>
      </c>
      <c r="H1227" s="24">
        <f>Data!G1227</f>
        <v>1068562000000</v>
      </c>
      <c r="I1227" s="25">
        <f t="shared" si="153"/>
        <v>1.7925779131206236</v>
      </c>
      <c r="J1227" s="24">
        <f>Data!J1227</f>
        <v>84052000000</v>
      </c>
      <c r="K1227" s="24">
        <f t="shared" si="154"/>
        <v>1068562000000</v>
      </c>
      <c r="L1227" s="25">
        <f t="shared" si="155"/>
        <v>0.25642828399288015</v>
      </c>
      <c r="M1227" s="24">
        <f>Data!M1227</f>
        <v>40961000000</v>
      </c>
      <c r="N1227" s="24">
        <f t="shared" si="156"/>
        <v>1068562000000</v>
      </c>
      <c r="O1227" s="25">
        <f t="shared" si="157"/>
        <v>0.25759658307145489</v>
      </c>
      <c r="P1227" s="24">
        <f>Data!K1227</f>
        <v>315032000000</v>
      </c>
      <c r="Q1227" s="24">
        <f>Data!I1227</f>
        <v>755531000000</v>
      </c>
      <c r="R1227" s="25">
        <f t="shared" si="158"/>
        <v>0.43781605255111972</v>
      </c>
      <c r="S1227" s="25">
        <f t="shared" si="159"/>
        <v>2.7444188327360783</v>
      </c>
    </row>
    <row r="1228" spans="1:19" ht="15" customHeight="1" x14ac:dyDescent="0.3">
      <c r="A1228" s="22"/>
      <c r="B1228" s="23"/>
      <c r="C1228" s="2"/>
      <c r="D1228" s="23">
        <v>2019</v>
      </c>
      <c r="E1228" s="24">
        <f>Data!F1228</f>
        <v>546746000000</v>
      </c>
      <c r="F1228" s="24">
        <f>Data!H1228</f>
        <v>119846000000</v>
      </c>
      <c r="G1228" s="24">
        <f t="shared" si="152"/>
        <v>426900000000</v>
      </c>
      <c r="H1228" s="24">
        <f>Data!G1228</f>
        <v>1098507000000</v>
      </c>
      <c r="I1228" s="25">
        <f t="shared" si="153"/>
        <v>2.5493365085520616</v>
      </c>
      <c r="J1228" s="24">
        <f>Data!J1228</f>
        <v>136268000000</v>
      </c>
      <c r="K1228" s="24">
        <f t="shared" si="154"/>
        <v>1098507000000</v>
      </c>
      <c r="L1228" s="25">
        <f t="shared" si="155"/>
        <v>0.40439767793923931</v>
      </c>
      <c r="M1228" s="24">
        <f>Data!M1228</f>
        <v>55143000000</v>
      </c>
      <c r="N1228" s="24">
        <f t="shared" si="156"/>
        <v>1098507000000</v>
      </c>
      <c r="O1228" s="25">
        <f t="shared" si="157"/>
        <v>0.3373314507781926</v>
      </c>
      <c r="P1228" s="24">
        <f>Data!K1228</f>
        <v>367268000000</v>
      </c>
      <c r="Q1228" s="24">
        <f>Data!I1228</f>
        <v>731259000000</v>
      </c>
      <c r="R1228" s="25">
        <f t="shared" si="158"/>
        <v>0.52735268899254573</v>
      </c>
      <c r="S1228" s="25">
        <f t="shared" si="159"/>
        <v>3.8184183262620395</v>
      </c>
    </row>
    <row r="1229" spans="1:19" ht="15" customHeight="1" x14ac:dyDescent="0.3">
      <c r="A1229" s="22"/>
      <c r="B1229" s="23"/>
      <c r="C1229" s="2"/>
      <c r="D1229" s="23">
        <v>2020</v>
      </c>
      <c r="E1229" s="24">
        <f>Data!F1229</f>
        <v>483829000000</v>
      </c>
      <c r="F1229" s="24">
        <f>Data!H1229</f>
        <v>114542000000</v>
      </c>
      <c r="G1229" s="24">
        <f t="shared" si="152"/>
        <v>369287000000</v>
      </c>
      <c r="H1229" s="24">
        <f>Data!G1229</f>
        <v>939785000000</v>
      </c>
      <c r="I1229" s="25">
        <f t="shared" si="153"/>
        <v>2.5777414195800104</v>
      </c>
      <c r="J1229" s="24">
        <f>Data!J1229</f>
        <v>168840000000</v>
      </c>
      <c r="K1229" s="24">
        <f t="shared" si="154"/>
        <v>939785000000</v>
      </c>
      <c r="L1229" s="25">
        <f t="shared" si="155"/>
        <v>0.58568544933149602</v>
      </c>
      <c r="M1229" s="24">
        <f>Data!M1229</f>
        <v>42284000000</v>
      </c>
      <c r="N1229" s="24">
        <f t="shared" si="156"/>
        <v>939785000000</v>
      </c>
      <c r="O1229" s="25">
        <f t="shared" si="157"/>
        <v>0.30235477263416627</v>
      </c>
      <c r="P1229" s="24">
        <f>Data!K1229</f>
        <v>399820000000</v>
      </c>
      <c r="Q1229" s="24">
        <f>Data!I1229</f>
        <v>539965000000</v>
      </c>
      <c r="R1229" s="25">
        <f t="shared" si="158"/>
        <v>0.77747816988138119</v>
      </c>
      <c r="S1229" s="25">
        <f t="shared" si="159"/>
        <v>4.2432598114270537</v>
      </c>
    </row>
    <row r="1230" spans="1:19" ht="15" customHeight="1" x14ac:dyDescent="0.3">
      <c r="A1230" s="22"/>
      <c r="B1230" s="23"/>
      <c r="C1230" s="2"/>
      <c r="D1230" s="23">
        <v>2021</v>
      </c>
      <c r="E1230" s="24">
        <f>Data!F1230</f>
        <v>523244000000</v>
      </c>
      <c r="F1230" s="24">
        <f>Data!H1230</f>
        <v>143307000000</v>
      </c>
      <c r="G1230" s="24">
        <f t="shared" si="152"/>
        <v>379937000000</v>
      </c>
      <c r="H1230" s="24">
        <f>Data!G1230</f>
        <v>1057639000000</v>
      </c>
      <c r="I1230" s="25">
        <f t="shared" si="153"/>
        <v>2.3565571239335918</v>
      </c>
      <c r="J1230" s="24">
        <f>Data!J1230</f>
        <v>201143000000</v>
      </c>
      <c r="K1230" s="24">
        <f t="shared" si="154"/>
        <v>1057639000000</v>
      </c>
      <c r="L1230" s="25">
        <f t="shared" si="155"/>
        <v>0.61999054497801231</v>
      </c>
      <c r="M1230" s="24">
        <f>Data!M1230</f>
        <v>38797000000</v>
      </c>
      <c r="N1230" s="24">
        <f t="shared" si="156"/>
        <v>1057639000000</v>
      </c>
      <c r="O1230" s="25">
        <f t="shared" si="157"/>
        <v>0.24650739997295862</v>
      </c>
      <c r="P1230" s="24">
        <f>Data!K1230</f>
        <v>430595000000</v>
      </c>
      <c r="Q1230" s="24">
        <f>Data!I1230</f>
        <v>627044000000</v>
      </c>
      <c r="R1230" s="25">
        <f t="shared" si="158"/>
        <v>0.72104150585923799</v>
      </c>
      <c r="S1230" s="25">
        <f t="shared" si="159"/>
        <v>3.944096574743801</v>
      </c>
    </row>
    <row r="1231" spans="1:19" ht="15" customHeight="1" x14ac:dyDescent="0.3">
      <c r="A1231" s="22"/>
      <c r="B1231" s="23"/>
      <c r="C1231" s="2"/>
      <c r="D1231" s="23">
        <v>2022</v>
      </c>
      <c r="E1231" s="24">
        <f>Data!F1231</f>
        <v>567020000000</v>
      </c>
      <c r="F1231" s="24">
        <f>Data!H1231</f>
        <v>300905000000</v>
      </c>
      <c r="G1231" s="24">
        <f t="shared" si="152"/>
        <v>266115000000</v>
      </c>
      <c r="H1231" s="24">
        <f>Data!G1231</f>
        <v>1338220000000</v>
      </c>
      <c r="I1231" s="25">
        <f t="shared" si="153"/>
        <v>1.3045047899448521</v>
      </c>
      <c r="J1231" s="24">
        <f>Data!J1231</f>
        <v>266796000000</v>
      </c>
      <c r="K1231" s="24">
        <f t="shared" si="154"/>
        <v>1338220000000</v>
      </c>
      <c r="L1231" s="25">
        <f t="shared" si="155"/>
        <v>0.64993421111625882</v>
      </c>
      <c r="M1231" s="24">
        <f>Data!M1231</f>
        <v>78676000000</v>
      </c>
      <c r="N1231" s="24">
        <f t="shared" si="156"/>
        <v>1338220000000</v>
      </c>
      <c r="O1231" s="25">
        <f t="shared" si="157"/>
        <v>0.3950790751894307</v>
      </c>
      <c r="P1231" s="24">
        <f>Data!K1231</f>
        <v>502098000000</v>
      </c>
      <c r="Q1231" s="24">
        <f>Data!I1231</f>
        <v>836122000000</v>
      </c>
      <c r="R1231" s="25">
        <f t="shared" si="158"/>
        <v>0.6305334628200191</v>
      </c>
      <c r="S1231" s="25">
        <f t="shared" si="159"/>
        <v>2.9800515390705606</v>
      </c>
    </row>
    <row r="1232" spans="1:19" ht="15" customHeight="1" x14ac:dyDescent="0.3">
      <c r="A1232" s="22"/>
      <c r="B1232" s="23"/>
      <c r="C1232" s="2"/>
      <c r="D1232" s="23">
        <v>2023</v>
      </c>
      <c r="E1232" s="24">
        <f>Data!F1232</f>
        <v>811977000000</v>
      </c>
      <c r="F1232" s="24">
        <f>Data!H1232</f>
        <v>491650000000</v>
      </c>
      <c r="G1232" s="24">
        <f t="shared" si="152"/>
        <v>320327000000</v>
      </c>
      <c r="H1232" s="24">
        <f>Data!G1232</f>
        <v>1759417000000</v>
      </c>
      <c r="I1232" s="25">
        <f t="shared" si="153"/>
        <v>1.1943417166027155</v>
      </c>
      <c r="J1232" s="24">
        <f>Data!J1232</f>
        <v>383056000000</v>
      </c>
      <c r="K1232" s="24">
        <f t="shared" si="154"/>
        <v>1759417000000</v>
      </c>
      <c r="L1232" s="25">
        <f t="shared" si="155"/>
        <v>0.70975928958285617</v>
      </c>
      <c r="M1232" s="24">
        <f>Data!M1232</f>
        <v>103017000000</v>
      </c>
      <c r="N1232" s="24">
        <f t="shared" si="156"/>
        <v>1759417000000</v>
      </c>
      <c r="O1232" s="25">
        <f t="shared" si="157"/>
        <v>0.3934679726295699</v>
      </c>
      <c r="P1232" s="24">
        <f>Data!K1232</f>
        <v>626711000000</v>
      </c>
      <c r="Q1232" s="24">
        <f>Data!I1232</f>
        <v>1132706000000</v>
      </c>
      <c r="R1232" s="25">
        <f t="shared" si="158"/>
        <v>0.58095088222363089</v>
      </c>
      <c r="S1232" s="25">
        <f t="shared" si="159"/>
        <v>2.8785198610387726</v>
      </c>
    </row>
    <row r="1233" spans="1:19" ht="15" customHeight="1" x14ac:dyDescent="0.3">
      <c r="A1233" s="22"/>
      <c r="B1233" s="23"/>
      <c r="C1233" s="2"/>
      <c r="D1233" s="23">
        <v>2024</v>
      </c>
      <c r="E1233" s="24">
        <f>Data!F1233</f>
        <v>805571000000</v>
      </c>
      <c r="F1233" s="24">
        <f>Data!H1233</f>
        <v>401681000000</v>
      </c>
      <c r="G1233" s="24">
        <f t="shared" si="152"/>
        <v>403890000000</v>
      </c>
      <c r="H1233" s="24">
        <f>Data!G1233</f>
        <v>1793696000000</v>
      </c>
      <c r="I1233" s="25">
        <f t="shared" si="153"/>
        <v>1.4771278968119457</v>
      </c>
      <c r="J1233" s="24">
        <f>Data!J1233</f>
        <v>485300000000</v>
      </c>
      <c r="K1233" s="24">
        <f t="shared" si="154"/>
        <v>1793696000000</v>
      </c>
      <c r="L1233" s="25">
        <f t="shared" si="155"/>
        <v>0.88202125666779652</v>
      </c>
      <c r="M1233" s="24">
        <f>Data!M1233</f>
        <v>121924000000</v>
      </c>
      <c r="N1233" s="24">
        <f t="shared" si="156"/>
        <v>1793696000000</v>
      </c>
      <c r="O1233" s="25">
        <f t="shared" si="157"/>
        <v>0.45678268781331949</v>
      </c>
      <c r="P1233" s="24">
        <f>Data!K1233</f>
        <v>718656000000</v>
      </c>
      <c r="Q1233" s="24">
        <f>Data!I1233</f>
        <v>1075040000000</v>
      </c>
      <c r="R1233" s="25">
        <f t="shared" si="158"/>
        <v>0.70191695192737014</v>
      </c>
      <c r="S1233" s="25">
        <f t="shared" si="159"/>
        <v>3.5178487932204319</v>
      </c>
    </row>
    <row r="1234" spans="1:19" ht="15" customHeight="1" x14ac:dyDescent="0.3">
      <c r="A1234" s="22"/>
      <c r="B1234" s="23">
        <v>113</v>
      </c>
      <c r="C1234" s="2" t="s">
        <v>90</v>
      </c>
      <c r="D1234" s="23">
        <v>2014</v>
      </c>
      <c r="E1234" s="24">
        <f>Data!F1234</f>
        <v>0</v>
      </c>
      <c r="F1234" s="24">
        <f>Data!H1234</f>
        <v>0</v>
      </c>
      <c r="G1234" s="24">
        <f t="shared" si="152"/>
        <v>0</v>
      </c>
      <c r="H1234" s="24">
        <f>Data!G1234</f>
        <v>0</v>
      </c>
      <c r="I1234" s="25">
        <f t="shared" si="153"/>
        <v>0</v>
      </c>
      <c r="J1234" s="24">
        <f>Data!J1234</f>
        <v>0</v>
      </c>
      <c r="K1234" s="24">
        <f t="shared" si="154"/>
        <v>0</v>
      </c>
      <c r="L1234" s="25">
        <f t="shared" si="155"/>
        <v>0</v>
      </c>
      <c r="M1234" s="24">
        <f>Data!M1234</f>
        <v>0</v>
      </c>
      <c r="N1234" s="24">
        <f t="shared" si="156"/>
        <v>0</v>
      </c>
      <c r="O1234" s="25">
        <f t="shared" si="157"/>
        <v>0</v>
      </c>
      <c r="P1234" s="24">
        <f>Data!K1234</f>
        <v>0</v>
      </c>
      <c r="Q1234" s="24">
        <f>Data!I1234</f>
        <v>0</v>
      </c>
      <c r="R1234" s="25">
        <f t="shared" si="158"/>
        <v>0</v>
      </c>
      <c r="S1234" s="25">
        <f t="shared" si="159"/>
        <v>0</v>
      </c>
    </row>
    <row r="1235" spans="1:19" ht="15" customHeight="1" x14ac:dyDescent="0.3">
      <c r="A1235" s="22"/>
      <c r="B1235" s="23"/>
      <c r="C1235" s="2"/>
      <c r="D1235" s="23">
        <v>2015</v>
      </c>
      <c r="E1235" s="24">
        <f>Data!F1235</f>
        <v>0</v>
      </c>
      <c r="F1235" s="24">
        <f>Data!H1235</f>
        <v>0</v>
      </c>
      <c r="G1235" s="24">
        <f t="shared" si="152"/>
        <v>0</v>
      </c>
      <c r="H1235" s="24">
        <f>Data!G1235</f>
        <v>0</v>
      </c>
      <c r="I1235" s="25">
        <f t="shared" si="153"/>
        <v>0</v>
      </c>
      <c r="J1235" s="24">
        <f>Data!J1235</f>
        <v>0</v>
      </c>
      <c r="K1235" s="24">
        <f t="shared" si="154"/>
        <v>0</v>
      </c>
      <c r="L1235" s="25">
        <f t="shared" si="155"/>
        <v>0</v>
      </c>
      <c r="M1235" s="24">
        <f>Data!M1235</f>
        <v>0</v>
      </c>
      <c r="N1235" s="24">
        <f t="shared" si="156"/>
        <v>0</v>
      </c>
      <c r="O1235" s="25">
        <f t="shared" si="157"/>
        <v>0</v>
      </c>
      <c r="P1235" s="24">
        <f>Data!K1235</f>
        <v>0</v>
      </c>
      <c r="Q1235" s="24">
        <f>Data!I1235</f>
        <v>0</v>
      </c>
      <c r="R1235" s="25">
        <f t="shared" si="158"/>
        <v>0</v>
      </c>
      <c r="S1235" s="25">
        <f t="shared" si="159"/>
        <v>0</v>
      </c>
    </row>
    <row r="1236" spans="1:19" ht="15" customHeight="1" x14ac:dyDescent="0.3">
      <c r="A1236" s="22"/>
      <c r="B1236" s="23"/>
      <c r="C1236" s="2"/>
      <c r="D1236" s="23">
        <v>2016</v>
      </c>
      <c r="E1236" s="24">
        <f>Data!F1236</f>
        <v>0</v>
      </c>
      <c r="F1236" s="24">
        <f>Data!H1236</f>
        <v>0</v>
      </c>
      <c r="G1236" s="24">
        <f t="shared" si="152"/>
        <v>0</v>
      </c>
      <c r="H1236" s="24">
        <f>Data!G1236</f>
        <v>0</v>
      </c>
      <c r="I1236" s="25">
        <f t="shared" si="153"/>
        <v>0</v>
      </c>
      <c r="J1236" s="24">
        <f>Data!J1236</f>
        <v>0</v>
      </c>
      <c r="K1236" s="24">
        <f t="shared" si="154"/>
        <v>0</v>
      </c>
      <c r="L1236" s="25">
        <f t="shared" si="155"/>
        <v>0</v>
      </c>
      <c r="M1236" s="24">
        <f>Data!M1236</f>
        <v>0</v>
      </c>
      <c r="N1236" s="24">
        <f t="shared" si="156"/>
        <v>0</v>
      </c>
      <c r="O1236" s="25">
        <f t="shared" si="157"/>
        <v>0</v>
      </c>
      <c r="P1236" s="24">
        <f>Data!K1236</f>
        <v>0</v>
      </c>
      <c r="Q1236" s="24">
        <f>Data!I1236</f>
        <v>0</v>
      </c>
      <c r="R1236" s="25">
        <f t="shared" si="158"/>
        <v>0</v>
      </c>
      <c r="S1236" s="25">
        <f t="shared" si="159"/>
        <v>0</v>
      </c>
    </row>
    <row r="1237" spans="1:19" ht="15" customHeight="1" x14ac:dyDescent="0.3">
      <c r="A1237" s="22"/>
      <c r="B1237" s="23"/>
      <c r="C1237" s="2"/>
      <c r="D1237" s="23">
        <v>2017</v>
      </c>
      <c r="E1237" s="24">
        <f>Data!F1237</f>
        <v>0</v>
      </c>
      <c r="F1237" s="24">
        <f>Data!H1237</f>
        <v>0</v>
      </c>
      <c r="G1237" s="24">
        <f t="shared" si="152"/>
        <v>0</v>
      </c>
      <c r="H1237" s="24">
        <f>Data!G1237</f>
        <v>0</v>
      </c>
      <c r="I1237" s="25">
        <f t="shared" si="153"/>
        <v>0</v>
      </c>
      <c r="J1237" s="24">
        <f>Data!J1237</f>
        <v>0</v>
      </c>
      <c r="K1237" s="24">
        <f t="shared" si="154"/>
        <v>0</v>
      </c>
      <c r="L1237" s="25">
        <f t="shared" si="155"/>
        <v>0</v>
      </c>
      <c r="M1237" s="24">
        <f>Data!M1237</f>
        <v>0</v>
      </c>
      <c r="N1237" s="24">
        <f t="shared" si="156"/>
        <v>0</v>
      </c>
      <c r="O1237" s="25">
        <f t="shared" si="157"/>
        <v>0</v>
      </c>
      <c r="P1237" s="24">
        <f>Data!K1237</f>
        <v>0</v>
      </c>
      <c r="Q1237" s="24">
        <f>Data!I1237</f>
        <v>0</v>
      </c>
      <c r="R1237" s="25">
        <f t="shared" si="158"/>
        <v>0</v>
      </c>
      <c r="S1237" s="25">
        <f t="shared" si="159"/>
        <v>0</v>
      </c>
    </row>
    <row r="1238" spans="1:19" ht="15" customHeight="1" x14ac:dyDescent="0.3">
      <c r="A1238" s="22"/>
      <c r="B1238" s="23"/>
      <c r="C1238" s="2"/>
      <c r="D1238" s="23">
        <v>2018</v>
      </c>
      <c r="E1238" s="24">
        <f>Data!F1238</f>
        <v>206515000000</v>
      </c>
      <c r="F1238" s="24">
        <f>Data!H1238</f>
        <v>28224000000</v>
      </c>
      <c r="G1238" s="24">
        <f t="shared" si="152"/>
        <v>178291000000</v>
      </c>
      <c r="H1238" s="24">
        <f>Data!G1238</f>
        <v>378337000000</v>
      </c>
      <c r="I1238" s="25">
        <f t="shared" si="153"/>
        <v>3.0913946032241095</v>
      </c>
      <c r="J1238" s="24">
        <f>Data!J1238</f>
        <v>73570000000</v>
      </c>
      <c r="K1238" s="24">
        <f t="shared" si="154"/>
        <v>378337000000</v>
      </c>
      <c r="L1238" s="25">
        <f t="shared" si="155"/>
        <v>0.63392742449192119</v>
      </c>
      <c r="M1238" s="24">
        <f>Data!M1238</f>
        <v>12844000000</v>
      </c>
      <c r="N1238" s="24">
        <f t="shared" si="156"/>
        <v>378337000000</v>
      </c>
      <c r="O1238" s="25">
        <f t="shared" si="157"/>
        <v>0.22813438812487277</v>
      </c>
      <c r="P1238" s="24">
        <f>Data!K1238</f>
        <v>135647000000</v>
      </c>
      <c r="Q1238" s="24">
        <f>Data!I1238</f>
        <v>242690000000</v>
      </c>
      <c r="R1238" s="25">
        <f t="shared" si="158"/>
        <v>0.58687770406691664</v>
      </c>
      <c r="S1238" s="25">
        <f t="shared" si="159"/>
        <v>4.5403341199078202</v>
      </c>
    </row>
    <row r="1239" spans="1:19" ht="15" customHeight="1" x14ac:dyDescent="0.3">
      <c r="A1239" s="22"/>
      <c r="B1239" s="23"/>
      <c r="C1239" s="2"/>
      <c r="D1239" s="23">
        <v>2019</v>
      </c>
      <c r="E1239" s="24">
        <f>Data!F1239</f>
        <v>287403000000</v>
      </c>
      <c r="F1239" s="24">
        <f>Data!H1239</f>
        <v>29241000000</v>
      </c>
      <c r="G1239" s="24">
        <f t="shared" si="152"/>
        <v>258162000000</v>
      </c>
      <c r="H1239" s="24">
        <f>Data!G1239</f>
        <v>460747000000</v>
      </c>
      <c r="I1239" s="25">
        <f t="shared" si="153"/>
        <v>3.6756456797331287</v>
      </c>
      <c r="J1239" s="24">
        <f>Data!J1239</f>
        <v>75001000000</v>
      </c>
      <c r="K1239" s="24">
        <f t="shared" si="154"/>
        <v>460747000000</v>
      </c>
      <c r="L1239" s="25">
        <f t="shared" si="155"/>
        <v>0.53066706891200599</v>
      </c>
      <c r="M1239" s="24">
        <f>Data!M1239</f>
        <v>-109000000</v>
      </c>
      <c r="N1239" s="24">
        <f t="shared" si="156"/>
        <v>460747000000</v>
      </c>
      <c r="O1239" s="25">
        <f t="shared" si="157"/>
        <v>-1.5897661840446058E-3</v>
      </c>
      <c r="P1239" s="24">
        <f>Data!K1239</f>
        <v>137994000000</v>
      </c>
      <c r="Q1239" s="24">
        <f>Data!I1239</f>
        <v>322752000000</v>
      </c>
      <c r="R1239" s="25">
        <f t="shared" si="158"/>
        <v>0.44893199732302203</v>
      </c>
      <c r="S1239" s="25">
        <f t="shared" si="159"/>
        <v>4.6536549797841129</v>
      </c>
    </row>
    <row r="1240" spans="1:19" ht="15" customHeight="1" x14ac:dyDescent="0.3">
      <c r="A1240" s="22"/>
      <c r="B1240" s="23"/>
      <c r="C1240" s="2"/>
      <c r="D1240" s="23">
        <v>2020</v>
      </c>
      <c r="E1240" s="24">
        <f>Data!F1240</f>
        <v>244255000000</v>
      </c>
      <c r="F1240" s="24">
        <f>Data!H1240</f>
        <v>16037000000</v>
      </c>
      <c r="G1240" s="24">
        <f t="shared" si="152"/>
        <v>228218000000</v>
      </c>
      <c r="H1240" s="24">
        <f>Data!G1240</f>
        <v>422492000000</v>
      </c>
      <c r="I1240" s="25">
        <f t="shared" si="153"/>
        <v>3.5435229069426164</v>
      </c>
      <c r="J1240" s="24">
        <f>Data!J1240</f>
        <v>6145000000</v>
      </c>
      <c r="K1240" s="24">
        <f t="shared" si="154"/>
        <v>422492000000</v>
      </c>
      <c r="L1240" s="25">
        <f t="shared" si="155"/>
        <v>4.7415572365867284E-2</v>
      </c>
      <c r="M1240" s="24">
        <f>Data!M1240</f>
        <v>583000000</v>
      </c>
      <c r="N1240" s="24">
        <f t="shared" si="156"/>
        <v>422492000000</v>
      </c>
      <c r="O1240" s="25">
        <f t="shared" si="157"/>
        <v>9.2729803167870637E-3</v>
      </c>
      <c r="P1240" s="24">
        <f>Data!K1240</f>
        <v>138058000000</v>
      </c>
      <c r="Q1240" s="24">
        <f>Data!I1240</f>
        <v>284434000000</v>
      </c>
      <c r="R1240" s="25">
        <f t="shared" si="158"/>
        <v>0.50964687765878902</v>
      </c>
      <c r="S1240" s="25">
        <f t="shared" si="159"/>
        <v>4.1098583372840594</v>
      </c>
    </row>
    <row r="1241" spans="1:19" ht="15" customHeight="1" x14ac:dyDescent="0.3">
      <c r="A1241" s="22"/>
      <c r="B1241" s="23"/>
      <c r="C1241" s="2"/>
      <c r="D1241" s="23">
        <v>2021</v>
      </c>
      <c r="E1241" s="24">
        <f>Data!F1241</f>
        <v>175490000000</v>
      </c>
      <c r="F1241" s="24">
        <f>Data!H1241</f>
        <v>12985000000</v>
      </c>
      <c r="G1241" s="24">
        <f t="shared" si="152"/>
        <v>162505000000</v>
      </c>
      <c r="H1241" s="24">
        <f>Data!G1241</f>
        <v>336360000000</v>
      </c>
      <c r="I1241" s="25">
        <f t="shared" si="153"/>
        <v>3.1693209656320609</v>
      </c>
      <c r="J1241" s="24">
        <f>Data!J1241</f>
        <v>-11394000000</v>
      </c>
      <c r="K1241" s="24">
        <f t="shared" si="154"/>
        <v>336360000000</v>
      </c>
      <c r="L1241" s="25">
        <f t="shared" si="155"/>
        <v>-0.1104306100606493</v>
      </c>
      <c r="M1241" s="24">
        <f>Data!M1241</f>
        <v>-27214000000</v>
      </c>
      <c r="N1241" s="24">
        <f t="shared" si="156"/>
        <v>336360000000</v>
      </c>
      <c r="O1241" s="25">
        <f t="shared" si="157"/>
        <v>-0.54369746699964316</v>
      </c>
      <c r="P1241" s="24">
        <f>Data!K1241</f>
        <v>114323000000</v>
      </c>
      <c r="Q1241" s="24">
        <f>Data!I1241</f>
        <v>222037000000</v>
      </c>
      <c r="R1241" s="25">
        <f t="shared" si="158"/>
        <v>0.54062678742732073</v>
      </c>
      <c r="S1241" s="25">
        <f t="shared" si="159"/>
        <v>3.0558196759990892</v>
      </c>
    </row>
    <row r="1242" spans="1:19" ht="15" customHeight="1" x14ac:dyDescent="0.3">
      <c r="A1242" s="22"/>
      <c r="B1242" s="23"/>
      <c r="C1242" s="2"/>
      <c r="D1242" s="23">
        <v>2022</v>
      </c>
      <c r="E1242" s="24">
        <f>Data!F1242</f>
        <v>152533000000</v>
      </c>
      <c r="F1242" s="24">
        <f>Data!H1242</f>
        <v>10630000000</v>
      </c>
      <c r="G1242" s="24">
        <f t="shared" si="152"/>
        <v>141903000000</v>
      </c>
      <c r="H1242" s="24">
        <f>Data!G1242</f>
        <v>386436000000</v>
      </c>
      <c r="I1242" s="25">
        <f t="shared" si="153"/>
        <v>2.408894823463652</v>
      </c>
      <c r="J1242" s="24">
        <f>Data!J1242</f>
        <v>-41245000000</v>
      </c>
      <c r="K1242" s="24">
        <f t="shared" si="154"/>
        <v>386436000000</v>
      </c>
      <c r="L1242" s="25">
        <f t="shared" si="155"/>
        <v>-0.34794558477988591</v>
      </c>
      <c r="M1242" s="24">
        <f>Data!M1242</f>
        <v>-28778000000</v>
      </c>
      <c r="N1242" s="24">
        <f t="shared" si="156"/>
        <v>386436000000</v>
      </c>
      <c r="O1242" s="25">
        <f t="shared" si="157"/>
        <v>-0.5004403316461199</v>
      </c>
      <c r="P1242" s="24">
        <f>Data!K1242</f>
        <v>155637000000</v>
      </c>
      <c r="Q1242" s="24">
        <f>Data!I1242</f>
        <v>130799000000</v>
      </c>
      <c r="R1242" s="25">
        <f t="shared" si="158"/>
        <v>1.2493891390606962</v>
      </c>
      <c r="S1242" s="25">
        <f t="shared" si="159"/>
        <v>2.8098980460983425</v>
      </c>
    </row>
    <row r="1243" spans="1:19" ht="15" customHeight="1" x14ac:dyDescent="0.3">
      <c r="A1243" s="22"/>
      <c r="B1243" s="23"/>
      <c r="C1243" s="2"/>
      <c r="D1243" s="23">
        <v>2023</v>
      </c>
      <c r="E1243" s="24">
        <f>Data!F1243</f>
        <v>157157000000</v>
      </c>
      <c r="F1243" s="24">
        <f>Data!H1243</f>
        <v>31299000000</v>
      </c>
      <c r="G1243" s="24">
        <f t="shared" si="152"/>
        <v>125858000000</v>
      </c>
      <c r="H1243" s="24">
        <f>Data!G1243</f>
        <v>336366000000</v>
      </c>
      <c r="I1243" s="25">
        <f t="shared" si="153"/>
        <v>2.454553908540102</v>
      </c>
      <c r="J1243" s="24">
        <f>Data!J1243</f>
        <v>-66358000000</v>
      </c>
      <c r="K1243" s="24">
        <f t="shared" si="154"/>
        <v>336366000000</v>
      </c>
      <c r="L1243" s="25">
        <f t="shared" si="155"/>
        <v>-0.643130042869969</v>
      </c>
      <c r="M1243" s="24">
        <f>Data!M1243</f>
        <v>-25113000000</v>
      </c>
      <c r="N1243" s="24">
        <f t="shared" si="156"/>
        <v>336366000000</v>
      </c>
      <c r="O1243" s="25">
        <f t="shared" si="157"/>
        <v>-0.50171349066195747</v>
      </c>
      <c r="P1243" s="24">
        <f>Data!K1243</f>
        <v>131003000000</v>
      </c>
      <c r="Q1243" s="24">
        <f>Data!I1243</f>
        <v>205363000000</v>
      </c>
      <c r="R1243" s="25">
        <f t="shared" si="158"/>
        <v>0.6698049307811047</v>
      </c>
      <c r="S1243" s="25">
        <f t="shared" si="159"/>
        <v>1.9795153057892803</v>
      </c>
    </row>
    <row r="1244" spans="1:19" ht="15" customHeight="1" x14ac:dyDescent="0.3">
      <c r="A1244" s="22"/>
      <c r="B1244" s="23"/>
      <c r="C1244" s="2"/>
      <c r="D1244" s="23">
        <v>2024</v>
      </c>
      <c r="E1244" s="24">
        <f>Data!F1244</f>
        <v>326327000000</v>
      </c>
      <c r="F1244" s="24">
        <f>Data!H1244</f>
        <v>196218000000</v>
      </c>
      <c r="G1244" s="24">
        <f t="shared" si="152"/>
        <v>130109000000</v>
      </c>
      <c r="H1244" s="24">
        <f>Data!G1244</f>
        <v>361307000000</v>
      </c>
      <c r="I1244" s="25">
        <f t="shared" si="153"/>
        <v>2.362298654606747</v>
      </c>
      <c r="J1244" s="24">
        <f>Data!J1244</f>
        <v>99227000000</v>
      </c>
      <c r="K1244" s="24">
        <f t="shared" si="154"/>
        <v>361307000000</v>
      </c>
      <c r="L1244" s="25">
        <f t="shared" si="155"/>
        <v>0.89530515600306648</v>
      </c>
      <c r="M1244" s="24">
        <f>Data!M1244</f>
        <v>182248000000</v>
      </c>
      <c r="N1244" s="24">
        <f t="shared" si="156"/>
        <v>361307000000</v>
      </c>
      <c r="O1244" s="25">
        <f t="shared" si="157"/>
        <v>3.389656331042576</v>
      </c>
      <c r="P1244" s="24">
        <f>Data!K1244</f>
        <v>296693000000</v>
      </c>
      <c r="Q1244" s="24">
        <f>Data!I1244</f>
        <v>540492000000</v>
      </c>
      <c r="R1244" s="25">
        <f t="shared" si="158"/>
        <v>0.57637791123642912</v>
      </c>
      <c r="S1244" s="25">
        <f t="shared" si="159"/>
        <v>7.2236380528888189</v>
      </c>
    </row>
    <row r="1245" spans="1:19" ht="15" customHeight="1" x14ac:dyDescent="0.3">
      <c r="A1245" s="22"/>
      <c r="B1245" s="23">
        <v>114</v>
      </c>
      <c r="C1245" s="2" t="s">
        <v>107</v>
      </c>
      <c r="D1245" s="23">
        <v>2014</v>
      </c>
      <c r="E1245" s="24">
        <f>Data!F1245</f>
        <v>0</v>
      </c>
      <c r="F1245" s="24">
        <f>Data!H1245</f>
        <v>0</v>
      </c>
      <c r="G1245" s="24">
        <f t="shared" si="152"/>
        <v>0</v>
      </c>
      <c r="H1245" s="24">
        <f>Data!G1245</f>
        <v>0</v>
      </c>
      <c r="I1245" s="25">
        <f t="shared" si="153"/>
        <v>0</v>
      </c>
      <c r="J1245" s="24">
        <f>Data!J1245</f>
        <v>0</v>
      </c>
      <c r="K1245" s="24">
        <f t="shared" si="154"/>
        <v>0</v>
      </c>
      <c r="L1245" s="25">
        <f t="shared" si="155"/>
        <v>0</v>
      </c>
      <c r="M1245" s="24">
        <f>Data!M1245</f>
        <v>0</v>
      </c>
      <c r="N1245" s="24">
        <f t="shared" si="156"/>
        <v>0</v>
      </c>
      <c r="O1245" s="25">
        <f t="shared" si="157"/>
        <v>0</v>
      </c>
      <c r="P1245" s="24">
        <f>Data!K1245</f>
        <v>0</v>
      </c>
      <c r="Q1245" s="24">
        <f>Data!I1245</f>
        <v>0</v>
      </c>
      <c r="R1245" s="25">
        <f t="shared" si="158"/>
        <v>0</v>
      </c>
      <c r="S1245" s="25">
        <f t="shared" si="159"/>
        <v>0</v>
      </c>
    </row>
    <row r="1246" spans="1:19" ht="15" customHeight="1" x14ac:dyDescent="0.3">
      <c r="A1246" s="22"/>
      <c r="B1246" s="23"/>
      <c r="C1246" s="2"/>
      <c r="D1246" s="23">
        <v>2015</v>
      </c>
      <c r="E1246" s="24">
        <f>Data!F1246</f>
        <v>37265880000.000008</v>
      </c>
      <c r="F1246" s="24">
        <f>Data!H1246</f>
        <v>20679690000</v>
      </c>
      <c r="G1246" s="24">
        <f t="shared" si="152"/>
        <v>16586190000.000008</v>
      </c>
      <c r="H1246" s="24">
        <f>Data!G1246</f>
        <v>159252900000</v>
      </c>
      <c r="I1246" s="25">
        <f t="shared" si="153"/>
        <v>0.68322401915443953</v>
      </c>
      <c r="J1246" s="24">
        <f>Data!J1246</f>
        <v>43651260000</v>
      </c>
      <c r="K1246" s="24">
        <f t="shared" si="154"/>
        <v>159252900000</v>
      </c>
      <c r="L1246" s="25">
        <f t="shared" si="155"/>
        <v>0.89356682107515784</v>
      </c>
      <c r="M1246" s="24">
        <f>Data!M1246</f>
        <v>16715300000</v>
      </c>
      <c r="N1246" s="24">
        <f t="shared" si="156"/>
        <v>159252900000</v>
      </c>
      <c r="O1246" s="25">
        <f t="shared" si="157"/>
        <v>0.70533607865225689</v>
      </c>
      <c r="P1246" s="24">
        <f>Data!K1246</f>
        <v>115660920000</v>
      </c>
      <c r="Q1246" s="24">
        <f>Data!I1246</f>
        <v>43591980000</v>
      </c>
      <c r="R1246" s="25">
        <f t="shared" si="158"/>
        <v>2.7859245209784005</v>
      </c>
      <c r="S1246" s="25">
        <f t="shared" si="159"/>
        <v>5.0680514398602545</v>
      </c>
    </row>
    <row r="1247" spans="1:19" ht="15" customHeight="1" x14ac:dyDescent="0.3">
      <c r="A1247" s="22"/>
      <c r="B1247" s="23"/>
      <c r="C1247" s="2"/>
      <c r="D1247" s="23">
        <v>2016</v>
      </c>
      <c r="E1247" s="24">
        <f>Data!F1247</f>
        <v>39532289999.999992</v>
      </c>
      <c r="F1247" s="24">
        <f>Data!H1247</f>
        <v>19883710000</v>
      </c>
      <c r="G1247" s="24">
        <f t="shared" si="152"/>
        <v>19648579999.999992</v>
      </c>
      <c r="H1247" s="24">
        <f>Data!G1247</f>
        <v>161493870000</v>
      </c>
      <c r="I1247" s="25">
        <f t="shared" si="153"/>
        <v>0.79813979812360636</v>
      </c>
      <c r="J1247" s="24">
        <f>Data!J1247</f>
        <v>44988340000</v>
      </c>
      <c r="K1247" s="24">
        <f t="shared" si="154"/>
        <v>161493870000</v>
      </c>
      <c r="L1247" s="25">
        <f t="shared" si="155"/>
        <v>0.90815823783280436</v>
      </c>
      <c r="M1247" s="24">
        <f>Data!M1247</f>
        <v>10689390000</v>
      </c>
      <c r="N1247" s="24">
        <f t="shared" si="156"/>
        <v>161493870000</v>
      </c>
      <c r="O1247" s="25">
        <f t="shared" si="157"/>
        <v>0.44480140825159487</v>
      </c>
      <c r="P1247" s="24">
        <f>Data!K1247</f>
        <v>120067110000</v>
      </c>
      <c r="Q1247" s="24">
        <f>Data!I1247</f>
        <v>41426760000</v>
      </c>
      <c r="R1247" s="25">
        <f t="shared" si="158"/>
        <v>3.043213263600629</v>
      </c>
      <c r="S1247" s="25">
        <f t="shared" si="159"/>
        <v>5.1943127078086349</v>
      </c>
    </row>
    <row r="1248" spans="1:19" ht="15" customHeight="1" x14ac:dyDescent="0.3">
      <c r="A1248" s="22"/>
      <c r="B1248" s="23"/>
      <c r="C1248" s="2"/>
      <c r="D1248" s="23">
        <v>2017</v>
      </c>
      <c r="E1248" s="24">
        <f>Data!F1248</f>
        <v>41034910000</v>
      </c>
      <c r="F1248" s="24">
        <f>Data!H1248</f>
        <v>21236380000</v>
      </c>
      <c r="G1248" s="24">
        <f t="shared" si="152"/>
        <v>19798530000</v>
      </c>
      <c r="H1248" s="24">
        <f>Data!G1248</f>
        <v>161558950000</v>
      </c>
      <c r="I1248" s="25">
        <f t="shared" si="153"/>
        <v>0.80390691323507613</v>
      </c>
      <c r="J1248" s="24">
        <f>Data!J1248</f>
        <v>47844120000</v>
      </c>
      <c r="K1248" s="24">
        <f t="shared" si="154"/>
        <v>161558950000</v>
      </c>
      <c r="L1248" s="25">
        <f t="shared" si="155"/>
        <v>0.96541746031402143</v>
      </c>
      <c r="M1248" s="24">
        <f>Data!M1248</f>
        <v>6638510000</v>
      </c>
      <c r="N1248" s="24">
        <f t="shared" si="156"/>
        <v>161558950000</v>
      </c>
      <c r="O1248" s="25">
        <f t="shared" si="157"/>
        <v>0.27612699389294121</v>
      </c>
      <c r="P1248" s="24">
        <f>Data!K1248</f>
        <v>124125560000</v>
      </c>
      <c r="Q1248" s="24">
        <f>Data!I1248</f>
        <v>37433390000</v>
      </c>
      <c r="R1248" s="25">
        <f t="shared" si="158"/>
        <v>3.4817001078448948</v>
      </c>
      <c r="S1248" s="25">
        <f t="shared" si="159"/>
        <v>5.5271514752869333</v>
      </c>
    </row>
    <row r="1249" spans="1:19" ht="15" customHeight="1" x14ac:dyDescent="0.3">
      <c r="A1249" s="22"/>
      <c r="B1249" s="23"/>
      <c r="C1249" s="2"/>
      <c r="D1249" s="23">
        <v>2018</v>
      </c>
      <c r="E1249" s="24">
        <f>Data!F1249</f>
        <v>46457469999.999992</v>
      </c>
      <c r="F1249" s="24">
        <f>Data!H1249</f>
        <v>20074570000</v>
      </c>
      <c r="G1249" s="24">
        <f t="shared" si="152"/>
        <v>26382899999.999992</v>
      </c>
      <c r="H1249" s="24">
        <f>Data!G1249</f>
        <v>163247530000</v>
      </c>
      <c r="I1249" s="25">
        <f t="shared" si="153"/>
        <v>1.060180353111621</v>
      </c>
      <c r="J1249" s="24">
        <f>Data!J1249</f>
        <v>49238220000</v>
      </c>
      <c r="K1249" s="24">
        <f t="shared" si="154"/>
        <v>163247530000</v>
      </c>
      <c r="L1249" s="25">
        <f t="shared" si="155"/>
        <v>0.98327121519082095</v>
      </c>
      <c r="M1249" s="24">
        <f>Data!M1249</f>
        <v>3952880000</v>
      </c>
      <c r="N1249" s="24">
        <f t="shared" si="156"/>
        <v>163247530000</v>
      </c>
      <c r="O1249" s="25">
        <f t="shared" si="157"/>
        <v>0.16271825736046358</v>
      </c>
      <c r="P1249" s="24">
        <f>Data!K1249</f>
        <v>125960230000</v>
      </c>
      <c r="Q1249" s="24">
        <f>Data!I1249</f>
        <v>37287300000</v>
      </c>
      <c r="R1249" s="25">
        <f t="shared" si="158"/>
        <v>3.5470050526586805</v>
      </c>
      <c r="S1249" s="25">
        <f t="shared" si="159"/>
        <v>5.7531748783215857</v>
      </c>
    </row>
    <row r="1250" spans="1:19" ht="15" customHeight="1" x14ac:dyDescent="0.3">
      <c r="A1250" s="22"/>
      <c r="B1250" s="23"/>
      <c r="C1250" s="2"/>
      <c r="D1250" s="23">
        <v>2019</v>
      </c>
      <c r="E1250" s="24">
        <f>Data!F1250</f>
        <v>61602610000.000008</v>
      </c>
      <c r="F1250" s="24">
        <f>Data!H1250</f>
        <v>38202490000</v>
      </c>
      <c r="G1250" s="24">
        <f t="shared" si="152"/>
        <v>23400120000.000008</v>
      </c>
      <c r="H1250" s="24">
        <f>Data!G1250</f>
        <v>190280030000</v>
      </c>
      <c r="I1250" s="25">
        <f t="shared" si="153"/>
        <v>0.80673093860664224</v>
      </c>
      <c r="J1250" s="24">
        <f>Data!J1250</f>
        <v>54434590000</v>
      </c>
      <c r="K1250" s="24">
        <f t="shared" si="154"/>
        <v>190280030000</v>
      </c>
      <c r="L1250" s="25">
        <f t="shared" si="155"/>
        <v>0.93260844766526463</v>
      </c>
      <c r="M1250" s="24">
        <f>Data!M1250</f>
        <v>6133260000</v>
      </c>
      <c r="N1250" s="24">
        <f t="shared" si="156"/>
        <v>190280030000</v>
      </c>
      <c r="O1250" s="25">
        <f t="shared" si="157"/>
        <v>0.21660448130053375</v>
      </c>
      <c r="P1250" s="24">
        <f>Data!K1250</f>
        <v>130957620000</v>
      </c>
      <c r="Q1250" s="24">
        <f>Data!I1250</f>
        <v>59322410000</v>
      </c>
      <c r="R1250" s="25">
        <f t="shared" si="158"/>
        <v>2.3179351782909698</v>
      </c>
      <c r="S1250" s="25">
        <f t="shared" si="159"/>
        <v>4.2738790458634099</v>
      </c>
    </row>
    <row r="1251" spans="1:19" ht="15" customHeight="1" x14ac:dyDescent="0.3">
      <c r="A1251" s="22"/>
      <c r="B1251" s="23"/>
      <c r="C1251" s="2"/>
      <c r="D1251" s="23">
        <v>2020</v>
      </c>
      <c r="E1251" s="24">
        <f>Data!F1251</f>
        <v>69172420000</v>
      </c>
      <c r="F1251" s="24">
        <f>Data!H1251</f>
        <v>43663510000</v>
      </c>
      <c r="G1251" s="24">
        <f t="shared" si="152"/>
        <v>25508910000</v>
      </c>
      <c r="H1251" s="24">
        <f>Data!G1251</f>
        <v>199137730000</v>
      </c>
      <c r="I1251" s="25">
        <f t="shared" si="153"/>
        <v>0.84031514068177826</v>
      </c>
      <c r="J1251" s="24">
        <f>Data!J1251</f>
        <v>57482520000</v>
      </c>
      <c r="K1251" s="24">
        <f t="shared" si="154"/>
        <v>199137730000</v>
      </c>
      <c r="L1251" s="25">
        <f t="shared" si="155"/>
        <v>0.94102215185439742</v>
      </c>
      <c r="M1251" s="24">
        <f>Data!M1251</f>
        <v>4586620000</v>
      </c>
      <c r="N1251" s="24">
        <f t="shared" si="156"/>
        <v>199137730000</v>
      </c>
      <c r="O1251" s="25">
        <f t="shared" si="157"/>
        <v>0.15477773297907935</v>
      </c>
      <c r="P1251" s="24">
        <f>Data!K1251</f>
        <v>133384870000</v>
      </c>
      <c r="Q1251" s="24">
        <f>Data!I1251</f>
        <v>65752860000</v>
      </c>
      <c r="R1251" s="25">
        <f t="shared" si="158"/>
        <v>2.1300079342556355</v>
      </c>
      <c r="S1251" s="25">
        <f t="shared" si="159"/>
        <v>4.0661229597708903</v>
      </c>
    </row>
    <row r="1252" spans="1:19" ht="15" customHeight="1" x14ac:dyDescent="0.3">
      <c r="A1252" s="22"/>
      <c r="B1252" s="23"/>
      <c r="C1252" s="2"/>
      <c r="D1252" s="23">
        <v>2021</v>
      </c>
      <c r="E1252" s="24">
        <f>Data!F1252</f>
        <v>85004050000.000015</v>
      </c>
      <c r="F1252" s="24">
        <f>Data!H1252</f>
        <v>40307730000</v>
      </c>
      <c r="G1252" s="24">
        <f t="shared" si="152"/>
        <v>44696320000.000015</v>
      </c>
      <c r="H1252" s="24">
        <f>Data!G1252</f>
        <v>218288880000</v>
      </c>
      <c r="I1252" s="25">
        <f t="shared" si="153"/>
        <v>1.3432102414012115</v>
      </c>
      <c r="J1252" s="24">
        <f>Data!J1252</f>
        <v>61696100000</v>
      </c>
      <c r="K1252" s="24">
        <f t="shared" si="154"/>
        <v>218288880000</v>
      </c>
      <c r="L1252" s="25">
        <f t="shared" si="155"/>
        <v>0.92139043454710101</v>
      </c>
      <c r="M1252" s="24">
        <f>Data!M1252</f>
        <v>5244400000</v>
      </c>
      <c r="N1252" s="24">
        <f t="shared" si="156"/>
        <v>218288880000</v>
      </c>
      <c r="O1252" s="25">
        <f t="shared" si="157"/>
        <v>0.16144829732050481</v>
      </c>
      <c r="P1252" s="24">
        <f>Data!K1252</f>
        <v>137516520000</v>
      </c>
      <c r="Q1252" s="24">
        <f>Data!I1252</f>
        <v>80772360000</v>
      </c>
      <c r="R1252" s="25">
        <f t="shared" si="158"/>
        <v>1.7876455015057133</v>
      </c>
      <c r="S1252" s="25">
        <f t="shared" si="159"/>
        <v>4.2136944747745311</v>
      </c>
    </row>
    <row r="1253" spans="1:19" ht="15" customHeight="1" x14ac:dyDescent="0.3">
      <c r="A1253" s="22"/>
      <c r="B1253" s="23"/>
      <c r="C1253" s="2"/>
      <c r="D1253" s="23">
        <v>2022</v>
      </c>
      <c r="E1253" s="24">
        <f>Data!F1253</f>
        <v>100563769999.99998</v>
      </c>
      <c r="F1253" s="24">
        <f>Data!H1253</f>
        <v>43470440000</v>
      </c>
      <c r="G1253" s="24">
        <f t="shared" si="152"/>
        <v>57093329999.999985</v>
      </c>
      <c r="H1253" s="24">
        <f>Data!G1253</f>
        <v>224731410000</v>
      </c>
      <c r="I1253" s="25">
        <f t="shared" si="153"/>
        <v>1.6665772034269704</v>
      </c>
      <c r="J1253" s="24">
        <f>Data!J1253</f>
        <v>63781920000</v>
      </c>
      <c r="K1253" s="24">
        <f t="shared" si="154"/>
        <v>224731410000</v>
      </c>
      <c r="L1253" s="25">
        <f t="shared" si="155"/>
        <v>0.9252336342303018</v>
      </c>
      <c r="M1253" s="24">
        <f>Data!M1253</f>
        <v>3327610000</v>
      </c>
      <c r="N1253" s="24">
        <f t="shared" si="156"/>
        <v>224731410000</v>
      </c>
      <c r="O1253" s="25">
        <f t="shared" si="157"/>
        <v>9.9503399191061007E-2</v>
      </c>
      <c r="P1253" s="24">
        <f>Data!K1253</f>
        <v>140131230000</v>
      </c>
      <c r="Q1253" s="24">
        <f>Data!I1253</f>
        <v>84600180000</v>
      </c>
      <c r="R1253" s="25">
        <f t="shared" si="158"/>
        <v>1.739213693162355</v>
      </c>
      <c r="S1253" s="25">
        <f t="shared" si="159"/>
        <v>4.4305279300106886</v>
      </c>
    </row>
    <row r="1254" spans="1:19" ht="15" customHeight="1" x14ac:dyDescent="0.3">
      <c r="A1254" s="22"/>
      <c r="B1254" s="23"/>
      <c r="C1254" s="2"/>
      <c r="D1254" s="23">
        <v>2023</v>
      </c>
      <c r="E1254" s="24">
        <f>Data!F1254</f>
        <v>102378200000</v>
      </c>
      <c r="F1254" s="24">
        <f>Data!H1254</f>
        <v>39272760000</v>
      </c>
      <c r="G1254" s="24">
        <f t="shared" si="152"/>
        <v>63105440000</v>
      </c>
      <c r="H1254" s="24">
        <f>Data!G1254</f>
        <v>241455130000</v>
      </c>
      <c r="I1254" s="25">
        <f t="shared" si="153"/>
        <v>1.7144870204248712</v>
      </c>
      <c r="J1254" s="24">
        <f>Data!J1254</f>
        <v>68006940000</v>
      </c>
      <c r="K1254" s="24">
        <f t="shared" si="154"/>
        <v>241455130000</v>
      </c>
      <c r="L1254" s="25">
        <f t="shared" si="155"/>
        <v>0.91819388720380457</v>
      </c>
      <c r="M1254" s="24">
        <f>Data!M1254</f>
        <v>6182830000</v>
      </c>
      <c r="N1254" s="24">
        <f t="shared" si="156"/>
        <v>241455130000</v>
      </c>
      <c r="O1254" s="25">
        <f t="shared" si="157"/>
        <v>0.17207593642760871</v>
      </c>
      <c r="P1254" s="24">
        <f>Data!K1254</f>
        <v>145349140000</v>
      </c>
      <c r="Q1254" s="24">
        <f>Data!I1254</f>
        <v>96105990000</v>
      </c>
      <c r="R1254" s="25">
        <f t="shared" si="158"/>
        <v>1.5880029642273079</v>
      </c>
      <c r="S1254" s="25">
        <f t="shared" si="159"/>
        <v>4.3927598082835928</v>
      </c>
    </row>
    <row r="1255" spans="1:19" ht="15" customHeight="1" x14ac:dyDescent="0.3">
      <c r="A1255" s="22"/>
      <c r="B1255" s="23"/>
      <c r="C1255" s="2"/>
      <c r="D1255" s="23">
        <v>2024</v>
      </c>
      <c r="E1255" s="24">
        <f>Data!F1255</f>
        <v>81216700000.000015</v>
      </c>
      <c r="F1255" s="24">
        <f>Data!H1255</f>
        <v>47617020000</v>
      </c>
      <c r="G1255" s="24">
        <f t="shared" si="152"/>
        <v>33599680000.000015</v>
      </c>
      <c r="H1255" s="24">
        <f>Data!G1255</f>
        <v>218925830000</v>
      </c>
      <c r="I1255" s="25">
        <f t="shared" si="153"/>
        <v>1.0067971458644238</v>
      </c>
      <c r="J1255" s="24">
        <f>Data!J1255</f>
        <v>52709030000</v>
      </c>
      <c r="K1255" s="24">
        <f t="shared" si="154"/>
        <v>218925830000</v>
      </c>
      <c r="L1255" s="25">
        <f t="shared" si="155"/>
        <v>0.78488425874644385</v>
      </c>
      <c r="M1255" s="24">
        <f>Data!M1255</f>
        <v>-14664160000</v>
      </c>
      <c r="N1255" s="24">
        <f t="shared" si="156"/>
        <v>218925830000</v>
      </c>
      <c r="O1255" s="25">
        <f t="shared" si="157"/>
        <v>-0.45012119035931025</v>
      </c>
      <c r="P1255" s="24">
        <f>Data!K1255</f>
        <v>130051220000</v>
      </c>
      <c r="Q1255" s="24">
        <f>Data!I1255</f>
        <v>88874610000</v>
      </c>
      <c r="R1255" s="25">
        <f t="shared" si="158"/>
        <v>1.5364768520503211</v>
      </c>
      <c r="S1255" s="25">
        <f t="shared" si="159"/>
        <v>2.8780370663018786</v>
      </c>
    </row>
    <row r="1256" spans="1:19" ht="15" customHeight="1" x14ac:dyDescent="0.3">
      <c r="A1256" s="22"/>
      <c r="B1256" s="23">
        <v>115</v>
      </c>
      <c r="C1256" s="1" t="s">
        <v>128</v>
      </c>
      <c r="D1256" s="23">
        <v>2014</v>
      </c>
      <c r="E1256" s="24">
        <f>Data!F1256</f>
        <v>0</v>
      </c>
      <c r="F1256" s="24">
        <f>Data!H1256</f>
        <v>0</v>
      </c>
      <c r="G1256" s="24">
        <f t="shared" si="152"/>
        <v>0</v>
      </c>
      <c r="H1256" s="24">
        <f>Data!G1256</f>
        <v>0</v>
      </c>
      <c r="I1256" s="25">
        <f t="shared" si="153"/>
        <v>0</v>
      </c>
      <c r="J1256" s="24">
        <f>Data!J1256</f>
        <v>0</v>
      </c>
      <c r="K1256" s="24">
        <f t="shared" si="154"/>
        <v>0</v>
      </c>
      <c r="L1256" s="25">
        <f t="shared" si="155"/>
        <v>0</v>
      </c>
      <c r="M1256" s="24">
        <f>Data!M1256</f>
        <v>0</v>
      </c>
      <c r="N1256" s="24">
        <f t="shared" si="156"/>
        <v>0</v>
      </c>
      <c r="O1256" s="25">
        <f t="shared" si="157"/>
        <v>0</v>
      </c>
      <c r="P1256" s="24">
        <f>Data!K1256</f>
        <v>0</v>
      </c>
      <c r="Q1256" s="24">
        <f>Data!I1256</f>
        <v>0</v>
      </c>
      <c r="R1256" s="25">
        <f t="shared" si="158"/>
        <v>0</v>
      </c>
      <c r="S1256" s="25">
        <f t="shared" si="159"/>
        <v>0</v>
      </c>
    </row>
    <row r="1257" spans="1:19" ht="15" customHeight="1" x14ac:dyDescent="0.3">
      <c r="A1257" s="22"/>
      <c r="B1257" s="23"/>
      <c r="C1257" s="1"/>
      <c r="D1257" s="23">
        <v>2015</v>
      </c>
      <c r="E1257" s="24">
        <f>Data!F1257</f>
        <v>0</v>
      </c>
      <c r="F1257" s="24">
        <f>Data!H1257</f>
        <v>0</v>
      </c>
      <c r="G1257" s="24">
        <f t="shared" si="152"/>
        <v>0</v>
      </c>
      <c r="H1257" s="24">
        <f>Data!G1257</f>
        <v>0</v>
      </c>
      <c r="I1257" s="25">
        <f t="shared" si="153"/>
        <v>0</v>
      </c>
      <c r="J1257" s="24">
        <f>Data!J1257</f>
        <v>0</v>
      </c>
      <c r="K1257" s="24">
        <f t="shared" si="154"/>
        <v>0</v>
      </c>
      <c r="L1257" s="25">
        <f t="shared" si="155"/>
        <v>0</v>
      </c>
      <c r="M1257" s="24">
        <f>Data!M1257</f>
        <v>0</v>
      </c>
      <c r="N1257" s="24">
        <f t="shared" si="156"/>
        <v>0</v>
      </c>
      <c r="O1257" s="25">
        <f t="shared" si="157"/>
        <v>0</v>
      </c>
      <c r="P1257" s="24">
        <f>Data!K1257</f>
        <v>0</v>
      </c>
      <c r="Q1257" s="24">
        <f>Data!I1257</f>
        <v>0</v>
      </c>
      <c r="R1257" s="25">
        <f t="shared" si="158"/>
        <v>0</v>
      </c>
      <c r="S1257" s="25">
        <f t="shared" si="159"/>
        <v>0</v>
      </c>
    </row>
    <row r="1258" spans="1:19" ht="15" customHeight="1" x14ac:dyDescent="0.3">
      <c r="A1258" s="22"/>
      <c r="B1258" s="23"/>
      <c r="C1258" s="1"/>
      <c r="D1258" s="23">
        <v>2016</v>
      </c>
      <c r="E1258" s="24">
        <f>Data!F1258</f>
        <v>0</v>
      </c>
      <c r="F1258" s="24">
        <f>Data!H1258</f>
        <v>0</v>
      </c>
      <c r="G1258" s="24">
        <f t="shared" si="152"/>
        <v>0</v>
      </c>
      <c r="H1258" s="24">
        <f>Data!G1258</f>
        <v>0</v>
      </c>
      <c r="I1258" s="25">
        <f t="shared" si="153"/>
        <v>0</v>
      </c>
      <c r="J1258" s="24">
        <f>Data!J1258</f>
        <v>0</v>
      </c>
      <c r="K1258" s="24">
        <f t="shared" si="154"/>
        <v>0</v>
      </c>
      <c r="L1258" s="25">
        <f t="shared" si="155"/>
        <v>0</v>
      </c>
      <c r="M1258" s="24">
        <f>Data!M1258</f>
        <v>0</v>
      </c>
      <c r="N1258" s="24">
        <f t="shared" si="156"/>
        <v>0</v>
      </c>
      <c r="O1258" s="25">
        <f t="shared" si="157"/>
        <v>0</v>
      </c>
      <c r="P1258" s="24">
        <f>Data!K1258</f>
        <v>0</v>
      </c>
      <c r="Q1258" s="24">
        <f>Data!I1258</f>
        <v>0</v>
      </c>
      <c r="R1258" s="25">
        <f t="shared" si="158"/>
        <v>0</v>
      </c>
      <c r="S1258" s="25">
        <f t="shared" si="159"/>
        <v>0</v>
      </c>
    </row>
    <row r="1259" spans="1:19" ht="15" customHeight="1" x14ac:dyDescent="0.3">
      <c r="A1259" s="22"/>
      <c r="B1259" s="23"/>
      <c r="C1259" s="1"/>
      <c r="D1259" s="23">
        <v>2017</v>
      </c>
      <c r="E1259" s="24">
        <f>Data!F1259</f>
        <v>0</v>
      </c>
      <c r="F1259" s="24">
        <f>Data!H1259</f>
        <v>0</v>
      </c>
      <c r="G1259" s="24">
        <f t="shared" si="152"/>
        <v>0</v>
      </c>
      <c r="H1259" s="24">
        <f>Data!G1259</f>
        <v>0</v>
      </c>
      <c r="I1259" s="25">
        <f t="shared" si="153"/>
        <v>0</v>
      </c>
      <c r="J1259" s="24">
        <f>Data!J1259</f>
        <v>0</v>
      </c>
      <c r="K1259" s="24">
        <f t="shared" si="154"/>
        <v>0</v>
      </c>
      <c r="L1259" s="25">
        <f t="shared" si="155"/>
        <v>0</v>
      </c>
      <c r="M1259" s="24">
        <f>Data!M1259</f>
        <v>0</v>
      </c>
      <c r="N1259" s="24">
        <f t="shared" si="156"/>
        <v>0</v>
      </c>
      <c r="O1259" s="25">
        <f t="shared" si="157"/>
        <v>0</v>
      </c>
      <c r="P1259" s="24">
        <f>Data!K1259</f>
        <v>0</v>
      </c>
      <c r="Q1259" s="24">
        <f>Data!I1259</f>
        <v>0</v>
      </c>
      <c r="R1259" s="25">
        <f t="shared" si="158"/>
        <v>0</v>
      </c>
      <c r="S1259" s="25">
        <f t="shared" si="159"/>
        <v>0</v>
      </c>
    </row>
    <row r="1260" spans="1:19" ht="15" customHeight="1" x14ac:dyDescent="0.3">
      <c r="A1260" s="22"/>
      <c r="B1260" s="23"/>
      <c r="C1260" s="1"/>
      <c r="D1260" s="23">
        <v>2018</v>
      </c>
      <c r="E1260" s="24">
        <f>Data!F1260</f>
        <v>0</v>
      </c>
      <c r="F1260" s="24">
        <f>Data!H1260</f>
        <v>0</v>
      </c>
      <c r="G1260" s="24">
        <f t="shared" si="152"/>
        <v>0</v>
      </c>
      <c r="H1260" s="24">
        <f>Data!G1260</f>
        <v>0</v>
      </c>
      <c r="I1260" s="25">
        <f t="shared" si="153"/>
        <v>0</v>
      </c>
      <c r="J1260" s="24">
        <f>Data!J1260</f>
        <v>0</v>
      </c>
      <c r="K1260" s="24">
        <f t="shared" si="154"/>
        <v>0</v>
      </c>
      <c r="L1260" s="25">
        <f t="shared" si="155"/>
        <v>0</v>
      </c>
      <c r="M1260" s="24">
        <f>Data!M1260</f>
        <v>0</v>
      </c>
      <c r="N1260" s="24">
        <f t="shared" si="156"/>
        <v>0</v>
      </c>
      <c r="O1260" s="25">
        <f t="shared" si="157"/>
        <v>0</v>
      </c>
      <c r="P1260" s="24">
        <f>Data!K1260</f>
        <v>0</v>
      </c>
      <c r="Q1260" s="24">
        <f>Data!I1260</f>
        <v>0</v>
      </c>
      <c r="R1260" s="25">
        <f t="shared" si="158"/>
        <v>0</v>
      </c>
      <c r="S1260" s="25">
        <f t="shared" si="159"/>
        <v>0</v>
      </c>
    </row>
    <row r="1261" spans="1:19" ht="15" customHeight="1" x14ac:dyDescent="0.3">
      <c r="A1261" s="22"/>
      <c r="B1261" s="23"/>
      <c r="C1261" s="1"/>
      <c r="D1261" s="23">
        <v>2019</v>
      </c>
      <c r="E1261" s="24">
        <f>Data!F1261</f>
        <v>0</v>
      </c>
      <c r="F1261" s="24">
        <f>Data!H1261</f>
        <v>0</v>
      </c>
      <c r="G1261" s="24">
        <f t="shared" si="152"/>
        <v>0</v>
      </c>
      <c r="H1261" s="24">
        <f>Data!G1261</f>
        <v>0</v>
      </c>
      <c r="I1261" s="25">
        <f t="shared" si="153"/>
        <v>0</v>
      </c>
      <c r="J1261" s="24">
        <f>Data!J1261</f>
        <v>0</v>
      </c>
      <c r="K1261" s="24">
        <f t="shared" si="154"/>
        <v>0</v>
      </c>
      <c r="L1261" s="25">
        <f t="shared" si="155"/>
        <v>0</v>
      </c>
      <c r="M1261" s="24">
        <f>Data!M1261</f>
        <v>0</v>
      </c>
      <c r="N1261" s="24">
        <f t="shared" si="156"/>
        <v>0</v>
      </c>
      <c r="O1261" s="25">
        <f t="shared" si="157"/>
        <v>0</v>
      </c>
      <c r="P1261" s="24">
        <f>Data!K1261</f>
        <v>0</v>
      </c>
      <c r="Q1261" s="24">
        <f>Data!I1261</f>
        <v>0</v>
      </c>
      <c r="R1261" s="25">
        <f t="shared" si="158"/>
        <v>0</v>
      </c>
      <c r="S1261" s="25">
        <f t="shared" si="159"/>
        <v>0</v>
      </c>
    </row>
    <row r="1262" spans="1:19" ht="15" customHeight="1" x14ac:dyDescent="0.3">
      <c r="A1262" s="22"/>
      <c r="B1262" s="23"/>
      <c r="C1262" s="1"/>
      <c r="D1262" s="23">
        <v>2020</v>
      </c>
      <c r="E1262" s="24">
        <f>Data!F1262</f>
        <v>0</v>
      </c>
      <c r="F1262" s="24">
        <f>Data!H1262</f>
        <v>0</v>
      </c>
      <c r="G1262" s="24">
        <f t="shared" si="152"/>
        <v>0</v>
      </c>
      <c r="H1262" s="24">
        <f>Data!G1262</f>
        <v>0</v>
      </c>
      <c r="I1262" s="25">
        <f t="shared" si="153"/>
        <v>0</v>
      </c>
      <c r="J1262" s="24">
        <f>Data!J1262</f>
        <v>0</v>
      </c>
      <c r="K1262" s="24">
        <f t="shared" si="154"/>
        <v>0</v>
      </c>
      <c r="L1262" s="25">
        <f t="shared" si="155"/>
        <v>0</v>
      </c>
      <c r="M1262" s="24">
        <f>Data!M1262</f>
        <v>0</v>
      </c>
      <c r="N1262" s="24">
        <f t="shared" si="156"/>
        <v>0</v>
      </c>
      <c r="O1262" s="25">
        <f t="shared" si="157"/>
        <v>0</v>
      </c>
      <c r="P1262" s="24">
        <f>Data!K1262</f>
        <v>0</v>
      </c>
      <c r="Q1262" s="24">
        <f>Data!I1262</f>
        <v>0</v>
      </c>
      <c r="R1262" s="25">
        <f t="shared" si="158"/>
        <v>0</v>
      </c>
      <c r="S1262" s="25">
        <f t="shared" si="159"/>
        <v>0</v>
      </c>
    </row>
    <row r="1263" spans="1:19" ht="15" customHeight="1" x14ac:dyDescent="0.3">
      <c r="A1263" s="22"/>
      <c r="B1263" s="23"/>
      <c r="C1263" s="1"/>
      <c r="D1263" s="23">
        <v>2021</v>
      </c>
      <c r="E1263" s="24">
        <f>Data!F1263</f>
        <v>0</v>
      </c>
      <c r="F1263" s="24">
        <f>Data!H1263</f>
        <v>0</v>
      </c>
      <c r="G1263" s="24">
        <f t="shared" si="152"/>
        <v>0</v>
      </c>
      <c r="H1263" s="24">
        <f>Data!G1263</f>
        <v>0</v>
      </c>
      <c r="I1263" s="25">
        <f t="shared" si="153"/>
        <v>0</v>
      </c>
      <c r="J1263" s="24">
        <f>Data!J1263</f>
        <v>0</v>
      </c>
      <c r="K1263" s="24">
        <f t="shared" si="154"/>
        <v>0</v>
      </c>
      <c r="L1263" s="25">
        <f t="shared" si="155"/>
        <v>0</v>
      </c>
      <c r="M1263" s="24">
        <f>Data!M1263</f>
        <v>0</v>
      </c>
      <c r="N1263" s="24">
        <f t="shared" si="156"/>
        <v>0</v>
      </c>
      <c r="O1263" s="25">
        <f t="shared" si="157"/>
        <v>0</v>
      </c>
      <c r="P1263" s="24">
        <f>Data!K1263</f>
        <v>0</v>
      </c>
      <c r="Q1263" s="24">
        <f>Data!I1263</f>
        <v>0</v>
      </c>
      <c r="R1263" s="25">
        <f t="shared" si="158"/>
        <v>0</v>
      </c>
      <c r="S1263" s="25">
        <f t="shared" si="159"/>
        <v>0</v>
      </c>
    </row>
    <row r="1264" spans="1:19" ht="15" customHeight="1" x14ac:dyDescent="0.3">
      <c r="A1264" s="22"/>
      <c r="B1264" s="23"/>
      <c r="C1264" s="1"/>
      <c r="D1264" s="23">
        <v>2022</v>
      </c>
      <c r="E1264" s="24">
        <f>Data!F1264</f>
        <v>47821700000</v>
      </c>
      <c r="F1264" s="24">
        <f>Data!H1264</f>
        <v>1029260000</v>
      </c>
      <c r="G1264" s="24">
        <f t="shared" si="152"/>
        <v>46792440000</v>
      </c>
      <c r="H1264" s="24">
        <f>Data!G1264</f>
        <v>151070430000</v>
      </c>
      <c r="I1264" s="25">
        <f t="shared" si="153"/>
        <v>2.0318894068150861</v>
      </c>
      <c r="J1264" s="24">
        <f>Data!J1264</f>
        <v>-5958830000</v>
      </c>
      <c r="K1264" s="24">
        <f t="shared" si="154"/>
        <v>151070430000</v>
      </c>
      <c r="L1264" s="25">
        <f t="shared" si="155"/>
        <v>-0.12858761175168429</v>
      </c>
      <c r="M1264" s="24">
        <f>Data!M1264</f>
        <v>-5018460000</v>
      </c>
      <c r="N1264" s="24">
        <f t="shared" si="156"/>
        <v>151070430000</v>
      </c>
      <c r="O1264" s="25">
        <f t="shared" si="157"/>
        <v>-0.22323396577344753</v>
      </c>
      <c r="P1264" s="24">
        <f>Data!K1264</f>
        <v>150041170000</v>
      </c>
      <c r="Q1264" s="24">
        <f>Data!I1264</f>
        <v>1029260000</v>
      </c>
      <c r="R1264" s="25">
        <f t="shared" si="158"/>
        <v>153.06455948934186</v>
      </c>
      <c r="S1264" s="25">
        <f t="shared" si="159"/>
        <v>154.74462731863181</v>
      </c>
    </row>
    <row r="1265" spans="1:19" ht="15" customHeight="1" x14ac:dyDescent="0.3">
      <c r="A1265" s="22"/>
      <c r="B1265" s="23"/>
      <c r="C1265" s="1"/>
      <c r="D1265" s="23">
        <v>2023</v>
      </c>
      <c r="E1265" s="24">
        <f>Data!F1265</f>
        <v>13554630000</v>
      </c>
      <c r="F1265" s="24">
        <f>Data!H1265</f>
        <v>7560890000</v>
      </c>
      <c r="G1265" s="24">
        <f t="shared" si="152"/>
        <v>5993740000</v>
      </c>
      <c r="H1265" s="24">
        <f>Data!G1265</f>
        <v>141458760000</v>
      </c>
      <c r="I1265" s="25">
        <f t="shared" si="153"/>
        <v>0.27795333707152525</v>
      </c>
      <c r="J1265" s="24">
        <f>Data!J1265</f>
        <v>-26165990000</v>
      </c>
      <c r="K1265" s="24">
        <f t="shared" si="154"/>
        <v>141458760000</v>
      </c>
      <c r="L1265" s="25">
        <f t="shared" si="155"/>
        <v>-0.60301056929949048</v>
      </c>
      <c r="M1265" s="24">
        <f>Data!M1265</f>
        <v>-20207150000</v>
      </c>
      <c r="N1265" s="24">
        <f t="shared" si="156"/>
        <v>141458760000</v>
      </c>
      <c r="O1265" s="25">
        <f t="shared" si="157"/>
        <v>-0.95994089019301443</v>
      </c>
      <c r="P1265" s="24">
        <f>Data!K1265</f>
        <v>129617170000</v>
      </c>
      <c r="Q1265" s="24">
        <f>Data!I1265</f>
        <v>11841590000</v>
      </c>
      <c r="R1265" s="25">
        <f t="shared" si="158"/>
        <v>11.493222489547433</v>
      </c>
      <c r="S1265" s="25">
        <f t="shared" si="159"/>
        <v>10.208224367126453</v>
      </c>
    </row>
    <row r="1266" spans="1:19" ht="15" customHeight="1" x14ac:dyDescent="0.3">
      <c r="A1266" s="22"/>
      <c r="B1266" s="23"/>
      <c r="C1266" s="1"/>
      <c r="D1266" s="23">
        <v>2024</v>
      </c>
      <c r="E1266" s="24">
        <f>Data!F1266</f>
        <v>27714220000.000004</v>
      </c>
      <c r="F1266" s="24">
        <f>Data!H1266</f>
        <v>27717560000</v>
      </c>
      <c r="G1266" s="24">
        <f t="shared" si="152"/>
        <v>-3339999.9999961853</v>
      </c>
      <c r="H1266" s="24">
        <f>Data!G1266</f>
        <v>160317650000</v>
      </c>
      <c r="I1266" s="25">
        <f t="shared" si="153"/>
        <v>-1.3666866998097199E-4</v>
      </c>
      <c r="J1266" s="24">
        <f>Data!J1266</f>
        <v>-50568690000</v>
      </c>
      <c r="K1266" s="24">
        <f t="shared" si="154"/>
        <v>160317650000</v>
      </c>
      <c r="L1266" s="25">
        <f t="shared" si="155"/>
        <v>-1.0282955706997949</v>
      </c>
      <c r="M1266" s="24">
        <f>Data!M1266</f>
        <v>-24402700000</v>
      </c>
      <c r="N1266" s="24">
        <f t="shared" si="156"/>
        <v>160317650000</v>
      </c>
      <c r="O1266" s="25">
        <f t="shared" si="157"/>
        <v>-1.0228826582724984</v>
      </c>
      <c r="P1266" s="24">
        <f>Data!K1266</f>
        <v>103957440000</v>
      </c>
      <c r="Q1266" s="24">
        <f>Data!I1266</f>
        <v>56360210000</v>
      </c>
      <c r="R1266" s="25">
        <f t="shared" si="158"/>
        <v>1.9367442385328231</v>
      </c>
      <c r="S1266" s="25">
        <f t="shared" si="159"/>
        <v>-0.1145706591094513</v>
      </c>
    </row>
    <row r="1267" spans="1:19" ht="15" customHeight="1" x14ac:dyDescent="0.3">
      <c r="A1267" s="22"/>
      <c r="B1267" s="23">
        <v>116</v>
      </c>
      <c r="C1267" s="1" t="s">
        <v>127</v>
      </c>
      <c r="D1267" s="23">
        <v>2014</v>
      </c>
      <c r="E1267" s="24">
        <f>Data!F1267</f>
        <v>0</v>
      </c>
      <c r="F1267" s="24">
        <f>Data!H1267</f>
        <v>0</v>
      </c>
      <c r="G1267" s="24">
        <f t="shared" si="152"/>
        <v>0</v>
      </c>
      <c r="H1267" s="24">
        <f>Data!G1267</f>
        <v>0</v>
      </c>
      <c r="I1267" s="25">
        <f t="shared" si="153"/>
        <v>0</v>
      </c>
      <c r="J1267" s="24">
        <f>Data!J1267</f>
        <v>0</v>
      </c>
      <c r="K1267" s="24">
        <f t="shared" si="154"/>
        <v>0</v>
      </c>
      <c r="L1267" s="25">
        <f t="shared" si="155"/>
        <v>0</v>
      </c>
      <c r="M1267" s="24">
        <f>Data!M1267</f>
        <v>0</v>
      </c>
      <c r="N1267" s="24">
        <f t="shared" si="156"/>
        <v>0</v>
      </c>
      <c r="O1267" s="25">
        <f t="shared" si="157"/>
        <v>0</v>
      </c>
      <c r="P1267" s="24">
        <f>Data!K1267</f>
        <v>0</v>
      </c>
      <c r="Q1267" s="24">
        <f>Data!I1267</f>
        <v>0</v>
      </c>
      <c r="R1267" s="25">
        <f t="shared" si="158"/>
        <v>0</v>
      </c>
      <c r="S1267" s="25">
        <f t="shared" si="159"/>
        <v>0</v>
      </c>
    </row>
    <row r="1268" spans="1:19" ht="15" customHeight="1" x14ac:dyDescent="0.3">
      <c r="A1268" s="22"/>
      <c r="B1268" s="23"/>
      <c r="C1268" s="1"/>
      <c r="D1268" s="23">
        <v>2015</v>
      </c>
      <c r="E1268" s="24">
        <f>Data!F1268</f>
        <v>1834573000000</v>
      </c>
      <c r="F1268" s="24">
        <f>Data!H1268</f>
        <v>769499000000</v>
      </c>
      <c r="G1268" s="24">
        <f t="shared" si="152"/>
        <v>1065074000000</v>
      </c>
      <c r="H1268" s="24">
        <f>Data!G1268</f>
        <v>3020355000000</v>
      </c>
      <c r="I1268" s="25">
        <f t="shared" si="153"/>
        <v>2.3132663014778063</v>
      </c>
      <c r="J1268" s="24">
        <f>Data!J1268</f>
        <v>540738000000</v>
      </c>
      <c r="K1268" s="24">
        <f t="shared" si="154"/>
        <v>3020355000000</v>
      </c>
      <c r="L1268" s="25">
        <f t="shared" si="155"/>
        <v>0.58364194937350078</v>
      </c>
      <c r="M1268" s="24">
        <f>Data!M1268</f>
        <v>97639000000</v>
      </c>
      <c r="N1268" s="24">
        <f t="shared" si="156"/>
        <v>3020355000000</v>
      </c>
      <c r="O1268" s="25">
        <f t="shared" si="157"/>
        <v>0.21723740421241874</v>
      </c>
      <c r="P1268" s="24">
        <f>Data!K1268</f>
        <v>858902000000</v>
      </c>
      <c r="Q1268" s="24">
        <f>Data!I1268</f>
        <v>2161453000000</v>
      </c>
      <c r="R1268" s="25">
        <f t="shared" si="158"/>
        <v>0.41724113362631526</v>
      </c>
      <c r="S1268" s="25">
        <f t="shared" si="159"/>
        <v>3.5313867886900407</v>
      </c>
    </row>
    <row r="1269" spans="1:19" ht="15" customHeight="1" x14ac:dyDescent="0.3">
      <c r="A1269" s="22"/>
      <c r="B1269" s="23"/>
      <c r="C1269" s="1"/>
      <c r="D1269" s="23">
        <v>2016</v>
      </c>
      <c r="E1269" s="24">
        <f>Data!F1269</f>
        <v>1601170000000</v>
      </c>
      <c r="F1269" s="24">
        <f>Data!H1269</f>
        <v>553481000000</v>
      </c>
      <c r="G1269" s="24">
        <f t="shared" si="152"/>
        <v>1047689000000</v>
      </c>
      <c r="H1269" s="24">
        <f>Data!G1269</f>
        <v>3142807000000</v>
      </c>
      <c r="I1269" s="25">
        <f t="shared" si="153"/>
        <v>2.1868475665225384</v>
      </c>
      <c r="J1269" s="24">
        <f>Data!J1269</f>
        <v>573904000000</v>
      </c>
      <c r="K1269" s="24">
        <f t="shared" si="154"/>
        <v>3142807000000</v>
      </c>
      <c r="L1269" s="25">
        <f t="shared" si="155"/>
        <v>0.59530446508487478</v>
      </c>
      <c r="M1269" s="24">
        <f>Data!M1269</f>
        <v>66848000000</v>
      </c>
      <c r="N1269" s="24">
        <f t="shared" si="156"/>
        <v>3142807000000</v>
      </c>
      <c r="O1269" s="25">
        <f t="shared" si="157"/>
        <v>0.14293545865209029</v>
      </c>
      <c r="P1269" s="24">
        <f>Data!K1269</f>
        <v>937404000000</v>
      </c>
      <c r="Q1269" s="24">
        <f>Data!I1269</f>
        <v>2205404000000</v>
      </c>
      <c r="R1269" s="25">
        <f t="shared" si="158"/>
        <v>0.44630108587814299</v>
      </c>
      <c r="S1269" s="25">
        <f t="shared" si="159"/>
        <v>3.3713885761376461</v>
      </c>
    </row>
    <row r="1270" spans="1:19" ht="15" customHeight="1" x14ac:dyDescent="0.3">
      <c r="A1270" s="22"/>
      <c r="B1270" s="23"/>
      <c r="C1270" s="1"/>
      <c r="D1270" s="23">
        <v>2017</v>
      </c>
      <c r="E1270" s="24">
        <f>Data!F1270</f>
        <v>1791614000000</v>
      </c>
      <c r="F1270" s="24">
        <f>Data!H1270</f>
        <v>411311000000</v>
      </c>
      <c r="G1270" s="24">
        <f t="shared" si="152"/>
        <v>1380303000000</v>
      </c>
      <c r="H1270" s="24">
        <f>Data!G1270</f>
        <v>3282298000000</v>
      </c>
      <c r="I1270" s="25">
        <f t="shared" si="153"/>
        <v>2.7586732466095398</v>
      </c>
      <c r="J1270" s="24">
        <f>Data!J1270</f>
        <v>622456000000</v>
      </c>
      <c r="K1270" s="24">
        <f t="shared" si="154"/>
        <v>3282298000000</v>
      </c>
      <c r="L1270" s="25">
        <f t="shared" si="155"/>
        <v>0.61822740043713276</v>
      </c>
      <c r="M1270" s="24">
        <f>Data!M1270</f>
        <v>77134000000</v>
      </c>
      <c r="N1270" s="24">
        <f t="shared" si="156"/>
        <v>3282298000000</v>
      </c>
      <c r="O1270" s="25">
        <f t="shared" si="157"/>
        <v>0.15791999385796171</v>
      </c>
      <c r="P1270" s="24">
        <f>Data!K1270</f>
        <v>1001894000000</v>
      </c>
      <c r="Q1270" s="24">
        <f>Data!I1270</f>
        <v>2280404000000</v>
      </c>
      <c r="R1270" s="25">
        <f t="shared" si="158"/>
        <v>0.46131681053006401</v>
      </c>
      <c r="S1270" s="25">
        <f t="shared" si="159"/>
        <v>3.9961374514346986</v>
      </c>
    </row>
    <row r="1271" spans="1:19" ht="15" customHeight="1" x14ac:dyDescent="0.3">
      <c r="A1271" s="22"/>
      <c r="B1271" s="23"/>
      <c r="C1271" s="1"/>
      <c r="D1271" s="23">
        <v>2018</v>
      </c>
      <c r="E1271" s="24">
        <f>Data!F1271</f>
        <v>1995265000000</v>
      </c>
      <c r="F1271" s="24">
        <f>Data!H1271</f>
        <v>447364000000</v>
      </c>
      <c r="G1271" s="24">
        <f t="shared" si="152"/>
        <v>1547901000000</v>
      </c>
      <c r="H1271" s="24">
        <f>Data!G1271</f>
        <v>3605680000000</v>
      </c>
      <c r="I1271" s="25">
        <f t="shared" si="153"/>
        <v>2.8161762996161612</v>
      </c>
      <c r="J1271" s="24">
        <f>Data!J1271</f>
        <v>677626000000</v>
      </c>
      <c r="K1271" s="24">
        <f t="shared" si="154"/>
        <v>3605680000000</v>
      </c>
      <c r="L1271" s="25">
        <f t="shared" si="155"/>
        <v>0.61266134543276163</v>
      </c>
      <c r="M1271" s="24">
        <f>Data!M1271</f>
        <v>90936000000</v>
      </c>
      <c r="N1271" s="24">
        <f t="shared" si="156"/>
        <v>3605680000000</v>
      </c>
      <c r="O1271" s="25">
        <f t="shared" si="157"/>
        <v>0.16947979854008119</v>
      </c>
      <c r="P1271" s="24">
        <f>Data!K1271</f>
        <v>998450000000</v>
      </c>
      <c r="Q1271" s="24">
        <f>Data!I1271</f>
        <v>2607229000000</v>
      </c>
      <c r="R1271" s="25">
        <f t="shared" si="158"/>
        <v>0.40210219355491983</v>
      </c>
      <c r="S1271" s="25">
        <f t="shared" si="159"/>
        <v>4.0004196371439242</v>
      </c>
    </row>
    <row r="1272" spans="1:19" ht="15" customHeight="1" x14ac:dyDescent="0.3">
      <c r="A1272" s="22"/>
      <c r="B1272" s="23"/>
      <c r="C1272" s="1"/>
      <c r="D1272" s="23">
        <v>2019</v>
      </c>
      <c r="E1272" s="24">
        <f>Data!F1272</f>
        <v>2160846000000</v>
      </c>
      <c r="F1272" s="24">
        <f>Data!H1272</f>
        <v>429665000000</v>
      </c>
      <c r="G1272" s="24">
        <f t="shared" si="152"/>
        <v>1731181000000</v>
      </c>
      <c r="H1272" s="24">
        <f>Data!G1272</f>
        <v>3868218000000</v>
      </c>
      <c r="I1272" s="25">
        <f t="shared" si="153"/>
        <v>2.9358602229760575</v>
      </c>
      <c r="J1272" s="24">
        <f>Data!J1272</f>
        <v>777270000000</v>
      </c>
      <c r="K1272" s="24">
        <f t="shared" si="154"/>
        <v>3868218000000</v>
      </c>
      <c r="L1272" s="25">
        <f t="shared" si="155"/>
        <v>0.65505620417463539</v>
      </c>
      <c r="M1272" s="24">
        <f>Data!M1272</f>
        <v>144983000000</v>
      </c>
      <c r="N1272" s="24">
        <f t="shared" si="156"/>
        <v>3868218000000</v>
      </c>
      <c r="O1272" s="25">
        <f t="shared" si="157"/>
        <v>0.251869403430727</v>
      </c>
      <c r="P1272" s="24">
        <f>Data!K1272</f>
        <v>1144707000000</v>
      </c>
      <c r="Q1272" s="24">
        <f>Data!I1272</f>
        <v>2723511000000</v>
      </c>
      <c r="R1272" s="25">
        <f t="shared" si="158"/>
        <v>0.44132090892968673</v>
      </c>
      <c r="S1272" s="25">
        <f t="shared" si="159"/>
        <v>4.284106739511107</v>
      </c>
    </row>
    <row r="1273" spans="1:19" ht="15" customHeight="1" x14ac:dyDescent="0.3">
      <c r="A1273" s="22"/>
      <c r="B1273" s="23"/>
      <c r="C1273" s="1"/>
      <c r="D1273" s="23">
        <v>2020</v>
      </c>
      <c r="E1273" s="24">
        <f>Data!F1273</f>
        <v>2482997000000</v>
      </c>
      <c r="F1273" s="24">
        <f>Data!H1273</f>
        <v>615186000000</v>
      </c>
      <c r="G1273" s="24">
        <f t="shared" si="152"/>
        <v>1867811000000</v>
      </c>
      <c r="H1273" s="24">
        <f>Data!G1273</f>
        <v>4233124000000</v>
      </c>
      <c r="I1273" s="25">
        <f t="shared" si="153"/>
        <v>2.8945148216777965</v>
      </c>
      <c r="J1273" s="24">
        <f>Data!J1273</f>
        <v>895916000000</v>
      </c>
      <c r="K1273" s="24">
        <f t="shared" si="154"/>
        <v>4233124000000</v>
      </c>
      <c r="L1273" s="25">
        <f t="shared" si="155"/>
        <v>0.68995998227313904</v>
      </c>
      <c r="M1273" s="24">
        <f>Data!M1273</f>
        <v>137612000000</v>
      </c>
      <c r="N1273" s="24">
        <f t="shared" si="156"/>
        <v>4233124000000</v>
      </c>
      <c r="O1273" s="25">
        <f t="shared" si="157"/>
        <v>0.21845630791821832</v>
      </c>
      <c r="P1273" s="24">
        <f>Data!K1273</f>
        <v>1240538000000</v>
      </c>
      <c r="Q1273" s="24">
        <f>Data!I1273</f>
        <v>2992586000000</v>
      </c>
      <c r="R1273" s="25">
        <f t="shared" si="158"/>
        <v>0.43526398238847608</v>
      </c>
      <c r="S1273" s="25">
        <f t="shared" si="159"/>
        <v>4.2381950942576294</v>
      </c>
    </row>
    <row r="1274" spans="1:19" ht="15" customHeight="1" x14ac:dyDescent="0.3">
      <c r="A1274" s="22"/>
      <c r="B1274" s="23"/>
      <c r="C1274" s="1"/>
      <c r="D1274" s="23">
        <v>2021</v>
      </c>
      <c r="E1274" s="24">
        <f>Data!F1274</f>
        <v>2413124000000</v>
      </c>
      <c r="F1274" s="24">
        <f>Data!H1274</f>
        <v>629393000000</v>
      </c>
      <c r="G1274" s="24">
        <f t="shared" si="152"/>
        <v>1783731000000</v>
      </c>
      <c r="H1274" s="24">
        <f>Data!G1274</f>
        <v>4261374000000</v>
      </c>
      <c r="I1274" s="25">
        <f t="shared" si="153"/>
        <v>2.7458926064691807</v>
      </c>
      <c r="J1274" s="24">
        <f>Data!J1274</f>
        <v>931689000000</v>
      </c>
      <c r="K1274" s="24">
        <f t="shared" si="154"/>
        <v>4261374000000</v>
      </c>
      <c r="L1274" s="25">
        <f t="shared" si="155"/>
        <v>0.71275277410525328</v>
      </c>
      <c r="M1274" s="24">
        <f>Data!M1274</f>
        <v>154881000000</v>
      </c>
      <c r="N1274" s="24">
        <f t="shared" si="156"/>
        <v>4261374000000</v>
      </c>
      <c r="O1274" s="25">
        <f t="shared" si="157"/>
        <v>0.24424054776698784</v>
      </c>
      <c r="P1274" s="24">
        <f>Data!K1274</f>
        <v>1309413000000</v>
      </c>
      <c r="Q1274" s="24">
        <f>Data!I1274</f>
        <v>2951961000000</v>
      </c>
      <c r="R1274" s="25">
        <f t="shared" si="158"/>
        <v>0.4657526471386309</v>
      </c>
      <c r="S1274" s="25">
        <f t="shared" si="159"/>
        <v>4.1686385754800526</v>
      </c>
    </row>
    <row r="1275" spans="1:19" ht="15" customHeight="1" x14ac:dyDescent="0.3">
      <c r="A1275" s="22"/>
      <c r="B1275" s="23"/>
      <c r="C1275" s="1"/>
      <c r="D1275" s="23">
        <v>2022</v>
      </c>
      <c r="E1275" s="24">
        <f>Data!F1275</f>
        <v>2218047000000</v>
      </c>
      <c r="F1275" s="24">
        <f>Data!H1275</f>
        <v>668116000000</v>
      </c>
      <c r="G1275" s="24">
        <f t="shared" si="152"/>
        <v>1549931000000</v>
      </c>
      <c r="H1275" s="24">
        <f>Data!G1275</f>
        <v>4365214000000</v>
      </c>
      <c r="I1275" s="25">
        <f t="shared" si="153"/>
        <v>2.3292208262870959</v>
      </c>
      <c r="J1275" s="24">
        <f>Data!J1275</f>
        <v>973217000000</v>
      </c>
      <c r="K1275" s="24">
        <f t="shared" si="154"/>
        <v>4365214000000</v>
      </c>
      <c r="L1275" s="25">
        <f t="shared" si="155"/>
        <v>0.72681142780170682</v>
      </c>
      <c r="M1275" s="24">
        <f>Data!M1275</f>
        <v>179438000000</v>
      </c>
      <c r="N1275" s="24">
        <f t="shared" si="156"/>
        <v>4365214000000</v>
      </c>
      <c r="O1275" s="25">
        <f t="shared" si="157"/>
        <v>0.27623464966436923</v>
      </c>
      <c r="P1275" s="24">
        <f>Data!K1275</f>
        <v>1329579000000</v>
      </c>
      <c r="Q1275" s="24">
        <f>Data!I1275</f>
        <v>3035635000000</v>
      </c>
      <c r="R1275" s="25">
        <f t="shared" si="158"/>
        <v>0.45988992418390223</v>
      </c>
      <c r="S1275" s="25">
        <f t="shared" si="159"/>
        <v>3.7921568279370739</v>
      </c>
    </row>
    <row r="1276" spans="1:19" ht="15" customHeight="1" x14ac:dyDescent="0.3">
      <c r="A1276" s="22"/>
      <c r="B1276" s="23"/>
      <c r="C1276" s="1"/>
      <c r="D1276" s="23">
        <v>2023</v>
      </c>
      <c r="E1276" s="24">
        <f>Data!F1276</f>
        <v>2561597000000</v>
      </c>
      <c r="F1276" s="24">
        <f>Data!H1276</f>
        <v>891040000000</v>
      </c>
      <c r="G1276" s="24">
        <f t="shared" si="152"/>
        <v>1670557000000</v>
      </c>
      <c r="H1276" s="24">
        <f>Data!G1276</f>
        <v>5010127000000</v>
      </c>
      <c r="I1276" s="25">
        <f t="shared" si="153"/>
        <v>2.1873405444612479</v>
      </c>
      <c r="J1276" s="24">
        <f>Data!J1276</f>
        <v>1121519000000</v>
      </c>
      <c r="K1276" s="24">
        <f t="shared" si="154"/>
        <v>5010127000000</v>
      </c>
      <c r="L1276" s="25">
        <f t="shared" si="155"/>
        <v>0.72975234759518071</v>
      </c>
      <c r="M1276" s="24">
        <f>Data!M1276</f>
        <v>250775000000</v>
      </c>
      <c r="N1276" s="24">
        <f t="shared" si="156"/>
        <v>5010127000000</v>
      </c>
      <c r="O1276" s="25">
        <f t="shared" si="157"/>
        <v>0.33636033577591945</v>
      </c>
      <c r="P1276" s="24">
        <f>Data!K1276</f>
        <v>1513002000000</v>
      </c>
      <c r="Q1276" s="24">
        <f>Data!I1276</f>
        <v>3497125000000</v>
      </c>
      <c r="R1276" s="25">
        <f t="shared" si="158"/>
        <v>0.454273753440326</v>
      </c>
      <c r="S1276" s="25">
        <f t="shared" si="159"/>
        <v>3.7077269812726739</v>
      </c>
    </row>
    <row r="1277" spans="1:19" ht="15" customHeight="1" x14ac:dyDescent="0.3">
      <c r="A1277" s="22"/>
      <c r="B1277" s="23"/>
      <c r="C1277" s="1"/>
      <c r="D1277" s="23">
        <v>2024</v>
      </c>
      <c r="E1277" s="24">
        <f>Data!F1277</f>
        <v>2691422000000</v>
      </c>
      <c r="F1277" s="24">
        <f>Data!H1277</f>
        <v>1042734000000</v>
      </c>
      <c r="G1277" s="24">
        <f t="shared" si="152"/>
        <v>1648688000000</v>
      </c>
      <c r="H1277" s="24">
        <f>Data!G1277</f>
        <v>5226747000000</v>
      </c>
      <c r="I1277" s="25">
        <f t="shared" si="153"/>
        <v>2.0692398694637411</v>
      </c>
      <c r="J1277" s="24">
        <f>Data!J1277</f>
        <v>1163536000000</v>
      </c>
      <c r="K1277" s="24">
        <f t="shared" si="154"/>
        <v>5226747000000</v>
      </c>
      <c r="L1277" s="25">
        <f t="shared" si="155"/>
        <v>0.72571474379762391</v>
      </c>
      <c r="M1277" s="24">
        <f>Data!M1277</f>
        <v>289490000000</v>
      </c>
      <c r="N1277" s="24">
        <f t="shared" si="156"/>
        <v>5226747000000</v>
      </c>
      <c r="O1277" s="25">
        <f t="shared" si="157"/>
        <v>0.37219570796137635</v>
      </c>
      <c r="P1277" s="24">
        <f>Data!K1277</f>
        <v>1555140000000</v>
      </c>
      <c r="Q1277" s="24">
        <f>Data!I1277</f>
        <v>3671607000000</v>
      </c>
      <c r="R1277" s="25">
        <f t="shared" si="158"/>
        <v>0.44473632390394724</v>
      </c>
      <c r="S1277" s="25">
        <f t="shared" si="159"/>
        <v>3.6118866451266882</v>
      </c>
    </row>
    <row r="1278" spans="1:19" ht="15" customHeight="1" x14ac:dyDescent="0.3">
      <c r="A1278" s="22"/>
      <c r="B1278" s="23">
        <v>117</v>
      </c>
      <c r="C1278" s="2" t="s">
        <v>65</v>
      </c>
      <c r="D1278" s="23">
        <v>2014</v>
      </c>
      <c r="E1278" s="24">
        <f>Data!F1278</f>
        <v>0</v>
      </c>
      <c r="F1278" s="24">
        <f>Data!H1278</f>
        <v>0</v>
      </c>
      <c r="G1278" s="24">
        <f t="shared" si="152"/>
        <v>0</v>
      </c>
      <c r="H1278" s="24">
        <f>Data!G1278</f>
        <v>0</v>
      </c>
      <c r="I1278" s="25">
        <f t="shared" si="153"/>
        <v>0</v>
      </c>
      <c r="J1278" s="24">
        <f>Data!J1278</f>
        <v>0</v>
      </c>
      <c r="K1278" s="24">
        <f t="shared" si="154"/>
        <v>0</v>
      </c>
      <c r="L1278" s="25">
        <f t="shared" si="155"/>
        <v>0</v>
      </c>
      <c r="M1278" s="24">
        <f>Data!M1278</f>
        <v>0</v>
      </c>
      <c r="N1278" s="24">
        <f t="shared" si="156"/>
        <v>0</v>
      </c>
      <c r="O1278" s="25">
        <f t="shared" si="157"/>
        <v>0</v>
      </c>
      <c r="P1278" s="24">
        <f>Data!K1278</f>
        <v>0</v>
      </c>
      <c r="Q1278" s="24">
        <f>Data!I1278</f>
        <v>0</v>
      </c>
      <c r="R1278" s="25">
        <f t="shared" si="158"/>
        <v>0</v>
      </c>
      <c r="S1278" s="25">
        <f t="shared" si="159"/>
        <v>0</v>
      </c>
    </row>
    <row r="1279" spans="1:19" ht="15" customHeight="1" x14ac:dyDescent="0.3">
      <c r="A1279" s="22"/>
      <c r="B1279" s="23"/>
      <c r="C1279" s="2"/>
      <c r="D1279" s="23">
        <v>2015</v>
      </c>
      <c r="E1279" s="24">
        <f>Data!F1279</f>
        <v>73816000000</v>
      </c>
      <c r="F1279" s="24">
        <f>Data!H1279</f>
        <v>18894000000</v>
      </c>
      <c r="G1279" s="24">
        <f t="shared" si="152"/>
        <v>54922000000</v>
      </c>
      <c r="H1279" s="24">
        <f>Data!G1279</f>
        <v>196838000000</v>
      </c>
      <c r="I1279" s="25">
        <f t="shared" si="153"/>
        <v>1.8303799063189017</v>
      </c>
      <c r="J1279" s="24">
        <f>Data!J1279</f>
        <v>-13715000000</v>
      </c>
      <c r="K1279" s="24">
        <f t="shared" si="154"/>
        <v>196838000000</v>
      </c>
      <c r="L1279" s="25">
        <f t="shared" si="155"/>
        <v>-0.22714567309157782</v>
      </c>
      <c r="M1279" s="24">
        <f>Data!M1279</f>
        <v>7590000000</v>
      </c>
      <c r="N1279" s="24">
        <f t="shared" si="156"/>
        <v>196838000000</v>
      </c>
      <c r="O1279" s="25">
        <f t="shared" si="157"/>
        <v>0.25912069823916112</v>
      </c>
      <c r="P1279" s="24">
        <f>Data!K1279</f>
        <v>114563000000</v>
      </c>
      <c r="Q1279" s="24">
        <f>Data!I1279</f>
        <v>82274000000</v>
      </c>
      <c r="R1279" s="25">
        <f t="shared" si="158"/>
        <v>1.4620797578821985</v>
      </c>
      <c r="S1279" s="25">
        <f t="shared" si="159"/>
        <v>3.3244346893486836</v>
      </c>
    </row>
    <row r="1280" spans="1:19" ht="15" customHeight="1" x14ac:dyDescent="0.3">
      <c r="A1280" s="22"/>
      <c r="B1280" s="23"/>
      <c r="C1280" s="2"/>
      <c r="D1280" s="23">
        <v>2016</v>
      </c>
      <c r="E1280" s="24">
        <f>Data!F1280</f>
        <v>76755000000</v>
      </c>
      <c r="F1280" s="24">
        <f>Data!H1280</f>
        <v>23833000000</v>
      </c>
      <c r="G1280" s="24">
        <f t="shared" si="152"/>
        <v>52922000000</v>
      </c>
      <c r="H1280" s="24">
        <f>Data!G1280</f>
        <v>212248000000</v>
      </c>
      <c r="I1280" s="25">
        <f t="shared" si="153"/>
        <v>1.635672986317892</v>
      </c>
      <c r="J1280" s="24">
        <f>Data!J1280</f>
        <v>-5223000000</v>
      </c>
      <c r="K1280" s="24">
        <f t="shared" si="154"/>
        <v>212248000000</v>
      </c>
      <c r="L1280" s="25">
        <f t="shared" si="155"/>
        <v>-8.0222098677019335E-2</v>
      </c>
      <c r="M1280" s="24">
        <f>Data!M1280</f>
        <v>10254000000</v>
      </c>
      <c r="N1280" s="24">
        <f t="shared" si="156"/>
        <v>212248000000</v>
      </c>
      <c r="O1280" s="25">
        <f t="shared" si="157"/>
        <v>0.32465267046097018</v>
      </c>
      <c r="P1280" s="24">
        <f>Data!K1280</f>
        <v>123204000000</v>
      </c>
      <c r="Q1280" s="24">
        <f>Data!I1280</f>
        <v>89043000000</v>
      </c>
      <c r="R1280" s="25">
        <f t="shared" si="158"/>
        <v>1.4528284087463361</v>
      </c>
      <c r="S1280" s="25">
        <f t="shared" si="159"/>
        <v>3.3329319668481792</v>
      </c>
    </row>
    <row r="1281" spans="1:19" ht="15" customHeight="1" x14ac:dyDescent="0.3">
      <c r="A1281" s="22"/>
      <c r="B1281" s="23"/>
      <c r="C1281" s="2"/>
      <c r="D1281" s="23">
        <v>2017</v>
      </c>
      <c r="E1281" s="24">
        <f>Data!F1281</f>
        <v>86251000000</v>
      </c>
      <c r="F1281" s="24">
        <f>Data!H1281</f>
        <v>27972000000</v>
      </c>
      <c r="G1281" s="24">
        <f t="shared" si="152"/>
        <v>58279000000</v>
      </c>
      <c r="H1281" s="24">
        <f>Data!G1281</f>
        <v>246935000000</v>
      </c>
      <c r="I1281" s="25">
        <f t="shared" si="153"/>
        <v>1.5482221637272966</v>
      </c>
      <c r="J1281" s="24">
        <f>Data!J1281</f>
        <v>-1409000000</v>
      </c>
      <c r="K1281" s="24">
        <f t="shared" si="154"/>
        <v>246935000000</v>
      </c>
      <c r="L1281" s="25">
        <f t="shared" si="155"/>
        <v>-1.8601413327393845E-2</v>
      </c>
      <c r="M1281" s="24">
        <f>Data!M1281</f>
        <v>3733000000</v>
      </c>
      <c r="N1281" s="24">
        <f t="shared" si="156"/>
        <v>246935000000</v>
      </c>
      <c r="O1281" s="25">
        <f t="shared" si="157"/>
        <v>0.10158851519630673</v>
      </c>
      <c r="P1281" s="24">
        <f>Data!K1281</f>
        <v>128612000000</v>
      </c>
      <c r="Q1281" s="24">
        <f>Data!I1281</f>
        <v>118323000000</v>
      </c>
      <c r="R1281" s="25">
        <f t="shared" si="158"/>
        <v>1.1413047336527977</v>
      </c>
      <c r="S1281" s="25">
        <f t="shared" si="159"/>
        <v>2.7725139992490071</v>
      </c>
    </row>
    <row r="1282" spans="1:19" ht="15" customHeight="1" x14ac:dyDescent="0.3">
      <c r="A1282" s="22"/>
      <c r="B1282" s="23"/>
      <c r="C1282" s="2"/>
      <c r="D1282" s="23">
        <v>2018</v>
      </c>
      <c r="E1282" s="24">
        <f>Data!F1282</f>
        <v>103655000000</v>
      </c>
      <c r="F1282" s="24">
        <f>Data!H1282</f>
        <v>32703000000</v>
      </c>
      <c r="G1282" s="24">
        <f t="shared" si="152"/>
        <v>70952000000</v>
      </c>
      <c r="H1282" s="24">
        <f>Data!G1282</f>
        <v>275638000000</v>
      </c>
      <c r="I1282" s="25">
        <f t="shared" si="153"/>
        <v>1.6886101335810011</v>
      </c>
      <c r="J1282" s="24">
        <f>Data!J1282</f>
        <v>10068000000</v>
      </c>
      <c r="K1282" s="24">
        <f t="shared" si="154"/>
        <v>275638000000</v>
      </c>
      <c r="L1282" s="25">
        <f t="shared" si="155"/>
        <v>0.11907530891967</v>
      </c>
      <c r="M1282" s="24">
        <f>Data!M1282</f>
        <v>8952000000</v>
      </c>
      <c r="N1282" s="24">
        <f t="shared" si="156"/>
        <v>275638000000</v>
      </c>
      <c r="O1282" s="25">
        <f t="shared" si="157"/>
        <v>0.21824799193144628</v>
      </c>
      <c r="P1282" s="24">
        <f>Data!K1282</f>
        <v>137670000000</v>
      </c>
      <c r="Q1282" s="24">
        <f>Data!I1282</f>
        <v>137968000000</v>
      </c>
      <c r="R1282" s="25">
        <f t="shared" si="158"/>
        <v>1.0477320828018091</v>
      </c>
      <c r="S1282" s="25">
        <f t="shared" si="159"/>
        <v>3.073665517233926</v>
      </c>
    </row>
    <row r="1283" spans="1:19" ht="15" customHeight="1" x14ac:dyDescent="0.3">
      <c r="A1283" s="22"/>
      <c r="B1283" s="23"/>
      <c r="C1283" s="2"/>
      <c r="D1283" s="23">
        <v>2019</v>
      </c>
      <c r="E1283" s="24">
        <f>Data!F1283</f>
        <v>225285000000</v>
      </c>
      <c r="F1283" s="24">
        <f>Data!H1283</f>
        <v>52321000000</v>
      </c>
      <c r="G1283" s="24">
        <f t="shared" ref="G1283:G1346" si="160">E1283-F1283</f>
        <v>172964000000</v>
      </c>
      <c r="H1283" s="24">
        <f>Data!G1283</f>
        <v>430332000000</v>
      </c>
      <c r="I1283" s="25">
        <f t="shared" ref="I1283:I1346" si="161">IFERROR(6.56*(G1283/H1283),0)</f>
        <v>2.6366708494836542</v>
      </c>
      <c r="J1283" s="24">
        <f>Data!J1283</f>
        <v>19385000000</v>
      </c>
      <c r="K1283" s="24">
        <f t="shared" ref="K1283:K1346" si="162">H1283</f>
        <v>430332000000</v>
      </c>
      <c r="L1283" s="25">
        <f t="shared" ref="L1283:L1346" si="163">IFERROR(3.26*(J1283/K1283),0)</f>
        <v>0.14685196545922682</v>
      </c>
      <c r="M1283" s="24">
        <f>Data!M1283</f>
        <v>11761000000</v>
      </c>
      <c r="N1283" s="24">
        <f t="shared" ref="N1283:N1346" si="164">K1283</f>
        <v>430332000000</v>
      </c>
      <c r="O1283" s="25">
        <f t="shared" ref="O1283:O1346" si="165">IFERROR(6.72*(M1283/N1283),0)</f>
        <v>0.18365801288307632</v>
      </c>
      <c r="P1283" s="24">
        <f>Data!K1283</f>
        <v>149172000000</v>
      </c>
      <c r="Q1283" s="24">
        <f>Data!I1283</f>
        <v>281159000000</v>
      </c>
      <c r="R1283" s="25">
        <f t="shared" ref="R1283:R1346" si="166">IFERROR(1.05*(P1283/Q1283),0)</f>
        <v>0.55708904925682623</v>
      </c>
      <c r="S1283" s="25">
        <f t="shared" ref="S1283:S1346" si="167">IFERROR(I1283+L1283+O1283+R1283,0)</f>
        <v>3.5242698770827832</v>
      </c>
    </row>
    <row r="1284" spans="1:19" ht="15" customHeight="1" x14ac:dyDescent="0.3">
      <c r="A1284" s="22"/>
      <c r="B1284" s="23"/>
      <c r="C1284" s="2"/>
      <c r="D1284" s="23">
        <v>2020</v>
      </c>
      <c r="E1284" s="24">
        <f>Data!F1284</f>
        <v>203647000000</v>
      </c>
      <c r="F1284" s="24">
        <f>Data!H1284</f>
        <v>63634000000</v>
      </c>
      <c r="G1284" s="24">
        <f t="shared" si="160"/>
        <v>140013000000</v>
      </c>
      <c r="H1284" s="24">
        <f>Data!G1284</f>
        <v>432693000000</v>
      </c>
      <c r="I1284" s="25">
        <f t="shared" si="161"/>
        <v>2.1227181396509764</v>
      </c>
      <c r="J1284" s="24">
        <f>Data!J1284</f>
        <v>27421000000</v>
      </c>
      <c r="K1284" s="24">
        <f t="shared" si="162"/>
        <v>432693000000</v>
      </c>
      <c r="L1284" s="25">
        <f t="shared" si="163"/>
        <v>0.20659557700263234</v>
      </c>
      <c r="M1284" s="24">
        <f>Data!M1284</f>
        <v>12153000000</v>
      </c>
      <c r="N1284" s="24">
        <f t="shared" si="164"/>
        <v>432693000000</v>
      </c>
      <c r="O1284" s="25">
        <f t="shared" si="165"/>
        <v>0.18874389000977598</v>
      </c>
      <c r="P1284" s="24">
        <f>Data!K1284</f>
        <v>162859000000</v>
      </c>
      <c r="Q1284" s="24">
        <f>Data!I1284</f>
        <v>269833000000</v>
      </c>
      <c r="R1284" s="25">
        <f t="shared" si="166"/>
        <v>0.63373253086168113</v>
      </c>
      <c r="S1284" s="25">
        <f t="shared" si="167"/>
        <v>3.1517901375250661</v>
      </c>
    </row>
    <row r="1285" spans="1:19" ht="15" customHeight="1" x14ac:dyDescent="0.3">
      <c r="A1285" s="22"/>
      <c r="B1285" s="23"/>
      <c r="C1285" s="2"/>
      <c r="D1285" s="23">
        <v>2021</v>
      </c>
      <c r="E1285" s="24">
        <f>Data!F1285</f>
        <v>359246000000</v>
      </c>
      <c r="F1285" s="24">
        <f>Data!H1285</f>
        <v>72066000000</v>
      </c>
      <c r="G1285" s="24">
        <f t="shared" si="160"/>
        <v>287180000000</v>
      </c>
      <c r="H1285" s="24">
        <f>Data!G1285</f>
        <v>469764000000</v>
      </c>
      <c r="I1285" s="25">
        <f t="shared" si="161"/>
        <v>4.0103132636813381</v>
      </c>
      <c r="J1285" s="24">
        <f>Data!J1285</f>
        <v>49646000000</v>
      </c>
      <c r="K1285" s="24">
        <f t="shared" si="162"/>
        <v>469764000000</v>
      </c>
      <c r="L1285" s="25">
        <f t="shared" si="163"/>
        <v>0.34452610246847354</v>
      </c>
      <c r="M1285" s="24">
        <f>Data!M1285</f>
        <v>24640000000</v>
      </c>
      <c r="N1285" s="24">
        <f t="shared" si="164"/>
        <v>469764000000</v>
      </c>
      <c r="O1285" s="25">
        <f t="shared" si="165"/>
        <v>0.35247656269956829</v>
      </c>
      <c r="P1285" s="24">
        <f>Data!K1285</f>
        <v>185934000000</v>
      </c>
      <c r="Q1285" s="24">
        <f>Data!I1285</f>
        <v>283830000000</v>
      </c>
      <c r="R1285" s="25">
        <f t="shared" si="166"/>
        <v>0.6878437797273016</v>
      </c>
      <c r="S1285" s="25">
        <f t="shared" si="167"/>
        <v>5.3951597085766814</v>
      </c>
    </row>
    <row r="1286" spans="1:19" ht="15" customHeight="1" x14ac:dyDescent="0.3">
      <c r="A1286" s="22"/>
      <c r="B1286" s="23"/>
      <c r="C1286" s="2"/>
      <c r="D1286" s="23">
        <v>2022</v>
      </c>
      <c r="E1286" s="24">
        <f>Data!F1286</f>
        <v>202102000000</v>
      </c>
      <c r="F1286" s="24">
        <f>Data!H1286</f>
        <v>69879000000</v>
      </c>
      <c r="G1286" s="24">
        <f t="shared" si="160"/>
        <v>132223000000</v>
      </c>
      <c r="H1286" s="24">
        <f>Data!G1286</f>
        <v>486808000000</v>
      </c>
      <c r="I1286" s="25">
        <f t="shared" si="161"/>
        <v>1.7817761417232256</v>
      </c>
      <c r="J1286" s="24">
        <f>Data!J1286</f>
        <v>68593000000</v>
      </c>
      <c r="K1286" s="24">
        <f t="shared" si="162"/>
        <v>486808000000</v>
      </c>
      <c r="L1286" s="25">
        <f t="shared" si="163"/>
        <v>0.45934573795007472</v>
      </c>
      <c r="M1286" s="24">
        <f>Data!M1286</f>
        <v>24124000000</v>
      </c>
      <c r="N1286" s="24">
        <f t="shared" si="164"/>
        <v>486808000000</v>
      </c>
      <c r="O1286" s="25">
        <f t="shared" si="165"/>
        <v>0.33301276889451281</v>
      </c>
      <c r="P1286" s="24">
        <f>Data!K1286</f>
        <v>197864000000</v>
      </c>
      <c r="Q1286" s="24">
        <f>Data!I1286</f>
        <v>288943000000</v>
      </c>
      <c r="R1286" s="25">
        <f t="shared" si="166"/>
        <v>0.71902485957437978</v>
      </c>
      <c r="S1286" s="25">
        <f t="shared" si="167"/>
        <v>3.2931595081421925</v>
      </c>
    </row>
    <row r="1287" spans="1:19" ht="15" customHeight="1" x14ac:dyDescent="0.3">
      <c r="A1287" s="22"/>
      <c r="B1287" s="23"/>
      <c r="C1287" s="2"/>
      <c r="D1287" s="23">
        <v>2023</v>
      </c>
      <c r="E1287" s="24">
        <f>Data!F1287</f>
        <v>265619000000</v>
      </c>
      <c r="F1287" s="24">
        <f>Data!H1287</f>
        <v>80971000000</v>
      </c>
      <c r="G1287" s="24">
        <f t="shared" si="160"/>
        <v>184648000000</v>
      </c>
      <c r="H1287" s="24">
        <f>Data!G1287</f>
        <v>566834000000</v>
      </c>
      <c r="I1287" s="25">
        <f t="shared" si="161"/>
        <v>2.1369411150354423</v>
      </c>
      <c r="J1287" s="24">
        <f>Data!J1287</f>
        <v>62972000000</v>
      </c>
      <c r="K1287" s="24">
        <f t="shared" si="162"/>
        <v>566834000000</v>
      </c>
      <c r="L1287" s="25">
        <f t="shared" si="163"/>
        <v>0.36216726590148085</v>
      </c>
      <c r="M1287" s="24">
        <f>Data!M1287</f>
        <v>21285000000</v>
      </c>
      <c r="N1287" s="24">
        <f t="shared" si="164"/>
        <v>566834000000</v>
      </c>
      <c r="O1287" s="25">
        <f t="shared" si="165"/>
        <v>0.25234054414519946</v>
      </c>
      <c r="P1287" s="24">
        <f>Data!K1287</f>
        <v>213068000000</v>
      </c>
      <c r="Q1287" s="24">
        <f>Data!I1287</f>
        <v>353766000000</v>
      </c>
      <c r="R1287" s="25">
        <f t="shared" si="166"/>
        <v>0.63239938264276396</v>
      </c>
      <c r="S1287" s="25">
        <f t="shared" si="167"/>
        <v>3.3838483077248864</v>
      </c>
    </row>
    <row r="1288" spans="1:19" ht="15" customHeight="1" x14ac:dyDescent="0.3">
      <c r="A1288" s="22"/>
      <c r="B1288" s="23"/>
      <c r="C1288" s="2"/>
      <c r="D1288" s="23">
        <v>2024</v>
      </c>
      <c r="E1288" s="24">
        <f>Data!F1288</f>
        <v>487868000000</v>
      </c>
      <c r="F1288" s="24">
        <f>Data!H1288</f>
        <v>149154000000</v>
      </c>
      <c r="G1288" s="24">
        <f t="shared" si="160"/>
        <v>338714000000</v>
      </c>
      <c r="H1288" s="24">
        <f>Data!G1288</f>
        <v>810868000000</v>
      </c>
      <c r="I1288" s="25">
        <f t="shared" si="161"/>
        <v>2.7402287918625472</v>
      </c>
      <c r="J1288" s="24">
        <f>Data!J1288</f>
        <v>64750000000</v>
      </c>
      <c r="K1288" s="24">
        <f t="shared" si="162"/>
        <v>810868000000</v>
      </c>
      <c r="L1288" s="25">
        <f t="shared" si="163"/>
        <v>0.26031980544305611</v>
      </c>
      <c r="M1288" s="24">
        <f>Data!M1288</f>
        <v>3043000000</v>
      </c>
      <c r="N1288" s="24">
        <f t="shared" si="164"/>
        <v>810868000000</v>
      </c>
      <c r="O1288" s="25">
        <f t="shared" si="165"/>
        <v>2.5218605247709861E-2</v>
      </c>
      <c r="P1288" s="24">
        <f>Data!K1288</f>
        <v>213765000000</v>
      </c>
      <c r="Q1288" s="24">
        <f>Data!I1288</f>
        <v>597103000000</v>
      </c>
      <c r="R1288" s="25">
        <f t="shared" si="166"/>
        <v>0.37590373855097026</v>
      </c>
      <c r="S1288" s="25">
        <f t="shared" si="167"/>
        <v>3.4016709411042836</v>
      </c>
    </row>
    <row r="1289" spans="1:19" ht="15" customHeight="1" x14ac:dyDescent="0.3">
      <c r="A1289" s="22"/>
      <c r="B1289" s="23">
        <v>118</v>
      </c>
      <c r="C1289" s="3" t="s">
        <v>89</v>
      </c>
      <c r="D1289" s="23">
        <v>2014</v>
      </c>
      <c r="E1289" s="24">
        <f>Data!F1289</f>
        <v>0</v>
      </c>
      <c r="F1289" s="24">
        <f>Data!H1289</f>
        <v>0</v>
      </c>
      <c r="G1289" s="24">
        <f t="shared" si="160"/>
        <v>0</v>
      </c>
      <c r="H1289" s="24">
        <f>Data!G1289</f>
        <v>0</v>
      </c>
      <c r="I1289" s="25">
        <f t="shared" si="161"/>
        <v>0</v>
      </c>
      <c r="J1289" s="24">
        <f>Data!J1289</f>
        <v>0</v>
      </c>
      <c r="K1289" s="24">
        <f t="shared" si="162"/>
        <v>0</v>
      </c>
      <c r="L1289" s="25">
        <f t="shared" si="163"/>
        <v>0</v>
      </c>
      <c r="M1289" s="24">
        <f>Data!M1289</f>
        <v>0</v>
      </c>
      <c r="N1289" s="24">
        <f t="shared" si="164"/>
        <v>0</v>
      </c>
      <c r="O1289" s="25">
        <f t="shared" si="165"/>
        <v>0</v>
      </c>
      <c r="P1289" s="24">
        <f>Data!K1289</f>
        <v>0</v>
      </c>
      <c r="Q1289" s="24">
        <f>Data!I1289</f>
        <v>0</v>
      </c>
      <c r="R1289" s="25">
        <f t="shared" si="166"/>
        <v>0</v>
      </c>
      <c r="S1289" s="25">
        <f t="shared" si="167"/>
        <v>0</v>
      </c>
    </row>
    <row r="1290" spans="1:19" ht="15" customHeight="1" x14ac:dyDescent="0.3">
      <c r="A1290" s="22"/>
      <c r="B1290" s="23"/>
      <c r="C1290" s="3"/>
      <c r="D1290" s="23">
        <v>2015</v>
      </c>
      <c r="E1290" s="24">
        <f>Data!F1290</f>
        <v>0</v>
      </c>
      <c r="F1290" s="24">
        <f>Data!H1290</f>
        <v>0</v>
      </c>
      <c r="G1290" s="24">
        <f t="shared" si="160"/>
        <v>0</v>
      </c>
      <c r="H1290" s="24">
        <f>Data!G1290</f>
        <v>0</v>
      </c>
      <c r="I1290" s="25">
        <f t="shared" si="161"/>
        <v>0</v>
      </c>
      <c r="J1290" s="24">
        <f>Data!J1290</f>
        <v>0</v>
      </c>
      <c r="K1290" s="24">
        <f t="shared" si="162"/>
        <v>0</v>
      </c>
      <c r="L1290" s="25">
        <f t="shared" si="163"/>
        <v>0</v>
      </c>
      <c r="M1290" s="24">
        <f>Data!M1290</f>
        <v>0</v>
      </c>
      <c r="N1290" s="24">
        <f t="shared" si="164"/>
        <v>0</v>
      </c>
      <c r="O1290" s="25">
        <f t="shared" si="165"/>
        <v>0</v>
      </c>
      <c r="P1290" s="24">
        <f>Data!K1290</f>
        <v>0</v>
      </c>
      <c r="Q1290" s="24">
        <f>Data!I1290</f>
        <v>0</v>
      </c>
      <c r="R1290" s="25">
        <f t="shared" si="166"/>
        <v>0</v>
      </c>
      <c r="S1290" s="25">
        <f t="shared" si="167"/>
        <v>0</v>
      </c>
    </row>
    <row r="1291" spans="1:19" ht="15" customHeight="1" x14ac:dyDescent="0.3">
      <c r="A1291" s="22"/>
      <c r="B1291" s="23"/>
      <c r="C1291" s="3"/>
      <c r="D1291" s="23">
        <v>2016</v>
      </c>
      <c r="E1291" s="24">
        <f>Data!F1291</f>
        <v>0</v>
      </c>
      <c r="F1291" s="24">
        <f>Data!H1291</f>
        <v>0</v>
      </c>
      <c r="G1291" s="24">
        <f t="shared" si="160"/>
        <v>0</v>
      </c>
      <c r="H1291" s="24">
        <f>Data!G1291</f>
        <v>0</v>
      </c>
      <c r="I1291" s="25">
        <f t="shared" si="161"/>
        <v>0</v>
      </c>
      <c r="J1291" s="24">
        <f>Data!J1291</f>
        <v>0</v>
      </c>
      <c r="K1291" s="24">
        <f t="shared" si="162"/>
        <v>0</v>
      </c>
      <c r="L1291" s="25">
        <f t="shared" si="163"/>
        <v>0</v>
      </c>
      <c r="M1291" s="24">
        <f>Data!M1291</f>
        <v>0</v>
      </c>
      <c r="N1291" s="24">
        <f t="shared" si="164"/>
        <v>0</v>
      </c>
      <c r="O1291" s="25">
        <f t="shared" si="165"/>
        <v>0</v>
      </c>
      <c r="P1291" s="24">
        <f>Data!K1291</f>
        <v>0</v>
      </c>
      <c r="Q1291" s="24">
        <f>Data!I1291</f>
        <v>0</v>
      </c>
      <c r="R1291" s="25">
        <f t="shared" si="166"/>
        <v>0</v>
      </c>
      <c r="S1291" s="25">
        <f t="shared" si="167"/>
        <v>0</v>
      </c>
    </row>
    <row r="1292" spans="1:19" ht="15" customHeight="1" x14ac:dyDescent="0.3">
      <c r="A1292" s="22"/>
      <c r="B1292" s="23"/>
      <c r="C1292" s="3"/>
      <c r="D1292" s="23">
        <v>2017</v>
      </c>
      <c r="E1292" s="24">
        <f>Data!F1292</f>
        <v>0</v>
      </c>
      <c r="F1292" s="24">
        <f>Data!H1292</f>
        <v>0</v>
      </c>
      <c r="G1292" s="24">
        <f t="shared" si="160"/>
        <v>0</v>
      </c>
      <c r="H1292" s="24">
        <f>Data!G1292</f>
        <v>0</v>
      </c>
      <c r="I1292" s="25">
        <f t="shared" si="161"/>
        <v>0</v>
      </c>
      <c r="J1292" s="24">
        <f>Data!J1292</f>
        <v>0</v>
      </c>
      <c r="K1292" s="24">
        <f t="shared" si="162"/>
        <v>0</v>
      </c>
      <c r="L1292" s="25">
        <f t="shared" si="163"/>
        <v>0</v>
      </c>
      <c r="M1292" s="24">
        <f>Data!M1292</f>
        <v>0</v>
      </c>
      <c r="N1292" s="24">
        <f t="shared" si="164"/>
        <v>0</v>
      </c>
      <c r="O1292" s="25">
        <f t="shared" si="165"/>
        <v>0</v>
      </c>
      <c r="P1292" s="24">
        <f>Data!K1292</f>
        <v>0</v>
      </c>
      <c r="Q1292" s="24">
        <f>Data!I1292</f>
        <v>0</v>
      </c>
      <c r="R1292" s="25">
        <f t="shared" si="166"/>
        <v>0</v>
      </c>
      <c r="S1292" s="25">
        <f t="shared" si="167"/>
        <v>0</v>
      </c>
    </row>
    <row r="1293" spans="1:19" ht="15" customHeight="1" x14ac:dyDescent="0.3">
      <c r="A1293" s="22"/>
      <c r="B1293" s="23"/>
      <c r="C1293" s="3"/>
      <c r="D1293" s="23">
        <v>2018</v>
      </c>
      <c r="E1293" s="24">
        <f>Data!F1293</f>
        <v>327964836000</v>
      </c>
      <c r="F1293" s="24">
        <f>Data!H1293</f>
        <v>325385627000</v>
      </c>
      <c r="G1293" s="24">
        <f t="shared" si="160"/>
        <v>2579209000</v>
      </c>
      <c r="H1293" s="24">
        <f>Data!G1293</f>
        <v>2759490493000</v>
      </c>
      <c r="I1293" s="25">
        <f t="shared" si="161"/>
        <v>6.1314257407010381E-3</v>
      </c>
      <c r="J1293" s="24">
        <f>Data!J1293</f>
        <v>38407292000</v>
      </c>
      <c r="K1293" s="24">
        <f t="shared" si="162"/>
        <v>2759490493000</v>
      </c>
      <c r="L1293" s="25">
        <f t="shared" si="163"/>
        <v>4.5373510884568938E-2</v>
      </c>
      <c r="M1293" s="24">
        <f>Data!M1293</f>
        <v>-12525357000</v>
      </c>
      <c r="N1293" s="24">
        <f t="shared" si="164"/>
        <v>2759490493000</v>
      </c>
      <c r="O1293" s="25">
        <f t="shared" si="165"/>
        <v>-3.050215221016889E-2</v>
      </c>
      <c r="P1293" s="24">
        <f>Data!K1293</f>
        <v>560442200000</v>
      </c>
      <c r="Q1293" s="24">
        <f>Data!I1293</f>
        <v>2198831080000</v>
      </c>
      <c r="R1293" s="25">
        <f t="shared" si="166"/>
        <v>0.26762597425173745</v>
      </c>
      <c r="S1293" s="25">
        <f t="shared" si="167"/>
        <v>0.28862875866683851</v>
      </c>
    </row>
    <row r="1294" spans="1:19" ht="15" customHeight="1" x14ac:dyDescent="0.3">
      <c r="A1294" s="22"/>
      <c r="B1294" s="23"/>
      <c r="C1294" s="3"/>
      <c r="D1294" s="23">
        <v>2019</v>
      </c>
      <c r="E1294" s="24">
        <f>Data!F1294</f>
        <v>339822858000</v>
      </c>
      <c r="F1294" s="24">
        <f>Data!H1294</f>
        <v>344468540000</v>
      </c>
      <c r="G1294" s="24">
        <f t="shared" si="160"/>
        <v>-4645682000</v>
      </c>
      <c r="H1294" s="24">
        <f>Data!G1294</f>
        <v>2404841887000</v>
      </c>
      <c r="I1294" s="25">
        <f t="shared" si="161"/>
        <v>-1.2672631030232882E-2</v>
      </c>
      <c r="J1294" s="24">
        <f>Data!J1294</f>
        <v>15216970000</v>
      </c>
      <c r="K1294" s="24">
        <f t="shared" si="162"/>
        <v>2404841887000</v>
      </c>
      <c r="L1294" s="25">
        <f t="shared" si="163"/>
        <v>2.0628101360079143E-2</v>
      </c>
      <c r="M1294" s="24">
        <f>Data!M1294</f>
        <v>-68331084000</v>
      </c>
      <c r="N1294" s="24">
        <f t="shared" si="164"/>
        <v>2404841887000</v>
      </c>
      <c r="O1294" s="25">
        <f t="shared" si="165"/>
        <v>-0.19094181907020316</v>
      </c>
      <c r="P1294" s="24">
        <f>Data!K1294</f>
        <v>504479833000</v>
      </c>
      <c r="Q1294" s="24">
        <f>Data!I1294</f>
        <v>1900135867000</v>
      </c>
      <c r="R1294" s="25">
        <f t="shared" si="166"/>
        <v>0.27877155199765519</v>
      </c>
      <c r="S1294" s="25">
        <f t="shared" si="167"/>
        <v>9.5785203257298279E-2</v>
      </c>
    </row>
    <row r="1295" spans="1:19" ht="15" customHeight="1" x14ac:dyDescent="0.3">
      <c r="A1295" s="22"/>
      <c r="B1295" s="23"/>
      <c r="C1295" s="3"/>
      <c r="D1295" s="23">
        <v>2020</v>
      </c>
      <c r="E1295" s="24">
        <f>Data!F1295</f>
        <v>407703117000</v>
      </c>
      <c r="F1295" s="24">
        <f>Data!H1295</f>
        <v>424529810000</v>
      </c>
      <c r="G1295" s="24">
        <f t="shared" si="160"/>
        <v>-16826693000</v>
      </c>
      <c r="H1295" s="24">
        <f>Data!G1295</f>
        <v>2701070570000</v>
      </c>
      <c r="I1295" s="25">
        <f t="shared" si="161"/>
        <v>-4.0866428040049314E-2</v>
      </c>
      <c r="J1295" s="24">
        <f>Data!J1295</f>
        <v>-104946627000</v>
      </c>
      <c r="K1295" s="24">
        <f t="shared" si="162"/>
        <v>2701070570000</v>
      </c>
      <c r="L1295" s="25">
        <f t="shared" si="163"/>
        <v>-0.12666311196008478</v>
      </c>
      <c r="M1295" s="24">
        <f>Data!M1295</f>
        <v>-49971868000</v>
      </c>
      <c r="N1295" s="24">
        <f t="shared" si="164"/>
        <v>2701070570000</v>
      </c>
      <c r="O1295" s="25">
        <f t="shared" si="165"/>
        <v>-0.12432513118677975</v>
      </c>
      <c r="P1295" s="24">
        <f>Data!K1295</f>
        <v>423203745000</v>
      </c>
      <c r="Q1295" s="24">
        <f>Data!I1295</f>
        <v>2276886920000</v>
      </c>
      <c r="R1295" s="25">
        <f t="shared" si="166"/>
        <v>0.19516293424444639</v>
      </c>
      <c r="S1295" s="25">
        <f t="shared" si="167"/>
        <v>-9.6691736942467438E-2</v>
      </c>
    </row>
    <row r="1296" spans="1:19" ht="15" customHeight="1" x14ac:dyDescent="0.3">
      <c r="A1296" s="22"/>
      <c r="B1296" s="23"/>
      <c r="C1296" s="3"/>
      <c r="D1296" s="23">
        <v>2021</v>
      </c>
      <c r="E1296" s="24">
        <f>Data!F1296</f>
        <v>391765904000</v>
      </c>
      <c r="F1296" s="24">
        <f>Data!H1296</f>
        <v>400824998000</v>
      </c>
      <c r="G1296" s="24">
        <f t="shared" si="160"/>
        <v>-9059094000</v>
      </c>
      <c r="H1296" s="24">
        <f>Data!G1296</f>
        <v>2509362304000</v>
      </c>
      <c r="I1296" s="25">
        <f t="shared" si="161"/>
        <v>-2.3682374021985787E-2</v>
      </c>
      <c r="J1296" s="24">
        <f>Data!J1296</f>
        <v>-119854843000</v>
      </c>
      <c r="K1296" s="24">
        <f t="shared" si="162"/>
        <v>2509362304000</v>
      </c>
      <c r="L1296" s="25">
        <f t="shared" si="163"/>
        <v>-0.15570760250808327</v>
      </c>
      <c r="M1296" s="24">
        <f>Data!M1296</f>
        <v>-48277662000</v>
      </c>
      <c r="N1296" s="24">
        <f t="shared" si="164"/>
        <v>2509362304000</v>
      </c>
      <c r="O1296" s="25">
        <f t="shared" si="165"/>
        <v>-0.12928618881492529</v>
      </c>
      <c r="P1296" s="24">
        <f>Data!K1296</f>
        <v>406410849000</v>
      </c>
      <c r="Q1296" s="24">
        <f>Data!I1296</f>
        <v>2101852339000</v>
      </c>
      <c r="R1296" s="25">
        <f t="shared" si="166"/>
        <v>0.2030263418280974</v>
      </c>
      <c r="S1296" s="25">
        <f t="shared" si="167"/>
        <v>-0.10564982351689692</v>
      </c>
    </row>
    <row r="1297" spans="1:19" ht="15" customHeight="1" x14ac:dyDescent="0.3">
      <c r="A1297" s="22"/>
      <c r="B1297" s="23"/>
      <c r="C1297" s="3"/>
      <c r="D1297" s="23">
        <v>2022</v>
      </c>
      <c r="E1297" s="24">
        <f>Data!F1297</f>
        <v>274539268000</v>
      </c>
      <c r="F1297" s="24">
        <f>Data!H1297</f>
        <v>325056487000</v>
      </c>
      <c r="G1297" s="24">
        <f t="shared" si="160"/>
        <v>-50517219000</v>
      </c>
      <c r="H1297" s="24">
        <f>Data!G1297</f>
        <v>2534662345000</v>
      </c>
      <c r="I1297" s="25">
        <f t="shared" si="161"/>
        <v>-0.1307444193873484</v>
      </c>
      <c r="J1297" s="24">
        <f>Data!J1297</f>
        <v>-113735699000</v>
      </c>
      <c r="K1297" s="24">
        <f t="shared" si="162"/>
        <v>2534662345000</v>
      </c>
      <c r="L1297" s="25">
        <f t="shared" si="163"/>
        <v>-0.14628314476341028</v>
      </c>
      <c r="M1297" s="24">
        <f>Data!M1297</f>
        <v>3395724000</v>
      </c>
      <c r="N1297" s="24">
        <f t="shared" si="164"/>
        <v>2534662345000</v>
      </c>
      <c r="O1297" s="25">
        <f t="shared" si="165"/>
        <v>9.0028817151974541E-3</v>
      </c>
      <c r="P1297" s="24">
        <f>Data!K1297</f>
        <v>389742202000</v>
      </c>
      <c r="Q1297" s="24">
        <f>Data!I1297</f>
        <v>2143620815000</v>
      </c>
      <c r="R1297" s="25">
        <f t="shared" si="166"/>
        <v>0.19090564396296927</v>
      </c>
      <c r="S1297" s="25">
        <f t="shared" si="167"/>
        <v>-7.7119038472591939E-2</v>
      </c>
    </row>
    <row r="1298" spans="1:19" ht="15" customHeight="1" x14ac:dyDescent="0.3">
      <c r="A1298" s="22"/>
      <c r="B1298" s="23"/>
      <c r="C1298" s="3"/>
      <c r="D1298" s="23">
        <v>2023</v>
      </c>
      <c r="E1298" s="24">
        <f>Data!F1298</f>
        <v>252983421000</v>
      </c>
      <c r="F1298" s="24">
        <f>Data!H1298</f>
        <v>294128976000</v>
      </c>
      <c r="G1298" s="24">
        <f t="shared" si="160"/>
        <v>-41145555000</v>
      </c>
      <c r="H1298" s="24">
        <f>Data!G1298</f>
        <v>2567838757000</v>
      </c>
      <c r="I1298" s="25">
        <f t="shared" si="161"/>
        <v>-0.10511362524777096</v>
      </c>
      <c r="J1298" s="24">
        <f>Data!J1298</f>
        <v>-103344625000</v>
      </c>
      <c r="K1298" s="24">
        <f t="shared" si="162"/>
        <v>2567838757000</v>
      </c>
      <c r="L1298" s="25">
        <f t="shared" si="163"/>
        <v>-0.13120118098599132</v>
      </c>
      <c r="M1298" s="24">
        <f>Data!M1298</f>
        <v>2754230000</v>
      </c>
      <c r="N1298" s="24">
        <f t="shared" si="164"/>
        <v>2567838757000</v>
      </c>
      <c r="O1298" s="25">
        <f t="shared" si="165"/>
        <v>7.2077834130143551E-3</v>
      </c>
      <c r="P1298" s="24">
        <f>Data!K1298</f>
        <v>404834625000</v>
      </c>
      <c r="Q1298" s="24">
        <f>Data!I1298</f>
        <v>2160778483000</v>
      </c>
      <c r="R1298" s="25">
        <f t="shared" si="166"/>
        <v>0.19672370842004541</v>
      </c>
      <c r="S1298" s="25">
        <f t="shared" si="167"/>
        <v>-3.2383314400702495E-2</v>
      </c>
    </row>
    <row r="1299" spans="1:19" ht="15" customHeight="1" x14ac:dyDescent="0.3">
      <c r="A1299" s="22"/>
      <c r="B1299" s="23"/>
      <c r="C1299" s="3"/>
      <c r="D1299" s="23">
        <v>2024</v>
      </c>
      <c r="E1299" s="24">
        <f>Data!F1299</f>
        <v>330481826000</v>
      </c>
      <c r="F1299" s="24">
        <f>Data!H1299</f>
        <v>403735812000</v>
      </c>
      <c r="G1299" s="24">
        <f t="shared" si="160"/>
        <v>-73253986000</v>
      </c>
      <c r="H1299" s="24">
        <f>Data!G1299</f>
        <v>2544622608000</v>
      </c>
      <c r="I1299" s="25">
        <f t="shared" si="161"/>
        <v>-0.18884770835927431</v>
      </c>
      <c r="J1299" s="24">
        <f>Data!J1299</f>
        <v>-142512114000</v>
      </c>
      <c r="K1299" s="24">
        <f t="shared" si="162"/>
        <v>2544622608000</v>
      </c>
      <c r="L1299" s="25">
        <f t="shared" si="163"/>
        <v>-0.18257697238851223</v>
      </c>
      <c r="M1299" s="24">
        <f>Data!M1299</f>
        <v>9444992000</v>
      </c>
      <c r="N1299" s="24">
        <f t="shared" si="164"/>
        <v>2544622608000</v>
      </c>
      <c r="O1299" s="25">
        <f t="shared" si="165"/>
        <v>2.4942931042291516E-2</v>
      </c>
      <c r="P1299" s="24">
        <f>Data!K1299</f>
        <v>258860343000</v>
      </c>
      <c r="Q1299" s="24">
        <f>Data!I1299</f>
        <v>2185762265000</v>
      </c>
      <c r="R1299" s="25">
        <f t="shared" si="166"/>
        <v>0.12435174881656218</v>
      </c>
      <c r="S1299" s="25">
        <f t="shared" si="167"/>
        <v>-0.22213000088893287</v>
      </c>
    </row>
    <row r="1300" spans="1:19" ht="15" customHeight="1" x14ac:dyDescent="0.3">
      <c r="A1300" s="22"/>
      <c r="B1300" s="23">
        <v>119</v>
      </c>
      <c r="C1300" s="2" t="s">
        <v>72</v>
      </c>
      <c r="D1300" s="23">
        <v>2014</v>
      </c>
      <c r="E1300" s="24">
        <f>Data!F1300</f>
        <v>0</v>
      </c>
      <c r="F1300" s="24">
        <f>Data!H1300</f>
        <v>0</v>
      </c>
      <c r="G1300" s="24">
        <f t="shared" si="160"/>
        <v>0</v>
      </c>
      <c r="H1300" s="24">
        <f>Data!G1300</f>
        <v>0</v>
      </c>
      <c r="I1300" s="25">
        <f t="shared" si="161"/>
        <v>0</v>
      </c>
      <c r="J1300" s="24">
        <f>Data!J1300</f>
        <v>0</v>
      </c>
      <c r="K1300" s="24">
        <f t="shared" si="162"/>
        <v>0</v>
      </c>
      <c r="L1300" s="25">
        <f t="shared" si="163"/>
        <v>0</v>
      </c>
      <c r="M1300" s="24">
        <f>Data!M1300</f>
        <v>0</v>
      </c>
      <c r="N1300" s="24">
        <f t="shared" si="164"/>
        <v>0</v>
      </c>
      <c r="O1300" s="25">
        <f t="shared" si="165"/>
        <v>0</v>
      </c>
      <c r="P1300" s="24">
        <f>Data!K1300</f>
        <v>0</v>
      </c>
      <c r="Q1300" s="24">
        <f>Data!I1300</f>
        <v>0</v>
      </c>
      <c r="R1300" s="25">
        <f t="shared" si="166"/>
        <v>0</v>
      </c>
      <c r="S1300" s="25">
        <f t="shared" si="167"/>
        <v>0</v>
      </c>
    </row>
    <row r="1301" spans="1:19" ht="15" customHeight="1" x14ac:dyDescent="0.3">
      <c r="A1301" s="22"/>
      <c r="B1301" s="23"/>
      <c r="C1301" s="2"/>
      <c r="D1301" s="23">
        <v>2015</v>
      </c>
      <c r="E1301" s="24">
        <f>Data!F1301</f>
        <v>122951000000</v>
      </c>
      <c r="F1301" s="24">
        <f>Data!H1301</f>
        <v>17881000000</v>
      </c>
      <c r="G1301" s="24">
        <f t="shared" si="160"/>
        <v>105070000000</v>
      </c>
      <c r="H1301" s="24">
        <f>Data!G1301</f>
        <v>277472000000</v>
      </c>
      <c r="I1301" s="25">
        <f t="shared" si="161"/>
        <v>2.484067581593818</v>
      </c>
      <c r="J1301" s="24">
        <f>Data!J1301</f>
        <v>27203000000</v>
      </c>
      <c r="K1301" s="24">
        <f t="shared" si="162"/>
        <v>277472000000</v>
      </c>
      <c r="L1301" s="25">
        <f t="shared" si="163"/>
        <v>0.31960623053857684</v>
      </c>
      <c r="M1301" s="24">
        <f>Data!M1301</f>
        <v>6818000000</v>
      </c>
      <c r="N1301" s="24">
        <f t="shared" si="164"/>
        <v>277472000000</v>
      </c>
      <c r="O1301" s="25">
        <f t="shared" si="165"/>
        <v>0.16512282320378271</v>
      </c>
      <c r="P1301" s="24">
        <f>Data!K1301</f>
        <v>105564000000</v>
      </c>
      <c r="Q1301" s="24">
        <f>Data!I1301</f>
        <v>171908000000</v>
      </c>
      <c r="R1301" s="25">
        <f t="shared" si="166"/>
        <v>0.64477627568234175</v>
      </c>
      <c r="S1301" s="25">
        <f t="shared" si="167"/>
        <v>3.6135729110185193</v>
      </c>
    </row>
    <row r="1302" spans="1:19" ht="15" customHeight="1" x14ac:dyDescent="0.3">
      <c r="A1302" s="22"/>
      <c r="B1302" s="23"/>
      <c r="C1302" s="2"/>
      <c r="D1302" s="23">
        <v>2016</v>
      </c>
      <c r="E1302" s="24">
        <f>Data!F1302</f>
        <v>128674000000</v>
      </c>
      <c r="F1302" s="24">
        <f>Data!H1302</f>
        <v>36495000000</v>
      </c>
      <c r="G1302" s="24">
        <f t="shared" si="160"/>
        <v>92179000000</v>
      </c>
      <c r="H1302" s="24">
        <f>Data!G1302</f>
        <v>300402000000</v>
      </c>
      <c r="I1302" s="25">
        <f t="shared" si="161"/>
        <v>2.0129501135145569</v>
      </c>
      <c r="J1302" s="24">
        <f>Data!J1302</f>
        <v>29619000000</v>
      </c>
      <c r="K1302" s="24">
        <f t="shared" si="162"/>
        <v>300402000000</v>
      </c>
      <c r="L1302" s="25">
        <f t="shared" si="163"/>
        <v>0.32142908502606504</v>
      </c>
      <c r="M1302" s="24">
        <f>Data!M1302</f>
        <v>4004000000</v>
      </c>
      <c r="N1302" s="24">
        <f t="shared" si="164"/>
        <v>300402000000</v>
      </c>
      <c r="O1302" s="25">
        <f t="shared" si="165"/>
        <v>8.9569576767132036E-2</v>
      </c>
      <c r="P1302" s="24">
        <f>Data!K1302</f>
        <v>109048000000</v>
      </c>
      <c r="Q1302" s="24">
        <f>Data!I1302</f>
        <v>191354000000</v>
      </c>
      <c r="R1302" s="25">
        <f t="shared" si="166"/>
        <v>0.59836951409429651</v>
      </c>
      <c r="S1302" s="25">
        <f t="shared" si="167"/>
        <v>3.0223182894020502</v>
      </c>
    </row>
    <row r="1303" spans="1:19" ht="15" customHeight="1" x14ac:dyDescent="0.3">
      <c r="A1303" s="22"/>
      <c r="B1303" s="23"/>
      <c r="C1303" s="2"/>
      <c r="D1303" s="23">
        <v>2017</v>
      </c>
      <c r="E1303" s="24">
        <f>Data!F1303</f>
        <v>132275000000</v>
      </c>
      <c r="F1303" s="24">
        <f>Data!H1303</f>
        <v>33163000000</v>
      </c>
      <c r="G1303" s="24">
        <f t="shared" si="160"/>
        <v>99112000000</v>
      </c>
      <c r="H1303" s="24">
        <f>Data!G1303</f>
        <v>291577000000</v>
      </c>
      <c r="I1303" s="25">
        <f t="shared" si="161"/>
        <v>2.2298559900129296</v>
      </c>
      <c r="J1303" s="24">
        <f>Data!J1303</f>
        <v>33253000000</v>
      </c>
      <c r="K1303" s="24">
        <f t="shared" si="162"/>
        <v>291577000000</v>
      </c>
      <c r="L1303" s="25">
        <f t="shared" si="163"/>
        <v>0.37178782962990903</v>
      </c>
      <c r="M1303" s="24">
        <f>Data!M1303</f>
        <v>5704000000</v>
      </c>
      <c r="N1303" s="24">
        <f t="shared" si="164"/>
        <v>291577000000</v>
      </c>
      <c r="O1303" s="25">
        <f t="shared" si="165"/>
        <v>0.13146057473669046</v>
      </c>
      <c r="P1303" s="24">
        <f>Data!K1303</f>
        <v>114013000000</v>
      </c>
      <c r="Q1303" s="24">
        <f>Data!I1303</f>
        <v>177564000000</v>
      </c>
      <c r="R1303" s="25">
        <f t="shared" si="166"/>
        <v>0.67420000675812675</v>
      </c>
      <c r="S1303" s="25">
        <f t="shared" si="167"/>
        <v>3.4073044011376559</v>
      </c>
    </row>
    <row r="1304" spans="1:19" ht="15" customHeight="1" x14ac:dyDescent="0.3">
      <c r="A1304" s="22"/>
      <c r="B1304" s="23"/>
      <c r="C1304" s="2"/>
      <c r="D1304" s="23">
        <v>2018</v>
      </c>
      <c r="E1304" s="24">
        <f>Data!F1304</f>
        <v>175668000000</v>
      </c>
      <c r="F1304" s="24">
        <f>Data!H1304</f>
        <v>40712000000</v>
      </c>
      <c r="G1304" s="24">
        <f t="shared" si="160"/>
        <v>134956000000</v>
      </c>
      <c r="H1304" s="24">
        <f>Data!G1304</f>
        <v>353211000000</v>
      </c>
      <c r="I1304" s="25">
        <f t="shared" si="161"/>
        <v>2.5064659934147011</v>
      </c>
      <c r="J1304" s="24">
        <f>Data!J1304</f>
        <v>39766000000</v>
      </c>
      <c r="K1304" s="24">
        <f t="shared" si="162"/>
        <v>353211000000</v>
      </c>
      <c r="L1304" s="25">
        <f t="shared" si="163"/>
        <v>0.3670246962863557</v>
      </c>
      <c r="M1304" s="24">
        <f>Data!M1304</f>
        <v>9093000000</v>
      </c>
      <c r="N1304" s="24">
        <f t="shared" si="164"/>
        <v>353211000000</v>
      </c>
      <c r="O1304" s="25">
        <f t="shared" si="165"/>
        <v>0.17299846267528474</v>
      </c>
      <c r="P1304" s="24">
        <f>Data!K1304</f>
        <v>115326000000</v>
      </c>
      <c r="Q1304" s="24">
        <f>Data!I1304</f>
        <v>237885000000</v>
      </c>
      <c r="R1304" s="25">
        <f t="shared" si="166"/>
        <v>0.50903713979443854</v>
      </c>
      <c r="S1304" s="25">
        <f t="shared" si="167"/>
        <v>3.5555262921707795</v>
      </c>
    </row>
    <row r="1305" spans="1:19" ht="15" customHeight="1" x14ac:dyDescent="0.3">
      <c r="A1305" s="22"/>
      <c r="B1305" s="23"/>
      <c r="C1305" s="2"/>
      <c r="D1305" s="23">
        <v>2019</v>
      </c>
      <c r="E1305" s="24">
        <f>Data!F1305</f>
        <v>237880000000</v>
      </c>
      <c r="F1305" s="24">
        <f>Data!H1305</f>
        <v>38568000000</v>
      </c>
      <c r="G1305" s="24">
        <f t="shared" si="160"/>
        <v>199312000000</v>
      </c>
      <c r="H1305" s="24">
        <f>Data!G1305</f>
        <v>399341000000</v>
      </c>
      <c r="I1305" s="25">
        <f t="shared" si="161"/>
        <v>3.274110897703967</v>
      </c>
      <c r="J1305" s="24">
        <f>Data!J1305</f>
        <v>51719000000</v>
      </c>
      <c r="K1305" s="24">
        <f t="shared" si="162"/>
        <v>399341000000</v>
      </c>
      <c r="L1305" s="25">
        <f t="shared" si="163"/>
        <v>0.42220543345161149</v>
      </c>
      <c r="M1305" s="24">
        <f>Data!M1305</f>
        <v>13121000000</v>
      </c>
      <c r="N1305" s="24">
        <f t="shared" si="164"/>
        <v>399341000000</v>
      </c>
      <c r="O1305" s="25">
        <f t="shared" si="165"/>
        <v>0.22079656233644929</v>
      </c>
      <c r="P1305" s="24">
        <f>Data!K1305</f>
        <v>127277000000</v>
      </c>
      <c r="Q1305" s="24">
        <f>Data!I1305</f>
        <v>272064000000</v>
      </c>
      <c r="R1305" s="25">
        <f t="shared" si="166"/>
        <v>0.49121107533521524</v>
      </c>
      <c r="S1305" s="25">
        <f t="shared" si="167"/>
        <v>4.4083239688272435</v>
      </c>
    </row>
    <row r="1306" spans="1:19" ht="15" customHeight="1" x14ac:dyDescent="0.3">
      <c r="A1306" s="22"/>
      <c r="B1306" s="23"/>
      <c r="C1306" s="2"/>
      <c r="D1306" s="23">
        <v>2020</v>
      </c>
      <c r="E1306" s="24">
        <f>Data!F1306</f>
        <v>262261000000</v>
      </c>
      <c r="F1306" s="24">
        <f>Data!H1306</f>
        <v>58663000000</v>
      </c>
      <c r="G1306" s="24">
        <f t="shared" si="160"/>
        <v>203598000000</v>
      </c>
      <c r="H1306" s="24">
        <f>Data!G1306</f>
        <v>439686000000</v>
      </c>
      <c r="I1306" s="25">
        <f t="shared" si="161"/>
        <v>3.0376288533180493</v>
      </c>
      <c r="J1306" s="24">
        <f>Data!J1306</f>
        <v>20834000000</v>
      </c>
      <c r="K1306" s="24">
        <f t="shared" si="162"/>
        <v>439686000000</v>
      </c>
      <c r="L1306" s="25">
        <f t="shared" si="163"/>
        <v>0.15447123629135337</v>
      </c>
      <c r="M1306" s="24">
        <f>Data!M1306</f>
        <v>12928000000</v>
      </c>
      <c r="N1306" s="24">
        <f t="shared" si="164"/>
        <v>439686000000</v>
      </c>
      <c r="O1306" s="25">
        <f t="shared" si="165"/>
        <v>0.1975868233239175</v>
      </c>
      <c r="P1306" s="24">
        <f>Data!K1306</f>
        <v>145658000000</v>
      </c>
      <c r="Q1306" s="24">
        <f>Data!I1306</f>
        <v>294028000000</v>
      </c>
      <c r="R1306" s="25">
        <f t="shared" si="166"/>
        <v>0.52015760403771072</v>
      </c>
      <c r="S1306" s="25">
        <f t="shared" si="167"/>
        <v>3.9098445169710305</v>
      </c>
    </row>
    <row r="1307" spans="1:19" ht="15" customHeight="1" x14ac:dyDescent="0.3">
      <c r="A1307" s="22"/>
      <c r="B1307" s="23"/>
      <c r="C1307" s="2"/>
      <c r="D1307" s="23">
        <v>2021</v>
      </c>
      <c r="E1307" s="24">
        <f>Data!F1307</f>
        <v>296861000000</v>
      </c>
      <c r="F1307" s="24">
        <f>Data!H1307</f>
        <v>25566000000</v>
      </c>
      <c r="G1307" s="24">
        <f t="shared" si="160"/>
        <v>271295000000</v>
      </c>
      <c r="H1307" s="24">
        <f>Data!G1307</f>
        <v>470433000000</v>
      </c>
      <c r="I1307" s="25">
        <f t="shared" si="161"/>
        <v>3.7831002501950328</v>
      </c>
      <c r="J1307" s="24">
        <f>Data!J1307</f>
        <v>23366000000</v>
      </c>
      <c r="K1307" s="24">
        <f t="shared" si="162"/>
        <v>470433000000</v>
      </c>
      <c r="L1307" s="25">
        <f t="shared" si="163"/>
        <v>0.16192137881483654</v>
      </c>
      <c r="M1307" s="24">
        <f>Data!M1307</f>
        <v>6023000000</v>
      </c>
      <c r="N1307" s="24">
        <f t="shared" si="164"/>
        <v>470433000000</v>
      </c>
      <c r="O1307" s="25">
        <f t="shared" si="165"/>
        <v>8.6036821396458144E-2</v>
      </c>
      <c r="P1307" s="24">
        <f>Data!K1307</f>
        <v>152014000000</v>
      </c>
      <c r="Q1307" s="24">
        <f>Data!I1307</f>
        <v>318419000000</v>
      </c>
      <c r="R1307" s="25">
        <f t="shared" si="166"/>
        <v>0.50127253712875175</v>
      </c>
      <c r="S1307" s="25">
        <f t="shared" si="167"/>
        <v>4.5323309875350786</v>
      </c>
    </row>
    <row r="1308" spans="1:19" ht="15" customHeight="1" x14ac:dyDescent="0.3">
      <c r="A1308" s="22"/>
      <c r="B1308" s="23"/>
      <c r="C1308" s="2"/>
      <c r="D1308" s="23">
        <v>2022</v>
      </c>
      <c r="E1308" s="24">
        <f>Data!F1308</f>
        <v>142619000000</v>
      </c>
      <c r="F1308" s="24">
        <f>Data!H1308</f>
        <v>34365000000</v>
      </c>
      <c r="G1308" s="24">
        <f t="shared" si="160"/>
        <v>108254000000</v>
      </c>
      <c r="H1308" s="24">
        <f>Data!G1308</f>
        <v>455182000000</v>
      </c>
      <c r="I1308" s="25">
        <f t="shared" si="161"/>
        <v>1.5601369122680597</v>
      </c>
      <c r="J1308" s="24">
        <f>Data!J1308</f>
        <v>28956000000</v>
      </c>
      <c r="K1308" s="24">
        <f t="shared" si="162"/>
        <v>455182000000</v>
      </c>
      <c r="L1308" s="25">
        <f t="shared" si="163"/>
        <v>0.20738201422727612</v>
      </c>
      <c r="M1308" s="24">
        <f>Data!M1308</f>
        <v>6431000000</v>
      </c>
      <c r="N1308" s="24">
        <f t="shared" si="164"/>
        <v>455182000000</v>
      </c>
      <c r="O1308" s="25">
        <f t="shared" si="165"/>
        <v>9.4942945898563655E-2</v>
      </c>
      <c r="P1308" s="24">
        <f>Data!K1308</f>
        <v>152124000000</v>
      </c>
      <c r="Q1308" s="24">
        <f>Data!I1308</f>
        <v>303058000000</v>
      </c>
      <c r="R1308" s="25">
        <f t="shared" si="166"/>
        <v>0.52706148658012653</v>
      </c>
      <c r="S1308" s="25">
        <f t="shared" si="167"/>
        <v>2.3895233589740261</v>
      </c>
    </row>
    <row r="1309" spans="1:19" ht="15" customHeight="1" x14ac:dyDescent="0.3">
      <c r="A1309" s="22"/>
      <c r="B1309" s="23"/>
      <c r="C1309" s="2"/>
      <c r="D1309" s="23">
        <v>2023</v>
      </c>
      <c r="E1309" s="24">
        <f>Data!F1309</f>
        <v>337589000000</v>
      </c>
      <c r="F1309" s="24">
        <f>Data!H1309</f>
        <v>71713000000</v>
      </c>
      <c r="G1309" s="24">
        <f t="shared" si="160"/>
        <v>265876000000</v>
      </c>
      <c r="H1309" s="24">
        <f>Data!G1309</f>
        <v>526635000000</v>
      </c>
      <c r="I1309" s="25">
        <f t="shared" si="161"/>
        <v>3.3118698149572285</v>
      </c>
      <c r="J1309" s="24">
        <f>Data!J1309</f>
        <v>32127000000</v>
      </c>
      <c r="K1309" s="24">
        <f t="shared" si="162"/>
        <v>526635000000</v>
      </c>
      <c r="L1309" s="25">
        <f t="shared" si="163"/>
        <v>0.19887402090632031</v>
      </c>
      <c r="M1309" s="24">
        <f>Data!M1309</f>
        <v>4555000000</v>
      </c>
      <c r="N1309" s="24">
        <f t="shared" si="164"/>
        <v>526635000000</v>
      </c>
      <c r="O1309" s="25">
        <f t="shared" si="165"/>
        <v>5.8122988407530829E-2</v>
      </c>
      <c r="P1309" s="24">
        <f>Data!K1309</f>
        <v>147397000000</v>
      </c>
      <c r="Q1309" s="24">
        <f>Data!I1309</f>
        <v>379238000000</v>
      </c>
      <c r="R1309" s="25">
        <f t="shared" si="166"/>
        <v>0.40809953116512587</v>
      </c>
      <c r="S1309" s="25">
        <f t="shared" si="167"/>
        <v>3.9769663554362058</v>
      </c>
    </row>
    <row r="1310" spans="1:19" ht="15" customHeight="1" x14ac:dyDescent="0.3">
      <c r="A1310" s="22"/>
      <c r="B1310" s="23"/>
      <c r="C1310" s="2"/>
      <c r="D1310" s="23">
        <v>2024</v>
      </c>
      <c r="E1310" s="24">
        <f>Data!F1310</f>
        <v>0</v>
      </c>
      <c r="F1310" s="24">
        <f>Data!H1310</f>
        <v>0</v>
      </c>
      <c r="G1310" s="24">
        <f t="shared" si="160"/>
        <v>0</v>
      </c>
      <c r="H1310" s="24">
        <f>Data!G1310</f>
        <v>0</v>
      </c>
      <c r="I1310" s="25">
        <f t="shared" si="161"/>
        <v>0</v>
      </c>
      <c r="J1310" s="24">
        <f>Data!J1310</f>
        <v>0</v>
      </c>
      <c r="K1310" s="24">
        <f t="shared" si="162"/>
        <v>0</v>
      </c>
      <c r="L1310" s="25">
        <f t="shared" si="163"/>
        <v>0</v>
      </c>
      <c r="M1310" s="24">
        <f>Data!M1310</f>
        <v>0</v>
      </c>
      <c r="N1310" s="24">
        <f t="shared" si="164"/>
        <v>0</v>
      </c>
      <c r="O1310" s="25">
        <f t="shared" si="165"/>
        <v>0</v>
      </c>
      <c r="P1310" s="24">
        <f>Data!K1310</f>
        <v>0</v>
      </c>
      <c r="Q1310" s="24">
        <f>Data!I1310</f>
        <v>0</v>
      </c>
      <c r="R1310" s="25">
        <f t="shared" si="166"/>
        <v>0</v>
      </c>
      <c r="S1310" s="25">
        <f t="shared" si="167"/>
        <v>0</v>
      </c>
    </row>
    <row r="1311" spans="1:19" ht="15" customHeight="1" x14ac:dyDescent="0.3">
      <c r="A1311" s="22"/>
      <c r="B1311" s="23">
        <v>120</v>
      </c>
      <c r="C1311" s="2" t="s">
        <v>108</v>
      </c>
      <c r="D1311" s="23">
        <v>2014</v>
      </c>
      <c r="E1311" s="24">
        <f>Data!F1311</f>
        <v>0</v>
      </c>
      <c r="F1311" s="24">
        <f>Data!H1311</f>
        <v>0</v>
      </c>
      <c r="G1311" s="24">
        <f t="shared" si="160"/>
        <v>0</v>
      </c>
      <c r="H1311" s="24">
        <f>Data!G1311</f>
        <v>0</v>
      </c>
      <c r="I1311" s="25">
        <f t="shared" si="161"/>
        <v>0</v>
      </c>
      <c r="J1311" s="24">
        <f>Data!J1311</f>
        <v>0</v>
      </c>
      <c r="K1311" s="24">
        <f t="shared" si="162"/>
        <v>0</v>
      </c>
      <c r="L1311" s="25">
        <f t="shared" si="163"/>
        <v>0</v>
      </c>
      <c r="M1311" s="24">
        <f>Data!M1311</f>
        <v>0</v>
      </c>
      <c r="N1311" s="24">
        <f t="shared" si="164"/>
        <v>0</v>
      </c>
      <c r="O1311" s="25">
        <f t="shared" si="165"/>
        <v>0</v>
      </c>
      <c r="P1311" s="24">
        <f>Data!K1311</f>
        <v>0</v>
      </c>
      <c r="Q1311" s="24">
        <f>Data!I1311</f>
        <v>0</v>
      </c>
      <c r="R1311" s="25">
        <f t="shared" si="166"/>
        <v>0</v>
      </c>
      <c r="S1311" s="25">
        <f t="shared" si="167"/>
        <v>0</v>
      </c>
    </row>
    <row r="1312" spans="1:19" ht="15" customHeight="1" x14ac:dyDescent="0.3">
      <c r="A1312" s="22"/>
      <c r="B1312" s="23"/>
      <c r="C1312" s="2"/>
      <c r="D1312" s="23">
        <v>2015</v>
      </c>
      <c r="E1312" s="24">
        <f>Data!F1312</f>
        <v>1211242000000</v>
      </c>
      <c r="F1312" s="24">
        <f>Data!H1312</f>
        <v>228944000000</v>
      </c>
      <c r="G1312" s="24">
        <f t="shared" si="160"/>
        <v>982298000000</v>
      </c>
      <c r="H1312" s="24">
        <f>Data!G1312</f>
        <v>1733310000000</v>
      </c>
      <c r="I1312" s="25">
        <f t="shared" si="161"/>
        <v>3.7176701686368854</v>
      </c>
      <c r="J1312" s="24">
        <f>Data!J1312</f>
        <v>194512000000</v>
      </c>
      <c r="K1312" s="24">
        <f t="shared" si="162"/>
        <v>1733310000000</v>
      </c>
      <c r="L1312" s="25">
        <f t="shared" si="163"/>
        <v>0.36583710934570274</v>
      </c>
      <c r="M1312" s="24">
        <f>Data!M1312</f>
        <v>103930000000</v>
      </c>
      <c r="N1312" s="24">
        <f t="shared" si="164"/>
        <v>1733310000000</v>
      </c>
      <c r="O1312" s="25">
        <f t="shared" si="165"/>
        <v>0.40293403949668555</v>
      </c>
      <c r="P1312" s="24">
        <f>Data!K1312</f>
        <v>497589000000</v>
      </c>
      <c r="Q1312" s="24">
        <f>Data!I1312</f>
        <v>1235721000000</v>
      </c>
      <c r="R1312" s="25">
        <f t="shared" si="166"/>
        <v>0.42280454083081859</v>
      </c>
      <c r="S1312" s="25">
        <f t="shared" si="167"/>
        <v>4.9092458583100917</v>
      </c>
    </row>
    <row r="1313" spans="1:19" ht="15" customHeight="1" x14ac:dyDescent="0.3">
      <c r="A1313" s="22"/>
      <c r="B1313" s="23"/>
      <c r="C1313" s="2"/>
      <c r="D1313" s="23">
        <v>2016</v>
      </c>
      <c r="E1313" s="24">
        <f>Data!F1313</f>
        <v>1275044000000</v>
      </c>
      <c r="F1313" s="24">
        <f>Data!H1313</f>
        <v>277021000000</v>
      </c>
      <c r="G1313" s="24">
        <f t="shared" si="160"/>
        <v>998023000000</v>
      </c>
      <c r="H1313" s="24">
        <f>Data!G1313</f>
        <v>2072228000000</v>
      </c>
      <c r="I1313" s="25">
        <f t="shared" si="161"/>
        <v>3.1594162804479042</v>
      </c>
      <c r="J1313" s="24">
        <f>Data!J1313</f>
        <v>264354000000</v>
      </c>
      <c r="K1313" s="24">
        <f t="shared" si="162"/>
        <v>2072228000000</v>
      </c>
      <c r="L1313" s="25">
        <f t="shared" si="163"/>
        <v>0.4158780018414962</v>
      </c>
      <c r="M1313" s="24">
        <f>Data!M1313</f>
        <v>136765000000</v>
      </c>
      <c r="N1313" s="24">
        <f t="shared" si="164"/>
        <v>2072228000000</v>
      </c>
      <c r="O1313" s="25">
        <f t="shared" si="165"/>
        <v>0.44351335856865165</v>
      </c>
      <c r="P1313" s="24">
        <f>Data!K1313</f>
        <v>565558000000</v>
      </c>
      <c r="Q1313" s="24">
        <f>Data!I1313</f>
        <v>1506670000000</v>
      </c>
      <c r="R1313" s="25">
        <f t="shared" si="166"/>
        <v>0.39413799969469099</v>
      </c>
      <c r="S1313" s="25">
        <f t="shared" si="167"/>
        <v>4.412945640552743</v>
      </c>
    </row>
    <row r="1314" spans="1:19" ht="15" customHeight="1" x14ac:dyDescent="0.3">
      <c r="A1314" s="22"/>
      <c r="B1314" s="23"/>
      <c r="C1314" s="2"/>
      <c r="D1314" s="23">
        <v>2017</v>
      </c>
      <c r="E1314" s="24">
        <f>Data!F1314</f>
        <v>1299308000000</v>
      </c>
      <c r="F1314" s="24">
        <f>Data!H1314</f>
        <v>683468000000</v>
      </c>
      <c r="G1314" s="24">
        <f t="shared" si="160"/>
        <v>615840000000</v>
      </c>
      <c r="H1314" s="24">
        <f>Data!G1314</f>
        <v>2177932000000</v>
      </c>
      <c r="I1314" s="25">
        <f t="shared" si="161"/>
        <v>1.854929538663282</v>
      </c>
      <c r="J1314" s="24">
        <f>Data!J1314</f>
        <v>335311000000</v>
      </c>
      <c r="K1314" s="24">
        <f t="shared" si="162"/>
        <v>2177932000000</v>
      </c>
      <c r="L1314" s="25">
        <f t="shared" si="163"/>
        <v>0.50190449472251653</v>
      </c>
      <c r="M1314" s="24">
        <f>Data!M1314</f>
        <v>161519000000</v>
      </c>
      <c r="N1314" s="24">
        <f t="shared" si="164"/>
        <v>2177932000000</v>
      </c>
      <c r="O1314" s="25">
        <f t="shared" si="165"/>
        <v>0.49836619325121262</v>
      </c>
      <c r="P1314" s="24">
        <f>Data!K1314</f>
        <v>632869000000</v>
      </c>
      <c r="Q1314" s="24">
        <f>Data!I1314</f>
        <v>1545062000000</v>
      </c>
      <c r="R1314" s="25">
        <f t="shared" si="166"/>
        <v>0.43008788644080304</v>
      </c>
      <c r="S1314" s="25">
        <f t="shared" si="167"/>
        <v>3.2852881130778142</v>
      </c>
    </row>
    <row r="1315" spans="1:19" ht="15" customHeight="1" x14ac:dyDescent="0.3">
      <c r="A1315" s="22"/>
      <c r="B1315" s="23"/>
      <c r="C1315" s="2"/>
      <c r="D1315" s="23">
        <v>2018</v>
      </c>
      <c r="E1315" s="24">
        <f>Data!F1315</f>
        <v>1296058000000</v>
      </c>
      <c r="F1315" s="24">
        <f>Data!H1315</f>
        <v>553537000000</v>
      </c>
      <c r="G1315" s="24">
        <f t="shared" si="160"/>
        <v>742521000000</v>
      </c>
      <c r="H1315" s="24">
        <f>Data!G1315</f>
        <v>2345549000000</v>
      </c>
      <c r="I1315" s="25">
        <f t="shared" si="161"/>
        <v>2.0766727789528163</v>
      </c>
      <c r="J1315" s="24">
        <f>Data!J1315</f>
        <v>407826000000</v>
      </c>
      <c r="K1315" s="24">
        <f t="shared" si="162"/>
        <v>2345549000000</v>
      </c>
      <c r="L1315" s="25">
        <f t="shared" si="163"/>
        <v>0.56682369884406592</v>
      </c>
      <c r="M1315" s="24">
        <f>Data!M1315</f>
        <v>193220000000</v>
      </c>
      <c r="N1315" s="24">
        <f t="shared" si="164"/>
        <v>2345549000000</v>
      </c>
      <c r="O1315" s="25">
        <f t="shared" si="165"/>
        <v>0.55357547422799525</v>
      </c>
      <c r="P1315" s="24">
        <f>Data!K1315</f>
        <v>711709000000</v>
      </c>
      <c r="Q1315" s="24">
        <f>Data!I1315</f>
        <v>1633840000000</v>
      </c>
      <c r="R1315" s="25">
        <f t="shared" si="166"/>
        <v>0.45738533148900751</v>
      </c>
      <c r="S1315" s="25">
        <f t="shared" si="167"/>
        <v>3.6544572835138851</v>
      </c>
    </row>
    <row r="1316" spans="1:19" ht="15" customHeight="1" x14ac:dyDescent="0.3">
      <c r="A1316" s="22"/>
      <c r="B1316" s="23"/>
      <c r="C1316" s="2"/>
      <c r="D1316" s="23">
        <v>2019</v>
      </c>
      <c r="E1316" s="24">
        <f>Data!F1316</f>
        <v>1166332000000</v>
      </c>
      <c r="F1316" s="24">
        <f>Data!H1316</f>
        <v>455104000000</v>
      </c>
      <c r="G1316" s="24">
        <f t="shared" si="160"/>
        <v>711228000000</v>
      </c>
      <c r="H1316" s="24">
        <f>Data!G1316</f>
        <v>2592413000000</v>
      </c>
      <c r="I1316" s="25">
        <f t="shared" si="161"/>
        <v>1.799734718194979</v>
      </c>
      <c r="J1316" s="24">
        <f>Data!J1316</f>
        <v>541297000000</v>
      </c>
      <c r="K1316" s="24">
        <f t="shared" si="162"/>
        <v>2592413000000</v>
      </c>
      <c r="L1316" s="25">
        <f t="shared" si="163"/>
        <v>0.68068946576027811</v>
      </c>
      <c r="M1316" s="24">
        <f>Data!M1316</f>
        <v>242508000000</v>
      </c>
      <c r="N1316" s="24">
        <f t="shared" si="164"/>
        <v>2592413000000</v>
      </c>
      <c r="O1316" s="25">
        <f t="shared" si="165"/>
        <v>0.62862428170202822</v>
      </c>
      <c r="P1316" s="24">
        <f>Data!K1316</f>
        <v>841104000000</v>
      </c>
      <c r="Q1316" s="24">
        <f>Data!I1316</f>
        <v>1751308000000</v>
      </c>
      <c r="R1316" s="25">
        <f t="shared" si="166"/>
        <v>0.50428548262213158</v>
      </c>
      <c r="S1316" s="25">
        <f t="shared" si="167"/>
        <v>3.6133339482794167</v>
      </c>
    </row>
    <row r="1317" spans="1:19" ht="15" customHeight="1" x14ac:dyDescent="0.3">
      <c r="A1317" s="22"/>
      <c r="B1317" s="23"/>
      <c r="C1317" s="2"/>
      <c r="D1317" s="23">
        <v>2020</v>
      </c>
      <c r="E1317" s="24">
        <f>Data!F1317</f>
        <v>1368657000000</v>
      </c>
      <c r="F1317" s="24">
        <f>Data!H1317</f>
        <v>469924000000</v>
      </c>
      <c r="G1317" s="24">
        <f t="shared" si="160"/>
        <v>898733000000</v>
      </c>
      <c r="H1317" s="24">
        <f>Data!G1317</f>
        <v>2952533000000</v>
      </c>
      <c r="I1317" s="25">
        <f t="shared" si="161"/>
        <v>1.9968239067946065</v>
      </c>
      <c r="J1317" s="24">
        <f>Data!J1317</f>
        <v>707361000000</v>
      </c>
      <c r="K1317" s="24">
        <f t="shared" si="162"/>
        <v>2952533000000</v>
      </c>
      <c r="L1317" s="25">
        <f t="shared" si="163"/>
        <v>0.78102322988430606</v>
      </c>
      <c r="M1317" s="24">
        <f>Data!M1317</f>
        <v>283423000000</v>
      </c>
      <c r="N1317" s="24">
        <f t="shared" si="164"/>
        <v>2952533000000</v>
      </c>
      <c r="O1317" s="25">
        <f t="shared" si="165"/>
        <v>0.64507409739366162</v>
      </c>
      <c r="P1317" s="24">
        <f>Data!K1317</f>
        <v>1007497000000</v>
      </c>
      <c r="Q1317" s="24">
        <f>Data!I1317</f>
        <v>1945036000000</v>
      </c>
      <c r="R1317" s="25">
        <f t="shared" si="166"/>
        <v>0.54388291527766064</v>
      </c>
      <c r="S1317" s="25">
        <f t="shared" si="167"/>
        <v>3.9668041493502351</v>
      </c>
    </row>
    <row r="1318" spans="1:19" ht="15" customHeight="1" x14ac:dyDescent="0.3">
      <c r="A1318" s="22"/>
      <c r="B1318" s="23"/>
      <c r="C1318" s="2"/>
      <c r="D1318" s="23">
        <v>2021</v>
      </c>
      <c r="E1318" s="24">
        <f>Data!F1318</f>
        <v>1596568000000</v>
      </c>
      <c r="F1318" s="24">
        <f>Data!H1318</f>
        <v>603872000000</v>
      </c>
      <c r="G1318" s="24">
        <f t="shared" si="160"/>
        <v>992696000000</v>
      </c>
      <c r="H1318" s="24">
        <f>Data!G1318</f>
        <v>3711223000000</v>
      </c>
      <c r="I1318" s="25">
        <f t="shared" si="161"/>
        <v>1.7547007442021134</v>
      </c>
      <c r="J1318" s="24">
        <f>Data!J1318</f>
        <v>952465000000</v>
      </c>
      <c r="K1318" s="24">
        <f t="shared" si="162"/>
        <v>3711223000000</v>
      </c>
      <c r="L1318" s="25">
        <f t="shared" si="163"/>
        <v>0.83666109527775623</v>
      </c>
      <c r="M1318" s="24">
        <f>Data!M1318</f>
        <v>393257000000</v>
      </c>
      <c r="N1318" s="24">
        <f t="shared" si="164"/>
        <v>3711223000000</v>
      </c>
      <c r="O1318" s="25">
        <f t="shared" si="165"/>
        <v>0.71207982920993962</v>
      </c>
      <c r="P1318" s="24">
        <f>Data!K1318</f>
        <v>1254508000000</v>
      </c>
      <c r="Q1318" s="24">
        <f>Data!I1318</f>
        <v>2456715000000</v>
      </c>
      <c r="R1318" s="25">
        <f t="shared" si="166"/>
        <v>0.5361767237958005</v>
      </c>
      <c r="S1318" s="25">
        <f t="shared" si="167"/>
        <v>3.8396183924856095</v>
      </c>
    </row>
    <row r="1319" spans="1:19" ht="15" customHeight="1" x14ac:dyDescent="0.3">
      <c r="A1319" s="22"/>
      <c r="B1319" s="23"/>
      <c r="C1319" s="2"/>
      <c r="D1319" s="23">
        <v>2022</v>
      </c>
      <c r="E1319" s="24">
        <f>Data!F1319</f>
        <v>1974782000000</v>
      </c>
      <c r="F1319" s="24">
        <f>Data!H1319</f>
        <v>569414000000</v>
      </c>
      <c r="G1319" s="24">
        <f t="shared" si="160"/>
        <v>1405368000000</v>
      </c>
      <c r="H1319" s="24">
        <f>Data!G1319</f>
        <v>4715082000000</v>
      </c>
      <c r="I1319" s="25">
        <f t="shared" si="161"/>
        <v>1.9552606041634057</v>
      </c>
      <c r="J1319" s="24">
        <f>Data!J1319</f>
        <v>1247859000000</v>
      </c>
      <c r="K1319" s="24">
        <f t="shared" si="162"/>
        <v>4715082000000</v>
      </c>
      <c r="L1319" s="25">
        <f t="shared" si="163"/>
        <v>0.86276767615070105</v>
      </c>
      <c r="M1319" s="24">
        <f>Data!M1319</f>
        <v>495587000000</v>
      </c>
      <c r="N1319" s="24">
        <f t="shared" si="164"/>
        <v>4715082000000</v>
      </c>
      <c r="O1319" s="25">
        <f t="shared" si="165"/>
        <v>0.70631743838177152</v>
      </c>
      <c r="P1319" s="24">
        <f>Data!K1319</f>
        <v>1553377000000</v>
      </c>
      <c r="Q1319" s="24">
        <f>Data!I1319</f>
        <v>3161705000000</v>
      </c>
      <c r="R1319" s="25">
        <f t="shared" si="166"/>
        <v>0.51587540583324509</v>
      </c>
      <c r="S1319" s="25">
        <f t="shared" si="167"/>
        <v>4.0402211245291237</v>
      </c>
    </row>
    <row r="1320" spans="1:19" ht="15" customHeight="1" x14ac:dyDescent="0.3">
      <c r="A1320" s="22"/>
      <c r="B1320" s="23"/>
      <c r="C1320" s="2"/>
      <c r="D1320" s="23">
        <v>2023</v>
      </c>
      <c r="E1320" s="24">
        <f>Data!F1320</f>
        <v>3112928000000</v>
      </c>
      <c r="F1320" s="24">
        <f>Data!H1320</f>
        <v>774670000000</v>
      </c>
      <c r="G1320" s="24">
        <f t="shared" si="160"/>
        <v>2338258000000</v>
      </c>
      <c r="H1320" s="24">
        <f>Data!G1320</f>
        <v>6222550000000</v>
      </c>
      <c r="I1320" s="25">
        <f t="shared" si="161"/>
        <v>2.4650621497617533</v>
      </c>
      <c r="J1320" s="24">
        <f>Data!J1320</f>
        <v>1630466000000</v>
      </c>
      <c r="K1320" s="24">
        <f t="shared" si="162"/>
        <v>6222550000000</v>
      </c>
      <c r="L1320" s="25">
        <f t="shared" si="163"/>
        <v>0.85420272396364827</v>
      </c>
      <c r="M1320" s="24">
        <f>Data!M1320</f>
        <v>625927000000</v>
      </c>
      <c r="N1320" s="24">
        <f t="shared" si="164"/>
        <v>6222550000000</v>
      </c>
      <c r="O1320" s="25">
        <f t="shared" si="165"/>
        <v>0.6759655511004331</v>
      </c>
      <c r="P1320" s="24">
        <f>Data!K1320</f>
        <v>1935570000000</v>
      </c>
      <c r="Q1320" s="24">
        <f>Data!I1320</f>
        <v>4286980000000</v>
      </c>
      <c r="R1320" s="25">
        <f t="shared" si="166"/>
        <v>0.47407463995633292</v>
      </c>
      <c r="S1320" s="25">
        <f t="shared" si="167"/>
        <v>4.4693050647821675</v>
      </c>
    </row>
    <row r="1321" spans="1:19" ht="15" customHeight="1" x14ac:dyDescent="0.3">
      <c r="A1321" s="22"/>
      <c r="B1321" s="23"/>
      <c r="C1321" s="2"/>
      <c r="D1321" s="23">
        <v>2024</v>
      </c>
      <c r="E1321" s="24">
        <f>Data!F1321</f>
        <v>3613335000000</v>
      </c>
      <c r="F1321" s="24">
        <f>Data!H1321</f>
        <v>856486000000</v>
      </c>
      <c r="G1321" s="24">
        <f t="shared" si="160"/>
        <v>2756849000000</v>
      </c>
      <c r="H1321" s="24">
        <f>Data!G1321</f>
        <v>7402327000000</v>
      </c>
      <c r="I1321" s="25">
        <f t="shared" si="161"/>
        <v>2.4431411149493933</v>
      </c>
      <c r="J1321" s="24">
        <f>Data!J1321</f>
        <v>2202504000000</v>
      </c>
      <c r="K1321" s="24">
        <f t="shared" si="162"/>
        <v>7402327000000</v>
      </c>
      <c r="L1321" s="25">
        <f t="shared" si="163"/>
        <v>0.96998728102662857</v>
      </c>
      <c r="M1321" s="24">
        <f>Data!M1321</f>
        <v>904166000000</v>
      </c>
      <c r="N1321" s="24">
        <f t="shared" si="164"/>
        <v>7402327000000</v>
      </c>
      <c r="O1321" s="25">
        <f t="shared" si="165"/>
        <v>0.82082236031993727</v>
      </c>
      <c r="P1321" s="24">
        <f>Data!K1321</f>
        <v>2505422000000</v>
      </c>
      <c r="Q1321" s="24">
        <f>Data!I1321</f>
        <v>4896905000000</v>
      </c>
      <c r="R1321" s="25">
        <f t="shared" si="166"/>
        <v>0.53721546568700029</v>
      </c>
      <c r="S1321" s="25">
        <f t="shared" si="167"/>
        <v>4.7711662219829591</v>
      </c>
    </row>
    <row r="1322" spans="1:19" ht="15" customHeight="1" x14ac:dyDescent="0.3">
      <c r="A1322" s="22"/>
      <c r="B1322" s="23">
        <v>121</v>
      </c>
      <c r="C1322" s="2" t="s">
        <v>77</v>
      </c>
      <c r="D1322" s="23">
        <v>2014</v>
      </c>
      <c r="E1322" s="24">
        <f>Data!F1322</f>
        <v>0</v>
      </c>
      <c r="F1322" s="24">
        <f>Data!H1322</f>
        <v>0</v>
      </c>
      <c r="G1322" s="24">
        <f t="shared" si="160"/>
        <v>0</v>
      </c>
      <c r="H1322" s="24">
        <f>Data!G1322</f>
        <v>0</v>
      </c>
      <c r="I1322" s="25">
        <f t="shared" si="161"/>
        <v>0</v>
      </c>
      <c r="J1322" s="24">
        <f>Data!J1322</f>
        <v>0</v>
      </c>
      <c r="K1322" s="24">
        <f t="shared" si="162"/>
        <v>0</v>
      </c>
      <c r="L1322" s="25">
        <f t="shared" si="163"/>
        <v>0</v>
      </c>
      <c r="M1322" s="24">
        <f>Data!M1322</f>
        <v>0</v>
      </c>
      <c r="N1322" s="24">
        <f t="shared" si="164"/>
        <v>0</v>
      </c>
      <c r="O1322" s="25">
        <f t="shared" si="165"/>
        <v>0</v>
      </c>
      <c r="P1322" s="24">
        <f>Data!K1322</f>
        <v>0</v>
      </c>
      <c r="Q1322" s="24">
        <f>Data!I1322</f>
        <v>0</v>
      </c>
      <c r="R1322" s="25">
        <f t="shared" si="166"/>
        <v>0</v>
      </c>
      <c r="S1322" s="25">
        <f t="shared" si="167"/>
        <v>0</v>
      </c>
    </row>
    <row r="1323" spans="1:19" ht="15" customHeight="1" x14ac:dyDescent="0.3">
      <c r="A1323" s="22"/>
      <c r="B1323" s="23"/>
      <c r="C1323" s="2"/>
      <c r="D1323" s="23">
        <v>2015</v>
      </c>
      <c r="E1323" s="24">
        <f>Data!F1323</f>
        <v>381922000000</v>
      </c>
      <c r="F1323" s="24">
        <f>Data!H1323</f>
        <v>99275000000</v>
      </c>
      <c r="G1323" s="24">
        <f t="shared" si="160"/>
        <v>282647000000</v>
      </c>
      <c r="H1323" s="24">
        <f>Data!G1323</f>
        <v>515144000000</v>
      </c>
      <c r="I1323" s="25">
        <f t="shared" si="161"/>
        <v>3.5993126582081905</v>
      </c>
      <c r="J1323" s="24">
        <f>Data!J1323</f>
        <v>59339000000</v>
      </c>
      <c r="K1323" s="24">
        <f t="shared" si="162"/>
        <v>515144000000</v>
      </c>
      <c r="L1323" s="25">
        <f t="shared" si="163"/>
        <v>0.37551663224263504</v>
      </c>
      <c r="M1323" s="24">
        <f>Data!M1323</f>
        <v>16953000000</v>
      </c>
      <c r="N1323" s="24">
        <f t="shared" si="164"/>
        <v>515144000000</v>
      </c>
      <c r="O1323" s="25">
        <f t="shared" si="165"/>
        <v>0.22115012501358844</v>
      </c>
      <c r="P1323" s="24">
        <f>Data!K1323</f>
        <v>159339000000</v>
      </c>
      <c r="Q1323" s="24">
        <f>Data!I1323</f>
        <v>355805000000</v>
      </c>
      <c r="R1323" s="25">
        <f t="shared" si="166"/>
        <v>0.47021809699132949</v>
      </c>
      <c r="S1323" s="25">
        <f t="shared" si="167"/>
        <v>4.6661975124557431</v>
      </c>
    </row>
    <row r="1324" spans="1:19" ht="15" customHeight="1" x14ac:dyDescent="0.3">
      <c r="A1324" s="22"/>
      <c r="B1324" s="23"/>
      <c r="C1324" s="2"/>
      <c r="D1324" s="23">
        <v>2016</v>
      </c>
      <c r="E1324" s="24">
        <f>Data!F1324</f>
        <v>575314000000</v>
      </c>
      <c r="F1324" s="24">
        <f>Data!H1324</f>
        <v>194589000000</v>
      </c>
      <c r="G1324" s="24">
        <f t="shared" si="160"/>
        <v>380725000000</v>
      </c>
      <c r="H1324" s="24">
        <f>Data!G1324</f>
        <v>711321000000</v>
      </c>
      <c r="I1324" s="25">
        <f t="shared" si="161"/>
        <v>3.5111517866054847</v>
      </c>
      <c r="J1324" s="24">
        <f>Data!J1324</f>
        <v>59164000000</v>
      </c>
      <c r="K1324" s="24">
        <f t="shared" si="162"/>
        <v>711321000000</v>
      </c>
      <c r="L1324" s="25">
        <f t="shared" si="163"/>
        <v>0.27114993090320683</v>
      </c>
      <c r="M1324" s="24">
        <f>Data!M1324</f>
        <v>6343000000</v>
      </c>
      <c r="N1324" s="24">
        <f t="shared" si="164"/>
        <v>711321000000</v>
      </c>
      <c r="O1324" s="25">
        <f t="shared" si="165"/>
        <v>5.9923663156296526E-2</v>
      </c>
      <c r="P1324" s="24">
        <f>Data!K1324</f>
        <v>159164000000</v>
      </c>
      <c r="Q1324" s="24">
        <f>Data!I1324</f>
        <v>552157000000</v>
      </c>
      <c r="R1324" s="25">
        <f t="shared" si="166"/>
        <v>0.30267152277341408</v>
      </c>
      <c r="S1324" s="25">
        <f t="shared" si="167"/>
        <v>4.1448969034384024</v>
      </c>
    </row>
    <row r="1325" spans="1:19" ht="15" customHeight="1" x14ac:dyDescent="0.3">
      <c r="A1325" s="22"/>
      <c r="B1325" s="23"/>
      <c r="C1325" s="2"/>
      <c r="D1325" s="23">
        <v>2017</v>
      </c>
      <c r="E1325" s="24">
        <f>Data!F1325</f>
        <v>694579000000</v>
      </c>
      <c r="F1325" s="24">
        <f>Data!H1325</f>
        <v>203473000000</v>
      </c>
      <c r="G1325" s="24">
        <f t="shared" si="160"/>
        <v>491106000000</v>
      </c>
      <c r="H1325" s="24">
        <f>Data!G1325</f>
        <v>846759000000</v>
      </c>
      <c r="I1325" s="25">
        <f t="shared" si="161"/>
        <v>3.8046898350061822</v>
      </c>
      <c r="J1325" s="24">
        <f>Data!J1325</f>
        <v>67641000000</v>
      </c>
      <c r="K1325" s="24">
        <f t="shared" si="162"/>
        <v>846759000000</v>
      </c>
      <c r="L1325" s="25">
        <f t="shared" si="163"/>
        <v>0.26041608060853205</v>
      </c>
      <c r="M1325" s="24">
        <f>Data!M1325</f>
        <v>12245000000</v>
      </c>
      <c r="N1325" s="24">
        <f t="shared" si="164"/>
        <v>846759000000</v>
      </c>
      <c r="O1325" s="25">
        <f t="shared" si="165"/>
        <v>9.7178063652113525E-2</v>
      </c>
      <c r="P1325" s="24">
        <f>Data!K1325</f>
        <v>167277000000</v>
      </c>
      <c r="Q1325" s="24">
        <f>Data!I1325</f>
        <v>679482000000</v>
      </c>
      <c r="R1325" s="25">
        <f t="shared" si="166"/>
        <v>0.25849227794113749</v>
      </c>
      <c r="S1325" s="25">
        <f t="shared" si="167"/>
        <v>4.4207762572079643</v>
      </c>
    </row>
    <row r="1326" spans="1:19" ht="15" customHeight="1" x14ac:dyDescent="0.3">
      <c r="A1326" s="22"/>
      <c r="B1326" s="23"/>
      <c r="C1326" s="2"/>
      <c r="D1326" s="23">
        <v>2018</v>
      </c>
      <c r="E1326" s="24">
        <f>Data!F1326</f>
        <v>260481000000</v>
      </c>
      <c r="F1326" s="24">
        <f>Data!H1326</f>
        <v>273431000000</v>
      </c>
      <c r="G1326" s="24">
        <f t="shared" si="160"/>
        <v>-12950000000</v>
      </c>
      <c r="H1326" s="24">
        <f>Data!G1326</f>
        <v>997698000000</v>
      </c>
      <c r="I1326" s="25">
        <f t="shared" si="161"/>
        <v>-8.5148010720678999E-2</v>
      </c>
      <c r="J1326" s="24">
        <f>Data!J1326</f>
        <v>81984000000</v>
      </c>
      <c r="K1326" s="24">
        <f t="shared" si="162"/>
        <v>997698000000</v>
      </c>
      <c r="L1326" s="25">
        <f t="shared" si="163"/>
        <v>0.26788451014234771</v>
      </c>
      <c r="M1326" s="24">
        <f>Data!M1326</f>
        <v>22009000000</v>
      </c>
      <c r="N1326" s="24">
        <f t="shared" si="164"/>
        <v>997698000000</v>
      </c>
      <c r="O1326" s="25">
        <f t="shared" si="165"/>
        <v>0.14824173246814165</v>
      </c>
      <c r="P1326" s="24">
        <f>Data!K1326</f>
        <v>181844000000</v>
      </c>
      <c r="Q1326" s="24">
        <f>Data!I1326</f>
        <v>815854000000</v>
      </c>
      <c r="R1326" s="25">
        <f t="shared" si="166"/>
        <v>0.23403231460530929</v>
      </c>
      <c r="S1326" s="25">
        <f t="shared" si="167"/>
        <v>0.56501054649511961</v>
      </c>
    </row>
    <row r="1327" spans="1:19" ht="15" customHeight="1" x14ac:dyDescent="0.3">
      <c r="A1327" s="22"/>
      <c r="B1327" s="23"/>
      <c r="C1327" s="2"/>
      <c r="D1327" s="23">
        <v>2019</v>
      </c>
      <c r="E1327" s="24">
        <f>Data!F1327</f>
        <v>972352000000</v>
      </c>
      <c r="F1327" s="24">
        <f>Data!H1327</f>
        <v>276594000000</v>
      </c>
      <c r="G1327" s="24">
        <f t="shared" si="160"/>
        <v>695758000000</v>
      </c>
      <c r="H1327" s="24">
        <f>Data!G1327</f>
        <v>1277790000000</v>
      </c>
      <c r="I1327" s="25">
        <f t="shared" si="161"/>
        <v>3.5719269050469951</v>
      </c>
      <c r="J1327" s="24">
        <f>Data!J1327</f>
        <v>102148000000</v>
      </c>
      <c r="K1327" s="24">
        <f t="shared" si="162"/>
        <v>1277790000000</v>
      </c>
      <c r="L1327" s="25">
        <f t="shared" si="163"/>
        <v>0.26060814374819019</v>
      </c>
      <c r="M1327" s="24">
        <f>Data!M1327</f>
        <v>25784000000</v>
      </c>
      <c r="N1327" s="24">
        <f t="shared" si="164"/>
        <v>1277790000000</v>
      </c>
      <c r="O1327" s="25">
        <f t="shared" si="165"/>
        <v>0.13560012208578875</v>
      </c>
      <c r="P1327" s="24">
        <f>Data!K1327</f>
        <v>201500000000</v>
      </c>
      <c r="Q1327" s="24">
        <f>Data!I1327</f>
        <v>1076290000000</v>
      </c>
      <c r="R1327" s="25">
        <f t="shared" si="166"/>
        <v>0.19657805981659218</v>
      </c>
      <c r="S1327" s="25">
        <f t="shared" si="167"/>
        <v>4.1647132306975658</v>
      </c>
    </row>
    <row r="1328" spans="1:19" ht="15" customHeight="1" x14ac:dyDescent="0.3">
      <c r="A1328" s="22"/>
      <c r="B1328" s="23"/>
      <c r="C1328" s="2"/>
      <c r="D1328" s="23">
        <v>2020</v>
      </c>
      <c r="E1328" s="24">
        <f>Data!F1328</f>
        <v>1285989000000</v>
      </c>
      <c r="F1328" s="24">
        <f>Data!H1328</f>
        <v>307720000000</v>
      </c>
      <c r="G1328" s="24">
        <f t="shared" si="160"/>
        <v>978269000000</v>
      </c>
      <c r="H1328" s="24">
        <f>Data!G1328</f>
        <v>1557316000000</v>
      </c>
      <c r="I1328" s="25">
        <f t="shared" si="161"/>
        <v>4.1208365161598541</v>
      </c>
      <c r="J1328" s="24">
        <f>Data!J1328</f>
        <v>116412000000</v>
      </c>
      <c r="K1328" s="24">
        <f t="shared" si="162"/>
        <v>1557316000000</v>
      </c>
      <c r="L1328" s="25">
        <f t="shared" si="163"/>
        <v>0.24369050340457554</v>
      </c>
      <c r="M1328" s="24">
        <f>Data!M1328</f>
        <v>37396000000</v>
      </c>
      <c r="N1328" s="24">
        <f t="shared" si="164"/>
        <v>1557316000000</v>
      </c>
      <c r="O1328" s="25">
        <f t="shared" si="165"/>
        <v>0.16136809741889249</v>
      </c>
      <c r="P1328" s="24">
        <f>Data!K1328</f>
        <v>217420000000</v>
      </c>
      <c r="Q1328" s="24">
        <f>Data!I1328</f>
        <v>1339897000000</v>
      </c>
      <c r="R1328" s="25">
        <f t="shared" si="166"/>
        <v>0.17037951424624431</v>
      </c>
      <c r="S1328" s="25">
        <f t="shared" si="167"/>
        <v>4.6962746312295671</v>
      </c>
    </row>
    <row r="1329" spans="1:19" ht="15" customHeight="1" x14ac:dyDescent="0.3">
      <c r="A1329" s="22"/>
      <c r="B1329" s="23"/>
      <c r="C1329" s="2"/>
      <c r="D1329" s="23">
        <v>2021</v>
      </c>
      <c r="E1329" s="24">
        <f>Data!F1329</f>
        <v>1306790000000</v>
      </c>
      <c r="F1329" s="24">
        <f>Data!H1329</f>
        <v>272755000000</v>
      </c>
      <c r="G1329" s="24">
        <f t="shared" si="160"/>
        <v>1034035000000</v>
      </c>
      <c r="H1329" s="24">
        <f>Data!G1329</f>
        <v>1610433000000</v>
      </c>
      <c r="I1329" s="25">
        <f t="shared" si="161"/>
        <v>4.2120781181210267</v>
      </c>
      <c r="J1329" s="24">
        <f>Data!J1329</f>
        <v>137173000000</v>
      </c>
      <c r="K1329" s="24">
        <f t="shared" si="162"/>
        <v>1610433000000</v>
      </c>
      <c r="L1329" s="25">
        <f t="shared" si="163"/>
        <v>0.27767934462346461</v>
      </c>
      <c r="M1329" s="24">
        <f>Data!M1329</f>
        <v>38948000000</v>
      </c>
      <c r="N1329" s="24">
        <f t="shared" si="164"/>
        <v>1610433000000</v>
      </c>
      <c r="O1329" s="25">
        <f t="shared" si="165"/>
        <v>0.16252185592322063</v>
      </c>
      <c r="P1329" s="24">
        <f>Data!K1329</f>
        <v>259173000000</v>
      </c>
      <c r="Q1329" s="24">
        <f>Data!I1329</f>
        <v>1351260000000</v>
      </c>
      <c r="R1329" s="25">
        <f t="shared" si="166"/>
        <v>0.20139103503396832</v>
      </c>
      <c r="S1329" s="25">
        <f t="shared" si="167"/>
        <v>4.8536703537016805</v>
      </c>
    </row>
    <row r="1330" spans="1:19" ht="15" customHeight="1" x14ac:dyDescent="0.3">
      <c r="A1330" s="22"/>
      <c r="B1330" s="23"/>
      <c r="C1330" s="2"/>
      <c r="D1330" s="23">
        <v>2022</v>
      </c>
      <c r="E1330" s="24">
        <f>Data!F1330</f>
        <v>1022178000000</v>
      </c>
      <c r="F1330" s="24">
        <f>Data!H1330</f>
        <v>371945000000</v>
      </c>
      <c r="G1330" s="24">
        <f t="shared" si="160"/>
        <v>650233000000</v>
      </c>
      <c r="H1330" s="24">
        <f>Data!G1330</f>
        <v>1483962000000</v>
      </c>
      <c r="I1330" s="25">
        <f t="shared" si="161"/>
        <v>2.874418940646728</v>
      </c>
      <c r="J1330" s="24">
        <f>Data!J1330</f>
        <v>178888000000</v>
      </c>
      <c r="K1330" s="24">
        <f t="shared" si="162"/>
        <v>1483962000000</v>
      </c>
      <c r="L1330" s="25">
        <f t="shared" si="163"/>
        <v>0.39298504948239915</v>
      </c>
      <c r="M1330" s="24">
        <f>Data!M1330</f>
        <v>70416000000</v>
      </c>
      <c r="N1330" s="24">
        <f t="shared" si="164"/>
        <v>1483962000000</v>
      </c>
      <c r="O1330" s="25">
        <f t="shared" si="165"/>
        <v>0.31887307087378247</v>
      </c>
      <c r="P1330" s="24">
        <f>Data!K1330</f>
        <v>300888000000</v>
      </c>
      <c r="Q1330" s="24">
        <f>Data!I1330</f>
        <v>1183074000000</v>
      </c>
      <c r="R1330" s="25">
        <f t="shared" si="166"/>
        <v>0.2670436506930251</v>
      </c>
      <c r="S1330" s="25">
        <f t="shared" si="167"/>
        <v>3.8533207116959343</v>
      </c>
    </row>
    <row r="1331" spans="1:19" ht="15" customHeight="1" x14ac:dyDescent="0.3">
      <c r="A1331" s="22"/>
      <c r="B1331" s="23"/>
      <c r="C1331" s="2"/>
      <c r="D1331" s="23">
        <v>2023</v>
      </c>
      <c r="E1331" s="24">
        <f>Data!F1331</f>
        <v>1663596000000</v>
      </c>
      <c r="F1331" s="24">
        <f>Data!H1331</f>
        <v>657392000000</v>
      </c>
      <c r="G1331" s="24">
        <f t="shared" si="160"/>
        <v>1006204000000</v>
      </c>
      <c r="H1331" s="24">
        <f>Data!G1331</f>
        <v>2239940000000</v>
      </c>
      <c r="I1331" s="25">
        <f t="shared" si="161"/>
        <v>2.9468192183719202</v>
      </c>
      <c r="J1331" s="24">
        <f>Data!J1331</f>
        <v>215787000000</v>
      </c>
      <c r="K1331" s="24">
        <f t="shared" si="162"/>
        <v>2239940000000</v>
      </c>
      <c r="L1331" s="25">
        <f t="shared" si="163"/>
        <v>0.31405556398832107</v>
      </c>
      <c r="M1331" s="24">
        <f>Data!M1331</f>
        <v>55128000000</v>
      </c>
      <c r="N1331" s="24">
        <f t="shared" si="164"/>
        <v>2239940000000</v>
      </c>
      <c r="O1331" s="25">
        <f t="shared" si="165"/>
        <v>0.16538843004723341</v>
      </c>
      <c r="P1331" s="24">
        <f>Data!K1331</f>
        <v>387787000000</v>
      </c>
      <c r="Q1331" s="24">
        <f>Data!I1331</f>
        <v>1852153000000</v>
      </c>
      <c r="R1331" s="25">
        <f t="shared" si="166"/>
        <v>0.21983947870397316</v>
      </c>
      <c r="S1331" s="25">
        <f t="shared" si="167"/>
        <v>3.646102691111448</v>
      </c>
    </row>
    <row r="1332" spans="1:19" ht="15" customHeight="1" x14ac:dyDescent="0.3">
      <c r="A1332" s="22"/>
      <c r="B1332" s="23"/>
      <c r="C1332" s="2"/>
      <c r="D1332" s="23">
        <v>2024</v>
      </c>
      <c r="E1332" s="24">
        <f>Data!F1332</f>
        <v>1613232000000</v>
      </c>
      <c r="F1332" s="24">
        <f>Data!H1332</f>
        <v>464502000000</v>
      </c>
      <c r="G1332" s="24">
        <f t="shared" si="160"/>
        <v>1148730000000</v>
      </c>
      <c r="H1332" s="24">
        <f>Data!G1332</f>
        <v>2280698000000</v>
      </c>
      <c r="I1332" s="25">
        <f t="shared" si="161"/>
        <v>3.3041063744520311</v>
      </c>
      <c r="J1332" s="24">
        <f>Data!J1332</f>
        <v>274099000000</v>
      </c>
      <c r="K1332" s="24">
        <f t="shared" si="162"/>
        <v>2280698000000</v>
      </c>
      <c r="L1332" s="25">
        <f t="shared" si="163"/>
        <v>0.3917935386447482</v>
      </c>
      <c r="M1332" s="24">
        <f>Data!M1332</f>
        <v>82687000000</v>
      </c>
      <c r="N1332" s="24">
        <f t="shared" si="164"/>
        <v>2280698000000</v>
      </c>
      <c r="O1332" s="25">
        <f t="shared" si="165"/>
        <v>0.24363446629058294</v>
      </c>
      <c r="P1332" s="24">
        <f>Data!K1332</f>
        <v>446099000000</v>
      </c>
      <c r="Q1332" s="24">
        <f>Data!I1332</f>
        <v>1834599000000</v>
      </c>
      <c r="R1332" s="25">
        <f t="shared" si="166"/>
        <v>0.25531680220037184</v>
      </c>
      <c r="S1332" s="25">
        <f t="shared" si="167"/>
        <v>4.1948511815877341</v>
      </c>
    </row>
    <row r="1333" spans="1:19" ht="15" customHeight="1" x14ac:dyDescent="0.3">
      <c r="A1333" s="22"/>
      <c r="B1333" s="23">
        <v>122</v>
      </c>
      <c r="C1333" s="2" t="s">
        <v>109</v>
      </c>
      <c r="D1333" s="23">
        <v>2014</v>
      </c>
      <c r="E1333" s="24">
        <f>Data!F1333</f>
        <v>0</v>
      </c>
      <c r="F1333" s="24">
        <f>Data!H1333</f>
        <v>0</v>
      </c>
      <c r="G1333" s="24">
        <f t="shared" si="160"/>
        <v>0</v>
      </c>
      <c r="H1333" s="24">
        <f>Data!G1333</f>
        <v>0</v>
      </c>
      <c r="I1333" s="25">
        <f t="shared" si="161"/>
        <v>0</v>
      </c>
      <c r="J1333" s="24">
        <f>Data!J1333</f>
        <v>0</v>
      </c>
      <c r="K1333" s="24">
        <f t="shared" si="162"/>
        <v>0</v>
      </c>
      <c r="L1333" s="25">
        <f t="shared" si="163"/>
        <v>0</v>
      </c>
      <c r="M1333" s="24">
        <f>Data!M1333</f>
        <v>0</v>
      </c>
      <c r="N1333" s="24">
        <f t="shared" si="164"/>
        <v>0</v>
      </c>
      <c r="O1333" s="25">
        <f t="shared" si="165"/>
        <v>0</v>
      </c>
      <c r="P1333" s="24">
        <f>Data!K1333</f>
        <v>0</v>
      </c>
      <c r="Q1333" s="24">
        <f>Data!I1333</f>
        <v>0</v>
      </c>
      <c r="R1333" s="25">
        <f t="shared" si="166"/>
        <v>0</v>
      </c>
      <c r="S1333" s="25">
        <f t="shared" si="167"/>
        <v>0</v>
      </c>
    </row>
    <row r="1334" spans="1:19" ht="15" customHeight="1" x14ac:dyDescent="0.3">
      <c r="A1334" s="22"/>
      <c r="B1334" s="23"/>
      <c r="C1334" s="2"/>
      <c r="D1334" s="23">
        <v>2015</v>
      </c>
      <c r="E1334" s="24">
        <f>Data!F1334</f>
        <v>0</v>
      </c>
      <c r="F1334" s="24">
        <f>Data!H1334</f>
        <v>0</v>
      </c>
      <c r="G1334" s="24">
        <f t="shared" si="160"/>
        <v>0</v>
      </c>
      <c r="H1334" s="24">
        <f>Data!G1334</f>
        <v>0</v>
      </c>
      <c r="I1334" s="25">
        <f t="shared" si="161"/>
        <v>0</v>
      </c>
      <c r="J1334" s="24">
        <f>Data!J1334</f>
        <v>0</v>
      </c>
      <c r="K1334" s="24">
        <f t="shared" si="162"/>
        <v>0</v>
      </c>
      <c r="L1334" s="25">
        <f t="shared" si="163"/>
        <v>0</v>
      </c>
      <c r="M1334" s="24">
        <f>Data!M1334</f>
        <v>0</v>
      </c>
      <c r="N1334" s="24">
        <f t="shared" si="164"/>
        <v>0</v>
      </c>
      <c r="O1334" s="25">
        <f t="shared" si="165"/>
        <v>0</v>
      </c>
      <c r="P1334" s="24">
        <f>Data!K1334</f>
        <v>0</v>
      </c>
      <c r="Q1334" s="24">
        <f>Data!I1334</f>
        <v>0</v>
      </c>
      <c r="R1334" s="25">
        <f t="shared" si="166"/>
        <v>0</v>
      </c>
      <c r="S1334" s="25">
        <f t="shared" si="167"/>
        <v>0</v>
      </c>
    </row>
    <row r="1335" spans="1:19" ht="15" customHeight="1" x14ac:dyDescent="0.3">
      <c r="A1335" s="22"/>
      <c r="B1335" s="23"/>
      <c r="C1335" s="2"/>
      <c r="D1335" s="23">
        <v>2016</v>
      </c>
      <c r="E1335" s="24">
        <f>Data!F1335</f>
        <v>0</v>
      </c>
      <c r="F1335" s="24">
        <f>Data!H1335</f>
        <v>0</v>
      </c>
      <c r="G1335" s="24">
        <f t="shared" si="160"/>
        <v>0</v>
      </c>
      <c r="H1335" s="24">
        <f>Data!G1335</f>
        <v>0</v>
      </c>
      <c r="I1335" s="25">
        <f t="shared" si="161"/>
        <v>0</v>
      </c>
      <c r="J1335" s="24">
        <f>Data!J1335</f>
        <v>0</v>
      </c>
      <c r="K1335" s="24">
        <f t="shared" si="162"/>
        <v>0</v>
      </c>
      <c r="L1335" s="25">
        <f t="shared" si="163"/>
        <v>0</v>
      </c>
      <c r="M1335" s="24">
        <f>Data!M1335</f>
        <v>0</v>
      </c>
      <c r="N1335" s="24">
        <f t="shared" si="164"/>
        <v>0</v>
      </c>
      <c r="O1335" s="25">
        <f t="shared" si="165"/>
        <v>0</v>
      </c>
      <c r="P1335" s="24">
        <f>Data!K1335</f>
        <v>0</v>
      </c>
      <c r="Q1335" s="24">
        <f>Data!I1335</f>
        <v>0</v>
      </c>
      <c r="R1335" s="25">
        <f t="shared" si="166"/>
        <v>0</v>
      </c>
      <c r="S1335" s="25">
        <f t="shared" si="167"/>
        <v>0</v>
      </c>
    </row>
    <row r="1336" spans="1:19" ht="15" customHeight="1" x14ac:dyDescent="0.3">
      <c r="A1336" s="22"/>
      <c r="B1336" s="23"/>
      <c r="C1336" s="2"/>
      <c r="D1336" s="23">
        <v>2017</v>
      </c>
      <c r="E1336" s="24">
        <f>Data!F1336</f>
        <v>0</v>
      </c>
      <c r="F1336" s="24">
        <f>Data!H1336</f>
        <v>0</v>
      </c>
      <c r="G1336" s="24">
        <f t="shared" si="160"/>
        <v>0</v>
      </c>
      <c r="H1336" s="24">
        <f>Data!G1336</f>
        <v>0</v>
      </c>
      <c r="I1336" s="25">
        <f t="shared" si="161"/>
        <v>0</v>
      </c>
      <c r="J1336" s="24">
        <f>Data!J1336</f>
        <v>0</v>
      </c>
      <c r="K1336" s="24">
        <f t="shared" si="162"/>
        <v>0</v>
      </c>
      <c r="L1336" s="25">
        <f t="shared" si="163"/>
        <v>0</v>
      </c>
      <c r="M1336" s="24">
        <f>Data!M1336</f>
        <v>0</v>
      </c>
      <c r="N1336" s="24">
        <f t="shared" si="164"/>
        <v>0</v>
      </c>
      <c r="O1336" s="25">
        <f t="shared" si="165"/>
        <v>0</v>
      </c>
      <c r="P1336" s="24">
        <f>Data!K1336</f>
        <v>0</v>
      </c>
      <c r="Q1336" s="24">
        <f>Data!I1336</f>
        <v>0</v>
      </c>
      <c r="R1336" s="25">
        <f t="shared" si="166"/>
        <v>0</v>
      </c>
      <c r="S1336" s="25">
        <f t="shared" si="167"/>
        <v>0</v>
      </c>
    </row>
    <row r="1337" spans="1:19" ht="15" customHeight="1" x14ac:dyDescent="0.3">
      <c r="A1337" s="22"/>
      <c r="B1337" s="23"/>
      <c r="C1337" s="2"/>
      <c r="D1337" s="23">
        <v>2018</v>
      </c>
      <c r="E1337" s="24">
        <f>Data!F1337</f>
        <v>0</v>
      </c>
      <c r="F1337" s="24">
        <f>Data!H1337</f>
        <v>0</v>
      </c>
      <c r="G1337" s="24">
        <f t="shared" si="160"/>
        <v>0</v>
      </c>
      <c r="H1337" s="24">
        <f>Data!G1337</f>
        <v>0</v>
      </c>
      <c r="I1337" s="25">
        <f t="shared" si="161"/>
        <v>0</v>
      </c>
      <c r="J1337" s="24">
        <f>Data!J1337</f>
        <v>0</v>
      </c>
      <c r="K1337" s="24">
        <f t="shared" si="162"/>
        <v>0</v>
      </c>
      <c r="L1337" s="25">
        <f t="shared" si="163"/>
        <v>0</v>
      </c>
      <c r="M1337" s="24">
        <f>Data!M1337</f>
        <v>0</v>
      </c>
      <c r="N1337" s="24">
        <f t="shared" si="164"/>
        <v>0</v>
      </c>
      <c r="O1337" s="25">
        <f t="shared" si="165"/>
        <v>0</v>
      </c>
      <c r="P1337" s="24">
        <f>Data!K1337</f>
        <v>0</v>
      </c>
      <c r="Q1337" s="24">
        <f>Data!I1337</f>
        <v>0</v>
      </c>
      <c r="R1337" s="25">
        <f t="shared" si="166"/>
        <v>0</v>
      </c>
      <c r="S1337" s="25">
        <f t="shared" si="167"/>
        <v>0</v>
      </c>
    </row>
    <row r="1338" spans="1:19" ht="15" customHeight="1" x14ac:dyDescent="0.3">
      <c r="A1338" s="22"/>
      <c r="B1338" s="23"/>
      <c r="C1338" s="2"/>
      <c r="D1338" s="23">
        <v>2019</v>
      </c>
      <c r="E1338" s="24">
        <f>Data!F1338</f>
        <v>0</v>
      </c>
      <c r="F1338" s="24">
        <f>Data!H1338</f>
        <v>0</v>
      </c>
      <c r="G1338" s="24">
        <f t="shared" si="160"/>
        <v>0</v>
      </c>
      <c r="H1338" s="24">
        <f>Data!G1338</f>
        <v>0</v>
      </c>
      <c r="I1338" s="25">
        <f t="shared" si="161"/>
        <v>0</v>
      </c>
      <c r="J1338" s="24">
        <f>Data!J1338</f>
        <v>0</v>
      </c>
      <c r="K1338" s="24">
        <f t="shared" si="162"/>
        <v>0</v>
      </c>
      <c r="L1338" s="25">
        <f t="shared" si="163"/>
        <v>0</v>
      </c>
      <c r="M1338" s="24">
        <f>Data!M1338</f>
        <v>0</v>
      </c>
      <c r="N1338" s="24">
        <f t="shared" si="164"/>
        <v>0</v>
      </c>
      <c r="O1338" s="25">
        <f t="shared" si="165"/>
        <v>0</v>
      </c>
      <c r="P1338" s="24">
        <f>Data!K1338</f>
        <v>0</v>
      </c>
      <c r="Q1338" s="24">
        <f>Data!I1338</f>
        <v>0</v>
      </c>
      <c r="R1338" s="25">
        <f t="shared" si="166"/>
        <v>0</v>
      </c>
      <c r="S1338" s="25">
        <f t="shared" si="167"/>
        <v>0</v>
      </c>
    </row>
    <row r="1339" spans="1:19" ht="15" customHeight="1" x14ac:dyDescent="0.3">
      <c r="A1339" s="22"/>
      <c r="B1339" s="23"/>
      <c r="C1339" s="2"/>
      <c r="D1339" s="23">
        <v>2020</v>
      </c>
      <c r="E1339" s="24">
        <f>Data!F1339</f>
        <v>0</v>
      </c>
      <c r="F1339" s="24">
        <f>Data!H1339</f>
        <v>0</v>
      </c>
      <c r="G1339" s="24">
        <f t="shared" si="160"/>
        <v>0</v>
      </c>
      <c r="H1339" s="24">
        <f>Data!G1339</f>
        <v>0</v>
      </c>
      <c r="I1339" s="25">
        <f t="shared" si="161"/>
        <v>0</v>
      </c>
      <c r="J1339" s="24">
        <f>Data!J1339</f>
        <v>0</v>
      </c>
      <c r="K1339" s="24">
        <f t="shared" si="162"/>
        <v>0</v>
      </c>
      <c r="L1339" s="25">
        <f t="shared" si="163"/>
        <v>0</v>
      </c>
      <c r="M1339" s="24">
        <f>Data!M1339</f>
        <v>0</v>
      </c>
      <c r="N1339" s="24">
        <f t="shared" si="164"/>
        <v>0</v>
      </c>
      <c r="O1339" s="25">
        <f t="shared" si="165"/>
        <v>0</v>
      </c>
      <c r="P1339" s="24">
        <f>Data!K1339</f>
        <v>0</v>
      </c>
      <c r="Q1339" s="24">
        <f>Data!I1339</f>
        <v>0</v>
      </c>
      <c r="R1339" s="25">
        <f t="shared" si="166"/>
        <v>0</v>
      </c>
      <c r="S1339" s="25">
        <f t="shared" si="167"/>
        <v>0</v>
      </c>
    </row>
    <row r="1340" spans="1:19" ht="15" customHeight="1" x14ac:dyDescent="0.3">
      <c r="A1340" s="22"/>
      <c r="B1340" s="23"/>
      <c r="C1340" s="2"/>
      <c r="D1340" s="23">
        <v>2021</v>
      </c>
      <c r="E1340" s="24">
        <f>Data!F1340</f>
        <v>0</v>
      </c>
      <c r="F1340" s="24">
        <f>Data!H1340</f>
        <v>0</v>
      </c>
      <c r="G1340" s="24">
        <f t="shared" si="160"/>
        <v>0</v>
      </c>
      <c r="H1340" s="24">
        <f>Data!G1340</f>
        <v>0</v>
      </c>
      <c r="I1340" s="25">
        <f t="shared" si="161"/>
        <v>0</v>
      </c>
      <c r="J1340" s="24">
        <f>Data!J1340</f>
        <v>0</v>
      </c>
      <c r="K1340" s="24">
        <f t="shared" si="162"/>
        <v>0</v>
      </c>
      <c r="L1340" s="25">
        <f t="shared" si="163"/>
        <v>0</v>
      </c>
      <c r="M1340" s="24">
        <f>Data!M1340</f>
        <v>0</v>
      </c>
      <c r="N1340" s="24">
        <f t="shared" si="164"/>
        <v>0</v>
      </c>
      <c r="O1340" s="25">
        <f t="shared" si="165"/>
        <v>0</v>
      </c>
      <c r="P1340" s="24">
        <f>Data!K1340</f>
        <v>0</v>
      </c>
      <c r="Q1340" s="24">
        <f>Data!I1340</f>
        <v>0</v>
      </c>
      <c r="R1340" s="25">
        <f t="shared" si="166"/>
        <v>0</v>
      </c>
      <c r="S1340" s="25">
        <f t="shared" si="167"/>
        <v>0</v>
      </c>
    </row>
    <row r="1341" spans="1:19" ht="15" customHeight="1" x14ac:dyDescent="0.3">
      <c r="A1341" s="22"/>
      <c r="B1341" s="23"/>
      <c r="C1341" s="2"/>
      <c r="D1341" s="23">
        <v>2022</v>
      </c>
      <c r="E1341" s="24">
        <f>Data!F1341</f>
        <v>0</v>
      </c>
      <c r="F1341" s="24">
        <f>Data!H1341</f>
        <v>0</v>
      </c>
      <c r="G1341" s="24">
        <f t="shared" si="160"/>
        <v>0</v>
      </c>
      <c r="H1341" s="24">
        <f>Data!G1341</f>
        <v>0</v>
      </c>
      <c r="I1341" s="25">
        <f t="shared" si="161"/>
        <v>0</v>
      </c>
      <c r="J1341" s="24">
        <f>Data!J1341</f>
        <v>0</v>
      </c>
      <c r="K1341" s="24">
        <f t="shared" si="162"/>
        <v>0</v>
      </c>
      <c r="L1341" s="25">
        <f t="shared" si="163"/>
        <v>0</v>
      </c>
      <c r="M1341" s="24">
        <f>Data!M1341</f>
        <v>0</v>
      </c>
      <c r="N1341" s="24">
        <f t="shared" si="164"/>
        <v>0</v>
      </c>
      <c r="O1341" s="25">
        <f t="shared" si="165"/>
        <v>0</v>
      </c>
      <c r="P1341" s="24">
        <f>Data!K1341</f>
        <v>0</v>
      </c>
      <c r="Q1341" s="24">
        <f>Data!I1341</f>
        <v>0</v>
      </c>
      <c r="R1341" s="25">
        <f t="shared" si="166"/>
        <v>0</v>
      </c>
      <c r="S1341" s="25">
        <f t="shared" si="167"/>
        <v>0</v>
      </c>
    </row>
    <row r="1342" spans="1:19" ht="15" customHeight="1" x14ac:dyDescent="0.3">
      <c r="A1342" s="22"/>
      <c r="B1342" s="23"/>
      <c r="C1342" s="2"/>
      <c r="D1342" s="23">
        <v>2023</v>
      </c>
      <c r="E1342" s="24">
        <f>Data!F1342</f>
        <v>0</v>
      </c>
      <c r="F1342" s="24">
        <f>Data!H1342</f>
        <v>0</v>
      </c>
      <c r="G1342" s="24">
        <f t="shared" si="160"/>
        <v>0</v>
      </c>
      <c r="H1342" s="24">
        <f>Data!G1342</f>
        <v>0</v>
      </c>
      <c r="I1342" s="25">
        <f t="shared" si="161"/>
        <v>0</v>
      </c>
      <c r="J1342" s="24">
        <f>Data!J1342</f>
        <v>0</v>
      </c>
      <c r="K1342" s="24">
        <f t="shared" si="162"/>
        <v>0</v>
      </c>
      <c r="L1342" s="25">
        <f t="shared" si="163"/>
        <v>0</v>
      </c>
      <c r="M1342" s="24">
        <f>Data!M1342</f>
        <v>0</v>
      </c>
      <c r="N1342" s="24">
        <f t="shared" si="164"/>
        <v>0</v>
      </c>
      <c r="O1342" s="25">
        <f t="shared" si="165"/>
        <v>0</v>
      </c>
      <c r="P1342" s="24">
        <f>Data!K1342</f>
        <v>0</v>
      </c>
      <c r="Q1342" s="24">
        <f>Data!I1342</f>
        <v>0</v>
      </c>
      <c r="R1342" s="25">
        <f t="shared" si="166"/>
        <v>0</v>
      </c>
      <c r="S1342" s="25">
        <f t="shared" si="167"/>
        <v>0</v>
      </c>
    </row>
    <row r="1343" spans="1:19" ht="15" customHeight="1" x14ac:dyDescent="0.3">
      <c r="A1343" s="22"/>
      <c r="B1343" s="23"/>
      <c r="C1343" s="2"/>
      <c r="D1343" s="23">
        <v>2024</v>
      </c>
      <c r="E1343" s="24">
        <f>Data!F1343</f>
        <v>0</v>
      </c>
      <c r="F1343" s="24">
        <f>Data!H1343</f>
        <v>0</v>
      </c>
      <c r="G1343" s="24">
        <f t="shared" si="160"/>
        <v>0</v>
      </c>
      <c r="H1343" s="24">
        <f>Data!G1343</f>
        <v>0</v>
      </c>
      <c r="I1343" s="25">
        <f t="shared" si="161"/>
        <v>0</v>
      </c>
      <c r="J1343" s="24">
        <f>Data!J1343</f>
        <v>0</v>
      </c>
      <c r="K1343" s="24">
        <f t="shared" si="162"/>
        <v>0</v>
      </c>
      <c r="L1343" s="25">
        <f t="shared" si="163"/>
        <v>0</v>
      </c>
      <c r="M1343" s="24">
        <f>Data!M1343</f>
        <v>0</v>
      </c>
      <c r="N1343" s="24">
        <f t="shared" si="164"/>
        <v>0</v>
      </c>
      <c r="O1343" s="25">
        <f t="shared" si="165"/>
        <v>0</v>
      </c>
      <c r="P1343" s="24">
        <f>Data!K1343</f>
        <v>0</v>
      </c>
      <c r="Q1343" s="24">
        <f>Data!I1343</f>
        <v>0</v>
      </c>
      <c r="R1343" s="25">
        <f t="shared" si="166"/>
        <v>0</v>
      </c>
      <c r="S1343" s="25">
        <f t="shared" si="167"/>
        <v>0</v>
      </c>
    </row>
    <row r="1344" spans="1:19" ht="15" customHeight="1" x14ac:dyDescent="0.3">
      <c r="A1344" s="22"/>
      <c r="B1344" s="23">
        <v>123</v>
      </c>
      <c r="C1344" s="2" t="s">
        <v>78</v>
      </c>
      <c r="D1344" s="23">
        <v>2014</v>
      </c>
      <c r="E1344" s="24">
        <f>Data!F1344</f>
        <v>0</v>
      </c>
      <c r="F1344" s="24">
        <f>Data!H1344</f>
        <v>0</v>
      </c>
      <c r="G1344" s="24">
        <f t="shared" si="160"/>
        <v>0</v>
      </c>
      <c r="H1344" s="24">
        <f>Data!G1344</f>
        <v>0</v>
      </c>
      <c r="I1344" s="25">
        <f t="shared" si="161"/>
        <v>0</v>
      </c>
      <c r="J1344" s="24">
        <f>Data!J1344</f>
        <v>0</v>
      </c>
      <c r="K1344" s="24">
        <f t="shared" si="162"/>
        <v>0</v>
      </c>
      <c r="L1344" s="25">
        <f t="shared" si="163"/>
        <v>0</v>
      </c>
      <c r="M1344" s="24">
        <f>Data!M1344</f>
        <v>0</v>
      </c>
      <c r="N1344" s="24">
        <f t="shared" si="164"/>
        <v>0</v>
      </c>
      <c r="O1344" s="25">
        <f t="shared" si="165"/>
        <v>0</v>
      </c>
      <c r="P1344" s="24">
        <f>Data!K1344</f>
        <v>0</v>
      </c>
      <c r="Q1344" s="24">
        <f>Data!I1344</f>
        <v>0</v>
      </c>
      <c r="R1344" s="25">
        <f t="shared" si="166"/>
        <v>0</v>
      </c>
      <c r="S1344" s="25">
        <f t="shared" si="167"/>
        <v>0</v>
      </c>
    </row>
    <row r="1345" spans="1:19" ht="15" customHeight="1" x14ac:dyDescent="0.3">
      <c r="A1345" s="22"/>
      <c r="B1345" s="23"/>
      <c r="C1345" s="2"/>
      <c r="D1345" s="23">
        <v>2015</v>
      </c>
      <c r="E1345" s="24">
        <f>Data!F1345</f>
        <v>0</v>
      </c>
      <c r="F1345" s="24">
        <f>Data!H1345</f>
        <v>0</v>
      </c>
      <c r="G1345" s="24">
        <f t="shared" si="160"/>
        <v>0</v>
      </c>
      <c r="H1345" s="24">
        <f>Data!G1345</f>
        <v>0</v>
      </c>
      <c r="I1345" s="25">
        <f t="shared" si="161"/>
        <v>0</v>
      </c>
      <c r="J1345" s="24">
        <f>Data!J1345</f>
        <v>0</v>
      </c>
      <c r="K1345" s="24">
        <f t="shared" si="162"/>
        <v>0</v>
      </c>
      <c r="L1345" s="25">
        <f t="shared" si="163"/>
        <v>0</v>
      </c>
      <c r="M1345" s="24">
        <f>Data!M1345</f>
        <v>0</v>
      </c>
      <c r="N1345" s="24">
        <f t="shared" si="164"/>
        <v>0</v>
      </c>
      <c r="O1345" s="25">
        <f t="shared" si="165"/>
        <v>0</v>
      </c>
      <c r="P1345" s="24">
        <f>Data!K1345</f>
        <v>0</v>
      </c>
      <c r="Q1345" s="24">
        <f>Data!I1345</f>
        <v>0</v>
      </c>
      <c r="R1345" s="25">
        <f t="shared" si="166"/>
        <v>0</v>
      </c>
      <c r="S1345" s="25">
        <f t="shared" si="167"/>
        <v>0</v>
      </c>
    </row>
    <row r="1346" spans="1:19" ht="15" customHeight="1" x14ac:dyDescent="0.3">
      <c r="A1346" s="22"/>
      <c r="B1346" s="23"/>
      <c r="C1346" s="2"/>
      <c r="D1346" s="23">
        <v>2016</v>
      </c>
      <c r="E1346" s="24">
        <f>Data!F1346</f>
        <v>0</v>
      </c>
      <c r="F1346" s="24">
        <f>Data!H1346</f>
        <v>0</v>
      </c>
      <c r="G1346" s="24">
        <f t="shared" si="160"/>
        <v>0</v>
      </c>
      <c r="H1346" s="24">
        <f>Data!G1346</f>
        <v>0</v>
      </c>
      <c r="I1346" s="25">
        <f t="shared" si="161"/>
        <v>0</v>
      </c>
      <c r="J1346" s="24">
        <f>Data!J1346</f>
        <v>0</v>
      </c>
      <c r="K1346" s="24">
        <f t="shared" si="162"/>
        <v>0</v>
      </c>
      <c r="L1346" s="25">
        <f t="shared" si="163"/>
        <v>0</v>
      </c>
      <c r="M1346" s="24">
        <f>Data!M1346</f>
        <v>0</v>
      </c>
      <c r="N1346" s="24">
        <f t="shared" si="164"/>
        <v>0</v>
      </c>
      <c r="O1346" s="25">
        <f t="shared" si="165"/>
        <v>0</v>
      </c>
      <c r="P1346" s="24">
        <f>Data!K1346</f>
        <v>0</v>
      </c>
      <c r="Q1346" s="24">
        <f>Data!I1346</f>
        <v>0</v>
      </c>
      <c r="R1346" s="25">
        <f t="shared" si="166"/>
        <v>0</v>
      </c>
      <c r="S1346" s="25">
        <f t="shared" si="167"/>
        <v>0</v>
      </c>
    </row>
    <row r="1347" spans="1:19" ht="15" customHeight="1" x14ac:dyDescent="0.3">
      <c r="A1347" s="22"/>
      <c r="B1347" s="23"/>
      <c r="C1347" s="2"/>
      <c r="D1347" s="23">
        <v>2017</v>
      </c>
      <c r="E1347" s="24">
        <f>Data!F1347</f>
        <v>0</v>
      </c>
      <c r="F1347" s="24">
        <f>Data!H1347</f>
        <v>0</v>
      </c>
      <c r="G1347" s="24">
        <f t="shared" ref="G1347:G1410" si="168">E1347-F1347</f>
        <v>0</v>
      </c>
      <c r="H1347" s="24">
        <f>Data!G1347</f>
        <v>0</v>
      </c>
      <c r="I1347" s="25">
        <f t="shared" ref="I1347:I1410" si="169">IFERROR(6.56*(G1347/H1347),0)</f>
        <v>0</v>
      </c>
      <c r="J1347" s="24">
        <f>Data!J1347</f>
        <v>0</v>
      </c>
      <c r="K1347" s="24">
        <f t="shared" ref="K1347:K1410" si="170">H1347</f>
        <v>0</v>
      </c>
      <c r="L1347" s="25">
        <f t="shared" ref="L1347:L1410" si="171">IFERROR(3.26*(J1347/K1347),0)</f>
        <v>0</v>
      </c>
      <c r="M1347" s="24">
        <f>Data!M1347</f>
        <v>0</v>
      </c>
      <c r="N1347" s="24">
        <f t="shared" ref="N1347:N1410" si="172">K1347</f>
        <v>0</v>
      </c>
      <c r="O1347" s="25">
        <f t="shared" ref="O1347:O1410" si="173">IFERROR(6.72*(M1347/N1347),0)</f>
        <v>0</v>
      </c>
      <c r="P1347" s="24">
        <f>Data!K1347</f>
        <v>0</v>
      </c>
      <c r="Q1347" s="24">
        <f>Data!I1347</f>
        <v>0</v>
      </c>
      <c r="R1347" s="25">
        <f t="shared" ref="R1347:R1410" si="174">IFERROR(1.05*(P1347/Q1347),0)</f>
        <v>0</v>
      </c>
      <c r="S1347" s="25">
        <f t="shared" ref="S1347:S1410" si="175">IFERROR(I1347+L1347+O1347+R1347,0)</f>
        <v>0</v>
      </c>
    </row>
    <row r="1348" spans="1:19" ht="15" customHeight="1" x14ac:dyDescent="0.3">
      <c r="A1348" s="22"/>
      <c r="B1348" s="23"/>
      <c r="C1348" s="2"/>
      <c r="D1348" s="23">
        <v>2018</v>
      </c>
      <c r="E1348" s="24">
        <f>Data!F1348</f>
        <v>0</v>
      </c>
      <c r="F1348" s="24">
        <f>Data!H1348</f>
        <v>0</v>
      </c>
      <c r="G1348" s="24">
        <f t="shared" si="168"/>
        <v>0</v>
      </c>
      <c r="H1348" s="24">
        <f>Data!G1348</f>
        <v>0</v>
      </c>
      <c r="I1348" s="25">
        <f t="shared" si="169"/>
        <v>0</v>
      </c>
      <c r="J1348" s="24">
        <f>Data!J1348</f>
        <v>0</v>
      </c>
      <c r="K1348" s="24">
        <f t="shared" si="170"/>
        <v>0</v>
      </c>
      <c r="L1348" s="25">
        <f t="shared" si="171"/>
        <v>0</v>
      </c>
      <c r="M1348" s="24">
        <f>Data!M1348</f>
        <v>0</v>
      </c>
      <c r="N1348" s="24">
        <f t="shared" si="172"/>
        <v>0</v>
      </c>
      <c r="O1348" s="25">
        <f t="shared" si="173"/>
        <v>0</v>
      </c>
      <c r="P1348" s="24">
        <f>Data!K1348</f>
        <v>0</v>
      </c>
      <c r="Q1348" s="24">
        <f>Data!I1348</f>
        <v>0</v>
      </c>
      <c r="R1348" s="25">
        <f t="shared" si="174"/>
        <v>0</v>
      </c>
      <c r="S1348" s="25">
        <f t="shared" si="175"/>
        <v>0</v>
      </c>
    </row>
    <row r="1349" spans="1:19" ht="15" customHeight="1" x14ac:dyDescent="0.3">
      <c r="A1349" s="22"/>
      <c r="B1349" s="23"/>
      <c r="C1349" s="2"/>
      <c r="D1349" s="23">
        <v>2019</v>
      </c>
      <c r="E1349" s="24">
        <f>Data!F1349</f>
        <v>318836108084</v>
      </c>
      <c r="F1349" s="24">
        <f>Data!H1349</f>
        <v>107423127916</v>
      </c>
      <c r="G1349" s="24">
        <f t="shared" si="168"/>
        <v>211412980168</v>
      </c>
      <c r="H1349" s="24">
        <f>Data!G1349</f>
        <v>348268361065</v>
      </c>
      <c r="I1349" s="25">
        <f t="shared" si="169"/>
        <v>3.9821853057827377</v>
      </c>
      <c r="J1349" s="24">
        <f>Data!J1349</f>
        <v>35973585566</v>
      </c>
      <c r="K1349" s="24">
        <f t="shared" si="170"/>
        <v>348268361065</v>
      </c>
      <c r="L1349" s="25">
        <f t="shared" si="171"/>
        <v>0.33673426028864067</v>
      </c>
      <c r="M1349" s="24">
        <f>Data!M1349</f>
        <v>-439808557</v>
      </c>
      <c r="N1349" s="24">
        <f t="shared" si="172"/>
        <v>348268361065</v>
      </c>
      <c r="O1349" s="25">
        <f t="shared" si="173"/>
        <v>-8.4863106542382404E-3</v>
      </c>
      <c r="P1349" s="24">
        <f>Data!K1349</f>
        <v>113373585566</v>
      </c>
      <c r="Q1349" s="24">
        <f>Data!I1349</f>
        <v>234894775499</v>
      </c>
      <c r="R1349" s="25">
        <f t="shared" si="174"/>
        <v>0.50678975124675263</v>
      </c>
      <c r="S1349" s="25">
        <f t="shared" si="175"/>
        <v>4.8172230066638928</v>
      </c>
    </row>
    <row r="1350" spans="1:19" ht="15" customHeight="1" x14ac:dyDescent="0.3">
      <c r="A1350" s="22"/>
      <c r="B1350" s="23"/>
      <c r="C1350" s="2"/>
      <c r="D1350" s="23">
        <v>2020</v>
      </c>
      <c r="E1350" s="24">
        <f>Data!F1350</f>
        <v>358126642601</v>
      </c>
      <c r="F1350" s="24">
        <f>Data!H1350</f>
        <v>182131316020</v>
      </c>
      <c r="G1350" s="24">
        <f t="shared" si="168"/>
        <v>175995326581</v>
      </c>
      <c r="H1350" s="24">
        <f>Data!G1350</f>
        <v>394436443248</v>
      </c>
      <c r="I1350" s="25">
        <f t="shared" si="169"/>
        <v>2.9270351716599756</v>
      </c>
      <c r="J1350" s="24">
        <f>Data!J1350</f>
        <v>36678253450</v>
      </c>
      <c r="K1350" s="24">
        <f t="shared" si="170"/>
        <v>394436443248</v>
      </c>
      <c r="L1350" s="25">
        <f t="shared" si="171"/>
        <v>0.30314416503299679</v>
      </c>
      <c r="M1350" s="24">
        <f>Data!M1350</f>
        <v>-643703986</v>
      </c>
      <c r="N1350" s="24">
        <f t="shared" si="172"/>
        <v>394436443248</v>
      </c>
      <c r="O1350" s="25">
        <f t="shared" si="173"/>
        <v>-1.0966762478385505E-2</v>
      </c>
      <c r="P1350" s="24">
        <f>Data!K1350</f>
        <v>116178253450</v>
      </c>
      <c r="Q1350" s="24">
        <f>Data!I1350</f>
        <v>278258189798</v>
      </c>
      <c r="R1350" s="25">
        <f t="shared" si="174"/>
        <v>0.43839560018361334</v>
      </c>
      <c r="S1350" s="25">
        <f t="shared" si="175"/>
        <v>3.6576081743982001</v>
      </c>
    </row>
    <row r="1351" spans="1:19" ht="15" customHeight="1" x14ac:dyDescent="0.3">
      <c r="A1351" s="22"/>
      <c r="B1351" s="23"/>
      <c r="C1351" s="2"/>
      <c r="D1351" s="23">
        <v>2021</v>
      </c>
      <c r="E1351" s="24">
        <f>Data!F1351</f>
        <v>229516838400</v>
      </c>
      <c r="F1351" s="24">
        <f>Data!H1351</f>
        <v>74574505034</v>
      </c>
      <c r="G1351" s="24">
        <f t="shared" si="168"/>
        <v>154942333366</v>
      </c>
      <c r="H1351" s="24">
        <f>Data!G1351</f>
        <v>268539063091</v>
      </c>
      <c r="I1351" s="25">
        <f t="shared" si="169"/>
        <v>3.7850050386767178</v>
      </c>
      <c r="J1351" s="24">
        <f>Data!J1351</f>
        <v>38987239217</v>
      </c>
      <c r="K1351" s="24">
        <f t="shared" si="170"/>
        <v>268539063091</v>
      </c>
      <c r="L1351" s="25">
        <f t="shared" si="171"/>
        <v>0.47329575959811138</v>
      </c>
      <c r="M1351" s="24">
        <f>Data!M1351</f>
        <v>-1117279748</v>
      </c>
      <c r="N1351" s="24">
        <f t="shared" si="172"/>
        <v>268539063091</v>
      </c>
      <c r="O1351" s="25">
        <f t="shared" si="173"/>
        <v>-2.7959134958386735E-2</v>
      </c>
      <c r="P1351" s="24">
        <f>Data!K1351</f>
        <v>119987239217</v>
      </c>
      <c r="Q1351" s="24">
        <f>Data!I1351</f>
        <v>148551823874</v>
      </c>
      <c r="R1351" s="25">
        <f t="shared" si="174"/>
        <v>0.84809864929501266</v>
      </c>
      <c r="S1351" s="25">
        <f t="shared" si="175"/>
        <v>5.0784403126114555</v>
      </c>
    </row>
    <row r="1352" spans="1:19" ht="15" customHeight="1" x14ac:dyDescent="0.3">
      <c r="A1352" s="22"/>
      <c r="B1352" s="23"/>
      <c r="C1352" s="2"/>
      <c r="D1352" s="23">
        <v>2022</v>
      </c>
      <c r="E1352" s="24">
        <f>Data!F1352</f>
        <v>293594468324</v>
      </c>
      <c r="F1352" s="24">
        <f>Data!H1352</f>
        <v>121049138701</v>
      </c>
      <c r="G1352" s="24">
        <f t="shared" si="168"/>
        <v>172545329623</v>
      </c>
      <c r="H1352" s="24">
        <f>Data!G1352</f>
        <v>410446680382</v>
      </c>
      <c r="I1352" s="25">
        <f t="shared" si="169"/>
        <v>2.7577208354406242</v>
      </c>
      <c r="J1352" s="24">
        <f>Data!J1352</f>
        <v>44797297777</v>
      </c>
      <c r="K1352" s="24">
        <f t="shared" si="170"/>
        <v>410446680382</v>
      </c>
      <c r="L1352" s="25">
        <f t="shared" si="171"/>
        <v>0.35580551075989281</v>
      </c>
      <c r="M1352" s="24">
        <f>Data!M1352</f>
        <v>10211337303</v>
      </c>
      <c r="N1352" s="24">
        <f t="shared" si="172"/>
        <v>410446680382</v>
      </c>
      <c r="O1352" s="25">
        <f t="shared" si="173"/>
        <v>0.16718416777617898</v>
      </c>
      <c r="P1352" s="24">
        <f>Data!K1352</f>
        <v>125797297777</v>
      </c>
      <c r="Q1352" s="24">
        <f>Data!I1352</f>
        <v>284649382604</v>
      </c>
      <c r="R1352" s="25">
        <f t="shared" si="174"/>
        <v>0.46403460094486737</v>
      </c>
      <c r="S1352" s="25">
        <f t="shared" si="175"/>
        <v>3.7447451149215634</v>
      </c>
    </row>
    <row r="1353" spans="1:19" ht="15" customHeight="1" x14ac:dyDescent="0.3">
      <c r="A1353" s="22"/>
      <c r="B1353" s="23"/>
      <c r="C1353" s="2"/>
      <c r="D1353" s="23">
        <v>2023</v>
      </c>
      <c r="E1353" s="24">
        <f>Data!F1353</f>
        <v>696349242160</v>
      </c>
      <c r="F1353" s="24">
        <f>Data!H1353</f>
        <v>197192201191</v>
      </c>
      <c r="G1353" s="24">
        <f t="shared" si="168"/>
        <v>499157040969</v>
      </c>
      <c r="H1353" s="24">
        <f>Data!G1353</f>
        <v>862379828144</v>
      </c>
      <c r="I1353" s="25">
        <f t="shared" si="169"/>
        <v>3.7970162124546696</v>
      </c>
      <c r="J1353" s="24">
        <f>Data!J1353</f>
        <v>198538073238</v>
      </c>
      <c r="K1353" s="24">
        <f t="shared" si="170"/>
        <v>862379828144</v>
      </c>
      <c r="L1353" s="25">
        <f t="shared" si="171"/>
        <v>0.75052093942044862</v>
      </c>
      <c r="M1353" s="24">
        <f>Data!M1353</f>
        <v>205464145875</v>
      </c>
      <c r="N1353" s="24">
        <f t="shared" si="172"/>
        <v>862379828144</v>
      </c>
      <c r="O1353" s="25">
        <f t="shared" si="173"/>
        <v>1.6010567678183769</v>
      </c>
      <c r="P1353" s="24">
        <f>Data!K1353</f>
        <v>290538073238</v>
      </c>
      <c r="Q1353" s="24">
        <f>Data!I1353</f>
        <v>571841754906</v>
      </c>
      <c r="R1353" s="25">
        <f t="shared" si="174"/>
        <v>0.53347796708207673</v>
      </c>
      <c r="S1353" s="25">
        <f t="shared" si="175"/>
        <v>6.6820718867755717</v>
      </c>
    </row>
    <row r="1354" spans="1:19" ht="15" customHeight="1" x14ac:dyDescent="0.3">
      <c r="A1354" s="22"/>
      <c r="B1354" s="23"/>
      <c r="C1354" s="2"/>
      <c r="D1354" s="23">
        <v>2024</v>
      </c>
      <c r="E1354" s="24">
        <f>Data!F1354</f>
        <v>700926382409</v>
      </c>
      <c r="F1354" s="24">
        <f>Data!H1354</f>
        <v>144745737669</v>
      </c>
      <c r="G1354" s="24">
        <f t="shared" si="168"/>
        <v>556180644740</v>
      </c>
      <c r="H1354" s="24">
        <f>Data!G1354</f>
        <v>930448689416</v>
      </c>
      <c r="I1354" s="25">
        <f t="shared" si="169"/>
        <v>3.9212748333112537</v>
      </c>
      <c r="J1354" s="24">
        <f>Data!J1354</f>
        <v>125928117414</v>
      </c>
      <c r="K1354" s="24">
        <f t="shared" si="170"/>
        <v>930448689416</v>
      </c>
      <c r="L1354" s="25">
        <f t="shared" si="171"/>
        <v>0.44121257565240712</v>
      </c>
      <c r="M1354" s="24">
        <f>Data!M1354</f>
        <v>95371489563</v>
      </c>
      <c r="N1354" s="24">
        <f t="shared" si="172"/>
        <v>930448689416</v>
      </c>
      <c r="O1354" s="25">
        <f t="shared" si="173"/>
        <v>0.68880360320096889</v>
      </c>
      <c r="P1354" s="24">
        <f>Data!K1354</f>
        <v>217928117414</v>
      </c>
      <c r="Q1354" s="24">
        <f>Data!I1354</f>
        <v>712520572002</v>
      </c>
      <c r="R1354" s="25">
        <f t="shared" si="174"/>
        <v>0.32114795316261791</v>
      </c>
      <c r="S1354" s="25">
        <f t="shared" si="175"/>
        <v>5.3724389653272482</v>
      </c>
    </row>
    <row r="1355" spans="1:19" ht="15" customHeight="1" x14ac:dyDescent="0.3">
      <c r="A1355" s="22"/>
      <c r="B1355" s="23">
        <v>124</v>
      </c>
      <c r="C1355" s="2" t="s">
        <v>110</v>
      </c>
      <c r="D1355" s="23">
        <v>2014</v>
      </c>
      <c r="E1355" s="24">
        <f>Data!F1355</f>
        <v>0</v>
      </c>
      <c r="F1355" s="24">
        <f>Data!H1355</f>
        <v>0</v>
      </c>
      <c r="G1355" s="24">
        <f t="shared" si="168"/>
        <v>0</v>
      </c>
      <c r="H1355" s="24">
        <f>Data!G1355</f>
        <v>0</v>
      </c>
      <c r="I1355" s="25">
        <f t="shared" si="169"/>
        <v>0</v>
      </c>
      <c r="J1355" s="24">
        <f>Data!J1355</f>
        <v>0</v>
      </c>
      <c r="K1355" s="24">
        <f t="shared" si="170"/>
        <v>0</v>
      </c>
      <c r="L1355" s="25">
        <f t="shared" si="171"/>
        <v>0</v>
      </c>
      <c r="M1355" s="24">
        <f>Data!M1355</f>
        <v>0</v>
      </c>
      <c r="N1355" s="24">
        <f t="shared" si="172"/>
        <v>0</v>
      </c>
      <c r="O1355" s="25">
        <f t="shared" si="173"/>
        <v>0</v>
      </c>
      <c r="P1355" s="24">
        <f>Data!K1355</f>
        <v>0</v>
      </c>
      <c r="Q1355" s="24">
        <f>Data!I1355</f>
        <v>0</v>
      </c>
      <c r="R1355" s="25">
        <f t="shared" si="174"/>
        <v>0</v>
      </c>
      <c r="S1355" s="25">
        <f t="shared" si="175"/>
        <v>0</v>
      </c>
    </row>
    <row r="1356" spans="1:19" ht="15" customHeight="1" x14ac:dyDescent="0.3">
      <c r="A1356" s="22"/>
      <c r="B1356" s="23"/>
      <c r="C1356" s="2"/>
      <c r="D1356" s="23">
        <v>2015</v>
      </c>
      <c r="E1356" s="24">
        <f>Data!F1356</f>
        <v>501939156091</v>
      </c>
      <c r="F1356" s="24">
        <f>Data!H1356</f>
        <v>68423281852</v>
      </c>
      <c r="G1356" s="24">
        <f t="shared" si="168"/>
        <v>433515874239</v>
      </c>
      <c r="H1356" s="24">
        <f>Data!G1356</f>
        <v>921927252120</v>
      </c>
      <c r="I1356" s="25">
        <f t="shared" si="169"/>
        <v>3.0846947288609674</v>
      </c>
      <c r="J1356" s="24">
        <f>Data!J1356</f>
        <v>112755897223</v>
      </c>
      <c r="K1356" s="24">
        <f t="shared" si="170"/>
        <v>921927252120</v>
      </c>
      <c r="L1356" s="25">
        <f t="shared" si="171"/>
        <v>0.39871283130172014</v>
      </c>
      <c r="M1356" s="24">
        <f>Data!M1356</f>
        <v>25940834641</v>
      </c>
      <c r="N1356" s="24">
        <f t="shared" si="172"/>
        <v>921927252120</v>
      </c>
      <c r="O1356" s="25">
        <f t="shared" si="173"/>
        <v>0.18908477690258127</v>
      </c>
      <c r="P1356" s="24">
        <f>Data!K1356</f>
        <v>216388147244</v>
      </c>
      <c r="Q1356" s="24">
        <f>Data!I1356</f>
        <v>705539104876</v>
      </c>
      <c r="R1356" s="25">
        <f t="shared" si="174"/>
        <v>0.32203396386672606</v>
      </c>
      <c r="S1356" s="25">
        <f t="shared" si="175"/>
        <v>3.9945263009319949</v>
      </c>
    </row>
    <row r="1357" spans="1:19" ht="15" customHeight="1" x14ac:dyDescent="0.3">
      <c r="A1357" s="22"/>
      <c r="B1357" s="23"/>
      <c r="C1357" s="2"/>
      <c r="D1357" s="23">
        <v>2016</v>
      </c>
      <c r="E1357" s="24">
        <f>Data!F1357</f>
        <v>439228412284</v>
      </c>
      <c r="F1357" s="24">
        <f>Data!H1357</f>
        <v>77197007405</v>
      </c>
      <c r="G1357" s="24">
        <f t="shared" si="168"/>
        <v>362031404879</v>
      </c>
      <c r="H1357" s="24">
        <f>Data!G1357</f>
        <v>1136810730112</v>
      </c>
      <c r="I1357" s="25">
        <f t="shared" si="169"/>
        <v>2.0891129482673509</v>
      </c>
      <c r="J1357" s="24">
        <f>Data!J1357</f>
        <v>135707980711</v>
      </c>
      <c r="K1357" s="24">
        <f t="shared" si="170"/>
        <v>1136810730112</v>
      </c>
      <c r="L1357" s="25">
        <f t="shared" si="171"/>
        <v>0.38916594064367549</v>
      </c>
      <c r="M1357" s="24">
        <f>Data!M1357</f>
        <v>22497283881</v>
      </c>
      <c r="N1357" s="24">
        <f t="shared" si="172"/>
        <v>1136810730112</v>
      </c>
      <c r="O1357" s="25">
        <f t="shared" si="173"/>
        <v>0.13298761497916667</v>
      </c>
      <c r="P1357" s="24">
        <f>Data!K1357</f>
        <v>373195660331</v>
      </c>
      <c r="Q1357" s="24">
        <f>Data!I1357</f>
        <v>736615069781</v>
      </c>
      <c r="R1357" s="25">
        <f t="shared" si="174"/>
        <v>0.53196772564543227</v>
      </c>
      <c r="S1357" s="25">
        <f t="shared" si="175"/>
        <v>3.1432342295356257</v>
      </c>
    </row>
    <row r="1358" spans="1:19" ht="15" customHeight="1" x14ac:dyDescent="0.3">
      <c r="A1358" s="22"/>
      <c r="B1358" s="23"/>
      <c r="C1358" s="2"/>
      <c r="D1358" s="23">
        <v>2017</v>
      </c>
      <c r="E1358" s="24">
        <f>Data!F1358</f>
        <v>548884668955</v>
      </c>
      <c r="F1358" s="24">
        <f>Data!H1358</f>
        <v>62609971818</v>
      </c>
      <c r="G1358" s="24">
        <f t="shared" si="168"/>
        <v>486274697137</v>
      </c>
      <c r="H1358" s="24">
        <f>Data!G1358</f>
        <v>1327250439408</v>
      </c>
      <c r="I1358" s="25">
        <f t="shared" si="169"/>
        <v>2.4034363964057559</v>
      </c>
      <c r="J1358" s="24">
        <f>Data!J1358</f>
        <v>93028500883</v>
      </c>
      <c r="K1358" s="24">
        <f t="shared" si="170"/>
        <v>1327250439408</v>
      </c>
      <c r="L1358" s="25">
        <f t="shared" si="171"/>
        <v>0.22849712750055692</v>
      </c>
      <c r="M1358" s="24">
        <f>Data!M1358</f>
        <v>-67259612967</v>
      </c>
      <c r="N1358" s="24">
        <f t="shared" si="172"/>
        <v>1327250439408</v>
      </c>
      <c r="O1358" s="25">
        <f t="shared" si="173"/>
        <v>-0.34054206027601008</v>
      </c>
      <c r="P1358" s="24">
        <f>Data!K1358</f>
        <v>367290802779</v>
      </c>
      <c r="Q1358" s="24">
        <f>Data!I1358</f>
        <v>959959636629</v>
      </c>
      <c r="R1358" s="25">
        <f t="shared" si="174"/>
        <v>0.40174120682013215</v>
      </c>
      <c r="S1358" s="25">
        <f t="shared" si="175"/>
        <v>2.6931326704504346</v>
      </c>
    </row>
    <row r="1359" spans="1:19" ht="15" customHeight="1" x14ac:dyDescent="0.3">
      <c r="A1359" s="22"/>
      <c r="B1359" s="23"/>
      <c r="C1359" s="2"/>
      <c r="D1359" s="23">
        <v>2018</v>
      </c>
      <c r="E1359" s="24">
        <f>Data!F1359</f>
        <v>397440000000</v>
      </c>
      <c r="F1359" s="24">
        <f>Data!H1359</f>
        <v>52863000000</v>
      </c>
      <c r="G1359" s="24">
        <f t="shared" si="168"/>
        <v>344577000000</v>
      </c>
      <c r="H1359" s="24">
        <f>Data!G1359</f>
        <v>1242415000000</v>
      </c>
      <c r="I1359" s="25">
        <f t="shared" si="169"/>
        <v>1.8193800944128975</v>
      </c>
      <c r="J1359" s="24">
        <f>Data!J1359</f>
        <v>112752000000</v>
      </c>
      <c r="K1359" s="24">
        <f t="shared" si="170"/>
        <v>1242415000000</v>
      </c>
      <c r="L1359" s="25">
        <f t="shared" si="171"/>
        <v>0.2958524486584595</v>
      </c>
      <c r="M1359" s="24">
        <f>Data!M1359</f>
        <v>27061000000</v>
      </c>
      <c r="N1359" s="24">
        <f t="shared" si="172"/>
        <v>1242415000000</v>
      </c>
      <c r="O1359" s="25">
        <f t="shared" si="173"/>
        <v>0.14636809761633593</v>
      </c>
      <c r="P1359" s="24">
        <f>Data!K1359</f>
        <v>481782000000</v>
      </c>
      <c r="Q1359" s="24">
        <f>Data!I1359</f>
        <v>760633000000</v>
      </c>
      <c r="R1359" s="25">
        <f t="shared" si="174"/>
        <v>0.66506593850122198</v>
      </c>
      <c r="S1359" s="25">
        <f t="shared" si="175"/>
        <v>2.9266665791889146</v>
      </c>
    </row>
    <row r="1360" spans="1:19" ht="15" customHeight="1" x14ac:dyDescent="0.3">
      <c r="A1360" s="22"/>
      <c r="B1360" s="23"/>
      <c r="C1360" s="2"/>
      <c r="D1360" s="23">
        <v>2019</v>
      </c>
      <c r="E1360" s="24">
        <f>Data!F1360</f>
        <v>262284000000</v>
      </c>
      <c r="F1360" s="24">
        <f>Data!H1360</f>
        <v>59387000000</v>
      </c>
      <c r="G1360" s="24">
        <f t="shared" si="168"/>
        <v>202897000000</v>
      </c>
      <c r="H1360" s="24">
        <f>Data!G1360</f>
        <v>1149812000000</v>
      </c>
      <c r="I1360" s="25">
        <f t="shared" si="169"/>
        <v>1.1575843007378597</v>
      </c>
      <c r="J1360" s="24">
        <f>Data!J1360</f>
        <v>132995000000</v>
      </c>
      <c r="K1360" s="24">
        <f t="shared" si="170"/>
        <v>1149812000000</v>
      </c>
      <c r="L1360" s="25">
        <f t="shared" si="171"/>
        <v>0.37707355637269396</v>
      </c>
      <c r="M1360" s="24">
        <f>Data!M1360</f>
        <v>16000000000</v>
      </c>
      <c r="N1360" s="24">
        <f t="shared" si="172"/>
        <v>1149812000000</v>
      </c>
      <c r="O1360" s="25">
        <f t="shared" si="173"/>
        <v>9.3510939179622402E-2</v>
      </c>
      <c r="P1360" s="24">
        <f>Data!K1360</f>
        <v>502025000000</v>
      </c>
      <c r="Q1360" s="24">
        <f>Data!I1360</f>
        <v>647787000000</v>
      </c>
      <c r="R1360" s="25">
        <f t="shared" si="174"/>
        <v>0.81373391253606508</v>
      </c>
      <c r="S1360" s="25">
        <f t="shared" si="175"/>
        <v>2.4419027088262411</v>
      </c>
    </row>
    <row r="1361" spans="1:19" ht="15" customHeight="1" x14ac:dyDescent="0.3">
      <c r="A1361" s="22"/>
      <c r="B1361" s="23"/>
      <c r="C1361" s="2"/>
      <c r="D1361" s="23">
        <v>2020</v>
      </c>
      <c r="E1361" s="24">
        <f>Data!F1361</f>
        <v>443607000000</v>
      </c>
      <c r="F1361" s="24">
        <f>Data!H1361</f>
        <v>85537000000</v>
      </c>
      <c r="G1361" s="24">
        <f t="shared" si="168"/>
        <v>358070000000</v>
      </c>
      <c r="H1361" s="24">
        <f>Data!G1361</f>
        <v>1148806000000</v>
      </c>
      <c r="I1361" s="25">
        <f t="shared" si="169"/>
        <v>2.044678736009387</v>
      </c>
      <c r="J1361" s="24">
        <f>Data!J1361</f>
        <v>155916000000</v>
      </c>
      <c r="K1361" s="24">
        <f t="shared" si="170"/>
        <v>1148806000000</v>
      </c>
      <c r="L1361" s="25">
        <f t="shared" si="171"/>
        <v>0.44244734097837224</v>
      </c>
      <c r="M1361" s="24">
        <f>Data!M1361</f>
        <v>34038000000</v>
      </c>
      <c r="N1361" s="24">
        <f t="shared" si="172"/>
        <v>1148806000000</v>
      </c>
      <c r="O1361" s="25">
        <f t="shared" si="173"/>
        <v>0.19910703808998212</v>
      </c>
      <c r="P1361" s="24">
        <f>Data!K1361</f>
        <v>528437000000</v>
      </c>
      <c r="Q1361" s="24">
        <f>Data!I1361</f>
        <v>620369000000</v>
      </c>
      <c r="R1361" s="25">
        <f t="shared" si="174"/>
        <v>0.89440131599096673</v>
      </c>
      <c r="S1361" s="25">
        <f t="shared" si="175"/>
        <v>3.5806344310687077</v>
      </c>
    </row>
    <row r="1362" spans="1:19" ht="15" customHeight="1" x14ac:dyDescent="0.3">
      <c r="A1362" s="22"/>
      <c r="B1362" s="23"/>
      <c r="C1362" s="2"/>
      <c r="D1362" s="23">
        <v>2021</v>
      </c>
      <c r="E1362" s="24">
        <f>Data!F1362</f>
        <v>375645000000</v>
      </c>
      <c r="F1362" s="24">
        <f>Data!H1362</f>
        <v>129832000000</v>
      </c>
      <c r="G1362" s="24">
        <f t="shared" si="168"/>
        <v>245813000000</v>
      </c>
      <c r="H1362" s="24">
        <f>Data!G1362</f>
        <v>1197031000000</v>
      </c>
      <c r="I1362" s="25">
        <f t="shared" si="169"/>
        <v>1.3471107097477009</v>
      </c>
      <c r="J1362" s="24">
        <f>Data!J1362</f>
        <v>191503000000</v>
      </c>
      <c r="K1362" s="24">
        <f t="shared" si="170"/>
        <v>1197031000000</v>
      </c>
      <c r="L1362" s="25">
        <f t="shared" si="171"/>
        <v>0.52154019403006269</v>
      </c>
      <c r="M1362" s="24">
        <f>Data!M1362</f>
        <v>41521000000</v>
      </c>
      <c r="N1362" s="24">
        <f t="shared" si="172"/>
        <v>1197031000000</v>
      </c>
      <c r="O1362" s="25">
        <f t="shared" si="173"/>
        <v>0.23309431418233945</v>
      </c>
      <c r="P1362" s="24">
        <f>Data!K1362</f>
        <v>562686000000</v>
      </c>
      <c r="Q1362" s="24">
        <f>Data!I1362</f>
        <v>634345000000</v>
      </c>
      <c r="R1362" s="25">
        <f t="shared" si="174"/>
        <v>0.93138639068645612</v>
      </c>
      <c r="S1362" s="25">
        <f t="shared" si="175"/>
        <v>3.033131608646559</v>
      </c>
    </row>
    <row r="1363" spans="1:19" ht="15" customHeight="1" x14ac:dyDescent="0.3">
      <c r="A1363" s="22"/>
      <c r="B1363" s="23"/>
      <c r="C1363" s="2"/>
      <c r="D1363" s="23">
        <v>2022</v>
      </c>
      <c r="E1363" s="24">
        <f>Data!F1363</f>
        <v>716416000000</v>
      </c>
      <c r="F1363" s="24">
        <f>Data!H1363</f>
        <v>169817000000</v>
      </c>
      <c r="G1363" s="24">
        <f t="shared" si="168"/>
        <v>546599000000</v>
      </c>
      <c r="H1363" s="24">
        <f>Data!G1363</f>
        <v>1513163000000</v>
      </c>
      <c r="I1363" s="25">
        <f t="shared" si="169"/>
        <v>2.3696650261736507</v>
      </c>
      <c r="J1363" s="24">
        <f>Data!J1363</f>
        <v>114233000000</v>
      </c>
      <c r="K1363" s="24">
        <f t="shared" si="170"/>
        <v>1513163000000</v>
      </c>
      <c r="L1363" s="25">
        <f t="shared" si="171"/>
        <v>0.24610671817907256</v>
      </c>
      <c r="M1363" s="24">
        <f>Data!M1363</f>
        <v>-83339000000</v>
      </c>
      <c r="N1363" s="24">
        <f t="shared" si="172"/>
        <v>1513163000000</v>
      </c>
      <c r="O1363" s="25">
        <f t="shared" si="173"/>
        <v>-0.37011087371287821</v>
      </c>
      <c r="P1363" s="24">
        <f>Data!K1363</f>
        <v>475532000000</v>
      </c>
      <c r="Q1363" s="24">
        <f>Data!I1363</f>
        <v>1037631000000</v>
      </c>
      <c r="R1363" s="25">
        <f t="shared" si="174"/>
        <v>0.48120054238934651</v>
      </c>
      <c r="S1363" s="25">
        <f t="shared" si="175"/>
        <v>2.7268614130291913</v>
      </c>
    </row>
    <row r="1364" spans="1:19" ht="15" customHeight="1" x14ac:dyDescent="0.3">
      <c r="A1364" s="22"/>
      <c r="B1364" s="23"/>
      <c r="C1364" s="2"/>
      <c r="D1364" s="23">
        <v>2023</v>
      </c>
      <c r="E1364" s="24">
        <f>Data!F1364</f>
        <v>899353000000</v>
      </c>
      <c r="F1364" s="24">
        <f>Data!H1364</f>
        <v>296257000000</v>
      </c>
      <c r="G1364" s="24">
        <f t="shared" si="168"/>
        <v>603096000000</v>
      </c>
      <c r="H1364" s="24">
        <f>Data!G1364</f>
        <v>1580050000000</v>
      </c>
      <c r="I1364" s="25">
        <f t="shared" si="169"/>
        <v>2.5039142811936328</v>
      </c>
      <c r="J1364" s="24">
        <f>Data!J1364</f>
        <v>146225000000</v>
      </c>
      <c r="K1364" s="24">
        <f t="shared" si="170"/>
        <v>1580050000000</v>
      </c>
      <c r="L1364" s="25">
        <f t="shared" si="171"/>
        <v>0.30169519951900253</v>
      </c>
      <c r="M1364" s="24">
        <f>Data!M1364</f>
        <v>35989000000</v>
      </c>
      <c r="N1364" s="24">
        <f t="shared" si="172"/>
        <v>1580050000000</v>
      </c>
      <c r="O1364" s="25">
        <f t="shared" si="173"/>
        <v>0.15306229549697795</v>
      </c>
      <c r="P1364" s="24">
        <f>Data!K1364</f>
        <v>512775000000</v>
      </c>
      <c r="Q1364" s="24">
        <f>Data!I1364</f>
        <v>1067275000000</v>
      </c>
      <c r="R1364" s="25">
        <f t="shared" si="174"/>
        <v>0.50447518212269571</v>
      </c>
      <c r="S1364" s="25">
        <f t="shared" si="175"/>
        <v>3.4631469583323091</v>
      </c>
    </row>
    <row r="1365" spans="1:19" ht="15" customHeight="1" x14ac:dyDescent="0.3">
      <c r="A1365" s="22"/>
      <c r="B1365" s="23"/>
      <c r="C1365" s="2"/>
      <c r="D1365" s="23">
        <v>2024</v>
      </c>
      <c r="E1365" s="24">
        <f>Data!F1365</f>
        <v>857252000000</v>
      </c>
      <c r="F1365" s="24">
        <f>Data!H1365</f>
        <v>316577000000</v>
      </c>
      <c r="G1365" s="24">
        <f t="shared" si="168"/>
        <v>540675000000</v>
      </c>
      <c r="H1365" s="24">
        <f>Data!G1365</f>
        <v>1618363000000</v>
      </c>
      <c r="I1365" s="25">
        <f t="shared" si="169"/>
        <v>2.1916146130379897</v>
      </c>
      <c r="J1365" s="24">
        <f>Data!J1365</f>
        <v>194691000000</v>
      </c>
      <c r="K1365" s="24">
        <f t="shared" si="170"/>
        <v>1618363000000</v>
      </c>
      <c r="L1365" s="25">
        <f t="shared" si="171"/>
        <v>0.39218188997153292</v>
      </c>
      <c r="M1365" s="24">
        <f>Data!M1365</f>
        <v>51534000000</v>
      </c>
      <c r="N1365" s="24">
        <f t="shared" si="172"/>
        <v>1618363000000</v>
      </c>
      <c r="O1365" s="25">
        <f t="shared" si="173"/>
        <v>0.21398689910730784</v>
      </c>
      <c r="P1365" s="24">
        <f>Data!K1365</f>
        <v>556673000000</v>
      </c>
      <c r="Q1365" s="24">
        <f>Data!I1365</f>
        <v>1061690000000</v>
      </c>
      <c r="R1365" s="25">
        <f t="shared" si="174"/>
        <v>0.55054361442605659</v>
      </c>
      <c r="S1365" s="25">
        <f t="shared" si="175"/>
        <v>3.3483270165428869</v>
      </c>
    </row>
    <row r="1366" spans="1:19" ht="15" customHeight="1" x14ac:dyDescent="0.3">
      <c r="A1366" s="22"/>
      <c r="B1366" s="23">
        <v>125</v>
      </c>
      <c r="C1366" s="2" t="s">
        <v>111</v>
      </c>
      <c r="D1366" s="23">
        <v>2014</v>
      </c>
      <c r="E1366" s="24">
        <f>Data!F1366</f>
        <v>0</v>
      </c>
      <c r="F1366" s="24">
        <f>Data!H1366</f>
        <v>0</v>
      </c>
      <c r="G1366" s="24">
        <f t="shared" si="168"/>
        <v>0</v>
      </c>
      <c r="H1366" s="24">
        <f>Data!G1366</f>
        <v>0</v>
      </c>
      <c r="I1366" s="25">
        <f t="shared" si="169"/>
        <v>0</v>
      </c>
      <c r="J1366" s="24">
        <f>Data!J1366</f>
        <v>0</v>
      </c>
      <c r="K1366" s="24">
        <f t="shared" si="170"/>
        <v>0</v>
      </c>
      <c r="L1366" s="25">
        <f t="shared" si="171"/>
        <v>0</v>
      </c>
      <c r="M1366" s="24">
        <f>Data!M1366</f>
        <v>0</v>
      </c>
      <c r="N1366" s="24">
        <f t="shared" si="172"/>
        <v>0</v>
      </c>
      <c r="O1366" s="25">
        <f t="shared" si="173"/>
        <v>0</v>
      </c>
      <c r="P1366" s="24">
        <f>Data!K1366</f>
        <v>0</v>
      </c>
      <c r="Q1366" s="24">
        <f>Data!I1366</f>
        <v>0</v>
      </c>
      <c r="R1366" s="25">
        <f t="shared" si="174"/>
        <v>0</v>
      </c>
      <c r="S1366" s="25">
        <f t="shared" si="175"/>
        <v>0</v>
      </c>
    </row>
    <row r="1367" spans="1:19" ht="15" customHeight="1" x14ac:dyDescent="0.3">
      <c r="A1367" s="22"/>
      <c r="B1367" s="23"/>
      <c r="C1367" s="2"/>
      <c r="D1367" s="23">
        <v>2015</v>
      </c>
      <c r="E1367" s="24">
        <f>Data!F1367</f>
        <v>0</v>
      </c>
      <c r="F1367" s="24">
        <f>Data!H1367</f>
        <v>0</v>
      </c>
      <c r="G1367" s="24">
        <f t="shared" si="168"/>
        <v>0</v>
      </c>
      <c r="H1367" s="24">
        <f>Data!G1367</f>
        <v>0</v>
      </c>
      <c r="I1367" s="25">
        <f t="shared" si="169"/>
        <v>0</v>
      </c>
      <c r="J1367" s="24">
        <f>Data!J1367</f>
        <v>0</v>
      </c>
      <c r="K1367" s="24">
        <f t="shared" si="170"/>
        <v>0</v>
      </c>
      <c r="L1367" s="25">
        <f t="shared" si="171"/>
        <v>0</v>
      </c>
      <c r="M1367" s="24">
        <f>Data!M1367</f>
        <v>0</v>
      </c>
      <c r="N1367" s="24">
        <f t="shared" si="172"/>
        <v>0</v>
      </c>
      <c r="O1367" s="25">
        <f t="shared" si="173"/>
        <v>0</v>
      </c>
      <c r="P1367" s="24">
        <f>Data!K1367</f>
        <v>0</v>
      </c>
      <c r="Q1367" s="24">
        <f>Data!I1367</f>
        <v>0</v>
      </c>
      <c r="R1367" s="25">
        <f t="shared" si="174"/>
        <v>0</v>
      </c>
      <c r="S1367" s="25">
        <f t="shared" si="175"/>
        <v>0</v>
      </c>
    </row>
    <row r="1368" spans="1:19" ht="15" customHeight="1" x14ac:dyDescent="0.3">
      <c r="A1368" s="22"/>
      <c r="B1368" s="23"/>
      <c r="C1368" s="2"/>
      <c r="D1368" s="23">
        <v>2016</v>
      </c>
      <c r="E1368" s="24">
        <f>Data!F1368</f>
        <v>0</v>
      </c>
      <c r="F1368" s="24">
        <f>Data!H1368</f>
        <v>0</v>
      </c>
      <c r="G1368" s="24">
        <f t="shared" si="168"/>
        <v>0</v>
      </c>
      <c r="H1368" s="24">
        <f>Data!G1368</f>
        <v>0</v>
      </c>
      <c r="I1368" s="25">
        <f t="shared" si="169"/>
        <v>0</v>
      </c>
      <c r="J1368" s="24">
        <f>Data!J1368</f>
        <v>0</v>
      </c>
      <c r="K1368" s="24">
        <f t="shared" si="170"/>
        <v>0</v>
      </c>
      <c r="L1368" s="25">
        <f t="shared" si="171"/>
        <v>0</v>
      </c>
      <c r="M1368" s="24">
        <f>Data!M1368</f>
        <v>0</v>
      </c>
      <c r="N1368" s="24">
        <f t="shared" si="172"/>
        <v>0</v>
      </c>
      <c r="O1368" s="25">
        <f t="shared" si="173"/>
        <v>0</v>
      </c>
      <c r="P1368" s="24">
        <f>Data!K1368</f>
        <v>0</v>
      </c>
      <c r="Q1368" s="24">
        <f>Data!I1368</f>
        <v>0</v>
      </c>
      <c r="R1368" s="25">
        <f t="shared" si="174"/>
        <v>0</v>
      </c>
      <c r="S1368" s="25">
        <f t="shared" si="175"/>
        <v>0</v>
      </c>
    </row>
    <row r="1369" spans="1:19" ht="15" customHeight="1" x14ac:dyDescent="0.3">
      <c r="A1369" s="22"/>
      <c r="B1369" s="23"/>
      <c r="C1369" s="2"/>
      <c r="D1369" s="23">
        <v>2017</v>
      </c>
      <c r="E1369" s="24">
        <f>Data!F1369</f>
        <v>0</v>
      </c>
      <c r="F1369" s="24">
        <f>Data!H1369</f>
        <v>0</v>
      </c>
      <c r="G1369" s="24">
        <f t="shared" si="168"/>
        <v>0</v>
      </c>
      <c r="H1369" s="24">
        <f>Data!G1369</f>
        <v>0</v>
      </c>
      <c r="I1369" s="25">
        <f t="shared" si="169"/>
        <v>0</v>
      </c>
      <c r="J1369" s="24">
        <f>Data!J1369</f>
        <v>0</v>
      </c>
      <c r="K1369" s="24">
        <f t="shared" si="170"/>
        <v>0</v>
      </c>
      <c r="L1369" s="25">
        <f t="shared" si="171"/>
        <v>0</v>
      </c>
      <c r="M1369" s="24">
        <f>Data!M1369</f>
        <v>0</v>
      </c>
      <c r="N1369" s="24">
        <f t="shared" si="172"/>
        <v>0</v>
      </c>
      <c r="O1369" s="25">
        <f t="shared" si="173"/>
        <v>0</v>
      </c>
      <c r="P1369" s="24">
        <f>Data!K1369</f>
        <v>0</v>
      </c>
      <c r="Q1369" s="24">
        <f>Data!I1369</f>
        <v>0</v>
      </c>
      <c r="R1369" s="25">
        <f t="shared" si="174"/>
        <v>0</v>
      </c>
      <c r="S1369" s="25">
        <f t="shared" si="175"/>
        <v>0</v>
      </c>
    </row>
    <row r="1370" spans="1:19" ht="15" customHeight="1" x14ac:dyDescent="0.3">
      <c r="A1370" s="22"/>
      <c r="B1370" s="23"/>
      <c r="C1370" s="2"/>
      <c r="D1370" s="23">
        <v>2018</v>
      </c>
      <c r="E1370" s="24">
        <f>Data!F1370</f>
        <v>0</v>
      </c>
      <c r="F1370" s="24">
        <f>Data!H1370</f>
        <v>0</v>
      </c>
      <c r="G1370" s="24">
        <f t="shared" si="168"/>
        <v>0</v>
      </c>
      <c r="H1370" s="24">
        <f>Data!G1370</f>
        <v>0</v>
      </c>
      <c r="I1370" s="25">
        <f t="shared" si="169"/>
        <v>0</v>
      </c>
      <c r="J1370" s="24">
        <f>Data!J1370</f>
        <v>0</v>
      </c>
      <c r="K1370" s="24">
        <f t="shared" si="170"/>
        <v>0</v>
      </c>
      <c r="L1370" s="25">
        <f t="shared" si="171"/>
        <v>0</v>
      </c>
      <c r="M1370" s="24">
        <f>Data!M1370</f>
        <v>0</v>
      </c>
      <c r="N1370" s="24">
        <f t="shared" si="172"/>
        <v>0</v>
      </c>
      <c r="O1370" s="25">
        <f t="shared" si="173"/>
        <v>0</v>
      </c>
      <c r="P1370" s="24">
        <f>Data!K1370</f>
        <v>0</v>
      </c>
      <c r="Q1370" s="24">
        <f>Data!I1370</f>
        <v>0</v>
      </c>
      <c r="R1370" s="25">
        <f t="shared" si="174"/>
        <v>0</v>
      </c>
      <c r="S1370" s="25">
        <f t="shared" si="175"/>
        <v>0</v>
      </c>
    </row>
    <row r="1371" spans="1:19" ht="15" customHeight="1" x14ac:dyDescent="0.3">
      <c r="A1371" s="22"/>
      <c r="B1371" s="23"/>
      <c r="C1371" s="2"/>
      <c r="D1371" s="23">
        <v>2019</v>
      </c>
      <c r="E1371" s="24">
        <f>Data!F1371</f>
        <v>0</v>
      </c>
      <c r="F1371" s="24">
        <f>Data!H1371</f>
        <v>0</v>
      </c>
      <c r="G1371" s="24">
        <f t="shared" si="168"/>
        <v>0</v>
      </c>
      <c r="H1371" s="24">
        <f>Data!G1371</f>
        <v>0</v>
      </c>
      <c r="I1371" s="25">
        <f t="shared" si="169"/>
        <v>0</v>
      </c>
      <c r="J1371" s="24">
        <f>Data!J1371</f>
        <v>0</v>
      </c>
      <c r="K1371" s="24">
        <f t="shared" si="170"/>
        <v>0</v>
      </c>
      <c r="L1371" s="25">
        <f t="shared" si="171"/>
        <v>0</v>
      </c>
      <c r="M1371" s="24">
        <f>Data!M1371</f>
        <v>0</v>
      </c>
      <c r="N1371" s="24">
        <f t="shared" si="172"/>
        <v>0</v>
      </c>
      <c r="O1371" s="25">
        <f t="shared" si="173"/>
        <v>0</v>
      </c>
      <c r="P1371" s="24">
        <f>Data!K1371</f>
        <v>0</v>
      </c>
      <c r="Q1371" s="24">
        <f>Data!I1371</f>
        <v>0</v>
      </c>
      <c r="R1371" s="25">
        <f t="shared" si="174"/>
        <v>0</v>
      </c>
      <c r="S1371" s="25">
        <f t="shared" si="175"/>
        <v>0</v>
      </c>
    </row>
    <row r="1372" spans="1:19" ht="15" customHeight="1" x14ac:dyDescent="0.3">
      <c r="A1372" s="22"/>
      <c r="B1372" s="23"/>
      <c r="C1372" s="2"/>
      <c r="D1372" s="23">
        <v>2020</v>
      </c>
      <c r="E1372" s="24">
        <f>Data!F1372</f>
        <v>0</v>
      </c>
      <c r="F1372" s="24">
        <f>Data!H1372</f>
        <v>0</v>
      </c>
      <c r="G1372" s="24">
        <f t="shared" si="168"/>
        <v>0</v>
      </c>
      <c r="H1372" s="24">
        <f>Data!G1372</f>
        <v>0</v>
      </c>
      <c r="I1372" s="25">
        <f t="shared" si="169"/>
        <v>0</v>
      </c>
      <c r="J1372" s="24">
        <f>Data!J1372</f>
        <v>0</v>
      </c>
      <c r="K1372" s="24">
        <f t="shared" si="170"/>
        <v>0</v>
      </c>
      <c r="L1372" s="25">
        <f t="shared" si="171"/>
        <v>0</v>
      </c>
      <c r="M1372" s="24">
        <f>Data!M1372</f>
        <v>0</v>
      </c>
      <c r="N1372" s="24">
        <f t="shared" si="172"/>
        <v>0</v>
      </c>
      <c r="O1372" s="25">
        <f t="shared" si="173"/>
        <v>0</v>
      </c>
      <c r="P1372" s="24">
        <f>Data!K1372</f>
        <v>0</v>
      </c>
      <c r="Q1372" s="24">
        <f>Data!I1372</f>
        <v>0</v>
      </c>
      <c r="R1372" s="25">
        <f t="shared" si="174"/>
        <v>0</v>
      </c>
      <c r="S1372" s="25">
        <f t="shared" si="175"/>
        <v>0</v>
      </c>
    </row>
    <row r="1373" spans="1:19" ht="15" customHeight="1" x14ac:dyDescent="0.3">
      <c r="A1373" s="22"/>
      <c r="B1373" s="23"/>
      <c r="C1373" s="2"/>
      <c r="D1373" s="23">
        <v>2021</v>
      </c>
      <c r="E1373" s="24">
        <f>Data!F1373</f>
        <v>0</v>
      </c>
      <c r="F1373" s="24">
        <f>Data!H1373</f>
        <v>0</v>
      </c>
      <c r="G1373" s="24">
        <f t="shared" si="168"/>
        <v>0</v>
      </c>
      <c r="H1373" s="24">
        <f>Data!G1373</f>
        <v>0</v>
      </c>
      <c r="I1373" s="25">
        <f t="shared" si="169"/>
        <v>0</v>
      </c>
      <c r="J1373" s="24">
        <f>Data!J1373</f>
        <v>0</v>
      </c>
      <c r="K1373" s="24">
        <f t="shared" si="170"/>
        <v>0</v>
      </c>
      <c r="L1373" s="25">
        <f t="shared" si="171"/>
        <v>0</v>
      </c>
      <c r="M1373" s="24">
        <f>Data!M1373</f>
        <v>0</v>
      </c>
      <c r="N1373" s="24">
        <f t="shared" si="172"/>
        <v>0</v>
      </c>
      <c r="O1373" s="25">
        <f t="shared" si="173"/>
        <v>0</v>
      </c>
      <c r="P1373" s="24">
        <f>Data!K1373</f>
        <v>0</v>
      </c>
      <c r="Q1373" s="24">
        <f>Data!I1373</f>
        <v>0</v>
      </c>
      <c r="R1373" s="25">
        <f t="shared" si="174"/>
        <v>0</v>
      </c>
      <c r="S1373" s="25">
        <f t="shared" si="175"/>
        <v>0</v>
      </c>
    </row>
    <row r="1374" spans="1:19" ht="15" customHeight="1" x14ac:dyDescent="0.3">
      <c r="A1374" s="22"/>
      <c r="B1374" s="23"/>
      <c r="C1374" s="2"/>
      <c r="D1374" s="23">
        <v>2022</v>
      </c>
      <c r="E1374" s="24">
        <f>Data!F1374</f>
        <v>0</v>
      </c>
      <c r="F1374" s="24">
        <f>Data!H1374</f>
        <v>0</v>
      </c>
      <c r="G1374" s="24">
        <f t="shared" si="168"/>
        <v>0</v>
      </c>
      <c r="H1374" s="24">
        <f>Data!G1374</f>
        <v>0</v>
      </c>
      <c r="I1374" s="25">
        <f t="shared" si="169"/>
        <v>0</v>
      </c>
      <c r="J1374" s="24">
        <f>Data!J1374</f>
        <v>0</v>
      </c>
      <c r="K1374" s="24">
        <f t="shared" si="170"/>
        <v>0</v>
      </c>
      <c r="L1374" s="25">
        <f t="shared" si="171"/>
        <v>0</v>
      </c>
      <c r="M1374" s="24">
        <f>Data!M1374</f>
        <v>0</v>
      </c>
      <c r="N1374" s="24">
        <f t="shared" si="172"/>
        <v>0</v>
      </c>
      <c r="O1374" s="25">
        <f t="shared" si="173"/>
        <v>0</v>
      </c>
      <c r="P1374" s="24">
        <f>Data!K1374</f>
        <v>0</v>
      </c>
      <c r="Q1374" s="24">
        <f>Data!I1374</f>
        <v>0</v>
      </c>
      <c r="R1374" s="25">
        <f t="shared" si="174"/>
        <v>0</v>
      </c>
      <c r="S1374" s="25">
        <f t="shared" si="175"/>
        <v>0</v>
      </c>
    </row>
    <row r="1375" spans="1:19" ht="15" customHeight="1" x14ac:dyDescent="0.3">
      <c r="A1375" s="22"/>
      <c r="B1375" s="23"/>
      <c r="C1375" s="2"/>
      <c r="D1375" s="23">
        <v>2023</v>
      </c>
      <c r="E1375" s="24">
        <f>Data!F1375</f>
        <v>0</v>
      </c>
      <c r="F1375" s="24">
        <f>Data!H1375</f>
        <v>0</v>
      </c>
      <c r="G1375" s="24">
        <f t="shared" si="168"/>
        <v>0</v>
      </c>
      <c r="H1375" s="24">
        <f>Data!G1375</f>
        <v>0</v>
      </c>
      <c r="I1375" s="25">
        <f t="shared" si="169"/>
        <v>0</v>
      </c>
      <c r="J1375" s="24">
        <f>Data!J1375</f>
        <v>0</v>
      </c>
      <c r="K1375" s="24">
        <f t="shared" si="170"/>
        <v>0</v>
      </c>
      <c r="L1375" s="25">
        <f t="shared" si="171"/>
        <v>0</v>
      </c>
      <c r="M1375" s="24">
        <f>Data!M1375</f>
        <v>0</v>
      </c>
      <c r="N1375" s="24">
        <f t="shared" si="172"/>
        <v>0</v>
      </c>
      <c r="O1375" s="25">
        <f t="shared" si="173"/>
        <v>0</v>
      </c>
      <c r="P1375" s="24">
        <f>Data!K1375</f>
        <v>0</v>
      </c>
      <c r="Q1375" s="24">
        <f>Data!I1375</f>
        <v>0</v>
      </c>
      <c r="R1375" s="25">
        <f t="shared" si="174"/>
        <v>0</v>
      </c>
      <c r="S1375" s="25">
        <f t="shared" si="175"/>
        <v>0</v>
      </c>
    </row>
    <row r="1376" spans="1:19" ht="15" customHeight="1" x14ac:dyDescent="0.3">
      <c r="A1376" s="22"/>
      <c r="B1376" s="23"/>
      <c r="C1376" s="2"/>
      <c r="D1376" s="23">
        <v>2024</v>
      </c>
      <c r="E1376" s="24">
        <f>Data!F1376</f>
        <v>0</v>
      </c>
      <c r="F1376" s="24">
        <f>Data!H1376</f>
        <v>0</v>
      </c>
      <c r="G1376" s="24">
        <f t="shared" si="168"/>
        <v>0</v>
      </c>
      <c r="H1376" s="24">
        <f>Data!G1376</f>
        <v>0</v>
      </c>
      <c r="I1376" s="25">
        <f t="shared" si="169"/>
        <v>0</v>
      </c>
      <c r="J1376" s="24">
        <f>Data!J1376</f>
        <v>0</v>
      </c>
      <c r="K1376" s="24">
        <f t="shared" si="170"/>
        <v>0</v>
      </c>
      <c r="L1376" s="25">
        <f t="shared" si="171"/>
        <v>0</v>
      </c>
      <c r="M1376" s="24">
        <f>Data!M1376</f>
        <v>0</v>
      </c>
      <c r="N1376" s="24">
        <f t="shared" si="172"/>
        <v>0</v>
      </c>
      <c r="O1376" s="25">
        <f t="shared" si="173"/>
        <v>0</v>
      </c>
      <c r="P1376" s="24">
        <f>Data!K1376</f>
        <v>0</v>
      </c>
      <c r="Q1376" s="24">
        <f>Data!I1376</f>
        <v>0</v>
      </c>
      <c r="R1376" s="25">
        <f t="shared" si="174"/>
        <v>0</v>
      </c>
      <c r="S1376" s="25">
        <f t="shared" si="175"/>
        <v>0</v>
      </c>
    </row>
    <row r="1377" spans="1:19" ht="15" customHeight="1" x14ac:dyDescent="0.3">
      <c r="A1377" s="22"/>
      <c r="B1377" s="23">
        <v>126</v>
      </c>
      <c r="C1377" s="2" t="s">
        <v>86</v>
      </c>
      <c r="D1377" s="23">
        <v>2014</v>
      </c>
      <c r="E1377" s="24">
        <f>Data!F1377</f>
        <v>0</v>
      </c>
      <c r="F1377" s="24">
        <f>Data!H1377</f>
        <v>0</v>
      </c>
      <c r="G1377" s="24">
        <f t="shared" si="168"/>
        <v>0</v>
      </c>
      <c r="H1377" s="24">
        <f>Data!G1377</f>
        <v>0</v>
      </c>
      <c r="I1377" s="25">
        <f t="shared" si="169"/>
        <v>0</v>
      </c>
      <c r="J1377" s="24">
        <f>Data!J1377</f>
        <v>0</v>
      </c>
      <c r="K1377" s="24">
        <f t="shared" si="170"/>
        <v>0</v>
      </c>
      <c r="L1377" s="25">
        <f t="shared" si="171"/>
        <v>0</v>
      </c>
      <c r="M1377" s="24">
        <f>Data!M1377</f>
        <v>0</v>
      </c>
      <c r="N1377" s="24">
        <f t="shared" si="172"/>
        <v>0</v>
      </c>
      <c r="O1377" s="25">
        <f t="shared" si="173"/>
        <v>0</v>
      </c>
      <c r="P1377" s="24">
        <f>Data!K1377</f>
        <v>0</v>
      </c>
      <c r="Q1377" s="24">
        <f>Data!I1377</f>
        <v>0</v>
      </c>
      <c r="R1377" s="25">
        <f t="shared" si="174"/>
        <v>0</v>
      </c>
      <c r="S1377" s="25">
        <f t="shared" si="175"/>
        <v>0</v>
      </c>
    </row>
    <row r="1378" spans="1:19" ht="15" customHeight="1" x14ac:dyDescent="0.3">
      <c r="A1378" s="22"/>
      <c r="B1378" s="23"/>
      <c r="C1378" s="2"/>
      <c r="D1378" s="23">
        <v>2015</v>
      </c>
      <c r="E1378" s="24">
        <f>Data!F1378</f>
        <v>0</v>
      </c>
      <c r="F1378" s="24">
        <f>Data!H1378</f>
        <v>0</v>
      </c>
      <c r="G1378" s="24">
        <f t="shared" si="168"/>
        <v>0</v>
      </c>
      <c r="H1378" s="24">
        <f>Data!G1378</f>
        <v>0</v>
      </c>
      <c r="I1378" s="25">
        <f t="shared" si="169"/>
        <v>0</v>
      </c>
      <c r="J1378" s="24">
        <f>Data!J1378</f>
        <v>0</v>
      </c>
      <c r="K1378" s="24">
        <f t="shared" si="170"/>
        <v>0</v>
      </c>
      <c r="L1378" s="25">
        <f t="shared" si="171"/>
        <v>0</v>
      </c>
      <c r="M1378" s="24">
        <f>Data!M1378</f>
        <v>0</v>
      </c>
      <c r="N1378" s="24">
        <f t="shared" si="172"/>
        <v>0</v>
      </c>
      <c r="O1378" s="25">
        <f t="shared" si="173"/>
        <v>0</v>
      </c>
      <c r="P1378" s="24">
        <f>Data!K1378</f>
        <v>0</v>
      </c>
      <c r="Q1378" s="24">
        <f>Data!I1378</f>
        <v>0</v>
      </c>
      <c r="R1378" s="25">
        <f t="shared" si="174"/>
        <v>0</v>
      </c>
      <c r="S1378" s="25">
        <f t="shared" si="175"/>
        <v>0</v>
      </c>
    </row>
    <row r="1379" spans="1:19" ht="15" customHeight="1" x14ac:dyDescent="0.3">
      <c r="A1379" s="22"/>
      <c r="B1379" s="23"/>
      <c r="C1379" s="2"/>
      <c r="D1379" s="23">
        <v>2016</v>
      </c>
      <c r="E1379" s="24">
        <f>Data!F1379</f>
        <v>895317689895</v>
      </c>
      <c r="F1379" s="24">
        <f>Data!H1379</f>
        <v>125214349045</v>
      </c>
      <c r="G1379" s="24">
        <f t="shared" si="168"/>
        <v>770103340850</v>
      </c>
      <c r="H1379" s="24">
        <f>Data!G1379</f>
        <v>2300958312318</v>
      </c>
      <c r="I1379" s="25">
        <f t="shared" si="169"/>
        <v>2.1955538650705524</v>
      </c>
      <c r="J1379" s="24">
        <f>Data!J1379</f>
        <v>548138560012</v>
      </c>
      <c r="K1379" s="24">
        <f t="shared" si="170"/>
        <v>2300958312318</v>
      </c>
      <c r="L1379" s="25">
        <f t="shared" si="171"/>
        <v>0.77660325094675597</v>
      </c>
      <c r="M1379" s="24">
        <f>Data!M1379</f>
        <v>85931797552</v>
      </c>
      <c r="N1379" s="24">
        <f t="shared" si="172"/>
        <v>2300958312318</v>
      </c>
      <c r="O1379" s="25">
        <f t="shared" si="173"/>
        <v>0.25096572869575434</v>
      </c>
      <c r="P1379" s="24">
        <f>Data!K1379</f>
        <v>1186059890855</v>
      </c>
      <c r="Q1379" s="24">
        <f>Data!I1379</f>
        <v>1114898421463</v>
      </c>
      <c r="R1379" s="25">
        <f t="shared" si="174"/>
        <v>1.1170191484920671</v>
      </c>
      <c r="S1379" s="25">
        <f t="shared" si="175"/>
        <v>4.3401419932051297</v>
      </c>
    </row>
    <row r="1380" spans="1:19" ht="15" customHeight="1" x14ac:dyDescent="0.3">
      <c r="A1380" s="22"/>
      <c r="B1380" s="23"/>
      <c r="C1380" s="2"/>
      <c r="D1380" s="23">
        <v>2017</v>
      </c>
      <c r="E1380" s="24">
        <f>Data!F1380</f>
        <v>944353276178</v>
      </c>
      <c r="F1380" s="24">
        <f>Data!H1380</f>
        <v>124185744554</v>
      </c>
      <c r="G1380" s="24">
        <f t="shared" si="168"/>
        <v>820167531624</v>
      </c>
      <c r="H1380" s="24">
        <f>Data!G1380</f>
        <v>2363109344956</v>
      </c>
      <c r="I1380" s="25">
        <f t="shared" si="169"/>
        <v>2.2767880034572072</v>
      </c>
      <c r="J1380" s="24">
        <f>Data!J1380</f>
        <v>612121683275</v>
      </c>
      <c r="K1380" s="24">
        <f t="shared" si="170"/>
        <v>2363109344956</v>
      </c>
      <c r="L1380" s="25">
        <f t="shared" si="171"/>
        <v>0.84444534559345819</v>
      </c>
      <c r="M1380" s="24">
        <f>Data!M1380</f>
        <v>96799303814</v>
      </c>
      <c r="N1380" s="24">
        <f t="shared" si="172"/>
        <v>2363109344956</v>
      </c>
      <c r="O1380" s="25">
        <f t="shared" si="173"/>
        <v>0.27526924347302761</v>
      </c>
      <c r="P1380" s="24">
        <f>Data!K1380</f>
        <v>1071538322010</v>
      </c>
      <c r="Q1380" s="24">
        <f>Data!I1380</f>
        <v>1291571022946</v>
      </c>
      <c r="R1380" s="25">
        <f t="shared" si="174"/>
        <v>0.87112146225158893</v>
      </c>
      <c r="S1380" s="25">
        <f t="shared" si="175"/>
        <v>4.2676240547752817</v>
      </c>
    </row>
    <row r="1381" spans="1:19" ht="15" customHeight="1" x14ac:dyDescent="0.3">
      <c r="A1381" s="22"/>
      <c r="B1381" s="23"/>
      <c r="C1381" s="2"/>
      <c r="D1381" s="23">
        <v>2018</v>
      </c>
      <c r="E1381" s="24">
        <f>Data!F1381</f>
        <v>1179994550215</v>
      </c>
      <c r="F1381" s="24">
        <f>Data!H1381</f>
        <v>119793149450</v>
      </c>
      <c r="G1381" s="24">
        <f t="shared" si="168"/>
        <v>1060201400765</v>
      </c>
      <c r="H1381" s="24">
        <f>Data!G1381</f>
        <v>2485186649117</v>
      </c>
      <c r="I1381" s="25">
        <f t="shared" si="169"/>
        <v>2.7985508418410019</v>
      </c>
      <c r="J1381" s="24">
        <f>Data!J1381</f>
        <v>644877227369</v>
      </c>
      <c r="K1381" s="24">
        <f t="shared" si="170"/>
        <v>2485186649117</v>
      </c>
      <c r="L1381" s="25">
        <f t="shared" si="171"/>
        <v>0.84593234152851193</v>
      </c>
      <c r="M1381" s="24">
        <f>Data!M1381</f>
        <v>78093636746</v>
      </c>
      <c r="N1381" s="24">
        <f t="shared" si="172"/>
        <v>2485186649117</v>
      </c>
      <c r="O1381" s="25">
        <f t="shared" si="173"/>
        <v>0.21116693151380819</v>
      </c>
      <c r="P1381" s="24">
        <f>Data!K1381</f>
        <v>879819493867</v>
      </c>
      <c r="Q1381" s="24">
        <f>Data!I1381</f>
        <v>1605367155250</v>
      </c>
      <c r="R1381" s="25">
        <f t="shared" si="174"/>
        <v>0.57545120786807624</v>
      </c>
      <c r="S1381" s="25">
        <f t="shared" si="175"/>
        <v>4.4311013227513989</v>
      </c>
    </row>
    <row r="1382" spans="1:19" ht="15" customHeight="1" x14ac:dyDescent="0.3">
      <c r="A1382" s="22"/>
      <c r="B1382" s="23"/>
      <c r="C1382" s="2"/>
      <c r="D1382" s="23">
        <v>2019</v>
      </c>
      <c r="E1382" s="24">
        <f>Data!F1382</f>
        <v>1157165564626</v>
      </c>
      <c r="F1382" s="24">
        <f>Data!H1382</f>
        <v>134135872849</v>
      </c>
      <c r="G1382" s="24">
        <f t="shared" si="168"/>
        <v>1023029691777</v>
      </c>
      <c r="H1382" s="24">
        <f>Data!G1382</f>
        <v>2423706043201</v>
      </c>
      <c r="I1382" s="25">
        <f t="shared" si="169"/>
        <v>2.768930991810282</v>
      </c>
      <c r="J1382" s="24">
        <f>Data!J1382</f>
        <v>674600634891</v>
      </c>
      <c r="K1382" s="24">
        <f t="shared" si="170"/>
        <v>2423706043201</v>
      </c>
      <c r="L1382" s="25">
        <f t="shared" si="171"/>
        <v>0.9073699658891673</v>
      </c>
      <c r="M1382" s="24">
        <f>Data!M1382</f>
        <v>87774030433</v>
      </c>
      <c r="N1382" s="24">
        <f t="shared" si="172"/>
        <v>2423706043201</v>
      </c>
      <c r="O1382" s="25">
        <f t="shared" si="173"/>
        <v>0.24336345827266806</v>
      </c>
      <c r="P1382" s="24">
        <f>Data!K1382</f>
        <v>848511733189</v>
      </c>
      <c r="Q1382" s="24">
        <f>Data!I1382</f>
        <v>1575194310012</v>
      </c>
      <c r="R1382" s="25">
        <f t="shared" si="174"/>
        <v>0.56560470932736084</v>
      </c>
      <c r="S1382" s="25">
        <f t="shared" si="175"/>
        <v>4.4852691252994781</v>
      </c>
    </row>
    <row r="1383" spans="1:19" ht="15" customHeight="1" x14ac:dyDescent="0.3">
      <c r="A1383" s="22"/>
      <c r="B1383" s="23"/>
      <c r="C1383" s="2"/>
      <c r="D1383" s="23">
        <v>2020</v>
      </c>
      <c r="E1383" s="24">
        <f>Data!F1383</f>
        <v>1395095376972</v>
      </c>
      <c r="F1383" s="24">
        <f>Data!H1383</f>
        <v>192221679695</v>
      </c>
      <c r="G1383" s="24">
        <f t="shared" si="168"/>
        <v>1202873697277</v>
      </c>
      <c r="H1383" s="24">
        <f>Data!G1383</f>
        <v>2815578393095</v>
      </c>
      <c r="I1383" s="25">
        <f t="shared" si="169"/>
        <v>2.8025685498542168</v>
      </c>
      <c r="J1383" s="24">
        <f>Data!J1383</f>
        <v>737110307484</v>
      </c>
      <c r="K1383" s="24">
        <f t="shared" si="170"/>
        <v>2815578393095</v>
      </c>
      <c r="L1383" s="25">
        <f t="shared" si="171"/>
        <v>0.85345860313851374</v>
      </c>
      <c r="M1383" s="24">
        <f>Data!M1383</f>
        <v>111914336371</v>
      </c>
      <c r="N1383" s="24">
        <f t="shared" si="172"/>
        <v>2815578393095</v>
      </c>
      <c r="O1383" s="25">
        <f t="shared" si="173"/>
        <v>0.26710829371950812</v>
      </c>
      <c r="P1383" s="24">
        <f>Data!K1383</f>
        <v>861079475415</v>
      </c>
      <c r="Q1383" s="24">
        <f>Data!I1383</f>
        <v>1954498917680</v>
      </c>
      <c r="R1383" s="25">
        <f t="shared" si="174"/>
        <v>0.4625909183203647</v>
      </c>
      <c r="S1383" s="25">
        <f t="shared" si="175"/>
        <v>4.3857263650326033</v>
      </c>
    </row>
    <row r="1384" spans="1:19" ht="15" customHeight="1" x14ac:dyDescent="0.3">
      <c r="A1384" s="22"/>
      <c r="B1384" s="23"/>
      <c r="C1384" s="2"/>
      <c r="D1384" s="23">
        <v>2021</v>
      </c>
      <c r="E1384" s="24">
        <f>Data!F1384</f>
        <v>1409132646014</v>
      </c>
      <c r="F1384" s="24">
        <f>Data!H1384</f>
        <v>185565438936</v>
      </c>
      <c r="G1384" s="24">
        <f t="shared" si="168"/>
        <v>1223567207078</v>
      </c>
      <c r="H1384" s="24">
        <f>Data!G1384</f>
        <v>2923286260687</v>
      </c>
      <c r="I1384" s="25">
        <f t="shared" si="169"/>
        <v>2.7457457678282089</v>
      </c>
      <c r="J1384" s="24">
        <f>Data!J1384</f>
        <v>797497962705</v>
      </c>
      <c r="K1384" s="24">
        <f t="shared" si="170"/>
        <v>2923286260687</v>
      </c>
      <c r="L1384" s="25">
        <f t="shared" si="171"/>
        <v>0.88935640459901855</v>
      </c>
      <c r="M1384" s="24">
        <f>Data!M1384</f>
        <v>147263305972</v>
      </c>
      <c r="N1384" s="24">
        <f t="shared" si="172"/>
        <v>2923286260687</v>
      </c>
      <c r="O1384" s="25">
        <f t="shared" si="173"/>
        <v>0.33852634599639664</v>
      </c>
      <c r="P1384" s="24">
        <f>Data!K1384</f>
        <v>871834713331</v>
      </c>
      <c r="Q1384" s="24">
        <f>Data!I1384</f>
        <v>2051451547356</v>
      </c>
      <c r="R1384" s="25">
        <f t="shared" si="174"/>
        <v>0.44623352190666726</v>
      </c>
      <c r="S1384" s="25">
        <f t="shared" si="175"/>
        <v>4.4198620403302913</v>
      </c>
    </row>
    <row r="1385" spans="1:19" ht="15" customHeight="1" x14ac:dyDescent="0.3">
      <c r="A1385" s="22"/>
      <c r="B1385" s="23"/>
      <c r="C1385" s="2"/>
      <c r="D1385" s="23">
        <v>2022</v>
      </c>
      <c r="E1385" s="24">
        <f>Data!F1385</f>
        <v>1628784804900</v>
      </c>
      <c r="F1385" s="24">
        <f>Data!H1385</f>
        <v>179127901433</v>
      </c>
      <c r="G1385" s="24">
        <f t="shared" si="168"/>
        <v>1449656903467</v>
      </c>
      <c r="H1385" s="24">
        <f>Data!G1385</f>
        <v>2930664711078</v>
      </c>
      <c r="I1385" s="25">
        <f t="shared" si="169"/>
        <v>3.2449120674898029</v>
      </c>
      <c r="J1385" s="24">
        <f>Data!J1385</f>
        <v>743275106634</v>
      </c>
      <c r="K1385" s="24">
        <f t="shared" si="170"/>
        <v>2930664711078</v>
      </c>
      <c r="L1385" s="25">
        <f t="shared" si="171"/>
        <v>0.82680111391369238</v>
      </c>
      <c r="M1385" s="24">
        <f>Data!M1385</f>
        <v>98598182213</v>
      </c>
      <c r="N1385" s="24">
        <f t="shared" si="172"/>
        <v>2930664711078</v>
      </c>
      <c r="O1385" s="25">
        <f t="shared" si="173"/>
        <v>0.22608515466364631</v>
      </c>
      <c r="P1385" s="24">
        <f>Data!K1385</f>
        <v>730148693223</v>
      </c>
      <c r="Q1385" s="24">
        <f>Data!I1385</f>
        <v>2200516017855</v>
      </c>
      <c r="R1385" s="25">
        <f t="shared" si="174"/>
        <v>0.34839834005455883</v>
      </c>
      <c r="S1385" s="25">
        <f t="shared" si="175"/>
        <v>4.6461966761217015</v>
      </c>
    </row>
    <row r="1386" spans="1:19" ht="15" customHeight="1" x14ac:dyDescent="0.3">
      <c r="A1386" s="22"/>
      <c r="B1386" s="23"/>
      <c r="C1386" s="2"/>
      <c r="D1386" s="23">
        <v>2023</v>
      </c>
      <c r="E1386" s="24">
        <f>Data!F1386</f>
        <v>1369640025579</v>
      </c>
      <c r="F1386" s="24">
        <f>Data!H1386</f>
        <v>228522158103</v>
      </c>
      <c r="G1386" s="24">
        <f t="shared" si="168"/>
        <v>1141117867476</v>
      </c>
      <c r="H1386" s="24">
        <f>Data!G1386</f>
        <v>2769428113972</v>
      </c>
      <c r="I1386" s="25">
        <f t="shared" si="169"/>
        <v>2.7029888130608626</v>
      </c>
      <c r="J1386" s="24">
        <f>Data!J1386</f>
        <v>647389769909</v>
      </c>
      <c r="K1386" s="24">
        <f t="shared" si="170"/>
        <v>2769428113972</v>
      </c>
      <c r="L1386" s="25">
        <f t="shared" si="171"/>
        <v>0.76206731608440581</v>
      </c>
      <c r="M1386" s="24">
        <f>Data!M1386</f>
        <v>14873855445</v>
      </c>
      <c r="N1386" s="24">
        <f t="shared" si="172"/>
        <v>2769428113972</v>
      </c>
      <c r="O1386" s="25">
        <f t="shared" si="173"/>
        <v>3.6091317223990074E-2</v>
      </c>
      <c r="P1386" s="24">
        <f>Data!K1386</f>
        <v>843744702806</v>
      </c>
      <c r="Q1386" s="24">
        <f>Data!I1386</f>
        <v>1925683411166</v>
      </c>
      <c r="R1386" s="25">
        <f t="shared" si="174"/>
        <v>0.46006105303148914</v>
      </c>
      <c r="S1386" s="25">
        <f t="shared" si="175"/>
        <v>3.9612084994007475</v>
      </c>
    </row>
    <row r="1387" spans="1:19" ht="15" customHeight="1" x14ac:dyDescent="0.3">
      <c r="A1387" s="22"/>
      <c r="B1387" s="23"/>
      <c r="C1387" s="2"/>
      <c r="D1387" s="23">
        <v>2024</v>
      </c>
      <c r="E1387" s="24">
        <f>Data!F1387</f>
        <v>1484560450946</v>
      </c>
      <c r="F1387" s="24">
        <f>Data!H1387</f>
        <v>411988350113</v>
      </c>
      <c r="G1387" s="24">
        <f t="shared" si="168"/>
        <v>1072572100833</v>
      </c>
      <c r="H1387" s="24">
        <f>Data!G1387</f>
        <v>3074044644967</v>
      </c>
      <c r="I1387" s="25">
        <f t="shared" si="169"/>
        <v>2.288864930112299</v>
      </c>
      <c r="J1387" s="24">
        <f>Data!J1387</f>
        <v>701564114582</v>
      </c>
      <c r="K1387" s="24">
        <f t="shared" si="170"/>
        <v>3074044644967</v>
      </c>
      <c r="L1387" s="25">
        <f t="shared" si="171"/>
        <v>0.74400318722822978</v>
      </c>
      <c r="M1387" s="24">
        <f>Data!M1387</f>
        <v>74825374884</v>
      </c>
      <c r="N1387" s="24">
        <f t="shared" si="172"/>
        <v>3074044644967</v>
      </c>
      <c r="O1387" s="25">
        <f t="shared" si="173"/>
        <v>0.16357163844179556</v>
      </c>
      <c r="P1387" s="24">
        <f>Data!K1387</f>
        <v>893803986316</v>
      </c>
      <c r="Q1387" s="24">
        <f>Data!I1387</f>
        <v>2180240658651</v>
      </c>
      <c r="R1387" s="25">
        <f t="shared" si="174"/>
        <v>0.43045440048461581</v>
      </c>
      <c r="S1387" s="25">
        <f t="shared" si="175"/>
        <v>3.6268941562669403</v>
      </c>
    </row>
    <row r="1388" spans="1:19" ht="15" customHeight="1" x14ac:dyDescent="0.3">
      <c r="A1388" s="22"/>
      <c r="B1388" s="23">
        <v>127</v>
      </c>
      <c r="C1388" s="2" t="s">
        <v>112</v>
      </c>
      <c r="D1388" s="23">
        <v>2014</v>
      </c>
      <c r="E1388" s="24">
        <f>Data!F1388</f>
        <v>0</v>
      </c>
      <c r="F1388" s="24">
        <f>Data!H1388</f>
        <v>0</v>
      </c>
      <c r="G1388" s="24">
        <f t="shared" si="168"/>
        <v>0</v>
      </c>
      <c r="H1388" s="24">
        <f>Data!G1388</f>
        <v>0</v>
      </c>
      <c r="I1388" s="25">
        <f t="shared" si="169"/>
        <v>0</v>
      </c>
      <c r="J1388" s="24">
        <f>Data!J1388</f>
        <v>0</v>
      </c>
      <c r="K1388" s="24">
        <f t="shared" si="170"/>
        <v>0</v>
      </c>
      <c r="L1388" s="25">
        <f t="shared" si="171"/>
        <v>0</v>
      </c>
      <c r="M1388" s="24">
        <f>Data!M1388</f>
        <v>0</v>
      </c>
      <c r="N1388" s="24">
        <f t="shared" si="172"/>
        <v>0</v>
      </c>
      <c r="O1388" s="25">
        <f t="shared" si="173"/>
        <v>0</v>
      </c>
      <c r="P1388" s="24">
        <f>Data!K1388</f>
        <v>0</v>
      </c>
      <c r="Q1388" s="24">
        <f>Data!I1388</f>
        <v>0</v>
      </c>
      <c r="R1388" s="25">
        <f t="shared" si="174"/>
        <v>0</v>
      </c>
      <c r="S1388" s="25">
        <f t="shared" si="175"/>
        <v>0</v>
      </c>
    </row>
    <row r="1389" spans="1:19" ht="15" customHeight="1" x14ac:dyDescent="0.3">
      <c r="A1389" s="22"/>
      <c r="B1389" s="23"/>
      <c r="C1389" s="2"/>
      <c r="D1389" s="23">
        <v>2015</v>
      </c>
      <c r="E1389" s="24">
        <f>Data!F1389</f>
        <v>0</v>
      </c>
      <c r="F1389" s="24">
        <f>Data!H1389</f>
        <v>0</v>
      </c>
      <c r="G1389" s="24">
        <f t="shared" si="168"/>
        <v>0</v>
      </c>
      <c r="H1389" s="24">
        <f>Data!G1389</f>
        <v>0</v>
      </c>
      <c r="I1389" s="25">
        <f t="shared" si="169"/>
        <v>0</v>
      </c>
      <c r="J1389" s="24">
        <f>Data!J1389</f>
        <v>0</v>
      </c>
      <c r="K1389" s="24">
        <f t="shared" si="170"/>
        <v>0</v>
      </c>
      <c r="L1389" s="25">
        <f t="shared" si="171"/>
        <v>0</v>
      </c>
      <c r="M1389" s="24">
        <f>Data!M1389</f>
        <v>0</v>
      </c>
      <c r="N1389" s="24">
        <f t="shared" si="172"/>
        <v>0</v>
      </c>
      <c r="O1389" s="25">
        <f t="shared" si="173"/>
        <v>0</v>
      </c>
      <c r="P1389" s="24">
        <f>Data!K1389</f>
        <v>0</v>
      </c>
      <c r="Q1389" s="24">
        <f>Data!I1389</f>
        <v>0</v>
      </c>
      <c r="R1389" s="25">
        <f t="shared" si="174"/>
        <v>0</v>
      </c>
      <c r="S1389" s="25">
        <f t="shared" si="175"/>
        <v>0</v>
      </c>
    </row>
    <row r="1390" spans="1:19" ht="15" customHeight="1" x14ac:dyDescent="0.3">
      <c r="A1390" s="22"/>
      <c r="B1390" s="23"/>
      <c r="C1390" s="2"/>
      <c r="D1390" s="23">
        <v>2016</v>
      </c>
      <c r="E1390" s="24">
        <f>Data!F1390</f>
        <v>129181084708</v>
      </c>
      <c r="F1390" s="24">
        <f>Data!H1390</f>
        <v>161242670434</v>
      </c>
      <c r="G1390" s="24">
        <f t="shared" si="168"/>
        <v>-32061585726</v>
      </c>
      <c r="H1390" s="24">
        <f>Data!G1390</f>
        <v>276987702218</v>
      </c>
      <c r="I1390" s="25">
        <f t="shared" si="169"/>
        <v>-0.75932613859162201</v>
      </c>
      <c r="J1390" s="24">
        <f>Data!J1390</f>
        <v>-20488548031</v>
      </c>
      <c r="K1390" s="24">
        <f t="shared" si="170"/>
        <v>276987702218</v>
      </c>
      <c r="L1390" s="25">
        <f t="shared" si="171"/>
        <v>-0.24113946592651103</v>
      </c>
      <c r="M1390" s="24">
        <f>Data!M1390</f>
        <v>-7022682602</v>
      </c>
      <c r="N1390" s="24">
        <f t="shared" si="172"/>
        <v>276987702218</v>
      </c>
      <c r="O1390" s="25">
        <f t="shared" si="173"/>
        <v>-0.17037733699923521</v>
      </c>
      <c r="P1390" s="24">
        <f>Data!K1390</f>
        <v>112976073028</v>
      </c>
      <c r="Q1390" s="24">
        <f>Data!I1390</f>
        <v>164011629160</v>
      </c>
      <c r="R1390" s="25">
        <f t="shared" si="174"/>
        <v>0.72327113197367621</v>
      </c>
      <c r="S1390" s="25">
        <f t="shared" si="175"/>
        <v>-0.44757180954369202</v>
      </c>
    </row>
    <row r="1391" spans="1:19" ht="15" customHeight="1" x14ac:dyDescent="0.3">
      <c r="A1391" s="22"/>
      <c r="B1391" s="23"/>
      <c r="C1391" s="2"/>
      <c r="D1391" s="23">
        <v>2017</v>
      </c>
      <c r="E1391" s="24">
        <f>Data!F1391</f>
        <v>112101888325</v>
      </c>
      <c r="F1391" s="24">
        <f>Data!H1391</f>
        <v>162798436027</v>
      </c>
      <c r="G1391" s="24">
        <f t="shared" si="168"/>
        <v>-50696547702</v>
      </c>
      <c r="H1391" s="24">
        <f>Data!G1391</f>
        <v>299619149119</v>
      </c>
      <c r="I1391" s="25">
        <f t="shared" si="169"/>
        <v>-1.1099736245263587</v>
      </c>
      <c r="J1391" s="24">
        <f>Data!J1391</f>
        <v>-23772281779</v>
      </c>
      <c r="K1391" s="24">
        <f t="shared" si="170"/>
        <v>299619149119</v>
      </c>
      <c r="L1391" s="25">
        <f t="shared" si="171"/>
        <v>-0.25865382378734475</v>
      </c>
      <c r="M1391" s="24">
        <f>Data!M1391</f>
        <v>-3148036366</v>
      </c>
      <c r="N1391" s="24">
        <f t="shared" si="172"/>
        <v>299619149119</v>
      </c>
      <c r="O1391" s="25">
        <f t="shared" si="173"/>
        <v>-7.0605648676740379E-2</v>
      </c>
      <c r="P1391" s="24">
        <f>Data!K1391</f>
        <v>133833728557</v>
      </c>
      <c r="Q1391" s="24">
        <f>Data!I1391</f>
        <v>165785420562</v>
      </c>
      <c r="R1391" s="25">
        <f t="shared" si="174"/>
        <v>0.84763433665324428</v>
      </c>
      <c r="S1391" s="25">
        <f t="shared" si="175"/>
        <v>-0.5915987603371996</v>
      </c>
    </row>
    <row r="1392" spans="1:19" ht="15" customHeight="1" x14ac:dyDescent="0.3">
      <c r="A1392" s="22"/>
      <c r="B1392" s="23"/>
      <c r="C1392" s="2"/>
      <c r="D1392" s="23">
        <v>2018</v>
      </c>
      <c r="E1392" s="24">
        <f>Data!F1392</f>
        <v>142291774484</v>
      </c>
      <c r="F1392" s="24">
        <f>Data!H1392</f>
        <v>188199261248</v>
      </c>
      <c r="G1392" s="24">
        <f t="shared" si="168"/>
        <v>-45907486764</v>
      </c>
      <c r="H1392" s="24">
        <f>Data!G1392</f>
        <v>320972898768</v>
      </c>
      <c r="I1392" s="25">
        <f t="shared" si="169"/>
        <v>-0.93825090631565822</v>
      </c>
      <c r="J1392" s="24">
        <f>Data!J1392</f>
        <v>-25757241600</v>
      </c>
      <c r="K1392" s="24">
        <f t="shared" si="170"/>
        <v>320972898768</v>
      </c>
      <c r="L1392" s="25">
        <f t="shared" si="171"/>
        <v>-0.26160653419120194</v>
      </c>
      <c r="M1392" s="24">
        <f>Data!M1392</f>
        <v>-1655851633</v>
      </c>
      <c r="N1392" s="24">
        <f t="shared" si="172"/>
        <v>320972898768</v>
      </c>
      <c r="O1392" s="25">
        <f t="shared" si="173"/>
        <v>-3.4667484440182771E-2</v>
      </c>
      <c r="P1392" s="24">
        <f>Data!K1392</f>
        <v>129279805953</v>
      </c>
      <c r="Q1392" s="24">
        <f>Data!I1392</f>
        <v>191693092815</v>
      </c>
      <c r="R1392" s="25">
        <f t="shared" si="174"/>
        <v>0.70813086823975568</v>
      </c>
      <c r="S1392" s="25">
        <f t="shared" si="175"/>
        <v>-0.52639405670728723</v>
      </c>
    </row>
    <row r="1393" spans="1:19" ht="15" customHeight="1" x14ac:dyDescent="0.3">
      <c r="A1393" s="22"/>
      <c r="B1393" s="23"/>
      <c r="C1393" s="2"/>
      <c r="D1393" s="23">
        <v>2019</v>
      </c>
      <c r="E1393" s="24">
        <f>Data!F1393</f>
        <v>240358759286</v>
      </c>
      <c r="F1393" s="24">
        <f>Data!H1393</f>
        <v>289450158711</v>
      </c>
      <c r="G1393" s="24">
        <f t="shared" si="168"/>
        <v>-49091399425</v>
      </c>
      <c r="H1393" s="24">
        <f>Data!G1393</f>
        <v>423659163508</v>
      </c>
      <c r="I1393" s="25">
        <f t="shared" si="169"/>
        <v>-0.76013835641234484</v>
      </c>
      <c r="J1393" s="24">
        <f>Data!J1393</f>
        <v>-25128153359</v>
      </c>
      <c r="K1393" s="24">
        <f t="shared" si="170"/>
        <v>423659163508</v>
      </c>
      <c r="L1393" s="25">
        <f t="shared" si="171"/>
        <v>-0.1933577436919835</v>
      </c>
      <c r="M1393" s="24">
        <f>Data!M1393</f>
        <v>3187643057</v>
      </c>
      <c r="N1393" s="24">
        <f t="shared" si="172"/>
        <v>423659163508</v>
      </c>
      <c r="O1393" s="25">
        <f t="shared" si="173"/>
        <v>5.0561779817694191E-2</v>
      </c>
      <c r="P1393" s="24">
        <f>Data!K1393</f>
        <v>130312057303</v>
      </c>
      <c r="Q1393" s="24">
        <f>Data!I1393</f>
        <v>293347106205</v>
      </c>
      <c r="R1393" s="25">
        <f t="shared" si="174"/>
        <v>0.46643603183366877</v>
      </c>
      <c r="S1393" s="25">
        <f t="shared" si="175"/>
        <v>-0.43649828845296534</v>
      </c>
    </row>
    <row r="1394" spans="1:19" ht="15" customHeight="1" x14ac:dyDescent="0.3">
      <c r="A1394" s="22"/>
      <c r="B1394" s="23"/>
      <c r="C1394" s="2"/>
      <c r="D1394" s="23">
        <v>2020</v>
      </c>
      <c r="E1394" s="24">
        <f>Data!F1394</f>
        <v>414255729364</v>
      </c>
      <c r="F1394" s="24">
        <f>Data!H1394</f>
        <v>410346088642</v>
      </c>
      <c r="G1394" s="24">
        <f t="shared" si="168"/>
        <v>3909640722</v>
      </c>
      <c r="H1394" s="24">
        <f>Data!G1394</f>
        <v>551011466072</v>
      </c>
      <c r="I1394" s="25">
        <f t="shared" si="169"/>
        <v>4.654575215857433E-2</v>
      </c>
      <c r="J1394" s="24">
        <f>Data!J1394</f>
        <v>-22108056505</v>
      </c>
      <c r="K1394" s="24">
        <f t="shared" si="170"/>
        <v>551011466072</v>
      </c>
      <c r="L1394" s="25">
        <f t="shared" si="171"/>
        <v>-0.13079993547154678</v>
      </c>
      <c r="M1394" s="24">
        <f>Data!M1394</f>
        <v>7196919909</v>
      </c>
      <c r="N1394" s="24">
        <f t="shared" si="172"/>
        <v>551011466072</v>
      </c>
      <c r="O1394" s="25">
        <f t="shared" si="173"/>
        <v>8.7771860961892267E-2</v>
      </c>
      <c r="P1394" s="24">
        <f>Data!K1394</f>
        <v>133609520780</v>
      </c>
      <c r="Q1394" s="24">
        <f>Data!I1394</f>
        <v>417401945292</v>
      </c>
      <c r="R1394" s="25">
        <f t="shared" si="174"/>
        <v>0.33610288212925787</v>
      </c>
      <c r="S1394" s="25">
        <f t="shared" si="175"/>
        <v>0.33962055977817768</v>
      </c>
    </row>
    <row r="1395" spans="1:19" ht="15" customHeight="1" x14ac:dyDescent="0.3">
      <c r="A1395" s="22"/>
      <c r="B1395" s="23"/>
      <c r="C1395" s="2"/>
      <c r="D1395" s="23">
        <v>2021</v>
      </c>
      <c r="E1395" s="24">
        <f>Data!F1395</f>
        <v>361996076736</v>
      </c>
      <c r="F1395" s="24">
        <f>Data!H1395</f>
        <v>390939931019</v>
      </c>
      <c r="G1395" s="24">
        <f t="shared" si="168"/>
        <v>-28943854283</v>
      </c>
      <c r="H1395" s="24">
        <f>Data!G1395</f>
        <v>534962808558</v>
      </c>
      <c r="I1395" s="25">
        <f t="shared" si="169"/>
        <v>-0.35492501732649767</v>
      </c>
      <c r="J1395" s="24">
        <f>Data!J1395</f>
        <v>-18264152440</v>
      </c>
      <c r="K1395" s="24">
        <f t="shared" si="170"/>
        <v>534962808558</v>
      </c>
      <c r="L1395" s="25">
        <f t="shared" si="171"/>
        <v>-0.11129958195578865</v>
      </c>
      <c r="M1395" s="24">
        <f>Data!M1395</f>
        <v>5774173284</v>
      </c>
      <c r="N1395" s="24">
        <f t="shared" si="172"/>
        <v>534962808558</v>
      </c>
      <c r="O1395" s="25">
        <f t="shared" si="173"/>
        <v>7.2532975840082323E-2</v>
      </c>
      <c r="P1395" s="24">
        <f>Data!K1395</f>
        <v>137464258240</v>
      </c>
      <c r="Q1395" s="24">
        <f>Data!I1395</f>
        <v>397498550318</v>
      </c>
      <c r="R1395" s="25">
        <f t="shared" si="174"/>
        <v>0.36311445925156111</v>
      </c>
      <c r="S1395" s="25">
        <f t="shared" si="175"/>
        <v>-3.057716419064288E-2</v>
      </c>
    </row>
    <row r="1396" spans="1:19" ht="15" customHeight="1" x14ac:dyDescent="0.3">
      <c r="A1396" s="22"/>
      <c r="B1396" s="23"/>
      <c r="C1396" s="2"/>
      <c r="D1396" s="23">
        <v>2022</v>
      </c>
      <c r="E1396" s="24">
        <f>Data!F1396</f>
        <v>651938292154</v>
      </c>
      <c r="F1396" s="24">
        <f>Data!H1396</f>
        <v>743554380337</v>
      </c>
      <c r="G1396" s="24">
        <f t="shared" si="168"/>
        <v>-91616088183</v>
      </c>
      <c r="H1396" s="24">
        <f>Data!G1396</f>
        <v>989741834422</v>
      </c>
      <c r="I1396" s="25">
        <f t="shared" si="169"/>
        <v>-0.6072306106283355</v>
      </c>
      <c r="J1396" s="24">
        <f>Data!J1396</f>
        <v>-59821509239</v>
      </c>
      <c r="K1396" s="24">
        <f t="shared" si="170"/>
        <v>989741834422</v>
      </c>
      <c r="L1396" s="25">
        <f t="shared" si="171"/>
        <v>-0.19703938273259788</v>
      </c>
      <c r="M1396" s="24">
        <f>Data!M1396</f>
        <v>-10832133545</v>
      </c>
      <c r="N1396" s="24">
        <f t="shared" si="172"/>
        <v>989741834422</v>
      </c>
      <c r="O1396" s="25">
        <f t="shared" si="173"/>
        <v>-7.3546388452812861E-2</v>
      </c>
      <c r="P1396" s="24">
        <f>Data!K1396</f>
        <v>240017769070</v>
      </c>
      <c r="Q1396" s="24">
        <f>Data!I1396</f>
        <v>749724065352</v>
      </c>
      <c r="R1396" s="25">
        <f t="shared" si="174"/>
        <v>0.33614855007378713</v>
      </c>
      <c r="S1396" s="25">
        <f t="shared" si="175"/>
        <v>-0.54166783173995925</v>
      </c>
    </row>
    <row r="1397" spans="1:19" ht="15" customHeight="1" x14ac:dyDescent="0.3">
      <c r="A1397" s="22"/>
      <c r="B1397" s="23"/>
      <c r="C1397" s="2"/>
      <c r="D1397" s="23">
        <v>2023</v>
      </c>
      <c r="E1397" s="24">
        <f>Data!F1397</f>
        <v>1142385038315</v>
      </c>
      <c r="F1397" s="24">
        <f>Data!H1397</f>
        <v>1335373820430</v>
      </c>
      <c r="G1397" s="24">
        <f t="shared" si="168"/>
        <v>-192988782115</v>
      </c>
      <c r="H1397" s="24">
        <f>Data!G1397</f>
        <v>1627392898057</v>
      </c>
      <c r="I1397" s="25">
        <f t="shared" si="169"/>
        <v>-0.77793531739380717</v>
      </c>
      <c r="J1397" s="24">
        <f>Data!J1397</f>
        <v>-14004912639</v>
      </c>
      <c r="K1397" s="24">
        <f t="shared" si="170"/>
        <v>1627392898057</v>
      </c>
      <c r="L1397" s="25">
        <f t="shared" si="171"/>
        <v>-2.8054697336857171E-2</v>
      </c>
      <c r="M1397" s="24">
        <f>Data!M1397</f>
        <v>11068775122</v>
      </c>
      <c r="N1397" s="24">
        <f t="shared" si="172"/>
        <v>1627392898057</v>
      </c>
      <c r="O1397" s="25">
        <f t="shared" si="173"/>
        <v>4.570633736244481E-2</v>
      </c>
      <c r="P1397" s="24">
        <f>Data!K1397</f>
        <v>280683357404</v>
      </c>
      <c r="Q1397" s="24">
        <f>Data!I1397</f>
        <v>1346709540653</v>
      </c>
      <c r="R1397" s="25">
        <f t="shared" si="174"/>
        <v>0.21884268016048639</v>
      </c>
      <c r="S1397" s="25">
        <f t="shared" si="175"/>
        <v>-0.5414409972077332</v>
      </c>
    </row>
    <row r="1398" spans="1:19" ht="15" customHeight="1" x14ac:dyDescent="0.3">
      <c r="A1398" s="22"/>
      <c r="B1398" s="23"/>
      <c r="C1398" s="2"/>
      <c r="D1398" s="23">
        <v>2024</v>
      </c>
      <c r="E1398" s="24">
        <f>Data!F1398</f>
        <v>2003301893429</v>
      </c>
      <c r="F1398" s="24">
        <f>Data!H1398</f>
        <v>2193903042948</v>
      </c>
      <c r="G1398" s="24">
        <f t="shared" si="168"/>
        <v>-190601149519</v>
      </c>
      <c r="H1398" s="24">
        <f>Data!G1398</f>
        <v>2562013170057</v>
      </c>
      <c r="I1398" s="25">
        <f t="shared" si="169"/>
        <v>-0.48803166020291078</v>
      </c>
      <c r="J1398" s="24">
        <f>Data!J1398</f>
        <v>61505285897</v>
      </c>
      <c r="K1398" s="24">
        <f t="shared" si="170"/>
        <v>2562013170057</v>
      </c>
      <c r="L1398" s="25">
        <f t="shared" si="171"/>
        <v>7.8261593018961365E-2</v>
      </c>
      <c r="M1398" s="24">
        <f>Data!M1398</f>
        <v>89164089727</v>
      </c>
      <c r="N1398" s="24">
        <f t="shared" si="172"/>
        <v>2562013170057</v>
      </c>
      <c r="O1398" s="25">
        <f t="shared" si="173"/>
        <v>0.23387182000789999</v>
      </c>
      <c r="P1398" s="24">
        <f>Data!K1398</f>
        <v>356193557442</v>
      </c>
      <c r="Q1398" s="24">
        <f>Data!I1398</f>
        <v>2205819612615</v>
      </c>
      <c r="R1398" s="25">
        <f t="shared" si="174"/>
        <v>0.1695529558152396</v>
      </c>
      <c r="S1398" s="25">
        <f t="shared" si="175"/>
        <v>-6.3452913608098294E-3</v>
      </c>
    </row>
    <row r="1399" spans="1:19" ht="15" customHeight="1" x14ac:dyDescent="0.3">
      <c r="A1399" s="22"/>
      <c r="B1399" s="23">
        <v>128</v>
      </c>
      <c r="C1399" s="2" t="s">
        <v>92</v>
      </c>
      <c r="D1399" s="23">
        <v>2014</v>
      </c>
      <c r="E1399" s="24">
        <f>Data!F1399</f>
        <v>0</v>
      </c>
      <c r="F1399" s="24">
        <f>Data!H1399</f>
        <v>0</v>
      </c>
      <c r="G1399" s="24">
        <f t="shared" si="168"/>
        <v>0</v>
      </c>
      <c r="H1399" s="24">
        <f>Data!G1399</f>
        <v>0</v>
      </c>
      <c r="I1399" s="25">
        <f t="shared" si="169"/>
        <v>0</v>
      </c>
      <c r="J1399" s="24">
        <f>Data!J1399</f>
        <v>0</v>
      </c>
      <c r="K1399" s="24">
        <f t="shared" si="170"/>
        <v>0</v>
      </c>
      <c r="L1399" s="25">
        <f t="shared" si="171"/>
        <v>0</v>
      </c>
      <c r="M1399" s="24">
        <f>Data!M1399</f>
        <v>0</v>
      </c>
      <c r="N1399" s="24">
        <f t="shared" si="172"/>
        <v>0</v>
      </c>
      <c r="O1399" s="25">
        <f t="shared" si="173"/>
        <v>0</v>
      </c>
      <c r="P1399" s="24">
        <f>Data!K1399</f>
        <v>0</v>
      </c>
      <c r="Q1399" s="24">
        <f>Data!I1399</f>
        <v>0</v>
      </c>
      <c r="R1399" s="25">
        <f t="shared" si="174"/>
        <v>0</v>
      </c>
      <c r="S1399" s="25">
        <f t="shared" si="175"/>
        <v>0</v>
      </c>
    </row>
    <row r="1400" spans="1:19" ht="15" customHeight="1" x14ac:dyDescent="0.3">
      <c r="A1400" s="22"/>
      <c r="B1400" s="23"/>
      <c r="C1400" s="2"/>
      <c r="D1400" s="23">
        <v>2015</v>
      </c>
      <c r="E1400" s="24">
        <f>Data!F1400</f>
        <v>0</v>
      </c>
      <c r="F1400" s="24">
        <f>Data!H1400</f>
        <v>0</v>
      </c>
      <c r="G1400" s="24">
        <f t="shared" si="168"/>
        <v>0</v>
      </c>
      <c r="H1400" s="24">
        <f>Data!G1400</f>
        <v>0</v>
      </c>
      <c r="I1400" s="25">
        <f t="shared" si="169"/>
        <v>0</v>
      </c>
      <c r="J1400" s="24">
        <f>Data!J1400</f>
        <v>0</v>
      </c>
      <c r="K1400" s="24">
        <f t="shared" si="170"/>
        <v>0</v>
      </c>
      <c r="L1400" s="25">
        <f t="shared" si="171"/>
        <v>0</v>
      </c>
      <c r="M1400" s="24">
        <f>Data!M1400</f>
        <v>0</v>
      </c>
      <c r="N1400" s="24">
        <f t="shared" si="172"/>
        <v>0</v>
      </c>
      <c r="O1400" s="25">
        <f t="shared" si="173"/>
        <v>0</v>
      </c>
      <c r="P1400" s="24">
        <f>Data!K1400</f>
        <v>0</v>
      </c>
      <c r="Q1400" s="24">
        <f>Data!I1400</f>
        <v>0</v>
      </c>
      <c r="R1400" s="25">
        <f t="shared" si="174"/>
        <v>0</v>
      </c>
      <c r="S1400" s="25">
        <f t="shared" si="175"/>
        <v>0</v>
      </c>
    </row>
    <row r="1401" spans="1:19" ht="15" customHeight="1" x14ac:dyDescent="0.3">
      <c r="A1401" s="22"/>
      <c r="B1401" s="23"/>
      <c r="C1401" s="2"/>
      <c r="D1401" s="23">
        <v>2016</v>
      </c>
      <c r="E1401" s="24">
        <f>Data!F1401</f>
        <v>0</v>
      </c>
      <c r="F1401" s="24">
        <f>Data!H1401</f>
        <v>0</v>
      </c>
      <c r="G1401" s="24">
        <f t="shared" si="168"/>
        <v>0</v>
      </c>
      <c r="H1401" s="24">
        <f>Data!G1401</f>
        <v>0</v>
      </c>
      <c r="I1401" s="25">
        <f t="shared" si="169"/>
        <v>0</v>
      </c>
      <c r="J1401" s="24">
        <f>Data!J1401</f>
        <v>0</v>
      </c>
      <c r="K1401" s="24">
        <f t="shared" si="170"/>
        <v>0</v>
      </c>
      <c r="L1401" s="25">
        <f t="shared" si="171"/>
        <v>0</v>
      </c>
      <c r="M1401" s="24">
        <f>Data!M1401</f>
        <v>0</v>
      </c>
      <c r="N1401" s="24">
        <f t="shared" si="172"/>
        <v>0</v>
      </c>
      <c r="O1401" s="25">
        <f t="shared" si="173"/>
        <v>0</v>
      </c>
      <c r="P1401" s="24">
        <f>Data!K1401</f>
        <v>0</v>
      </c>
      <c r="Q1401" s="24">
        <f>Data!I1401</f>
        <v>0</v>
      </c>
      <c r="R1401" s="25">
        <f t="shared" si="174"/>
        <v>0</v>
      </c>
      <c r="S1401" s="25">
        <f t="shared" si="175"/>
        <v>0</v>
      </c>
    </row>
    <row r="1402" spans="1:19" ht="15" customHeight="1" x14ac:dyDescent="0.3">
      <c r="A1402" s="22"/>
      <c r="B1402" s="23"/>
      <c r="C1402" s="2"/>
      <c r="D1402" s="23">
        <v>2017</v>
      </c>
      <c r="E1402" s="24">
        <f>Data!F1402</f>
        <v>0</v>
      </c>
      <c r="F1402" s="24">
        <f>Data!H1402</f>
        <v>0</v>
      </c>
      <c r="G1402" s="24">
        <f t="shared" si="168"/>
        <v>0</v>
      </c>
      <c r="H1402" s="24">
        <f>Data!G1402</f>
        <v>0</v>
      </c>
      <c r="I1402" s="25">
        <f t="shared" si="169"/>
        <v>0</v>
      </c>
      <c r="J1402" s="24">
        <f>Data!J1402</f>
        <v>0</v>
      </c>
      <c r="K1402" s="24">
        <f t="shared" si="170"/>
        <v>0</v>
      </c>
      <c r="L1402" s="25">
        <f t="shared" si="171"/>
        <v>0</v>
      </c>
      <c r="M1402" s="24">
        <f>Data!M1402</f>
        <v>0</v>
      </c>
      <c r="N1402" s="24">
        <f t="shared" si="172"/>
        <v>0</v>
      </c>
      <c r="O1402" s="25">
        <f t="shared" si="173"/>
        <v>0</v>
      </c>
      <c r="P1402" s="24">
        <f>Data!K1402</f>
        <v>0</v>
      </c>
      <c r="Q1402" s="24">
        <f>Data!I1402</f>
        <v>0</v>
      </c>
      <c r="R1402" s="25">
        <f t="shared" si="174"/>
        <v>0</v>
      </c>
      <c r="S1402" s="25">
        <f t="shared" si="175"/>
        <v>0</v>
      </c>
    </row>
    <row r="1403" spans="1:19" ht="15" customHeight="1" x14ac:dyDescent="0.3">
      <c r="A1403" s="22"/>
      <c r="B1403" s="23"/>
      <c r="C1403" s="2"/>
      <c r="D1403" s="23">
        <v>2018</v>
      </c>
      <c r="E1403" s="24">
        <f>Data!F1403</f>
        <v>169814000000</v>
      </c>
      <c r="F1403" s="24">
        <f>Data!H1403</f>
        <v>56857000000</v>
      </c>
      <c r="G1403" s="24">
        <f t="shared" si="168"/>
        <v>112957000000</v>
      </c>
      <c r="H1403" s="24">
        <f>Data!G1403</f>
        <v>351591000000</v>
      </c>
      <c r="I1403" s="25">
        <f t="shared" si="169"/>
        <v>2.1075565643034091</v>
      </c>
      <c r="J1403" s="24">
        <f>Data!J1403</f>
        <v>118928000000</v>
      </c>
      <c r="K1403" s="24">
        <f t="shared" si="170"/>
        <v>351591000000</v>
      </c>
      <c r="L1403" s="25">
        <f t="shared" si="171"/>
        <v>1.1027167362076957</v>
      </c>
      <c r="M1403" s="24">
        <f>Data!M1403</f>
        <v>29355000000</v>
      </c>
      <c r="N1403" s="24">
        <f t="shared" si="172"/>
        <v>351591000000</v>
      </c>
      <c r="O1403" s="25">
        <f t="shared" si="173"/>
        <v>0.56106555628557042</v>
      </c>
      <c r="P1403" s="24">
        <f>Data!K1403</f>
        <v>351591000000</v>
      </c>
      <c r="Q1403" s="24">
        <f>Data!I1403</f>
        <v>173146000000</v>
      </c>
      <c r="R1403" s="25">
        <f t="shared" si="174"/>
        <v>2.1321344414540331</v>
      </c>
      <c r="S1403" s="25">
        <f t="shared" si="175"/>
        <v>5.9034732982507085</v>
      </c>
    </row>
    <row r="1404" spans="1:19" ht="15" customHeight="1" x14ac:dyDescent="0.3">
      <c r="A1404" s="22"/>
      <c r="B1404" s="23"/>
      <c r="C1404" s="2"/>
      <c r="D1404" s="23">
        <v>2019</v>
      </c>
      <c r="E1404" s="24">
        <f>Data!F1404</f>
        <v>302918000000</v>
      </c>
      <c r="F1404" s="24">
        <f>Data!H1404</f>
        <v>65076000000</v>
      </c>
      <c r="G1404" s="24">
        <f t="shared" si="168"/>
        <v>237842000000</v>
      </c>
      <c r="H1404" s="24">
        <f>Data!G1404</f>
        <v>495110000000</v>
      </c>
      <c r="I1404" s="25">
        <f t="shared" si="169"/>
        <v>3.1513068207065094</v>
      </c>
      <c r="J1404" s="24">
        <f>Data!J1404</f>
        <v>139724000000</v>
      </c>
      <c r="K1404" s="24">
        <f t="shared" si="170"/>
        <v>495110000000</v>
      </c>
      <c r="L1404" s="25">
        <f t="shared" si="171"/>
        <v>0.91999806103694126</v>
      </c>
      <c r="M1404" s="24">
        <f>Data!M1404</f>
        <v>26263000000</v>
      </c>
      <c r="N1404" s="24">
        <f t="shared" si="172"/>
        <v>495110000000</v>
      </c>
      <c r="O1404" s="25">
        <f t="shared" si="173"/>
        <v>0.35646090767708183</v>
      </c>
      <c r="P1404" s="24">
        <f>Data!K1404</f>
        <v>495110000000</v>
      </c>
      <c r="Q1404" s="24">
        <f>Data!I1404</f>
        <v>295390000000</v>
      </c>
      <c r="R1404" s="25">
        <f t="shared" si="174"/>
        <v>1.7599292460814517</v>
      </c>
      <c r="S1404" s="25">
        <f t="shared" si="175"/>
        <v>6.1876950355019842</v>
      </c>
    </row>
    <row r="1405" spans="1:19" ht="15" customHeight="1" x14ac:dyDescent="0.3">
      <c r="A1405" s="22"/>
      <c r="B1405" s="23"/>
      <c r="C1405" s="2"/>
      <c r="D1405" s="23">
        <v>2020</v>
      </c>
      <c r="E1405" s="24">
        <f>Data!F1405</f>
        <v>326297000000</v>
      </c>
      <c r="F1405" s="24">
        <f>Data!H1405</f>
        <v>64119000000</v>
      </c>
      <c r="G1405" s="24">
        <f t="shared" si="168"/>
        <v>262178000000</v>
      </c>
      <c r="H1405" s="24">
        <f>Data!G1405</f>
        <v>508956000000</v>
      </c>
      <c r="I1405" s="25">
        <f t="shared" si="169"/>
        <v>3.3792463002695712</v>
      </c>
      <c r="J1405" s="24">
        <f>Data!J1405</f>
        <v>157973000000</v>
      </c>
      <c r="K1405" s="24">
        <f t="shared" si="170"/>
        <v>508956000000</v>
      </c>
      <c r="L1405" s="25">
        <f t="shared" si="171"/>
        <v>1.0118595320617105</v>
      </c>
      <c r="M1405" s="24">
        <f>Data!M1405</f>
        <v>22440000000</v>
      </c>
      <c r="N1405" s="24">
        <f t="shared" si="172"/>
        <v>508956000000</v>
      </c>
      <c r="O1405" s="25">
        <f t="shared" si="173"/>
        <v>0.29628651592672056</v>
      </c>
      <c r="P1405" s="24">
        <f>Data!K1405</f>
        <v>217623000000</v>
      </c>
      <c r="Q1405" s="24">
        <f>Data!I1405</f>
        <v>291332000000</v>
      </c>
      <c r="R1405" s="25">
        <f t="shared" si="174"/>
        <v>0.78434277731248203</v>
      </c>
      <c r="S1405" s="25">
        <f t="shared" si="175"/>
        <v>5.4717351255704845</v>
      </c>
    </row>
    <row r="1406" spans="1:19" ht="15" customHeight="1" x14ac:dyDescent="0.3">
      <c r="A1406" s="22"/>
      <c r="B1406" s="23"/>
      <c r="C1406" s="2"/>
      <c r="D1406" s="23">
        <v>2021</v>
      </c>
      <c r="E1406" s="24">
        <f>Data!F1406</f>
        <v>351769000000</v>
      </c>
      <c r="F1406" s="24">
        <f>Data!H1406</f>
        <v>80860000000</v>
      </c>
      <c r="G1406" s="24">
        <f t="shared" si="168"/>
        <v>270909000000</v>
      </c>
      <c r="H1406" s="24">
        <f>Data!G1406</f>
        <v>575553000000</v>
      </c>
      <c r="I1406" s="25">
        <f t="shared" si="169"/>
        <v>3.0877487216642079</v>
      </c>
      <c r="J1406" s="24">
        <f>Data!J1406</f>
        <v>182071000000</v>
      </c>
      <c r="K1406" s="24">
        <f t="shared" si="170"/>
        <v>575553000000</v>
      </c>
      <c r="L1406" s="25">
        <f t="shared" si="171"/>
        <v>1.0312715944491644</v>
      </c>
      <c r="M1406" s="24">
        <f>Data!M1406</f>
        <v>30154000000</v>
      </c>
      <c r="N1406" s="24">
        <f t="shared" si="172"/>
        <v>575553000000</v>
      </c>
      <c r="O1406" s="25">
        <f t="shared" si="173"/>
        <v>0.35206988756899882</v>
      </c>
      <c r="P1406" s="24">
        <f>Data!K1406</f>
        <v>242356000000</v>
      </c>
      <c r="Q1406" s="24">
        <f>Data!I1406</f>
        <v>333196000000</v>
      </c>
      <c r="R1406" s="25">
        <f t="shared" si="174"/>
        <v>0.76373605925641375</v>
      </c>
      <c r="S1406" s="25">
        <f t="shared" si="175"/>
        <v>5.2348262629387854</v>
      </c>
    </row>
    <row r="1407" spans="1:19" ht="15" customHeight="1" x14ac:dyDescent="0.3">
      <c r="A1407" s="22"/>
      <c r="B1407" s="23"/>
      <c r="C1407" s="2"/>
      <c r="D1407" s="23">
        <v>2022</v>
      </c>
      <c r="E1407" s="24">
        <f>Data!F1407</f>
        <v>456974000000</v>
      </c>
      <c r="F1407" s="24">
        <f>Data!H1407</f>
        <v>53685000000</v>
      </c>
      <c r="G1407" s="24">
        <f t="shared" si="168"/>
        <v>403289000000</v>
      </c>
      <c r="H1407" s="24">
        <f>Data!G1407</f>
        <v>703772000000</v>
      </c>
      <c r="I1407" s="25">
        <f t="shared" si="169"/>
        <v>3.7591376752698316</v>
      </c>
      <c r="J1407" s="24">
        <f>Data!J1407</f>
        <v>212112000000</v>
      </c>
      <c r="K1407" s="24">
        <f t="shared" si="170"/>
        <v>703772000000</v>
      </c>
      <c r="L1407" s="25">
        <f t="shared" si="171"/>
        <v>0.98254139124602846</v>
      </c>
      <c r="M1407" s="24">
        <f>Data!M1407</f>
        <v>38025000000</v>
      </c>
      <c r="N1407" s="24">
        <f t="shared" si="172"/>
        <v>703772000000</v>
      </c>
      <c r="O1407" s="25">
        <f t="shared" si="173"/>
        <v>0.36308349863308004</v>
      </c>
      <c r="P1407" s="24">
        <f>Data!K1407</f>
        <v>272266000000</v>
      </c>
      <c r="Q1407" s="24">
        <f>Data!I1407</f>
        <v>431505000000</v>
      </c>
      <c r="R1407" s="25">
        <f t="shared" si="174"/>
        <v>0.66251677269093057</v>
      </c>
      <c r="S1407" s="25">
        <f t="shared" si="175"/>
        <v>5.767279337839871</v>
      </c>
    </row>
    <row r="1408" spans="1:19" ht="15" customHeight="1" x14ac:dyDescent="0.3">
      <c r="A1408" s="22"/>
      <c r="B1408" s="23"/>
      <c r="C1408" s="2"/>
      <c r="D1408" s="23">
        <v>2023</v>
      </c>
      <c r="E1408" s="24">
        <f>Data!F1408</f>
        <v>539883000000</v>
      </c>
      <c r="F1408" s="24">
        <f>Data!H1408</f>
        <v>70359000000</v>
      </c>
      <c r="G1408" s="24">
        <f t="shared" si="168"/>
        <v>469524000000</v>
      </c>
      <c r="H1408" s="24">
        <f>Data!G1408</f>
        <v>773247000000</v>
      </c>
      <c r="I1408" s="25">
        <f t="shared" si="169"/>
        <v>3.9833034463761252</v>
      </c>
      <c r="J1408" s="24">
        <f>Data!J1408</f>
        <v>234268000000</v>
      </c>
      <c r="K1408" s="24">
        <f t="shared" si="170"/>
        <v>773247000000</v>
      </c>
      <c r="L1408" s="25">
        <f t="shared" si="171"/>
        <v>0.98767105465653271</v>
      </c>
      <c r="M1408" s="24">
        <f>Data!M1408</f>
        <v>26474000000</v>
      </c>
      <c r="N1408" s="24">
        <f t="shared" si="172"/>
        <v>773247000000</v>
      </c>
      <c r="O1408" s="25">
        <f t="shared" si="173"/>
        <v>0.23007561620025685</v>
      </c>
      <c r="P1408" s="24">
        <f>Data!K1408</f>
        <v>294894000000</v>
      </c>
      <c r="Q1408" s="24">
        <f>Data!I1408</f>
        <v>478352000000</v>
      </c>
      <c r="R1408" s="25">
        <f t="shared" si="174"/>
        <v>0.64730303207679707</v>
      </c>
      <c r="S1408" s="25">
        <f t="shared" si="175"/>
        <v>5.8483531493097125</v>
      </c>
    </row>
    <row r="1409" spans="1:19" ht="15" customHeight="1" x14ac:dyDescent="0.3">
      <c r="A1409" s="22"/>
      <c r="B1409" s="23"/>
      <c r="C1409" s="2"/>
      <c r="D1409" s="23">
        <v>2024</v>
      </c>
      <c r="E1409" s="24">
        <f>Data!F1409</f>
        <v>322963000000</v>
      </c>
      <c r="F1409" s="24">
        <f>Data!H1409</f>
        <v>32499000000</v>
      </c>
      <c r="G1409" s="24">
        <f t="shared" si="168"/>
        <v>290464000000</v>
      </c>
      <c r="H1409" s="24">
        <f>Data!G1409</f>
        <v>553767000000</v>
      </c>
      <c r="I1409" s="25">
        <f t="shared" si="169"/>
        <v>3.440876469706573</v>
      </c>
      <c r="J1409" s="24">
        <f>Data!J1409</f>
        <v>248870000000</v>
      </c>
      <c r="K1409" s="24">
        <f t="shared" si="170"/>
        <v>553767000000</v>
      </c>
      <c r="L1409" s="25">
        <f t="shared" si="171"/>
        <v>1.4650858574093435</v>
      </c>
      <c r="M1409" s="24">
        <f>Data!M1409</f>
        <v>15751000000</v>
      </c>
      <c r="N1409" s="24">
        <f t="shared" si="172"/>
        <v>553767000000</v>
      </c>
      <c r="O1409" s="25">
        <f t="shared" si="173"/>
        <v>0.19113945034644533</v>
      </c>
      <c r="P1409" s="24">
        <f>Data!K1409</f>
        <v>309113000000</v>
      </c>
      <c r="Q1409" s="24">
        <f>Data!I1409</f>
        <v>244654000000</v>
      </c>
      <c r="R1409" s="25">
        <f t="shared" si="174"/>
        <v>1.3266435455786538</v>
      </c>
      <c r="S1409" s="25">
        <f t="shared" si="175"/>
        <v>6.4237453230410155</v>
      </c>
    </row>
    <row r="1410" spans="1:19" ht="15" customHeight="1" x14ac:dyDescent="0.3">
      <c r="A1410" s="22"/>
      <c r="B1410" s="23">
        <v>129</v>
      </c>
      <c r="C1410" s="2" t="s">
        <v>87</v>
      </c>
      <c r="D1410" s="23">
        <v>2014</v>
      </c>
      <c r="E1410" s="24">
        <f>Data!F1410</f>
        <v>0</v>
      </c>
      <c r="F1410" s="24">
        <f>Data!H1410</f>
        <v>0</v>
      </c>
      <c r="G1410" s="24">
        <f t="shared" si="168"/>
        <v>0</v>
      </c>
      <c r="H1410" s="24">
        <f>Data!G1410</f>
        <v>0</v>
      </c>
      <c r="I1410" s="25">
        <f t="shared" si="169"/>
        <v>0</v>
      </c>
      <c r="J1410" s="24">
        <f>Data!J1410</f>
        <v>0</v>
      </c>
      <c r="K1410" s="24">
        <f t="shared" si="170"/>
        <v>0</v>
      </c>
      <c r="L1410" s="25">
        <f t="shared" si="171"/>
        <v>0</v>
      </c>
      <c r="M1410" s="24">
        <f>Data!M1410</f>
        <v>0</v>
      </c>
      <c r="N1410" s="24">
        <f t="shared" si="172"/>
        <v>0</v>
      </c>
      <c r="O1410" s="25">
        <f t="shared" si="173"/>
        <v>0</v>
      </c>
      <c r="P1410" s="24">
        <f>Data!K1410</f>
        <v>0</v>
      </c>
      <c r="Q1410" s="24">
        <f>Data!I1410</f>
        <v>0</v>
      </c>
      <c r="R1410" s="25">
        <f t="shared" si="174"/>
        <v>0</v>
      </c>
      <c r="S1410" s="25">
        <f t="shared" si="175"/>
        <v>0</v>
      </c>
    </row>
    <row r="1411" spans="1:19" ht="15" customHeight="1" x14ac:dyDescent="0.3">
      <c r="A1411" s="22"/>
      <c r="B1411" s="23"/>
      <c r="C1411" s="2"/>
      <c r="D1411" s="23">
        <v>2015</v>
      </c>
      <c r="E1411" s="24">
        <f>Data!F1411</f>
        <v>165507000000</v>
      </c>
      <c r="F1411" s="24">
        <f>Data!H1411</f>
        <v>70020000000</v>
      </c>
      <c r="G1411" s="24">
        <f t="shared" ref="G1411:G1474" si="176">E1411-F1411</f>
        <v>95487000000</v>
      </c>
      <c r="H1411" s="24">
        <f>Data!G1411</f>
        <v>335374000000</v>
      </c>
      <c r="I1411" s="25">
        <f t="shared" ref="I1411:I1474" si="177">IFERROR(6.56*(G1411/H1411),0)</f>
        <v>1.8677497957504159</v>
      </c>
      <c r="J1411" s="24">
        <f>Data!J1411</f>
        <v>17725000000</v>
      </c>
      <c r="K1411" s="24">
        <f t="shared" ref="K1411:K1474" si="178">H1411</f>
        <v>335374000000</v>
      </c>
      <c r="L1411" s="25">
        <f t="shared" ref="L1411:L1474" si="179">IFERROR(3.26*(J1411/K1411),0)</f>
        <v>0.17229570568976724</v>
      </c>
      <c r="M1411" s="24">
        <f>Data!M1411</f>
        <v>7786000000</v>
      </c>
      <c r="N1411" s="24">
        <f t="shared" ref="N1411:N1474" si="180">K1411</f>
        <v>335374000000</v>
      </c>
      <c r="O1411" s="25">
        <f t="shared" ref="O1411:O1474" si="181">IFERROR(6.72*(M1411/N1411),0)</f>
        <v>0.15601066272281094</v>
      </c>
      <c r="P1411" s="24">
        <f>Data!K1411</f>
        <v>152480000000</v>
      </c>
      <c r="Q1411" s="24">
        <f>Data!I1411</f>
        <v>182894000000</v>
      </c>
      <c r="R1411" s="25">
        <f t="shared" ref="R1411:R1474" si="182">IFERROR(1.05*(P1411/Q1411),0)</f>
        <v>0.87539230373877763</v>
      </c>
      <c r="S1411" s="25">
        <f t="shared" ref="S1411:S1474" si="183">IFERROR(I1411+L1411+O1411+R1411,0)</f>
        <v>3.0714484679017717</v>
      </c>
    </row>
    <row r="1412" spans="1:19" ht="15" customHeight="1" x14ac:dyDescent="0.3">
      <c r="A1412" s="22"/>
      <c r="B1412" s="23"/>
      <c r="C1412" s="2"/>
      <c r="D1412" s="23">
        <v>2016</v>
      </c>
      <c r="E1412" s="24">
        <f>Data!F1412</f>
        <v>216060000000</v>
      </c>
      <c r="F1412" s="24">
        <f>Data!H1412</f>
        <v>48073000000</v>
      </c>
      <c r="G1412" s="24">
        <f t="shared" si="176"/>
        <v>167987000000</v>
      </c>
      <c r="H1412" s="24">
        <f>Data!G1412</f>
        <v>419115000000</v>
      </c>
      <c r="I1412" s="25">
        <f t="shared" si="177"/>
        <v>2.6293373417797024</v>
      </c>
      <c r="J1412" s="24">
        <f>Data!J1412</f>
        <v>20274000000</v>
      </c>
      <c r="K1412" s="24">
        <f t="shared" si="178"/>
        <v>419115000000</v>
      </c>
      <c r="L1412" s="25">
        <f t="shared" si="179"/>
        <v>0.15769714756093195</v>
      </c>
      <c r="M1412" s="24">
        <f>Data!M1412</f>
        <v>2378000000</v>
      </c>
      <c r="N1412" s="24">
        <f t="shared" si="180"/>
        <v>419115000000</v>
      </c>
      <c r="O1412" s="25">
        <f t="shared" si="181"/>
        <v>3.8128341863211762E-2</v>
      </c>
      <c r="P1412" s="24">
        <f>Data!K1412</f>
        <v>183884000000</v>
      </c>
      <c r="Q1412" s="24">
        <f>Data!I1412</f>
        <v>235231000000</v>
      </c>
      <c r="R1412" s="25">
        <f t="shared" si="182"/>
        <v>0.82080253027874728</v>
      </c>
      <c r="S1412" s="25">
        <f t="shared" si="183"/>
        <v>3.6459653614825935</v>
      </c>
    </row>
    <row r="1413" spans="1:19" ht="15" customHeight="1" x14ac:dyDescent="0.3">
      <c r="A1413" s="22"/>
      <c r="B1413" s="23"/>
      <c r="C1413" s="2"/>
      <c r="D1413" s="23">
        <v>2017</v>
      </c>
      <c r="E1413" s="24">
        <f>Data!F1413</f>
        <v>357371000000</v>
      </c>
      <c r="F1413" s="24">
        <f>Data!H1413</f>
        <v>124492000000</v>
      </c>
      <c r="G1413" s="24">
        <f t="shared" si="176"/>
        <v>232879000000</v>
      </c>
      <c r="H1413" s="24">
        <f>Data!G1413</f>
        <v>569073000000</v>
      </c>
      <c r="I1413" s="25">
        <f t="shared" si="177"/>
        <v>2.6845171709077746</v>
      </c>
      <c r="J1413" s="24">
        <f>Data!J1413</f>
        <v>24857000000</v>
      </c>
      <c r="K1413" s="24">
        <f t="shared" si="178"/>
        <v>569073000000</v>
      </c>
      <c r="L1413" s="25">
        <f t="shared" si="179"/>
        <v>0.14239617764329005</v>
      </c>
      <c r="M1413" s="24">
        <f>Data!M1413</f>
        <v>6786000000</v>
      </c>
      <c r="N1413" s="24">
        <f t="shared" si="180"/>
        <v>569073000000</v>
      </c>
      <c r="O1413" s="25">
        <f t="shared" si="181"/>
        <v>8.013369110817066E-2</v>
      </c>
      <c r="P1413" s="24">
        <f>Data!K1413</f>
        <v>569073000000</v>
      </c>
      <c r="Q1413" s="24">
        <f>Data!I1413</f>
        <v>372449000000</v>
      </c>
      <c r="R1413" s="25">
        <f t="shared" si="182"/>
        <v>1.6043180408592856</v>
      </c>
      <c r="S1413" s="25">
        <f t="shared" si="183"/>
        <v>4.5113650805185213</v>
      </c>
    </row>
    <row r="1414" spans="1:19" ht="15" customHeight="1" x14ac:dyDescent="0.3">
      <c r="A1414" s="22"/>
      <c r="B1414" s="23"/>
      <c r="C1414" s="2"/>
      <c r="D1414" s="23">
        <v>2018</v>
      </c>
      <c r="E1414" s="24">
        <f>Data!F1414</f>
        <v>231190000000</v>
      </c>
      <c r="F1414" s="24">
        <f>Data!H1414</f>
        <v>29897000000</v>
      </c>
      <c r="G1414" s="24">
        <f t="shared" si="176"/>
        <v>201293000000</v>
      </c>
      <c r="H1414" s="24">
        <f>Data!G1414</f>
        <v>483420000000</v>
      </c>
      <c r="I1414" s="25">
        <f t="shared" si="177"/>
        <v>2.7315420959000454</v>
      </c>
      <c r="J1414" s="24">
        <f>Data!J1414</f>
        <v>30125000000</v>
      </c>
      <c r="K1414" s="24">
        <f t="shared" si="178"/>
        <v>483420000000</v>
      </c>
      <c r="L1414" s="25">
        <f t="shared" si="179"/>
        <v>0.20315150386827188</v>
      </c>
      <c r="M1414" s="24">
        <f>Data!M1414</f>
        <v>13500000000</v>
      </c>
      <c r="N1414" s="24">
        <f t="shared" si="180"/>
        <v>483420000000</v>
      </c>
      <c r="O1414" s="25">
        <f t="shared" si="181"/>
        <v>0.18766290182450043</v>
      </c>
      <c r="P1414" s="24">
        <f>Data!K1414</f>
        <v>201470000000</v>
      </c>
      <c r="Q1414" s="24">
        <f>Data!I1414</f>
        <v>281950000000</v>
      </c>
      <c r="R1414" s="25">
        <f t="shared" si="182"/>
        <v>0.75028728497960628</v>
      </c>
      <c r="S1414" s="25">
        <f t="shared" si="183"/>
        <v>3.8726437865724241</v>
      </c>
    </row>
    <row r="1415" spans="1:19" ht="15" customHeight="1" x14ac:dyDescent="0.3">
      <c r="A1415" s="22"/>
      <c r="B1415" s="23"/>
      <c r="C1415" s="2"/>
      <c r="D1415" s="23">
        <v>2019</v>
      </c>
      <c r="E1415" s="24">
        <f>Data!F1415</f>
        <v>297583000000</v>
      </c>
      <c r="F1415" s="24">
        <f>Data!H1415</f>
        <v>57125000000</v>
      </c>
      <c r="G1415" s="24">
        <f t="shared" si="176"/>
        <v>240458000000</v>
      </c>
      <c r="H1415" s="24">
        <f>Data!G1415</f>
        <v>596201000000</v>
      </c>
      <c r="I1415" s="25">
        <f t="shared" si="177"/>
        <v>2.6457595341168498</v>
      </c>
      <c r="J1415" s="24">
        <f>Data!J1415</f>
        <v>29638000000</v>
      </c>
      <c r="K1415" s="24">
        <f t="shared" si="178"/>
        <v>596201000000</v>
      </c>
      <c r="L1415" s="25">
        <f t="shared" si="179"/>
        <v>0.16205923841120695</v>
      </c>
      <c r="M1415" s="24">
        <f>Data!M1415</f>
        <v>4959000000</v>
      </c>
      <c r="N1415" s="24">
        <f t="shared" si="180"/>
        <v>596201000000</v>
      </c>
      <c r="O1415" s="25">
        <f t="shared" si="181"/>
        <v>5.5894706650944891E-2</v>
      </c>
      <c r="P1415" s="24">
        <f>Data!K1415</f>
        <v>200900000000</v>
      </c>
      <c r="Q1415" s="24">
        <f>Data!I1415</f>
        <v>395301000000</v>
      </c>
      <c r="R1415" s="25">
        <f t="shared" si="182"/>
        <v>0.53363133409730812</v>
      </c>
      <c r="S1415" s="25">
        <f t="shared" si="183"/>
        <v>3.3973448132763098</v>
      </c>
    </row>
    <row r="1416" spans="1:19" ht="15" customHeight="1" x14ac:dyDescent="0.3">
      <c r="A1416" s="22"/>
      <c r="B1416" s="23"/>
      <c r="C1416" s="2"/>
      <c r="D1416" s="23">
        <v>2020</v>
      </c>
      <c r="E1416" s="24">
        <f>Data!F1416</f>
        <v>288434000000</v>
      </c>
      <c r="F1416" s="24">
        <f>Data!H1416</f>
        <v>39724000000</v>
      </c>
      <c r="G1416" s="24">
        <f t="shared" si="176"/>
        <v>248710000000</v>
      </c>
      <c r="H1416" s="24">
        <f>Data!G1416</f>
        <v>566735000000</v>
      </c>
      <c r="I1416" s="25">
        <f t="shared" si="177"/>
        <v>2.8788368461450236</v>
      </c>
      <c r="J1416" s="24">
        <f>Data!J1416</f>
        <v>35898000000</v>
      </c>
      <c r="K1416" s="24">
        <f t="shared" si="178"/>
        <v>566735000000</v>
      </c>
      <c r="L1416" s="25">
        <f t="shared" si="179"/>
        <v>0.20649418158398544</v>
      </c>
      <c r="M1416" s="24">
        <f>Data!M1416</f>
        <v>8979000000</v>
      </c>
      <c r="N1416" s="24">
        <f t="shared" si="180"/>
        <v>566735000000</v>
      </c>
      <c r="O1416" s="25">
        <f t="shared" si="181"/>
        <v>0.10646753773809628</v>
      </c>
      <c r="P1416" s="24">
        <f>Data!K1416</f>
        <v>201022000000</v>
      </c>
      <c r="Q1416" s="24">
        <f>Data!I1416</f>
        <v>365713000000</v>
      </c>
      <c r="R1416" s="25">
        <f t="shared" si="182"/>
        <v>0.57715503687317649</v>
      </c>
      <c r="S1416" s="25">
        <f t="shared" si="183"/>
        <v>3.7689536023402814</v>
      </c>
    </row>
    <row r="1417" spans="1:19" ht="15" customHeight="1" x14ac:dyDescent="0.3">
      <c r="A1417" s="22"/>
      <c r="B1417" s="23"/>
      <c r="C1417" s="2"/>
      <c r="D1417" s="23">
        <v>2021</v>
      </c>
      <c r="E1417" s="24">
        <f>Data!F1417</f>
        <v>307807000000</v>
      </c>
      <c r="F1417" s="24">
        <f>Data!H1417</f>
        <v>40059000000</v>
      </c>
      <c r="G1417" s="24">
        <f t="shared" si="176"/>
        <v>267748000000</v>
      </c>
      <c r="H1417" s="24">
        <f>Data!G1417</f>
        <v>591157000000</v>
      </c>
      <c r="I1417" s="25">
        <f t="shared" si="177"/>
        <v>2.9711682006641214</v>
      </c>
      <c r="J1417" s="24">
        <f>Data!J1417</f>
        <v>44249000000</v>
      </c>
      <c r="K1417" s="24">
        <f t="shared" si="178"/>
        <v>591157000000</v>
      </c>
      <c r="L1417" s="25">
        <f t="shared" si="179"/>
        <v>0.24401595515235378</v>
      </c>
      <c r="M1417" s="24">
        <f>Data!M1417</f>
        <v>23112000000</v>
      </c>
      <c r="N1417" s="24">
        <f t="shared" si="180"/>
        <v>591157000000</v>
      </c>
      <c r="O1417" s="25">
        <f t="shared" si="181"/>
        <v>0.2627265514913974</v>
      </c>
      <c r="P1417" s="24">
        <f>Data!K1417</f>
        <v>208685000000</v>
      </c>
      <c r="Q1417" s="24">
        <f>Data!I1417</f>
        <v>382472000000</v>
      </c>
      <c r="R1417" s="25">
        <f t="shared" si="182"/>
        <v>0.5729027222907821</v>
      </c>
      <c r="S1417" s="25">
        <f t="shared" si="183"/>
        <v>4.0508134295986542</v>
      </c>
    </row>
    <row r="1418" spans="1:19" ht="15" customHeight="1" x14ac:dyDescent="0.3">
      <c r="A1418" s="22"/>
      <c r="B1418" s="23"/>
      <c r="C1418" s="2"/>
      <c r="D1418" s="23">
        <v>2022</v>
      </c>
      <c r="E1418" s="24">
        <f>Data!F1418</f>
        <v>319843000000</v>
      </c>
      <c r="F1418" s="24">
        <f>Data!H1418</f>
        <v>73568000000</v>
      </c>
      <c r="G1418" s="24">
        <f t="shared" si="176"/>
        <v>246275000000</v>
      </c>
      <c r="H1418" s="24">
        <f>Data!G1418</f>
        <v>635138000000</v>
      </c>
      <c r="I1418" s="25">
        <f t="shared" si="177"/>
        <v>2.5436424839956042</v>
      </c>
      <c r="J1418" s="24">
        <f>Data!J1418</f>
        <v>50312000000</v>
      </c>
      <c r="K1418" s="24">
        <f t="shared" si="178"/>
        <v>635138000000</v>
      </c>
      <c r="L1418" s="25">
        <f t="shared" si="179"/>
        <v>0.25823855603034296</v>
      </c>
      <c r="M1418" s="24">
        <f>Data!M1418</f>
        <v>25595000000</v>
      </c>
      <c r="N1418" s="24">
        <f t="shared" si="180"/>
        <v>635138000000</v>
      </c>
      <c r="O1418" s="25">
        <f t="shared" si="181"/>
        <v>0.27080476998699493</v>
      </c>
      <c r="P1418" s="24">
        <f>Data!K1418</f>
        <v>204452000000</v>
      </c>
      <c r="Q1418" s="24">
        <f>Data!I1418</f>
        <v>430686000000</v>
      </c>
      <c r="R1418" s="25">
        <f t="shared" si="182"/>
        <v>0.49844805728535413</v>
      </c>
      <c r="S1418" s="25">
        <f t="shared" si="183"/>
        <v>3.5711338672982964</v>
      </c>
    </row>
    <row r="1419" spans="1:19" ht="15" customHeight="1" x14ac:dyDescent="0.3">
      <c r="A1419" s="22"/>
      <c r="B1419" s="23"/>
      <c r="C1419" s="2"/>
      <c r="D1419" s="23">
        <v>2023</v>
      </c>
      <c r="E1419" s="24">
        <f>Data!F1419</f>
        <v>392745000000</v>
      </c>
      <c r="F1419" s="24">
        <f>Data!H1419</f>
        <v>63803000000</v>
      </c>
      <c r="G1419" s="24">
        <f t="shared" si="176"/>
        <v>328942000000</v>
      </c>
      <c r="H1419" s="24">
        <f>Data!G1419</f>
        <v>678719000000</v>
      </c>
      <c r="I1419" s="25">
        <f t="shared" si="177"/>
        <v>3.1793120864452002</v>
      </c>
      <c r="J1419" s="24">
        <f>Data!J1419</f>
        <v>56301000000</v>
      </c>
      <c r="K1419" s="24">
        <f t="shared" si="178"/>
        <v>678719000000</v>
      </c>
      <c r="L1419" s="25">
        <f t="shared" si="179"/>
        <v>0.2704230469457905</v>
      </c>
      <c r="M1419" s="24">
        <f>Data!M1419</f>
        <v>26339000000</v>
      </c>
      <c r="N1419" s="24">
        <f t="shared" si="180"/>
        <v>678719000000</v>
      </c>
      <c r="O1419" s="25">
        <f t="shared" si="181"/>
        <v>0.26078256244484094</v>
      </c>
      <c r="P1419" s="24">
        <f>Data!K1419</f>
        <v>230220000000</v>
      </c>
      <c r="Q1419" s="24">
        <f>Data!I1419</f>
        <v>448499000000</v>
      </c>
      <c r="R1419" s="25">
        <f t="shared" si="182"/>
        <v>0.53897779036296634</v>
      </c>
      <c r="S1419" s="25">
        <f t="shared" si="183"/>
        <v>4.2494954861987981</v>
      </c>
    </row>
    <row r="1420" spans="1:19" ht="15" customHeight="1" x14ac:dyDescent="0.3">
      <c r="A1420" s="22"/>
      <c r="B1420" s="23"/>
      <c r="C1420" s="2"/>
      <c r="D1420" s="23">
        <v>2024</v>
      </c>
      <c r="E1420" s="24">
        <f>Data!F1420</f>
        <v>290786000000</v>
      </c>
      <c r="F1420" s="24">
        <f>Data!H1420</f>
        <v>88414000000</v>
      </c>
      <c r="G1420" s="24">
        <f t="shared" si="176"/>
        <v>202372000000</v>
      </c>
      <c r="H1420" s="24">
        <f>Data!G1420</f>
        <v>635835000000</v>
      </c>
      <c r="I1420" s="25">
        <f t="shared" si="177"/>
        <v>2.0879006660532999</v>
      </c>
      <c r="J1420" s="24">
        <f>Data!J1420</f>
        <v>61491000000</v>
      </c>
      <c r="K1420" s="24">
        <f t="shared" si="178"/>
        <v>635835000000</v>
      </c>
      <c r="L1420" s="25">
        <f t="shared" si="179"/>
        <v>0.3152715091179315</v>
      </c>
      <c r="M1420" s="24">
        <f>Data!M1420</f>
        <v>17860000000</v>
      </c>
      <c r="N1420" s="24">
        <f t="shared" si="180"/>
        <v>635835000000</v>
      </c>
      <c r="O1420" s="25">
        <f t="shared" si="181"/>
        <v>0.18875840430300314</v>
      </c>
      <c r="P1420" s="24">
        <f>Data!K1420</f>
        <v>216759000000</v>
      </c>
      <c r="Q1420" s="24">
        <f>Data!I1420</f>
        <v>419076000000</v>
      </c>
      <c r="R1420" s="25">
        <f t="shared" si="182"/>
        <v>0.54309230306674683</v>
      </c>
      <c r="S1420" s="25">
        <f t="shared" si="183"/>
        <v>3.1350228825409814</v>
      </c>
    </row>
    <row r="1421" spans="1:19" ht="15" customHeight="1" x14ac:dyDescent="0.3">
      <c r="A1421" s="22"/>
      <c r="B1421" s="23">
        <v>130</v>
      </c>
      <c r="C1421" s="2" t="s">
        <v>113</v>
      </c>
      <c r="D1421" s="23">
        <v>2014</v>
      </c>
      <c r="E1421" s="24">
        <f>Data!F1421</f>
        <v>0</v>
      </c>
      <c r="F1421" s="24">
        <f>Data!H1421</f>
        <v>0</v>
      </c>
      <c r="G1421" s="24">
        <f t="shared" si="176"/>
        <v>0</v>
      </c>
      <c r="H1421" s="24">
        <f>Data!G1421</f>
        <v>0</v>
      </c>
      <c r="I1421" s="25">
        <f t="shared" si="177"/>
        <v>0</v>
      </c>
      <c r="J1421" s="24">
        <f>Data!J1421</f>
        <v>0</v>
      </c>
      <c r="K1421" s="24">
        <f t="shared" si="178"/>
        <v>0</v>
      </c>
      <c r="L1421" s="25">
        <f t="shared" si="179"/>
        <v>0</v>
      </c>
      <c r="M1421" s="24">
        <f>Data!M1421</f>
        <v>0</v>
      </c>
      <c r="N1421" s="24">
        <f t="shared" si="180"/>
        <v>0</v>
      </c>
      <c r="O1421" s="25">
        <f t="shared" si="181"/>
        <v>0</v>
      </c>
      <c r="P1421" s="24">
        <f>Data!K1421</f>
        <v>0</v>
      </c>
      <c r="Q1421" s="24">
        <f>Data!I1421</f>
        <v>0</v>
      </c>
      <c r="R1421" s="25">
        <f t="shared" si="182"/>
        <v>0</v>
      </c>
      <c r="S1421" s="25">
        <f t="shared" si="183"/>
        <v>0</v>
      </c>
    </row>
    <row r="1422" spans="1:19" ht="15" customHeight="1" x14ac:dyDescent="0.3">
      <c r="A1422" s="22"/>
      <c r="B1422" s="23"/>
      <c r="C1422" s="2"/>
      <c r="D1422" s="23">
        <v>2015</v>
      </c>
      <c r="E1422" s="24">
        <f>Data!F1422</f>
        <v>0</v>
      </c>
      <c r="F1422" s="24">
        <f>Data!H1422</f>
        <v>0</v>
      </c>
      <c r="G1422" s="24">
        <f t="shared" si="176"/>
        <v>0</v>
      </c>
      <c r="H1422" s="24">
        <f>Data!G1422</f>
        <v>0</v>
      </c>
      <c r="I1422" s="25">
        <f t="shared" si="177"/>
        <v>0</v>
      </c>
      <c r="J1422" s="24">
        <f>Data!J1422</f>
        <v>0</v>
      </c>
      <c r="K1422" s="24">
        <f t="shared" si="178"/>
        <v>0</v>
      </c>
      <c r="L1422" s="25">
        <f t="shared" si="179"/>
        <v>0</v>
      </c>
      <c r="M1422" s="24">
        <f>Data!M1422</f>
        <v>0</v>
      </c>
      <c r="N1422" s="24">
        <f t="shared" si="180"/>
        <v>0</v>
      </c>
      <c r="O1422" s="25">
        <f t="shared" si="181"/>
        <v>0</v>
      </c>
      <c r="P1422" s="24">
        <f>Data!K1422</f>
        <v>0</v>
      </c>
      <c r="Q1422" s="24">
        <f>Data!I1422</f>
        <v>0</v>
      </c>
      <c r="R1422" s="25">
        <f t="shared" si="182"/>
        <v>0</v>
      </c>
      <c r="S1422" s="25">
        <f t="shared" si="183"/>
        <v>0</v>
      </c>
    </row>
    <row r="1423" spans="1:19" ht="15" customHeight="1" x14ac:dyDescent="0.3">
      <c r="A1423" s="22"/>
      <c r="B1423" s="23"/>
      <c r="C1423" s="2"/>
      <c r="D1423" s="23">
        <v>2016</v>
      </c>
      <c r="E1423" s="24">
        <f>Data!F1423</f>
        <v>0</v>
      </c>
      <c r="F1423" s="24">
        <f>Data!H1423</f>
        <v>0</v>
      </c>
      <c r="G1423" s="24">
        <f t="shared" si="176"/>
        <v>0</v>
      </c>
      <c r="H1423" s="24">
        <f>Data!G1423</f>
        <v>0</v>
      </c>
      <c r="I1423" s="25">
        <f t="shared" si="177"/>
        <v>0</v>
      </c>
      <c r="J1423" s="24">
        <f>Data!J1423</f>
        <v>0</v>
      </c>
      <c r="K1423" s="24">
        <f t="shared" si="178"/>
        <v>0</v>
      </c>
      <c r="L1423" s="25">
        <f t="shared" si="179"/>
        <v>0</v>
      </c>
      <c r="M1423" s="24">
        <f>Data!M1423</f>
        <v>0</v>
      </c>
      <c r="N1423" s="24">
        <f t="shared" si="180"/>
        <v>0</v>
      </c>
      <c r="O1423" s="25">
        <f t="shared" si="181"/>
        <v>0</v>
      </c>
      <c r="P1423" s="24">
        <f>Data!K1423</f>
        <v>0</v>
      </c>
      <c r="Q1423" s="24">
        <f>Data!I1423</f>
        <v>0</v>
      </c>
      <c r="R1423" s="25">
        <f t="shared" si="182"/>
        <v>0</v>
      </c>
      <c r="S1423" s="25">
        <f t="shared" si="183"/>
        <v>0</v>
      </c>
    </row>
    <row r="1424" spans="1:19" ht="15" customHeight="1" x14ac:dyDescent="0.3">
      <c r="A1424" s="22"/>
      <c r="B1424" s="23"/>
      <c r="C1424" s="2"/>
      <c r="D1424" s="23">
        <v>2017</v>
      </c>
      <c r="E1424" s="24">
        <f>Data!F1424</f>
        <v>0</v>
      </c>
      <c r="F1424" s="24">
        <f>Data!H1424</f>
        <v>0</v>
      </c>
      <c r="G1424" s="24">
        <f t="shared" si="176"/>
        <v>0</v>
      </c>
      <c r="H1424" s="24">
        <f>Data!G1424</f>
        <v>0</v>
      </c>
      <c r="I1424" s="25">
        <f t="shared" si="177"/>
        <v>0</v>
      </c>
      <c r="J1424" s="24">
        <f>Data!J1424</f>
        <v>0</v>
      </c>
      <c r="K1424" s="24">
        <f t="shared" si="178"/>
        <v>0</v>
      </c>
      <c r="L1424" s="25">
        <f t="shared" si="179"/>
        <v>0</v>
      </c>
      <c r="M1424" s="24">
        <f>Data!M1424</f>
        <v>0</v>
      </c>
      <c r="N1424" s="24">
        <f t="shared" si="180"/>
        <v>0</v>
      </c>
      <c r="O1424" s="25">
        <f t="shared" si="181"/>
        <v>0</v>
      </c>
      <c r="P1424" s="24">
        <f>Data!K1424</f>
        <v>0</v>
      </c>
      <c r="Q1424" s="24">
        <f>Data!I1424</f>
        <v>0</v>
      </c>
      <c r="R1424" s="25">
        <f t="shared" si="182"/>
        <v>0</v>
      </c>
      <c r="S1424" s="25">
        <f t="shared" si="183"/>
        <v>0</v>
      </c>
    </row>
    <row r="1425" spans="1:19" ht="15" customHeight="1" x14ac:dyDescent="0.3">
      <c r="A1425" s="22"/>
      <c r="B1425" s="23"/>
      <c r="C1425" s="2"/>
      <c r="D1425" s="23">
        <v>2018</v>
      </c>
      <c r="E1425" s="24">
        <f>Data!F1425</f>
        <v>0</v>
      </c>
      <c r="F1425" s="24">
        <f>Data!H1425</f>
        <v>0</v>
      </c>
      <c r="G1425" s="24">
        <f t="shared" si="176"/>
        <v>0</v>
      </c>
      <c r="H1425" s="24">
        <f>Data!G1425</f>
        <v>0</v>
      </c>
      <c r="I1425" s="25">
        <f t="shared" si="177"/>
        <v>0</v>
      </c>
      <c r="J1425" s="24">
        <f>Data!J1425</f>
        <v>0</v>
      </c>
      <c r="K1425" s="24">
        <f t="shared" si="178"/>
        <v>0</v>
      </c>
      <c r="L1425" s="25">
        <f t="shared" si="179"/>
        <v>0</v>
      </c>
      <c r="M1425" s="24">
        <f>Data!M1425</f>
        <v>0</v>
      </c>
      <c r="N1425" s="24">
        <f t="shared" si="180"/>
        <v>0</v>
      </c>
      <c r="O1425" s="25">
        <f t="shared" si="181"/>
        <v>0</v>
      </c>
      <c r="P1425" s="24">
        <f>Data!K1425</f>
        <v>0</v>
      </c>
      <c r="Q1425" s="24">
        <f>Data!I1425</f>
        <v>0</v>
      </c>
      <c r="R1425" s="25">
        <f t="shared" si="182"/>
        <v>0</v>
      </c>
      <c r="S1425" s="25">
        <f t="shared" si="183"/>
        <v>0</v>
      </c>
    </row>
    <row r="1426" spans="1:19" ht="15" customHeight="1" x14ac:dyDescent="0.3">
      <c r="A1426" s="22"/>
      <c r="B1426" s="23"/>
      <c r="C1426" s="2"/>
      <c r="D1426" s="23">
        <v>2019</v>
      </c>
      <c r="E1426" s="24">
        <f>Data!F1426</f>
        <v>473019000000</v>
      </c>
      <c r="F1426" s="24">
        <f>Data!H1426</f>
        <v>117985000000</v>
      </c>
      <c r="G1426" s="24">
        <f t="shared" si="176"/>
        <v>355034000000</v>
      </c>
      <c r="H1426" s="24">
        <f>Data!G1426</f>
        <v>927221000000</v>
      </c>
      <c r="I1426" s="25">
        <f t="shared" si="177"/>
        <v>2.5118316345294165</v>
      </c>
      <c r="J1426" s="24">
        <f>Data!J1426</f>
        <v>138553000000</v>
      </c>
      <c r="K1426" s="24">
        <f t="shared" si="178"/>
        <v>927221000000</v>
      </c>
      <c r="L1426" s="25">
        <f t="shared" si="179"/>
        <v>0.48713605494267276</v>
      </c>
      <c r="M1426" s="24">
        <f>Data!M1426</f>
        <v>2689000000</v>
      </c>
      <c r="N1426" s="24">
        <f t="shared" si="180"/>
        <v>927221000000</v>
      </c>
      <c r="O1426" s="25">
        <f t="shared" si="181"/>
        <v>1.9488428325070292E-2</v>
      </c>
      <c r="P1426" s="24">
        <f>Data!K1426</f>
        <v>183568000000</v>
      </c>
      <c r="Q1426" s="24">
        <f>Data!I1426</f>
        <v>743653000000</v>
      </c>
      <c r="R1426" s="25">
        <f t="shared" si="182"/>
        <v>0.25918862695370021</v>
      </c>
      <c r="S1426" s="25">
        <f t="shared" si="183"/>
        <v>3.2776447447508597</v>
      </c>
    </row>
    <row r="1427" spans="1:19" ht="15" customHeight="1" x14ac:dyDescent="0.3">
      <c r="A1427" s="22"/>
      <c r="B1427" s="23"/>
      <c r="C1427" s="2"/>
      <c r="D1427" s="23">
        <v>2020</v>
      </c>
      <c r="E1427" s="24">
        <f>Data!F1427</f>
        <v>391022000000</v>
      </c>
      <c r="F1427" s="24">
        <f>Data!H1427</f>
        <v>48896000000</v>
      </c>
      <c r="G1427" s="24">
        <f t="shared" si="176"/>
        <v>342126000000</v>
      </c>
      <c r="H1427" s="24">
        <f>Data!G1427</f>
        <v>704994000000</v>
      </c>
      <c r="I1427" s="25">
        <f t="shared" si="177"/>
        <v>3.1834973914671614</v>
      </c>
      <c r="J1427" s="24">
        <f>Data!J1427</f>
        <v>111349000000</v>
      </c>
      <c r="K1427" s="24">
        <f t="shared" si="178"/>
        <v>704994000000</v>
      </c>
      <c r="L1427" s="25">
        <f t="shared" si="179"/>
        <v>0.51489479343086597</v>
      </c>
      <c r="M1427" s="24">
        <f>Data!M1427</f>
        <v>-23466000000</v>
      </c>
      <c r="N1427" s="24">
        <f t="shared" si="180"/>
        <v>704994000000</v>
      </c>
      <c r="O1427" s="25">
        <f t="shared" si="181"/>
        <v>-0.22367781853462582</v>
      </c>
      <c r="P1427" s="24">
        <f>Data!K1427</f>
        <v>143604000000</v>
      </c>
      <c r="Q1427" s="24">
        <f>Data!I1427</f>
        <v>561389000000</v>
      </c>
      <c r="R1427" s="25">
        <f t="shared" si="182"/>
        <v>0.26859129765634882</v>
      </c>
      <c r="S1427" s="25">
        <f t="shared" si="183"/>
        <v>3.7433056640197502</v>
      </c>
    </row>
    <row r="1428" spans="1:19" ht="15" customHeight="1" x14ac:dyDescent="0.3">
      <c r="A1428" s="22"/>
      <c r="B1428" s="23"/>
      <c r="C1428" s="2"/>
      <c r="D1428" s="23">
        <v>2021</v>
      </c>
      <c r="E1428" s="24">
        <f>Data!F1428</f>
        <v>465893000000</v>
      </c>
      <c r="F1428" s="24">
        <f>Data!H1428</f>
        <v>43549000000</v>
      </c>
      <c r="G1428" s="24">
        <f t="shared" si="176"/>
        <v>422344000000</v>
      </c>
      <c r="H1428" s="24">
        <f>Data!G1428</f>
        <v>687707000000</v>
      </c>
      <c r="I1428" s="25">
        <f t="shared" si="177"/>
        <v>4.0287166482237344</v>
      </c>
      <c r="J1428" s="24">
        <f>Data!J1428</f>
        <v>-20991000000</v>
      </c>
      <c r="K1428" s="24">
        <f t="shared" si="178"/>
        <v>687707000000</v>
      </c>
      <c r="L1428" s="25">
        <f t="shared" si="179"/>
        <v>-9.9505545239469709E-2</v>
      </c>
      <c r="M1428" s="24">
        <f>Data!M1428</f>
        <v>-146177000000</v>
      </c>
      <c r="N1428" s="24">
        <f t="shared" si="180"/>
        <v>687707000000</v>
      </c>
      <c r="O1428" s="25">
        <f t="shared" si="181"/>
        <v>-1.428383657575101</v>
      </c>
      <c r="P1428" s="24">
        <f>Data!K1428</f>
        <v>107672000000</v>
      </c>
      <c r="Q1428" s="24">
        <f>Data!I1428</f>
        <v>580034000000</v>
      </c>
      <c r="R1428" s="25">
        <f t="shared" si="182"/>
        <v>0.19491202239868699</v>
      </c>
      <c r="S1428" s="25">
        <f t="shared" si="183"/>
        <v>2.6957394678078508</v>
      </c>
    </row>
    <row r="1429" spans="1:19" ht="15" customHeight="1" x14ac:dyDescent="0.3">
      <c r="A1429" s="22"/>
      <c r="B1429" s="23"/>
      <c r="C1429" s="2"/>
      <c r="D1429" s="23">
        <v>2022</v>
      </c>
      <c r="E1429" s="24">
        <f>Data!F1429</f>
        <v>326317000000</v>
      </c>
      <c r="F1429" s="24">
        <f>Data!H1429</f>
        <v>28623000000</v>
      </c>
      <c r="G1429" s="24">
        <f t="shared" si="176"/>
        <v>297694000000</v>
      </c>
      <c r="H1429" s="24">
        <f>Data!G1429</f>
        <v>490826000000</v>
      </c>
      <c r="I1429" s="25">
        <f t="shared" si="177"/>
        <v>3.9787473361231878</v>
      </c>
      <c r="J1429" s="24">
        <f>Data!J1429</f>
        <v>-24341000000</v>
      </c>
      <c r="K1429" s="24">
        <f t="shared" si="178"/>
        <v>490826000000</v>
      </c>
      <c r="L1429" s="25">
        <f t="shared" si="179"/>
        <v>-0.16166963445294258</v>
      </c>
      <c r="M1429" s="24">
        <f>Data!M1429</f>
        <v>-11720000000</v>
      </c>
      <c r="N1429" s="24">
        <f t="shared" si="180"/>
        <v>490826000000</v>
      </c>
      <c r="O1429" s="25">
        <f t="shared" si="181"/>
        <v>-0.16046093727716135</v>
      </c>
      <c r="P1429" s="24">
        <f>Data!K1429</f>
        <v>65560000000</v>
      </c>
      <c r="Q1429" s="24">
        <f>Data!I1429</f>
        <v>425266000000</v>
      </c>
      <c r="R1429" s="25">
        <f t="shared" si="182"/>
        <v>0.16187045284598345</v>
      </c>
      <c r="S1429" s="25">
        <f t="shared" si="183"/>
        <v>3.8184872172390674</v>
      </c>
    </row>
    <row r="1430" spans="1:19" ht="15" customHeight="1" x14ac:dyDescent="0.3">
      <c r="A1430" s="22"/>
      <c r="B1430" s="23"/>
      <c r="C1430" s="2"/>
      <c r="D1430" s="23">
        <v>2023</v>
      </c>
      <c r="E1430" s="24">
        <f>Data!F1430</f>
        <v>314288000000</v>
      </c>
      <c r="F1430" s="24">
        <f>Data!H1430</f>
        <v>43141000000</v>
      </c>
      <c r="G1430" s="24">
        <f t="shared" si="176"/>
        <v>271147000000</v>
      </c>
      <c r="H1430" s="24">
        <f>Data!G1430</f>
        <v>587866000000</v>
      </c>
      <c r="I1430" s="25">
        <f t="shared" si="177"/>
        <v>3.0257308978576747</v>
      </c>
      <c r="J1430" s="24">
        <f>Data!J1430</f>
        <v>-6090000000</v>
      </c>
      <c r="K1430" s="24">
        <f t="shared" si="178"/>
        <v>587866000000</v>
      </c>
      <c r="L1430" s="25">
        <f t="shared" si="179"/>
        <v>-3.3771982050331197E-2</v>
      </c>
      <c r="M1430" s="24">
        <f>Data!M1430</f>
        <v>18958000000</v>
      </c>
      <c r="N1430" s="24">
        <f t="shared" si="180"/>
        <v>587866000000</v>
      </c>
      <c r="O1430" s="25">
        <f t="shared" si="181"/>
        <v>0.21671224394674976</v>
      </c>
      <c r="P1430" s="24">
        <f>Data!K1430</f>
        <v>133681000000</v>
      </c>
      <c r="Q1430" s="24">
        <f>Data!I1430</f>
        <v>354185000000</v>
      </c>
      <c r="R1430" s="25">
        <f t="shared" si="182"/>
        <v>0.39630433248161273</v>
      </c>
      <c r="S1430" s="25">
        <f t="shared" si="183"/>
        <v>3.604975492235706</v>
      </c>
    </row>
    <row r="1431" spans="1:19" ht="15" customHeight="1" x14ac:dyDescent="0.3">
      <c r="A1431" s="22"/>
      <c r="B1431" s="23"/>
      <c r="C1431" s="2"/>
      <c r="D1431" s="23">
        <v>2024</v>
      </c>
      <c r="E1431" s="24">
        <f>Data!F1431</f>
        <v>302828000000</v>
      </c>
      <c r="F1431" s="24">
        <f>Data!H1431</f>
        <v>26900000000</v>
      </c>
      <c r="G1431" s="24">
        <f t="shared" si="176"/>
        <v>275928000000</v>
      </c>
      <c r="H1431" s="24">
        <f>Data!G1431</f>
        <v>541991000000</v>
      </c>
      <c r="I1431" s="25">
        <f t="shared" si="177"/>
        <v>3.3397006223350569</v>
      </c>
      <c r="J1431" s="24">
        <f>Data!J1431</f>
        <v>-4107000000</v>
      </c>
      <c r="K1431" s="24">
        <f t="shared" si="178"/>
        <v>541991000000</v>
      </c>
      <c r="L1431" s="25">
        <f t="shared" si="179"/>
        <v>-2.4703030124116451E-2</v>
      </c>
      <c r="M1431" s="24">
        <f>Data!M1431</f>
        <v>2145000000</v>
      </c>
      <c r="N1431" s="24">
        <f t="shared" si="180"/>
        <v>541991000000</v>
      </c>
      <c r="O1431" s="25">
        <f t="shared" si="181"/>
        <v>2.6595275567306464E-2</v>
      </c>
      <c r="P1431" s="24">
        <f>Data!K1431</f>
        <v>134630000000</v>
      </c>
      <c r="Q1431" s="24">
        <f>Data!I1431</f>
        <v>307361000000</v>
      </c>
      <c r="R1431" s="25">
        <f t="shared" si="182"/>
        <v>0.45992009396117273</v>
      </c>
      <c r="S1431" s="25">
        <f t="shared" si="183"/>
        <v>3.8015129617394203</v>
      </c>
    </row>
    <row r="1432" spans="1:19" ht="15" customHeight="1" x14ac:dyDescent="0.3">
      <c r="A1432" s="22"/>
      <c r="B1432" s="23">
        <v>131</v>
      </c>
      <c r="C1432" s="2" t="s">
        <v>121</v>
      </c>
      <c r="D1432" s="23">
        <v>2014</v>
      </c>
      <c r="E1432" s="24">
        <f>Data!F1432</f>
        <v>0</v>
      </c>
      <c r="F1432" s="24">
        <f>Data!H1432</f>
        <v>0</v>
      </c>
      <c r="G1432" s="24">
        <f t="shared" si="176"/>
        <v>0</v>
      </c>
      <c r="H1432" s="24">
        <f>Data!G1432</f>
        <v>0</v>
      </c>
      <c r="I1432" s="25">
        <f t="shared" si="177"/>
        <v>0</v>
      </c>
      <c r="J1432" s="24">
        <f>Data!J1432</f>
        <v>0</v>
      </c>
      <c r="K1432" s="24">
        <f t="shared" si="178"/>
        <v>0</v>
      </c>
      <c r="L1432" s="25">
        <f t="shared" si="179"/>
        <v>0</v>
      </c>
      <c r="M1432" s="24">
        <f>Data!M1432</f>
        <v>0</v>
      </c>
      <c r="N1432" s="24">
        <f t="shared" si="180"/>
        <v>0</v>
      </c>
      <c r="O1432" s="25">
        <f t="shared" si="181"/>
        <v>0</v>
      </c>
      <c r="P1432" s="24">
        <f>Data!K1432</f>
        <v>0</v>
      </c>
      <c r="Q1432" s="24">
        <f>Data!I1432</f>
        <v>0</v>
      </c>
      <c r="R1432" s="25">
        <f t="shared" si="182"/>
        <v>0</v>
      </c>
      <c r="S1432" s="25">
        <f t="shared" si="183"/>
        <v>0</v>
      </c>
    </row>
    <row r="1433" spans="1:19" ht="15" customHeight="1" x14ac:dyDescent="0.3">
      <c r="A1433" s="22"/>
      <c r="B1433" s="23"/>
      <c r="C1433" s="2"/>
      <c r="D1433" s="23">
        <v>2015</v>
      </c>
      <c r="E1433" s="24">
        <f>Data!F1433</f>
        <v>881060000000</v>
      </c>
      <c r="F1433" s="24">
        <f>Data!H1433</f>
        <v>320336000000</v>
      </c>
      <c r="G1433" s="24">
        <f t="shared" si="176"/>
        <v>560724000000</v>
      </c>
      <c r="H1433" s="24">
        <f>Data!G1433</f>
        <v>1654879000000</v>
      </c>
      <c r="I1433" s="25">
        <f t="shared" si="177"/>
        <v>2.2227301452251189</v>
      </c>
      <c r="J1433" s="24">
        <f>Data!J1433</f>
        <v>241866000000</v>
      </c>
      <c r="K1433" s="24">
        <f t="shared" si="178"/>
        <v>1654879000000</v>
      </c>
      <c r="L1433" s="25">
        <f t="shared" si="179"/>
        <v>0.47645970490893891</v>
      </c>
      <c r="M1433" s="24">
        <f>Data!M1433</f>
        <v>87834000000</v>
      </c>
      <c r="N1433" s="24">
        <f t="shared" si="180"/>
        <v>1654879000000</v>
      </c>
      <c r="O1433" s="25">
        <f t="shared" si="181"/>
        <v>0.35666926705819579</v>
      </c>
      <c r="P1433" s="24">
        <f>Data!K1433</f>
        <v>399103000000</v>
      </c>
      <c r="Q1433" s="24">
        <f>Data!I1433</f>
        <v>1255776000000</v>
      </c>
      <c r="R1433" s="25">
        <f t="shared" si="182"/>
        <v>0.33370453807048395</v>
      </c>
      <c r="S1433" s="25">
        <f t="shared" si="183"/>
        <v>3.3895636552627373</v>
      </c>
    </row>
    <row r="1434" spans="1:19" ht="15" customHeight="1" x14ac:dyDescent="0.3">
      <c r="A1434" s="22"/>
      <c r="B1434" s="23"/>
      <c r="C1434" s="2"/>
      <c r="D1434" s="23">
        <v>2016</v>
      </c>
      <c r="E1434" s="24">
        <f>Data!F1434</f>
        <v>1118280000000</v>
      </c>
      <c r="F1434" s="24">
        <f>Data!H1434</f>
        <v>336452000000</v>
      </c>
      <c r="G1434" s="24">
        <f t="shared" si="176"/>
        <v>781828000000</v>
      </c>
      <c r="H1434" s="24">
        <f>Data!G1434</f>
        <v>2081528000000</v>
      </c>
      <c r="I1434" s="25">
        <f t="shared" si="177"/>
        <v>2.4639551713933225</v>
      </c>
      <c r="J1434" s="24">
        <f>Data!J1434</f>
        <v>298356000000</v>
      </c>
      <c r="K1434" s="24">
        <f t="shared" si="178"/>
        <v>2081528000000</v>
      </c>
      <c r="L1434" s="25">
        <f t="shared" si="179"/>
        <v>0.46727238836085794</v>
      </c>
      <c r="M1434" s="24">
        <f>Data!M1434</f>
        <v>73108000000</v>
      </c>
      <c r="N1434" s="24">
        <f t="shared" si="180"/>
        <v>2081528000000</v>
      </c>
      <c r="O1434" s="25">
        <f t="shared" si="181"/>
        <v>0.23602169175720913</v>
      </c>
      <c r="P1434" s="24">
        <f>Data!K1434</f>
        <v>575593000000</v>
      </c>
      <c r="Q1434" s="24">
        <f>Data!I1434</f>
        <v>1505935000000</v>
      </c>
      <c r="R1434" s="25">
        <f t="shared" si="182"/>
        <v>0.40132718211609403</v>
      </c>
      <c r="S1434" s="25">
        <f t="shared" si="183"/>
        <v>3.5685764336274839</v>
      </c>
    </row>
    <row r="1435" spans="1:19" ht="15" customHeight="1" x14ac:dyDescent="0.3">
      <c r="A1435" s="22"/>
      <c r="B1435" s="23"/>
      <c r="C1435" s="2"/>
      <c r="D1435" s="23">
        <v>2017</v>
      </c>
      <c r="E1435" s="24">
        <f>Data!F1435</f>
        <v>1125786000000</v>
      </c>
      <c r="F1435" s="24">
        <f>Data!H1435</f>
        <v>507943000000</v>
      </c>
      <c r="G1435" s="24">
        <f t="shared" si="176"/>
        <v>617843000000</v>
      </c>
      <c r="H1435" s="24">
        <f>Data!G1435</f>
        <v>2509102000000</v>
      </c>
      <c r="I1435" s="25">
        <f t="shared" si="177"/>
        <v>1.6153389061106322</v>
      </c>
      <c r="J1435" s="24">
        <f>Data!J1435</f>
        <v>270412000000</v>
      </c>
      <c r="K1435" s="24">
        <f t="shared" si="178"/>
        <v>2509102000000</v>
      </c>
      <c r="L1435" s="25">
        <f t="shared" si="179"/>
        <v>0.3513380962591397</v>
      </c>
      <c r="M1435" s="24">
        <f>Data!M1435</f>
        <v>-32522000000</v>
      </c>
      <c r="N1435" s="24">
        <f t="shared" si="180"/>
        <v>2509102000000</v>
      </c>
      <c r="O1435" s="25">
        <f t="shared" si="181"/>
        <v>-8.7102014983846801E-2</v>
      </c>
      <c r="P1435" s="24">
        <f>Data!K1435</f>
        <v>697649000000</v>
      </c>
      <c r="Q1435" s="24">
        <f>Data!I1435</f>
        <v>1811281000000</v>
      </c>
      <c r="R1435" s="25">
        <f t="shared" si="182"/>
        <v>0.40442728102376163</v>
      </c>
      <c r="S1435" s="25">
        <f t="shared" si="183"/>
        <v>2.2840022684096866</v>
      </c>
    </row>
    <row r="1436" spans="1:19" ht="15" customHeight="1" x14ac:dyDescent="0.3">
      <c r="A1436" s="22"/>
      <c r="B1436" s="23"/>
      <c r="C1436" s="2"/>
      <c r="D1436" s="23">
        <v>2018</v>
      </c>
      <c r="E1436" s="24">
        <f>Data!F1436</f>
        <v>1277731000000</v>
      </c>
      <c r="F1436" s="24">
        <f>Data!H1436</f>
        <v>590480000000</v>
      </c>
      <c r="G1436" s="24">
        <f t="shared" si="176"/>
        <v>687251000000</v>
      </c>
      <c r="H1436" s="24">
        <f>Data!G1436</f>
        <v>3176819000000</v>
      </c>
      <c r="I1436" s="25">
        <f t="shared" si="177"/>
        <v>1.419144924529852</v>
      </c>
      <c r="J1436" s="24">
        <f>Data!J1436</f>
        <v>303340000000</v>
      </c>
      <c r="K1436" s="24">
        <f t="shared" si="178"/>
        <v>3176819000000</v>
      </c>
      <c r="L1436" s="25">
        <f t="shared" si="179"/>
        <v>0.31128257543158738</v>
      </c>
      <c r="M1436" s="24">
        <f>Data!M1436</f>
        <v>26486000000</v>
      </c>
      <c r="N1436" s="24">
        <f t="shared" si="180"/>
        <v>3176819000000</v>
      </c>
      <c r="O1436" s="25">
        <f t="shared" si="181"/>
        <v>5.6026459171894909E-2</v>
      </c>
      <c r="P1436" s="24">
        <f>Data!K1436</f>
        <v>880577000000</v>
      </c>
      <c r="Q1436" s="24">
        <f>Data!I1436</f>
        <v>2293431000000</v>
      </c>
      <c r="R1436" s="25">
        <f t="shared" si="182"/>
        <v>0.40315398632005939</v>
      </c>
      <c r="S1436" s="25">
        <f t="shared" si="183"/>
        <v>2.1896079454533934</v>
      </c>
    </row>
    <row r="1437" spans="1:19" ht="15" customHeight="1" x14ac:dyDescent="0.3">
      <c r="A1437" s="22"/>
      <c r="B1437" s="23"/>
      <c r="C1437" s="2"/>
      <c r="D1437" s="23">
        <v>2019</v>
      </c>
      <c r="E1437" s="24">
        <f>Data!F1437</f>
        <v>1675663000000</v>
      </c>
      <c r="F1437" s="24">
        <f>Data!H1437</f>
        <v>722236000000</v>
      </c>
      <c r="G1437" s="24">
        <f t="shared" si="176"/>
        <v>953427000000</v>
      </c>
      <c r="H1437" s="24">
        <f>Data!G1437</f>
        <v>3778141000000</v>
      </c>
      <c r="I1437" s="25">
        <f t="shared" si="177"/>
        <v>1.6554387779598483</v>
      </c>
      <c r="J1437" s="24">
        <f>Data!J1437</f>
        <v>389838000000</v>
      </c>
      <c r="K1437" s="24">
        <f t="shared" si="178"/>
        <v>3778141000000</v>
      </c>
      <c r="L1437" s="25">
        <f t="shared" si="179"/>
        <v>0.33637492089363524</v>
      </c>
      <c r="M1437" s="24">
        <f>Data!M1437</f>
        <v>111949000000</v>
      </c>
      <c r="N1437" s="24">
        <f t="shared" si="180"/>
        <v>3778141000000</v>
      </c>
      <c r="O1437" s="25">
        <f t="shared" si="181"/>
        <v>0.19911837064842206</v>
      </c>
      <c r="P1437" s="24">
        <f>Data!K1437</f>
        <v>998779000000</v>
      </c>
      <c r="Q1437" s="24">
        <f>Data!I1437</f>
        <v>2785559000000</v>
      </c>
      <c r="R1437" s="25">
        <f t="shared" si="182"/>
        <v>0.37648384040689864</v>
      </c>
      <c r="S1437" s="25">
        <f t="shared" si="183"/>
        <v>2.5674159099088043</v>
      </c>
    </row>
    <row r="1438" spans="1:19" ht="15" customHeight="1" x14ac:dyDescent="0.3">
      <c r="A1438" s="22"/>
      <c r="B1438" s="23"/>
      <c r="C1438" s="2"/>
      <c r="D1438" s="23">
        <v>2020</v>
      </c>
      <c r="E1438" s="24">
        <f>Data!F1438</f>
        <v>1985278000000</v>
      </c>
      <c r="F1438" s="24">
        <f>Data!H1438</f>
        <v>778127000000</v>
      </c>
      <c r="G1438" s="24">
        <f t="shared" si="176"/>
        <v>1207151000000</v>
      </c>
      <c r="H1438" s="24">
        <f>Data!G1438</f>
        <v>3977183000000</v>
      </c>
      <c r="I1438" s="25">
        <f t="shared" si="177"/>
        <v>1.9910852882555314</v>
      </c>
      <c r="J1438" s="24">
        <f>Data!J1438</f>
        <v>490334000000</v>
      </c>
      <c r="K1438" s="24">
        <f t="shared" si="178"/>
        <v>3977183000000</v>
      </c>
      <c r="L1438" s="25">
        <f t="shared" si="179"/>
        <v>0.40191483268433958</v>
      </c>
      <c r="M1438" s="24">
        <f>Data!M1438</f>
        <v>155295000000</v>
      </c>
      <c r="N1438" s="24">
        <f t="shared" si="180"/>
        <v>3977183000000</v>
      </c>
      <c r="O1438" s="25">
        <f t="shared" si="181"/>
        <v>0.26239235157145147</v>
      </c>
      <c r="P1438" s="24">
        <f>Data!K1438</f>
        <v>1105132000000</v>
      </c>
      <c r="Q1438" s="24">
        <f>Data!I1438</f>
        <v>2874147000000</v>
      </c>
      <c r="R1438" s="25">
        <f t="shared" si="182"/>
        <v>0.40373321197558792</v>
      </c>
      <c r="S1438" s="25">
        <f t="shared" si="183"/>
        <v>3.0591256844869106</v>
      </c>
    </row>
    <row r="1439" spans="1:19" ht="15" customHeight="1" x14ac:dyDescent="0.3">
      <c r="A1439" s="22"/>
      <c r="B1439" s="23"/>
      <c r="C1439" s="2"/>
      <c r="D1439" s="23">
        <v>2021</v>
      </c>
      <c r="E1439" s="24">
        <f>Data!F1439</f>
        <v>1795411000000</v>
      </c>
      <c r="F1439" s="24">
        <f>Data!H1439</f>
        <v>772513000000</v>
      </c>
      <c r="G1439" s="24">
        <f t="shared" si="176"/>
        <v>1022898000000</v>
      </c>
      <c r="H1439" s="24">
        <f>Data!G1439</f>
        <v>3813210000000</v>
      </c>
      <c r="I1439" s="25">
        <f t="shared" si="177"/>
        <v>1.7597275995814547</v>
      </c>
      <c r="J1439" s="24">
        <f>Data!J1439</f>
        <v>526107000000</v>
      </c>
      <c r="K1439" s="24">
        <f t="shared" si="178"/>
        <v>3813210000000</v>
      </c>
      <c r="L1439" s="25">
        <f t="shared" si="179"/>
        <v>0.44978084605883234</v>
      </c>
      <c r="M1439" s="24">
        <f>Data!M1439</f>
        <v>114975000000</v>
      </c>
      <c r="N1439" s="24">
        <f t="shared" si="180"/>
        <v>3813210000000</v>
      </c>
      <c r="O1439" s="25">
        <f t="shared" si="181"/>
        <v>0.2026198399773419</v>
      </c>
      <c r="P1439" s="24">
        <f>Data!K1439</f>
        <v>1143205000000</v>
      </c>
      <c r="Q1439" s="24">
        <f>Data!I1439</f>
        <v>2686359000000</v>
      </c>
      <c r="R1439" s="25">
        <f t="shared" si="182"/>
        <v>0.44683724327239954</v>
      </c>
      <c r="S1439" s="25">
        <f t="shared" si="183"/>
        <v>2.8589655288900282</v>
      </c>
    </row>
    <row r="1440" spans="1:19" ht="15" customHeight="1" x14ac:dyDescent="0.3">
      <c r="A1440" s="22"/>
      <c r="B1440" s="23"/>
      <c r="C1440" s="2"/>
      <c r="D1440" s="23">
        <v>2022</v>
      </c>
      <c r="E1440" s="24">
        <f>Data!F1440</f>
        <v>2162101000000</v>
      </c>
      <c r="F1440" s="24">
        <f>Data!H1440</f>
        <v>1001588000000</v>
      </c>
      <c r="G1440" s="24">
        <f t="shared" si="176"/>
        <v>1160513000000</v>
      </c>
      <c r="H1440" s="24">
        <f>Data!G1440</f>
        <v>4182576000000</v>
      </c>
      <c r="I1440" s="25">
        <f t="shared" si="177"/>
        <v>1.8201618524086591</v>
      </c>
      <c r="J1440" s="24">
        <f>Data!J1440</f>
        <v>542228000000</v>
      </c>
      <c r="K1440" s="24">
        <f t="shared" si="178"/>
        <v>4182576000000</v>
      </c>
      <c r="L1440" s="25">
        <f t="shared" si="179"/>
        <v>0.4226255016047526</v>
      </c>
      <c r="M1440" s="24">
        <f>Data!M1440</f>
        <v>91480000000</v>
      </c>
      <c r="N1440" s="24">
        <f t="shared" si="180"/>
        <v>4182576000000</v>
      </c>
      <c r="O1440" s="25">
        <f t="shared" si="181"/>
        <v>0.14697774768468044</v>
      </c>
      <c r="P1440" s="24">
        <f>Data!K1440</f>
        <v>1152024000000</v>
      </c>
      <c r="Q1440" s="24">
        <f>Data!I1440</f>
        <v>3049300000000</v>
      </c>
      <c r="R1440" s="25">
        <f t="shared" si="182"/>
        <v>0.3966894697143607</v>
      </c>
      <c r="S1440" s="25">
        <f t="shared" si="183"/>
        <v>2.7864545714124529</v>
      </c>
    </row>
    <row r="1441" spans="1:19" ht="15" customHeight="1" x14ac:dyDescent="0.3">
      <c r="A1441" s="22"/>
      <c r="B1441" s="23"/>
      <c r="C1441" s="2"/>
      <c r="D1441" s="23">
        <v>2023</v>
      </c>
      <c r="E1441" s="24">
        <f>Data!F1441</f>
        <v>1700474000000</v>
      </c>
      <c r="F1441" s="24">
        <f>Data!H1441</f>
        <v>753772000000</v>
      </c>
      <c r="G1441" s="24">
        <f t="shared" si="176"/>
        <v>946702000000</v>
      </c>
      <c r="H1441" s="24">
        <f>Data!G1441</f>
        <v>3974838000000</v>
      </c>
      <c r="I1441" s="25">
        <f t="shared" si="177"/>
        <v>1.5624196810033515</v>
      </c>
      <c r="J1441" s="24">
        <f>Data!J1441</f>
        <v>593810000000</v>
      </c>
      <c r="K1441" s="24">
        <f t="shared" si="178"/>
        <v>3974838000000</v>
      </c>
      <c r="L1441" s="25">
        <f t="shared" si="179"/>
        <v>0.48701874139273094</v>
      </c>
      <c r="M1441" s="24">
        <f>Data!M1441</f>
        <v>124401000000</v>
      </c>
      <c r="N1441" s="24">
        <f t="shared" si="180"/>
        <v>3974838000000</v>
      </c>
      <c r="O1441" s="25">
        <f t="shared" si="181"/>
        <v>0.21031667705702722</v>
      </c>
      <c r="P1441" s="24">
        <f>Data!K1441</f>
        <v>1201036000000</v>
      </c>
      <c r="Q1441" s="24">
        <f>Data!I1441</f>
        <v>2747046000000</v>
      </c>
      <c r="R1441" s="25">
        <f t="shared" si="182"/>
        <v>0.45907050701007557</v>
      </c>
      <c r="S1441" s="25">
        <f t="shared" si="183"/>
        <v>2.7188256064631853</v>
      </c>
    </row>
    <row r="1442" spans="1:19" ht="15" customHeight="1" x14ac:dyDescent="0.3">
      <c r="A1442" s="22"/>
      <c r="B1442" s="23"/>
      <c r="C1442" s="2"/>
      <c r="D1442" s="23">
        <v>2024</v>
      </c>
      <c r="E1442" s="24">
        <f>Data!F1442</f>
        <v>1800402000000</v>
      </c>
      <c r="F1442" s="24">
        <f>Data!H1442</f>
        <v>1211496000000</v>
      </c>
      <c r="G1442" s="24">
        <f t="shared" si="176"/>
        <v>588906000000</v>
      </c>
      <c r="H1442" s="24">
        <f>Data!G1442</f>
        <v>4478676000000</v>
      </c>
      <c r="I1442" s="25">
        <f t="shared" si="177"/>
        <v>0.86258156651653284</v>
      </c>
      <c r="J1442" s="24">
        <f>Data!J1442</f>
        <v>684628000000</v>
      </c>
      <c r="K1442" s="24">
        <f t="shared" si="178"/>
        <v>4478676000000</v>
      </c>
      <c r="L1442" s="25">
        <f t="shared" si="179"/>
        <v>0.49833640120428446</v>
      </c>
      <c r="M1442" s="24">
        <f>Data!M1442</f>
        <v>162271000000</v>
      </c>
      <c r="N1442" s="24">
        <f t="shared" si="180"/>
        <v>4478676000000</v>
      </c>
      <c r="O1442" s="25">
        <f t="shared" si="181"/>
        <v>0.24347845657957842</v>
      </c>
      <c r="P1442" s="24">
        <f>Data!K1442</f>
        <v>1289476000000</v>
      </c>
      <c r="Q1442" s="24">
        <f>Data!I1442</f>
        <v>3102337000000</v>
      </c>
      <c r="R1442" s="25">
        <f t="shared" si="182"/>
        <v>0.4364289888558206</v>
      </c>
      <c r="S1442" s="25">
        <f t="shared" si="183"/>
        <v>2.0408254131562167</v>
      </c>
    </row>
    <row r="1443" spans="1:19" ht="15" customHeight="1" x14ac:dyDescent="0.3">
      <c r="A1443" s="22"/>
      <c r="B1443" s="23">
        <v>132</v>
      </c>
      <c r="C1443" s="2" t="s">
        <v>85</v>
      </c>
      <c r="D1443" s="23">
        <v>2014</v>
      </c>
      <c r="E1443" s="24">
        <f>Data!F1443</f>
        <v>0</v>
      </c>
      <c r="F1443" s="24">
        <f>Data!H1443</f>
        <v>0</v>
      </c>
      <c r="G1443" s="24">
        <f t="shared" si="176"/>
        <v>0</v>
      </c>
      <c r="H1443" s="24">
        <f>Data!G1443</f>
        <v>0</v>
      </c>
      <c r="I1443" s="25">
        <f t="shared" si="177"/>
        <v>0</v>
      </c>
      <c r="J1443" s="24">
        <f>Data!J1443</f>
        <v>0</v>
      </c>
      <c r="K1443" s="24">
        <f t="shared" si="178"/>
        <v>0</v>
      </c>
      <c r="L1443" s="25">
        <f t="shared" si="179"/>
        <v>0</v>
      </c>
      <c r="M1443" s="24">
        <f>Data!M1443</f>
        <v>0</v>
      </c>
      <c r="N1443" s="24">
        <f t="shared" si="180"/>
        <v>0</v>
      </c>
      <c r="O1443" s="25">
        <f t="shared" si="181"/>
        <v>0</v>
      </c>
      <c r="P1443" s="24">
        <f>Data!K1443</f>
        <v>0</v>
      </c>
      <c r="Q1443" s="24">
        <f>Data!I1443</f>
        <v>0</v>
      </c>
      <c r="R1443" s="25">
        <f t="shared" si="182"/>
        <v>0</v>
      </c>
      <c r="S1443" s="25">
        <f t="shared" si="183"/>
        <v>0</v>
      </c>
    </row>
    <row r="1444" spans="1:19" ht="15" customHeight="1" x14ac:dyDescent="0.3">
      <c r="A1444" s="22"/>
      <c r="B1444" s="23"/>
      <c r="C1444" s="2"/>
      <c r="D1444" s="23">
        <v>2015</v>
      </c>
      <c r="E1444" s="24">
        <f>Data!F1444</f>
        <v>0</v>
      </c>
      <c r="F1444" s="24">
        <f>Data!H1444</f>
        <v>0</v>
      </c>
      <c r="G1444" s="24">
        <f t="shared" si="176"/>
        <v>0</v>
      </c>
      <c r="H1444" s="24">
        <f>Data!G1444</f>
        <v>0</v>
      </c>
      <c r="I1444" s="25">
        <f t="shared" si="177"/>
        <v>0</v>
      </c>
      <c r="J1444" s="24">
        <f>Data!J1444</f>
        <v>0</v>
      </c>
      <c r="K1444" s="24">
        <f t="shared" si="178"/>
        <v>0</v>
      </c>
      <c r="L1444" s="25">
        <f t="shared" si="179"/>
        <v>0</v>
      </c>
      <c r="M1444" s="24">
        <f>Data!M1444</f>
        <v>0</v>
      </c>
      <c r="N1444" s="24">
        <f t="shared" si="180"/>
        <v>0</v>
      </c>
      <c r="O1444" s="25">
        <f t="shared" si="181"/>
        <v>0</v>
      </c>
      <c r="P1444" s="24">
        <f>Data!K1444</f>
        <v>0</v>
      </c>
      <c r="Q1444" s="24">
        <f>Data!I1444</f>
        <v>0</v>
      </c>
      <c r="R1444" s="25">
        <f t="shared" si="182"/>
        <v>0</v>
      </c>
      <c r="S1444" s="25">
        <f t="shared" si="183"/>
        <v>0</v>
      </c>
    </row>
    <row r="1445" spans="1:19" ht="15" customHeight="1" x14ac:dyDescent="0.3">
      <c r="A1445" s="22"/>
      <c r="B1445" s="23"/>
      <c r="C1445" s="2"/>
      <c r="D1445" s="23">
        <v>2016</v>
      </c>
      <c r="E1445" s="24">
        <f>Data!F1445</f>
        <v>186629000000</v>
      </c>
      <c r="F1445" s="24">
        <f>Data!H1445</f>
        <v>57351000000</v>
      </c>
      <c r="G1445" s="24">
        <f t="shared" si="176"/>
        <v>129278000000</v>
      </c>
      <c r="H1445" s="24">
        <f>Data!G1445</f>
        <v>401317000000</v>
      </c>
      <c r="I1445" s="25">
        <f t="shared" si="177"/>
        <v>2.113201484113556</v>
      </c>
      <c r="J1445" s="24">
        <f>Data!J1445</f>
        <v>-174938000000</v>
      </c>
      <c r="K1445" s="24">
        <f t="shared" si="178"/>
        <v>401317000000</v>
      </c>
      <c r="L1445" s="25">
        <f t="shared" si="179"/>
        <v>-1.4210658407194312</v>
      </c>
      <c r="M1445" s="24">
        <f>Data!M1445</f>
        <v>-11015000000</v>
      </c>
      <c r="N1445" s="24">
        <f t="shared" si="180"/>
        <v>401317000000</v>
      </c>
      <c r="O1445" s="25">
        <f t="shared" si="181"/>
        <v>-0.18444471577331634</v>
      </c>
      <c r="P1445" s="24">
        <f>Data!K1445</f>
        <v>154632000000</v>
      </c>
      <c r="Q1445" s="24">
        <f>Data!I1445</f>
        <v>246684000000</v>
      </c>
      <c r="R1445" s="25">
        <f t="shared" si="182"/>
        <v>0.65818456000389158</v>
      </c>
      <c r="S1445" s="25">
        <f t="shared" si="183"/>
        <v>1.1658754876246999</v>
      </c>
    </row>
    <row r="1446" spans="1:19" ht="15" customHeight="1" x14ac:dyDescent="0.3">
      <c r="A1446" s="22"/>
      <c r="B1446" s="23"/>
      <c r="C1446" s="2"/>
      <c r="D1446" s="23">
        <v>2017</v>
      </c>
      <c r="E1446" s="24">
        <f>Data!F1446</f>
        <v>182592000000</v>
      </c>
      <c r="F1446" s="24">
        <f>Data!H1446</f>
        <v>57654000000</v>
      </c>
      <c r="G1446" s="24">
        <f t="shared" si="176"/>
        <v>124938000000</v>
      </c>
      <c r="H1446" s="24">
        <f>Data!G1446</f>
        <v>398393000000</v>
      </c>
      <c r="I1446" s="25">
        <f t="shared" si="177"/>
        <v>2.0572481946218932</v>
      </c>
      <c r="J1446" s="24">
        <f>Data!J1446</f>
        <v>-174936000000</v>
      </c>
      <c r="K1446" s="24">
        <f t="shared" si="178"/>
        <v>398393000000</v>
      </c>
      <c r="L1446" s="25">
        <f t="shared" si="179"/>
        <v>-1.4314793683623959</v>
      </c>
      <c r="M1446" s="24">
        <f>Data!M1446</f>
        <v>8543000000</v>
      </c>
      <c r="N1446" s="24">
        <f t="shared" si="180"/>
        <v>398393000000</v>
      </c>
      <c r="O1446" s="25">
        <f t="shared" si="181"/>
        <v>0.14410132708155013</v>
      </c>
      <c r="P1446" s="24">
        <f>Data!K1446</f>
        <v>156213000000</v>
      </c>
      <c r="Q1446" s="24">
        <f>Data!I1446</f>
        <v>242180000000</v>
      </c>
      <c r="R1446" s="25">
        <f t="shared" si="182"/>
        <v>0.67727991576513336</v>
      </c>
      <c r="S1446" s="25">
        <f t="shared" si="183"/>
        <v>1.4471500691061809</v>
      </c>
    </row>
    <row r="1447" spans="1:19" ht="15" customHeight="1" x14ac:dyDescent="0.3">
      <c r="A1447" s="22"/>
      <c r="B1447" s="23"/>
      <c r="C1447" s="2"/>
      <c r="D1447" s="23">
        <v>2018</v>
      </c>
      <c r="E1447" s="24">
        <f>Data!F1447</f>
        <v>223998000000</v>
      </c>
      <c r="F1447" s="24">
        <f>Data!H1447</f>
        <v>70734000000</v>
      </c>
      <c r="G1447" s="24">
        <f t="shared" si="176"/>
        <v>153264000000</v>
      </c>
      <c r="H1447" s="24">
        <f>Data!G1447</f>
        <v>424899000000</v>
      </c>
      <c r="I1447" s="25">
        <f t="shared" si="177"/>
        <v>2.3662372469692796</v>
      </c>
      <c r="J1447" s="24">
        <f>Data!J1447</f>
        <v>-203351000000</v>
      </c>
      <c r="K1447" s="24">
        <f t="shared" si="178"/>
        <v>424899000000</v>
      </c>
      <c r="L1447" s="25">
        <f t="shared" si="179"/>
        <v>-1.5601925634091867</v>
      </c>
      <c r="M1447" s="24">
        <f>Data!M1447</f>
        <v>1920000000</v>
      </c>
      <c r="N1447" s="24">
        <f t="shared" si="180"/>
        <v>424899000000</v>
      </c>
      <c r="O1447" s="25">
        <f t="shared" si="181"/>
        <v>3.0365804579441234E-2</v>
      </c>
      <c r="P1447" s="24">
        <f>Data!K1447</f>
        <v>127752000000</v>
      </c>
      <c r="Q1447" s="24">
        <f>Data!I1447</f>
        <v>297147000000</v>
      </c>
      <c r="R1447" s="25">
        <f t="shared" si="182"/>
        <v>0.45142505224686769</v>
      </c>
      <c r="S1447" s="25">
        <f t="shared" si="183"/>
        <v>1.2878355403864019</v>
      </c>
    </row>
    <row r="1448" spans="1:19" ht="15" customHeight="1" x14ac:dyDescent="0.3">
      <c r="A1448" s="22"/>
      <c r="B1448" s="23"/>
      <c r="C1448" s="2"/>
      <c r="D1448" s="23">
        <v>2019</v>
      </c>
      <c r="E1448" s="24">
        <f>Data!F1448</f>
        <v>256471000000</v>
      </c>
      <c r="F1448" s="24">
        <f>Data!H1448</f>
        <v>82558000000</v>
      </c>
      <c r="G1448" s="24">
        <f t="shared" si="176"/>
        <v>173913000000</v>
      </c>
      <c r="H1448" s="24">
        <f>Data!G1448</f>
        <v>436899000000</v>
      </c>
      <c r="I1448" s="25">
        <f t="shared" si="177"/>
        <v>2.6112883755742171</v>
      </c>
      <c r="J1448" s="24">
        <f>Data!J1448</f>
        <v>-198779000000</v>
      </c>
      <c r="K1448" s="24">
        <f t="shared" si="178"/>
        <v>436899000000</v>
      </c>
      <c r="L1448" s="25">
        <f t="shared" si="179"/>
        <v>-1.4832250474365929</v>
      </c>
      <c r="M1448" s="24">
        <f>Data!M1448</f>
        <v>6643000000</v>
      </c>
      <c r="N1448" s="24">
        <f t="shared" si="180"/>
        <v>436899000000</v>
      </c>
      <c r="O1448" s="25">
        <f t="shared" si="181"/>
        <v>0.10217684178723228</v>
      </c>
      <c r="P1448" s="24">
        <f>Data!K1448</f>
        <v>132450000000</v>
      </c>
      <c r="Q1448" s="24">
        <f>Data!I1448</f>
        <v>304449000000</v>
      </c>
      <c r="R1448" s="25">
        <f t="shared" si="182"/>
        <v>0.45680064641368506</v>
      </c>
      <c r="S1448" s="25">
        <f t="shared" si="183"/>
        <v>1.6870408163385415</v>
      </c>
    </row>
    <row r="1449" spans="1:19" ht="15" customHeight="1" x14ac:dyDescent="0.3">
      <c r="A1449" s="22"/>
      <c r="B1449" s="23"/>
      <c r="C1449" s="2"/>
      <c r="D1449" s="23">
        <v>2020</v>
      </c>
      <c r="E1449" s="24">
        <f>Data!F1449</f>
        <v>398984000000</v>
      </c>
      <c r="F1449" s="24">
        <f>Data!H1449</f>
        <v>106386000000</v>
      </c>
      <c r="G1449" s="24">
        <f t="shared" si="176"/>
        <v>292598000000</v>
      </c>
      <c r="H1449" s="24">
        <f>Data!G1449</f>
        <v>560015000000</v>
      </c>
      <c r="I1449" s="25">
        <f t="shared" si="177"/>
        <v>3.4274847638009693</v>
      </c>
      <c r="J1449" s="24">
        <f>Data!J1449</f>
        <v>8017000000</v>
      </c>
      <c r="K1449" s="24">
        <f t="shared" si="178"/>
        <v>560015000000</v>
      </c>
      <c r="L1449" s="25">
        <f t="shared" si="179"/>
        <v>4.6669142790818095E-2</v>
      </c>
      <c r="M1449" s="24">
        <f>Data!M1449</f>
        <v>12141000000</v>
      </c>
      <c r="N1449" s="24">
        <f t="shared" si="180"/>
        <v>560015000000</v>
      </c>
      <c r="O1449" s="25">
        <f t="shared" si="181"/>
        <v>0.14568809764024176</v>
      </c>
      <c r="P1449" s="24">
        <f>Data!K1449</f>
        <v>126595000000</v>
      </c>
      <c r="Q1449" s="24">
        <f>Data!I1449</f>
        <v>433419000000</v>
      </c>
      <c r="R1449" s="25">
        <f t="shared" si="182"/>
        <v>0.30668879306167934</v>
      </c>
      <c r="S1449" s="25">
        <f t="shared" si="183"/>
        <v>3.9265307972937085</v>
      </c>
    </row>
    <row r="1450" spans="1:19" ht="15" customHeight="1" x14ac:dyDescent="0.3">
      <c r="A1450" s="22"/>
      <c r="B1450" s="23"/>
      <c r="C1450" s="2"/>
      <c r="D1450" s="23">
        <v>2021</v>
      </c>
      <c r="E1450" s="24">
        <f>Data!F1450</f>
        <v>562672000000</v>
      </c>
      <c r="F1450" s="24">
        <f>Data!H1450</f>
        <v>170365000000</v>
      </c>
      <c r="G1450" s="24">
        <f t="shared" si="176"/>
        <v>392307000000</v>
      </c>
      <c r="H1450" s="24">
        <f>Data!G1450</f>
        <v>722678000000</v>
      </c>
      <c r="I1450" s="25">
        <f t="shared" si="177"/>
        <v>3.5611073258076207</v>
      </c>
      <c r="J1450" s="24">
        <f>Data!J1450</f>
        <v>15219000000</v>
      </c>
      <c r="K1450" s="24">
        <f t="shared" si="178"/>
        <v>722678000000</v>
      </c>
      <c r="L1450" s="25">
        <f t="shared" si="179"/>
        <v>6.8652899354899405E-2</v>
      </c>
      <c r="M1450" s="24">
        <f>Data!M1450</f>
        <v>14888000000</v>
      </c>
      <c r="N1450" s="24">
        <f t="shared" si="180"/>
        <v>722678000000</v>
      </c>
      <c r="O1450" s="25">
        <f t="shared" si="181"/>
        <v>0.1384397477161336</v>
      </c>
      <c r="P1450" s="24">
        <f>Data!K1450</f>
        <v>133551000000</v>
      </c>
      <c r="Q1450" s="24">
        <f>Data!I1450</f>
        <v>589127000000</v>
      </c>
      <c r="R1450" s="25">
        <f t="shared" si="182"/>
        <v>0.2380277087962358</v>
      </c>
      <c r="S1450" s="25">
        <f t="shared" si="183"/>
        <v>4.0062276816748899</v>
      </c>
    </row>
    <row r="1451" spans="1:19" ht="15" customHeight="1" x14ac:dyDescent="0.3">
      <c r="A1451" s="22"/>
      <c r="B1451" s="23"/>
      <c r="C1451" s="2"/>
      <c r="D1451" s="23">
        <v>2022</v>
      </c>
      <c r="E1451" s="24">
        <f>Data!F1451</f>
        <v>507381000000</v>
      </c>
      <c r="F1451" s="24">
        <f>Data!H1451</f>
        <v>144528000000</v>
      </c>
      <c r="G1451" s="24">
        <f t="shared" si="176"/>
        <v>362853000000</v>
      </c>
      <c r="H1451" s="24">
        <f>Data!G1451</f>
        <v>647073000000</v>
      </c>
      <c r="I1451" s="25">
        <f t="shared" si="177"/>
        <v>3.6785890927298777</v>
      </c>
      <c r="J1451" s="24">
        <f>Data!J1451</f>
        <v>6803000000</v>
      </c>
      <c r="K1451" s="24">
        <f t="shared" si="178"/>
        <v>647073000000</v>
      </c>
      <c r="L1451" s="25">
        <f t="shared" si="179"/>
        <v>3.4273999996909159E-2</v>
      </c>
      <c r="M1451" s="24">
        <f>Data!M1451</f>
        <v>-11652000000</v>
      </c>
      <c r="N1451" s="24">
        <f t="shared" si="180"/>
        <v>647073000000</v>
      </c>
      <c r="O1451" s="25">
        <f t="shared" si="181"/>
        <v>-0.12100866517379028</v>
      </c>
      <c r="P1451" s="24">
        <f>Data!K1451</f>
        <v>124944000000</v>
      </c>
      <c r="Q1451" s="24">
        <f>Data!I1451</f>
        <v>522129000000</v>
      </c>
      <c r="R1451" s="25">
        <f t="shared" si="182"/>
        <v>0.25126204443729422</v>
      </c>
      <c r="S1451" s="25">
        <f t="shared" si="183"/>
        <v>3.8431164719902906</v>
      </c>
    </row>
    <row r="1452" spans="1:19" ht="15" customHeight="1" x14ac:dyDescent="0.3">
      <c r="A1452" s="22"/>
      <c r="B1452" s="23"/>
      <c r="C1452" s="2"/>
      <c r="D1452" s="23">
        <v>2023</v>
      </c>
      <c r="E1452" s="24">
        <f>Data!F1452</f>
        <v>588792000000</v>
      </c>
      <c r="F1452" s="24">
        <f>Data!H1452</f>
        <v>243714000000</v>
      </c>
      <c r="G1452" s="24">
        <f t="shared" si="176"/>
        <v>345078000000</v>
      </c>
      <c r="H1452" s="24">
        <f>Data!G1452</f>
        <v>768681000000</v>
      </c>
      <c r="I1452" s="25">
        <f t="shared" si="177"/>
        <v>2.9449299254176959</v>
      </c>
      <c r="J1452" s="24">
        <f>Data!J1452</f>
        <v>-19110000000</v>
      </c>
      <c r="K1452" s="24">
        <f t="shared" si="178"/>
        <v>768681000000</v>
      </c>
      <c r="L1452" s="25">
        <f t="shared" si="179"/>
        <v>-8.1046103650278839E-2</v>
      </c>
      <c r="M1452" s="24">
        <f>Data!M1452</f>
        <v>-27214000000</v>
      </c>
      <c r="N1452" s="24">
        <f t="shared" si="180"/>
        <v>768681000000</v>
      </c>
      <c r="O1452" s="25">
        <f t="shared" si="181"/>
        <v>-0.23791153937719287</v>
      </c>
      <c r="P1452" s="24">
        <f>Data!K1452</f>
        <v>132362000000</v>
      </c>
      <c r="Q1452" s="24">
        <f>Data!I1452</f>
        <v>636319000000</v>
      </c>
      <c r="R1452" s="25">
        <f t="shared" si="182"/>
        <v>0.21841262008520884</v>
      </c>
      <c r="S1452" s="25">
        <f t="shared" si="183"/>
        <v>2.8443849024754333</v>
      </c>
    </row>
    <row r="1453" spans="1:19" ht="15" customHeight="1" x14ac:dyDescent="0.3">
      <c r="A1453" s="22"/>
      <c r="B1453" s="23"/>
      <c r="C1453" s="2"/>
      <c r="D1453" s="23">
        <v>2024</v>
      </c>
      <c r="E1453" s="24">
        <f>Data!F1453</f>
        <v>412101000000</v>
      </c>
      <c r="F1453" s="24">
        <f>Data!H1453</f>
        <v>109169000000</v>
      </c>
      <c r="G1453" s="24">
        <f t="shared" si="176"/>
        <v>302932000000</v>
      </c>
      <c r="H1453" s="24">
        <f>Data!G1453</f>
        <v>660490000000</v>
      </c>
      <c r="I1453" s="25">
        <f t="shared" si="177"/>
        <v>3.0087267331829399</v>
      </c>
      <c r="J1453" s="24">
        <f>Data!J1453</f>
        <v>-15613000000</v>
      </c>
      <c r="K1453" s="24">
        <f t="shared" si="178"/>
        <v>660490000000</v>
      </c>
      <c r="L1453" s="25">
        <f t="shared" si="179"/>
        <v>-7.7061545216430216E-2</v>
      </c>
      <c r="M1453" s="24">
        <f>Data!M1453</f>
        <v>4710000000</v>
      </c>
      <c r="N1453" s="24">
        <f t="shared" si="180"/>
        <v>660490000000</v>
      </c>
      <c r="O1453" s="25">
        <f t="shared" si="181"/>
        <v>4.7920786083059545E-2</v>
      </c>
      <c r="P1453" s="24">
        <f>Data!K1453</f>
        <v>167859000000</v>
      </c>
      <c r="Q1453" s="24">
        <f>Data!I1453</f>
        <v>477631000000</v>
      </c>
      <c r="R1453" s="25">
        <f t="shared" si="182"/>
        <v>0.36901279439567364</v>
      </c>
      <c r="S1453" s="25">
        <f t="shared" si="183"/>
        <v>3.348598768445243</v>
      </c>
    </row>
    <row r="1454" spans="1:19" ht="15" customHeight="1" x14ac:dyDescent="0.3">
      <c r="A1454" s="22"/>
      <c r="B1454" s="23">
        <v>133</v>
      </c>
      <c r="C1454" s="1" t="s">
        <v>126</v>
      </c>
      <c r="D1454" s="23">
        <v>2014</v>
      </c>
      <c r="E1454" s="24">
        <f>Data!F1454</f>
        <v>0</v>
      </c>
      <c r="F1454" s="24">
        <f>Data!H1454</f>
        <v>0</v>
      </c>
      <c r="G1454" s="24">
        <f t="shared" si="176"/>
        <v>0</v>
      </c>
      <c r="H1454" s="24">
        <f>Data!G1454</f>
        <v>0</v>
      </c>
      <c r="I1454" s="25">
        <f t="shared" si="177"/>
        <v>0</v>
      </c>
      <c r="J1454" s="24">
        <f>Data!J1454</f>
        <v>0</v>
      </c>
      <c r="K1454" s="24">
        <f t="shared" si="178"/>
        <v>0</v>
      </c>
      <c r="L1454" s="25">
        <f t="shared" si="179"/>
        <v>0</v>
      </c>
      <c r="M1454" s="24">
        <f>Data!M1454</f>
        <v>0</v>
      </c>
      <c r="N1454" s="24">
        <f t="shared" si="180"/>
        <v>0</v>
      </c>
      <c r="O1454" s="25">
        <f t="shared" si="181"/>
        <v>0</v>
      </c>
      <c r="P1454" s="24">
        <f>Data!K1454</f>
        <v>0</v>
      </c>
      <c r="Q1454" s="24">
        <f>Data!I1454</f>
        <v>0</v>
      </c>
      <c r="R1454" s="25">
        <f t="shared" si="182"/>
        <v>0</v>
      </c>
      <c r="S1454" s="25">
        <f t="shared" si="183"/>
        <v>0</v>
      </c>
    </row>
    <row r="1455" spans="1:19" ht="15" customHeight="1" x14ac:dyDescent="0.3">
      <c r="A1455" s="22"/>
      <c r="B1455" s="23"/>
      <c r="C1455" s="1"/>
      <c r="D1455" s="23">
        <v>2015</v>
      </c>
      <c r="E1455" s="24">
        <f>Data!F1455</f>
        <v>39898707262</v>
      </c>
      <c r="F1455" s="24">
        <f>Data!H1455</f>
        <v>12834962871</v>
      </c>
      <c r="G1455" s="24">
        <f t="shared" si="176"/>
        <v>27063744391</v>
      </c>
      <c r="H1455" s="24">
        <f>Data!G1455</f>
        <v>210608052893</v>
      </c>
      <c r="I1455" s="25">
        <f t="shared" si="177"/>
        <v>0.84297898758486101</v>
      </c>
      <c r="J1455" s="24">
        <f>Data!J1455</f>
        <v>16972647930</v>
      </c>
      <c r="K1455" s="24">
        <f t="shared" si="178"/>
        <v>210608052893</v>
      </c>
      <c r="L1455" s="25">
        <f t="shared" si="179"/>
        <v>0.26271945204256258</v>
      </c>
      <c r="M1455" s="24">
        <f>Data!M1455</f>
        <v>17301120684</v>
      </c>
      <c r="N1455" s="24">
        <f t="shared" si="180"/>
        <v>210608052893</v>
      </c>
      <c r="O1455" s="25">
        <f t="shared" si="181"/>
        <v>0.5520374430105387</v>
      </c>
      <c r="P1455" s="24">
        <f>Data!K1455</f>
        <v>164579537109</v>
      </c>
      <c r="Q1455" s="24">
        <f>Data!I1455</f>
        <v>46028515784</v>
      </c>
      <c r="R1455" s="25">
        <f t="shared" si="182"/>
        <v>3.7543794541495967</v>
      </c>
      <c r="S1455" s="25">
        <f t="shared" si="183"/>
        <v>5.4121153367875596</v>
      </c>
    </row>
    <row r="1456" spans="1:19" ht="15" customHeight="1" x14ac:dyDescent="0.3">
      <c r="A1456" s="22"/>
      <c r="B1456" s="23"/>
      <c r="C1456" s="1"/>
      <c r="D1456" s="23">
        <v>2016</v>
      </c>
      <c r="E1456" s="24">
        <f>Data!F1456</f>
        <v>59762246874</v>
      </c>
      <c r="F1456" s="24">
        <f>Data!H1456</f>
        <v>19776400996</v>
      </c>
      <c r="G1456" s="24">
        <f t="shared" si="176"/>
        <v>39985845878</v>
      </c>
      <c r="H1456" s="24">
        <f>Data!G1456</f>
        <v>233874624756</v>
      </c>
      <c r="I1456" s="25">
        <f t="shared" si="177"/>
        <v>1.1215716507652058</v>
      </c>
      <c r="J1456" s="24">
        <f>Data!J1456</f>
        <v>24965013084</v>
      </c>
      <c r="K1456" s="24">
        <f t="shared" si="178"/>
        <v>233874624756</v>
      </c>
      <c r="L1456" s="25">
        <f t="shared" si="179"/>
        <v>0.34798962366588276</v>
      </c>
      <c r="M1456" s="24">
        <f>Data!M1456</f>
        <v>8233897795</v>
      </c>
      <c r="N1456" s="24">
        <f t="shared" si="180"/>
        <v>233874624756</v>
      </c>
      <c r="O1456" s="25">
        <f t="shared" si="181"/>
        <v>0.23658741618560511</v>
      </c>
      <c r="P1456" s="24">
        <f>Data!K1456</f>
        <v>167266283353</v>
      </c>
      <c r="Q1456" s="24">
        <f>Data!I1456</f>
        <v>66608341403</v>
      </c>
      <c r="R1456" s="25">
        <f t="shared" si="182"/>
        <v>2.6367508005947702</v>
      </c>
      <c r="S1456" s="25">
        <f t="shared" si="183"/>
        <v>4.3428994912114636</v>
      </c>
    </row>
    <row r="1457" spans="1:19" ht="15" customHeight="1" x14ac:dyDescent="0.3">
      <c r="A1457" s="22"/>
      <c r="B1457" s="23"/>
      <c r="C1457" s="1"/>
      <c r="D1457" s="23">
        <v>2017</v>
      </c>
      <c r="E1457" s="24">
        <f>Data!F1457</f>
        <v>53451632502</v>
      </c>
      <c r="F1457" s="24">
        <f>Data!H1457</f>
        <v>10324939192</v>
      </c>
      <c r="G1457" s="24">
        <f t="shared" si="176"/>
        <v>43126693310</v>
      </c>
      <c r="H1457" s="24">
        <f>Data!G1457</f>
        <v>253642764681</v>
      </c>
      <c r="I1457" s="25">
        <f t="shared" si="177"/>
        <v>1.1153919902639842</v>
      </c>
      <c r="J1457" s="24">
        <f>Data!J1457</f>
        <v>33781005588</v>
      </c>
      <c r="K1457" s="24">
        <f t="shared" si="178"/>
        <v>253642764681</v>
      </c>
      <c r="L1457" s="25">
        <f t="shared" si="179"/>
        <v>0.43417788146010294</v>
      </c>
      <c r="M1457" s="24">
        <f>Data!M1457</f>
        <v>8512528406</v>
      </c>
      <c r="N1457" s="24">
        <f t="shared" si="180"/>
        <v>253642764681</v>
      </c>
      <c r="O1457" s="25">
        <f t="shared" si="181"/>
        <v>0.22553054474179163</v>
      </c>
      <c r="P1457" s="24">
        <f>Data!K1457</f>
        <v>189901877562</v>
      </c>
      <c r="Q1457" s="24">
        <f>Data!I1457</f>
        <v>63740887119</v>
      </c>
      <c r="R1457" s="25">
        <f t="shared" si="182"/>
        <v>3.1282428038354584</v>
      </c>
      <c r="S1457" s="25">
        <f t="shared" si="183"/>
        <v>4.9033432203013376</v>
      </c>
    </row>
    <row r="1458" spans="1:19" ht="15" customHeight="1" x14ac:dyDescent="0.3">
      <c r="A1458" s="22"/>
      <c r="B1458" s="23"/>
      <c r="C1458" s="1"/>
      <c r="D1458" s="23">
        <v>2018</v>
      </c>
      <c r="E1458" s="24">
        <f>Data!F1458</f>
        <v>70744222370</v>
      </c>
      <c r="F1458" s="24">
        <f>Data!H1458</f>
        <v>17354538655</v>
      </c>
      <c r="G1458" s="24">
        <f t="shared" si="176"/>
        <v>53389683715</v>
      </c>
      <c r="H1458" s="24">
        <f>Data!G1458</f>
        <v>262118630829</v>
      </c>
      <c r="I1458" s="25">
        <f t="shared" si="177"/>
        <v>1.3361748612172704</v>
      </c>
      <c r="J1458" s="24">
        <f>Data!J1458</f>
        <v>35572209533</v>
      </c>
      <c r="K1458" s="24">
        <f t="shared" si="178"/>
        <v>262118630829</v>
      </c>
      <c r="L1458" s="25">
        <f t="shared" si="179"/>
        <v>0.44241572112145316</v>
      </c>
      <c r="M1458" s="24">
        <f>Data!M1458</f>
        <v>4793298009</v>
      </c>
      <c r="N1458" s="24">
        <f t="shared" si="180"/>
        <v>262118630829</v>
      </c>
      <c r="O1458" s="25">
        <f t="shared" si="181"/>
        <v>0.12288696350429845</v>
      </c>
      <c r="P1458" s="24">
        <f>Data!K1458</f>
        <v>179728315478</v>
      </c>
      <c r="Q1458" s="24">
        <f>Data!I1458</f>
        <v>82390315351</v>
      </c>
      <c r="R1458" s="25">
        <f t="shared" si="182"/>
        <v>2.2904965279952592</v>
      </c>
      <c r="S1458" s="25">
        <f t="shared" si="183"/>
        <v>4.1919740738382814</v>
      </c>
    </row>
    <row r="1459" spans="1:19" ht="15" customHeight="1" x14ac:dyDescent="0.3">
      <c r="A1459" s="22"/>
      <c r="B1459" s="23"/>
      <c r="C1459" s="1"/>
      <c r="D1459" s="23">
        <v>2019</v>
      </c>
      <c r="E1459" s="24">
        <f>Data!F1459</f>
        <v>89149527138</v>
      </c>
      <c r="F1459" s="24">
        <f>Data!H1459</f>
        <v>21767693289</v>
      </c>
      <c r="G1459" s="24">
        <f t="shared" si="176"/>
        <v>67381833849</v>
      </c>
      <c r="H1459" s="24">
        <f>Data!G1459</f>
        <v>284170955431</v>
      </c>
      <c r="I1459" s="25">
        <f t="shared" si="177"/>
        <v>1.5554891223102802</v>
      </c>
      <c r="J1459" s="24">
        <f>Data!J1459</f>
        <v>44673196590</v>
      </c>
      <c r="K1459" s="24">
        <f t="shared" si="178"/>
        <v>284170955431</v>
      </c>
      <c r="L1459" s="25">
        <f t="shared" si="179"/>
        <v>0.51248946488045211</v>
      </c>
      <c r="M1459" s="24">
        <f>Data!M1459</f>
        <v>22060135701</v>
      </c>
      <c r="N1459" s="24">
        <f t="shared" si="180"/>
        <v>284170955431</v>
      </c>
      <c r="O1459" s="25">
        <f t="shared" si="181"/>
        <v>0.52167228591633941</v>
      </c>
      <c r="P1459" s="24">
        <f>Data!K1459</f>
        <v>186332264743</v>
      </c>
      <c r="Q1459" s="24">
        <f>Data!I1459</f>
        <v>97838690688</v>
      </c>
      <c r="R1459" s="25">
        <f t="shared" si="182"/>
        <v>1.999708669488016</v>
      </c>
      <c r="S1459" s="25">
        <f t="shared" si="183"/>
        <v>4.5893595425950879</v>
      </c>
    </row>
    <row r="1460" spans="1:19" ht="15" customHeight="1" x14ac:dyDescent="0.3">
      <c r="A1460" s="22"/>
      <c r="B1460" s="23"/>
      <c r="C1460" s="1"/>
      <c r="D1460" s="23">
        <v>2020</v>
      </c>
      <c r="E1460" s="24">
        <f>Data!F1460</f>
        <v>138815072577</v>
      </c>
      <c r="F1460" s="24">
        <f>Data!H1460</f>
        <v>52725666469</v>
      </c>
      <c r="G1460" s="24">
        <f t="shared" si="176"/>
        <v>86089406108</v>
      </c>
      <c r="H1460" s="24">
        <f>Data!G1460</f>
        <v>322342387320</v>
      </c>
      <c r="I1460" s="25">
        <f t="shared" si="177"/>
        <v>1.7520081946524686</v>
      </c>
      <c r="J1460" s="24">
        <f>Data!J1460</f>
        <v>36883225429</v>
      </c>
      <c r="K1460" s="24">
        <f t="shared" si="178"/>
        <v>322342387320</v>
      </c>
      <c r="L1460" s="25">
        <f t="shared" si="179"/>
        <v>0.37301738656906586</v>
      </c>
      <c r="M1460" s="24">
        <f>Data!M1460</f>
        <v>6347499499</v>
      </c>
      <c r="N1460" s="24">
        <f t="shared" si="180"/>
        <v>322342387320</v>
      </c>
      <c r="O1460" s="25">
        <f t="shared" si="181"/>
        <v>0.13232884755840307</v>
      </c>
      <c r="P1460" s="24">
        <f>Data!K1460</f>
        <v>184247090444</v>
      </c>
      <c r="Q1460" s="24">
        <f>Data!I1460</f>
        <v>138095296876</v>
      </c>
      <c r="R1460" s="25">
        <f t="shared" si="182"/>
        <v>1.4009126258652616</v>
      </c>
      <c r="S1460" s="25">
        <f t="shared" si="183"/>
        <v>3.658267054645199</v>
      </c>
    </row>
    <row r="1461" spans="1:19" ht="15" customHeight="1" x14ac:dyDescent="0.3">
      <c r="A1461" s="22"/>
      <c r="B1461" s="23"/>
      <c r="C1461" s="1"/>
      <c r="D1461" s="23">
        <v>2021</v>
      </c>
      <c r="E1461" s="24">
        <f>Data!F1461</f>
        <v>113146407055</v>
      </c>
      <c r="F1461" s="24">
        <f>Data!H1461</f>
        <v>35457622256</v>
      </c>
      <c r="G1461" s="24">
        <f t="shared" si="176"/>
        <v>77688784799</v>
      </c>
      <c r="H1461" s="24">
        <f>Data!G1461</f>
        <v>356588372475</v>
      </c>
      <c r="I1461" s="25">
        <f t="shared" si="177"/>
        <v>1.4292065238811738</v>
      </c>
      <c r="J1461" s="24">
        <f>Data!J1461</f>
        <v>44382884486</v>
      </c>
      <c r="K1461" s="24">
        <f t="shared" si="178"/>
        <v>356588372475</v>
      </c>
      <c r="L1461" s="25">
        <f t="shared" si="179"/>
        <v>0.40575693037916966</v>
      </c>
      <c r="M1461" s="24">
        <f>Data!M1461</f>
        <v>11680236491</v>
      </c>
      <c r="N1461" s="24">
        <f t="shared" si="180"/>
        <v>356588372475</v>
      </c>
      <c r="O1461" s="25">
        <f t="shared" si="181"/>
        <v>0.22011707413433099</v>
      </c>
      <c r="P1461" s="24">
        <f>Data!K1461</f>
        <v>240603959637</v>
      </c>
      <c r="Q1461" s="24">
        <f>Data!I1461</f>
        <v>115984412838</v>
      </c>
      <c r="R1461" s="25">
        <f t="shared" si="182"/>
        <v>2.1781733548258257</v>
      </c>
      <c r="S1461" s="25">
        <f t="shared" si="183"/>
        <v>4.2332538832205007</v>
      </c>
    </row>
    <row r="1462" spans="1:19" ht="15" customHeight="1" x14ac:dyDescent="0.3">
      <c r="A1462" s="22"/>
      <c r="B1462" s="23"/>
      <c r="C1462" s="1"/>
      <c r="D1462" s="23">
        <v>2022</v>
      </c>
      <c r="E1462" s="24">
        <f>Data!F1462</f>
        <v>98785150128</v>
      </c>
      <c r="F1462" s="24">
        <f>Data!H1462</f>
        <v>33484760572</v>
      </c>
      <c r="G1462" s="24">
        <f t="shared" si="176"/>
        <v>65300389556</v>
      </c>
      <c r="H1462" s="24">
        <f>Data!G1462</f>
        <v>297046208202</v>
      </c>
      <c r="I1462" s="25">
        <f t="shared" si="177"/>
        <v>1.4421007360445941</v>
      </c>
      <c r="J1462" s="24">
        <f>Data!J1462</f>
        <v>48077483239</v>
      </c>
      <c r="K1462" s="24">
        <f t="shared" si="178"/>
        <v>297046208202</v>
      </c>
      <c r="L1462" s="25">
        <f t="shared" si="179"/>
        <v>0.52763708484222527</v>
      </c>
      <c r="M1462" s="24">
        <f>Data!M1462</f>
        <v>9150484402</v>
      </c>
      <c r="N1462" s="24">
        <f t="shared" si="180"/>
        <v>297046208202</v>
      </c>
      <c r="O1462" s="25">
        <f t="shared" si="181"/>
        <v>0.20700905611164766</v>
      </c>
      <c r="P1462" s="24">
        <f>Data!K1462</f>
        <v>186535177545</v>
      </c>
      <c r="Q1462" s="24">
        <f>Data!I1462</f>
        <v>110511030657</v>
      </c>
      <c r="R1462" s="25">
        <f t="shared" si="182"/>
        <v>1.7723292892829763</v>
      </c>
      <c r="S1462" s="25">
        <f t="shared" si="183"/>
        <v>3.9490761662814431</v>
      </c>
    </row>
    <row r="1463" spans="1:19" ht="15" customHeight="1" x14ac:dyDescent="0.3">
      <c r="A1463" s="22"/>
      <c r="B1463" s="23"/>
      <c r="C1463" s="1"/>
      <c r="D1463" s="23">
        <v>2023</v>
      </c>
      <c r="E1463" s="24">
        <f>Data!F1463</f>
        <v>77505169135</v>
      </c>
      <c r="F1463" s="24">
        <f>Data!H1463</f>
        <v>27225512194</v>
      </c>
      <c r="G1463" s="24">
        <f t="shared" si="176"/>
        <v>50279656941</v>
      </c>
      <c r="H1463" s="24">
        <f>Data!G1463</f>
        <v>242935248490</v>
      </c>
      <c r="I1463" s="25">
        <f t="shared" si="177"/>
        <v>1.3577056091411002</v>
      </c>
      <c r="J1463" s="24">
        <f>Data!J1463</f>
        <v>47686846703</v>
      </c>
      <c r="K1463" s="24">
        <f t="shared" si="178"/>
        <v>242935248490</v>
      </c>
      <c r="L1463" s="25">
        <f t="shared" si="179"/>
        <v>0.63991998369137115</v>
      </c>
      <c r="M1463" s="24">
        <f>Data!M1463</f>
        <v>6278483242</v>
      </c>
      <c r="N1463" s="24">
        <f t="shared" si="180"/>
        <v>242935248490</v>
      </c>
      <c r="O1463" s="25">
        <f t="shared" si="181"/>
        <v>0.17367346915890935</v>
      </c>
      <c r="P1463" s="24">
        <f>Data!K1463</f>
        <v>153629532490</v>
      </c>
      <c r="Q1463" s="24">
        <f>Data!I1463</f>
        <v>89305716000</v>
      </c>
      <c r="R1463" s="25">
        <f t="shared" si="182"/>
        <v>1.80627866098179</v>
      </c>
      <c r="S1463" s="25">
        <f t="shared" si="183"/>
        <v>3.9775777229731708</v>
      </c>
    </row>
    <row r="1464" spans="1:19" ht="15" customHeight="1" x14ac:dyDescent="0.3">
      <c r="A1464" s="22"/>
      <c r="B1464" s="23"/>
      <c r="C1464" s="1"/>
      <c r="D1464" s="23">
        <v>2024</v>
      </c>
      <c r="E1464" s="24">
        <f>Data!F1464</f>
        <v>76076170724</v>
      </c>
      <c r="F1464" s="24">
        <f>Data!H1464</f>
        <v>34649582666</v>
      </c>
      <c r="G1464" s="24">
        <f t="shared" si="176"/>
        <v>41426588058</v>
      </c>
      <c r="H1464" s="24">
        <f>Data!G1464</f>
        <v>243101289401</v>
      </c>
      <c r="I1464" s="25">
        <f t="shared" si="177"/>
        <v>1.1178814325917026</v>
      </c>
      <c r="J1464" s="24">
        <f>Data!J1464</f>
        <v>54707331499</v>
      </c>
      <c r="K1464" s="24">
        <f t="shared" si="178"/>
        <v>243101289401</v>
      </c>
      <c r="L1464" s="25">
        <f t="shared" si="179"/>
        <v>0.7336279504159896</v>
      </c>
      <c r="M1464" s="24">
        <f>Data!M1464</f>
        <v>7436551047</v>
      </c>
      <c r="N1464" s="24">
        <f t="shared" si="180"/>
        <v>243101289401</v>
      </c>
      <c r="O1464" s="25">
        <f t="shared" si="181"/>
        <v>0.20556708341191723</v>
      </c>
      <c r="P1464" s="24">
        <f>Data!K1464</f>
        <v>152114722955</v>
      </c>
      <c r="Q1464" s="24">
        <f>Data!I1464</f>
        <v>90986566446</v>
      </c>
      <c r="R1464" s="25">
        <f t="shared" si="182"/>
        <v>1.7554290192667419</v>
      </c>
      <c r="S1464" s="25">
        <f t="shared" si="183"/>
        <v>3.8125054856863514</v>
      </c>
    </row>
    <row r="1465" spans="1:19" ht="15" customHeight="1" x14ac:dyDescent="0.3">
      <c r="A1465" s="22"/>
      <c r="B1465" s="23">
        <v>134</v>
      </c>
      <c r="C1465" s="2" t="s">
        <v>95</v>
      </c>
      <c r="D1465" s="23">
        <v>2014</v>
      </c>
      <c r="E1465" s="24">
        <f>Data!F1465</f>
        <v>0</v>
      </c>
      <c r="F1465" s="24">
        <f>Data!H1465</f>
        <v>0</v>
      </c>
      <c r="G1465" s="24">
        <f t="shared" si="176"/>
        <v>0</v>
      </c>
      <c r="H1465" s="24">
        <f>Data!G1465</f>
        <v>0</v>
      </c>
      <c r="I1465" s="25">
        <f t="shared" si="177"/>
        <v>0</v>
      </c>
      <c r="J1465" s="24">
        <f>Data!J1465</f>
        <v>0</v>
      </c>
      <c r="K1465" s="24">
        <f t="shared" si="178"/>
        <v>0</v>
      </c>
      <c r="L1465" s="25">
        <f t="shared" si="179"/>
        <v>0</v>
      </c>
      <c r="M1465" s="24">
        <f>Data!M1465</f>
        <v>0</v>
      </c>
      <c r="N1465" s="24">
        <f t="shared" si="180"/>
        <v>0</v>
      </c>
      <c r="O1465" s="25">
        <f t="shared" si="181"/>
        <v>0</v>
      </c>
      <c r="P1465" s="24">
        <f>Data!K1465</f>
        <v>0</v>
      </c>
      <c r="Q1465" s="24">
        <f>Data!I1465</f>
        <v>0</v>
      </c>
      <c r="R1465" s="25">
        <f t="shared" si="182"/>
        <v>0</v>
      </c>
      <c r="S1465" s="25">
        <f t="shared" si="183"/>
        <v>0</v>
      </c>
    </row>
    <row r="1466" spans="1:19" ht="15" customHeight="1" x14ac:dyDescent="0.3">
      <c r="A1466" s="22"/>
      <c r="B1466" s="23"/>
      <c r="C1466" s="2"/>
      <c r="D1466" s="23">
        <v>2015</v>
      </c>
      <c r="E1466" s="24">
        <f>Data!F1466</f>
        <v>0</v>
      </c>
      <c r="F1466" s="24">
        <f>Data!H1466</f>
        <v>0</v>
      </c>
      <c r="G1466" s="24">
        <f t="shared" si="176"/>
        <v>0</v>
      </c>
      <c r="H1466" s="24">
        <f>Data!G1466</f>
        <v>0</v>
      </c>
      <c r="I1466" s="25">
        <f t="shared" si="177"/>
        <v>0</v>
      </c>
      <c r="J1466" s="24">
        <f>Data!J1466</f>
        <v>0</v>
      </c>
      <c r="K1466" s="24">
        <f t="shared" si="178"/>
        <v>0</v>
      </c>
      <c r="L1466" s="25">
        <f t="shared" si="179"/>
        <v>0</v>
      </c>
      <c r="M1466" s="24">
        <f>Data!M1466</f>
        <v>0</v>
      </c>
      <c r="N1466" s="24">
        <f t="shared" si="180"/>
        <v>0</v>
      </c>
      <c r="O1466" s="25">
        <f t="shared" si="181"/>
        <v>0</v>
      </c>
      <c r="P1466" s="24">
        <f>Data!K1466</f>
        <v>0</v>
      </c>
      <c r="Q1466" s="24">
        <f>Data!I1466</f>
        <v>0</v>
      </c>
      <c r="R1466" s="25">
        <f t="shared" si="182"/>
        <v>0</v>
      </c>
      <c r="S1466" s="25">
        <f t="shared" si="183"/>
        <v>0</v>
      </c>
    </row>
    <row r="1467" spans="1:19" ht="15" customHeight="1" x14ac:dyDescent="0.3">
      <c r="A1467" s="22"/>
      <c r="B1467" s="23"/>
      <c r="C1467" s="2"/>
      <c r="D1467" s="23">
        <v>2016</v>
      </c>
      <c r="E1467" s="24">
        <f>Data!F1467</f>
        <v>0</v>
      </c>
      <c r="F1467" s="24">
        <f>Data!H1467</f>
        <v>0</v>
      </c>
      <c r="G1467" s="24">
        <f t="shared" si="176"/>
        <v>0</v>
      </c>
      <c r="H1467" s="24">
        <f>Data!G1467</f>
        <v>0</v>
      </c>
      <c r="I1467" s="25">
        <f t="shared" si="177"/>
        <v>0</v>
      </c>
      <c r="J1467" s="24">
        <f>Data!J1467</f>
        <v>0</v>
      </c>
      <c r="K1467" s="24">
        <f t="shared" si="178"/>
        <v>0</v>
      </c>
      <c r="L1467" s="25">
        <f t="shared" si="179"/>
        <v>0</v>
      </c>
      <c r="M1467" s="24">
        <f>Data!M1467</f>
        <v>0</v>
      </c>
      <c r="N1467" s="24">
        <f t="shared" si="180"/>
        <v>0</v>
      </c>
      <c r="O1467" s="25">
        <f t="shared" si="181"/>
        <v>0</v>
      </c>
      <c r="P1467" s="24">
        <f>Data!K1467</f>
        <v>0</v>
      </c>
      <c r="Q1467" s="24">
        <f>Data!I1467</f>
        <v>0</v>
      </c>
      <c r="R1467" s="25">
        <f t="shared" si="182"/>
        <v>0</v>
      </c>
      <c r="S1467" s="25">
        <f t="shared" si="183"/>
        <v>0</v>
      </c>
    </row>
    <row r="1468" spans="1:19" ht="15" customHeight="1" x14ac:dyDescent="0.3">
      <c r="A1468" s="22"/>
      <c r="B1468" s="23"/>
      <c r="C1468" s="2"/>
      <c r="D1468" s="23">
        <v>2017</v>
      </c>
      <c r="E1468" s="24">
        <f>Data!F1468</f>
        <v>0</v>
      </c>
      <c r="F1468" s="24">
        <f>Data!H1468</f>
        <v>0</v>
      </c>
      <c r="G1468" s="24">
        <f t="shared" si="176"/>
        <v>0</v>
      </c>
      <c r="H1468" s="24">
        <f>Data!G1468</f>
        <v>0</v>
      </c>
      <c r="I1468" s="25">
        <f t="shared" si="177"/>
        <v>0</v>
      </c>
      <c r="J1468" s="24">
        <f>Data!J1468</f>
        <v>0</v>
      </c>
      <c r="K1468" s="24">
        <f t="shared" si="178"/>
        <v>0</v>
      </c>
      <c r="L1468" s="25">
        <f t="shared" si="179"/>
        <v>0</v>
      </c>
      <c r="M1468" s="24">
        <f>Data!M1468</f>
        <v>0</v>
      </c>
      <c r="N1468" s="24">
        <f t="shared" si="180"/>
        <v>0</v>
      </c>
      <c r="O1468" s="25">
        <f t="shared" si="181"/>
        <v>0</v>
      </c>
      <c r="P1468" s="24">
        <f>Data!K1468</f>
        <v>0</v>
      </c>
      <c r="Q1468" s="24">
        <f>Data!I1468</f>
        <v>0</v>
      </c>
      <c r="R1468" s="25">
        <f t="shared" si="182"/>
        <v>0</v>
      </c>
      <c r="S1468" s="25">
        <f t="shared" si="183"/>
        <v>0</v>
      </c>
    </row>
    <row r="1469" spans="1:19" ht="15" customHeight="1" x14ac:dyDescent="0.3">
      <c r="A1469" s="22"/>
      <c r="B1469" s="23"/>
      <c r="C1469" s="2"/>
      <c r="D1469" s="23">
        <v>2018</v>
      </c>
      <c r="E1469" s="24">
        <f>Data!F1469</f>
        <v>0</v>
      </c>
      <c r="F1469" s="24">
        <f>Data!H1469</f>
        <v>0</v>
      </c>
      <c r="G1469" s="24">
        <f t="shared" si="176"/>
        <v>0</v>
      </c>
      <c r="H1469" s="24">
        <f>Data!G1469</f>
        <v>0</v>
      </c>
      <c r="I1469" s="25">
        <f t="shared" si="177"/>
        <v>0</v>
      </c>
      <c r="J1469" s="24">
        <f>Data!J1469</f>
        <v>0</v>
      </c>
      <c r="K1469" s="24">
        <f t="shared" si="178"/>
        <v>0</v>
      </c>
      <c r="L1469" s="25">
        <f t="shared" si="179"/>
        <v>0</v>
      </c>
      <c r="M1469" s="24">
        <f>Data!M1469</f>
        <v>0</v>
      </c>
      <c r="N1469" s="24">
        <f t="shared" si="180"/>
        <v>0</v>
      </c>
      <c r="O1469" s="25">
        <f t="shared" si="181"/>
        <v>0</v>
      </c>
      <c r="P1469" s="24">
        <f>Data!K1469</f>
        <v>0</v>
      </c>
      <c r="Q1469" s="24">
        <f>Data!I1469</f>
        <v>0</v>
      </c>
      <c r="R1469" s="25">
        <f t="shared" si="182"/>
        <v>0</v>
      </c>
      <c r="S1469" s="25">
        <f t="shared" si="183"/>
        <v>0</v>
      </c>
    </row>
    <row r="1470" spans="1:19" ht="15" customHeight="1" x14ac:dyDescent="0.3">
      <c r="A1470" s="22"/>
      <c r="B1470" s="23"/>
      <c r="C1470" s="2"/>
      <c r="D1470" s="23">
        <v>2019</v>
      </c>
      <c r="E1470" s="24">
        <f>Data!F1470</f>
        <v>0</v>
      </c>
      <c r="F1470" s="24">
        <f>Data!H1470</f>
        <v>0</v>
      </c>
      <c r="G1470" s="24">
        <f t="shared" si="176"/>
        <v>0</v>
      </c>
      <c r="H1470" s="24">
        <f>Data!G1470</f>
        <v>0</v>
      </c>
      <c r="I1470" s="25">
        <f t="shared" si="177"/>
        <v>0</v>
      </c>
      <c r="J1470" s="24">
        <f>Data!J1470</f>
        <v>0</v>
      </c>
      <c r="K1470" s="24">
        <f t="shared" si="178"/>
        <v>0</v>
      </c>
      <c r="L1470" s="25">
        <f t="shared" si="179"/>
        <v>0</v>
      </c>
      <c r="M1470" s="24">
        <f>Data!M1470</f>
        <v>0</v>
      </c>
      <c r="N1470" s="24">
        <f t="shared" si="180"/>
        <v>0</v>
      </c>
      <c r="O1470" s="25">
        <f t="shared" si="181"/>
        <v>0</v>
      </c>
      <c r="P1470" s="24">
        <f>Data!K1470</f>
        <v>0</v>
      </c>
      <c r="Q1470" s="24">
        <f>Data!I1470</f>
        <v>0</v>
      </c>
      <c r="R1470" s="25">
        <f t="shared" si="182"/>
        <v>0</v>
      </c>
      <c r="S1470" s="25">
        <f t="shared" si="183"/>
        <v>0</v>
      </c>
    </row>
    <row r="1471" spans="1:19" ht="15" customHeight="1" x14ac:dyDescent="0.3">
      <c r="A1471" s="22"/>
      <c r="B1471" s="23"/>
      <c r="C1471" s="2"/>
      <c r="D1471" s="23">
        <v>2020</v>
      </c>
      <c r="E1471" s="24">
        <f>Data!F1471</f>
        <v>3478445000000</v>
      </c>
      <c r="F1471" s="24">
        <f>Data!H1471</f>
        <v>853364000000</v>
      </c>
      <c r="G1471" s="24">
        <f t="shared" si="176"/>
        <v>2625081000000</v>
      </c>
      <c r="H1471" s="24">
        <f>Data!G1471</f>
        <v>9083071000000</v>
      </c>
      <c r="I1471" s="25">
        <f t="shared" si="177"/>
        <v>1.8958930696457177</v>
      </c>
      <c r="J1471" s="24">
        <f>Data!J1471</f>
        <v>1027196000000</v>
      </c>
      <c r="K1471" s="24">
        <f t="shared" si="178"/>
        <v>9083071000000</v>
      </c>
      <c r="L1471" s="25">
        <f t="shared" si="179"/>
        <v>0.36867034948862559</v>
      </c>
      <c r="M1471" s="24">
        <f>Data!M1471</f>
        <v>388077000000</v>
      </c>
      <c r="N1471" s="24">
        <f t="shared" si="180"/>
        <v>9083071000000</v>
      </c>
      <c r="O1471" s="25">
        <f t="shared" si="181"/>
        <v>0.28711406527594024</v>
      </c>
      <c r="P1471" s="24">
        <f>Data!K1471</f>
        <v>4560376000000</v>
      </c>
      <c r="Q1471" s="24">
        <f>Data!I1471</f>
        <v>4272769000000</v>
      </c>
      <c r="R1471" s="25">
        <f t="shared" si="182"/>
        <v>1.1206772001950025</v>
      </c>
      <c r="S1471" s="25">
        <f t="shared" si="183"/>
        <v>3.6723546846052857</v>
      </c>
    </row>
    <row r="1472" spans="1:19" ht="15" customHeight="1" x14ac:dyDescent="0.3">
      <c r="A1472" s="22"/>
      <c r="B1472" s="23"/>
      <c r="C1472" s="2"/>
      <c r="D1472" s="23">
        <v>2021</v>
      </c>
      <c r="E1472" s="24">
        <f>Data!F1472</f>
        <v>3343819000000</v>
      </c>
      <c r="F1472" s="24">
        <f>Data!H1472</f>
        <v>1509040000000</v>
      </c>
      <c r="G1472" s="24">
        <f t="shared" si="176"/>
        <v>1834779000000</v>
      </c>
      <c r="H1472" s="24">
        <f>Data!G1472</f>
        <v>8736337000000</v>
      </c>
      <c r="I1472" s="25">
        <f t="shared" si="177"/>
        <v>1.3777113039480962</v>
      </c>
      <c r="J1472" s="24">
        <f>Data!J1472</f>
        <v>1076610000000</v>
      </c>
      <c r="K1472" s="24">
        <f t="shared" si="178"/>
        <v>8736337000000</v>
      </c>
      <c r="L1472" s="25">
        <f t="shared" si="179"/>
        <v>0.40174143923248379</v>
      </c>
      <c r="M1472" s="24">
        <f>Data!M1472</f>
        <v>236797000000</v>
      </c>
      <c r="N1472" s="24">
        <f t="shared" si="180"/>
        <v>8736337000000</v>
      </c>
      <c r="O1472" s="25">
        <f t="shared" si="181"/>
        <v>0.1821445120535071</v>
      </c>
      <c r="P1472" s="24">
        <f>Data!K1472</f>
        <v>4328120000000</v>
      </c>
      <c r="Q1472" s="24">
        <f>Data!I1472</f>
        <v>4132285000000</v>
      </c>
      <c r="R1472" s="25">
        <f t="shared" si="182"/>
        <v>1.0997610280994656</v>
      </c>
      <c r="S1472" s="25">
        <f t="shared" si="183"/>
        <v>3.0613582833335524</v>
      </c>
    </row>
    <row r="1473" spans="1:19" ht="15" customHeight="1" x14ac:dyDescent="0.3">
      <c r="A1473" s="22"/>
      <c r="B1473" s="23"/>
      <c r="C1473" s="2"/>
      <c r="D1473" s="23">
        <v>2022</v>
      </c>
      <c r="E1473" s="24">
        <f>Data!F1473</f>
        <v>3363932000000</v>
      </c>
      <c r="F1473" s="24">
        <f>Data!H1473</f>
        <v>652457000000</v>
      </c>
      <c r="G1473" s="24">
        <f t="shared" si="176"/>
        <v>2711475000000</v>
      </c>
      <c r="H1473" s="24">
        <f>Data!G1473</f>
        <v>9007172000000</v>
      </c>
      <c r="I1473" s="25">
        <f t="shared" si="177"/>
        <v>1.9747903115428462</v>
      </c>
      <c r="J1473" s="24">
        <f>Data!J1473</f>
        <v>1186198000000</v>
      </c>
      <c r="K1473" s="24">
        <f t="shared" si="178"/>
        <v>9007172000000</v>
      </c>
      <c r="L1473" s="25">
        <f t="shared" si="179"/>
        <v>0.42932515111291308</v>
      </c>
      <c r="M1473" s="24">
        <f>Data!M1473</f>
        <v>264521000000</v>
      </c>
      <c r="N1473" s="24">
        <f t="shared" si="180"/>
        <v>9007172000000</v>
      </c>
      <c r="O1473" s="25">
        <f t="shared" si="181"/>
        <v>0.197351745919807</v>
      </c>
      <c r="P1473" s="24">
        <f>Data!K1473</f>
        <v>4382880000000</v>
      </c>
      <c r="Q1473" s="24">
        <f>Data!I1473</f>
        <v>4323905000000</v>
      </c>
      <c r="R1473" s="25">
        <f t="shared" si="182"/>
        <v>1.0643212559017832</v>
      </c>
      <c r="S1473" s="25">
        <f t="shared" si="183"/>
        <v>3.66578846447735</v>
      </c>
    </row>
    <row r="1474" spans="1:19" ht="15" customHeight="1" x14ac:dyDescent="0.3">
      <c r="A1474" s="22"/>
      <c r="B1474" s="23"/>
      <c r="C1474" s="2"/>
      <c r="D1474" s="23">
        <v>2023</v>
      </c>
      <c r="E1474" s="24">
        <f>Data!F1474</f>
        <v>3015030000000</v>
      </c>
      <c r="F1474" s="24">
        <f>Data!H1474</f>
        <v>620423000000</v>
      </c>
      <c r="G1474" s="24">
        <f t="shared" si="176"/>
        <v>2394607000000</v>
      </c>
      <c r="H1474" s="24">
        <f>Data!G1474</f>
        <v>9230856000000</v>
      </c>
      <c r="I1474" s="25">
        <f t="shared" si="177"/>
        <v>1.7017513782037115</v>
      </c>
      <c r="J1474" s="24">
        <f>Data!J1474</f>
        <v>1164999000000</v>
      </c>
      <c r="K1474" s="24">
        <f t="shared" si="178"/>
        <v>9230856000000</v>
      </c>
      <c r="L1474" s="25">
        <f t="shared" si="179"/>
        <v>0.41143494601150743</v>
      </c>
      <c r="M1474" s="24">
        <f>Data!M1474</f>
        <v>83179000000</v>
      </c>
      <c r="N1474" s="24">
        <f t="shared" si="180"/>
        <v>9230856000000</v>
      </c>
      <c r="O1474" s="25">
        <f t="shared" si="181"/>
        <v>6.0553742794817726E-2</v>
      </c>
      <c r="P1474" s="24">
        <f>Data!K1474</f>
        <v>4373842000000</v>
      </c>
      <c r="Q1474" s="24">
        <f>Data!I1474</f>
        <v>4517653000000</v>
      </c>
      <c r="R1474" s="25">
        <f t="shared" si="182"/>
        <v>1.0165752216914403</v>
      </c>
      <c r="S1474" s="25">
        <f t="shared" si="183"/>
        <v>3.190315288701477</v>
      </c>
    </row>
    <row r="1475" spans="1:19" ht="15" customHeight="1" x14ac:dyDescent="0.3">
      <c r="A1475" s="22"/>
      <c r="B1475" s="23"/>
      <c r="C1475" s="2"/>
      <c r="D1475" s="23">
        <v>2024</v>
      </c>
      <c r="E1475" s="24">
        <f>Data!F1475</f>
        <v>2849158000000</v>
      </c>
      <c r="F1475" s="24">
        <f>Data!H1475</f>
        <v>706302000000</v>
      </c>
      <c r="G1475" s="24">
        <f t="shared" ref="G1475:G1538" si="184">E1475-F1475</f>
        <v>2142856000000</v>
      </c>
      <c r="H1475" s="24">
        <f>Data!G1475</f>
        <v>9328004000000</v>
      </c>
      <c r="I1475" s="25">
        <f t="shared" ref="I1475:I1538" si="185">IFERROR(6.56*(G1475/H1475),0)</f>
        <v>1.5069821325119501</v>
      </c>
      <c r="J1475" s="24">
        <f>Data!J1475</f>
        <v>1270111000000</v>
      </c>
      <c r="K1475" s="24">
        <f t="shared" ref="K1475:K1538" si="186">H1475</f>
        <v>9328004000000</v>
      </c>
      <c r="L1475" s="25">
        <f t="shared" ref="L1475:L1538" si="187">IFERROR(3.26*(J1475/K1475),0)</f>
        <v>0.44388508624138662</v>
      </c>
      <c r="M1475" s="24">
        <f>Data!M1475</f>
        <v>170466000000</v>
      </c>
      <c r="N1475" s="24">
        <f t="shared" ref="N1475:N1538" si="188">K1475</f>
        <v>9328004000000</v>
      </c>
      <c r="O1475" s="25">
        <f t="shared" ref="O1475:O1538" si="189">IFERROR(6.72*(M1475/N1475),0)</f>
        <v>0.12280564202159432</v>
      </c>
      <c r="P1475" s="24">
        <f>Data!K1475</f>
        <v>4430613000000</v>
      </c>
      <c r="Q1475" s="24">
        <f>Data!I1475</f>
        <v>4526722000000</v>
      </c>
      <c r="R1475" s="25">
        <f t="shared" ref="R1475:R1538" si="190">IFERROR(1.05*(P1475/Q1475),0)</f>
        <v>1.0277069477648506</v>
      </c>
      <c r="S1475" s="25">
        <f t="shared" ref="S1475:S1538" si="191">IFERROR(I1475+L1475+O1475+R1475,0)</f>
        <v>3.1013798085397815</v>
      </c>
    </row>
    <row r="1476" spans="1:19" ht="15" customHeight="1" x14ac:dyDescent="0.3">
      <c r="A1476" s="22"/>
      <c r="B1476" s="23">
        <v>135</v>
      </c>
      <c r="C1476" s="1" t="s">
        <v>133</v>
      </c>
      <c r="D1476" s="23">
        <v>2014</v>
      </c>
      <c r="E1476" s="24">
        <f>Data!F1476</f>
        <v>0</v>
      </c>
      <c r="F1476" s="24">
        <f>Data!H1476</f>
        <v>0</v>
      </c>
      <c r="G1476" s="24">
        <f t="shared" si="184"/>
        <v>0</v>
      </c>
      <c r="H1476" s="24">
        <f>Data!G1476</f>
        <v>0</v>
      </c>
      <c r="I1476" s="25">
        <f t="shared" si="185"/>
        <v>0</v>
      </c>
      <c r="J1476" s="24">
        <f>Data!J1476</f>
        <v>0</v>
      </c>
      <c r="K1476" s="24">
        <f t="shared" si="186"/>
        <v>0</v>
      </c>
      <c r="L1476" s="25">
        <f t="shared" si="187"/>
        <v>0</v>
      </c>
      <c r="M1476" s="24">
        <f>Data!M1476</f>
        <v>0</v>
      </c>
      <c r="N1476" s="24">
        <f t="shared" si="188"/>
        <v>0</v>
      </c>
      <c r="O1476" s="25">
        <f t="shared" si="189"/>
        <v>0</v>
      </c>
      <c r="P1476" s="24">
        <f>Data!K1476</f>
        <v>0</v>
      </c>
      <c r="Q1476" s="24">
        <f>Data!I1476</f>
        <v>0</v>
      </c>
      <c r="R1476" s="25">
        <f t="shared" si="190"/>
        <v>0</v>
      </c>
      <c r="S1476" s="25">
        <f t="shared" si="191"/>
        <v>0</v>
      </c>
    </row>
    <row r="1477" spans="1:19" ht="15" customHeight="1" x14ac:dyDescent="0.3">
      <c r="A1477" s="22"/>
      <c r="B1477" s="23"/>
      <c r="C1477" s="1"/>
      <c r="D1477" s="23">
        <v>2015</v>
      </c>
      <c r="E1477" s="24">
        <f>Data!F1477</f>
        <v>0</v>
      </c>
      <c r="F1477" s="24">
        <f>Data!H1477</f>
        <v>0</v>
      </c>
      <c r="G1477" s="24">
        <f t="shared" si="184"/>
        <v>0</v>
      </c>
      <c r="H1477" s="24">
        <f>Data!G1477</f>
        <v>0</v>
      </c>
      <c r="I1477" s="25">
        <f t="shared" si="185"/>
        <v>0</v>
      </c>
      <c r="J1477" s="24">
        <f>Data!J1477</f>
        <v>0</v>
      </c>
      <c r="K1477" s="24">
        <f t="shared" si="186"/>
        <v>0</v>
      </c>
      <c r="L1477" s="25">
        <f t="shared" si="187"/>
        <v>0</v>
      </c>
      <c r="M1477" s="24">
        <f>Data!M1477</f>
        <v>0</v>
      </c>
      <c r="N1477" s="24">
        <f t="shared" si="188"/>
        <v>0</v>
      </c>
      <c r="O1477" s="25">
        <f t="shared" si="189"/>
        <v>0</v>
      </c>
      <c r="P1477" s="24">
        <f>Data!K1477</f>
        <v>0</v>
      </c>
      <c r="Q1477" s="24">
        <f>Data!I1477</f>
        <v>0</v>
      </c>
      <c r="R1477" s="25">
        <f t="shared" si="190"/>
        <v>0</v>
      </c>
      <c r="S1477" s="25">
        <f t="shared" si="191"/>
        <v>0</v>
      </c>
    </row>
    <row r="1478" spans="1:19" ht="15" customHeight="1" x14ac:dyDescent="0.3">
      <c r="A1478" s="22"/>
      <c r="B1478" s="23"/>
      <c r="C1478" s="1"/>
      <c r="D1478" s="23">
        <v>2016</v>
      </c>
      <c r="E1478" s="24">
        <f>Data!F1478</f>
        <v>0</v>
      </c>
      <c r="F1478" s="24">
        <f>Data!H1478</f>
        <v>0</v>
      </c>
      <c r="G1478" s="24">
        <f t="shared" si="184"/>
        <v>0</v>
      </c>
      <c r="H1478" s="24">
        <f>Data!G1478</f>
        <v>0</v>
      </c>
      <c r="I1478" s="25">
        <f t="shared" si="185"/>
        <v>0</v>
      </c>
      <c r="J1478" s="24">
        <f>Data!J1478</f>
        <v>0</v>
      </c>
      <c r="K1478" s="24">
        <f t="shared" si="186"/>
        <v>0</v>
      </c>
      <c r="L1478" s="25">
        <f t="shared" si="187"/>
        <v>0</v>
      </c>
      <c r="M1478" s="24">
        <f>Data!M1478</f>
        <v>0</v>
      </c>
      <c r="N1478" s="24">
        <f t="shared" si="188"/>
        <v>0</v>
      </c>
      <c r="O1478" s="25">
        <f t="shared" si="189"/>
        <v>0</v>
      </c>
      <c r="P1478" s="24">
        <f>Data!K1478</f>
        <v>0</v>
      </c>
      <c r="Q1478" s="24">
        <f>Data!I1478</f>
        <v>0</v>
      </c>
      <c r="R1478" s="25">
        <f t="shared" si="190"/>
        <v>0</v>
      </c>
      <c r="S1478" s="25">
        <f t="shared" si="191"/>
        <v>0</v>
      </c>
    </row>
    <row r="1479" spans="1:19" ht="15" customHeight="1" x14ac:dyDescent="0.3">
      <c r="A1479" s="22"/>
      <c r="B1479" s="23"/>
      <c r="C1479" s="1"/>
      <c r="D1479" s="23">
        <v>2017</v>
      </c>
      <c r="E1479" s="24">
        <f>Data!F1479</f>
        <v>0</v>
      </c>
      <c r="F1479" s="24">
        <f>Data!H1479</f>
        <v>0</v>
      </c>
      <c r="G1479" s="24">
        <f t="shared" si="184"/>
        <v>0</v>
      </c>
      <c r="H1479" s="24">
        <f>Data!G1479</f>
        <v>0</v>
      </c>
      <c r="I1479" s="25">
        <f t="shared" si="185"/>
        <v>0</v>
      </c>
      <c r="J1479" s="24">
        <f>Data!J1479</f>
        <v>0</v>
      </c>
      <c r="K1479" s="24">
        <f t="shared" si="186"/>
        <v>0</v>
      </c>
      <c r="L1479" s="25">
        <f t="shared" si="187"/>
        <v>0</v>
      </c>
      <c r="M1479" s="24">
        <f>Data!M1479</f>
        <v>0</v>
      </c>
      <c r="N1479" s="24">
        <f t="shared" si="188"/>
        <v>0</v>
      </c>
      <c r="O1479" s="25">
        <f t="shared" si="189"/>
        <v>0</v>
      </c>
      <c r="P1479" s="24">
        <f>Data!K1479</f>
        <v>0</v>
      </c>
      <c r="Q1479" s="24">
        <f>Data!I1479</f>
        <v>0</v>
      </c>
      <c r="R1479" s="25">
        <f t="shared" si="190"/>
        <v>0</v>
      </c>
      <c r="S1479" s="25">
        <f t="shared" si="191"/>
        <v>0</v>
      </c>
    </row>
    <row r="1480" spans="1:19" ht="15" customHeight="1" x14ac:dyDescent="0.3">
      <c r="A1480" s="22"/>
      <c r="B1480" s="23"/>
      <c r="C1480" s="1"/>
      <c r="D1480" s="23">
        <v>2018</v>
      </c>
      <c r="E1480" s="24">
        <f>Data!F1480</f>
        <v>0</v>
      </c>
      <c r="F1480" s="24">
        <f>Data!H1480</f>
        <v>0</v>
      </c>
      <c r="G1480" s="24">
        <f t="shared" si="184"/>
        <v>0</v>
      </c>
      <c r="H1480" s="24">
        <f>Data!G1480</f>
        <v>0</v>
      </c>
      <c r="I1480" s="25">
        <f t="shared" si="185"/>
        <v>0</v>
      </c>
      <c r="J1480" s="24">
        <f>Data!J1480</f>
        <v>0</v>
      </c>
      <c r="K1480" s="24">
        <f t="shared" si="186"/>
        <v>0</v>
      </c>
      <c r="L1480" s="25">
        <f t="shared" si="187"/>
        <v>0</v>
      </c>
      <c r="M1480" s="24">
        <f>Data!M1480</f>
        <v>0</v>
      </c>
      <c r="N1480" s="24">
        <f t="shared" si="188"/>
        <v>0</v>
      </c>
      <c r="O1480" s="25">
        <f t="shared" si="189"/>
        <v>0</v>
      </c>
      <c r="P1480" s="24">
        <f>Data!K1480</f>
        <v>0</v>
      </c>
      <c r="Q1480" s="24">
        <f>Data!I1480</f>
        <v>0</v>
      </c>
      <c r="R1480" s="25">
        <f t="shared" si="190"/>
        <v>0</v>
      </c>
      <c r="S1480" s="25">
        <f t="shared" si="191"/>
        <v>0</v>
      </c>
    </row>
    <row r="1481" spans="1:19" ht="15" customHeight="1" x14ac:dyDescent="0.3">
      <c r="A1481" s="22"/>
      <c r="B1481" s="23"/>
      <c r="C1481" s="1"/>
      <c r="D1481" s="23">
        <v>2019</v>
      </c>
      <c r="E1481" s="24">
        <f>Data!F1481</f>
        <v>0</v>
      </c>
      <c r="F1481" s="24">
        <f>Data!H1481</f>
        <v>0</v>
      </c>
      <c r="G1481" s="24">
        <f t="shared" si="184"/>
        <v>0</v>
      </c>
      <c r="H1481" s="24">
        <f>Data!G1481</f>
        <v>0</v>
      </c>
      <c r="I1481" s="25">
        <f t="shared" si="185"/>
        <v>0</v>
      </c>
      <c r="J1481" s="24">
        <f>Data!J1481</f>
        <v>0</v>
      </c>
      <c r="K1481" s="24">
        <f t="shared" si="186"/>
        <v>0</v>
      </c>
      <c r="L1481" s="25">
        <f t="shared" si="187"/>
        <v>0</v>
      </c>
      <c r="M1481" s="24">
        <f>Data!M1481</f>
        <v>0</v>
      </c>
      <c r="N1481" s="24">
        <f t="shared" si="188"/>
        <v>0</v>
      </c>
      <c r="O1481" s="25">
        <f t="shared" si="189"/>
        <v>0</v>
      </c>
      <c r="P1481" s="24">
        <f>Data!K1481</f>
        <v>0</v>
      </c>
      <c r="Q1481" s="24">
        <f>Data!I1481</f>
        <v>0</v>
      </c>
      <c r="R1481" s="25">
        <f t="shared" si="190"/>
        <v>0</v>
      </c>
      <c r="S1481" s="25">
        <f t="shared" si="191"/>
        <v>0</v>
      </c>
    </row>
    <row r="1482" spans="1:19" ht="15" customHeight="1" x14ac:dyDescent="0.3">
      <c r="A1482" s="22"/>
      <c r="B1482" s="23"/>
      <c r="C1482" s="1"/>
      <c r="D1482" s="23">
        <v>2020</v>
      </c>
      <c r="E1482" s="24">
        <f>Data!F1482</f>
        <v>1121867000000</v>
      </c>
      <c r="F1482" s="24">
        <f>Data!H1482</f>
        <v>277910000000</v>
      </c>
      <c r="G1482" s="24">
        <f t="shared" si="184"/>
        <v>843957000000</v>
      </c>
      <c r="H1482" s="24">
        <f>Data!G1482</f>
        <v>1619009000000</v>
      </c>
      <c r="I1482" s="25">
        <f t="shared" si="185"/>
        <v>3.4195967533225571</v>
      </c>
      <c r="J1482" s="24">
        <f>Data!J1482</f>
        <v>-125695000000</v>
      </c>
      <c r="K1482" s="24">
        <f t="shared" si="186"/>
        <v>1619009000000</v>
      </c>
      <c r="L1482" s="25">
        <f t="shared" si="187"/>
        <v>-0.25309661651047027</v>
      </c>
      <c r="M1482" s="24">
        <f>Data!M1482</f>
        <v>24951000000</v>
      </c>
      <c r="N1482" s="24">
        <f t="shared" si="188"/>
        <v>1619009000000</v>
      </c>
      <c r="O1482" s="25">
        <f t="shared" si="189"/>
        <v>0.10356379735998997</v>
      </c>
      <c r="P1482" s="24">
        <f>Data!K1482</f>
        <v>729917000000</v>
      </c>
      <c r="Q1482" s="24">
        <f>Data!I1482</f>
        <v>637357000000</v>
      </c>
      <c r="R1482" s="25">
        <f t="shared" si="190"/>
        <v>1.202485969401764</v>
      </c>
      <c r="S1482" s="25">
        <f t="shared" si="191"/>
        <v>4.4725499035738405</v>
      </c>
    </row>
    <row r="1483" spans="1:19" ht="15" customHeight="1" x14ac:dyDescent="0.3">
      <c r="A1483" s="22"/>
      <c r="B1483" s="23"/>
      <c r="C1483" s="1"/>
      <c r="D1483" s="23">
        <v>2021</v>
      </c>
      <c r="E1483" s="24">
        <f>Data!F1483</f>
        <v>451787000000</v>
      </c>
      <c r="F1483" s="24">
        <f>Data!H1483</f>
        <v>142411000000</v>
      </c>
      <c r="G1483" s="24">
        <f t="shared" si="184"/>
        <v>309376000000</v>
      </c>
      <c r="H1483" s="24">
        <f>Data!G1483</f>
        <v>1126499000000</v>
      </c>
      <c r="I1483" s="25">
        <f t="shared" si="185"/>
        <v>1.801605292148506</v>
      </c>
      <c r="J1483" s="24">
        <f>Data!J1483</f>
        <v>-524223000000</v>
      </c>
      <c r="K1483" s="24">
        <f t="shared" si="186"/>
        <v>1126499000000</v>
      </c>
      <c r="L1483" s="25">
        <f t="shared" si="187"/>
        <v>-1.5170603613496327</v>
      </c>
      <c r="M1483" s="24">
        <f>Data!M1483</f>
        <v>-18475000000</v>
      </c>
      <c r="N1483" s="24">
        <f t="shared" si="188"/>
        <v>1126499000000</v>
      </c>
      <c r="O1483" s="25">
        <f t="shared" si="189"/>
        <v>-0.11021048398622633</v>
      </c>
      <c r="P1483" s="24">
        <f>Data!K1483</f>
        <v>333561000000</v>
      </c>
      <c r="Q1483" s="24">
        <f>Data!I1483</f>
        <v>519143000000</v>
      </c>
      <c r="R1483" s="25">
        <f t="shared" si="190"/>
        <v>0.67464850725137393</v>
      </c>
      <c r="S1483" s="25">
        <f t="shared" si="191"/>
        <v>0.8489829540640208</v>
      </c>
    </row>
    <row r="1484" spans="1:19" ht="15" customHeight="1" x14ac:dyDescent="0.3">
      <c r="A1484" s="22"/>
      <c r="B1484" s="23"/>
      <c r="C1484" s="1"/>
      <c r="D1484" s="23">
        <v>2022</v>
      </c>
      <c r="E1484" s="24">
        <f>Data!F1484</f>
        <v>358820000000</v>
      </c>
      <c r="F1484" s="24">
        <f>Data!H1484</f>
        <v>186107000000</v>
      </c>
      <c r="G1484" s="24">
        <f t="shared" si="184"/>
        <v>172713000000</v>
      </c>
      <c r="H1484" s="24">
        <f>Data!G1484</f>
        <v>1304211000000</v>
      </c>
      <c r="I1484" s="25">
        <f t="shared" si="185"/>
        <v>0.86872237697734478</v>
      </c>
      <c r="J1484" s="24">
        <f>Data!J1484</f>
        <v>-517534000000</v>
      </c>
      <c r="K1484" s="24">
        <f t="shared" si="186"/>
        <v>1304211000000</v>
      </c>
      <c r="L1484" s="25">
        <f t="shared" si="187"/>
        <v>-1.2936256786670253</v>
      </c>
      <c r="M1484" s="24">
        <f>Data!M1484</f>
        <v>5312000000</v>
      </c>
      <c r="N1484" s="24">
        <f t="shared" si="188"/>
        <v>1304211000000</v>
      </c>
      <c r="O1484" s="25">
        <f t="shared" si="189"/>
        <v>2.73702951439606E-2</v>
      </c>
      <c r="P1484" s="24">
        <f>Data!K1484</f>
        <v>327988000000</v>
      </c>
      <c r="Q1484" s="24">
        <f>Data!I1484</f>
        <v>675837000000</v>
      </c>
      <c r="R1484" s="25">
        <f t="shared" si="190"/>
        <v>0.50957168666409203</v>
      </c>
      <c r="S1484" s="25">
        <f t="shared" si="191"/>
        <v>0.11203868011837215</v>
      </c>
    </row>
    <row r="1485" spans="1:19" ht="15" customHeight="1" x14ac:dyDescent="0.3">
      <c r="A1485" s="22"/>
      <c r="B1485" s="23"/>
      <c r="C1485" s="1"/>
      <c r="D1485" s="23">
        <v>2023</v>
      </c>
      <c r="E1485" s="24">
        <f>Data!F1485</f>
        <v>335110000000</v>
      </c>
      <c r="F1485" s="24">
        <f>Data!H1485</f>
        <v>248102000000</v>
      </c>
      <c r="G1485" s="24">
        <f t="shared" si="184"/>
        <v>87008000000</v>
      </c>
      <c r="H1485" s="24">
        <f>Data!G1485</f>
        <v>1559910000000</v>
      </c>
      <c r="I1485" s="25">
        <f t="shared" si="185"/>
        <v>0.36590090453936441</v>
      </c>
      <c r="J1485" s="24">
        <f>Data!J1485</f>
        <v>-502925000000</v>
      </c>
      <c r="K1485" s="24">
        <f t="shared" si="186"/>
        <v>1559910000000</v>
      </c>
      <c r="L1485" s="25">
        <f t="shared" si="187"/>
        <v>-1.0510449320794149</v>
      </c>
      <c r="M1485" s="24">
        <f>Data!M1485</f>
        <v>15986000000</v>
      </c>
      <c r="N1485" s="24">
        <f t="shared" si="188"/>
        <v>1559910000000</v>
      </c>
      <c r="O1485" s="25">
        <f t="shared" si="189"/>
        <v>6.8866742312056459E-2</v>
      </c>
      <c r="P1485" s="24">
        <f>Data!K1485</f>
        <v>344301000000</v>
      </c>
      <c r="Q1485" s="24">
        <f>Data!I1485</f>
        <v>876248000000</v>
      </c>
      <c r="R1485" s="25">
        <f t="shared" si="190"/>
        <v>0.41257275337575666</v>
      </c>
      <c r="S1485" s="25">
        <f t="shared" si="191"/>
        <v>-0.2037045318522373</v>
      </c>
    </row>
    <row r="1486" spans="1:19" ht="15" customHeight="1" x14ac:dyDescent="0.3">
      <c r="A1486" s="22"/>
      <c r="B1486" s="23"/>
      <c r="C1486" s="1"/>
      <c r="D1486" s="23">
        <v>2024</v>
      </c>
      <c r="E1486" s="24">
        <f>Data!F1486</f>
        <v>219675000000</v>
      </c>
      <c r="F1486" s="24">
        <f>Data!H1486</f>
        <v>301425000000</v>
      </c>
      <c r="G1486" s="24">
        <f t="shared" si="184"/>
        <v>-81750000000</v>
      </c>
      <c r="H1486" s="24">
        <f>Data!G1486</f>
        <v>1725230000000</v>
      </c>
      <c r="I1486" s="25">
        <f t="shared" si="185"/>
        <v>-0.31084551045367864</v>
      </c>
      <c r="J1486" s="24">
        <f>Data!J1486</f>
        <v>-457875000000</v>
      </c>
      <c r="K1486" s="24">
        <f t="shared" si="186"/>
        <v>1725230000000</v>
      </c>
      <c r="L1486" s="25">
        <f t="shared" si="187"/>
        <v>-0.86520203103354321</v>
      </c>
      <c r="M1486" s="24">
        <f>Data!M1486</f>
        <v>43863000000</v>
      </c>
      <c r="N1486" s="24">
        <f t="shared" si="188"/>
        <v>1725230000000</v>
      </c>
      <c r="O1486" s="25">
        <f t="shared" si="189"/>
        <v>0.17085221100954656</v>
      </c>
      <c r="P1486" s="24">
        <f>Data!K1486</f>
        <v>38586000000</v>
      </c>
      <c r="Q1486" s="24">
        <f>Data!I1486</f>
        <v>968691000000</v>
      </c>
      <c r="R1486" s="25">
        <f t="shared" si="190"/>
        <v>4.1824792426067757E-2</v>
      </c>
      <c r="S1486" s="25">
        <f t="shared" si="191"/>
        <v>-0.96337053805160755</v>
      </c>
    </row>
    <row r="1487" spans="1:19" ht="15" customHeight="1" x14ac:dyDescent="0.3">
      <c r="A1487" s="22" t="s">
        <v>155</v>
      </c>
      <c r="B1487" s="23">
        <v>136</v>
      </c>
      <c r="C1487" s="1" t="s">
        <v>142</v>
      </c>
      <c r="D1487" s="23">
        <v>2014</v>
      </c>
      <c r="E1487" s="24">
        <f>Data!F1487</f>
        <v>0</v>
      </c>
      <c r="F1487" s="24">
        <f>Data!H1487</f>
        <v>0</v>
      </c>
      <c r="G1487" s="24">
        <f t="shared" si="184"/>
        <v>0</v>
      </c>
      <c r="H1487" s="24">
        <f>Data!G1487</f>
        <v>0</v>
      </c>
      <c r="I1487" s="25">
        <f t="shared" si="185"/>
        <v>0</v>
      </c>
      <c r="J1487" s="24">
        <f>Data!J1487</f>
        <v>0</v>
      </c>
      <c r="K1487" s="24">
        <f t="shared" si="186"/>
        <v>0</v>
      </c>
      <c r="L1487" s="25">
        <f t="shared" si="187"/>
        <v>0</v>
      </c>
      <c r="M1487" s="24">
        <f>Data!M1487</f>
        <v>0</v>
      </c>
      <c r="N1487" s="24">
        <f t="shared" si="188"/>
        <v>0</v>
      </c>
      <c r="O1487" s="25">
        <f t="shared" si="189"/>
        <v>0</v>
      </c>
      <c r="P1487" s="24">
        <f>Data!K1487</f>
        <v>0</v>
      </c>
      <c r="Q1487" s="24">
        <f>Data!I1487</f>
        <v>0</v>
      </c>
      <c r="R1487" s="25">
        <f t="shared" si="190"/>
        <v>0</v>
      </c>
      <c r="S1487" s="25">
        <f t="shared" si="191"/>
        <v>0</v>
      </c>
    </row>
    <row r="1488" spans="1:19" ht="15" customHeight="1" x14ac:dyDescent="0.3">
      <c r="A1488" s="22"/>
      <c r="B1488" s="23"/>
      <c r="C1488" s="1"/>
      <c r="D1488" s="23">
        <v>2015</v>
      </c>
      <c r="E1488" s="24">
        <f>Data!F1488</f>
        <v>0</v>
      </c>
      <c r="F1488" s="24">
        <f>Data!H1488</f>
        <v>0</v>
      </c>
      <c r="G1488" s="24">
        <f t="shared" si="184"/>
        <v>0</v>
      </c>
      <c r="H1488" s="24">
        <f>Data!G1488</f>
        <v>0</v>
      </c>
      <c r="I1488" s="25">
        <f t="shared" si="185"/>
        <v>0</v>
      </c>
      <c r="J1488" s="24">
        <f>Data!J1488</f>
        <v>0</v>
      </c>
      <c r="K1488" s="24">
        <f t="shared" si="186"/>
        <v>0</v>
      </c>
      <c r="L1488" s="25">
        <f t="shared" si="187"/>
        <v>0</v>
      </c>
      <c r="M1488" s="24">
        <f>Data!M1488</f>
        <v>0</v>
      </c>
      <c r="N1488" s="24">
        <f t="shared" si="188"/>
        <v>0</v>
      </c>
      <c r="O1488" s="25">
        <f t="shared" si="189"/>
        <v>0</v>
      </c>
      <c r="P1488" s="24">
        <f>Data!K1488</f>
        <v>0</v>
      </c>
      <c r="Q1488" s="24">
        <f>Data!I1488</f>
        <v>0</v>
      </c>
      <c r="R1488" s="25">
        <f t="shared" si="190"/>
        <v>0</v>
      </c>
      <c r="S1488" s="25">
        <f t="shared" si="191"/>
        <v>0</v>
      </c>
    </row>
    <row r="1489" spans="1:19" ht="15" customHeight="1" x14ac:dyDescent="0.3">
      <c r="A1489" s="22"/>
      <c r="B1489" s="23"/>
      <c r="C1489" s="1"/>
      <c r="D1489" s="23">
        <v>2016</v>
      </c>
      <c r="E1489" s="24">
        <f>Data!F1489</f>
        <v>0</v>
      </c>
      <c r="F1489" s="24">
        <f>Data!H1489</f>
        <v>0</v>
      </c>
      <c r="G1489" s="24">
        <f t="shared" si="184"/>
        <v>0</v>
      </c>
      <c r="H1489" s="24">
        <f>Data!G1489</f>
        <v>0</v>
      </c>
      <c r="I1489" s="25">
        <f t="shared" si="185"/>
        <v>0</v>
      </c>
      <c r="J1489" s="24">
        <f>Data!J1489</f>
        <v>0</v>
      </c>
      <c r="K1489" s="24">
        <f t="shared" si="186"/>
        <v>0</v>
      </c>
      <c r="L1489" s="25">
        <f t="shared" si="187"/>
        <v>0</v>
      </c>
      <c r="M1489" s="24">
        <f>Data!M1489</f>
        <v>0</v>
      </c>
      <c r="N1489" s="24">
        <f t="shared" si="188"/>
        <v>0</v>
      </c>
      <c r="O1489" s="25">
        <f t="shared" si="189"/>
        <v>0</v>
      </c>
      <c r="P1489" s="24">
        <f>Data!K1489</f>
        <v>0</v>
      </c>
      <c r="Q1489" s="24">
        <f>Data!I1489</f>
        <v>0</v>
      </c>
      <c r="R1489" s="25">
        <f t="shared" si="190"/>
        <v>0</v>
      </c>
      <c r="S1489" s="25">
        <f t="shared" si="191"/>
        <v>0</v>
      </c>
    </row>
    <row r="1490" spans="1:19" ht="15" customHeight="1" x14ac:dyDescent="0.3">
      <c r="A1490" s="22"/>
      <c r="B1490" s="23"/>
      <c r="C1490" s="1"/>
      <c r="D1490" s="23">
        <v>2017</v>
      </c>
      <c r="E1490" s="24">
        <f>Data!F1490</f>
        <v>0</v>
      </c>
      <c r="F1490" s="24">
        <f>Data!H1490</f>
        <v>0</v>
      </c>
      <c r="G1490" s="24">
        <f t="shared" si="184"/>
        <v>0</v>
      </c>
      <c r="H1490" s="24">
        <f>Data!G1490</f>
        <v>0</v>
      </c>
      <c r="I1490" s="25">
        <f t="shared" si="185"/>
        <v>0</v>
      </c>
      <c r="J1490" s="24">
        <f>Data!J1490</f>
        <v>0</v>
      </c>
      <c r="K1490" s="24">
        <f t="shared" si="186"/>
        <v>0</v>
      </c>
      <c r="L1490" s="25">
        <f t="shared" si="187"/>
        <v>0</v>
      </c>
      <c r="M1490" s="24">
        <f>Data!M1490</f>
        <v>0</v>
      </c>
      <c r="N1490" s="24">
        <f t="shared" si="188"/>
        <v>0</v>
      </c>
      <c r="O1490" s="25">
        <f t="shared" si="189"/>
        <v>0</v>
      </c>
      <c r="P1490" s="24">
        <f>Data!K1490</f>
        <v>0</v>
      </c>
      <c r="Q1490" s="24">
        <f>Data!I1490</f>
        <v>0</v>
      </c>
      <c r="R1490" s="25">
        <f t="shared" si="190"/>
        <v>0</v>
      </c>
      <c r="S1490" s="25">
        <f t="shared" si="191"/>
        <v>0</v>
      </c>
    </row>
    <row r="1491" spans="1:19" ht="15" customHeight="1" x14ac:dyDescent="0.3">
      <c r="A1491" s="22"/>
      <c r="B1491" s="23"/>
      <c r="C1491" s="1"/>
      <c r="D1491" s="23">
        <v>2018</v>
      </c>
      <c r="E1491" s="24">
        <f>Data!F1491</f>
        <v>0</v>
      </c>
      <c r="F1491" s="24">
        <f>Data!H1491</f>
        <v>0</v>
      </c>
      <c r="G1491" s="24">
        <f t="shared" si="184"/>
        <v>0</v>
      </c>
      <c r="H1491" s="24">
        <f>Data!G1491</f>
        <v>0</v>
      </c>
      <c r="I1491" s="25">
        <f t="shared" si="185"/>
        <v>0</v>
      </c>
      <c r="J1491" s="24">
        <f>Data!J1491</f>
        <v>0</v>
      </c>
      <c r="K1491" s="24">
        <f t="shared" si="186"/>
        <v>0</v>
      </c>
      <c r="L1491" s="25">
        <f t="shared" si="187"/>
        <v>0</v>
      </c>
      <c r="M1491" s="24">
        <f>Data!M1491</f>
        <v>0</v>
      </c>
      <c r="N1491" s="24">
        <f t="shared" si="188"/>
        <v>0</v>
      </c>
      <c r="O1491" s="25">
        <f t="shared" si="189"/>
        <v>0</v>
      </c>
      <c r="P1491" s="24">
        <f>Data!K1491</f>
        <v>0</v>
      </c>
      <c r="Q1491" s="24">
        <f>Data!I1491</f>
        <v>0</v>
      </c>
      <c r="R1491" s="25">
        <f t="shared" si="190"/>
        <v>0</v>
      </c>
      <c r="S1491" s="25">
        <f t="shared" si="191"/>
        <v>0</v>
      </c>
    </row>
    <row r="1492" spans="1:19" ht="15" customHeight="1" x14ac:dyDescent="0.3">
      <c r="A1492" s="22"/>
      <c r="B1492" s="23"/>
      <c r="C1492" s="1"/>
      <c r="D1492" s="23">
        <v>2019</v>
      </c>
      <c r="E1492" s="24">
        <f>Data!F1492</f>
        <v>0</v>
      </c>
      <c r="F1492" s="24">
        <f>Data!H1492</f>
        <v>0</v>
      </c>
      <c r="G1492" s="24">
        <f t="shared" si="184"/>
        <v>0</v>
      </c>
      <c r="H1492" s="24">
        <f>Data!G1492</f>
        <v>0</v>
      </c>
      <c r="I1492" s="25">
        <f t="shared" si="185"/>
        <v>0</v>
      </c>
      <c r="J1492" s="24">
        <f>Data!J1492</f>
        <v>0</v>
      </c>
      <c r="K1492" s="24">
        <f t="shared" si="186"/>
        <v>0</v>
      </c>
      <c r="L1492" s="25">
        <f t="shared" si="187"/>
        <v>0</v>
      </c>
      <c r="M1492" s="24">
        <f>Data!M1492</f>
        <v>0</v>
      </c>
      <c r="N1492" s="24">
        <f t="shared" si="188"/>
        <v>0</v>
      </c>
      <c r="O1492" s="25">
        <f t="shared" si="189"/>
        <v>0</v>
      </c>
      <c r="P1492" s="24">
        <f>Data!K1492</f>
        <v>0</v>
      </c>
      <c r="Q1492" s="24">
        <f>Data!I1492</f>
        <v>0</v>
      </c>
      <c r="R1492" s="25">
        <f t="shared" si="190"/>
        <v>0</v>
      </c>
      <c r="S1492" s="25">
        <f t="shared" si="191"/>
        <v>0</v>
      </c>
    </row>
    <row r="1493" spans="1:19" ht="15" customHeight="1" x14ac:dyDescent="0.3">
      <c r="A1493" s="22"/>
      <c r="B1493" s="23"/>
      <c r="C1493" s="1"/>
      <c r="D1493" s="23">
        <v>2020</v>
      </c>
      <c r="E1493" s="24">
        <f>Data!F1493</f>
        <v>0</v>
      </c>
      <c r="F1493" s="24">
        <f>Data!H1493</f>
        <v>0</v>
      </c>
      <c r="G1493" s="24">
        <f t="shared" si="184"/>
        <v>0</v>
      </c>
      <c r="H1493" s="24">
        <f>Data!G1493</f>
        <v>0</v>
      </c>
      <c r="I1493" s="25">
        <f t="shared" si="185"/>
        <v>0</v>
      </c>
      <c r="J1493" s="24">
        <f>Data!J1493</f>
        <v>0</v>
      </c>
      <c r="K1493" s="24">
        <f t="shared" si="186"/>
        <v>0</v>
      </c>
      <c r="L1493" s="25">
        <f t="shared" si="187"/>
        <v>0</v>
      </c>
      <c r="M1493" s="24">
        <f>Data!M1493</f>
        <v>0</v>
      </c>
      <c r="N1493" s="24">
        <f t="shared" si="188"/>
        <v>0</v>
      </c>
      <c r="O1493" s="25">
        <f t="shared" si="189"/>
        <v>0</v>
      </c>
      <c r="P1493" s="24">
        <f>Data!K1493</f>
        <v>0</v>
      </c>
      <c r="Q1493" s="24">
        <f>Data!I1493</f>
        <v>0</v>
      </c>
      <c r="R1493" s="25">
        <f t="shared" si="190"/>
        <v>0</v>
      </c>
      <c r="S1493" s="25">
        <f t="shared" si="191"/>
        <v>0</v>
      </c>
    </row>
    <row r="1494" spans="1:19" ht="15" customHeight="1" x14ac:dyDescent="0.3">
      <c r="A1494" s="22"/>
      <c r="B1494" s="23"/>
      <c r="C1494" s="1"/>
      <c r="D1494" s="23">
        <v>2021</v>
      </c>
      <c r="E1494" s="24">
        <f>Data!F1494</f>
        <v>0</v>
      </c>
      <c r="F1494" s="24">
        <f>Data!H1494</f>
        <v>0</v>
      </c>
      <c r="G1494" s="24">
        <f t="shared" si="184"/>
        <v>0</v>
      </c>
      <c r="H1494" s="24">
        <f>Data!G1494</f>
        <v>0</v>
      </c>
      <c r="I1494" s="25">
        <f t="shared" si="185"/>
        <v>0</v>
      </c>
      <c r="J1494" s="24">
        <f>Data!J1494</f>
        <v>0</v>
      </c>
      <c r="K1494" s="24">
        <f t="shared" si="186"/>
        <v>0</v>
      </c>
      <c r="L1494" s="25">
        <f t="shared" si="187"/>
        <v>0</v>
      </c>
      <c r="M1494" s="24">
        <f>Data!M1494</f>
        <v>0</v>
      </c>
      <c r="N1494" s="24">
        <f t="shared" si="188"/>
        <v>0</v>
      </c>
      <c r="O1494" s="25">
        <f t="shared" si="189"/>
        <v>0</v>
      </c>
      <c r="P1494" s="24">
        <f>Data!K1494</f>
        <v>0</v>
      </c>
      <c r="Q1494" s="24">
        <f>Data!I1494</f>
        <v>0</v>
      </c>
      <c r="R1494" s="25">
        <f t="shared" si="190"/>
        <v>0</v>
      </c>
      <c r="S1494" s="25">
        <f t="shared" si="191"/>
        <v>0</v>
      </c>
    </row>
    <row r="1495" spans="1:19" ht="15" customHeight="1" x14ac:dyDescent="0.3">
      <c r="A1495" s="22"/>
      <c r="B1495" s="23"/>
      <c r="C1495" s="1"/>
      <c r="D1495" s="23">
        <v>2022</v>
      </c>
      <c r="E1495" s="24">
        <f>Data!F1495</f>
        <v>39461000000</v>
      </c>
      <c r="F1495" s="24">
        <f>Data!H1495</f>
        <v>19536000000</v>
      </c>
      <c r="G1495" s="24">
        <f t="shared" si="184"/>
        <v>19925000000</v>
      </c>
      <c r="H1495" s="24">
        <f>Data!G1495</f>
        <v>381774000000</v>
      </c>
      <c r="I1495" s="25">
        <f t="shared" si="185"/>
        <v>0.34237009330127244</v>
      </c>
      <c r="J1495" s="24">
        <f>Data!J1495</f>
        <v>9032000000</v>
      </c>
      <c r="K1495" s="24">
        <f t="shared" si="186"/>
        <v>381774000000</v>
      </c>
      <c r="L1495" s="25">
        <f t="shared" si="187"/>
        <v>7.7125000654837683E-2</v>
      </c>
      <c r="M1495" s="24">
        <f>Data!M1495</f>
        <v>1137000000</v>
      </c>
      <c r="N1495" s="24">
        <f t="shared" si="188"/>
        <v>381774000000</v>
      </c>
      <c r="O1495" s="25">
        <f t="shared" si="189"/>
        <v>2.0013515849691178E-2</v>
      </c>
      <c r="P1495" s="24">
        <f>Data!K1495</f>
        <v>310790000000</v>
      </c>
      <c r="Q1495" s="24">
        <f>Data!I1495</f>
        <v>70984000000</v>
      </c>
      <c r="R1495" s="25">
        <f t="shared" si="190"/>
        <v>4.5972261354671478</v>
      </c>
      <c r="S1495" s="25">
        <f t="shared" si="191"/>
        <v>5.0367347452729492</v>
      </c>
    </row>
    <row r="1496" spans="1:19" ht="15" customHeight="1" x14ac:dyDescent="0.3">
      <c r="A1496" s="22"/>
      <c r="B1496" s="23"/>
      <c r="C1496" s="1"/>
      <c r="D1496" s="23">
        <v>2023</v>
      </c>
      <c r="E1496" s="24">
        <f>Data!F1496</f>
        <v>261970000000</v>
      </c>
      <c r="F1496" s="24">
        <f>Data!H1496</f>
        <v>179935000000</v>
      </c>
      <c r="G1496" s="24">
        <f t="shared" si="184"/>
        <v>82035000000</v>
      </c>
      <c r="H1496" s="24">
        <f>Data!G1496</f>
        <v>786371000000</v>
      </c>
      <c r="I1496" s="25">
        <f t="shared" si="185"/>
        <v>0.68434568416180142</v>
      </c>
      <c r="J1496" s="24">
        <f>Data!J1496</f>
        <v>29592000000</v>
      </c>
      <c r="K1496" s="24">
        <f t="shared" si="186"/>
        <v>786371000000</v>
      </c>
      <c r="L1496" s="25">
        <f t="shared" si="187"/>
        <v>0.1226773622119839</v>
      </c>
      <c r="M1496" s="24">
        <f>Data!M1496</f>
        <v>19967000000</v>
      </c>
      <c r="N1496" s="24">
        <f t="shared" si="188"/>
        <v>786371000000</v>
      </c>
      <c r="O1496" s="25">
        <f t="shared" si="189"/>
        <v>0.1706296900572376</v>
      </c>
      <c r="P1496" s="24">
        <f>Data!K1496</f>
        <v>329980000000</v>
      </c>
      <c r="Q1496" s="24">
        <f>Data!I1496</f>
        <v>456391000000</v>
      </c>
      <c r="R1496" s="25">
        <f t="shared" si="190"/>
        <v>0.75917141223205542</v>
      </c>
      <c r="S1496" s="25">
        <f t="shared" si="191"/>
        <v>1.7368241486630782</v>
      </c>
    </row>
    <row r="1497" spans="1:19" ht="15" customHeight="1" x14ac:dyDescent="0.3">
      <c r="A1497" s="22"/>
      <c r="B1497" s="23"/>
      <c r="C1497" s="1"/>
      <c r="D1497" s="23">
        <v>2024</v>
      </c>
      <c r="E1497" s="24">
        <f>Data!F1497</f>
        <v>464301000000</v>
      </c>
      <c r="F1497" s="24">
        <f>Data!H1497</f>
        <v>220528000000</v>
      </c>
      <c r="G1497" s="24">
        <f t="shared" si="184"/>
        <v>243773000000</v>
      </c>
      <c r="H1497" s="24">
        <f>Data!G1497</f>
        <v>1543840000000</v>
      </c>
      <c r="I1497" s="25">
        <f t="shared" si="185"/>
        <v>1.0358268214322728</v>
      </c>
      <c r="J1497" s="24">
        <f>Data!J1497</f>
        <v>61782000000</v>
      </c>
      <c r="K1497" s="24">
        <f t="shared" si="186"/>
        <v>1543840000000</v>
      </c>
      <c r="L1497" s="25">
        <f t="shared" si="187"/>
        <v>0.13045996994507203</v>
      </c>
      <c r="M1497" s="24">
        <f>Data!M1497</f>
        <v>31687000000</v>
      </c>
      <c r="N1497" s="24">
        <f t="shared" si="188"/>
        <v>1543840000000</v>
      </c>
      <c r="O1497" s="25">
        <f t="shared" si="189"/>
        <v>0.13792662452067572</v>
      </c>
      <c r="P1497" s="24">
        <f>Data!K1497</f>
        <v>574724000000</v>
      </c>
      <c r="Q1497" s="24">
        <f>Data!I1497</f>
        <v>969116000000</v>
      </c>
      <c r="R1497" s="25">
        <f t="shared" si="190"/>
        <v>0.62269140123576538</v>
      </c>
      <c r="S1497" s="25">
        <f t="shared" si="191"/>
        <v>1.9269048171337861</v>
      </c>
    </row>
    <row r="1498" spans="1:19" ht="15" customHeight="1" x14ac:dyDescent="0.3">
      <c r="A1498" s="22"/>
      <c r="B1498" s="23">
        <v>137</v>
      </c>
      <c r="C1498" s="1" t="s">
        <v>136</v>
      </c>
      <c r="D1498" s="23">
        <v>2014</v>
      </c>
      <c r="E1498" s="24">
        <f>Data!F1498</f>
        <v>0</v>
      </c>
      <c r="F1498" s="24">
        <f>Data!H1498</f>
        <v>0</v>
      </c>
      <c r="G1498" s="24">
        <f t="shared" si="184"/>
        <v>0</v>
      </c>
      <c r="H1498" s="24">
        <f>Data!G1498</f>
        <v>0</v>
      </c>
      <c r="I1498" s="25">
        <f t="shared" si="185"/>
        <v>0</v>
      </c>
      <c r="J1498" s="24">
        <f>Data!J1498</f>
        <v>0</v>
      </c>
      <c r="K1498" s="24">
        <f t="shared" si="186"/>
        <v>0</v>
      </c>
      <c r="L1498" s="25">
        <f t="shared" si="187"/>
        <v>0</v>
      </c>
      <c r="M1498" s="24">
        <f>Data!M1498</f>
        <v>0</v>
      </c>
      <c r="N1498" s="24">
        <f t="shared" si="188"/>
        <v>0</v>
      </c>
      <c r="O1498" s="25">
        <f t="shared" si="189"/>
        <v>0</v>
      </c>
      <c r="P1498" s="24">
        <f>Data!K1498</f>
        <v>0</v>
      </c>
      <c r="Q1498" s="24">
        <f>Data!I1498</f>
        <v>0</v>
      </c>
      <c r="R1498" s="25">
        <f t="shared" si="190"/>
        <v>0</v>
      </c>
      <c r="S1498" s="25">
        <f t="shared" si="191"/>
        <v>0</v>
      </c>
    </row>
    <row r="1499" spans="1:19" ht="15" customHeight="1" x14ac:dyDescent="0.3">
      <c r="A1499" s="22"/>
      <c r="B1499" s="23"/>
      <c r="C1499" s="1"/>
      <c r="D1499" s="23">
        <v>2015</v>
      </c>
      <c r="E1499" s="24">
        <f>Data!F1499</f>
        <v>0</v>
      </c>
      <c r="F1499" s="24">
        <f>Data!H1499</f>
        <v>0</v>
      </c>
      <c r="G1499" s="24">
        <f t="shared" si="184"/>
        <v>0</v>
      </c>
      <c r="H1499" s="24">
        <f>Data!G1499</f>
        <v>0</v>
      </c>
      <c r="I1499" s="25">
        <f t="shared" si="185"/>
        <v>0</v>
      </c>
      <c r="J1499" s="24">
        <f>Data!J1499</f>
        <v>0</v>
      </c>
      <c r="K1499" s="24">
        <f t="shared" si="186"/>
        <v>0</v>
      </c>
      <c r="L1499" s="25">
        <f t="shared" si="187"/>
        <v>0</v>
      </c>
      <c r="M1499" s="24">
        <f>Data!M1499</f>
        <v>0</v>
      </c>
      <c r="N1499" s="24">
        <f t="shared" si="188"/>
        <v>0</v>
      </c>
      <c r="O1499" s="25">
        <f t="shared" si="189"/>
        <v>0</v>
      </c>
      <c r="P1499" s="24">
        <f>Data!K1499</f>
        <v>0</v>
      </c>
      <c r="Q1499" s="24">
        <f>Data!I1499</f>
        <v>0</v>
      </c>
      <c r="R1499" s="25">
        <f t="shared" si="190"/>
        <v>0</v>
      </c>
      <c r="S1499" s="25">
        <f t="shared" si="191"/>
        <v>0</v>
      </c>
    </row>
    <row r="1500" spans="1:19" ht="15" customHeight="1" x14ac:dyDescent="0.3">
      <c r="A1500" s="22"/>
      <c r="B1500" s="23"/>
      <c r="C1500" s="1"/>
      <c r="D1500" s="23">
        <v>2016</v>
      </c>
      <c r="E1500" s="24">
        <f>Data!F1500</f>
        <v>581277000000</v>
      </c>
      <c r="F1500" s="24">
        <f>Data!H1500</f>
        <v>185976000000</v>
      </c>
      <c r="G1500" s="24">
        <f t="shared" si="184"/>
        <v>395301000000</v>
      </c>
      <c r="H1500" s="24">
        <f>Data!G1500</f>
        <v>1833551000000</v>
      </c>
      <c r="I1500" s="25">
        <f t="shared" si="185"/>
        <v>1.4142909360034162</v>
      </c>
      <c r="J1500" s="24">
        <f>Data!J1500</f>
        <v>666191000000</v>
      </c>
      <c r="K1500" s="24">
        <f t="shared" si="186"/>
        <v>1833551000000</v>
      </c>
      <c r="L1500" s="25">
        <f t="shared" si="187"/>
        <v>1.1844680949698154</v>
      </c>
      <c r="M1500" s="24">
        <f>Data!M1500</f>
        <v>159740000000</v>
      </c>
      <c r="N1500" s="24">
        <f t="shared" si="188"/>
        <v>1833551000000</v>
      </c>
      <c r="O1500" s="25">
        <f t="shared" si="189"/>
        <v>0.58545020018532345</v>
      </c>
      <c r="P1500" s="24">
        <f>Data!K1500</f>
        <v>746339000000</v>
      </c>
      <c r="Q1500" s="24">
        <f>Data!I1500</f>
        <v>1087212000000</v>
      </c>
      <c r="R1500" s="25">
        <f t="shared" si="190"/>
        <v>0.72079405856447509</v>
      </c>
      <c r="S1500" s="25">
        <f t="shared" si="191"/>
        <v>3.9050032897230298</v>
      </c>
    </row>
    <row r="1501" spans="1:19" ht="15" customHeight="1" x14ac:dyDescent="0.3">
      <c r="A1501" s="22"/>
      <c r="B1501" s="23"/>
      <c r="C1501" s="1"/>
      <c r="D1501" s="23">
        <v>2017</v>
      </c>
      <c r="E1501" s="24">
        <f>Data!F1501</f>
        <v>972338000000</v>
      </c>
      <c r="F1501" s="24">
        <f>Data!H1501</f>
        <v>299277000000</v>
      </c>
      <c r="G1501" s="24">
        <f t="shared" si="184"/>
        <v>673061000000</v>
      </c>
      <c r="H1501" s="24">
        <f>Data!G1501</f>
        <v>2879988000000</v>
      </c>
      <c r="I1501" s="25">
        <f t="shared" si="185"/>
        <v>1.5330897767629585</v>
      </c>
      <c r="J1501" s="24">
        <f>Data!J1501</f>
        <v>803752000000</v>
      </c>
      <c r="K1501" s="24">
        <f t="shared" si="186"/>
        <v>2879988000000</v>
      </c>
      <c r="L1501" s="25">
        <f t="shared" si="187"/>
        <v>0.90980640197111928</v>
      </c>
      <c r="M1501" s="24">
        <f>Data!M1501</f>
        <v>185047000000</v>
      </c>
      <c r="N1501" s="24">
        <f t="shared" si="188"/>
        <v>2879988000000</v>
      </c>
      <c r="O1501" s="25">
        <f t="shared" si="189"/>
        <v>0.43177813240888507</v>
      </c>
      <c r="P1501" s="24">
        <f>Data!K1501</f>
        <v>1356933000000</v>
      </c>
      <c r="Q1501" s="24">
        <f>Data!I1501</f>
        <v>1523055000000</v>
      </c>
      <c r="R1501" s="25">
        <f t="shared" si="190"/>
        <v>0.93547485153195387</v>
      </c>
      <c r="S1501" s="25">
        <f t="shared" si="191"/>
        <v>3.8101491626749171</v>
      </c>
    </row>
    <row r="1502" spans="1:19" ht="15" customHeight="1" x14ac:dyDescent="0.3">
      <c r="A1502" s="22"/>
      <c r="B1502" s="23"/>
      <c r="C1502" s="1"/>
      <c r="D1502" s="23">
        <v>2018</v>
      </c>
      <c r="E1502" s="24">
        <f>Data!F1502</f>
        <v>1475738000000</v>
      </c>
      <c r="F1502" s="24">
        <f>Data!H1502</f>
        <v>552415000000</v>
      </c>
      <c r="G1502" s="24">
        <f t="shared" si="184"/>
        <v>923323000000</v>
      </c>
      <c r="H1502" s="24">
        <f>Data!G1502</f>
        <v>3426618000000</v>
      </c>
      <c r="I1502" s="25">
        <f t="shared" si="185"/>
        <v>1.767631781540866</v>
      </c>
      <c r="J1502" s="24">
        <f>Data!J1502</f>
        <v>915770000000</v>
      </c>
      <c r="K1502" s="24">
        <f t="shared" si="186"/>
        <v>3426618000000</v>
      </c>
      <c r="L1502" s="25">
        <f t="shared" si="187"/>
        <v>0.87124103124421803</v>
      </c>
      <c r="M1502" s="24">
        <f>Data!M1502</f>
        <v>161351000000</v>
      </c>
      <c r="N1502" s="24">
        <f t="shared" si="188"/>
        <v>3426618000000</v>
      </c>
      <c r="O1502" s="25">
        <f t="shared" si="189"/>
        <v>0.31642824499258448</v>
      </c>
      <c r="P1502" s="24">
        <f>Data!K1502</f>
        <v>1410477000000</v>
      </c>
      <c r="Q1502" s="24">
        <f>Data!I1502</f>
        <v>2016141000000</v>
      </c>
      <c r="R1502" s="25">
        <f t="shared" si="190"/>
        <v>0.73457206118024487</v>
      </c>
      <c r="S1502" s="25">
        <f t="shared" si="191"/>
        <v>3.6898731189579133</v>
      </c>
    </row>
    <row r="1503" spans="1:19" ht="15" customHeight="1" x14ac:dyDescent="0.3">
      <c r="A1503" s="22"/>
      <c r="B1503" s="23"/>
      <c r="C1503" s="1"/>
      <c r="D1503" s="23">
        <v>2019</v>
      </c>
      <c r="E1503" s="24">
        <f>Data!F1503</f>
        <v>1613741000000</v>
      </c>
      <c r="F1503" s="24">
        <f>Data!H1503</f>
        <v>591657000000</v>
      </c>
      <c r="G1503" s="24">
        <f t="shared" si="184"/>
        <v>1022084000000</v>
      </c>
      <c r="H1503" s="24">
        <f>Data!G1503</f>
        <v>3915599000000</v>
      </c>
      <c r="I1503" s="25">
        <f t="shared" si="185"/>
        <v>1.7123487466413183</v>
      </c>
      <c r="J1503" s="24">
        <f>Data!J1503</f>
        <v>1067075000000</v>
      </c>
      <c r="K1503" s="24">
        <f t="shared" si="186"/>
        <v>3915599000000</v>
      </c>
      <c r="L1503" s="25">
        <f t="shared" si="187"/>
        <v>0.88841183686072045</v>
      </c>
      <c r="M1503" s="24">
        <f>Data!M1503</f>
        <v>193279000000</v>
      </c>
      <c r="N1503" s="24">
        <f t="shared" si="188"/>
        <v>3915599000000</v>
      </c>
      <c r="O1503" s="25">
        <f t="shared" si="189"/>
        <v>0.33170783831541484</v>
      </c>
      <c r="P1503" s="24">
        <f>Data!K1503</f>
        <v>1595086000000</v>
      </c>
      <c r="Q1503" s="24">
        <f>Data!I1503</f>
        <v>2320513000000</v>
      </c>
      <c r="R1503" s="25">
        <f t="shared" si="190"/>
        <v>0.72175432759911273</v>
      </c>
      <c r="S1503" s="25">
        <f t="shared" si="191"/>
        <v>3.6542227494165669</v>
      </c>
    </row>
    <row r="1504" spans="1:19" ht="15" customHeight="1" x14ac:dyDescent="0.3">
      <c r="A1504" s="22"/>
      <c r="B1504" s="23"/>
      <c r="C1504" s="1"/>
      <c r="D1504" s="23">
        <v>2020</v>
      </c>
      <c r="E1504" s="24">
        <f>Data!F1504</f>
        <v>1458160000000</v>
      </c>
      <c r="F1504" s="24">
        <f>Data!H1504</f>
        <v>566970000000</v>
      </c>
      <c r="G1504" s="24">
        <f t="shared" si="184"/>
        <v>891190000000</v>
      </c>
      <c r="H1504" s="24">
        <f>Data!G1504</f>
        <v>4203345000000</v>
      </c>
      <c r="I1504" s="25">
        <f t="shared" si="185"/>
        <v>1.3908461951136535</v>
      </c>
      <c r="J1504" s="24">
        <f>Data!J1504</f>
        <v>1149907000000</v>
      </c>
      <c r="K1504" s="24">
        <f t="shared" si="186"/>
        <v>4203345000000</v>
      </c>
      <c r="L1504" s="25">
        <f t="shared" si="187"/>
        <v>0.89183657777317826</v>
      </c>
      <c r="M1504" s="24">
        <f>Data!M1504</f>
        <v>112754000000</v>
      </c>
      <c r="N1504" s="24">
        <f t="shared" si="188"/>
        <v>4203345000000</v>
      </c>
      <c r="O1504" s="25">
        <f t="shared" si="189"/>
        <v>0.18026283352901082</v>
      </c>
      <c r="P1504" s="24">
        <f>Data!K1504</f>
        <v>1755800000000</v>
      </c>
      <c r="Q1504" s="24">
        <f>Data!I1504</f>
        <v>2447545000000</v>
      </c>
      <c r="R1504" s="25">
        <f t="shared" si="190"/>
        <v>0.75324049200321141</v>
      </c>
      <c r="S1504" s="25">
        <f t="shared" si="191"/>
        <v>3.2161860984190538</v>
      </c>
    </row>
    <row r="1505" spans="1:19" ht="15" customHeight="1" x14ac:dyDescent="0.3">
      <c r="A1505" s="22"/>
      <c r="B1505" s="23"/>
      <c r="C1505" s="1"/>
      <c r="D1505" s="23">
        <v>2021</v>
      </c>
      <c r="E1505" s="24">
        <f>Data!F1505</f>
        <v>1262408000000</v>
      </c>
      <c r="F1505" s="24">
        <f>Data!H1505</f>
        <v>536424000000</v>
      </c>
      <c r="G1505" s="24">
        <f t="shared" si="184"/>
        <v>725984000000</v>
      </c>
      <c r="H1505" s="24">
        <f>Data!G1505</f>
        <v>3981209000000</v>
      </c>
      <c r="I1505" s="25">
        <f t="shared" si="185"/>
        <v>1.1962333652917994</v>
      </c>
      <c r="J1505" s="24">
        <f>Data!J1505</f>
        <v>833893000000</v>
      </c>
      <c r="K1505" s="24">
        <f t="shared" si="186"/>
        <v>3981209000000</v>
      </c>
      <c r="L1505" s="25">
        <f t="shared" si="187"/>
        <v>0.68283056227392225</v>
      </c>
      <c r="M1505" s="24">
        <f>Data!M1505</f>
        <v>-296612000000</v>
      </c>
      <c r="N1505" s="24">
        <f t="shared" si="188"/>
        <v>3981209000000</v>
      </c>
      <c r="O1505" s="25">
        <f t="shared" si="189"/>
        <v>-0.50066013615462035</v>
      </c>
      <c r="P1505" s="24">
        <f>Data!K1505</f>
        <v>1383017000000</v>
      </c>
      <c r="Q1505" s="24">
        <f>Data!I1505</f>
        <v>2598192000000</v>
      </c>
      <c r="R1505" s="25">
        <f t="shared" si="190"/>
        <v>0.55891475687708991</v>
      </c>
      <c r="S1505" s="25">
        <f t="shared" si="191"/>
        <v>1.9373185482881912</v>
      </c>
    </row>
    <row r="1506" spans="1:19" ht="15" customHeight="1" x14ac:dyDescent="0.3">
      <c r="A1506" s="22"/>
      <c r="B1506" s="23"/>
      <c r="C1506" s="1"/>
      <c r="D1506" s="23">
        <v>2022</v>
      </c>
      <c r="E1506" s="24">
        <f>Data!F1506</f>
        <v>1476753000000</v>
      </c>
      <c r="F1506" s="24">
        <f>Data!H1506</f>
        <v>441130000000</v>
      </c>
      <c r="G1506" s="24">
        <f t="shared" si="184"/>
        <v>1035623000000</v>
      </c>
      <c r="H1506" s="24">
        <f>Data!G1506</f>
        <v>4286126000000</v>
      </c>
      <c r="I1506" s="25">
        <f t="shared" si="185"/>
        <v>1.5850413356956841</v>
      </c>
      <c r="J1506" s="24">
        <f>Data!J1506</f>
        <v>871236000000</v>
      </c>
      <c r="K1506" s="24">
        <f t="shared" si="186"/>
        <v>4286126000000</v>
      </c>
      <c r="L1506" s="25">
        <f t="shared" si="187"/>
        <v>0.66265652479651782</v>
      </c>
      <c r="M1506" s="24">
        <f>Data!M1506</f>
        <v>43359000000</v>
      </c>
      <c r="N1506" s="24">
        <f t="shared" si="188"/>
        <v>4286126000000</v>
      </c>
      <c r="O1506" s="25">
        <f t="shared" si="189"/>
        <v>6.7980381351364846E-2</v>
      </c>
      <c r="P1506" s="24">
        <f>Data!K1506</f>
        <v>1396966000000</v>
      </c>
      <c r="Q1506" s="24">
        <f>Data!I1506</f>
        <v>2889160000000</v>
      </c>
      <c r="R1506" s="25">
        <f t="shared" si="190"/>
        <v>0.50769576624347568</v>
      </c>
      <c r="S1506" s="25">
        <f t="shared" si="191"/>
        <v>2.8233740080870424</v>
      </c>
    </row>
    <row r="1507" spans="1:19" ht="15" customHeight="1" x14ac:dyDescent="0.3">
      <c r="A1507" s="22"/>
      <c r="B1507" s="23"/>
      <c r="C1507" s="1"/>
      <c r="D1507" s="23">
        <v>2023</v>
      </c>
      <c r="E1507" s="24">
        <f>Data!F1507</f>
        <v>1800986000000</v>
      </c>
      <c r="F1507" s="24">
        <f>Data!H1507</f>
        <v>339497000000</v>
      </c>
      <c r="G1507" s="24">
        <f t="shared" si="184"/>
        <v>1461489000000</v>
      </c>
      <c r="H1507" s="24">
        <f>Data!G1507</f>
        <v>4772681000000</v>
      </c>
      <c r="I1507" s="25">
        <f t="shared" si="185"/>
        <v>2.0088013089498333</v>
      </c>
      <c r="J1507" s="24">
        <f>Data!J1507</f>
        <v>925461000000</v>
      </c>
      <c r="K1507" s="24">
        <f t="shared" si="186"/>
        <v>4772681000000</v>
      </c>
      <c r="L1507" s="25">
        <f t="shared" si="187"/>
        <v>0.63214006131983258</v>
      </c>
      <c r="M1507" s="24">
        <f>Data!M1507</f>
        <v>70118000000</v>
      </c>
      <c r="N1507" s="24">
        <f t="shared" si="188"/>
        <v>4772681000000</v>
      </c>
      <c r="O1507" s="25">
        <f t="shared" si="189"/>
        <v>9.8727101182752422E-2</v>
      </c>
      <c r="P1507" s="24">
        <f>Data!K1507</f>
        <v>1446969000000</v>
      </c>
      <c r="Q1507" s="24">
        <f>Data!I1507</f>
        <v>3325712000000</v>
      </c>
      <c r="R1507" s="25">
        <f t="shared" si="190"/>
        <v>0.45683975341220168</v>
      </c>
      <c r="S1507" s="25">
        <f t="shared" si="191"/>
        <v>3.1965082248646199</v>
      </c>
    </row>
    <row r="1508" spans="1:19" ht="15" customHeight="1" x14ac:dyDescent="0.3">
      <c r="A1508" s="22"/>
      <c r="B1508" s="23"/>
      <c r="C1508" s="1"/>
      <c r="D1508" s="23">
        <v>2024</v>
      </c>
      <c r="E1508" s="24">
        <f>Data!F1508</f>
        <v>1800727000000</v>
      </c>
      <c r="F1508" s="24">
        <f>Data!H1508</f>
        <v>353993000000</v>
      </c>
      <c r="G1508" s="24">
        <f t="shared" si="184"/>
        <v>1446734000000</v>
      </c>
      <c r="H1508" s="24">
        <f>Data!G1508</f>
        <v>4965832000000</v>
      </c>
      <c r="I1508" s="25">
        <f t="shared" si="185"/>
        <v>1.9111752149488745</v>
      </c>
      <c r="J1508" s="24">
        <f>Data!J1508</f>
        <v>963567000000</v>
      </c>
      <c r="K1508" s="24">
        <f t="shared" si="186"/>
        <v>4965832000000</v>
      </c>
      <c r="L1508" s="25">
        <f t="shared" si="187"/>
        <v>0.63256840344175957</v>
      </c>
      <c r="M1508" s="24">
        <f>Data!M1508</f>
        <v>40626000000</v>
      </c>
      <c r="N1508" s="24">
        <f t="shared" si="188"/>
        <v>4965832000000</v>
      </c>
      <c r="O1508" s="25">
        <f t="shared" si="189"/>
        <v>5.4977035066832707E-2</v>
      </c>
      <c r="P1508" s="24">
        <f>Data!K1508</f>
        <v>1453202000000</v>
      </c>
      <c r="Q1508" s="24">
        <f>Data!I1508</f>
        <v>3512630000000</v>
      </c>
      <c r="R1508" s="25">
        <f t="shared" si="190"/>
        <v>0.43439306160910773</v>
      </c>
      <c r="S1508" s="25">
        <f t="shared" si="191"/>
        <v>3.0331137150665741</v>
      </c>
    </row>
    <row r="1509" spans="1:19" ht="15" customHeight="1" x14ac:dyDescent="0.3">
      <c r="A1509" s="22"/>
      <c r="B1509" s="23">
        <v>138</v>
      </c>
      <c r="C1509" s="1" t="s">
        <v>143</v>
      </c>
      <c r="D1509" s="23">
        <v>2014</v>
      </c>
      <c r="E1509" s="24">
        <f>Data!F1509</f>
        <v>0</v>
      </c>
      <c r="F1509" s="24">
        <f>Data!H1509</f>
        <v>0</v>
      </c>
      <c r="G1509" s="24">
        <f t="shared" si="184"/>
        <v>0</v>
      </c>
      <c r="H1509" s="24">
        <f>Data!G1509</f>
        <v>0</v>
      </c>
      <c r="I1509" s="25">
        <f t="shared" si="185"/>
        <v>0</v>
      </c>
      <c r="J1509" s="24">
        <f>Data!J1509</f>
        <v>0</v>
      </c>
      <c r="K1509" s="24">
        <f t="shared" si="186"/>
        <v>0</v>
      </c>
      <c r="L1509" s="25">
        <f t="shared" si="187"/>
        <v>0</v>
      </c>
      <c r="M1509" s="24">
        <f>Data!M1509</f>
        <v>0</v>
      </c>
      <c r="N1509" s="24">
        <f t="shared" si="188"/>
        <v>0</v>
      </c>
      <c r="O1509" s="25">
        <f t="shared" si="189"/>
        <v>0</v>
      </c>
      <c r="P1509" s="24">
        <f>Data!K1509</f>
        <v>0</v>
      </c>
      <c r="Q1509" s="24">
        <f>Data!I1509</f>
        <v>0</v>
      </c>
      <c r="R1509" s="25">
        <f t="shared" si="190"/>
        <v>0</v>
      </c>
      <c r="S1509" s="25">
        <f t="shared" si="191"/>
        <v>0</v>
      </c>
    </row>
    <row r="1510" spans="1:19" ht="15" customHeight="1" x14ac:dyDescent="0.3">
      <c r="A1510" s="22"/>
      <c r="B1510" s="23"/>
      <c r="C1510" s="1"/>
      <c r="D1510" s="23">
        <v>2015</v>
      </c>
      <c r="E1510" s="24">
        <f>Data!F1510</f>
        <v>0</v>
      </c>
      <c r="F1510" s="24">
        <f>Data!H1510</f>
        <v>0</v>
      </c>
      <c r="G1510" s="24">
        <f t="shared" si="184"/>
        <v>0</v>
      </c>
      <c r="H1510" s="24">
        <f>Data!G1510</f>
        <v>0</v>
      </c>
      <c r="I1510" s="25">
        <f t="shared" si="185"/>
        <v>0</v>
      </c>
      <c r="J1510" s="24">
        <f>Data!J1510</f>
        <v>0</v>
      </c>
      <c r="K1510" s="24">
        <f t="shared" si="186"/>
        <v>0</v>
      </c>
      <c r="L1510" s="25">
        <f t="shared" si="187"/>
        <v>0</v>
      </c>
      <c r="M1510" s="24">
        <f>Data!M1510</f>
        <v>0</v>
      </c>
      <c r="N1510" s="24">
        <f t="shared" si="188"/>
        <v>0</v>
      </c>
      <c r="O1510" s="25">
        <f t="shared" si="189"/>
        <v>0</v>
      </c>
      <c r="P1510" s="24">
        <f>Data!K1510</f>
        <v>0</v>
      </c>
      <c r="Q1510" s="24">
        <f>Data!I1510</f>
        <v>0</v>
      </c>
      <c r="R1510" s="25">
        <f t="shared" si="190"/>
        <v>0</v>
      </c>
      <c r="S1510" s="25">
        <f t="shared" si="191"/>
        <v>0</v>
      </c>
    </row>
    <row r="1511" spans="1:19" ht="15" customHeight="1" x14ac:dyDescent="0.3">
      <c r="A1511" s="22"/>
      <c r="B1511" s="23"/>
      <c r="C1511" s="1"/>
      <c r="D1511" s="23">
        <v>2016</v>
      </c>
      <c r="E1511" s="24">
        <f>Data!F1511</f>
        <v>0</v>
      </c>
      <c r="F1511" s="24">
        <f>Data!H1511</f>
        <v>0</v>
      </c>
      <c r="G1511" s="24">
        <f t="shared" si="184"/>
        <v>0</v>
      </c>
      <c r="H1511" s="24">
        <f>Data!G1511</f>
        <v>0</v>
      </c>
      <c r="I1511" s="25">
        <f t="shared" si="185"/>
        <v>0</v>
      </c>
      <c r="J1511" s="24">
        <f>Data!J1511</f>
        <v>0</v>
      </c>
      <c r="K1511" s="24">
        <f t="shared" si="186"/>
        <v>0</v>
      </c>
      <c r="L1511" s="25">
        <f t="shared" si="187"/>
        <v>0</v>
      </c>
      <c r="M1511" s="24">
        <f>Data!M1511</f>
        <v>0</v>
      </c>
      <c r="N1511" s="24">
        <f t="shared" si="188"/>
        <v>0</v>
      </c>
      <c r="O1511" s="25">
        <f t="shared" si="189"/>
        <v>0</v>
      </c>
      <c r="P1511" s="24">
        <f>Data!K1511</f>
        <v>0</v>
      </c>
      <c r="Q1511" s="24">
        <f>Data!I1511</f>
        <v>0</v>
      </c>
      <c r="R1511" s="25">
        <f t="shared" si="190"/>
        <v>0</v>
      </c>
      <c r="S1511" s="25">
        <f t="shared" si="191"/>
        <v>0</v>
      </c>
    </row>
    <row r="1512" spans="1:19" ht="15" customHeight="1" x14ac:dyDescent="0.3">
      <c r="A1512" s="22"/>
      <c r="B1512" s="23"/>
      <c r="C1512" s="1"/>
      <c r="D1512" s="23">
        <v>2017</v>
      </c>
      <c r="E1512" s="24">
        <f>Data!F1512</f>
        <v>0</v>
      </c>
      <c r="F1512" s="24">
        <f>Data!H1512</f>
        <v>0</v>
      </c>
      <c r="G1512" s="24">
        <f t="shared" si="184"/>
        <v>0</v>
      </c>
      <c r="H1512" s="24">
        <f>Data!G1512</f>
        <v>0</v>
      </c>
      <c r="I1512" s="25">
        <f t="shared" si="185"/>
        <v>0</v>
      </c>
      <c r="J1512" s="24">
        <f>Data!J1512</f>
        <v>0</v>
      </c>
      <c r="K1512" s="24">
        <f t="shared" si="186"/>
        <v>0</v>
      </c>
      <c r="L1512" s="25">
        <f t="shared" si="187"/>
        <v>0</v>
      </c>
      <c r="M1512" s="24">
        <f>Data!M1512</f>
        <v>0</v>
      </c>
      <c r="N1512" s="24">
        <f t="shared" si="188"/>
        <v>0</v>
      </c>
      <c r="O1512" s="25">
        <f t="shared" si="189"/>
        <v>0</v>
      </c>
      <c r="P1512" s="24">
        <f>Data!K1512</f>
        <v>0</v>
      </c>
      <c r="Q1512" s="24">
        <f>Data!I1512</f>
        <v>0</v>
      </c>
      <c r="R1512" s="25">
        <f t="shared" si="190"/>
        <v>0</v>
      </c>
      <c r="S1512" s="25">
        <f t="shared" si="191"/>
        <v>0</v>
      </c>
    </row>
    <row r="1513" spans="1:19" ht="15" customHeight="1" x14ac:dyDescent="0.3">
      <c r="A1513" s="22"/>
      <c r="B1513" s="23"/>
      <c r="C1513" s="1"/>
      <c r="D1513" s="23">
        <v>2018</v>
      </c>
      <c r="E1513" s="24">
        <f>Data!F1513</f>
        <v>0</v>
      </c>
      <c r="F1513" s="24">
        <f>Data!H1513</f>
        <v>0</v>
      </c>
      <c r="G1513" s="24">
        <f t="shared" si="184"/>
        <v>0</v>
      </c>
      <c r="H1513" s="24">
        <f>Data!G1513</f>
        <v>0</v>
      </c>
      <c r="I1513" s="25">
        <f t="shared" si="185"/>
        <v>0</v>
      </c>
      <c r="J1513" s="24">
        <f>Data!J1513</f>
        <v>0</v>
      </c>
      <c r="K1513" s="24">
        <f t="shared" si="186"/>
        <v>0</v>
      </c>
      <c r="L1513" s="25">
        <f t="shared" si="187"/>
        <v>0</v>
      </c>
      <c r="M1513" s="24">
        <f>Data!M1513</f>
        <v>0</v>
      </c>
      <c r="N1513" s="24">
        <f t="shared" si="188"/>
        <v>0</v>
      </c>
      <c r="O1513" s="25">
        <f t="shared" si="189"/>
        <v>0</v>
      </c>
      <c r="P1513" s="24">
        <f>Data!K1513</f>
        <v>0</v>
      </c>
      <c r="Q1513" s="24">
        <f>Data!I1513</f>
        <v>0</v>
      </c>
      <c r="R1513" s="25">
        <f t="shared" si="190"/>
        <v>0</v>
      </c>
      <c r="S1513" s="25">
        <f t="shared" si="191"/>
        <v>0</v>
      </c>
    </row>
    <row r="1514" spans="1:19" ht="15" customHeight="1" x14ac:dyDescent="0.3">
      <c r="A1514" s="22"/>
      <c r="B1514" s="23"/>
      <c r="C1514" s="1"/>
      <c r="D1514" s="23">
        <v>2019</v>
      </c>
      <c r="E1514" s="24">
        <f>Data!F1514</f>
        <v>0</v>
      </c>
      <c r="F1514" s="24">
        <f>Data!H1514</f>
        <v>0</v>
      </c>
      <c r="G1514" s="24">
        <f t="shared" si="184"/>
        <v>0</v>
      </c>
      <c r="H1514" s="24">
        <f>Data!G1514</f>
        <v>0</v>
      </c>
      <c r="I1514" s="25">
        <f t="shared" si="185"/>
        <v>0</v>
      </c>
      <c r="J1514" s="24">
        <f>Data!J1514</f>
        <v>0</v>
      </c>
      <c r="K1514" s="24">
        <f t="shared" si="186"/>
        <v>0</v>
      </c>
      <c r="L1514" s="25">
        <f t="shared" si="187"/>
        <v>0</v>
      </c>
      <c r="M1514" s="24">
        <f>Data!M1514</f>
        <v>0</v>
      </c>
      <c r="N1514" s="24">
        <f t="shared" si="188"/>
        <v>0</v>
      </c>
      <c r="O1514" s="25">
        <f t="shared" si="189"/>
        <v>0</v>
      </c>
      <c r="P1514" s="24">
        <f>Data!K1514</f>
        <v>0</v>
      </c>
      <c r="Q1514" s="24">
        <f>Data!I1514</f>
        <v>0</v>
      </c>
      <c r="R1514" s="25">
        <f t="shared" si="190"/>
        <v>0</v>
      </c>
      <c r="S1514" s="25">
        <f t="shared" si="191"/>
        <v>0</v>
      </c>
    </row>
    <row r="1515" spans="1:19" ht="15" customHeight="1" x14ac:dyDescent="0.3">
      <c r="A1515" s="22"/>
      <c r="B1515" s="23"/>
      <c r="C1515" s="1"/>
      <c r="D1515" s="23">
        <v>2020</v>
      </c>
      <c r="E1515" s="24">
        <f>Data!F1515</f>
        <v>0</v>
      </c>
      <c r="F1515" s="24">
        <f>Data!H1515</f>
        <v>0</v>
      </c>
      <c r="G1515" s="24">
        <f t="shared" si="184"/>
        <v>0</v>
      </c>
      <c r="H1515" s="24">
        <f>Data!G1515</f>
        <v>0</v>
      </c>
      <c r="I1515" s="25">
        <f t="shared" si="185"/>
        <v>0</v>
      </c>
      <c r="J1515" s="24">
        <f>Data!J1515</f>
        <v>0</v>
      </c>
      <c r="K1515" s="24">
        <f t="shared" si="186"/>
        <v>0</v>
      </c>
      <c r="L1515" s="25">
        <f t="shared" si="187"/>
        <v>0</v>
      </c>
      <c r="M1515" s="24">
        <f>Data!M1515</f>
        <v>0</v>
      </c>
      <c r="N1515" s="24">
        <f t="shared" si="188"/>
        <v>0</v>
      </c>
      <c r="O1515" s="25">
        <f t="shared" si="189"/>
        <v>0</v>
      </c>
      <c r="P1515" s="24">
        <f>Data!K1515</f>
        <v>0</v>
      </c>
      <c r="Q1515" s="24">
        <f>Data!I1515</f>
        <v>0</v>
      </c>
      <c r="R1515" s="25">
        <f t="shared" si="190"/>
        <v>0</v>
      </c>
      <c r="S1515" s="25">
        <f t="shared" si="191"/>
        <v>0</v>
      </c>
    </row>
    <row r="1516" spans="1:19" ht="15" customHeight="1" x14ac:dyDescent="0.3">
      <c r="A1516" s="22"/>
      <c r="B1516" s="23"/>
      <c r="C1516" s="1"/>
      <c r="D1516" s="23">
        <v>2021</v>
      </c>
      <c r="E1516" s="24">
        <f>Data!F1516</f>
        <v>0</v>
      </c>
      <c r="F1516" s="24">
        <f>Data!H1516</f>
        <v>0</v>
      </c>
      <c r="G1516" s="24">
        <f t="shared" si="184"/>
        <v>0</v>
      </c>
      <c r="H1516" s="24">
        <f>Data!G1516</f>
        <v>0</v>
      </c>
      <c r="I1516" s="25">
        <f t="shared" si="185"/>
        <v>0</v>
      </c>
      <c r="J1516" s="24">
        <f>Data!J1516</f>
        <v>0</v>
      </c>
      <c r="K1516" s="24">
        <f t="shared" si="186"/>
        <v>0</v>
      </c>
      <c r="L1516" s="25">
        <f t="shared" si="187"/>
        <v>0</v>
      </c>
      <c r="M1516" s="24">
        <f>Data!M1516</f>
        <v>0</v>
      </c>
      <c r="N1516" s="24">
        <f t="shared" si="188"/>
        <v>0</v>
      </c>
      <c r="O1516" s="25">
        <f t="shared" si="189"/>
        <v>0</v>
      </c>
      <c r="P1516" s="24">
        <f>Data!K1516</f>
        <v>0</v>
      </c>
      <c r="Q1516" s="24">
        <f>Data!I1516</f>
        <v>0</v>
      </c>
      <c r="R1516" s="25">
        <f t="shared" si="190"/>
        <v>0</v>
      </c>
      <c r="S1516" s="25">
        <f t="shared" si="191"/>
        <v>0</v>
      </c>
    </row>
    <row r="1517" spans="1:19" ht="15" customHeight="1" x14ac:dyDescent="0.3">
      <c r="A1517" s="22"/>
      <c r="B1517" s="23"/>
      <c r="C1517" s="1"/>
      <c r="D1517" s="23">
        <v>2022</v>
      </c>
      <c r="E1517" s="24">
        <f>Data!F1517</f>
        <v>0</v>
      </c>
      <c r="F1517" s="24">
        <f>Data!H1517</f>
        <v>0</v>
      </c>
      <c r="G1517" s="24">
        <f t="shared" si="184"/>
        <v>0</v>
      </c>
      <c r="H1517" s="24">
        <f>Data!G1517</f>
        <v>0</v>
      </c>
      <c r="I1517" s="25">
        <f t="shared" si="185"/>
        <v>0</v>
      </c>
      <c r="J1517" s="24">
        <f>Data!J1517</f>
        <v>0</v>
      </c>
      <c r="K1517" s="24">
        <f t="shared" si="186"/>
        <v>0</v>
      </c>
      <c r="L1517" s="25">
        <f t="shared" si="187"/>
        <v>0</v>
      </c>
      <c r="M1517" s="24">
        <f>Data!M1517</f>
        <v>0</v>
      </c>
      <c r="N1517" s="24">
        <f t="shared" si="188"/>
        <v>0</v>
      </c>
      <c r="O1517" s="25">
        <f t="shared" si="189"/>
        <v>0</v>
      </c>
      <c r="P1517" s="24">
        <f>Data!K1517</f>
        <v>0</v>
      </c>
      <c r="Q1517" s="24">
        <f>Data!I1517</f>
        <v>0</v>
      </c>
      <c r="R1517" s="25">
        <f t="shared" si="190"/>
        <v>0</v>
      </c>
      <c r="S1517" s="25">
        <f t="shared" si="191"/>
        <v>0</v>
      </c>
    </row>
    <row r="1518" spans="1:19" ht="15" customHeight="1" x14ac:dyDescent="0.3">
      <c r="A1518" s="22"/>
      <c r="B1518" s="23"/>
      <c r="C1518" s="1"/>
      <c r="D1518" s="23">
        <v>2023</v>
      </c>
      <c r="E1518" s="24">
        <f>Data!F1518</f>
        <v>0</v>
      </c>
      <c r="F1518" s="24">
        <f>Data!H1518</f>
        <v>0</v>
      </c>
      <c r="G1518" s="24">
        <f t="shared" si="184"/>
        <v>0</v>
      </c>
      <c r="H1518" s="24">
        <f>Data!G1518</f>
        <v>0</v>
      </c>
      <c r="I1518" s="25">
        <f t="shared" si="185"/>
        <v>0</v>
      </c>
      <c r="J1518" s="24">
        <f>Data!J1518</f>
        <v>0</v>
      </c>
      <c r="K1518" s="24">
        <f t="shared" si="186"/>
        <v>0</v>
      </c>
      <c r="L1518" s="25">
        <f t="shared" si="187"/>
        <v>0</v>
      </c>
      <c r="M1518" s="24">
        <f>Data!M1518</f>
        <v>0</v>
      </c>
      <c r="N1518" s="24">
        <f t="shared" si="188"/>
        <v>0</v>
      </c>
      <c r="O1518" s="25">
        <f t="shared" si="189"/>
        <v>0</v>
      </c>
      <c r="P1518" s="24">
        <f>Data!K1518</f>
        <v>0</v>
      </c>
      <c r="Q1518" s="24">
        <f>Data!I1518</f>
        <v>0</v>
      </c>
      <c r="R1518" s="25">
        <f t="shared" si="190"/>
        <v>0</v>
      </c>
      <c r="S1518" s="25">
        <f t="shared" si="191"/>
        <v>0</v>
      </c>
    </row>
    <row r="1519" spans="1:19" ht="15" customHeight="1" x14ac:dyDescent="0.3">
      <c r="A1519" s="22"/>
      <c r="B1519" s="23"/>
      <c r="C1519" s="1"/>
      <c r="D1519" s="23">
        <v>2024</v>
      </c>
      <c r="E1519" s="24">
        <f>Data!F1519</f>
        <v>28020000000</v>
      </c>
      <c r="F1519" s="24">
        <f>Data!H1519</f>
        <v>6553000000</v>
      </c>
      <c r="G1519" s="24">
        <f t="shared" si="184"/>
        <v>21467000000</v>
      </c>
      <c r="H1519" s="24">
        <f>Data!G1519</f>
        <v>548427000000</v>
      </c>
      <c r="I1519" s="25">
        <f t="shared" si="185"/>
        <v>0.25677714627470927</v>
      </c>
      <c r="J1519" s="24">
        <f>Data!J1519</f>
        <v>13027000000</v>
      </c>
      <c r="K1519" s="24">
        <f t="shared" si="186"/>
        <v>548427000000</v>
      </c>
      <c r="L1519" s="25">
        <f t="shared" si="187"/>
        <v>7.7436048918087544E-2</v>
      </c>
      <c r="M1519" s="24">
        <f>Data!M1519</f>
        <v>4218000000</v>
      </c>
      <c r="N1519" s="24">
        <f t="shared" si="188"/>
        <v>548427000000</v>
      </c>
      <c r="O1519" s="25">
        <f t="shared" si="189"/>
        <v>5.1684107456416259E-2</v>
      </c>
      <c r="P1519" s="24">
        <f>Data!K1519</f>
        <v>519681000000</v>
      </c>
      <c r="Q1519" s="24">
        <f>Data!I1519</f>
        <v>28746000000</v>
      </c>
      <c r="R1519" s="25">
        <f t="shared" si="190"/>
        <v>18.982294927989983</v>
      </c>
      <c r="S1519" s="25">
        <f t="shared" si="191"/>
        <v>19.368192230639195</v>
      </c>
    </row>
    <row r="1520" spans="1:19" ht="15" customHeight="1" x14ac:dyDescent="0.3">
      <c r="A1520" s="22"/>
      <c r="B1520" s="23">
        <v>139</v>
      </c>
      <c r="C1520" s="1" t="s">
        <v>137</v>
      </c>
      <c r="D1520" s="23">
        <v>2014</v>
      </c>
      <c r="E1520" s="24">
        <f>Data!F1520</f>
        <v>0</v>
      </c>
      <c r="F1520" s="24">
        <f>Data!H1520</f>
        <v>0</v>
      </c>
      <c r="G1520" s="24">
        <f t="shared" si="184"/>
        <v>0</v>
      </c>
      <c r="H1520" s="24">
        <f>Data!G1520</f>
        <v>0</v>
      </c>
      <c r="I1520" s="25">
        <f t="shared" si="185"/>
        <v>0</v>
      </c>
      <c r="J1520" s="24">
        <f>Data!J1520</f>
        <v>0</v>
      </c>
      <c r="K1520" s="24">
        <f t="shared" si="186"/>
        <v>0</v>
      </c>
      <c r="L1520" s="25">
        <f t="shared" si="187"/>
        <v>0</v>
      </c>
      <c r="M1520" s="24">
        <f>Data!M1520</f>
        <v>0</v>
      </c>
      <c r="N1520" s="24">
        <f t="shared" si="188"/>
        <v>0</v>
      </c>
      <c r="O1520" s="25">
        <f t="shared" si="189"/>
        <v>0</v>
      </c>
      <c r="P1520" s="24">
        <f>Data!K1520</f>
        <v>0</v>
      </c>
      <c r="Q1520" s="24">
        <f>Data!I1520</f>
        <v>0</v>
      </c>
      <c r="R1520" s="25">
        <f t="shared" si="190"/>
        <v>0</v>
      </c>
      <c r="S1520" s="25">
        <f t="shared" si="191"/>
        <v>0</v>
      </c>
    </row>
    <row r="1521" spans="1:19" ht="15" customHeight="1" x14ac:dyDescent="0.3">
      <c r="A1521" s="22"/>
      <c r="B1521" s="23"/>
      <c r="C1521" s="1"/>
      <c r="D1521" s="23">
        <v>2015</v>
      </c>
      <c r="E1521" s="24">
        <f>Data!F1521</f>
        <v>2168666763691</v>
      </c>
      <c r="F1521" s="24">
        <f>Data!H1521</f>
        <v>3801430671179</v>
      </c>
      <c r="G1521" s="24">
        <f t="shared" si="184"/>
        <v>-1632763907488</v>
      </c>
      <c r="H1521" s="24">
        <f>Data!G1521</f>
        <v>6542316085964</v>
      </c>
      <c r="I1521" s="25">
        <f t="shared" si="185"/>
        <v>-1.637177276729368</v>
      </c>
      <c r="J1521" s="24">
        <f>Data!J1521</f>
        <v>638646845205</v>
      </c>
      <c r="K1521" s="24">
        <f t="shared" si="186"/>
        <v>6542316085964</v>
      </c>
      <c r="L1521" s="25">
        <f t="shared" si="187"/>
        <v>0.31823419841102374</v>
      </c>
      <c r="M1521" s="24">
        <f>Data!M1521</f>
        <v>211346705277</v>
      </c>
      <c r="N1521" s="24">
        <f t="shared" si="188"/>
        <v>6542316085964</v>
      </c>
      <c r="O1521" s="25">
        <f t="shared" si="189"/>
        <v>0.21708670764295063</v>
      </c>
      <c r="P1521" s="24">
        <f>Data!K1521</f>
        <v>1898113138423</v>
      </c>
      <c r="Q1521" s="24">
        <f>Data!I1521</f>
        <v>4644202947542</v>
      </c>
      <c r="R1521" s="25">
        <f t="shared" si="190"/>
        <v>0.42914119340951268</v>
      </c>
      <c r="S1521" s="25">
        <f t="shared" si="191"/>
        <v>-0.67271517726588104</v>
      </c>
    </row>
    <row r="1522" spans="1:19" ht="15" customHeight="1" x14ac:dyDescent="0.3">
      <c r="A1522" s="22"/>
      <c r="B1522" s="23"/>
      <c r="C1522" s="1"/>
      <c r="D1522" s="23">
        <v>2016</v>
      </c>
      <c r="E1522" s="24">
        <f>Data!F1522</f>
        <v>2476500214515</v>
      </c>
      <c r="F1522" s="24">
        <f>Data!H1522</f>
        <v>4113897177891</v>
      </c>
      <c r="G1522" s="24">
        <f t="shared" si="184"/>
        <v>-1637396963376</v>
      </c>
      <c r="H1522" s="24">
        <f>Data!G1522</f>
        <v>7102552587845</v>
      </c>
      <c r="I1522" s="25">
        <f t="shared" si="185"/>
        <v>-1.5123188384594004</v>
      </c>
      <c r="J1522" s="24">
        <f>Data!J1522</f>
        <v>684355481922</v>
      </c>
      <c r="K1522" s="24">
        <f t="shared" si="186"/>
        <v>7102552587845</v>
      </c>
      <c r="L1522" s="25">
        <f t="shared" si="187"/>
        <v>0.31411226365064221</v>
      </c>
      <c r="M1522" s="24">
        <f>Data!M1522</f>
        <v>286272929846</v>
      </c>
      <c r="N1522" s="24">
        <f t="shared" si="188"/>
        <v>7102552587845</v>
      </c>
      <c r="O1522" s="25">
        <f t="shared" si="189"/>
        <v>0.27085390284295102</v>
      </c>
      <c r="P1522" s="24">
        <f>Data!K1522</f>
        <v>2350693719506</v>
      </c>
      <c r="Q1522" s="24">
        <f>Data!I1522</f>
        <v>4751858868039</v>
      </c>
      <c r="R1522" s="25">
        <f t="shared" si="190"/>
        <v>0.51942376110591226</v>
      </c>
      <c r="S1522" s="25">
        <f t="shared" si="191"/>
        <v>-0.40792891085989491</v>
      </c>
    </row>
    <row r="1523" spans="1:19" ht="15" customHeight="1" x14ac:dyDescent="0.3">
      <c r="A1523" s="22"/>
      <c r="B1523" s="23"/>
      <c r="C1523" s="1"/>
      <c r="D1523" s="23">
        <v>2017</v>
      </c>
      <c r="E1523" s="24">
        <f>Data!F1523</f>
        <v>2600448806764</v>
      </c>
      <c r="F1523" s="24">
        <f>Data!H1523</f>
        <v>4638825808781</v>
      </c>
      <c r="G1523" s="24">
        <f t="shared" si="184"/>
        <v>-2038377002017</v>
      </c>
      <c r="H1523" s="24">
        <f>Data!G1523</f>
        <v>8087703411676</v>
      </c>
      <c r="I1523" s="25">
        <f t="shared" si="185"/>
        <v>-1.6533436567328963</v>
      </c>
      <c r="J1523" s="24">
        <f>Data!J1523</f>
        <v>802948333308</v>
      </c>
      <c r="K1523" s="24">
        <f t="shared" si="186"/>
        <v>8087703411676</v>
      </c>
      <c r="L1523" s="25">
        <f t="shared" si="187"/>
        <v>0.32365325894679869</v>
      </c>
      <c r="M1523" s="24">
        <f>Data!M1523</f>
        <v>163890861620</v>
      </c>
      <c r="N1523" s="24">
        <f t="shared" si="188"/>
        <v>8087703411676</v>
      </c>
      <c r="O1523" s="25">
        <f t="shared" si="189"/>
        <v>0.13617544240017698</v>
      </c>
      <c r="P1523" s="24">
        <f>Data!K1523</f>
        <v>2883426635511</v>
      </c>
      <c r="Q1523" s="24">
        <f>Data!I1523</f>
        <v>5204276776165</v>
      </c>
      <c r="R1523" s="25">
        <f t="shared" si="190"/>
        <v>0.58175191241799573</v>
      </c>
      <c r="S1523" s="25">
        <f t="shared" si="191"/>
        <v>-0.61176304296792483</v>
      </c>
    </row>
    <row r="1524" spans="1:19" ht="15" customHeight="1" x14ac:dyDescent="0.3">
      <c r="A1524" s="22"/>
      <c r="B1524" s="23"/>
      <c r="C1524" s="1"/>
      <c r="D1524" s="23">
        <v>2018</v>
      </c>
      <c r="E1524" s="24">
        <f>Data!F1524</f>
        <v>2887585874316</v>
      </c>
      <c r="F1524" s="24">
        <f>Data!H1524</f>
        <v>5240697941724</v>
      </c>
      <c r="G1524" s="24">
        <f t="shared" si="184"/>
        <v>-2353112067408</v>
      </c>
      <c r="H1524" s="24">
        <f>Data!G1524</f>
        <v>8691696386615</v>
      </c>
      <c r="I1524" s="25">
        <f t="shared" si="185"/>
        <v>-1.7759956716813279</v>
      </c>
      <c r="J1524" s="24">
        <f>Data!J1524</f>
        <v>1048330135126</v>
      </c>
      <c r="K1524" s="24">
        <f t="shared" si="186"/>
        <v>8691696386615</v>
      </c>
      <c r="L1524" s="25">
        <f t="shared" si="187"/>
        <v>0.3931978394659198</v>
      </c>
      <c r="M1524" s="24">
        <f>Data!M1524</f>
        <v>200584849317</v>
      </c>
      <c r="N1524" s="24">
        <f t="shared" si="188"/>
        <v>8691696386615</v>
      </c>
      <c r="O1524" s="25">
        <f t="shared" si="189"/>
        <v>0.15508252100085082</v>
      </c>
      <c r="P1524" s="24">
        <f>Data!K1524</f>
        <v>2904915111549</v>
      </c>
      <c r="Q1524" s="24">
        <f>Data!I1524</f>
        <v>5786781275066</v>
      </c>
      <c r="R1524" s="25">
        <f t="shared" si="190"/>
        <v>0.5270910929827155</v>
      </c>
      <c r="S1524" s="25">
        <f t="shared" si="191"/>
        <v>-0.70062421823184184</v>
      </c>
    </row>
    <row r="1525" spans="1:19" ht="15" customHeight="1" x14ac:dyDescent="0.3">
      <c r="A1525" s="22"/>
      <c r="B1525" s="23"/>
      <c r="C1525" s="1"/>
      <c r="D1525" s="23">
        <v>2019</v>
      </c>
      <c r="E1525" s="24">
        <f>Data!F1525</f>
        <v>3585094199853</v>
      </c>
      <c r="F1525" s="24">
        <f>Data!H1525</f>
        <v>6024665070223</v>
      </c>
      <c r="G1525" s="24">
        <f t="shared" si="184"/>
        <v>-2439570870370</v>
      </c>
      <c r="H1525" s="24">
        <f>Data!G1525</f>
        <v>9783822105104</v>
      </c>
      <c r="I1525" s="25">
        <f t="shared" si="185"/>
        <v>-1.6357191226196242</v>
      </c>
      <c r="J1525" s="24">
        <f>Data!J1525</f>
        <v>1256930493900</v>
      </c>
      <c r="K1525" s="24">
        <f t="shared" si="186"/>
        <v>9783822105104</v>
      </c>
      <c r="L1525" s="25">
        <f t="shared" si="187"/>
        <v>0.4188131556456221</v>
      </c>
      <c r="M1525" s="24">
        <f>Data!M1525</f>
        <v>231693464506</v>
      </c>
      <c r="N1525" s="24">
        <f t="shared" si="188"/>
        <v>9783822105104</v>
      </c>
      <c r="O1525" s="25">
        <f t="shared" si="189"/>
        <v>0.15913822479131939</v>
      </c>
      <c r="P1525" s="24">
        <f>Data!K1525</f>
        <v>3226646237225</v>
      </c>
      <c r="Q1525" s="24">
        <f>Data!I1525</f>
        <v>6557175867879</v>
      </c>
      <c r="R1525" s="25">
        <f t="shared" si="190"/>
        <v>0.5166825806339298</v>
      </c>
      <c r="S1525" s="25">
        <f t="shared" si="191"/>
        <v>-0.54108516154875297</v>
      </c>
    </row>
    <row r="1526" spans="1:19" ht="15" customHeight="1" x14ac:dyDescent="0.3">
      <c r="A1526" s="22"/>
      <c r="B1526" s="23"/>
      <c r="C1526" s="1"/>
      <c r="D1526" s="23">
        <v>2020</v>
      </c>
      <c r="E1526" s="24">
        <f>Data!F1526</f>
        <v>3880012828583</v>
      </c>
      <c r="F1526" s="24">
        <f>Data!H1526</f>
        <v>6538404729036</v>
      </c>
      <c r="G1526" s="24">
        <f t="shared" si="184"/>
        <v>-2658391900453</v>
      </c>
      <c r="H1526" s="24">
        <f>Data!G1526</f>
        <v>10491570839836</v>
      </c>
      <c r="I1526" s="25">
        <f t="shared" si="185"/>
        <v>-1.6621963606018295</v>
      </c>
      <c r="J1526" s="24">
        <f>Data!J1526</f>
        <v>1370430669326</v>
      </c>
      <c r="K1526" s="24">
        <f t="shared" si="186"/>
        <v>10491570839836</v>
      </c>
      <c r="L1526" s="25">
        <f t="shared" si="187"/>
        <v>0.42582793846651423</v>
      </c>
      <c r="M1526" s="24">
        <f>Data!M1526</f>
        <v>94732699395</v>
      </c>
      <c r="N1526" s="24">
        <f t="shared" si="188"/>
        <v>10491570839836</v>
      </c>
      <c r="O1526" s="25">
        <f t="shared" si="189"/>
        <v>6.0677638234805181E-2</v>
      </c>
      <c r="P1526" s="24">
        <f>Data!K1526</f>
        <v>3429623952147</v>
      </c>
      <c r="Q1526" s="24">
        <f>Data!I1526</f>
        <v>7061946887689</v>
      </c>
      <c r="R1526" s="25">
        <f t="shared" si="190"/>
        <v>0.50993093080777907</v>
      </c>
      <c r="S1526" s="25">
        <f t="shared" si="191"/>
        <v>-0.66575985309273111</v>
      </c>
    </row>
    <row r="1527" spans="1:19" ht="15" customHeight="1" x14ac:dyDescent="0.3">
      <c r="A1527" s="22"/>
      <c r="B1527" s="23"/>
      <c r="C1527" s="1"/>
      <c r="D1527" s="23">
        <v>2021</v>
      </c>
      <c r="E1527" s="24">
        <f>Data!F1527</f>
        <v>4279345836579</v>
      </c>
      <c r="F1527" s="24">
        <f>Data!H1527</f>
        <v>7714230329067</v>
      </c>
      <c r="G1527" s="24">
        <f t="shared" si="184"/>
        <v>-3434884492488</v>
      </c>
      <c r="H1527" s="24">
        <f>Data!G1527</f>
        <v>11125019322948</v>
      </c>
      <c r="I1527" s="25">
        <f t="shared" si="185"/>
        <v>-2.0254205063933624</v>
      </c>
      <c r="J1527" s="24">
        <f>Data!J1527</f>
        <v>847167087366</v>
      </c>
      <c r="K1527" s="24">
        <f t="shared" si="186"/>
        <v>11125019322948</v>
      </c>
      <c r="L1527" s="25">
        <f t="shared" si="187"/>
        <v>0.24824808161154047</v>
      </c>
      <c r="M1527" s="24">
        <f>Data!M1527</f>
        <v>-568477401643</v>
      </c>
      <c r="N1527" s="24">
        <f t="shared" si="188"/>
        <v>11125019322948</v>
      </c>
      <c r="O1527" s="25">
        <f t="shared" si="189"/>
        <v>-0.3433853037145701</v>
      </c>
      <c r="P1527" s="24">
        <f>Data!K1527</f>
        <v>2753378841543</v>
      </c>
      <c r="Q1527" s="24">
        <f>Data!I1527</f>
        <v>8371640481405</v>
      </c>
      <c r="R1527" s="25">
        <f t="shared" si="190"/>
        <v>0.34533826315663163</v>
      </c>
      <c r="S1527" s="25">
        <f t="shared" si="191"/>
        <v>-1.7752194653397604</v>
      </c>
    </row>
    <row r="1528" spans="1:19" ht="15" customHeight="1" x14ac:dyDescent="0.3">
      <c r="A1528" s="22"/>
      <c r="B1528" s="23"/>
      <c r="C1528" s="1"/>
      <c r="D1528" s="23">
        <v>2022</v>
      </c>
      <c r="E1528" s="24">
        <f>Data!F1528</f>
        <v>4492921150141</v>
      </c>
      <c r="F1528" s="24">
        <f>Data!H1528</f>
        <v>8242900253718</v>
      </c>
      <c r="G1528" s="24">
        <f t="shared" si="184"/>
        <v>-3749979103577</v>
      </c>
      <c r="H1528" s="24">
        <f>Data!G1528</f>
        <v>11382483837823</v>
      </c>
      <c r="I1528" s="25">
        <f t="shared" si="185"/>
        <v>-2.1612034130654263</v>
      </c>
      <c r="J1528" s="24">
        <f>Data!J1528</f>
        <v>643907733569</v>
      </c>
      <c r="K1528" s="24">
        <f t="shared" si="186"/>
        <v>11382483837823</v>
      </c>
      <c r="L1528" s="25">
        <f t="shared" si="187"/>
        <v>0.18441837839116307</v>
      </c>
      <c r="M1528" s="24">
        <f>Data!M1528</f>
        <v>-243093877501</v>
      </c>
      <c r="N1528" s="24">
        <f t="shared" si="188"/>
        <v>11382483837823</v>
      </c>
      <c r="O1528" s="25">
        <f t="shared" si="189"/>
        <v>-0.14351795970739181</v>
      </c>
      <c r="P1528" s="24">
        <f>Data!K1528</f>
        <v>2565043005932</v>
      </c>
      <c r="Q1528" s="24">
        <f>Data!I1528</f>
        <v>8817440831891</v>
      </c>
      <c r="R1528" s="25">
        <f t="shared" si="190"/>
        <v>0.30545089074910103</v>
      </c>
      <c r="S1528" s="25">
        <f t="shared" si="191"/>
        <v>-1.8148521036325538</v>
      </c>
    </row>
    <row r="1529" spans="1:19" ht="15" customHeight="1" x14ac:dyDescent="0.3">
      <c r="A1529" s="22"/>
      <c r="B1529" s="23"/>
      <c r="C1529" s="1"/>
      <c r="D1529" s="23">
        <v>2023</v>
      </c>
      <c r="E1529" s="24">
        <f>Data!F1529</f>
        <v>6956487215345</v>
      </c>
      <c r="F1529" s="24">
        <f>Data!H1529</f>
        <v>10983537357645</v>
      </c>
      <c r="G1529" s="24">
        <f t="shared" si="184"/>
        <v>-4027050142300</v>
      </c>
      <c r="H1529" s="24">
        <f>Data!G1529</f>
        <v>14206716404940</v>
      </c>
      <c r="I1529" s="25">
        <f t="shared" si="185"/>
        <v>-1.8595042077634523</v>
      </c>
      <c r="J1529" s="24">
        <f>Data!J1529</f>
        <v>674307892035</v>
      </c>
      <c r="K1529" s="24">
        <f t="shared" si="186"/>
        <v>14206716404940</v>
      </c>
      <c r="L1529" s="25">
        <f t="shared" si="187"/>
        <v>0.15473270989415402</v>
      </c>
      <c r="M1529" s="24">
        <f>Data!M1529</f>
        <v>8748326673</v>
      </c>
      <c r="N1529" s="24">
        <f t="shared" si="188"/>
        <v>14206716404940</v>
      </c>
      <c r="O1529" s="25">
        <f t="shared" si="189"/>
        <v>4.1380959235673776E-3</v>
      </c>
      <c r="P1529" s="24">
        <f>Data!K1529</f>
        <v>2705717558920</v>
      </c>
      <c r="Q1529" s="24">
        <f>Data!I1529</f>
        <v>11500998846020</v>
      </c>
      <c r="R1529" s="25">
        <f t="shared" si="190"/>
        <v>0.24702232170461863</v>
      </c>
      <c r="S1529" s="25">
        <f t="shared" si="191"/>
        <v>-1.4536110802411124</v>
      </c>
    </row>
    <row r="1530" spans="1:19" ht="15" customHeight="1" x14ac:dyDescent="0.3">
      <c r="A1530" s="22"/>
      <c r="B1530" s="23"/>
      <c r="C1530" s="1"/>
      <c r="D1530" s="23">
        <v>2024</v>
      </c>
      <c r="E1530" s="24">
        <f>Data!F1530</f>
        <v>7427119493288</v>
      </c>
      <c r="F1530" s="24">
        <f>Data!H1530</f>
        <v>12095378518152</v>
      </c>
      <c r="G1530" s="24">
        <f t="shared" si="184"/>
        <v>-4668259024864</v>
      </c>
      <c r="H1530" s="24">
        <f>Data!G1530</f>
        <v>15296696649798</v>
      </c>
      <c r="I1530" s="25">
        <f t="shared" si="185"/>
        <v>-2.0019864356473485</v>
      </c>
      <c r="J1530" s="24">
        <f>Data!J1530</f>
        <v>754034570721</v>
      </c>
      <c r="K1530" s="24">
        <f t="shared" si="186"/>
        <v>15296696649798</v>
      </c>
      <c r="L1530" s="25">
        <f t="shared" si="187"/>
        <v>0.16069827079841587</v>
      </c>
      <c r="M1530" s="24">
        <f>Data!M1530</f>
        <v>10182864612</v>
      </c>
      <c r="N1530" s="24">
        <f t="shared" si="188"/>
        <v>15296696649798</v>
      </c>
      <c r="O1530" s="25">
        <f t="shared" si="189"/>
        <v>4.473439707882527E-3</v>
      </c>
      <c r="P1530" s="24">
        <f>Data!K1530</f>
        <v>2525021331405</v>
      </c>
      <c r="Q1530" s="24">
        <f>Data!I1530</f>
        <v>12771675318393</v>
      </c>
      <c r="R1530" s="25">
        <f t="shared" si="190"/>
        <v>0.20759002494817941</v>
      </c>
      <c r="S1530" s="25">
        <f t="shared" si="191"/>
        <v>-1.6292247001928706</v>
      </c>
    </row>
    <row r="1531" spans="1:19" ht="15" customHeight="1" x14ac:dyDescent="0.3">
      <c r="A1531" s="22"/>
      <c r="B1531" s="23">
        <v>140</v>
      </c>
      <c r="C1531" s="1" t="s">
        <v>139</v>
      </c>
      <c r="D1531" s="23">
        <v>2014</v>
      </c>
      <c r="E1531" s="24">
        <f>Data!F1531</f>
        <v>0</v>
      </c>
      <c r="F1531" s="24">
        <f>Data!H1531</f>
        <v>0</v>
      </c>
      <c r="G1531" s="24">
        <f t="shared" si="184"/>
        <v>0</v>
      </c>
      <c r="H1531" s="24">
        <f>Data!G1531</f>
        <v>0</v>
      </c>
      <c r="I1531" s="25">
        <f t="shared" si="185"/>
        <v>0</v>
      </c>
      <c r="J1531" s="24">
        <f>Data!J1531</f>
        <v>0</v>
      </c>
      <c r="K1531" s="24">
        <f t="shared" si="186"/>
        <v>0</v>
      </c>
      <c r="L1531" s="25">
        <f t="shared" si="187"/>
        <v>0</v>
      </c>
      <c r="M1531" s="24">
        <f>Data!M1531</f>
        <v>0</v>
      </c>
      <c r="N1531" s="24">
        <f t="shared" si="188"/>
        <v>0</v>
      </c>
      <c r="O1531" s="25">
        <f t="shared" si="189"/>
        <v>0</v>
      </c>
      <c r="P1531" s="24">
        <f>Data!K1531</f>
        <v>0</v>
      </c>
      <c r="Q1531" s="24">
        <f>Data!I1531</f>
        <v>0</v>
      </c>
      <c r="R1531" s="25">
        <f t="shared" si="190"/>
        <v>0</v>
      </c>
      <c r="S1531" s="25">
        <f t="shared" si="191"/>
        <v>0</v>
      </c>
    </row>
    <row r="1532" spans="1:19" ht="15" customHeight="1" x14ac:dyDescent="0.3">
      <c r="A1532" s="22"/>
      <c r="B1532" s="23"/>
      <c r="C1532" s="1"/>
      <c r="D1532" s="23">
        <v>2015</v>
      </c>
      <c r="E1532" s="24">
        <f>Data!F1532</f>
        <v>123343000000</v>
      </c>
      <c r="F1532" s="24">
        <f>Data!H1532</f>
        <v>49898000000</v>
      </c>
      <c r="G1532" s="24">
        <f t="shared" si="184"/>
        <v>73445000000</v>
      </c>
      <c r="H1532" s="24">
        <f>Data!G1532</f>
        <v>488607000000</v>
      </c>
      <c r="I1532" s="25">
        <f t="shared" si="185"/>
        <v>0.98606692085868597</v>
      </c>
      <c r="J1532" s="24">
        <f>Data!J1532</f>
        <v>263643000000</v>
      </c>
      <c r="K1532" s="24">
        <f t="shared" si="186"/>
        <v>488607000000</v>
      </c>
      <c r="L1532" s="25">
        <f t="shared" si="187"/>
        <v>1.7590337019322277</v>
      </c>
      <c r="M1532" s="24">
        <f>Data!M1532</f>
        <v>85116000000</v>
      </c>
      <c r="N1532" s="24">
        <f t="shared" si="188"/>
        <v>488607000000</v>
      </c>
      <c r="O1532" s="25">
        <f t="shared" si="189"/>
        <v>1.1706330854858813</v>
      </c>
      <c r="P1532" s="24">
        <f>Data!K1532</f>
        <v>313769000000</v>
      </c>
      <c r="Q1532" s="24">
        <f>Data!I1532</f>
        <v>174837000000</v>
      </c>
      <c r="R1532" s="25">
        <f t="shared" si="190"/>
        <v>1.8843691552703377</v>
      </c>
      <c r="S1532" s="25">
        <f t="shared" si="191"/>
        <v>5.8001028635471323</v>
      </c>
    </row>
    <row r="1533" spans="1:19" ht="15" customHeight="1" x14ac:dyDescent="0.3">
      <c r="A1533" s="22"/>
      <c r="B1533" s="23"/>
      <c r="C1533" s="1"/>
      <c r="D1533" s="23">
        <v>2016</v>
      </c>
      <c r="E1533" s="24">
        <f>Data!F1533</f>
        <v>81692000000</v>
      </c>
      <c r="F1533" s="24">
        <f>Data!H1533</f>
        <v>33688000000</v>
      </c>
      <c r="G1533" s="24">
        <f t="shared" si="184"/>
        <v>48004000000</v>
      </c>
      <c r="H1533" s="24">
        <f>Data!G1533</f>
        <v>513507000000</v>
      </c>
      <c r="I1533" s="25">
        <f t="shared" si="185"/>
        <v>0.61324624591290866</v>
      </c>
      <c r="J1533" s="24">
        <f>Data!J1533</f>
        <v>318647000000</v>
      </c>
      <c r="K1533" s="24">
        <f t="shared" si="186"/>
        <v>513507000000</v>
      </c>
      <c r="L1533" s="25">
        <f t="shared" si="187"/>
        <v>2.0229309824403563</v>
      </c>
      <c r="M1533" s="24">
        <f>Data!M1533</f>
        <v>87910000000</v>
      </c>
      <c r="N1533" s="24">
        <f t="shared" si="188"/>
        <v>513507000000</v>
      </c>
      <c r="O1533" s="25">
        <f t="shared" si="189"/>
        <v>1.1504326133820961</v>
      </c>
      <c r="P1533" s="24">
        <f>Data!K1533</f>
        <v>368773000000</v>
      </c>
      <c r="Q1533" s="24">
        <f>Data!I1533</f>
        <v>144733000000</v>
      </c>
      <c r="R1533" s="25">
        <f t="shared" si="190"/>
        <v>2.6753515093309752</v>
      </c>
      <c r="S1533" s="25">
        <f t="shared" si="191"/>
        <v>6.4619613510663365</v>
      </c>
    </row>
    <row r="1534" spans="1:19" ht="15" customHeight="1" x14ac:dyDescent="0.3">
      <c r="A1534" s="22"/>
      <c r="B1534" s="23"/>
      <c r="C1534" s="1"/>
      <c r="D1534" s="23">
        <v>2017</v>
      </c>
      <c r="E1534" s="24">
        <f>Data!F1534</f>
        <v>104224000000</v>
      </c>
      <c r="F1534" s="24">
        <f>Data!H1534</f>
        <v>42136000000</v>
      </c>
      <c r="G1534" s="24">
        <f t="shared" si="184"/>
        <v>62088000000</v>
      </c>
      <c r="H1534" s="24">
        <f>Data!G1534</f>
        <v>589348000000</v>
      </c>
      <c r="I1534" s="25">
        <f t="shared" si="185"/>
        <v>0.69109809484379348</v>
      </c>
      <c r="J1534" s="24">
        <f>Data!J1534</f>
        <v>380368000000</v>
      </c>
      <c r="K1534" s="24">
        <f t="shared" si="186"/>
        <v>589348000000</v>
      </c>
      <c r="L1534" s="25">
        <f t="shared" si="187"/>
        <v>2.1040194927275566</v>
      </c>
      <c r="M1534" s="24">
        <f>Data!M1534</f>
        <v>94232000000</v>
      </c>
      <c r="N1534" s="24">
        <f t="shared" si="188"/>
        <v>589348000000</v>
      </c>
      <c r="O1534" s="25">
        <f t="shared" si="189"/>
        <v>1.0744738931836537</v>
      </c>
      <c r="P1534" s="24">
        <f>Data!K1534</f>
        <v>430493000000</v>
      </c>
      <c r="Q1534" s="24">
        <f>Data!I1534</f>
        <v>158855000000</v>
      </c>
      <c r="R1534" s="25">
        <f t="shared" si="190"/>
        <v>2.8454732303043655</v>
      </c>
      <c r="S1534" s="25">
        <f t="shared" si="191"/>
        <v>6.7150647110593695</v>
      </c>
    </row>
    <row r="1535" spans="1:19" ht="15" customHeight="1" x14ac:dyDescent="0.3">
      <c r="A1535" s="22"/>
      <c r="B1535" s="23"/>
      <c r="C1535" s="1"/>
      <c r="D1535" s="23">
        <v>2018</v>
      </c>
      <c r="E1535" s="24">
        <f>Data!F1535</f>
        <v>441930000000</v>
      </c>
      <c r="F1535" s="24">
        <f>Data!H1535</f>
        <v>63291000000</v>
      </c>
      <c r="G1535" s="24">
        <f t="shared" si="184"/>
        <v>378639000000</v>
      </c>
      <c r="H1535" s="24">
        <f>Data!G1535</f>
        <v>980249000000</v>
      </c>
      <c r="I1535" s="25">
        <f t="shared" si="185"/>
        <v>2.5339192796932206</v>
      </c>
      <c r="J1535" s="24">
        <f>Data!J1535</f>
        <v>390854000000</v>
      </c>
      <c r="K1535" s="24">
        <f t="shared" si="186"/>
        <v>980249000000</v>
      </c>
      <c r="L1535" s="25">
        <f t="shared" si="187"/>
        <v>1.2998575259959457</v>
      </c>
      <c r="M1535" s="24">
        <f>Data!M1535</f>
        <v>35963000000</v>
      </c>
      <c r="N1535" s="24">
        <f t="shared" si="188"/>
        <v>980249000000</v>
      </c>
      <c r="O1535" s="25">
        <f t="shared" si="189"/>
        <v>0.24654078708573024</v>
      </c>
      <c r="P1535" s="24">
        <f>Data!K1535</f>
        <v>442690000000</v>
      </c>
      <c r="Q1535" s="24">
        <f>Data!I1535</f>
        <v>537559000000</v>
      </c>
      <c r="R1535" s="25">
        <f t="shared" si="190"/>
        <v>0.86469485209995567</v>
      </c>
      <c r="S1535" s="25">
        <f t="shared" si="191"/>
        <v>4.9450124448748527</v>
      </c>
    </row>
    <row r="1536" spans="1:19" ht="15" customHeight="1" x14ac:dyDescent="0.3">
      <c r="A1536" s="22"/>
      <c r="B1536" s="23"/>
      <c r="C1536" s="1"/>
      <c r="D1536" s="23">
        <v>2019</v>
      </c>
      <c r="E1536" s="24">
        <f>Data!F1536</f>
        <v>228854000000</v>
      </c>
      <c r="F1536" s="24">
        <f>Data!H1536</f>
        <v>70553000000</v>
      </c>
      <c r="G1536" s="24">
        <f t="shared" si="184"/>
        <v>158301000000</v>
      </c>
      <c r="H1536" s="24">
        <f>Data!G1536</f>
        <v>864815000000</v>
      </c>
      <c r="I1536" s="25">
        <f t="shared" si="185"/>
        <v>1.2007823176054992</v>
      </c>
      <c r="J1536" s="24">
        <f>Data!J1536</f>
        <v>453860000000</v>
      </c>
      <c r="K1536" s="24">
        <f t="shared" si="186"/>
        <v>864815000000</v>
      </c>
      <c r="L1536" s="25">
        <f t="shared" si="187"/>
        <v>1.7108671796858288</v>
      </c>
      <c r="M1536" s="24">
        <f>Data!M1536</f>
        <v>77422000000</v>
      </c>
      <c r="N1536" s="24">
        <f t="shared" si="188"/>
        <v>864815000000</v>
      </c>
      <c r="O1536" s="25">
        <f t="shared" si="189"/>
        <v>0.60160362620907359</v>
      </c>
      <c r="P1536" s="24">
        <f>Data!K1536</f>
        <v>506656000000</v>
      </c>
      <c r="Q1536" s="24">
        <f>Data!I1536</f>
        <v>358159000000</v>
      </c>
      <c r="R1536" s="25">
        <f t="shared" si="190"/>
        <v>1.485342543395531</v>
      </c>
      <c r="S1536" s="25">
        <f t="shared" si="191"/>
        <v>4.9985956668959322</v>
      </c>
    </row>
    <row r="1537" spans="1:19" ht="15" customHeight="1" x14ac:dyDescent="0.3">
      <c r="A1537" s="22"/>
      <c r="B1537" s="23"/>
      <c r="C1537" s="1"/>
      <c r="D1537" s="23">
        <v>2020</v>
      </c>
      <c r="E1537" s="24">
        <f>Data!F1537</f>
        <v>134229000000</v>
      </c>
      <c r="F1537" s="24">
        <f>Data!H1537</f>
        <v>56089000000</v>
      </c>
      <c r="G1537" s="24">
        <f t="shared" si="184"/>
        <v>78140000000</v>
      </c>
      <c r="H1537" s="24">
        <f>Data!G1537</f>
        <v>822014000000</v>
      </c>
      <c r="I1537" s="25">
        <f t="shared" si="185"/>
        <v>0.62358840603688004</v>
      </c>
      <c r="J1537" s="24">
        <f>Data!J1537</f>
        <v>531011000000</v>
      </c>
      <c r="K1537" s="24">
        <f t="shared" si="186"/>
        <v>822014000000</v>
      </c>
      <c r="L1537" s="25">
        <f t="shared" si="187"/>
        <v>2.1059201668098106</v>
      </c>
      <c r="M1537" s="24">
        <f>Data!M1537</f>
        <v>97151000000</v>
      </c>
      <c r="N1537" s="24">
        <f t="shared" si="188"/>
        <v>822014000000</v>
      </c>
      <c r="O1537" s="25">
        <f t="shared" si="189"/>
        <v>0.79421362653190819</v>
      </c>
      <c r="P1537" s="24">
        <f>Data!K1537</f>
        <v>583807000000</v>
      </c>
      <c r="Q1537" s="24">
        <f>Data!I1537</f>
        <v>238207000000</v>
      </c>
      <c r="R1537" s="25">
        <f t="shared" si="190"/>
        <v>2.573380924993808</v>
      </c>
      <c r="S1537" s="25">
        <f t="shared" si="191"/>
        <v>6.0971031243724063</v>
      </c>
    </row>
    <row r="1538" spans="1:19" ht="15" customHeight="1" x14ac:dyDescent="0.3">
      <c r="A1538" s="22"/>
      <c r="B1538" s="23"/>
      <c r="C1538" s="1"/>
      <c r="D1538" s="23">
        <v>2021</v>
      </c>
      <c r="E1538" s="24">
        <f>Data!F1538</f>
        <v>154967000000</v>
      </c>
      <c r="F1538" s="24">
        <f>Data!H1538</f>
        <v>53285000000</v>
      </c>
      <c r="G1538" s="24">
        <f t="shared" si="184"/>
        <v>101682000000</v>
      </c>
      <c r="H1538" s="24">
        <f>Data!G1538</f>
        <v>871603000000</v>
      </c>
      <c r="I1538" s="25">
        <f t="shared" si="185"/>
        <v>0.76529557608223009</v>
      </c>
      <c r="J1538" s="24">
        <f>Data!J1538</f>
        <v>568811000000</v>
      </c>
      <c r="K1538" s="24">
        <f t="shared" si="186"/>
        <v>871603000000</v>
      </c>
      <c r="L1538" s="25">
        <f t="shared" si="187"/>
        <v>2.1274867801051625</v>
      </c>
      <c r="M1538" s="24">
        <f>Data!M1538</f>
        <v>48961000000</v>
      </c>
      <c r="N1538" s="24">
        <f t="shared" si="188"/>
        <v>871603000000</v>
      </c>
      <c r="O1538" s="25">
        <f t="shared" si="189"/>
        <v>0.37748598846034259</v>
      </c>
      <c r="P1538" s="24">
        <f>Data!K1538</f>
        <v>621607000000</v>
      </c>
      <c r="Q1538" s="24">
        <f>Data!I1538</f>
        <v>249996000000</v>
      </c>
      <c r="R1538" s="25">
        <f t="shared" si="190"/>
        <v>2.6107911726587627</v>
      </c>
      <c r="S1538" s="25">
        <f t="shared" si="191"/>
        <v>5.8810595173064977</v>
      </c>
    </row>
    <row r="1539" spans="1:19" ht="15" customHeight="1" x14ac:dyDescent="0.3">
      <c r="A1539" s="22"/>
      <c r="B1539" s="23"/>
      <c r="C1539" s="1"/>
      <c r="D1539" s="23">
        <v>2022</v>
      </c>
      <c r="E1539" s="24">
        <f>Data!F1539</f>
        <v>141095000000</v>
      </c>
      <c r="F1539" s="24">
        <f>Data!H1539</f>
        <v>66321000000</v>
      </c>
      <c r="G1539" s="24">
        <f t="shared" ref="G1539:G1602" si="192">E1539-F1539</f>
        <v>74774000000</v>
      </c>
      <c r="H1539" s="24">
        <f>Data!G1539</f>
        <v>935775000000</v>
      </c>
      <c r="I1539" s="25">
        <f t="shared" ref="I1539:I1602" si="193">IFERROR(6.56*(G1539/H1539),0)</f>
        <v>0.52418309956987519</v>
      </c>
      <c r="J1539" s="24">
        <f>Data!J1539</f>
        <v>605344000000</v>
      </c>
      <c r="K1539" s="24">
        <f t="shared" ref="K1539:K1602" si="194">H1539</f>
        <v>935775000000</v>
      </c>
      <c r="L1539" s="25">
        <f t="shared" ref="L1539:L1602" si="195">IFERROR(3.26*(J1539/K1539),0)</f>
        <v>2.1088631775800804</v>
      </c>
      <c r="M1539" s="24">
        <f>Data!M1539</f>
        <v>54483000000</v>
      </c>
      <c r="N1539" s="24">
        <f t="shared" ref="N1539:N1602" si="196">K1539</f>
        <v>935775000000</v>
      </c>
      <c r="O1539" s="25">
        <f t="shared" ref="O1539:O1602" si="197">IFERROR(6.72*(M1539/N1539),0)</f>
        <v>0.39125405145467662</v>
      </c>
      <c r="P1539" s="24">
        <f>Data!K1539</f>
        <v>658140000000</v>
      </c>
      <c r="Q1539" s="24">
        <f>Data!I1539</f>
        <v>277634000000</v>
      </c>
      <c r="R1539" s="25">
        <f t="shared" ref="R1539:R1602" si="198">IFERROR(1.05*(P1539/Q1539),0)</f>
        <v>2.4890575361807272</v>
      </c>
      <c r="S1539" s="25">
        <f t="shared" ref="S1539:S1602" si="199">IFERROR(I1539+L1539+O1539+R1539,0)</f>
        <v>5.5133578647853589</v>
      </c>
    </row>
    <row r="1540" spans="1:19" ht="15" customHeight="1" x14ac:dyDescent="0.3">
      <c r="A1540" s="22"/>
      <c r="B1540" s="23"/>
      <c r="C1540" s="1"/>
      <c r="D1540" s="23">
        <v>2023</v>
      </c>
      <c r="E1540" s="24">
        <f>Data!F1540</f>
        <v>142162000000</v>
      </c>
      <c r="F1540" s="24">
        <f>Data!H1540</f>
        <v>78574000000</v>
      </c>
      <c r="G1540" s="24">
        <f t="shared" si="192"/>
        <v>63588000000</v>
      </c>
      <c r="H1540" s="24">
        <f>Data!G1540</f>
        <v>1015192000000</v>
      </c>
      <c r="I1540" s="25">
        <f t="shared" si="193"/>
        <v>0.41089496371129791</v>
      </c>
      <c r="J1540" s="24">
        <f>Data!J1540</f>
        <v>669964000000</v>
      </c>
      <c r="K1540" s="24">
        <f t="shared" si="194"/>
        <v>1015192000000</v>
      </c>
      <c r="L1540" s="25">
        <f t="shared" si="195"/>
        <v>2.1513985925815016</v>
      </c>
      <c r="M1540" s="24">
        <f>Data!M1540</f>
        <v>79640000000</v>
      </c>
      <c r="N1540" s="24">
        <f t="shared" si="196"/>
        <v>1015192000000</v>
      </c>
      <c r="O1540" s="25">
        <f t="shared" si="197"/>
        <v>0.52717200293146516</v>
      </c>
      <c r="P1540" s="24">
        <f>Data!K1540</f>
        <v>725138000000</v>
      </c>
      <c r="Q1540" s="24">
        <f>Data!I1540</f>
        <v>290054000000</v>
      </c>
      <c r="R1540" s="25">
        <f t="shared" si="198"/>
        <v>2.6250108600467503</v>
      </c>
      <c r="S1540" s="25">
        <f t="shared" si="199"/>
        <v>5.7144764192710147</v>
      </c>
    </row>
    <row r="1541" spans="1:19" ht="15" customHeight="1" x14ac:dyDescent="0.3">
      <c r="A1541" s="22"/>
      <c r="B1541" s="23"/>
      <c r="C1541" s="1"/>
      <c r="D1541" s="23">
        <v>2024</v>
      </c>
      <c r="E1541" s="24">
        <f>Data!F1541</f>
        <v>160147000000</v>
      </c>
      <c r="F1541" s="24">
        <f>Data!H1541</f>
        <v>60071000000</v>
      </c>
      <c r="G1541" s="24">
        <f t="shared" si="192"/>
        <v>100076000000</v>
      </c>
      <c r="H1541" s="24">
        <f>Data!G1541</f>
        <v>1053668000000</v>
      </c>
      <c r="I1541" s="25">
        <f t="shared" si="193"/>
        <v>0.62306016695961153</v>
      </c>
      <c r="J1541" s="24">
        <f>Data!J1541</f>
        <v>720114000000</v>
      </c>
      <c r="K1541" s="24">
        <f t="shared" si="194"/>
        <v>1053668000000</v>
      </c>
      <c r="L1541" s="25">
        <f t="shared" si="195"/>
        <v>2.2279993698204748</v>
      </c>
      <c r="M1541" s="24">
        <f>Data!M1541</f>
        <v>83690000000</v>
      </c>
      <c r="N1541" s="24">
        <f t="shared" si="196"/>
        <v>1053668000000</v>
      </c>
      <c r="O1541" s="25">
        <f t="shared" si="197"/>
        <v>0.53375142834365275</v>
      </c>
      <c r="P1541" s="24">
        <f>Data!K1541</f>
        <v>772910000000</v>
      </c>
      <c r="Q1541" s="24">
        <f>Data!I1541</f>
        <v>280757000000</v>
      </c>
      <c r="R1541" s="25">
        <f t="shared" si="198"/>
        <v>2.890597563017129</v>
      </c>
      <c r="S1541" s="25">
        <f t="shared" si="199"/>
        <v>6.2754085281408685</v>
      </c>
    </row>
    <row r="1542" spans="1:19" ht="15" customHeight="1" x14ac:dyDescent="0.3">
      <c r="A1542" s="22"/>
      <c r="B1542" s="23">
        <v>141</v>
      </c>
      <c r="C1542" s="1" t="s">
        <v>140</v>
      </c>
      <c r="D1542" s="23">
        <v>2014</v>
      </c>
      <c r="E1542" s="24">
        <f>Data!F1542</f>
        <v>0</v>
      </c>
      <c r="F1542" s="24">
        <f>Data!H1542</f>
        <v>0</v>
      </c>
      <c r="G1542" s="24">
        <f t="shared" si="192"/>
        <v>0</v>
      </c>
      <c r="H1542" s="24">
        <f>Data!G1542</f>
        <v>0</v>
      </c>
      <c r="I1542" s="25">
        <f t="shared" si="193"/>
        <v>0</v>
      </c>
      <c r="J1542" s="24">
        <f>Data!J1542</f>
        <v>0</v>
      </c>
      <c r="K1542" s="24">
        <f t="shared" si="194"/>
        <v>0</v>
      </c>
      <c r="L1542" s="25">
        <f t="shared" si="195"/>
        <v>0</v>
      </c>
      <c r="M1542" s="24">
        <f>Data!M1542</f>
        <v>0</v>
      </c>
      <c r="N1542" s="24">
        <f t="shared" si="196"/>
        <v>0</v>
      </c>
      <c r="O1542" s="25">
        <f t="shared" si="197"/>
        <v>0</v>
      </c>
      <c r="P1542" s="24">
        <f>Data!K1542</f>
        <v>0</v>
      </c>
      <c r="Q1542" s="24">
        <f>Data!I1542</f>
        <v>0</v>
      </c>
      <c r="R1542" s="25">
        <f t="shared" si="198"/>
        <v>0</v>
      </c>
      <c r="S1542" s="25">
        <f t="shared" si="199"/>
        <v>0</v>
      </c>
    </row>
    <row r="1543" spans="1:19" ht="15" customHeight="1" x14ac:dyDescent="0.3">
      <c r="A1543" s="22"/>
      <c r="B1543" s="23"/>
      <c r="C1543" s="1"/>
      <c r="D1543" s="23">
        <v>2015</v>
      </c>
      <c r="E1543" s="24">
        <f>Data!F1543</f>
        <v>1529451000000</v>
      </c>
      <c r="F1543" s="24">
        <f>Data!H1543</f>
        <v>190232000000</v>
      </c>
      <c r="G1543" s="24">
        <f t="shared" si="192"/>
        <v>1339219000000</v>
      </c>
      <c r="H1543" s="24">
        <f>Data!G1543</f>
        <v>4116425000000</v>
      </c>
      <c r="I1543" s="25">
        <f t="shared" si="193"/>
        <v>2.134200584244824</v>
      </c>
      <c r="J1543" s="24">
        <f>Data!J1543</f>
        <v>644824000000</v>
      </c>
      <c r="K1543" s="24">
        <f t="shared" si="194"/>
        <v>4116425000000</v>
      </c>
      <c r="L1543" s="25">
        <f t="shared" si="195"/>
        <v>0.51066793151824696</v>
      </c>
      <c r="M1543" s="24">
        <f>Data!M1543</f>
        <v>295190000000</v>
      </c>
      <c r="N1543" s="24">
        <f t="shared" si="196"/>
        <v>4116425000000</v>
      </c>
      <c r="O1543" s="25">
        <f t="shared" si="197"/>
        <v>0.48189309898759242</v>
      </c>
      <c r="P1543" s="24">
        <f>Data!K1543</f>
        <v>1182824000000</v>
      </c>
      <c r="Q1543" s="24">
        <f>Data!I1543</f>
        <v>2909459000000</v>
      </c>
      <c r="R1543" s="25">
        <f t="shared" si="198"/>
        <v>0.42687152491236346</v>
      </c>
      <c r="S1543" s="25">
        <f t="shared" si="199"/>
        <v>3.553633139663027</v>
      </c>
    </row>
    <row r="1544" spans="1:19" ht="15" customHeight="1" x14ac:dyDescent="0.3">
      <c r="A1544" s="22"/>
      <c r="B1544" s="23"/>
      <c r="C1544" s="1"/>
      <c r="D1544" s="23">
        <v>2016</v>
      </c>
      <c r="E1544" s="24">
        <f>Data!F1544</f>
        <v>2074887000000</v>
      </c>
      <c r="F1544" s="24">
        <f>Data!H1544</f>
        <v>176853000000</v>
      </c>
      <c r="G1544" s="24">
        <f t="shared" si="192"/>
        <v>1898034000000</v>
      </c>
      <c r="H1544" s="24">
        <f>Data!G1544</f>
        <v>4799748000000</v>
      </c>
      <c r="I1544" s="25">
        <f t="shared" si="193"/>
        <v>2.5941159910895322</v>
      </c>
      <c r="J1544" s="24">
        <f>Data!J1544</f>
        <v>880496000000</v>
      </c>
      <c r="K1544" s="24">
        <f t="shared" si="194"/>
        <v>4799748000000</v>
      </c>
      <c r="L1544" s="25">
        <f t="shared" si="195"/>
        <v>0.59803493016716713</v>
      </c>
      <c r="M1544" s="24">
        <f>Data!M1544</f>
        <v>407572000000</v>
      </c>
      <c r="N1544" s="24">
        <f t="shared" si="196"/>
        <v>4799748000000</v>
      </c>
      <c r="O1544" s="25">
        <f t="shared" si="197"/>
        <v>0.57063075811480102</v>
      </c>
      <c r="P1544" s="24">
        <f>Data!K1544</f>
        <v>1418496000000</v>
      </c>
      <c r="Q1544" s="24">
        <f>Data!I1544</f>
        <v>3344488000000</v>
      </c>
      <c r="R1544" s="25">
        <f t="shared" si="198"/>
        <v>0.44533596771762979</v>
      </c>
      <c r="S1544" s="25">
        <f t="shared" si="199"/>
        <v>4.2081176470891304</v>
      </c>
    </row>
    <row r="1545" spans="1:19" ht="15" customHeight="1" x14ac:dyDescent="0.3">
      <c r="A1545" s="22"/>
      <c r="B1545" s="23"/>
      <c r="C1545" s="1"/>
      <c r="D1545" s="23">
        <v>2017</v>
      </c>
      <c r="E1545" s="24">
        <f>Data!F1545</f>
        <v>0</v>
      </c>
      <c r="F1545" s="24">
        <f>Data!H1545</f>
        <v>0</v>
      </c>
      <c r="G1545" s="24">
        <f t="shared" si="192"/>
        <v>0</v>
      </c>
      <c r="H1545" s="24">
        <f>Data!G1545</f>
        <v>0</v>
      </c>
      <c r="I1545" s="25">
        <f t="shared" si="193"/>
        <v>0</v>
      </c>
      <c r="J1545" s="24">
        <f>Data!J1545</f>
        <v>0</v>
      </c>
      <c r="K1545" s="24">
        <f t="shared" si="194"/>
        <v>0</v>
      </c>
      <c r="L1545" s="25">
        <f t="shared" si="195"/>
        <v>0</v>
      </c>
      <c r="M1545" s="24">
        <f>Data!M1545</f>
        <v>0</v>
      </c>
      <c r="N1545" s="24">
        <f t="shared" si="196"/>
        <v>0</v>
      </c>
      <c r="O1545" s="25">
        <f t="shared" si="197"/>
        <v>0</v>
      </c>
      <c r="P1545" s="24">
        <f>Data!K1545</f>
        <v>0</v>
      </c>
      <c r="Q1545" s="24">
        <f>Data!I1545</f>
        <v>0</v>
      </c>
      <c r="R1545" s="25">
        <f t="shared" si="198"/>
        <v>0</v>
      </c>
      <c r="S1545" s="25">
        <f t="shared" si="199"/>
        <v>0</v>
      </c>
    </row>
    <row r="1546" spans="1:19" ht="15" customHeight="1" x14ac:dyDescent="0.3">
      <c r="A1546" s="22"/>
      <c r="B1546" s="23"/>
      <c r="C1546" s="1"/>
      <c r="D1546" s="23">
        <v>2018</v>
      </c>
      <c r="E1546" s="24">
        <f>Data!F1546</f>
        <v>1916308000000</v>
      </c>
      <c r="F1546" s="24">
        <f>Data!H1546</f>
        <v>370799000000</v>
      </c>
      <c r="G1546" s="24">
        <f t="shared" si="192"/>
        <v>1545509000000</v>
      </c>
      <c r="H1546" s="24">
        <f>Data!G1546</f>
        <v>5493920000000</v>
      </c>
      <c r="I1546" s="25">
        <f t="shared" si="193"/>
        <v>1.8454107522497596</v>
      </c>
      <c r="J1546" s="24">
        <f>Data!J1546</f>
        <v>280005000000</v>
      </c>
      <c r="K1546" s="24">
        <f t="shared" si="194"/>
        <v>5493920000000</v>
      </c>
      <c r="L1546" s="25">
        <f t="shared" si="195"/>
        <v>0.1661502715729388</v>
      </c>
      <c r="M1546" s="24">
        <f>Data!M1546</f>
        <v>344322000000</v>
      </c>
      <c r="N1546" s="24">
        <f t="shared" si="196"/>
        <v>5493920000000</v>
      </c>
      <c r="O1546" s="25">
        <f t="shared" si="197"/>
        <v>0.42116445816466203</v>
      </c>
      <c r="P1546" s="24">
        <f>Data!K1546</f>
        <v>1736159000000</v>
      </c>
      <c r="Q1546" s="24">
        <f>Data!I1546</f>
        <v>3701883000000</v>
      </c>
      <c r="R1546" s="25">
        <f t="shared" si="198"/>
        <v>0.49244315663136845</v>
      </c>
      <c r="S1546" s="25">
        <f t="shared" si="199"/>
        <v>2.9251686386187288</v>
      </c>
    </row>
    <row r="1547" spans="1:19" ht="15" customHeight="1" x14ac:dyDescent="0.3">
      <c r="A1547" s="22"/>
      <c r="B1547" s="23"/>
      <c r="C1547" s="1"/>
      <c r="D1547" s="23">
        <v>2019</v>
      </c>
      <c r="E1547" s="24">
        <f>Data!F1547</f>
        <v>1233709000000</v>
      </c>
      <c r="F1547" s="24">
        <f>Data!H1547</f>
        <v>499643000000</v>
      </c>
      <c r="G1547" s="24">
        <f t="shared" si="192"/>
        <v>734066000000</v>
      </c>
      <c r="H1547" s="24">
        <f>Data!G1547</f>
        <v>6324607000000</v>
      </c>
      <c r="I1547" s="25">
        <f t="shared" si="193"/>
        <v>0.7613869067279595</v>
      </c>
      <c r="J1547" s="24">
        <f>Data!J1547</f>
        <v>368029000000</v>
      </c>
      <c r="K1547" s="24">
        <f t="shared" si="194"/>
        <v>6324607000000</v>
      </c>
      <c r="L1547" s="25">
        <f t="shared" si="195"/>
        <v>0.18969946116810102</v>
      </c>
      <c r="M1547" s="24">
        <f>Data!M1547</f>
        <v>434616000000</v>
      </c>
      <c r="N1547" s="24">
        <f t="shared" si="196"/>
        <v>6324607000000</v>
      </c>
      <c r="O1547" s="25">
        <f t="shared" si="197"/>
        <v>0.46178671971238688</v>
      </c>
      <c r="P1547" s="24">
        <f>Data!K1547</f>
        <v>1980138000000</v>
      </c>
      <c r="Q1547" s="24">
        <f>Data!I1547</f>
        <v>4280281000000</v>
      </c>
      <c r="R1547" s="25">
        <f t="shared" si="198"/>
        <v>0.48574962718569181</v>
      </c>
      <c r="S1547" s="25">
        <f t="shared" si="199"/>
        <v>1.8986227147941392</v>
      </c>
    </row>
    <row r="1548" spans="1:19" ht="15" customHeight="1" x14ac:dyDescent="0.3">
      <c r="A1548" s="22"/>
      <c r="B1548" s="23"/>
      <c r="C1548" s="1"/>
      <c r="D1548" s="23">
        <v>2020</v>
      </c>
      <c r="E1548" s="24">
        <f>Data!F1548</f>
        <v>1364092000000</v>
      </c>
      <c r="F1548" s="24">
        <f>Data!H1548</f>
        <v>883555000000</v>
      </c>
      <c r="G1548" s="24">
        <f t="shared" si="192"/>
        <v>480537000000</v>
      </c>
      <c r="H1548" s="24">
        <f>Data!G1548</f>
        <v>7987733000000</v>
      </c>
      <c r="I1548" s="25">
        <f t="shared" si="193"/>
        <v>0.39464547951214696</v>
      </c>
      <c r="J1548" s="24">
        <f>Data!J1548</f>
        <v>-974218000000</v>
      </c>
      <c r="K1548" s="24">
        <f t="shared" si="194"/>
        <v>7987733000000</v>
      </c>
      <c r="L1548" s="25">
        <f t="shared" si="195"/>
        <v>-0.39760351028257951</v>
      </c>
      <c r="M1548" s="24">
        <f>Data!M1548</f>
        <v>-670120000000</v>
      </c>
      <c r="N1548" s="24">
        <f t="shared" si="196"/>
        <v>7987733000000</v>
      </c>
      <c r="O1548" s="25">
        <f t="shared" si="197"/>
        <v>-0.56376526356101286</v>
      </c>
      <c r="P1548" s="24">
        <f>Data!K1548</f>
        <v>717821000000</v>
      </c>
      <c r="Q1548" s="24">
        <f>Data!I1548</f>
        <v>7489242000000</v>
      </c>
      <c r="R1548" s="25">
        <f t="shared" si="198"/>
        <v>0.10063929700762773</v>
      </c>
      <c r="S1548" s="25">
        <f t="shared" si="199"/>
        <v>-0.46608399732381767</v>
      </c>
    </row>
    <row r="1549" spans="1:19" ht="15" customHeight="1" x14ac:dyDescent="0.3">
      <c r="A1549" s="22"/>
      <c r="B1549" s="23"/>
      <c r="C1549" s="1"/>
      <c r="D1549" s="23">
        <v>2021</v>
      </c>
      <c r="E1549" s="24">
        <f>Data!F1549</f>
        <v>1833604000000</v>
      </c>
      <c r="F1549" s="24">
        <f>Data!H1549</f>
        <v>988459000000</v>
      </c>
      <c r="G1549" s="24">
        <f t="shared" si="192"/>
        <v>845145000000</v>
      </c>
      <c r="H1549" s="24">
        <f>Data!G1549</f>
        <v>10521525000000</v>
      </c>
      <c r="I1549" s="25">
        <f t="shared" si="193"/>
        <v>0.52693418492091215</v>
      </c>
      <c r="J1549" s="24">
        <f>Data!J1549</f>
        <v>-1714651000000</v>
      </c>
      <c r="K1549" s="24">
        <f t="shared" si="194"/>
        <v>10521525000000</v>
      </c>
      <c r="L1549" s="25">
        <f t="shared" si="195"/>
        <v>-0.53126920859856341</v>
      </c>
      <c r="M1549" s="24">
        <f>Data!M1549</f>
        <v>-997024000000</v>
      </c>
      <c r="N1549" s="24">
        <f t="shared" si="196"/>
        <v>10521525000000</v>
      </c>
      <c r="O1549" s="25">
        <f t="shared" si="197"/>
        <v>-0.63678994062172545</v>
      </c>
      <c r="P1549" s="24">
        <f>Data!K1549</f>
        <v>6790000000</v>
      </c>
      <c r="Q1549" s="24">
        <f>Data!I1549</f>
        <v>11148994000000</v>
      </c>
      <c r="R1549" s="25">
        <f t="shared" si="198"/>
        <v>6.3947473646501203E-4</v>
      </c>
      <c r="S1549" s="25">
        <f t="shared" si="199"/>
        <v>-0.64048548956291174</v>
      </c>
    </row>
    <row r="1550" spans="1:19" ht="15" customHeight="1" x14ac:dyDescent="0.3">
      <c r="A1550" s="22"/>
      <c r="B1550" s="23"/>
      <c r="C1550" s="1"/>
      <c r="D1550" s="23">
        <v>2022</v>
      </c>
      <c r="E1550" s="24">
        <f>Data!F1550</f>
        <v>1925137000000</v>
      </c>
      <c r="F1550" s="24">
        <f>Data!H1550</f>
        <v>1369405000000</v>
      </c>
      <c r="G1550" s="24">
        <f t="shared" si="192"/>
        <v>555732000000</v>
      </c>
      <c r="H1550" s="24">
        <f>Data!G1550</f>
        <v>11650082000000</v>
      </c>
      <c r="I1550" s="25">
        <f t="shared" si="193"/>
        <v>0.31292500087123848</v>
      </c>
      <c r="J1550" s="24">
        <f>Data!J1550</f>
        <v>-1543714000000</v>
      </c>
      <c r="K1550" s="24">
        <f t="shared" si="194"/>
        <v>11650082000000</v>
      </c>
      <c r="L1550" s="25">
        <f t="shared" si="195"/>
        <v>-0.43197186423237194</v>
      </c>
      <c r="M1550" s="24">
        <f>Data!M1550</f>
        <v>245505000000</v>
      </c>
      <c r="N1550" s="24">
        <f t="shared" si="196"/>
        <v>11650082000000</v>
      </c>
      <c r="O1550" s="25">
        <f t="shared" si="197"/>
        <v>0.141612187794043</v>
      </c>
      <c r="P1550" s="24">
        <f>Data!K1550</f>
        <v>117320000000</v>
      </c>
      <c r="Q1550" s="24">
        <f>Data!I1550</f>
        <v>12617797000000</v>
      </c>
      <c r="R1550" s="25">
        <f t="shared" si="198"/>
        <v>9.762876990333574E-3</v>
      </c>
      <c r="S1550" s="25">
        <f t="shared" si="199"/>
        <v>3.2328201423243115E-2</v>
      </c>
    </row>
    <row r="1551" spans="1:19" ht="15" customHeight="1" x14ac:dyDescent="0.3">
      <c r="A1551" s="22"/>
      <c r="B1551" s="23"/>
      <c r="C1551" s="1"/>
      <c r="D1551" s="23">
        <v>2023</v>
      </c>
      <c r="E1551" s="24">
        <f>Data!F1551</f>
        <v>2279625000000</v>
      </c>
      <c r="F1551" s="24">
        <f>Data!H1551</f>
        <v>1882983000000</v>
      </c>
      <c r="G1551" s="24">
        <f t="shared" si="192"/>
        <v>396642000000</v>
      </c>
      <c r="H1551" s="24">
        <f>Data!G1551</f>
        <v>11119311000000</v>
      </c>
      <c r="I1551" s="25">
        <f t="shared" si="193"/>
        <v>0.23400474363924167</v>
      </c>
      <c r="J1551" s="24">
        <f>Data!J1551</f>
        <v>-1677504000000</v>
      </c>
      <c r="K1551" s="24">
        <f t="shared" si="194"/>
        <v>11119311000000</v>
      </c>
      <c r="L1551" s="25">
        <f t="shared" si="195"/>
        <v>-0.49181671778044517</v>
      </c>
      <c r="M1551" s="24">
        <f>Data!M1551</f>
        <v>1337170000000</v>
      </c>
      <c r="N1551" s="24">
        <f t="shared" si="196"/>
        <v>11119311000000</v>
      </c>
      <c r="O1551" s="25">
        <f t="shared" si="197"/>
        <v>0.80812402854817178</v>
      </c>
      <c r="P1551" s="24">
        <f>Data!K1551</f>
        <v>-3283000000</v>
      </c>
      <c r="Q1551" s="24">
        <f>Data!I1551</f>
        <v>13055202000000</v>
      </c>
      <c r="R1551" s="25">
        <f t="shared" si="198"/>
        <v>-2.64044171817487E-4</v>
      </c>
      <c r="S1551" s="25">
        <f t="shared" si="199"/>
        <v>0.55004801023515082</v>
      </c>
    </row>
    <row r="1552" spans="1:19" ht="15" customHeight="1" x14ac:dyDescent="0.3">
      <c r="A1552" s="22"/>
      <c r="B1552" s="23"/>
      <c r="C1552" s="1"/>
      <c r="D1552" s="23">
        <v>2024</v>
      </c>
      <c r="E1552" s="24">
        <f>Data!F1552</f>
        <v>3293831000000</v>
      </c>
      <c r="F1552" s="24">
        <f>Data!H1552</f>
        <v>1570439000000</v>
      </c>
      <c r="G1552" s="24">
        <f t="shared" si="192"/>
        <v>1723392000000</v>
      </c>
      <c r="H1552" s="24">
        <f>Data!G1552</f>
        <v>9361527000000</v>
      </c>
      <c r="I1552" s="25">
        <f t="shared" si="193"/>
        <v>1.2076503672958481</v>
      </c>
      <c r="J1552" s="24">
        <f>Data!J1552</f>
        <v>-1418120000000</v>
      </c>
      <c r="K1552" s="24">
        <f t="shared" si="194"/>
        <v>9361527000000</v>
      </c>
      <c r="L1552" s="25">
        <f t="shared" si="195"/>
        <v>-0.49383729812454735</v>
      </c>
      <c r="M1552" s="24">
        <f>Data!M1552</f>
        <v>-1682754000000</v>
      </c>
      <c r="N1552" s="24">
        <f t="shared" si="196"/>
        <v>9361527000000</v>
      </c>
      <c r="O1552" s="25">
        <f t="shared" si="197"/>
        <v>-1.2079340133292356</v>
      </c>
      <c r="P1552" s="24">
        <f>Data!K1552</f>
        <v>-2070885000000</v>
      </c>
      <c r="Q1552" s="24">
        <f>Data!I1552</f>
        <v>12372002000000</v>
      </c>
      <c r="R1552" s="25">
        <f t="shared" si="198"/>
        <v>-0.17575403317910876</v>
      </c>
      <c r="S1552" s="25">
        <f t="shared" si="199"/>
        <v>-0.6698749773370436</v>
      </c>
    </row>
    <row r="1553" spans="1:19" ht="15" customHeight="1" x14ac:dyDescent="0.3">
      <c r="A1553" s="22"/>
      <c r="B1553" s="23">
        <v>142</v>
      </c>
      <c r="C1553" s="1" t="s">
        <v>138</v>
      </c>
      <c r="D1553" s="23">
        <v>2014</v>
      </c>
      <c r="E1553" s="24">
        <f>Data!F1553</f>
        <v>0</v>
      </c>
      <c r="F1553" s="24">
        <f>Data!H1553</f>
        <v>0</v>
      </c>
      <c r="G1553" s="24">
        <f t="shared" si="192"/>
        <v>0</v>
      </c>
      <c r="H1553" s="24">
        <f>Data!G1553</f>
        <v>0</v>
      </c>
      <c r="I1553" s="25">
        <f t="shared" si="193"/>
        <v>0</v>
      </c>
      <c r="J1553" s="24">
        <f>Data!J1553</f>
        <v>0</v>
      </c>
      <c r="K1553" s="24">
        <f t="shared" si="194"/>
        <v>0</v>
      </c>
      <c r="L1553" s="25">
        <f t="shared" si="195"/>
        <v>0</v>
      </c>
      <c r="M1553" s="24">
        <f>Data!M1553</f>
        <v>0</v>
      </c>
      <c r="N1553" s="24">
        <f t="shared" si="196"/>
        <v>0</v>
      </c>
      <c r="O1553" s="25">
        <f t="shared" si="197"/>
        <v>0</v>
      </c>
      <c r="P1553" s="24">
        <f>Data!K1553</f>
        <v>0</v>
      </c>
      <c r="Q1553" s="24">
        <f>Data!I1553</f>
        <v>0</v>
      </c>
      <c r="R1553" s="25">
        <f t="shared" si="198"/>
        <v>0</v>
      </c>
      <c r="S1553" s="25">
        <f t="shared" si="199"/>
        <v>0</v>
      </c>
    </row>
    <row r="1554" spans="1:19" ht="15" customHeight="1" x14ac:dyDescent="0.3">
      <c r="A1554" s="22"/>
      <c r="B1554" s="23"/>
      <c r="C1554" s="1"/>
      <c r="D1554" s="23">
        <v>2015</v>
      </c>
      <c r="E1554" s="24">
        <f>Data!F1554</f>
        <v>0</v>
      </c>
      <c r="F1554" s="24">
        <f>Data!H1554</f>
        <v>0</v>
      </c>
      <c r="G1554" s="24">
        <f t="shared" si="192"/>
        <v>0</v>
      </c>
      <c r="H1554" s="24">
        <f>Data!G1554</f>
        <v>0</v>
      </c>
      <c r="I1554" s="25">
        <f t="shared" si="193"/>
        <v>0</v>
      </c>
      <c r="J1554" s="24">
        <f>Data!J1554</f>
        <v>0</v>
      </c>
      <c r="K1554" s="24">
        <f t="shared" si="194"/>
        <v>0</v>
      </c>
      <c r="L1554" s="25">
        <f t="shared" si="195"/>
        <v>0</v>
      </c>
      <c r="M1554" s="24">
        <f>Data!M1554</f>
        <v>0</v>
      </c>
      <c r="N1554" s="24">
        <f t="shared" si="196"/>
        <v>0</v>
      </c>
      <c r="O1554" s="25">
        <f t="shared" si="197"/>
        <v>0</v>
      </c>
      <c r="P1554" s="24">
        <f>Data!K1554</f>
        <v>0</v>
      </c>
      <c r="Q1554" s="24">
        <f>Data!I1554</f>
        <v>0</v>
      </c>
      <c r="R1554" s="25">
        <f t="shared" si="198"/>
        <v>0</v>
      </c>
      <c r="S1554" s="25">
        <f t="shared" si="199"/>
        <v>0</v>
      </c>
    </row>
    <row r="1555" spans="1:19" ht="15" customHeight="1" x14ac:dyDescent="0.3">
      <c r="A1555" s="22"/>
      <c r="B1555" s="23"/>
      <c r="C1555" s="1"/>
      <c r="D1555" s="23">
        <v>2016</v>
      </c>
      <c r="E1555" s="24">
        <f>Data!F1555</f>
        <v>0</v>
      </c>
      <c r="F1555" s="24">
        <f>Data!H1555</f>
        <v>0</v>
      </c>
      <c r="G1555" s="24">
        <f t="shared" si="192"/>
        <v>0</v>
      </c>
      <c r="H1555" s="24">
        <f>Data!G1555</f>
        <v>0</v>
      </c>
      <c r="I1555" s="25">
        <f t="shared" si="193"/>
        <v>0</v>
      </c>
      <c r="J1555" s="24">
        <f>Data!J1555</f>
        <v>0</v>
      </c>
      <c r="K1555" s="24">
        <f t="shared" si="194"/>
        <v>0</v>
      </c>
      <c r="L1555" s="25">
        <f t="shared" si="195"/>
        <v>0</v>
      </c>
      <c r="M1555" s="24">
        <f>Data!M1555</f>
        <v>0</v>
      </c>
      <c r="N1555" s="24">
        <f t="shared" si="196"/>
        <v>0</v>
      </c>
      <c r="O1555" s="25">
        <f t="shared" si="197"/>
        <v>0</v>
      </c>
      <c r="P1555" s="24">
        <f>Data!K1555</f>
        <v>0</v>
      </c>
      <c r="Q1555" s="24">
        <f>Data!I1555</f>
        <v>0</v>
      </c>
      <c r="R1555" s="25">
        <f t="shared" si="198"/>
        <v>0</v>
      </c>
      <c r="S1555" s="25">
        <f t="shared" si="199"/>
        <v>0</v>
      </c>
    </row>
    <row r="1556" spans="1:19" ht="15" customHeight="1" x14ac:dyDescent="0.3">
      <c r="A1556" s="22"/>
      <c r="B1556" s="23"/>
      <c r="C1556" s="1"/>
      <c r="D1556" s="23">
        <v>2017</v>
      </c>
      <c r="E1556" s="24">
        <f>Data!F1556</f>
        <v>48205000000</v>
      </c>
      <c r="F1556" s="24">
        <f>Data!H1556</f>
        <v>32948000000</v>
      </c>
      <c r="G1556" s="24">
        <f t="shared" si="192"/>
        <v>15257000000</v>
      </c>
      <c r="H1556" s="24">
        <f>Data!G1556</f>
        <v>392736000000</v>
      </c>
      <c r="I1556" s="25">
        <f t="shared" si="193"/>
        <v>0.25484274423531328</v>
      </c>
      <c r="J1556" s="24">
        <f>Data!J1556</f>
        <v>10204000000</v>
      </c>
      <c r="K1556" s="24">
        <f t="shared" si="194"/>
        <v>392736000000</v>
      </c>
      <c r="L1556" s="25">
        <f t="shared" si="195"/>
        <v>8.4700765908905712E-2</v>
      </c>
      <c r="M1556" s="24">
        <f>Data!M1556</f>
        <v>10437000000</v>
      </c>
      <c r="N1556" s="24">
        <f t="shared" si="196"/>
        <v>392736000000</v>
      </c>
      <c r="O1556" s="25">
        <f t="shared" si="197"/>
        <v>0.1785846981178196</v>
      </c>
      <c r="P1556" s="24">
        <f>Data!K1556</f>
        <v>310204000000</v>
      </c>
      <c r="Q1556" s="24">
        <f>Data!I1556</f>
        <v>82532000000</v>
      </c>
      <c r="R1556" s="25">
        <f t="shared" si="198"/>
        <v>3.946520137643581</v>
      </c>
      <c r="S1556" s="25">
        <f t="shared" si="199"/>
        <v>4.4646483459056192</v>
      </c>
    </row>
    <row r="1557" spans="1:19" ht="15" customHeight="1" x14ac:dyDescent="0.3">
      <c r="A1557" s="22"/>
      <c r="B1557" s="23"/>
      <c r="C1557" s="1"/>
      <c r="D1557" s="23">
        <v>2018</v>
      </c>
      <c r="E1557" s="24">
        <f>Data!F1557</f>
        <v>0</v>
      </c>
      <c r="F1557" s="24">
        <f>Data!H1557</f>
        <v>0</v>
      </c>
      <c r="G1557" s="24">
        <f t="shared" si="192"/>
        <v>0</v>
      </c>
      <c r="H1557" s="24">
        <f>Data!G1557</f>
        <v>0</v>
      </c>
      <c r="I1557" s="25">
        <f t="shared" si="193"/>
        <v>0</v>
      </c>
      <c r="J1557" s="24">
        <f>Data!J1557</f>
        <v>0</v>
      </c>
      <c r="K1557" s="24">
        <f t="shared" si="194"/>
        <v>0</v>
      </c>
      <c r="L1557" s="25">
        <f t="shared" si="195"/>
        <v>0</v>
      </c>
      <c r="M1557" s="24">
        <f>Data!M1557</f>
        <v>0</v>
      </c>
      <c r="N1557" s="24">
        <f t="shared" si="196"/>
        <v>0</v>
      </c>
      <c r="O1557" s="25">
        <f t="shared" si="197"/>
        <v>0</v>
      </c>
      <c r="P1557" s="24">
        <f>Data!K1557</f>
        <v>0</v>
      </c>
      <c r="Q1557" s="24">
        <f>Data!I1557</f>
        <v>0</v>
      </c>
      <c r="R1557" s="25">
        <f t="shared" si="198"/>
        <v>0</v>
      </c>
      <c r="S1557" s="25">
        <f t="shared" si="199"/>
        <v>0</v>
      </c>
    </row>
    <row r="1558" spans="1:19" ht="15" customHeight="1" x14ac:dyDescent="0.3">
      <c r="A1558" s="22"/>
      <c r="B1558" s="23"/>
      <c r="C1558" s="1"/>
      <c r="D1558" s="23">
        <v>2019</v>
      </c>
      <c r="E1558" s="24">
        <f>Data!F1558</f>
        <v>535708000000</v>
      </c>
      <c r="F1558" s="24">
        <f>Data!H1558</f>
        <v>143090000000</v>
      </c>
      <c r="G1558" s="24">
        <f t="shared" si="192"/>
        <v>392618000000</v>
      </c>
      <c r="H1558" s="24">
        <f>Data!G1558</f>
        <v>1168609000000</v>
      </c>
      <c r="I1558" s="25">
        <f t="shared" si="193"/>
        <v>2.2039656377796164</v>
      </c>
      <c r="J1558" s="24">
        <f>Data!J1558</f>
        <v>152675000000</v>
      </c>
      <c r="K1558" s="24">
        <f t="shared" si="194"/>
        <v>1168609000000</v>
      </c>
      <c r="L1558" s="25">
        <f t="shared" si="195"/>
        <v>0.42590849462908464</v>
      </c>
      <c r="M1558" s="24">
        <f>Data!M1558</f>
        <v>88687000000</v>
      </c>
      <c r="N1558" s="24">
        <f t="shared" si="196"/>
        <v>1168609000000</v>
      </c>
      <c r="O1558" s="25">
        <f t="shared" si="197"/>
        <v>0.5099880627309904</v>
      </c>
      <c r="P1558" s="24">
        <f>Data!K1558</f>
        <v>452675000000</v>
      </c>
      <c r="Q1558" s="24">
        <f>Data!I1558</f>
        <v>715934000000</v>
      </c>
      <c r="R1558" s="25">
        <f t="shared" si="198"/>
        <v>0.66390023382043595</v>
      </c>
      <c r="S1558" s="25">
        <f t="shared" si="199"/>
        <v>3.8037624289601273</v>
      </c>
    </row>
    <row r="1559" spans="1:19" ht="15" customHeight="1" x14ac:dyDescent="0.3">
      <c r="A1559" s="22"/>
      <c r="B1559" s="23"/>
      <c r="C1559" s="1"/>
      <c r="D1559" s="23">
        <v>2020</v>
      </c>
      <c r="E1559" s="24">
        <f>Data!F1559</f>
        <v>1304842000000</v>
      </c>
      <c r="F1559" s="24">
        <f>Data!H1559</f>
        <v>461779000000</v>
      </c>
      <c r="G1559" s="24">
        <f t="shared" si="192"/>
        <v>843063000000</v>
      </c>
      <c r="H1559" s="24">
        <f>Data!G1559</f>
        <v>2088765000000</v>
      </c>
      <c r="I1559" s="25">
        <f t="shared" si="193"/>
        <v>2.6477336033493475</v>
      </c>
      <c r="J1559" s="24">
        <f>Data!J1559</f>
        <v>329196000000</v>
      </c>
      <c r="K1559" s="24">
        <f t="shared" si="194"/>
        <v>2088765000000</v>
      </c>
      <c r="L1559" s="25">
        <f t="shared" si="195"/>
        <v>0.51378635701000352</v>
      </c>
      <c r="M1559" s="24">
        <f>Data!M1559</f>
        <v>173868000000</v>
      </c>
      <c r="N1559" s="24">
        <f t="shared" si="196"/>
        <v>2088765000000</v>
      </c>
      <c r="O1559" s="25">
        <f t="shared" si="197"/>
        <v>0.55937023073442915</v>
      </c>
      <c r="P1559" s="24">
        <f>Data!K1559</f>
        <v>629196000000</v>
      </c>
      <c r="Q1559" s="24">
        <f>Data!I1559</f>
        <v>1459569000000</v>
      </c>
      <c r="R1559" s="25">
        <f t="shared" si="198"/>
        <v>0.45263759370060613</v>
      </c>
      <c r="S1559" s="25">
        <f t="shared" si="199"/>
        <v>4.1735277847943859</v>
      </c>
    </row>
    <row r="1560" spans="1:19" ht="15" customHeight="1" x14ac:dyDescent="0.3">
      <c r="A1560" s="22"/>
      <c r="B1560" s="23"/>
      <c r="C1560" s="1"/>
      <c r="D1560" s="23">
        <v>2021</v>
      </c>
      <c r="E1560" s="24">
        <f>Data!F1560</f>
        <v>1134376000000</v>
      </c>
      <c r="F1560" s="24">
        <f>Data!H1560</f>
        <v>64954000000</v>
      </c>
      <c r="G1560" s="24">
        <f t="shared" si="192"/>
        <v>1069422000000</v>
      </c>
      <c r="H1560" s="24">
        <f>Data!G1560</f>
        <v>1864949000000</v>
      </c>
      <c r="I1560" s="25">
        <f t="shared" si="193"/>
        <v>3.7617159075127526</v>
      </c>
      <c r="J1560" s="24">
        <f>Data!J1560</f>
        <v>240088000000</v>
      </c>
      <c r="K1560" s="24">
        <f t="shared" si="194"/>
        <v>1864949000000</v>
      </c>
      <c r="L1560" s="25">
        <f t="shared" si="195"/>
        <v>0.4196827259083224</v>
      </c>
      <c r="M1560" s="24">
        <f>Data!M1560</f>
        <v>52868000000</v>
      </c>
      <c r="N1560" s="24">
        <f t="shared" si="196"/>
        <v>1864949000000</v>
      </c>
      <c r="O1560" s="25">
        <f t="shared" si="197"/>
        <v>0.19050009410445004</v>
      </c>
      <c r="P1560" s="24">
        <f>Data!K1560</f>
        <v>540088000000</v>
      </c>
      <c r="Q1560" s="24">
        <f>Data!I1560</f>
        <v>1324861000000</v>
      </c>
      <c r="R1560" s="25">
        <f t="shared" si="198"/>
        <v>0.4280391678825175</v>
      </c>
      <c r="S1560" s="25">
        <f t="shared" si="199"/>
        <v>4.7999378954080427</v>
      </c>
    </row>
    <row r="1561" spans="1:19" ht="15" customHeight="1" x14ac:dyDescent="0.3">
      <c r="A1561" s="22"/>
      <c r="B1561" s="23"/>
      <c r="C1561" s="1"/>
      <c r="D1561" s="23">
        <v>2022</v>
      </c>
      <c r="E1561" s="24">
        <f>Data!F1561</f>
        <v>2142135000000</v>
      </c>
      <c r="F1561" s="24">
        <f>Data!H1561</f>
        <v>730521000000</v>
      </c>
      <c r="G1561" s="24">
        <f t="shared" si="192"/>
        <v>1411614000000</v>
      </c>
      <c r="H1561" s="24">
        <f>Data!G1561</f>
        <v>3039089000000</v>
      </c>
      <c r="I1561" s="25">
        <f t="shared" si="193"/>
        <v>3.0470275269990443</v>
      </c>
      <c r="J1561" s="24">
        <f>Data!J1561</f>
        <v>296219000000</v>
      </c>
      <c r="K1561" s="24">
        <f t="shared" si="194"/>
        <v>3039089000000</v>
      </c>
      <c r="L1561" s="25">
        <f t="shared" si="195"/>
        <v>0.31775112212903273</v>
      </c>
      <c r="M1561" s="24">
        <f>Data!M1561</f>
        <v>61643000000</v>
      </c>
      <c r="N1561" s="24">
        <f t="shared" si="196"/>
        <v>3039089000000</v>
      </c>
      <c r="O1561" s="25">
        <f t="shared" si="197"/>
        <v>0.1363043201433061</v>
      </c>
      <c r="P1561" s="24">
        <f>Data!K1561</f>
        <v>586522000000</v>
      </c>
      <c r="Q1561" s="24">
        <f>Data!I1561</f>
        <v>2452567000000</v>
      </c>
      <c r="R1561" s="25">
        <f t="shared" si="198"/>
        <v>0.25110347647994935</v>
      </c>
      <c r="S1561" s="25">
        <f t="shared" si="199"/>
        <v>3.7521864457513323</v>
      </c>
    </row>
    <row r="1562" spans="1:19" ht="15" customHeight="1" x14ac:dyDescent="0.3">
      <c r="A1562" s="22"/>
      <c r="B1562" s="23"/>
      <c r="C1562" s="1"/>
      <c r="D1562" s="23">
        <v>2023</v>
      </c>
      <c r="E1562" s="24">
        <f>Data!F1562</f>
        <v>1950720000000</v>
      </c>
      <c r="F1562" s="24">
        <f>Data!H1562</f>
        <v>560129000000</v>
      </c>
      <c r="G1562" s="24">
        <f t="shared" si="192"/>
        <v>1390591000000</v>
      </c>
      <c r="H1562" s="24">
        <f>Data!G1562</f>
        <v>3090740000000</v>
      </c>
      <c r="I1562" s="25">
        <f t="shared" si="193"/>
        <v>2.9514863624892418</v>
      </c>
      <c r="J1562" s="24">
        <f>Data!J1562</f>
        <v>380893000000</v>
      </c>
      <c r="K1562" s="24">
        <f t="shared" si="194"/>
        <v>3090740000000</v>
      </c>
      <c r="L1562" s="25">
        <f t="shared" si="195"/>
        <v>0.40175206584830814</v>
      </c>
      <c r="M1562" s="24">
        <f>Data!M1562</f>
        <v>98087000000</v>
      </c>
      <c r="N1562" s="24">
        <f t="shared" si="196"/>
        <v>3090740000000</v>
      </c>
      <c r="O1562" s="25">
        <f t="shared" si="197"/>
        <v>0.21326434446119696</v>
      </c>
      <c r="P1562" s="24">
        <f>Data!K1562</f>
        <v>678658000000</v>
      </c>
      <c r="Q1562" s="24">
        <f>Data!I1562</f>
        <v>2412082000000</v>
      </c>
      <c r="R1562" s="25">
        <f t="shared" si="198"/>
        <v>0.29542565302506302</v>
      </c>
      <c r="S1562" s="25">
        <f t="shared" si="199"/>
        <v>3.8619284258238102</v>
      </c>
    </row>
    <row r="1563" spans="1:19" ht="15" customHeight="1" x14ac:dyDescent="0.3">
      <c r="A1563" s="22"/>
      <c r="B1563" s="23"/>
      <c r="C1563" s="1"/>
      <c r="D1563" s="23">
        <v>2024</v>
      </c>
      <c r="E1563" s="24">
        <f>Data!F1563</f>
        <v>1870446000000</v>
      </c>
      <c r="F1563" s="24">
        <f>Data!H1563</f>
        <v>588695000000</v>
      </c>
      <c r="G1563" s="24">
        <f t="shared" si="192"/>
        <v>1281751000000</v>
      </c>
      <c r="H1563" s="24">
        <f>Data!G1563</f>
        <v>3235975000000</v>
      </c>
      <c r="I1563" s="25">
        <f t="shared" si="193"/>
        <v>2.5983780962461078</v>
      </c>
      <c r="J1563" s="24">
        <f>Data!J1563</f>
        <v>620318000000</v>
      </c>
      <c r="K1563" s="24">
        <f t="shared" si="194"/>
        <v>3235975000000</v>
      </c>
      <c r="L1563" s="25">
        <f t="shared" si="195"/>
        <v>0.6249234558363399</v>
      </c>
      <c r="M1563" s="24">
        <f>Data!M1563</f>
        <v>281213000000</v>
      </c>
      <c r="N1563" s="24">
        <f t="shared" si="196"/>
        <v>3235975000000</v>
      </c>
      <c r="O1563" s="25">
        <f t="shared" si="197"/>
        <v>0.58398206413831988</v>
      </c>
      <c r="P1563" s="24">
        <f>Data!K1563</f>
        <v>903461000000</v>
      </c>
      <c r="Q1563" s="24">
        <f>Data!I1563</f>
        <v>2332514000000</v>
      </c>
      <c r="R1563" s="25">
        <f t="shared" si="198"/>
        <v>0.40670025989125902</v>
      </c>
      <c r="S1563" s="25">
        <f t="shared" si="199"/>
        <v>4.2139838761120263</v>
      </c>
    </row>
    <row r="1564" spans="1:19" ht="15" customHeight="1" x14ac:dyDescent="0.3">
      <c r="A1564" s="22"/>
      <c r="B1564" s="23">
        <v>143</v>
      </c>
      <c r="C1564" s="1" t="s">
        <v>144</v>
      </c>
      <c r="D1564" s="23">
        <v>2014</v>
      </c>
      <c r="E1564" s="24">
        <f>Data!F1564</f>
        <v>0</v>
      </c>
      <c r="F1564" s="24">
        <f>Data!H1564</f>
        <v>0</v>
      </c>
      <c r="G1564" s="24">
        <f t="shared" si="192"/>
        <v>0</v>
      </c>
      <c r="H1564" s="24">
        <f>Data!G1564</f>
        <v>0</v>
      </c>
      <c r="I1564" s="25">
        <f t="shared" si="193"/>
        <v>0</v>
      </c>
      <c r="J1564" s="24">
        <f>Data!J1564</f>
        <v>0</v>
      </c>
      <c r="K1564" s="24">
        <f t="shared" si="194"/>
        <v>0</v>
      </c>
      <c r="L1564" s="25">
        <f t="shared" si="195"/>
        <v>0</v>
      </c>
      <c r="M1564" s="24">
        <f>Data!M1564</f>
        <v>0</v>
      </c>
      <c r="N1564" s="24">
        <f t="shared" si="196"/>
        <v>0</v>
      </c>
      <c r="O1564" s="25">
        <f t="shared" si="197"/>
        <v>0</v>
      </c>
      <c r="P1564" s="24">
        <f>Data!K1564</f>
        <v>0</v>
      </c>
      <c r="Q1564" s="24">
        <f>Data!I1564</f>
        <v>0</v>
      </c>
      <c r="R1564" s="25">
        <f t="shared" si="198"/>
        <v>0</v>
      </c>
      <c r="S1564" s="25">
        <f t="shared" si="199"/>
        <v>0</v>
      </c>
    </row>
    <row r="1565" spans="1:19" ht="15" customHeight="1" x14ac:dyDescent="0.3">
      <c r="A1565" s="22"/>
      <c r="B1565" s="23"/>
      <c r="C1565" s="1"/>
      <c r="D1565" s="23">
        <v>2015</v>
      </c>
      <c r="E1565" s="24">
        <f>Data!F1565</f>
        <v>0</v>
      </c>
      <c r="F1565" s="24">
        <f>Data!H1565</f>
        <v>0</v>
      </c>
      <c r="G1565" s="24">
        <f t="shared" si="192"/>
        <v>0</v>
      </c>
      <c r="H1565" s="24">
        <f>Data!G1565</f>
        <v>0</v>
      </c>
      <c r="I1565" s="25">
        <f t="shared" si="193"/>
        <v>0</v>
      </c>
      <c r="J1565" s="24">
        <f>Data!J1565</f>
        <v>0</v>
      </c>
      <c r="K1565" s="24">
        <f t="shared" si="194"/>
        <v>0</v>
      </c>
      <c r="L1565" s="25">
        <f t="shared" si="195"/>
        <v>0</v>
      </c>
      <c r="M1565" s="24">
        <f>Data!M1565</f>
        <v>0</v>
      </c>
      <c r="N1565" s="24">
        <f t="shared" si="196"/>
        <v>0</v>
      </c>
      <c r="O1565" s="25">
        <f t="shared" si="197"/>
        <v>0</v>
      </c>
      <c r="P1565" s="24">
        <f>Data!K1565</f>
        <v>0</v>
      </c>
      <c r="Q1565" s="24">
        <f>Data!I1565</f>
        <v>0</v>
      </c>
      <c r="R1565" s="25">
        <f t="shared" si="198"/>
        <v>0</v>
      </c>
      <c r="S1565" s="25">
        <f t="shared" si="199"/>
        <v>0</v>
      </c>
    </row>
    <row r="1566" spans="1:19" ht="15" customHeight="1" x14ac:dyDescent="0.3">
      <c r="A1566" s="22"/>
      <c r="B1566" s="23"/>
      <c r="C1566" s="1"/>
      <c r="D1566" s="23">
        <v>2016</v>
      </c>
      <c r="E1566" s="24">
        <f>Data!F1566</f>
        <v>0</v>
      </c>
      <c r="F1566" s="24">
        <f>Data!H1566</f>
        <v>0</v>
      </c>
      <c r="G1566" s="24">
        <f t="shared" si="192"/>
        <v>0</v>
      </c>
      <c r="H1566" s="24">
        <f>Data!G1566</f>
        <v>0</v>
      </c>
      <c r="I1566" s="25">
        <f t="shared" si="193"/>
        <v>0</v>
      </c>
      <c r="J1566" s="24">
        <f>Data!J1566</f>
        <v>0</v>
      </c>
      <c r="K1566" s="24">
        <f t="shared" si="194"/>
        <v>0</v>
      </c>
      <c r="L1566" s="25">
        <f t="shared" si="195"/>
        <v>0</v>
      </c>
      <c r="M1566" s="24">
        <f>Data!M1566</f>
        <v>0</v>
      </c>
      <c r="N1566" s="24">
        <f t="shared" si="196"/>
        <v>0</v>
      </c>
      <c r="O1566" s="25">
        <f t="shared" si="197"/>
        <v>0</v>
      </c>
      <c r="P1566" s="24">
        <f>Data!K1566</f>
        <v>0</v>
      </c>
      <c r="Q1566" s="24">
        <f>Data!I1566</f>
        <v>0</v>
      </c>
      <c r="R1566" s="25">
        <f t="shared" si="198"/>
        <v>0</v>
      </c>
      <c r="S1566" s="25">
        <f t="shared" si="199"/>
        <v>0</v>
      </c>
    </row>
    <row r="1567" spans="1:19" ht="15" customHeight="1" x14ac:dyDescent="0.3">
      <c r="A1567" s="22"/>
      <c r="B1567" s="23"/>
      <c r="C1567" s="1"/>
      <c r="D1567" s="23">
        <v>2017</v>
      </c>
      <c r="E1567" s="24">
        <f>Data!F1567</f>
        <v>0</v>
      </c>
      <c r="F1567" s="24">
        <f>Data!H1567</f>
        <v>0</v>
      </c>
      <c r="G1567" s="24">
        <f t="shared" si="192"/>
        <v>0</v>
      </c>
      <c r="H1567" s="24">
        <f>Data!G1567</f>
        <v>0</v>
      </c>
      <c r="I1567" s="25">
        <f t="shared" si="193"/>
        <v>0</v>
      </c>
      <c r="J1567" s="24">
        <f>Data!J1567</f>
        <v>0</v>
      </c>
      <c r="K1567" s="24">
        <f t="shared" si="194"/>
        <v>0</v>
      </c>
      <c r="L1567" s="25">
        <f t="shared" si="195"/>
        <v>0</v>
      </c>
      <c r="M1567" s="24">
        <f>Data!M1567</f>
        <v>0</v>
      </c>
      <c r="N1567" s="24">
        <f t="shared" si="196"/>
        <v>0</v>
      </c>
      <c r="O1567" s="25">
        <f t="shared" si="197"/>
        <v>0</v>
      </c>
      <c r="P1567" s="24">
        <f>Data!K1567</f>
        <v>0</v>
      </c>
      <c r="Q1567" s="24">
        <f>Data!I1567</f>
        <v>0</v>
      </c>
      <c r="R1567" s="25">
        <f t="shared" si="198"/>
        <v>0</v>
      </c>
      <c r="S1567" s="25">
        <f t="shared" si="199"/>
        <v>0</v>
      </c>
    </row>
    <row r="1568" spans="1:19" ht="15" customHeight="1" x14ac:dyDescent="0.3">
      <c r="A1568" s="22"/>
      <c r="B1568" s="23"/>
      <c r="C1568" s="1"/>
      <c r="D1568" s="23">
        <v>2018</v>
      </c>
      <c r="E1568" s="24">
        <f>Data!F1568</f>
        <v>0</v>
      </c>
      <c r="F1568" s="24">
        <f>Data!H1568</f>
        <v>0</v>
      </c>
      <c r="G1568" s="24">
        <f t="shared" si="192"/>
        <v>0</v>
      </c>
      <c r="H1568" s="24">
        <f>Data!G1568</f>
        <v>0</v>
      </c>
      <c r="I1568" s="25">
        <f t="shared" si="193"/>
        <v>0</v>
      </c>
      <c r="J1568" s="24">
        <f>Data!J1568</f>
        <v>0</v>
      </c>
      <c r="K1568" s="24">
        <f t="shared" si="194"/>
        <v>0</v>
      </c>
      <c r="L1568" s="25">
        <f t="shared" si="195"/>
        <v>0</v>
      </c>
      <c r="M1568" s="24">
        <f>Data!M1568</f>
        <v>0</v>
      </c>
      <c r="N1568" s="24">
        <f t="shared" si="196"/>
        <v>0</v>
      </c>
      <c r="O1568" s="25">
        <f t="shared" si="197"/>
        <v>0</v>
      </c>
      <c r="P1568" s="24">
        <f>Data!K1568</f>
        <v>0</v>
      </c>
      <c r="Q1568" s="24">
        <f>Data!I1568</f>
        <v>0</v>
      </c>
      <c r="R1568" s="25">
        <f t="shared" si="198"/>
        <v>0</v>
      </c>
      <c r="S1568" s="25">
        <f t="shared" si="199"/>
        <v>0</v>
      </c>
    </row>
    <row r="1569" spans="1:19" ht="15" customHeight="1" x14ac:dyDescent="0.3">
      <c r="A1569" s="22"/>
      <c r="B1569" s="23"/>
      <c r="C1569" s="1"/>
      <c r="D1569" s="23">
        <v>2019</v>
      </c>
      <c r="E1569" s="24">
        <f>Data!F1569</f>
        <v>0</v>
      </c>
      <c r="F1569" s="24">
        <f>Data!H1569</f>
        <v>0</v>
      </c>
      <c r="G1569" s="24">
        <f t="shared" si="192"/>
        <v>0</v>
      </c>
      <c r="H1569" s="24">
        <f>Data!G1569</f>
        <v>0</v>
      </c>
      <c r="I1569" s="25">
        <f t="shared" si="193"/>
        <v>0</v>
      </c>
      <c r="J1569" s="24">
        <f>Data!J1569</f>
        <v>0</v>
      </c>
      <c r="K1569" s="24">
        <f t="shared" si="194"/>
        <v>0</v>
      </c>
      <c r="L1569" s="25">
        <f t="shared" si="195"/>
        <v>0</v>
      </c>
      <c r="M1569" s="24">
        <f>Data!M1569</f>
        <v>0</v>
      </c>
      <c r="N1569" s="24">
        <f t="shared" si="196"/>
        <v>0</v>
      </c>
      <c r="O1569" s="25">
        <f t="shared" si="197"/>
        <v>0</v>
      </c>
      <c r="P1569" s="24">
        <f>Data!K1569</f>
        <v>0</v>
      </c>
      <c r="Q1569" s="24">
        <f>Data!I1569</f>
        <v>0</v>
      </c>
      <c r="R1569" s="25">
        <f t="shared" si="198"/>
        <v>0</v>
      </c>
      <c r="S1569" s="25">
        <f t="shared" si="199"/>
        <v>0</v>
      </c>
    </row>
    <row r="1570" spans="1:19" ht="15" customHeight="1" x14ac:dyDescent="0.3">
      <c r="A1570" s="22"/>
      <c r="B1570" s="23"/>
      <c r="C1570" s="1"/>
      <c r="D1570" s="23">
        <v>2020</v>
      </c>
      <c r="E1570" s="24">
        <f>Data!F1570</f>
        <v>0</v>
      </c>
      <c r="F1570" s="24">
        <f>Data!H1570</f>
        <v>0</v>
      </c>
      <c r="G1570" s="24">
        <f t="shared" si="192"/>
        <v>0</v>
      </c>
      <c r="H1570" s="24">
        <f>Data!G1570</f>
        <v>0</v>
      </c>
      <c r="I1570" s="25">
        <f t="shared" si="193"/>
        <v>0</v>
      </c>
      <c r="J1570" s="24">
        <f>Data!J1570</f>
        <v>0</v>
      </c>
      <c r="K1570" s="24">
        <f t="shared" si="194"/>
        <v>0</v>
      </c>
      <c r="L1570" s="25">
        <f t="shared" si="195"/>
        <v>0</v>
      </c>
      <c r="M1570" s="24">
        <f>Data!M1570</f>
        <v>0</v>
      </c>
      <c r="N1570" s="24">
        <f t="shared" si="196"/>
        <v>0</v>
      </c>
      <c r="O1570" s="25">
        <f t="shared" si="197"/>
        <v>0</v>
      </c>
      <c r="P1570" s="24">
        <f>Data!K1570</f>
        <v>0</v>
      </c>
      <c r="Q1570" s="24">
        <f>Data!I1570</f>
        <v>0</v>
      </c>
      <c r="R1570" s="25">
        <f t="shared" si="198"/>
        <v>0</v>
      </c>
      <c r="S1570" s="25">
        <f t="shared" si="199"/>
        <v>0</v>
      </c>
    </row>
    <row r="1571" spans="1:19" ht="15" customHeight="1" x14ac:dyDescent="0.3">
      <c r="A1571" s="22"/>
      <c r="B1571" s="23"/>
      <c r="C1571" s="1"/>
      <c r="D1571" s="23">
        <v>2021</v>
      </c>
      <c r="E1571" s="24">
        <f>Data!F1571</f>
        <v>0</v>
      </c>
      <c r="F1571" s="24">
        <f>Data!H1571</f>
        <v>0</v>
      </c>
      <c r="G1571" s="24">
        <f t="shared" si="192"/>
        <v>0</v>
      </c>
      <c r="H1571" s="24">
        <f>Data!G1571</f>
        <v>0</v>
      </c>
      <c r="I1571" s="25">
        <f t="shared" si="193"/>
        <v>0</v>
      </c>
      <c r="J1571" s="24">
        <f>Data!J1571</f>
        <v>0</v>
      </c>
      <c r="K1571" s="24">
        <f t="shared" si="194"/>
        <v>0</v>
      </c>
      <c r="L1571" s="25">
        <f t="shared" si="195"/>
        <v>0</v>
      </c>
      <c r="M1571" s="24">
        <f>Data!M1571</f>
        <v>0</v>
      </c>
      <c r="N1571" s="24">
        <f t="shared" si="196"/>
        <v>0</v>
      </c>
      <c r="O1571" s="25">
        <f t="shared" si="197"/>
        <v>0</v>
      </c>
      <c r="P1571" s="24">
        <f>Data!K1571</f>
        <v>0</v>
      </c>
      <c r="Q1571" s="24">
        <f>Data!I1571</f>
        <v>0</v>
      </c>
      <c r="R1571" s="25">
        <f t="shared" si="198"/>
        <v>0</v>
      </c>
      <c r="S1571" s="25">
        <f t="shared" si="199"/>
        <v>0</v>
      </c>
    </row>
    <row r="1572" spans="1:19" ht="15" customHeight="1" x14ac:dyDescent="0.3">
      <c r="A1572" s="22"/>
      <c r="B1572" s="23"/>
      <c r="C1572" s="1"/>
      <c r="D1572" s="23">
        <v>2022</v>
      </c>
      <c r="E1572" s="24">
        <f>Data!F1572</f>
        <v>0</v>
      </c>
      <c r="F1572" s="24">
        <f>Data!H1572</f>
        <v>0</v>
      </c>
      <c r="G1572" s="24">
        <f t="shared" si="192"/>
        <v>0</v>
      </c>
      <c r="H1572" s="24">
        <f>Data!G1572</f>
        <v>0</v>
      </c>
      <c r="I1572" s="25">
        <f t="shared" si="193"/>
        <v>0</v>
      </c>
      <c r="J1572" s="24">
        <f>Data!J1572</f>
        <v>0</v>
      </c>
      <c r="K1572" s="24">
        <f t="shared" si="194"/>
        <v>0</v>
      </c>
      <c r="L1572" s="25">
        <f t="shared" si="195"/>
        <v>0</v>
      </c>
      <c r="M1572" s="24">
        <f>Data!M1572</f>
        <v>0</v>
      </c>
      <c r="N1572" s="24">
        <f t="shared" si="196"/>
        <v>0</v>
      </c>
      <c r="O1572" s="25">
        <f t="shared" si="197"/>
        <v>0</v>
      </c>
      <c r="P1572" s="24">
        <f>Data!K1572</f>
        <v>0</v>
      </c>
      <c r="Q1572" s="24">
        <f>Data!I1572</f>
        <v>0</v>
      </c>
      <c r="R1572" s="25">
        <f t="shared" si="198"/>
        <v>0</v>
      </c>
      <c r="S1572" s="25">
        <f t="shared" si="199"/>
        <v>0</v>
      </c>
    </row>
    <row r="1573" spans="1:19" ht="15" customHeight="1" x14ac:dyDescent="0.3">
      <c r="A1573" s="22"/>
      <c r="B1573" s="23"/>
      <c r="C1573" s="1"/>
      <c r="D1573" s="23">
        <v>2023</v>
      </c>
      <c r="E1573" s="24">
        <f>Data!F1573</f>
        <v>0</v>
      </c>
      <c r="F1573" s="24">
        <f>Data!H1573</f>
        <v>0</v>
      </c>
      <c r="G1573" s="24">
        <f t="shared" si="192"/>
        <v>0</v>
      </c>
      <c r="H1573" s="24">
        <f>Data!G1573</f>
        <v>0</v>
      </c>
      <c r="I1573" s="25">
        <f t="shared" si="193"/>
        <v>0</v>
      </c>
      <c r="J1573" s="24">
        <f>Data!J1573</f>
        <v>0</v>
      </c>
      <c r="K1573" s="24">
        <f t="shared" si="194"/>
        <v>0</v>
      </c>
      <c r="L1573" s="25">
        <f t="shared" si="195"/>
        <v>0</v>
      </c>
      <c r="M1573" s="24">
        <f>Data!M1573</f>
        <v>0</v>
      </c>
      <c r="N1573" s="24">
        <f t="shared" si="196"/>
        <v>0</v>
      </c>
      <c r="O1573" s="25">
        <f t="shared" si="197"/>
        <v>0</v>
      </c>
      <c r="P1573" s="24">
        <f>Data!K1573</f>
        <v>0</v>
      </c>
      <c r="Q1573" s="24">
        <f>Data!I1573</f>
        <v>0</v>
      </c>
      <c r="R1573" s="25">
        <f t="shared" si="198"/>
        <v>0</v>
      </c>
      <c r="S1573" s="25">
        <f t="shared" si="199"/>
        <v>0</v>
      </c>
    </row>
    <row r="1574" spans="1:19" ht="15" customHeight="1" x14ac:dyDescent="0.3">
      <c r="A1574" s="22"/>
      <c r="B1574" s="23"/>
      <c r="C1574" s="1"/>
      <c r="D1574" s="23">
        <v>2024</v>
      </c>
      <c r="E1574" s="24">
        <f>Data!F1574</f>
        <v>0</v>
      </c>
      <c r="F1574" s="24">
        <f>Data!H1574</f>
        <v>0</v>
      </c>
      <c r="G1574" s="24">
        <f t="shared" si="192"/>
        <v>0</v>
      </c>
      <c r="H1574" s="24">
        <f>Data!G1574</f>
        <v>0</v>
      </c>
      <c r="I1574" s="25">
        <f t="shared" si="193"/>
        <v>0</v>
      </c>
      <c r="J1574" s="24">
        <f>Data!J1574</f>
        <v>0</v>
      </c>
      <c r="K1574" s="24">
        <f t="shared" si="194"/>
        <v>0</v>
      </c>
      <c r="L1574" s="25">
        <f t="shared" si="195"/>
        <v>0</v>
      </c>
      <c r="M1574" s="24">
        <f>Data!M1574</f>
        <v>0</v>
      </c>
      <c r="N1574" s="24">
        <f t="shared" si="196"/>
        <v>0</v>
      </c>
      <c r="O1574" s="25">
        <f t="shared" si="197"/>
        <v>0</v>
      </c>
      <c r="P1574" s="24">
        <f>Data!K1574</f>
        <v>0</v>
      </c>
      <c r="Q1574" s="24">
        <f>Data!I1574</f>
        <v>0</v>
      </c>
      <c r="R1574" s="25">
        <f t="shared" si="198"/>
        <v>0</v>
      </c>
      <c r="S1574" s="25">
        <f t="shared" si="199"/>
        <v>0</v>
      </c>
    </row>
    <row r="1575" spans="1:19" ht="15" customHeight="1" x14ac:dyDescent="0.3">
      <c r="A1575" s="22"/>
      <c r="B1575" s="23">
        <v>144</v>
      </c>
      <c r="C1575" s="1" t="s">
        <v>141</v>
      </c>
      <c r="D1575" s="23">
        <v>2014</v>
      </c>
      <c r="E1575" s="24">
        <f>Data!F1575</f>
        <v>0</v>
      </c>
      <c r="F1575" s="24">
        <f>Data!H1575</f>
        <v>0</v>
      </c>
      <c r="G1575" s="24">
        <f t="shared" si="192"/>
        <v>0</v>
      </c>
      <c r="H1575" s="24">
        <f>Data!G1575</f>
        <v>0</v>
      </c>
      <c r="I1575" s="25">
        <f t="shared" si="193"/>
        <v>0</v>
      </c>
      <c r="J1575" s="24">
        <f>Data!J1575</f>
        <v>0</v>
      </c>
      <c r="K1575" s="24">
        <f t="shared" si="194"/>
        <v>0</v>
      </c>
      <c r="L1575" s="25">
        <f t="shared" si="195"/>
        <v>0</v>
      </c>
      <c r="M1575" s="24">
        <f>Data!M1575</f>
        <v>0</v>
      </c>
      <c r="N1575" s="24">
        <f t="shared" si="196"/>
        <v>0</v>
      </c>
      <c r="O1575" s="25">
        <f t="shared" si="197"/>
        <v>0</v>
      </c>
      <c r="P1575" s="24">
        <f>Data!K1575</f>
        <v>0</v>
      </c>
      <c r="Q1575" s="24">
        <f>Data!I1575</f>
        <v>0</v>
      </c>
      <c r="R1575" s="25">
        <f t="shared" si="198"/>
        <v>0</v>
      </c>
      <c r="S1575" s="25">
        <f t="shared" si="199"/>
        <v>0</v>
      </c>
    </row>
    <row r="1576" spans="1:19" ht="15" customHeight="1" x14ac:dyDescent="0.3">
      <c r="A1576" s="22"/>
      <c r="B1576" s="23"/>
      <c r="C1576" s="1"/>
      <c r="D1576" s="23">
        <v>2015</v>
      </c>
      <c r="E1576" s="24">
        <f>Data!F1576</f>
        <v>0</v>
      </c>
      <c r="F1576" s="24">
        <f>Data!H1576</f>
        <v>0</v>
      </c>
      <c r="G1576" s="24">
        <f t="shared" si="192"/>
        <v>0</v>
      </c>
      <c r="H1576" s="24">
        <f>Data!G1576</f>
        <v>0</v>
      </c>
      <c r="I1576" s="25">
        <f t="shared" si="193"/>
        <v>0</v>
      </c>
      <c r="J1576" s="24">
        <f>Data!J1576</f>
        <v>0</v>
      </c>
      <c r="K1576" s="24">
        <f t="shared" si="194"/>
        <v>0</v>
      </c>
      <c r="L1576" s="25">
        <f t="shared" si="195"/>
        <v>0</v>
      </c>
      <c r="M1576" s="24">
        <f>Data!M1576</f>
        <v>0</v>
      </c>
      <c r="N1576" s="24">
        <f t="shared" si="196"/>
        <v>0</v>
      </c>
      <c r="O1576" s="25">
        <f t="shared" si="197"/>
        <v>0</v>
      </c>
      <c r="P1576" s="24">
        <f>Data!K1576</f>
        <v>0</v>
      </c>
      <c r="Q1576" s="24">
        <f>Data!I1576</f>
        <v>0</v>
      </c>
      <c r="R1576" s="25">
        <f t="shared" si="198"/>
        <v>0</v>
      </c>
      <c r="S1576" s="25">
        <f t="shared" si="199"/>
        <v>0</v>
      </c>
    </row>
    <row r="1577" spans="1:19" ht="15" customHeight="1" x14ac:dyDescent="0.3">
      <c r="A1577" s="22"/>
      <c r="B1577" s="23"/>
      <c r="C1577" s="1"/>
      <c r="D1577" s="23">
        <v>2016</v>
      </c>
      <c r="E1577" s="24">
        <f>Data!F1577</f>
        <v>0</v>
      </c>
      <c r="F1577" s="24">
        <f>Data!H1577</f>
        <v>0</v>
      </c>
      <c r="G1577" s="24">
        <f t="shared" si="192"/>
        <v>0</v>
      </c>
      <c r="H1577" s="24">
        <f>Data!G1577</f>
        <v>0</v>
      </c>
      <c r="I1577" s="25">
        <f t="shared" si="193"/>
        <v>0</v>
      </c>
      <c r="J1577" s="24">
        <f>Data!J1577</f>
        <v>0</v>
      </c>
      <c r="K1577" s="24">
        <f t="shared" si="194"/>
        <v>0</v>
      </c>
      <c r="L1577" s="25">
        <f t="shared" si="195"/>
        <v>0</v>
      </c>
      <c r="M1577" s="24">
        <f>Data!M1577</f>
        <v>0</v>
      </c>
      <c r="N1577" s="24">
        <f t="shared" si="196"/>
        <v>0</v>
      </c>
      <c r="O1577" s="25">
        <f t="shared" si="197"/>
        <v>0</v>
      </c>
      <c r="P1577" s="24">
        <f>Data!K1577</f>
        <v>0</v>
      </c>
      <c r="Q1577" s="24">
        <f>Data!I1577</f>
        <v>0</v>
      </c>
      <c r="R1577" s="25">
        <f t="shared" si="198"/>
        <v>0</v>
      </c>
      <c r="S1577" s="25">
        <f t="shared" si="199"/>
        <v>0</v>
      </c>
    </row>
    <row r="1578" spans="1:19" ht="15" customHeight="1" x14ac:dyDescent="0.3">
      <c r="A1578" s="22"/>
      <c r="B1578" s="23"/>
      <c r="C1578" s="1"/>
      <c r="D1578" s="23">
        <v>2017</v>
      </c>
      <c r="E1578" s="24">
        <f>Data!F1578</f>
        <v>1699115000000</v>
      </c>
      <c r="F1578" s="24">
        <f>Data!H1578</f>
        <v>204136000000</v>
      </c>
      <c r="G1578" s="24">
        <f t="shared" si="192"/>
        <v>1494979000000</v>
      </c>
      <c r="H1578" s="24">
        <f>Data!G1578</f>
        <v>3465727000000</v>
      </c>
      <c r="I1578" s="25">
        <f t="shared" si="193"/>
        <v>2.8297272808850784</v>
      </c>
      <c r="J1578" s="24">
        <f>Data!J1578</f>
        <v>528633000000</v>
      </c>
      <c r="K1578" s="24">
        <f t="shared" si="194"/>
        <v>3465727000000</v>
      </c>
      <c r="L1578" s="25">
        <f t="shared" si="195"/>
        <v>0.49725312466908089</v>
      </c>
      <c r="M1578" s="24">
        <f>Data!M1578</f>
        <v>229849000000</v>
      </c>
      <c r="N1578" s="24">
        <f t="shared" si="196"/>
        <v>3465727000000</v>
      </c>
      <c r="O1578" s="25">
        <f t="shared" si="197"/>
        <v>0.44567424958746027</v>
      </c>
      <c r="P1578" s="24">
        <f>Data!K1578</f>
        <v>1057204000000</v>
      </c>
      <c r="Q1578" s="24">
        <f>Data!I1578</f>
        <v>2408523000000</v>
      </c>
      <c r="R1578" s="25">
        <f t="shared" si="198"/>
        <v>0.46089001433658722</v>
      </c>
      <c r="S1578" s="25">
        <f t="shared" si="199"/>
        <v>4.2335446694782073</v>
      </c>
    </row>
    <row r="1579" spans="1:19" ht="15" customHeight="1" x14ac:dyDescent="0.3">
      <c r="A1579" s="22"/>
      <c r="B1579" s="23"/>
      <c r="C1579" s="1"/>
      <c r="D1579" s="23">
        <v>2018</v>
      </c>
      <c r="E1579" s="24">
        <f>Data!F1579</f>
        <v>1718940000000</v>
      </c>
      <c r="F1579" s="24">
        <f>Data!H1579</f>
        <v>133292000000</v>
      </c>
      <c r="G1579" s="24">
        <f t="shared" si="192"/>
        <v>1585648000000</v>
      </c>
      <c r="H1579" s="24">
        <f>Data!G1579</f>
        <v>3558941000000</v>
      </c>
      <c r="I1579" s="25">
        <f t="shared" si="193"/>
        <v>2.9227376570727075</v>
      </c>
      <c r="J1579" s="24">
        <f>Data!J1579</f>
        <v>451583000000</v>
      </c>
      <c r="K1579" s="24">
        <f t="shared" si="194"/>
        <v>3558941000000</v>
      </c>
      <c r="L1579" s="25">
        <f t="shared" si="195"/>
        <v>0.41365130245204956</v>
      </c>
      <c r="M1579" s="24">
        <f>Data!M1579</f>
        <v>-102611000000</v>
      </c>
      <c r="N1579" s="24">
        <f t="shared" si="196"/>
        <v>3558941000000</v>
      </c>
      <c r="O1579" s="25">
        <f t="shared" si="197"/>
        <v>-0.19375030943193494</v>
      </c>
      <c r="P1579" s="24">
        <f>Data!K1579</f>
        <v>913786000000</v>
      </c>
      <c r="Q1579" s="24">
        <f>Data!I1579</f>
        <v>2645155000000</v>
      </c>
      <c r="R1579" s="25">
        <f t="shared" si="198"/>
        <v>0.3627293296612108</v>
      </c>
      <c r="S1579" s="25">
        <f t="shared" si="199"/>
        <v>3.5053679797540327</v>
      </c>
    </row>
    <row r="1580" spans="1:19" ht="15" customHeight="1" x14ac:dyDescent="0.3">
      <c r="A1580" s="22"/>
      <c r="B1580" s="23"/>
      <c r="C1580" s="1"/>
      <c r="D1580" s="23">
        <v>2019</v>
      </c>
      <c r="E1580" s="24">
        <f>Data!F1580</f>
        <v>2581117000000</v>
      </c>
      <c r="F1580" s="24">
        <f>Data!H1580</f>
        <v>135099000000</v>
      </c>
      <c r="G1580" s="24">
        <f t="shared" si="192"/>
        <v>2446018000000</v>
      </c>
      <c r="H1580" s="24">
        <f>Data!G1580</f>
        <v>4941031000000</v>
      </c>
      <c r="I1580" s="25">
        <f t="shared" si="193"/>
        <v>3.2474756948499208</v>
      </c>
      <c r="J1580" s="24">
        <f>Data!J1580</f>
        <v>556888000000</v>
      </c>
      <c r="K1580" s="24">
        <f t="shared" si="194"/>
        <v>4941031000000</v>
      </c>
      <c r="L1580" s="25">
        <f t="shared" si="195"/>
        <v>0.36742430476554383</v>
      </c>
      <c r="M1580" s="24">
        <f>Data!M1580</f>
        <v>127943000000</v>
      </c>
      <c r="N1580" s="24">
        <f t="shared" si="196"/>
        <v>4941031000000</v>
      </c>
      <c r="O1580" s="25">
        <f t="shared" si="197"/>
        <v>0.17400760286668915</v>
      </c>
      <c r="P1580" s="24">
        <f>Data!K1580</f>
        <v>1420444000000</v>
      </c>
      <c r="Q1580" s="24">
        <f>Data!I1580</f>
        <v>3520587000000</v>
      </c>
      <c r="R1580" s="25">
        <f t="shared" si="198"/>
        <v>0.42364134162854095</v>
      </c>
      <c r="S1580" s="25">
        <f t="shared" si="199"/>
        <v>4.2125489441106945</v>
      </c>
    </row>
    <row r="1581" spans="1:19" ht="15" customHeight="1" x14ac:dyDescent="0.3">
      <c r="A1581" s="22"/>
      <c r="B1581" s="23"/>
      <c r="C1581" s="1"/>
      <c r="D1581" s="23">
        <v>2020</v>
      </c>
      <c r="E1581" s="24">
        <f>Data!F1581</f>
        <v>2203426000000</v>
      </c>
      <c r="F1581" s="24">
        <f>Data!H1581</f>
        <v>144721000000</v>
      </c>
      <c r="G1581" s="24">
        <f t="shared" si="192"/>
        <v>2058705000000</v>
      </c>
      <c r="H1581" s="24">
        <f>Data!G1581</f>
        <v>4450772000000</v>
      </c>
      <c r="I1581" s="25">
        <f t="shared" si="193"/>
        <v>3.0343286063631205</v>
      </c>
      <c r="J1581" s="24">
        <f>Data!J1581</f>
        <v>538006000000</v>
      </c>
      <c r="K1581" s="24">
        <f t="shared" si="194"/>
        <v>4450772000000</v>
      </c>
      <c r="L1581" s="25">
        <f t="shared" si="195"/>
        <v>0.39406636871086631</v>
      </c>
      <c r="M1581" s="24">
        <f>Data!M1581</f>
        <v>24467000000</v>
      </c>
      <c r="N1581" s="24">
        <f t="shared" si="196"/>
        <v>4450772000000</v>
      </c>
      <c r="O1581" s="25">
        <f t="shared" si="197"/>
        <v>3.6941510371683833E-2</v>
      </c>
      <c r="P1581" s="24">
        <f>Data!K1581</f>
        <v>1406225000000</v>
      </c>
      <c r="Q1581" s="24">
        <f>Data!I1581</f>
        <v>3044547000000</v>
      </c>
      <c r="R1581" s="25">
        <f t="shared" si="198"/>
        <v>0.48497732174934399</v>
      </c>
      <c r="S1581" s="25">
        <f t="shared" si="199"/>
        <v>3.9503138071950143</v>
      </c>
    </row>
    <row r="1582" spans="1:19" ht="15" customHeight="1" x14ac:dyDescent="0.3">
      <c r="A1582" s="22"/>
      <c r="B1582" s="23"/>
      <c r="C1582" s="1"/>
      <c r="D1582" s="23">
        <v>2021</v>
      </c>
      <c r="E1582" s="24">
        <f>Data!F1582</f>
        <v>1944414000000</v>
      </c>
      <c r="F1582" s="24">
        <f>Data!H1582</f>
        <v>157820000000</v>
      </c>
      <c r="G1582" s="24">
        <f t="shared" si="192"/>
        <v>1786594000000</v>
      </c>
      <c r="H1582" s="24">
        <f>Data!G1582</f>
        <v>4351906000000</v>
      </c>
      <c r="I1582" s="25">
        <f t="shared" si="193"/>
        <v>2.6930858892632328</v>
      </c>
      <c r="J1582" s="24">
        <f>Data!J1582</f>
        <v>554869000000</v>
      </c>
      <c r="K1582" s="24">
        <f t="shared" si="194"/>
        <v>4351906000000</v>
      </c>
      <c r="L1582" s="25">
        <f t="shared" si="195"/>
        <v>0.41565073786060636</v>
      </c>
      <c r="M1582" s="24">
        <f>Data!M1582</f>
        <v>20974000000</v>
      </c>
      <c r="N1582" s="24">
        <f t="shared" si="196"/>
        <v>4351906000000</v>
      </c>
      <c r="O1582" s="25">
        <f t="shared" si="197"/>
        <v>3.2387023065295985E-2</v>
      </c>
      <c r="P1582" s="24">
        <f>Data!K1582</f>
        <v>1421543000000</v>
      </c>
      <c r="Q1582" s="24">
        <f>Data!I1582</f>
        <v>2930363000000</v>
      </c>
      <c r="R1582" s="25">
        <f t="shared" si="198"/>
        <v>0.50936356690280349</v>
      </c>
      <c r="S1582" s="25">
        <f t="shared" si="199"/>
        <v>3.6504872170919382</v>
      </c>
    </row>
    <row r="1583" spans="1:19" ht="15" customHeight="1" x14ac:dyDescent="0.3">
      <c r="A1583" s="22"/>
      <c r="B1583" s="23"/>
      <c r="C1583" s="1"/>
      <c r="D1583" s="23">
        <v>2022</v>
      </c>
      <c r="E1583" s="24">
        <f>Data!F1583</f>
        <v>2445091000000</v>
      </c>
      <c r="F1583" s="24">
        <f>Data!H1583</f>
        <v>161372000000</v>
      </c>
      <c r="G1583" s="24">
        <f t="shared" si="192"/>
        <v>2283719000000</v>
      </c>
      <c r="H1583" s="24">
        <f>Data!G1583</f>
        <v>5241287000000</v>
      </c>
      <c r="I1583" s="25">
        <f t="shared" si="193"/>
        <v>2.8583049621209446</v>
      </c>
      <c r="J1583" s="24">
        <f>Data!J1583</f>
        <v>645402000000</v>
      </c>
      <c r="K1583" s="24">
        <f t="shared" si="194"/>
        <v>5241287000000</v>
      </c>
      <c r="L1583" s="25">
        <f t="shared" si="195"/>
        <v>0.40143012966090191</v>
      </c>
      <c r="M1583" s="24">
        <f>Data!M1583</f>
        <v>108106000000</v>
      </c>
      <c r="N1583" s="24">
        <f t="shared" si="196"/>
        <v>5241287000000</v>
      </c>
      <c r="O1583" s="25">
        <f t="shared" si="197"/>
        <v>0.13860571268087399</v>
      </c>
      <c r="P1583" s="24">
        <f>Data!K1583</f>
        <v>1503354000000</v>
      </c>
      <c r="Q1583" s="24">
        <f>Data!I1583</f>
        <v>3737933000000</v>
      </c>
      <c r="R1583" s="25">
        <f t="shared" si="198"/>
        <v>0.42229801871783151</v>
      </c>
      <c r="S1583" s="25">
        <f t="shared" si="199"/>
        <v>3.8206388231805519</v>
      </c>
    </row>
    <row r="1584" spans="1:19" ht="15" customHeight="1" x14ac:dyDescent="0.3">
      <c r="A1584" s="22"/>
      <c r="B1584" s="23"/>
      <c r="C1584" s="1"/>
      <c r="D1584" s="23">
        <v>2023</v>
      </c>
      <c r="E1584" s="24">
        <f>Data!F1584</f>
        <v>2600729000000</v>
      </c>
      <c r="F1584" s="24">
        <f>Data!H1584</f>
        <v>187211000000</v>
      </c>
      <c r="G1584" s="24">
        <f t="shared" si="192"/>
        <v>2413518000000</v>
      </c>
      <c r="H1584" s="24">
        <f>Data!G1584</f>
        <v>5915931000000</v>
      </c>
      <c r="I1584" s="25">
        <f t="shared" si="193"/>
        <v>2.6762783541593027</v>
      </c>
      <c r="J1584" s="24">
        <f>Data!J1584</f>
        <v>199871000000</v>
      </c>
      <c r="K1584" s="24">
        <f t="shared" si="194"/>
        <v>5915931000000</v>
      </c>
      <c r="L1584" s="25">
        <f t="shared" si="195"/>
        <v>0.11013980048110771</v>
      </c>
      <c r="M1584" s="24">
        <f>Data!M1584</f>
        <v>-74393000000</v>
      </c>
      <c r="N1584" s="24">
        <f t="shared" si="196"/>
        <v>5915931000000</v>
      </c>
      <c r="O1584" s="25">
        <f t="shared" si="197"/>
        <v>-8.4504190464696094E-2</v>
      </c>
      <c r="P1584" s="24">
        <f>Data!K1584</f>
        <v>1437642000000</v>
      </c>
      <c r="Q1584" s="24">
        <f>Data!I1584</f>
        <v>4478289000000</v>
      </c>
      <c r="R1584" s="25">
        <f t="shared" si="198"/>
        <v>0.33707607972598469</v>
      </c>
      <c r="S1584" s="25">
        <f t="shared" si="199"/>
        <v>3.0389900439016992</v>
      </c>
    </row>
    <row r="1585" spans="1:19" ht="15" customHeight="1" x14ac:dyDescent="0.3">
      <c r="A1585" s="22"/>
      <c r="B1585" s="23"/>
      <c r="C1585" s="1"/>
      <c r="D1585" s="23">
        <v>2024</v>
      </c>
      <c r="E1585" s="24">
        <f>Data!F1585</f>
        <v>2036516000000</v>
      </c>
      <c r="F1585" s="24">
        <f>Data!H1585</f>
        <v>196777000000</v>
      </c>
      <c r="G1585" s="24">
        <f t="shared" si="192"/>
        <v>1839739000000</v>
      </c>
      <c r="H1585" s="24">
        <f>Data!G1585</f>
        <v>5942450000000</v>
      </c>
      <c r="I1585" s="25">
        <f t="shared" si="193"/>
        <v>2.0309279573239993</v>
      </c>
      <c r="J1585" s="24">
        <f>Data!J1585</f>
        <v>306506000000</v>
      </c>
      <c r="K1585" s="24">
        <f t="shared" si="194"/>
        <v>5942450000000</v>
      </c>
      <c r="L1585" s="25">
        <f t="shared" si="195"/>
        <v>0.1681477437757154</v>
      </c>
      <c r="M1585" s="24">
        <f>Data!M1585</f>
        <v>96152000000</v>
      </c>
      <c r="N1585" s="24">
        <f t="shared" si="196"/>
        <v>5942450000000</v>
      </c>
      <c r="O1585" s="25">
        <f t="shared" si="197"/>
        <v>0.10873317234473996</v>
      </c>
      <c r="P1585" s="24">
        <f>Data!K1585</f>
        <v>1523647000000</v>
      </c>
      <c r="Q1585" s="24">
        <f>Data!I1585</f>
        <v>4418803000000</v>
      </c>
      <c r="R1585" s="25">
        <f t="shared" si="198"/>
        <v>0.36205039011696155</v>
      </c>
      <c r="S1585" s="25">
        <f t="shared" si="199"/>
        <v>2.669859263561416</v>
      </c>
    </row>
    <row r="1586" spans="1:19" ht="15" customHeight="1" x14ac:dyDescent="0.3">
      <c r="A1586" s="22" t="s">
        <v>156</v>
      </c>
      <c r="B1586" s="23">
        <v>145</v>
      </c>
      <c r="C1586" s="4" t="s">
        <v>145</v>
      </c>
      <c r="D1586" s="23">
        <v>2014</v>
      </c>
      <c r="E1586" s="24">
        <f>Data!F1586</f>
        <v>0</v>
      </c>
      <c r="F1586" s="24">
        <f>Data!H1586</f>
        <v>0</v>
      </c>
      <c r="G1586" s="24">
        <f t="shared" si="192"/>
        <v>0</v>
      </c>
      <c r="H1586" s="24">
        <f>Data!G1586</f>
        <v>0</v>
      </c>
      <c r="I1586" s="25">
        <f t="shared" si="193"/>
        <v>0</v>
      </c>
      <c r="J1586" s="24">
        <f>Data!J1586</f>
        <v>0</v>
      </c>
      <c r="K1586" s="24">
        <f t="shared" si="194"/>
        <v>0</v>
      </c>
      <c r="L1586" s="25">
        <f t="shared" si="195"/>
        <v>0</v>
      </c>
      <c r="M1586" s="24">
        <f>Data!M1586</f>
        <v>0</v>
      </c>
      <c r="N1586" s="24">
        <f t="shared" si="196"/>
        <v>0</v>
      </c>
      <c r="O1586" s="25">
        <f t="shared" si="197"/>
        <v>0</v>
      </c>
      <c r="P1586" s="24">
        <f>Data!K1586</f>
        <v>0</v>
      </c>
      <c r="Q1586" s="24">
        <f>Data!I1586</f>
        <v>0</v>
      </c>
      <c r="R1586" s="25">
        <f t="shared" si="198"/>
        <v>0</v>
      </c>
      <c r="S1586" s="25">
        <f t="shared" si="199"/>
        <v>0</v>
      </c>
    </row>
    <row r="1587" spans="1:19" ht="15" customHeight="1" x14ac:dyDescent="0.3">
      <c r="A1587" s="22"/>
      <c r="B1587" s="23"/>
      <c r="C1587" s="4"/>
      <c r="D1587" s="23">
        <v>2015</v>
      </c>
      <c r="E1587" s="24">
        <f>Data!F1587</f>
        <v>7050767000000</v>
      </c>
      <c r="F1587" s="24">
        <f>Data!H1587</f>
        <v>1722618000000</v>
      </c>
      <c r="G1587" s="24">
        <f t="shared" si="192"/>
        <v>5328149000000</v>
      </c>
      <c r="H1587" s="24">
        <f>Data!G1587</f>
        <v>32312555000000</v>
      </c>
      <c r="I1587" s="25">
        <f t="shared" si="193"/>
        <v>1.0817051588770989</v>
      </c>
      <c r="J1587" s="24">
        <f>Data!J1587</f>
        <v>1880966000000</v>
      </c>
      <c r="K1587" s="24">
        <f t="shared" si="194"/>
        <v>32312555000000</v>
      </c>
      <c r="L1587" s="25">
        <f t="shared" si="195"/>
        <v>0.18976986375729185</v>
      </c>
      <c r="M1587" s="24">
        <f>Data!M1587</f>
        <v>347494000000</v>
      </c>
      <c r="N1587" s="24">
        <f t="shared" si="196"/>
        <v>32312555000000</v>
      </c>
      <c r="O1587" s="25">
        <f t="shared" si="197"/>
        <v>7.2267874824507056E-2</v>
      </c>
      <c r="P1587" s="24">
        <f>Data!K1587</f>
        <v>1816023000000</v>
      </c>
      <c r="Q1587" s="24">
        <f>Data!I1587</f>
        <v>30496531000000</v>
      </c>
      <c r="R1587" s="25">
        <f t="shared" si="198"/>
        <v>6.2525936146639108E-2</v>
      </c>
      <c r="S1587" s="25">
        <f t="shared" si="199"/>
        <v>1.4062688336055369</v>
      </c>
    </row>
    <row r="1588" spans="1:19" ht="15" customHeight="1" x14ac:dyDescent="0.3">
      <c r="A1588" s="22"/>
      <c r="B1588" s="23"/>
      <c r="C1588" s="4"/>
      <c r="D1588" s="23">
        <v>2016</v>
      </c>
      <c r="E1588" s="24">
        <f>Data!F1588</f>
        <v>27319337000000</v>
      </c>
      <c r="F1588" s="24">
        <f>Data!H1588</f>
        <v>2069575000000</v>
      </c>
      <c r="G1588" s="24">
        <f t="shared" si="192"/>
        <v>25249762000000</v>
      </c>
      <c r="H1588" s="24">
        <f>Data!G1588</f>
        <v>36595437000000</v>
      </c>
      <c r="I1588" s="25">
        <f t="shared" si="193"/>
        <v>4.5262046937709748</v>
      </c>
      <c r="J1588" s="24">
        <f>Data!J1588</f>
        <v>2424735000000</v>
      </c>
      <c r="K1588" s="24">
        <f t="shared" si="194"/>
        <v>36595437000000</v>
      </c>
      <c r="L1588" s="25">
        <f t="shared" si="195"/>
        <v>0.21600059318870821</v>
      </c>
      <c r="M1588" s="24">
        <f>Data!M1588</f>
        <v>565763000000</v>
      </c>
      <c r="N1588" s="24">
        <f t="shared" si="196"/>
        <v>36595437000000</v>
      </c>
      <c r="O1588" s="25">
        <f t="shared" si="197"/>
        <v>0.10389074900239612</v>
      </c>
      <c r="P1588" s="24">
        <f>Data!K1588</f>
        <v>1601114000000</v>
      </c>
      <c r="Q1588" s="24">
        <f>Data!I1588</f>
        <v>34994322000000</v>
      </c>
      <c r="R1588" s="25">
        <f t="shared" si="198"/>
        <v>4.8041213657461349E-2</v>
      </c>
      <c r="S1588" s="25">
        <f t="shared" si="199"/>
        <v>4.8941372496195399</v>
      </c>
    </row>
    <row r="1589" spans="1:19" ht="15" customHeight="1" x14ac:dyDescent="0.3">
      <c r="A1589" s="22"/>
      <c r="B1589" s="23"/>
      <c r="C1589" s="4"/>
      <c r="D1589" s="23">
        <v>2017</v>
      </c>
      <c r="E1589" s="24">
        <f>Data!F1589</f>
        <v>16909909000000</v>
      </c>
      <c r="F1589" s="24">
        <f>Data!H1589</f>
        <v>1737096000000</v>
      </c>
      <c r="G1589" s="24">
        <f t="shared" si="192"/>
        <v>15172813000000</v>
      </c>
      <c r="H1589" s="24">
        <f>Data!G1589</f>
        <v>44801865000000</v>
      </c>
      <c r="I1589" s="25">
        <f t="shared" si="193"/>
        <v>2.2216408464245854</v>
      </c>
      <c r="J1589" s="24">
        <f>Data!J1589</f>
        <v>1758403000000</v>
      </c>
      <c r="K1589" s="24">
        <f t="shared" si="194"/>
        <v>44801865000000</v>
      </c>
      <c r="L1589" s="25">
        <f t="shared" si="195"/>
        <v>0.12794989181811961</v>
      </c>
      <c r="M1589" s="24">
        <f>Data!M1589</f>
        <v>964445000000</v>
      </c>
      <c r="N1589" s="24">
        <f t="shared" si="196"/>
        <v>44801865000000</v>
      </c>
      <c r="O1589" s="25">
        <f t="shared" si="197"/>
        <v>0.14466072785139636</v>
      </c>
      <c r="P1589" s="24">
        <f>Data!K1589</f>
        <v>1186576000000</v>
      </c>
      <c r="Q1589" s="24">
        <f>Data!I1589</f>
        <v>43615289000000</v>
      </c>
      <c r="R1589" s="25">
        <f t="shared" si="198"/>
        <v>2.8565781141562538E-2</v>
      </c>
      <c r="S1589" s="25">
        <f t="shared" si="199"/>
        <v>2.5228172472356638</v>
      </c>
    </row>
    <row r="1590" spans="1:19" ht="15" customHeight="1" x14ac:dyDescent="0.3">
      <c r="A1590" s="22"/>
      <c r="B1590" s="23"/>
      <c r="C1590" s="4"/>
      <c r="D1590" s="23">
        <v>2018</v>
      </c>
      <c r="E1590" s="24">
        <f>Data!F1590</f>
        <v>0</v>
      </c>
      <c r="F1590" s="24">
        <f>Data!H1590</f>
        <v>0</v>
      </c>
      <c r="G1590" s="24">
        <f t="shared" si="192"/>
        <v>0</v>
      </c>
      <c r="H1590" s="24">
        <f>Data!G1590</f>
        <v>0</v>
      </c>
      <c r="I1590" s="25">
        <f t="shared" si="193"/>
        <v>0</v>
      </c>
      <c r="J1590" s="24">
        <f>Data!J1590</f>
        <v>0</v>
      </c>
      <c r="K1590" s="24">
        <f t="shared" si="194"/>
        <v>0</v>
      </c>
      <c r="L1590" s="25">
        <f t="shared" si="195"/>
        <v>0</v>
      </c>
      <c r="M1590" s="24">
        <f>Data!M1590</f>
        <v>0</v>
      </c>
      <c r="N1590" s="24">
        <f t="shared" si="196"/>
        <v>0</v>
      </c>
      <c r="O1590" s="25">
        <f t="shared" si="197"/>
        <v>0</v>
      </c>
      <c r="P1590" s="24">
        <f>Data!K1590</f>
        <v>0</v>
      </c>
      <c r="Q1590" s="24">
        <f>Data!I1590</f>
        <v>0</v>
      </c>
      <c r="R1590" s="25">
        <f t="shared" si="198"/>
        <v>0</v>
      </c>
      <c r="S1590" s="25">
        <f t="shared" si="199"/>
        <v>0</v>
      </c>
    </row>
    <row r="1591" spans="1:19" ht="15" customHeight="1" x14ac:dyDescent="0.3">
      <c r="A1591" s="22"/>
      <c r="B1591" s="23"/>
      <c r="C1591" s="4"/>
      <c r="D1591" s="23">
        <v>2019</v>
      </c>
      <c r="E1591" s="24">
        <f>Data!F1591</f>
        <v>0</v>
      </c>
      <c r="F1591" s="24">
        <f>Data!H1591</f>
        <v>0</v>
      </c>
      <c r="G1591" s="24">
        <f t="shared" si="192"/>
        <v>0</v>
      </c>
      <c r="H1591" s="24">
        <f>Data!G1591</f>
        <v>0</v>
      </c>
      <c r="I1591" s="25">
        <f t="shared" si="193"/>
        <v>0</v>
      </c>
      <c r="J1591" s="24">
        <f>Data!J1591</f>
        <v>0</v>
      </c>
      <c r="K1591" s="24">
        <f t="shared" si="194"/>
        <v>0</v>
      </c>
      <c r="L1591" s="25">
        <f t="shared" si="195"/>
        <v>0</v>
      </c>
      <c r="M1591" s="24">
        <f>Data!M1591</f>
        <v>0</v>
      </c>
      <c r="N1591" s="24">
        <f t="shared" si="196"/>
        <v>0</v>
      </c>
      <c r="O1591" s="25">
        <f t="shared" si="197"/>
        <v>0</v>
      </c>
      <c r="P1591" s="24">
        <f>Data!K1591</f>
        <v>0</v>
      </c>
      <c r="Q1591" s="24">
        <f>Data!I1591</f>
        <v>0</v>
      </c>
      <c r="R1591" s="25">
        <f t="shared" si="198"/>
        <v>0</v>
      </c>
      <c r="S1591" s="25">
        <f t="shared" si="199"/>
        <v>0</v>
      </c>
    </row>
    <row r="1592" spans="1:19" ht="15" customHeight="1" x14ac:dyDescent="0.3">
      <c r="A1592" s="22"/>
      <c r="B1592" s="23"/>
      <c r="C1592" s="4"/>
      <c r="D1592" s="23">
        <v>2020</v>
      </c>
      <c r="E1592" s="24">
        <f>Data!F1592</f>
        <v>0</v>
      </c>
      <c r="F1592" s="24">
        <f>Data!H1592</f>
        <v>0</v>
      </c>
      <c r="G1592" s="24">
        <f t="shared" si="192"/>
        <v>0</v>
      </c>
      <c r="H1592" s="24">
        <f>Data!G1592</f>
        <v>0</v>
      </c>
      <c r="I1592" s="25">
        <f t="shared" si="193"/>
        <v>0</v>
      </c>
      <c r="J1592" s="24">
        <f>Data!J1592</f>
        <v>0</v>
      </c>
      <c r="K1592" s="24">
        <f t="shared" si="194"/>
        <v>0</v>
      </c>
      <c r="L1592" s="25">
        <f t="shared" si="195"/>
        <v>0</v>
      </c>
      <c r="M1592" s="24">
        <f>Data!M1592</f>
        <v>0</v>
      </c>
      <c r="N1592" s="24">
        <f t="shared" si="196"/>
        <v>0</v>
      </c>
      <c r="O1592" s="25">
        <f t="shared" si="197"/>
        <v>0</v>
      </c>
      <c r="P1592" s="24">
        <f>Data!K1592</f>
        <v>0</v>
      </c>
      <c r="Q1592" s="24">
        <f>Data!I1592</f>
        <v>0</v>
      </c>
      <c r="R1592" s="25">
        <f t="shared" si="198"/>
        <v>0</v>
      </c>
      <c r="S1592" s="25">
        <f t="shared" si="199"/>
        <v>0</v>
      </c>
    </row>
    <row r="1593" spans="1:19" ht="15" customHeight="1" x14ac:dyDescent="0.3">
      <c r="A1593" s="22"/>
      <c r="B1593" s="23"/>
      <c r="C1593" s="4"/>
      <c r="D1593" s="23">
        <v>2021</v>
      </c>
      <c r="E1593" s="24">
        <f>Data!F1593</f>
        <v>0</v>
      </c>
      <c r="F1593" s="24">
        <f>Data!H1593</f>
        <v>0</v>
      </c>
      <c r="G1593" s="24">
        <f t="shared" si="192"/>
        <v>0</v>
      </c>
      <c r="H1593" s="24">
        <f>Data!G1593</f>
        <v>0</v>
      </c>
      <c r="I1593" s="25">
        <f t="shared" si="193"/>
        <v>0</v>
      </c>
      <c r="J1593" s="24">
        <f>Data!J1593</f>
        <v>0</v>
      </c>
      <c r="K1593" s="24">
        <f t="shared" si="194"/>
        <v>0</v>
      </c>
      <c r="L1593" s="25">
        <f t="shared" si="195"/>
        <v>0</v>
      </c>
      <c r="M1593" s="24">
        <f>Data!M1593</f>
        <v>0</v>
      </c>
      <c r="N1593" s="24">
        <f t="shared" si="196"/>
        <v>0</v>
      </c>
      <c r="O1593" s="25">
        <f t="shared" si="197"/>
        <v>0</v>
      </c>
      <c r="P1593" s="24">
        <f>Data!K1593</f>
        <v>0</v>
      </c>
      <c r="Q1593" s="24">
        <f>Data!I1593</f>
        <v>0</v>
      </c>
      <c r="R1593" s="25">
        <f t="shared" si="198"/>
        <v>0</v>
      </c>
      <c r="S1593" s="25">
        <f t="shared" si="199"/>
        <v>0</v>
      </c>
    </row>
    <row r="1594" spans="1:19" ht="15" customHeight="1" x14ac:dyDescent="0.3">
      <c r="A1594" s="22"/>
      <c r="B1594" s="23"/>
      <c r="C1594" s="4"/>
      <c r="D1594" s="23">
        <v>2022</v>
      </c>
      <c r="E1594" s="24">
        <f>Data!F1594</f>
        <v>0</v>
      </c>
      <c r="F1594" s="24">
        <f>Data!H1594</f>
        <v>0</v>
      </c>
      <c r="G1594" s="24">
        <f t="shared" si="192"/>
        <v>0</v>
      </c>
      <c r="H1594" s="24">
        <f>Data!G1594</f>
        <v>0</v>
      </c>
      <c r="I1594" s="25">
        <f t="shared" si="193"/>
        <v>0</v>
      </c>
      <c r="J1594" s="24">
        <f>Data!J1594</f>
        <v>0</v>
      </c>
      <c r="K1594" s="24">
        <f t="shared" si="194"/>
        <v>0</v>
      </c>
      <c r="L1594" s="25">
        <f t="shared" si="195"/>
        <v>0</v>
      </c>
      <c r="M1594" s="24">
        <f>Data!M1594</f>
        <v>0</v>
      </c>
      <c r="N1594" s="24">
        <f t="shared" si="196"/>
        <v>0</v>
      </c>
      <c r="O1594" s="25">
        <f t="shared" si="197"/>
        <v>0</v>
      </c>
      <c r="P1594" s="24">
        <f>Data!K1594</f>
        <v>0</v>
      </c>
      <c r="Q1594" s="24">
        <f>Data!I1594</f>
        <v>0</v>
      </c>
      <c r="R1594" s="25">
        <f t="shared" si="198"/>
        <v>0</v>
      </c>
      <c r="S1594" s="25">
        <f t="shared" si="199"/>
        <v>0</v>
      </c>
    </row>
    <row r="1595" spans="1:19" ht="15" customHeight="1" x14ac:dyDescent="0.3">
      <c r="A1595" s="22"/>
      <c r="B1595" s="23"/>
      <c r="C1595" s="4"/>
      <c r="D1595" s="23">
        <v>2023</v>
      </c>
      <c r="E1595" s="24">
        <f>Data!F1595</f>
        <v>0</v>
      </c>
      <c r="F1595" s="24">
        <f>Data!H1595</f>
        <v>0</v>
      </c>
      <c r="G1595" s="24">
        <f t="shared" si="192"/>
        <v>0</v>
      </c>
      <c r="H1595" s="24">
        <f>Data!G1595</f>
        <v>0</v>
      </c>
      <c r="I1595" s="25">
        <f t="shared" si="193"/>
        <v>0</v>
      </c>
      <c r="J1595" s="24">
        <f>Data!J1595</f>
        <v>0</v>
      </c>
      <c r="K1595" s="24">
        <f t="shared" si="194"/>
        <v>0</v>
      </c>
      <c r="L1595" s="25">
        <f t="shared" si="195"/>
        <v>0</v>
      </c>
      <c r="M1595" s="24">
        <f>Data!M1595</f>
        <v>0</v>
      </c>
      <c r="N1595" s="24">
        <f t="shared" si="196"/>
        <v>0</v>
      </c>
      <c r="O1595" s="25">
        <f t="shared" si="197"/>
        <v>0</v>
      </c>
      <c r="P1595" s="24">
        <f>Data!K1595</f>
        <v>0</v>
      </c>
      <c r="Q1595" s="24">
        <f>Data!I1595</f>
        <v>0</v>
      </c>
      <c r="R1595" s="25">
        <f t="shared" si="198"/>
        <v>0</v>
      </c>
      <c r="S1595" s="25">
        <f t="shared" si="199"/>
        <v>0</v>
      </c>
    </row>
    <row r="1596" spans="1:19" ht="15" customHeight="1" x14ac:dyDescent="0.3">
      <c r="A1596" s="22"/>
      <c r="B1596" s="23"/>
      <c r="C1596" s="4"/>
      <c r="D1596" s="23">
        <v>2024</v>
      </c>
      <c r="E1596" s="24">
        <f>Data!F1596</f>
        <v>0</v>
      </c>
      <c r="F1596" s="24">
        <f>Data!H1596</f>
        <v>0</v>
      </c>
      <c r="G1596" s="24">
        <f t="shared" si="192"/>
        <v>0</v>
      </c>
      <c r="H1596" s="24">
        <f>Data!G1596</f>
        <v>0</v>
      </c>
      <c r="I1596" s="25">
        <f t="shared" si="193"/>
        <v>0</v>
      </c>
      <c r="J1596" s="24">
        <f>Data!J1596</f>
        <v>0</v>
      </c>
      <c r="K1596" s="24">
        <f t="shared" si="194"/>
        <v>0</v>
      </c>
      <c r="L1596" s="25">
        <f t="shared" si="195"/>
        <v>0</v>
      </c>
      <c r="M1596" s="24">
        <f>Data!M1596</f>
        <v>0</v>
      </c>
      <c r="N1596" s="24">
        <f t="shared" si="196"/>
        <v>0</v>
      </c>
      <c r="O1596" s="25">
        <f t="shared" si="197"/>
        <v>0</v>
      </c>
      <c r="P1596" s="24">
        <f>Data!K1596</f>
        <v>0</v>
      </c>
      <c r="Q1596" s="24">
        <f>Data!I1596</f>
        <v>0</v>
      </c>
      <c r="R1596" s="25">
        <f t="shared" si="198"/>
        <v>0</v>
      </c>
      <c r="S1596" s="25">
        <f t="shared" si="199"/>
        <v>0</v>
      </c>
    </row>
    <row r="1597" spans="1:19" ht="15" customHeight="1" x14ac:dyDescent="0.3">
      <c r="A1597" s="22"/>
      <c r="B1597" s="23">
        <v>146</v>
      </c>
      <c r="C1597" s="4" t="s">
        <v>146</v>
      </c>
      <c r="D1597" s="23">
        <v>2014</v>
      </c>
      <c r="E1597" s="24">
        <f>Data!F1597</f>
        <v>0</v>
      </c>
      <c r="F1597" s="24">
        <f>Data!H1597</f>
        <v>0</v>
      </c>
      <c r="G1597" s="24">
        <f t="shared" si="192"/>
        <v>0</v>
      </c>
      <c r="H1597" s="24">
        <f>Data!G1597</f>
        <v>0</v>
      </c>
      <c r="I1597" s="25">
        <f t="shared" si="193"/>
        <v>0</v>
      </c>
      <c r="J1597" s="24">
        <f>Data!J1597</f>
        <v>0</v>
      </c>
      <c r="K1597" s="24">
        <f t="shared" si="194"/>
        <v>0</v>
      </c>
      <c r="L1597" s="25">
        <f t="shared" si="195"/>
        <v>0</v>
      </c>
      <c r="M1597" s="24">
        <f>Data!M1597</f>
        <v>0</v>
      </c>
      <c r="N1597" s="24">
        <f t="shared" si="196"/>
        <v>0</v>
      </c>
      <c r="O1597" s="25">
        <f t="shared" si="197"/>
        <v>0</v>
      </c>
      <c r="P1597" s="24">
        <f>Data!K1597</f>
        <v>0</v>
      </c>
      <c r="Q1597" s="24">
        <f>Data!I1597</f>
        <v>0</v>
      </c>
      <c r="R1597" s="25">
        <f t="shared" si="198"/>
        <v>0</v>
      </c>
      <c r="S1597" s="25">
        <f t="shared" si="199"/>
        <v>0</v>
      </c>
    </row>
    <row r="1598" spans="1:19" ht="15" customHeight="1" x14ac:dyDescent="0.3">
      <c r="A1598" s="22"/>
      <c r="B1598" s="23"/>
      <c r="C1598" s="4"/>
      <c r="D1598" s="23">
        <v>2015</v>
      </c>
      <c r="E1598" s="24">
        <f>Data!F1598</f>
        <v>0</v>
      </c>
      <c r="F1598" s="24">
        <f>Data!H1598</f>
        <v>0</v>
      </c>
      <c r="G1598" s="24">
        <f t="shared" si="192"/>
        <v>0</v>
      </c>
      <c r="H1598" s="24">
        <f>Data!G1598</f>
        <v>0</v>
      </c>
      <c r="I1598" s="25">
        <f t="shared" si="193"/>
        <v>0</v>
      </c>
      <c r="J1598" s="24">
        <f>Data!J1598</f>
        <v>0</v>
      </c>
      <c r="K1598" s="24">
        <f t="shared" si="194"/>
        <v>0</v>
      </c>
      <c r="L1598" s="25">
        <f t="shared" si="195"/>
        <v>0</v>
      </c>
      <c r="M1598" s="24">
        <f>Data!M1598</f>
        <v>0</v>
      </c>
      <c r="N1598" s="24">
        <f t="shared" si="196"/>
        <v>0</v>
      </c>
      <c r="O1598" s="25">
        <f t="shared" si="197"/>
        <v>0</v>
      </c>
      <c r="P1598" s="24">
        <f>Data!K1598</f>
        <v>0</v>
      </c>
      <c r="Q1598" s="24">
        <f>Data!I1598</f>
        <v>0</v>
      </c>
      <c r="R1598" s="25">
        <f t="shared" si="198"/>
        <v>0</v>
      </c>
      <c r="S1598" s="25">
        <f t="shared" si="199"/>
        <v>0</v>
      </c>
    </row>
    <row r="1599" spans="1:19" ht="15" customHeight="1" x14ac:dyDescent="0.3">
      <c r="A1599" s="22"/>
      <c r="B1599" s="23"/>
      <c r="C1599" s="4"/>
      <c r="D1599" s="23">
        <v>2016</v>
      </c>
      <c r="E1599" s="24">
        <f>Data!F1599</f>
        <v>0</v>
      </c>
      <c r="F1599" s="24">
        <f>Data!H1599</f>
        <v>0</v>
      </c>
      <c r="G1599" s="24">
        <f t="shared" si="192"/>
        <v>0</v>
      </c>
      <c r="H1599" s="24">
        <f>Data!G1599</f>
        <v>0</v>
      </c>
      <c r="I1599" s="25">
        <f t="shared" si="193"/>
        <v>0</v>
      </c>
      <c r="J1599" s="24">
        <f>Data!J1599</f>
        <v>0</v>
      </c>
      <c r="K1599" s="24">
        <f t="shared" si="194"/>
        <v>0</v>
      </c>
      <c r="L1599" s="25">
        <f t="shared" si="195"/>
        <v>0</v>
      </c>
      <c r="M1599" s="24">
        <f>Data!M1599</f>
        <v>0</v>
      </c>
      <c r="N1599" s="24">
        <f t="shared" si="196"/>
        <v>0</v>
      </c>
      <c r="O1599" s="25">
        <f t="shared" si="197"/>
        <v>0</v>
      </c>
      <c r="P1599" s="24">
        <f>Data!K1599</f>
        <v>0</v>
      </c>
      <c r="Q1599" s="24">
        <f>Data!I1599</f>
        <v>0</v>
      </c>
      <c r="R1599" s="25">
        <f t="shared" si="198"/>
        <v>0</v>
      </c>
      <c r="S1599" s="25">
        <f t="shared" si="199"/>
        <v>0</v>
      </c>
    </row>
    <row r="1600" spans="1:19" ht="15" customHeight="1" x14ac:dyDescent="0.3">
      <c r="A1600" s="22"/>
      <c r="B1600" s="23"/>
      <c r="C1600" s="4"/>
      <c r="D1600" s="23">
        <v>2017</v>
      </c>
      <c r="E1600" s="24">
        <f>Data!F1600</f>
        <v>0</v>
      </c>
      <c r="F1600" s="24">
        <f>Data!H1600</f>
        <v>0</v>
      </c>
      <c r="G1600" s="24">
        <f t="shared" si="192"/>
        <v>0</v>
      </c>
      <c r="H1600" s="24">
        <f>Data!G1600</f>
        <v>0</v>
      </c>
      <c r="I1600" s="25">
        <f t="shared" si="193"/>
        <v>0</v>
      </c>
      <c r="J1600" s="24">
        <f>Data!J1600</f>
        <v>0</v>
      </c>
      <c r="K1600" s="24">
        <f t="shared" si="194"/>
        <v>0</v>
      </c>
      <c r="L1600" s="25">
        <f t="shared" si="195"/>
        <v>0</v>
      </c>
      <c r="M1600" s="24">
        <f>Data!M1600</f>
        <v>0</v>
      </c>
      <c r="N1600" s="24">
        <f t="shared" si="196"/>
        <v>0</v>
      </c>
      <c r="O1600" s="25">
        <f t="shared" si="197"/>
        <v>0</v>
      </c>
      <c r="P1600" s="24">
        <f>Data!K1600</f>
        <v>0</v>
      </c>
      <c r="Q1600" s="24">
        <f>Data!I1600</f>
        <v>0</v>
      </c>
      <c r="R1600" s="25">
        <f t="shared" si="198"/>
        <v>0</v>
      </c>
      <c r="S1600" s="25">
        <f t="shared" si="199"/>
        <v>0</v>
      </c>
    </row>
    <row r="1601" spans="1:19" ht="15" customHeight="1" x14ac:dyDescent="0.3">
      <c r="A1601" s="22"/>
      <c r="B1601" s="23"/>
      <c r="C1601" s="4"/>
      <c r="D1601" s="23">
        <v>2018</v>
      </c>
      <c r="E1601" s="24">
        <f>Data!F1601</f>
        <v>0</v>
      </c>
      <c r="F1601" s="24">
        <f>Data!H1601</f>
        <v>0</v>
      </c>
      <c r="G1601" s="24">
        <f t="shared" si="192"/>
        <v>0</v>
      </c>
      <c r="H1601" s="24">
        <f>Data!G1601</f>
        <v>0</v>
      </c>
      <c r="I1601" s="25">
        <f t="shared" si="193"/>
        <v>0</v>
      </c>
      <c r="J1601" s="24">
        <f>Data!J1601</f>
        <v>0</v>
      </c>
      <c r="K1601" s="24">
        <f t="shared" si="194"/>
        <v>0</v>
      </c>
      <c r="L1601" s="25">
        <f t="shared" si="195"/>
        <v>0</v>
      </c>
      <c r="M1601" s="24">
        <f>Data!M1601</f>
        <v>0</v>
      </c>
      <c r="N1601" s="24">
        <f t="shared" si="196"/>
        <v>0</v>
      </c>
      <c r="O1601" s="25">
        <f t="shared" si="197"/>
        <v>0</v>
      </c>
      <c r="P1601" s="24">
        <f>Data!K1601</f>
        <v>0</v>
      </c>
      <c r="Q1601" s="24">
        <f>Data!I1601</f>
        <v>0</v>
      </c>
      <c r="R1601" s="25">
        <f t="shared" si="198"/>
        <v>0</v>
      </c>
      <c r="S1601" s="25">
        <f t="shared" si="199"/>
        <v>0</v>
      </c>
    </row>
    <row r="1602" spans="1:19" ht="15" customHeight="1" x14ac:dyDescent="0.3">
      <c r="A1602" s="22"/>
      <c r="B1602" s="23"/>
      <c r="C1602" s="4"/>
      <c r="D1602" s="23">
        <v>2019</v>
      </c>
      <c r="E1602" s="24">
        <f>Data!F1602</f>
        <v>0</v>
      </c>
      <c r="F1602" s="24">
        <f>Data!H1602</f>
        <v>0</v>
      </c>
      <c r="G1602" s="24">
        <f t="shared" si="192"/>
        <v>0</v>
      </c>
      <c r="H1602" s="24">
        <f>Data!G1602</f>
        <v>0</v>
      </c>
      <c r="I1602" s="25">
        <f t="shared" si="193"/>
        <v>0</v>
      </c>
      <c r="J1602" s="24">
        <f>Data!J1602</f>
        <v>0</v>
      </c>
      <c r="K1602" s="24">
        <f t="shared" si="194"/>
        <v>0</v>
      </c>
      <c r="L1602" s="25">
        <f t="shared" si="195"/>
        <v>0</v>
      </c>
      <c r="M1602" s="24">
        <f>Data!M1602</f>
        <v>0</v>
      </c>
      <c r="N1602" s="24">
        <f t="shared" si="196"/>
        <v>0</v>
      </c>
      <c r="O1602" s="25">
        <f t="shared" si="197"/>
        <v>0</v>
      </c>
      <c r="P1602" s="24">
        <f>Data!K1602</f>
        <v>0</v>
      </c>
      <c r="Q1602" s="24">
        <f>Data!I1602</f>
        <v>0</v>
      </c>
      <c r="R1602" s="25">
        <f t="shared" si="198"/>
        <v>0</v>
      </c>
      <c r="S1602" s="25">
        <f t="shared" si="199"/>
        <v>0</v>
      </c>
    </row>
    <row r="1603" spans="1:19" ht="15" customHeight="1" x14ac:dyDescent="0.3">
      <c r="A1603" s="22"/>
      <c r="B1603" s="23"/>
      <c r="C1603" s="4"/>
      <c r="D1603" s="23">
        <v>2020</v>
      </c>
      <c r="E1603" s="24">
        <f>Data!F1603</f>
        <v>0</v>
      </c>
      <c r="F1603" s="24">
        <f>Data!H1603</f>
        <v>0</v>
      </c>
      <c r="G1603" s="24">
        <f t="shared" ref="G1603:G1629" si="200">E1603-F1603</f>
        <v>0</v>
      </c>
      <c r="H1603" s="24">
        <f>Data!G1603</f>
        <v>0</v>
      </c>
      <c r="I1603" s="25">
        <f t="shared" ref="I1603:I1629" si="201">IFERROR(6.56*(G1603/H1603),0)</f>
        <v>0</v>
      </c>
      <c r="J1603" s="24">
        <f>Data!J1603</f>
        <v>0</v>
      </c>
      <c r="K1603" s="24">
        <f t="shared" ref="K1603:K1629" si="202">H1603</f>
        <v>0</v>
      </c>
      <c r="L1603" s="25">
        <f t="shared" ref="L1603:L1629" si="203">IFERROR(3.26*(J1603/K1603),0)</f>
        <v>0</v>
      </c>
      <c r="M1603" s="24">
        <f>Data!M1603</f>
        <v>0</v>
      </c>
      <c r="N1603" s="24">
        <f t="shared" ref="N1603:N1629" si="204">K1603</f>
        <v>0</v>
      </c>
      <c r="O1603" s="25">
        <f t="shared" ref="O1603:O1629" si="205">IFERROR(6.72*(M1603/N1603),0)</f>
        <v>0</v>
      </c>
      <c r="P1603" s="24">
        <f>Data!K1603</f>
        <v>0</v>
      </c>
      <c r="Q1603" s="24">
        <f>Data!I1603</f>
        <v>0</v>
      </c>
      <c r="R1603" s="25">
        <f t="shared" ref="R1603:R1629" si="206">IFERROR(1.05*(P1603/Q1603),0)</f>
        <v>0</v>
      </c>
      <c r="S1603" s="25">
        <f t="shared" ref="S1603:S1629" si="207">IFERROR(I1603+L1603+O1603+R1603,0)</f>
        <v>0</v>
      </c>
    </row>
    <row r="1604" spans="1:19" ht="15" customHeight="1" x14ac:dyDescent="0.3">
      <c r="A1604" s="22"/>
      <c r="B1604" s="23"/>
      <c r="C1604" s="4"/>
      <c r="D1604" s="23">
        <v>2021</v>
      </c>
      <c r="E1604" s="24">
        <f>Data!F1604</f>
        <v>0</v>
      </c>
      <c r="F1604" s="24">
        <f>Data!H1604</f>
        <v>0</v>
      </c>
      <c r="G1604" s="24">
        <f t="shared" si="200"/>
        <v>0</v>
      </c>
      <c r="H1604" s="24">
        <f>Data!G1604</f>
        <v>0</v>
      </c>
      <c r="I1604" s="25">
        <f t="shared" si="201"/>
        <v>0</v>
      </c>
      <c r="J1604" s="24">
        <f>Data!J1604</f>
        <v>0</v>
      </c>
      <c r="K1604" s="24">
        <f t="shared" si="202"/>
        <v>0</v>
      </c>
      <c r="L1604" s="25">
        <f t="shared" si="203"/>
        <v>0</v>
      </c>
      <c r="M1604" s="24">
        <f>Data!M1604</f>
        <v>0</v>
      </c>
      <c r="N1604" s="24">
        <f t="shared" si="204"/>
        <v>0</v>
      </c>
      <c r="O1604" s="25">
        <f t="shared" si="205"/>
        <v>0</v>
      </c>
      <c r="P1604" s="24">
        <f>Data!K1604</f>
        <v>0</v>
      </c>
      <c r="Q1604" s="24">
        <f>Data!I1604</f>
        <v>0</v>
      </c>
      <c r="R1604" s="25">
        <f t="shared" si="206"/>
        <v>0</v>
      </c>
      <c r="S1604" s="25">
        <f t="shared" si="207"/>
        <v>0</v>
      </c>
    </row>
    <row r="1605" spans="1:19" ht="15" customHeight="1" x14ac:dyDescent="0.3">
      <c r="A1605" s="22"/>
      <c r="B1605" s="23"/>
      <c r="C1605" s="4"/>
      <c r="D1605" s="23">
        <v>2022</v>
      </c>
      <c r="E1605" s="24">
        <f>Data!F1605</f>
        <v>0</v>
      </c>
      <c r="F1605" s="24">
        <f>Data!H1605</f>
        <v>0</v>
      </c>
      <c r="G1605" s="24">
        <f t="shared" si="200"/>
        <v>0</v>
      </c>
      <c r="H1605" s="24">
        <f>Data!G1605</f>
        <v>0</v>
      </c>
      <c r="I1605" s="25">
        <f t="shared" si="201"/>
        <v>0</v>
      </c>
      <c r="J1605" s="24">
        <f>Data!J1605</f>
        <v>0</v>
      </c>
      <c r="K1605" s="24">
        <f t="shared" si="202"/>
        <v>0</v>
      </c>
      <c r="L1605" s="25">
        <f t="shared" si="203"/>
        <v>0</v>
      </c>
      <c r="M1605" s="24">
        <f>Data!M1605</f>
        <v>0</v>
      </c>
      <c r="N1605" s="24">
        <f t="shared" si="204"/>
        <v>0</v>
      </c>
      <c r="O1605" s="25">
        <f t="shared" si="205"/>
        <v>0</v>
      </c>
      <c r="P1605" s="24">
        <f>Data!K1605</f>
        <v>0</v>
      </c>
      <c r="Q1605" s="24">
        <f>Data!I1605</f>
        <v>0</v>
      </c>
      <c r="R1605" s="25">
        <f t="shared" si="206"/>
        <v>0</v>
      </c>
      <c r="S1605" s="25">
        <f t="shared" si="207"/>
        <v>0</v>
      </c>
    </row>
    <row r="1606" spans="1:19" ht="15" customHeight="1" x14ac:dyDescent="0.3">
      <c r="A1606" s="22"/>
      <c r="B1606" s="23"/>
      <c r="C1606" s="4"/>
      <c r="D1606" s="23">
        <v>2023</v>
      </c>
      <c r="E1606" s="24">
        <f>Data!F1606</f>
        <v>0</v>
      </c>
      <c r="F1606" s="24">
        <f>Data!H1606</f>
        <v>0</v>
      </c>
      <c r="G1606" s="24">
        <f t="shared" si="200"/>
        <v>0</v>
      </c>
      <c r="H1606" s="24">
        <f>Data!G1606</f>
        <v>0</v>
      </c>
      <c r="I1606" s="25">
        <f t="shared" si="201"/>
        <v>0</v>
      </c>
      <c r="J1606" s="24">
        <f>Data!J1606</f>
        <v>0</v>
      </c>
      <c r="K1606" s="24">
        <f t="shared" si="202"/>
        <v>0</v>
      </c>
      <c r="L1606" s="25">
        <f t="shared" si="203"/>
        <v>0</v>
      </c>
      <c r="M1606" s="24">
        <f>Data!M1606</f>
        <v>0</v>
      </c>
      <c r="N1606" s="24">
        <f t="shared" si="204"/>
        <v>0</v>
      </c>
      <c r="O1606" s="25">
        <f t="shared" si="205"/>
        <v>0</v>
      </c>
      <c r="P1606" s="24">
        <f>Data!K1606</f>
        <v>0</v>
      </c>
      <c r="Q1606" s="24">
        <f>Data!I1606</f>
        <v>0</v>
      </c>
      <c r="R1606" s="25">
        <f t="shared" si="206"/>
        <v>0</v>
      </c>
      <c r="S1606" s="25">
        <f t="shared" si="207"/>
        <v>0</v>
      </c>
    </row>
    <row r="1607" spans="1:19" ht="15" customHeight="1" x14ac:dyDescent="0.3">
      <c r="A1607" s="22"/>
      <c r="B1607" s="23"/>
      <c r="C1607" s="4"/>
      <c r="D1607" s="23">
        <v>2024</v>
      </c>
      <c r="E1607" s="24">
        <f>Data!F1607</f>
        <v>0</v>
      </c>
      <c r="F1607" s="24">
        <f>Data!H1607</f>
        <v>0</v>
      </c>
      <c r="G1607" s="24">
        <f t="shared" si="200"/>
        <v>0</v>
      </c>
      <c r="H1607" s="24">
        <f>Data!G1607</f>
        <v>0</v>
      </c>
      <c r="I1607" s="25">
        <f t="shared" si="201"/>
        <v>0</v>
      </c>
      <c r="J1607" s="24">
        <f>Data!J1607</f>
        <v>0</v>
      </c>
      <c r="K1607" s="24">
        <f t="shared" si="202"/>
        <v>0</v>
      </c>
      <c r="L1607" s="25">
        <f t="shared" si="203"/>
        <v>0</v>
      </c>
      <c r="M1607" s="24">
        <f>Data!M1607</f>
        <v>0</v>
      </c>
      <c r="N1607" s="24">
        <f t="shared" si="204"/>
        <v>0</v>
      </c>
      <c r="O1607" s="25">
        <f t="shared" si="205"/>
        <v>0</v>
      </c>
      <c r="P1607" s="24">
        <f>Data!K1607</f>
        <v>0</v>
      </c>
      <c r="Q1607" s="24">
        <f>Data!I1607</f>
        <v>0</v>
      </c>
      <c r="R1607" s="25">
        <f t="shared" si="206"/>
        <v>0</v>
      </c>
      <c r="S1607" s="25">
        <f t="shared" si="207"/>
        <v>0</v>
      </c>
    </row>
    <row r="1608" spans="1:19" ht="15" customHeight="1" x14ac:dyDescent="0.3">
      <c r="A1608" s="22" t="s">
        <v>157</v>
      </c>
      <c r="B1608" s="23">
        <v>147</v>
      </c>
      <c r="C1608" s="4" t="s">
        <v>147</v>
      </c>
      <c r="D1608" s="23">
        <v>2014</v>
      </c>
      <c r="E1608" s="24">
        <f>Data!F1608</f>
        <v>0</v>
      </c>
      <c r="F1608" s="24">
        <f>Data!H1608</f>
        <v>0</v>
      </c>
      <c r="G1608" s="24">
        <f t="shared" si="200"/>
        <v>0</v>
      </c>
      <c r="H1608" s="24">
        <f>Data!G1608</f>
        <v>0</v>
      </c>
      <c r="I1608" s="25">
        <f t="shared" si="201"/>
        <v>0</v>
      </c>
      <c r="J1608" s="24">
        <f>Data!J1608</f>
        <v>0</v>
      </c>
      <c r="K1608" s="24">
        <f t="shared" si="202"/>
        <v>0</v>
      </c>
      <c r="L1608" s="25">
        <f t="shared" si="203"/>
        <v>0</v>
      </c>
      <c r="M1608" s="24">
        <f>Data!M1608</f>
        <v>0</v>
      </c>
      <c r="N1608" s="24">
        <f t="shared" si="204"/>
        <v>0</v>
      </c>
      <c r="O1608" s="25">
        <f t="shared" si="205"/>
        <v>0</v>
      </c>
      <c r="P1608" s="24">
        <f>Data!K1608</f>
        <v>0</v>
      </c>
      <c r="Q1608" s="24">
        <f>Data!I1608</f>
        <v>0</v>
      </c>
      <c r="R1608" s="25">
        <f t="shared" si="206"/>
        <v>0</v>
      </c>
      <c r="S1608" s="25">
        <f t="shared" si="207"/>
        <v>0</v>
      </c>
    </row>
    <row r="1609" spans="1:19" ht="15" customHeight="1" x14ac:dyDescent="0.3">
      <c r="A1609" s="22"/>
      <c r="B1609" s="23"/>
      <c r="C1609" s="4"/>
      <c r="D1609" s="23">
        <v>2015</v>
      </c>
      <c r="E1609" s="24">
        <f>Data!F1609</f>
        <v>7628240000000</v>
      </c>
      <c r="F1609" s="24">
        <f>Data!H1609</f>
        <v>964822000000</v>
      </c>
      <c r="G1609" s="24">
        <f t="shared" si="200"/>
        <v>6663418000000</v>
      </c>
      <c r="H1609" s="24">
        <f>Data!G1609</f>
        <v>12150125000000</v>
      </c>
      <c r="I1609" s="25">
        <f t="shared" si="201"/>
        <v>3.5976602775691608</v>
      </c>
      <c r="J1609" s="24">
        <f>Data!J1609</f>
        <v>-4926824000000</v>
      </c>
      <c r="K1609" s="24">
        <f t="shared" si="202"/>
        <v>12150125000000</v>
      </c>
      <c r="L1609" s="25">
        <f t="shared" si="203"/>
        <v>-1.3219161317270398</v>
      </c>
      <c r="M1609" s="24">
        <f>Data!M1609</f>
        <v>0</v>
      </c>
      <c r="N1609" s="24">
        <f t="shared" si="204"/>
        <v>12150125000000</v>
      </c>
      <c r="O1609" s="25">
        <f t="shared" si="205"/>
        <v>0</v>
      </c>
      <c r="P1609" s="24">
        <f>Data!K1609</f>
        <v>10116093000000</v>
      </c>
      <c r="Q1609" s="24">
        <f>Data!I1609</f>
        <v>2034032000000</v>
      </c>
      <c r="R1609" s="25">
        <f t="shared" si="206"/>
        <v>5.2220897458840367</v>
      </c>
      <c r="S1609" s="25">
        <f t="shared" si="207"/>
        <v>7.4978338917261578</v>
      </c>
    </row>
    <row r="1610" spans="1:19" ht="15" customHeight="1" x14ac:dyDescent="0.3">
      <c r="A1610" s="22"/>
      <c r="B1610" s="23"/>
      <c r="C1610" s="4"/>
      <c r="D1610" s="23">
        <v>2016</v>
      </c>
      <c r="E1610" s="24">
        <f>Data!F1610</f>
        <v>4535214000000</v>
      </c>
      <c r="F1610" s="24">
        <f>Data!H1610</f>
        <v>550120000000</v>
      </c>
      <c r="G1610" s="24">
        <f t="shared" si="200"/>
        <v>3985094000000</v>
      </c>
      <c r="H1610" s="24">
        <f>Data!G1610</f>
        <v>12167652000000</v>
      </c>
      <c r="I1610" s="25">
        <f t="shared" si="201"/>
        <v>2.148501341096869</v>
      </c>
      <c r="J1610" s="24">
        <f>Data!J1610</f>
        <v>-11495683000000</v>
      </c>
      <c r="K1610" s="24">
        <f t="shared" si="202"/>
        <v>12167652000000</v>
      </c>
      <c r="L1610" s="25">
        <f t="shared" si="203"/>
        <v>-3.0799637086925231</v>
      </c>
      <c r="M1610" s="24">
        <f>Data!M1610</f>
        <v>0</v>
      </c>
      <c r="N1610" s="24">
        <f t="shared" si="204"/>
        <v>12167652000000</v>
      </c>
      <c r="O1610" s="25">
        <f t="shared" si="205"/>
        <v>0</v>
      </c>
      <c r="P1610" s="24">
        <f>Data!K1610</f>
        <v>10344737000000</v>
      </c>
      <c r="Q1610" s="24">
        <f>Data!I1610</f>
        <v>1822914000000</v>
      </c>
      <c r="R1610" s="25">
        <f t="shared" si="206"/>
        <v>5.9585772285472602</v>
      </c>
      <c r="S1610" s="25">
        <f t="shared" si="207"/>
        <v>5.0271148609516061</v>
      </c>
    </row>
    <row r="1611" spans="1:19" ht="15" customHeight="1" x14ac:dyDescent="0.3">
      <c r="A1611" s="22"/>
      <c r="B1611" s="23"/>
      <c r="C1611" s="4"/>
      <c r="D1611" s="23">
        <v>2017</v>
      </c>
      <c r="E1611" s="24">
        <f>Data!F1611</f>
        <v>5163387000000</v>
      </c>
      <c r="F1611" s="24">
        <f>Data!H1611</f>
        <v>693009000000</v>
      </c>
      <c r="G1611" s="24">
        <f t="shared" si="200"/>
        <v>4470378000000</v>
      </c>
      <c r="H1611" s="24">
        <f>Data!G1611</f>
        <v>12600792000000</v>
      </c>
      <c r="I1611" s="25">
        <f t="shared" si="201"/>
        <v>2.3272886085255591</v>
      </c>
      <c r="J1611" s="24">
        <f>Data!J1611</f>
        <v>-11674857000000</v>
      </c>
      <c r="K1611" s="24">
        <f t="shared" si="202"/>
        <v>12600792000000</v>
      </c>
      <c r="L1611" s="25">
        <f t="shared" si="203"/>
        <v>-3.0204477480463132</v>
      </c>
      <c r="M1611" s="24">
        <f>Data!M1611</f>
        <v>0</v>
      </c>
      <c r="N1611" s="24">
        <f t="shared" si="204"/>
        <v>12600792000000</v>
      </c>
      <c r="O1611" s="25">
        <f t="shared" si="205"/>
        <v>0</v>
      </c>
      <c r="P1611" s="24">
        <f>Data!K1611</f>
        <v>10161365000000</v>
      </c>
      <c r="Q1611" s="24">
        <f>Data!I1611</f>
        <v>2437427000000</v>
      </c>
      <c r="R1611" s="25">
        <f t="shared" si="206"/>
        <v>4.3773344801710987</v>
      </c>
      <c r="S1611" s="25">
        <f t="shared" si="207"/>
        <v>3.6841753406503446</v>
      </c>
    </row>
    <row r="1612" spans="1:19" ht="15" customHeight="1" x14ac:dyDescent="0.3">
      <c r="A1612" s="22"/>
      <c r="B1612" s="23"/>
      <c r="C1612" s="4"/>
      <c r="D1612" s="23">
        <v>2018</v>
      </c>
      <c r="E1612" s="24">
        <f>Data!F1612</f>
        <v>5712865000000</v>
      </c>
      <c r="F1612" s="24">
        <f>Data!H1612</f>
        <v>679710000000</v>
      </c>
      <c r="G1612" s="24">
        <f t="shared" si="200"/>
        <v>5033155000000</v>
      </c>
      <c r="H1612" s="24">
        <f>Data!G1612</f>
        <v>12690713000000</v>
      </c>
      <c r="I1612" s="25">
        <f t="shared" si="201"/>
        <v>2.6017054203337509</v>
      </c>
      <c r="J1612" s="24">
        <f>Data!J1612</f>
        <v>-11718576000000</v>
      </c>
      <c r="K1612" s="24">
        <f t="shared" si="202"/>
        <v>12690713000000</v>
      </c>
      <c r="L1612" s="25">
        <f t="shared" si="203"/>
        <v>-3.0102767086451325</v>
      </c>
      <c r="M1612" s="24">
        <f>Data!M1612</f>
        <v>0</v>
      </c>
      <c r="N1612" s="24">
        <f t="shared" si="204"/>
        <v>12690713000000</v>
      </c>
      <c r="O1612" s="25">
        <f t="shared" si="205"/>
        <v>0</v>
      </c>
      <c r="P1612" s="24">
        <f>Data!K1612</f>
        <v>10124003000000</v>
      </c>
      <c r="Q1612" s="24">
        <f>Data!I1612</f>
        <v>2566710000000</v>
      </c>
      <c r="R1612" s="25">
        <f t="shared" si="206"/>
        <v>4.1415676683380669</v>
      </c>
      <c r="S1612" s="25">
        <f t="shared" si="207"/>
        <v>3.7329963800266852</v>
      </c>
    </row>
    <row r="1613" spans="1:19" ht="15" customHeight="1" x14ac:dyDescent="0.3">
      <c r="A1613" s="22"/>
      <c r="B1613" s="23"/>
      <c r="C1613" s="4"/>
      <c r="D1613" s="23">
        <v>2019</v>
      </c>
      <c r="E1613" s="24">
        <f>Data!F1613</f>
        <v>5886624000000</v>
      </c>
      <c r="F1613" s="24">
        <f>Data!H1613</f>
        <v>643631000000</v>
      </c>
      <c r="G1613" s="24">
        <f t="shared" si="200"/>
        <v>5242993000000</v>
      </c>
      <c r="H1613" s="24">
        <f>Data!G1613</f>
        <v>13262092000000</v>
      </c>
      <c r="I1613" s="25">
        <f t="shared" si="201"/>
        <v>2.5934094017746219</v>
      </c>
      <c r="J1613" s="24">
        <f>Data!J1613</f>
        <v>-11548119000000</v>
      </c>
      <c r="K1613" s="24">
        <f t="shared" si="202"/>
        <v>13262092000000</v>
      </c>
      <c r="L1613" s="25">
        <f t="shared" si="203"/>
        <v>-2.8386824597506939</v>
      </c>
      <c r="M1613" s="24">
        <f>Data!M1613</f>
        <v>0</v>
      </c>
      <c r="N1613" s="24">
        <f t="shared" si="204"/>
        <v>13262092000000</v>
      </c>
      <c r="O1613" s="25">
        <f t="shared" si="205"/>
        <v>0</v>
      </c>
      <c r="P1613" s="24">
        <f>Data!K1613</f>
        <v>10303087000000</v>
      </c>
      <c r="Q1613" s="24">
        <f>Data!I1613</f>
        <v>2959005000000</v>
      </c>
      <c r="R1613" s="25">
        <f t="shared" si="206"/>
        <v>3.6560402398779317</v>
      </c>
      <c r="S1613" s="25">
        <f t="shared" si="207"/>
        <v>3.4107671819018597</v>
      </c>
    </row>
    <row r="1614" spans="1:19" ht="15" customHeight="1" x14ac:dyDescent="0.3">
      <c r="A1614" s="22"/>
      <c r="B1614" s="23"/>
      <c r="C1614" s="4"/>
      <c r="D1614" s="23">
        <v>2020</v>
      </c>
      <c r="E1614" s="24">
        <f>Data!F1614</f>
        <v>5978229000000</v>
      </c>
      <c r="F1614" s="24">
        <f>Data!H1614</f>
        <v>573689000000</v>
      </c>
      <c r="G1614" s="24">
        <f t="shared" si="200"/>
        <v>5404540000000</v>
      </c>
      <c r="H1614" s="24">
        <f>Data!G1614</f>
        <v>13372478000000</v>
      </c>
      <c r="I1614" s="25">
        <f t="shared" si="201"/>
        <v>2.6512500076649967</v>
      </c>
      <c r="J1614" s="24">
        <f>Data!J1614</f>
        <v>-11694131000000</v>
      </c>
      <c r="K1614" s="24">
        <f t="shared" si="202"/>
        <v>13372478000000</v>
      </c>
      <c r="L1614" s="25">
        <f t="shared" si="203"/>
        <v>-2.8508453751054965</v>
      </c>
      <c r="M1614" s="24">
        <f>Data!M1614</f>
        <v>0</v>
      </c>
      <c r="N1614" s="24">
        <f t="shared" si="204"/>
        <v>13372478000000</v>
      </c>
      <c r="O1614" s="25">
        <f t="shared" si="205"/>
        <v>0</v>
      </c>
      <c r="P1614" s="24">
        <f>Data!K1614</f>
        <v>10162441000000</v>
      </c>
      <c r="Q1614" s="24">
        <f>Data!I1614</f>
        <v>3210037000000</v>
      </c>
      <c r="R1614" s="25">
        <f t="shared" si="206"/>
        <v>3.3241246284700146</v>
      </c>
      <c r="S1614" s="25">
        <f t="shared" si="207"/>
        <v>3.1245292610295148</v>
      </c>
    </row>
    <row r="1615" spans="1:19" ht="15" customHeight="1" x14ac:dyDescent="0.3">
      <c r="A1615" s="22"/>
      <c r="B1615" s="23"/>
      <c r="C1615" s="4"/>
      <c r="D1615" s="23">
        <v>2021</v>
      </c>
      <c r="E1615" s="24">
        <f>Data!F1615</f>
        <v>7966444000000</v>
      </c>
      <c r="F1615" s="24">
        <f>Data!H1615</f>
        <v>563933000000</v>
      </c>
      <c r="G1615" s="24">
        <f t="shared" si="200"/>
        <v>7402511000000</v>
      </c>
      <c r="H1615" s="24">
        <f>Data!G1615</f>
        <v>13991723000000</v>
      </c>
      <c r="I1615" s="25">
        <f t="shared" si="201"/>
        <v>3.4706570563182249</v>
      </c>
      <c r="J1615" s="24">
        <f>Data!J1615</f>
        <v>-11211409000000</v>
      </c>
      <c r="K1615" s="24">
        <f t="shared" si="202"/>
        <v>13991723000000</v>
      </c>
      <c r="L1615" s="25">
        <f t="shared" si="203"/>
        <v>-2.6122010377135108</v>
      </c>
      <c r="M1615" s="24">
        <f>Data!M1615</f>
        <v>0</v>
      </c>
      <c r="N1615" s="24">
        <f t="shared" si="204"/>
        <v>13991723000000</v>
      </c>
      <c r="O1615" s="25">
        <f t="shared" si="205"/>
        <v>0</v>
      </c>
      <c r="P1615" s="24">
        <f>Data!K1615</f>
        <v>10630981000000</v>
      </c>
      <c r="Q1615" s="24">
        <f>Data!I1615</f>
        <v>3360743000000</v>
      </c>
      <c r="R1615" s="25">
        <f t="shared" si="206"/>
        <v>3.3214470877422047</v>
      </c>
      <c r="S1615" s="25">
        <f t="shared" si="207"/>
        <v>4.1799031063469183</v>
      </c>
    </row>
    <row r="1616" spans="1:19" ht="15" customHeight="1" x14ac:dyDescent="0.3">
      <c r="A1616" s="22"/>
      <c r="B1616" s="23"/>
      <c r="C1616" s="4"/>
      <c r="D1616" s="23">
        <v>2022</v>
      </c>
      <c r="E1616" s="24">
        <f>Data!F1616</f>
        <v>7671775000000</v>
      </c>
      <c r="F1616" s="24">
        <f>Data!H1616</f>
        <v>1695237000000</v>
      </c>
      <c r="G1616" s="24">
        <f t="shared" si="200"/>
        <v>5976538000000</v>
      </c>
      <c r="H1616" s="24">
        <f>Data!G1616</f>
        <v>14146679000000</v>
      </c>
      <c r="I1616" s="25">
        <f t="shared" si="201"/>
        <v>2.7713988053309189</v>
      </c>
      <c r="J1616" s="24">
        <f>Data!J1616</f>
        <v>-11076505000000</v>
      </c>
      <c r="K1616" s="24">
        <f t="shared" si="202"/>
        <v>14146679000000</v>
      </c>
      <c r="L1616" s="25">
        <f t="shared" si="203"/>
        <v>-2.5525005762836632</v>
      </c>
      <c r="M1616" s="24">
        <f>Data!M1616</f>
        <v>0</v>
      </c>
      <c r="N1616" s="24">
        <f t="shared" si="204"/>
        <v>14146679000000</v>
      </c>
      <c r="O1616" s="25">
        <f t="shared" si="205"/>
        <v>0</v>
      </c>
      <c r="P1616" s="24">
        <f>Data!K1616</f>
        <v>10753649000000</v>
      </c>
      <c r="Q1616" s="24">
        <f>Data!I1616</f>
        <v>3393030000000</v>
      </c>
      <c r="R1616" s="25">
        <f t="shared" si="206"/>
        <v>3.3278018319908758</v>
      </c>
      <c r="S1616" s="25">
        <f t="shared" si="207"/>
        <v>3.5467000610381314</v>
      </c>
    </row>
    <row r="1617" spans="1:19" ht="15" customHeight="1" x14ac:dyDescent="0.3">
      <c r="A1617" s="22"/>
      <c r="B1617" s="23"/>
      <c r="C1617" s="4"/>
      <c r="D1617" s="23">
        <v>2023</v>
      </c>
      <c r="E1617" s="24">
        <f>Data!F1617</f>
        <v>6763704000000</v>
      </c>
      <c r="F1617" s="24">
        <f>Data!H1617</f>
        <v>623723000000</v>
      </c>
      <c r="G1617" s="24">
        <f t="shared" si="200"/>
        <v>6139981000000</v>
      </c>
      <c r="H1617" s="24">
        <f>Data!G1617</f>
        <v>12884607000000</v>
      </c>
      <c r="I1617" s="25">
        <f t="shared" si="201"/>
        <v>3.1260771368501965</v>
      </c>
      <c r="J1617" s="24">
        <f>Data!J1617</f>
        <v>-11518449000000</v>
      </c>
      <c r="K1617" s="24">
        <f t="shared" si="202"/>
        <v>12884607000000</v>
      </c>
      <c r="L1617" s="25">
        <f t="shared" si="203"/>
        <v>-2.9143414106460521</v>
      </c>
      <c r="M1617" s="24">
        <f>Data!M1617</f>
        <v>0</v>
      </c>
      <c r="N1617" s="24">
        <f t="shared" si="204"/>
        <v>12884607000000</v>
      </c>
      <c r="O1617" s="25">
        <f t="shared" si="205"/>
        <v>0</v>
      </c>
      <c r="P1617" s="24">
        <f>Data!K1617</f>
        <v>10289025000000</v>
      </c>
      <c r="Q1617" s="24">
        <f>Data!I1617</f>
        <v>2595582000000</v>
      </c>
      <c r="R1617" s="25">
        <f t="shared" si="206"/>
        <v>4.1622558062122481</v>
      </c>
      <c r="S1617" s="25">
        <f t="shared" si="207"/>
        <v>4.373991532416392</v>
      </c>
    </row>
    <row r="1618" spans="1:19" ht="15" customHeight="1" x14ac:dyDescent="0.3">
      <c r="A1618" s="22"/>
      <c r="B1618" s="23"/>
      <c r="C1618" s="4"/>
      <c r="D1618" s="23">
        <v>2024</v>
      </c>
      <c r="E1618" s="24">
        <f>Data!F1618</f>
        <v>6859311000000</v>
      </c>
      <c r="F1618" s="24">
        <f>Data!H1618</f>
        <v>590993000000</v>
      </c>
      <c r="G1618" s="24">
        <f t="shared" si="200"/>
        <v>6268318000000</v>
      </c>
      <c r="H1618" s="24">
        <f>Data!G1618</f>
        <v>13457903000000</v>
      </c>
      <c r="I1618" s="25">
        <f t="shared" si="201"/>
        <v>3.055466076698576</v>
      </c>
      <c r="J1618" s="24">
        <f>Data!J1618</f>
        <v>-11225754000000</v>
      </c>
      <c r="K1618" s="24">
        <f t="shared" si="202"/>
        <v>13457903000000</v>
      </c>
      <c r="L1618" s="25">
        <f t="shared" si="203"/>
        <v>-2.7192912625391936</v>
      </c>
      <c r="M1618" s="24">
        <f>Data!M1618</f>
        <v>0</v>
      </c>
      <c r="N1618" s="24">
        <f t="shared" si="204"/>
        <v>13457903000000</v>
      </c>
      <c r="O1618" s="25">
        <f t="shared" si="205"/>
        <v>0</v>
      </c>
      <c r="P1618" s="24">
        <f>Data!K1618</f>
        <v>10582198000000</v>
      </c>
      <c r="Q1618" s="24">
        <f>Data!I1618</f>
        <v>2875705000000</v>
      </c>
      <c r="R1618" s="25">
        <f t="shared" si="206"/>
        <v>3.8638552633180385</v>
      </c>
      <c r="S1618" s="25">
        <f t="shared" si="207"/>
        <v>4.2000300774774209</v>
      </c>
    </row>
    <row r="1619" spans="1:19" ht="15" customHeight="1" x14ac:dyDescent="0.3">
      <c r="A1619" s="22"/>
      <c r="B1619" s="23">
        <v>148</v>
      </c>
      <c r="C1619" s="4" t="s">
        <v>148</v>
      </c>
      <c r="D1619" s="23">
        <v>2014</v>
      </c>
      <c r="E1619" s="24">
        <f>Data!F1619</f>
        <v>0</v>
      </c>
      <c r="F1619" s="24">
        <f>Data!H1619</f>
        <v>0</v>
      </c>
      <c r="G1619" s="24">
        <f t="shared" si="200"/>
        <v>0</v>
      </c>
      <c r="H1619" s="24">
        <f>Data!G1619</f>
        <v>0</v>
      </c>
      <c r="I1619" s="25">
        <f t="shared" si="201"/>
        <v>0</v>
      </c>
      <c r="J1619" s="24">
        <f>Data!J1619</f>
        <v>0</v>
      </c>
      <c r="K1619" s="24">
        <f t="shared" si="202"/>
        <v>0</v>
      </c>
      <c r="L1619" s="25">
        <f t="shared" si="203"/>
        <v>0</v>
      </c>
      <c r="M1619" s="24">
        <f>Data!M1619</f>
        <v>0</v>
      </c>
      <c r="N1619" s="24">
        <f t="shared" si="204"/>
        <v>0</v>
      </c>
      <c r="O1619" s="25">
        <f t="shared" si="205"/>
        <v>0</v>
      </c>
      <c r="P1619" s="24">
        <f>Data!K1619</f>
        <v>0</v>
      </c>
      <c r="Q1619" s="24">
        <f>Data!I1619</f>
        <v>0</v>
      </c>
      <c r="R1619" s="25">
        <f t="shared" si="206"/>
        <v>0</v>
      </c>
      <c r="S1619" s="25">
        <f t="shared" si="207"/>
        <v>0</v>
      </c>
    </row>
    <row r="1620" spans="1:19" ht="15" customHeight="1" x14ac:dyDescent="0.3">
      <c r="A1620" s="22"/>
      <c r="B1620" s="23"/>
      <c r="C1620" s="4"/>
      <c r="D1620" s="23">
        <v>2015</v>
      </c>
      <c r="E1620" s="24">
        <f>Data!F1620</f>
        <v>7310709000000</v>
      </c>
      <c r="F1620" s="24">
        <f>Data!H1620</f>
        <v>913706000000</v>
      </c>
      <c r="G1620" s="24">
        <f t="shared" si="200"/>
        <v>6397003000000</v>
      </c>
      <c r="H1620" s="24">
        <f>Data!G1620</f>
        <v>11080636000000</v>
      </c>
      <c r="I1620" s="25">
        <f t="shared" si="201"/>
        <v>3.7871778912329579</v>
      </c>
      <c r="J1620" s="24">
        <f>Data!J1620</f>
        <v>120456000000</v>
      </c>
      <c r="K1620" s="24">
        <f t="shared" si="202"/>
        <v>11080636000000</v>
      </c>
      <c r="L1620" s="25">
        <f t="shared" si="203"/>
        <v>3.5438991047084298E-2</v>
      </c>
      <c r="M1620" s="24">
        <f>Data!M1620</f>
        <v>829198000000</v>
      </c>
      <c r="N1620" s="24">
        <f t="shared" si="204"/>
        <v>11080636000000</v>
      </c>
      <c r="O1620" s="25">
        <f t="shared" si="205"/>
        <v>0.50287822467952203</v>
      </c>
      <c r="P1620" s="24">
        <f>Data!K1620</f>
        <v>8912939000000</v>
      </c>
      <c r="Q1620" s="24">
        <f>Data!I1620</f>
        <v>2167697000000</v>
      </c>
      <c r="R1620" s="25">
        <f t="shared" si="206"/>
        <v>4.3172943220385509</v>
      </c>
      <c r="S1620" s="25">
        <f t="shared" si="207"/>
        <v>8.6427894289981158</v>
      </c>
    </row>
    <row r="1621" spans="1:19" ht="15" customHeight="1" x14ac:dyDescent="0.3">
      <c r="A1621" s="22"/>
      <c r="B1621" s="23"/>
      <c r="C1621" s="4"/>
      <c r="D1621" s="23">
        <v>2016</v>
      </c>
      <c r="E1621" s="24">
        <f>Data!F1621</f>
        <v>7161821000000</v>
      </c>
      <c r="F1621" s="24">
        <f>Data!H1621</f>
        <v>1376384000000</v>
      </c>
      <c r="G1621" s="24">
        <f t="shared" si="200"/>
        <v>5785437000000</v>
      </c>
      <c r="H1621" s="24">
        <f>Data!G1621</f>
        <v>13369971000000</v>
      </c>
      <c r="I1621" s="25">
        <f t="shared" si="201"/>
        <v>2.8386349319680648</v>
      </c>
      <c r="J1621" s="24">
        <f>Data!J1621</f>
        <v>713120000000</v>
      </c>
      <c r="K1621" s="24">
        <f t="shared" si="202"/>
        <v>13369971000000</v>
      </c>
      <c r="L1621" s="25">
        <f t="shared" si="203"/>
        <v>0.1738800480569479</v>
      </c>
      <c r="M1621" s="24">
        <f>Data!M1621</f>
        <v>1442676000000</v>
      </c>
      <c r="N1621" s="24">
        <f t="shared" si="204"/>
        <v>13369971000000</v>
      </c>
      <c r="O1621" s="25">
        <f t="shared" si="205"/>
        <v>0.72511621154600858</v>
      </c>
      <c r="P1621" s="24">
        <f>Data!K1621</f>
        <v>10424740000000</v>
      </c>
      <c r="Q1621" s="24">
        <f>Data!I1621</f>
        <v>2945231000000</v>
      </c>
      <c r="R1621" s="25">
        <f t="shared" si="206"/>
        <v>3.7165088239258655</v>
      </c>
      <c r="S1621" s="25">
        <f t="shared" si="207"/>
        <v>7.4541400154968862</v>
      </c>
    </row>
    <row r="1622" spans="1:19" ht="15" customHeight="1" x14ac:dyDescent="0.3">
      <c r="A1622" s="22"/>
      <c r="B1622" s="23"/>
      <c r="C1622" s="4"/>
      <c r="D1622" s="23">
        <v>2017</v>
      </c>
      <c r="E1622" s="24">
        <f>Data!F1622</f>
        <v>7097014000000</v>
      </c>
      <c r="F1622" s="24">
        <f>Data!H1622</f>
        <v>1109290000000</v>
      </c>
      <c r="G1622" s="24">
        <f t="shared" si="200"/>
        <v>5987724000000</v>
      </c>
      <c r="H1622" s="24">
        <f>Data!G1622</f>
        <v>14455702000000</v>
      </c>
      <c r="I1622" s="25">
        <f t="shared" si="201"/>
        <v>2.7172301587290608</v>
      </c>
      <c r="J1622" s="24">
        <f>Data!J1622</f>
        <v>1437321000000</v>
      </c>
      <c r="K1622" s="24">
        <f t="shared" si="202"/>
        <v>14455702000000</v>
      </c>
      <c r="L1622" s="25">
        <f t="shared" si="203"/>
        <v>0.32413966890020279</v>
      </c>
      <c r="M1622" s="24">
        <f>Data!M1622</f>
        <v>1688490000000</v>
      </c>
      <c r="N1622" s="24">
        <f t="shared" si="204"/>
        <v>14455702000000</v>
      </c>
      <c r="O1622" s="25">
        <f t="shared" si="205"/>
        <v>0.78492575455692148</v>
      </c>
      <c r="P1622" s="24">
        <f>Data!K1622</f>
        <v>11921127000000</v>
      </c>
      <c r="Q1622" s="24">
        <f>Data!I1622</f>
        <v>2534575000000</v>
      </c>
      <c r="R1622" s="25">
        <f t="shared" si="206"/>
        <v>4.9385728771095749</v>
      </c>
      <c r="S1622" s="25">
        <f t="shared" si="207"/>
        <v>8.7648684592957604</v>
      </c>
    </row>
    <row r="1623" spans="1:19" ht="15" customHeight="1" x14ac:dyDescent="0.3">
      <c r="A1623" s="22"/>
      <c r="B1623" s="23"/>
      <c r="C1623" s="4"/>
      <c r="D1623" s="23">
        <v>2018</v>
      </c>
      <c r="E1623" s="24">
        <f>Data!F1623</f>
        <v>8107132000000</v>
      </c>
      <c r="F1623" s="24">
        <f>Data!H1623</f>
        <v>1215201000000</v>
      </c>
      <c r="G1623" s="24">
        <f t="shared" si="200"/>
        <v>6891931000000</v>
      </c>
      <c r="H1623" s="24">
        <f>Data!G1623</f>
        <v>14924414000000</v>
      </c>
      <c r="I1623" s="25">
        <f t="shared" si="201"/>
        <v>3.0293361843218767</v>
      </c>
      <c r="J1623" s="24">
        <f>Data!J1623</f>
        <v>2027879000000</v>
      </c>
      <c r="K1623" s="24">
        <f t="shared" si="202"/>
        <v>14924414000000</v>
      </c>
      <c r="L1623" s="25">
        <f t="shared" si="203"/>
        <v>0.44295779653392087</v>
      </c>
      <c r="M1623" s="24">
        <f>Data!M1623</f>
        <v>793287000000</v>
      </c>
      <c r="N1623" s="24">
        <f t="shared" si="204"/>
        <v>14924414000000</v>
      </c>
      <c r="O1623" s="25">
        <f t="shared" si="205"/>
        <v>0.3571924927839713</v>
      </c>
      <c r="P1623" s="24">
        <f>Data!K1623</f>
        <v>12230975000000</v>
      </c>
      <c r="Q1623" s="24">
        <f>Data!I1623</f>
        <v>2693439000000</v>
      </c>
      <c r="R1623" s="25">
        <f t="shared" si="206"/>
        <v>4.7680767041689087</v>
      </c>
      <c r="S1623" s="25">
        <f t="shared" si="207"/>
        <v>8.5975631778086772</v>
      </c>
    </row>
    <row r="1624" spans="1:19" ht="15" customHeight="1" x14ac:dyDescent="0.3">
      <c r="A1624" s="22"/>
      <c r="B1624" s="23"/>
      <c r="C1624" s="4"/>
      <c r="D1624" s="23">
        <v>2019</v>
      </c>
      <c r="E1624" s="24">
        <f>Data!F1624</f>
        <v>7682744000000</v>
      </c>
      <c r="F1624" s="24">
        <f>Data!H1624</f>
        <v>1637977000000</v>
      </c>
      <c r="G1624" s="24">
        <f t="shared" si="200"/>
        <v>6044767000000</v>
      </c>
      <c r="H1624" s="24">
        <f>Data!G1624</f>
        <v>15837343000000</v>
      </c>
      <c r="I1624" s="25">
        <f t="shared" si="201"/>
        <v>2.503808342093746</v>
      </c>
      <c r="J1624" s="24">
        <f>Data!J1624</f>
        <v>2005472000000</v>
      </c>
      <c r="K1624" s="24">
        <f t="shared" si="202"/>
        <v>15837343000000</v>
      </c>
      <c r="L1624" s="25">
        <f t="shared" si="203"/>
        <v>0.41281158840848492</v>
      </c>
      <c r="M1624" s="24">
        <f>Data!M1624</f>
        <v>566483000000</v>
      </c>
      <c r="N1624" s="24">
        <f t="shared" si="204"/>
        <v>15837343000000</v>
      </c>
      <c r="O1624" s="25">
        <f t="shared" si="205"/>
        <v>0.24036644025453005</v>
      </c>
      <c r="P1624" s="24">
        <f>Data!K1624</f>
        <v>12331587000000</v>
      </c>
      <c r="Q1624" s="24">
        <f>Data!I1624</f>
        <v>3505756000000</v>
      </c>
      <c r="R1624" s="25">
        <f t="shared" si="206"/>
        <v>3.6934020365364848</v>
      </c>
      <c r="S1624" s="25">
        <f t="shared" si="207"/>
        <v>6.8503884072932459</v>
      </c>
    </row>
    <row r="1625" spans="1:19" ht="15" customHeight="1" x14ac:dyDescent="0.3">
      <c r="A1625" s="22"/>
      <c r="B1625" s="23"/>
      <c r="C1625" s="4"/>
      <c r="D1625" s="23">
        <v>2020</v>
      </c>
      <c r="E1625" s="24">
        <f>Data!F1625</f>
        <v>7450865000000</v>
      </c>
      <c r="F1625" s="24">
        <f>Data!H1625</f>
        <v>1386535000000</v>
      </c>
      <c r="G1625" s="24">
        <f t="shared" si="200"/>
        <v>6064330000000</v>
      </c>
      <c r="H1625" s="24">
        <f>Data!G1625</f>
        <v>15801971000000</v>
      </c>
      <c r="I1625" s="25">
        <f t="shared" si="201"/>
        <v>2.5175343506199317</v>
      </c>
      <c r="J1625" s="24">
        <f>Data!J1625</f>
        <v>2060082000000</v>
      </c>
      <c r="K1625" s="24">
        <f t="shared" si="202"/>
        <v>15801971000000</v>
      </c>
      <c r="L1625" s="25">
        <f t="shared" si="203"/>
        <v>0.42500187603179373</v>
      </c>
      <c r="M1625" s="24">
        <f>Data!M1625</f>
        <v>446203000000</v>
      </c>
      <c r="N1625" s="24">
        <f t="shared" si="204"/>
        <v>15801971000000</v>
      </c>
      <c r="O1625" s="25">
        <f t="shared" si="205"/>
        <v>0.18975380729403946</v>
      </c>
      <c r="P1625" s="24">
        <f>Data!K1625</f>
        <v>12190281000000</v>
      </c>
      <c r="Q1625" s="24">
        <f>Data!I1625</f>
        <v>3611690000000</v>
      </c>
      <c r="R1625" s="25">
        <f t="shared" si="206"/>
        <v>3.5439905002921073</v>
      </c>
      <c r="S1625" s="25">
        <f t="shared" si="207"/>
        <v>6.6762805342378719</v>
      </c>
    </row>
    <row r="1626" spans="1:19" ht="15" customHeight="1" x14ac:dyDescent="0.3">
      <c r="A1626" s="22"/>
      <c r="B1626" s="23"/>
      <c r="C1626" s="4"/>
      <c r="D1626" s="23">
        <v>2021</v>
      </c>
      <c r="E1626" s="24">
        <f>Data!F1626</f>
        <v>8600720000000</v>
      </c>
      <c r="F1626" s="24">
        <f>Data!H1626</f>
        <v>1625147000000</v>
      </c>
      <c r="G1626" s="24">
        <f t="shared" si="200"/>
        <v>6975573000000</v>
      </c>
      <c r="H1626" s="24">
        <f>Data!G1626</f>
        <v>16149482000000</v>
      </c>
      <c r="I1626" s="25">
        <f t="shared" si="201"/>
        <v>2.8335124854159406</v>
      </c>
      <c r="J1626" s="24">
        <f>Data!J1626</f>
        <v>2117824000000</v>
      </c>
      <c r="K1626" s="24">
        <f t="shared" si="202"/>
        <v>16149482000000</v>
      </c>
      <c r="L1626" s="25">
        <f t="shared" si="203"/>
        <v>0.4275125505573491</v>
      </c>
      <c r="M1626" s="24">
        <f>Data!M1626</f>
        <v>191191000000</v>
      </c>
      <c r="N1626" s="24">
        <f t="shared" si="204"/>
        <v>16149482000000</v>
      </c>
      <c r="O1626" s="25">
        <f t="shared" si="205"/>
        <v>7.9556949256948298E-2</v>
      </c>
      <c r="P1626" s="24">
        <f>Data!K1626</f>
        <v>12174373000000</v>
      </c>
      <c r="Q1626" s="24">
        <f>Data!I1626</f>
        <v>3975109000000</v>
      </c>
      <c r="R1626" s="25">
        <f t="shared" si="206"/>
        <v>3.2157839319626205</v>
      </c>
      <c r="S1626" s="25">
        <f t="shared" si="207"/>
        <v>6.5563659171928581</v>
      </c>
    </row>
    <row r="1627" spans="1:19" ht="15" customHeight="1" x14ac:dyDescent="0.3">
      <c r="A1627" s="22"/>
      <c r="B1627" s="23"/>
      <c r="C1627" s="4"/>
      <c r="D1627" s="23">
        <v>2022</v>
      </c>
      <c r="E1627" s="24">
        <f>Data!F1627</f>
        <v>7520262000000</v>
      </c>
      <c r="F1627" s="24">
        <f>Data!H1627</f>
        <v>1548048000000</v>
      </c>
      <c r="G1627" s="24">
        <f t="shared" si="200"/>
        <v>5972214000000</v>
      </c>
      <c r="H1627" s="24">
        <f>Data!G1627</f>
        <v>16468014000000</v>
      </c>
      <c r="I1627" s="25">
        <f t="shared" si="201"/>
        <v>2.3790193425873936</v>
      </c>
      <c r="J1627" s="24">
        <f>Data!J1627</f>
        <v>2266428000000</v>
      </c>
      <c r="K1627" s="24">
        <f t="shared" si="202"/>
        <v>16468014000000</v>
      </c>
      <c r="L1627" s="25">
        <f t="shared" si="203"/>
        <v>0.44866097879197819</v>
      </c>
      <c r="M1627" s="24">
        <f>Data!M1627</f>
        <v>174914000000</v>
      </c>
      <c r="N1627" s="24">
        <f t="shared" si="204"/>
        <v>16468014000000</v>
      </c>
      <c r="O1627" s="25">
        <f t="shared" si="205"/>
        <v>7.1376067569532062E-2</v>
      </c>
      <c r="P1627" s="24">
        <f>Data!K1627</f>
        <v>12821213000000</v>
      </c>
      <c r="Q1627" s="24">
        <f>Data!I1627</f>
        <v>3646801000000</v>
      </c>
      <c r="R1627" s="25">
        <f t="shared" si="206"/>
        <v>3.6915295487743918</v>
      </c>
      <c r="S1627" s="25">
        <f t="shared" si="207"/>
        <v>6.5905859377232954</v>
      </c>
    </row>
    <row r="1628" spans="1:19" ht="15" customHeight="1" x14ac:dyDescent="0.3">
      <c r="A1628" s="22"/>
      <c r="B1628" s="23"/>
      <c r="C1628" s="4"/>
      <c r="D1628" s="23">
        <v>2023</v>
      </c>
      <c r="E1628" s="24">
        <f>Data!F1628</f>
        <v>7703198000000</v>
      </c>
      <c r="F1628" s="24">
        <f>Data!H1628</f>
        <v>1335581000000</v>
      </c>
      <c r="G1628" s="24">
        <f t="shared" si="200"/>
        <v>6367617000000</v>
      </c>
      <c r="H1628" s="24">
        <f>Data!G1628</f>
        <v>16787071000000</v>
      </c>
      <c r="I1628" s="25">
        <f t="shared" si="201"/>
        <v>2.4883177964756329</v>
      </c>
      <c r="J1628" s="24">
        <f>Data!J1628</f>
        <v>2716730000000</v>
      </c>
      <c r="K1628" s="24">
        <f t="shared" si="202"/>
        <v>16787071000000</v>
      </c>
      <c r="L1628" s="25">
        <f t="shared" si="203"/>
        <v>0.52758100564416499</v>
      </c>
      <c r="M1628" s="24">
        <f>Data!M1628</f>
        <v>596398000000</v>
      </c>
      <c r="N1628" s="24">
        <f t="shared" si="204"/>
        <v>16787071000000</v>
      </c>
      <c r="O1628" s="25">
        <f t="shared" si="205"/>
        <v>0.2387429325818661</v>
      </c>
      <c r="P1628" s="24">
        <f>Data!K1628</f>
        <v>12440546000000</v>
      </c>
      <c r="Q1628" s="24">
        <f>Data!I1628</f>
        <v>4346525000000</v>
      </c>
      <c r="R1628" s="25">
        <f t="shared" si="206"/>
        <v>3.0052911923893224</v>
      </c>
      <c r="S1628" s="25">
        <f t="shared" si="207"/>
        <v>6.2599329270909863</v>
      </c>
    </row>
    <row r="1629" spans="1:19" ht="15" customHeight="1" x14ac:dyDescent="0.3">
      <c r="A1629" s="22"/>
      <c r="B1629" s="23"/>
      <c r="C1629" s="4"/>
      <c r="D1629" s="23">
        <v>2024</v>
      </c>
      <c r="E1629" s="24">
        <f>Data!F1629</f>
        <v>7018615000000</v>
      </c>
      <c r="F1629" s="24">
        <f>Data!H1629</f>
        <v>1028497000000</v>
      </c>
      <c r="G1629" s="24">
        <f t="shared" si="200"/>
        <v>5990118000000</v>
      </c>
      <c r="H1629" s="24">
        <f>Data!G1629</f>
        <v>16807910000000</v>
      </c>
      <c r="I1629" s="25">
        <f t="shared" si="201"/>
        <v>2.3378976969771967</v>
      </c>
      <c r="J1629" s="24">
        <f>Data!J1629</f>
        <v>3018120000000</v>
      </c>
      <c r="K1629" s="24">
        <f t="shared" si="202"/>
        <v>16807910000000</v>
      </c>
      <c r="L1629" s="25">
        <f t="shared" si="203"/>
        <v>0.58538338199097917</v>
      </c>
      <c r="M1629" s="24">
        <f>Data!M1629</f>
        <v>377271000000</v>
      </c>
      <c r="N1629" s="24">
        <f t="shared" si="204"/>
        <v>16807910000000</v>
      </c>
      <c r="O1629" s="25">
        <f t="shared" si="205"/>
        <v>0.1508373807332381</v>
      </c>
      <c r="P1629" s="24">
        <f>Data!K1629</f>
        <v>12532550000000</v>
      </c>
      <c r="Q1629" s="24">
        <f>Data!I1629</f>
        <v>4275360000000</v>
      </c>
      <c r="R1629" s="25">
        <f t="shared" si="206"/>
        <v>3.0779109829347706</v>
      </c>
      <c r="S1629" s="25">
        <f t="shared" si="207"/>
        <v>6.1520294426361843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F282-1ACC-4DA6-946D-AA4B257222A5}">
  <dimension ref="A1:AA1481"/>
  <sheetViews>
    <sheetView zoomScale="80" zoomScaleNormal="80"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Q33" sqref="Q33"/>
    </sheetView>
  </sheetViews>
  <sheetFormatPr defaultColWidth="9.109375" defaultRowHeight="15" customHeight="1" x14ac:dyDescent="0.3"/>
  <cols>
    <col min="1" max="1" width="16.6640625" bestFit="1" customWidth="1"/>
    <col min="2" max="2" width="4.44140625" style="8" bestFit="1" customWidth="1"/>
    <col min="3" max="3" width="50" bestFit="1" customWidth="1"/>
    <col min="4" max="4" width="6.5546875" style="8" bestFit="1" customWidth="1"/>
    <col min="5" max="5" width="15" style="12" bestFit="1" customWidth="1"/>
    <col min="6" max="6" width="12.44140625" style="12" bestFit="1" customWidth="1"/>
    <col min="7" max="7" width="6.5546875" style="12" bestFit="1" customWidth="1"/>
    <col min="8" max="8" width="10.109375" style="12" bestFit="1" customWidth="1"/>
    <col min="9" max="9" width="7" style="12" bestFit="1" customWidth="1"/>
    <col min="10" max="10" width="7.44140625" style="12" bestFit="1" customWidth="1"/>
    <col min="11" max="11" width="8.5546875" style="12" bestFit="1" customWidth="1"/>
    <col min="12" max="12" width="24.33203125" style="12" bestFit="1" customWidth="1"/>
    <col min="13" max="13" width="23.33203125" style="14" bestFit="1" customWidth="1"/>
    <col min="14" max="14" width="19.5546875" style="105" bestFit="1" customWidth="1"/>
    <col min="15" max="15" width="10.6640625" style="14" bestFit="1" customWidth="1"/>
    <col min="16" max="16" width="15.88671875" style="14" bestFit="1" customWidth="1"/>
    <col min="17" max="17" width="15.109375" style="14" bestFit="1" customWidth="1"/>
    <col min="18" max="18" width="15.33203125" style="14" bestFit="1" customWidth="1"/>
    <col min="19" max="19" width="20.33203125" style="14" bestFit="1" customWidth="1"/>
    <col min="20" max="20" width="20.5546875" style="14" bestFit="1" customWidth="1"/>
    <col min="21" max="21" width="20.109375" style="14" bestFit="1" customWidth="1"/>
    <col min="22" max="22" width="23.88671875" style="104" bestFit="1" customWidth="1"/>
    <col min="23" max="26" width="13" style="104" bestFit="1" customWidth="1"/>
    <col min="27" max="27" width="12.33203125" style="104" bestFit="1" customWidth="1"/>
  </cols>
  <sheetData>
    <row r="1" spans="1:27" s="6" customFormat="1" ht="15" customHeight="1" x14ac:dyDescent="0.3">
      <c r="A1" s="18" t="s">
        <v>341</v>
      </c>
      <c r="B1" s="19" t="s">
        <v>0</v>
      </c>
      <c r="C1" s="18" t="s">
        <v>342</v>
      </c>
      <c r="D1" s="19" t="s">
        <v>152</v>
      </c>
      <c r="E1" s="21" t="s">
        <v>340</v>
      </c>
      <c r="F1" s="21" t="s">
        <v>343</v>
      </c>
      <c r="G1" s="21" t="s">
        <v>344</v>
      </c>
      <c r="H1" s="21" t="s">
        <v>345</v>
      </c>
      <c r="I1" s="21" t="s">
        <v>346</v>
      </c>
      <c r="J1" s="21" t="s">
        <v>347</v>
      </c>
      <c r="K1" s="21" t="s">
        <v>348</v>
      </c>
      <c r="L1" s="21" t="s">
        <v>349</v>
      </c>
      <c r="M1" s="20" t="s">
        <v>350</v>
      </c>
      <c r="N1" s="106" t="s">
        <v>353</v>
      </c>
      <c r="O1" s="20" t="s">
        <v>352</v>
      </c>
      <c r="P1" s="20" t="s">
        <v>351</v>
      </c>
      <c r="Q1" s="20" t="s">
        <v>359</v>
      </c>
      <c r="R1" s="20" t="s">
        <v>360</v>
      </c>
      <c r="S1" s="20" t="s">
        <v>354</v>
      </c>
      <c r="T1" s="20" t="s">
        <v>355</v>
      </c>
      <c r="U1" s="20" t="s">
        <v>356</v>
      </c>
      <c r="V1" s="107" t="s">
        <v>357</v>
      </c>
      <c r="W1" s="107" t="s">
        <v>361</v>
      </c>
      <c r="X1" s="107" t="s">
        <v>362</v>
      </c>
      <c r="Y1" s="107" t="s">
        <v>363</v>
      </c>
      <c r="Z1" s="107" t="s">
        <v>364</v>
      </c>
      <c r="AA1" s="107" t="s">
        <v>358</v>
      </c>
    </row>
    <row r="2" spans="1:27" ht="15" customHeight="1" x14ac:dyDescent="0.3">
      <c r="A2" s="22" t="s">
        <v>153</v>
      </c>
      <c r="B2" s="23">
        <v>1</v>
      </c>
      <c r="C2" s="3" t="s">
        <v>4</v>
      </c>
      <c r="D2" s="23">
        <v>2015</v>
      </c>
      <c r="E2" s="25">
        <f>'Current Ratio'!G3</f>
        <v>0</v>
      </c>
      <c r="F2" s="25">
        <f>'Cash Ratio'!G3</f>
        <v>0</v>
      </c>
      <c r="G2" s="25">
        <f>DAR!G3</f>
        <v>0</v>
      </c>
      <c r="H2" s="25">
        <f>DER!G3</f>
        <v>0</v>
      </c>
      <c r="I2" s="25">
        <f>NPM!G3</f>
        <v>0</v>
      </c>
      <c r="J2" s="25">
        <f>ROA!G3</f>
        <v>0</v>
      </c>
      <c r="K2" s="25">
        <f>ROE!G3</f>
        <v>0</v>
      </c>
      <c r="L2" s="25">
        <f>KM!E3</f>
        <v>0</v>
      </c>
      <c r="M2" s="24">
        <f>KI!E3</f>
        <v>0</v>
      </c>
      <c r="N2" s="108">
        <f>IO!E3</f>
        <v>0</v>
      </c>
      <c r="O2" s="24">
        <f>'BoC Size'!E3</f>
        <v>0</v>
      </c>
      <c r="P2" s="24">
        <f>'TMT E DK'!E3</f>
        <v>0</v>
      </c>
      <c r="Q2" s="24">
        <f>Data!R3</f>
        <v>0</v>
      </c>
      <c r="R2" s="24">
        <f>Data!S3</f>
        <v>0</v>
      </c>
      <c r="S2" s="24">
        <f>'TMT E DK'!E3</f>
        <v>0</v>
      </c>
      <c r="T2" s="24">
        <f>'TMT E DD'!E3</f>
        <v>0</v>
      </c>
      <c r="U2" s="24">
        <f>TA!E3</f>
        <v>0</v>
      </c>
      <c r="V2" s="109">
        <f>PR!F3</f>
        <v>0</v>
      </c>
      <c r="W2" s="109">
        <f>'Z Score'!I3</f>
        <v>0</v>
      </c>
      <c r="X2" s="109">
        <f>'Z Score'!L3</f>
        <v>0</v>
      </c>
      <c r="Y2" s="109">
        <f>'Z Score'!O3</f>
        <v>0</v>
      </c>
      <c r="Z2" s="109">
        <f>'Z Score'!R3</f>
        <v>0</v>
      </c>
      <c r="AA2" s="109">
        <f>'Z Score'!S3</f>
        <v>0</v>
      </c>
    </row>
    <row r="3" spans="1:27" ht="15" customHeight="1" x14ac:dyDescent="0.3">
      <c r="A3" s="22"/>
      <c r="B3" s="23"/>
      <c r="C3" s="3"/>
      <c r="D3" s="23">
        <v>2016</v>
      </c>
      <c r="E3" s="25">
        <f>'Current Ratio'!G4</f>
        <v>0</v>
      </c>
      <c r="F3" s="25">
        <f>'Cash Ratio'!G4</f>
        <v>0</v>
      </c>
      <c r="G3" s="25">
        <f>DAR!G4</f>
        <v>0</v>
      </c>
      <c r="H3" s="25">
        <f>DER!G4</f>
        <v>0</v>
      </c>
      <c r="I3" s="25">
        <f>NPM!G4</f>
        <v>0</v>
      </c>
      <c r="J3" s="25">
        <f>ROA!G4</f>
        <v>0</v>
      </c>
      <c r="K3" s="25">
        <f>ROE!G4</f>
        <v>0</v>
      </c>
      <c r="L3" s="25">
        <f>KM!E4</f>
        <v>0</v>
      </c>
      <c r="M3" s="24">
        <f>KI!E4</f>
        <v>0</v>
      </c>
      <c r="N3" s="108">
        <f>IO!E4</f>
        <v>0</v>
      </c>
      <c r="O3" s="24">
        <f>'BoC Size'!E4</f>
        <v>0</v>
      </c>
      <c r="P3" s="24">
        <f>'TMT E DK'!E4</f>
        <v>0</v>
      </c>
      <c r="Q3" s="24">
        <f>Data!R4</f>
        <v>0</v>
      </c>
      <c r="R3" s="24">
        <f>Data!S4</f>
        <v>0</v>
      </c>
      <c r="S3" s="24">
        <f>'TMT E DK'!E4</f>
        <v>0</v>
      </c>
      <c r="T3" s="24">
        <f>'TMT E DD'!E4</f>
        <v>0</v>
      </c>
      <c r="U3" s="24">
        <f>TA!E4</f>
        <v>0</v>
      </c>
      <c r="V3" s="109">
        <f>PR!F4</f>
        <v>0</v>
      </c>
      <c r="W3" s="109">
        <f>'Z Score'!I4</f>
        <v>0</v>
      </c>
      <c r="X3" s="109">
        <f>'Z Score'!L4</f>
        <v>0</v>
      </c>
      <c r="Y3" s="109">
        <f>'Z Score'!O4</f>
        <v>0</v>
      </c>
      <c r="Z3" s="109">
        <f>'Z Score'!R4</f>
        <v>0</v>
      </c>
      <c r="AA3" s="109">
        <f>'Z Score'!S4</f>
        <v>0</v>
      </c>
    </row>
    <row r="4" spans="1:27" ht="15" customHeight="1" x14ac:dyDescent="0.3">
      <c r="A4" s="22"/>
      <c r="B4" s="23"/>
      <c r="C4" s="3"/>
      <c r="D4" s="23">
        <v>2017</v>
      </c>
      <c r="E4" s="25">
        <f>'Current Ratio'!G5</f>
        <v>0</v>
      </c>
      <c r="F4" s="25">
        <f>'Cash Ratio'!G5</f>
        <v>0</v>
      </c>
      <c r="G4" s="25">
        <f>DAR!G5</f>
        <v>0</v>
      </c>
      <c r="H4" s="25">
        <f>DER!G5</f>
        <v>0</v>
      </c>
      <c r="I4" s="25">
        <f>NPM!G5</f>
        <v>0</v>
      </c>
      <c r="J4" s="25">
        <f>ROA!G5</f>
        <v>0</v>
      </c>
      <c r="K4" s="25">
        <f>ROE!G5</f>
        <v>0</v>
      </c>
      <c r="L4" s="25">
        <f>KM!E5</f>
        <v>0</v>
      </c>
      <c r="M4" s="24">
        <f>KI!E5</f>
        <v>0</v>
      </c>
      <c r="N4" s="108">
        <f>IO!E5</f>
        <v>0</v>
      </c>
      <c r="O4" s="24">
        <f>'BoC Size'!E5</f>
        <v>0</v>
      </c>
      <c r="P4" s="24">
        <f>'TMT E DK'!E5</f>
        <v>0</v>
      </c>
      <c r="Q4" s="24">
        <f>Data!R5</f>
        <v>0</v>
      </c>
      <c r="R4" s="24">
        <f>Data!S5</f>
        <v>0</v>
      </c>
      <c r="S4" s="24">
        <f>'TMT E DK'!E5</f>
        <v>0</v>
      </c>
      <c r="T4" s="24">
        <f>'TMT E DD'!E5</f>
        <v>0</v>
      </c>
      <c r="U4" s="24">
        <f>TA!E5</f>
        <v>0</v>
      </c>
      <c r="V4" s="109">
        <f>PR!F5</f>
        <v>0</v>
      </c>
      <c r="W4" s="109">
        <f>'Z Score'!I5</f>
        <v>0</v>
      </c>
      <c r="X4" s="109">
        <f>'Z Score'!L5</f>
        <v>0</v>
      </c>
      <c r="Y4" s="109">
        <f>'Z Score'!O5</f>
        <v>0</v>
      </c>
      <c r="Z4" s="109">
        <f>'Z Score'!R5</f>
        <v>0</v>
      </c>
      <c r="AA4" s="109">
        <f>'Z Score'!S5</f>
        <v>0</v>
      </c>
    </row>
    <row r="5" spans="1:27" ht="15" customHeight="1" x14ac:dyDescent="0.3">
      <c r="A5" s="22"/>
      <c r="B5" s="23"/>
      <c r="C5" s="3"/>
      <c r="D5" s="23">
        <v>2018</v>
      </c>
      <c r="E5" s="25">
        <f>'Current Ratio'!G6</f>
        <v>0</v>
      </c>
      <c r="F5" s="25">
        <f>'Cash Ratio'!G6</f>
        <v>0</v>
      </c>
      <c r="G5" s="25">
        <f>DAR!G6</f>
        <v>0</v>
      </c>
      <c r="H5" s="25">
        <f>DER!G6</f>
        <v>0</v>
      </c>
      <c r="I5" s="25">
        <f>NPM!G6</f>
        <v>0</v>
      </c>
      <c r="J5" s="25">
        <f>ROA!G6</f>
        <v>0</v>
      </c>
      <c r="K5" s="25">
        <f>ROE!G6</f>
        <v>0</v>
      </c>
      <c r="L5" s="25">
        <f>KM!E6</f>
        <v>0</v>
      </c>
      <c r="M5" s="24">
        <f>KI!E6</f>
        <v>0</v>
      </c>
      <c r="N5" s="108">
        <f>IO!E6</f>
        <v>0</v>
      </c>
      <c r="O5" s="24">
        <f>'BoC Size'!E6</f>
        <v>0</v>
      </c>
      <c r="P5" s="24">
        <f>'TMT E DK'!E6</f>
        <v>0</v>
      </c>
      <c r="Q5" s="24">
        <f>Data!R6</f>
        <v>0</v>
      </c>
      <c r="R5" s="24">
        <f>Data!S6</f>
        <v>0</v>
      </c>
      <c r="S5" s="24">
        <f>'TMT E DK'!E6</f>
        <v>0</v>
      </c>
      <c r="T5" s="24">
        <f>'TMT E DD'!E6</f>
        <v>0</v>
      </c>
      <c r="U5" s="24">
        <f>TA!E6</f>
        <v>0</v>
      </c>
      <c r="V5" s="109">
        <f>PR!F6</f>
        <v>0</v>
      </c>
      <c r="W5" s="109">
        <f>'Z Score'!I6</f>
        <v>0</v>
      </c>
      <c r="X5" s="109">
        <f>'Z Score'!L6</f>
        <v>0</v>
      </c>
      <c r="Y5" s="109">
        <f>'Z Score'!O6</f>
        <v>0</v>
      </c>
      <c r="Z5" s="109">
        <f>'Z Score'!R6</f>
        <v>0</v>
      </c>
      <c r="AA5" s="109">
        <f>'Z Score'!S6</f>
        <v>0</v>
      </c>
    </row>
    <row r="6" spans="1:27" ht="15" customHeight="1" x14ac:dyDescent="0.3">
      <c r="A6" s="22"/>
      <c r="B6" s="23"/>
      <c r="C6" s="3"/>
      <c r="D6" s="23">
        <v>2019</v>
      </c>
      <c r="E6" s="25">
        <f>'Current Ratio'!G7</f>
        <v>0</v>
      </c>
      <c r="F6" s="25">
        <f>'Cash Ratio'!G7</f>
        <v>0</v>
      </c>
      <c r="G6" s="25">
        <f>DAR!G7</f>
        <v>0</v>
      </c>
      <c r="H6" s="25">
        <f>DER!G7</f>
        <v>0</v>
      </c>
      <c r="I6" s="25">
        <f>NPM!G7</f>
        <v>0</v>
      </c>
      <c r="J6" s="25">
        <f>ROA!G7</f>
        <v>0</v>
      </c>
      <c r="K6" s="25">
        <f>ROE!G7</f>
        <v>0</v>
      </c>
      <c r="L6" s="25">
        <f>KM!E7</f>
        <v>0</v>
      </c>
      <c r="M6" s="24">
        <f>KI!E7</f>
        <v>0</v>
      </c>
      <c r="N6" s="108">
        <f>IO!E7</f>
        <v>0</v>
      </c>
      <c r="O6" s="24">
        <f>'BoC Size'!E7</f>
        <v>0</v>
      </c>
      <c r="P6" s="24">
        <f>'TMT E DK'!E7</f>
        <v>0</v>
      </c>
      <c r="Q6" s="24">
        <f>Data!R7</f>
        <v>0</v>
      </c>
      <c r="R6" s="24">
        <f>Data!S7</f>
        <v>0</v>
      </c>
      <c r="S6" s="24">
        <f>'TMT E DK'!E7</f>
        <v>0</v>
      </c>
      <c r="T6" s="24">
        <f>'TMT E DD'!E7</f>
        <v>0</v>
      </c>
      <c r="U6" s="24">
        <f>TA!E7</f>
        <v>0</v>
      </c>
      <c r="V6" s="109">
        <f>PR!F7</f>
        <v>0</v>
      </c>
      <c r="W6" s="109">
        <f>'Z Score'!I7</f>
        <v>0</v>
      </c>
      <c r="X6" s="109">
        <f>'Z Score'!L7</f>
        <v>0</v>
      </c>
      <c r="Y6" s="109">
        <f>'Z Score'!O7</f>
        <v>0</v>
      </c>
      <c r="Z6" s="109">
        <f>'Z Score'!R7</f>
        <v>0</v>
      </c>
      <c r="AA6" s="109">
        <f>'Z Score'!S7</f>
        <v>0</v>
      </c>
    </row>
    <row r="7" spans="1:27" ht="15" customHeight="1" x14ac:dyDescent="0.3">
      <c r="A7" s="22"/>
      <c r="B7" s="23"/>
      <c r="C7" s="3"/>
      <c r="D7" s="23">
        <v>2020</v>
      </c>
      <c r="E7" s="25">
        <f>'Current Ratio'!G8</f>
        <v>0</v>
      </c>
      <c r="F7" s="25">
        <f>'Cash Ratio'!G8</f>
        <v>0</v>
      </c>
      <c r="G7" s="25">
        <f>DAR!G8</f>
        <v>0</v>
      </c>
      <c r="H7" s="25">
        <f>DER!G8</f>
        <v>0</v>
      </c>
      <c r="I7" s="25">
        <f>NPM!G8</f>
        <v>0</v>
      </c>
      <c r="J7" s="25">
        <f>ROA!G8</f>
        <v>0</v>
      </c>
      <c r="K7" s="25">
        <f>ROE!G8</f>
        <v>0</v>
      </c>
      <c r="L7" s="25">
        <f>KM!E8</f>
        <v>0</v>
      </c>
      <c r="M7" s="24">
        <f>KI!E8</f>
        <v>0</v>
      </c>
      <c r="N7" s="108">
        <f>IO!E8</f>
        <v>0</v>
      </c>
      <c r="O7" s="24">
        <f>'BoC Size'!E8</f>
        <v>0</v>
      </c>
      <c r="P7" s="24">
        <f>'TMT E DK'!E8</f>
        <v>0</v>
      </c>
      <c r="Q7" s="24">
        <f>Data!R8</f>
        <v>0</v>
      </c>
      <c r="R7" s="24">
        <f>Data!S8</f>
        <v>0</v>
      </c>
      <c r="S7" s="24">
        <f>'TMT E DK'!E8</f>
        <v>0</v>
      </c>
      <c r="T7" s="24">
        <f>'TMT E DD'!E8</f>
        <v>0</v>
      </c>
      <c r="U7" s="24">
        <f>TA!E8</f>
        <v>0</v>
      </c>
      <c r="V7" s="109">
        <f>PR!F8</f>
        <v>0</v>
      </c>
      <c r="W7" s="109">
        <f>'Z Score'!I8</f>
        <v>0</v>
      </c>
      <c r="X7" s="109">
        <f>'Z Score'!L8</f>
        <v>0</v>
      </c>
      <c r="Y7" s="109">
        <f>'Z Score'!O8</f>
        <v>0</v>
      </c>
      <c r="Z7" s="109">
        <f>'Z Score'!R8</f>
        <v>0</v>
      </c>
      <c r="AA7" s="109">
        <f>'Z Score'!S8</f>
        <v>0</v>
      </c>
    </row>
    <row r="8" spans="1:27" ht="15" customHeight="1" x14ac:dyDescent="0.3">
      <c r="A8" s="22"/>
      <c r="B8" s="23"/>
      <c r="C8" s="3"/>
      <c r="D8" s="23">
        <v>2021</v>
      </c>
      <c r="E8" s="25">
        <f>'Current Ratio'!G9</f>
        <v>0</v>
      </c>
      <c r="F8" s="25">
        <f>'Cash Ratio'!G9</f>
        <v>0</v>
      </c>
      <c r="G8" s="25">
        <f>DAR!G9</f>
        <v>0</v>
      </c>
      <c r="H8" s="25">
        <f>DER!G9</f>
        <v>0</v>
      </c>
      <c r="I8" s="25">
        <f>NPM!G9</f>
        <v>0</v>
      </c>
      <c r="J8" s="25">
        <f>ROA!G9</f>
        <v>0</v>
      </c>
      <c r="K8" s="25">
        <f>ROE!G9</f>
        <v>0</v>
      </c>
      <c r="L8" s="25">
        <f>KM!E9</f>
        <v>0</v>
      </c>
      <c r="M8" s="24">
        <f>KI!E9</f>
        <v>0</v>
      </c>
      <c r="N8" s="108">
        <f>IO!E9</f>
        <v>0</v>
      </c>
      <c r="O8" s="24">
        <f>'BoC Size'!E9</f>
        <v>0</v>
      </c>
      <c r="P8" s="24">
        <f>'TMT E DK'!E9</f>
        <v>0</v>
      </c>
      <c r="Q8" s="24">
        <f>Data!R9</f>
        <v>0</v>
      </c>
      <c r="R8" s="24">
        <f>Data!S9</f>
        <v>0</v>
      </c>
      <c r="S8" s="24">
        <f>'TMT E DK'!E9</f>
        <v>0</v>
      </c>
      <c r="T8" s="24">
        <f>'TMT E DD'!E9</f>
        <v>0</v>
      </c>
      <c r="U8" s="24">
        <f>TA!E9</f>
        <v>0</v>
      </c>
      <c r="V8" s="109">
        <f>PR!F9</f>
        <v>0</v>
      </c>
      <c r="W8" s="109">
        <f>'Z Score'!I9</f>
        <v>0</v>
      </c>
      <c r="X8" s="109">
        <f>'Z Score'!L9</f>
        <v>0</v>
      </c>
      <c r="Y8" s="109">
        <f>'Z Score'!O9</f>
        <v>0</v>
      </c>
      <c r="Z8" s="109">
        <f>'Z Score'!R9</f>
        <v>0</v>
      </c>
      <c r="AA8" s="109">
        <f>'Z Score'!S9</f>
        <v>0</v>
      </c>
    </row>
    <row r="9" spans="1:27" ht="15" customHeight="1" x14ac:dyDescent="0.3">
      <c r="A9" s="22"/>
      <c r="B9" s="23"/>
      <c r="C9" s="3"/>
      <c r="D9" s="23">
        <v>2022</v>
      </c>
      <c r="E9" s="25">
        <f>'Current Ratio'!G10</f>
        <v>0</v>
      </c>
      <c r="F9" s="25">
        <f>'Cash Ratio'!G10</f>
        <v>0</v>
      </c>
      <c r="G9" s="25">
        <f>DAR!G10</f>
        <v>0</v>
      </c>
      <c r="H9" s="25">
        <f>DER!G10</f>
        <v>0</v>
      </c>
      <c r="I9" s="25">
        <f>NPM!G10</f>
        <v>0</v>
      </c>
      <c r="J9" s="25">
        <f>ROA!G10</f>
        <v>0</v>
      </c>
      <c r="K9" s="25">
        <f>ROE!G10</f>
        <v>0</v>
      </c>
      <c r="L9" s="25">
        <f>KM!E10</f>
        <v>0</v>
      </c>
      <c r="M9" s="24">
        <f>KI!E10</f>
        <v>0</v>
      </c>
      <c r="N9" s="108">
        <f>IO!E10</f>
        <v>0</v>
      </c>
      <c r="O9" s="24">
        <f>'BoC Size'!E10</f>
        <v>0</v>
      </c>
      <c r="P9" s="24">
        <f>'TMT E DK'!E10</f>
        <v>0</v>
      </c>
      <c r="Q9" s="24">
        <f>Data!R10</f>
        <v>0</v>
      </c>
      <c r="R9" s="24">
        <f>Data!S10</f>
        <v>0</v>
      </c>
      <c r="S9" s="24">
        <f>'TMT E DK'!E10</f>
        <v>0</v>
      </c>
      <c r="T9" s="24">
        <f>'TMT E DD'!E10</f>
        <v>0</v>
      </c>
      <c r="U9" s="24">
        <f>TA!E10</f>
        <v>0</v>
      </c>
      <c r="V9" s="109">
        <f>PR!F10</f>
        <v>0</v>
      </c>
      <c r="W9" s="109">
        <f>'Z Score'!I10</f>
        <v>0</v>
      </c>
      <c r="X9" s="109">
        <f>'Z Score'!L10</f>
        <v>0</v>
      </c>
      <c r="Y9" s="109">
        <f>'Z Score'!O10</f>
        <v>0</v>
      </c>
      <c r="Z9" s="109">
        <f>'Z Score'!R10</f>
        <v>0</v>
      </c>
      <c r="AA9" s="109">
        <f>'Z Score'!S10</f>
        <v>0</v>
      </c>
    </row>
    <row r="10" spans="1:27" ht="15" customHeight="1" x14ac:dyDescent="0.3">
      <c r="A10" s="22"/>
      <c r="B10" s="23"/>
      <c r="C10" s="3"/>
      <c r="D10" s="23">
        <v>2023</v>
      </c>
      <c r="E10" s="25">
        <f>'Current Ratio'!G11</f>
        <v>0</v>
      </c>
      <c r="F10" s="25">
        <f>'Cash Ratio'!G11</f>
        <v>0</v>
      </c>
      <c r="G10" s="25">
        <f>DAR!G11</f>
        <v>0</v>
      </c>
      <c r="H10" s="25">
        <f>DER!G11</f>
        <v>0</v>
      </c>
      <c r="I10" s="25">
        <f>NPM!G11</f>
        <v>0</v>
      </c>
      <c r="J10" s="25">
        <f>ROA!G11</f>
        <v>0</v>
      </c>
      <c r="K10" s="25">
        <f>ROE!G11</f>
        <v>0</v>
      </c>
      <c r="L10" s="25">
        <f>KM!E11</f>
        <v>0</v>
      </c>
      <c r="M10" s="24">
        <f>KI!E11</f>
        <v>0</v>
      </c>
      <c r="N10" s="108">
        <f>IO!E11</f>
        <v>0</v>
      </c>
      <c r="O10" s="24">
        <f>'BoC Size'!E11</f>
        <v>0</v>
      </c>
      <c r="P10" s="24">
        <f>'TMT E DK'!E11</f>
        <v>0</v>
      </c>
      <c r="Q10" s="24">
        <f>Data!R11</f>
        <v>0</v>
      </c>
      <c r="R10" s="24">
        <f>Data!S11</f>
        <v>0</v>
      </c>
      <c r="S10" s="24">
        <f>'TMT E DK'!E11</f>
        <v>0</v>
      </c>
      <c r="T10" s="24">
        <f>'TMT E DD'!E11</f>
        <v>0</v>
      </c>
      <c r="U10" s="24">
        <f>TA!E11</f>
        <v>0</v>
      </c>
      <c r="V10" s="109">
        <f>PR!F11</f>
        <v>0</v>
      </c>
      <c r="W10" s="109">
        <f>'Z Score'!I11</f>
        <v>0</v>
      </c>
      <c r="X10" s="109">
        <f>'Z Score'!L11</f>
        <v>0</v>
      </c>
      <c r="Y10" s="109">
        <f>'Z Score'!O11</f>
        <v>0</v>
      </c>
      <c r="Z10" s="109">
        <f>'Z Score'!R11</f>
        <v>0</v>
      </c>
      <c r="AA10" s="109">
        <f>'Z Score'!S11</f>
        <v>0</v>
      </c>
    </row>
    <row r="11" spans="1:27" ht="15" customHeight="1" x14ac:dyDescent="0.3">
      <c r="A11" s="22"/>
      <c r="B11" s="23"/>
      <c r="C11" s="3"/>
      <c r="D11" s="23">
        <v>2024</v>
      </c>
      <c r="E11" s="25">
        <f>'Current Ratio'!G12</f>
        <v>0</v>
      </c>
      <c r="F11" s="25">
        <f>'Cash Ratio'!G12</f>
        <v>0</v>
      </c>
      <c r="G11" s="25">
        <f>DAR!G12</f>
        <v>0</v>
      </c>
      <c r="H11" s="25">
        <f>DER!G12</f>
        <v>0</v>
      </c>
      <c r="I11" s="25">
        <f>NPM!G12</f>
        <v>0</v>
      </c>
      <c r="J11" s="25">
        <f>ROA!G12</f>
        <v>0</v>
      </c>
      <c r="K11" s="25">
        <f>ROE!G12</f>
        <v>0</v>
      </c>
      <c r="L11" s="25">
        <f>KM!E12</f>
        <v>0</v>
      </c>
      <c r="M11" s="24">
        <f>KI!E12</f>
        <v>0</v>
      </c>
      <c r="N11" s="108">
        <f>IO!E12</f>
        <v>0</v>
      </c>
      <c r="O11" s="24">
        <f>'BoC Size'!E12</f>
        <v>0</v>
      </c>
      <c r="P11" s="24">
        <f>'TMT E DK'!E12</f>
        <v>0</v>
      </c>
      <c r="Q11" s="24">
        <f>Data!R12</f>
        <v>0</v>
      </c>
      <c r="R11" s="24">
        <f>Data!S12</f>
        <v>0</v>
      </c>
      <c r="S11" s="24">
        <f>'TMT E DK'!E12</f>
        <v>0</v>
      </c>
      <c r="T11" s="24">
        <f>'TMT E DD'!E12</f>
        <v>0</v>
      </c>
      <c r="U11" s="24">
        <f>TA!E12</f>
        <v>0</v>
      </c>
      <c r="V11" s="109">
        <f>PR!F12</f>
        <v>0</v>
      </c>
      <c r="W11" s="109">
        <f>'Z Score'!I12</f>
        <v>0</v>
      </c>
      <c r="X11" s="109">
        <f>'Z Score'!L12</f>
        <v>0</v>
      </c>
      <c r="Y11" s="109">
        <f>'Z Score'!O12</f>
        <v>0</v>
      </c>
      <c r="Z11" s="109">
        <f>'Z Score'!R12</f>
        <v>0</v>
      </c>
      <c r="AA11" s="109">
        <f>'Z Score'!S12</f>
        <v>0</v>
      </c>
    </row>
    <row r="12" spans="1:27" ht="15" customHeight="1" x14ac:dyDescent="0.3">
      <c r="A12" s="22"/>
      <c r="B12" s="23">
        <v>2</v>
      </c>
      <c r="C12" s="3" t="s">
        <v>2</v>
      </c>
      <c r="D12" s="23">
        <v>2015</v>
      </c>
      <c r="E12" s="25">
        <f>'Current Ratio'!G14</f>
        <v>0.5187505556255485</v>
      </c>
      <c r="F12" s="25">
        <f>'Cash Ratio'!G14</f>
        <v>0.17580074163398363</v>
      </c>
      <c r="G12" s="25">
        <f>DAR!G14</f>
        <v>0.79381493096534395</v>
      </c>
      <c r="H12" s="25">
        <f>DER!G14</f>
        <v>3.8500117136605945</v>
      </c>
      <c r="I12" s="25">
        <f>NPM!G14</f>
        <v>9.4418626856476479E-2</v>
      </c>
      <c r="J12" s="25">
        <f>ROA!G14</f>
        <v>2.6629365837570338E-2</v>
      </c>
      <c r="K12" s="25">
        <f>ROE!G14</f>
        <v>0.12915273623956941</v>
      </c>
      <c r="L12" s="25">
        <f>KM!E14</f>
        <v>0.8</v>
      </c>
      <c r="M12" s="24">
        <f>KI!E14</f>
        <v>2</v>
      </c>
      <c r="N12" s="108">
        <f>IO!E14</f>
        <v>0</v>
      </c>
      <c r="O12" s="24">
        <f>'BoC Size'!E14</f>
        <v>4</v>
      </c>
      <c r="P12" s="24">
        <f>'TMT E DK'!E14</f>
        <v>0</v>
      </c>
      <c r="Q12" s="24">
        <f>Data!R14</f>
        <v>4</v>
      </c>
      <c r="R12" s="24">
        <f>Data!S14</f>
        <v>5</v>
      </c>
      <c r="S12" s="24">
        <f>'TMT E DK'!E14</f>
        <v>0</v>
      </c>
      <c r="T12" s="24">
        <f>'TMT E DD'!E14</f>
        <v>0</v>
      </c>
      <c r="U12" s="24">
        <f>TA!E14</f>
        <v>31860954000000</v>
      </c>
      <c r="V12" s="109">
        <f>PR!F14</f>
        <v>-0.24795887683429088</v>
      </c>
      <c r="W12" s="109">
        <f>'Z Score'!I14</f>
        <v>-0.18167732202871262</v>
      </c>
      <c r="X12" s="109">
        <f>'Z Score'!L14</f>
        <v>0.59211276912800537</v>
      </c>
      <c r="Y12" s="109">
        <f>'Z Score'!O14</f>
        <v>0.34782720442080922</v>
      </c>
      <c r="Z12" s="109">
        <f>'Z Score'!R14</f>
        <v>0.27272644295454868</v>
      </c>
      <c r="AA12" s="109">
        <f>'Z Score'!S14</f>
        <v>1.0309890944746507</v>
      </c>
    </row>
    <row r="13" spans="1:27" ht="15" customHeight="1" x14ac:dyDescent="0.3">
      <c r="A13" s="22"/>
      <c r="B13" s="23"/>
      <c r="C13" s="3"/>
      <c r="D13" s="23">
        <v>2016</v>
      </c>
      <c r="E13" s="25">
        <f>'Current Ratio'!G15</f>
        <v>0.53187869210648675</v>
      </c>
      <c r="F13" s="25">
        <f>'Cash Ratio'!G15</f>
        <v>0.18249999762297989</v>
      </c>
      <c r="G13" s="25">
        <f>DAR!G15</f>
        <v>0.78286780333184725</v>
      </c>
      <c r="H13" s="25">
        <f>DER!G15</f>
        <v>3.605489261126571</v>
      </c>
      <c r="I13" s="25">
        <f>NPM!G15</f>
        <v>9.0249093804442695E-2</v>
      </c>
      <c r="J13" s="25">
        <f>ROA!G15</f>
        <v>3.3468858926211674E-2</v>
      </c>
      <c r="K13" s="25">
        <f>ROE!G15</f>
        <v>0.15414047036682804</v>
      </c>
      <c r="L13" s="25">
        <f>KM!E15</f>
        <v>0.8</v>
      </c>
      <c r="M13" s="24">
        <f>KI!E15</f>
        <v>2</v>
      </c>
      <c r="N13" s="108">
        <f>IO!E15</f>
        <v>0</v>
      </c>
      <c r="O13" s="24">
        <f>'BoC Size'!E15</f>
        <v>4</v>
      </c>
      <c r="P13" s="24">
        <f>'TMT E DK'!E15</f>
        <v>0</v>
      </c>
      <c r="Q13" s="24">
        <f>Data!R15</f>
        <v>4</v>
      </c>
      <c r="R13" s="24">
        <f>Data!S15</f>
        <v>5</v>
      </c>
      <c r="S13" s="24">
        <f>'TMT E DK'!E15</f>
        <v>0</v>
      </c>
      <c r="T13" s="24">
        <f>'TMT E DD'!E15</f>
        <v>0</v>
      </c>
      <c r="U13" s="24">
        <f>TA!E15</f>
        <v>35767906000000</v>
      </c>
      <c r="V13" s="109">
        <f>PR!F15</f>
        <v>0.47614714908578509</v>
      </c>
      <c r="W13" s="109">
        <f>'Z Score'!I15</f>
        <v>-0.18059506642630965</v>
      </c>
      <c r="X13" s="109">
        <f>'Z Score'!L15</f>
        <v>0.62437075293141286</v>
      </c>
      <c r="Y13" s="109">
        <f>'Z Score'!O15</f>
        <v>0.19431086628330996</v>
      </c>
      <c r="Z13" s="109">
        <f>'Z Score'!R15</f>
        <v>0.29122261195472737</v>
      </c>
      <c r="AA13" s="109">
        <f>'Z Score'!S15</f>
        <v>0.92930916474314063</v>
      </c>
    </row>
    <row r="14" spans="1:27" ht="15" customHeight="1" x14ac:dyDescent="0.3">
      <c r="A14" s="22"/>
      <c r="B14" s="23"/>
      <c r="C14" s="3"/>
      <c r="D14" s="23">
        <v>2017</v>
      </c>
      <c r="E14" s="25">
        <f>'Current Ratio'!G16</f>
        <v>0.41304751689239594</v>
      </c>
      <c r="F14" s="25">
        <f>'Cash Ratio'!G16</f>
        <v>0.14801072565670903</v>
      </c>
      <c r="G14" s="25">
        <f>DAR!G16</f>
        <v>0.7649632737103963</v>
      </c>
      <c r="H14" s="25">
        <f>DER!G16</f>
        <v>3.2546542227100126</v>
      </c>
      <c r="I14" s="25">
        <f>NPM!G16</f>
        <v>0.10065087372176262</v>
      </c>
      <c r="J14" s="25">
        <f>ROA!G16</f>
        <v>3.4768828526649982E-2</v>
      </c>
      <c r="K14" s="25">
        <f>ROE!G16</f>
        <v>0.14792934310959169</v>
      </c>
      <c r="L14" s="25">
        <f>KM!E16</f>
        <v>0.95</v>
      </c>
      <c r="M14" s="24">
        <f>KI!E16</f>
        <v>2</v>
      </c>
      <c r="N14" s="108">
        <f>IO!E16</f>
        <v>0</v>
      </c>
      <c r="O14" s="24">
        <f>'BoC Size'!E16</f>
        <v>4</v>
      </c>
      <c r="P14" s="24">
        <f>'TMT E DK'!E16</f>
        <v>0</v>
      </c>
      <c r="Q14" s="24">
        <f>Data!R16</f>
        <v>4</v>
      </c>
      <c r="R14" s="24">
        <f>Data!S16</f>
        <v>5</v>
      </c>
      <c r="S14" s="24">
        <f>'TMT E DK'!E16</f>
        <v>0</v>
      </c>
      <c r="T14" s="24">
        <f>'TMT E DD'!E16</f>
        <v>0</v>
      </c>
      <c r="U14" s="24">
        <f>TA!E16</f>
        <v>44937292000000</v>
      </c>
      <c r="V14" s="109">
        <f>PR!F16</f>
        <v>0.17027475021525465</v>
      </c>
      <c r="W14" s="109">
        <f>'Z Score'!I16</f>
        <v>-0.26704619050030876</v>
      </c>
      <c r="X14" s="109">
        <f>'Z Score'!L16</f>
        <v>0.52522867555080976</v>
      </c>
      <c r="Y14" s="109">
        <f>'Z Score'!O16</f>
        <v>8.1061781826995721E-2</v>
      </c>
      <c r="Z14" s="109">
        <f>'Z Score'!R16</f>
        <v>0.3226149164090647</v>
      </c>
      <c r="AA14" s="109">
        <f>'Z Score'!S16</f>
        <v>0.66185918328656146</v>
      </c>
    </row>
    <row r="15" spans="1:27" ht="15" customHeight="1" x14ac:dyDescent="0.3">
      <c r="A15" s="22"/>
      <c r="B15" s="23"/>
      <c r="C15" s="3"/>
      <c r="D15" s="23">
        <v>2018</v>
      </c>
      <c r="E15" s="25">
        <f>'Current Ratio'!G17</f>
        <v>0.45345418941728388</v>
      </c>
      <c r="F15" s="25">
        <f>'Cash Ratio'!G17</f>
        <v>0.21582091434955761</v>
      </c>
      <c r="G15" s="25">
        <f>DAR!G17</f>
        <v>0.76317396875253629</v>
      </c>
      <c r="H15" s="25">
        <f>DER!G17</f>
        <v>3.2225087957289715</v>
      </c>
      <c r="I15" s="25">
        <f>NPM!G17</f>
        <v>8.3316414251695864E-2</v>
      </c>
      <c r="J15" s="25">
        <f>ROA!G17</f>
        <v>2.2879174413143882E-2</v>
      </c>
      <c r="K15" s="25">
        <f>ROE!G17</f>
        <v>9.6607515198517263E-2</v>
      </c>
      <c r="L15" s="25">
        <f>KM!E17</f>
        <v>0.95</v>
      </c>
      <c r="M15" s="24">
        <f>KI!E17</f>
        <v>2</v>
      </c>
      <c r="N15" s="108">
        <f>IO!E17</f>
        <v>0</v>
      </c>
      <c r="O15" s="24">
        <f>'BoC Size'!E17</f>
        <v>4</v>
      </c>
      <c r="P15" s="24">
        <f>'TMT E DK'!E17</f>
        <v>0</v>
      </c>
      <c r="Q15" s="24">
        <f>Data!R17</f>
        <v>4</v>
      </c>
      <c r="R15" s="24">
        <f>Data!S17</f>
        <v>5</v>
      </c>
      <c r="S15" s="24">
        <f>'TMT E DK'!E17</f>
        <v>0</v>
      </c>
      <c r="T15" s="24">
        <f>'TMT E DD'!E17</f>
        <v>0</v>
      </c>
      <c r="U15" s="24">
        <f>TA!E17</f>
        <v>46562563000000</v>
      </c>
      <c r="V15" s="109">
        <f>PR!F17</f>
        <v>-0.17630344491002911</v>
      </c>
      <c r="W15" s="109">
        <f>'Z Score'!I17</f>
        <v>-0.25637931657670987</v>
      </c>
      <c r="X15" s="109">
        <f>'Z Score'!L17</f>
        <v>0.59978044722323387</v>
      </c>
      <c r="Y15" s="109">
        <f>'Z Score'!O17</f>
        <v>0.31031341294507347</v>
      </c>
      <c r="Z15" s="109">
        <f>'Z Score'!R17</f>
        <v>0.32583309047647674</v>
      </c>
      <c r="AA15" s="109">
        <f>'Z Score'!S17</f>
        <v>0.97954763406807421</v>
      </c>
    </row>
    <row r="16" spans="1:27" ht="15" customHeight="1" x14ac:dyDescent="0.3">
      <c r="A16" s="22"/>
      <c r="B16" s="23"/>
      <c r="C16" s="3"/>
      <c r="D16" s="23">
        <v>2019</v>
      </c>
      <c r="E16" s="25">
        <f>'Current Ratio'!G18</f>
        <v>0.59418150903044276</v>
      </c>
      <c r="F16" s="25">
        <f>'Cash Ratio'!G18</f>
        <v>0.30262860235899081</v>
      </c>
      <c r="G16" s="25">
        <f>DAR!G18</f>
        <v>0.76279233245377021</v>
      </c>
      <c r="H16" s="25">
        <f>DER!G18</f>
        <v>3.2157153280262674</v>
      </c>
      <c r="I16" s="25">
        <f>NPM!G18</f>
        <v>0.13536390447263552</v>
      </c>
      <c r="J16" s="25">
        <f>ROA!G18</f>
        <v>4.2050016801542606E-2</v>
      </c>
      <c r="K16" s="25">
        <f>ROE!G18</f>
        <v>0.17727090037402524</v>
      </c>
      <c r="L16" s="25">
        <f>KM!E18</f>
        <v>0.94989999999999997</v>
      </c>
      <c r="M16" s="24">
        <f>KI!E18</f>
        <v>2</v>
      </c>
      <c r="N16" s="108">
        <f>IO!E18</f>
        <v>0</v>
      </c>
      <c r="O16" s="24">
        <f>'BoC Size'!E18</f>
        <v>4</v>
      </c>
      <c r="P16" s="24">
        <f>'TMT E DK'!E18</f>
        <v>0</v>
      </c>
      <c r="Q16" s="24">
        <f>Data!R18</f>
        <v>4</v>
      </c>
      <c r="R16" s="24">
        <f>Data!S18</f>
        <v>4</v>
      </c>
      <c r="S16" s="24">
        <f>'TMT E DK'!E18</f>
        <v>0</v>
      </c>
      <c r="T16" s="24">
        <f>'TMT E DD'!E18</f>
        <v>0</v>
      </c>
      <c r="U16" s="24">
        <f>TA!E18</f>
        <v>50043024000000</v>
      </c>
      <c r="V16" s="109">
        <f>PR!F18</f>
        <v>0.21579454405760143</v>
      </c>
      <c r="W16" s="109">
        <f>'Z Score'!I18</f>
        <v>-0.18083649940898855</v>
      </c>
      <c r="X16" s="109">
        <f>'Z Score'!L18</f>
        <v>0.51493194136309584</v>
      </c>
      <c r="Y16" s="109">
        <f>'Z Score'!O18</f>
        <v>6.0413634475806256E-2</v>
      </c>
      <c r="Z16" s="109">
        <f>'Z Score'!R18</f>
        <v>0.32652144014391538</v>
      </c>
      <c r="AA16" s="109">
        <f>'Z Score'!S18</f>
        <v>0.72103051657382888</v>
      </c>
    </row>
    <row r="17" spans="1:27" ht="15" customHeight="1" x14ac:dyDescent="0.3">
      <c r="A17" s="22"/>
      <c r="B17" s="23"/>
      <c r="C17" s="3"/>
      <c r="D17" s="23">
        <v>2020</v>
      </c>
      <c r="E17" s="25">
        <f>'Current Ratio'!G19</f>
        <v>0.60137778136660835</v>
      </c>
      <c r="F17" s="25">
        <f>'Cash Ratio'!G19</f>
        <v>0.3502359015261502</v>
      </c>
      <c r="G17" s="25">
        <f>DAR!G19</f>
        <v>0.7786463969550641</v>
      </c>
      <c r="H17" s="25">
        <f>DER!G19</f>
        <v>3.5176585618847818</v>
      </c>
      <c r="I17" s="25">
        <f>NPM!G19</f>
        <v>-2.6218997683816751E-2</v>
      </c>
      <c r="J17" s="25">
        <f>ROA!G19</f>
        <v>-7.7268034232944975E-3</v>
      </c>
      <c r="K17" s="25">
        <f>ROE!G19</f>
        <v>-3.4907059641247025E-2</v>
      </c>
      <c r="L17" s="25">
        <f>KM!E19</f>
        <v>0.94989999999999997</v>
      </c>
      <c r="M17" s="24">
        <f>KI!E19</f>
        <v>2</v>
      </c>
      <c r="N17" s="108">
        <f>IO!E19</f>
        <v>0</v>
      </c>
      <c r="O17" s="24">
        <f>'BoC Size'!E19</f>
        <v>4</v>
      </c>
      <c r="P17" s="24">
        <f>'TMT E DK'!E19</f>
        <v>0</v>
      </c>
      <c r="Q17" s="24">
        <f>Data!R19</f>
        <v>4</v>
      </c>
      <c r="R17" s="24">
        <f>Data!S19</f>
        <v>4</v>
      </c>
      <c r="S17" s="24">
        <f>'TMT E DK'!E19</f>
        <v>0</v>
      </c>
      <c r="T17" s="24">
        <f>'TMT E DD'!E19</f>
        <v>0</v>
      </c>
      <c r="U17" s="24">
        <f>TA!E19</f>
        <v>53134780000000</v>
      </c>
      <c r="V17" s="109">
        <f>PR!F19</f>
        <v>7.2930068790627717E-3</v>
      </c>
      <c r="W17" s="109">
        <f>'Z Score'!I19</f>
        <v>-0.17918362022012699</v>
      </c>
      <c r="X17" s="109">
        <f>'Z Score'!L19</f>
        <v>0.43297924335058874</v>
      </c>
      <c r="Y17" s="109">
        <f>'Z Score'!O19</f>
        <v>9.0880930343552754E-2</v>
      </c>
      <c r="Z17" s="109">
        <f>'Z Score'!R19</f>
        <v>0.29849400717203323</v>
      </c>
      <c r="AA17" s="109">
        <f>'Z Score'!S19</f>
        <v>0.64317056064604783</v>
      </c>
    </row>
    <row r="18" spans="1:27" ht="15" customHeight="1" x14ac:dyDescent="0.3">
      <c r="A18" s="22"/>
      <c r="B18" s="23"/>
      <c r="C18" s="3"/>
      <c r="D18" s="23">
        <v>2021</v>
      </c>
      <c r="E18" s="25">
        <f>'Current Ratio'!G20</f>
        <v>0.67293861692964907</v>
      </c>
      <c r="F18" s="25">
        <f>'Cash Ratio'!G20</f>
        <v>0.35351610571616948</v>
      </c>
      <c r="G18" s="25">
        <f>DAR!G20</f>
        <v>0.77343150439701758</v>
      </c>
      <c r="H18" s="25">
        <f>DER!G20</f>
        <v>3.4136763027826564</v>
      </c>
      <c r="I18" s="25">
        <f>NPM!G20</f>
        <v>-3.7440017723417568E-2</v>
      </c>
      <c r="J18" s="25">
        <f>ROA!G20</f>
        <v>-1.1212627949511805E-2</v>
      </c>
      <c r="K18" s="25">
        <f>ROE!G20</f>
        <v>-4.9488910272678745E-2</v>
      </c>
      <c r="L18" s="25">
        <f>KM!E20</f>
        <v>0.94989999999999997</v>
      </c>
      <c r="M18" s="24">
        <f>KI!E20</f>
        <v>1</v>
      </c>
      <c r="N18" s="108">
        <f>IO!E20</f>
        <v>0</v>
      </c>
      <c r="O18" s="24">
        <f>'BoC Size'!E20</f>
        <v>3</v>
      </c>
      <c r="P18" s="24">
        <f>'TMT E DK'!E20</f>
        <v>0</v>
      </c>
      <c r="Q18" s="24">
        <f>Data!R20</f>
        <v>3</v>
      </c>
      <c r="R18" s="24">
        <f>Data!S20</f>
        <v>4</v>
      </c>
      <c r="S18" s="24">
        <f>'TMT E DK'!E20</f>
        <v>0</v>
      </c>
      <c r="T18" s="24">
        <f>'TMT E DD'!E20</f>
        <v>0</v>
      </c>
      <c r="U18" s="24">
        <f>TA!E20</f>
        <v>52330016000000</v>
      </c>
      <c r="V18" s="109">
        <f>PR!F20</f>
        <v>8.2828025964191347E-4</v>
      </c>
      <c r="W18" s="109">
        <f>'Z Score'!I20</f>
        <v>-0.14209296630064092</v>
      </c>
      <c r="X18" s="109">
        <f>'Z Score'!L20</f>
        <v>0.40636575956712873</v>
      </c>
      <c r="Y18" s="109">
        <f>'Z Score'!O20</f>
        <v>0.1468832572113106</v>
      </c>
      <c r="Z18" s="109">
        <f>'Z Score'!R20</f>
        <v>0.30758628143626071</v>
      </c>
      <c r="AA18" s="109">
        <f>'Z Score'!S20</f>
        <v>0.71874233191405912</v>
      </c>
    </row>
    <row r="19" spans="1:27" ht="15" customHeight="1" x14ac:dyDescent="0.3">
      <c r="A19" s="22"/>
      <c r="B19" s="23"/>
      <c r="C19" s="3"/>
      <c r="D19" s="23">
        <v>2022</v>
      </c>
      <c r="E19" s="25">
        <f>'Current Ratio'!G21</f>
        <v>0.67720173552472096</v>
      </c>
      <c r="F19" s="25">
        <f>'Cash Ratio'!G21</f>
        <v>0.3658443262007966</v>
      </c>
      <c r="G19" s="25">
        <f>DAR!G21</f>
        <v>0.81675655847253514</v>
      </c>
      <c r="H19" s="25">
        <f>DER!G21</f>
        <v>4.4572212334820067</v>
      </c>
      <c r="I19" s="25">
        <f>NPM!G21</f>
        <v>-6.5717780328421516E-2</v>
      </c>
      <c r="J19" s="25">
        <f>ROA!G21</f>
        <v>-1.7483129630897532E-2</v>
      </c>
      <c r="K19" s="25">
        <f>ROE!G21</f>
        <v>-9.5409306249452458E-2</v>
      </c>
      <c r="L19" s="25">
        <f>KM!E21</f>
        <v>0.94989999999999997</v>
      </c>
      <c r="M19" s="24">
        <f>KI!E21</f>
        <v>1</v>
      </c>
      <c r="N19" s="108">
        <f>IO!E21</f>
        <v>0</v>
      </c>
      <c r="O19" s="24">
        <f>'BoC Size'!E21</f>
        <v>3</v>
      </c>
      <c r="P19" s="24">
        <f>'TMT E DK'!E21</f>
        <v>0</v>
      </c>
      <c r="Q19" s="24">
        <f>Data!R21</f>
        <v>3</v>
      </c>
      <c r="R19" s="24">
        <f>Data!S21</f>
        <v>4</v>
      </c>
      <c r="S19" s="24">
        <f>'TMT E DK'!E21</f>
        <v>0</v>
      </c>
      <c r="T19" s="24">
        <f>'TMT E DD'!E21</f>
        <v>0</v>
      </c>
      <c r="U19" s="24">
        <f>TA!E21</f>
        <v>44912325000000</v>
      </c>
      <c r="V19" s="109">
        <f>PR!F21</f>
        <v>-0.23760577915113279</v>
      </c>
      <c r="W19" s="109">
        <f>'Z Score'!I21</f>
        <v>-0.17781222236880412</v>
      </c>
      <c r="X19" s="109">
        <f>'Z Score'!L21</f>
        <v>0.40670034873500754</v>
      </c>
      <c r="Y19" s="109">
        <f>'Z Score'!O21</f>
        <v>0.39725862154764863</v>
      </c>
      <c r="Z19" s="109">
        <f>'Z Score'!R21</f>
        <v>0.2355727806626583</v>
      </c>
      <c r="AA19" s="109">
        <f>'Z Score'!S21</f>
        <v>0.86171952857651035</v>
      </c>
    </row>
    <row r="20" spans="1:27" ht="15" customHeight="1" x14ac:dyDescent="0.3">
      <c r="A20" s="22"/>
      <c r="B20" s="23"/>
      <c r="C20" s="3"/>
      <c r="D20" s="23">
        <v>2023</v>
      </c>
      <c r="E20" s="25">
        <f>'Current Ratio'!G22</f>
        <v>0.66696182368538826</v>
      </c>
      <c r="F20" s="25">
        <f>'Cash Ratio'!G22</f>
        <v>0.25324201512038075</v>
      </c>
      <c r="G20" s="25">
        <f>DAR!G22</f>
        <v>0.80738140889827725</v>
      </c>
      <c r="H20" s="25">
        <f>DER!G22</f>
        <v>4.1916068655693532</v>
      </c>
      <c r="I20" s="25">
        <f>NPM!G22</f>
        <v>6.7799177735781563E-2</v>
      </c>
      <c r="J20" s="25">
        <f>ROA!G22</f>
        <v>2.0982713012341038E-2</v>
      </c>
      <c r="K20" s="25">
        <f>ROE!G22</f>
        <v>0.10893399693314114</v>
      </c>
      <c r="L20" s="25">
        <f>KM!E22</f>
        <v>0.94989999999999997</v>
      </c>
      <c r="M20" s="24">
        <f>KI!E22</f>
        <v>2</v>
      </c>
      <c r="N20" s="108">
        <f>IO!E22</f>
        <v>0</v>
      </c>
      <c r="O20" s="24">
        <f>'BoC Size'!E22</f>
        <v>4</v>
      </c>
      <c r="P20" s="24">
        <f>'TMT E DK'!E22</f>
        <v>0</v>
      </c>
      <c r="Q20" s="24">
        <f>Data!R22</f>
        <v>4</v>
      </c>
      <c r="R20" s="24">
        <f>Data!S22</f>
        <v>5</v>
      </c>
      <c r="S20" s="24">
        <f>'TMT E DK'!E22</f>
        <v>0</v>
      </c>
      <c r="T20" s="24">
        <f>'TMT E DD'!E22</f>
        <v>0</v>
      </c>
      <c r="U20" s="24">
        <f>TA!E22</f>
        <v>41785302000000</v>
      </c>
      <c r="V20" s="109">
        <f>PR!F22</f>
        <v>8.2328089746205743E-2</v>
      </c>
      <c r="W20" s="109">
        <f>'Z Score'!I22</f>
        <v>-0.17383521124246032</v>
      </c>
      <c r="X20" s="109">
        <f>'Z Score'!L22</f>
        <v>0.46961066501326226</v>
      </c>
      <c r="Y20" s="109">
        <f>'Z Score'!O22</f>
        <v>0.2693627036607274</v>
      </c>
      <c r="Z20" s="109">
        <f>'Z Score'!R22</f>
        <v>0.25050059170026118</v>
      </c>
      <c r="AA20" s="109">
        <f>'Z Score'!S22</f>
        <v>0.81563874913179046</v>
      </c>
    </row>
    <row r="21" spans="1:27" ht="15" customHeight="1" x14ac:dyDescent="0.3">
      <c r="A21" s="22"/>
      <c r="B21" s="23"/>
      <c r="C21" s="3"/>
      <c r="D21" s="23">
        <v>2024</v>
      </c>
      <c r="E21" s="25">
        <f>'Current Ratio'!G23</f>
        <v>0.7533714349686419</v>
      </c>
      <c r="F21" s="25">
        <f>'Cash Ratio'!G23</f>
        <v>0.35873929424189627</v>
      </c>
      <c r="G21" s="25">
        <f>DAR!G23</f>
        <v>0.77663116027421109</v>
      </c>
      <c r="H21" s="25">
        <f>DER!G23</f>
        <v>3.4769001854852073</v>
      </c>
      <c r="I21" s="25">
        <f>NPM!G23</f>
        <v>0.14065430568380813</v>
      </c>
      <c r="J21" s="25">
        <f>ROA!G23</f>
        <v>3.558740436780608E-2</v>
      </c>
      <c r="K21" s="25">
        <f>ROE!G23</f>
        <v>0.15932125721516813</v>
      </c>
      <c r="L21" s="25">
        <f>KM!E23</f>
        <v>0.94989999999999997</v>
      </c>
      <c r="M21" s="24">
        <f>KI!E23</f>
        <v>1</v>
      </c>
      <c r="N21" s="108">
        <f>IO!E23</f>
        <v>0</v>
      </c>
      <c r="O21" s="24">
        <f>'BoC Size'!E23</f>
        <v>3</v>
      </c>
      <c r="P21" s="24">
        <f>'TMT E DK'!E23</f>
        <v>0</v>
      </c>
      <c r="Q21" s="24">
        <f>Data!R23</f>
        <v>3</v>
      </c>
      <c r="R21" s="24">
        <f>Data!S23</f>
        <v>5</v>
      </c>
      <c r="S21" s="24">
        <f>'TMT E DK'!E23</f>
        <v>0</v>
      </c>
      <c r="T21" s="24">
        <f>'TMT E DD'!E23</f>
        <v>0</v>
      </c>
      <c r="U21" s="24">
        <f>TA!E23</f>
        <v>39899482000000</v>
      </c>
      <c r="V21" s="109">
        <f>PR!F23</f>
        <v>-0.21936183468834666</v>
      </c>
      <c r="W21" s="109">
        <f>'Z Score'!I23</f>
        <v>-0.12025112907480853</v>
      </c>
      <c r="X21" s="109">
        <f>'Z Score'!L23</f>
        <v>0.59694283650098512</v>
      </c>
      <c r="Y21" s="109">
        <f>'Z Score'!O23</f>
        <v>0.30134168057620397</v>
      </c>
      <c r="Z21" s="109">
        <f>'Z Score'!R23</f>
        <v>0.30199313871113354</v>
      </c>
      <c r="AA21" s="109">
        <f>'Z Score'!S23</f>
        <v>1.0800265267135143</v>
      </c>
    </row>
    <row r="22" spans="1:27" ht="15" customHeight="1" x14ac:dyDescent="0.3">
      <c r="A22" s="22"/>
      <c r="B22" s="23">
        <v>3</v>
      </c>
      <c r="C22" s="3" t="s">
        <v>3</v>
      </c>
      <c r="D22" s="23">
        <v>2015</v>
      </c>
      <c r="E22" s="25">
        <f>'Current Ratio'!G25</f>
        <v>1.034054802419379</v>
      </c>
      <c r="F22" s="25">
        <f>'Cash Ratio'!G25</f>
        <v>0.68971974124416624</v>
      </c>
      <c r="G22" s="25">
        <f>DAR!G25</f>
        <v>0.8289910323523858</v>
      </c>
      <c r="H22" s="25">
        <f>DER!G25</f>
        <v>5.2592496088723699</v>
      </c>
      <c r="I22" s="25">
        <f>NPM!G25</f>
        <v>9.3803699950206362E-2</v>
      </c>
      <c r="J22" s="25">
        <f>ROA!G25</f>
        <v>2.9169370653673345E-2</v>
      </c>
      <c r="K22" s="25">
        <f>ROE!G25</f>
        <v>0.18505507926432421</v>
      </c>
      <c r="L22" s="25">
        <f>KM!E25</f>
        <v>0.99760000000000004</v>
      </c>
      <c r="M22" s="24">
        <f>KI!E25</f>
        <v>2</v>
      </c>
      <c r="N22" s="108">
        <f>IO!E25</f>
        <v>0</v>
      </c>
      <c r="O22" s="24">
        <f>'BoC Size'!E25</f>
        <v>3</v>
      </c>
      <c r="P22" s="24">
        <f>'TMT E DK'!E25</f>
        <v>0</v>
      </c>
      <c r="Q22" s="24">
        <f>Data!R25</f>
        <v>3</v>
      </c>
      <c r="R22" s="24">
        <f>Data!S25</f>
        <v>4</v>
      </c>
      <c r="S22" s="24">
        <f>'TMT E DK'!E25</f>
        <v>0</v>
      </c>
      <c r="T22" s="24">
        <f>'TMT E DD'!E25</f>
        <v>0</v>
      </c>
      <c r="U22" s="24">
        <f>TA!E25</f>
        <v>27635118000000</v>
      </c>
      <c r="V22" s="109">
        <f>PR!F25</f>
        <v>-0.30443505599264664</v>
      </c>
      <c r="W22" s="109">
        <f>'Z Score'!I25</f>
        <v>5.3835210690976604E-3</v>
      </c>
      <c r="X22" s="109">
        <f>'Z Score'!L25</f>
        <v>0.366148990570621</v>
      </c>
      <c r="Y22" s="109">
        <f>'Z Score'!O25</f>
        <v>0.21976968869827149</v>
      </c>
      <c r="Z22" s="109">
        <f>'Z Score'!R25</f>
        <v>0.19964825366505648</v>
      </c>
      <c r="AA22" s="109">
        <f>'Z Score'!S25</f>
        <v>0.79095045400304664</v>
      </c>
    </row>
    <row r="23" spans="1:27" ht="15" customHeight="1" x14ac:dyDescent="0.3">
      <c r="A23" s="22"/>
      <c r="B23" s="23"/>
      <c r="C23" s="3"/>
      <c r="D23" s="23">
        <v>2016</v>
      </c>
      <c r="E23" s="25">
        <f>'Current Ratio'!G26</f>
        <v>0.98313280556059512</v>
      </c>
      <c r="F23" s="25">
        <f>'Cash Ratio'!G26</f>
        <v>0.56832818249792616</v>
      </c>
      <c r="G23" s="25">
        <f>DAR!G26</f>
        <v>0.80660888577240131</v>
      </c>
      <c r="H23" s="25">
        <f>DER!G26</f>
        <v>4.5409271754542129</v>
      </c>
      <c r="I23" s="25">
        <f>NPM!G26</f>
        <v>7.9127347291931188E-2</v>
      </c>
      <c r="J23" s="25">
        <f>ROA!G26</f>
        <v>2.9704448510930379E-2</v>
      </c>
      <c r="K23" s="25">
        <f>ROE!G26</f>
        <v>0.1672257023873458</v>
      </c>
      <c r="L23" s="25">
        <f>KM!E26</f>
        <v>0.99760000000000004</v>
      </c>
      <c r="M23" s="24">
        <f>KI!E26</f>
        <v>2</v>
      </c>
      <c r="N23" s="108">
        <f>IO!E26</f>
        <v>0</v>
      </c>
      <c r="O23" s="24">
        <f>'BoC Size'!E26</f>
        <v>3</v>
      </c>
      <c r="P23" s="24">
        <f>'TMT E DK'!E26</f>
        <v>0</v>
      </c>
      <c r="Q23" s="24">
        <f>Data!R26</f>
        <v>3</v>
      </c>
      <c r="R23" s="24">
        <f>Data!S26</f>
        <v>4</v>
      </c>
      <c r="S23" s="24">
        <f>'TMT E DK'!E26</f>
        <v>0</v>
      </c>
      <c r="T23" s="24">
        <f>'TMT E DD'!E26</f>
        <v>0</v>
      </c>
      <c r="U23" s="24">
        <f>TA!E26</f>
        <v>30294789000000</v>
      </c>
      <c r="V23" s="109">
        <f>PR!F26</f>
        <v>0.32340998109377739</v>
      </c>
      <c r="W23" s="109">
        <f>'Z Score'!I26</f>
        <v>-3.4828115158682901E-3</v>
      </c>
      <c r="X23" s="109">
        <f>'Z Score'!L26</f>
        <v>0.43006064574339825</v>
      </c>
      <c r="Y23" s="109">
        <f>'Z Score'!O26</f>
        <v>0.20094481595498156</v>
      </c>
      <c r="Z23" s="109">
        <f>'Z Score'!R26</f>
        <v>0.23123031033744168</v>
      </c>
      <c r="AA23" s="109">
        <f>'Z Score'!S26</f>
        <v>0.8587529605199532</v>
      </c>
    </row>
    <row r="24" spans="1:27" ht="15" customHeight="1" x14ac:dyDescent="0.3">
      <c r="A24" s="22"/>
      <c r="B24" s="23"/>
      <c r="C24" s="3"/>
      <c r="D24" s="23">
        <v>2017</v>
      </c>
      <c r="E24" s="25">
        <f>'Current Ratio'!G27</f>
        <v>0.9340754958618922</v>
      </c>
      <c r="F24" s="25">
        <f>'Cash Ratio'!G27</f>
        <v>0.32191754957815483</v>
      </c>
      <c r="G24" s="25">
        <f>DAR!G27</f>
        <v>0.76995898087884262</v>
      </c>
      <c r="H24" s="25">
        <f>DER!G27</f>
        <v>4.5643372919433283</v>
      </c>
      <c r="I24" s="25">
        <f>NPM!G27</f>
        <v>4.8841763568513892E-2</v>
      </c>
      <c r="J24" s="25">
        <f>ROA!G27</f>
        <v>1.8172451600634069E-2</v>
      </c>
      <c r="K24" s="25">
        <f>ROE!G27</f>
        <v>0.10772677582399835</v>
      </c>
      <c r="L24" s="25">
        <f>KM!E27</f>
        <v>0.99760000000000004</v>
      </c>
      <c r="M24" s="24">
        <f>KI!E27</f>
        <v>2</v>
      </c>
      <c r="N24" s="108">
        <f>IO!E27</f>
        <v>0</v>
      </c>
      <c r="O24" s="24">
        <f>'BoC Size'!E27</f>
        <v>4</v>
      </c>
      <c r="P24" s="24">
        <f>'TMT E DK'!E27</f>
        <v>0</v>
      </c>
      <c r="Q24" s="24">
        <f>Data!R27</f>
        <v>4</v>
      </c>
      <c r="R24" s="24">
        <f>Data!S27</f>
        <v>5</v>
      </c>
      <c r="S24" s="24">
        <f>'TMT E DK'!E27</f>
        <v>0</v>
      </c>
      <c r="T24" s="24">
        <f>'TMT E DD'!E27</f>
        <v>0</v>
      </c>
      <c r="U24" s="24">
        <f>TA!E27</f>
        <v>35751863000000</v>
      </c>
      <c r="V24" s="109">
        <f>PR!F27</f>
        <v>0.16965570120675161</v>
      </c>
      <c r="W24" s="109">
        <f>'Z Score'!I27</f>
        <v>-1.5055654022840712E-2</v>
      </c>
      <c r="X24" s="109">
        <f>'Z Score'!L27</f>
        <v>0.39315229083306791</v>
      </c>
      <c r="Y24" s="109">
        <f>'Z Score'!O27</f>
        <v>6.1945585325161936E-2</v>
      </c>
      <c r="Z24" s="109">
        <f>'Z Score'!R27</f>
        <v>0.23004434879372124</v>
      </c>
      <c r="AA24" s="109">
        <f>'Z Score'!S27</f>
        <v>0.67008657092911039</v>
      </c>
    </row>
    <row r="25" spans="1:27" ht="15" customHeight="1" x14ac:dyDescent="0.3">
      <c r="A25" s="22"/>
      <c r="B25" s="23"/>
      <c r="C25" s="3"/>
      <c r="D25" s="23">
        <v>2018</v>
      </c>
      <c r="E25" s="25">
        <f>'Current Ratio'!G28</f>
        <v>0.91041451511653804</v>
      </c>
      <c r="F25" s="25">
        <f>'Cash Ratio'!G28</f>
        <v>0.28164677115606584</v>
      </c>
      <c r="G25" s="25">
        <f>DAR!G28</f>
        <v>0.77421538187060379</v>
      </c>
      <c r="H25" s="25">
        <f>DER!G28</f>
        <v>4.733656143270748</v>
      </c>
      <c r="I25" s="25">
        <f>NPM!G28</f>
        <v>1.301955834668103E-2</v>
      </c>
      <c r="J25" s="25">
        <f>ROA!G28</f>
        <v>3.8878061780989008E-3</v>
      </c>
      <c r="K25" s="25">
        <f>ROE!G28</f>
        <v>2.3770565697543385E-2</v>
      </c>
      <c r="L25" s="25">
        <f>KM!E28</f>
        <v>0.99760000000000004</v>
      </c>
      <c r="M25" s="24">
        <f>KI!E28</f>
        <v>2</v>
      </c>
      <c r="N25" s="108">
        <f>IO!E28</f>
        <v>0</v>
      </c>
      <c r="O25" s="24">
        <f>'BoC Size'!E28</f>
        <v>3</v>
      </c>
      <c r="P25" s="24">
        <f>'TMT E DK'!E28</f>
        <v>0</v>
      </c>
      <c r="Q25" s="24">
        <f>Data!R28</f>
        <v>3</v>
      </c>
      <c r="R25" s="24">
        <f>Data!S28</f>
        <v>6</v>
      </c>
      <c r="S25" s="24">
        <f>'TMT E DK'!E28</f>
        <v>0</v>
      </c>
      <c r="T25" s="24">
        <f>'TMT E DD'!E28</f>
        <v>0</v>
      </c>
      <c r="U25" s="24">
        <f>TA!E28</f>
        <v>35266933000000</v>
      </c>
      <c r="V25" s="109">
        <f>PR!F28</f>
        <v>-0.20830995360138083</v>
      </c>
      <c r="W25" s="109">
        <f>'Z Score'!I28</f>
        <v>-2.6333054819368616E-2</v>
      </c>
      <c r="X25" s="109">
        <f>'Z Score'!L28</f>
        <v>0.43794028587629091</v>
      </c>
      <c r="Y25" s="109">
        <f>'Z Score'!O28</f>
        <v>0.17148732496812241</v>
      </c>
      <c r="Z25" s="109">
        <f>'Z Score'!R28</f>
        <v>0.22181585823310274</v>
      </c>
      <c r="AA25" s="109">
        <f>'Z Score'!S28</f>
        <v>0.80491041425814736</v>
      </c>
    </row>
    <row r="26" spans="1:27" ht="15" customHeight="1" x14ac:dyDescent="0.3">
      <c r="A26" s="22"/>
      <c r="B26" s="23"/>
      <c r="C26" s="3"/>
      <c r="D26" s="23">
        <v>2019</v>
      </c>
      <c r="E26" s="25">
        <f>'Current Ratio'!G29</f>
        <v>1.5290235628722582</v>
      </c>
      <c r="F26" s="25">
        <f>'Cash Ratio'!G29</f>
        <v>0.45959986932739216</v>
      </c>
      <c r="G26" s="25">
        <f>DAR!G29</f>
        <v>0.77548127038372672</v>
      </c>
      <c r="H26" s="25">
        <f>DER!G29</f>
        <v>4.5668146754792112</v>
      </c>
      <c r="I26" s="25">
        <f>NPM!G29</f>
        <v>9.8540141891036229E-2</v>
      </c>
      <c r="J26" s="25">
        <f>ROA!G29</f>
        <v>3.8941581082582027E-2</v>
      </c>
      <c r="K26" s="25">
        <f>ROE!G29</f>
        <v>0.22932724588731876</v>
      </c>
      <c r="L26" s="25">
        <f>KM!E29</f>
        <v>0.99760000000000004</v>
      </c>
      <c r="M26" s="24">
        <f>KI!E29</f>
        <v>2</v>
      </c>
      <c r="N26" s="108">
        <f>IO!E29</f>
        <v>0</v>
      </c>
      <c r="O26" s="24">
        <f>'BoC Size'!E29</f>
        <v>3</v>
      </c>
      <c r="P26" s="24">
        <f>'TMT E DK'!E29</f>
        <v>0</v>
      </c>
      <c r="Q26" s="24">
        <f>Data!R29</f>
        <v>3</v>
      </c>
      <c r="R26" s="24">
        <f>Data!S29</f>
        <v>6</v>
      </c>
      <c r="S26" s="24">
        <f>'TMT E DK'!E29</f>
        <v>0</v>
      </c>
      <c r="T26" s="24">
        <f>'TMT E DD'!E29</f>
        <v>0</v>
      </c>
      <c r="U26" s="24">
        <f>TA!E29</f>
        <v>38345233000000</v>
      </c>
      <c r="V26" s="109">
        <f>PR!F29</f>
        <v>0.43891696220244009</v>
      </c>
      <c r="W26" s="109">
        <f>'Z Score'!I29</f>
        <v>0.11691099542934059</v>
      </c>
      <c r="X26" s="109">
        <f>'Z Score'!L29</f>
        <v>0.4388520805180659</v>
      </c>
      <c r="Y26" s="109">
        <f>'Z Score'!O29</f>
        <v>0.2675872142959726</v>
      </c>
      <c r="Z26" s="109">
        <f>'Z Score'!R29</f>
        <v>0.2299195554480914</v>
      </c>
      <c r="AA26" s="109">
        <f>'Z Score'!S29</f>
        <v>1.0532698456914704</v>
      </c>
    </row>
    <row r="27" spans="1:27" ht="15" customHeight="1" x14ac:dyDescent="0.3">
      <c r="A27" s="22"/>
      <c r="B27" s="23"/>
      <c r="C27" s="3"/>
      <c r="D27" s="23">
        <v>2020</v>
      </c>
      <c r="E27" s="25">
        <f>'Current Ratio'!G30</f>
        <v>1.763178298602089</v>
      </c>
      <c r="F27" s="25">
        <f>'Cash Ratio'!G30</f>
        <v>0.52497427636023486</v>
      </c>
      <c r="G27" s="25">
        <f>DAR!G30</f>
        <v>0.77321098658547227</v>
      </c>
      <c r="H27" s="25">
        <f>DER!G30</f>
        <v>4.4888793932573492</v>
      </c>
      <c r="I27" s="25">
        <f>NPM!G30</f>
        <v>6.0047237015202794E-2</v>
      </c>
      <c r="J27" s="25">
        <f>ROA!G30</f>
        <v>2.7441006218810966E-2</v>
      </c>
      <c r="K27" s="25">
        <f>ROE!G30</f>
        <v>0.15930886844977704</v>
      </c>
      <c r="L27" s="25">
        <f>KM!E30</f>
        <v>0.99760000000000004</v>
      </c>
      <c r="M27" s="24">
        <f>KI!E30</f>
        <v>2</v>
      </c>
      <c r="N27" s="108">
        <f>IO!E30</f>
        <v>0</v>
      </c>
      <c r="O27" s="24">
        <f>'BoC Size'!E30</f>
        <v>3</v>
      </c>
      <c r="P27" s="24">
        <f>'TMT E DK'!E30</f>
        <v>8</v>
      </c>
      <c r="Q27" s="24">
        <f>Data!R30</f>
        <v>3</v>
      </c>
      <c r="R27" s="24">
        <f>Data!S30</f>
        <v>6</v>
      </c>
      <c r="S27" s="24">
        <f>'TMT E DK'!E30</f>
        <v>8</v>
      </c>
      <c r="T27" s="24">
        <f>'TMT E DD'!E30</f>
        <v>14</v>
      </c>
      <c r="U27" s="24">
        <f>TA!E30</f>
        <v>41166712000000</v>
      </c>
      <c r="V27" s="109">
        <f>PR!F30</f>
        <v>0.24148479894920361</v>
      </c>
      <c r="W27" s="109">
        <f>'Z Score'!I30</f>
        <v>0.17551640461351395</v>
      </c>
      <c r="X27" s="109">
        <f>'Z Score'!L30</f>
        <v>0.47501558152130297</v>
      </c>
      <c r="Y27" s="109">
        <f>'Z Score'!O30</f>
        <v>0.27608477451393248</v>
      </c>
      <c r="Z27" s="109">
        <f>'Z Score'!R30</f>
        <v>0.23391138589670793</v>
      </c>
      <c r="AA27" s="109">
        <f>'Z Score'!S30</f>
        <v>1.1605281465454573</v>
      </c>
    </row>
    <row r="28" spans="1:27" ht="15" customHeight="1" x14ac:dyDescent="0.3">
      <c r="A28" s="22"/>
      <c r="B28" s="23"/>
      <c r="C28" s="3"/>
      <c r="D28" s="23">
        <v>2021</v>
      </c>
      <c r="E28" s="25">
        <f>'Current Ratio'!G31</f>
        <v>1.8514280556455651</v>
      </c>
      <c r="F28" s="25">
        <f>'Cash Ratio'!G31</f>
        <v>0.5074758386738365</v>
      </c>
      <c r="G28" s="25">
        <f>DAR!G31</f>
        <v>0.79070255223144914</v>
      </c>
      <c r="H28" s="25">
        <f>DER!G31</f>
        <v>4.8738674086846343</v>
      </c>
      <c r="I28" s="25">
        <f>NPM!G31</f>
        <v>1.9494915964075449E-2</v>
      </c>
      <c r="J28" s="25">
        <f>ROA!G31</f>
        <v>9.4383342578678274E-3</v>
      </c>
      <c r="K28" s="25">
        <f>ROE!G31</f>
        <v>5.8177616351273033E-2</v>
      </c>
      <c r="L28" s="25">
        <f>KM!E31</f>
        <v>0.99760000000000004</v>
      </c>
      <c r="M28" s="24">
        <f>KI!E31</f>
        <v>2</v>
      </c>
      <c r="N28" s="108">
        <f>IO!E31</f>
        <v>0</v>
      </c>
      <c r="O28" s="24">
        <f>'BoC Size'!E31</f>
        <v>4</v>
      </c>
      <c r="P28" s="24">
        <f>'TMT E DK'!E31</f>
        <v>9</v>
      </c>
      <c r="Q28" s="24">
        <f>Data!R31</f>
        <v>4</v>
      </c>
      <c r="R28" s="24">
        <f>Data!S31</f>
        <v>5</v>
      </c>
      <c r="S28" s="24">
        <f>'TMT E DK'!E31</f>
        <v>9</v>
      </c>
      <c r="T28" s="24">
        <f>'TMT E DD'!E31</f>
        <v>11</v>
      </c>
      <c r="U28" s="24">
        <f>TA!E31</f>
        <v>42808931000000</v>
      </c>
      <c r="V28" s="109">
        <f>PR!F31</f>
        <v>0.10167928848827253</v>
      </c>
      <c r="W28" s="109">
        <f>'Z Score'!I31</f>
        <v>0.20092183474518435</v>
      </c>
      <c r="X28" s="109">
        <f>'Z Score'!L31</f>
        <v>0.4530714317533413</v>
      </c>
      <c r="Y28" s="109">
        <f>'Z Score'!O31</f>
        <v>8.8138430740071494E-2</v>
      </c>
      <c r="Z28" s="109">
        <f>'Z Score'!R31</f>
        <v>0.21543466655022844</v>
      </c>
      <c r="AA28" s="109">
        <f>'Z Score'!S31</f>
        <v>0.95756636378882565</v>
      </c>
    </row>
    <row r="29" spans="1:27" ht="15" customHeight="1" x14ac:dyDescent="0.3">
      <c r="A29" s="22"/>
      <c r="B29" s="23"/>
      <c r="C29" s="3"/>
      <c r="D29" s="23">
        <v>2022</v>
      </c>
      <c r="E29" s="25">
        <f>'Current Ratio'!G32</f>
        <v>1.469882564791839</v>
      </c>
      <c r="F29" s="25">
        <f>'Cash Ratio'!G32</f>
        <v>0.39543355390129586</v>
      </c>
      <c r="G29" s="25">
        <f>DAR!G32</f>
        <v>0.77769875786506992</v>
      </c>
      <c r="H29" s="25">
        <f>DER!G32</f>
        <v>4.4441816487931716</v>
      </c>
      <c r="I29" s="25">
        <f>NPM!G32</f>
        <v>7.5554863730828174E-3</v>
      </c>
      <c r="J29" s="25">
        <f>ROA!G32</f>
        <v>2.6051244471380856E-3</v>
      </c>
      <c r="K29" s="25">
        <f>ROE!G32</f>
        <v>1.4887057673303174E-2</v>
      </c>
      <c r="L29" s="25">
        <f>KM!E32</f>
        <v>0.99760000000000004</v>
      </c>
      <c r="M29" s="24">
        <f>KI!E32</f>
        <v>2</v>
      </c>
      <c r="N29" s="108">
        <f>IO!E32</f>
        <v>0</v>
      </c>
      <c r="O29" s="24">
        <f>'BoC Size'!E32</f>
        <v>3</v>
      </c>
      <c r="P29" s="24">
        <f>'TMT E DK'!E32</f>
        <v>8</v>
      </c>
      <c r="Q29" s="24">
        <f>Data!R32</f>
        <v>3</v>
      </c>
      <c r="R29" s="24">
        <f>Data!S32</f>
        <v>4</v>
      </c>
      <c r="S29" s="24">
        <f>'TMT E DK'!E32</f>
        <v>8</v>
      </c>
      <c r="T29" s="24">
        <f>'TMT E DD'!E32</f>
        <v>8</v>
      </c>
      <c r="U29" s="24">
        <f>TA!E32</f>
        <v>41194961000000</v>
      </c>
      <c r="V29" s="109">
        <f>PR!F32</f>
        <v>-0.31466679468832354</v>
      </c>
      <c r="W29" s="109">
        <f>'Z Score'!I32</f>
        <v>0.1736907152309235</v>
      </c>
      <c r="X29" s="109">
        <f>'Z Score'!L32</f>
        <v>0.53475786468155651</v>
      </c>
      <c r="Y29" s="109">
        <f>'Z Score'!O32</f>
        <v>9.7419293587873518E-2</v>
      </c>
      <c r="Z29" s="109">
        <f>'Z Score'!R32</f>
        <v>0.23626397005737379</v>
      </c>
      <c r="AA29" s="109">
        <f>'Z Score'!S32</f>
        <v>1.0421318435577274</v>
      </c>
    </row>
    <row r="30" spans="1:27" ht="15" customHeight="1" x14ac:dyDescent="0.3">
      <c r="A30" s="22"/>
      <c r="B30" s="23"/>
      <c r="C30" s="3"/>
      <c r="D30" s="23">
        <v>2023</v>
      </c>
      <c r="E30" s="25">
        <f>'Current Ratio'!G33</f>
        <v>1.3788549975191833</v>
      </c>
      <c r="F30" s="25">
        <f>'Cash Ratio'!G33</f>
        <v>0.48539145584242999</v>
      </c>
      <c r="G30" s="25">
        <f>DAR!G33</f>
        <v>0.78990786662205781</v>
      </c>
      <c r="H30" s="25">
        <f>DER!G33</f>
        <v>4.7759700497223525</v>
      </c>
      <c r="I30" s="25">
        <f>NPM!G33</f>
        <v>2.769691087304892E-2</v>
      </c>
      <c r="J30" s="25">
        <f>ROA!G33</f>
        <v>1.1987312369144859E-2</v>
      </c>
      <c r="K30" s="25">
        <f>ROE!G33</f>
        <v>7.2478129755219528E-2</v>
      </c>
      <c r="L30" s="25">
        <f>KM!E33</f>
        <v>0.99760000000000004</v>
      </c>
      <c r="M30" s="24">
        <f>KI!E33</f>
        <v>2</v>
      </c>
      <c r="N30" s="108">
        <f>IO!E33</f>
        <v>0</v>
      </c>
      <c r="O30" s="24">
        <f>'BoC Size'!E33</f>
        <v>4</v>
      </c>
      <c r="P30" s="24">
        <f>'TMT E DK'!E33</f>
        <v>8</v>
      </c>
      <c r="Q30" s="24">
        <f>Data!R33</f>
        <v>4</v>
      </c>
      <c r="R30" s="24">
        <f>Data!S33</f>
        <v>4</v>
      </c>
      <c r="S30" s="24">
        <f>'TMT E DK'!E33</f>
        <v>8</v>
      </c>
      <c r="T30" s="24">
        <f>'TMT E DD'!E33</f>
        <v>10</v>
      </c>
      <c r="U30" s="24">
        <f>TA!E33</f>
        <v>40147448000000</v>
      </c>
      <c r="V30" s="109">
        <f>PR!F33</f>
        <v>0.2233149673580995</v>
      </c>
      <c r="W30" s="109">
        <f>'Z Score'!I33</f>
        <v>0.15982450291734607</v>
      </c>
      <c r="X30" s="109">
        <f>'Z Score'!L33</f>
        <v>0.49972050328080619</v>
      </c>
      <c r="Y30" s="109">
        <f>'Z Score'!O33</f>
        <v>6.2329409331322874E-2</v>
      </c>
      <c r="Z30" s="109">
        <f>'Z Score'!R33</f>
        <v>0.21985062491357982</v>
      </c>
      <c r="AA30" s="109">
        <f>'Z Score'!S33</f>
        <v>0.94172504044305505</v>
      </c>
    </row>
    <row r="31" spans="1:27" ht="15" customHeight="1" x14ac:dyDescent="0.3">
      <c r="A31" s="22"/>
      <c r="B31" s="23"/>
      <c r="C31" s="3"/>
      <c r="D31" s="23">
        <v>2024</v>
      </c>
      <c r="E31" s="25">
        <f>'Current Ratio'!G34</f>
        <v>0.94531100035867988</v>
      </c>
      <c r="F31" s="25">
        <f>'Cash Ratio'!G34</f>
        <v>0.51193570525211984</v>
      </c>
      <c r="G31" s="25">
        <f>DAR!G34</f>
        <v>0.77615716230853449</v>
      </c>
      <c r="H31" s="25">
        <f>DER!G34</f>
        <v>4.1595205054438278</v>
      </c>
      <c r="I31" s="25">
        <f>NPM!G34</f>
        <v>5.2893044713670484E-2</v>
      </c>
      <c r="J31" s="25">
        <f>ROA!G34</f>
        <v>2.4580076171973723E-2</v>
      </c>
      <c r="K31" s="25">
        <f>ROE!G34</f>
        <v>0.13172761372013653</v>
      </c>
      <c r="L31" s="25">
        <f>KM!E34</f>
        <v>0.99760000000000004</v>
      </c>
      <c r="M31" s="24">
        <f>KI!E34</f>
        <v>2</v>
      </c>
      <c r="N31" s="108">
        <f>IO!E34</f>
        <v>0</v>
      </c>
      <c r="O31" s="24">
        <f>'BoC Size'!E34</f>
        <v>4</v>
      </c>
      <c r="P31" s="24">
        <f>'TMT E DK'!E34</f>
        <v>8</v>
      </c>
      <c r="Q31" s="24">
        <f>Data!R34</f>
        <v>4</v>
      </c>
      <c r="R31" s="24">
        <f>Data!S34</f>
        <v>3</v>
      </c>
      <c r="S31" s="24">
        <f>'TMT E DK'!E34</f>
        <v>8</v>
      </c>
      <c r="T31" s="24">
        <f>'TMT E DD'!E34</f>
        <v>6</v>
      </c>
      <c r="U31" s="24">
        <f>TA!E34</f>
        <v>39131978000000</v>
      </c>
      <c r="V31" s="109">
        <f>PR!F34</f>
        <v>4.656938083079798E-2</v>
      </c>
      <c r="W31" s="109">
        <f>'Z Score'!I34</f>
        <v>-2.5074596535856173E-2</v>
      </c>
      <c r="X31" s="109">
        <f>'Z Score'!L34</f>
        <v>0.57772252606295538</v>
      </c>
      <c r="Y31" s="109">
        <f>'Z Score'!O34</f>
        <v>0.21336406966190155</v>
      </c>
      <c r="Z31" s="109">
        <f>'Z Score'!R34</f>
        <v>0.25243294236097613</v>
      </c>
      <c r="AA31" s="109">
        <f>'Z Score'!S34</f>
        <v>1.0184449415499768</v>
      </c>
    </row>
    <row r="32" spans="1:27" ht="15" customHeight="1" x14ac:dyDescent="0.3">
      <c r="A32" s="22"/>
      <c r="B32" s="23">
        <v>4</v>
      </c>
      <c r="C32" s="4" t="s">
        <v>56</v>
      </c>
      <c r="D32" s="23">
        <v>2015</v>
      </c>
      <c r="E32" s="25">
        <f>'Current Ratio'!G36</f>
        <v>0</v>
      </c>
      <c r="F32" s="25">
        <f>'Cash Ratio'!G36</f>
        <v>0</v>
      </c>
      <c r="G32" s="25">
        <f>DAR!G36</f>
        <v>0</v>
      </c>
      <c r="H32" s="25">
        <f>DER!G36</f>
        <v>0</v>
      </c>
      <c r="I32" s="25">
        <f>NPM!G36</f>
        <v>0</v>
      </c>
      <c r="J32" s="25">
        <f>ROA!G36</f>
        <v>0</v>
      </c>
      <c r="K32" s="25">
        <f>ROE!G36</f>
        <v>0</v>
      </c>
      <c r="L32" s="25">
        <f>KM!E36</f>
        <v>0</v>
      </c>
      <c r="M32" s="24">
        <f>KI!E36</f>
        <v>0</v>
      </c>
      <c r="N32" s="108">
        <f>IO!E36</f>
        <v>0</v>
      </c>
      <c r="O32" s="24">
        <f>'BoC Size'!E36</f>
        <v>0</v>
      </c>
      <c r="P32" s="24">
        <f>'TMT E DK'!E36</f>
        <v>0</v>
      </c>
      <c r="Q32" s="24">
        <f>Data!R36</f>
        <v>0</v>
      </c>
      <c r="R32" s="24">
        <f>Data!S36</f>
        <v>0</v>
      </c>
      <c r="S32" s="24">
        <f>'TMT E DK'!E36</f>
        <v>0</v>
      </c>
      <c r="T32" s="24">
        <f>'TMT E DD'!E36</f>
        <v>0</v>
      </c>
      <c r="U32" s="24">
        <f>TA!E36</f>
        <v>0</v>
      </c>
      <c r="V32" s="109">
        <f>PR!F36</f>
        <v>0</v>
      </c>
      <c r="W32" s="109">
        <f>'Z Score'!I36</f>
        <v>0</v>
      </c>
      <c r="X32" s="109">
        <f>'Z Score'!L36</f>
        <v>0</v>
      </c>
      <c r="Y32" s="109">
        <f>'Z Score'!O36</f>
        <v>0</v>
      </c>
      <c r="Z32" s="109">
        <f>'Z Score'!R36</f>
        <v>0</v>
      </c>
      <c r="AA32" s="109">
        <f>'Z Score'!S36</f>
        <v>0</v>
      </c>
    </row>
    <row r="33" spans="1:27" ht="15" customHeight="1" x14ac:dyDescent="0.3">
      <c r="A33" s="22"/>
      <c r="B33" s="23"/>
      <c r="C33" s="4"/>
      <c r="D33" s="23">
        <v>2016</v>
      </c>
      <c r="E33" s="25">
        <f>'Current Ratio'!G37</f>
        <v>0</v>
      </c>
      <c r="F33" s="25">
        <f>'Cash Ratio'!G37</f>
        <v>0</v>
      </c>
      <c r="G33" s="25">
        <f>DAR!G37</f>
        <v>0</v>
      </c>
      <c r="H33" s="25">
        <f>DER!G37</f>
        <v>0</v>
      </c>
      <c r="I33" s="25">
        <f>NPM!G37</f>
        <v>0</v>
      </c>
      <c r="J33" s="25">
        <f>ROA!G37</f>
        <v>0</v>
      </c>
      <c r="K33" s="25">
        <f>ROE!G37</f>
        <v>0</v>
      </c>
      <c r="L33" s="25">
        <f>KM!E37</f>
        <v>0</v>
      </c>
      <c r="M33" s="24">
        <f>KI!E37</f>
        <v>0</v>
      </c>
      <c r="N33" s="108">
        <f>IO!E37</f>
        <v>0</v>
      </c>
      <c r="O33" s="24">
        <f>'BoC Size'!E37</f>
        <v>0</v>
      </c>
      <c r="P33" s="24">
        <f>'TMT E DK'!E37</f>
        <v>0</v>
      </c>
      <c r="Q33" s="24">
        <f>Data!R37</f>
        <v>0</v>
      </c>
      <c r="R33" s="24">
        <f>Data!S37</f>
        <v>0</v>
      </c>
      <c r="S33" s="24">
        <f>'TMT E DK'!E37</f>
        <v>0</v>
      </c>
      <c r="T33" s="24">
        <f>'TMT E DD'!E37</f>
        <v>0</v>
      </c>
      <c r="U33" s="24">
        <f>TA!E37</f>
        <v>0</v>
      </c>
      <c r="V33" s="109">
        <f>PR!F37</f>
        <v>0</v>
      </c>
      <c r="W33" s="109">
        <f>'Z Score'!I37</f>
        <v>0</v>
      </c>
      <c r="X33" s="109">
        <f>'Z Score'!L37</f>
        <v>0</v>
      </c>
      <c r="Y33" s="109">
        <f>'Z Score'!O37</f>
        <v>0</v>
      </c>
      <c r="Z33" s="109">
        <f>'Z Score'!R37</f>
        <v>0</v>
      </c>
      <c r="AA33" s="109">
        <f>'Z Score'!S37</f>
        <v>0</v>
      </c>
    </row>
    <row r="34" spans="1:27" ht="15" customHeight="1" x14ac:dyDescent="0.3">
      <c r="A34" s="22"/>
      <c r="B34" s="23"/>
      <c r="C34" s="4"/>
      <c r="D34" s="23">
        <v>2017</v>
      </c>
      <c r="E34" s="25">
        <f>'Current Ratio'!G38</f>
        <v>0</v>
      </c>
      <c r="F34" s="25">
        <f>'Cash Ratio'!G38</f>
        <v>0</v>
      </c>
      <c r="G34" s="25">
        <f>DAR!G38</f>
        <v>0</v>
      </c>
      <c r="H34" s="25">
        <f>DER!G38</f>
        <v>0</v>
      </c>
      <c r="I34" s="25">
        <f>NPM!G38</f>
        <v>0</v>
      </c>
      <c r="J34" s="25">
        <f>ROA!G38</f>
        <v>0</v>
      </c>
      <c r="K34" s="25">
        <f>ROE!G38</f>
        <v>0</v>
      </c>
      <c r="L34" s="25">
        <f>KM!E38</f>
        <v>0</v>
      </c>
      <c r="M34" s="24">
        <f>KI!E38</f>
        <v>0</v>
      </c>
      <c r="N34" s="108">
        <f>IO!E38</f>
        <v>0</v>
      </c>
      <c r="O34" s="24">
        <f>'BoC Size'!E38</f>
        <v>0</v>
      </c>
      <c r="P34" s="24">
        <f>'TMT E DK'!E38</f>
        <v>0</v>
      </c>
      <c r="Q34" s="24">
        <f>Data!R38</f>
        <v>0</v>
      </c>
      <c r="R34" s="24">
        <f>Data!S38</f>
        <v>0</v>
      </c>
      <c r="S34" s="24">
        <f>'TMT E DK'!E38</f>
        <v>0</v>
      </c>
      <c r="T34" s="24">
        <f>'TMT E DD'!E38</f>
        <v>0</v>
      </c>
      <c r="U34" s="24">
        <f>TA!E38</f>
        <v>0</v>
      </c>
      <c r="V34" s="109">
        <f>PR!F38</f>
        <v>0</v>
      </c>
      <c r="W34" s="109">
        <f>'Z Score'!I38</f>
        <v>0</v>
      </c>
      <c r="X34" s="109">
        <f>'Z Score'!L38</f>
        <v>0</v>
      </c>
      <c r="Y34" s="109">
        <f>'Z Score'!O38</f>
        <v>0</v>
      </c>
      <c r="Z34" s="109">
        <f>'Z Score'!R38</f>
        <v>0</v>
      </c>
      <c r="AA34" s="109">
        <f>'Z Score'!S38</f>
        <v>0</v>
      </c>
    </row>
    <row r="35" spans="1:27" ht="15" customHeight="1" x14ac:dyDescent="0.3">
      <c r="A35" s="22"/>
      <c r="B35" s="23"/>
      <c r="C35" s="4"/>
      <c r="D35" s="23">
        <v>2018</v>
      </c>
      <c r="E35" s="25">
        <f>'Current Ratio'!G39</f>
        <v>0</v>
      </c>
      <c r="F35" s="25">
        <f>'Cash Ratio'!G39</f>
        <v>0</v>
      </c>
      <c r="G35" s="25">
        <f>DAR!G39</f>
        <v>0</v>
      </c>
      <c r="H35" s="25">
        <f>DER!G39</f>
        <v>0</v>
      </c>
      <c r="I35" s="25">
        <f>NPM!G39</f>
        <v>0</v>
      </c>
      <c r="J35" s="25">
        <f>ROA!G39</f>
        <v>0</v>
      </c>
      <c r="K35" s="25">
        <f>ROE!G39</f>
        <v>0</v>
      </c>
      <c r="L35" s="25">
        <f>KM!E39</f>
        <v>0</v>
      </c>
      <c r="M35" s="24">
        <f>KI!E39</f>
        <v>0</v>
      </c>
      <c r="N35" s="108">
        <f>IO!E39</f>
        <v>0</v>
      </c>
      <c r="O35" s="24">
        <f>'BoC Size'!E39</f>
        <v>0</v>
      </c>
      <c r="P35" s="24">
        <f>'TMT E DK'!E39</f>
        <v>0</v>
      </c>
      <c r="Q35" s="24">
        <f>Data!R39</f>
        <v>0</v>
      </c>
      <c r="R35" s="24">
        <f>Data!S39</f>
        <v>0</v>
      </c>
      <c r="S35" s="24">
        <f>'TMT E DK'!E39</f>
        <v>0</v>
      </c>
      <c r="T35" s="24">
        <f>'TMT E DD'!E39</f>
        <v>0</v>
      </c>
      <c r="U35" s="24">
        <f>TA!E39</f>
        <v>0</v>
      </c>
      <c r="V35" s="109">
        <f>PR!F39</f>
        <v>0</v>
      </c>
      <c r="W35" s="109">
        <f>'Z Score'!I39</f>
        <v>0</v>
      </c>
      <c r="X35" s="109">
        <f>'Z Score'!L39</f>
        <v>0</v>
      </c>
      <c r="Y35" s="109">
        <f>'Z Score'!O39</f>
        <v>0</v>
      </c>
      <c r="Z35" s="109">
        <f>'Z Score'!R39</f>
        <v>0</v>
      </c>
      <c r="AA35" s="109">
        <f>'Z Score'!S39</f>
        <v>0</v>
      </c>
    </row>
    <row r="36" spans="1:27" ht="15" customHeight="1" x14ac:dyDescent="0.3">
      <c r="A36" s="22"/>
      <c r="B36" s="23"/>
      <c r="C36" s="4"/>
      <c r="D36" s="23">
        <v>2019</v>
      </c>
      <c r="E36" s="25">
        <f>'Current Ratio'!G40</f>
        <v>0</v>
      </c>
      <c r="F36" s="25">
        <f>'Cash Ratio'!G40</f>
        <v>0</v>
      </c>
      <c r="G36" s="25">
        <f>DAR!G40</f>
        <v>0</v>
      </c>
      <c r="H36" s="25">
        <f>DER!G40</f>
        <v>0</v>
      </c>
      <c r="I36" s="25">
        <f>NPM!G40</f>
        <v>0</v>
      </c>
      <c r="J36" s="25">
        <f>ROA!G40</f>
        <v>0</v>
      </c>
      <c r="K36" s="25">
        <f>ROE!G40</f>
        <v>0</v>
      </c>
      <c r="L36" s="25">
        <f>KM!E40</f>
        <v>0</v>
      </c>
      <c r="M36" s="24">
        <f>KI!E40</f>
        <v>0</v>
      </c>
      <c r="N36" s="108">
        <f>IO!E40</f>
        <v>0</v>
      </c>
      <c r="O36" s="24">
        <f>'BoC Size'!E40</f>
        <v>0</v>
      </c>
      <c r="P36" s="24">
        <f>'TMT E DK'!E40</f>
        <v>0</v>
      </c>
      <c r="Q36" s="24">
        <f>Data!R40</f>
        <v>0</v>
      </c>
      <c r="R36" s="24">
        <f>Data!S40</f>
        <v>0</v>
      </c>
      <c r="S36" s="24">
        <f>'TMT E DK'!E40</f>
        <v>0</v>
      </c>
      <c r="T36" s="24">
        <f>'TMT E DD'!E40</f>
        <v>0</v>
      </c>
      <c r="U36" s="24">
        <f>TA!E40</f>
        <v>0</v>
      </c>
      <c r="V36" s="109">
        <f>PR!F40</f>
        <v>0</v>
      </c>
      <c r="W36" s="109">
        <f>'Z Score'!I40</f>
        <v>0</v>
      </c>
      <c r="X36" s="109">
        <f>'Z Score'!L40</f>
        <v>0</v>
      </c>
      <c r="Y36" s="109">
        <f>'Z Score'!O40</f>
        <v>0</v>
      </c>
      <c r="Z36" s="109">
        <f>'Z Score'!R40</f>
        <v>0</v>
      </c>
      <c r="AA36" s="109">
        <f>'Z Score'!S40</f>
        <v>0</v>
      </c>
    </row>
    <row r="37" spans="1:27" ht="15" customHeight="1" x14ac:dyDescent="0.3">
      <c r="A37" s="22"/>
      <c r="B37" s="23"/>
      <c r="C37" s="4"/>
      <c r="D37" s="23">
        <v>2020</v>
      </c>
      <c r="E37" s="25">
        <f>'Current Ratio'!G41</f>
        <v>0</v>
      </c>
      <c r="F37" s="25">
        <f>'Cash Ratio'!G41</f>
        <v>0</v>
      </c>
      <c r="G37" s="25">
        <f>DAR!G41</f>
        <v>0</v>
      </c>
      <c r="H37" s="25">
        <f>DER!G41</f>
        <v>0</v>
      </c>
      <c r="I37" s="25">
        <f>NPM!G41</f>
        <v>0</v>
      </c>
      <c r="J37" s="25">
        <f>ROA!G41</f>
        <v>0</v>
      </c>
      <c r="K37" s="25">
        <f>ROE!G41</f>
        <v>0</v>
      </c>
      <c r="L37" s="25">
        <f>KM!E41</f>
        <v>0</v>
      </c>
      <c r="M37" s="24">
        <f>KI!E41</f>
        <v>0</v>
      </c>
      <c r="N37" s="108">
        <f>IO!E41</f>
        <v>0</v>
      </c>
      <c r="O37" s="24">
        <f>'BoC Size'!E41</f>
        <v>0</v>
      </c>
      <c r="P37" s="24">
        <f>'TMT E DK'!E41</f>
        <v>0</v>
      </c>
      <c r="Q37" s="24">
        <f>Data!R41</f>
        <v>0</v>
      </c>
      <c r="R37" s="24">
        <f>Data!S41</f>
        <v>0</v>
      </c>
      <c r="S37" s="24">
        <f>'TMT E DK'!E41</f>
        <v>0</v>
      </c>
      <c r="T37" s="24">
        <f>'TMT E DD'!E41</f>
        <v>0</v>
      </c>
      <c r="U37" s="24">
        <f>TA!E41</f>
        <v>0</v>
      </c>
      <c r="V37" s="109">
        <f>PR!F41</f>
        <v>0</v>
      </c>
      <c r="W37" s="109">
        <f>'Z Score'!I41</f>
        <v>0</v>
      </c>
      <c r="X37" s="109">
        <f>'Z Score'!L41</f>
        <v>0</v>
      </c>
      <c r="Y37" s="109">
        <f>'Z Score'!O41</f>
        <v>0</v>
      </c>
      <c r="Z37" s="109">
        <f>'Z Score'!R41</f>
        <v>0</v>
      </c>
      <c r="AA37" s="109">
        <f>'Z Score'!S41</f>
        <v>0</v>
      </c>
    </row>
    <row r="38" spans="1:27" ht="15" customHeight="1" x14ac:dyDescent="0.3">
      <c r="A38" s="22"/>
      <c r="B38" s="23"/>
      <c r="C38" s="4"/>
      <c r="D38" s="23">
        <v>2021</v>
      </c>
      <c r="E38" s="25">
        <f>'Current Ratio'!G42</f>
        <v>0</v>
      </c>
      <c r="F38" s="25">
        <f>'Cash Ratio'!G42</f>
        <v>0</v>
      </c>
      <c r="G38" s="25">
        <f>DAR!G42</f>
        <v>0</v>
      </c>
      <c r="H38" s="25">
        <f>DER!G42</f>
        <v>0</v>
      </c>
      <c r="I38" s="25">
        <f>NPM!G42</f>
        <v>0</v>
      </c>
      <c r="J38" s="25">
        <f>ROA!G42</f>
        <v>0</v>
      </c>
      <c r="K38" s="25">
        <f>ROE!G42</f>
        <v>0</v>
      </c>
      <c r="L38" s="25">
        <f>KM!E42</f>
        <v>0</v>
      </c>
      <c r="M38" s="24">
        <f>KI!E42</f>
        <v>0</v>
      </c>
      <c r="N38" s="108">
        <f>IO!E42</f>
        <v>0</v>
      </c>
      <c r="O38" s="24">
        <f>'BoC Size'!E42</f>
        <v>0</v>
      </c>
      <c r="P38" s="24">
        <f>'TMT E DK'!E42</f>
        <v>0</v>
      </c>
      <c r="Q38" s="24">
        <f>Data!R42</f>
        <v>0</v>
      </c>
      <c r="R38" s="24">
        <f>Data!S42</f>
        <v>0</v>
      </c>
      <c r="S38" s="24">
        <f>'TMT E DK'!E42</f>
        <v>0</v>
      </c>
      <c r="T38" s="24">
        <f>'TMT E DD'!E42</f>
        <v>0</v>
      </c>
      <c r="U38" s="24">
        <f>TA!E42</f>
        <v>0</v>
      </c>
      <c r="V38" s="109">
        <f>PR!F42</f>
        <v>0</v>
      </c>
      <c r="W38" s="109">
        <f>'Z Score'!I42</f>
        <v>0</v>
      </c>
      <c r="X38" s="109">
        <f>'Z Score'!L42</f>
        <v>0</v>
      </c>
      <c r="Y38" s="109">
        <f>'Z Score'!O42</f>
        <v>0</v>
      </c>
      <c r="Z38" s="109">
        <f>'Z Score'!R42</f>
        <v>0</v>
      </c>
      <c r="AA38" s="109">
        <f>'Z Score'!S42</f>
        <v>0</v>
      </c>
    </row>
    <row r="39" spans="1:27" ht="15" customHeight="1" x14ac:dyDescent="0.3">
      <c r="A39" s="22"/>
      <c r="B39" s="23"/>
      <c r="C39" s="4"/>
      <c r="D39" s="23">
        <v>2022</v>
      </c>
      <c r="E39" s="25">
        <f>'Current Ratio'!G43</f>
        <v>0.79566817776744547</v>
      </c>
      <c r="F39" s="25">
        <f>'Cash Ratio'!G43</f>
        <v>0.33503041574644504</v>
      </c>
      <c r="G39" s="25">
        <f>DAR!G43</f>
        <v>0.20559441397732089</v>
      </c>
      <c r="H39" s="25">
        <f>DER!G43</f>
        <v>0.59555467407643359</v>
      </c>
      <c r="I39" s="25">
        <f>NPM!G43</f>
        <v>0.35762610011373802</v>
      </c>
      <c r="J39" s="25">
        <f>ROA!G43</f>
        <v>8.8214905758113457E-2</v>
      </c>
      <c r="K39" s="25">
        <f>ROE!G43</f>
        <v>0.2555361229476395</v>
      </c>
      <c r="L39" s="25">
        <f>KM!E43</f>
        <v>0</v>
      </c>
      <c r="M39" s="24">
        <f>KI!E43</f>
        <v>0</v>
      </c>
      <c r="N39" s="108">
        <f>IO!E43</f>
        <v>0</v>
      </c>
      <c r="O39" s="24">
        <f>'BoC Size'!E43</f>
        <v>0</v>
      </c>
      <c r="P39" s="24">
        <f>'TMT E DK'!E43</f>
        <v>0</v>
      </c>
      <c r="Q39" s="24">
        <f>Data!R43</f>
        <v>0</v>
      </c>
      <c r="R39" s="24">
        <f>Data!S43</f>
        <v>0</v>
      </c>
      <c r="S39" s="24">
        <f>'TMT E DK'!E43</f>
        <v>0</v>
      </c>
      <c r="T39" s="24">
        <f>'TMT E DD'!E43</f>
        <v>0</v>
      </c>
      <c r="U39" s="24">
        <f>TA!E43</f>
        <v>4337827000000</v>
      </c>
      <c r="V39" s="109">
        <f>PR!F43</f>
        <v>0</v>
      </c>
      <c r="W39" s="109">
        <f>'Z Score'!I43</f>
        <v>-0.15950297695136295</v>
      </c>
      <c r="X39" s="109">
        <f>'Z Score'!L43</f>
        <v>-1.3828121776179639E-4</v>
      </c>
      <c r="Y39" s="109">
        <f>'Z Score'!O43</f>
        <v>0.59272206106882552</v>
      </c>
      <c r="Z39" s="109">
        <f>'Z Score'!R43</f>
        <v>1.7630623109932018</v>
      </c>
      <c r="AA39" s="109">
        <f>'Z Score'!S43</f>
        <v>2.1961431138929024</v>
      </c>
    </row>
    <row r="40" spans="1:27" ht="15" customHeight="1" x14ac:dyDescent="0.3">
      <c r="A40" s="22"/>
      <c r="B40" s="23"/>
      <c r="C40" s="4"/>
      <c r="D40" s="23">
        <v>2023</v>
      </c>
      <c r="E40" s="25">
        <f>'Current Ratio'!G44</f>
        <v>1.4152335003916512</v>
      </c>
      <c r="F40" s="25">
        <f>'Cash Ratio'!G44</f>
        <v>0.47617628234011039</v>
      </c>
      <c r="G40" s="25">
        <f>DAR!G44</f>
        <v>0.23964660484875605</v>
      </c>
      <c r="H40" s="25">
        <f>DER!G44</f>
        <v>0.90551431756223622</v>
      </c>
      <c r="I40" s="25">
        <f>NPM!G44</f>
        <v>0.19126329283786125</v>
      </c>
      <c r="J40" s="25">
        <f>ROA!G44</f>
        <v>6.4330126425637582E-2</v>
      </c>
      <c r="K40" s="25">
        <f>ROE!G44</f>
        <v>0.24307396537400169</v>
      </c>
      <c r="L40" s="25">
        <f>KM!E44</f>
        <v>0.99990000000000001</v>
      </c>
      <c r="M40" s="24">
        <f>KI!E44</f>
        <v>2</v>
      </c>
      <c r="N40" s="108">
        <f>IO!E44</f>
        <v>0</v>
      </c>
      <c r="O40" s="24">
        <f>'BoC Size'!E44</f>
        <v>3</v>
      </c>
      <c r="P40" s="24">
        <f>'TMT E DK'!E44</f>
        <v>0</v>
      </c>
      <c r="Q40" s="24">
        <f>Data!R44</f>
        <v>3</v>
      </c>
      <c r="R40" s="24">
        <f>Data!S44</f>
        <v>3</v>
      </c>
      <c r="S40" s="24">
        <f>'TMT E DK'!E44</f>
        <v>0</v>
      </c>
      <c r="T40" s="24">
        <f>'TMT E DD'!E44</f>
        <v>0</v>
      </c>
      <c r="U40" s="24">
        <f>TA!E44</f>
        <v>3620310000000</v>
      </c>
      <c r="V40" s="109">
        <f>PR!F44</f>
        <v>0.13800335139247275</v>
      </c>
      <c r="W40" s="109">
        <f>'Z Score'!I44</f>
        <v>0.32562718662214007</v>
      </c>
      <c r="X40" s="109">
        <f>'Z Score'!L44</f>
        <v>-2.0665909825401691E-2</v>
      </c>
      <c r="Y40" s="109">
        <f>'Z Score'!O44</f>
        <v>0.41051600553543754</v>
      </c>
      <c r="Z40" s="109">
        <f>'Z Score'!R44</f>
        <v>1.1595620076187623</v>
      </c>
      <c r="AA40" s="109">
        <f>'Z Score'!S44</f>
        <v>1.8750392899509383</v>
      </c>
    </row>
    <row r="41" spans="1:27" ht="15" customHeight="1" x14ac:dyDescent="0.3">
      <c r="A41" s="22"/>
      <c r="B41" s="23"/>
      <c r="C41" s="4"/>
      <c r="D41" s="23">
        <v>2024</v>
      </c>
      <c r="E41" s="25">
        <f>'Current Ratio'!G45</f>
        <v>0.7884825960547821</v>
      </c>
      <c r="F41" s="25">
        <f>'Cash Ratio'!G45</f>
        <v>0.43187028356590734</v>
      </c>
      <c r="G41" s="25">
        <f>DAR!G45</f>
        <v>0.2736064386722814</v>
      </c>
      <c r="H41" s="25">
        <f>DER!G45</f>
        <v>0.94368035959958185</v>
      </c>
      <c r="I41" s="25">
        <f>NPM!G45</f>
        <v>5.1825077095375337E-2</v>
      </c>
      <c r="J41" s="25">
        <f>ROA!G45</f>
        <v>1.7543681022674663E-2</v>
      </c>
      <c r="K41" s="25">
        <f>ROE!G45</f>
        <v>6.0508909426681592E-2</v>
      </c>
      <c r="L41" s="25">
        <f>KM!E45</f>
        <v>0.99</v>
      </c>
      <c r="M41" s="24">
        <f>KI!E45</f>
        <v>2</v>
      </c>
      <c r="N41" s="108">
        <f>IO!E45</f>
        <v>0</v>
      </c>
      <c r="O41" s="24">
        <f>'BoC Size'!E45</f>
        <v>3</v>
      </c>
      <c r="P41" s="24">
        <f>'TMT E DK'!E45</f>
        <v>0</v>
      </c>
      <c r="Q41" s="24">
        <f>Data!R45</f>
        <v>3</v>
      </c>
      <c r="R41" s="24">
        <f>Data!S45</f>
        <v>3</v>
      </c>
      <c r="S41" s="24">
        <f>'TMT E DK'!E45</f>
        <v>0</v>
      </c>
      <c r="T41" s="24">
        <f>'TMT E DD'!E45</f>
        <v>0</v>
      </c>
      <c r="U41" s="24">
        <f>TA!E45</f>
        <v>3339322000000</v>
      </c>
      <c r="V41" s="109">
        <f>PR!F45</f>
        <v>-7.1652594674898804E-2</v>
      </c>
      <c r="W41" s="109">
        <f>'Z Score'!I45</f>
        <v>-0.15406557379012864</v>
      </c>
      <c r="X41" s="109">
        <f>'Z Score'!L45</f>
        <v>6.4105198600194882E-2</v>
      </c>
      <c r="Y41" s="109">
        <f>'Z Score'!O45</f>
        <v>0.1407441630366883</v>
      </c>
      <c r="Z41" s="109">
        <f>'Z Score'!R45</f>
        <v>1.1126648862815491</v>
      </c>
      <c r="AA41" s="109">
        <f>'Z Score'!S45</f>
        <v>1.1634486741283037</v>
      </c>
    </row>
    <row r="42" spans="1:27" ht="15" customHeight="1" x14ac:dyDescent="0.3">
      <c r="A42" s="22"/>
      <c r="B42" s="23">
        <v>5</v>
      </c>
      <c r="C42" s="3" t="s">
        <v>20</v>
      </c>
      <c r="D42" s="23">
        <v>2015</v>
      </c>
      <c r="E42" s="25">
        <f>'Current Ratio'!G47</f>
        <v>2.2030997621248392</v>
      </c>
      <c r="F42" s="25">
        <f>'Cash Ratio'!G47</f>
        <v>0.14708915168772149</v>
      </c>
      <c r="G42" s="25">
        <f>DAR!G47</f>
        <v>0.73137589792581115</v>
      </c>
      <c r="H42" s="25">
        <f>DER!G47</f>
        <v>0.73137589792581115</v>
      </c>
      <c r="I42" s="25">
        <f>NPM!G47</f>
        <v>0</v>
      </c>
      <c r="J42" s="25">
        <f>ROA!G47</f>
        <v>0</v>
      </c>
      <c r="K42" s="25">
        <f>ROE!G47</f>
        <v>0</v>
      </c>
      <c r="L42" s="25">
        <f>KM!E47</f>
        <v>0</v>
      </c>
      <c r="M42" s="24">
        <f>KI!E47</f>
        <v>0</v>
      </c>
      <c r="N42" s="108">
        <f>IO!E47</f>
        <v>0</v>
      </c>
      <c r="O42" s="24">
        <f>'BoC Size'!E47</f>
        <v>0</v>
      </c>
      <c r="P42" s="24">
        <f>'TMT E DK'!E47</f>
        <v>0</v>
      </c>
      <c r="Q42" s="24">
        <f>Data!R47</f>
        <v>0</v>
      </c>
      <c r="R42" s="24">
        <f>Data!S47</f>
        <v>0</v>
      </c>
      <c r="S42" s="24">
        <f>'TMT E DK'!E47</f>
        <v>0</v>
      </c>
      <c r="T42" s="24">
        <f>'TMT E DD'!E47</f>
        <v>0</v>
      </c>
      <c r="U42" s="24">
        <f>TA!E47</f>
        <v>4933308738000</v>
      </c>
      <c r="V42" s="109">
        <f>PR!F47</f>
        <v>0</v>
      </c>
      <c r="W42" s="109">
        <f>'Z Score'!I47</f>
        <v>0.34010614467243178</v>
      </c>
      <c r="X42" s="109">
        <f>'Z Score'!L47</f>
        <v>0.77956989963274415</v>
      </c>
      <c r="Y42" s="109">
        <f>'Z Score'!O47</f>
        <v>0</v>
      </c>
      <c r="Z42" s="109">
        <f>'Z Score'!R47</f>
        <v>1.4356502627141663</v>
      </c>
      <c r="AA42" s="109">
        <f>'Z Score'!S47</f>
        <v>2.5553263070193424</v>
      </c>
    </row>
    <row r="43" spans="1:27" ht="15" customHeight="1" x14ac:dyDescent="0.3">
      <c r="A43" s="22"/>
      <c r="B43" s="23"/>
      <c r="C43" s="3"/>
      <c r="D43" s="23">
        <v>2016</v>
      </c>
      <c r="E43" s="25">
        <f>'Current Ratio'!G48</f>
        <v>2.9484892519157211</v>
      </c>
      <c r="F43" s="25">
        <f>'Cash Ratio'!G48</f>
        <v>0.35956052887543138</v>
      </c>
      <c r="G43" s="25">
        <f>DAR!G48</f>
        <v>0.73062673058269378</v>
      </c>
      <c r="H43" s="25">
        <f>DER!G48</f>
        <v>0.73062673058269378</v>
      </c>
      <c r="I43" s="25">
        <f>NPM!G48</f>
        <v>9.3583209034949016E-2</v>
      </c>
      <c r="J43" s="25">
        <f>ROA!G48</f>
        <v>5.3670442515432397E-2</v>
      </c>
      <c r="K43" s="25">
        <f>ROE!G48</f>
        <v>5.3670442515432397E-2</v>
      </c>
      <c r="L43" s="25">
        <f>KM!E48</f>
        <v>0</v>
      </c>
      <c r="M43" s="24">
        <f>KI!E48</f>
        <v>0</v>
      </c>
      <c r="N43" s="108">
        <f>IO!E48</f>
        <v>0</v>
      </c>
      <c r="O43" s="24">
        <f>'BoC Size'!E48</f>
        <v>0</v>
      </c>
      <c r="P43" s="24">
        <f>'TMT E DK'!E48</f>
        <v>0</v>
      </c>
      <c r="Q43" s="24">
        <f>Data!R48</f>
        <v>0</v>
      </c>
      <c r="R43" s="24">
        <f>Data!S48</f>
        <v>0</v>
      </c>
      <c r="S43" s="24">
        <f>'TMT E DK'!E48</f>
        <v>0</v>
      </c>
      <c r="T43" s="24">
        <f>'TMT E DD'!E48</f>
        <v>0</v>
      </c>
      <c r="U43" s="24">
        <f>TA!E48</f>
        <v>6176329027000</v>
      </c>
      <c r="V43" s="109">
        <f>PR!F48</f>
        <v>0</v>
      </c>
      <c r="W43" s="109">
        <f>'Z Score'!I48</f>
        <v>0.27476367618716241</v>
      </c>
      <c r="X43" s="109">
        <f>'Z Score'!L48</f>
        <v>0.73564235349795259</v>
      </c>
      <c r="Y43" s="109">
        <f>'Z Score'!O48</f>
        <v>0.22356557423733894</v>
      </c>
      <c r="Z43" s="109">
        <f>'Z Score'!R48</f>
        <v>1.4371223444871746</v>
      </c>
      <c r="AA43" s="109">
        <f>'Z Score'!S48</f>
        <v>2.6710939484096285</v>
      </c>
    </row>
    <row r="44" spans="1:27" ht="15" customHeight="1" x14ac:dyDescent="0.3">
      <c r="A44" s="22"/>
      <c r="B44" s="23"/>
      <c r="C44" s="3"/>
      <c r="D44" s="23">
        <v>2017</v>
      </c>
      <c r="E44" s="25">
        <f>'Current Ratio'!G49</f>
        <v>2.8423014074861146</v>
      </c>
      <c r="F44" s="25">
        <f>'Cash Ratio'!G49</f>
        <v>0.30440243135142964</v>
      </c>
      <c r="G44" s="25">
        <f>DAR!G49</f>
        <v>0.73314283009799486</v>
      </c>
      <c r="H44" s="25">
        <f>DER!G49</f>
        <v>8.0884287971320329E-2</v>
      </c>
      <c r="I44" s="25">
        <f>NPM!G49</f>
        <v>0.12223062099783538</v>
      </c>
      <c r="J44" s="25">
        <f>ROA!G49</f>
        <v>10.389756331870261</v>
      </c>
      <c r="K44" s="25">
        <f>ROE!G49</f>
        <v>0.25581007554933083</v>
      </c>
      <c r="L44" s="25">
        <f>KM!E49</f>
        <v>0.91</v>
      </c>
      <c r="M44" s="24">
        <f>KI!E49</f>
        <v>3</v>
      </c>
      <c r="N44" s="108">
        <f>IO!E49</f>
        <v>0</v>
      </c>
      <c r="O44" s="24">
        <f>'BoC Size'!E49</f>
        <v>5</v>
      </c>
      <c r="P44" s="24">
        <f>'TMT E DK'!E49</f>
        <v>13</v>
      </c>
      <c r="Q44" s="24">
        <f>Data!R49</f>
        <v>5</v>
      </c>
      <c r="R44" s="24">
        <f>Data!S49</f>
        <v>6</v>
      </c>
      <c r="S44" s="24">
        <f>'TMT E DK'!E49</f>
        <v>13</v>
      </c>
      <c r="T44" s="24">
        <f>'TMT E DD'!E49</f>
        <v>17</v>
      </c>
      <c r="U44" s="24">
        <f>TA!E49</f>
        <v>8162691116000</v>
      </c>
      <c r="V44" s="109">
        <f>PR!F49</f>
        <v>0.24313145970075817</v>
      </c>
      <c r="W44" s="109">
        <f>'Z Score'!I49</f>
        <v>0.25196627947963623</v>
      </c>
      <c r="X44" s="109">
        <f>'Z Score'!L49</f>
        <v>0.6731655271273651</v>
      </c>
      <c r="Y44" s="109">
        <f>'Z Score'!O49</f>
        <v>0.29269215658019027</v>
      </c>
      <c r="Z44" s="109">
        <f>'Z Score'!R49</f>
        <v>0.3691598328394704</v>
      </c>
      <c r="AA44" s="109">
        <f>'Z Score'!S49</f>
        <v>1.586983796026662</v>
      </c>
    </row>
    <row r="45" spans="1:27" ht="15" customHeight="1" x14ac:dyDescent="0.3">
      <c r="A45" s="22"/>
      <c r="B45" s="23"/>
      <c r="C45" s="3"/>
      <c r="D45" s="23">
        <v>2018</v>
      </c>
      <c r="E45" s="25">
        <f>'Current Ratio'!G50</f>
        <v>1.5547905662199974</v>
      </c>
      <c r="F45" s="25">
        <f>'Cash Ratio'!G50</f>
        <v>0.16931339592442571</v>
      </c>
      <c r="G45" s="25">
        <f>DAR!G50</f>
        <v>0.75172997150378151</v>
      </c>
      <c r="H45" s="25">
        <f>DER!G50</f>
        <v>3.1515140052626194</v>
      </c>
      <c r="I45" s="25">
        <f>NPM!G50</f>
        <v>5.9912270082598675E-2</v>
      </c>
      <c r="J45" s="25">
        <f>ROA!G50</f>
        <v>3.1198480094146247E-2</v>
      </c>
      <c r="K45" s="25">
        <f>ROE!G50</f>
        <v>0.1307949006781278</v>
      </c>
      <c r="L45" s="25">
        <f>KM!E50</f>
        <v>0.91</v>
      </c>
      <c r="M45" s="24">
        <f>KI!E50</f>
        <v>2</v>
      </c>
      <c r="N45" s="108">
        <f>IO!E50</f>
        <v>0</v>
      </c>
      <c r="O45" s="24">
        <f>'BoC Size'!E50</f>
        <v>5</v>
      </c>
      <c r="P45" s="24">
        <f>'TMT E DK'!E50</f>
        <v>13</v>
      </c>
      <c r="Q45" s="24">
        <f>Data!R50</f>
        <v>5</v>
      </c>
      <c r="R45" s="24">
        <f>Data!S50</f>
        <v>6</v>
      </c>
      <c r="S45" s="24">
        <f>'TMT E DK'!E50</f>
        <v>13</v>
      </c>
      <c r="T45" s="24">
        <f>'TMT E DD'!E50</f>
        <v>16</v>
      </c>
      <c r="U45" s="24">
        <f>TA!E50</f>
        <v>9356504263000</v>
      </c>
      <c r="V45" s="109">
        <f>PR!F50</f>
        <v>0.10648761604550572</v>
      </c>
      <c r="W45" s="109">
        <f>'Z Score'!I50</f>
        <v>0.14111126032626484</v>
      </c>
      <c r="X45" s="109">
        <f>'Z Score'!L50</f>
        <v>0.73928684589752325</v>
      </c>
      <c r="Y45" s="109">
        <f>'Z Score'!O50</f>
        <v>0.56316022241307884</v>
      </c>
      <c r="Z45" s="109">
        <f>'Z Score'!R50</f>
        <v>0.33317319810308199</v>
      </c>
      <c r="AA45" s="109">
        <f>'Z Score'!S50</f>
        <v>1.7767315267399488</v>
      </c>
    </row>
    <row r="46" spans="1:27" ht="15" customHeight="1" x14ac:dyDescent="0.3">
      <c r="A46" s="22"/>
      <c r="B46" s="23"/>
      <c r="C46" s="3"/>
      <c r="D46" s="23">
        <v>2019</v>
      </c>
      <c r="E46" s="25">
        <f>'Current Ratio'!G51</f>
        <v>1.5732253687736937</v>
      </c>
      <c r="F46" s="25">
        <f>'Cash Ratio'!G51</f>
        <v>0.21194978902822581</v>
      </c>
      <c r="G46" s="25">
        <f>DAR!G51</f>
        <v>0.75843942216898896</v>
      </c>
      <c r="H46" s="25">
        <f>DER!G51</f>
        <v>3.2790607696234959</v>
      </c>
      <c r="I46" s="25">
        <f>NPM!G51</f>
        <v>7.9739053522382461E-2</v>
      </c>
      <c r="J46" s="25">
        <f>ROA!G51</f>
        <v>4.0794333156126433E-2</v>
      </c>
      <c r="K46" s="25">
        <f>ROE!G51</f>
        <v>0.17637149858673934</v>
      </c>
      <c r="L46" s="25">
        <f>KM!E51</f>
        <v>0.91010000000000002</v>
      </c>
      <c r="M46" s="24">
        <f>KI!E51</f>
        <v>3</v>
      </c>
      <c r="N46" s="108">
        <f>IO!E51</f>
        <v>0</v>
      </c>
      <c r="O46" s="24">
        <f>'BoC Size'!E51</f>
        <v>6</v>
      </c>
      <c r="P46" s="24">
        <f>'TMT E DK'!E51</f>
        <v>16</v>
      </c>
      <c r="Q46" s="24">
        <f>Data!R51</f>
        <v>6</v>
      </c>
      <c r="R46" s="24">
        <f>Data!S51</f>
        <v>6</v>
      </c>
      <c r="S46" s="24">
        <f>'TMT E DK'!E51</f>
        <v>16</v>
      </c>
      <c r="T46" s="24">
        <f>'TMT E DD'!E51</f>
        <v>16</v>
      </c>
      <c r="U46" s="24">
        <f>TA!E51</f>
        <v>11084971000000</v>
      </c>
      <c r="V46" s="109">
        <f>PR!F51</f>
        <v>0.1639438819742422</v>
      </c>
      <c r="W46" s="109">
        <f>'Z Score'!I51</f>
        <v>0.1092596453342097</v>
      </c>
      <c r="X46" s="109">
        <f>'Z Score'!L51</f>
        <v>0.68376627597852979</v>
      </c>
      <c r="Y46" s="109">
        <f>'Z Score'!O51</f>
        <v>0.20381204064494168</v>
      </c>
      <c r="Z46" s="109">
        <f>'Z Score'!R51</f>
        <v>0.32021364462866048</v>
      </c>
      <c r="AA46" s="109">
        <f>'Z Score'!S51</f>
        <v>1.3170516065863418</v>
      </c>
    </row>
    <row r="47" spans="1:27" ht="15" customHeight="1" x14ac:dyDescent="0.3">
      <c r="A47" s="22"/>
      <c r="B47" s="23"/>
      <c r="C47" s="3"/>
      <c r="D47" s="23">
        <v>2020</v>
      </c>
      <c r="E47" s="25">
        <f>'Current Ratio'!G52</f>
        <v>2.8320448653178873</v>
      </c>
      <c r="F47" s="25">
        <f>'Cash Ratio'!G52</f>
        <v>0.37479145616467324</v>
      </c>
      <c r="G47" s="25">
        <f>DAR!G52</f>
        <v>0.77290171373409799</v>
      </c>
      <c r="H47" s="25">
        <f>DER!G52</f>
        <v>3.6084191749257251</v>
      </c>
      <c r="I47" s="25">
        <f>NPM!G52</f>
        <v>3.6062597700165726E-2</v>
      </c>
      <c r="J47" s="25">
        <f>ROA!G52</f>
        <v>1.7637944156910654E-2</v>
      </c>
      <c r="K47" s="25">
        <f>ROE!G52</f>
        <v>8.2345652456350268E-2</v>
      </c>
      <c r="L47" s="25">
        <f>KM!E52</f>
        <v>0.91010000000000002</v>
      </c>
      <c r="M47" s="24">
        <f>KI!E52</f>
        <v>2</v>
      </c>
      <c r="N47" s="108">
        <f>IO!E52</f>
        <v>0</v>
      </c>
      <c r="O47" s="24">
        <f>'BoC Size'!E52</f>
        <v>4</v>
      </c>
      <c r="P47" s="24">
        <f>'TMT E DK'!E52</f>
        <v>12</v>
      </c>
      <c r="Q47" s="24">
        <f>Data!R52</f>
        <v>4</v>
      </c>
      <c r="R47" s="24">
        <f>Data!S52</f>
        <v>4</v>
      </c>
      <c r="S47" s="24">
        <f>'TMT E DK'!E52</f>
        <v>12</v>
      </c>
      <c r="T47" s="24">
        <f>'TMT E DD'!E52</f>
        <v>10</v>
      </c>
      <c r="U47" s="24">
        <f>TA!E52</f>
        <v>13044264000000</v>
      </c>
      <c r="V47" s="109">
        <f>PR!F52</f>
        <v>0.12498624592844215</v>
      </c>
      <c r="W47" s="109">
        <f>'Z Score'!I52</f>
        <v>0.23525703558284314</v>
      </c>
      <c r="X47" s="109">
        <f>'Z Score'!L52</f>
        <v>0.59665464759069575</v>
      </c>
      <c r="Y47" s="109">
        <f>'Z Score'!O52</f>
        <v>2.7381230554671385E-2</v>
      </c>
      <c r="Z47" s="109">
        <f>'Z Score'!R52</f>
        <v>0.29098614908607812</v>
      </c>
      <c r="AA47" s="109">
        <f>'Z Score'!S52</f>
        <v>1.1502790628142883</v>
      </c>
    </row>
    <row r="48" spans="1:27" ht="15" customHeight="1" x14ac:dyDescent="0.3">
      <c r="A48" s="22"/>
      <c r="B48" s="23"/>
      <c r="C48" s="3"/>
      <c r="D48" s="23">
        <v>2021</v>
      </c>
      <c r="E48" s="25">
        <f>'Current Ratio'!G53</f>
        <v>0.89674251367899049</v>
      </c>
      <c r="F48" s="25">
        <f>'Cash Ratio'!G53</f>
        <v>8.4104257318273146E-2</v>
      </c>
      <c r="G48" s="25">
        <f>DAR!G53</f>
        <v>0.62329338751734875</v>
      </c>
      <c r="H48" s="25">
        <f>DER!G53</f>
        <v>1.7030708195086652</v>
      </c>
      <c r="I48" s="25">
        <f>NPM!G53</f>
        <v>5.3822455688256766E-3</v>
      </c>
      <c r="J48" s="25">
        <f>ROA!G53</f>
        <v>2.1411513752786306E-3</v>
      </c>
      <c r="K48" s="25">
        <f>ROE!G53</f>
        <v>5.8504269424587566E-3</v>
      </c>
      <c r="L48" s="25">
        <f>KM!E53</f>
        <v>0.63829999999999998</v>
      </c>
      <c r="M48" s="24">
        <f>KI!E53</f>
        <v>4</v>
      </c>
      <c r="N48" s="108">
        <f>IO!E53</f>
        <v>0</v>
      </c>
      <c r="O48" s="24">
        <f>'BoC Size'!E53</f>
        <v>6</v>
      </c>
      <c r="P48" s="24">
        <f>'TMT E DK'!E53</f>
        <v>14</v>
      </c>
      <c r="Q48" s="24">
        <f>Data!R53</f>
        <v>6</v>
      </c>
      <c r="R48" s="24">
        <f>Data!S53</f>
        <v>8</v>
      </c>
      <c r="S48" s="24">
        <f>'TMT E DK'!E53</f>
        <v>14</v>
      </c>
      <c r="T48" s="24">
        <f>'TMT E DD'!E53</f>
        <v>20</v>
      </c>
      <c r="U48" s="24">
        <f>TA!E53</f>
        <v>18260736000000</v>
      </c>
      <c r="V48" s="109">
        <f>PR!F53</f>
        <v>0.13865355162683266</v>
      </c>
      <c r="W48" s="109">
        <f>'Z Score'!I53</f>
        <v>-3.5097100138789583E-2</v>
      </c>
      <c r="X48" s="109">
        <f>'Z Score'!L53</f>
        <v>0.45299641153565773</v>
      </c>
      <c r="Y48" s="109">
        <f>'Z Score'!O53</f>
        <v>4.7904014383648059E-2</v>
      </c>
      <c r="Z48" s="109">
        <f>'Z Score'!R53</f>
        <v>0.61653337487335047</v>
      </c>
      <c r="AA48" s="109">
        <f>'Z Score'!S53</f>
        <v>1.0823367006538667</v>
      </c>
    </row>
    <row r="49" spans="1:27" ht="15" customHeight="1" x14ac:dyDescent="0.3">
      <c r="A49" s="22"/>
      <c r="B49" s="23"/>
      <c r="C49" s="3"/>
      <c r="D49" s="23">
        <v>2022</v>
      </c>
      <c r="E49" s="25">
        <f>'Current Ratio'!G54</f>
        <v>2.1455460399149304</v>
      </c>
      <c r="F49" s="25">
        <f>'Cash Ratio'!G54</f>
        <v>0.1129405982913378</v>
      </c>
      <c r="G49" s="25">
        <f>DAR!G54</f>
        <v>0.63048980598439153</v>
      </c>
      <c r="H49" s="25">
        <f>DER!G54</f>
        <v>1.7585346054260744</v>
      </c>
      <c r="I49" s="25">
        <f>NPM!G54</f>
        <v>3.1009882135493425E-2</v>
      </c>
      <c r="J49" s="25">
        <f>ROA!G54</f>
        <v>1.3187923395672548E-2</v>
      </c>
      <c r="K49" s="25">
        <f>ROE!G54</f>
        <v>3.6783179434264235E-2</v>
      </c>
      <c r="L49" s="25">
        <f>KM!E54</f>
        <v>0.59019999999999995</v>
      </c>
      <c r="M49" s="24">
        <f>KI!E54</f>
        <v>3</v>
      </c>
      <c r="N49" s="108">
        <f>IO!E54</f>
        <v>0</v>
      </c>
      <c r="O49" s="24">
        <f>'BoC Size'!E54</f>
        <v>5</v>
      </c>
      <c r="P49" s="24">
        <f>'TMT E DK'!E54</f>
        <v>11</v>
      </c>
      <c r="Q49" s="24">
        <f>Data!R54</f>
        <v>5</v>
      </c>
      <c r="R49" s="24">
        <f>Data!S54</f>
        <v>5</v>
      </c>
      <c r="S49" s="24">
        <f>'TMT E DK'!E54</f>
        <v>11</v>
      </c>
      <c r="T49" s="24">
        <f>'TMT E DD'!E54</f>
        <v>11</v>
      </c>
      <c r="U49" s="24">
        <f>TA!E54</f>
        <v>21494817000000</v>
      </c>
      <c r="V49" s="109">
        <f>PR!F54</f>
        <v>0.25836871114635129</v>
      </c>
      <c r="W49" s="109">
        <f>'Z Score'!I54</f>
        <v>0.20203171397086098</v>
      </c>
      <c r="X49" s="109">
        <f>'Z Score'!L54</f>
        <v>0.43249913874586599</v>
      </c>
      <c r="Y49" s="109">
        <f>'Z Score'!O54</f>
        <v>0.12047988684900179</v>
      </c>
      <c r="Z49" s="109">
        <f>'Z Score'!R54</f>
        <v>0.59708805090338046</v>
      </c>
      <c r="AA49" s="109">
        <f>'Z Score'!S54</f>
        <v>1.3520987904691091</v>
      </c>
    </row>
    <row r="50" spans="1:27" ht="15" customHeight="1" x14ac:dyDescent="0.3">
      <c r="A50" s="22"/>
      <c r="B50" s="23"/>
      <c r="C50" s="3"/>
      <c r="D50" s="23">
        <v>2023</v>
      </c>
      <c r="E50" s="25">
        <f>'Current Ratio'!G55</f>
        <v>2.6096805992452925</v>
      </c>
      <c r="F50" s="25">
        <f>'Cash Ratio'!G55</f>
        <v>0.20799977396447475</v>
      </c>
      <c r="G50" s="25">
        <f>DAR!G55</f>
        <v>0.60175273893056214</v>
      </c>
      <c r="H50" s="25">
        <f>DER!G55</f>
        <v>1.5554565234689033</v>
      </c>
      <c r="I50" s="25">
        <f>NPM!G55</f>
        <v>6.9058943166801709E-2</v>
      </c>
      <c r="J50" s="25">
        <f>ROA!G55</f>
        <v>2.6959684856174806E-2</v>
      </c>
      <c r="K50" s="25">
        <f>ROE!G55</f>
        <v>6.9687456271041351E-2</v>
      </c>
      <c r="L50" s="25">
        <f>KM!E55</f>
        <v>0.54769999999999996</v>
      </c>
      <c r="M50" s="24">
        <f>KI!E55</f>
        <v>3</v>
      </c>
      <c r="N50" s="108">
        <f>IO!E55</f>
        <v>0</v>
      </c>
      <c r="O50" s="24">
        <f>'BoC Size'!E55</f>
        <v>5</v>
      </c>
      <c r="P50" s="24">
        <f>'TMT E DK'!E55</f>
        <v>14</v>
      </c>
      <c r="Q50" s="24">
        <f>Data!R55</f>
        <v>5</v>
      </c>
      <c r="R50" s="24">
        <f>Data!S55</f>
        <v>5</v>
      </c>
      <c r="S50" s="24">
        <f>'TMT E DK'!E55</f>
        <v>14</v>
      </c>
      <c r="T50" s="24">
        <f>'TMT E DD'!E55</f>
        <v>13</v>
      </c>
      <c r="U50" s="24">
        <f>TA!E55</f>
        <v>23552167000000</v>
      </c>
      <c r="V50" s="109">
        <f>PR!F55</f>
        <v>5.8094302106998707E-3</v>
      </c>
      <c r="W50" s="109">
        <f>'Z Score'!I55</f>
        <v>0.14281324007255894</v>
      </c>
      <c r="X50" s="109">
        <f>'Z Score'!L55</f>
        <v>0.46878666918419859</v>
      </c>
      <c r="Y50" s="109">
        <f>'Z Score'!O55</f>
        <v>0.1764406918480155</v>
      </c>
      <c r="Z50" s="109">
        <f>'Z Score'!R55</f>
        <v>0.67504297558786219</v>
      </c>
      <c r="AA50" s="109">
        <f>'Z Score'!S55</f>
        <v>1.4630835766926351</v>
      </c>
    </row>
    <row r="51" spans="1:27" ht="15" customHeight="1" x14ac:dyDescent="0.3">
      <c r="A51" s="22"/>
      <c r="B51" s="23"/>
      <c r="C51" s="3"/>
      <c r="D51" s="23">
        <v>2024</v>
      </c>
      <c r="E51" s="25">
        <f>'Current Ratio'!G56</f>
        <v>0</v>
      </c>
      <c r="F51" s="25">
        <f>'Cash Ratio'!G56</f>
        <v>0</v>
      </c>
      <c r="G51" s="25">
        <f>DAR!G56</f>
        <v>0</v>
      </c>
      <c r="H51" s="25">
        <f>DER!G56</f>
        <v>0</v>
      </c>
      <c r="I51" s="25">
        <f>NPM!G56</f>
        <v>0</v>
      </c>
      <c r="J51" s="25">
        <f>ROA!G56</f>
        <v>0</v>
      </c>
      <c r="K51" s="25">
        <f>ROE!G56</f>
        <v>0</v>
      </c>
      <c r="L51" s="25">
        <f>KM!E56</f>
        <v>0</v>
      </c>
      <c r="M51" s="24">
        <f>KI!E56</f>
        <v>0</v>
      </c>
      <c r="N51" s="108">
        <f>IO!E56</f>
        <v>0</v>
      </c>
      <c r="O51" s="24">
        <f>'BoC Size'!E56</f>
        <v>0</v>
      </c>
      <c r="P51" s="24">
        <f>'TMT E DK'!E56</f>
        <v>0</v>
      </c>
      <c r="Q51" s="24">
        <f>Data!R56</f>
        <v>0</v>
      </c>
      <c r="R51" s="24">
        <f>Data!S56</f>
        <v>0</v>
      </c>
      <c r="S51" s="24">
        <f>'TMT E DK'!E56</f>
        <v>0</v>
      </c>
      <c r="T51" s="24">
        <f>'TMT E DD'!E56</f>
        <v>0</v>
      </c>
      <c r="U51" s="24">
        <f>TA!E56</f>
        <v>0</v>
      </c>
      <c r="V51" s="109">
        <f>PR!F56</f>
        <v>-1</v>
      </c>
      <c r="W51" s="109">
        <f>'Z Score'!I56</f>
        <v>0</v>
      </c>
      <c r="X51" s="109">
        <f>'Z Score'!L56</f>
        <v>0</v>
      </c>
      <c r="Y51" s="109">
        <f>'Z Score'!O56</f>
        <v>0</v>
      </c>
      <c r="Z51" s="109">
        <f>'Z Score'!R56</f>
        <v>0</v>
      </c>
      <c r="AA51" s="109">
        <f>'Z Score'!S56</f>
        <v>0</v>
      </c>
    </row>
    <row r="52" spans="1:27" ht="15" customHeight="1" x14ac:dyDescent="0.3">
      <c r="A52" s="22"/>
      <c r="B52" s="23">
        <v>6</v>
      </c>
      <c r="C52" s="3" t="s">
        <v>21</v>
      </c>
      <c r="D52" s="23">
        <v>2015</v>
      </c>
      <c r="E52" s="25">
        <f>'Current Ratio'!G58</f>
        <v>0</v>
      </c>
      <c r="F52" s="25">
        <f>'Cash Ratio'!G58</f>
        <v>0</v>
      </c>
      <c r="G52" s="25">
        <f>DAR!G58</f>
        <v>0</v>
      </c>
      <c r="H52" s="25">
        <f>DER!G58</f>
        <v>0</v>
      </c>
      <c r="I52" s="25">
        <f>NPM!G58</f>
        <v>0</v>
      </c>
      <c r="J52" s="25">
        <f>ROA!G58</f>
        <v>0</v>
      </c>
      <c r="K52" s="25">
        <f>ROE!G58</f>
        <v>0</v>
      </c>
      <c r="L52" s="25">
        <f>KM!E58</f>
        <v>0</v>
      </c>
      <c r="M52" s="24">
        <f>KI!E58</f>
        <v>0</v>
      </c>
      <c r="N52" s="108">
        <f>IO!E58</f>
        <v>0</v>
      </c>
      <c r="O52" s="24">
        <f>'BoC Size'!E58</f>
        <v>0</v>
      </c>
      <c r="P52" s="24">
        <f>'TMT E DK'!E58</f>
        <v>0</v>
      </c>
      <c r="Q52" s="24">
        <f>Data!R58</f>
        <v>0</v>
      </c>
      <c r="R52" s="24">
        <f>Data!S58</f>
        <v>0</v>
      </c>
      <c r="S52" s="24">
        <f>'TMT E DK'!E58</f>
        <v>0</v>
      </c>
      <c r="T52" s="24">
        <f>'TMT E DD'!E58</f>
        <v>0</v>
      </c>
      <c r="U52" s="24">
        <f>TA!E58</f>
        <v>0</v>
      </c>
      <c r="V52" s="109">
        <f>PR!F58</f>
        <v>0</v>
      </c>
      <c r="W52" s="109">
        <f>'Z Score'!I58</f>
        <v>0</v>
      </c>
      <c r="X52" s="109">
        <f>'Z Score'!L58</f>
        <v>0</v>
      </c>
      <c r="Y52" s="109">
        <f>'Z Score'!O58</f>
        <v>0</v>
      </c>
      <c r="Z52" s="109">
        <f>'Z Score'!R58</f>
        <v>0</v>
      </c>
      <c r="AA52" s="109">
        <f>'Z Score'!S58</f>
        <v>0</v>
      </c>
    </row>
    <row r="53" spans="1:27" ht="15" customHeight="1" x14ac:dyDescent="0.3">
      <c r="A53" s="22"/>
      <c r="B53" s="23"/>
      <c r="C53" s="3"/>
      <c r="D53" s="23">
        <v>2016</v>
      </c>
      <c r="E53" s="25">
        <f>'Current Ratio'!G59</f>
        <v>2.0825285338015802</v>
      </c>
      <c r="F53" s="25">
        <f>'Cash Ratio'!G59</f>
        <v>2.0828211881767631</v>
      </c>
      <c r="G53" s="25">
        <f>DAR!G59</f>
        <v>3.4687890200696396E-2</v>
      </c>
      <c r="H53" s="25">
        <f>DER!G59</f>
        <v>3.5934000063097452E-2</v>
      </c>
      <c r="I53" s="25">
        <f>NPM!G59</f>
        <v>-1.6142716211772443</v>
      </c>
      <c r="J53" s="25">
        <f>ROA!G59</f>
        <v>-4.9834021947678844E-2</v>
      </c>
      <c r="K53" s="25">
        <f>ROE!G59</f>
        <v>-5.1624233628839743E-2</v>
      </c>
      <c r="L53" s="25">
        <f>KM!E59</f>
        <v>0</v>
      </c>
      <c r="M53" s="24">
        <f>KI!E59</f>
        <v>0</v>
      </c>
      <c r="N53" s="108">
        <f>IO!E59</f>
        <v>0</v>
      </c>
      <c r="O53" s="24">
        <f>'BoC Size'!E59</f>
        <v>0</v>
      </c>
      <c r="P53" s="24">
        <f>'TMT E DK'!E59</f>
        <v>0</v>
      </c>
      <c r="Q53" s="24">
        <f>Data!R59</f>
        <v>0</v>
      </c>
      <c r="R53" s="24">
        <f>Data!S59</f>
        <v>0</v>
      </c>
      <c r="S53" s="24">
        <f>'TMT E DK'!E59</f>
        <v>0</v>
      </c>
      <c r="T53" s="24">
        <f>'TMT E DD'!E59</f>
        <v>0</v>
      </c>
      <c r="U53" s="24">
        <f>TA!E59</f>
        <v>98507000000</v>
      </c>
      <c r="V53" s="109">
        <f>PR!F59</f>
        <v>0</v>
      </c>
      <c r="W53" s="109">
        <f>'Z Score'!I59</f>
        <v>0.24633213883277327</v>
      </c>
      <c r="X53" s="109">
        <f>'Z Score'!L59</f>
        <v>-0.16245891154943301</v>
      </c>
      <c r="Y53" s="109">
        <f>'Z Score'!O59</f>
        <v>-0.33488462748840181</v>
      </c>
      <c r="Z53" s="109">
        <f>'Z Score'!R59</f>
        <v>29.220237050043899</v>
      </c>
      <c r="AA53" s="109">
        <f>'Z Score'!S59</f>
        <v>28.969225649838837</v>
      </c>
    </row>
    <row r="54" spans="1:27" ht="15" customHeight="1" x14ac:dyDescent="0.3">
      <c r="A54" s="22"/>
      <c r="B54" s="23"/>
      <c r="C54" s="3"/>
      <c r="D54" s="23">
        <v>2017</v>
      </c>
      <c r="E54" s="25">
        <f>'Current Ratio'!G60</f>
        <v>1.1179277436946149</v>
      </c>
      <c r="F54" s="25">
        <f>'Cash Ratio'!G60</f>
        <v>0.7188820722563054</v>
      </c>
      <c r="G54" s="25">
        <f>DAR!G60</f>
        <v>9.5811262115917895E-2</v>
      </c>
      <c r="H54" s="25">
        <f>DER!G60</f>
        <v>0.10596378621141485</v>
      </c>
      <c r="I54" s="25">
        <f>NPM!G60</f>
        <v>-1.4680724680724682</v>
      </c>
      <c r="J54" s="25">
        <f>ROA!G60</f>
        <v>-0.16974733642974271</v>
      </c>
      <c r="K54" s="25">
        <f>ROE!G60</f>
        <v>-0.18773440689714108</v>
      </c>
      <c r="L54" s="25">
        <f>KM!E60</f>
        <v>0.6</v>
      </c>
      <c r="M54" s="24">
        <f>KI!E60</f>
        <v>2</v>
      </c>
      <c r="N54" s="108">
        <f>IO!E60</f>
        <v>0</v>
      </c>
      <c r="O54" s="24">
        <f>'BoC Size'!E60</f>
        <v>4</v>
      </c>
      <c r="P54" s="24">
        <f>'TMT E DK'!E60</f>
        <v>12</v>
      </c>
      <c r="Q54" s="24">
        <f>Data!R60</f>
        <v>4</v>
      </c>
      <c r="R54" s="24">
        <f>Data!S60</f>
        <v>3</v>
      </c>
      <c r="S54" s="24">
        <f>'TMT E DK'!E60</f>
        <v>12</v>
      </c>
      <c r="T54" s="24">
        <f>'TMT E DD'!E60</f>
        <v>7</v>
      </c>
      <c r="U54" s="24">
        <f>TA!E60</f>
        <v>116479000000</v>
      </c>
      <c r="V54" s="109">
        <f>PR!F60</f>
        <v>3.4288063137125944</v>
      </c>
      <c r="W54" s="109">
        <f>'Z Score'!I60</f>
        <v>4.8716077576215447E-2</v>
      </c>
      <c r="X54" s="109">
        <f>'Z Score'!L60</f>
        <v>-0.71786107366993179</v>
      </c>
      <c r="Y54" s="109">
        <f>'Z Score'!O60</f>
        <v>-1.1965487341065772</v>
      </c>
      <c r="Z54" s="109">
        <f>'Z Score'!R60</f>
        <v>9.9090456989247304</v>
      </c>
      <c r="AA54" s="109">
        <f>'Z Score'!S60</f>
        <v>8.043351968724437</v>
      </c>
    </row>
    <row r="55" spans="1:27" ht="15" customHeight="1" x14ac:dyDescent="0.3">
      <c r="A55" s="22"/>
      <c r="B55" s="23"/>
      <c r="C55" s="3"/>
      <c r="D55" s="23">
        <v>2018</v>
      </c>
      <c r="E55" s="25">
        <f>'Current Ratio'!G61</f>
        <v>1.4105322409156296</v>
      </c>
      <c r="F55" s="25">
        <f>'Cash Ratio'!G61</f>
        <v>0.58721621114516231</v>
      </c>
      <c r="G55" s="25">
        <f>DAR!G61</f>
        <v>0.33070474194393501</v>
      </c>
      <c r="H55" s="25">
        <f>DER!G61</f>
        <v>0.49410889732649627</v>
      </c>
      <c r="I55" s="25">
        <f>NPM!G61</f>
        <v>-0.7201943628105798</v>
      </c>
      <c r="J55" s="25">
        <f>ROA!G61</f>
        <v>-0.28249279538904898</v>
      </c>
      <c r="K55" s="25">
        <f>ROE!G61</f>
        <v>-0.42207499902141149</v>
      </c>
      <c r="L55" s="25">
        <f>KM!E61</f>
        <v>0.6</v>
      </c>
      <c r="M55" s="24">
        <f>KI!E61</f>
        <v>2</v>
      </c>
      <c r="N55" s="108">
        <f>IO!E61</f>
        <v>0</v>
      </c>
      <c r="O55" s="24">
        <f>'BoC Size'!E61</f>
        <v>4</v>
      </c>
      <c r="P55" s="24">
        <f>'TMT E DK'!E61</f>
        <v>12</v>
      </c>
      <c r="Q55" s="24">
        <f>Data!R61</f>
        <v>4</v>
      </c>
      <c r="R55" s="24">
        <f>Data!S61</f>
        <v>3</v>
      </c>
      <c r="S55" s="24">
        <f>'TMT E DK'!E61</f>
        <v>12</v>
      </c>
      <c r="T55" s="24">
        <f>'TMT E DD'!E61</f>
        <v>7</v>
      </c>
      <c r="U55" s="24">
        <f>TA!E61</f>
        <v>152680000000</v>
      </c>
      <c r="V55" s="109">
        <f>PR!F61</f>
        <v>3.4466884466884466</v>
      </c>
      <c r="W55" s="109">
        <f>'Z Score'!I61</f>
        <v>0.28202672255698186</v>
      </c>
      <c r="X55" s="109">
        <f>'Z Score'!L61</f>
        <v>-1.6241068902279276</v>
      </c>
      <c r="Y55" s="109">
        <f>'Z Score'!O61</f>
        <v>-2.2189028032486244</v>
      </c>
      <c r="Z55" s="109">
        <f>'Z Score'!R61</f>
        <v>2.1250376297235207</v>
      </c>
      <c r="AA55" s="109">
        <f>'Z Score'!S61</f>
        <v>-1.4359453411960494</v>
      </c>
    </row>
    <row r="56" spans="1:27" ht="15" customHeight="1" x14ac:dyDescent="0.3">
      <c r="A56" s="22"/>
      <c r="B56" s="23"/>
      <c r="C56" s="3"/>
      <c r="D56" s="23">
        <v>2019</v>
      </c>
      <c r="E56" s="25">
        <f>'Current Ratio'!G62</f>
        <v>2.3130399568034559</v>
      </c>
      <c r="F56" s="25">
        <f>'Cash Ratio'!G62</f>
        <v>0.6253374730021598</v>
      </c>
      <c r="G56" s="25">
        <f>DAR!G62</f>
        <v>0.40814185534708491</v>
      </c>
      <c r="H56" s="25">
        <f>DER!G62</f>
        <v>0.68959405059202594</v>
      </c>
      <c r="I56" s="25">
        <f>NPM!G62</f>
        <v>-0.43389876015227208</v>
      </c>
      <c r="J56" s="25">
        <f>ROA!G62</f>
        <v>-0.210983251893021</v>
      </c>
      <c r="K56" s="25">
        <f>ROE!G62</f>
        <v>-0.35647604717300707</v>
      </c>
      <c r="L56" s="25">
        <f>KM!E62</f>
        <v>0.6</v>
      </c>
      <c r="M56" s="24">
        <f>KI!E62</f>
        <v>2</v>
      </c>
      <c r="N56" s="108">
        <f>IO!E62</f>
        <v>0</v>
      </c>
      <c r="O56" s="24">
        <f>'BoC Size'!E62</f>
        <v>4</v>
      </c>
      <c r="P56" s="24">
        <f>'TMT E DK'!E62</f>
        <v>12</v>
      </c>
      <c r="Q56" s="24">
        <f>Data!R62</f>
        <v>4</v>
      </c>
      <c r="R56" s="24">
        <f>Data!S62</f>
        <v>3</v>
      </c>
      <c r="S56" s="24">
        <f>'TMT E DK'!E62</f>
        <v>12</v>
      </c>
      <c r="T56" s="24">
        <f>'TMT E DD'!E62</f>
        <v>7</v>
      </c>
      <c r="U56" s="24">
        <f>TA!E62</f>
        <v>214472000000</v>
      </c>
      <c r="V56" s="109">
        <f>PR!F62</f>
        <v>0.74136721880844247</v>
      </c>
      <c r="W56" s="109">
        <f>'Z Score'!I62</f>
        <v>0.59503450333843111</v>
      </c>
      <c r="X56" s="109">
        <f>'Z Score'!L62</f>
        <v>-1.8231935171024656</v>
      </c>
      <c r="Y56" s="109">
        <f>'Z Score'!O62</f>
        <v>-1.3749442351449139</v>
      </c>
      <c r="Z56" s="109">
        <f>'Z Score'!R62</f>
        <v>1.5226349460215913</v>
      </c>
      <c r="AA56" s="109">
        <f>'Z Score'!S62</f>
        <v>-1.0804683028873572</v>
      </c>
    </row>
    <row r="57" spans="1:27" ht="15" customHeight="1" x14ac:dyDescent="0.3">
      <c r="A57" s="22"/>
      <c r="B57" s="23"/>
      <c r="C57" s="3"/>
      <c r="D57" s="23">
        <v>2020</v>
      </c>
      <c r="E57" s="25">
        <f>'Current Ratio'!G63</f>
        <v>3.8696151249155974</v>
      </c>
      <c r="F57" s="25">
        <f>'Cash Ratio'!G63</f>
        <v>1.6409858203916272</v>
      </c>
      <c r="G57" s="25">
        <f>DAR!G63</f>
        <v>0.49692548202188641</v>
      </c>
      <c r="H57" s="25">
        <f>DER!G63</f>
        <v>0.9877841436756154</v>
      </c>
      <c r="I57" s="25">
        <f>NPM!G63</f>
        <v>-0.33555797693634798</v>
      </c>
      <c r="J57" s="25">
        <f>ROA!G63</f>
        <v>-0.13280983270740868</v>
      </c>
      <c r="K57" s="25">
        <f>ROE!G63</f>
        <v>-0.26399822834364417</v>
      </c>
      <c r="L57" s="25">
        <f>KM!E63</f>
        <v>0.6</v>
      </c>
      <c r="M57" s="24">
        <f>KI!E63</f>
        <v>2</v>
      </c>
      <c r="N57" s="108">
        <f>IO!E63</f>
        <v>0</v>
      </c>
      <c r="O57" s="24">
        <f>'BoC Size'!E63</f>
        <v>4</v>
      </c>
      <c r="P57" s="24">
        <f>'TMT E DK'!E63</f>
        <v>12</v>
      </c>
      <c r="Q57" s="24">
        <f>Data!R63</f>
        <v>4</v>
      </c>
      <c r="R57" s="24">
        <f>Data!S63</f>
        <v>3</v>
      </c>
      <c r="S57" s="24">
        <f>'TMT E DK'!E63</f>
        <v>12</v>
      </c>
      <c r="T57" s="24">
        <f>'TMT E DD'!E63</f>
        <v>7</v>
      </c>
      <c r="U57" s="24">
        <f>TA!E63</f>
        <v>278255000000</v>
      </c>
      <c r="V57" s="109">
        <f>PR!F63</f>
        <v>5.6028076366181789E-2</v>
      </c>
      <c r="W57" s="109">
        <f>'Z Score'!I63</f>
        <v>1.0019350595676628</v>
      </c>
      <c r="X57" s="109">
        <f>'Z Score'!L63</f>
        <v>-2.0202849903865161</v>
      </c>
      <c r="Y57" s="109">
        <f>'Z Score'!O63</f>
        <v>-1.2660904565955688</v>
      </c>
      <c r="Z57" s="109">
        <f>'Z Score'!R63</f>
        <v>1.0629852753992131</v>
      </c>
      <c r="AA57" s="109">
        <f>'Z Score'!S63</f>
        <v>-1.2214551120152093</v>
      </c>
    </row>
    <row r="58" spans="1:27" ht="15" customHeight="1" x14ac:dyDescent="0.3">
      <c r="A58" s="22"/>
      <c r="B58" s="23"/>
      <c r="C58" s="3"/>
      <c r="D58" s="23">
        <v>2021</v>
      </c>
      <c r="E58" s="25">
        <f>'Current Ratio'!G64</f>
        <v>3.0598006644518274</v>
      </c>
      <c r="F58" s="25">
        <f>'Cash Ratio'!G64</f>
        <v>1.0038054968287526</v>
      </c>
      <c r="G58" s="25">
        <f>DAR!G64</f>
        <v>0.65640577357351737</v>
      </c>
      <c r="H58" s="25">
        <f>DER!G64</f>
        <v>1.9104097888966289</v>
      </c>
      <c r="I58" s="25">
        <f>NPM!G64</f>
        <v>-0.2160769340710946</v>
      </c>
      <c r="J58" s="25">
        <f>ROA!G64</f>
        <v>-0.13766351347132466</v>
      </c>
      <c r="K58" s="25">
        <f>ROE!G64</f>
        <v>-0.40065723718084623</v>
      </c>
      <c r="L58" s="25">
        <f>KM!E64</f>
        <v>0.6</v>
      </c>
      <c r="M58" s="24">
        <f>KI!E64</f>
        <v>2</v>
      </c>
      <c r="N58" s="108">
        <f>IO!E64</f>
        <v>0</v>
      </c>
      <c r="O58" s="24">
        <f>'BoC Size'!E64</f>
        <v>4</v>
      </c>
      <c r="P58" s="24">
        <f>'TMT E DK'!E64</f>
        <v>12</v>
      </c>
      <c r="Q58" s="24">
        <f>Data!R64</f>
        <v>4</v>
      </c>
      <c r="R58" s="24">
        <f>Data!S64</f>
        <v>3</v>
      </c>
      <c r="S58" s="24">
        <f>'TMT E DK'!E64</f>
        <v>12</v>
      </c>
      <c r="T58" s="24">
        <f>'TMT E DD'!E64</f>
        <v>7</v>
      </c>
      <c r="U58" s="24">
        <f>TA!E64</f>
        <v>384372000000</v>
      </c>
      <c r="V58" s="109">
        <f>PR!F64</f>
        <v>1.2235993825478979</v>
      </c>
      <c r="W58" s="109">
        <f>'Z Score'!I64</f>
        <v>1.1639557511993588</v>
      </c>
      <c r="X58" s="109">
        <f>'Z Score'!L64</f>
        <v>-1.8877487434048266</v>
      </c>
      <c r="Y58" s="109">
        <f>'Z Score'!O64</f>
        <v>-0.87549935999500483</v>
      </c>
      <c r="Z58" s="109">
        <f>'Z Score'!R64</f>
        <v>0.54962029932145351</v>
      </c>
      <c r="AA58" s="109">
        <f>'Z Score'!S64</f>
        <v>-1.0496720528790191</v>
      </c>
    </row>
    <row r="59" spans="1:27" ht="15" customHeight="1" x14ac:dyDescent="0.3">
      <c r="A59" s="22"/>
      <c r="B59" s="23"/>
      <c r="C59" s="3"/>
      <c r="D59" s="23">
        <v>2022</v>
      </c>
      <c r="E59" s="25">
        <f>'Current Ratio'!G65</f>
        <v>2.4255755867151372</v>
      </c>
      <c r="F59" s="25">
        <f>'Cash Ratio'!G65</f>
        <v>0.73727032173504459</v>
      </c>
      <c r="G59" s="25">
        <f>DAR!G65</f>
        <v>0.69556024961396412</v>
      </c>
      <c r="H59" s="25">
        <f>DER!G65</f>
        <v>2.2847221781386287</v>
      </c>
      <c r="I59" s="25">
        <f>NPM!G65</f>
        <v>1.3744431264398039E-3</v>
      </c>
      <c r="J59" s="25">
        <f>ROA!G65</f>
        <v>8.8899367848190806E-4</v>
      </c>
      <c r="K59" s="25">
        <f>ROE!G65</f>
        <v>2.9200972519345643E-3</v>
      </c>
      <c r="L59" s="25">
        <f>KM!E65</f>
        <v>0.6</v>
      </c>
      <c r="M59" s="24">
        <f>KI!E65</f>
        <v>2</v>
      </c>
      <c r="N59" s="108">
        <f>IO!E65</f>
        <v>0</v>
      </c>
      <c r="O59" s="24">
        <f>'BoC Size'!E65</f>
        <v>4</v>
      </c>
      <c r="P59" s="24">
        <f>'TMT E DK'!E65</f>
        <v>12</v>
      </c>
      <c r="Q59" s="24">
        <f>Data!R65</f>
        <v>4</v>
      </c>
      <c r="R59" s="24">
        <f>Data!S65</f>
        <v>3</v>
      </c>
      <c r="S59" s="24">
        <f>'TMT E DK'!E65</f>
        <v>12</v>
      </c>
      <c r="T59" s="24">
        <f>'TMT E DD'!E65</f>
        <v>7</v>
      </c>
      <c r="U59" s="24">
        <f>TA!E65</f>
        <v>517439000000</v>
      </c>
      <c r="V59" s="109">
        <f>PR!F65</f>
        <v>0.36668640382220224</v>
      </c>
      <c r="W59" s="109">
        <f>'Z Score'!I65</f>
        <v>0.73082577849756203</v>
      </c>
      <c r="X59" s="109">
        <f>'Z Score'!L65</f>
        <v>-1.3732675735690585</v>
      </c>
      <c r="Y59" s="109">
        <f>'Z Score'!O65</f>
        <v>6.237674392537091E-2</v>
      </c>
      <c r="Z59" s="109">
        <f>'Z Score'!R65</f>
        <v>0.45957447695257153</v>
      </c>
      <c r="AA59" s="109">
        <f>'Z Score'!S65</f>
        <v>-0.12049057419355397</v>
      </c>
    </row>
    <row r="60" spans="1:27" ht="15" customHeight="1" x14ac:dyDescent="0.3">
      <c r="A60" s="22"/>
      <c r="B60" s="23"/>
      <c r="C60" s="3"/>
      <c r="D60" s="23">
        <v>2023</v>
      </c>
      <c r="E60" s="25">
        <f>'Current Ratio'!G66</f>
        <v>2.6831771225285626</v>
      </c>
      <c r="F60" s="25">
        <f>'Cash Ratio'!G66</f>
        <v>0.67715673530820275</v>
      </c>
      <c r="G60" s="25">
        <f>DAR!G66</f>
        <v>0.76756057289544111</v>
      </c>
      <c r="H60" s="25">
        <f>DER!G66</f>
        <v>3.3021961138725713</v>
      </c>
      <c r="I60" s="25">
        <f>NPM!G66</f>
        <v>1.8059525667531124E-2</v>
      </c>
      <c r="J60" s="25">
        <f>ROA!G66</f>
        <v>1.1829587834024454E-2</v>
      </c>
      <c r="K60" s="25">
        <f>ROE!G66</f>
        <v>5.0893206808254259E-2</v>
      </c>
      <c r="L60" s="25">
        <f>KM!E66</f>
        <v>0.6</v>
      </c>
      <c r="M60" s="24">
        <f>KI!E66</f>
        <v>2</v>
      </c>
      <c r="N60" s="108">
        <f>IO!E66</f>
        <v>0</v>
      </c>
      <c r="O60" s="24">
        <f>'BoC Size'!E66</f>
        <v>4</v>
      </c>
      <c r="P60" s="24">
        <f>'TMT E DK'!E66</f>
        <v>12</v>
      </c>
      <c r="Q60" s="24">
        <f>Data!R66</f>
        <v>4</v>
      </c>
      <c r="R60" s="24">
        <f>Data!S66</f>
        <v>3</v>
      </c>
      <c r="S60" s="24">
        <f>'TMT E DK'!E66</f>
        <v>12</v>
      </c>
      <c r="T60" s="24">
        <f>'TMT E DD'!E66</f>
        <v>7</v>
      </c>
      <c r="U60" s="24">
        <f>TA!E66</f>
        <v>714057000000</v>
      </c>
      <c r="V60" s="109">
        <f>PR!F66</f>
        <v>0.39754273472351281</v>
      </c>
      <c r="W60" s="109">
        <f>'Z Score'!I66</f>
        <v>0.90410530251786614</v>
      </c>
      <c r="X60" s="109">
        <f>'Z Score'!L66</f>
        <v>-0.93265537625147577</v>
      </c>
      <c r="Y60" s="109">
        <f>'Z Score'!O66</f>
        <v>0.13183888681155706</v>
      </c>
      <c r="Z60" s="109">
        <f>'Z Score'!R66</f>
        <v>0.31797021248645274</v>
      </c>
      <c r="AA60" s="109">
        <f>'Z Score'!S66</f>
        <v>0.4212590255644002</v>
      </c>
    </row>
    <row r="61" spans="1:27" ht="15" customHeight="1" x14ac:dyDescent="0.3">
      <c r="A61" s="22"/>
      <c r="B61" s="23"/>
      <c r="C61" s="3"/>
      <c r="D61" s="23">
        <v>2024</v>
      </c>
      <c r="E61" s="25">
        <f>'Current Ratio'!G67</f>
        <v>2.3889380910207696</v>
      </c>
      <c r="F61" s="25">
        <f>'Cash Ratio'!G67</f>
        <v>0.60620518241293608</v>
      </c>
      <c r="G61" s="25">
        <f>DAR!G67</f>
        <v>0.79837606734768363</v>
      </c>
      <c r="H61" s="25">
        <f>DER!G67</f>
        <v>3.9597286733039594</v>
      </c>
      <c r="I61" s="25">
        <f>NPM!G67</f>
        <v>5.981005919679741E-2</v>
      </c>
      <c r="J61" s="25">
        <f>ROA!G67</f>
        <v>3.5203924069417206E-2</v>
      </c>
      <c r="K61" s="25">
        <f>ROE!G67</f>
        <v>0.17460191161990393</v>
      </c>
      <c r="L61" s="25">
        <f>KM!E67</f>
        <v>0.6</v>
      </c>
      <c r="M61" s="24">
        <f>KI!E67</f>
        <v>2</v>
      </c>
      <c r="N61" s="108">
        <f>IO!E67</f>
        <v>0</v>
      </c>
      <c r="O61" s="24">
        <f>'BoC Size'!E67</f>
        <v>3</v>
      </c>
      <c r="P61" s="24">
        <f>'TMT E DK'!E67</f>
        <v>7</v>
      </c>
      <c r="Q61" s="24">
        <f>Data!R67</f>
        <v>3</v>
      </c>
      <c r="R61" s="24">
        <f>Data!S67</f>
        <v>3</v>
      </c>
      <c r="S61" s="24">
        <f>'TMT E DK'!E67</f>
        <v>7</v>
      </c>
      <c r="T61" s="24">
        <f>'TMT E DD'!E67</f>
        <v>7</v>
      </c>
      <c r="U61" s="24">
        <f>TA!E67</f>
        <v>997332000000</v>
      </c>
      <c r="V61" s="109">
        <f>PR!F67</f>
        <v>0.25504830768112441</v>
      </c>
      <c r="W61" s="109">
        <f>'Z Score'!I67</f>
        <v>0.63956138978795429</v>
      </c>
      <c r="X61" s="109">
        <f>'Z Score'!L67</f>
        <v>-0.53904477145022911</v>
      </c>
      <c r="Y61" s="109">
        <f>'Z Score'!O67</f>
        <v>0.26728206855891518</v>
      </c>
      <c r="Z61" s="109">
        <f>'Z Score'!R67</f>
        <v>0.26516968374095445</v>
      </c>
      <c r="AA61" s="109">
        <f>'Z Score'!S67</f>
        <v>0.63296837063759481</v>
      </c>
    </row>
    <row r="62" spans="1:27" ht="15" customHeight="1" x14ac:dyDescent="0.3">
      <c r="A62" s="22"/>
      <c r="B62" s="23">
        <v>7</v>
      </c>
      <c r="C62" s="3" t="s">
        <v>19</v>
      </c>
      <c r="D62" s="23">
        <v>2015</v>
      </c>
      <c r="E62" s="25">
        <f>'Current Ratio'!G69</f>
        <v>0.76869190687773059</v>
      </c>
      <c r="F62" s="25">
        <f>'Cash Ratio'!G69</f>
        <v>0.58043306063343936</v>
      </c>
      <c r="G62" s="25">
        <f>DAR!G69</f>
        <v>0.71810423736352114</v>
      </c>
      <c r="H62" s="25">
        <f>DER!G69</f>
        <v>2.5474105415680155</v>
      </c>
      <c r="I62" s="25">
        <f>NPM!G69</f>
        <v>-0.13554840894736361</v>
      </c>
      <c r="J62" s="25">
        <f>ROA!G69</f>
        <v>-9.3533287329386677E-2</v>
      </c>
      <c r="K62" s="25">
        <f>ROE!G69</f>
        <v>-0.33180096945977638</v>
      </c>
      <c r="L62" s="25">
        <f>KM!E69</f>
        <v>0.5</v>
      </c>
      <c r="M62" s="24">
        <f>KI!E69</f>
        <v>2</v>
      </c>
      <c r="N62" s="108">
        <f>IO!E69</f>
        <v>0</v>
      </c>
      <c r="O62" s="24">
        <f>'BoC Size'!E69</f>
        <v>4</v>
      </c>
      <c r="P62" s="24">
        <f>'TMT E DK'!E69</f>
        <v>0</v>
      </c>
      <c r="Q62" s="24">
        <f>Data!R69</f>
        <v>4</v>
      </c>
      <c r="R62" s="24">
        <f>Data!S69</f>
        <v>6</v>
      </c>
      <c r="S62" s="24">
        <f>'TMT E DK'!E69</f>
        <v>0</v>
      </c>
      <c r="T62" s="24">
        <f>'TMT E DD'!E69</f>
        <v>0</v>
      </c>
      <c r="U62" s="24">
        <f>TA!E69</f>
        <v>1899837000000</v>
      </c>
      <c r="V62" s="109">
        <f>PR!F69</f>
        <v>1.1374468473638901</v>
      </c>
      <c r="W62" s="109">
        <f>'Z Score'!I69</f>
        <v>-0.25812707090134573</v>
      </c>
      <c r="X62" s="109">
        <f>'Z Score'!L69</f>
        <v>-0.55838124007480638</v>
      </c>
      <c r="Y62" s="109">
        <f>'Z Score'!O69</f>
        <v>-0.63228952799634919</v>
      </c>
      <c r="Z62" s="109">
        <f>'Z Score'!R69</f>
        <v>0.4121832672301381</v>
      </c>
      <c r="AA62" s="109">
        <f>'Z Score'!S69</f>
        <v>-1.0366145717423634</v>
      </c>
    </row>
    <row r="63" spans="1:27" ht="15" customHeight="1" x14ac:dyDescent="0.3">
      <c r="A63" s="22"/>
      <c r="B63" s="23"/>
      <c r="C63" s="3"/>
      <c r="D63" s="23">
        <v>2016</v>
      </c>
      <c r="E63" s="25">
        <f>'Current Ratio'!G70</f>
        <v>1.6089802680904517</v>
      </c>
      <c r="F63" s="25">
        <f>'Cash Ratio'!G70</f>
        <v>1.4365012057433204</v>
      </c>
      <c r="G63" s="25">
        <f>DAR!G70</f>
        <v>0.7797728869683761</v>
      </c>
      <c r="H63" s="25">
        <f>DER!G70</f>
        <v>3.5407669665832793</v>
      </c>
      <c r="I63" s="25">
        <f>NPM!G70</f>
        <v>-8.9919073136030855E-2</v>
      </c>
      <c r="J63" s="25">
        <f>ROA!G70</f>
        <v>-7.0503023124694947E-2</v>
      </c>
      <c r="K63" s="25">
        <f>ROE!G70</f>
        <v>-0.32013779844887186</v>
      </c>
      <c r="L63" s="25">
        <f>KM!E70</f>
        <v>0.5</v>
      </c>
      <c r="M63" s="24">
        <f>KI!E70</f>
        <v>2</v>
      </c>
      <c r="N63" s="108">
        <f>IO!E70</f>
        <v>0</v>
      </c>
      <c r="O63" s="24">
        <f>'BoC Size'!E70</f>
        <v>4</v>
      </c>
      <c r="P63" s="24">
        <f>'TMT E DK'!E70</f>
        <v>0</v>
      </c>
      <c r="Q63" s="24">
        <f>Data!R70</f>
        <v>4</v>
      </c>
      <c r="R63" s="24">
        <f>Data!S70</f>
        <v>5</v>
      </c>
      <c r="S63" s="24">
        <f>'TMT E DK'!E70</f>
        <v>0</v>
      </c>
      <c r="T63" s="24">
        <f>'TMT E DD'!E70</f>
        <v>0</v>
      </c>
      <c r="U63" s="24">
        <f>TA!E70</f>
        <v>3802688000000</v>
      </c>
      <c r="V63" s="109">
        <f>PR!F70</f>
        <v>1.2743562713012488</v>
      </c>
      <c r="W63" s="109">
        <f>'Z Score'!I70</f>
        <v>0.42736653651311912</v>
      </c>
      <c r="X63" s="109">
        <f>'Z Score'!L70</f>
        <v>-0.51552775825942065</v>
      </c>
      <c r="Y63" s="109">
        <f>'Z Score'!O70</f>
        <v>-0.47762921386135276</v>
      </c>
      <c r="Z63" s="109">
        <f>'Z Score'!R70</f>
        <v>0.29654592067469909</v>
      </c>
      <c r="AA63" s="109">
        <f>'Z Score'!S70</f>
        <v>-0.2692445149329552</v>
      </c>
    </row>
    <row r="64" spans="1:27" ht="15" customHeight="1" x14ac:dyDescent="0.3">
      <c r="A64" s="22"/>
      <c r="B64" s="23"/>
      <c r="C64" s="3"/>
      <c r="D64" s="23">
        <v>2017</v>
      </c>
      <c r="E64" s="25">
        <f>'Current Ratio'!G71</f>
        <v>1.8779591232552275</v>
      </c>
      <c r="F64" s="25">
        <f>'Cash Ratio'!G71</f>
        <v>1.6146588304952796</v>
      </c>
      <c r="G64" s="25">
        <f>DAR!G71</f>
        <v>0.85821058595483424</v>
      </c>
      <c r="H64" s="25">
        <f>DER!G71</f>
        <v>6.0527126918054597</v>
      </c>
      <c r="I64" s="25">
        <f>NPM!G71</f>
        <v>-6.7314973506970202E-2</v>
      </c>
      <c r="J64" s="25">
        <f>ROA!G71</f>
        <v>-5.9222766650407203E-2</v>
      </c>
      <c r="K64" s="25">
        <f>ROE!G71</f>
        <v>-0.41768115799915995</v>
      </c>
      <c r="L64" s="25">
        <f>KM!E71</f>
        <v>0.5</v>
      </c>
      <c r="M64" s="24">
        <f>KI!E71</f>
        <v>2</v>
      </c>
      <c r="N64" s="108">
        <f>IO!E71</f>
        <v>0</v>
      </c>
      <c r="O64" s="24">
        <f>'BoC Size'!E71</f>
        <v>4</v>
      </c>
      <c r="P64" s="24">
        <f>'TMT E DK'!E71</f>
        <v>0</v>
      </c>
      <c r="Q64" s="24">
        <f>Data!R71</f>
        <v>4</v>
      </c>
      <c r="R64" s="24">
        <f>Data!S71</f>
        <v>4</v>
      </c>
      <c r="S64" s="24">
        <f>'TMT E DK'!E71</f>
        <v>0</v>
      </c>
      <c r="T64" s="24">
        <f>'TMT E DD'!E71</f>
        <v>0</v>
      </c>
      <c r="U64" s="24">
        <f>TA!E71</f>
        <v>4315435000000</v>
      </c>
      <c r="V64" s="109">
        <f>PR!F71</f>
        <v>0.27337107393694821</v>
      </c>
      <c r="W64" s="109">
        <f>'Z Score'!I71</f>
        <v>0.48687014866403966</v>
      </c>
      <c r="X64" s="109">
        <f>'Z Score'!L71</f>
        <v>-0.62655265575776253</v>
      </c>
      <c r="Y64" s="109">
        <f>'Z Score'!O71</f>
        <v>-0.37159956296410446</v>
      </c>
      <c r="Z64" s="109">
        <f>'Z Score'!R71</f>
        <v>0.17347593607434161</v>
      </c>
      <c r="AA64" s="109">
        <f>'Z Score'!S71</f>
        <v>-0.33780613398348569</v>
      </c>
    </row>
    <row r="65" spans="1:27" ht="15" customHeight="1" x14ac:dyDescent="0.3">
      <c r="A65" s="22"/>
      <c r="B65" s="23"/>
      <c r="C65" s="3"/>
      <c r="D65" s="23">
        <v>2018</v>
      </c>
      <c r="E65" s="25">
        <f>'Current Ratio'!G72</f>
        <v>2.5079833022806066</v>
      </c>
      <c r="F65" s="25">
        <f>'Cash Ratio'!G72</f>
        <v>2.1109434001818617</v>
      </c>
      <c r="G65" s="25">
        <f>DAR!G72</f>
        <v>0.91311576658580296</v>
      </c>
      <c r="H65" s="25">
        <f>DER!G72</f>
        <v>10.509592254444266</v>
      </c>
      <c r="I65" s="25">
        <f>NPM!G72</f>
        <v>-4.9022976587045249E-2</v>
      </c>
      <c r="J65" s="25">
        <f>ROA!G72</f>
        <v>-3.5377225125816307E-2</v>
      </c>
      <c r="K65" s="25">
        <f>ROE!G72</f>
        <v>-0.40717751765057608</v>
      </c>
      <c r="L65" s="25">
        <f>KM!E72</f>
        <v>0.5</v>
      </c>
      <c r="M65" s="24">
        <f>KI!E72</f>
        <v>2</v>
      </c>
      <c r="N65" s="108">
        <f>IO!E72</f>
        <v>0</v>
      </c>
      <c r="O65" s="24">
        <f>'BoC Size'!E72</f>
        <v>4</v>
      </c>
      <c r="P65" s="24">
        <f>'TMT E DK'!E72</f>
        <v>0</v>
      </c>
      <c r="Q65" s="24">
        <f>Data!R72</f>
        <v>4</v>
      </c>
      <c r="R65" s="24">
        <f>Data!S72</f>
        <v>4</v>
      </c>
      <c r="S65" s="24">
        <f>'TMT E DK'!E72</f>
        <v>0</v>
      </c>
      <c r="T65" s="24">
        <f>'TMT E DD'!E72</f>
        <v>0</v>
      </c>
      <c r="U65" s="24">
        <f>TA!E72</f>
        <v>5004717000000</v>
      </c>
      <c r="V65" s="109">
        <f>PR!F72</f>
        <v>-4.8733899989438084E-2</v>
      </c>
      <c r="W65" s="109">
        <f>'Z Score'!I72</f>
        <v>0.75429192100172693</v>
      </c>
      <c r="X65" s="109">
        <f>'Z Score'!L72</f>
        <v>-0.64888676822285851</v>
      </c>
      <c r="Y65" s="109">
        <f>'Z Score'!O72</f>
        <v>-0.23081316286215584</v>
      </c>
      <c r="Z65" s="109">
        <f>'Z Score'!R72</f>
        <v>9.9908728576599062E-2</v>
      </c>
      <c r="AA65" s="109">
        <f>'Z Score'!S72</f>
        <v>-2.5499281506688357E-2</v>
      </c>
    </row>
    <row r="66" spans="1:27" ht="15" customHeight="1" x14ac:dyDescent="0.3">
      <c r="A66" s="22"/>
      <c r="B66" s="23"/>
      <c r="C66" s="3"/>
      <c r="D66" s="23">
        <v>2019</v>
      </c>
      <c r="E66" s="25">
        <f>'Current Ratio'!G73</f>
        <v>2.0516958823263272</v>
      </c>
      <c r="F66" s="25">
        <f>'Cash Ratio'!G73</f>
        <v>1.5115321003604409</v>
      </c>
      <c r="G66" s="25">
        <f>DAR!G73</f>
        <v>0.8546763779765062</v>
      </c>
      <c r="H66" s="25">
        <f>DER!G73</f>
        <v>5.881193752783938</v>
      </c>
      <c r="I66" s="25">
        <f>NPM!G73</f>
        <v>-2.3078950498233039E-2</v>
      </c>
      <c r="J66" s="25">
        <f>ROA!G73</f>
        <v>-1.3087290287662139E-2</v>
      </c>
      <c r="K66" s="25">
        <f>ROE!G73</f>
        <v>-9.0056180168330613E-2</v>
      </c>
      <c r="L66" s="25">
        <f>KM!E73</f>
        <v>0.5</v>
      </c>
      <c r="M66" s="24">
        <f>KI!E73</f>
        <v>2</v>
      </c>
      <c r="N66" s="108">
        <f>IO!E73</f>
        <v>0</v>
      </c>
      <c r="O66" s="24">
        <f>'BoC Size'!E73</f>
        <v>4</v>
      </c>
      <c r="P66" s="24">
        <f>'TMT E DK'!E73</f>
        <v>0</v>
      </c>
      <c r="Q66" s="24">
        <f>Data!R73</f>
        <v>4</v>
      </c>
      <c r="R66" s="24">
        <f>Data!S73</f>
        <v>6</v>
      </c>
      <c r="S66" s="24">
        <f>'TMT E DK'!E73</f>
        <v>0</v>
      </c>
      <c r="T66" s="24">
        <f>'TMT E DD'!E73</f>
        <v>0</v>
      </c>
      <c r="U66" s="24">
        <f>TA!E73</f>
        <v>5901298000000</v>
      </c>
      <c r="V66" s="109">
        <f>PR!F73</f>
        <v>-7.3431325940371023E-2</v>
      </c>
      <c r="W66" s="109">
        <f>'Z Score'!I73</f>
        <v>0.46511619647067476</v>
      </c>
      <c r="X66" s="109">
        <f>'Z Score'!L73</f>
        <v>-0.59602396964193305</v>
      </c>
      <c r="Y66" s="109">
        <f>'Z Score'!O73</f>
        <v>-9.7234093245248759E-2</v>
      </c>
      <c r="Z66" s="109">
        <f>'Z Score'!R73</f>
        <v>0.1785351825049071</v>
      </c>
      <c r="AA66" s="109">
        <f>'Z Score'!S73</f>
        <v>-4.9606683911599947E-2</v>
      </c>
    </row>
    <row r="67" spans="1:27" ht="15" customHeight="1" x14ac:dyDescent="0.3">
      <c r="A67" s="22"/>
      <c r="B67" s="23"/>
      <c r="C67" s="3"/>
      <c r="D67" s="23">
        <v>2020</v>
      </c>
      <c r="E67" s="25">
        <f>'Current Ratio'!G74</f>
        <v>1.3500477907297996</v>
      </c>
      <c r="F67" s="25">
        <f>'Cash Ratio'!G74</f>
        <v>1.0097263144166699</v>
      </c>
      <c r="G67" s="25">
        <f>DAR!G74</f>
        <v>0.87242483983005481</v>
      </c>
      <c r="H67" s="25">
        <f>DER!G74</f>
        <v>6.8404212771630446</v>
      </c>
      <c r="I67" s="25">
        <f>NPM!G74</f>
        <v>-4.5249414873526827E-3</v>
      </c>
      <c r="J67" s="25">
        <f>ROA!G74</f>
        <v>-2.504453424331865E-3</v>
      </c>
      <c r="K67" s="25">
        <f>ROE!G74</f>
        <v>-1.9636667491953454E-2</v>
      </c>
      <c r="L67" s="25">
        <f>KM!E74</f>
        <v>0.49990000000000001</v>
      </c>
      <c r="M67" s="24">
        <f>KI!E74</f>
        <v>2</v>
      </c>
      <c r="N67" s="108">
        <f>IO!E74</f>
        <v>0</v>
      </c>
      <c r="O67" s="24">
        <f>'BoC Size'!E74</f>
        <v>4</v>
      </c>
      <c r="P67" s="24">
        <f>'TMT E DK'!E74</f>
        <v>0</v>
      </c>
      <c r="Q67" s="24">
        <f>Data!R74</f>
        <v>4</v>
      </c>
      <c r="R67" s="24">
        <f>Data!S74</f>
        <v>4</v>
      </c>
      <c r="S67" s="24">
        <f>'TMT E DK'!E74</f>
        <v>0</v>
      </c>
      <c r="T67" s="24">
        <f>'TMT E DD'!E74</f>
        <v>0</v>
      </c>
      <c r="U67" s="24">
        <f>TA!E74</f>
        <v>6587066000000</v>
      </c>
      <c r="V67" s="109">
        <f>PR!F74</f>
        <v>8.9458724023779398E-2</v>
      </c>
      <c r="W67" s="109">
        <f>'Z Score'!I74</f>
        <v>0.20315181296194693</v>
      </c>
      <c r="X67" s="109">
        <f>'Z Score'!L74</f>
        <v>-0.54939630178291821</v>
      </c>
      <c r="Y67" s="109">
        <f>'Z Score'!O74</f>
        <v>-3.2929404381252594E-2</v>
      </c>
      <c r="Z67" s="109">
        <f>'Z Score'!R74</f>
        <v>0.15349931787175988</v>
      </c>
      <c r="AA67" s="109">
        <f>'Z Score'!S74</f>
        <v>-0.22567457533046395</v>
      </c>
    </row>
    <row r="68" spans="1:27" ht="15" customHeight="1" x14ac:dyDescent="0.3">
      <c r="A68" s="22"/>
      <c r="B68" s="23"/>
      <c r="C68" s="3"/>
      <c r="D68" s="23">
        <v>2021</v>
      </c>
      <c r="E68" s="25">
        <f>'Current Ratio'!G75</f>
        <v>2.008085297952932</v>
      </c>
      <c r="F68" s="25">
        <f>'Cash Ratio'!G75</f>
        <v>1.1739800881750253</v>
      </c>
      <c r="G68" s="25">
        <f>DAR!G75</f>
        <v>0.88348716011072992</v>
      </c>
      <c r="H68" s="25">
        <f>DER!G75</f>
        <v>7.5842776589680376</v>
      </c>
      <c r="I68" s="25">
        <f>NPM!G75</f>
        <v>-2.4021908812764821E-3</v>
      </c>
      <c r="J68" s="25">
        <f>ROA!G75</f>
        <v>-1.9540571004809716E-3</v>
      </c>
      <c r="K68" s="25">
        <f>ROE!G75</f>
        <v>-1.6774563661647611E-2</v>
      </c>
      <c r="L68" s="25">
        <f>KM!E75</f>
        <v>0.49990000000000001</v>
      </c>
      <c r="M68" s="24">
        <f>KI!E75</f>
        <v>2</v>
      </c>
      <c r="N68" s="108">
        <f>IO!E75</f>
        <v>0</v>
      </c>
      <c r="O68" s="24">
        <f>'BoC Size'!E75</f>
        <v>4</v>
      </c>
      <c r="P68" s="24">
        <f>'TMT E DK'!E75</f>
        <v>0</v>
      </c>
      <c r="Q68" s="24">
        <f>Data!R75</f>
        <v>4</v>
      </c>
      <c r="R68" s="24">
        <f>Data!S75</f>
        <v>4</v>
      </c>
      <c r="S68" s="24">
        <f>'TMT E DK'!E75</f>
        <v>0</v>
      </c>
      <c r="T68" s="24">
        <f>'TMT E DD'!E75</f>
        <v>0</v>
      </c>
      <c r="U68" s="24">
        <f>TA!E75</f>
        <v>7092935000000</v>
      </c>
      <c r="V68" s="109">
        <f>PR!F75</f>
        <v>0.58257284492015871</v>
      </c>
      <c r="W68" s="109">
        <f>'Z Score'!I75</f>
        <v>0.36035382250084058</v>
      </c>
      <c r="X68" s="109">
        <f>'Z Score'!L75</f>
        <v>-0.5111936426881114</v>
      </c>
      <c r="Y68" s="109">
        <f>'Z Score'!O75</f>
        <v>-1.9461935009978237E-2</v>
      </c>
      <c r="Z68" s="109">
        <f>'Z Score'!R75</f>
        <v>0.13844429848351167</v>
      </c>
      <c r="AA68" s="109">
        <f>'Z Score'!S75</f>
        <v>-3.1857456713737381E-2</v>
      </c>
    </row>
    <row r="69" spans="1:27" ht="15" customHeight="1" x14ac:dyDescent="0.3">
      <c r="A69" s="22"/>
      <c r="B69" s="23"/>
      <c r="C69" s="3"/>
      <c r="D69" s="23">
        <v>2022</v>
      </c>
      <c r="E69" s="25">
        <f>'Current Ratio'!G76</f>
        <v>1.3211209426378705</v>
      </c>
      <c r="F69" s="25">
        <f>'Cash Ratio'!G76</f>
        <v>0.8243757475798843</v>
      </c>
      <c r="G69" s="25">
        <f>DAR!G76</f>
        <v>0.90690187734276462</v>
      </c>
      <c r="H69" s="25">
        <f>DER!G76</f>
        <v>9.7518931048969684</v>
      </c>
      <c r="I69" s="25">
        <f>NPM!G76</f>
        <v>-2.4181755939537246E-2</v>
      </c>
      <c r="J69" s="25">
        <f>ROA!G76</f>
        <v>-1.9482408547521663E-2</v>
      </c>
      <c r="K69" s="25">
        <f>ROE!G76</f>
        <v>-0.20949384969632739</v>
      </c>
      <c r="L69" s="25">
        <f>KM!E76</f>
        <v>0.49990000000000001</v>
      </c>
      <c r="M69" s="24">
        <f>KI!E76</f>
        <v>2</v>
      </c>
      <c r="N69" s="108">
        <f>IO!E76</f>
        <v>0</v>
      </c>
      <c r="O69" s="24">
        <f>'BoC Size'!E76</f>
        <v>4</v>
      </c>
      <c r="P69" s="24">
        <f>'TMT E DK'!E76</f>
        <v>10</v>
      </c>
      <c r="Q69" s="24">
        <f>Data!R76</f>
        <v>4</v>
      </c>
      <c r="R69" s="24">
        <f>Data!S76</f>
        <v>5</v>
      </c>
      <c r="S69" s="24">
        <f>'TMT E DK'!E76</f>
        <v>10</v>
      </c>
      <c r="T69" s="24">
        <f>'TMT E DD'!E76</f>
        <v>11</v>
      </c>
      <c r="U69" s="24">
        <f>TA!E76</f>
        <v>7345755000000</v>
      </c>
      <c r="V69" s="109">
        <f>PR!F76</f>
        <v>2.5735852941548596E-2</v>
      </c>
      <c r="W69" s="109">
        <f>'Z Score'!I76</f>
        <v>0.19299867202214066</v>
      </c>
      <c r="X69" s="109">
        <f>'Z Score'!L76</f>
        <v>-0.55261372588658342</v>
      </c>
      <c r="Y69" s="109">
        <f>'Z Score'!O76</f>
        <v>-0.12156140791518365</v>
      </c>
      <c r="Z69" s="109">
        <f>'Z Score'!R76</f>
        <v>0.10767140171714316</v>
      </c>
      <c r="AA69" s="109">
        <f>'Z Score'!S76</f>
        <v>-0.37350506006248324</v>
      </c>
    </row>
    <row r="70" spans="1:27" ht="15" customHeight="1" x14ac:dyDescent="0.3">
      <c r="A70" s="22"/>
      <c r="B70" s="23"/>
      <c r="C70" s="3"/>
      <c r="D70" s="23">
        <v>2023</v>
      </c>
      <c r="E70" s="25">
        <f>'Current Ratio'!G77</f>
        <v>0.76423516538411218</v>
      </c>
      <c r="F70" s="25">
        <f>'Cash Ratio'!G77</f>
        <v>0.41295479144117891</v>
      </c>
      <c r="G70" s="25">
        <f>DAR!G77</f>
        <v>0.90658201553086959</v>
      </c>
      <c r="H70" s="25">
        <f>DER!G77</f>
        <v>9.727398475160566</v>
      </c>
      <c r="I70" s="25">
        <f>NPM!G77</f>
        <v>2.5117747313446559E-3</v>
      </c>
      <c r="J70" s="25">
        <f>ROA!G77</f>
        <v>2.1266324857243529E-3</v>
      </c>
      <c r="K70" s="25">
        <f>ROE!G77</f>
        <v>2.2818235134245947E-2</v>
      </c>
      <c r="L70" s="25">
        <f>KM!E77</f>
        <v>0.49990000000000001</v>
      </c>
      <c r="M70" s="24">
        <f>KI!E77</f>
        <v>2</v>
      </c>
      <c r="N70" s="108">
        <f>IO!E77</f>
        <v>0</v>
      </c>
      <c r="O70" s="24">
        <f>'BoC Size'!E77</f>
        <v>4</v>
      </c>
      <c r="P70" s="24">
        <f>'TMT E DK'!E77</f>
        <v>0</v>
      </c>
      <c r="Q70" s="24">
        <f>Data!R77</f>
        <v>4</v>
      </c>
      <c r="R70" s="24">
        <f>Data!S77</f>
        <v>5</v>
      </c>
      <c r="S70" s="24">
        <f>'TMT E DK'!E77</f>
        <v>0</v>
      </c>
      <c r="T70" s="24">
        <f>'TMT E DD'!E77</f>
        <v>0</v>
      </c>
      <c r="U70" s="24">
        <f>TA!E77</f>
        <v>7501061000000</v>
      </c>
      <c r="V70" s="109">
        <f>PR!F77</f>
        <v>7.3107429900399146E-2</v>
      </c>
      <c r="W70" s="109">
        <f>'Z Score'!I77</f>
        <v>-0.17335540132255955</v>
      </c>
      <c r="X70" s="109">
        <f>'Z Score'!L77</f>
        <v>-0.53457871893056197</v>
      </c>
      <c r="Y70" s="109">
        <f>'Z Score'!O77</f>
        <v>1.0517552116960521E-3</v>
      </c>
      <c r="Z70" s="109">
        <f>'Z Score'!R77</f>
        <v>0.10794252982246295</v>
      </c>
      <c r="AA70" s="109">
        <f>'Z Score'!S77</f>
        <v>-0.59893983521896244</v>
      </c>
    </row>
    <row r="71" spans="1:27" ht="15" customHeight="1" x14ac:dyDescent="0.3">
      <c r="A71" s="22"/>
      <c r="B71" s="23"/>
      <c r="C71" s="3"/>
      <c r="D71" s="23">
        <v>2024</v>
      </c>
      <c r="E71" s="25">
        <f>'Current Ratio'!G78</f>
        <v>0.80684818246614398</v>
      </c>
      <c r="F71" s="25">
        <f>'Cash Ratio'!G78</f>
        <v>0.42121596578759801</v>
      </c>
      <c r="G71" s="25">
        <f>DAR!G78</f>
        <v>0.88988393423209189</v>
      </c>
      <c r="H71" s="25">
        <f>DER!G78</f>
        <v>8.0948281622975493</v>
      </c>
      <c r="I71" s="25">
        <f>NPM!G78</f>
        <v>8.3878705738676552E-3</v>
      </c>
      <c r="J71" s="25">
        <f>ROA!G78</f>
        <v>7.2163683661092956E-3</v>
      </c>
      <c r="K71" s="25">
        <f>ROE!G78</f>
        <v>6.5643686364450435E-2</v>
      </c>
      <c r="L71" s="25">
        <f>KM!E78</f>
        <v>0.49990000000000001</v>
      </c>
      <c r="M71" s="24">
        <f>KI!E78</f>
        <v>2</v>
      </c>
      <c r="N71" s="108">
        <f>IO!E78</f>
        <v>0</v>
      </c>
      <c r="O71" s="24">
        <f>'BoC Size'!E78</f>
        <v>4</v>
      </c>
      <c r="P71" s="24">
        <f>'TMT E DK'!E78</f>
        <v>0</v>
      </c>
      <c r="Q71" s="24">
        <f>Data!R78</f>
        <v>4</v>
      </c>
      <c r="R71" s="24">
        <f>Data!S78</f>
        <v>5</v>
      </c>
      <c r="S71" s="24">
        <f>'TMT E DK'!E78</f>
        <v>0</v>
      </c>
      <c r="T71" s="24">
        <f>'TMT E DD'!E78</f>
        <v>0</v>
      </c>
      <c r="U71" s="24">
        <f>TA!E78</f>
        <v>6806055000000</v>
      </c>
      <c r="V71" s="109">
        <f>PR!F78</f>
        <v>-7.8006256762833792E-2</v>
      </c>
      <c r="W71" s="109">
        <f>'Z Score'!I78</f>
        <v>-0.13059749884477864</v>
      </c>
      <c r="X71" s="109">
        <f>'Z Score'!L78</f>
        <v>-0.55935802458252237</v>
      </c>
      <c r="Y71" s="109">
        <f>'Z Score'!O78</f>
        <v>6.0508144585960592E-2</v>
      </c>
      <c r="Z71" s="109">
        <f>'Z Score'!R78</f>
        <v>0.1297124508325547</v>
      </c>
      <c r="AA71" s="109">
        <f>'Z Score'!S78</f>
        <v>-0.49973492800878583</v>
      </c>
    </row>
    <row r="72" spans="1:27" ht="15" customHeight="1" x14ac:dyDescent="0.3">
      <c r="A72" s="22"/>
      <c r="B72" s="23">
        <v>8</v>
      </c>
      <c r="C72" s="3" t="s">
        <v>8</v>
      </c>
      <c r="D72" s="23">
        <v>2015</v>
      </c>
      <c r="E72" s="25">
        <f>'Current Ratio'!G80</f>
        <v>1.1953089760938205</v>
      </c>
      <c r="F72" s="25">
        <f>'Cash Ratio'!G80</f>
        <v>0.69798311746890906</v>
      </c>
      <c r="G72" s="25">
        <f>DAR!G80</f>
        <v>0.18734935047390164</v>
      </c>
      <c r="H72" s="25">
        <f>DER!G80</f>
        <v>0.23054107024113674</v>
      </c>
      <c r="I72" s="25">
        <f>NPM!G80</f>
        <v>-0.24884007806458741</v>
      </c>
      <c r="J72" s="25">
        <f>ROA!G80</f>
        <v>-9.6099288258758117E-2</v>
      </c>
      <c r="K72" s="25">
        <f>ROE!G80</f>
        <v>-0.11825412102334372</v>
      </c>
      <c r="L72" s="25">
        <f>KM!E80</f>
        <v>0.99990000000000001</v>
      </c>
      <c r="M72" s="24">
        <f>KI!E80</f>
        <v>2</v>
      </c>
      <c r="N72" s="108">
        <f>IO!E80</f>
        <v>0</v>
      </c>
      <c r="O72" s="24">
        <f>'BoC Size'!E80</f>
        <v>4</v>
      </c>
      <c r="P72" s="24">
        <f>'TMT E DK'!E80</f>
        <v>0</v>
      </c>
      <c r="Q72" s="24">
        <f>Data!R80</f>
        <v>4</v>
      </c>
      <c r="R72" s="24">
        <f>Data!S80</f>
        <v>0</v>
      </c>
      <c r="S72" s="24">
        <f>'TMT E DK'!E80</f>
        <v>0</v>
      </c>
      <c r="T72" s="24">
        <f>'TMT E DD'!E80</f>
        <v>0</v>
      </c>
      <c r="U72" s="24">
        <f>TA!E80</f>
        <v>281282000000</v>
      </c>
      <c r="V72" s="109">
        <f>PR!F80</f>
        <v>5.2645905420991923</v>
      </c>
      <c r="W72" s="109">
        <f>'Z Score'!I80</f>
        <v>7.0688348347921301E-2</v>
      </c>
      <c r="X72" s="109">
        <f>'Z Score'!L80</f>
        <v>-0.36410491961803454</v>
      </c>
      <c r="Y72" s="109">
        <f>'Z Score'!O80</f>
        <v>-0.97961078206212981</v>
      </c>
      <c r="Z72" s="109">
        <f>'Z Score'!R80</f>
        <v>4.554503017192304</v>
      </c>
      <c r="AA72" s="109">
        <f>'Z Score'!S80</f>
        <v>3.2814756638600611</v>
      </c>
    </row>
    <row r="73" spans="1:27" ht="15" customHeight="1" x14ac:dyDescent="0.3">
      <c r="A73" s="22"/>
      <c r="B73" s="23"/>
      <c r="C73" s="3"/>
      <c r="D73" s="23">
        <v>2016</v>
      </c>
      <c r="E73" s="25">
        <f>'Current Ratio'!G81</f>
        <v>1.1171025069261438</v>
      </c>
      <c r="F73" s="25">
        <f>'Cash Ratio'!G81</f>
        <v>0.21071243552492286</v>
      </c>
      <c r="G73" s="25">
        <f>DAR!G81</f>
        <v>0.46963655184759512</v>
      </c>
      <c r="H73" s="25">
        <f>DER!G81</f>
        <v>0.88550380088638436</v>
      </c>
      <c r="I73" s="25">
        <f>NPM!G81</f>
        <v>-8.3479907528672681E-2</v>
      </c>
      <c r="J73" s="25">
        <f>ROA!G81</f>
        <v>-6.2675283502011944E-2</v>
      </c>
      <c r="K73" s="25">
        <f>ROE!G81</f>
        <v>-0.11817479185622182</v>
      </c>
      <c r="L73" s="25">
        <f>KM!E81</f>
        <v>0.99990000000000001</v>
      </c>
      <c r="M73" s="24">
        <f>KI!E81</f>
        <v>1</v>
      </c>
      <c r="N73" s="108">
        <f>IO!E81</f>
        <v>0</v>
      </c>
      <c r="O73" s="24">
        <f>'BoC Size'!E81</f>
        <v>3</v>
      </c>
      <c r="P73" s="24">
        <f>'TMT E DK'!E81</f>
        <v>0</v>
      </c>
      <c r="Q73" s="24">
        <f>Data!R81</f>
        <v>3</v>
      </c>
      <c r="R73" s="24">
        <f>Data!S81</f>
        <v>0</v>
      </c>
      <c r="S73" s="24">
        <f>'TMT E DK'!E81</f>
        <v>0</v>
      </c>
      <c r="T73" s="24">
        <f>'TMT E DD'!E81</f>
        <v>0</v>
      </c>
      <c r="U73" s="24">
        <f>TA!E81</f>
        <v>385447000000</v>
      </c>
      <c r="V73" s="109">
        <f>PR!F81</f>
        <v>1.6640184851051294</v>
      </c>
      <c r="W73" s="109">
        <f>'Z Score'!I81</f>
        <v>8.8482826432687234E-2</v>
      </c>
      <c r="X73" s="109">
        <f>'Z Score'!L81</f>
        <v>-0.46425230965606162</v>
      </c>
      <c r="Y73" s="109">
        <f>'Z Score'!O81</f>
        <v>-0.64747516519780923</v>
      </c>
      <c r="Z73" s="109">
        <f>'Z Score'!R81</f>
        <v>1.1857656612529002</v>
      </c>
      <c r="AA73" s="109">
        <f>'Z Score'!S81</f>
        <v>0.16252101283171649</v>
      </c>
    </row>
    <row r="74" spans="1:27" ht="15" customHeight="1" x14ac:dyDescent="0.3">
      <c r="A74" s="22"/>
      <c r="B74" s="23"/>
      <c r="C74" s="3"/>
      <c r="D74" s="23">
        <v>2017</v>
      </c>
      <c r="E74" s="25">
        <f>'Current Ratio'!G82</f>
        <v>0.89499657157105161</v>
      </c>
      <c r="F74" s="25">
        <f>'Cash Ratio'!G82</f>
        <v>9.3741558792361873E-2</v>
      </c>
      <c r="G74" s="25">
        <f>DAR!G82</f>
        <v>0.44561239345368009</v>
      </c>
      <c r="H74" s="25">
        <f>DER!G82</f>
        <v>0.80379212700969449</v>
      </c>
      <c r="I74" s="25">
        <f>NPM!G82</f>
        <v>-8.4309065160257921E-2</v>
      </c>
      <c r="J74" s="25">
        <f>ROA!G82</f>
        <v>-4.4607550924925368E-2</v>
      </c>
      <c r="K74" s="25">
        <f>ROE!G82</f>
        <v>-8.0462749163564398E-2</v>
      </c>
      <c r="L74" s="25">
        <f>KM!E82</f>
        <v>0.9</v>
      </c>
      <c r="M74" s="24">
        <f>KI!E82</f>
        <v>0</v>
      </c>
      <c r="N74" s="108">
        <f>IO!E82</f>
        <v>0</v>
      </c>
      <c r="O74" s="24">
        <f>'BoC Size'!E82</f>
        <v>4</v>
      </c>
      <c r="P74" s="24">
        <f>'TMT E DK'!E82</f>
        <v>0</v>
      </c>
      <c r="Q74" s="24">
        <f>Data!R82</f>
        <v>4</v>
      </c>
      <c r="R74" s="24">
        <f>Data!S82</f>
        <v>0</v>
      </c>
      <c r="S74" s="24">
        <f>'TMT E DK'!E82</f>
        <v>0</v>
      </c>
      <c r="T74" s="24">
        <f>'TMT E DD'!E82</f>
        <v>0</v>
      </c>
      <c r="U74" s="24">
        <f>TA!E82</f>
        <v>842122000000</v>
      </c>
      <c r="V74" s="109">
        <f>PR!F82</f>
        <v>0.53967870014893549</v>
      </c>
      <c r="W74" s="109">
        <f>'Z Score'!I82</f>
        <v>-7.8731965202191598E-2</v>
      </c>
      <c r="X74" s="109">
        <f>'Z Score'!L82</f>
        <v>-0.38022274682290685</v>
      </c>
      <c r="Y74" s="109">
        <f>'Z Score'!O82</f>
        <v>-0.46932639213795624</v>
      </c>
      <c r="Z74" s="109">
        <f>'Z Score'!R82</f>
        <v>1.3063078931940522</v>
      </c>
      <c r="AA74" s="109">
        <f>'Z Score'!S82</f>
        <v>0.3780267890309974</v>
      </c>
    </row>
    <row r="75" spans="1:27" ht="15" customHeight="1" x14ac:dyDescent="0.3">
      <c r="A75" s="22"/>
      <c r="B75" s="23"/>
      <c r="C75" s="3"/>
      <c r="D75" s="23">
        <v>2018</v>
      </c>
      <c r="E75" s="25">
        <f>'Current Ratio'!G83</f>
        <v>0.91090988049474853</v>
      </c>
      <c r="F75" s="25">
        <f>'Cash Ratio'!G83</f>
        <v>3.4822189696492048E-2</v>
      </c>
      <c r="G75" s="25">
        <f>DAR!G83</f>
        <v>0.57019790092991729</v>
      </c>
      <c r="H75" s="25">
        <f>DER!G83</f>
        <v>1.3266522014750373</v>
      </c>
      <c r="I75" s="25">
        <f>NPM!G83</f>
        <v>-0.13456681551557792</v>
      </c>
      <c r="J75" s="25">
        <f>ROA!G83</f>
        <v>-8.7279980861159234E-2</v>
      </c>
      <c r="K75" s="25">
        <f>ROE!G83</f>
        <v>-0.20307015961531524</v>
      </c>
      <c r="L75" s="25">
        <f>KM!E83</f>
        <v>0.9</v>
      </c>
      <c r="M75" s="24">
        <f>KI!E83</f>
        <v>0</v>
      </c>
      <c r="N75" s="108">
        <f>IO!E83</f>
        <v>0</v>
      </c>
      <c r="O75" s="24">
        <f>'BoC Size'!E83</f>
        <v>4</v>
      </c>
      <c r="P75" s="24">
        <f>'TMT E DK'!E83</f>
        <v>0</v>
      </c>
      <c r="Q75" s="24">
        <f>Data!R83</f>
        <v>4</v>
      </c>
      <c r="R75" s="24">
        <f>Data!S83</f>
        <v>0</v>
      </c>
      <c r="S75" s="24">
        <f>'TMT E DK'!E83</f>
        <v>0</v>
      </c>
      <c r="T75" s="24">
        <f>'TMT E DD'!E83</f>
        <v>0</v>
      </c>
      <c r="U75" s="24">
        <f>TA!E83</f>
        <v>902876000000</v>
      </c>
      <c r="V75" s="109">
        <f>PR!F83</f>
        <v>0.31430347672495246</v>
      </c>
      <c r="W75" s="109">
        <f>'Z Score'!I83</f>
        <v>-4.0244551854296713E-2</v>
      </c>
      <c r="X75" s="109">
        <f>'Z Score'!L83</f>
        <v>-0.60119695284845309</v>
      </c>
      <c r="Y75" s="109">
        <f>'Z Score'!O83</f>
        <v>-0.18887802976266949</v>
      </c>
      <c r="Z75" s="109">
        <f>'Z Score'!R83</f>
        <v>0.79146591611015937</v>
      </c>
      <c r="AA75" s="109">
        <f>'Z Score'!S83</f>
        <v>-3.8853618355259911E-2</v>
      </c>
    </row>
    <row r="76" spans="1:27" ht="15" customHeight="1" x14ac:dyDescent="0.3">
      <c r="A76" s="22"/>
      <c r="B76" s="23"/>
      <c r="C76" s="3"/>
      <c r="D76" s="23">
        <v>2019</v>
      </c>
      <c r="E76" s="25">
        <f>'Current Ratio'!G84</f>
        <v>1.1216972741066289</v>
      </c>
      <c r="F76" s="25">
        <f>'Cash Ratio'!G84</f>
        <v>7.3902579396222468E-2</v>
      </c>
      <c r="G76" s="25">
        <f>DAR!G84</f>
        <v>0.65279568784322017</v>
      </c>
      <c r="H76" s="25">
        <f>DER!G84</f>
        <v>1.8801485609097235</v>
      </c>
      <c r="I76" s="25">
        <f>NPM!G84</f>
        <v>1.606334869899996E-2</v>
      </c>
      <c r="J76" s="25">
        <f>ROA!G84</f>
        <v>1.1132867811159542E-2</v>
      </c>
      <c r="K76" s="25">
        <f>ROE!G84</f>
        <v>3.2064313205109336E-2</v>
      </c>
      <c r="L76" s="25">
        <f>KM!E84</f>
        <v>0.9</v>
      </c>
      <c r="M76" s="24">
        <f>KI!E84</f>
        <v>0</v>
      </c>
      <c r="N76" s="108">
        <f>IO!E84</f>
        <v>0</v>
      </c>
      <c r="O76" s="24">
        <f>'BoC Size'!E84</f>
        <v>4</v>
      </c>
      <c r="P76" s="24">
        <f>'TMT E DK'!E84</f>
        <v>0</v>
      </c>
      <c r="Q76" s="24">
        <f>Data!R84</f>
        <v>4</v>
      </c>
      <c r="R76" s="24">
        <f>Data!S84</f>
        <v>0</v>
      </c>
      <c r="S76" s="24">
        <f>'TMT E DK'!E84</f>
        <v>0</v>
      </c>
      <c r="T76" s="24">
        <f>'TMT E DD'!E84</f>
        <v>0</v>
      </c>
      <c r="U76" s="24">
        <f>TA!E84</f>
        <v>1154689000000</v>
      </c>
      <c r="V76" s="109">
        <f>PR!F84</f>
        <v>0.36656790840242143</v>
      </c>
      <c r="W76" s="109">
        <f>'Z Score'!I84</f>
        <v>5.2857730523110547E-2</v>
      </c>
      <c r="X76" s="109">
        <f>'Z Score'!L84</f>
        <v>-0.47725985092089729</v>
      </c>
      <c r="Y76" s="109">
        <f>'Z Score'!O84</f>
        <v>-1.8378766923388027E-2</v>
      </c>
      <c r="Z76" s="109">
        <f>'Z Score'!R84</f>
        <v>0.55846650729129077</v>
      </c>
      <c r="AA76" s="109">
        <f>'Z Score'!S84</f>
        <v>0.115685619970116</v>
      </c>
    </row>
    <row r="77" spans="1:27" ht="15" customHeight="1" x14ac:dyDescent="0.3">
      <c r="A77" s="22"/>
      <c r="B77" s="23"/>
      <c r="C77" s="3"/>
      <c r="D77" s="23">
        <v>2020</v>
      </c>
      <c r="E77" s="25">
        <f>'Current Ratio'!G85</f>
        <v>1.5013185859417597</v>
      </c>
      <c r="F77" s="25">
        <f>'Cash Ratio'!G85</f>
        <v>0.15445815576005073</v>
      </c>
      <c r="G77" s="25">
        <f>DAR!G85</f>
        <v>0.66452459847291634</v>
      </c>
      <c r="H77" s="25">
        <f>DER!G85</f>
        <v>1.9808444835239813</v>
      </c>
      <c r="I77" s="25">
        <f>NPM!G85</f>
        <v>9.2349230019503015E-2</v>
      </c>
      <c r="J77" s="25">
        <f>ROA!G85</f>
        <v>6.2354553728602026E-2</v>
      </c>
      <c r="K77" s="25">
        <f>ROE!G85</f>
        <v>0.18586922750450305</v>
      </c>
      <c r="L77" s="25">
        <f>KM!E85</f>
        <v>0.9</v>
      </c>
      <c r="M77" s="24">
        <f>KI!E85</f>
        <v>0</v>
      </c>
      <c r="N77" s="108">
        <f>IO!E85</f>
        <v>0</v>
      </c>
      <c r="O77" s="24">
        <f>'BoC Size'!E85</f>
        <v>4</v>
      </c>
      <c r="P77" s="24">
        <f>'TMT E DK'!E85</f>
        <v>0</v>
      </c>
      <c r="Q77" s="24">
        <f>Data!R85</f>
        <v>4</v>
      </c>
      <c r="R77" s="24">
        <f>Data!S85</f>
        <v>0</v>
      </c>
      <c r="S77" s="24">
        <f>'TMT E DK'!E85</f>
        <v>0</v>
      </c>
      <c r="T77" s="24">
        <f>'TMT E DD'!E85</f>
        <v>0</v>
      </c>
      <c r="U77" s="24">
        <f>TA!E85</f>
        <v>1467896000000</v>
      </c>
      <c r="V77" s="109">
        <f>PR!F85</f>
        <v>0.23849480612144167</v>
      </c>
      <c r="W77" s="109">
        <f>'Z Score'!I85</f>
        <v>0.20134102143476104</v>
      </c>
      <c r="X77" s="109">
        <f>'Z Score'!L85</f>
        <v>-0.22016997116961962</v>
      </c>
      <c r="Y77" s="109">
        <f>'Z Score'!O85</f>
        <v>0.31976281698430953</v>
      </c>
      <c r="Z77" s="109">
        <f>'Z Score'!R85</f>
        <v>0.53007694886375878</v>
      </c>
      <c r="AA77" s="109">
        <f>'Z Score'!S85</f>
        <v>0.8310108161132097</v>
      </c>
    </row>
    <row r="78" spans="1:27" ht="15" customHeight="1" x14ac:dyDescent="0.3">
      <c r="A78" s="22"/>
      <c r="B78" s="23"/>
      <c r="C78" s="3"/>
      <c r="D78" s="23">
        <v>2021</v>
      </c>
      <c r="E78" s="25">
        <f>'Current Ratio'!G86</f>
        <v>3.7784948266301721</v>
      </c>
      <c r="F78" s="25">
        <f>'Cash Ratio'!G86</f>
        <v>3.3895305624048799E-2</v>
      </c>
      <c r="G78" s="25">
        <f>DAR!G86</f>
        <v>0.72407397525558059</v>
      </c>
      <c r="H78" s="25">
        <f>DER!G86</f>
        <v>2.6241597758901682</v>
      </c>
      <c r="I78" s="25">
        <f>NPM!G86</f>
        <v>3.050746236903909E-2</v>
      </c>
      <c r="J78" s="25">
        <f>ROA!G86</f>
        <v>2.0801849329581762E-2</v>
      </c>
      <c r="K78" s="25">
        <f>ROE!G86</f>
        <v>7.5389225604398077E-2</v>
      </c>
      <c r="L78" s="25">
        <f>KM!E86</f>
        <v>0.9</v>
      </c>
      <c r="M78" s="24">
        <f>KI!E86</f>
        <v>2</v>
      </c>
      <c r="N78" s="108">
        <f>IO!E86</f>
        <v>0</v>
      </c>
      <c r="O78" s="24">
        <f>'BoC Size'!E86</f>
        <v>4</v>
      </c>
      <c r="P78" s="24">
        <f>'TMT E DK'!E86</f>
        <v>0</v>
      </c>
      <c r="Q78" s="24">
        <f>Data!R86</f>
        <v>4</v>
      </c>
      <c r="R78" s="24">
        <f>Data!S86</f>
        <v>0</v>
      </c>
      <c r="S78" s="24">
        <f>'TMT E DK'!E86</f>
        <v>0</v>
      </c>
      <c r="T78" s="24">
        <f>'TMT E DD'!E86</f>
        <v>0</v>
      </c>
      <c r="U78" s="24">
        <f>TA!E86</f>
        <v>1930213000000</v>
      </c>
      <c r="V78" s="109">
        <f>PR!F86</f>
        <v>0.32791695127475839</v>
      </c>
      <c r="W78" s="109">
        <f>'Z Score'!I86</f>
        <v>0.80039481653061084</v>
      </c>
      <c r="X78" s="109">
        <f>'Z Score'!L86</f>
        <v>-0.10346064398074202</v>
      </c>
      <c r="Y78" s="109">
        <f>'Z Score'!O86</f>
        <v>6.1253177758102344E-2</v>
      </c>
      <c r="Z78" s="109">
        <f>'Z Score'!R86</f>
        <v>0.40012807514505044</v>
      </c>
      <c r="AA78" s="109">
        <f>'Z Score'!S86</f>
        <v>1.1583154254530217</v>
      </c>
    </row>
    <row r="79" spans="1:27" ht="15" customHeight="1" x14ac:dyDescent="0.3">
      <c r="A79" s="22"/>
      <c r="B79" s="23"/>
      <c r="C79" s="3"/>
      <c r="D79" s="23">
        <v>2022</v>
      </c>
      <c r="E79" s="25">
        <f>'Current Ratio'!G87</f>
        <v>1.9396445374647984</v>
      </c>
      <c r="F79" s="25">
        <f>'Cash Ratio'!G87</f>
        <v>6.151254498583425E-2</v>
      </c>
      <c r="G79" s="25">
        <f>DAR!G87</f>
        <v>0.71917283417968492</v>
      </c>
      <c r="H79" s="25">
        <f>DER!G87</f>
        <v>2.560909063334142</v>
      </c>
      <c r="I79" s="25">
        <f>NPM!G87</f>
        <v>3.7437250802242299E-2</v>
      </c>
      <c r="J79" s="25">
        <f>ROA!G87</f>
        <v>2.2046738369817385E-2</v>
      </c>
      <c r="K79" s="25">
        <f>ROE!G87</f>
        <v>7.8506430478039305E-2</v>
      </c>
      <c r="L79" s="25">
        <f>KM!E87</f>
        <v>0.9</v>
      </c>
      <c r="M79" s="24">
        <f>KI!E87</f>
        <v>2</v>
      </c>
      <c r="N79" s="108">
        <f>IO!E87</f>
        <v>0</v>
      </c>
      <c r="O79" s="24">
        <f>'BoC Size'!E87</f>
        <v>4</v>
      </c>
      <c r="P79" s="24">
        <f>'TMT E DK'!E87</f>
        <v>0</v>
      </c>
      <c r="Q79" s="24">
        <f>Data!R87</f>
        <v>4</v>
      </c>
      <c r="R79" s="24">
        <f>Data!S87</f>
        <v>0</v>
      </c>
      <c r="S79" s="24">
        <f>'TMT E DK'!E87</f>
        <v>0</v>
      </c>
      <c r="T79" s="24">
        <f>'TMT E DD'!E87</f>
        <v>0</v>
      </c>
      <c r="U79" s="24">
        <f>TA!E87</f>
        <v>2347921000000</v>
      </c>
      <c r="V79" s="109">
        <f>PR!F87</f>
        <v>5.0564644865997994E-2</v>
      </c>
      <c r="W79" s="109">
        <f>'Z Score'!I87</f>
        <v>0.30857344859558733</v>
      </c>
      <c r="X79" s="109">
        <f>'Z Score'!L87</f>
        <v>-3.6946984161732865E-3</v>
      </c>
      <c r="Y79" s="109">
        <f>'Z Score'!O87</f>
        <v>0.15513762175132809</v>
      </c>
      <c r="Z79" s="109">
        <f>'Z Score'!R87</f>
        <v>0.4100106540421104</v>
      </c>
      <c r="AA79" s="109">
        <f>'Z Score'!S87</f>
        <v>0.87002702597285242</v>
      </c>
    </row>
    <row r="80" spans="1:27" ht="15" customHeight="1" x14ac:dyDescent="0.3">
      <c r="A80" s="22"/>
      <c r="B80" s="23"/>
      <c r="C80" s="3"/>
      <c r="D80" s="23">
        <v>2023</v>
      </c>
      <c r="E80" s="25">
        <f>'Current Ratio'!G88</f>
        <v>1.8356210798966937</v>
      </c>
      <c r="F80" s="25">
        <f>'Cash Ratio'!G88</f>
        <v>2.7678847066087389E-2</v>
      </c>
      <c r="G80" s="25">
        <f>DAR!G88</f>
        <v>0.74621186331166167</v>
      </c>
      <c r="H80" s="25">
        <f>DER!G88</f>
        <v>2.9402945033165158</v>
      </c>
      <c r="I80" s="25">
        <f>NPM!G88</f>
        <v>4.5183071144607775E-2</v>
      </c>
      <c r="J80" s="25">
        <f>ROA!G88</f>
        <v>2.4742559550689821E-2</v>
      </c>
      <c r="K80" s="25">
        <f>ROE!G88</f>
        <v>9.7492971395564662E-2</v>
      </c>
      <c r="L80" s="25">
        <f>KM!E88</f>
        <v>0.9</v>
      </c>
      <c r="M80" s="24">
        <f>KI!E88</f>
        <v>2</v>
      </c>
      <c r="N80" s="108">
        <f>IO!E88</f>
        <v>0</v>
      </c>
      <c r="O80" s="24">
        <f>'BoC Size'!E88</f>
        <v>4</v>
      </c>
      <c r="P80" s="24">
        <f>'TMT E DK'!E88</f>
        <v>0</v>
      </c>
      <c r="Q80" s="24">
        <f>Data!R88</f>
        <v>4</v>
      </c>
      <c r="R80" s="24">
        <f>Data!S88</f>
        <v>0</v>
      </c>
      <c r="S80" s="24">
        <f>'TMT E DK'!E88</f>
        <v>0</v>
      </c>
      <c r="T80" s="24">
        <f>'TMT E DD'!E88</f>
        <v>0</v>
      </c>
      <c r="U80" s="24">
        <f>TA!E88</f>
        <v>2878724000000</v>
      </c>
      <c r="V80" s="109">
        <f>PR!F88</f>
        <v>0.14010546132277227</v>
      </c>
      <c r="W80" s="109">
        <f>'Z Score'!I88</f>
        <v>0.2528952688760715</v>
      </c>
      <c r="X80" s="109">
        <f>'Z Score'!L88</f>
        <v>8.6963939578785593E-2</v>
      </c>
      <c r="Y80" s="109">
        <f>'Z Score'!O88</f>
        <v>0.16338472184203834</v>
      </c>
      <c r="Z80" s="109">
        <f>'Z Score'!R88</f>
        <v>0.35710708529898916</v>
      </c>
      <c r="AA80" s="109">
        <f>'Z Score'!S88</f>
        <v>0.86035101559588456</v>
      </c>
    </row>
    <row r="81" spans="1:27" ht="15" customHeight="1" x14ac:dyDescent="0.3">
      <c r="A81" s="22"/>
      <c r="B81" s="23"/>
      <c r="C81" s="3"/>
      <c r="D81" s="23">
        <v>2024</v>
      </c>
      <c r="E81" s="25">
        <f>'Current Ratio'!G89</f>
        <v>2.3099281281629231</v>
      </c>
      <c r="F81" s="25">
        <f>'Cash Ratio'!G89</f>
        <v>2.7889953278194105E-2</v>
      </c>
      <c r="G81" s="25">
        <f>DAR!G89</f>
        <v>0.75621574133461256</v>
      </c>
      <c r="H81" s="25">
        <f>DER!G89</f>
        <v>3.1019875748933252</v>
      </c>
      <c r="I81" s="25">
        <f>NPM!G89</f>
        <v>5.6410329102440523E-2</v>
      </c>
      <c r="J81" s="25">
        <f>ROA!G89</f>
        <v>2.5023759861016043E-2</v>
      </c>
      <c r="K81" s="25">
        <f>ROE!G89</f>
        <v>0.10264715202700213</v>
      </c>
      <c r="L81" s="25">
        <f>KM!E89</f>
        <v>0.9</v>
      </c>
      <c r="M81" s="24">
        <f>KI!E89</f>
        <v>2</v>
      </c>
      <c r="N81" s="108">
        <f>IO!E89</f>
        <v>0</v>
      </c>
      <c r="O81" s="24">
        <f>'BoC Size'!E89</f>
        <v>4</v>
      </c>
      <c r="P81" s="24">
        <f>'TMT E DK'!E89</f>
        <v>0</v>
      </c>
      <c r="Q81" s="24">
        <f>Data!R89</f>
        <v>4</v>
      </c>
      <c r="R81" s="24">
        <f>Data!S89</f>
        <v>0</v>
      </c>
      <c r="S81" s="24">
        <f>'TMT E DK'!E89</f>
        <v>0</v>
      </c>
      <c r="T81" s="24">
        <f>'TMT E DD'!E89</f>
        <v>0</v>
      </c>
      <c r="U81" s="24">
        <f>TA!E89</f>
        <v>3339666000000</v>
      </c>
      <c r="V81" s="109">
        <f>PR!F89</f>
        <v>-6.0215971870244335E-2</v>
      </c>
      <c r="W81" s="109">
        <f>'Z Score'!I89</f>
        <v>0.25167776657905311</v>
      </c>
      <c r="X81" s="109">
        <f>'Z Score'!L89</f>
        <v>0.16627857995380377</v>
      </c>
      <c r="Y81" s="109">
        <f>'Z Score'!O89</f>
        <v>0.18189680045848897</v>
      </c>
      <c r="Z81" s="109">
        <f>'Z Score'!R89</f>
        <v>0.33849265177540522</v>
      </c>
      <c r="AA81" s="109">
        <f>'Z Score'!S89</f>
        <v>0.93834579876675106</v>
      </c>
    </row>
    <row r="82" spans="1:27" ht="15" customHeight="1" x14ac:dyDescent="0.3">
      <c r="A82" s="22"/>
      <c r="B82" s="23">
        <v>9</v>
      </c>
      <c r="C82" s="3" t="s">
        <v>11</v>
      </c>
      <c r="D82" s="23">
        <v>2015</v>
      </c>
      <c r="E82" s="25">
        <f>'Current Ratio'!G91</f>
        <v>2.8491715556701696</v>
      </c>
      <c r="F82" s="25">
        <f>'Cash Ratio'!G91</f>
        <v>0.1474759847849913</v>
      </c>
      <c r="G82" s="25">
        <f>DAR!G91</f>
        <v>0.6202782582524331</v>
      </c>
      <c r="H82" s="25">
        <f>DER!G91</f>
        <v>1.6487748032187897</v>
      </c>
      <c r="I82" s="25">
        <f>NPM!G91</f>
        <v>-0.16197449020592233</v>
      </c>
      <c r="J82" s="25">
        <f>ROA!G91</f>
        <v>-4.0763629230816736E-2</v>
      </c>
      <c r="K82" s="25">
        <f>ROE!G91</f>
        <v>-0.10835466803702036</v>
      </c>
      <c r="L82" s="25">
        <f>KM!E91</f>
        <v>0.99990000000000001</v>
      </c>
      <c r="M82" s="24">
        <f>KI!E91</f>
        <v>2</v>
      </c>
      <c r="N82" s="108">
        <f>IO!E91</f>
        <v>1.0000000000000001E-5</v>
      </c>
      <c r="O82" s="24">
        <f>'BoC Size'!E91</f>
        <v>4</v>
      </c>
      <c r="P82" s="24">
        <f>'TMT E DK'!E91</f>
        <v>0</v>
      </c>
      <c r="Q82" s="24">
        <f>Data!R91</f>
        <v>4</v>
      </c>
      <c r="R82" s="24">
        <f>Data!S91</f>
        <v>0</v>
      </c>
      <c r="S82" s="24">
        <f>'TMT E DK'!E91</f>
        <v>0</v>
      </c>
      <c r="T82" s="24">
        <f>'TMT E DD'!E91</f>
        <v>0</v>
      </c>
      <c r="U82" s="24">
        <f>TA!E91</f>
        <v>4598462000000</v>
      </c>
      <c r="V82" s="109">
        <f>PR!F91</f>
        <v>4.1238133712178805E-2</v>
      </c>
      <c r="W82" s="109">
        <f>'Z Score'!I91</f>
        <v>0.16366967912315031</v>
      </c>
      <c r="X82" s="109">
        <f>'Z Score'!L91</f>
        <v>0.47093476471046186</v>
      </c>
      <c r="Y82" s="109">
        <f>'Z Score'!O91</f>
        <v>7.3744517188573042E-2</v>
      </c>
      <c r="Z82" s="109">
        <f>'Z Score'!R91</f>
        <v>0.63683651518094353</v>
      </c>
      <c r="AA82" s="109">
        <f>'Z Score'!S91</f>
        <v>1.3451854762031288</v>
      </c>
    </row>
    <row r="83" spans="1:27" ht="15" customHeight="1" x14ac:dyDescent="0.3">
      <c r="A83" s="22"/>
      <c r="B83" s="23"/>
      <c r="C83" s="3"/>
      <c r="D83" s="23">
        <v>2016</v>
      </c>
      <c r="E83" s="25">
        <f>'Current Ratio'!G92</f>
        <v>0.38849315068493151</v>
      </c>
      <c r="F83" s="25">
        <f>'Cash Ratio'!G92</f>
        <v>0.26717006348145672</v>
      </c>
      <c r="G83" s="25">
        <f>DAR!G92</f>
        <v>0.64117571895596925</v>
      </c>
      <c r="H83" s="25">
        <f>DER!G92</f>
        <v>1.7868794081894686</v>
      </c>
      <c r="I83" s="25">
        <f>NPM!G92</f>
        <v>0.10417769471062671</v>
      </c>
      <c r="J83" s="25">
        <f>ROA!G92</f>
        <v>3.799936318872206E-2</v>
      </c>
      <c r="K83" s="25">
        <f>ROE!G92</f>
        <v>0.10589964279496242</v>
      </c>
      <c r="L83" s="25">
        <f>KM!E92</f>
        <v>0.99</v>
      </c>
      <c r="M83" s="24">
        <f>KI!E92</f>
        <v>2</v>
      </c>
      <c r="N83" s="108">
        <f>IO!E92</f>
        <v>1.0000000000000001E-5</v>
      </c>
      <c r="O83" s="24">
        <f>'BoC Size'!E92</f>
        <v>4</v>
      </c>
      <c r="P83" s="24">
        <f>'TMT E DK'!E92</f>
        <v>0</v>
      </c>
      <c r="Q83" s="24">
        <f>Data!R92</f>
        <v>4</v>
      </c>
      <c r="R83" s="24">
        <f>Data!S92</f>
        <v>0</v>
      </c>
      <c r="S83" s="24">
        <f>'TMT E DK'!E92</f>
        <v>0</v>
      </c>
      <c r="T83" s="24">
        <f>'TMT E DD'!E92</f>
        <v>0</v>
      </c>
      <c r="U83" s="24">
        <f>TA!E92</f>
        <v>5298273000000</v>
      </c>
      <c r="V83" s="109">
        <f>PR!F92</f>
        <v>0.66992545457844721</v>
      </c>
      <c r="W83" s="109">
        <f>'Z Score'!I92</f>
        <v>-0.28326150804233757</v>
      </c>
      <c r="X83" s="109">
        <f>'Z Score'!L92</f>
        <v>0.52542979193408867</v>
      </c>
      <c r="Y83" s="109">
        <f>'Z Score'!O92</f>
        <v>0.28212399021341483</v>
      </c>
      <c r="Z83" s="109">
        <f>'Z Score'!R92</f>
        <v>0.5876165986287224</v>
      </c>
      <c r="AA83" s="109">
        <f>'Z Score'!S92</f>
        <v>1.1119088727338884</v>
      </c>
    </row>
    <row r="84" spans="1:27" ht="15" customHeight="1" x14ac:dyDescent="0.3">
      <c r="A84" s="22"/>
      <c r="B84" s="23"/>
      <c r="C84" s="3"/>
      <c r="D84" s="23">
        <v>2017</v>
      </c>
      <c r="E84" s="25">
        <f>'Current Ratio'!G93</f>
        <v>0.37605895739901984</v>
      </c>
      <c r="F84" s="25">
        <f>'Cash Ratio'!G93</f>
        <v>4.7078255744557561E-2</v>
      </c>
      <c r="G84" s="25">
        <f>DAR!G93</f>
        <v>0.77394812220552001</v>
      </c>
      <c r="H84" s="25">
        <f>DER!G93</f>
        <v>3.4237632960924644</v>
      </c>
      <c r="I84" s="25">
        <f>NPM!G93</f>
        <v>-0.22844849103544992</v>
      </c>
      <c r="J84" s="25">
        <f>ROA!G93</f>
        <v>-0.10506746619215308</v>
      </c>
      <c r="K84" s="25">
        <f>ROE!G93</f>
        <v>-0.4647936005542827</v>
      </c>
      <c r="L84" s="25">
        <f>KM!E93</f>
        <v>0.99</v>
      </c>
      <c r="M84" s="24">
        <f>KI!E93</f>
        <v>2</v>
      </c>
      <c r="N84" s="108">
        <f>IO!E93</f>
        <v>1.0000000000000001E-5</v>
      </c>
      <c r="O84" s="24">
        <f>'BoC Size'!E93</f>
        <v>4</v>
      </c>
      <c r="P84" s="24">
        <f>'TMT E DK'!E93</f>
        <v>0</v>
      </c>
      <c r="Q84" s="24">
        <f>Data!R93</f>
        <v>4</v>
      </c>
      <c r="R84" s="24">
        <f>Data!S93</f>
        <v>0</v>
      </c>
      <c r="S84" s="24">
        <f>'TMT E DK'!E93</f>
        <v>0</v>
      </c>
      <c r="T84" s="24">
        <f>'TMT E DD'!E93</f>
        <v>0</v>
      </c>
      <c r="U84" s="24">
        <f>TA!E93</f>
        <v>5618666000000</v>
      </c>
      <c r="V84" s="109">
        <f>PR!F93</f>
        <v>0.33714121018973153</v>
      </c>
      <c r="W84" s="109">
        <f>'Z Score'!I93</f>
        <v>-0.29417026746206304</v>
      </c>
      <c r="X84" s="109">
        <f>'Z Score'!L93</f>
        <v>0.63725967694111019</v>
      </c>
      <c r="Y84" s="109">
        <f>'Z Score'!O93</f>
        <v>0.34095831288067313</v>
      </c>
      <c r="Z84" s="109">
        <f>'Z Score'!R93</f>
        <v>0.30668007954824544</v>
      </c>
      <c r="AA84" s="109">
        <f>'Z Score'!S93</f>
        <v>0.99072780190796572</v>
      </c>
    </row>
    <row r="85" spans="1:27" ht="15" customHeight="1" x14ac:dyDescent="0.3">
      <c r="A85" s="22"/>
      <c r="B85" s="23"/>
      <c r="C85" s="3"/>
      <c r="D85" s="23">
        <v>2018</v>
      </c>
      <c r="E85" s="25">
        <f>'Current Ratio'!G94</f>
        <v>0.30868626288169543</v>
      </c>
      <c r="F85" s="25">
        <f>'Cash Ratio'!G94</f>
        <v>3.3330722493873852E-2</v>
      </c>
      <c r="G85" s="25">
        <f>DAR!G94</f>
        <v>0.79153622875018681</v>
      </c>
      <c r="H85" s="25">
        <f>DER!G94</f>
        <v>0.79153622875018681</v>
      </c>
      <c r="I85" s="25">
        <f>NPM!G94</f>
        <v>6.6784677794590575E-2</v>
      </c>
      <c r="J85" s="25">
        <f>ROA!G94</f>
        <v>2.6192914262435089E-2</v>
      </c>
      <c r="K85" s="25">
        <f>ROE!G94</f>
        <v>2.6192914262435089E-2</v>
      </c>
      <c r="L85" s="25">
        <f>KM!E94</f>
        <v>0.99</v>
      </c>
      <c r="M85" s="24">
        <f>KI!E94</f>
        <v>2</v>
      </c>
      <c r="N85" s="108">
        <f>IO!E94</f>
        <v>1.0000000000000001E-5</v>
      </c>
      <c r="O85" s="24">
        <f>'BoC Size'!E94</f>
        <v>4</v>
      </c>
      <c r="P85" s="24">
        <f>'TMT E DK'!E94</f>
        <v>0</v>
      </c>
      <c r="Q85" s="24">
        <f>Data!R94</f>
        <v>4</v>
      </c>
      <c r="R85" s="24">
        <f>Data!S94</f>
        <v>0</v>
      </c>
      <c r="S85" s="24">
        <f>'TMT E DK'!E94</f>
        <v>0</v>
      </c>
      <c r="T85" s="24">
        <f>'TMT E DD'!E94</f>
        <v>0</v>
      </c>
      <c r="U85" s="24">
        <f>TA!E94</f>
        <v>6696353000000</v>
      </c>
      <c r="V85" s="109">
        <f>PR!F94</f>
        <v>1.6323913374092489E-2</v>
      </c>
      <c r="W85" s="109">
        <f>'Z Score'!I94</f>
        <v>-0.30262674623037344</v>
      </c>
      <c r="X85" s="109">
        <f>'Z Score'!L94</f>
        <v>0.56705674566439368</v>
      </c>
      <c r="Y85" s="109">
        <f>'Z Score'!O94</f>
        <v>0.11643171141067384</v>
      </c>
      <c r="Z85" s="109">
        <f>'Z Score'!R94</f>
        <v>1.3265343541607946</v>
      </c>
      <c r="AA85" s="109">
        <f>'Z Score'!S94</f>
        <v>1.7073960650054887</v>
      </c>
    </row>
    <row r="86" spans="1:27" ht="15" customHeight="1" x14ac:dyDescent="0.3">
      <c r="A86" s="22"/>
      <c r="B86" s="23"/>
      <c r="C86" s="3"/>
      <c r="D86" s="23">
        <v>2019</v>
      </c>
      <c r="E86" s="25">
        <f>'Current Ratio'!G95</f>
        <v>0.3165118741859701</v>
      </c>
      <c r="F86" s="25">
        <f>'Cash Ratio'!G95</f>
        <v>3.1762686694338613E-2</v>
      </c>
      <c r="G86" s="25">
        <f>DAR!G95</f>
        <v>0.78247792650409342</v>
      </c>
      <c r="H86" s="25">
        <f>DER!G95</f>
        <v>0.78247792650409342</v>
      </c>
      <c r="I86" s="25">
        <f>NPM!G95</f>
        <v>0.13135661783235056</v>
      </c>
      <c r="J86" s="25">
        <f>ROA!G95</f>
        <v>4.8560403928028718E-2</v>
      </c>
      <c r="K86" s="25">
        <f>ROE!G95</f>
        <v>4.8560403928028718E-2</v>
      </c>
      <c r="L86" s="25">
        <f>KM!E95</f>
        <v>0.99</v>
      </c>
      <c r="M86" s="24">
        <f>KI!E95</f>
        <v>2</v>
      </c>
      <c r="N86" s="108">
        <f>IO!E95</f>
        <v>1.0000000000000001E-5</v>
      </c>
      <c r="O86" s="24">
        <f>'BoC Size'!E95</f>
        <v>4</v>
      </c>
      <c r="P86" s="24">
        <f>'TMT E DK'!E95</f>
        <v>0</v>
      </c>
      <c r="Q86" s="24">
        <f>Data!R95</f>
        <v>4</v>
      </c>
      <c r="R86" s="24">
        <f>Data!S95</f>
        <v>0</v>
      </c>
      <c r="S86" s="24">
        <f>'TMT E DK'!E95</f>
        <v>0</v>
      </c>
      <c r="T86" s="24">
        <f>'TMT E DD'!E95</f>
        <v>0</v>
      </c>
      <c r="U86" s="24">
        <f>TA!E95</f>
        <v>8158087000000</v>
      </c>
      <c r="V86" s="109">
        <f>PR!F95</f>
        <v>0.14834752690661332</v>
      </c>
      <c r="W86" s="109">
        <f>'Z Score'!I95</f>
        <v>-0.22575631762691423</v>
      </c>
      <c r="X86" s="109">
        <f>'Z Score'!L95</f>
        <v>0.53826869215785511</v>
      </c>
      <c r="Y86" s="109">
        <f>'Z Score'!O95</f>
        <v>0.16454763475800147</v>
      </c>
      <c r="Z86" s="109">
        <f>'Z Score'!R95</f>
        <v>1.3418908884639407</v>
      </c>
      <c r="AA86" s="109">
        <f>'Z Score'!S95</f>
        <v>1.818950897752883</v>
      </c>
    </row>
    <row r="87" spans="1:27" ht="15" customHeight="1" x14ac:dyDescent="0.3">
      <c r="A87" s="22"/>
      <c r="B87" s="23"/>
      <c r="C87" s="3"/>
      <c r="D87" s="23">
        <v>2020</v>
      </c>
      <c r="E87" s="25">
        <f>'Current Ratio'!G96</f>
        <v>0.33886670919433953</v>
      </c>
      <c r="F87" s="25">
        <f>'Cash Ratio'!G96</f>
        <v>4.218601795241201E-2</v>
      </c>
      <c r="G87" s="25">
        <f>DAR!G96</f>
        <v>0.78758188657951</v>
      </c>
      <c r="H87" s="25">
        <f>DER!G96</f>
        <v>3.7076964572247224</v>
      </c>
      <c r="I87" s="25">
        <f>NPM!G96</f>
        <v>2.5892630581553791E-2</v>
      </c>
      <c r="J87" s="25">
        <f>ROA!G96</f>
        <v>8.2395043228459305E-3</v>
      </c>
      <c r="K87" s="25">
        <f>ROE!G96</f>
        <v>3.8789085309949574E-2</v>
      </c>
      <c r="L87" s="25">
        <f>KM!E96</f>
        <v>0.99</v>
      </c>
      <c r="M87" s="24">
        <f>KI!E96</f>
        <v>2</v>
      </c>
      <c r="N87" s="108">
        <f>IO!E96</f>
        <v>1.0000000000000001E-5</v>
      </c>
      <c r="O87" s="24">
        <f>'BoC Size'!E96</f>
        <v>4</v>
      </c>
      <c r="P87" s="24">
        <f>'TMT E DK'!E96</f>
        <v>0</v>
      </c>
      <c r="Q87" s="24">
        <f>Data!R96</f>
        <v>4</v>
      </c>
      <c r="R87" s="24">
        <f>Data!S96</f>
        <v>0</v>
      </c>
      <c r="S87" s="24">
        <f>'TMT E DK'!E96</f>
        <v>0</v>
      </c>
      <c r="T87" s="24">
        <f>'TMT E DD'!E96</f>
        <v>0</v>
      </c>
      <c r="U87" s="24">
        <f>TA!E96</f>
        <v>8569933000000</v>
      </c>
      <c r="V87" s="109">
        <f>PR!F96</f>
        <v>-9.5760088490645615E-2</v>
      </c>
      <c r="W87" s="109">
        <f>'Z Score'!I96</f>
        <v>-0.21181846812571348</v>
      </c>
      <c r="X87" s="109">
        <f>'Z Score'!L96</f>
        <v>0.59425623747583556</v>
      </c>
      <c r="Y87" s="109">
        <f>'Z Score'!O96</f>
        <v>0.18815206139884638</v>
      </c>
      <c r="Z87" s="109">
        <f>'Z Score'!R96</f>
        <v>0.2831947038042979</v>
      </c>
      <c r="AA87" s="109">
        <f>'Z Score'!S96</f>
        <v>0.85378453455326642</v>
      </c>
    </row>
    <row r="88" spans="1:27" ht="15" customHeight="1" x14ac:dyDescent="0.3">
      <c r="A88" s="22"/>
      <c r="B88" s="23"/>
      <c r="C88" s="3"/>
      <c r="D88" s="23">
        <v>2021</v>
      </c>
      <c r="E88" s="25">
        <f>'Current Ratio'!G97</f>
        <v>0.44510892890644477</v>
      </c>
      <c r="F88" s="25">
        <f>'Cash Ratio'!G97</f>
        <v>3.2029750171546641E-2</v>
      </c>
      <c r="G88" s="25">
        <f>DAR!G97</f>
        <v>0.70902883152545593</v>
      </c>
      <c r="H88" s="25">
        <f>DER!G97</f>
        <v>2.4367666227641585</v>
      </c>
      <c r="I88" s="25">
        <f>NPM!G97</f>
        <v>0.41320061071587322</v>
      </c>
      <c r="J88" s="25">
        <f>ROA!G97</f>
        <v>0.1141803649881416</v>
      </c>
      <c r="K88" s="25">
        <f>ROE!G97</f>
        <v>0.39241126736627435</v>
      </c>
      <c r="L88" s="25">
        <f>KM!E97</f>
        <v>0.99</v>
      </c>
      <c r="M88" s="24">
        <f>KI!E97</f>
        <v>2</v>
      </c>
      <c r="N88" s="108">
        <f>IO!E97</f>
        <v>1.0000000000000001E-5</v>
      </c>
      <c r="O88" s="24">
        <f>'BoC Size'!E97</f>
        <v>3</v>
      </c>
      <c r="P88" s="24">
        <f>'TMT E DK'!E97</f>
        <v>0</v>
      </c>
      <c r="Q88" s="24">
        <f>Data!R97</f>
        <v>3</v>
      </c>
      <c r="R88" s="24">
        <f>Data!S97</f>
        <v>0</v>
      </c>
      <c r="S88" s="24">
        <f>'TMT E DK'!E97</f>
        <v>0</v>
      </c>
      <c r="T88" s="24">
        <f>'TMT E DD'!E97</f>
        <v>0</v>
      </c>
      <c r="U88" s="24">
        <f>TA!E97</f>
        <v>10111397000000</v>
      </c>
      <c r="V88" s="109">
        <f>PR!F97</f>
        <v>2.4564483694815165E-2</v>
      </c>
      <c r="W88" s="109">
        <f>'Z Score'!I97</f>
        <v>-0.14007784680989183</v>
      </c>
      <c r="X88" s="109">
        <f>'Z Score'!L97</f>
        <v>0.55158639899115813</v>
      </c>
      <c r="Y88" s="109">
        <f>'Z Score'!O97</f>
        <v>0.12059038726300628</v>
      </c>
      <c r="Z88" s="109">
        <f>'Z Score'!R97</f>
        <v>0.4308988764828563</v>
      </c>
      <c r="AA88" s="109">
        <f>'Z Score'!S97</f>
        <v>0.96299781592712885</v>
      </c>
    </row>
    <row r="89" spans="1:27" ht="15" customHeight="1" x14ac:dyDescent="0.3">
      <c r="A89" s="22"/>
      <c r="B89" s="23"/>
      <c r="C89" s="3"/>
      <c r="D89" s="23">
        <v>2022</v>
      </c>
      <c r="E89" s="25">
        <f>'Current Ratio'!G98</f>
        <v>0.56693437124068213</v>
      </c>
      <c r="F89" s="25">
        <f>'Cash Ratio'!G98</f>
        <v>8.1553327426684363E-2</v>
      </c>
      <c r="G89" s="25">
        <f>DAR!G98</f>
        <v>0.70285292290058266</v>
      </c>
      <c r="H89" s="25">
        <f>DER!G98</f>
        <v>2.3653375901558489</v>
      </c>
      <c r="I89" s="25">
        <f>NPM!G98</f>
        <v>6.1381843256485241E-2</v>
      </c>
      <c r="J89" s="25">
        <f>ROA!G98</f>
        <v>1.5332334130301379E-2</v>
      </c>
      <c r="K89" s="25">
        <f>ROE!G98</f>
        <v>5.1598485375241331E-2</v>
      </c>
      <c r="L89" s="25">
        <f>KM!E98</f>
        <v>0.99</v>
      </c>
      <c r="M89" s="24">
        <f>KI!E98</f>
        <v>2</v>
      </c>
      <c r="N89" s="108">
        <f>IO!E98</f>
        <v>1.0000000000000001E-5</v>
      </c>
      <c r="O89" s="24">
        <f>'BoC Size'!E98</f>
        <v>3</v>
      </c>
      <c r="P89" s="24">
        <f>'TMT E DK'!E98</f>
        <v>0</v>
      </c>
      <c r="Q89" s="24">
        <f>Data!R98</f>
        <v>3</v>
      </c>
      <c r="R89" s="24">
        <f>Data!S98</f>
        <v>0</v>
      </c>
      <c r="S89" s="24">
        <f>'TMT E DK'!E98</f>
        <v>0</v>
      </c>
      <c r="T89" s="24">
        <f>'TMT E DD'!E98</f>
        <v>0</v>
      </c>
      <c r="U89" s="24">
        <f>TA!E98</f>
        <v>10357588000000</v>
      </c>
      <c r="V89" s="109">
        <f>PR!F98</f>
        <v>-7.405466808966614E-2</v>
      </c>
      <c r="W89" s="109">
        <f>'Z Score'!I98</f>
        <v>-0.1055652261897268</v>
      </c>
      <c r="X89" s="109">
        <f>'Z Score'!L98</f>
        <v>0.59480999823511027</v>
      </c>
      <c r="Y89" s="109">
        <f>'Z Score'!O98</f>
        <v>0.13118016279465836</v>
      </c>
      <c r="Z89" s="109">
        <f>'Z Score'!R98</f>
        <v>0.44391126423979799</v>
      </c>
      <c r="AA89" s="109">
        <f>'Z Score'!S98</f>
        <v>1.0643361990798397</v>
      </c>
    </row>
    <row r="90" spans="1:27" ht="15" customHeight="1" x14ac:dyDescent="0.3">
      <c r="A90" s="22"/>
      <c r="B90" s="23"/>
      <c r="C90" s="3"/>
      <c r="D90" s="23">
        <v>2023</v>
      </c>
      <c r="E90" s="25">
        <f>'Current Ratio'!G99</f>
        <v>0.65371531094904112</v>
      </c>
      <c r="F90" s="25">
        <f>'Cash Ratio'!G99</f>
        <v>2.802308331585774E-2</v>
      </c>
      <c r="G90" s="25">
        <f>DAR!G99</f>
        <v>0.71370189464640377</v>
      </c>
      <c r="H90" s="25">
        <f>DER!G99</f>
        <v>2.4928627933633618</v>
      </c>
      <c r="I90" s="25">
        <f>NPM!G99</f>
        <v>3.5934421765801937E-2</v>
      </c>
      <c r="J90" s="25">
        <f>ROA!G99</f>
        <v>9.7598465105761881E-3</v>
      </c>
      <c r="K90" s="25">
        <f>ROE!G99</f>
        <v>3.4089804745728799E-2</v>
      </c>
      <c r="L90" s="25">
        <f>KM!E99</f>
        <v>0.99</v>
      </c>
      <c r="M90" s="24">
        <f>KI!E99</f>
        <v>2</v>
      </c>
      <c r="N90" s="108">
        <f>IO!E99</f>
        <v>1.0000000000000001E-5</v>
      </c>
      <c r="O90" s="24">
        <f>'BoC Size'!E99</f>
        <v>3</v>
      </c>
      <c r="P90" s="24">
        <f>'TMT E DK'!E99</f>
        <v>0</v>
      </c>
      <c r="Q90" s="24">
        <f>Data!R99</f>
        <v>3</v>
      </c>
      <c r="R90" s="24">
        <f>Data!S99</f>
        <v>0</v>
      </c>
      <c r="S90" s="24">
        <f>'TMT E DK'!E99</f>
        <v>0</v>
      </c>
      <c r="T90" s="24">
        <f>'TMT E DD'!E99</f>
        <v>0</v>
      </c>
      <c r="U90" s="24">
        <f>TA!E99</f>
        <v>11033985000000</v>
      </c>
      <c r="V90" s="109">
        <f>PR!F99</f>
        <v>0.15834448446224503</v>
      </c>
      <c r="W90" s="109">
        <f>'Z Score'!I99</f>
        <v>-0.10602672379924388</v>
      </c>
      <c r="X90" s="109">
        <f>'Z Score'!L99</f>
        <v>0.61085965405970732</v>
      </c>
      <c r="Y90" s="109">
        <f>'Z Score'!O99</f>
        <v>0.1243286953897436</v>
      </c>
      <c r="Z90" s="109">
        <f>'Z Score'!R99</f>
        <v>0.42120248366471214</v>
      </c>
      <c r="AA90" s="109">
        <f>'Z Score'!S99</f>
        <v>1.0503641093149192</v>
      </c>
    </row>
    <row r="91" spans="1:27" ht="15" customHeight="1" x14ac:dyDescent="0.3">
      <c r="A91" s="22"/>
      <c r="B91" s="23"/>
      <c r="C91" s="3"/>
      <c r="D91" s="23">
        <v>2024</v>
      </c>
      <c r="E91" s="25">
        <f>'Current Ratio'!G100</f>
        <v>1.1621945779848342</v>
      </c>
      <c r="F91" s="25">
        <f>'Cash Ratio'!G100</f>
        <v>0.16200376666501462</v>
      </c>
      <c r="G91" s="25">
        <f>DAR!G100</f>
        <v>0.69505005571683331</v>
      </c>
      <c r="H91" s="25">
        <f>DER!G100</f>
        <v>2.2792267017810377</v>
      </c>
      <c r="I91" s="25">
        <f>NPM!G100</f>
        <v>0.11386190048125354</v>
      </c>
      <c r="J91" s="25">
        <f>ROA!G100</f>
        <v>2.4796673803429582E-2</v>
      </c>
      <c r="K91" s="25">
        <f>ROE!G100</f>
        <v>8.1313914851560642E-2</v>
      </c>
      <c r="L91" s="25">
        <f>KM!E100</f>
        <v>0.99</v>
      </c>
      <c r="M91" s="24">
        <f>KI!E100</f>
        <v>2</v>
      </c>
      <c r="N91" s="108">
        <f>IO!E100</f>
        <v>1.0000000000000001E-5</v>
      </c>
      <c r="O91" s="24">
        <f>'BoC Size'!E100</f>
        <v>3</v>
      </c>
      <c r="P91" s="24">
        <f>'TMT E DK'!E100</f>
        <v>0</v>
      </c>
      <c r="Q91" s="24">
        <f>Data!R100</f>
        <v>3</v>
      </c>
      <c r="R91" s="24">
        <f>Data!S100</f>
        <v>0</v>
      </c>
      <c r="S91" s="24">
        <f>'TMT E DK'!E100</f>
        <v>0</v>
      </c>
      <c r="T91" s="24">
        <f>'TMT E DD'!E100</f>
        <v>0</v>
      </c>
      <c r="U91" s="24">
        <f>TA!E100</f>
        <v>11181540000000</v>
      </c>
      <c r="V91" s="109">
        <f>PR!F100</f>
        <v>-0.18744661057217449</v>
      </c>
      <c r="W91" s="109">
        <f>'Z Score'!I100</f>
        <v>3.8399461970354702E-2</v>
      </c>
      <c r="X91" s="109">
        <f>'Z Score'!L100</f>
        <v>0.6636830704893959</v>
      </c>
      <c r="Y91" s="109">
        <f>'Z Score'!O100</f>
        <v>0.14140887212316014</v>
      </c>
      <c r="Z91" s="109">
        <f>'Z Score'!R100</f>
        <v>0.46068256359909571</v>
      </c>
      <c r="AA91" s="109">
        <f>'Z Score'!S100</f>
        <v>1.3041739681820064</v>
      </c>
    </row>
    <row r="92" spans="1:27" ht="15" customHeight="1" x14ac:dyDescent="0.3">
      <c r="A92" s="22"/>
      <c r="B92" s="23">
        <v>10</v>
      </c>
      <c r="C92" s="3" t="s">
        <v>13</v>
      </c>
      <c r="D92" s="23">
        <v>2015</v>
      </c>
      <c r="E92" s="25">
        <f>'Current Ratio'!G102</f>
        <v>1.1495514089169767</v>
      </c>
      <c r="F92" s="25">
        <f>'Cash Ratio'!G102</f>
        <v>0.12778666801373287</v>
      </c>
      <c r="G92" s="25">
        <f>DAR!G102</f>
        <v>0.89055980845581528</v>
      </c>
      <c r="H92" s="25">
        <f>DER!G102</f>
        <v>8.1374109080964665</v>
      </c>
      <c r="I92" s="25">
        <f>NPM!G102</f>
        <v>-1.9055052414851097E-2</v>
      </c>
      <c r="J92" s="25">
        <f>ROA!G102</f>
        <v>-8.6082650193367964E-3</v>
      </c>
      <c r="K92" s="25">
        <f>ROE!G102</f>
        <v>-7.8657254687473296E-2</v>
      </c>
      <c r="L92" s="25">
        <f>KM!E102</f>
        <v>0.9859</v>
      </c>
      <c r="M92" s="24">
        <f>KI!E102</f>
        <v>2</v>
      </c>
      <c r="N92" s="108">
        <f>IO!E102</f>
        <v>0</v>
      </c>
      <c r="O92" s="24">
        <f>'BoC Size'!E102</f>
        <v>4</v>
      </c>
      <c r="P92" s="24">
        <f>'TMT E DK'!E102</f>
        <v>0</v>
      </c>
      <c r="Q92" s="24">
        <f>Data!R102</f>
        <v>4</v>
      </c>
      <c r="R92" s="24">
        <f>Data!S102</f>
        <v>0</v>
      </c>
      <c r="S92" s="24">
        <f>'TMT E DK'!E102</f>
        <v>0</v>
      </c>
      <c r="T92" s="24">
        <f>'TMT E DD'!E102</f>
        <v>0</v>
      </c>
      <c r="U92" s="24">
        <f>TA!E102</f>
        <v>4276820000000</v>
      </c>
      <c r="V92" s="109">
        <f>PR!F102</f>
        <v>-5.1612653044595294E-2</v>
      </c>
      <c r="W92" s="109">
        <f>'Z Score'!I102</f>
        <v>0.12714848883048621</v>
      </c>
      <c r="X92" s="109">
        <f>'Z Score'!L102</f>
        <v>-0.23732304843318164</v>
      </c>
      <c r="Y92" s="109">
        <f>'Z Score'!O102</f>
        <v>-5.6972348614157245E-2</v>
      </c>
      <c r="Z92" s="109">
        <f>'Z Score'!R102</f>
        <v>0.12903367076563421</v>
      </c>
      <c r="AA92" s="109">
        <f>'Z Score'!S102</f>
        <v>-3.8113237451218474E-2</v>
      </c>
    </row>
    <row r="93" spans="1:27" ht="15" customHeight="1" x14ac:dyDescent="0.3">
      <c r="A93" s="22"/>
      <c r="B93" s="23"/>
      <c r="C93" s="3"/>
      <c r="D93" s="23">
        <v>2016</v>
      </c>
      <c r="E93" s="25">
        <f>'Current Ratio'!G103</f>
        <v>0.96967059974500258</v>
      </c>
      <c r="F93" s="25">
        <f>'Cash Ratio'!G103</f>
        <v>4.4715527550666566E-2</v>
      </c>
      <c r="G93" s="25">
        <f>DAR!G103</f>
        <v>0.86039908277279842</v>
      </c>
      <c r="H93" s="25">
        <f>DER!G103</f>
        <v>6.1632767166743774</v>
      </c>
      <c r="I93" s="25">
        <f>NPM!G103</f>
        <v>-1.4102730064561276E-2</v>
      </c>
      <c r="J93" s="25">
        <f>ROA!G103</f>
        <v>-7.7796765200132782E-3</v>
      </c>
      <c r="K93" s="25">
        <f>ROE!G103</f>
        <v>-5.5727975679069459E-2</v>
      </c>
      <c r="L93" s="25">
        <f>KM!E103</f>
        <v>0.98</v>
      </c>
      <c r="M93" s="24">
        <f>KI!E103</f>
        <v>2</v>
      </c>
      <c r="N93" s="108">
        <f>IO!E103</f>
        <v>0</v>
      </c>
      <c r="O93" s="24">
        <f>'BoC Size'!E103</f>
        <v>3</v>
      </c>
      <c r="P93" s="24">
        <f>'TMT E DK'!E103</f>
        <v>0</v>
      </c>
      <c r="Q93" s="24">
        <f>Data!R103</f>
        <v>3</v>
      </c>
      <c r="R93" s="24">
        <f>Data!S103</f>
        <v>0</v>
      </c>
      <c r="S93" s="24">
        <f>'TMT E DK'!E103</f>
        <v>0</v>
      </c>
      <c r="T93" s="24">
        <f>'TMT E DD'!E103</f>
        <v>0</v>
      </c>
      <c r="U93" s="24">
        <f>TA!E103</f>
        <v>5419377000000</v>
      </c>
      <c r="V93" s="109">
        <f>PR!F103</f>
        <v>0.54732398040252872</v>
      </c>
      <c r="W93" s="109">
        <f>'Z Score'!I103</f>
        <v>-2.784446994553064E-2</v>
      </c>
      <c r="X93" s="109">
        <f>'Z Score'!L103</f>
        <v>-0.22121883382536406</v>
      </c>
      <c r="Y93" s="109">
        <f>'Z Score'!O103</f>
        <v>-4.9297238409507213E-2</v>
      </c>
      <c r="Z93" s="109">
        <f>'Z Score'!R103</f>
        <v>0.17036392300207578</v>
      </c>
      <c r="AA93" s="109">
        <f>'Z Score'!S103</f>
        <v>-0.12799661917832614</v>
      </c>
    </row>
    <row r="94" spans="1:27" ht="15" customHeight="1" x14ac:dyDescent="0.3">
      <c r="A94" s="22"/>
      <c r="B94" s="23"/>
      <c r="C94" s="3"/>
      <c r="D94" s="23">
        <v>2017</v>
      </c>
      <c r="E94" s="25">
        <f>'Current Ratio'!G104</f>
        <v>1.1322094387048698</v>
      </c>
      <c r="F94" s="25">
        <f>'Cash Ratio'!G104</f>
        <v>0.12600300004597362</v>
      </c>
      <c r="G94" s="25">
        <f>DAR!G104</f>
        <v>0.87503677981181893</v>
      </c>
      <c r="H94" s="25">
        <f>DER!G104</f>
        <v>7.0042881245276041</v>
      </c>
      <c r="I94" s="25">
        <f>NPM!G104</f>
        <v>2.2250465185788798E-2</v>
      </c>
      <c r="J94" s="25">
        <f>ROA!G104</f>
        <v>1.2644069793429375E-2</v>
      </c>
      <c r="K94" s="25">
        <f>ROE!G104</f>
        <v>0.10121026903447582</v>
      </c>
      <c r="L94" s="25">
        <f>KM!E104</f>
        <v>0.98</v>
      </c>
      <c r="M94" s="24">
        <f>KI!E104</f>
        <v>0</v>
      </c>
      <c r="N94" s="108">
        <f>IO!E104</f>
        <v>0</v>
      </c>
      <c r="O94" s="24">
        <f>'BoC Size'!E104</f>
        <v>3</v>
      </c>
      <c r="P94" s="24">
        <f>'TMT E DK'!E104</f>
        <v>0</v>
      </c>
      <c r="Q94" s="24">
        <f>Data!R104</f>
        <v>3</v>
      </c>
      <c r="R94" s="24">
        <f>Data!S104</f>
        <v>0</v>
      </c>
      <c r="S94" s="24">
        <f>'TMT E DK'!E104</f>
        <v>0</v>
      </c>
      <c r="T94" s="24">
        <f>'TMT E DD'!E104</f>
        <v>0</v>
      </c>
      <c r="U94" s="24">
        <f>TA!E104</f>
        <v>6841389000000</v>
      </c>
      <c r="V94" s="109">
        <f>PR!F104</f>
        <v>0.30042216872499428</v>
      </c>
      <c r="W94" s="109">
        <f>'Z Score'!I104</f>
        <v>0.11857189819201917</v>
      </c>
      <c r="X94" s="109">
        <f>'Z Score'!L104</f>
        <v>-0.14396839589153607</v>
      </c>
      <c r="Y94" s="109">
        <f>'Z Score'!O104</f>
        <v>7.5049321124701432E-2</v>
      </c>
      <c r="Z94" s="109">
        <f>'Z Score'!R104</f>
        <v>0.14990816787263675</v>
      </c>
      <c r="AA94" s="109">
        <f>'Z Score'!S104</f>
        <v>0.19956099129782129</v>
      </c>
    </row>
    <row r="95" spans="1:27" ht="15" customHeight="1" x14ac:dyDescent="0.3">
      <c r="A95" s="22"/>
      <c r="B95" s="23"/>
      <c r="C95" s="3"/>
      <c r="D95" s="23">
        <v>2018</v>
      </c>
      <c r="E95" s="25">
        <f>'Current Ratio'!G105</f>
        <v>1.0069482635921705</v>
      </c>
      <c r="F95" s="25">
        <f>'Cash Ratio'!G105</f>
        <v>8.2020721637951377E-2</v>
      </c>
      <c r="G95" s="25">
        <f>DAR!G105</f>
        <v>0.85384213441984314</v>
      </c>
      <c r="H95" s="25">
        <f>DER!G105</f>
        <v>5.8751385780685146</v>
      </c>
      <c r="I95" s="25">
        <f>NPM!G105</f>
        <v>5.107718178337995E-2</v>
      </c>
      <c r="J95" s="25">
        <f>ROA!G105</f>
        <v>2.1763934309047696E-2</v>
      </c>
      <c r="K95" s="25">
        <f>ROE!G105</f>
        <v>0.1497538302633844</v>
      </c>
      <c r="L95" s="25">
        <f>KM!E105</f>
        <v>0.98</v>
      </c>
      <c r="M95" s="24">
        <f>KI!E105</f>
        <v>0</v>
      </c>
      <c r="N95" s="108">
        <f>IO!E105</f>
        <v>0</v>
      </c>
      <c r="O95" s="24">
        <f>'BoC Size'!E105</f>
        <v>3</v>
      </c>
      <c r="P95" s="24">
        <f>'TMT E DK'!E105</f>
        <v>0</v>
      </c>
      <c r="Q95" s="24">
        <f>Data!R105</f>
        <v>3</v>
      </c>
      <c r="R95" s="24">
        <f>Data!S105</f>
        <v>0</v>
      </c>
      <c r="S95" s="24">
        <f>'TMT E DK'!E105</f>
        <v>0</v>
      </c>
      <c r="T95" s="24">
        <f>'TMT E DD'!E105</f>
        <v>0</v>
      </c>
      <c r="U95" s="24">
        <f>TA!E105</f>
        <v>6994875000000</v>
      </c>
      <c r="V95" s="109">
        <f>PR!F105</f>
        <v>-0.23334784064795222</v>
      </c>
      <c r="W95" s="109">
        <f>'Z Score'!I105</f>
        <v>6.9314977036759049E-3</v>
      </c>
      <c r="X95" s="109">
        <f>'Z Score'!L105</f>
        <v>-5.3423010418341993E-2</v>
      </c>
      <c r="Y95" s="109">
        <f>'Z Score'!O105</f>
        <v>0.13966225272074198</v>
      </c>
      <c r="Z95" s="109">
        <f>'Z Score'!R105</f>
        <v>0.17871918867064299</v>
      </c>
      <c r="AA95" s="109">
        <f>'Z Score'!S105</f>
        <v>0.27188992867671891</v>
      </c>
    </row>
    <row r="96" spans="1:27" ht="15" customHeight="1" x14ac:dyDescent="0.3">
      <c r="A96" s="22"/>
      <c r="B96" s="23"/>
      <c r="C96" s="3"/>
      <c r="D96" s="23">
        <v>2019</v>
      </c>
      <c r="E96" s="25">
        <f>'Current Ratio'!G106</f>
        <v>0.93385142443881253</v>
      </c>
      <c r="F96" s="25">
        <f>'Cash Ratio'!G106</f>
        <v>3.4449785375616049E-2</v>
      </c>
      <c r="G96" s="25">
        <f>DAR!G106</f>
        <v>0.82766016633395911</v>
      </c>
      <c r="H96" s="25">
        <f>DER!G106</f>
        <v>4.8575049335734031</v>
      </c>
      <c r="I96" s="25">
        <f>NPM!G106</f>
        <v>5.960514075551418E-2</v>
      </c>
      <c r="J96" s="25">
        <f>ROA!G106</f>
        <v>2.5220197460317999E-2</v>
      </c>
      <c r="K96" s="25">
        <f>ROE!G106</f>
        <v>0.14801634604674052</v>
      </c>
      <c r="L96" s="25">
        <f>KM!E106</f>
        <v>0.98</v>
      </c>
      <c r="M96" s="24">
        <f>KI!E106</f>
        <v>2</v>
      </c>
      <c r="N96" s="108">
        <f>IO!E106</f>
        <v>0</v>
      </c>
      <c r="O96" s="24">
        <f>'BoC Size'!E106</f>
        <v>3</v>
      </c>
      <c r="P96" s="24">
        <f>'TMT E DK'!E106</f>
        <v>0</v>
      </c>
      <c r="Q96" s="24">
        <f>Data!R106</f>
        <v>3</v>
      </c>
      <c r="R96" s="24">
        <f>Data!S106</f>
        <v>0</v>
      </c>
      <c r="S96" s="24">
        <f>'TMT E DK'!E106</f>
        <v>0</v>
      </c>
      <c r="T96" s="24">
        <f>'TMT E DD'!E106</f>
        <v>0</v>
      </c>
      <c r="U96" s="24">
        <f>TA!E106</f>
        <v>7060254000000</v>
      </c>
      <c r="V96" s="109">
        <f>PR!F106</f>
        <v>2.2928969514938555E-3</v>
      </c>
      <c r="W96" s="109">
        <f>'Z Score'!I106</f>
        <v>-7.88658311726462E-2</v>
      </c>
      <c r="X96" s="109">
        <f>'Z Score'!L106</f>
        <v>8.0042587702935323E-3</v>
      </c>
      <c r="Y96" s="109">
        <f>'Z Score'!O106</f>
        <v>0.17312800361006841</v>
      </c>
      <c r="Z96" s="109">
        <f>'Z Score'!R106</f>
        <v>0.2161603568825553</v>
      </c>
      <c r="AA96" s="109">
        <f>'Z Score'!S106</f>
        <v>0.31842678809027103</v>
      </c>
    </row>
    <row r="97" spans="1:27" ht="15" customHeight="1" x14ac:dyDescent="0.3">
      <c r="A97" s="22"/>
      <c r="B97" s="23"/>
      <c r="C97" s="3"/>
      <c r="D97" s="23">
        <v>2020</v>
      </c>
      <c r="E97" s="25">
        <f>'Current Ratio'!G107</f>
        <v>0.87639117237890474</v>
      </c>
      <c r="F97" s="25">
        <f>'Cash Ratio'!G107</f>
        <v>3.7400238296512747E-2</v>
      </c>
      <c r="G97" s="25">
        <f>DAR!G107</f>
        <v>0.79593430477245053</v>
      </c>
      <c r="H97" s="25">
        <f>DER!G107</f>
        <v>3.9568964119087648</v>
      </c>
      <c r="I97" s="25">
        <f>NPM!G107</f>
        <v>9.1967633708308669E-2</v>
      </c>
      <c r="J97" s="25">
        <f>ROA!G107</f>
        <v>3.7626738631295509E-2</v>
      </c>
      <c r="K97" s="25">
        <f>ROE!G107</f>
        <v>0.18705702994491089</v>
      </c>
      <c r="L97" s="25">
        <f>KM!E107</f>
        <v>0.98</v>
      </c>
      <c r="M97" s="24">
        <f>KI!E107</f>
        <v>2</v>
      </c>
      <c r="N97" s="108">
        <f>IO!E107</f>
        <v>0</v>
      </c>
      <c r="O97" s="24">
        <f>'BoC Size'!E107</f>
        <v>3</v>
      </c>
      <c r="P97" s="24">
        <f>'TMT E DK'!E107</f>
        <v>0</v>
      </c>
      <c r="Q97" s="24">
        <f>Data!R107</f>
        <v>3</v>
      </c>
      <c r="R97" s="24">
        <f>Data!S107</f>
        <v>0</v>
      </c>
      <c r="S97" s="24">
        <f>'TMT E DK'!E107</f>
        <v>0</v>
      </c>
      <c r="T97" s="24">
        <f>'TMT E DD'!E107</f>
        <v>0</v>
      </c>
      <c r="U97" s="24">
        <f>TA!E107</f>
        <v>7356577000000</v>
      </c>
      <c r="V97" s="109">
        <f>PR!F107</f>
        <v>7.5167130121984657E-3</v>
      </c>
      <c r="W97" s="109">
        <f>'Z Score'!I107</f>
        <v>-0.13247467674164221</v>
      </c>
      <c r="X97" s="109">
        <f>'Z Score'!L107</f>
        <v>9.3951627230979842E-2</v>
      </c>
      <c r="Y97" s="109">
        <f>'Z Score'!O107</f>
        <v>0.24077380553482958</v>
      </c>
      <c r="Z97" s="109">
        <f>'Z Score'!R107</f>
        <v>0.26535948650055541</v>
      </c>
      <c r="AA97" s="109">
        <f>'Z Score'!S107</f>
        <v>0.46761024252472261</v>
      </c>
    </row>
    <row r="98" spans="1:27" ht="15" customHeight="1" x14ac:dyDescent="0.3">
      <c r="A98" s="22"/>
      <c r="B98" s="23"/>
      <c r="C98" s="3"/>
      <c r="D98" s="23">
        <v>2021</v>
      </c>
      <c r="E98" s="25">
        <f>'Current Ratio'!G108</f>
        <v>1.3065656901710985</v>
      </c>
      <c r="F98" s="25">
        <f>'Cash Ratio'!G108</f>
        <v>0.20594500523407122</v>
      </c>
      <c r="G98" s="25">
        <f>DAR!G108</f>
        <v>0.78626950046203181</v>
      </c>
      <c r="H98" s="25">
        <f>DER!G108</f>
        <v>3.7466630569327068</v>
      </c>
      <c r="I98" s="25">
        <f>NPM!G108</f>
        <v>1.5722249350743785E-2</v>
      </c>
      <c r="J98" s="25">
        <f>ROA!G108</f>
        <v>6.8509913813236427E-3</v>
      </c>
      <c r="K98" s="25">
        <f>ROE!G108</f>
        <v>3.2645748431913348E-2</v>
      </c>
      <c r="L98" s="25">
        <f>KM!E108</f>
        <v>0.98</v>
      </c>
      <c r="M98" s="24">
        <f>KI!E108</f>
        <v>2</v>
      </c>
      <c r="N98" s="108">
        <f>IO!E108</f>
        <v>0</v>
      </c>
      <c r="O98" s="24">
        <f>'BoC Size'!E108</f>
        <v>3</v>
      </c>
      <c r="P98" s="24">
        <f>'TMT E DK'!E108</f>
        <v>0</v>
      </c>
      <c r="Q98" s="24">
        <f>Data!R108</f>
        <v>3</v>
      </c>
      <c r="R98" s="24">
        <f>Data!S108</f>
        <v>0</v>
      </c>
      <c r="S98" s="24">
        <f>'TMT E DK'!E108</f>
        <v>0</v>
      </c>
      <c r="T98" s="24">
        <f>'TMT E DD'!E108</f>
        <v>0</v>
      </c>
      <c r="U98" s="24">
        <f>TA!E108</f>
        <v>7322006000000</v>
      </c>
      <c r="V98" s="109">
        <f>PR!F108</f>
        <v>6.0062502533392605E-2</v>
      </c>
      <c r="W98" s="109">
        <f>'Z Score'!I108</f>
        <v>0.29307640556426751</v>
      </c>
      <c r="X98" s="109">
        <f>'Z Score'!L108</f>
        <v>0.12357669469268394</v>
      </c>
      <c r="Y98" s="109">
        <f>'Z Score'!O108</f>
        <v>4.7079426047998321E-2</v>
      </c>
      <c r="Z98" s="109">
        <f>'Z Score'!R108</f>
        <v>0.28024938032714558</v>
      </c>
      <c r="AA98" s="109">
        <f>'Z Score'!S108</f>
        <v>0.7439819066320954</v>
      </c>
    </row>
    <row r="99" spans="1:27" ht="15" customHeight="1" x14ac:dyDescent="0.3">
      <c r="A99" s="22"/>
      <c r="B99" s="23"/>
      <c r="C99" s="3"/>
      <c r="D99" s="23">
        <v>2022</v>
      </c>
      <c r="E99" s="25">
        <f>'Current Ratio'!G109</f>
        <v>1.2159067145972535</v>
      </c>
      <c r="F99" s="25">
        <f>'Cash Ratio'!G109</f>
        <v>0.24799597701721718</v>
      </c>
      <c r="G99" s="25">
        <f>DAR!G109</f>
        <v>0.74772986371690642</v>
      </c>
      <c r="H99" s="25">
        <f>DER!G109</f>
        <v>3.0422156210387654</v>
      </c>
      <c r="I99" s="25">
        <f>NPM!G109</f>
        <v>-1.6832848287215065E-2</v>
      </c>
      <c r="J99" s="25">
        <f>ROA!G109</f>
        <v>-5.9335587346258075E-3</v>
      </c>
      <c r="K99" s="25">
        <f>ROE!G109</f>
        <v>-2.4141292125338849E-2</v>
      </c>
      <c r="L99" s="25">
        <f>KM!E109</f>
        <v>0.98</v>
      </c>
      <c r="M99" s="24">
        <f>KI!E109</f>
        <v>2</v>
      </c>
      <c r="N99" s="108">
        <f>IO!E109</f>
        <v>0</v>
      </c>
      <c r="O99" s="24">
        <f>'BoC Size'!E109</f>
        <v>3</v>
      </c>
      <c r="P99" s="24">
        <f>'TMT E DK'!E109</f>
        <v>0</v>
      </c>
      <c r="Q99" s="24">
        <f>Data!R109</f>
        <v>3</v>
      </c>
      <c r="R99" s="24">
        <f>Data!S109</f>
        <v>0</v>
      </c>
      <c r="S99" s="24">
        <f>'TMT E DK'!E109</f>
        <v>0</v>
      </c>
      <c r="T99" s="24">
        <f>'TMT E DD'!E109</f>
        <v>0</v>
      </c>
      <c r="U99" s="24">
        <f>TA!E109</f>
        <v>6140160000000</v>
      </c>
      <c r="V99" s="109">
        <f>PR!F109</f>
        <v>-0.32162708026831538</v>
      </c>
      <c r="W99" s="109">
        <f>'Z Score'!I109</f>
        <v>0.18531623931623931</v>
      </c>
      <c r="X99" s="109">
        <f>'Z Score'!L109</f>
        <v>0.15009413435480506</v>
      </c>
      <c r="Y99" s="109">
        <f>'Z Score'!O109</f>
        <v>-1.8505784865540963E-2</v>
      </c>
      <c r="Z99" s="109">
        <f>'Z Score'!R109</f>
        <v>0.34514318864797533</v>
      </c>
      <c r="AA99" s="109">
        <f>'Z Score'!S109</f>
        <v>0.66204777745347876</v>
      </c>
    </row>
    <row r="100" spans="1:27" ht="15" customHeight="1" x14ac:dyDescent="0.3">
      <c r="A100" s="22"/>
      <c r="B100" s="23"/>
      <c r="C100" s="3"/>
      <c r="D100" s="23">
        <v>2023</v>
      </c>
      <c r="E100" s="25">
        <f>'Current Ratio'!G110</f>
        <v>1.1399264787637795</v>
      </c>
      <c r="F100" s="25">
        <f>'Cash Ratio'!G110</f>
        <v>0.34996635721417102</v>
      </c>
      <c r="G100" s="25">
        <f>DAR!G110</f>
        <v>0.77546662061062743</v>
      </c>
      <c r="H100" s="25">
        <f>DER!G110</f>
        <v>3.5622336853490544</v>
      </c>
      <c r="I100" s="25">
        <f>NPM!G110</f>
        <v>-5.8420868440522258E-2</v>
      </c>
      <c r="J100" s="25">
        <f>ROA!G110</f>
        <v>-2.8399337556322832E-2</v>
      </c>
      <c r="K100" s="25">
        <f>ROE!G110</f>
        <v>-0.13045703605536374</v>
      </c>
      <c r="L100" s="25">
        <f>KM!E110</f>
        <v>0.98</v>
      </c>
      <c r="M100" s="24">
        <f>KI!E110</f>
        <v>2</v>
      </c>
      <c r="N100" s="108">
        <f>IO!E110</f>
        <v>0</v>
      </c>
      <c r="O100" s="24">
        <f>'BoC Size'!E110</f>
        <v>3</v>
      </c>
      <c r="P100" s="24">
        <f>'TMT E DK'!E110</f>
        <v>0</v>
      </c>
      <c r="Q100" s="24">
        <f>Data!R110</f>
        <v>3</v>
      </c>
      <c r="R100" s="24">
        <f>Data!S110</f>
        <v>0</v>
      </c>
      <c r="S100" s="24">
        <f>'TMT E DK'!E110</f>
        <v>0</v>
      </c>
      <c r="T100" s="24">
        <f>'TMT E DD'!E110</f>
        <v>0</v>
      </c>
      <c r="U100" s="24">
        <f>TA!E110</f>
        <v>6183771000000</v>
      </c>
      <c r="V100" s="109">
        <f>PR!F110</f>
        <v>0.38885297951070946</v>
      </c>
      <c r="W100" s="109">
        <f>'Z Score'!I110</f>
        <v>0.12949902575629013</v>
      </c>
      <c r="X100" s="109">
        <f>'Z Score'!L110</f>
        <v>5.4181582726785971E-2</v>
      </c>
      <c r="Y100" s="109">
        <f>'Z Score'!O110</f>
        <v>-0.21437202638972239</v>
      </c>
      <c r="Z100" s="109">
        <f>'Z Score'!R110</f>
        <v>0.29475887680207408</v>
      </c>
      <c r="AA100" s="109">
        <f>'Z Score'!S110</f>
        <v>0.26406745889542782</v>
      </c>
    </row>
    <row r="101" spans="1:27" ht="15" customHeight="1" x14ac:dyDescent="0.3">
      <c r="A101" s="22"/>
      <c r="B101" s="23"/>
      <c r="C101" s="3"/>
      <c r="D101" s="23">
        <v>2024</v>
      </c>
      <c r="E101" s="25">
        <f>'Current Ratio'!G111</f>
        <v>0.96405131640007957</v>
      </c>
      <c r="F101" s="25">
        <f>'Cash Ratio'!G111</f>
        <v>0.34303783578660535</v>
      </c>
      <c r="G101" s="25">
        <f>DAR!G111</f>
        <v>0.79480228117058827</v>
      </c>
      <c r="H101" s="25">
        <f>DER!G111</f>
        <v>4.0297570779432847</v>
      </c>
      <c r="I101" s="25">
        <f>NPM!G111</f>
        <v>-5.8437999543274721E-2</v>
      </c>
      <c r="J101" s="25">
        <f>ROA!G111</f>
        <v>-3.0556148851258059E-2</v>
      </c>
      <c r="K101" s="25">
        <f>ROE!G111</f>
        <v>-0.1549238848769956</v>
      </c>
      <c r="L101" s="25">
        <f>KM!E111</f>
        <v>0.98</v>
      </c>
      <c r="M101" s="24">
        <f>KI!E111</f>
        <v>2</v>
      </c>
      <c r="N101" s="108">
        <f>IO!E111</f>
        <v>0</v>
      </c>
      <c r="O101" s="24">
        <f>'BoC Size'!E111</f>
        <v>4</v>
      </c>
      <c r="P101" s="24">
        <f>'TMT E DK'!E111</f>
        <v>0</v>
      </c>
      <c r="Q101" s="24">
        <f>Data!R111</f>
        <v>4</v>
      </c>
      <c r="R101" s="24">
        <f>Data!S111</f>
        <v>0</v>
      </c>
      <c r="S101" s="24">
        <f>'TMT E DK'!E111</f>
        <v>0</v>
      </c>
      <c r="T101" s="24">
        <f>'TMT E DD'!E111</f>
        <v>0</v>
      </c>
      <c r="U101" s="24">
        <f>TA!E111</f>
        <v>5946070000000</v>
      </c>
      <c r="V101" s="109">
        <f>PR!F111</f>
        <v>3.4283733506496272E-2</v>
      </c>
      <c r="W101" s="109">
        <f>'Z Score'!I111</f>
        <v>-3.4698306612602946E-2</v>
      </c>
      <c r="X101" s="109">
        <f>'Z Score'!L111</f>
        <v>8.7935628070305253E-3</v>
      </c>
      <c r="Y101" s="109">
        <f>'Z Score'!O111</f>
        <v>-0.1506433123054387</v>
      </c>
      <c r="Z101" s="109">
        <f>'Z Score'!R111</f>
        <v>0.26056161195103633</v>
      </c>
      <c r="AA101" s="109">
        <f>'Z Score'!S111</f>
        <v>8.4013555840025206E-2</v>
      </c>
    </row>
    <row r="102" spans="1:27" ht="15" customHeight="1" x14ac:dyDescent="0.3">
      <c r="A102" s="22"/>
      <c r="B102" s="23">
        <v>11</v>
      </c>
      <c r="C102" s="3" t="s">
        <v>23</v>
      </c>
      <c r="D102" s="23">
        <v>2015</v>
      </c>
      <c r="E102" s="25">
        <f>'Current Ratio'!G113</f>
        <v>0</v>
      </c>
      <c r="F102" s="25">
        <f>'Cash Ratio'!G113</f>
        <v>0</v>
      </c>
      <c r="G102" s="25">
        <f>DAR!G113</f>
        <v>0</v>
      </c>
      <c r="H102" s="25">
        <f>DER!G113</f>
        <v>0</v>
      </c>
      <c r="I102" s="25">
        <f>NPM!G113</f>
        <v>0</v>
      </c>
      <c r="J102" s="25">
        <f>ROA!G113</f>
        <v>0</v>
      </c>
      <c r="K102" s="25">
        <f>ROE!G113</f>
        <v>0</v>
      </c>
      <c r="L102" s="25">
        <f>KM!E113</f>
        <v>0</v>
      </c>
      <c r="M102" s="24">
        <f>KI!E113</f>
        <v>0</v>
      </c>
      <c r="N102" s="108">
        <f>IO!E113</f>
        <v>0</v>
      </c>
      <c r="O102" s="24">
        <f>'BoC Size'!E113</f>
        <v>0</v>
      </c>
      <c r="P102" s="24">
        <f>'TMT E DK'!E113</f>
        <v>0</v>
      </c>
      <c r="Q102" s="24">
        <f>Data!R113</f>
        <v>0</v>
      </c>
      <c r="R102" s="24">
        <f>Data!S113</f>
        <v>0</v>
      </c>
      <c r="S102" s="24">
        <f>'TMT E DK'!E113</f>
        <v>0</v>
      </c>
      <c r="T102" s="24">
        <f>'TMT E DD'!E113</f>
        <v>0</v>
      </c>
      <c r="U102" s="24">
        <f>TA!E113</f>
        <v>0</v>
      </c>
      <c r="V102" s="109">
        <f>PR!F113</f>
        <v>0</v>
      </c>
      <c r="W102" s="109">
        <f>'Z Score'!I113</f>
        <v>0</v>
      </c>
      <c r="X102" s="109">
        <f>'Z Score'!L113</f>
        <v>0</v>
      </c>
      <c r="Y102" s="109">
        <f>'Z Score'!O113</f>
        <v>0</v>
      </c>
      <c r="Z102" s="109">
        <f>'Z Score'!R113</f>
        <v>0</v>
      </c>
      <c r="AA102" s="109">
        <f>'Z Score'!S113</f>
        <v>0</v>
      </c>
    </row>
    <row r="103" spans="1:27" ht="15" customHeight="1" x14ac:dyDescent="0.3">
      <c r="A103" s="22"/>
      <c r="B103" s="23"/>
      <c r="C103" s="3"/>
      <c r="D103" s="23">
        <v>2016</v>
      </c>
      <c r="E103" s="25">
        <f>'Current Ratio'!G114</f>
        <v>0</v>
      </c>
      <c r="F103" s="25">
        <f>'Cash Ratio'!G114</f>
        <v>0</v>
      </c>
      <c r="G103" s="25">
        <f>DAR!G114</f>
        <v>0</v>
      </c>
      <c r="H103" s="25">
        <f>DER!G114</f>
        <v>0</v>
      </c>
      <c r="I103" s="25">
        <f>NPM!G114</f>
        <v>0</v>
      </c>
      <c r="J103" s="25">
        <f>ROA!G114</f>
        <v>0</v>
      </c>
      <c r="K103" s="25">
        <f>ROE!G114</f>
        <v>0</v>
      </c>
      <c r="L103" s="25">
        <f>KM!E114</f>
        <v>0</v>
      </c>
      <c r="M103" s="24">
        <f>KI!E114</f>
        <v>0</v>
      </c>
      <c r="N103" s="108">
        <f>IO!E114</f>
        <v>0</v>
      </c>
      <c r="O103" s="24">
        <f>'BoC Size'!E114</f>
        <v>0</v>
      </c>
      <c r="P103" s="24">
        <f>'TMT E DK'!E114</f>
        <v>0</v>
      </c>
      <c r="Q103" s="24">
        <f>Data!R114</f>
        <v>0</v>
      </c>
      <c r="R103" s="24">
        <f>Data!S114</f>
        <v>0</v>
      </c>
      <c r="S103" s="24">
        <f>'TMT E DK'!E114</f>
        <v>0</v>
      </c>
      <c r="T103" s="24">
        <f>'TMT E DD'!E114</f>
        <v>0</v>
      </c>
      <c r="U103" s="24">
        <f>TA!E114</f>
        <v>0</v>
      </c>
      <c r="V103" s="109">
        <f>PR!F114</f>
        <v>0</v>
      </c>
      <c r="W103" s="109">
        <f>'Z Score'!I114</f>
        <v>0</v>
      </c>
      <c r="X103" s="109">
        <f>'Z Score'!L114</f>
        <v>0</v>
      </c>
      <c r="Y103" s="109">
        <f>'Z Score'!O114</f>
        <v>0</v>
      </c>
      <c r="Z103" s="109">
        <f>'Z Score'!R114</f>
        <v>0</v>
      </c>
      <c r="AA103" s="109">
        <f>'Z Score'!S114</f>
        <v>0</v>
      </c>
    </row>
    <row r="104" spans="1:27" ht="15" customHeight="1" x14ac:dyDescent="0.3">
      <c r="A104" s="22"/>
      <c r="B104" s="23"/>
      <c r="C104" s="3"/>
      <c r="D104" s="23">
        <v>2017</v>
      </c>
      <c r="E104" s="25">
        <f>'Current Ratio'!G115</f>
        <v>0</v>
      </c>
      <c r="F104" s="25">
        <f>'Cash Ratio'!G115</f>
        <v>0</v>
      </c>
      <c r="G104" s="25">
        <f>DAR!G115</f>
        <v>0</v>
      </c>
      <c r="H104" s="25">
        <f>DER!G115</f>
        <v>0</v>
      </c>
      <c r="I104" s="25">
        <f>NPM!G115</f>
        <v>0</v>
      </c>
      <c r="J104" s="25">
        <f>ROA!G115</f>
        <v>0</v>
      </c>
      <c r="K104" s="25">
        <f>ROE!G115</f>
        <v>0</v>
      </c>
      <c r="L104" s="25">
        <f>KM!E115</f>
        <v>0</v>
      </c>
      <c r="M104" s="24">
        <f>KI!E115</f>
        <v>0</v>
      </c>
      <c r="N104" s="108">
        <f>IO!E115</f>
        <v>0</v>
      </c>
      <c r="O104" s="24">
        <f>'BoC Size'!E115</f>
        <v>0</v>
      </c>
      <c r="P104" s="24">
        <f>'TMT E DK'!E115</f>
        <v>0</v>
      </c>
      <c r="Q104" s="24">
        <f>Data!R115</f>
        <v>0</v>
      </c>
      <c r="R104" s="24">
        <f>Data!S115</f>
        <v>0</v>
      </c>
      <c r="S104" s="24">
        <f>'TMT E DK'!E115</f>
        <v>0</v>
      </c>
      <c r="T104" s="24">
        <f>'TMT E DD'!E115</f>
        <v>0</v>
      </c>
      <c r="U104" s="24">
        <f>TA!E115</f>
        <v>0</v>
      </c>
      <c r="V104" s="109">
        <f>PR!F115</f>
        <v>0</v>
      </c>
      <c r="W104" s="109">
        <f>'Z Score'!I115</f>
        <v>0</v>
      </c>
      <c r="X104" s="109">
        <f>'Z Score'!L115</f>
        <v>0</v>
      </c>
      <c r="Y104" s="109">
        <f>'Z Score'!O115</f>
        <v>0</v>
      </c>
      <c r="Z104" s="109">
        <f>'Z Score'!R115</f>
        <v>0</v>
      </c>
      <c r="AA104" s="109">
        <f>'Z Score'!S115</f>
        <v>0</v>
      </c>
    </row>
    <row r="105" spans="1:27" ht="15" customHeight="1" x14ac:dyDescent="0.3">
      <c r="A105" s="22"/>
      <c r="B105" s="23"/>
      <c r="C105" s="3"/>
      <c r="D105" s="23">
        <v>2018</v>
      </c>
      <c r="E105" s="25">
        <f>'Current Ratio'!G116</f>
        <v>0</v>
      </c>
      <c r="F105" s="25">
        <f>'Cash Ratio'!G116</f>
        <v>0</v>
      </c>
      <c r="G105" s="25">
        <f>DAR!G116</f>
        <v>0</v>
      </c>
      <c r="H105" s="25">
        <f>DER!G116</f>
        <v>0</v>
      </c>
      <c r="I105" s="25">
        <f>NPM!G116</f>
        <v>0</v>
      </c>
      <c r="J105" s="25">
        <f>ROA!G116</f>
        <v>0</v>
      </c>
      <c r="K105" s="25">
        <f>ROE!G116</f>
        <v>0</v>
      </c>
      <c r="L105" s="25">
        <f>KM!E116</f>
        <v>0</v>
      </c>
      <c r="M105" s="24">
        <f>KI!E116</f>
        <v>0</v>
      </c>
      <c r="N105" s="108">
        <f>IO!E116</f>
        <v>0</v>
      </c>
      <c r="O105" s="24">
        <f>'BoC Size'!E116</f>
        <v>0</v>
      </c>
      <c r="P105" s="24">
        <f>'TMT E DK'!E116</f>
        <v>0</v>
      </c>
      <c r="Q105" s="24">
        <f>Data!R116</f>
        <v>0</v>
      </c>
      <c r="R105" s="24">
        <f>Data!S116</f>
        <v>0</v>
      </c>
      <c r="S105" s="24">
        <f>'TMT E DK'!E116</f>
        <v>0</v>
      </c>
      <c r="T105" s="24">
        <f>'TMT E DD'!E116</f>
        <v>0</v>
      </c>
      <c r="U105" s="24">
        <f>TA!E116</f>
        <v>0</v>
      </c>
      <c r="V105" s="109">
        <f>PR!F116</f>
        <v>0</v>
      </c>
      <c r="W105" s="109">
        <f>'Z Score'!I116</f>
        <v>0</v>
      </c>
      <c r="X105" s="109">
        <f>'Z Score'!L116</f>
        <v>0</v>
      </c>
      <c r="Y105" s="109">
        <f>'Z Score'!O116</f>
        <v>0</v>
      </c>
      <c r="Z105" s="109">
        <f>'Z Score'!R116</f>
        <v>0</v>
      </c>
      <c r="AA105" s="109">
        <f>'Z Score'!S116</f>
        <v>0</v>
      </c>
    </row>
    <row r="106" spans="1:27" ht="15" customHeight="1" x14ac:dyDescent="0.3">
      <c r="A106" s="22"/>
      <c r="B106" s="23"/>
      <c r="C106" s="3"/>
      <c r="D106" s="23">
        <v>2019</v>
      </c>
      <c r="E106" s="25">
        <f>'Current Ratio'!G117</f>
        <v>0</v>
      </c>
      <c r="F106" s="25">
        <f>'Cash Ratio'!G117</f>
        <v>0</v>
      </c>
      <c r="G106" s="25">
        <f>DAR!G117</f>
        <v>0</v>
      </c>
      <c r="H106" s="25">
        <f>DER!G117</f>
        <v>0</v>
      </c>
      <c r="I106" s="25">
        <f>NPM!G117</f>
        <v>0</v>
      </c>
      <c r="J106" s="25">
        <f>ROA!G117</f>
        <v>0</v>
      </c>
      <c r="K106" s="25">
        <f>ROE!G117</f>
        <v>0</v>
      </c>
      <c r="L106" s="25">
        <f>KM!E117</f>
        <v>0</v>
      </c>
      <c r="M106" s="24">
        <f>KI!E117</f>
        <v>0</v>
      </c>
      <c r="N106" s="108">
        <f>IO!E117</f>
        <v>0</v>
      </c>
      <c r="O106" s="24">
        <f>'BoC Size'!E117</f>
        <v>0</v>
      </c>
      <c r="P106" s="24">
        <f>'TMT E DK'!E117</f>
        <v>0</v>
      </c>
      <c r="Q106" s="24">
        <f>Data!R117</f>
        <v>0</v>
      </c>
      <c r="R106" s="24">
        <f>Data!S117</f>
        <v>0</v>
      </c>
      <c r="S106" s="24">
        <f>'TMT E DK'!E117</f>
        <v>0</v>
      </c>
      <c r="T106" s="24">
        <f>'TMT E DD'!E117</f>
        <v>0</v>
      </c>
      <c r="U106" s="24">
        <f>TA!E117</f>
        <v>0</v>
      </c>
      <c r="V106" s="109">
        <f>PR!F117</f>
        <v>0</v>
      </c>
      <c r="W106" s="109">
        <f>'Z Score'!I117</f>
        <v>0</v>
      </c>
      <c r="X106" s="109">
        <f>'Z Score'!L117</f>
        <v>0</v>
      </c>
      <c r="Y106" s="109">
        <f>'Z Score'!O117</f>
        <v>0</v>
      </c>
      <c r="Z106" s="109">
        <f>'Z Score'!R117</f>
        <v>0</v>
      </c>
      <c r="AA106" s="109">
        <f>'Z Score'!S117</f>
        <v>0</v>
      </c>
    </row>
    <row r="107" spans="1:27" ht="15" customHeight="1" x14ac:dyDescent="0.3">
      <c r="A107" s="22"/>
      <c r="B107" s="23"/>
      <c r="C107" s="3"/>
      <c r="D107" s="23">
        <v>2020</v>
      </c>
      <c r="E107" s="25">
        <f>'Current Ratio'!G118</f>
        <v>31.774048625792812</v>
      </c>
      <c r="F107" s="25">
        <f>'Cash Ratio'!G118</f>
        <v>31.764799154334039</v>
      </c>
      <c r="G107" s="25">
        <f>DAR!G118</f>
        <v>2.4649699370077716E-2</v>
      </c>
      <c r="H107" s="25">
        <f>DER!G118</f>
        <v>2.5272662913168632E-2</v>
      </c>
      <c r="I107" s="25">
        <f>NPM!G118</f>
        <v>-0.82026320533621777</v>
      </c>
      <c r="J107" s="25">
        <f>ROA!G118</f>
        <v>-1.7783741881689261E-3</v>
      </c>
      <c r="K107" s="25">
        <f>ROE!G118</f>
        <v>-1.8233184395599993E-3</v>
      </c>
      <c r="L107" s="25">
        <f>KM!E118</f>
        <v>0.99990000000000001</v>
      </c>
      <c r="M107" s="24">
        <f>KI!E118</f>
        <v>0</v>
      </c>
      <c r="N107" s="108">
        <f>IO!E118</f>
        <v>0</v>
      </c>
      <c r="O107" s="24">
        <f>'BoC Size'!E118</f>
        <v>1</v>
      </c>
      <c r="P107" s="24">
        <f>'TMT E DK'!E118</f>
        <v>6</v>
      </c>
      <c r="Q107" s="24">
        <f>Data!R118</f>
        <v>1</v>
      </c>
      <c r="R107" s="24">
        <f>Data!S118</f>
        <v>1</v>
      </c>
      <c r="S107" s="24">
        <f>'TMT E DK'!E118</f>
        <v>6</v>
      </c>
      <c r="T107" s="24">
        <f>'TMT E DD'!E118</f>
        <v>3</v>
      </c>
      <c r="U107" s="24">
        <f>TA!E118</f>
        <v>153511000000</v>
      </c>
      <c r="V107" s="109">
        <f>PR!F118</f>
        <v>0</v>
      </c>
      <c r="W107" s="109">
        <f>'Z Score'!I118</f>
        <v>4.976226068490206</v>
      </c>
      <c r="X107" s="109">
        <f>'Z Score'!L118</f>
        <v>-5.7974998534306987E-3</v>
      </c>
      <c r="Y107" s="109">
        <f>'Z Score'!O118</f>
        <v>-1.1950674544495183E-2</v>
      </c>
      <c r="Z107" s="109">
        <f>'Z Score'!R118</f>
        <v>41.546868393234675</v>
      </c>
      <c r="AA107" s="109">
        <f>'Z Score'!S118</f>
        <v>46.505346287326958</v>
      </c>
    </row>
    <row r="108" spans="1:27" ht="15" customHeight="1" x14ac:dyDescent="0.3">
      <c r="A108" s="22"/>
      <c r="B108" s="23"/>
      <c r="C108" s="3"/>
      <c r="D108" s="23">
        <v>2021</v>
      </c>
      <c r="E108" s="25">
        <f>'Current Ratio'!G119</f>
        <v>71.06530286515104</v>
      </c>
      <c r="F108" s="25">
        <f>'Cash Ratio'!G119</f>
        <v>70.760977888508251</v>
      </c>
      <c r="G108" s="25">
        <f>DAR!G119</f>
        <v>0.9531673609372201</v>
      </c>
      <c r="H108" s="25">
        <f>DER!G119</f>
        <v>20.352629704669948</v>
      </c>
      <c r="I108" s="25">
        <f>NPM!G119</f>
        <v>-1.3369599089517255</v>
      </c>
      <c r="J108" s="25">
        <f>ROA!G119</f>
        <v>-4.6886188252723664E-3</v>
      </c>
      <c r="K108" s="25">
        <f>ROE!G119</f>
        <v>-0.10011434160238544</v>
      </c>
      <c r="L108" s="25">
        <f>KM!E119</f>
        <v>0.99990000000000001</v>
      </c>
      <c r="M108" s="24">
        <f>KI!E119</f>
        <v>2</v>
      </c>
      <c r="N108" s="108">
        <f>IO!E119</f>
        <v>0</v>
      </c>
      <c r="O108" s="24">
        <f>'BoC Size'!E119</f>
        <v>3</v>
      </c>
      <c r="P108" s="24">
        <f>'TMT E DK'!E119</f>
        <v>10</v>
      </c>
      <c r="Q108" s="24">
        <f>Data!R119</f>
        <v>3</v>
      </c>
      <c r="R108" s="24">
        <f>Data!S119</f>
        <v>4</v>
      </c>
      <c r="S108" s="24">
        <f>'TMT E DK'!E119</f>
        <v>10</v>
      </c>
      <c r="T108" s="24">
        <f>'TMT E DD'!E119</f>
        <v>12</v>
      </c>
      <c r="U108" s="24">
        <f>TA!E119</f>
        <v>21046070000000</v>
      </c>
      <c r="V108" s="109">
        <f>PR!F119</f>
        <v>220.76251427197886</v>
      </c>
      <c r="W108" s="109">
        <f>'Z Score'!I119</f>
        <v>2.2440168639560736</v>
      </c>
      <c r="X108" s="109">
        <f>'Z Score'!L119</f>
        <v>-1.462890316339345E-2</v>
      </c>
      <c r="Y108" s="109">
        <f>'Z Score'!O119</f>
        <v>-3.0574206015659931E-2</v>
      </c>
      <c r="Z108" s="109">
        <f>'Z Score'!R119</f>
        <v>5.1590384890610755E-2</v>
      </c>
      <c r="AA108" s="109">
        <f>'Z Score'!S119</f>
        <v>2.2504041396676313</v>
      </c>
    </row>
    <row r="109" spans="1:27" ht="15" customHeight="1" x14ac:dyDescent="0.3">
      <c r="A109" s="22"/>
      <c r="B109" s="23"/>
      <c r="C109" s="3"/>
      <c r="D109" s="23">
        <v>2022</v>
      </c>
      <c r="E109" s="25">
        <f>'Current Ratio'!G120</f>
        <v>1.9220579272211964</v>
      </c>
      <c r="F109" s="25">
        <f>'Cash Ratio'!G120</f>
        <v>1.2372411748781398</v>
      </c>
      <c r="G109" s="25">
        <f>DAR!G120</f>
        <v>0.92344074892948291</v>
      </c>
      <c r="H109" s="25">
        <f>DER!G120</f>
        <v>12.061778766342972</v>
      </c>
      <c r="I109" s="25">
        <f>NPM!G120</f>
        <v>-0.17849974029455623</v>
      </c>
      <c r="J109" s="25">
        <f>ROA!G120</f>
        <v>-1.4159237460721901E-2</v>
      </c>
      <c r="K109" s="25">
        <f>ROE!G120</f>
        <v>-0.18494482721206532</v>
      </c>
      <c r="L109" s="25">
        <f>KM!E120</f>
        <v>0.99990000000000001</v>
      </c>
      <c r="M109" s="24">
        <f>KI!E120</f>
        <v>2</v>
      </c>
      <c r="N109" s="108">
        <f>IO!E120</f>
        <v>0</v>
      </c>
      <c r="O109" s="24">
        <f>'BoC Size'!E120</f>
        <v>4</v>
      </c>
      <c r="P109" s="24">
        <f>'TMT E DK'!E120</f>
        <v>17</v>
      </c>
      <c r="Q109" s="24">
        <f>Data!R120</f>
        <v>4</v>
      </c>
      <c r="R109" s="24">
        <f>Data!S120</f>
        <v>7</v>
      </c>
      <c r="S109" s="24">
        <f>'TMT E DK'!E120</f>
        <v>17</v>
      </c>
      <c r="T109" s="24">
        <f>'TMT E DD'!E120</f>
        <v>16</v>
      </c>
      <c r="U109" s="24">
        <f>TA!E120</f>
        <v>30095971000000</v>
      </c>
      <c r="V109" s="109">
        <f>PR!F120</f>
        <v>31.345441489289634</v>
      </c>
      <c r="W109" s="109">
        <f>'Z Score'!I120</f>
        <v>0.13289004298947524</v>
      </c>
      <c r="X109" s="109">
        <f>'Z Score'!L120</f>
        <v>3.4562792474780095E-3</v>
      </c>
      <c r="Y109" s="109">
        <f>'Z Score'!O120</f>
        <v>2.8634381658594766E-2</v>
      </c>
      <c r="Z109" s="109">
        <f>'Z Score'!R120</f>
        <v>8.7051837074802449E-2</v>
      </c>
      <c r="AA109" s="109">
        <f>'Z Score'!S120</f>
        <v>0.25203254097035049</v>
      </c>
    </row>
    <row r="110" spans="1:27" ht="15" customHeight="1" x14ac:dyDescent="0.3">
      <c r="A110" s="22"/>
      <c r="B110" s="23"/>
      <c r="C110" s="3"/>
      <c r="D110" s="23">
        <v>2023</v>
      </c>
      <c r="E110" s="25">
        <f>'Current Ratio'!G121</f>
        <v>2.132890671831051</v>
      </c>
      <c r="F110" s="25">
        <f>'Cash Ratio'!G121</f>
        <v>1.79203975200327</v>
      </c>
      <c r="G110" s="25">
        <f>DAR!G121</f>
        <v>0.90834360240321321</v>
      </c>
      <c r="H110" s="25">
        <f>DER!G121</f>
        <v>9.9103131501980073</v>
      </c>
      <c r="I110" s="25">
        <f>NPM!G121</f>
        <v>-9.2535819377655357E-2</v>
      </c>
      <c r="J110" s="25">
        <f>ROA!G121</f>
        <v>-7.5377098560766714E-3</v>
      </c>
      <c r="K110" s="25">
        <f>ROE!G121</f>
        <v>-8.2238774965130421E-2</v>
      </c>
      <c r="L110" s="25">
        <f>KM!E121</f>
        <v>0.99990000000000001</v>
      </c>
      <c r="M110" s="24">
        <f>KI!E121</f>
        <v>3</v>
      </c>
      <c r="N110" s="108">
        <f>IO!E121</f>
        <v>0</v>
      </c>
      <c r="O110" s="24">
        <f>'BoC Size'!E121</f>
        <v>5</v>
      </c>
      <c r="P110" s="24">
        <f>'TMT E DK'!E121</f>
        <v>18</v>
      </c>
      <c r="Q110" s="24">
        <f>Data!R121</f>
        <v>5</v>
      </c>
      <c r="R110" s="24">
        <f>Data!S121</f>
        <v>7</v>
      </c>
      <c r="S110" s="24">
        <f>'TMT E DK'!E121</f>
        <v>18</v>
      </c>
      <c r="T110" s="24">
        <f>'TMT E DD'!E121</f>
        <v>17</v>
      </c>
      <c r="U110" s="24">
        <f>TA!E121</f>
        <v>33088034000000</v>
      </c>
      <c r="V110" s="109">
        <f>PR!F121</f>
        <v>0.1289894107199705</v>
      </c>
      <c r="W110" s="109">
        <f>'Z Score'!I121</f>
        <v>0.28739047354702307</v>
      </c>
      <c r="X110" s="109">
        <f>'Z Score'!L121</f>
        <v>-6.183530275627739E-2</v>
      </c>
      <c r="Y110" s="109">
        <f>'Z Score'!O121</f>
        <v>-0.134456525280408</v>
      </c>
      <c r="Z110" s="109">
        <f>'Z Score'!R121</f>
        <v>0.1059502342747889</v>
      </c>
      <c r="AA110" s="109">
        <f>'Z Score'!S121</f>
        <v>0.19704887978512658</v>
      </c>
    </row>
    <row r="111" spans="1:27" ht="15" customHeight="1" x14ac:dyDescent="0.3">
      <c r="A111" s="22"/>
      <c r="B111" s="23"/>
      <c r="C111" s="3"/>
      <c r="D111" s="23">
        <v>2024</v>
      </c>
      <c r="E111" s="25">
        <f>'Current Ratio'!G122</f>
        <v>5.4879417539918673</v>
      </c>
      <c r="F111" s="25">
        <f>'Cash Ratio'!G122</f>
        <v>4.4366419328243181</v>
      </c>
      <c r="G111" s="25">
        <f>DAR!G122</f>
        <v>0.87917158235626292</v>
      </c>
      <c r="H111" s="25">
        <f>DER!G122</f>
        <v>7.2761987577169336</v>
      </c>
      <c r="I111" s="25">
        <f>NPM!G122</f>
        <v>-9.4674504302607723E-2</v>
      </c>
      <c r="J111" s="25">
        <f>ROA!G122</f>
        <v>-1.975156347383774E-2</v>
      </c>
      <c r="K111" s="25">
        <f>ROE!G122</f>
        <v>-0.16346786508514308</v>
      </c>
      <c r="L111" s="25">
        <f>KM!E122</f>
        <v>0.99990000000000001</v>
      </c>
      <c r="M111" s="24">
        <f>KI!E122</f>
        <v>0</v>
      </c>
      <c r="N111" s="108">
        <f>IO!E122</f>
        <v>0</v>
      </c>
      <c r="O111" s="24">
        <f>'BoC Size'!E122</f>
        <v>0</v>
      </c>
      <c r="P111" s="24">
        <f>'TMT E DK'!E122</f>
        <v>0</v>
      </c>
      <c r="Q111" s="24">
        <f>Data!R122</f>
        <v>0</v>
      </c>
      <c r="R111" s="24">
        <f>Data!S122</f>
        <v>0</v>
      </c>
      <c r="S111" s="24">
        <f>'TMT E DK'!E122</f>
        <v>0</v>
      </c>
      <c r="T111" s="24">
        <f>'TMT E DD'!E122</f>
        <v>0</v>
      </c>
      <c r="U111" s="24">
        <f>TA!E122</f>
        <v>34967966000000</v>
      </c>
      <c r="V111" s="109">
        <f>PR!F122</f>
        <v>1.7066886707362818</v>
      </c>
      <c r="W111" s="109">
        <f>'Z Score'!I122</f>
        <v>0.63416452875754903</v>
      </c>
      <c r="X111" s="109">
        <f>'Z Score'!L122</f>
        <v>-4.515320679504207E-3</v>
      </c>
      <c r="Y111" s="109">
        <f>'Z Score'!O122</f>
        <v>-1.8228075376188594E-2</v>
      </c>
      <c r="Z111" s="109">
        <f>'Z Score'!R122</f>
        <v>0.1443061184779208</v>
      </c>
      <c r="AA111" s="109">
        <f>'Z Score'!S122</f>
        <v>0.75572725117977702</v>
      </c>
    </row>
    <row r="112" spans="1:27" ht="15" customHeight="1" x14ac:dyDescent="0.3">
      <c r="A112" s="22"/>
      <c r="B112" s="23">
        <v>12</v>
      </c>
      <c r="C112" s="3" t="s">
        <v>24</v>
      </c>
      <c r="D112" s="23">
        <v>2015</v>
      </c>
      <c r="E112" s="25">
        <f>'Current Ratio'!G124</f>
        <v>12.933642111911764</v>
      </c>
      <c r="F112" s="25">
        <f>'Cash Ratio'!G124</f>
        <v>7.2123007165361663</v>
      </c>
      <c r="G112" s="25">
        <f>DAR!G124</f>
        <v>0.29253713825518884</v>
      </c>
      <c r="H112" s="25">
        <f>DER!G124</f>
        <v>0.41350175970185399</v>
      </c>
      <c r="I112" s="25">
        <f>NPM!G124</f>
        <v>0.10797834080482503</v>
      </c>
      <c r="J112" s="25">
        <f>ROA!G124</f>
        <v>8.3933479973121561E-2</v>
      </c>
      <c r="K112" s="25">
        <f>ROE!G124</f>
        <v>0.11864012163990766</v>
      </c>
      <c r="L112" s="25">
        <f>KM!E124</f>
        <v>0.8</v>
      </c>
      <c r="M112" s="24">
        <f>KI!E124</f>
        <v>3</v>
      </c>
      <c r="N112" s="108">
        <f>IO!E124</f>
        <v>0</v>
      </c>
      <c r="O112" s="24">
        <f>'BoC Size'!E124</f>
        <v>5</v>
      </c>
      <c r="P112" s="24">
        <f>'TMT E DK'!E124</f>
        <v>17</v>
      </c>
      <c r="Q112" s="24">
        <f>Data!R124</f>
        <v>5</v>
      </c>
      <c r="R112" s="24">
        <f>Data!S124</f>
        <v>4</v>
      </c>
      <c r="S112" s="24">
        <f>'TMT E DK'!E124</f>
        <v>17</v>
      </c>
      <c r="T112" s="24">
        <f>'TMT E DD'!E124</f>
        <v>10</v>
      </c>
      <c r="U112" s="24">
        <f>TA!E124</f>
        <v>1841695394740</v>
      </c>
      <c r="V112" s="109">
        <f>PR!F124</f>
        <v>2.2275956512172356E-2</v>
      </c>
      <c r="W112" s="109">
        <f>'Z Score'!I124</f>
        <v>5.9328502292234813</v>
      </c>
      <c r="X112" s="109">
        <f>'Z Score'!L124</f>
        <v>0.53622079451684646</v>
      </c>
      <c r="Y112" s="109">
        <f>'Z Score'!O124</f>
        <v>0.77280141185994999</v>
      </c>
      <c r="Z112" s="109">
        <f>'Z Score'!R124</f>
        <v>2.5392878636286302</v>
      </c>
      <c r="AA112" s="109">
        <f>'Z Score'!S124</f>
        <v>9.7811602992289082</v>
      </c>
    </row>
    <row r="113" spans="1:27" ht="15" customHeight="1" x14ac:dyDescent="0.3">
      <c r="A113" s="22"/>
      <c r="B113" s="23"/>
      <c r="C113" s="3"/>
      <c r="D113" s="23">
        <v>2016</v>
      </c>
      <c r="E113" s="25">
        <f>'Current Ratio'!G125</f>
        <v>10.693093550506273</v>
      </c>
      <c r="F113" s="25">
        <f>'Cash Ratio'!G125</f>
        <v>5.1709091495294075</v>
      </c>
      <c r="G113" s="25">
        <f>DAR!G125</f>
        <v>0.34883543529659244</v>
      </c>
      <c r="H113" s="25">
        <f>DER!G125</f>
        <v>0.53571010187797918</v>
      </c>
      <c r="I113" s="25">
        <f>NPM!G125</f>
        <v>0.10388254302481743</v>
      </c>
      <c r="J113" s="25">
        <f>ROA!G125</f>
        <v>7.714735682089166E-2</v>
      </c>
      <c r="K113" s="25">
        <f>ROE!G125</f>
        <v>0.11847597520302834</v>
      </c>
      <c r="L113" s="25">
        <f>KM!E125</f>
        <v>0.8</v>
      </c>
      <c r="M113" s="24">
        <f>KI!E125</f>
        <v>2</v>
      </c>
      <c r="N113" s="108">
        <f>IO!E125</f>
        <v>0</v>
      </c>
      <c r="O113" s="24">
        <f>'BoC Size'!E125</f>
        <v>4</v>
      </c>
      <c r="P113" s="24">
        <f>'TMT E DK'!E125</f>
        <v>10</v>
      </c>
      <c r="Q113" s="24">
        <f>Data!R125</f>
        <v>4</v>
      </c>
      <c r="R113" s="24">
        <f>Data!S125</f>
        <v>4</v>
      </c>
      <c r="S113" s="24">
        <f>'TMT E DK'!E125</f>
        <v>10</v>
      </c>
      <c r="T113" s="24">
        <f>'TMT E DD'!E125</f>
        <v>8</v>
      </c>
      <c r="U113" s="24">
        <f>TA!E125</f>
        <v>2128604012037</v>
      </c>
      <c r="V113" s="109">
        <f>PR!F125</f>
        <v>0.10422346774501137</v>
      </c>
      <c r="W113" s="109">
        <f>'Z Score'!I125</f>
        <v>5.8455009376961549</v>
      </c>
      <c r="X113" s="109">
        <f>'Z Score'!L125</f>
        <v>0.59127630077508408</v>
      </c>
      <c r="Y113" s="109">
        <f>'Z Score'!O125</f>
        <v>0.61479909864079141</v>
      </c>
      <c r="Z113" s="109">
        <f>'Z Score'!R125</f>
        <v>1.9600153073819815</v>
      </c>
      <c r="AA113" s="109">
        <f>'Z Score'!S125</f>
        <v>9.0115916444940112</v>
      </c>
    </row>
    <row r="114" spans="1:27" ht="15" customHeight="1" x14ac:dyDescent="0.3">
      <c r="A114" s="22"/>
      <c r="B114" s="23"/>
      <c r="C114" s="3"/>
      <c r="D114" s="23">
        <v>2017</v>
      </c>
      <c r="E114" s="25">
        <f>'Current Ratio'!G126</f>
        <v>13.802973117562932</v>
      </c>
      <c r="F114" s="25">
        <f>'Cash Ratio'!G126</f>
        <v>4.1591062503497032</v>
      </c>
      <c r="G114" s="25">
        <f>DAR!G126</f>
        <v>0.35083117583111528</v>
      </c>
      <c r="H114" s="25">
        <f>DER!G126</f>
        <v>0.54043133738018923</v>
      </c>
      <c r="I114" s="25">
        <f>NPM!G126</f>
        <v>0.10515853049900356</v>
      </c>
      <c r="J114" s="25">
        <f>ROA!G126</f>
        <v>8.6870778960512568E-2</v>
      </c>
      <c r="K114" s="25">
        <f>ROE!G126</f>
        <v>0.13381847021340118</v>
      </c>
      <c r="L114" s="25">
        <f>KM!E126</f>
        <v>0.8</v>
      </c>
      <c r="M114" s="24">
        <f>KI!E126</f>
        <v>2</v>
      </c>
      <c r="N114" s="108">
        <f>IO!E126</f>
        <v>0</v>
      </c>
      <c r="O114" s="24">
        <f>'BoC Size'!E126</f>
        <v>3</v>
      </c>
      <c r="P114" s="24">
        <f>'TMT E DK'!E126</f>
        <v>9</v>
      </c>
      <c r="Q114" s="24">
        <f>Data!R126</f>
        <v>3</v>
      </c>
      <c r="R114" s="24">
        <f>Data!S126</f>
        <v>4</v>
      </c>
      <c r="S114" s="24">
        <f>'TMT E DK'!E126</f>
        <v>9</v>
      </c>
      <c r="T114" s="24">
        <f>'TMT E DD'!E126</f>
        <v>8</v>
      </c>
      <c r="U114" s="24">
        <f>TA!E126</f>
        <v>2224965279992</v>
      </c>
      <c r="V114" s="109">
        <f>PR!F126</f>
        <v>0.16273056916831716</v>
      </c>
      <c r="W114" s="109">
        <f>'Z Score'!I126</f>
        <v>5.869301327928854</v>
      </c>
      <c r="X114" s="109">
        <f>'Z Score'!L126</f>
        <v>0.65109896388843813</v>
      </c>
      <c r="Y114" s="109">
        <f>'Z Score'!O126</f>
        <v>0.65051877579382456</v>
      </c>
      <c r="Z114" s="109">
        <f>'Z Score'!R126</f>
        <v>1.9428925145051927</v>
      </c>
      <c r="AA114" s="109">
        <f>'Z Score'!S126</f>
        <v>9.113811582116309</v>
      </c>
    </row>
    <row r="115" spans="1:27" ht="15" customHeight="1" x14ac:dyDescent="0.3">
      <c r="A115" s="22"/>
      <c r="B115" s="23"/>
      <c r="C115" s="3"/>
      <c r="D115" s="23">
        <v>2018</v>
      </c>
      <c r="E115" s="25">
        <f>'Current Ratio'!G127</f>
        <v>16.110698769773816</v>
      </c>
      <c r="F115" s="25">
        <f>'Cash Ratio'!G127</f>
        <v>7.1856117435176792</v>
      </c>
      <c r="G115" s="25">
        <f>DAR!G127</f>
        <v>0.3729765677689445</v>
      </c>
      <c r="H115" s="25">
        <f>DER!G127</f>
        <v>0.59483672953310651</v>
      </c>
      <c r="I115" s="25">
        <f>NPM!G127</f>
        <v>7.3501308849174954E-2</v>
      </c>
      <c r="J115" s="25">
        <f>ROA!G127</f>
        <v>6.3266555317865944E-2</v>
      </c>
      <c r="K115" s="25">
        <f>ROE!G127</f>
        <v>0.10089982617197069</v>
      </c>
      <c r="L115" s="25">
        <f>KM!E127</f>
        <v>0.8</v>
      </c>
      <c r="M115" s="24">
        <f>KI!E127</f>
        <v>2</v>
      </c>
      <c r="N115" s="108">
        <f>IO!E127</f>
        <v>0</v>
      </c>
      <c r="O115" s="24">
        <f>'BoC Size'!E127</f>
        <v>3</v>
      </c>
      <c r="P115" s="24">
        <f>'TMT E DK'!E127</f>
        <v>12</v>
      </c>
      <c r="Q115" s="24">
        <f>Data!R127</f>
        <v>3</v>
      </c>
      <c r="R115" s="24">
        <f>Data!S127</f>
        <v>4</v>
      </c>
      <c r="S115" s="24">
        <f>'TMT E DK'!E127</f>
        <v>12</v>
      </c>
      <c r="T115" s="24">
        <f>'TMT E DD'!E127</f>
        <v>12</v>
      </c>
      <c r="U115" s="24">
        <f>TA!E127</f>
        <v>2146354535548</v>
      </c>
      <c r="V115" s="109">
        <f>PR!F127</f>
        <v>5.1436451306184836E-3</v>
      </c>
      <c r="W115" s="109">
        <f>'Z Score'!I127</f>
        <v>5.9217946949857359</v>
      </c>
      <c r="X115" s="109">
        <f>'Z Score'!L127</f>
        <v>0.52524200317950143</v>
      </c>
      <c r="Y115" s="109">
        <f>'Z Score'!O127</f>
        <v>0.50515726539962968</v>
      </c>
      <c r="Z115" s="109">
        <f>'Z Score'!R127</f>
        <v>1.7651902578782517</v>
      </c>
      <c r="AA115" s="109">
        <f>'Z Score'!S127</f>
        <v>8.717384221443119</v>
      </c>
    </row>
    <row r="116" spans="1:27" ht="15" customHeight="1" x14ac:dyDescent="0.3">
      <c r="A116" s="22"/>
      <c r="B116" s="23"/>
      <c r="C116" s="3"/>
      <c r="D116" s="23">
        <v>2019</v>
      </c>
      <c r="E116" s="25">
        <f>'Current Ratio'!G128</f>
        <v>16.815694006190796</v>
      </c>
      <c r="F116" s="25">
        <f>'Cash Ratio'!G128</f>
        <v>4.8823784086262272</v>
      </c>
      <c r="G116" s="25">
        <f>DAR!G128</f>
        <v>0.40148914490123144</v>
      </c>
      <c r="H116" s="25">
        <f>DER!G128</f>
        <v>0.67081347227190413</v>
      </c>
      <c r="I116" s="25">
        <f>NPM!G128</f>
        <v>4.9551210720779455E-2</v>
      </c>
      <c r="J116" s="25">
        <f>ROA!G128</f>
        <v>4.8144831661862585E-2</v>
      </c>
      <c r="K116" s="25">
        <f>ROE!G128</f>
        <v>8.0441033360902942E-2</v>
      </c>
      <c r="L116" s="25">
        <f>KM!E128</f>
        <v>0.8</v>
      </c>
      <c r="M116" s="24">
        <f>KI!E128</f>
        <v>1</v>
      </c>
      <c r="N116" s="108">
        <f>IO!E128</f>
        <v>0</v>
      </c>
      <c r="O116" s="24">
        <f>'BoC Size'!E128</f>
        <v>4</v>
      </c>
      <c r="P116" s="24">
        <f>'TMT E DK'!E128</f>
        <v>15</v>
      </c>
      <c r="Q116" s="24">
        <f>Data!R128</f>
        <v>4</v>
      </c>
      <c r="R116" s="24">
        <f>Data!S128</f>
        <v>5</v>
      </c>
      <c r="S116" s="24">
        <f>'TMT E DK'!E128</f>
        <v>15</v>
      </c>
      <c r="T116" s="24">
        <f>'TMT E DD'!E128</f>
        <v>18</v>
      </c>
      <c r="U116" s="24">
        <f>TA!E128</f>
        <v>2200245923342</v>
      </c>
      <c r="V116" s="109">
        <f>PR!F128</f>
        <v>0.15714038325434254</v>
      </c>
      <c r="W116" s="109">
        <f>'Z Score'!I128</f>
        <v>5.9454081591629562</v>
      </c>
      <c r="X116" s="109">
        <f>'Z Score'!L128</f>
        <v>0.54357545786263328</v>
      </c>
      <c r="Y116" s="109">
        <f>'Z Score'!O128</f>
        <v>0.42040754659269991</v>
      </c>
      <c r="Z116" s="109">
        <f>'Z Score'!R128</f>
        <v>1.5652637333652093</v>
      </c>
      <c r="AA116" s="109">
        <f>'Z Score'!S128</f>
        <v>8.4746548969834983</v>
      </c>
    </row>
    <row r="117" spans="1:27" ht="15" customHeight="1" x14ac:dyDescent="0.3">
      <c r="A117" s="22"/>
      <c r="B117" s="23"/>
      <c r="C117" s="3"/>
      <c r="D117" s="23">
        <v>2020</v>
      </c>
      <c r="E117" s="25">
        <f>'Current Ratio'!G129</f>
        <v>10.127272836881129</v>
      </c>
      <c r="F117" s="25">
        <f>'Cash Ratio'!G129</f>
        <v>3.4689979881760293</v>
      </c>
      <c r="G117" s="25">
        <f>DAR!G129</f>
        <v>0.42164879293035029</v>
      </c>
      <c r="H117" s="25">
        <f>DER!G129</f>
        <v>0.72905319082280728</v>
      </c>
      <c r="I117" s="25">
        <f>NPM!G129</f>
        <v>2.9855606161781002E-2</v>
      </c>
      <c r="J117" s="25">
        <f>ROA!G129</f>
        <v>2.9762809091295604E-2</v>
      </c>
      <c r="K117" s="25">
        <f>ROE!G129</f>
        <v>5.146148002715472E-2</v>
      </c>
      <c r="L117" s="25">
        <f>KM!E129</f>
        <v>0.8</v>
      </c>
      <c r="M117" s="24">
        <f>KI!E129</f>
        <v>3</v>
      </c>
      <c r="N117" s="108">
        <f>IO!E129</f>
        <v>0</v>
      </c>
      <c r="O117" s="24">
        <f>'BoC Size'!E129</f>
        <v>5</v>
      </c>
      <c r="P117" s="24">
        <f>'TMT E DK'!E129</f>
        <v>16</v>
      </c>
      <c r="Q117" s="24">
        <f>Data!R129</f>
        <v>5</v>
      </c>
      <c r="R117" s="24">
        <f>Data!S129</f>
        <v>5</v>
      </c>
      <c r="S117" s="24">
        <f>'TMT E DK'!E129</f>
        <v>16</v>
      </c>
      <c r="T117" s="24">
        <f>'TMT E DD'!E129</f>
        <v>15</v>
      </c>
      <c r="U117" s="24">
        <f>TA!E129</f>
        <v>2254736989884</v>
      </c>
      <c r="V117" s="109">
        <f>PR!F129</f>
        <v>5.1422552135585421E-2</v>
      </c>
      <c r="W117" s="109">
        <f>'Z Score'!I129</f>
        <v>5.5823238134495634</v>
      </c>
      <c r="X117" s="109">
        <f>'Z Score'!L129</f>
        <v>0.4395800251413054</v>
      </c>
      <c r="Y117" s="109">
        <f>'Z Score'!O129</f>
        <v>0.26678700998905741</v>
      </c>
      <c r="Z117" s="109">
        <f>'Z Score'!R129</f>
        <v>1.4402241334613364</v>
      </c>
      <c r="AA117" s="109">
        <f>'Z Score'!S129</f>
        <v>7.7289149820412621</v>
      </c>
    </row>
    <row r="118" spans="1:27" ht="15" customHeight="1" x14ac:dyDescent="0.3">
      <c r="A118" s="22"/>
      <c r="B118" s="23"/>
      <c r="C118" s="3"/>
      <c r="D118" s="23">
        <v>2021</v>
      </c>
      <c r="E118" s="25">
        <f>'Current Ratio'!G130</f>
        <v>9.4133712017673936</v>
      </c>
      <c r="F118" s="25">
        <f>'Cash Ratio'!G130</f>
        <v>3.364937823404671</v>
      </c>
      <c r="G118" s="25">
        <f>DAR!G130</f>
        <v>0.4580721718885889</v>
      </c>
      <c r="H118" s="25">
        <f>DER!G130</f>
        <v>0.4580721718885889</v>
      </c>
      <c r="I118" s="25">
        <f>NPM!G130</f>
        <v>5.8985423493959015E-2</v>
      </c>
      <c r="J118" s="25">
        <f>ROA!G130</f>
        <v>5.2681077626553913E-2</v>
      </c>
      <c r="K118" s="25">
        <f>ROE!G130</f>
        <v>5.2681077626553913E-2</v>
      </c>
      <c r="L118" s="25">
        <f>KM!E130</f>
        <v>0.8</v>
      </c>
      <c r="M118" s="24">
        <f>KI!E130</f>
        <v>5</v>
      </c>
      <c r="N118" s="108">
        <f>IO!E130</f>
        <v>0</v>
      </c>
      <c r="O118" s="24">
        <f>'BoC Size'!E130</f>
        <v>7</v>
      </c>
      <c r="P118" s="24">
        <f>'TMT E DK'!E130</f>
        <v>28</v>
      </c>
      <c r="Q118" s="24">
        <f>Data!R130</f>
        <v>7</v>
      </c>
      <c r="R118" s="24">
        <f>Data!S130</f>
        <v>5</v>
      </c>
      <c r="S118" s="24">
        <f>'TMT E DK'!E130</f>
        <v>28</v>
      </c>
      <c r="T118" s="24">
        <f>'TMT E DD'!E130</f>
        <v>15</v>
      </c>
      <c r="U118" s="24">
        <f>TA!E130</f>
        <v>2524302538621</v>
      </c>
      <c r="V118" s="109">
        <f>PR!F130</f>
        <v>3.0150214439881415E-3</v>
      </c>
      <c r="W118" s="109">
        <f>'Z Score'!I130</f>
        <v>5.527955628668507</v>
      </c>
      <c r="X118" s="109">
        <f>'Z Score'!L130</f>
        <v>0.47523888455684649</v>
      </c>
      <c r="Y118" s="109">
        <f>'Z Score'!O130</f>
        <v>0.43981407630929359</v>
      </c>
      <c r="Z118" s="109">
        <f>'Z Score'!R130</f>
        <v>2.2922152106969258</v>
      </c>
      <c r="AA118" s="109">
        <f>'Z Score'!S130</f>
        <v>8.735223800231573</v>
      </c>
    </row>
    <row r="119" spans="1:27" ht="15" customHeight="1" x14ac:dyDescent="0.3">
      <c r="A119" s="22"/>
      <c r="B119" s="23"/>
      <c r="C119" s="3"/>
      <c r="D119" s="23">
        <v>2022</v>
      </c>
      <c r="E119" s="25">
        <f>'Current Ratio'!G131</f>
        <v>11.814608662533601</v>
      </c>
      <c r="F119" s="25">
        <f>'Cash Ratio'!G131</f>
        <v>4.4069543475829915</v>
      </c>
      <c r="G119" s="25">
        <f>DAR!G131</f>
        <v>0.46073422286638444</v>
      </c>
      <c r="H119" s="25">
        <f>DER!G131</f>
        <v>0.85437319111059951</v>
      </c>
      <c r="I119" s="25">
        <f>NPM!G131</f>
        <v>5.6378136465430238E-2</v>
      </c>
      <c r="J119" s="25">
        <f>ROA!G131</f>
        <v>5.4601616917790495E-2</v>
      </c>
      <c r="K119" s="25">
        <f>ROE!G131</f>
        <v>0.10125177460364165</v>
      </c>
      <c r="L119" s="25">
        <f>KM!E131</f>
        <v>0.8</v>
      </c>
      <c r="M119" s="24">
        <f>KI!E131</f>
        <v>2</v>
      </c>
      <c r="N119" s="108">
        <f>IO!E131</f>
        <v>0</v>
      </c>
      <c r="O119" s="24">
        <f>'BoC Size'!E131</f>
        <v>4</v>
      </c>
      <c r="P119" s="24">
        <f>'TMT E DK'!E131</f>
        <v>18</v>
      </c>
      <c r="Q119" s="24">
        <f>Data!R131</f>
        <v>4</v>
      </c>
      <c r="R119" s="24">
        <f>Data!S131</f>
        <v>6</v>
      </c>
      <c r="S119" s="24">
        <f>'TMT E DK'!E131</f>
        <v>18</v>
      </c>
      <c r="T119" s="24">
        <f>'TMT E DD'!E131</f>
        <v>18</v>
      </c>
      <c r="U119" s="24">
        <f>TA!E131</f>
        <v>2668916537113</v>
      </c>
      <c r="V119" s="109">
        <f>PR!F131</f>
        <v>0.14651153215883977</v>
      </c>
      <c r="W119" s="109">
        <f>'Z Score'!I131</f>
        <v>5.4480473551205577</v>
      </c>
      <c r="X119" s="109">
        <f>'Z Score'!L131</f>
        <v>0.47206761487673166</v>
      </c>
      <c r="Y119" s="109">
        <f>'Z Score'!O131</f>
        <v>0.48079070006193703</v>
      </c>
      <c r="Z119" s="109">
        <f>'Z Score'!R131</f>
        <v>1.2289711462447752</v>
      </c>
      <c r="AA119" s="109">
        <f>'Z Score'!S131</f>
        <v>7.6298768163040016</v>
      </c>
    </row>
    <row r="120" spans="1:27" ht="15" customHeight="1" x14ac:dyDescent="0.3">
      <c r="A120" s="22"/>
      <c r="B120" s="23"/>
      <c r="C120" s="3"/>
      <c r="D120" s="23">
        <v>2023</v>
      </c>
      <c r="E120" s="25">
        <f>'Current Ratio'!G132</f>
        <v>15.715888414754732</v>
      </c>
      <c r="F120" s="25">
        <f>'Cash Ratio'!G132</f>
        <v>5.4479025982738527</v>
      </c>
      <c r="G120" s="25">
        <f>DAR!G132</f>
        <v>0.43855902044513262</v>
      </c>
      <c r="H120" s="25">
        <f>DER!G132</f>
        <v>0.78113121887483017</v>
      </c>
      <c r="I120" s="25">
        <f>NPM!G132</f>
        <v>6.037194886773007E-2</v>
      </c>
      <c r="J120" s="25">
        <f>ROA!G132</f>
        <v>6.1928582109511993E-2</v>
      </c>
      <c r="K120" s="25">
        <f>ROE!G132</f>
        <v>0.1103029388776308</v>
      </c>
      <c r="L120" s="25">
        <f>KM!E132</f>
        <v>0.8</v>
      </c>
      <c r="M120" s="24">
        <f>KI!E132</f>
        <v>3</v>
      </c>
      <c r="N120" s="108">
        <f>IO!E132</f>
        <v>0</v>
      </c>
      <c r="O120" s="24">
        <f>'BoC Size'!E132</f>
        <v>5</v>
      </c>
      <c r="P120" s="24">
        <f>'TMT E DK'!E132</f>
        <v>17</v>
      </c>
      <c r="Q120" s="24">
        <f>Data!R132</f>
        <v>5</v>
      </c>
      <c r="R120" s="24">
        <f>Data!S132</f>
        <v>5</v>
      </c>
      <c r="S120" s="24">
        <f>'TMT E DK'!E132</f>
        <v>17</v>
      </c>
      <c r="T120" s="24">
        <f>'TMT E DD'!E132</f>
        <v>15</v>
      </c>
      <c r="U120" s="24">
        <f>TA!E132</f>
        <v>2823141641461</v>
      </c>
      <c r="V120" s="109">
        <f>PR!F132</f>
        <v>0.12036318439037866</v>
      </c>
      <c r="W120" s="109">
        <f>'Z Score'!I132</f>
        <v>5.8296249256875532</v>
      </c>
      <c r="X120" s="109">
        <f>'Z Score'!L132</f>
        <v>0.62396384343358291</v>
      </c>
      <c r="Y120" s="109">
        <f>'Z Score'!O132</f>
        <v>0.5111849525506198</v>
      </c>
      <c r="Z120" s="109">
        <f>'Z Score'!R132</f>
        <v>1.3442043726180324</v>
      </c>
      <c r="AA120" s="109">
        <f>'Z Score'!S132</f>
        <v>8.3089780942897882</v>
      </c>
    </row>
    <row r="121" spans="1:27" ht="15" customHeight="1" x14ac:dyDescent="0.3">
      <c r="A121" s="22"/>
      <c r="B121" s="23"/>
      <c r="C121" s="3"/>
      <c r="D121" s="23">
        <v>2024</v>
      </c>
      <c r="E121" s="25">
        <f>'Current Ratio'!G133</f>
        <v>10.699950052977579</v>
      </c>
      <c r="F121" s="25">
        <f>'Cash Ratio'!G133</f>
        <v>4.1800016543473353</v>
      </c>
      <c r="G121" s="25">
        <f>DAR!G133</f>
        <v>0.56334458795880071</v>
      </c>
      <c r="H121" s="25">
        <f>DER!G133</f>
        <v>1.2901353617154938</v>
      </c>
      <c r="I121" s="25">
        <f>NPM!G133</f>
        <v>-2.5969706934776799E-3</v>
      </c>
      <c r="J121" s="25">
        <f>ROA!G133</f>
        <v>-2.7181653014217134E-3</v>
      </c>
      <c r="K121" s="25">
        <f>ROE!G133</f>
        <v>-6.2249664757739196E-3</v>
      </c>
      <c r="L121" s="25">
        <f>KM!E133</f>
        <v>0.8</v>
      </c>
      <c r="M121" s="24">
        <f>KI!E133</f>
        <v>4</v>
      </c>
      <c r="N121" s="108">
        <f>IO!E133</f>
        <v>0</v>
      </c>
      <c r="O121" s="24">
        <f>'BoC Size'!E133</f>
        <v>6</v>
      </c>
      <c r="P121" s="24">
        <f>'TMT E DK'!E133</f>
        <v>18</v>
      </c>
      <c r="Q121" s="24">
        <f>Data!R133</f>
        <v>6</v>
      </c>
      <c r="R121" s="24">
        <f>Data!S133</f>
        <v>6</v>
      </c>
      <c r="S121" s="24">
        <f>'TMT E DK'!E133</f>
        <v>18</v>
      </c>
      <c r="T121" s="24">
        <f>'TMT E DD'!E133</f>
        <v>18</v>
      </c>
      <c r="U121" s="24">
        <f>TA!E133</f>
        <v>3609299613555</v>
      </c>
      <c r="V121" s="109">
        <f>PR!F133</f>
        <v>0.30449717052487396</v>
      </c>
      <c r="W121" s="109">
        <f>'Z Score'!I133</f>
        <v>5.552008759050393</v>
      </c>
      <c r="X121" s="109">
        <f>'Z Score'!L133</f>
        <v>0.4830574844543179</v>
      </c>
      <c r="Y121" s="109">
        <f>'Z Score'!O133</f>
        <v>-4.0940946326962012E-2</v>
      </c>
      <c r="Z121" s="109">
        <f>'Z Score'!R133</f>
        <v>0.81386808792204135</v>
      </c>
      <c r="AA121" s="109">
        <f>'Z Score'!S133</f>
        <v>6.8079933850997909</v>
      </c>
    </row>
    <row r="122" spans="1:27" ht="15" customHeight="1" x14ac:dyDescent="0.3">
      <c r="A122" s="22"/>
      <c r="B122" s="23">
        <v>13</v>
      </c>
      <c r="C122" s="3" t="s">
        <v>18</v>
      </c>
      <c r="D122" s="23">
        <v>2015</v>
      </c>
      <c r="E122" s="25">
        <f>'Current Ratio'!G135</f>
        <v>1.5240668197038234</v>
      </c>
      <c r="F122" s="25">
        <f>'Cash Ratio'!G135</f>
        <v>0.67233778530519894</v>
      </c>
      <c r="G122" s="25">
        <f>DAR!G135</f>
        <v>0.79598646336389089</v>
      </c>
      <c r="H122" s="25">
        <f>DER!G135</f>
        <v>3.9016355310954705</v>
      </c>
      <c r="I122" s="25">
        <f>NPM!G135</f>
        <v>0.13952717756635907</v>
      </c>
      <c r="J122" s="25">
        <f>ROA!G135</f>
        <v>3.2836508211371879E-2</v>
      </c>
      <c r="K122" s="25">
        <f>ROE!G135</f>
        <v>0.16095259536596856</v>
      </c>
      <c r="L122" s="25">
        <f>KM!E135</f>
        <v>0.95</v>
      </c>
      <c r="M122" s="24">
        <f>KI!E135</f>
        <v>1</v>
      </c>
      <c r="N122" s="108">
        <f>IO!E135</f>
        <v>0</v>
      </c>
      <c r="O122" s="24">
        <f>'BoC Size'!E135</f>
        <v>6</v>
      </c>
      <c r="P122" s="24">
        <f>'TMT E DK'!E135</f>
        <v>0</v>
      </c>
      <c r="Q122" s="24">
        <f>Data!R135</f>
        <v>6</v>
      </c>
      <c r="R122" s="24">
        <f>Data!S135</f>
        <v>0</v>
      </c>
      <c r="S122" s="24">
        <f>'TMT E DK'!E135</f>
        <v>0</v>
      </c>
      <c r="T122" s="24">
        <f>'TMT E DD'!E135</f>
        <v>0</v>
      </c>
      <c r="U122" s="24">
        <f>TA!E135</f>
        <v>36751228000000</v>
      </c>
      <c r="V122" s="109">
        <f>PR!F135</f>
        <v>-0.26883151016351764</v>
      </c>
      <c r="W122" s="109">
        <f>'Z Score'!I135</f>
        <v>0.1561957886141927</v>
      </c>
      <c r="X122" s="109">
        <f>'Z Score'!L135</f>
        <v>0.63331096909197149</v>
      </c>
      <c r="Y122" s="109">
        <f>'Z Score'!O135</f>
        <v>0.38166953223984784</v>
      </c>
      <c r="Z122" s="109">
        <f>'Z Score'!R135</f>
        <v>0.26911791007428859</v>
      </c>
      <c r="AA122" s="109">
        <f>'Z Score'!S135</f>
        <v>1.4402942000203007</v>
      </c>
    </row>
    <row r="123" spans="1:27" ht="15" customHeight="1" x14ac:dyDescent="0.3">
      <c r="A123" s="22"/>
      <c r="B123" s="23"/>
      <c r="C123" s="3"/>
      <c r="D123" s="23">
        <v>2016</v>
      </c>
      <c r="E123" s="25">
        <f>'Current Ratio'!G136</f>
        <v>0.86898272770134655</v>
      </c>
      <c r="F123" s="25">
        <f>'Cash Ratio'!G136</f>
        <v>7.548990919092026E-2</v>
      </c>
      <c r="G123" s="25">
        <f>DAR!G136</f>
        <v>0.79792756771753992</v>
      </c>
      <c r="H123" s="25">
        <f>DER!G136</f>
        <v>3.9487205587854954</v>
      </c>
      <c r="I123" s="25">
        <f>NPM!G136</f>
        <v>5.6277159734427283E-2</v>
      </c>
      <c r="J123" s="25">
        <f>ROA!G136</f>
        <v>1.6659671698931216E-2</v>
      </c>
      <c r="K123" s="25">
        <f>ROE!G136</f>
        <v>8.2444059839117803E-2</v>
      </c>
      <c r="L123" s="25">
        <f>KM!E136</f>
        <v>0.95</v>
      </c>
      <c r="M123" s="24">
        <f>KI!E136</f>
        <v>2</v>
      </c>
      <c r="N123" s="108">
        <f>IO!E136</f>
        <v>0</v>
      </c>
      <c r="O123" s="24">
        <f>'BoC Size'!E136</f>
        <v>4</v>
      </c>
      <c r="P123" s="24">
        <f>'TMT E DK'!E136</f>
        <v>0</v>
      </c>
      <c r="Q123" s="24">
        <f>Data!R136</f>
        <v>4</v>
      </c>
      <c r="R123" s="24">
        <f>Data!S136</f>
        <v>0</v>
      </c>
      <c r="S123" s="24">
        <f>'TMT E DK'!E136</f>
        <v>0</v>
      </c>
      <c r="T123" s="24">
        <f>'TMT E DD'!E136</f>
        <v>0</v>
      </c>
      <c r="U123" s="24">
        <f>TA!E136</f>
        <v>39719030000000</v>
      </c>
      <c r="V123" s="109">
        <f>PR!F136</f>
        <v>0.35944889873861757</v>
      </c>
      <c r="W123" s="109">
        <f>'Z Score'!I136</f>
        <v>-4.0892821400724033E-2</v>
      </c>
      <c r="X123" s="109">
        <f>'Z Score'!L136</f>
        <v>0.5806843631377705</v>
      </c>
      <c r="Y123" s="109">
        <f>'Z Score'!O136</f>
        <v>4.3621343220113885E-2</v>
      </c>
      <c r="Z123" s="109">
        <f>'Z Score'!R136</f>
        <v>0.26590891514565612</v>
      </c>
      <c r="AA123" s="109">
        <f>'Z Score'!S136</f>
        <v>0.84932180010281644</v>
      </c>
    </row>
    <row r="124" spans="1:27" ht="15" customHeight="1" x14ac:dyDescent="0.3">
      <c r="A124" s="22"/>
      <c r="B124" s="23"/>
      <c r="C124" s="3"/>
      <c r="D124" s="23">
        <v>2017</v>
      </c>
      <c r="E124" s="25">
        <f>'Current Ratio'!G137</f>
        <v>0.39489620129017622</v>
      </c>
      <c r="F124" s="25">
        <f>'Cash Ratio'!G137</f>
        <v>8.8624821482321148E-2</v>
      </c>
      <c r="G124" s="25">
        <f>DAR!G137</f>
        <v>0.76196361756233544</v>
      </c>
      <c r="H124" s="25">
        <f>DER!G137</f>
        <v>3.2010384705030264</v>
      </c>
      <c r="I124" s="25">
        <f>NPM!G137</f>
        <v>0.2131432064652917</v>
      </c>
      <c r="J124" s="25">
        <f>ROA!G137</f>
        <v>5.589370168648411E-2</v>
      </c>
      <c r="K124" s="25">
        <f>ROE!G137</f>
        <v>0.23481159104373964</v>
      </c>
      <c r="L124" s="25">
        <f>KM!E137</f>
        <v>0.95</v>
      </c>
      <c r="M124" s="24">
        <f>KI!E137</f>
        <v>2</v>
      </c>
      <c r="N124" s="108">
        <f>IO!E137</f>
        <v>0</v>
      </c>
      <c r="O124" s="24">
        <f>'BoC Size'!E137</f>
        <v>4</v>
      </c>
      <c r="P124" s="24">
        <f>'TMT E DK'!E137</f>
        <v>0</v>
      </c>
      <c r="Q124" s="24">
        <f>Data!R137</f>
        <v>4</v>
      </c>
      <c r="R124" s="24">
        <f>Data!S137</f>
        <v>0</v>
      </c>
      <c r="S124" s="24">
        <f>'TMT E DK'!E137</f>
        <v>0</v>
      </c>
      <c r="T124" s="24">
        <f>'TMT E DD'!E137</f>
        <v>0</v>
      </c>
      <c r="U124" s="24">
        <f>TA!E137</f>
        <v>45637074000000</v>
      </c>
      <c r="V124" s="109">
        <f>PR!F137</f>
        <v>1.7832392199853973E-2</v>
      </c>
      <c r="W124" s="109">
        <f>'Z Score'!I137</f>
        <v>-0.19014180269313496</v>
      </c>
      <c r="X124" s="109">
        <f>'Z Score'!L137</f>
        <v>0.55541767949452669</v>
      </c>
      <c r="Y124" s="109">
        <f>'Z Score'!O137</f>
        <v>8.9035990344166233E-2</v>
      </c>
      <c r="Z124" s="109">
        <f>'Z Score'!R137</f>
        <v>0.3280185507533116</v>
      </c>
      <c r="AA124" s="109">
        <f>'Z Score'!S137</f>
        <v>0.78233041789886948</v>
      </c>
    </row>
    <row r="125" spans="1:27" ht="15" customHeight="1" x14ac:dyDescent="0.3">
      <c r="A125" s="22"/>
      <c r="B125" s="23"/>
      <c r="C125" s="3"/>
      <c r="D125" s="23">
        <v>2018</v>
      </c>
      <c r="E125" s="25">
        <f>'Current Ratio'!G138</f>
        <v>0.5255287114713566</v>
      </c>
      <c r="F125" s="25">
        <f>'Cash Ratio'!G138</f>
        <v>7.018422674293319E-2</v>
      </c>
      <c r="G125" s="25">
        <f>DAR!G138</f>
        <v>0.75377255890091144</v>
      </c>
      <c r="H125" s="25">
        <f>DER!G138</f>
        <v>3.0612857589563833</v>
      </c>
      <c r="I125" s="25">
        <f>NPM!G138</f>
        <v>5.9444507404905776E-2</v>
      </c>
      <c r="J125" s="25">
        <f>ROA!G138</f>
        <v>1.4345610082150358E-2</v>
      </c>
      <c r="K125" s="25">
        <f>ROE!G138</f>
        <v>5.8261621930178357E-2</v>
      </c>
      <c r="L125" s="25">
        <f>KM!E138</f>
        <v>0.95</v>
      </c>
      <c r="M125" s="24">
        <f>KI!E138</f>
        <v>2</v>
      </c>
      <c r="N125" s="108">
        <f>IO!E138</f>
        <v>0</v>
      </c>
      <c r="O125" s="24">
        <f>'BoC Size'!E138</f>
        <v>4</v>
      </c>
      <c r="P125" s="24">
        <f>'TMT E DK'!E138</f>
        <v>0</v>
      </c>
      <c r="Q125" s="24">
        <f>Data!R138</f>
        <v>4</v>
      </c>
      <c r="R125" s="24">
        <f>Data!S138</f>
        <v>0</v>
      </c>
      <c r="S125" s="24">
        <f>'TMT E DK'!E138</f>
        <v>0</v>
      </c>
      <c r="T125" s="24">
        <f>'TMT E DD'!E138</f>
        <v>0</v>
      </c>
      <c r="U125" s="24">
        <f>TA!E138</f>
        <v>45704853000000</v>
      </c>
      <c r="V125" s="109">
        <f>PR!F138</f>
        <v>-7.8361864953025898E-2</v>
      </c>
      <c r="W125" s="109">
        <f>'Z Score'!I138</f>
        <v>-0.14410703563579999</v>
      </c>
      <c r="X125" s="109">
        <f>'Z Score'!L138</f>
        <v>0.73501513810798169</v>
      </c>
      <c r="Y125" s="109">
        <f>'Z Score'!O138</f>
        <v>0.44337454318034891</v>
      </c>
      <c r="Z125" s="109">
        <f>'Z Score'!R138</f>
        <v>0.34299313513219792</v>
      </c>
      <c r="AA125" s="109">
        <f>'Z Score'!S138</f>
        <v>1.3772757807847287</v>
      </c>
    </row>
    <row r="126" spans="1:27" ht="15" customHeight="1" x14ac:dyDescent="0.3">
      <c r="A126" s="22"/>
      <c r="B126" s="23"/>
      <c r="C126" s="3"/>
      <c r="D126" s="23">
        <v>2019</v>
      </c>
      <c r="E126" s="25">
        <f>'Current Ratio'!G139</f>
        <v>0.57284527224960569</v>
      </c>
      <c r="F126" s="25">
        <f>'Cash Ratio'!G139</f>
        <v>8.7862210051008277E-2</v>
      </c>
      <c r="G126" s="25">
        <f>DAR!G139</f>
        <v>0.72373019403662853</v>
      </c>
      <c r="H126" s="25">
        <f>DER!G139</f>
        <v>2.6196499885788556</v>
      </c>
      <c r="I126" s="25">
        <f>NPM!G139</f>
        <v>0.25213771216231928</v>
      </c>
      <c r="J126" s="25">
        <f>ROA!G139</f>
        <v>5.5646781050891048E-2</v>
      </c>
      <c r="K126" s="25">
        <f>ROE!G139</f>
        <v>0.20142187039530784</v>
      </c>
      <c r="L126" s="25">
        <f>KM!E139</f>
        <v>0.95</v>
      </c>
      <c r="M126" s="24">
        <f>KI!E139</f>
        <v>2</v>
      </c>
      <c r="N126" s="108">
        <f>IO!E139</f>
        <v>0</v>
      </c>
      <c r="O126" s="24">
        <f>'BoC Size'!E139</f>
        <v>4</v>
      </c>
      <c r="P126" s="24">
        <f>'TMT E DK'!E139</f>
        <v>0</v>
      </c>
      <c r="Q126" s="24">
        <f>Data!R139</f>
        <v>4</v>
      </c>
      <c r="R126" s="24">
        <f>Data!S139</f>
        <v>0</v>
      </c>
      <c r="S126" s="24">
        <f>'TMT E DK'!E139</f>
        <v>0</v>
      </c>
      <c r="T126" s="24">
        <f>'TMT E DD'!E139</f>
        <v>0</v>
      </c>
      <c r="U126" s="24">
        <f>TA!E139</f>
        <v>51009132000000</v>
      </c>
      <c r="V126" s="109">
        <f>PR!F139</f>
        <v>2.0658757825355738E-2</v>
      </c>
      <c r="W126" s="109">
        <f>'Z Score'!I139</f>
        <v>-0.13813118168723199</v>
      </c>
      <c r="X126" s="109">
        <f>'Z Score'!L139</f>
        <v>0.69238484630555952</v>
      </c>
      <c r="Y126" s="109">
        <f>'Z Score'!O139</f>
        <v>0.10411935180547671</v>
      </c>
      <c r="Z126" s="109">
        <f>'Z Score'!R139</f>
        <v>0.40081690476887671</v>
      </c>
      <c r="AA126" s="109">
        <f>'Z Score'!S139</f>
        <v>1.059189921192681</v>
      </c>
    </row>
    <row r="127" spans="1:27" ht="15" customHeight="1" x14ac:dyDescent="0.3">
      <c r="A127" s="22"/>
      <c r="B127" s="23"/>
      <c r="C127" s="3"/>
      <c r="D127" s="23">
        <v>2020</v>
      </c>
      <c r="E127" s="25">
        <f>'Current Ratio'!G140</f>
        <v>0.67330033480093954</v>
      </c>
      <c r="F127" s="25">
        <f>'Cash Ratio'!G140</f>
        <v>0.26012272880114518</v>
      </c>
      <c r="G127" s="25">
        <f>DAR!G140</f>
        <v>0.72810232272522002</v>
      </c>
      <c r="H127" s="25">
        <f>DER!G140</f>
        <v>2.6778541472768791</v>
      </c>
      <c r="I127" s="25">
        <f>NPM!G140</f>
        <v>0.1191900606714844</v>
      </c>
      <c r="J127" s="25">
        <f>ROA!G140</f>
        <v>2.6022899647494543E-2</v>
      </c>
      <c r="K127" s="25">
        <f>ROE!G140</f>
        <v>9.570842939270785E-2</v>
      </c>
      <c r="L127" s="25">
        <f>KM!E140</f>
        <v>0.95</v>
      </c>
      <c r="M127" s="24">
        <f>KI!E140</f>
        <v>2</v>
      </c>
      <c r="N127" s="108">
        <f>IO!E140</f>
        <v>0</v>
      </c>
      <c r="O127" s="24">
        <f>'BoC Size'!E140</f>
        <v>4</v>
      </c>
      <c r="P127" s="24">
        <f>'TMT E DK'!E140</f>
        <v>0</v>
      </c>
      <c r="Q127" s="24">
        <f>Data!R140</f>
        <v>4</v>
      </c>
      <c r="R127" s="24">
        <f>Data!S140</f>
        <v>0</v>
      </c>
      <c r="S127" s="24">
        <f>'TMT E DK'!E140</f>
        <v>0</v>
      </c>
      <c r="T127" s="24">
        <f>'TMT E DD'!E140</f>
        <v>0</v>
      </c>
      <c r="U127" s="24">
        <f>TA!E140</f>
        <v>57279397000000</v>
      </c>
      <c r="V127" s="109">
        <f>PR!F140</f>
        <v>0.11087171968231914</v>
      </c>
      <c r="W127" s="109">
        <f>'Z Score'!I140</f>
        <v>-0.11861688278596927</v>
      </c>
      <c r="X127" s="109">
        <f>'Z Score'!L140</f>
        <v>0.66674190023334223</v>
      </c>
      <c r="Y127" s="109">
        <f>'Z Score'!O140</f>
        <v>0.12996684863843799</v>
      </c>
      <c r="Z127" s="109">
        <f>'Z Score'!R140</f>
        <v>0.39210499984390462</v>
      </c>
      <c r="AA127" s="109">
        <f>'Z Score'!S140</f>
        <v>1.0701968659297156</v>
      </c>
    </row>
    <row r="128" spans="1:27" ht="15" customHeight="1" x14ac:dyDescent="0.3">
      <c r="A128" s="22"/>
      <c r="B128" s="23"/>
      <c r="C128" s="3"/>
      <c r="D128" s="23">
        <v>2021</v>
      </c>
      <c r="E128" s="25">
        <f>'Current Ratio'!G141</f>
        <v>0.63811613711595938</v>
      </c>
      <c r="F128" s="25">
        <f>'Cash Ratio'!G141</f>
        <v>0.13121072816397022</v>
      </c>
      <c r="G128" s="25">
        <f>DAR!G141</f>
        <v>0.74440251181048633</v>
      </c>
      <c r="H128" s="25">
        <f>DER!G141</f>
        <v>2.9124017054719351</v>
      </c>
      <c r="I128" s="25">
        <f>NPM!G141</f>
        <v>7.2634786537955492E-2</v>
      </c>
      <c r="J128" s="25">
        <f>ROA!G141</f>
        <v>1.9000834861906617E-2</v>
      </c>
      <c r="K128" s="25">
        <f>ROE!G141</f>
        <v>7.4338899962357555E-2</v>
      </c>
      <c r="L128" s="25">
        <f>KM!E141</f>
        <v>0.95</v>
      </c>
      <c r="M128" s="24">
        <f>KI!E141</f>
        <v>2</v>
      </c>
      <c r="N128" s="108">
        <f>IO!E141</f>
        <v>0</v>
      </c>
      <c r="O128" s="24">
        <f>'BoC Size'!E141</f>
        <v>4</v>
      </c>
      <c r="P128" s="24">
        <f>'TMT E DK'!E141</f>
        <v>0</v>
      </c>
      <c r="Q128" s="24">
        <f>Data!R141</f>
        <v>4</v>
      </c>
      <c r="R128" s="24">
        <f>Data!S141</f>
        <v>0</v>
      </c>
      <c r="S128" s="24">
        <f>'TMT E DK'!E141</f>
        <v>0</v>
      </c>
      <c r="T128" s="24">
        <f>'TMT E DD'!E141</f>
        <v>0</v>
      </c>
      <c r="U128" s="24">
        <f>TA!E141</f>
        <v>59794320000000</v>
      </c>
      <c r="V128" s="109">
        <f>PR!F141</f>
        <v>0.25075966295840957</v>
      </c>
      <c r="W128" s="109">
        <f>'Z Score'!I141</f>
        <v>-0.11723921335672018</v>
      </c>
      <c r="X128" s="109">
        <f>'Z Score'!L141</f>
        <v>0.63049482291963521</v>
      </c>
      <c r="Y128" s="109">
        <f>'Z Score'!O141</f>
        <v>0.16450841484609241</v>
      </c>
      <c r="Z128" s="109">
        <f>'Z Score'!R141</f>
        <v>0.36052718896133684</v>
      </c>
      <c r="AA128" s="109">
        <f>'Z Score'!S141</f>
        <v>1.0382912133703444</v>
      </c>
    </row>
    <row r="129" spans="1:27" ht="15" customHeight="1" x14ac:dyDescent="0.3">
      <c r="A129" s="22"/>
      <c r="B129" s="23"/>
      <c r="C129" s="3"/>
      <c r="D129" s="23">
        <v>2022</v>
      </c>
      <c r="E129" s="25">
        <f>'Current Ratio'!G142</f>
        <v>0.67085233530576949</v>
      </c>
      <c r="F129" s="25">
        <f>'Cash Ratio'!G142</f>
        <v>0.14390049397650187</v>
      </c>
      <c r="G129" s="25">
        <f>DAR!G142</f>
        <v>0.74975090536052347</v>
      </c>
      <c r="H129" s="25">
        <f>DER!G142</f>
        <v>2.9960184528965357</v>
      </c>
      <c r="I129" s="25">
        <f>NPM!G142</f>
        <v>3.5783905440565041E-2</v>
      </c>
      <c r="J129" s="25">
        <f>ROA!G142</f>
        <v>7.1666810739412076E-3</v>
      </c>
      <c r="K129" s="25">
        <f>ROE!G142</f>
        <v>2.8638189817493429E-2</v>
      </c>
      <c r="L129" s="25">
        <f>KM!E142</f>
        <v>0.95</v>
      </c>
      <c r="M129" s="24">
        <f>KI!E142</f>
        <v>2</v>
      </c>
      <c r="N129" s="108">
        <f>IO!E142</f>
        <v>0</v>
      </c>
      <c r="O129" s="24">
        <f>'BoC Size'!E142</f>
        <v>4</v>
      </c>
      <c r="P129" s="24">
        <f>'TMT E DK'!E142</f>
        <v>0</v>
      </c>
      <c r="Q129" s="24">
        <f>Data!R142</f>
        <v>4</v>
      </c>
      <c r="R129" s="24">
        <f>Data!S142</f>
        <v>0</v>
      </c>
      <c r="S129" s="24">
        <f>'TMT E DK'!E142</f>
        <v>0</v>
      </c>
      <c r="T129" s="24">
        <f>'TMT E DD'!E142</f>
        <v>0</v>
      </c>
      <c r="U129" s="24">
        <f>TA!E142</f>
        <v>59078951000000</v>
      </c>
      <c r="V129" s="109">
        <f>PR!F142</f>
        <v>-0.24355881569973464</v>
      </c>
      <c r="W129" s="109">
        <f>'Z Score'!I142</f>
        <v>-0.12218216941597354</v>
      </c>
      <c r="X129" s="109">
        <f>'Z Score'!L142</f>
        <v>0.66870502660076003</v>
      </c>
      <c r="Y129" s="109">
        <f>'Z Score'!O142</f>
        <v>0.18415356359323304</v>
      </c>
      <c r="Z129" s="109">
        <f>'Z Score'!R142</f>
        <v>0.35046513114258865</v>
      </c>
      <c r="AA129" s="109">
        <f>'Z Score'!S142</f>
        <v>1.081141551920608</v>
      </c>
    </row>
    <row r="130" spans="1:27" ht="15" customHeight="1" x14ac:dyDescent="0.3">
      <c r="A130" s="22"/>
      <c r="B130" s="23"/>
      <c r="C130" s="3"/>
      <c r="D130" s="23">
        <v>2023</v>
      </c>
      <c r="E130" s="25">
        <f>'Current Ratio'!G143</f>
        <v>0.58923706565029665</v>
      </c>
      <c r="F130" s="25">
        <f>'Cash Ratio'!G143</f>
        <v>0.167296265906166</v>
      </c>
      <c r="G130" s="25">
        <f>DAR!G143</f>
        <v>0.7575515125538308</v>
      </c>
      <c r="H130" s="25">
        <f>DER!G143</f>
        <v>3.1245874970534913</v>
      </c>
      <c r="I130" s="25">
        <f>NPM!G143</f>
        <v>9.3870994318852638E-2</v>
      </c>
      <c r="J130" s="25">
        <f>ROA!G143</f>
        <v>2.0619505773600035E-2</v>
      </c>
      <c r="K130" s="25">
        <f>ROE!G143</f>
        <v>8.5046955709212987E-2</v>
      </c>
      <c r="L130" s="25">
        <f>KM!E143</f>
        <v>0.95</v>
      </c>
      <c r="M130" s="24">
        <f>KI!E143</f>
        <v>2</v>
      </c>
      <c r="N130" s="108">
        <f>IO!E143</f>
        <v>0</v>
      </c>
      <c r="O130" s="24">
        <f>'BoC Size'!E143</f>
        <v>4</v>
      </c>
      <c r="P130" s="24">
        <f>'TMT E DK'!E143</f>
        <v>0</v>
      </c>
      <c r="Q130" s="24">
        <f>Data!R143</f>
        <v>4</v>
      </c>
      <c r="R130" s="24">
        <f>Data!S143</f>
        <v>0</v>
      </c>
      <c r="S130" s="24">
        <f>'TMT E DK'!E143</f>
        <v>0</v>
      </c>
      <c r="T130" s="24">
        <f>'TMT E DD'!E143</f>
        <v>0</v>
      </c>
      <c r="U130" s="24">
        <f>TA!E143</f>
        <v>62274577000000</v>
      </c>
      <c r="V130" s="109">
        <f>PR!F143</f>
        <v>0.15609761044815665</v>
      </c>
      <c r="W130" s="109">
        <f>'Z Score'!I143</f>
        <v>-0.18182568466101343</v>
      </c>
      <c r="X130" s="109">
        <f>'Z Score'!L143</f>
        <v>0.60512748276074202</v>
      </c>
      <c r="Y130" s="109">
        <f>'Z Score'!O143</f>
        <v>6.3376909649663304E-2</v>
      </c>
      <c r="Z130" s="109">
        <f>'Z Score'!R143</f>
        <v>0.33604435817212919</v>
      </c>
      <c r="AA130" s="109">
        <f>'Z Score'!S143</f>
        <v>0.822723065921521</v>
      </c>
    </row>
    <row r="131" spans="1:27" ht="15" customHeight="1" x14ac:dyDescent="0.3">
      <c r="A131" s="22"/>
      <c r="B131" s="23"/>
      <c r="C131" s="3"/>
      <c r="D131" s="23">
        <v>2024</v>
      </c>
      <c r="E131" s="25">
        <f>'Current Ratio'!G144</f>
        <v>0.63094642387833877</v>
      </c>
      <c r="F131" s="25">
        <f>'Cash Ratio'!G144</f>
        <v>0.23666257375009184</v>
      </c>
      <c r="G131" s="25">
        <f>DAR!G144</f>
        <v>0.74766979722675042</v>
      </c>
      <c r="H131" s="25">
        <f>DER!G144</f>
        <v>2.963061056541954</v>
      </c>
      <c r="I131" s="25">
        <f>NPM!G144</f>
        <v>9.9382184191374609E-2</v>
      </c>
      <c r="J131" s="25">
        <f>ROA!G144</f>
        <v>2.0655584249245667E-2</v>
      </c>
      <c r="K131" s="25">
        <f>ROE!G144</f>
        <v>8.1859341538306887E-2</v>
      </c>
      <c r="L131" s="25">
        <f>KM!E144</f>
        <v>0.95</v>
      </c>
      <c r="M131" s="24">
        <f>KI!E144</f>
        <v>2</v>
      </c>
      <c r="N131" s="108">
        <f>IO!E144</f>
        <v>0</v>
      </c>
      <c r="O131" s="24">
        <f>'BoC Size'!E144</f>
        <v>4</v>
      </c>
      <c r="P131" s="24">
        <f>'TMT E DK'!E144</f>
        <v>0</v>
      </c>
      <c r="Q131" s="24">
        <f>Data!R144</f>
        <v>4</v>
      </c>
      <c r="R131" s="24">
        <f>Data!S144</f>
        <v>0</v>
      </c>
      <c r="S131" s="24">
        <f>'TMT E DK'!E144</f>
        <v>0</v>
      </c>
      <c r="T131" s="24">
        <f>'TMT E DD'!E144</f>
        <v>0</v>
      </c>
      <c r="U131" s="24">
        <f>TA!E144</f>
        <v>61973362000000</v>
      </c>
      <c r="V131" s="109">
        <f>PR!F144</f>
        <v>-5.8378462388944653E-2</v>
      </c>
      <c r="W131" s="109">
        <f>'Z Score'!I144</f>
        <v>-0.17495154127671822</v>
      </c>
      <c r="X131" s="109">
        <f>'Z Score'!L144</f>
        <v>0.66589707268100118</v>
      </c>
      <c r="Y131" s="109">
        <f>'Z Score'!O144</f>
        <v>0.21806100756644442</v>
      </c>
      <c r="Z131" s="109">
        <f>'Z Score'!R144</f>
        <v>0.35436326824307984</v>
      </c>
      <c r="AA131" s="109">
        <f>'Z Score'!S144</f>
        <v>1.0633698072138071</v>
      </c>
    </row>
    <row r="132" spans="1:27" ht="15" customHeight="1" x14ac:dyDescent="0.3">
      <c r="A132" s="22"/>
      <c r="B132" s="23">
        <v>14</v>
      </c>
      <c r="C132" s="4" t="s">
        <v>57</v>
      </c>
      <c r="D132" s="23">
        <v>2015</v>
      </c>
      <c r="E132" s="25">
        <f>'Current Ratio'!G146</f>
        <v>0</v>
      </c>
      <c r="F132" s="25">
        <f>'Cash Ratio'!G146</f>
        <v>0</v>
      </c>
      <c r="G132" s="25">
        <f>DAR!G146</f>
        <v>0</v>
      </c>
      <c r="H132" s="25">
        <f>DER!G146</f>
        <v>0</v>
      </c>
      <c r="I132" s="25">
        <f>NPM!G146</f>
        <v>0</v>
      </c>
      <c r="J132" s="25">
        <f>ROA!G146</f>
        <v>0</v>
      </c>
      <c r="K132" s="25">
        <f>ROE!G146</f>
        <v>0</v>
      </c>
      <c r="L132" s="25">
        <f>KM!E146</f>
        <v>0</v>
      </c>
      <c r="M132" s="24">
        <f>KI!E146</f>
        <v>0</v>
      </c>
      <c r="N132" s="108">
        <f>IO!E146</f>
        <v>0</v>
      </c>
      <c r="O132" s="24">
        <f>'BoC Size'!E146</f>
        <v>0</v>
      </c>
      <c r="P132" s="24">
        <f>'TMT E DK'!E146</f>
        <v>0</v>
      </c>
      <c r="Q132" s="24">
        <f>Data!R146</f>
        <v>0</v>
      </c>
      <c r="R132" s="24">
        <f>Data!S146</f>
        <v>0</v>
      </c>
      <c r="S132" s="24">
        <f>'TMT E DK'!E146</f>
        <v>0</v>
      </c>
      <c r="T132" s="24">
        <f>'TMT E DD'!E146</f>
        <v>0</v>
      </c>
      <c r="U132" s="24">
        <f>TA!E146</f>
        <v>0</v>
      </c>
      <c r="V132" s="109">
        <f>PR!F146</f>
        <v>0</v>
      </c>
      <c r="W132" s="109">
        <f>'Z Score'!I146</f>
        <v>0</v>
      </c>
      <c r="X132" s="109">
        <f>'Z Score'!L146</f>
        <v>0</v>
      </c>
      <c r="Y132" s="109">
        <f>'Z Score'!O146</f>
        <v>0</v>
      </c>
      <c r="Z132" s="109">
        <f>'Z Score'!R146</f>
        <v>0</v>
      </c>
      <c r="AA132" s="109">
        <f>'Z Score'!S146</f>
        <v>0</v>
      </c>
    </row>
    <row r="133" spans="1:27" ht="15" customHeight="1" x14ac:dyDescent="0.3">
      <c r="A133" s="22"/>
      <c r="B133" s="23"/>
      <c r="C133" s="4"/>
      <c r="D133" s="23">
        <v>2016</v>
      </c>
      <c r="E133" s="25">
        <f>'Current Ratio'!G147</f>
        <v>0</v>
      </c>
      <c r="F133" s="25">
        <f>'Cash Ratio'!G147</f>
        <v>0</v>
      </c>
      <c r="G133" s="25">
        <f>DAR!G147</f>
        <v>0</v>
      </c>
      <c r="H133" s="25">
        <f>DER!G147</f>
        <v>0</v>
      </c>
      <c r="I133" s="25">
        <f>NPM!G147</f>
        <v>0</v>
      </c>
      <c r="J133" s="25">
        <f>ROA!G147</f>
        <v>0</v>
      </c>
      <c r="K133" s="25">
        <f>ROE!G147</f>
        <v>0</v>
      </c>
      <c r="L133" s="25">
        <f>KM!E147</f>
        <v>0</v>
      </c>
      <c r="M133" s="24">
        <f>KI!E147</f>
        <v>0</v>
      </c>
      <c r="N133" s="108">
        <f>IO!E147</f>
        <v>0</v>
      </c>
      <c r="O133" s="24">
        <f>'BoC Size'!E147</f>
        <v>0</v>
      </c>
      <c r="P133" s="24">
        <f>'TMT E DK'!E147</f>
        <v>0</v>
      </c>
      <c r="Q133" s="24">
        <f>Data!R147</f>
        <v>0</v>
      </c>
      <c r="R133" s="24">
        <f>Data!S147</f>
        <v>0</v>
      </c>
      <c r="S133" s="24">
        <f>'TMT E DK'!E147</f>
        <v>0</v>
      </c>
      <c r="T133" s="24">
        <f>'TMT E DD'!E147</f>
        <v>0</v>
      </c>
      <c r="U133" s="24">
        <f>TA!E147</f>
        <v>0</v>
      </c>
      <c r="V133" s="109">
        <f>PR!F147</f>
        <v>0</v>
      </c>
      <c r="W133" s="109">
        <f>'Z Score'!I147</f>
        <v>0</v>
      </c>
      <c r="X133" s="109">
        <f>'Z Score'!L147</f>
        <v>0</v>
      </c>
      <c r="Y133" s="109">
        <f>'Z Score'!O147</f>
        <v>0</v>
      </c>
      <c r="Z133" s="109">
        <f>'Z Score'!R147</f>
        <v>0</v>
      </c>
      <c r="AA133" s="109">
        <f>'Z Score'!S147</f>
        <v>0</v>
      </c>
    </row>
    <row r="134" spans="1:27" ht="15" customHeight="1" x14ac:dyDescent="0.3">
      <c r="A134" s="22"/>
      <c r="B134" s="23"/>
      <c r="C134" s="4"/>
      <c r="D134" s="23">
        <v>2017</v>
      </c>
      <c r="E134" s="25">
        <f>'Current Ratio'!G148</f>
        <v>0</v>
      </c>
      <c r="F134" s="25">
        <f>'Cash Ratio'!G148</f>
        <v>0</v>
      </c>
      <c r="G134" s="25">
        <f>DAR!G148</f>
        <v>0</v>
      </c>
      <c r="H134" s="25">
        <f>DER!G148</f>
        <v>0</v>
      </c>
      <c r="I134" s="25">
        <f>NPM!G148</f>
        <v>0</v>
      </c>
      <c r="J134" s="25">
        <f>ROA!G148</f>
        <v>0</v>
      </c>
      <c r="K134" s="25">
        <f>ROE!G148</f>
        <v>0</v>
      </c>
      <c r="L134" s="25">
        <f>KM!E148</f>
        <v>0</v>
      </c>
      <c r="M134" s="24">
        <f>KI!E148</f>
        <v>0</v>
      </c>
      <c r="N134" s="108">
        <f>IO!E148</f>
        <v>0</v>
      </c>
      <c r="O134" s="24">
        <f>'BoC Size'!E148</f>
        <v>0</v>
      </c>
      <c r="P134" s="24">
        <f>'TMT E DK'!E148</f>
        <v>0</v>
      </c>
      <c r="Q134" s="24">
        <f>Data!R148</f>
        <v>0</v>
      </c>
      <c r="R134" s="24">
        <f>Data!S148</f>
        <v>0</v>
      </c>
      <c r="S134" s="24">
        <f>'TMT E DK'!E148</f>
        <v>0</v>
      </c>
      <c r="T134" s="24">
        <f>'TMT E DD'!E148</f>
        <v>0</v>
      </c>
      <c r="U134" s="24">
        <f>TA!E148</f>
        <v>0</v>
      </c>
      <c r="V134" s="109">
        <f>PR!F148</f>
        <v>0</v>
      </c>
      <c r="W134" s="109">
        <f>'Z Score'!I148</f>
        <v>0</v>
      </c>
      <c r="X134" s="109">
        <f>'Z Score'!L148</f>
        <v>0</v>
      </c>
      <c r="Y134" s="109">
        <f>'Z Score'!O148</f>
        <v>0</v>
      </c>
      <c r="Z134" s="109">
        <f>'Z Score'!R148</f>
        <v>0</v>
      </c>
      <c r="AA134" s="109">
        <f>'Z Score'!S148</f>
        <v>0</v>
      </c>
    </row>
    <row r="135" spans="1:27" ht="15" customHeight="1" x14ac:dyDescent="0.3">
      <c r="A135" s="22"/>
      <c r="B135" s="23"/>
      <c r="C135" s="4"/>
      <c r="D135" s="23">
        <v>2018</v>
      </c>
      <c r="E135" s="25">
        <f>'Current Ratio'!G149</f>
        <v>0</v>
      </c>
      <c r="F135" s="25">
        <f>'Cash Ratio'!G149</f>
        <v>0</v>
      </c>
      <c r="G135" s="25">
        <f>DAR!G149</f>
        <v>0</v>
      </c>
      <c r="H135" s="25">
        <f>DER!G149</f>
        <v>0</v>
      </c>
      <c r="I135" s="25">
        <f>NPM!G149</f>
        <v>0</v>
      </c>
      <c r="J135" s="25">
        <f>ROA!G149</f>
        <v>0</v>
      </c>
      <c r="K135" s="25">
        <f>ROE!G149</f>
        <v>0</v>
      </c>
      <c r="L135" s="25">
        <f>KM!E149</f>
        <v>0</v>
      </c>
      <c r="M135" s="24">
        <f>KI!E149</f>
        <v>0</v>
      </c>
      <c r="N135" s="108">
        <f>IO!E149</f>
        <v>0</v>
      </c>
      <c r="O135" s="24">
        <f>'BoC Size'!E149</f>
        <v>0</v>
      </c>
      <c r="P135" s="24">
        <f>'TMT E DK'!E149</f>
        <v>0</v>
      </c>
      <c r="Q135" s="24">
        <f>Data!R149</f>
        <v>0</v>
      </c>
      <c r="R135" s="24">
        <f>Data!S149</f>
        <v>0</v>
      </c>
      <c r="S135" s="24">
        <f>'TMT E DK'!E149</f>
        <v>0</v>
      </c>
      <c r="T135" s="24">
        <f>'TMT E DD'!E149</f>
        <v>0</v>
      </c>
      <c r="U135" s="24">
        <f>TA!E149</f>
        <v>0</v>
      </c>
      <c r="V135" s="109">
        <f>PR!F149</f>
        <v>0</v>
      </c>
      <c r="W135" s="109">
        <f>'Z Score'!I149</f>
        <v>0</v>
      </c>
      <c r="X135" s="109">
        <f>'Z Score'!L149</f>
        <v>0</v>
      </c>
      <c r="Y135" s="109">
        <f>'Z Score'!O149</f>
        <v>0</v>
      </c>
      <c r="Z135" s="109">
        <f>'Z Score'!R149</f>
        <v>0</v>
      </c>
      <c r="AA135" s="109">
        <f>'Z Score'!S149</f>
        <v>0</v>
      </c>
    </row>
    <row r="136" spans="1:27" ht="15" customHeight="1" x14ac:dyDescent="0.3">
      <c r="A136" s="22"/>
      <c r="B136" s="23"/>
      <c r="C136" s="4"/>
      <c r="D136" s="23">
        <v>2019</v>
      </c>
      <c r="E136" s="25">
        <f>'Current Ratio'!G150</f>
        <v>0</v>
      </c>
      <c r="F136" s="25">
        <f>'Cash Ratio'!G150</f>
        <v>0</v>
      </c>
      <c r="G136" s="25">
        <f>DAR!G150</f>
        <v>0</v>
      </c>
      <c r="H136" s="25">
        <f>DER!G150</f>
        <v>0</v>
      </c>
      <c r="I136" s="25">
        <f>NPM!G150</f>
        <v>0</v>
      </c>
      <c r="J136" s="25">
        <f>ROA!G150</f>
        <v>0</v>
      </c>
      <c r="K136" s="25">
        <f>ROE!G150</f>
        <v>0</v>
      </c>
      <c r="L136" s="25">
        <f>KM!E150</f>
        <v>0</v>
      </c>
      <c r="M136" s="24">
        <f>KI!E150</f>
        <v>0</v>
      </c>
      <c r="N136" s="108">
        <f>IO!E150</f>
        <v>0</v>
      </c>
      <c r="O136" s="24">
        <f>'BoC Size'!E150</f>
        <v>0</v>
      </c>
      <c r="P136" s="24">
        <f>'TMT E DK'!E150</f>
        <v>0</v>
      </c>
      <c r="Q136" s="24">
        <f>Data!R150</f>
        <v>0</v>
      </c>
      <c r="R136" s="24">
        <f>Data!S150</f>
        <v>0</v>
      </c>
      <c r="S136" s="24">
        <f>'TMT E DK'!E150</f>
        <v>0</v>
      </c>
      <c r="T136" s="24">
        <f>'TMT E DD'!E150</f>
        <v>0</v>
      </c>
      <c r="U136" s="24">
        <f>TA!E150</f>
        <v>0</v>
      </c>
      <c r="V136" s="109">
        <f>PR!F150</f>
        <v>0</v>
      </c>
      <c r="W136" s="109">
        <f>'Z Score'!I150</f>
        <v>0</v>
      </c>
      <c r="X136" s="109">
        <f>'Z Score'!L150</f>
        <v>0</v>
      </c>
      <c r="Y136" s="109">
        <f>'Z Score'!O150</f>
        <v>0</v>
      </c>
      <c r="Z136" s="109">
        <f>'Z Score'!R150</f>
        <v>0</v>
      </c>
      <c r="AA136" s="109">
        <f>'Z Score'!S150</f>
        <v>0</v>
      </c>
    </row>
    <row r="137" spans="1:27" ht="15" customHeight="1" x14ac:dyDescent="0.3">
      <c r="A137" s="22"/>
      <c r="B137" s="23"/>
      <c r="C137" s="4"/>
      <c r="D137" s="23">
        <v>2020</v>
      </c>
      <c r="E137" s="25">
        <f>'Current Ratio'!G151</f>
        <v>0</v>
      </c>
      <c r="F137" s="25">
        <f>'Cash Ratio'!G151</f>
        <v>0</v>
      </c>
      <c r="G137" s="25">
        <f>DAR!G151</f>
        <v>0</v>
      </c>
      <c r="H137" s="25">
        <f>DER!G151</f>
        <v>0</v>
      </c>
      <c r="I137" s="25">
        <f>NPM!G151</f>
        <v>0</v>
      </c>
      <c r="J137" s="25">
        <f>ROA!G151</f>
        <v>0</v>
      </c>
      <c r="K137" s="25">
        <f>ROE!G151</f>
        <v>0</v>
      </c>
      <c r="L137" s="25">
        <f>KM!E151</f>
        <v>0</v>
      </c>
      <c r="M137" s="24">
        <f>KI!E151</f>
        <v>0</v>
      </c>
      <c r="N137" s="108">
        <f>IO!E151</f>
        <v>0</v>
      </c>
      <c r="O137" s="24">
        <f>'BoC Size'!E151</f>
        <v>0</v>
      </c>
      <c r="P137" s="24">
        <f>'TMT E DK'!E151</f>
        <v>0</v>
      </c>
      <c r="Q137" s="24">
        <f>Data!R151</f>
        <v>0</v>
      </c>
      <c r="R137" s="24">
        <f>Data!S151</f>
        <v>0</v>
      </c>
      <c r="S137" s="24">
        <f>'TMT E DK'!E151</f>
        <v>0</v>
      </c>
      <c r="T137" s="24">
        <f>'TMT E DD'!E151</f>
        <v>0</v>
      </c>
      <c r="U137" s="24">
        <f>TA!E151</f>
        <v>0</v>
      </c>
      <c r="V137" s="109">
        <f>PR!F151</f>
        <v>0</v>
      </c>
      <c r="W137" s="109">
        <f>'Z Score'!I151</f>
        <v>0</v>
      </c>
      <c r="X137" s="109">
        <f>'Z Score'!L151</f>
        <v>0</v>
      </c>
      <c r="Y137" s="109">
        <f>'Z Score'!O151</f>
        <v>0</v>
      </c>
      <c r="Z137" s="109">
        <f>'Z Score'!R151</f>
        <v>0</v>
      </c>
      <c r="AA137" s="109">
        <f>'Z Score'!S151</f>
        <v>0</v>
      </c>
    </row>
    <row r="138" spans="1:27" ht="15" customHeight="1" x14ac:dyDescent="0.3">
      <c r="A138" s="22"/>
      <c r="B138" s="23"/>
      <c r="C138" s="4"/>
      <c r="D138" s="23">
        <v>2021</v>
      </c>
      <c r="E138" s="25">
        <f>'Current Ratio'!G152</f>
        <v>0</v>
      </c>
      <c r="F138" s="25">
        <f>'Cash Ratio'!G152</f>
        <v>0</v>
      </c>
      <c r="G138" s="25">
        <f>DAR!G152</f>
        <v>0</v>
      </c>
      <c r="H138" s="25">
        <f>DER!G152</f>
        <v>0</v>
      </c>
      <c r="I138" s="25">
        <f>NPM!G152</f>
        <v>0</v>
      </c>
      <c r="J138" s="25">
        <f>ROA!G152</f>
        <v>0</v>
      </c>
      <c r="K138" s="25">
        <f>ROE!G152</f>
        <v>0</v>
      </c>
      <c r="L138" s="25">
        <f>KM!E152</f>
        <v>0</v>
      </c>
      <c r="M138" s="24">
        <f>KI!E152</f>
        <v>0</v>
      </c>
      <c r="N138" s="108">
        <f>IO!E152</f>
        <v>0</v>
      </c>
      <c r="O138" s="24">
        <f>'BoC Size'!E152</f>
        <v>0</v>
      </c>
      <c r="P138" s="24">
        <f>'TMT E DK'!E152</f>
        <v>0</v>
      </c>
      <c r="Q138" s="24">
        <f>Data!R152</f>
        <v>0</v>
      </c>
      <c r="R138" s="24">
        <f>Data!S152</f>
        <v>0</v>
      </c>
      <c r="S138" s="24">
        <f>'TMT E DK'!E152</f>
        <v>0</v>
      </c>
      <c r="T138" s="24">
        <f>'TMT E DD'!E152</f>
        <v>0</v>
      </c>
      <c r="U138" s="24">
        <f>TA!E152</f>
        <v>0</v>
      </c>
      <c r="V138" s="109">
        <f>PR!F152</f>
        <v>0</v>
      </c>
      <c r="W138" s="109">
        <f>'Z Score'!I152</f>
        <v>0</v>
      </c>
      <c r="X138" s="109">
        <f>'Z Score'!L152</f>
        <v>0</v>
      </c>
      <c r="Y138" s="109">
        <f>'Z Score'!O152</f>
        <v>0</v>
      </c>
      <c r="Z138" s="109">
        <f>'Z Score'!R152</f>
        <v>0</v>
      </c>
      <c r="AA138" s="109">
        <f>'Z Score'!S152</f>
        <v>0</v>
      </c>
    </row>
    <row r="139" spans="1:27" ht="15" customHeight="1" x14ac:dyDescent="0.3">
      <c r="A139" s="22"/>
      <c r="B139" s="23"/>
      <c r="C139" s="4"/>
      <c r="D139" s="23">
        <v>2022</v>
      </c>
      <c r="E139" s="25">
        <f>'Current Ratio'!G153</f>
        <v>0</v>
      </c>
      <c r="F139" s="25">
        <f>'Cash Ratio'!G153</f>
        <v>0</v>
      </c>
      <c r="G139" s="25">
        <f>DAR!G153</f>
        <v>0</v>
      </c>
      <c r="H139" s="25">
        <f>DER!G153</f>
        <v>0</v>
      </c>
      <c r="I139" s="25">
        <f>NPM!G153</f>
        <v>0</v>
      </c>
      <c r="J139" s="25">
        <f>ROA!G153</f>
        <v>0</v>
      </c>
      <c r="K139" s="25">
        <f>ROE!G153</f>
        <v>0</v>
      </c>
      <c r="L139" s="25">
        <f>KM!E153</f>
        <v>0</v>
      </c>
      <c r="M139" s="24">
        <f>KI!E153</f>
        <v>0</v>
      </c>
      <c r="N139" s="108">
        <f>IO!E153</f>
        <v>0</v>
      </c>
      <c r="O139" s="24">
        <f>'BoC Size'!E153</f>
        <v>0</v>
      </c>
      <c r="P139" s="24">
        <f>'TMT E DK'!E153</f>
        <v>0</v>
      </c>
      <c r="Q139" s="24">
        <f>Data!R153</f>
        <v>0</v>
      </c>
      <c r="R139" s="24">
        <f>Data!S153</f>
        <v>0</v>
      </c>
      <c r="S139" s="24">
        <f>'TMT E DK'!E153</f>
        <v>0</v>
      </c>
      <c r="T139" s="24">
        <f>'TMT E DD'!E153</f>
        <v>0</v>
      </c>
      <c r="U139" s="24">
        <f>TA!E153</f>
        <v>0</v>
      </c>
      <c r="V139" s="109">
        <f>PR!F153</f>
        <v>0</v>
      </c>
      <c r="W139" s="109">
        <f>'Z Score'!I153</f>
        <v>0</v>
      </c>
      <c r="X139" s="109">
        <f>'Z Score'!L153</f>
        <v>0</v>
      </c>
      <c r="Y139" s="109">
        <f>'Z Score'!O153</f>
        <v>0</v>
      </c>
      <c r="Z139" s="109">
        <f>'Z Score'!R153</f>
        <v>0</v>
      </c>
      <c r="AA139" s="109">
        <f>'Z Score'!S153</f>
        <v>0</v>
      </c>
    </row>
    <row r="140" spans="1:27" ht="15" customHeight="1" x14ac:dyDescent="0.3">
      <c r="A140" s="22"/>
      <c r="B140" s="23"/>
      <c r="C140" s="4"/>
      <c r="D140" s="23">
        <v>2023</v>
      </c>
      <c r="E140" s="25">
        <f>'Current Ratio'!G154</f>
        <v>0</v>
      </c>
      <c r="F140" s="25">
        <f>'Cash Ratio'!G154</f>
        <v>0</v>
      </c>
      <c r="G140" s="25">
        <f>DAR!G154</f>
        <v>0</v>
      </c>
      <c r="H140" s="25">
        <f>DER!G154</f>
        <v>0</v>
      </c>
      <c r="I140" s="25">
        <f>NPM!G154</f>
        <v>0</v>
      </c>
      <c r="J140" s="25">
        <f>ROA!G154</f>
        <v>0</v>
      </c>
      <c r="K140" s="25">
        <f>ROE!G154</f>
        <v>0</v>
      </c>
      <c r="L140" s="25">
        <f>KM!E154</f>
        <v>0</v>
      </c>
      <c r="M140" s="24">
        <f>KI!E154</f>
        <v>0</v>
      </c>
      <c r="N140" s="108">
        <f>IO!E154</f>
        <v>0</v>
      </c>
      <c r="O140" s="24">
        <f>'BoC Size'!E154</f>
        <v>0</v>
      </c>
      <c r="P140" s="24">
        <f>'TMT E DK'!E154</f>
        <v>0</v>
      </c>
      <c r="Q140" s="24">
        <f>Data!R154</f>
        <v>0</v>
      </c>
      <c r="R140" s="24">
        <f>Data!S154</f>
        <v>0</v>
      </c>
      <c r="S140" s="24">
        <f>'TMT E DK'!E154</f>
        <v>0</v>
      </c>
      <c r="T140" s="24">
        <f>'TMT E DD'!E154</f>
        <v>0</v>
      </c>
      <c r="U140" s="24">
        <f>TA!E154</f>
        <v>0</v>
      </c>
      <c r="V140" s="109">
        <f>PR!F154</f>
        <v>0</v>
      </c>
      <c r="W140" s="109">
        <f>'Z Score'!I154</f>
        <v>0</v>
      </c>
      <c r="X140" s="109">
        <f>'Z Score'!L154</f>
        <v>0</v>
      </c>
      <c r="Y140" s="109">
        <f>'Z Score'!O154</f>
        <v>0</v>
      </c>
      <c r="Z140" s="109">
        <f>'Z Score'!R154</f>
        <v>0</v>
      </c>
      <c r="AA140" s="109">
        <f>'Z Score'!S154</f>
        <v>0</v>
      </c>
    </row>
    <row r="141" spans="1:27" ht="15" customHeight="1" x14ac:dyDescent="0.3">
      <c r="A141" s="22"/>
      <c r="B141" s="23"/>
      <c r="C141" s="4"/>
      <c r="D141" s="23">
        <v>2024</v>
      </c>
      <c r="E141" s="25">
        <f>'Current Ratio'!G155</f>
        <v>1.5496164213145345</v>
      </c>
      <c r="F141" s="25">
        <f>'Cash Ratio'!G155</f>
        <v>0.64694173750777528</v>
      </c>
      <c r="G141" s="25">
        <f>DAR!G155</f>
        <v>0.13306898924920413</v>
      </c>
      <c r="H141" s="25">
        <f>DER!G155</f>
        <v>0.49476534612396084</v>
      </c>
      <c r="I141" s="25">
        <f>NPM!G155</f>
        <v>4.9319932595089072E-2</v>
      </c>
      <c r="J141" s="25">
        <f>ROA!G155</f>
        <v>2.5753514199786933E-3</v>
      </c>
      <c r="K141" s="25">
        <f>ROE!G155</f>
        <v>9.5754438647636525E-3</v>
      </c>
      <c r="L141" s="25">
        <f>KM!E155</f>
        <v>0.99</v>
      </c>
      <c r="M141" s="24">
        <f>KI!E155</f>
        <v>2</v>
      </c>
      <c r="N141" s="108">
        <f>IO!E155</f>
        <v>0</v>
      </c>
      <c r="O141" s="24">
        <f>'BoC Size'!E155</f>
        <v>3</v>
      </c>
      <c r="P141" s="24">
        <f>'TMT E DK'!E155</f>
        <v>0</v>
      </c>
      <c r="Q141" s="24">
        <f>Data!R155</f>
        <v>3</v>
      </c>
      <c r="R141" s="24">
        <f>Data!S155</f>
        <v>0</v>
      </c>
      <c r="S141" s="24">
        <f>'TMT E DK'!E155</f>
        <v>0</v>
      </c>
      <c r="T141" s="24">
        <f>'TMT E DD'!E155</f>
        <v>0</v>
      </c>
      <c r="U141" s="24">
        <f>TA!E155</f>
        <v>1272836000000</v>
      </c>
      <c r="V141" s="109">
        <f>PR!F155</f>
        <v>0</v>
      </c>
      <c r="W141" s="109">
        <f>'Z Score'!I155</f>
        <v>0.2732362692444274</v>
      </c>
      <c r="X141" s="109">
        <f>'Z Score'!L155</f>
        <v>7.8475467381500831E-3</v>
      </c>
      <c r="Y141" s="109">
        <f>'Z Score'!O155</f>
        <v>3.4649679927343351E-2</v>
      </c>
      <c r="Z141" s="109">
        <f>'Z Score'!R155</f>
        <v>2.12221815498155</v>
      </c>
      <c r="AA141" s="109">
        <f>'Z Score'!S155</f>
        <v>2.4379516508914709</v>
      </c>
    </row>
    <row r="142" spans="1:27" ht="15" customHeight="1" x14ac:dyDescent="0.3">
      <c r="A142" s="22"/>
      <c r="B142" s="23">
        <v>15</v>
      </c>
      <c r="C142" s="3" t="s">
        <v>25</v>
      </c>
      <c r="D142" s="23">
        <v>2015</v>
      </c>
      <c r="E142" s="25">
        <f>'Current Ratio'!G157</f>
        <v>0</v>
      </c>
      <c r="F142" s="25">
        <f>'Cash Ratio'!G157</f>
        <v>0</v>
      </c>
      <c r="G142" s="25">
        <f>DAR!G157</f>
        <v>0</v>
      </c>
      <c r="H142" s="25">
        <f>DER!G157</f>
        <v>0</v>
      </c>
      <c r="I142" s="25">
        <f>NPM!G157</f>
        <v>0</v>
      </c>
      <c r="J142" s="25">
        <f>ROA!G157</f>
        <v>0</v>
      </c>
      <c r="K142" s="25">
        <f>ROE!G157</f>
        <v>0</v>
      </c>
      <c r="L142" s="25">
        <f>KM!E157</f>
        <v>0</v>
      </c>
      <c r="M142" s="24">
        <f>KI!E157</f>
        <v>0</v>
      </c>
      <c r="N142" s="108">
        <f>IO!E157</f>
        <v>0</v>
      </c>
      <c r="O142" s="24">
        <f>'BoC Size'!E157</f>
        <v>0</v>
      </c>
      <c r="P142" s="24">
        <f>'TMT E DK'!E157</f>
        <v>0</v>
      </c>
      <c r="Q142" s="24">
        <f>Data!R157</f>
        <v>0</v>
      </c>
      <c r="R142" s="24">
        <f>Data!S157</f>
        <v>0</v>
      </c>
      <c r="S142" s="24">
        <f>'TMT E DK'!E157</f>
        <v>0</v>
      </c>
      <c r="T142" s="24">
        <f>'TMT E DD'!E157</f>
        <v>0</v>
      </c>
      <c r="U142" s="24">
        <f>TA!E157</f>
        <v>0</v>
      </c>
      <c r="V142" s="109">
        <f>PR!F157</f>
        <v>0</v>
      </c>
      <c r="W142" s="109">
        <f>'Z Score'!I157</f>
        <v>0</v>
      </c>
      <c r="X142" s="109">
        <f>'Z Score'!L157</f>
        <v>0</v>
      </c>
      <c r="Y142" s="109">
        <f>'Z Score'!O157</f>
        <v>0</v>
      </c>
      <c r="Z142" s="109">
        <f>'Z Score'!R157</f>
        <v>0</v>
      </c>
      <c r="AA142" s="109">
        <f>'Z Score'!S157</f>
        <v>0</v>
      </c>
    </row>
    <row r="143" spans="1:27" ht="15" customHeight="1" x14ac:dyDescent="0.3">
      <c r="A143" s="22"/>
      <c r="B143" s="23"/>
      <c r="C143" s="3"/>
      <c r="D143" s="23">
        <v>2016</v>
      </c>
      <c r="E143" s="25">
        <f>'Current Ratio'!G158</f>
        <v>0</v>
      </c>
      <c r="F143" s="25">
        <f>'Cash Ratio'!G158</f>
        <v>0</v>
      </c>
      <c r="G143" s="25">
        <f>DAR!G158</f>
        <v>0</v>
      </c>
      <c r="H143" s="25">
        <f>DER!G158</f>
        <v>0</v>
      </c>
      <c r="I143" s="25">
        <f>NPM!G158</f>
        <v>0</v>
      </c>
      <c r="J143" s="25">
        <f>ROA!G158</f>
        <v>0</v>
      </c>
      <c r="K143" s="25">
        <f>ROE!G158</f>
        <v>0</v>
      </c>
      <c r="L143" s="25">
        <f>KM!E158</f>
        <v>0</v>
      </c>
      <c r="M143" s="24">
        <f>KI!E158</f>
        <v>0</v>
      </c>
      <c r="N143" s="108">
        <f>IO!E158</f>
        <v>0</v>
      </c>
      <c r="O143" s="24">
        <f>'BoC Size'!E158</f>
        <v>0</v>
      </c>
      <c r="P143" s="24">
        <f>'TMT E DK'!E158</f>
        <v>0</v>
      </c>
      <c r="Q143" s="24">
        <f>Data!R158</f>
        <v>0</v>
      </c>
      <c r="R143" s="24">
        <f>Data!S158</f>
        <v>0</v>
      </c>
      <c r="S143" s="24">
        <f>'TMT E DK'!E158</f>
        <v>0</v>
      </c>
      <c r="T143" s="24">
        <f>'TMT E DD'!E158</f>
        <v>0</v>
      </c>
      <c r="U143" s="24">
        <f>TA!E158</f>
        <v>0</v>
      </c>
      <c r="V143" s="109">
        <f>PR!F158</f>
        <v>0</v>
      </c>
      <c r="W143" s="109">
        <f>'Z Score'!I158</f>
        <v>0</v>
      </c>
      <c r="X143" s="109">
        <f>'Z Score'!L158</f>
        <v>0</v>
      </c>
      <c r="Y143" s="109">
        <f>'Z Score'!O158</f>
        <v>0</v>
      </c>
      <c r="Z143" s="109">
        <f>'Z Score'!R158</f>
        <v>0</v>
      </c>
      <c r="AA143" s="109">
        <f>'Z Score'!S158</f>
        <v>0</v>
      </c>
    </row>
    <row r="144" spans="1:27" ht="15" customHeight="1" x14ac:dyDescent="0.3">
      <c r="A144" s="22"/>
      <c r="B144" s="23"/>
      <c r="C144" s="3"/>
      <c r="D144" s="23">
        <v>2017</v>
      </c>
      <c r="E144" s="25">
        <f>'Current Ratio'!G159</f>
        <v>1.2126101910445115</v>
      </c>
      <c r="F144" s="25">
        <f>'Cash Ratio'!G159</f>
        <v>4.9010592299630992E-2</v>
      </c>
      <c r="G144" s="25">
        <f>DAR!G159</f>
        <v>0.23164486947925012</v>
      </c>
      <c r="H144" s="25">
        <f>DER!G159</f>
        <v>0.30148151587437655</v>
      </c>
      <c r="I144" s="25">
        <f>NPM!G159</f>
        <v>1.9973405430978971E-2</v>
      </c>
      <c r="J144" s="25">
        <f>ROA!G159</f>
        <v>2.4781801656843841E-3</v>
      </c>
      <c r="K144" s="25">
        <f>ROE!G159</f>
        <v>3.2253056786447258E-3</v>
      </c>
      <c r="L144" s="25">
        <f>KM!E159</f>
        <v>0</v>
      </c>
      <c r="M144" s="24">
        <f>KI!E159</f>
        <v>0</v>
      </c>
      <c r="N144" s="108">
        <f>IO!E159</f>
        <v>0</v>
      </c>
      <c r="O144" s="24">
        <f>'BoC Size'!E159</f>
        <v>0</v>
      </c>
      <c r="P144" s="24">
        <f>'TMT E DK'!E159</f>
        <v>0</v>
      </c>
      <c r="Q144" s="24">
        <f>Data!R159</f>
        <v>0</v>
      </c>
      <c r="R144" s="24">
        <f>Data!S159</f>
        <v>0</v>
      </c>
      <c r="S144" s="24">
        <f>'TMT E DK'!E159</f>
        <v>0</v>
      </c>
      <c r="T144" s="24">
        <f>'TMT E DD'!E159</f>
        <v>0</v>
      </c>
      <c r="U144" s="24">
        <f>TA!E159</f>
        <v>202382380000</v>
      </c>
      <c r="V144" s="109">
        <f>PR!F159</f>
        <v>0</v>
      </c>
      <c r="W144" s="109">
        <f>'Z Score'!I159</f>
        <v>0.13526964155674026</v>
      </c>
      <c r="X144" s="109">
        <f>'Z Score'!L159</f>
        <v>8.0788673401310917E-3</v>
      </c>
      <c r="Y144" s="109">
        <f>'Z Score'!O159</f>
        <v>1.5040297480442714E-2</v>
      </c>
      <c r="Z144" s="109">
        <f>'Z Score'!R159</f>
        <v>3.4828005854843895</v>
      </c>
      <c r="AA144" s="109">
        <f>'Z Score'!S159</f>
        <v>3.6411893918617038</v>
      </c>
    </row>
    <row r="145" spans="1:27" ht="15" customHeight="1" x14ac:dyDescent="0.3">
      <c r="A145" s="22"/>
      <c r="B145" s="23"/>
      <c r="C145" s="3"/>
      <c r="D145" s="23">
        <v>2018</v>
      </c>
      <c r="E145" s="25">
        <f>'Current Ratio'!G160</f>
        <v>4.7427580030907945</v>
      </c>
      <c r="F145" s="25">
        <f>'Cash Ratio'!G160</f>
        <v>0.39781194372611711</v>
      </c>
      <c r="G145" s="25">
        <f>DAR!G160</f>
        <v>0.340161972763521</v>
      </c>
      <c r="H145" s="25">
        <f>DER!G160</f>
        <v>0.51552344472806588</v>
      </c>
      <c r="I145" s="25">
        <f>NPM!G160</f>
        <v>2.8845168167685946E-2</v>
      </c>
      <c r="J145" s="25">
        <f>ROA!G160</f>
        <v>6.1392427678719688E-3</v>
      </c>
      <c r="K145" s="25">
        <f>ROE!G160</f>
        <v>9.3041663475871925E-3</v>
      </c>
      <c r="L145" s="25">
        <f>KM!E160</f>
        <v>0.99</v>
      </c>
      <c r="M145" s="24">
        <f>KI!E160</f>
        <v>2</v>
      </c>
      <c r="N145" s="108">
        <f>IO!E160</f>
        <v>0</v>
      </c>
      <c r="O145" s="24">
        <f>'BoC Size'!E160</f>
        <v>3</v>
      </c>
      <c r="P145" s="24">
        <f>'TMT E DK'!E160</f>
        <v>0</v>
      </c>
      <c r="Q145" s="24">
        <f>Data!R160</f>
        <v>3</v>
      </c>
      <c r="R145" s="24">
        <f>Data!S160</f>
        <v>0</v>
      </c>
      <c r="S145" s="24">
        <f>'TMT E DK'!E160</f>
        <v>0</v>
      </c>
      <c r="T145" s="24">
        <f>'TMT E DD'!E160</f>
        <v>0</v>
      </c>
      <c r="U145" s="24">
        <f>TA!E160</f>
        <v>237879500000</v>
      </c>
      <c r="V145" s="109">
        <f>PR!F160</f>
        <v>1.0162542278315869</v>
      </c>
      <c r="W145" s="109">
        <f>'Z Score'!I160</f>
        <v>1.6009078277026809</v>
      </c>
      <c r="X145" s="109">
        <f>'Z Score'!L160</f>
        <v>2.5974941934887197E-2</v>
      </c>
      <c r="Y145" s="109">
        <f>'Z Score'!O160</f>
        <v>3.7686374824228229E-2</v>
      </c>
      <c r="Z145" s="109">
        <f>'Z Score'!R160</f>
        <v>2.0367647887553701</v>
      </c>
      <c r="AA145" s="109">
        <f>'Z Score'!S160</f>
        <v>3.7013339332171666</v>
      </c>
    </row>
    <row r="146" spans="1:27" ht="15" customHeight="1" x14ac:dyDescent="0.3">
      <c r="A146" s="22"/>
      <c r="B146" s="23"/>
      <c r="C146" s="3"/>
      <c r="D146" s="23">
        <v>2019</v>
      </c>
      <c r="E146" s="25">
        <f>'Current Ratio'!G161</f>
        <v>3.2586494185267112</v>
      </c>
      <c r="F146" s="25">
        <f>'Cash Ratio'!G161</f>
        <v>0.26836011127160708</v>
      </c>
      <c r="G146" s="25">
        <f>DAR!G161</f>
        <v>0.36079582831398976</v>
      </c>
      <c r="H146" s="25">
        <f>DER!G161</f>
        <v>0.56444535923839345</v>
      </c>
      <c r="I146" s="25">
        <f>NPM!G161</f>
        <v>8.6075815935684252E-2</v>
      </c>
      <c r="J146" s="25">
        <f>ROA!G161</f>
        <v>2.1467500805515356E-2</v>
      </c>
      <c r="K146" s="25">
        <f>ROE!G161</f>
        <v>3.3584732009634972E-2</v>
      </c>
      <c r="L146" s="25">
        <f>KM!E161</f>
        <v>0.99</v>
      </c>
      <c r="M146" s="24">
        <f>KI!E161</f>
        <v>2</v>
      </c>
      <c r="N146" s="108">
        <f>IO!E161</f>
        <v>0</v>
      </c>
      <c r="O146" s="24">
        <f>'BoC Size'!E161</f>
        <v>3</v>
      </c>
      <c r="P146" s="24">
        <f>'TMT E DK'!E161</f>
        <v>0</v>
      </c>
      <c r="Q146" s="24">
        <f>Data!R161</f>
        <v>3</v>
      </c>
      <c r="R146" s="24">
        <f>Data!S161</f>
        <v>0</v>
      </c>
      <c r="S146" s="24">
        <f>'TMT E DK'!E161</f>
        <v>0</v>
      </c>
      <c r="T146" s="24">
        <f>'TMT E DD'!E161</f>
        <v>0</v>
      </c>
      <c r="U146" s="24">
        <f>TA!E161</f>
        <v>254091990000</v>
      </c>
      <c r="V146" s="109">
        <f>PR!F161</f>
        <v>0.25167784505815155</v>
      </c>
      <c r="W146" s="109">
        <f>'Z Score'!I161</f>
        <v>1.083118025090047</v>
      </c>
      <c r="X146" s="109">
        <f>'Z Score'!L161</f>
        <v>5.7291206228106593E-2</v>
      </c>
      <c r="Y146" s="109">
        <f>'Z Score'!O161</f>
        <v>6.3682800862789893E-2</v>
      </c>
      <c r="Z146" s="109">
        <f>'Z Score'!R161</f>
        <v>1.8602332055963147</v>
      </c>
      <c r="AA146" s="109">
        <f>'Z Score'!S161</f>
        <v>3.0643252377772581</v>
      </c>
    </row>
    <row r="147" spans="1:27" ht="15" customHeight="1" x14ac:dyDescent="0.3">
      <c r="A147" s="22"/>
      <c r="B147" s="23"/>
      <c r="C147" s="3"/>
      <c r="D147" s="23">
        <v>2020</v>
      </c>
      <c r="E147" s="25">
        <f>'Current Ratio'!G162</f>
        <v>2.3246212218147142</v>
      </c>
      <c r="F147" s="25">
        <f>'Cash Ratio'!G162</f>
        <v>4.6358220655044829E-2</v>
      </c>
      <c r="G147" s="25">
        <f>DAR!G162</f>
        <v>0.44359824155172994</v>
      </c>
      <c r="H147" s="25">
        <f>DER!G162</f>
        <v>0.79726247233449798</v>
      </c>
      <c r="I147" s="25">
        <f>NPM!G162</f>
        <v>3.9801812719509555E-2</v>
      </c>
      <c r="J147" s="25">
        <f>ROA!G162</f>
        <v>1.1361119500654384E-2</v>
      </c>
      <c r="K147" s="25">
        <f>ROE!G162</f>
        <v>2.0418913722233777E-2</v>
      </c>
      <c r="L147" s="25">
        <f>KM!E162</f>
        <v>0.99</v>
      </c>
      <c r="M147" s="24">
        <f>KI!E162</f>
        <v>2</v>
      </c>
      <c r="N147" s="108">
        <f>IO!E162</f>
        <v>0</v>
      </c>
      <c r="O147" s="24">
        <f>'BoC Size'!E162</f>
        <v>3</v>
      </c>
      <c r="P147" s="24">
        <f>'TMT E DK'!E162</f>
        <v>0</v>
      </c>
      <c r="Q147" s="24">
        <f>Data!R162</f>
        <v>3</v>
      </c>
      <c r="R147" s="24">
        <f>Data!S162</f>
        <v>0</v>
      </c>
      <c r="S147" s="24">
        <f>'TMT E DK'!E162</f>
        <v>0</v>
      </c>
      <c r="T147" s="24">
        <f>'TMT E DD'!E162</f>
        <v>0</v>
      </c>
      <c r="U147" s="24">
        <f>TA!E162</f>
        <v>297990000000</v>
      </c>
      <c r="V147" s="109">
        <f>PR!F162</f>
        <v>0.34223528671030062</v>
      </c>
      <c r="W147" s="109">
        <f>'Z Score'!I162</f>
        <v>1.0825122722239</v>
      </c>
      <c r="X147" s="109">
        <f>'Z Score'!L162</f>
        <v>0.13001174066243831</v>
      </c>
      <c r="Y147" s="109">
        <f>'Z Score'!O162</f>
        <v>0.16402379140239604</v>
      </c>
      <c r="Z147" s="109">
        <f>'Z Score'!R162</f>
        <v>1.3170066777700582</v>
      </c>
      <c r="AA147" s="109">
        <f>'Z Score'!S162</f>
        <v>2.6935544820587927</v>
      </c>
    </row>
    <row r="148" spans="1:27" ht="15" customHeight="1" x14ac:dyDescent="0.3">
      <c r="A148" s="22"/>
      <c r="B148" s="23"/>
      <c r="C148" s="3"/>
      <c r="D148" s="23">
        <v>2021</v>
      </c>
      <c r="E148" s="25">
        <f>'Current Ratio'!G163</f>
        <v>1.6827688947852182</v>
      </c>
      <c r="F148" s="25">
        <f>'Cash Ratio'!G163</f>
        <v>4.4821179132852294E-2</v>
      </c>
      <c r="G148" s="25">
        <f>DAR!G163</f>
        <v>0.52468464152487271</v>
      </c>
      <c r="H148" s="25">
        <f>DER!G163</f>
        <v>1.1038664366166224</v>
      </c>
      <c r="I148" s="25">
        <f>NPM!G163</f>
        <v>0.11200602498245196</v>
      </c>
      <c r="J148" s="25">
        <f>ROA!G163</f>
        <v>3.2158197240909521E-2</v>
      </c>
      <c r="K148" s="25">
        <f>ROE!G163</f>
        <v>6.7656553645575865E-2</v>
      </c>
      <c r="L148" s="25">
        <f>KM!E163</f>
        <v>0.99</v>
      </c>
      <c r="M148" s="24">
        <f>KI!E163</f>
        <v>1</v>
      </c>
      <c r="N148" s="108">
        <f>IO!E163</f>
        <v>0</v>
      </c>
      <c r="O148" s="24">
        <f>'BoC Size'!E163</f>
        <v>2</v>
      </c>
      <c r="P148" s="24">
        <f>'TMT E DK'!E163</f>
        <v>0</v>
      </c>
      <c r="Q148" s="24">
        <f>Data!R163</f>
        <v>2</v>
      </c>
      <c r="R148" s="24">
        <f>Data!S163</f>
        <v>0</v>
      </c>
      <c r="S148" s="24">
        <f>'TMT E DK'!E163</f>
        <v>0</v>
      </c>
      <c r="T148" s="24">
        <f>'TMT E DD'!E163</f>
        <v>0</v>
      </c>
      <c r="U148" s="24">
        <f>TA!E163</f>
        <v>374138510000</v>
      </c>
      <c r="V148" s="109">
        <f>PR!F163</f>
        <v>0.26288194985735774</v>
      </c>
      <c r="W148" s="109">
        <f>'Z Score'!I163</f>
        <v>0.81194551825205041</v>
      </c>
      <c r="X148" s="109">
        <f>'Z Score'!L163</f>
        <v>0.1148152105486281</v>
      </c>
      <c r="Y148" s="109">
        <f>'Z Score'!O163</f>
        <v>2.0463984848819759E-2</v>
      </c>
      <c r="Z148" s="109">
        <f>'Z Score'!R163</f>
        <v>0.95120203420467764</v>
      </c>
      <c r="AA148" s="109">
        <f>'Z Score'!S163</f>
        <v>1.8984267478541759</v>
      </c>
    </row>
    <row r="149" spans="1:27" ht="15" customHeight="1" x14ac:dyDescent="0.3">
      <c r="A149" s="22"/>
      <c r="B149" s="23"/>
      <c r="C149" s="3"/>
      <c r="D149" s="23">
        <v>2022</v>
      </c>
      <c r="E149" s="25">
        <f>'Current Ratio'!G164</f>
        <v>1.5721601006093173</v>
      </c>
      <c r="F149" s="25">
        <f>'Cash Ratio'!G164</f>
        <v>2.4748596981382414E-2</v>
      </c>
      <c r="G149" s="25">
        <f>DAR!G164</f>
        <v>0.56651573753863382</v>
      </c>
      <c r="H149" s="25">
        <f>DER!G164</f>
        <v>1.306888822957267</v>
      </c>
      <c r="I149" s="25">
        <f>NPM!G164</f>
        <v>5.4876580854708451E-2</v>
      </c>
      <c r="J149" s="25">
        <f>ROA!G164</f>
        <v>2.1237346852587317E-2</v>
      </c>
      <c r="K149" s="25">
        <f>ROE!G164</f>
        <v>4.8992198083500381E-2</v>
      </c>
      <c r="L149" s="25">
        <f>KM!E164</f>
        <v>0.99</v>
      </c>
      <c r="M149" s="24">
        <f>KI!E164</f>
        <v>2</v>
      </c>
      <c r="N149" s="108">
        <f>IO!E164</f>
        <v>0</v>
      </c>
      <c r="O149" s="24">
        <f>'BoC Size'!E164</f>
        <v>3</v>
      </c>
      <c r="P149" s="24">
        <f>'TMT E DK'!E164</f>
        <v>0</v>
      </c>
      <c r="Q149" s="24">
        <f>Data!R164</f>
        <v>3</v>
      </c>
      <c r="R149" s="24">
        <f>Data!S164</f>
        <v>0</v>
      </c>
      <c r="S149" s="24">
        <f>'TMT E DK'!E164</f>
        <v>0</v>
      </c>
      <c r="T149" s="24">
        <f>'TMT E DD'!E164</f>
        <v>0</v>
      </c>
      <c r="U149" s="24">
        <f>TA!E164</f>
        <v>431376860000</v>
      </c>
      <c r="V149" s="109">
        <f>PR!F164</f>
        <v>0.55412998024565396</v>
      </c>
      <c r="W149" s="109">
        <f>'Z Score'!I164</f>
        <v>0.66916410490817702</v>
      </c>
      <c r="X149" s="109">
        <f>'Z Score'!L164</f>
        <v>0.18141187916292031</v>
      </c>
      <c r="Y149" s="109">
        <f>'Z Score'!O164</f>
        <v>0.16742732839216271</v>
      </c>
      <c r="Z149" s="109">
        <f>'Z Score'!R164</f>
        <v>0.80343483053442044</v>
      </c>
      <c r="AA149" s="109">
        <f>'Z Score'!S164</f>
        <v>1.8214381429976805</v>
      </c>
    </row>
    <row r="150" spans="1:27" ht="15" customHeight="1" x14ac:dyDescent="0.3">
      <c r="A150" s="22"/>
      <c r="B150" s="23"/>
      <c r="C150" s="3"/>
      <c r="D150" s="23">
        <v>2023</v>
      </c>
      <c r="E150" s="25">
        <f>'Current Ratio'!G165</f>
        <v>1.6165858285152901</v>
      </c>
      <c r="F150" s="25">
        <f>'Cash Ratio'!G165</f>
        <v>4.6228005785605063E-2</v>
      </c>
      <c r="G150" s="25">
        <f>DAR!G165</f>
        <v>0.62028620268839485</v>
      </c>
      <c r="H150" s="25">
        <f>DER!G165</f>
        <v>1.6335624543539258</v>
      </c>
      <c r="I150" s="25">
        <f>NPM!G165</f>
        <v>3.1362370736869219E-2</v>
      </c>
      <c r="J150" s="25">
        <f>ROA!G165</f>
        <v>1.1592064637892452E-2</v>
      </c>
      <c r="K150" s="25">
        <f>ROE!G165</f>
        <v>3.05284261987974E-2</v>
      </c>
      <c r="L150" s="25">
        <f>KM!E165</f>
        <v>0.99</v>
      </c>
      <c r="M150" s="24">
        <f>KI!E165</f>
        <v>2</v>
      </c>
      <c r="N150" s="108">
        <f>IO!E165</f>
        <v>0</v>
      </c>
      <c r="O150" s="24">
        <f>'BoC Size'!E165</f>
        <v>3</v>
      </c>
      <c r="P150" s="24">
        <f>'TMT E DK'!E165</f>
        <v>0</v>
      </c>
      <c r="Q150" s="24">
        <f>Data!R165</f>
        <v>3</v>
      </c>
      <c r="R150" s="24">
        <f>Data!S165</f>
        <v>0</v>
      </c>
      <c r="S150" s="24">
        <f>'TMT E DK'!E165</f>
        <v>0</v>
      </c>
      <c r="T150" s="24">
        <f>'TMT E DD'!E165</f>
        <v>0</v>
      </c>
      <c r="U150" s="24">
        <f>TA!E165</f>
        <v>507970770000</v>
      </c>
      <c r="V150" s="109">
        <f>PR!F165</f>
        <v>0.12465824558469439</v>
      </c>
      <c r="W150" s="109">
        <f>'Z Score'!I165</f>
        <v>0.7453434692708798</v>
      </c>
      <c r="X150" s="109">
        <f>'Z Score'!L165</f>
        <v>0.1750495474375425</v>
      </c>
      <c r="Y150" s="109">
        <f>'Z Score'!O165</f>
        <v>4.1267539862579097E-2</v>
      </c>
      <c r="Z150" s="109">
        <f>'Z Score'!R165</f>
        <v>0.6427669766781432</v>
      </c>
      <c r="AA150" s="109">
        <f>'Z Score'!S165</f>
        <v>1.6044275332491447</v>
      </c>
    </row>
    <row r="151" spans="1:27" ht="15" customHeight="1" x14ac:dyDescent="0.3">
      <c r="A151" s="22"/>
      <c r="B151" s="23"/>
      <c r="C151" s="3"/>
      <c r="D151" s="23">
        <v>2024</v>
      </c>
      <c r="E151" s="25">
        <f>'Current Ratio'!G166</f>
        <v>2.6294710090361444</v>
      </c>
      <c r="F151" s="25">
        <f>'Cash Ratio'!G166</f>
        <v>0.13024002736835669</v>
      </c>
      <c r="G151" s="25">
        <f>DAR!G166</f>
        <v>0.63868056368850856</v>
      </c>
      <c r="H151" s="25">
        <f>DER!G166</f>
        <v>1.7676341195714298</v>
      </c>
      <c r="I151" s="25">
        <f>NPM!G166</f>
        <v>-1.9929184146563635E-2</v>
      </c>
      <c r="J151" s="25">
        <f>ROA!G166</f>
        <v>-1.2307116971684203E-2</v>
      </c>
      <c r="K151" s="25">
        <f>ROE!G166</f>
        <v>-3.4061596844389815E-2</v>
      </c>
      <c r="L151" s="25">
        <f>KM!E166</f>
        <v>0.99</v>
      </c>
      <c r="M151" s="24">
        <f>KI!E166</f>
        <v>2</v>
      </c>
      <c r="N151" s="108">
        <f>IO!E166</f>
        <v>0</v>
      </c>
      <c r="O151" s="24">
        <f>'BoC Size'!E166</f>
        <v>3</v>
      </c>
      <c r="P151" s="24">
        <f>'TMT E DK'!E166</f>
        <v>0</v>
      </c>
      <c r="Q151" s="24">
        <f>Data!R166</f>
        <v>3</v>
      </c>
      <c r="R151" s="24">
        <f>Data!S166</f>
        <v>0</v>
      </c>
      <c r="S151" s="24">
        <f>'TMT E DK'!E166</f>
        <v>0</v>
      </c>
      <c r="T151" s="24">
        <f>'TMT E DD'!E166</f>
        <v>0</v>
      </c>
      <c r="U151" s="24">
        <f>TA!E166</f>
        <v>516246820000</v>
      </c>
      <c r="V151" s="109">
        <f>PR!F166</f>
        <v>0.69798388982385628</v>
      </c>
      <c r="W151" s="109">
        <f>'Z Score'!I166</f>
        <v>0.86671711333737611</v>
      </c>
      <c r="X151" s="109">
        <f>'Z Score'!L166</f>
        <v>0.25393349406006993</v>
      </c>
      <c r="Y151" s="109">
        <f>'Z Score'!O166</f>
        <v>0.1659263807184323</v>
      </c>
      <c r="Z151" s="109">
        <f>'Z Score'!R166</f>
        <v>0.59401433157138706</v>
      </c>
      <c r="AA151" s="109">
        <f>'Z Score'!S166</f>
        <v>1.8805913196872655</v>
      </c>
    </row>
    <row r="152" spans="1:27" ht="15" customHeight="1" x14ac:dyDescent="0.3">
      <c r="A152" s="22"/>
      <c r="B152" s="23">
        <v>16</v>
      </c>
      <c r="C152" s="3" t="s">
        <v>44</v>
      </c>
      <c r="D152" s="23">
        <v>2015</v>
      </c>
      <c r="E152" s="25">
        <f>'Current Ratio'!G168</f>
        <v>4.0696336930059687</v>
      </c>
      <c r="F152" s="25">
        <f>'Cash Ratio'!G168</f>
        <v>3.6142590114981936E-2</v>
      </c>
      <c r="G152" s="25">
        <f>DAR!G168</f>
        <v>0.62659369820928335</v>
      </c>
      <c r="H152" s="25">
        <f>DER!G168</f>
        <v>1.6780480008087035</v>
      </c>
      <c r="I152" s="25">
        <f>NPM!G168</f>
        <v>0.19001760757961841</v>
      </c>
      <c r="J152" s="25">
        <f>ROA!G168</f>
        <v>3.9327219388493491E-2</v>
      </c>
      <c r="K152" s="25">
        <f>ROE!G168</f>
        <v>0.10532018126072028</v>
      </c>
      <c r="L152" s="25">
        <f>KM!E168</f>
        <v>0.99</v>
      </c>
      <c r="M152" s="24">
        <f>KI!E168</f>
        <v>1</v>
      </c>
      <c r="N152" s="108">
        <f>IO!E168</f>
        <v>0</v>
      </c>
      <c r="O152" s="24">
        <f>'BoC Size'!E168</f>
        <v>3</v>
      </c>
      <c r="P152" s="24">
        <f>'TMT E DK'!E168</f>
        <v>0</v>
      </c>
      <c r="Q152" s="24">
        <f>Data!R168</f>
        <v>3</v>
      </c>
      <c r="R152" s="24">
        <f>Data!S168</f>
        <v>3</v>
      </c>
      <c r="S152" s="24">
        <f>'TMT E DK'!E168</f>
        <v>0</v>
      </c>
      <c r="T152" s="24">
        <f>'TMT E DD'!E168</f>
        <v>3</v>
      </c>
      <c r="U152" s="24">
        <f>TA!E168</f>
        <v>362414130000</v>
      </c>
      <c r="V152" s="109">
        <f>PR!F168</f>
        <v>0</v>
      </c>
      <c r="W152" s="109">
        <f>'Z Score'!I168</f>
        <v>3.0370645603691</v>
      </c>
      <c r="X152" s="109">
        <f>'Z Score'!L168</f>
        <v>0.31778111741945597</v>
      </c>
      <c r="Y152" s="109">
        <f>'Z Score'!O168</f>
        <v>0.30193503547999079</v>
      </c>
      <c r="Z152" s="109">
        <f>'Z Score'!R168</f>
        <v>0.62572703492031956</v>
      </c>
      <c r="AA152" s="109">
        <f>'Z Score'!S168</f>
        <v>4.2825077481888663</v>
      </c>
    </row>
    <row r="153" spans="1:27" ht="15" customHeight="1" x14ac:dyDescent="0.3">
      <c r="A153" s="22"/>
      <c r="B153" s="23"/>
      <c r="C153" s="3"/>
      <c r="D153" s="23">
        <v>2016</v>
      </c>
      <c r="E153" s="25">
        <f>'Current Ratio'!G169</f>
        <v>13.762899676035117</v>
      </c>
      <c r="F153" s="25">
        <f>'Cash Ratio'!G169</f>
        <v>0.11288870800195068</v>
      </c>
      <c r="G153" s="25">
        <f>DAR!G169</f>
        <v>0.64106822609189074</v>
      </c>
      <c r="H153" s="25">
        <f>DER!G169</f>
        <v>1.7860447937273218</v>
      </c>
      <c r="I153" s="25">
        <f>NPM!G169</f>
        <v>0.16108386101027092</v>
      </c>
      <c r="J153" s="25">
        <f>ROA!G169</f>
        <v>4.8595752280674524E-2</v>
      </c>
      <c r="K153" s="25">
        <f>ROE!G169</f>
        <v>0.13538994263883589</v>
      </c>
      <c r="L153" s="25">
        <f>KM!E169</f>
        <v>0.99</v>
      </c>
      <c r="M153" s="24">
        <f>KI!E169</f>
        <v>1</v>
      </c>
      <c r="N153" s="108">
        <f>IO!E169</f>
        <v>0</v>
      </c>
      <c r="O153" s="24">
        <f>'BoC Size'!E169</f>
        <v>2</v>
      </c>
      <c r="P153" s="24">
        <f>'TMT E DK'!E169</f>
        <v>0</v>
      </c>
      <c r="Q153" s="24">
        <f>Data!R169</f>
        <v>2</v>
      </c>
      <c r="R153" s="24">
        <f>Data!S169</f>
        <v>4</v>
      </c>
      <c r="S153" s="24">
        <f>'TMT E DK'!E169</f>
        <v>0</v>
      </c>
      <c r="T153" s="24">
        <f>'TMT E DD'!E169</f>
        <v>4</v>
      </c>
      <c r="U153" s="24">
        <f>TA!E169</f>
        <v>436068360000</v>
      </c>
      <c r="V153" s="109">
        <f>PR!F169</f>
        <v>0.75386571497478849</v>
      </c>
      <c r="W153" s="109">
        <f>'Z Score'!I169</f>
        <v>4.2362855768760648</v>
      </c>
      <c r="X153" s="109">
        <f>'Z Score'!L169</f>
        <v>0.42252837467960297</v>
      </c>
      <c r="Y153" s="109">
        <f>'Z Score'!O169</f>
        <v>0.43117360039604796</v>
      </c>
      <c r="Z153" s="109">
        <f>'Z Score'!R169</f>
        <v>0.58789119046042537</v>
      </c>
      <c r="AA153" s="109">
        <f>'Z Score'!S169</f>
        <v>5.6778787424121404</v>
      </c>
    </row>
    <row r="154" spans="1:27" ht="15" customHeight="1" x14ac:dyDescent="0.3">
      <c r="A154" s="22"/>
      <c r="B154" s="23"/>
      <c r="C154" s="3"/>
      <c r="D154" s="23">
        <v>2017</v>
      </c>
      <c r="E154" s="25">
        <f>'Current Ratio'!G170</f>
        <v>3.3967483784985095</v>
      </c>
      <c r="F154" s="25">
        <f>'Cash Ratio'!G170</f>
        <v>4.573372418035012E-3</v>
      </c>
      <c r="G154" s="25">
        <f>DAR!G170</f>
        <v>0.75727532134920994</v>
      </c>
      <c r="H154" s="25">
        <f>DER!G170</f>
        <v>3.1198940470297796</v>
      </c>
      <c r="I154" s="25">
        <f>NPM!G170</f>
        <v>0.1573597352701385</v>
      </c>
      <c r="J154" s="25">
        <f>ROA!G170</f>
        <v>3.5232957471938921E-2</v>
      </c>
      <c r="K154" s="25">
        <f>ROE!G170</f>
        <v>0.14515604982360925</v>
      </c>
      <c r="L154" s="25">
        <f>KM!E170</f>
        <v>0.99</v>
      </c>
      <c r="M154" s="24">
        <f>KI!E170</f>
        <v>2</v>
      </c>
      <c r="N154" s="108">
        <f>IO!E170</f>
        <v>0</v>
      </c>
      <c r="O154" s="24">
        <f>'BoC Size'!E170</f>
        <v>3</v>
      </c>
      <c r="P154" s="24">
        <f>'TMT E DK'!E170</f>
        <v>0</v>
      </c>
      <c r="Q154" s="24">
        <f>Data!R170</f>
        <v>3</v>
      </c>
      <c r="R154" s="24">
        <f>Data!S170</f>
        <v>4</v>
      </c>
      <c r="S154" s="24">
        <f>'TMT E DK'!E170</f>
        <v>0</v>
      </c>
      <c r="T154" s="24">
        <f>'TMT E DD'!E170</f>
        <v>4</v>
      </c>
      <c r="U154" s="24">
        <f>TA!E170</f>
        <v>754337470000</v>
      </c>
      <c r="V154" s="109">
        <f>PR!F170</f>
        <v>0.2838678060094853</v>
      </c>
      <c r="W154" s="109">
        <f>'Z Score'!I170</f>
        <v>3.7509363823594759</v>
      </c>
      <c r="X154" s="109">
        <f>'Z Score'!L170</f>
        <v>0.35911517931092563</v>
      </c>
      <c r="Y154" s="109">
        <f>'Z Score'!O170</f>
        <v>0.29748121725943166</v>
      </c>
      <c r="Z154" s="109">
        <f>'Z Score'!R170</f>
        <v>0.33654989053222095</v>
      </c>
      <c r="AA154" s="109">
        <f>'Z Score'!S170</f>
        <v>4.7440826694620535</v>
      </c>
    </row>
    <row r="155" spans="1:27" ht="15" customHeight="1" x14ac:dyDescent="0.3">
      <c r="A155" s="22"/>
      <c r="B155" s="23"/>
      <c r="C155" s="3"/>
      <c r="D155" s="23">
        <v>2018</v>
      </c>
      <c r="E155" s="25">
        <f>'Current Ratio'!G171</f>
        <v>2.3502249696034578</v>
      </c>
      <c r="F155" s="25">
        <f>'Cash Ratio'!G171</f>
        <v>2.723230195398778E-3</v>
      </c>
      <c r="G155" s="25">
        <f>DAR!G171</f>
        <v>0.87300007377125355</v>
      </c>
      <c r="H155" s="25">
        <f>DER!G171</f>
        <v>6.8738249454620837</v>
      </c>
      <c r="I155" s="25">
        <f>NPM!G171</f>
        <v>-0.5045879911224268</v>
      </c>
      <c r="J155" s="25">
        <f>ROA!G171</f>
        <v>-9.3307111148155167E-2</v>
      </c>
      <c r="K155" s="25">
        <f>ROE!G171</f>
        <v>-0.73468120733200304</v>
      </c>
      <c r="L155" s="25">
        <f>KM!E171</f>
        <v>0.99</v>
      </c>
      <c r="M155" s="24">
        <f>KI!E171</f>
        <v>3</v>
      </c>
      <c r="N155" s="108">
        <f>IO!E171</f>
        <v>0</v>
      </c>
      <c r="O155" s="24">
        <f>'BoC Size'!E171</f>
        <v>4</v>
      </c>
      <c r="P155" s="24">
        <f>'TMT E DK'!E171</f>
        <v>0</v>
      </c>
      <c r="Q155" s="24">
        <f>Data!R171</f>
        <v>4</v>
      </c>
      <c r="R155" s="24">
        <f>Data!S171</f>
        <v>4</v>
      </c>
      <c r="S155" s="24">
        <f>'TMT E DK'!E171</f>
        <v>0</v>
      </c>
      <c r="T155" s="24">
        <f>'TMT E DD'!E171</f>
        <v>4</v>
      </c>
      <c r="U155" s="24">
        <f>TA!E171</f>
        <v>831082530000</v>
      </c>
      <c r="V155" s="109">
        <f>PR!F171</f>
        <v>-9.008500462116785E-2</v>
      </c>
      <c r="W155" s="109">
        <f>'Z Score'!I171</f>
        <v>2.9983611086133646</v>
      </c>
      <c r="X155" s="109">
        <f>'Z Score'!L171</f>
        <v>3.4234563684066369E-2</v>
      </c>
      <c r="Y155" s="109">
        <f>'Z Score'!O171</f>
        <v>-0.60532753877042755</v>
      </c>
      <c r="Z155" s="109">
        <f>'Z Score'!R171</f>
        <v>0.15275338088049248</v>
      </c>
      <c r="AA155" s="109">
        <f>'Z Score'!S171</f>
        <v>2.5800215144074961</v>
      </c>
    </row>
    <row r="156" spans="1:27" ht="15" customHeight="1" x14ac:dyDescent="0.3">
      <c r="A156" s="22"/>
      <c r="B156" s="23"/>
      <c r="C156" s="3"/>
      <c r="D156" s="23">
        <v>2019</v>
      </c>
      <c r="E156" s="25">
        <f>'Current Ratio'!G172</f>
        <v>4.0658646309888811</v>
      </c>
      <c r="F156" s="25">
        <f>'Cash Ratio'!G172</f>
        <v>7.986775565090827E-2</v>
      </c>
      <c r="G156" s="25">
        <f>DAR!G172</f>
        <v>0.80295064003662908</v>
      </c>
      <c r="H156" s="25">
        <f>DER!G172</f>
        <v>4.0748703247412639</v>
      </c>
      <c r="I156" s="25">
        <f>NPM!G172</f>
        <v>5.6262841402294948E-2</v>
      </c>
      <c r="J156" s="25">
        <f>ROA!G172</f>
        <v>7.8370841010809728E-3</v>
      </c>
      <c r="K156" s="25">
        <f>ROE!G172</f>
        <v>3.977218504308011E-2</v>
      </c>
      <c r="L156" s="25">
        <f>KM!E172</f>
        <v>0.99</v>
      </c>
      <c r="M156" s="24">
        <f>KI!E172</f>
        <v>2</v>
      </c>
      <c r="N156" s="108">
        <f>IO!E172</f>
        <v>0</v>
      </c>
      <c r="O156" s="24">
        <f>'BoC Size'!E172</f>
        <v>4</v>
      </c>
      <c r="P156" s="24">
        <f>'TMT E DK'!E172</f>
        <v>0</v>
      </c>
      <c r="Q156" s="24">
        <f>Data!R172</f>
        <v>4</v>
      </c>
      <c r="R156" s="24">
        <f>Data!S172</f>
        <v>2</v>
      </c>
      <c r="S156" s="24">
        <f>'TMT E DK'!E172</f>
        <v>0</v>
      </c>
      <c r="T156" s="24">
        <f>'TMT E DD'!E172</f>
        <v>2</v>
      </c>
      <c r="U156" s="24">
        <f>TA!E172</f>
        <v>805109390000</v>
      </c>
      <c r="V156" s="109">
        <f>PR!F172</f>
        <v>-0.27026403414226968</v>
      </c>
      <c r="W156" s="109">
        <f>'Z Score'!I172</f>
        <v>3.8342289998629875</v>
      </c>
      <c r="X156" s="109">
        <f>'Z Score'!L172</f>
        <v>3.8722728100339256E-2</v>
      </c>
      <c r="Y156" s="109">
        <f>'Z Score'!O172</f>
        <v>2.6716926006787722E-2</v>
      </c>
      <c r="Z156" s="109">
        <f>'Z Score'!R172</f>
        <v>0.25767691148961175</v>
      </c>
      <c r="AA156" s="109">
        <f>'Z Score'!S172</f>
        <v>4.1573455654597256</v>
      </c>
    </row>
    <row r="157" spans="1:27" ht="15" customHeight="1" x14ac:dyDescent="0.3">
      <c r="A157" s="22"/>
      <c r="B157" s="23"/>
      <c r="C157" s="3"/>
      <c r="D157" s="23">
        <v>2020</v>
      </c>
      <c r="E157" s="25">
        <f>'Current Ratio'!G173</f>
        <v>3.3488402381760634</v>
      </c>
      <c r="F157" s="25">
        <f>'Cash Ratio'!G173</f>
        <v>7.0505187542299619E-2</v>
      </c>
      <c r="G157" s="25">
        <f>DAR!G173</f>
        <v>0.81809736424428636</v>
      </c>
      <c r="H157" s="25">
        <f>DER!G173</f>
        <v>4.4974464545030077</v>
      </c>
      <c r="I157" s="25">
        <f>NPM!G173</f>
        <v>0.10854630063553319</v>
      </c>
      <c r="J157" s="25">
        <f>ROA!G173</f>
        <v>1.6152304607982226E-2</v>
      </c>
      <c r="K157" s="25">
        <f>ROE!G173</f>
        <v>8.8796429699204496E-2</v>
      </c>
      <c r="L157" s="25">
        <f>KM!E173</f>
        <v>0.99</v>
      </c>
      <c r="M157" s="24">
        <f>KI!E173</f>
        <v>2</v>
      </c>
      <c r="N157" s="108">
        <f>IO!E173</f>
        <v>0</v>
      </c>
      <c r="O157" s="24">
        <f>'BoC Size'!E173</f>
        <v>4</v>
      </c>
      <c r="P157" s="24">
        <f>'TMT E DK'!E173</f>
        <v>0</v>
      </c>
      <c r="Q157" s="24">
        <f>Data!R173</f>
        <v>4</v>
      </c>
      <c r="R157" s="24">
        <f>Data!S173</f>
        <v>3</v>
      </c>
      <c r="S157" s="24">
        <f>'TMT E DK'!E173</f>
        <v>0</v>
      </c>
      <c r="T157" s="24">
        <f>'TMT E DD'!E173</f>
        <v>3</v>
      </c>
      <c r="U157" s="24">
        <f>TA!E173</f>
        <v>972655010000</v>
      </c>
      <c r="V157" s="109">
        <f>PR!F173</f>
        <v>0.29059672740301079</v>
      </c>
      <c r="W157" s="109">
        <f>'Z Score'!I173</f>
        <v>3.7024867446063938</v>
      </c>
      <c r="X157" s="109">
        <f>'Z Score'!L173</f>
        <v>9.3078025681479798E-2</v>
      </c>
      <c r="Y157" s="109">
        <f>'Z Score'!O173</f>
        <v>0.11985201453905019</v>
      </c>
      <c r="Z157" s="109">
        <f>'Z Score'!R173</f>
        <v>0.23346581457322332</v>
      </c>
      <c r="AA157" s="109">
        <f>'Z Score'!S173</f>
        <v>4.1488825994001468</v>
      </c>
    </row>
    <row r="158" spans="1:27" ht="15" customHeight="1" x14ac:dyDescent="0.3">
      <c r="A158" s="22"/>
      <c r="B158" s="23"/>
      <c r="C158" s="3"/>
      <c r="D158" s="23">
        <v>2021</v>
      </c>
      <c r="E158" s="25">
        <f>'Current Ratio'!G174</f>
        <v>3.2535780938833763</v>
      </c>
      <c r="F158" s="25">
        <f>'Cash Ratio'!G174</f>
        <v>2.6231939793881817E-2</v>
      </c>
      <c r="G158" s="25">
        <f>DAR!G174</f>
        <v>0.84198738743063917</v>
      </c>
      <c r="H158" s="25">
        <f>DER!G174</f>
        <v>5.328608734072052</v>
      </c>
      <c r="I158" s="25">
        <f>NPM!G174</f>
        <v>5.930143784632784E-2</v>
      </c>
      <c r="J158" s="25">
        <f>ROA!G174</f>
        <v>1.3794235257473619E-2</v>
      </c>
      <c r="K158" s="25">
        <f>ROE!G174</f>
        <v>8.7298317730292188E-2</v>
      </c>
      <c r="L158" s="25">
        <f>KM!E174</f>
        <v>0.99</v>
      </c>
      <c r="M158" s="24">
        <f>KI!E174</f>
        <v>2</v>
      </c>
      <c r="N158" s="108">
        <f>IO!E174</f>
        <v>0</v>
      </c>
      <c r="O158" s="24">
        <f>'BoC Size'!E174</f>
        <v>4</v>
      </c>
      <c r="P158" s="24">
        <f>'TMT E DK'!E174</f>
        <v>0</v>
      </c>
      <c r="Q158" s="24">
        <f>Data!R174</f>
        <v>4</v>
      </c>
      <c r="R158" s="24">
        <f>Data!S174</f>
        <v>3</v>
      </c>
      <c r="S158" s="24">
        <f>'TMT E DK'!E174</f>
        <v>0</v>
      </c>
      <c r="T158" s="24">
        <f>'TMT E DD'!E174</f>
        <v>3</v>
      </c>
      <c r="U158" s="24">
        <f>TA!E174</f>
        <v>1191013470000</v>
      </c>
      <c r="V158" s="109">
        <f>PR!F174</f>
        <v>0.91412713871214457</v>
      </c>
      <c r="W158" s="109">
        <f>'Z Score'!I174</f>
        <v>3.6490899294363146</v>
      </c>
      <c r="X158" s="109">
        <f>'Z Score'!L174</f>
        <v>0.12257847310492634</v>
      </c>
      <c r="Y158" s="109">
        <f>'Z Score'!O174</f>
        <v>0.15721016757266398</v>
      </c>
      <c r="Z158" s="109">
        <f>'Z Score'!R174</f>
        <v>0.19704955878747807</v>
      </c>
      <c r="AA158" s="109">
        <f>'Z Score'!S174</f>
        <v>4.1259281289013829</v>
      </c>
    </row>
    <row r="159" spans="1:27" ht="15" customHeight="1" x14ac:dyDescent="0.3">
      <c r="A159" s="22"/>
      <c r="B159" s="23"/>
      <c r="C159" s="3"/>
      <c r="D159" s="23">
        <v>2022</v>
      </c>
      <c r="E159" s="25">
        <f>'Current Ratio'!G175</f>
        <v>6.1348568776127248</v>
      </c>
      <c r="F159" s="25">
        <f>'Cash Ratio'!G175</f>
        <v>6.3820298641245249E-2</v>
      </c>
      <c r="G159" s="25">
        <f>DAR!G175</f>
        <v>0.77547350706396811</v>
      </c>
      <c r="H159" s="25">
        <f>DER!G175</f>
        <v>3.453817395548517</v>
      </c>
      <c r="I159" s="25">
        <f>NPM!G175</f>
        <v>7.0105890740730051E-2</v>
      </c>
      <c r="J159" s="25">
        <f>ROA!G175</f>
        <v>1.5865004449251461E-2</v>
      </c>
      <c r="K159" s="25">
        <f>ROE!G175</f>
        <v>7.0659832796530778E-2</v>
      </c>
      <c r="L159" s="25">
        <f>KM!E175</f>
        <v>0.99</v>
      </c>
      <c r="M159" s="24">
        <f>KI!E175</f>
        <v>2</v>
      </c>
      <c r="N159" s="108">
        <f>IO!E175</f>
        <v>0</v>
      </c>
      <c r="O159" s="24">
        <f>'BoC Size'!E175</f>
        <v>4</v>
      </c>
      <c r="P159" s="24">
        <f>'TMT E DK'!E175</f>
        <v>0</v>
      </c>
      <c r="Q159" s="24">
        <f>Data!R175</f>
        <v>4</v>
      </c>
      <c r="R159" s="24">
        <f>Data!S175</f>
        <v>3</v>
      </c>
      <c r="S159" s="24">
        <f>'TMT E DK'!E175</f>
        <v>0</v>
      </c>
      <c r="T159" s="24">
        <f>'TMT E DD'!E175</f>
        <v>3</v>
      </c>
      <c r="U159" s="24">
        <f>TA!E175</f>
        <v>979771550000</v>
      </c>
      <c r="V159" s="109">
        <f>PR!F175</f>
        <v>-0.19968412261710866</v>
      </c>
      <c r="W159" s="109">
        <f>'Z Score'!I175</f>
        <v>3.7374062016803808</v>
      </c>
      <c r="X159" s="109">
        <f>'Z Score'!L175</f>
        <v>0.20768829325570839</v>
      </c>
      <c r="Y159" s="109">
        <f>'Z Score'!O175</f>
        <v>0.25488318782067104</v>
      </c>
      <c r="Z159" s="109">
        <f>'Z Score'!R175</f>
        <v>0.30401144002381303</v>
      </c>
      <c r="AA159" s="109">
        <f>'Z Score'!S175</f>
        <v>4.5039891227805731</v>
      </c>
    </row>
    <row r="160" spans="1:27" ht="15" customHeight="1" x14ac:dyDescent="0.3">
      <c r="A160" s="22"/>
      <c r="B160" s="23"/>
      <c r="C160" s="3"/>
      <c r="D160" s="23">
        <v>2023</v>
      </c>
      <c r="E160" s="25">
        <f>'Current Ratio'!G176</f>
        <v>13.105246641894521</v>
      </c>
      <c r="F160" s="25">
        <f>'Cash Ratio'!G176</f>
        <v>0.24179114393261089</v>
      </c>
      <c r="G160" s="25">
        <f>DAR!G176</f>
        <v>0.77119376245650018</v>
      </c>
      <c r="H160" s="25">
        <f>DER!G176</f>
        <v>3.3705102218198206</v>
      </c>
      <c r="I160" s="25">
        <f>NPM!G176</f>
        <v>5.9084165399124117E-2</v>
      </c>
      <c r="J160" s="25">
        <f>ROA!G176</f>
        <v>1.9815892969380005E-2</v>
      </c>
      <c r="K160" s="25">
        <f>ROE!G176</f>
        <v>8.6605562777162817E-2</v>
      </c>
      <c r="L160" s="25">
        <f>KM!E176</f>
        <v>0.99</v>
      </c>
      <c r="M160" s="24">
        <f>KI!E176</f>
        <v>2</v>
      </c>
      <c r="N160" s="108">
        <f>IO!E176</f>
        <v>0</v>
      </c>
      <c r="O160" s="24">
        <f>'BoC Size'!E176</f>
        <v>4</v>
      </c>
      <c r="P160" s="24">
        <f>'TMT E DK'!E176</f>
        <v>0</v>
      </c>
      <c r="Q160" s="24">
        <f>Data!R176</f>
        <v>4</v>
      </c>
      <c r="R160" s="24">
        <f>Data!S176</f>
        <v>3</v>
      </c>
      <c r="S160" s="24">
        <f>'TMT E DK'!E176</f>
        <v>0</v>
      </c>
      <c r="T160" s="24">
        <f>'TMT E DD'!E176</f>
        <v>3</v>
      </c>
      <c r="U160" s="24">
        <f>TA!E176</f>
        <v>1073555960000</v>
      </c>
      <c r="V160" s="109">
        <f>PR!F176</f>
        <v>0.62389041672199097</v>
      </c>
      <c r="W160" s="109">
        <f>'Z Score'!I176</f>
        <v>2.9394140601669241</v>
      </c>
      <c r="X160" s="109">
        <f>'Z Score'!L176</f>
        <v>0.24984370111456505</v>
      </c>
      <c r="Y160" s="109">
        <f>'Z Score'!O176</f>
        <v>0.15362978339759764</v>
      </c>
      <c r="Z160" s="109">
        <f>'Z Score'!R176</f>
        <v>0.31152553497763302</v>
      </c>
      <c r="AA160" s="109">
        <f>'Z Score'!S176</f>
        <v>3.6544130796567194</v>
      </c>
    </row>
    <row r="161" spans="1:27" ht="15" customHeight="1" x14ac:dyDescent="0.3">
      <c r="A161" s="22"/>
      <c r="B161" s="23"/>
      <c r="C161" s="3"/>
      <c r="D161" s="23">
        <v>2024</v>
      </c>
      <c r="E161" s="25">
        <f>'Current Ratio'!G177</f>
        <v>11.352236249469062</v>
      </c>
      <c r="F161" s="25">
        <f>'Cash Ratio'!G177</f>
        <v>0.76209444730805065</v>
      </c>
      <c r="G161" s="25">
        <f>DAR!G177</f>
        <v>0.78248372511400799</v>
      </c>
      <c r="H161" s="25">
        <f>DER!G177</f>
        <v>3.5973573038160507</v>
      </c>
      <c r="I161" s="25">
        <f>NPM!G177</f>
        <v>-6.8930878756837913E-2</v>
      </c>
      <c r="J161" s="25">
        <f>ROA!G177</f>
        <v>-2.3194146857103255E-2</v>
      </c>
      <c r="K161" s="25">
        <f>ROE!G177</f>
        <v>-0.10663178149810799</v>
      </c>
      <c r="L161" s="25">
        <f>KM!E177</f>
        <v>0.99</v>
      </c>
      <c r="M161" s="24">
        <f>KI!E177</f>
        <v>2</v>
      </c>
      <c r="N161" s="108">
        <f>IO!E177</f>
        <v>0</v>
      </c>
      <c r="O161" s="24">
        <f>'BoC Size'!E177</f>
        <v>4</v>
      </c>
      <c r="P161" s="24">
        <f>'TMT E DK'!E177</f>
        <v>0</v>
      </c>
      <c r="Q161" s="24">
        <f>Data!R177</f>
        <v>4</v>
      </c>
      <c r="R161" s="24">
        <f>Data!S177</f>
        <v>3</v>
      </c>
      <c r="S161" s="24">
        <f>'TMT E DK'!E177</f>
        <v>0</v>
      </c>
      <c r="T161" s="24">
        <f>'TMT E DD'!E177</f>
        <v>0</v>
      </c>
      <c r="U161" s="24">
        <f>TA!E177</f>
        <v>1026468020000</v>
      </c>
      <c r="V161" s="109">
        <f>PR!F177</f>
        <v>-4.0725762932114065E-2</v>
      </c>
      <c r="W161" s="109">
        <f>'Z Score'!I177</f>
        <v>1.9111795806361314</v>
      </c>
      <c r="X161" s="109">
        <f>'Z Score'!L177</f>
        <v>0.19244206458570429</v>
      </c>
      <c r="Y161" s="109">
        <f>'Z Score'!O177</f>
        <v>-0.17380117736157041</v>
      </c>
      <c r="Z161" s="109">
        <f>'Z Score'!R177</f>
        <v>0.29188093128424236</v>
      </c>
      <c r="AA161" s="109">
        <f>'Z Score'!S177</f>
        <v>2.2217013991445076</v>
      </c>
    </row>
    <row r="162" spans="1:27" ht="15" customHeight="1" x14ac:dyDescent="0.3">
      <c r="A162" s="22"/>
      <c r="B162" s="23">
        <v>17</v>
      </c>
      <c r="C162" s="3" t="s">
        <v>22</v>
      </c>
      <c r="D162" s="23">
        <v>2015</v>
      </c>
      <c r="E162" s="25">
        <f>'Current Ratio'!G179</f>
        <v>0</v>
      </c>
      <c r="F162" s="25">
        <f>'Cash Ratio'!G179</f>
        <v>0</v>
      </c>
      <c r="G162" s="25">
        <f>DAR!G179</f>
        <v>0</v>
      </c>
      <c r="H162" s="25">
        <f>DER!G179</f>
        <v>0</v>
      </c>
      <c r="I162" s="25">
        <f>NPM!G179</f>
        <v>0</v>
      </c>
      <c r="J162" s="25">
        <f>ROA!G179</f>
        <v>0</v>
      </c>
      <c r="K162" s="25">
        <f>ROE!G179</f>
        <v>0</v>
      </c>
      <c r="L162" s="25">
        <f>KM!E179</f>
        <v>0</v>
      </c>
      <c r="M162" s="24">
        <f>KI!E179</f>
        <v>0</v>
      </c>
      <c r="N162" s="108">
        <f>IO!E179</f>
        <v>0</v>
      </c>
      <c r="O162" s="24">
        <f>'BoC Size'!E179</f>
        <v>0</v>
      </c>
      <c r="P162" s="24">
        <f>'TMT E DK'!E179</f>
        <v>0</v>
      </c>
      <c r="Q162" s="24">
        <f>Data!R179</f>
        <v>0</v>
      </c>
      <c r="R162" s="24">
        <f>Data!S179</f>
        <v>0</v>
      </c>
      <c r="S162" s="24">
        <f>'TMT E DK'!E179</f>
        <v>0</v>
      </c>
      <c r="T162" s="24">
        <f>'TMT E DD'!E179</f>
        <v>0</v>
      </c>
      <c r="U162" s="24">
        <f>TA!E179</f>
        <v>0</v>
      </c>
      <c r="V162" s="109">
        <f>PR!F179</f>
        <v>0</v>
      </c>
      <c r="W162" s="109">
        <f>'Z Score'!I179</f>
        <v>0</v>
      </c>
      <c r="X162" s="109">
        <f>'Z Score'!L179</f>
        <v>0</v>
      </c>
      <c r="Y162" s="109">
        <f>'Z Score'!O179</f>
        <v>0</v>
      </c>
      <c r="Z162" s="109">
        <f>'Z Score'!R179</f>
        <v>0</v>
      </c>
      <c r="AA162" s="109">
        <f>'Z Score'!S179</f>
        <v>0</v>
      </c>
    </row>
    <row r="163" spans="1:27" ht="15" customHeight="1" x14ac:dyDescent="0.3">
      <c r="A163" s="22"/>
      <c r="B163" s="23"/>
      <c r="C163" s="3"/>
      <c r="D163" s="23">
        <v>2016</v>
      </c>
      <c r="E163" s="25">
        <f>'Current Ratio'!G180</f>
        <v>0</v>
      </c>
      <c r="F163" s="25">
        <f>'Cash Ratio'!G180</f>
        <v>0</v>
      </c>
      <c r="G163" s="25">
        <f>DAR!G180</f>
        <v>0</v>
      </c>
      <c r="H163" s="25">
        <f>DER!G180</f>
        <v>0</v>
      </c>
      <c r="I163" s="25">
        <f>NPM!G180</f>
        <v>0</v>
      </c>
      <c r="J163" s="25">
        <f>ROA!G180</f>
        <v>0</v>
      </c>
      <c r="K163" s="25">
        <f>ROE!G180</f>
        <v>0</v>
      </c>
      <c r="L163" s="25">
        <f>KM!E180</f>
        <v>0</v>
      </c>
      <c r="M163" s="24">
        <f>KI!E180</f>
        <v>0</v>
      </c>
      <c r="N163" s="108">
        <f>IO!E180</f>
        <v>0</v>
      </c>
      <c r="O163" s="24">
        <f>'BoC Size'!E180</f>
        <v>0</v>
      </c>
      <c r="P163" s="24">
        <f>'TMT E DK'!E180</f>
        <v>0</v>
      </c>
      <c r="Q163" s="24">
        <f>Data!R180</f>
        <v>0</v>
      </c>
      <c r="R163" s="24">
        <f>Data!S180</f>
        <v>0</v>
      </c>
      <c r="S163" s="24">
        <f>'TMT E DK'!E180</f>
        <v>0</v>
      </c>
      <c r="T163" s="24">
        <f>'TMT E DD'!E180</f>
        <v>0</v>
      </c>
      <c r="U163" s="24">
        <f>TA!E180</f>
        <v>0</v>
      </c>
      <c r="V163" s="109">
        <f>PR!F180</f>
        <v>0</v>
      </c>
      <c r="W163" s="109">
        <f>'Z Score'!I180</f>
        <v>0</v>
      </c>
      <c r="X163" s="109">
        <f>'Z Score'!L180</f>
        <v>0</v>
      </c>
      <c r="Y163" s="109">
        <f>'Z Score'!O180</f>
        <v>0</v>
      </c>
      <c r="Z163" s="109">
        <f>'Z Score'!R180</f>
        <v>0</v>
      </c>
      <c r="AA163" s="109">
        <f>'Z Score'!S180</f>
        <v>0</v>
      </c>
    </row>
    <row r="164" spans="1:27" ht="15" customHeight="1" x14ac:dyDescent="0.3">
      <c r="A164" s="22"/>
      <c r="B164" s="23"/>
      <c r="C164" s="3"/>
      <c r="D164" s="23">
        <v>2017</v>
      </c>
      <c r="E164" s="25">
        <f>'Current Ratio'!G181</f>
        <v>0</v>
      </c>
      <c r="F164" s="25">
        <f>'Cash Ratio'!G181</f>
        <v>0</v>
      </c>
      <c r="G164" s="25">
        <f>DAR!G181</f>
        <v>0</v>
      </c>
      <c r="H164" s="25">
        <f>DER!G181</f>
        <v>0</v>
      </c>
      <c r="I164" s="25">
        <f>NPM!G181</f>
        <v>0</v>
      </c>
      <c r="J164" s="25">
        <f>ROA!G181</f>
        <v>0</v>
      </c>
      <c r="K164" s="25">
        <f>ROE!G181</f>
        <v>0</v>
      </c>
      <c r="L164" s="25">
        <f>KM!E181</f>
        <v>0</v>
      </c>
      <c r="M164" s="24">
        <f>KI!E181</f>
        <v>0</v>
      </c>
      <c r="N164" s="108">
        <f>IO!E181</f>
        <v>0</v>
      </c>
      <c r="O164" s="24">
        <f>'BoC Size'!E181</f>
        <v>0</v>
      </c>
      <c r="P164" s="24">
        <f>'TMT E DK'!E181</f>
        <v>0</v>
      </c>
      <c r="Q164" s="24">
        <f>Data!R181</f>
        <v>0</v>
      </c>
      <c r="R164" s="24">
        <f>Data!S181</f>
        <v>0</v>
      </c>
      <c r="S164" s="24">
        <f>'TMT E DK'!E181</f>
        <v>0</v>
      </c>
      <c r="T164" s="24">
        <f>'TMT E DD'!E181</f>
        <v>0</v>
      </c>
      <c r="U164" s="24">
        <f>TA!E181</f>
        <v>0</v>
      </c>
      <c r="V164" s="109">
        <f>PR!F181</f>
        <v>0</v>
      </c>
      <c r="W164" s="109">
        <f>'Z Score'!I181</f>
        <v>0</v>
      </c>
      <c r="X164" s="109">
        <f>'Z Score'!L181</f>
        <v>0</v>
      </c>
      <c r="Y164" s="109">
        <f>'Z Score'!O181</f>
        <v>0</v>
      </c>
      <c r="Z164" s="109">
        <f>'Z Score'!R181</f>
        <v>0</v>
      </c>
      <c r="AA164" s="109">
        <f>'Z Score'!S181</f>
        <v>0</v>
      </c>
    </row>
    <row r="165" spans="1:27" ht="15" customHeight="1" x14ac:dyDescent="0.3">
      <c r="A165" s="22"/>
      <c r="B165" s="23"/>
      <c r="C165" s="3"/>
      <c r="D165" s="23">
        <v>2018</v>
      </c>
      <c r="E165" s="25">
        <f>'Current Ratio'!G182</f>
        <v>0</v>
      </c>
      <c r="F165" s="25">
        <f>'Cash Ratio'!G182</f>
        <v>0</v>
      </c>
      <c r="G165" s="25">
        <f>DAR!G182</f>
        <v>0</v>
      </c>
      <c r="H165" s="25">
        <f>DER!G182</f>
        <v>0</v>
      </c>
      <c r="I165" s="25">
        <f>NPM!G182</f>
        <v>0</v>
      </c>
      <c r="J165" s="25">
        <f>ROA!G182</f>
        <v>0</v>
      </c>
      <c r="K165" s="25">
        <f>ROE!G182</f>
        <v>0</v>
      </c>
      <c r="L165" s="25">
        <f>KM!E182</f>
        <v>0</v>
      </c>
      <c r="M165" s="24">
        <f>KI!E182</f>
        <v>0</v>
      </c>
      <c r="N165" s="108">
        <f>IO!E182</f>
        <v>0</v>
      </c>
      <c r="O165" s="24">
        <f>'BoC Size'!E182</f>
        <v>0</v>
      </c>
      <c r="P165" s="24">
        <f>'TMT E DK'!E182</f>
        <v>0</v>
      </c>
      <c r="Q165" s="24">
        <f>Data!R182</f>
        <v>0</v>
      </c>
      <c r="R165" s="24">
        <f>Data!S182</f>
        <v>0</v>
      </c>
      <c r="S165" s="24">
        <f>'TMT E DK'!E182</f>
        <v>0</v>
      </c>
      <c r="T165" s="24">
        <f>'TMT E DD'!E182</f>
        <v>0</v>
      </c>
      <c r="U165" s="24">
        <f>TA!E182</f>
        <v>0</v>
      </c>
      <c r="V165" s="109">
        <f>PR!F182</f>
        <v>0</v>
      </c>
      <c r="W165" s="109">
        <f>'Z Score'!I182</f>
        <v>0</v>
      </c>
      <c r="X165" s="109">
        <f>'Z Score'!L182</f>
        <v>0</v>
      </c>
      <c r="Y165" s="109">
        <f>'Z Score'!O182</f>
        <v>0</v>
      </c>
      <c r="Z165" s="109">
        <f>'Z Score'!R182</f>
        <v>0</v>
      </c>
      <c r="AA165" s="109">
        <f>'Z Score'!S182</f>
        <v>0</v>
      </c>
    </row>
    <row r="166" spans="1:27" ht="15" customHeight="1" x14ac:dyDescent="0.3">
      <c r="A166" s="22"/>
      <c r="B166" s="23"/>
      <c r="C166" s="3"/>
      <c r="D166" s="23">
        <v>2019</v>
      </c>
      <c r="E166" s="25">
        <f>'Current Ratio'!G183</f>
        <v>0.10832736816988786</v>
      </c>
      <c r="F166" s="25">
        <f>'Cash Ratio'!G183</f>
        <v>6.2634216177523266E-2</v>
      </c>
      <c r="G166" s="25">
        <f>DAR!G183</f>
        <v>0.29972881731141732</v>
      </c>
      <c r="H166" s="25">
        <f>DER!G183</f>
        <v>0.42801820883254826</v>
      </c>
      <c r="I166" s="25">
        <f>NPM!G183</f>
        <v>-8.339687380861608E-3</v>
      </c>
      <c r="J166" s="25">
        <f>ROA!G183</f>
        <v>5.8110576124854726E-3</v>
      </c>
      <c r="K166" s="25">
        <f>ROE!G183</f>
        <v>8.2982960832042492E-3</v>
      </c>
      <c r="L166" s="25">
        <f>KM!E183</f>
        <v>0</v>
      </c>
      <c r="M166" s="24">
        <f>KI!E183</f>
        <v>0</v>
      </c>
      <c r="N166" s="108">
        <f>IO!E183</f>
        <v>0</v>
      </c>
      <c r="O166" s="24">
        <f>'BoC Size'!E183</f>
        <v>0</v>
      </c>
      <c r="P166" s="24">
        <f>'TMT E DK'!E183</f>
        <v>0</v>
      </c>
      <c r="Q166" s="24">
        <f>Data!R183</f>
        <v>0</v>
      </c>
      <c r="R166" s="24">
        <f>Data!S183</f>
        <v>0</v>
      </c>
      <c r="S166" s="24">
        <f>'TMT E DK'!E183</f>
        <v>0</v>
      </c>
      <c r="T166" s="24">
        <f>'TMT E DD'!E183</f>
        <v>0</v>
      </c>
      <c r="U166" s="24">
        <f>TA!E183</f>
        <v>90345000000</v>
      </c>
      <c r="V166" s="109">
        <f>PR!F183</f>
        <v>0</v>
      </c>
      <c r="W166" s="109">
        <f>'Z Score'!I183</f>
        <v>-0.54269123913885653</v>
      </c>
      <c r="X166" s="109">
        <f>'Z Score'!L183</f>
        <v>-2.2828840555647796</v>
      </c>
      <c r="Y166" s="109">
        <f>'Z Score'!O183</f>
        <v>-8.2767311970778685</v>
      </c>
      <c r="Z166" s="109">
        <f>'Z Score'!R183</f>
        <v>2.4531666605118359</v>
      </c>
      <c r="AA166" s="109">
        <f>'Z Score'!S183</f>
        <v>-8.6491398312696681</v>
      </c>
    </row>
    <row r="167" spans="1:27" ht="15" customHeight="1" x14ac:dyDescent="0.3">
      <c r="A167" s="22"/>
      <c r="B167" s="23"/>
      <c r="C167" s="3"/>
      <c r="D167" s="23">
        <v>2020</v>
      </c>
      <c r="E167" s="25">
        <f>'Current Ratio'!G184</f>
        <v>9.0967741935483879</v>
      </c>
      <c r="F167" s="25">
        <f>'Cash Ratio'!G184</f>
        <v>7.741935483870968</v>
      </c>
      <c r="G167" s="25">
        <f>DAR!G184</f>
        <v>1.8094529323352158E-3</v>
      </c>
      <c r="H167" s="25">
        <f>DER!G184</f>
        <v>1.8127329873547256E-3</v>
      </c>
      <c r="I167" s="25">
        <f>NPM!G184</f>
        <v>6.3021072671174419E-2</v>
      </c>
      <c r="J167" s="25">
        <f>ROA!G184</f>
        <v>1.4008667863240379E-2</v>
      </c>
      <c r="K167" s="25">
        <f>ROE!G184</f>
        <v>1.4034061837584972E-2</v>
      </c>
      <c r="L167" s="25">
        <f>KM!E184</f>
        <v>0.99</v>
      </c>
      <c r="M167" s="24">
        <f>KI!E184</f>
        <v>2</v>
      </c>
      <c r="N167" s="108">
        <f>IO!E184</f>
        <v>0</v>
      </c>
      <c r="O167" s="24">
        <f>'BoC Size'!E184</f>
        <v>3</v>
      </c>
      <c r="P167" s="24">
        <f>'TMT E DK'!E184</f>
        <v>0</v>
      </c>
      <c r="Q167" s="24">
        <f>Data!R184</f>
        <v>3</v>
      </c>
      <c r="R167" s="24">
        <f>Data!S184</f>
        <v>3</v>
      </c>
      <c r="S167" s="24">
        <f>'TMT E DK'!E184</f>
        <v>0</v>
      </c>
      <c r="T167" s="24">
        <f>'TMT E DD'!E184</f>
        <v>0</v>
      </c>
      <c r="U167" s="24">
        <f>TA!E184</f>
        <v>68529000000</v>
      </c>
      <c r="V167" s="109">
        <f>PR!F184</f>
        <v>-1.2419780149955522</v>
      </c>
      <c r="W167" s="109">
        <f>'Z Score'!I184</f>
        <v>9.6108800653737822E-2</v>
      </c>
      <c r="X167" s="109">
        <f>'Z Score'!L184</f>
        <v>-3.881564009397481</v>
      </c>
      <c r="Y167" s="109">
        <f>'Z Score'!O184</f>
        <v>0.5608090005691021</v>
      </c>
      <c r="Z167" s="109">
        <f>'Z Score'!R184</f>
        <v>579.23588709677415</v>
      </c>
      <c r="AA167" s="109">
        <f>'Z Score'!S184</f>
        <v>576.01124088859956</v>
      </c>
    </row>
    <row r="168" spans="1:27" ht="15" customHeight="1" x14ac:dyDescent="0.3">
      <c r="A168" s="22"/>
      <c r="B168" s="23"/>
      <c r="C168" s="3"/>
      <c r="D168" s="23">
        <v>2021</v>
      </c>
      <c r="E168" s="25">
        <f>'Current Ratio'!G185</f>
        <v>14.76418547895058</v>
      </c>
      <c r="F168" s="25">
        <f>'Cash Ratio'!G185</f>
        <v>14.550640634533252</v>
      </c>
      <c r="G168" s="25">
        <f>DAR!G185</f>
        <v>2.7416049847363358E-2</v>
      </c>
      <c r="H168" s="25">
        <f>DER!G185</f>
        <v>2.8188877518553236E-2</v>
      </c>
      <c r="I168" s="25">
        <f>NPM!G185</f>
        <v>1.4371312166338859</v>
      </c>
      <c r="J168" s="25">
        <f>ROA!G185</f>
        <v>-0.3422238949525363</v>
      </c>
      <c r="K168" s="25">
        <f>ROE!G185</f>
        <v>-0.35187080241127555</v>
      </c>
      <c r="L168" s="25">
        <f>KM!E185</f>
        <v>0.99</v>
      </c>
      <c r="M168" s="24">
        <f>KI!E185</f>
        <v>2</v>
      </c>
      <c r="N168" s="108">
        <f>IO!E185</f>
        <v>0</v>
      </c>
      <c r="O168" s="24">
        <f>'BoC Size'!E185</f>
        <v>3</v>
      </c>
      <c r="P168" s="24">
        <f>'TMT E DK'!E185</f>
        <v>0</v>
      </c>
      <c r="Q168" s="24">
        <f>Data!R185</f>
        <v>3</v>
      </c>
      <c r="R168" s="24">
        <f>Data!S185</f>
        <v>3</v>
      </c>
      <c r="S168" s="24">
        <f>'TMT E DK'!E185</f>
        <v>0</v>
      </c>
      <c r="T168" s="24">
        <f>'TMT E DD'!E185</f>
        <v>0</v>
      </c>
      <c r="U168" s="24">
        <f>TA!E185</f>
        <v>119565000000</v>
      </c>
      <c r="V168" s="109">
        <f>PR!F185</f>
        <v>-2.869099980305915</v>
      </c>
      <c r="W168" s="109">
        <f>'Z Score'!I185</f>
        <v>2.4754789445071714</v>
      </c>
      <c r="X168" s="109">
        <f>'Z Score'!L185</f>
        <v>-3.3408422197131267</v>
      </c>
      <c r="Y168" s="109">
        <f>'Z Score'!O185</f>
        <v>-2.2993511479111781</v>
      </c>
      <c r="Z168" s="109">
        <f>'Z Score'!R185</f>
        <v>37.24873398413667</v>
      </c>
      <c r="AA168" s="109">
        <f>'Z Score'!S185</f>
        <v>34.084019561019538</v>
      </c>
    </row>
    <row r="169" spans="1:27" ht="15" customHeight="1" x14ac:dyDescent="0.3">
      <c r="A169" s="22"/>
      <c r="B169" s="23"/>
      <c r="C169" s="3"/>
      <c r="D169" s="23">
        <v>2022</v>
      </c>
      <c r="E169" s="25">
        <f>'Current Ratio'!G186</f>
        <v>8.2011014948859167</v>
      </c>
      <c r="F169" s="25">
        <f>'Cash Ratio'!G186</f>
        <v>3.5571990558615263</v>
      </c>
      <c r="G169" s="25">
        <f>DAR!G186</f>
        <v>0.21851821042853775</v>
      </c>
      <c r="H169" s="25">
        <f>DER!G186</f>
        <v>0.27962034860513596</v>
      </c>
      <c r="I169" s="25">
        <f>NPM!G186</f>
        <v>-0.95020709526382141</v>
      </c>
      <c r="J169" s="25">
        <f>ROA!G186</f>
        <v>-7.3153655256554234E-2</v>
      </c>
      <c r="K169" s="25">
        <f>ROE!G186</f>
        <v>-9.3608905841131865E-2</v>
      </c>
      <c r="L169" s="25">
        <f>KM!E186</f>
        <v>0.99</v>
      </c>
      <c r="M169" s="24">
        <f>KI!E186</f>
        <v>2</v>
      </c>
      <c r="N169" s="108">
        <f>IO!E186</f>
        <v>0</v>
      </c>
      <c r="O169" s="24">
        <f>'BoC Size'!E186</f>
        <v>3</v>
      </c>
      <c r="P169" s="24">
        <f>'TMT E DK'!E186</f>
        <v>0</v>
      </c>
      <c r="Q169" s="24">
        <f>Data!R186</f>
        <v>3</v>
      </c>
      <c r="R169" s="24">
        <f>Data!S186</f>
        <v>3</v>
      </c>
      <c r="S169" s="24">
        <f>'TMT E DK'!E186</f>
        <v>0</v>
      </c>
      <c r="T169" s="24">
        <f>'TMT E DD'!E186</f>
        <v>0</v>
      </c>
      <c r="U169" s="24">
        <f>TA!E186</f>
        <v>144258000000</v>
      </c>
      <c r="V169" s="109">
        <f>PR!F186</f>
        <v>-1.3900674346726609</v>
      </c>
      <c r="W169" s="109">
        <f>'Z Score'!I186</f>
        <v>2.0810303761316531</v>
      </c>
      <c r="X169" s="109">
        <f>'Z Score'!L186</f>
        <v>-2.9876666805307157</v>
      </c>
      <c r="Y169" s="109">
        <f>'Z Score'!O186</f>
        <v>-0.45190367258661562</v>
      </c>
      <c r="Z169" s="109">
        <f>'Z Score'!R186</f>
        <v>3.7550915204771118</v>
      </c>
      <c r="AA169" s="109">
        <f>'Z Score'!S186</f>
        <v>2.3965515434914337</v>
      </c>
    </row>
    <row r="170" spans="1:27" ht="15" customHeight="1" x14ac:dyDescent="0.3">
      <c r="A170" s="22"/>
      <c r="B170" s="23"/>
      <c r="C170" s="3"/>
      <c r="D170" s="23">
        <v>2023</v>
      </c>
      <c r="E170" s="25">
        <f>'Current Ratio'!G187</f>
        <v>3.0942277468209745</v>
      </c>
      <c r="F170" s="25">
        <f>'Cash Ratio'!G187</f>
        <v>2.110015716530933</v>
      </c>
      <c r="G170" s="25">
        <f>DAR!G187</f>
        <v>0.3698692400446259</v>
      </c>
      <c r="H170" s="25">
        <f>DER!G187</f>
        <v>0.58697220251685556</v>
      </c>
      <c r="I170" s="25">
        <f>NPM!G187</f>
        <v>0.49657002563454528</v>
      </c>
      <c r="J170" s="25">
        <f>ROA!G187</f>
        <v>0.20665407023699067</v>
      </c>
      <c r="K170" s="25">
        <f>ROE!G187</f>
        <v>0.32795426500307007</v>
      </c>
      <c r="L170" s="25">
        <f>KM!E187</f>
        <v>0.99</v>
      </c>
      <c r="M170" s="24">
        <f>KI!E187</f>
        <v>2</v>
      </c>
      <c r="N170" s="108">
        <f>IO!E187</f>
        <v>0</v>
      </c>
      <c r="O170" s="24">
        <f>'BoC Size'!E187</f>
        <v>3</v>
      </c>
      <c r="P170" s="24">
        <f>'TMT E DK'!E187</f>
        <v>0</v>
      </c>
      <c r="Q170" s="24">
        <f>Data!R187</f>
        <v>3</v>
      </c>
      <c r="R170" s="24">
        <f>Data!S187</f>
        <v>2</v>
      </c>
      <c r="S170" s="24">
        <f>'TMT E DK'!E187</f>
        <v>0</v>
      </c>
      <c r="T170" s="24">
        <f>'TMT E DD'!E187</f>
        <v>0</v>
      </c>
      <c r="U170" s="24">
        <f>TA!E187</f>
        <v>266213000000</v>
      </c>
      <c r="V170" s="109">
        <f>PR!F187</f>
        <v>8.975508734017648</v>
      </c>
      <c r="W170" s="109">
        <f>'Z Score'!I187</f>
        <v>1.4447558909594949</v>
      </c>
      <c r="X170" s="109">
        <f>'Z Score'!L187</f>
        <v>-0.94995826650088455</v>
      </c>
      <c r="Y170" s="109">
        <f>'Z Score'!O187</f>
        <v>1.3790977901154338</v>
      </c>
      <c r="Z170" s="109">
        <f>'Z Score'!R187</f>
        <v>1.7888410992850181</v>
      </c>
      <c r="AA170" s="109">
        <f>'Z Score'!S187</f>
        <v>3.6627365138590622</v>
      </c>
    </row>
    <row r="171" spans="1:27" ht="15" customHeight="1" x14ac:dyDescent="0.3">
      <c r="A171" s="22"/>
      <c r="B171" s="23"/>
      <c r="C171" s="3"/>
      <c r="D171" s="23">
        <v>2024</v>
      </c>
      <c r="E171" s="25">
        <f>'Current Ratio'!G188</f>
        <v>1.7040020664158986</v>
      </c>
      <c r="F171" s="25">
        <f>'Cash Ratio'!G188</f>
        <v>0.79813699691652007</v>
      </c>
      <c r="G171" s="25">
        <f>DAR!G188</f>
        <v>0.39750860872367583</v>
      </c>
      <c r="H171" s="25">
        <f>DER!G188</f>
        <v>0.65976363758886758</v>
      </c>
      <c r="I171" s="25">
        <f>NPM!G188</f>
        <v>0.42370789249665575</v>
      </c>
      <c r="J171" s="25">
        <f>ROA!G188</f>
        <v>0.17682584875544627</v>
      </c>
      <c r="K171" s="25">
        <f>ROE!G188</f>
        <v>0.29348613497759357</v>
      </c>
      <c r="L171" s="25">
        <f>KM!E188</f>
        <v>0.99</v>
      </c>
      <c r="M171" s="24">
        <f>KI!E188</f>
        <v>2</v>
      </c>
      <c r="N171" s="108">
        <f>IO!E188</f>
        <v>0</v>
      </c>
      <c r="O171" s="24">
        <f>'BoC Size'!E188</f>
        <v>3</v>
      </c>
      <c r="P171" s="24">
        <f>'TMT E DK'!E188</f>
        <v>0</v>
      </c>
      <c r="Q171" s="24">
        <f>Data!R188</f>
        <v>3</v>
      </c>
      <c r="R171" s="24">
        <f>Data!S188</f>
        <v>3</v>
      </c>
      <c r="S171" s="24">
        <f>'TMT E DK'!E188</f>
        <v>0</v>
      </c>
      <c r="T171" s="24">
        <f>'TMT E DD'!E188</f>
        <v>0</v>
      </c>
      <c r="U171" s="24">
        <f>TA!E188</f>
        <v>394077000000</v>
      </c>
      <c r="V171" s="109">
        <f>PR!F188</f>
        <v>0.48445680037549194</v>
      </c>
      <c r="W171" s="109">
        <f>'Z Score'!I188</f>
        <v>0.72592026431382695</v>
      </c>
      <c r="X171" s="109">
        <f>'Z Score'!L188</f>
        <v>-6.2358067078261359E-2</v>
      </c>
      <c r="Y171" s="109">
        <f>'Z Score'!O188</f>
        <v>1.397555097100313</v>
      </c>
      <c r="Z171" s="109">
        <f>'Z Score'!R188</f>
        <v>1.5914790391256886</v>
      </c>
      <c r="AA171" s="109">
        <f>'Z Score'!S188</f>
        <v>3.6525963334615672</v>
      </c>
    </row>
    <row r="172" spans="1:27" ht="15" customHeight="1" x14ac:dyDescent="0.3">
      <c r="A172" s="22"/>
      <c r="B172" s="23">
        <v>18</v>
      </c>
      <c r="C172" s="3" t="s">
        <v>45</v>
      </c>
      <c r="D172" s="23">
        <v>2015</v>
      </c>
      <c r="E172" s="25">
        <f>'Current Ratio'!G190</f>
        <v>0.77944266283313057</v>
      </c>
      <c r="F172" s="25">
        <f>'Cash Ratio'!G190</f>
        <v>3.1018467322791111E-2</v>
      </c>
      <c r="G172" s="25">
        <f>DAR!G190</f>
        <v>0.48570554994166859</v>
      </c>
      <c r="H172" s="25">
        <f>DER!G190</f>
        <v>0.94441141623554314</v>
      </c>
      <c r="I172" s="25">
        <f>NPM!G190</f>
        <v>-0.10027142303218302</v>
      </c>
      <c r="J172" s="25">
        <f>ROA!G190</f>
        <v>-1.6822867650566616E-2</v>
      </c>
      <c r="K172" s="25">
        <f>ROE!G190</f>
        <v>-3.2710575913581341E-2</v>
      </c>
      <c r="L172" s="25">
        <f>KM!E190</f>
        <v>0.99990000000000001</v>
      </c>
      <c r="M172" s="24">
        <f>KI!E190</f>
        <v>1</v>
      </c>
      <c r="N172" s="108">
        <f>IO!E190</f>
        <v>0</v>
      </c>
      <c r="O172" s="24">
        <f>'BoC Size'!E190</f>
        <v>3</v>
      </c>
      <c r="P172" s="24">
        <f>'TMT E DK'!E190</f>
        <v>0</v>
      </c>
      <c r="Q172" s="24">
        <f>Data!R190</f>
        <v>3</v>
      </c>
      <c r="R172" s="24">
        <f>Data!S190</f>
        <v>2</v>
      </c>
      <c r="S172" s="24">
        <f>'TMT E DK'!E190</f>
        <v>0</v>
      </c>
      <c r="T172" s="24">
        <f>'TMT E DD'!E190</f>
        <v>0</v>
      </c>
      <c r="U172" s="24">
        <f>TA!E190</f>
        <v>461158000000</v>
      </c>
      <c r="V172" s="109">
        <f>PR!F190</f>
        <v>6.5438321077418815E-2</v>
      </c>
      <c r="W172" s="109">
        <f>'Z Score'!I190</f>
        <v>-5.6743762441505946E-2</v>
      </c>
      <c r="X172" s="109">
        <f>'Z Score'!L190</f>
        <v>0.10618586254602543</v>
      </c>
      <c r="Y172" s="109">
        <f>'Z Score'!O190</f>
        <v>0.15543965408818669</v>
      </c>
      <c r="Z172" s="109">
        <f>'Z Score'!R190</f>
        <v>1.1118035868153062</v>
      </c>
      <c r="AA172" s="109">
        <f>'Z Score'!S190</f>
        <v>1.3166853410080124</v>
      </c>
    </row>
    <row r="173" spans="1:27" ht="15" customHeight="1" x14ac:dyDescent="0.3">
      <c r="A173" s="22"/>
      <c r="B173" s="23"/>
      <c r="C173" s="3"/>
      <c r="D173" s="23">
        <v>2016</v>
      </c>
      <c r="E173" s="25">
        <f>'Current Ratio'!G191</f>
        <v>1.4227873964942468</v>
      </c>
      <c r="F173" s="25">
        <f>'Cash Ratio'!G191</f>
        <v>0.19469835466179158</v>
      </c>
      <c r="G173" s="25">
        <f>DAR!G191</f>
        <v>0.50425664901572087</v>
      </c>
      <c r="H173" s="25">
        <f>DER!G191</f>
        <v>1.0171727931691648</v>
      </c>
      <c r="I173" s="25">
        <f>NPM!G191</f>
        <v>4.2160614413016134E-2</v>
      </c>
      <c r="J173" s="25">
        <f>ROA!G191</f>
        <v>6.4999762774588417E-3</v>
      </c>
      <c r="K173" s="25">
        <f>ROE!G191</f>
        <v>1.311157530313496E-2</v>
      </c>
      <c r="L173" s="25">
        <f>KM!E191</f>
        <v>0.99990000000000001</v>
      </c>
      <c r="M173" s="24">
        <f>KI!E191</f>
        <v>2</v>
      </c>
      <c r="N173" s="108">
        <f>IO!E191</f>
        <v>0</v>
      </c>
      <c r="O173" s="24">
        <f>'BoC Size'!E191</f>
        <v>4</v>
      </c>
      <c r="P173" s="24">
        <f>'TMT E DK'!E191</f>
        <v>0</v>
      </c>
      <c r="Q173" s="24">
        <f>Data!R191</f>
        <v>4</v>
      </c>
      <c r="R173" s="24">
        <f>Data!S191</f>
        <v>3</v>
      </c>
      <c r="S173" s="24">
        <f>'TMT E DK'!E191</f>
        <v>0</v>
      </c>
      <c r="T173" s="24">
        <f>'TMT E DD'!E191</f>
        <v>0</v>
      </c>
      <c r="U173" s="24">
        <f>TA!E191</f>
        <v>484771000000</v>
      </c>
      <c r="V173" s="109">
        <f>PR!F191</f>
        <v>-3.4018353366938092E-2</v>
      </c>
      <c r="W173" s="109">
        <f>'Z Score'!I191</f>
        <v>0.1064033945924983</v>
      </c>
      <c r="X173" s="109">
        <f>'Z Score'!L191</f>
        <v>7.657557898471648E-2</v>
      </c>
      <c r="Y173" s="109">
        <f>'Z Score'!O191</f>
        <v>-3.6249693154087187E-2</v>
      </c>
      <c r="Z173" s="109">
        <f>'Z Score'!R191</f>
        <v>1.0322729894579239</v>
      </c>
      <c r="AA173" s="109">
        <f>'Z Score'!S191</f>
        <v>1.1790022698810514</v>
      </c>
    </row>
    <row r="174" spans="1:27" ht="15" customHeight="1" x14ac:dyDescent="0.3">
      <c r="A174" s="22"/>
      <c r="B174" s="23"/>
      <c r="C174" s="3"/>
      <c r="D174" s="23">
        <v>2017</v>
      </c>
      <c r="E174" s="25">
        <f>'Current Ratio'!G192</f>
        <v>0.88867978329056174</v>
      </c>
      <c r="F174" s="25">
        <f>'Cash Ratio'!G192</f>
        <v>0.46244653550042769</v>
      </c>
      <c r="G174" s="25">
        <f>DAR!G192</f>
        <v>0.49071112701913194</v>
      </c>
      <c r="H174" s="25">
        <f>DER!G192</f>
        <v>0.96352218368133491</v>
      </c>
      <c r="I174" s="25">
        <f>NPM!G192</f>
        <v>0.25818637125697674</v>
      </c>
      <c r="J174" s="25">
        <f>ROA!G192</f>
        <v>4.6823463304429484E-2</v>
      </c>
      <c r="K174" s="25">
        <f>ROE!G192</f>
        <v>9.1938908915036241E-2</v>
      </c>
      <c r="L174" s="25">
        <f>KM!E192</f>
        <v>0.99990000000000001</v>
      </c>
      <c r="M174" s="24">
        <f>KI!E192</f>
        <v>2</v>
      </c>
      <c r="N174" s="108">
        <f>IO!E192</f>
        <v>0</v>
      </c>
      <c r="O174" s="24">
        <f>'BoC Size'!E192</f>
        <v>4</v>
      </c>
      <c r="P174" s="24">
        <f>'TMT E DK'!E192</f>
        <v>0</v>
      </c>
      <c r="Q174" s="24">
        <f>Data!R192</f>
        <v>4</v>
      </c>
      <c r="R174" s="24">
        <f>Data!S192</f>
        <v>3</v>
      </c>
      <c r="S174" s="24">
        <f>'TMT E DK'!E192</f>
        <v>0</v>
      </c>
      <c r="T174" s="24">
        <f>'TMT E DD'!E192</f>
        <v>0</v>
      </c>
      <c r="U174" s="24">
        <f>TA!E192</f>
        <v>519654000000</v>
      </c>
      <c r="V174" s="109">
        <f>PR!F192</f>
        <v>0.26096497096523857</v>
      </c>
      <c r="W174" s="109">
        <f>'Z Score'!I192</f>
        <v>-2.4641626928687162E-2</v>
      </c>
      <c r="X174" s="109">
        <f>'Z Score'!L192</f>
        <v>0.13843522805559083</v>
      </c>
      <c r="Y174" s="109">
        <f>'Z Score'!O192</f>
        <v>0.14263644655867172</v>
      </c>
      <c r="Z174" s="109">
        <f>'Z Score'!R192</f>
        <v>1.0897517647058823</v>
      </c>
      <c r="AA174" s="109">
        <f>'Z Score'!S192</f>
        <v>1.3461818123914577</v>
      </c>
    </row>
    <row r="175" spans="1:27" ht="15" customHeight="1" x14ac:dyDescent="0.3">
      <c r="A175" s="22"/>
      <c r="B175" s="23"/>
      <c r="C175" s="3"/>
      <c r="D175" s="23">
        <v>2018</v>
      </c>
      <c r="E175" s="25">
        <f>'Current Ratio'!G193</f>
        <v>0.35206398971019737</v>
      </c>
      <c r="F175" s="25">
        <f>'Cash Ratio'!G193</f>
        <v>0.17042485630451384</v>
      </c>
      <c r="G175" s="25">
        <f>DAR!G193</f>
        <v>0.51193635034233509</v>
      </c>
      <c r="H175" s="25">
        <f>DER!G193</f>
        <v>1.0489130889002181</v>
      </c>
      <c r="I175" s="25">
        <f>NPM!G193</f>
        <v>-0.39228519704776493</v>
      </c>
      <c r="J175" s="25">
        <f>ROA!G193</f>
        <v>-5.170820849709061E-2</v>
      </c>
      <c r="K175" s="25">
        <f>ROE!G193</f>
        <v>-0.10594562519327043</v>
      </c>
      <c r="L175" s="25">
        <f>KM!E193</f>
        <v>0.99990000000000001</v>
      </c>
      <c r="M175" s="24">
        <f>KI!E193</f>
        <v>2</v>
      </c>
      <c r="N175" s="108">
        <f>IO!E193</f>
        <v>0</v>
      </c>
      <c r="O175" s="24">
        <f>'BoC Size'!E193</f>
        <v>4</v>
      </c>
      <c r="P175" s="24">
        <f>'TMT E DK'!E193</f>
        <v>0</v>
      </c>
      <c r="Q175" s="24">
        <f>Data!R193</f>
        <v>4</v>
      </c>
      <c r="R175" s="24">
        <f>Data!S193</f>
        <v>2</v>
      </c>
      <c r="S175" s="24">
        <f>'TMT E DK'!E193</f>
        <v>0</v>
      </c>
      <c r="T175" s="24">
        <f>'TMT E DD'!E193</f>
        <v>0</v>
      </c>
      <c r="U175" s="24">
        <f>TA!E193</f>
        <v>490309000000</v>
      </c>
      <c r="V175" s="109">
        <f>PR!F193</f>
        <v>-0.31422295791685234</v>
      </c>
      <c r="W175" s="109">
        <f>'Z Score'!I193</f>
        <v>-0.2156746051979466</v>
      </c>
      <c r="X175" s="109">
        <f>'Z Score'!L193</f>
        <v>-1.4447990960802267E-2</v>
      </c>
      <c r="Y175" s="109">
        <f>'Z Score'!O193</f>
        <v>-0.32523490288777074</v>
      </c>
      <c r="Z175" s="109">
        <f>'Z Score'!R193</f>
        <v>1.0010362260813443</v>
      </c>
      <c r="AA175" s="109">
        <f>'Z Score'!S193</f>
        <v>0.44567872703482481</v>
      </c>
    </row>
    <row r="176" spans="1:27" ht="15" customHeight="1" x14ac:dyDescent="0.3">
      <c r="A176" s="22"/>
      <c r="B176" s="23"/>
      <c r="C176" s="3"/>
      <c r="D176" s="23">
        <v>2019</v>
      </c>
      <c r="E176" s="25">
        <f>'Current Ratio'!G194</f>
        <v>0.62001365454013457</v>
      </c>
      <c r="F176" s="25">
        <f>'Cash Ratio'!G194</f>
        <v>0.16834097337364673</v>
      </c>
      <c r="G176" s="25">
        <f>DAR!G194</f>
        <v>0.51423203363231818</v>
      </c>
      <c r="H176" s="25">
        <f>DER!G194</f>
        <v>1.0585960154546123</v>
      </c>
      <c r="I176" s="25">
        <f>NPM!G194</f>
        <v>5.9376572756379364E-2</v>
      </c>
      <c r="J176" s="25">
        <f>ROA!G194</f>
        <v>1.1001132848847014E-2</v>
      </c>
      <c r="K176" s="25">
        <f>ROE!G194</f>
        <v>2.2646888248123311E-2</v>
      </c>
      <c r="L176" s="25">
        <f>KM!E194</f>
        <v>0.99990000000000001</v>
      </c>
      <c r="M176" s="24">
        <f>KI!E194</f>
        <v>2</v>
      </c>
      <c r="N176" s="108">
        <f>IO!E194</f>
        <v>0</v>
      </c>
      <c r="O176" s="24">
        <f>'BoC Size'!E194</f>
        <v>4</v>
      </c>
      <c r="P176" s="24">
        <f>'TMT E DK'!E194</f>
        <v>0</v>
      </c>
      <c r="Q176" s="24">
        <f>Data!R194</f>
        <v>4</v>
      </c>
      <c r="R176" s="24">
        <f>Data!S194</f>
        <v>2</v>
      </c>
      <c r="S176" s="24">
        <f>'TMT E DK'!E194</f>
        <v>0</v>
      </c>
      <c r="T176" s="24">
        <f>'TMT E DD'!E194</f>
        <v>0</v>
      </c>
      <c r="U176" s="24">
        <f>TA!E194</f>
        <v>504039000000</v>
      </c>
      <c r="V176" s="109">
        <f>PR!F194</f>
        <v>0.4449705240681428</v>
      </c>
      <c r="W176" s="109">
        <f>'Z Score'!I194</f>
        <v>-0.10141183519529243</v>
      </c>
      <c r="X176" s="109">
        <f>'Z Score'!L194</f>
        <v>4.2952350909354238E-2</v>
      </c>
      <c r="Y176" s="109">
        <f>'Z Score'!O194</f>
        <v>0.12509698654270798</v>
      </c>
      <c r="Z176" s="109">
        <f>'Z Score'!R194</f>
        <v>0.9918797961364697</v>
      </c>
      <c r="AA176" s="109">
        <f>'Z Score'!S194</f>
        <v>1.0585172983932396</v>
      </c>
    </row>
    <row r="177" spans="1:27" ht="15" customHeight="1" x14ac:dyDescent="0.3">
      <c r="A177" s="22"/>
      <c r="B177" s="23"/>
      <c r="C177" s="3"/>
      <c r="D177" s="23">
        <v>2020</v>
      </c>
      <c r="E177" s="25">
        <f>'Current Ratio'!G195</f>
        <v>0.36266666666666669</v>
      </c>
      <c r="F177" s="25">
        <f>'Cash Ratio'!G195</f>
        <v>0.13917602996254683</v>
      </c>
      <c r="G177" s="25">
        <f>DAR!G195</f>
        <v>0.54494015712754207</v>
      </c>
      <c r="H177" s="25">
        <f>DER!G195</f>
        <v>1.1975131747238692</v>
      </c>
      <c r="I177" s="25">
        <f>NPM!G195</f>
        <v>-0.25283817306289219</v>
      </c>
      <c r="J177" s="25">
        <f>ROA!G195</f>
        <v>-3.4655663471846648E-2</v>
      </c>
      <c r="K177" s="25">
        <f>ROE!G195</f>
        <v>-7.6156277058179761E-2</v>
      </c>
      <c r="L177" s="25">
        <f>KM!E195</f>
        <v>0.99990000000000001</v>
      </c>
      <c r="M177" s="24">
        <f>KI!E195</f>
        <v>2</v>
      </c>
      <c r="N177" s="108">
        <f>IO!E195</f>
        <v>0</v>
      </c>
      <c r="O177" s="24">
        <f>'BoC Size'!E195</f>
        <v>3</v>
      </c>
      <c r="P177" s="24">
        <f>'TMT E DK'!E195</f>
        <v>0</v>
      </c>
      <c r="Q177" s="24">
        <f>Data!R195</f>
        <v>3</v>
      </c>
      <c r="R177" s="24">
        <f>Data!S195</f>
        <v>3</v>
      </c>
      <c r="S177" s="24">
        <f>'TMT E DK'!E195</f>
        <v>0</v>
      </c>
      <c r="T177" s="24">
        <f>'TMT E DD'!E195</f>
        <v>0</v>
      </c>
      <c r="U177" s="24">
        <f>TA!E195</f>
        <v>499976000000</v>
      </c>
      <c r="V177" s="109">
        <f>PR!F195</f>
        <v>-0.26617195112810133</v>
      </c>
      <c r="W177" s="109">
        <f>'Z Score'!I195</f>
        <v>-0.27908891626798082</v>
      </c>
      <c r="X177" s="109">
        <f>'Z Score'!L195</f>
        <v>-6.0234651263260629E-2</v>
      </c>
      <c r="Y177" s="109">
        <f>'Z Score'!O195</f>
        <v>-0.20953965790357937</v>
      </c>
      <c r="Z177" s="109">
        <f>'Z Score'!R195</f>
        <v>0.8768170757220406</v>
      </c>
      <c r="AA177" s="109">
        <f>'Z Score'!S195</f>
        <v>0.32795385028721979</v>
      </c>
    </row>
    <row r="178" spans="1:27" ht="15" customHeight="1" x14ac:dyDescent="0.3">
      <c r="A178" s="22"/>
      <c r="B178" s="23"/>
      <c r="C178" s="3"/>
      <c r="D178" s="23">
        <v>2021</v>
      </c>
      <c r="E178" s="25">
        <f>'Current Ratio'!G196</f>
        <v>0.6678672010398613</v>
      </c>
      <c r="F178" s="25">
        <f>'Cash Ratio'!G196</f>
        <v>0.16800259965337955</v>
      </c>
      <c r="G178" s="25">
        <f>DAR!G196</f>
        <v>0.57667125442390876</v>
      </c>
      <c r="H178" s="25">
        <f>DER!G196</f>
        <v>1.3622303244234923</v>
      </c>
      <c r="I178" s="25">
        <f>NPM!G196</f>
        <v>-0.15630118755118755</v>
      </c>
      <c r="J178" s="25">
        <f>ROA!G196</f>
        <v>-2.4014942980731421E-2</v>
      </c>
      <c r="K178" s="25">
        <f>ROE!G196</f>
        <v>-5.6728826548384848E-2</v>
      </c>
      <c r="L178" s="25">
        <f>KM!E196</f>
        <v>0.99990000000000001</v>
      </c>
      <c r="M178" s="24">
        <f>KI!E196</f>
        <v>2</v>
      </c>
      <c r="N178" s="108">
        <f>IO!E196</f>
        <v>0</v>
      </c>
      <c r="O178" s="24">
        <f>'BoC Size'!E196</f>
        <v>3</v>
      </c>
      <c r="P178" s="24">
        <f>'TMT E DK'!E196</f>
        <v>0</v>
      </c>
      <c r="Q178" s="24">
        <f>Data!R196</f>
        <v>3</v>
      </c>
      <c r="R178" s="24">
        <f>Data!S196</f>
        <v>3</v>
      </c>
      <c r="S178" s="24">
        <f>'TMT E DK'!E196</f>
        <v>0</v>
      </c>
      <c r="T178" s="24">
        <f>'TMT E DD'!E196</f>
        <v>0</v>
      </c>
      <c r="U178" s="24">
        <f>TA!E196</f>
        <v>508600000000</v>
      </c>
      <c r="V178" s="109">
        <f>PR!F196</f>
        <v>0.14028892455858749</v>
      </c>
      <c r="W178" s="109">
        <f>'Z Score'!I196</f>
        <v>-0.1581958316948486</v>
      </c>
      <c r="X178" s="109">
        <f>'Z Score'!L196</f>
        <v>-0.13269469130947698</v>
      </c>
      <c r="Y178" s="109">
        <f>'Z Score'!O196</f>
        <v>-0.14905292961069602</v>
      </c>
      <c r="Z178" s="109">
        <f>'Z Score'!R196</f>
        <v>0.77079476295197669</v>
      </c>
      <c r="AA178" s="109">
        <f>'Z Score'!S196</f>
        <v>0.33085131033695503</v>
      </c>
    </row>
    <row r="179" spans="1:27" ht="15" customHeight="1" x14ac:dyDescent="0.3">
      <c r="A179" s="22"/>
      <c r="B179" s="23"/>
      <c r="C179" s="3"/>
      <c r="D179" s="23">
        <v>2022</v>
      </c>
      <c r="E179" s="25">
        <f>'Current Ratio'!G197</f>
        <v>0.83515193554411338</v>
      </c>
      <c r="F179" s="25">
        <f>'Cash Ratio'!G197</f>
        <v>0.16594189365845849</v>
      </c>
      <c r="G179" s="25">
        <f>DAR!G197</f>
        <v>0.60181452433889582</v>
      </c>
      <c r="H179" s="25">
        <f>DER!G197</f>
        <v>1.5113924568436554</v>
      </c>
      <c r="I179" s="25">
        <f>NPM!G197</f>
        <v>-0.27790371861843682</v>
      </c>
      <c r="J179" s="25">
        <f>ROA!G197</f>
        <v>-4.0185443084365606E-2</v>
      </c>
      <c r="K179" s="25">
        <f>ROE!G197</f>
        <v>-0.10092141863699583</v>
      </c>
      <c r="L179" s="25">
        <f>KM!E197</f>
        <v>0.99990000000000001</v>
      </c>
      <c r="M179" s="24">
        <f>KI!E197</f>
        <v>2</v>
      </c>
      <c r="N179" s="108">
        <f>IO!E197</f>
        <v>0</v>
      </c>
      <c r="O179" s="24">
        <f>'BoC Size'!E197</f>
        <v>3</v>
      </c>
      <c r="P179" s="24">
        <f>'TMT E DK'!E197</f>
        <v>0</v>
      </c>
      <c r="Q179" s="24">
        <f>Data!R197</f>
        <v>3</v>
      </c>
      <c r="R179" s="24">
        <f>Data!S197</f>
        <v>3</v>
      </c>
      <c r="S179" s="24">
        <f>'TMT E DK'!E197</f>
        <v>0</v>
      </c>
      <c r="T179" s="24">
        <f>'TMT E DD'!E197</f>
        <v>0</v>
      </c>
      <c r="U179" s="24">
        <f>TA!E197</f>
        <v>491148000000</v>
      </c>
      <c r="V179" s="109">
        <f>PR!F197</f>
        <v>-9.1152231777231779E-2</v>
      </c>
      <c r="W179" s="109">
        <f>'Z Score'!I197</f>
        <v>-8.2529583750722793E-2</v>
      </c>
      <c r="X179" s="109">
        <f>'Z Score'!L197</f>
        <v>-0.25772125713634181</v>
      </c>
      <c r="Y179" s="109">
        <f>'Z Score'!O197</f>
        <v>-0.24577390114588676</v>
      </c>
      <c r="Z179" s="109">
        <f>'Z Score'!R197</f>
        <v>0.69472359428919417</v>
      </c>
      <c r="AA179" s="109">
        <f>'Z Score'!S197</f>
        <v>0.10869885225624276</v>
      </c>
    </row>
    <row r="180" spans="1:27" ht="15" customHeight="1" x14ac:dyDescent="0.3">
      <c r="A180" s="22"/>
      <c r="B180" s="23"/>
      <c r="C180" s="3"/>
      <c r="D180" s="23">
        <v>2023</v>
      </c>
      <c r="E180" s="25">
        <f>'Current Ratio'!G198</f>
        <v>1.0142107330310279</v>
      </c>
      <c r="F180" s="25">
        <f>'Cash Ratio'!G198</f>
        <v>0.24709893955082657</v>
      </c>
      <c r="G180" s="25">
        <f>DAR!G198</f>
        <v>0.66215530002254708</v>
      </c>
      <c r="H180" s="25">
        <f>DER!G198</f>
        <v>1.9599398778987442</v>
      </c>
      <c r="I180" s="25">
        <f>NPM!G198</f>
        <v>-0.2319008247977899</v>
      </c>
      <c r="J180" s="25">
        <f>ROA!G198</f>
        <v>-4.558813438029978E-2</v>
      </c>
      <c r="K180" s="25">
        <f>ROE!G198</f>
        <v>-0.13493813691125606</v>
      </c>
      <c r="L180" s="25">
        <f>KM!E198</f>
        <v>0.99990000000000001</v>
      </c>
      <c r="M180" s="24">
        <f>KI!E198</f>
        <v>2</v>
      </c>
      <c r="N180" s="108">
        <f>IO!E198</f>
        <v>0</v>
      </c>
      <c r="O180" s="24">
        <f>'BoC Size'!E198</f>
        <v>3</v>
      </c>
      <c r="P180" s="24">
        <f>'TMT E DK'!E198</f>
        <v>0</v>
      </c>
      <c r="Q180" s="24">
        <f>Data!R198</f>
        <v>3</v>
      </c>
      <c r="R180" s="24">
        <f>Data!S198</f>
        <v>3</v>
      </c>
      <c r="S180" s="24">
        <f>'TMT E DK'!E198</f>
        <v>0</v>
      </c>
      <c r="T180" s="24">
        <f>'TMT E DD'!E198</f>
        <v>0</v>
      </c>
      <c r="U180" s="24">
        <f>TA!E198</f>
        <v>510045000000</v>
      </c>
      <c r="V180" s="109">
        <f>PR!F198</f>
        <v>0.4117936948226581</v>
      </c>
      <c r="W180" s="109">
        <f>'Z Score'!I198</f>
        <v>1.0237841759060473E-2</v>
      </c>
      <c r="X180" s="109">
        <f>'Z Score'!L198</f>
        <v>-0.3980747973218049</v>
      </c>
      <c r="Y180" s="109">
        <f>'Z Score'!O198</f>
        <v>-0.30549586801164602</v>
      </c>
      <c r="Z180" s="109">
        <f>'Z Score'!R198</f>
        <v>0.53573071900843583</v>
      </c>
      <c r="AA180" s="109">
        <f>'Z Score'!S198</f>
        <v>-0.15760210456595469</v>
      </c>
    </row>
    <row r="181" spans="1:27" ht="15" customHeight="1" x14ac:dyDescent="0.3">
      <c r="A181" s="22"/>
      <c r="B181" s="23"/>
      <c r="C181" s="3"/>
      <c r="D181" s="23">
        <v>2024</v>
      </c>
      <c r="E181" s="25">
        <f>'Current Ratio'!G199</f>
        <v>1.1228026739291903</v>
      </c>
      <c r="F181" s="25">
        <f>'Cash Ratio'!G199</f>
        <v>0.26334901378228937</v>
      </c>
      <c r="G181" s="25">
        <f>DAR!G199</f>
        <v>0.70719916201745936</v>
      </c>
      <c r="H181" s="25">
        <f>DER!G199</f>
        <v>2.4152907720148966</v>
      </c>
      <c r="I181" s="25">
        <f>NPM!G199</f>
        <v>-0.15876131698431256</v>
      </c>
      <c r="J181" s="25">
        <f>ROA!G199</f>
        <v>-5.9732852148046307E-2</v>
      </c>
      <c r="K181" s="25">
        <f>ROE!G199</f>
        <v>-0.20400505872735275</v>
      </c>
      <c r="L181" s="25">
        <f>KM!E199</f>
        <v>0.99990000000000001</v>
      </c>
      <c r="M181" s="24">
        <f>KI!E199</f>
        <v>1</v>
      </c>
      <c r="N181" s="108">
        <f>IO!E199</f>
        <v>0</v>
      </c>
      <c r="O181" s="24">
        <f>'BoC Size'!E199</f>
        <v>2</v>
      </c>
      <c r="P181" s="24">
        <f>'TMT E DK'!E199</f>
        <v>0</v>
      </c>
      <c r="Q181" s="24">
        <f>Data!R199</f>
        <v>2</v>
      </c>
      <c r="R181" s="24">
        <f>Data!S199</f>
        <v>1</v>
      </c>
      <c r="S181" s="24">
        <f>'TMT E DK'!E199</f>
        <v>0</v>
      </c>
      <c r="T181" s="24">
        <f>'TMT E DD'!E199</f>
        <v>0</v>
      </c>
      <c r="U181" s="24">
        <f>TA!E199</f>
        <v>488793000000</v>
      </c>
      <c r="V181" s="109">
        <f>PR!F199</f>
        <v>0.83415281199198144</v>
      </c>
      <c r="W181" s="109">
        <f>'Z Score'!I199</f>
        <v>7.9880685689034003E-2</v>
      </c>
      <c r="X181" s="109">
        <f>'Z Score'!L199</f>
        <v>-0.55783613922457975</v>
      </c>
      <c r="Y181" s="109">
        <f>'Z Score'!O199</f>
        <v>-0.28736385341033932</v>
      </c>
      <c r="Z181" s="109">
        <f>'Z Score'!R199</f>
        <v>0.43473026608885829</v>
      </c>
      <c r="AA181" s="109">
        <f>'Z Score'!S199</f>
        <v>-0.33058904085702673</v>
      </c>
    </row>
    <row r="182" spans="1:27" ht="15" customHeight="1" x14ac:dyDescent="0.3">
      <c r="A182" s="22"/>
      <c r="B182" s="23">
        <v>19</v>
      </c>
      <c r="C182" s="3" t="s">
        <v>46</v>
      </c>
      <c r="D182" s="23">
        <v>2015</v>
      </c>
      <c r="E182" s="25">
        <f>'Current Ratio'!G201</f>
        <v>1.0421112773644858</v>
      </c>
      <c r="F182" s="25">
        <f>'Cash Ratio'!G201</f>
        <v>0.2430296516406398</v>
      </c>
      <c r="G182" s="25">
        <f>DAR!G201</f>
        <v>0.63579511271114497</v>
      </c>
      <c r="H182" s="25">
        <f>DER!G201</f>
        <v>1.7457072513331995</v>
      </c>
      <c r="I182" s="25">
        <f>NPM!G201</f>
        <v>0.14023971378986297</v>
      </c>
      <c r="J182" s="25">
        <f>ROA!G201</f>
        <v>3.4215784524520017E-2</v>
      </c>
      <c r="K182" s="25">
        <f>ROE!G201</f>
        <v>9.3946527679028877E-2</v>
      </c>
      <c r="L182" s="25">
        <f>KM!E201</f>
        <v>0.68340000000000001</v>
      </c>
      <c r="M182" s="24">
        <f>KI!E201</f>
        <v>2</v>
      </c>
      <c r="N182" s="108">
        <f>IO!E201</f>
        <v>0</v>
      </c>
      <c r="O182" s="24">
        <f>'BoC Size'!E201</f>
        <v>5</v>
      </c>
      <c r="P182" s="24">
        <f>'TMT E DK'!E201</f>
        <v>0</v>
      </c>
      <c r="Q182" s="24">
        <f>Data!R201</f>
        <v>5</v>
      </c>
      <c r="R182" s="24">
        <f>Data!S201</f>
        <v>5</v>
      </c>
      <c r="S182" s="24">
        <f>'TMT E DK'!E201</f>
        <v>0</v>
      </c>
      <c r="T182" s="24">
        <f>'TMT E DD'!E201</f>
        <v>0</v>
      </c>
      <c r="U182" s="24">
        <f>TA!E201</f>
        <v>15369953000000</v>
      </c>
      <c r="V182" s="109">
        <f>PR!F201</f>
        <v>-0.10230130966838284</v>
      </c>
      <c r="W182" s="109">
        <f>'Z Score'!I201</f>
        <v>7.6756929575516591E-3</v>
      </c>
      <c r="X182" s="109">
        <f>'Z Score'!L201</f>
        <v>9.2906466272213051E-2</v>
      </c>
      <c r="Y182" s="109">
        <f>'Z Score'!O201</f>
        <v>0.34919885051047322</v>
      </c>
      <c r="Z182" s="109">
        <f>'Z Score'!R201</f>
        <v>0.60147541874395793</v>
      </c>
      <c r="AA182" s="109">
        <f>'Z Score'!S201</f>
        <v>1.0512564284841959</v>
      </c>
    </row>
    <row r="183" spans="1:27" ht="15" customHeight="1" x14ac:dyDescent="0.3">
      <c r="A183" s="22"/>
      <c r="B183" s="23"/>
      <c r="C183" s="3"/>
      <c r="D183" s="23">
        <v>2016</v>
      </c>
      <c r="E183" s="25">
        <f>'Current Ratio'!G202</f>
        <v>0.98949429873528927</v>
      </c>
      <c r="F183" s="25">
        <f>'Cash Ratio'!G202</f>
        <v>0.32887359603687366</v>
      </c>
      <c r="G183" s="25">
        <f>DAR!G202</f>
        <v>0.65043836610461103</v>
      </c>
      <c r="H183" s="25">
        <f>DER!G202</f>
        <v>1.8607258435554273</v>
      </c>
      <c r="I183" s="25">
        <f>NPM!G202</f>
        <v>0.18180163847377581</v>
      </c>
      <c r="J183" s="25">
        <f>ROA!G202</f>
        <v>5.1582605689141102E-2</v>
      </c>
      <c r="K183" s="25">
        <f>ROE!G202</f>
        <v>0.14756369317285517</v>
      </c>
      <c r="L183" s="25">
        <f>KM!E202</f>
        <v>0.68340000000000001</v>
      </c>
      <c r="M183" s="24">
        <f>KI!E202</f>
        <v>3</v>
      </c>
      <c r="N183" s="108">
        <f>IO!E202</f>
        <v>0</v>
      </c>
      <c r="O183" s="24">
        <f>'BoC Size'!E202</f>
        <v>6</v>
      </c>
      <c r="P183" s="24">
        <f>'TMT E DK'!E202</f>
        <v>0</v>
      </c>
      <c r="Q183" s="24">
        <f>Data!R202</f>
        <v>6</v>
      </c>
      <c r="R183" s="24">
        <f>Data!S202</f>
        <v>5</v>
      </c>
      <c r="S183" s="24">
        <f>'TMT E DK'!E202</f>
        <v>0</v>
      </c>
      <c r="T183" s="24">
        <f>'TMT E DD'!E202</f>
        <v>0</v>
      </c>
      <c r="U183" s="24">
        <f>TA!E202</f>
        <v>16520666000000</v>
      </c>
      <c r="V183" s="109">
        <f>PR!F202</f>
        <v>0.2499855998924792</v>
      </c>
      <c r="W183" s="109">
        <f>'Z Score'!I202</f>
        <v>-2.0513071325332769E-3</v>
      </c>
      <c r="X183" s="109">
        <f>'Z Score'!L202</f>
        <v>0.10948363340799941</v>
      </c>
      <c r="Y183" s="109">
        <f>'Z Score'!O202</f>
        <v>0.33130379610604072</v>
      </c>
      <c r="Z183" s="109">
        <f>'Z Score'!R202</f>
        <v>0.56429591905580612</v>
      </c>
      <c r="AA183" s="109">
        <f>'Z Score'!S202</f>
        <v>1.0030320414373128</v>
      </c>
    </row>
    <row r="184" spans="1:27" ht="15" customHeight="1" x14ac:dyDescent="0.3">
      <c r="A184" s="22"/>
      <c r="B184" s="23"/>
      <c r="C184" s="3"/>
      <c r="D184" s="23">
        <v>2017</v>
      </c>
      <c r="E184" s="25">
        <f>'Current Ratio'!G203</f>
        <v>0.43587609241152547</v>
      </c>
      <c r="F184" s="25">
        <f>'Cash Ratio'!G203</f>
        <v>0.1059202215107727</v>
      </c>
      <c r="G184" s="25">
        <f>DAR!G203</f>
        <v>0.658647487513906</v>
      </c>
      <c r="H184" s="25">
        <f>DER!G203</f>
        <v>1.9295228932604915</v>
      </c>
      <c r="I184" s="25">
        <f>NPM!G203</f>
        <v>0.24918380257481046</v>
      </c>
      <c r="J184" s="25">
        <f>ROA!G203</f>
        <v>7.1933086494092732E-2</v>
      </c>
      <c r="K184" s="25">
        <f>ROE!G203</f>
        <v>0.21072962366733172</v>
      </c>
      <c r="L184" s="25">
        <f>KM!E203</f>
        <v>0.68340000000000001</v>
      </c>
      <c r="M184" s="24">
        <f>KI!E203</f>
        <v>3</v>
      </c>
      <c r="N184" s="108">
        <f>IO!E203</f>
        <v>0</v>
      </c>
      <c r="O184" s="24">
        <f>'BoC Size'!E203</f>
        <v>6</v>
      </c>
      <c r="P184" s="24">
        <f>'TMT E DK'!E203</f>
        <v>0</v>
      </c>
      <c r="Q184" s="24">
        <f>Data!R203</f>
        <v>6</v>
      </c>
      <c r="R184" s="24">
        <f>Data!S203</f>
        <v>5</v>
      </c>
      <c r="S184" s="24">
        <f>'TMT E DK'!E203</f>
        <v>0</v>
      </c>
      <c r="T184" s="24">
        <f>'TMT E DD'!E203</f>
        <v>0</v>
      </c>
      <c r="U184" s="24">
        <f>TA!E203</f>
        <v>18732840000000</v>
      </c>
      <c r="V184" s="109">
        <f>PR!F203</f>
        <v>0.15366435757393582</v>
      </c>
      <c r="W184" s="109">
        <f>'Z Score'!I203</f>
        <v>-0.11415365956256499</v>
      </c>
      <c r="X184" s="109">
        <f>'Z Score'!L203</f>
        <v>0.14422277561757854</v>
      </c>
      <c r="Y184" s="109">
        <f>'Z Score'!O203</f>
        <v>0.36235756244114614</v>
      </c>
      <c r="Z184" s="109">
        <f>'Z Score'!R203</f>
        <v>0.54417597410607499</v>
      </c>
      <c r="AA184" s="109">
        <f>'Z Score'!S203</f>
        <v>0.93660265260223463</v>
      </c>
    </row>
    <row r="185" spans="1:27" ht="15" customHeight="1" x14ac:dyDescent="0.3">
      <c r="A185" s="22"/>
      <c r="B185" s="23"/>
      <c r="C185" s="3"/>
      <c r="D185" s="23">
        <v>2018</v>
      </c>
      <c r="E185" s="25">
        <f>'Current Ratio'!G204</f>
        <v>0.403392939812311</v>
      </c>
      <c r="F185" s="25">
        <f>'Cash Ratio'!G204</f>
        <v>0.13081264124629893</v>
      </c>
      <c r="G185" s="25">
        <f>DAR!G204</f>
        <v>0.65405500541168282</v>
      </c>
      <c r="H185" s="25">
        <f>DER!G204</f>
        <v>1.8906329492930631</v>
      </c>
      <c r="I185" s="25">
        <f>NPM!G204</f>
        <v>0.15449300626738058</v>
      </c>
      <c r="J185" s="25">
        <f>ROA!G204</f>
        <v>2.9300176060877942E-2</v>
      </c>
      <c r="K185" s="25">
        <f>ROE!G204</f>
        <v>8.4696054341661622E-2</v>
      </c>
      <c r="L185" s="25">
        <f>KM!E204</f>
        <v>0.68340000000000001</v>
      </c>
      <c r="M185" s="24">
        <f>KI!E204</f>
        <v>3</v>
      </c>
      <c r="N185" s="108">
        <f>IO!E204</f>
        <v>0</v>
      </c>
      <c r="O185" s="24">
        <f>'BoC Size'!E204</f>
        <v>6</v>
      </c>
      <c r="P185" s="24">
        <f>'TMT E DK'!E204</f>
        <v>0</v>
      </c>
      <c r="Q185" s="24">
        <f>Data!R204</f>
        <v>6</v>
      </c>
      <c r="R185" s="24">
        <f>Data!S204</f>
        <v>5</v>
      </c>
      <c r="S185" s="24">
        <f>'TMT E DK'!E204</f>
        <v>0</v>
      </c>
      <c r="T185" s="24">
        <f>'TMT E DD'!E204</f>
        <v>0</v>
      </c>
      <c r="U185" s="24">
        <f>TA!E204</f>
        <v>18420333000000</v>
      </c>
      <c r="V185" s="109">
        <f>PR!F204</f>
        <v>-0.35397939123460831</v>
      </c>
      <c r="W185" s="109">
        <f>'Z Score'!I204</f>
        <v>-0.14732168848413327</v>
      </c>
      <c r="X185" s="109">
        <f>'Z Score'!L204</f>
        <v>0.15589084192994773</v>
      </c>
      <c r="Y185" s="109">
        <f>'Z Score'!O204</f>
        <v>0.22726906402832128</v>
      </c>
      <c r="Z185" s="109">
        <f>'Z Score'!R204</f>
        <v>0.55536956572803375</v>
      </c>
      <c r="AA185" s="109">
        <f>'Z Score'!S204</f>
        <v>0.79120778320216956</v>
      </c>
    </row>
    <row r="186" spans="1:27" ht="15" customHeight="1" x14ac:dyDescent="0.3">
      <c r="A186" s="22"/>
      <c r="B186" s="23"/>
      <c r="C186" s="3"/>
      <c r="D186" s="23">
        <v>2019</v>
      </c>
      <c r="E186" s="25">
        <f>'Current Ratio'!G205</f>
        <v>0.42999661363357117</v>
      </c>
      <c r="F186" s="25">
        <f>'Cash Ratio'!G205</f>
        <v>0.10830528842551941</v>
      </c>
      <c r="G186" s="25">
        <f>DAR!G205</f>
        <v>0.65274539823010724</v>
      </c>
      <c r="H186" s="25">
        <f>DER!G205</f>
        <v>1.8797314561223499</v>
      </c>
      <c r="I186" s="25">
        <f>NPM!G205</f>
        <v>0.21846342519928669</v>
      </c>
      <c r="J186" s="25">
        <f>ROA!G205</f>
        <v>5.1444674795826033E-2</v>
      </c>
      <c r="K186" s="25">
        <f>ROE!G205</f>
        <v>0.14814684825952487</v>
      </c>
      <c r="L186" s="25">
        <f>KM!E205</f>
        <v>0.68340000000000001</v>
      </c>
      <c r="M186" s="24">
        <f>KI!E205</f>
        <v>2</v>
      </c>
      <c r="N186" s="108">
        <f>IO!E205</f>
        <v>0</v>
      </c>
      <c r="O186" s="24">
        <f>'BoC Size'!E205</f>
        <v>5</v>
      </c>
      <c r="P186" s="24">
        <f>'TMT E DK'!E205</f>
        <v>0</v>
      </c>
      <c r="Q186" s="24">
        <f>Data!R205</f>
        <v>5</v>
      </c>
      <c r="R186" s="24">
        <f>Data!S205</f>
        <v>5</v>
      </c>
      <c r="S186" s="24">
        <f>'TMT E DK'!E205</f>
        <v>0</v>
      </c>
      <c r="T186" s="24">
        <f>'TMT E DD'!E205</f>
        <v>0</v>
      </c>
      <c r="U186" s="24">
        <f>TA!E205</f>
        <v>18871652000000</v>
      </c>
      <c r="V186" s="109">
        <f>PR!F205</f>
        <v>0.27207501964370823</v>
      </c>
      <c r="W186" s="109">
        <f>'Z Score'!I205</f>
        <v>-0.13223482501690895</v>
      </c>
      <c r="X186" s="109">
        <f>'Z Score'!L205</f>
        <v>0.1468431475951337</v>
      </c>
      <c r="Y186" s="109">
        <f>'Z Score'!O205</f>
        <v>0.27250116735938112</v>
      </c>
      <c r="Z186" s="109">
        <f>'Z Score'!R205</f>
        <v>0.55859042874454956</v>
      </c>
      <c r="AA186" s="109">
        <f>'Z Score'!S205</f>
        <v>0.84569991868215544</v>
      </c>
    </row>
    <row r="187" spans="1:27" ht="15" customHeight="1" x14ac:dyDescent="0.3">
      <c r="A187" s="22"/>
      <c r="B187" s="23"/>
      <c r="C187" s="3"/>
      <c r="D187" s="23">
        <v>2020</v>
      </c>
      <c r="E187" s="25">
        <f>'Current Ratio'!G206</f>
        <v>0.47615567230872652</v>
      </c>
      <c r="F187" s="25">
        <f>'Cash Ratio'!G206</f>
        <v>0.14002926253236811</v>
      </c>
      <c r="G187" s="25">
        <f>DAR!G206</f>
        <v>0.62654667834591304</v>
      </c>
      <c r="H187" s="25">
        <f>DER!G206</f>
        <v>1.6777108195766837</v>
      </c>
      <c r="I187" s="25">
        <f>NPM!G206</f>
        <v>0.34174579325847065</v>
      </c>
      <c r="J187" s="25">
        <f>ROA!G206</f>
        <v>6.6814694246917647E-2</v>
      </c>
      <c r="K187" s="25">
        <f>ROE!G206</f>
        <v>0.17891042969167939</v>
      </c>
      <c r="L187" s="25">
        <f>KM!E206</f>
        <v>0.68340000000000001</v>
      </c>
      <c r="M187" s="24">
        <f>KI!E206</f>
        <v>2</v>
      </c>
      <c r="N187" s="108">
        <f>IO!E206</f>
        <v>0</v>
      </c>
      <c r="O187" s="24">
        <f>'BoC Size'!E206</f>
        <v>5</v>
      </c>
      <c r="P187" s="24">
        <f>'TMT E DK'!E206</f>
        <v>0</v>
      </c>
      <c r="Q187" s="24">
        <f>Data!R206</f>
        <v>5</v>
      </c>
      <c r="R187" s="24">
        <f>Data!S206</f>
        <v>5</v>
      </c>
      <c r="S187" s="24">
        <f>'TMT E DK'!E206</f>
        <v>0</v>
      </c>
      <c r="T187" s="24">
        <f>'TMT E DD'!E206</f>
        <v>0</v>
      </c>
      <c r="U187" s="24">
        <f>TA!E206</f>
        <v>19996724000000</v>
      </c>
      <c r="V187" s="109">
        <f>PR!F206</f>
        <v>-0.12025652709567448</v>
      </c>
      <c r="W187" s="109">
        <f>'Z Score'!I206</f>
        <v>-0.12602741929127992</v>
      </c>
      <c r="X187" s="109">
        <f>'Z Score'!L206</f>
        <v>0.18671236448530268</v>
      </c>
      <c r="Y187" s="109">
        <f>'Z Score'!O206</f>
        <v>0.24236592353827557</v>
      </c>
      <c r="Z187" s="109">
        <f>'Z Score'!R206</f>
        <v>0.62585279164196705</v>
      </c>
      <c r="AA187" s="109">
        <f>'Z Score'!S206</f>
        <v>0.92890366037426542</v>
      </c>
    </row>
    <row r="188" spans="1:27" ht="15" customHeight="1" x14ac:dyDescent="0.3">
      <c r="A188" s="22"/>
      <c r="B188" s="23"/>
      <c r="C188" s="3"/>
      <c r="D188" s="23">
        <v>2021</v>
      </c>
      <c r="E188" s="25">
        <f>'Current Ratio'!G207</f>
        <v>0.58500964063302896</v>
      </c>
      <c r="F188" s="25">
        <f>'Cash Ratio'!G207</f>
        <v>7.6039609094723348E-2</v>
      </c>
      <c r="G188" s="25">
        <f>DAR!G207</f>
        <v>0.64275102578719145</v>
      </c>
      <c r="H188" s="25">
        <f>DER!G207</f>
        <v>1.8813860771708637</v>
      </c>
      <c r="I188" s="25">
        <f>NPM!G207</f>
        <v>5.5941215033262437E-2</v>
      </c>
      <c r="J188" s="25">
        <f>ROA!G207</f>
        <v>1.0462337220064932E-2</v>
      </c>
      <c r="K188" s="25">
        <f>ROE!G207</f>
        <v>3.0624137170982533E-2</v>
      </c>
      <c r="L188" s="25">
        <f>KM!E207</f>
        <v>0.68340000000000001</v>
      </c>
      <c r="M188" s="24">
        <f>KI!E207</f>
        <v>3</v>
      </c>
      <c r="N188" s="108">
        <f>IO!E207</f>
        <v>0</v>
      </c>
      <c r="O188" s="24">
        <f>'BoC Size'!E207</f>
        <v>5</v>
      </c>
      <c r="P188" s="24">
        <f>'TMT E DK'!E207</f>
        <v>0</v>
      </c>
      <c r="Q188" s="24">
        <f>Data!R207</f>
        <v>5</v>
      </c>
      <c r="R188" s="24">
        <f>Data!S207</f>
        <v>6</v>
      </c>
      <c r="S188" s="24">
        <f>'TMT E DK'!E207</f>
        <v>0</v>
      </c>
      <c r="T188" s="24">
        <f>'TMT E DD'!E207</f>
        <v>0</v>
      </c>
      <c r="U188" s="24">
        <f>TA!E207</f>
        <v>19215974000000</v>
      </c>
      <c r="V188" s="109">
        <f>PR!F207</f>
        <v>-8.0754397300155156E-2</v>
      </c>
      <c r="W188" s="109">
        <f>'Z Score'!I207</f>
        <v>-0.12020629087029364</v>
      </c>
      <c r="X188" s="109">
        <f>'Z Score'!L207</f>
        <v>0.15346993287980093</v>
      </c>
      <c r="Y188" s="109">
        <f>'Z Score'!O207</f>
        <v>0.19784509700106798</v>
      </c>
      <c r="Z188" s="109">
        <f>'Z Score'!R207</f>
        <v>0.55809916568476925</v>
      </c>
      <c r="AA188" s="109">
        <f>'Z Score'!S207</f>
        <v>0.78920790469534452</v>
      </c>
    </row>
    <row r="189" spans="1:27" ht="15" customHeight="1" x14ac:dyDescent="0.3">
      <c r="A189" s="22"/>
      <c r="B189" s="23"/>
      <c r="C189" s="3"/>
      <c r="D189" s="23">
        <v>2022</v>
      </c>
      <c r="E189" s="25">
        <f>'Current Ratio'!G208</f>
        <v>0.58422357984661166</v>
      </c>
      <c r="F189" s="25">
        <f>'Cash Ratio'!G208</f>
        <v>8.5761463567490204E-2</v>
      </c>
      <c r="G189" s="25">
        <f>DAR!G208</f>
        <v>0.62878019653862571</v>
      </c>
      <c r="H189" s="25">
        <f>DER!G208</f>
        <v>1.6938218022736784</v>
      </c>
      <c r="I189" s="25">
        <f>NPM!G208</f>
        <v>9.6820855872272002E-2</v>
      </c>
      <c r="J189" s="25">
        <f>ROA!G208</f>
        <v>1.8081953863502302E-2</v>
      </c>
      <c r="K189" s="25">
        <f>ROE!G208</f>
        <v>4.8709561545209279E-2</v>
      </c>
      <c r="L189" s="25">
        <f>KM!E208</f>
        <v>0.68340000000000001</v>
      </c>
      <c r="M189" s="24">
        <f>KI!E208</f>
        <v>3</v>
      </c>
      <c r="N189" s="108">
        <f>IO!E208</f>
        <v>0</v>
      </c>
      <c r="O189" s="24">
        <f>'BoC Size'!E208</f>
        <v>5</v>
      </c>
      <c r="P189" s="24">
        <f>'TMT E DK'!E208</f>
        <v>0</v>
      </c>
      <c r="Q189" s="24">
        <f>Data!R208</f>
        <v>5</v>
      </c>
      <c r="R189" s="24">
        <f>Data!S208</f>
        <v>6</v>
      </c>
      <c r="S189" s="24">
        <f>'TMT E DK'!E208</f>
        <v>0</v>
      </c>
      <c r="T189" s="24">
        <f>'TMT E DD'!E208</f>
        <v>0</v>
      </c>
      <c r="U189" s="24">
        <f>TA!E208</f>
        <v>19085714000000</v>
      </c>
      <c r="V189" s="109">
        <f>PR!F208</f>
        <v>-8.1965160424325601E-3</v>
      </c>
      <c r="W189" s="109">
        <f>'Z Score'!I208</f>
        <v>-0.12860796719473003</v>
      </c>
      <c r="X189" s="109">
        <f>'Z Score'!L208</f>
        <v>0.23057833937991526</v>
      </c>
      <c r="Y189" s="109">
        <f>'Z Score'!O208</f>
        <v>0.20355750484367521</v>
      </c>
      <c r="Z189" s="109">
        <f>'Z Score'!R208</f>
        <v>0.6198999201631169</v>
      </c>
      <c r="AA189" s="109">
        <f>'Z Score'!S208</f>
        <v>0.92542779719197732</v>
      </c>
    </row>
    <row r="190" spans="1:27" ht="15" customHeight="1" x14ac:dyDescent="0.3">
      <c r="A190" s="22"/>
      <c r="B190" s="23"/>
      <c r="C190" s="3"/>
      <c r="D190" s="23">
        <v>2023</v>
      </c>
      <c r="E190" s="25">
        <f>'Current Ratio'!G209</f>
        <v>0.55557216312782576</v>
      </c>
      <c r="F190" s="25">
        <f>'Cash Ratio'!G209</f>
        <v>0.1088051973027187</v>
      </c>
      <c r="G190" s="25">
        <f>DAR!G209</f>
        <v>0.63593835431116885</v>
      </c>
      <c r="H190" s="25">
        <f>DER!G209</f>
        <v>1.746787561507412</v>
      </c>
      <c r="I190" s="25">
        <f>NPM!G209</f>
        <v>0.10397954009303967</v>
      </c>
      <c r="J190" s="25">
        <f>ROA!G209</f>
        <v>2.1057082043760379E-2</v>
      </c>
      <c r="K190" s="25">
        <f>ROE!G209</f>
        <v>5.7839331039442082E-2</v>
      </c>
      <c r="L190" s="25">
        <f>KM!E209</f>
        <v>0.68340000000000001</v>
      </c>
      <c r="M190" s="24">
        <f>KI!E209</f>
        <v>3</v>
      </c>
      <c r="N190" s="108">
        <f>IO!E209</f>
        <v>0</v>
      </c>
      <c r="O190" s="24">
        <f>'BoC Size'!E209</f>
        <v>6</v>
      </c>
      <c r="P190" s="24">
        <f>'TMT E DK'!E209</f>
        <v>0</v>
      </c>
      <c r="Q190" s="24">
        <f>Data!R209</f>
        <v>6</v>
      </c>
      <c r="R190" s="24">
        <f>Data!S209</f>
        <v>6</v>
      </c>
      <c r="S190" s="24">
        <f>'TMT E DK'!E209</f>
        <v>0</v>
      </c>
      <c r="T190" s="24">
        <f>'TMT E DD'!E209</f>
        <v>0</v>
      </c>
      <c r="U190" s="24">
        <f>TA!E209</f>
        <v>19037633000000</v>
      </c>
      <c r="V190" s="109">
        <f>PR!F209</f>
        <v>8.1629183363086E-2</v>
      </c>
      <c r="W190" s="109">
        <f>'Z Score'!I209</f>
        <v>-0.16085817391269175</v>
      </c>
      <c r="X190" s="109">
        <f>'Z Score'!L209</f>
        <v>0.18676420225140383</v>
      </c>
      <c r="Y190" s="109">
        <f>'Z Score'!O209</f>
        <v>0.10970599128578641</v>
      </c>
      <c r="Z190" s="109">
        <f>'Z Score'!R209</f>
        <v>0.60110343303217106</v>
      </c>
      <c r="AA190" s="109">
        <f>'Z Score'!S209</f>
        <v>0.73671545265666949</v>
      </c>
    </row>
    <row r="191" spans="1:27" ht="15" customHeight="1" x14ac:dyDescent="0.3">
      <c r="A191" s="22"/>
      <c r="B191" s="23"/>
      <c r="C191" s="3"/>
      <c r="D191" s="23">
        <v>2024</v>
      </c>
      <c r="E191" s="25">
        <f>'Current Ratio'!G210</f>
        <v>0.51077008491243903</v>
      </c>
      <c r="F191" s="25">
        <f>'Cash Ratio'!G210</f>
        <v>7.7563684329297486E-2</v>
      </c>
      <c r="G191" s="25">
        <f>DAR!G210</f>
        <v>0.61601029984187239</v>
      </c>
      <c r="H191" s="25">
        <f>DER!G210</f>
        <v>1.6042365188133907</v>
      </c>
      <c r="I191" s="25">
        <f>NPM!G210</f>
        <v>0.2066440496812188</v>
      </c>
      <c r="J191" s="25">
        <f>ROA!G210</f>
        <v>4.2331932251902168E-2</v>
      </c>
      <c r="K191" s="25">
        <f>ROE!G210</f>
        <v>0.11024236388233799</v>
      </c>
      <c r="L191" s="25">
        <f>KM!E210</f>
        <v>0.68340000000000001</v>
      </c>
      <c r="M191" s="24">
        <f>KI!E210</f>
        <v>3</v>
      </c>
      <c r="N191" s="108">
        <f>IO!E210</f>
        <v>0</v>
      </c>
      <c r="O191" s="24">
        <f>'BoC Size'!E210</f>
        <v>6</v>
      </c>
      <c r="P191" s="24">
        <f>'TMT E DK'!E210</f>
        <v>0</v>
      </c>
      <c r="Q191" s="24">
        <f>Data!R210</f>
        <v>6</v>
      </c>
      <c r="R191" s="24">
        <f>Data!S210</f>
        <v>6</v>
      </c>
      <c r="S191" s="24">
        <f>'TMT E DK'!E210</f>
        <v>0</v>
      </c>
      <c r="T191" s="24">
        <f>'TMT E DD'!E210</f>
        <v>0</v>
      </c>
      <c r="U191" s="24">
        <f>TA!E210</f>
        <v>19145925000000</v>
      </c>
      <c r="V191" s="109">
        <f>PR!F210</f>
        <v>1.732166641377101E-2</v>
      </c>
      <c r="W191" s="109">
        <f>'Z Score'!I210</f>
        <v>-0.17753082392206174</v>
      </c>
      <c r="X191" s="109">
        <f>'Z Score'!L210</f>
        <v>0.19591593824795617</v>
      </c>
      <c r="Y191" s="109">
        <f>'Z Score'!O210</f>
        <v>0.16403062688274397</v>
      </c>
      <c r="Z191" s="109">
        <f>'Z Score'!R210</f>
        <v>0.65451695413133726</v>
      </c>
      <c r="AA191" s="109">
        <f>'Z Score'!S210</f>
        <v>0.83693269533997561</v>
      </c>
    </row>
    <row r="192" spans="1:27" ht="15" customHeight="1" x14ac:dyDescent="0.3">
      <c r="A192" s="22"/>
      <c r="B192" s="23">
        <v>20</v>
      </c>
      <c r="C192" s="3" t="s">
        <v>27</v>
      </c>
      <c r="D192" s="23">
        <v>2015</v>
      </c>
      <c r="E192" s="25">
        <f>'Current Ratio'!G212</f>
        <v>0</v>
      </c>
      <c r="F192" s="25">
        <f>'Cash Ratio'!G212</f>
        <v>0</v>
      </c>
      <c r="G192" s="25">
        <f>DAR!G212</f>
        <v>0</v>
      </c>
      <c r="H192" s="25">
        <f>DER!G212</f>
        <v>0</v>
      </c>
      <c r="I192" s="25">
        <f>NPM!G212</f>
        <v>0</v>
      </c>
      <c r="J192" s="25">
        <f>ROA!G212</f>
        <v>0</v>
      </c>
      <c r="K192" s="25">
        <f>ROE!G212</f>
        <v>0</v>
      </c>
      <c r="L192" s="25">
        <f>KM!E212</f>
        <v>0</v>
      </c>
      <c r="M192" s="24">
        <f>KI!E212</f>
        <v>0</v>
      </c>
      <c r="N192" s="108">
        <f>IO!E212</f>
        <v>0</v>
      </c>
      <c r="O192" s="24">
        <f>'BoC Size'!E212</f>
        <v>0</v>
      </c>
      <c r="P192" s="24">
        <f>'TMT E DK'!E212</f>
        <v>0</v>
      </c>
      <c r="Q192" s="24">
        <f>Data!R212</f>
        <v>0</v>
      </c>
      <c r="R192" s="24">
        <f>Data!S212</f>
        <v>0</v>
      </c>
      <c r="S192" s="24">
        <f>'TMT E DK'!E212</f>
        <v>0</v>
      </c>
      <c r="T192" s="24">
        <f>'TMT E DD'!E212</f>
        <v>0</v>
      </c>
      <c r="U192" s="24">
        <f>TA!E212</f>
        <v>0</v>
      </c>
      <c r="V192" s="109">
        <f>PR!F212</f>
        <v>0</v>
      </c>
      <c r="W192" s="109">
        <f>'Z Score'!I212</f>
        <v>0</v>
      </c>
      <c r="X192" s="109">
        <f>'Z Score'!L212</f>
        <v>0</v>
      </c>
      <c r="Y192" s="109">
        <f>'Z Score'!O212</f>
        <v>0</v>
      </c>
      <c r="Z192" s="109">
        <f>'Z Score'!R212</f>
        <v>0</v>
      </c>
      <c r="AA192" s="109">
        <f>'Z Score'!S212</f>
        <v>0</v>
      </c>
    </row>
    <row r="193" spans="1:27" ht="15" customHeight="1" x14ac:dyDescent="0.3">
      <c r="A193" s="22"/>
      <c r="B193" s="23"/>
      <c r="C193" s="3"/>
      <c r="D193" s="23">
        <v>2016</v>
      </c>
      <c r="E193" s="25">
        <f>'Current Ratio'!G213</f>
        <v>0</v>
      </c>
      <c r="F193" s="25">
        <f>'Cash Ratio'!G213</f>
        <v>0</v>
      </c>
      <c r="G193" s="25">
        <f>DAR!G213</f>
        <v>0</v>
      </c>
      <c r="H193" s="25">
        <f>DER!G213</f>
        <v>0</v>
      </c>
      <c r="I193" s="25">
        <f>NPM!G213</f>
        <v>0</v>
      </c>
      <c r="J193" s="25">
        <f>ROA!G213</f>
        <v>0</v>
      </c>
      <c r="K193" s="25">
        <f>ROE!G213</f>
        <v>0</v>
      </c>
      <c r="L193" s="25">
        <f>KM!E213</f>
        <v>0</v>
      </c>
      <c r="M193" s="24">
        <f>KI!E213</f>
        <v>0</v>
      </c>
      <c r="N193" s="108">
        <f>IO!E213</f>
        <v>0</v>
      </c>
      <c r="O193" s="24">
        <f>'BoC Size'!E213</f>
        <v>0</v>
      </c>
      <c r="P193" s="24">
        <f>'TMT E DK'!E213</f>
        <v>0</v>
      </c>
      <c r="Q193" s="24">
        <f>Data!R213</f>
        <v>0</v>
      </c>
      <c r="R193" s="24">
        <f>Data!S213</f>
        <v>0</v>
      </c>
      <c r="S193" s="24">
        <f>'TMT E DK'!E213</f>
        <v>0</v>
      </c>
      <c r="T193" s="24">
        <f>'TMT E DD'!E213</f>
        <v>0</v>
      </c>
      <c r="U193" s="24">
        <f>TA!E213</f>
        <v>0</v>
      </c>
      <c r="V193" s="109">
        <f>PR!F213</f>
        <v>0</v>
      </c>
      <c r="W193" s="109">
        <f>'Z Score'!I213</f>
        <v>0</v>
      </c>
      <c r="X193" s="109">
        <f>'Z Score'!L213</f>
        <v>0</v>
      </c>
      <c r="Y193" s="109">
        <f>'Z Score'!O213</f>
        <v>0</v>
      </c>
      <c r="Z193" s="109">
        <f>'Z Score'!R213</f>
        <v>0</v>
      </c>
      <c r="AA193" s="109">
        <f>'Z Score'!S213</f>
        <v>0</v>
      </c>
    </row>
    <row r="194" spans="1:27" ht="15" customHeight="1" x14ac:dyDescent="0.3">
      <c r="A194" s="22"/>
      <c r="B194" s="23"/>
      <c r="C194" s="3"/>
      <c r="D194" s="23">
        <v>2017</v>
      </c>
      <c r="E194" s="25">
        <f>'Current Ratio'!G214</f>
        <v>0.91950160704595729</v>
      </c>
      <c r="F194" s="25">
        <f>'Cash Ratio'!G214</f>
        <v>0.9113828943523814</v>
      </c>
      <c r="G194" s="25">
        <f>DAR!G214</f>
        <v>1.1106442202178626</v>
      </c>
      <c r="H194" s="25">
        <f>DER!G214</f>
        <v>-10.037977745524916</v>
      </c>
      <c r="I194" s="25">
        <f>NPM!G214</f>
        <v>-1.4542820347714103</v>
      </c>
      <c r="J194" s="25">
        <f>ROA!G214</f>
        <v>-8.0596668718607531E-2</v>
      </c>
      <c r="K194" s="25">
        <f>ROE!G214</f>
        <v>0.72843089824221896</v>
      </c>
      <c r="L194" s="25">
        <f>KM!E214</f>
        <v>0</v>
      </c>
      <c r="M194" s="24">
        <f>KI!E214</f>
        <v>0</v>
      </c>
      <c r="N194" s="108">
        <f>IO!E214</f>
        <v>0</v>
      </c>
      <c r="O194" s="24">
        <f>'BoC Size'!E214</f>
        <v>0</v>
      </c>
      <c r="P194" s="24">
        <f>'TMT E DK'!E214</f>
        <v>0</v>
      </c>
      <c r="Q194" s="24">
        <f>Data!R214</f>
        <v>0</v>
      </c>
      <c r="R194" s="24">
        <f>Data!S214</f>
        <v>0</v>
      </c>
      <c r="S194" s="24">
        <f>'TMT E DK'!E214</f>
        <v>0</v>
      </c>
      <c r="T194" s="24">
        <f>'TMT E DD'!E214</f>
        <v>0</v>
      </c>
      <c r="U194" s="24">
        <f>TA!E214</f>
        <v>112089000000</v>
      </c>
      <c r="V194" s="109">
        <f>PR!F214</f>
        <v>0</v>
      </c>
      <c r="W194" s="109">
        <f>'Z Score'!I214</f>
        <v>-0.45146124954277406</v>
      </c>
      <c r="X194" s="109">
        <f>'Z Score'!L214</f>
        <v>-5.6249098484240196</v>
      </c>
      <c r="Y194" s="109">
        <f>'Z Score'!O214</f>
        <v>-0.5416096137890426</v>
      </c>
      <c r="Z194" s="109">
        <f>'Z Score'!R214</f>
        <v>-0.10460274236691811</v>
      </c>
      <c r="AA194" s="109">
        <f>'Z Score'!S214</f>
        <v>-6.7225834541227547</v>
      </c>
    </row>
    <row r="195" spans="1:27" ht="15" customHeight="1" x14ac:dyDescent="0.3">
      <c r="A195" s="22"/>
      <c r="B195" s="23"/>
      <c r="C195" s="3"/>
      <c r="D195" s="23">
        <v>2018</v>
      </c>
      <c r="E195" s="25">
        <f>'Current Ratio'!G215</f>
        <v>0.43110734332652562</v>
      </c>
      <c r="F195" s="25">
        <f>'Cash Ratio'!G215</f>
        <v>0.38660038791054935</v>
      </c>
      <c r="G195" s="25">
        <f>DAR!G215</f>
        <v>0.4916957835032999</v>
      </c>
      <c r="H195" s="25">
        <f>DER!G215</f>
        <v>0.96732580125369072</v>
      </c>
      <c r="I195" s="25">
        <f>NPM!G215</f>
        <v>0.12717914660468205</v>
      </c>
      <c r="J195" s="25">
        <f>ROA!G215</f>
        <v>3.6265848554573946E-3</v>
      </c>
      <c r="K195" s="25">
        <f>ROE!G215</f>
        <v>7.1346739565772196E-3</v>
      </c>
      <c r="L195" s="25">
        <f>KM!E215</f>
        <v>0.99990000000000001</v>
      </c>
      <c r="M195" s="24">
        <f>KI!E215</f>
        <v>2</v>
      </c>
      <c r="N195" s="108">
        <f>IO!E215</f>
        <v>0</v>
      </c>
      <c r="O195" s="24">
        <f>'BoC Size'!E215</f>
        <v>4</v>
      </c>
      <c r="P195" s="24">
        <f>'TMT E DK'!E215</f>
        <v>0</v>
      </c>
      <c r="Q195" s="24">
        <f>Data!R215</f>
        <v>4</v>
      </c>
      <c r="R195" s="24">
        <f>Data!S215</f>
        <v>3</v>
      </c>
      <c r="S195" s="24">
        <f>'TMT E DK'!E215</f>
        <v>0</v>
      </c>
      <c r="T195" s="24">
        <f>'TMT E DD'!E215</f>
        <v>0</v>
      </c>
      <c r="U195" s="24">
        <f>TA!E215</f>
        <v>211218000000</v>
      </c>
      <c r="V195" s="109">
        <f>PR!F215</f>
        <v>-3.0424983902124919E-2</v>
      </c>
      <c r="W195" s="109">
        <f>'Z Score'!I215</f>
        <v>-1.3755570074520163</v>
      </c>
      <c r="X195" s="109">
        <f>'Z Score'!L215</f>
        <v>-2.9732154456533055</v>
      </c>
      <c r="Y195" s="109">
        <f>'Z Score'!O215</f>
        <v>2.1030025850069595E-2</v>
      </c>
      <c r="Z195" s="109">
        <f>'Z Score'!R215</f>
        <v>1.0854667565355542</v>
      </c>
      <c r="AA195" s="109">
        <f>'Z Score'!S215</f>
        <v>-3.2422756707196978</v>
      </c>
    </row>
    <row r="196" spans="1:27" ht="15" customHeight="1" x14ac:dyDescent="0.3">
      <c r="A196" s="22"/>
      <c r="B196" s="23"/>
      <c r="C196" s="3"/>
      <c r="D196" s="23">
        <v>2019</v>
      </c>
      <c r="E196" s="25">
        <f>'Current Ratio'!G216</f>
        <v>0.69534446407202688</v>
      </c>
      <c r="F196" s="25">
        <f>'Cash Ratio'!G216</f>
        <v>0.65514844150663853</v>
      </c>
      <c r="G196" s="25">
        <f>DAR!G216</f>
        <v>0.94857784973307158</v>
      </c>
      <c r="H196" s="25">
        <f>DER!G216</f>
        <v>18.447012959325079</v>
      </c>
      <c r="I196" s="25">
        <f>NPM!G216</f>
        <v>8.4324316718348488E-3</v>
      </c>
      <c r="J196" s="25">
        <f>ROA!G216</f>
        <v>9.385467423371853E-3</v>
      </c>
      <c r="K196" s="25">
        <f>ROE!G216</f>
        <v>0.18251937807422297</v>
      </c>
      <c r="L196" s="25">
        <f>KM!E216</f>
        <v>0.99990000000000001</v>
      </c>
      <c r="M196" s="24">
        <f>KI!E216</f>
        <v>2</v>
      </c>
      <c r="N196" s="108">
        <f>IO!E216</f>
        <v>0</v>
      </c>
      <c r="O196" s="24">
        <f>'BoC Size'!E216</f>
        <v>4</v>
      </c>
      <c r="P196" s="24">
        <f>'TMT E DK'!E216</f>
        <v>0</v>
      </c>
      <c r="Q196" s="24">
        <f>Data!R216</f>
        <v>4</v>
      </c>
      <c r="R196" s="24">
        <f>Data!S216</f>
        <v>3</v>
      </c>
      <c r="S196" s="24">
        <f>'TMT E DK'!E216</f>
        <v>0</v>
      </c>
      <c r="T196" s="24">
        <f>'TMT E DD'!E216</f>
        <v>0</v>
      </c>
      <c r="U196" s="24">
        <f>TA!E216</f>
        <v>2554055000000</v>
      </c>
      <c r="V196" s="109">
        <f>PR!F216</f>
        <v>470.97658973933255</v>
      </c>
      <c r="W196" s="109">
        <f>'Z Score'!I216</f>
        <v>-6.8660197215799967E-2</v>
      </c>
      <c r="X196" s="109">
        <f>'Z Score'!L216</f>
        <v>-0.21439335488076802</v>
      </c>
      <c r="Y196" s="109">
        <f>'Z Score'!O216</f>
        <v>6.3935976320008761E-2</v>
      </c>
      <c r="Z196" s="109">
        <f>'Z Score'!R216</f>
        <v>5.6919784374587244E-2</v>
      </c>
      <c r="AA196" s="109">
        <f>'Z Score'!S216</f>
        <v>-0.16219779140197202</v>
      </c>
    </row>
    <row r="197" spans="1:27" ht="15" customHeight="1" x14ac:dyDescent="0.3">
      <c r="A197" s="22"/>
      <c r="B197" s="23"/>
      <c r="C197" s="3"/>
      <c r="D197" s="23">
        <v>2020</v>
      </c>
      <c r="E197" s="25">
        <f>'Current Ratio'!G217</f>
        <v>0.61688988512188292</v>
      </c>
      <c r="F197" s="25">
        <f>'Cash Ratio'!G217</f>
        <v>0.42547492294760436</v>
      </c>
      <c r="G197" s="25">
        <f>DAR!G217</f>
        <v>0.9347806339121022</v>
      </c>
      <c r="H197" s="25">
        <f>DER!G217</f>
        <v>14.353694447673293</v>
      </c>
      <c r="I197" s="25">
        <f>NPM!G217</f>
        <v>1.1519428260213698E-2</v>
      </c>
      <c r="J197" s="25">
        <f>ROA!G217</f>
        <v>9.8914713816013588E-3</v>
      </c>
      <c r="K197" s="25">
        <f>ROE!G217</f>
        <v>0.15188500135611607</v>
      </c>
      <c r="L197" s="25">
        <f>KM!E217</f>
        <v>0.99990000000000001</v>
      </c>
      <c r="M197" s="24">
        <f>KI!E217</f>
        <v>2</v>
      </c>
      <c r="N197" s="108">
        <f>IO!E217</f>
        <v>0</v>
      </c>
      <c r="O197" s="24">
        <f>'BoC Size'!E217</f>
        <v>4</v>
      </c>
      <c r="P197" s="24">
        <f>'TMT E DK'!E217</f>
        <v>0</v>
      </c>
      <c r="Q197" s="24">
        <f>Data!R217</f>
        <v>4</v>
      </c>
      <c r="R197" s="24">
        <f>Data!S217</f>
        <v>3</v>
      </c>
      <c r="S197" s="24">
        <f>'TMT E DK'!E217</f>
        <v>0</v>
      </c>
      <c r="T197" s="24">
        <f>'TMT E DD'!E217</f>
        <v>0</v>
      </c>
      <c r="U197" s="24">
        <f>TA!E217</f>
        <v>2377806000000</v>
      </c>
      <c r="V197" s="109">
        <f>PR!F217</f>
        <v>-0.28175423846569214</v>
      </c>
      <c r="W197" s="109">
        <f>'Z Score'!I217</f>
        <v>-9.4305624596792162E-2</v>
      </c>
      <c r="X197" s="109">
        <f>'Z Score'!L217</f>
        <v>-0.18548143961281954</v>
      </c>
      <c r="Y197" s="109">
        <f>'Z Score'!O217</f>
        <v>9.1575242050865369E-2</v>
      </c>
      <c r="Z197" s="109">
        <f>'Z Score'!R217</f>
        <v>7.3151898546245223E-2</v>
      </c>
      <c r="AA197" s="109">
        <f>'Z Score'!S217</f>
        <v>-0.1150599236125011</v>
      </c>
    </row>
    <row r="198" spans="1:27" ht="15" customHeight="1" x14ac:dyDescent="0.3">
      <c r="A198" s="22"/>
      <c r="B198" s="23"/>
      <c r="C198" s="3"/>
      <c r="D198" s="23">
        <v>2021</v>
      </c>
      <c r="E198" s="25">
        <f>'Current Ratio'!G218</f>
        <v>9.9644056104851693</v>
      </c>
      <c r="F198" s="25">
        <f>'Cash Ratio'!G218</f>
        <v>9.3405610485168999</v>
      </c>
      <c r="G198" s="25">
        <f>DAR!G218</f>
        <v>0.94295655950448265</v>
      </c>
      <c r="H198" s="25">
        <f>DER!G218</f>
        <v>16.530499410858333</v>
      </c>
      <c r="I198" s="25">
        <f>NPM!G218</f>
        <v>1.5228449371385597E-2</v>
      </c>
      <c r="J198" s="25">
        <f>ROA!G218</f>
        <v>1.2563436175480806E-2</v>
      </c>
      <c r="K198" s="25">
        <f>ROE!G218</f>
        <v>0.22024331047262255</v>
      </c>
      <c r="L198" s="25">
        <f>KM!E218</f>
        <v>0.99990000000000001</v>
      </c>
      <c r="M198" s="24">
        <f>KI!E218</f>
        <v>2</v>
      </c>
      <c r="N198" s="108">
        <f>IO!E218</f>
        <v>0</v>
      </c>
      <c r="O198" s="24">
        <f>'BoC Size'!E218</f>
        <v>4</v>
      </c>
      <c r="P198" s="24">
        <f>'TMT E DK'!E218</f>
        <v>0</v>
      </c>
      <c r="Q198" s="24">
        <f>Data!R218</f>
        <v>4</v>
      </c>
      <c r="R198" s="24">
        <f>Data!S218</f>
        <v>3</v>
      </c>
      <c r="S198" s="24">
        <f>'TMT E DK'!E218</f>
        <v>0</v>
      </c>
      <c r="T198" s="24">
        <f>'TMT E DD'!E218</f>
        <v>0</v>
      </c>
      <c r="U198" s="24">
        <f>TA!E218</f>
        <v>3481452000000</v>
      </c>
      <c r="V198" s="109">
        <f>PR!F218</f>
        <v>0.4067171196727542</v>
      </c>
      <c r="W198" s="109">
        <f>'Z Score'!I218</f>
        <v>0.73460576793820509</v>
      </c>
      <c r="X198" s="109">
        <f>'Z Score'!L218</f>
        <v>-9.4302055579108937E-2</v>
      </c>
      <c r="Y198" s="109">
        <f>'Z Score'!O218</f>
        <v>6.7621716456237227E-2</v>
      </c>
      <c r="Z198" s="109">
        <f>'Z Score'!R218</f>
        <v>6.351895208382452E-2</v>
      </c>
      <c r="AA198" s="109">
        <f>'Z Score'!S218</f>
        <v>0.7714443808991579</v>
      </c>
    </row>
    <row r="199" spans="1:27" ht="15" customHeight="1" x14ac:dyDescent="0.3">
      <c r="A199" s="22"/>
      <c r="B199" s="23"/>
      <c r="C199" s="3"/>
      <c r="D199" s="23">
        <v>2022</v>
      </c>
      <c r="E199" s="25">
        <f>'Current Ratio'!G219</f>
        <v>1.0241721105933252</v>
      </c>
      <c r="F199" s="25">
        <f>'Cash Ratio'!G219</f>
        <v>0.5694975085291174</v>
      </c>
      <c r="G199" s="25">
        <f>DAR!G219</f>
        <v>0.93617261992464584</v>
      </c>
      <c r="H199" s="25">
        <f>DER!G219</f>
        <v>20.793746909417848</v>
      </c>
      <c r="I199" s="25">
        <f>NPM!G219</f>
        <v>5.5428776682228641E-3</v>
      </c>
      <c r="J199" s="25">
        <f>ROA!G219</f>
        <v>4.8284373649041396E-3</v>
      </c>
      <c r="K199" s="25">
        <f>ROE!G219</f>
        <v>0.10724657226342998</v>
      </c>
      <c r="L199" s="25">
        <f>KM!E219</f>
        <v>0.99990000000000001</v>
      </c>
      <c r="M199" s="24">
        <f>KI!E219</f>
        <v>2</v>
      </c>
      <c r="N199" s="108">
        <f>IO!E219</f>
        <v>0</v>
      </c>
      <c r="O199" s="24">
        <f>'BoC Size'!E219</f>
        <v>4</v>
      </c>
      <c r="P199" s="24">
        <f>'TMT E DK'!E219</f>
        <v>0</v>
      </c>
      <c r="Q199" s="24">
        <f>Data!R219</f>
        <v>4</v>
      </c>
      <c r="R199" s="24">
        <f>Data!S219</f>
        <v>3</v>
      </c>
      <c r="S199" s="24">
        <f>'TMT E DK'!E219</f>
        <v>0</v>
      </c>
      <c r="T199" s="24">
        <f>'TMT E DD'!E219</f>
        <v>0</v>
      </c>
      <c r="U199" s="24">
        <f>TA!E219</f>
        <v>4940936000000</v>
      </c>
      <c r="V199" s="109">
        <f>PR!F219</f>
        <v>0.49853665669750258</v>
      </c>
      <c r="W199" s="109">
        <f>'Z Score'!I219</f>
        <v>2.9819775038575688E-3</v>
      </c>
      <c r="X199" s="109">
        <f>'Z Score'!L219</f>
        <v>-4.6202075881978638E-2</v>
      </c>
      <c r="Y199" s="109">
        <f>'Z Score'!O219</f>
        <v>4.1543221770126149E-2</v>
      </c>
      <c r="Z199" s="109">
        <f>'Z Score'!R219</f>
        <v>5.0495949795581911E-2</v>
      </c>
      <c r="AA199" s="109">
        <f>'Z Score'!S219</f>
        <v>4.8819073187586992E-2</v>
      </c>
    </row>
    <row r="200" spans="1:27" ht="15" customHeight="1" x14ac:dyDescent="0.3">
      <c r="A200" s="22"/>
      <c r="B200" s="23"/>
      <c r="C200" s="3"/>
      <c r="D200" s="23">
        <v>2023</v>
      </c>
      <c r="E200" s="25">
        <f>'Current Ratio'!G220</f>
        <v>1.0638238814773693</v>
      </c>
      <c r="F200" s="25">
        <f>'Cash Ratio'!G220</f>
        <v>0.4927050986242909</v>
      </c>
      <c r="G200" s="25">
        <f>DAR!G220</f>
        <v>0.94019313593857579</v>
      </c>
      <c r="H200" s="25">
        <f>DER!G220</f>
        <v>15.720488788259454</v>
      </c>
      <c r="I200" s="25">
        <f>NPM!G220</f>
        <v>1.5807340508043433E-2</v>
      </c>
      <c r="J200" s="25">
        <f>ROA!G220</f>
        <v>9.7692657383791036E-3</v>
      </c>
      <c r="K200" s="25">
        <f>ROE!G220</f>
        <v>0.16334689824809501</v>
      </c>
      <c r="L200" s="25">
        <f>KM!E220</f>
        <v>0.99990000000000001</v>
      </c>
      <c r="M200" s="24">
        <f>KI!E220</f>
        <v>2</v>
      </c>
      <c r="N200" s="108">
        <f>IO!E220</f>
        <v>0</v>
      </c>
      <c r="O200" s="24">
        <f>'BoC Size'!E220</f>
        <v>4</v>
      </c>
      <c r="P200" s="24">
        <f>'TMT E DK'!E220</f>
        <v>0</v>
      </c>
      <c r="Q200" s="24">
        <f>Data!R220</f>
        <v>4</v>
      </c>
      <c r="R200" s="24">
        <f>Data!S220</f>
        <v>3</v>
      </c>
      <c r="S200" s="24">
        <f>'TMT E DK'!E220</f>
        <v>0</v>
      </c>
      <c r="T200" s="24">
        <f>'TMT E DD'!E220</f>
        <v>0</v>
      </c>
      <c r="U200" s="24">
        <f>TA!E220</f>
        <v>4445677000000</v>
      </c>
      <c r="V200" s="109">
        <f>PR!F220</f>
        <v>-0.36164761730840628</v>
      </c>
      <c r="W200" s="109">
        <f>'Z Score'!I220</f>
        <v>5.4286984861923165E-3</v>
      </c>
      <c r="X200" s="109">
        <f>'Z Score'!L220</f>
        <v>-2.6980916517326831E-2</v>
      </c>
      <c r="Y200" s="109">
        <f>'Z Score'!O220</f>
        <v>4.9924490690619223E-2</v>
      </c>
      <c r="Z200" s="109">
        <f>'Z Score'!R220</f>
        <v>6.6791816345059998E-2</v>
      </c>
      <c r="AA200" s="109">
        <f>'Z Score'!S220</f>
        <v>9.5164089004544705E-2</v>
      </c>
    </row>
    <row r="201" spans="1:27" ht="15" customHeight="1" x14ac:dyDescent="0.3">
      <c r="A201" s="22"/>
      <c r="B201" s="23"/>
      <c r="C201" s="3"/>
      <c r="D201" s="23">
        <v>2024</v>
      </c>
      <c r="E201" s="25">
        <f>'Current Ratio'!G221</f>
        <v>6.0210516945946546</v>
      </c>
      <c r="F201" s="25">
        <f>'Cash Ratio'!G221</f>
        <v>4.8146738767607982</v>
      </c>
      <c r="G201" s="25">
        <f>DAR!G221</f>
        <v>0.94650421661933359</v>
      </c>
      <c r="H201" s="25">
        <f>DER!G221</f>
        <v>17.693062084616631</v>
      </c>
      <c r="I201" s="25">
        <f>NPM!G221</f>
        <v>6.0067520566377767E-3</v>
      </c>
      <c r="J201" s="25">
        <f>ROA!G221</f>
        <v>3.3729184359627155E-3</v>
      </c>
      <c r="K201" s="25">
        <f>ROE!G221</f>
        <v>6.3050173729799069E-2</v>
      </c>
      <c r="L201" s="25">
        <f>KM!E221</f>
        <v>0.99990000000000001</v>
      </c>
      <c r="M201" s="24">
        <f>KI!E221</f>
        <v>2</v>
      </c>
      <c r="N201" s="108">
        <f>IO!E221</f>
        <v>0</v>
      </c>
      <c r="O201" s="24">
        <f>'BoC Size'!E221</f>
        <v>4</v>
      </c>
      <c r="P201" s="24">
        <f>'TMT E DK'!E221</f>
        <v>0</v>
      </c>
      <c r="Q201" s="24">
        <f>Data!R221</f>
        <v>4</v>
      </c>
      <c r="R201" s="24">
        <f>Data!S221</f>
        <v>3</v>
      </c>
      <c r="S201" s="24">
        <f>'TMT E DK'!E221</f>
        <v>0</v>
      </c>
      <c r="T201" s="24">
        <f>'TMT E DD'!E221</f>
        <v>0</v>
      </c>
      <c r="U201" s="24">
        <f>TA!E221</f>
        <v>5304605000000</v>
      </c>
      <c r="V201" s="109">
        <f>PR!F221</f>
        <v>8.4122013990065955E-2</v>
      </c>
      <c r="W201" s="109">
        <f>'Z Score'!I221</f>
        <v>0.27902913789056866</v>
      </c>
      <c r="X201" s="109">
        <f>'Z Score'!L221</f>
        <v>-1.3626032475556616E-2</v>
      </c>
      <c r="Y201" s="109">
        <f>'Z Score'!O221</f>
        <v>1.8499428326897098E-2</v>
      </c>
      <c r="Z201" s="109">
        <f>'Z Score'!R221</f>
        <v>5.934529562934901E-2</v>
      </c>
      <c r="AA201" s="109">
        <f>'Z Score'!S221</f>
        <v>0.3432478293712582</v>
      </c>
    </row>
    <row r="202" spans="1:27" ht="15" customHeight="1" x14ac:dyDescent="0.3">
      <c r="A202" s="22"/>
      <c r="B202" s="23">
        <v>21</v>
      </c>
      <c r="C202" s="4" t="s">
        <v>52</v>
      </c>
      <c r="D202" s="23">
        <v>2015</v>
      </c>
      <c r="E202" s="25">
        <f>'Current Ratio'!G223</f>
        <v>1.5390337685538629</v>
      </c>
      <c r="F202" s="25">
        <f>'Cash Ratio'!G223</f>
        <v>0.16153636801373353</v>
      </c>
      <c r="G202" s="25">
        <f>DAR!G223</f>
        <v>0.53761459994016414</v>
      </c>
      <c r="H202" s="25">
        <f>DER!G223</f>
        <v>3.1812802386351233</v>
      </c>
      <c r="I202" s="25">
        <f>NPM!G223</f>
        <v>8.2353271001836301E-2</v>
      </c>
      <c r="J202" s="25">
        <f>ROA!G223</f>
        <v>1.2038885086536531E-2</v>
      </c>
      <c r="K202" s="25">
        <f>ROE!G223</f>
        <v>7.1238889764638838E-2</v>
      </c>
      <c r="L202" s="25">
        <f>KM!E223</f>
        <v>0.68</v>
      </c>
      <c r="M202" s="24">
        <f>KI!E223</f>
        <v>2</v>
      </c>
      <c r="N202" s="108">
        <f>IO!E223</f>
        <v>0</v>
      </c>
      <c r="O202" s="24">
        <f>'BoC Size'!E223</f>
        <v>4</v>
      </c>
      <c r="P202" s="24">
        <f>'TMT E DK'!E223</f>
        <v>0</v>
      </c>
      <c r="Q202" s="24">
        <f>Data!R223</f>
        <v>4</v>
      </c>
      <c r="R202" s="24">
        <f>Data!S223</f>
        <v>3</v>
      </c>
      <c r="S202" s="24">
        <f>'TMT E DK'!E223</f>
        <v>0</v>
      </c>
      <c r="T202" s="24">
        <f>'TMT E DD'!E223</f>
        <v>0</v>
      </c>
      <c r="U202" s="24">
        <f>TA!E223</f>
        <v>488002000000</v>
      </c>
      <c r="V202" s="109">
        <f>PR!F223</f>
        <v>5.5201384472022129E-2</v>
      </c>
      <c r="W202" s="109">
        <f>'Z Score'!I223</f>
        <v>1.0383442690808644</v>
      </c>
      <c r="X202" s="109">
        <f>'Z Score'!L223</f>
        <v>0.11669816926979806</v>
      </c>
      <c r="Y202" s="109">
        <f>'Z Score'!O223</f>
        <v>9.3817976155835425E-2</v>
      </c>
      <c r="Z202" s="109">
        <f>'Z Score'!R223</f>
        <v>0.33005580182728117</v>
      </c>
      <c r="AA202" s="109">
        <f>'Z Score'!S223</f>
        <v>1.5789162163337793</v>
      </c>
    </row>
    <row r="203" spans="1:27" ht="15" customHeight="1" x14ac:dyDescent="0.3">
      <c r="A203" s="22"/>
      <c r="B203" s="23"/>
      <c r="C203" s="4"/>
      <c r="D203" s="23">
        <v>2016</v>
      </c>
      <c r="E203" s="25">
        <f>'Current Ratio'!G224</f>
        <v>2.6243387939601832</v>
      </c>
      <c r="F203" s="25">
        <f>'Cash Ratio'!G224</f>
        <v>1.110954380790562</v>
      </c>
      <c r="G203" s="25">
        <f>DAR!G224</f>
        <v>0.35756289322702539</v>
      </c>
      <c r="H203" s="25">
        <f>DER!G224</f>
        <v>1.3924177010253642</v>
      </c>
      <c r="I203" s="25">
        <f>NPM!G224</f>
        <v>8.1105105449540499E-2</v>
      </c>
      <c r="J203" s="25">
        <f>ROA!G224</f>
        <v>1.3065992849157881E-2</v>
      </c>
      <c r="K203" s="25">
        <f>ROE!G224</f>
        <v>5.0881453498830727E-2</v>
      </c>
      <c r="L203" s="25">
        <f>KM!E224</f>
        <v>0.68</v>
      </c>
      <c r="M203" s="24">
        <f>KI!E224</f>
        <v>2</v>
      </c>
      <c r="N203" s="108">
        <f>IO!E224</f>
        <v>0</v>
      </c>
      <c r="O203" s="24">
        <f>'BoC Size'!E224</f>
        <v>4</v>
      </c>
      <c r="P203" s="24">
        <f>'TMT E DK'!E224</f>
        <v>0</v>
      </c>
      <c r="Q203" s="24">
        <f>Data!R224</f>
        <v>4</v>
      </c>
      <c r="R203" s="24">
        <f>Data!S224</f>
        <v>3</v>
      </c>
      <c r="S203" s="24">
        <f>'TMT E DK'!E224</f>
        <v>0</v>
      </c>
      <c r="T203" s="24">
        <f>'TMT E DD'!E224</f>
        <v>0</v>
      </c>
      <c r="U203" s="24">
        <f>TA!E224</f>
        <v>432956000000</v>
      </c>
      <c r="V203" s="109">
        <f>PR!F224</f>
        <v>-2.2287949088156549E-2</v>
      </c>
      <c r="W203" s="109">
        <f>'Z Score'!I224</f>
        <v>1.5354081246131246</v>
      </c>
      <c r="X203" s="109">
        <f>'Z Score'!L224</f>
        <v>8.418130248801263E-2</v>
      </c>
      <c r="Y203" s="109">
        <f>'Z Score'!O224</f>
        <v>0.10691007862230804</v>
      </c>
      <c r="Z203" s="109">
        <f>'Z Score'!R224</f>
        <v>0.75408406487994883</v>
      </c>
      <c r="AA203" s="109">
        <f>'Z Score'!S224</f>
        <v>2.4805835706033941</v>
      </c>
    </row>
    <row r="204" spans="1:27" ht="15" customHeight="1" x14ac:dyDescent="0.3">
      <c r="A204" s="22"/>
      <c r="B204" s="23"/>
      <c r="C204" s="4"/>
      <c r="D204" s="23">
        <v>2017</v>
      </c>
      <c r="E204" s="25">
        <f>'Current Ratio'!G225</f>
        <v>2.7058428949691087</v>
      </c>
      <c r="F204" s="25">
        <f>'Cash Ratio'!G225</f>
        <v>0.66377758164165934</v>
      </c>
      <c r="G204" s="25">
        <f>DAR!G225</f>
        <v>0.59384760309533735</v>
      </c>
      <c r="H204" s="25">
        <f>DER!G225</f>
        <v>4.0392569613708549</v>
      </c>
      <c r="I204" s="25">
        <f>NPM!G225</f>
        <v>2.5486989226099186E-2</v>
      </c>
      <c r="J204" s="25">
        <f>ROA!G225</f>
        <v>5.4362506294784591E-3</v>
      </c>
      <c r="K204" s="25">
        <f>ROE!G225</f>
        <v>3.6976512297806338E-2</v>
      </c>
      <c r="L204" s="25">
        <f>KM!E225</f>
        <v>0.68</v>
      </c>
      <c r="M204" s="24">
        <f>KI!E225</f>
        <v>3</v>
      </c>
      <c r="N204" s="108">
        <f>IO!E225</f>
        <v>0</v>
      </c>
      <c r="O204" s="24">
        <f>'BoC Size'!E225</f>
        <v>5</v>
      </c>
      <c r="P204" s="24">
        <f>'TMT E DK'!E225</f>
        <v>0</v>
      </c>
      <c r="Q204" s="24">
        <f>Data!R225</f>
        <v>5</v>
      </c>
      <c r="R204" s="24">
        <f>Data!S225</f>
        <v>3</v>
      </c>
      <c r="S204" s="24">
        <f>'TMT E DK'!E225</f>
        <v>0</v>
      </c>
      <c r="T204" s="24">
        <f>'TMT E DD'!E225</f>
        <v>0</v>
      </c>
      <c r="U204" s="24">
        <f>TA!E225</f>
        <v>736721000000</v>
      </c>
      <c r="V204" s="109">
        <f>PR!F225</f>
        <v>1.2529211888342484</v>
      </c>
      <c r="W204" s="109">
        <f>'Z Score'!I225</f>
        <v>0.86047792855097105</v>
      </c>
      <c r="X204" s="109">
        <f>'Z Score'!L225</f>
        <v>3.6780708029226797E-2</v>
      </c>
      <c r="Y204" s="109">
        <f>'Z Score'!O225</f>
        <v>5.1664171375595369E-2</v>
      </c>
      <c r="Z204" s="109">
        <f>'Z Score'!R225</f>
        <v>0.25994880000000004</v>
      </c>
      <c r="AA204" s="109">
        <f>'Z Score'!S225</f>
        <v>1.2088716079557933</v>
      </c>
    </row>
    <row r="205" spans="1:27" ht="15" customHeight="1" x14ac:dyDescent="0.3">
      <c r="A205" s="22"/>
      <c r="B205" s="23"/>
      <c r="C205" s="4"/>
      <c r="D205" s="23">
        <v>2018</v>
      </c>
      <c r="E205" s="25">
        <f>'Current Ratio'!G226</f>
        <v>1.2618377740760518</v>
      </c>
      <c r="F205" s="25">
        <f>'Cash Ratio'!G226</f>
        <v>0.20272262826081758</v>
      </c>
      <c r="G205" s="25">
        <f>DAR!G226</f>
        <v>0.57963917856364078</v>
      </c>
      <c r="H205" s="25">
        <f>DER!G226</f>
        <v>3.4321709658125337</v>
      </c>
      <c r="I205" s="25">
        <f>NPM!G226</f>
        <v>2.7661660731795427E-2</v>
      </c>
      <c r="J205" s="25">
        <f>ROA!G226</f>
        <v>6.8752324880388916E-3</v>
      </c>
      <c r="K205" s="25">
        <f>ROE!G226</f>
        <v>4.0709762558031347E-2</v>
      </c>
      <c r="L205" s="25">
        <f>KM!E226</f>
        <v>0.68</v>
      </c>
      <c r="M205" s="24">
        <f>KI!E226</f>
        <v>3</v>
      </c>
      <c r="N205" s="108">
        <f>IO!E226</f>
        <v>0</v>
      </c>
      <c r="O205" s="24">
        <f>'BoC Size'!E226</f>
        <v>5</v>
      </c>
      <c r="P205" s="24">
        <f>'TMT E DK'!E226</f>
        <v>0</v>
      </c>
      <c r="Q205" s="24">
        <f>Data!R226</f>
        <v>5</v>
      </c>
      <c r="R205" s="24">
        <f>Data!S226</f>
        <v>3</v>
      </c>
      <c r="S205" s="24">
        <f>'TMT E DK'!E226</f>
        <v>0</v>
      </c>
      <c r="T205" s="24">
        <f>'TMT E DD'!E226</f>
        <v>0</v>
      </c>
      <c r="U205" s="24">
        <f>TA!E226</f>
        <v>623688000000</v>
      </c>
      <c r="V205" s="109">
        <f>PR!F226</f>
        <v>-1.3510331617230606E-2</v>
      </c>
      <c r="W205" s="109">
        <f>'Z Score'!I226</f>
        <v>0.34553994946191041</v>
      </c>
      <c r="X205" s="109">
        <f>'Z Score'!L226</f>
        <v>3.9813849232308463E-2</v>
      </c>
      <c r="Y205" s="109">
        <f>'Z Score'!O226</f>
        <v>6.917304806249279E-2</v>
      </c>
      <c r="Z205" s="109">
        <f>'Z Score'!R226</f>
        <v>0.305928816034787</v>
      </c>
      <c r="AA205" s="109">
        <f>'Z Score'!S226</f>
        <v>0.76045566279149868</v>
      </c>
    </row>
    <row r="206" spans="1:27" ht="15" customHeight="1" x14ac:dyDescent="0.3">
      <c r="A206" s="22"/>
      <c r="B206" s="23"/>
      <c r="C206" s="4"/>
      <c r="D206" s="23">
        <v>2019</v>
      </c>
      <c r="E206" s="25">
        <f>'Current Ratio'!G227</f>
        <v>2.5007631501013736</v>
      </c>
      <c r="F206" s="25">
        <f>'Cash Ratio'!G227</f>
        <v>0.80445132924801244</v>
      </c>
      <c r="G206" s="25">
        <f>DAR!G227</f>
        <v>0.77530984101513845</v>
      </c>
      <c r="H206" s="25">
        <f>DER!G227</f>
        <v>7.1779329708213382</v>
      </c>
      <c r="I206" s="25">
        <f>NPM!G227</f>
        <v>2.805700664401278E-2</v>
      </c>
      <c r="J206" s="25">
        <f>ROA!G227</f>
        <v>5.3090924446201771E-3</v>
      </c>
      <c r="K206" s="25">
        <f>ROE!G227</f>
        <v>4.9152361659025486E-2</v>
      </c>
      <c r="L206" s="25">
        <f>KM!E227</f>
        <v>0.68</v>
      </c>
      <c r="M206" s="24">
        <f>KI!E227</f>
        <v>3</v>
      </c>
      <c r="N206" s="108">
        <f>IO!E227</f>
        <v>0</v>
      </c>
      <c r="O206" s="24">
        <f>'BoC Size'!E227</f>
        <v>5</v>
      </c>
      <c r="P206" s="24">
        <f>'TMT E DK'!E227</f>
        <v>0</v>
      </c>
      <c r="Q206" s="24">
        <f>Data!R227</f>
        <v>5</v>
      </c>
      <c r="R206" s="24">
        <f>Data!S227</f>
        <v>3</v>
      </c>
      <c r="S206" s="24">
        <f>'TMT E DK'!E227</f>
        <v>0</v>
      </c>
      <c r="T206" s="24">
        <f>'TMT E DD'!E227</f>
        <v>0</v>
      </c>
      <c r="U206" s="24">
        <f>TA!E227</f>
        <v>1041986000000</v>
      </c>
      <c r="V206" s="109">
        <f>PR!F227</f>
        <v>0.27193321979666613</v>
      </c>
      <c r="W206" s="109">
        <f>'Z Score'!I227</f>
        <v>0.41475244389080079</v>
      </c>
      <c r="X206" s="109">
        <f>'Z Score'!L227</f>
        <v>3.8735702782954851E-2</v>
      </c>
      <c r="Y206" s="109">
        <f>'Z Score'!O227</f>
        <v>4.1778066116051456E-2</v>
      </c>
      <c r="Z206" s="109">
        <f>'Z Score'!R227</f>
        <v>0.14628166691835984</v>
      </c>
      <c r="AA206" s="109">
        <f>'Z Score'!S227</f>
        <v>0.64154787970816696</v>
      </c>
    </row>
    <row r="207" spans="1:27" ht="15" customHeight="1" x14ac:dyDescent="0.3">
      <c r="A207" s="22"/>
      <c r="B207" s="23"/>
      <c r="C207" s="4"/>
      <c r="D207" s="23">
        <v>2020</v>
      </c>
      <c r="E207" s="25">
        <f>'Current Ratio'!G228</f>
        <v>3.1747151986662963</v>
      </c>
      <c r="F207" s="25">
        <f>'Cash Ratio'!G228</f>
        <v>0.77435398721867188</v>
      </c>
      <c r="G207" s="25">
        <f>DAR!G228</f>
        <v>0.80370551805742241</v>
      </c>
      <c r="H207" s="25">
        <f>DER!G228</f>
        <v>8.5212018353318442</v>
      </c>
      <c r="I207" s="25">
        <f>NPM!G228</f>
        <v>1.7354102124015443E-2</v>
      </c>
      <c r="J207" s="25">
        <f>ROA!G228</f>
        <v>3.8795887619824435E-3</v>
      </c>
      <c r="K207" s="25">
        <f>ROE!G228</f>
        <v>4.113292510276835E-2</v>
      </c>
      <c r="L207" s="25">
        <f>KM!E228</f>
        <v>0.68</v>
      </c>
      <c r="M207" s="24">
        <f>KI!E228</f>
        <v>3</v>
      </c>
      <c r="N207" s="108">
        <f>IO!E228</f>
        <v>0</v>
      </c>
      <c r="O207" s="24">
        <f>'BoC Size'!E228</f>
        <v>5</v>
      </c>
      <c r="P207" s="24">
        <f>'TMT E DK'!E228</f>
        <v>11</v>
      </c>
      <c r="Q207" s="24">
        <f>Data!R228</f>
        <v>5</v>
      </c>
      <c r="R207" s="24">
        <f>Data!S228</f>
        <v>3</v>
      </c>
      <c r="S207" s="24">
        <f>'TMT E DK'!E228</f>
        <v>11</v>
      </c>
      <c r="T207" s="24">
        <f>'TMT E DD'!E228</f>
        <v>3</v>
      </c>
      <c r="U207" s="24">
        <f>TA!E228</f>
        <v>1243173000000</v>
      </c>
      <c r="V207" s="109">
        <f>PR!F228</f>
        <v>0.40952984733985903</v>
      </c>
      <c r="W207" s="109">
        <f>'Z Score'!I228</f>
        <v>0.41300613832507616</v>
      </c>
      <c r="X207" s="109">
        <f>'Z Score'!L228</f>
        <v>4.5117051287310771E-2</v>
      </c>
      <c r="Y207" s="109">
        <f>'Z Score'!O228</f>
        <v>3.2714224005830239E-2</v>
      </c>
      <c r="Z207" s="109">
        <f>'Z Score'!R228</f>
        <v>0.12322205485690266</v>
      </c>
      <c r="AA207" s="109">
        <f>'Z Score'!S228</f>
        <v>0.61405946847511983</v>
      </c>
    </row>
    <row r="208" spans="1:27" ht="15" customHeight="1" x14ac:dyDescent="0.3">
      <c r="A208" s="22"/>
      <c r="B208" s="23"/>
      <c r="C208" s="4"/>
      <c r="D208" s="23">
        <v>2021</v>
      </c>
      <c r="E208" s="25">
        <f>'Current Ratio'!G229</f>
        <v>4.7459290080649303</v>
      </c>
      <c r="F208" s="25">
        <f>'Cash Ratio'!G229</f>
        <v>0.7913905583808496</v>
      </c>
      <c r="G208" s="25">
        <f>DAR!G229</f>
        <v>0.80619868743995982</v>
      </c>
      <c r="H208" s="25">
        <f>DER!G229</f>
        <v>8.3965874058004104</v>
      </c>
      <c r="I208" s="25">
        <f>NPM!G229</f>
        <v>2.2115612805546626E-2</v>
      </c>
      <c r="J208" s="25">
        <f>ROA!G229</f>
        <v>5.0444075048066452E-3</v>
      </c>
      <c r="K208" s="25">
        <f>ROE!G229</f>
        <v>5.2537679835578902E-2</v>
      </c>
      <c r="L208" s="25">
        <f>KM!E229</f>
        <v>0.68</v>
      </c>
      <c r="M208" s="24">
        <f>KI!E229</f>
        <v>3</v>
      </c>
      <c r="N208" s="108">
        <f>IO!E229</f>
        <v>0</v>
      </c>
      <c r="O208" s="24">
        <f>'BoC Size'!E229</f>
        <v>5</v>
      </c>
      <c r="P208" s="24">
        <f>'TMT E DK'!E229</f>
        <v>9</v>
      </c>
      <c r="Q208" s="24">
        <f>Data!R229</f>
        <v>5</v>
      </c>
      <c r="R208" s="24">
        <f>Data!S229</f>
        <v>3</v>
      </c>
      <c r="S208" s="24">
        <f>'TMT E DK'!E229</f>
        <v>9</v>
      </c>
      <c r="T208" s="24">
        <f>'TMT E DD'!E229</f>
        <v>3</v>
      </c>
      <c r="U208" s="24">
        <f>TA!E229</f>
        <v>1459438000000</v>
      </c>
      <c r="V208" s="109">
        <f>PR!F229</f>
        <v>0.19779286621545281</v>
      </c>
      <c r="W208" s="109">
        <f>'Z Score'!I229</f>
        <v>0.65555141088556002</v>
      </c>
      <c r="X208" s="109">
        <f>'Z Score'!L229</f>
        <v>2.1372391290346009E-2</v>
      </c>
      <c r="Y208" s="109">
        <f>'Z Score'!O229</f>
        <v>3.7227480715179402E-2</v>
      </c>
      <c r="Z208" s="109">
        <f>'Z Score'!R229</f>
        <v>0.12505080329118637</v>
      </c>
      <c r="AA208" s="109">
        <f>'Z Score'!S229</f>
        <v>0.83920208618227177</v>
      </c>
    </row>
    <row r="209" spans="1:27" ht="15" customHeight="1" x14ac:dyDescent="0.3">
      <c r="A209" s="22"/>
      <c r="B209" s="23"/>
      <c r="C209" s="4"/>
      <c r="D209" s="23">
        <v>2022</v>
      </c>
      <c r="E209" s="25">
        <f>'Current Ratio'!G230</f>
        <v>0.98209321672787775</v>
      </c>
      <c r="F209" s="25">
        <f>'Cash Ratio'!G230</f>
        <v>0.29455390296856926</v>
      </c>
      <c r="G209" s="25">
        <f>DAR!G230</f>
        <v>0.80001346855460342</v>
      </c>
      <c r="H209" s="25">
        <f>DER!G230</f>
        <v>9.2440136009939184</v>
      </c>
      <c r="I209" s="25">
        <f>NPM!G230</f>
        <v>2.3571921757657543E-2</v>
      </c>
      <c r="J209" s="25">
        <f>ROA!G230</f>
        <v>7.2062426184681047E-3</v>
      </c>
      <c r="K209" s="25">
        <f>ROE!G230</f>
        <v>8.3266854116262348E-2</v>
      </c>
      <c r="L209" s="25">
        <f>KM!E230</f>
        <v>0.68</v>
      </c>
      <c r="M209" s="24">
        <f>KI!E230</f>
        <v>3</v>
      </c>
      <c r="N209" s="108">
        <f>IO!E230</f>
        <v>0</v>
      </c>
      <c r="O209" s="24">
        <f>'BoC Size'!E230</f>
        <v>5</v>
      </c>
      <c r="P209" s="24">
        <f>'TMT E DK'!E230</f>
        <v>9</v>
      </c>
      <c r="Q209" s="24">
        <f>Data!R230</f>
        <v>5</v>
      </c>
      <c r="R209" s="24">
        <f>Data!S230</f>
        <v>3</v>
      </c>
      <c r="S209" s="24">
        <f>'TMT E DK'!E230</f>
        <v>9</v>
      </c>
      <c r="T209" s="24">
        <f>'TMT E DD'!E230</f>
        <v>3</v>
      </c>
      <c r="U209" s="24">
        <f>TA!E230</f>
        <v>1767079000000</v>
      </c>
      <c r="V209" s="109">
        <f>PR!F230</f>
        <v>0.62282996932893142</v>
      </c>
      <c r="W209" s="109">
        <f>'Z Score'!I230</f>
        <v>-6.5522820428515084E-3</v>
      </c>
      <c r="X209" s="109">
        <f>'Z Score'!L230</f>
        <v>4.1143899056012775E-2</v>
      </c>
      <c r="Y209" s="109">
        <f>'Z Score'!O230</f>
        <v>5.7514847949638917E-2</v>
      </c>
      <c r="Z209" s="109">
        <f>'Z Score'!R230</f>
        <v>0.11358702456767304</v>
      </c>
      <c r="AA209" s="109">
        <f>'Z Score'!S230</f>
        <v>0.20569348953047323</v>
      </c>
    </row>
    <row r="210" spans="1:27" ht="15" customHeight="1" x14ac:dyDescent="0.3">
      <c r="A210" s="22"/>
      <c r="B210" s="23"/>
      <c r="C210" s="4"/>
      <c r="D210" s="23">
        <v>2023</v>
      </c>
      <c r="E210" s="25">
        <f>'Current Ratio'!G231</f>
        <v>1.1736863162605871</v>
      </c>
      <c r="F210" s="25">
        <f>'Cash Ratio'!G231</f>
        <v>0.23266900391273979</v>
      </c>
      <c r="G210" s="25">
        <f>DAR!G231</f>
        <v>0.82150001994125688</v>
      </c>
      <c r="H210" s="25">
        <f>DER!G231</f>
        <v>9.7280275446000086</v>
      </c>
      <c r="I210" s="25">
        <f>NPM!G231</f>
        <v>5.2731162718325751E-2</v>
      </c>
      <c r="J210" s="25">
        <f>ROA!G231</f>
        <v>1.453310227205964E-2</v>
      </c>
      <c r="K210" s="25">
        <f>ROE!G231</f>
        <v>0.17209788895829206</v>
      </c>
      <c r="L210" s="25">
        <f>KM!E231</f>
        <v>0.68</v>
      </c>
      <c r="M210" s="24">
        <f>KI!E231</f>
        <v>4</v>
      </c>
      <c r="N210" s="108">
        <f>IO!E231</f>
        <v>0</v>
      </c>
      <c r="O210" s="24">
        <f>'BoC Size'!E231</f>
        <v>6</v>
      </c>
      <c r="P210" s="24">
        <f>'TMT E DK'!E231</f>
        <v>12</v>
      </c>
      <c r="Q210" s="24">
        <f>Data!R231</f>
        <v>6</v>
      </c>
      <c r="R210" s="24">
        <f>Data!S231</f>
        <v>3</v>
      </c>
      <c r="S210" s="24">
        <f>'TMT E DK'!E231</f>
        <v>12</v>
      </c>
      <c r="T210" s="24">
        <f>'TMT E DD'!E231</f>
        <v>3</v>
      </c>
      <c r="U210" s="24">
        <f>TA!E231</f>
        <v>2331849000000</v>
      </c>
      <c r="V210" s="109">
        <f>PR!F231</f>
        <v>0.18965641711972367</v>
      </c>
      <c r="W210" s="109">
        <f>'Z Score'!I231</f>
        <v>7.2054957246374007E-2</v>
      </c>
      <c r="X210" s="109">
        <f>'Z Score'!L231</f>
        <v>6.4576505597060518E-2</v>
      </c>
      <c r="Y210" s="109">
        <f>'Z Score'!O231</f>
        <v>0.1184433468890996</v>
      </c>
      <c r="Z210" s="109">
        <f>'Z Score'!R231</f>
        <v>0.10793554964622309</v>
      </c>
      <c r="AA210" s="109">
        <f>'Z Score'!S231</f>
        <v>0.36301035937875725</v>
      </c>
    </row>
    <row r="211" spans="1:27" ht="15" customHeight="1" x14ac:dyDescent="0.3">
      <c r="A211" s="22"/>
      <c r="B211" s="23"/>
      <c r="C211" s="4"/>
      <c r="D211" s="23">
        <v>2024</v>
      </c>
      <c r="E211" s="25">
        <f>'Current Ratio'!G232</f>
        <v>1.0219690316060492</v>
      </c>
      <c r="F211" s="25">
        <f>'Cash Ratio'!G232</f>
        <v>0.15424642371596664</v>
      </c>
      <c r="G211" s="25">
        <f>DAR!G232</f>
        <v>0.83526061321465728</v>
      </c>
      <c r="H211" s="25">
        <f>DER!G232</f>
        <v>10.032314909436179</v>
      </c>
      <c r="I211" s="25">
        <f>NPM!G232</f>
        <v>5.8656989164285897E-2</v>
      </c>
      <c r="J211" s="25">
        <f>ROA!G232</f>
        <v>1.4504341487956984E-2</v>
      </c>
      <c r="K211" s="25">
        <f>ROE!G232</f>
        <v>0.17421164012649162</v>
      </c>
      <c r="L211" s="25">
        <f>KM!E232</f>
        <v>0.68</v>
      </c>
      <c r="M211" s="24">
        <f>KI!E232</f>
        <v>2</v>
      </c>
      <c r="N211" s="108">
        <f>IO!E232</f>
        <v>0</v>
      </c>
      <c r="O211" s="24">
        <f>'BoC Size'!E232</f>
        <v>3</v>
      </c>
      <c r="P211" s="24">
        <f>'TMT E DK'!E232</f>
        <v>7</v>
      </c>
      <c r="Q211" s="24">
        <f>Data!R232</f>
        <v>3</v>
      </c>
      <c r="R211" s="24">
        <f>Data!S232</f>
        <v>3</v>
      </c>
      <c r="S211" s="24">
        <f>'TMT E DK'!E232</f>
        <v>7</v>
      </c>
      <c r="T211" s="24">
        <f>'TMT E DD'!E232</f>
        <v>3</v>
      </c>
      <c r="U211" s="24">
        <f>TA!E232</f>
        <v>2985382000000</v>
      </c>
      <c r="V211" s="109">
        <f>PR!F232</f>
        <v>0.14864745011086475</v>
      </c>
      <c r="W211" s="109">
        <f>'Z Score'!I232</f>
        <v>8.0248088854290682E-3</v>
      </c>
      <c r="X211" s="109">
        <f>'Z Score'!L232</f>
        <v>4.7493814861883671E-2</v>
      </c>
      <c r="Y211" s="109">
        <f>'Z Score'!O232</f>
        <v>0.11859451152314847</v>
      </c>
      <c r="Z211" s="109">
        <f>'Z Score'!R232</f>
        <v>0.10466178638515351</v>
      </c>
      <c r="AA211" s="109">
        <f>'Z Score'!S232</f>
        <v>0.27877492165561474</v>
      </c>
    </row>
    <row r="212" spans="1:27" ht="15" customHeight="1" x14ac:dyDescent="0.3">
      <c r="A212" s="22"/>
      <c r="B212" s="23">
        <v>22</v>
      </c>
      <c r="C212" s="4" t="s">
        <v>53</v>
      </c>
      <c r="D212" s="23">
        <v>2015</v>
      </c>
      <c r="E212" s="25">
        <f>'Current Ratio'!G234</f>
        <v>0</v>
      </c>
      <c r="F212" s="25">
        <f>'Cash Ratio'!G234</f>
        <v>0</v>
      </c>
      <c r="G212" s="25">
        <f>DAR!G234</f>
        <v>0</v>
      </c>
      <c r="H212" s="25">
        <f>DER!G234</f>
        <v>0</v>
      </c>
      <c r="I212" s="25">
        <f>NPM!G234</f>
        <v>0</v>
      </c>
      <c r="J212" s="25">
        <f>ROA!G234</f>
        <v>0</v>
      </c>
      <c r="K212" s="25">
        <f>ROE!G234</f>
        <v>0</v>
      </c>
      <c r="L212" s="25">
        <f>KM!E234</f>
        <v>0</v>
      </c>
      <c r="M212" s="24">
        <f>KI!E234</f>
        <v>0</v>
      </c>
      <c r="N212" s="108">
        <f>IO!E234</f>
        <v>0</v>
      </c>
      <c r="O212" s="24">
        <f>'BoC Size'!E234</f>
        <v>0</v>
      </c>
      <c r="P212" s="24">
        <f>'TMT E DK'!E234</f>
        <v>0</v>
      </c>
      <c r="Q212" s="24">
        <f>Data!R234</f>
        <v>0</v>
      </c>
      <c r="R212" s="24">
        <f>Data!S234</f>
        <v>0</v>
      </c>
      <c r="S212" s="24">
        <f>'TMT E DK'!E234</f>
        <v>0</v>
      </c>
      <c r="T212" s="24">
        <f>'TMT E DD'!E234</f>
        <v>0</v>
      </c>
      <c r="U212" s="24">
        <f>TA!E234</f>
        <v>0</v>
      </c>
      <c r="V212" s="109">
        <f>PR!F234</f>
        <v>0</v>
      </c>
      <c r="W212" s="109">
        <f>'Z Score'!I234</f>
        <v>0</v>
      </c>
      <c r="X212" s="109">
        <f>'Z Score'!L234</f>
        <v>0</v>
      </c>
      <c r="Y212" s="109">
        <f>'Z Score'!O234</f>
        <v>0</v>
      </c>
      <c r="Z212" s="109">
        <f>'Z Score'!R234</f>
        <v>0</v>
      </c>
      <c r="AA212" s="109">
        <f>'Z Score'!S234</f>
        <v>0</v>
      </c>
    </row>
    <row r="213" spans="1:27" ht="15" customHeight="1" x14ac:dyDescent="0.3">
      <c r="A213" s="22"/>
      <c r="B213" s="23"/>
      <c r="C213" s="4"/>
      <c r="D213" s="23">
        <v>2016</v>
      </c>
      <c r="E213" s="25">
        <f>'Current Ratio'!G235</f>
        <v>25.689655172413794</v>
      </c>
      <c r="F213" s="25">
        <f>'Cash Ratio'!G235</f>
        <v>22.370689655172413</v>
      </c>
      <c r="G213" s="25">
        <f>DAR!G235</f>
        <v>4.4055146677723644E-3</v>
      </c>
      <c r="H213" s="25">
        <f>DER!G235</f>
        <v>4.4257463891116226E-3</v>
      </c>
      <c r="I213" s="25">
        <f>NPM!G235</f>
        <v>-2.6211221122112209</v>
      </c>
      <c r="J213" s="25">
        <f>ROA!G235</f>
        <v>-4.1163055872291902E-2</v>
      </c>
      <c r="K213" s="25">
        <f>ROE!G235</f>
        <v>-4.1352091555675888E-2</v>
      </c>
      <c r="L213" s="25">
        <f>KM!E235</f>
        <v>0</v>
      </c>
      <c r="M213" s="24">
        <f>KI!E235</f>
        <v>0</v>
      </c>
      <c r="N213" s="108">
        <f>IO!E235</f>
        <v>0</v>
      </c>
      <c r="O213" s="24">
        <f>'BoC Size'!E235</f>
        <v>0</v>
      </c>
      <c r="P213" s="24">
        <f>'TMT E DK'!E235</f>
        <v>0</v>
      </c>
      <c r="Q213" s="24">
        <f>Data!R235</f>
        <v>0</v>
      </c>
      <c r="R213" s="24">
        <f>Data!S235</f>
        <v>0</v>
      </c>
      <c r="S213" s="24">
        <f>'TMT E DK'!E235</f>
        <v>0</v>
      </c>
      <c r="T213" s="24">
        <f>'TMT E DD'!E235</f>
        <v>0</v>
      </c>
      <c r="U213" s="24">
        <f>TA!E235</f>
        <v>96470000000</v>
      </c>
      <c r="V213" s="109">
        <f>PR!F235</f>
        <v>0</v>
      </c>
      <c r="W213" s="109">
        <f>'Z Score'!I235</f>
        <v>0.1947531875194361</v>
      </c>
      <c r="X213" s="109">
        <f>'Z Score'!L235</f>
        <v>-0.13419156214367159</v>
      </c>
      <c r="Y213" s="109">
        <f>'Z Score'!O235</f>
        <v>-0.27661573546180157</v>
      </c>
      <c r="Z213" s="109">
        <f>'Z Score'!R235</f>
        <v>237.24811764705882</v>
      </c>
      <c r="AA213" s="109">
        <f>'Z Score'!S235</f>
        <v>237.03206353697277</v>
      </c>
    </row>
    <row r="214" spans="1:27" ht="15" customHeight="1" x14ac:dyDescent="0.3">
      <c r="A214" s="22"/>
      <c r="B214" s="23"/>
      <c r="C214" s="4"/>
      <c r="D214" s="23">
        <v>2017</v>
      </c>
      <c r="E214" s="25">
        <f>'Current Ratio'!G236</f>
        <v>1.0652359358864993</v>
      </c>
      <c r="F214" s="25">
        <f>'Cash Ratio'!G236</f>
        <v>0.89916041844385575</v>
      </c>
      <c r="G214" s="25">
        <f>DAR!G236</f>
        <v>0.13482891291308863</v>
      </c>
      <c r="H214" s="25">
        <f>DER!G236</f>
        <v>1.7077531896871194</v>
      </c>
      <c r="I214" s="25">
        <f>NPM!G236</f>
        <v>-0.38146160198183321</v>
      </c>
      <c r="J214" s="25">
        <f>ROA!G236</f>
        <v>-9.6541476575708624E-3</v>
      </c>
      <c r="K214" s="25">
        <f>ROE!G236</f>
        <v>-0.12228016305786436</v>
      </c>
      <c r="L214" s="25">
        <f>KM!E236</f>
        <v>1</v>
      </c>
      <c r="M214" s="24">
        <f>KI!E236</f>
        <v>2</v>
      </c>
      <c r="N214" s="108">
        <f>IO!E236</f>
        <v>0</v>
      </c>
      <c r="O214" s="24">
        <f>'BoC Size'!E236</f>
        <v>4</v>
      </c>
      <c r="P214" s="24">
        <f>'TMT E DK'!E236</f>
        <v>0</v>
      </c>
      <c r="Q214" s="24">
        <f>Data!R236</f>
        <v>4</v>
      </c>
      <c r="R214" s="24">
        <f>Data!S236</f>
        <v>4</v>
      </c>
      <c r="S214" s="24">
        <f>'TMT E DK'!E236</f>
        <v>0</v>
      </c>
      <c r="T214" s="24">
        <f>'TMT E DD'!E236</f>
        <v>0</v>
      </c>
      <c r="U214" s="24">
        <f>TA!E236</f>
        <v>956998000000</v>
      </c>
      <c r="V214" s="109">
        <f>PR!F236</f>
        <v>14.986798679867986</v>
      </c>
      <c r="W214" s="109">
        <f>'Z Score'!I236</f>
        <v>9.9599790177199946E-3</v>
      </c>
      <c r="X214" s="109">
        <f>'Z Score'!L236</f>
        <v>-4.4389915130439141E-2</v>
      </c>
      <c r="Y214" s="109">
        <f>'Z Score'!O236</f>
        <v>-6.4875872258876199E-2</v>
      </c>
      <c r="Z214" s="109">
        <f>'Z Score'!R236</f>
        <v>0.61484294471871093</v>
      </c>
      <c r="AA214" s="109">
        <f>'Z Score'!S236</f>
        <v>0.51553713634711562</v>
      </c>
    </row>
    <row r="215" spans="1:27" ht="15" customHeight="1" x14ac:dyDescent="0.3">
      <c r="A215" s="22"/>
      <c r="B215" s="23"/>
      <c r="C215" s="4"/>
      <c r="D215" s="23">
        <v>2018</v>
      </c>
      <c r="E215" s="25">
        <f>'Current Ratio'!G237</f>
        <v>0.4876579638184001</v>
      </c>
      <c r="F215" s="25">
        <f>'Cash Ratio'!G237</f>
        <v>0.3560570602958833</v>
      </c>
      <c r="G215" s="25">
        <f>DAR!G237</f>
        <v>0.1355204414459194</v>
      </c>
      <c r="H215" s="25">
        <f>DER!G237</f>
        <v>2.817950632261677</v>
      </c>
      <c r="I215" s="25">
        <f>NPM!G237</f>
        <v>-0.1823885166503551</v>
      </c>
      <c r="J215" s="25">
        <f>ROA!G237</f>
        <v>-8.1548112601023508E-3</v>
      </c>
      <c r="K215" s="25">
        <f>ROE!G237</f>
        <v>-0.16956744902244411</v>
      </c>
      <c r="L215" s="25">
        <f>KM!E237</f>
        <v>0.99</v>
      </c>
      <c r="M215" s="24">
        <f>KI!E237</f>
        <v>1</v>
      </c>
      <c r="N215" s="108">
        <f>IO!E237</f>
        <v>0</v>
      </c>
      <c r="O215" s="24">
        <f>'BoC Size'!E237</f>
        <v>2</v>
      </c>
      <c r="P215" s="24">
        <f>'TMT E DK'!E237</f>
        <v>0</v>
      </c>
      <c r="Q215" s="24">
        <f>Data!R237</f>
        <v>2</v>
      </c>
      <c r="R215" s="24">
        <f>Data!S237</f>
        <v>3</v>
      </c>
      <c r="S215" s="24">
        <f>'TMT E DK'!E237</f>
        <v>0</v>
      </c>
      <c r="T215" s="24">
        <f>'TMT E DD'!E237</f>
        <v>0</v>
      </c>
      <c r="U215" s="24">
        <f>TA!E237</f>
        <v>891253000000</v>
      </c>
      <c r="V215" s="109">
        <f>PR!F237</f>
        <v>0.64529314616019817</v>
      </c>
      <c r="W215" s="109">
        <f>'Z Score'!I237</f>
        <v>-0.18531339585953704</v>
      </c>
      <c r="X215" s="109">
        <f>'Z Score'!L237</f>
        <v>-7.4179610054608505E-2</v>
      </c>
      <c r="Y215" s="109">
        <f>'Z Score'!O237</f>
        <v>-5.4800331667887794E-2</v>
      </c>
      <c r="Z215" s="109">
        <f>'Z Score'!R237</f>
        <v>0.37261121184272622</v>
      </c>
      <c r="AA215" s="109">
        <f>'Z Score'!S237</f>
        <v>5.8317874260692903E-2</v>
      </c>
    </row>
    <row r="216" spans="1:27" ht="15" customHeight="1" x14ac:dyDescent="0.3">
      <c r="A216" s="22"/>
      <c r="B216" s="23"/>
      <c r="C216" s="4"/>
      <c r="D216" s="23">
        <v>2019</v>
      </c>
      <c r="E216" s="25">
        <f>'Current Ratio'!G238</f>
        <v>0.31662492567701483</v>
      </c>
      <c r="F216" s="25">
        <f>'Cash Ratio'!G238</f>
        <v>0.21929334606583664</v>
      </c>
      <c r="G216" s="25">
        <f>DAR!G238</f>
        <v>0.16444626709694893</v>
      </c>
      <c r="H216" s="25">
        <f>DER!G238</f>
        <v>28.687096055270782</v>
      </c>
      <c r="I216" s="25">
        <f>NPM!G238</f>
        <v>-1.3422874013842505</v>
      </c>
      <c r="J216" s="25">
        <f>ROA!G238</f>
        <v>-3.5430576102981573E-2</v>
      </c>
      <c r="K216" s="25">
        <f>ROE!G238</f>
        <v>-6.1807443726320486</v>
      </c>
      <c r="L216" s="25">
        <f>KM!E238</f>
        <v>0.99</v>
      </c>
      <c r="M216" s="24">
        <f>KI!E238</f>
        <v>0</v>
      </c>
      <c r="N216" s="108">
        <f>IO!E238</f>
        <v>0</v>
      </c>
      <c r="O216" s="24">
        <f>'BoC Size'!E238</f>
        <v>2</v>
      </c>
      <c r="P216" s="24">
        <f>'TMT E DK'!E238</f>
        <v>0</v>
      </c>
      <c r="Q216" s="24">
        <f>Data!R238</f>
        <v>2</v>
      </c>
      <c r="R216" s="24">
        <f>Data!S238</f>
        <v>4</v>
      </c>
      <c r="S216" s="24">
        <f>'TMT E DK'!E238</f>
        <v>0</v>
      </c>
      <c r="T216" s="24">
        <f>'TMT E DD'!E238</f>
        <v>0</v>
      </c>
      <c r="U216" s="24">
        <f>TA!E238</f>
        <v>782742000000</v>
      </c>
      <c r="V216" s="109">
        <f>PR!F238</f>
        <v>-0.48151772942859294</v>
      </c>
      <c r="W216" s="109">
        <f>'Z Score'!I238</f>
        <v>-0.3178667811360576</v>
      </c>
      <c r="X216" s="109">
        <f>'Z Score'!L238</f>
        <v>-0.20012502203791288</v>
      </c>
      <c r="Y216" s="109">
        <f>'Z Score'!O238</f>
        <v>-0.23809347141203616</v>
      </c>
      <c r="Z216" s="109">
        <f>'Z Score'!R238</f>
        <v>3.660182257475586E-2</v>
      </c>
      <c r="AA216" s="109">
        <f>'Z Score'!S238</f>
        <v>-0.71948345201125086</v>
      </c>
    </row>
    <row r="217" spans="1:27" ht="15" customHeight="1" x14ac:dyDescent="0.3">
      <c r="A217" s="22"/>
      <c r="B217" s="23"/>
      <c r="C217" s="4"/>
      <c r="D217" s="23">
        <v>2020</v>
      </c>
      <c r="E217" s="25">
        <f>'Current Ratio'!G239</f>
        <v>0.6509499558378592</v>
      </c>
      <c r="F217" s="25">
        <f>'Cash Ratio'!G239</f>
        <v>0.59528686599139313</v>
      </c>
      <c r="G217" s="25">
        <f>DAR!G239</f>
        <v>0.18733976029575508</v>
      </c>
      <c r="H217" s="25">
        <f>DER!G239</f>
        <v>-6.1925689172992406</v>
      </c>
      <c r="I217" s="25">
        <f>NPM!G239</f>
        <v>-1.1237573055371453</v>
      </c>
      <c r="J217" s="25">
        <f>ROA!G239</f>
        <v>-2.8178015074807487E-2</v>
      </c>
      <c r="K217" s="25">
        <f>ROE!G239</f>
        <v>0.93143228126248501</v>
      </c>
      <c r="L217" s="25">
        <f>KM!E239</f>
        <v>0.99</v>
      </c>
      <c r="M217" s="24">
        <f>KI!E239</f>
        <v>0</v>
      </c>
      <c r="N217" s="108">
        <f>IO!E239</f>
        <v>0</v>
      </c>
      <c r="O217" s="24">
        <f>'BoC Size'!E239</f>
        <v>2</v>
      </c>
      <c r="P217" s="24">
        <f>'TMT E DK'!E239</f>
        <v>0</v>
      </c>
      <c r="Q217" s="24">
        <f>Data!R239</f>
        <v>2</v>
      </c>
      <c r="R217" s="24">
        <f>Data!S239</f>
        <v>3</v>
      </c>
      <c r="S217" s="24">
        <f>'TMT E DK'!E239</f>
        <v>0</v>
      </c>
      <c r="T217" s="24">
        <f>'TMT E DD'!E239</f>
        <v>0</v>
      </c>
      <c r="U217" s="24">
        <f>TA!E239</f>
        <v>661899000000</v>
      </c>
      <c r="V217" s="109">
        <f>PR!F239</f>
        <v>-0.19669909491312135</v>
      </c>
      <c r="W217" s="109">
        <f>'Z Score'!I239</f>
        <v>-0.18408464131234523</v>
      </c>
      <c r="X217" s="109">
        <f>'Z Score'!L239</f>
        <v>-0.32034633682782421</v>
      </c>
      <c r="Y217" s="109">
        <f>'Z Score'!O239</f>
        <v>-0.1893562613027063</v>
      </c>
      <c r="Z217" s="109">
        <f>'Z Score'!R239</f>
        <v>-0.16955806451612904</v>
      </c>
      <c r="AA217" s="109">
        <f>'Z Score'!S239</f>
        <v>-0.86334530395900488</v>
      </c>
    </row>
    <row r="218" spans="1:27" ht="15" customHeight="1" x14ac:dyDescent="0.3">
      <c r="A218" s="22"/>
      <c r="B218" s="23"/>
      <c r="C218" s="4"/>
      <c r="D218" s="23">
        <v>2021</v>
      </c>
      <c r="E218" s="25">
        <f>'Current Ratio'!G240</f>
        <v>0.36353436523543536</v>
      </c>
      <c r="F218" s="25">
        <f>'Cash Ratio'!G240</f>
        <v>0.18877052443629433</v>
      </c>
      <c r="G218" s="25">
        <f>DAR!G240</f>
        <v>0.28227633876082231</v>
      </c>
      <c r="H218" s="25">
        <f>DER!G240</f>
        <v>-4.4463058057636724</v>
      </c>
      <c r="I218" s="25">
        <f>NPM!G240</f>
        <v>-0.64827290543851057</v>
      </c>
      <c r="J218" s="25">
        <f>ROA!G240</f>
        <v>-1.88566644101614E-2</v>
      </c>
      <c r="K218" s="25">
        <f>ROE!G240</f>
        <v>0.29702275724668181</v>
      </c>
      <c r="L218" s="25">
        <f>KM!E240</f>
        <v>0.99</v>
      </c>
      <c r="M218" s="24">
        <f>KI!E240</f>
        <v>0</v>
      </c>
      <c r="N218" s="108">
        <f>IO!E240</f>
        <v>0</v>
      </c>
      <c r="O218" s="24">
        <f>'BoC Size'!E240</f>
        <v>2</v>
      </c>
      <c r="P218" s="24">
        <f>'TMT E DK'!E240</f>
        <v>0</v>
      </c>
      <c r="Q218" s="24">
        <f>Data!R240</f>
        <v>2</v>
      </c>
      <c r="R218" s="24">
        <f>Data!S240</f>
        <v>3</v>
      </c>
      <c r="S218" s="24">
        <f>'TMT E DK'!E240</f>
        <v>0</v>
      </c>
      <c r="T218" s="24">
        <f>'TMT E DD'!E240</f>
        <v>0</v>
      </c>
      <c r="U218" s="24">
        <f>TA!E240</f>
        <v>561340000000</v>
      </c>
      <c r="V218" s="109">
        <f>PR!F240</f>
        <v>-1.620774838826294E-2</v>
      </c>
      <c r="W218" s="109">
        <f>'Z Score'!I240</f>
        <v>-0.61652360423272878</v>
      </c>
      <c r="X218" s="109">
        <f>'Z Score'!L240</f>
        <v>-0.4391481455089607</v>
      </c>
      <c r="Y218" s="109">
        <f>'Z Score'!O240</f>
        <v>-0.1267167848362846</v>
      </c>
      <c r="Z218" s="109">
        <f>'Z Score'!R240</f>
        <v>-0.23615109843297383</v>
      </c>
      <c r="AA218" s="109">
        <f>'Z Score'!S240</f>
        <v>-1.4185396330109479</v>
      </c>
    </row>
    <row r="219" spans="1:27" ht="15" customHeight="1" x14ac:dyDescent="0.3">
      <c r="A219" s="22"/>
      <c r="B219" s="23"/>
      <c r="C219" s="4"/>
      <c r="D219" s="23">
        <v>2022</v>
      </c>
      <c r="E219" s="25">
        <f>'Current Ratio'!G241</f>
        <v>0.66086445218073042</v>
      </c>
      <c r="F219" s="25">
        <f>'Cash Ratio'!G241</f>
        <v>0.63417115443846073</v>
      </c>
      <c r="G219" s="25">
        <f>DAR!G241</f>
        <v>0.40906939878998289</v>
      </c>
      <c r="H219" s="25">
        <f>DER!G241</f>
        <v>-3.419370288248337</v>
      </c>
      <c r="I219" s="25">
        <f>NPM!G241</f>
        <v>-0.4508950169327528</v>
      </c>
      <c r="J219" s="25">
        <f>ROA!G241</f>
        <v>-1.186674108137588E-2</v>
      </c>
      <c r="K219" s="25">
        <f>ROE!G241</f>
        <v>9.9192904656319289E-2</v>
      </c>
      <c r="L219" s="25">
        <f>KM!E241</f>
        <v>0.99</v>
      </c>
      <c r="M219" s="24">
        <f>KI!E241</f>
        <v>1</v>
      </c>
      <c r="N219" s="108">
        <f>IO!E241</f>
        <v>0</v>
      </c>
      <c r="O219" s="24">
        <f>'BoC Size'!E241</f>
        <v>2</v>
      </c>
      <c r="P219" s="24">
        <f>'TMT E DK'!E241</f>
        <v>0</v>
      </c>
      <c r="Q219" s="24">
        <f>Data!R241</f>
        <v>2</v>
      </c>
      <c r="R219" s="24">
        <f>Data!S241</f>
        <v>2</v>
      </c>
      <c r="S219" s="24">
        <f>'TMT E DK'!E241</f>
        <v>0</v>
      </c>
      <c r="T219" s="24">
        <f>'TMT E DD'!E241</f>
        <v>0</v>
      </c>
      <c r="U219" s="24">
        <f>TA!E241</f>
        <v>471233000000</v>
      </c>
      <c r="V219" s="109">
        <f>PR!F241</f>
        <v>-0.24044585987261147</v>
      </c>
      <c r="W219" s="109">
        <f>'Z Score'!I241</f>
        <v>-0.50583078859078201</v>
      </c>
      <c r="X219" s="109">
        <f>'Z Score'!L241</f>
        <v>-0.56181943964026282</v>
      </c>
      <c r="Y219" s="109">
        <f>'Z Score'!O241</f>
        <v>-7.9744500066845914E-2</v>
      </c>
      <c r="Z219" s="109">
        <f>'Z Score'!R241</f>
        <v>-0.30707408425716021</v>
      </c>
      <c r="AA219" s="109">
        <f>'Z Score'!S241</f>
        <v>-1.4544688125550509</v>
      </c>
    </row>
    <row r="220" spans="1:27" ht="15" customHeight="1" x14ac:dyDescent="0.3">
      <c r="A220" s="22"/>
      <c r="B220" s="23"/>
      <c r="C220" s="4"/>
      <c r="D220" s="23">
        <v>2023</v>
      </c>
      <c r="E220" s="25">
        <f>'Current Ratio'!G242</f>
        <v>0.1571817626895807</v>
      </c>
      <c r="F220" s="25">
        <f>'Cash Ratio'!G242</f>
        <v>0.13502684259128828</v>
      </c>
      <c r="G220" s="25">
        <f>DAR!G242</f>
        <v>0.4898739694091494</v>
      </c>
      <c r="H220" s="25">
        <f>DER!G242</f>
        <v>-2.0589542370309348</v>
      </c>
      <c r="I220" s="25">
        <f>NPM!G242</f>
        <v>-1.1709304724571901</v>
      </c>
      <c r="J220" s="25">
        <f>ROA!G242</f>
        <v>-2.9273035333438207E-2</v>
      </c>
      <c r="K220" s="25">
        <f>ROE!G242</f>
        <v>0.12303540072405646</v>
      </c>
      <c r="L220" s="25">
        <f>KM!E242</f>
        <v>0.99</v>
      </c>
      <c r="M220" s="24">
        <f>KI!E242</f>
        <v>2</v>
      </c>
      <c r="N220" s="108">
        <f>IO!E242</f>
        <v>0</v>
      </c>
      <c r="O220" s="24">
        <f>'BoC Size'!E242</f>
        <v>3</v>
      </c>
      <c r="P220" s="24">
        <f>'TMT E DK'!E242</f>
        <v>0</v>
      </c>
      <c r="Q220" s="24">
        <f>Data!R242</f>
        <v>3</v>
      </c>
      <c r="R220" s="24">
        <f>Data!S242</f>
        <v>2</v>
      </c>
      <c r="S220" s="24">
        <f>'TMT E DK'!E242</f>
        <v>0</v>
      </c>
      <c r="T220" s="24">
        <f>'TMT E DD'!E242</f>
        <v>0</v>
      </c>
      <c r="U220" s="24">
        <f>TA!E242</f>
        <v>387763000000</v>
      </c>
      <c r="V220" s="109">
        <f>PR!F242</f>
        <v>-0.21835187872923723</v>
      </c>
      <c r="W220" s="109">
        <f>'Z Score'!I242</f>
        <v>-1.8219693988338237</v>
      </c>
      <c r="X220" s="109">
        <f>'Z Score'!L242</f>
        <v>-0.77822061413801724</v>
      </c>
      <c r="Y220" s="109">
        <f>'Z Score'!O242</f>
        <v>-0.19671479744070475</v>
      </c>
      <c r="Z220" s="109">
        <f>'Z Score'!R242</f>
        <v>-0.50996762391092632</v>
      </c>
      <c r="AA220" s="109">
        <f>'Z Score'!S242</f>
        <v>-3.3068724343234717</v>
      </c>
    </row>
    <row r="221" spans="1:27" ht="15" customHeight="1" x14ac:dyDescent="0.3">
      <c r="A221" s="22"/>
      <c r="B221" s="23"/>
      <c r="C221" s="4"/>
      <c r="D221" s="23">
        <v>2024</v>
      </c>
      <c r="E221" s="25">
        <f>'Current Ratio'!G243</f>
        <v>0.325911929017417</v>
      </c>
      <c r="F221" s="25">
        <f>'Cash Ratio'!G243</f>
        <v>0.20592343082484391</v>
      </c>
      <c r="G221" s="25">
        <f>DAR!G243</f>
        <v>0.2220790255530021</v>
      </c>
      <c r="H221" s="25">
        <f>DER!G243</f>
        <v>-1.7759536676015231</v>
      </c>
      <c r="I221" s="25">
        <f>NPM!G243</f>
        <v>-0.6289096437880104</v>
      </c>
      <c r="J221" s="25">
        <f>ROA!G243</f>
        <v>-1.6511653104167974E-2</v>
      </c>
      <c r="K221" s="25">
        <f>ROE!G243</f>
        <v>0.13204277538363318</v>
      </c>
      <c r="L221" s="25">
        <f>KM!E243</f>
        <v>0.99</v>
      </c>
      <c r="M221" s="24">
        <f>KI!E243</f>
        <v>0</v>
      </c>
      <c r="N221" s="108">
        <f>IO!E243</f>
        <v>0</v>
      </c>
      <c r="O221" s="24">
        <f>'BoC Size'!E243</f>
        <v>2</v>
      </c>
      <c r="P221" s="24">
        <f>'TMT E DK'!E243</f>
        <v>0</v>
      </c>
      <c r="Q221" s="24">
        <f>Data!R243</f>
        <v>2</v>
      </c>
      <c r="R221" s="24">
        <f>Data!S243</f>
        <v>2</v>
      </c>
      <c r="S221" s="24">
        <f>'TMT E DK'!E243</f>
        <v>0</v>
      </c>
      <c r="T221" s="24">
        <f>'TMT E DD'!E243</f>
        <v>0</v>
      </c>
      <c r="U221" s="24">
        <f>TA!E243</f>
        <v>350722000000</v>
      </c>
      <c r="V221" s="109">
        <f>PR!F243</f>
        <v>-5.0134103569218075E-2</v>
      </c>
      <c r="W221" s="109">
        <f>'Z Score'!I243</f>
        <v>-0.30693711828741854</v>
      </c>
      <c r="X221" s="109">
        <f>'Z Score'!L243</f>
        <v>-0.65046258860293904</v>
      </c>
      <c r="Y221" s="109">
        <f>'Z Score'!O243</f>
        <v>-0.11095830886000878</v>
      </c>
      <c r="Z221" s="109">
        <f>'Z Score'!R243</f>
        <v>-0.59123164030402631</v>
      </c>
      <c r="AA221" s="109">
        <f>'Z Score'!S243</f>
        <v>-1.6595896560543926</v>
      </c>
    </row>
    <row r="222" spans="1:27" ht="15" customHeight="1" x14ac:dyDescent="0.3">
      <c r="A222" s="22"/>
      <c r="B222" s="23">
        <v>23</v>
      </c>
      <c r="C222" s="4" t="s">
        <v>51</v>
      </c>
      <c r="D222" s="23">
        <v>2015</v>
      </c>
      <c r="E222" s="25">
        <f>'Current Ratio'!G245</f>
        <v>20.180634201585505</v>
      </c>
      <c r="F222" s="25">
        <f>'Cash Ratio'!G245</f>
        <v>20.088335220838051</v>
      </c>
      <c r="G222" s="25">
        <f>DAR!G245</f>
        <v>4.3883337834188497E-2</v>
      </c>
      <c r="H222" s="25">
        <f>DER!G245</f>
        <v>4.6321957399635759E-2</v>
      </c>
      <c r="I222" s="25">
        <f>NPM!G245</f>
        <v>0.406961398878258</v>
      </c>
      <c r="J222" s="25">
        <f>ROA!G245</f>
        <v>3.7012032286134366E-2</v>
      </c>
      <c r="K222" s="25">
        <f>ROE!G245</f>
        <v>3.906880988201758E-2</v>
      </c>
      <c r="L222" s="25">
        <f>KM!E245</f>
        <v>0.88500000000000001</v>
      </c>
      <c r="M222" s="24">
        <f>KI!E245</f>
        <v>0</v>
      </c>
      <c r="N222" s="108">
        <f>IO!E245</f>
        <v>6.5000000000000002E-2</v>
      </c>
      <c r="O222" s="24">
        <f>'BoC Size'!E245</f>
        <v>4</v>
      </c>
      <c r="P222" s="24">
        <f>'TMT E DK'!E245</f>
        <v>0</v>
      </c>
      <c r="Q222" s="24">
        <f>Data!R245</f>
        <v>4</v>
      </c>
      <c r="R222" s="24">
        <f>Data!S245</f>
        <v>3</v>
      </c>
      <c r="S222" s="24">
        <f>'TMT E DK'!E245</f>
        <v>0</v>
      </c>
      <c r="T222" s="24">
        <f>'TMT E DD'!E245</f>
        <v>0</v>
      </c>
      <c r="U222" s="24">
        <f>TA!E245</f>
        <v>66654000000</v>
      </c>
      <c r="V222" s="109">
        <f>PR!F245</f>
        <v>6.4932014833127321</v>
      </c>
      <c r="W222" s="109">
        <f>'Z Score'!I245</f>
        <v>3.3337366099558916</v>
      </c>
      <c r="X222" s="109">
        <f>'Z Score'!L245</f>
        <v>0.1538197257478921</v>
      </c>
      <c r="Y222" s="109">
        <f>'Z Score'!O245</f>
        <v>0.24922495274102077</v>
      </c>
      <c r="Z222" s="109">
        <f>'Z Score'!R245</f>
        <v>22.667435897435901</v>
      </c>
      <c r="AA222" s="109">
        <f>'Z Score'!S245</f>
        <v>26.404217185880704</v>
      </c>
    </row>
    <row r="223" spans="1:27" ht="15" customHeight="1" x14ac:dyDescent="0.3">
      <c r="A223" s="22"/>
      <c r="B223" s="23"/>
      <c r="C223" s="4"/>
      <c r="D223" s="23">
        <v>2016</v>
      </c>
      <c r="E223" s="25">
        <f>'Current Ratio'!G246</f>
        <v>3.1309523809523809</v>
      </c>
      <c r="F223" s="25">
        <f>'Cash Ratio'!G246</f>
        <v>2.4007936507936507</v>
      </c>
      <c r="G223" s="25">
        <f>DAR!G246</f>
        <v>6.1566863489179648E-2</v>
      </c>
      <c r="H223" s="25">
        <f>DER!G246</f>
        <v>6.6458949499422715E-2</v>
      </c>
      <c r="I223" s="25">
        <f>NPM!G246</f>
        <v>2.2772734266810278E-2</v>
      </c>
      <c r="J223" s="25">
        <f>ROA!G246</f>
        <v>2.1684663960967604E-3</v>
      </c>
      <c r="K223" s="25">
        <f>ROE!G246</f>
        <v>2.340772138485141E-3</v>
      </c>
      <c r="L223" s="25">
        <f>KM!E246</f>
        <v>0.88500000000000001</v>
      </c>
      <c r="M223" s="24">
        <f>KI!E246</f>
        <v>0</v>
      </c>
      <c r="N223" s="108">
        <f>IO!E246</f>
        <v>6.5000000000000002E-2</v>
      </c>
      <c r="O223" s="24">
        <f>'BoC Size'!E246</f>
        <v>4</v>
      </c>
      <c r="P223" s="24">
        <f>'TMT E DK'!E246</f>
        <v>0</v>
      </c>
      <c r="Q223" s="24">
        <f>Data!R246</f>
        <v>4</v>
      </c>
      <c r="R223" s="24">
        <f>Data!S246</f>
        <v>3</v>
      </c>
      <c r="S223" s="24">
        <f>'TMT E DK'!E246</f>
        <v>0</v>
      </c>
      <c r="T223" s="24">
        <f>'TMT E DD'!E246</f>
        <v>0</v>
      </c>
      <c r="U223" s="24">
        <f>TA!E246</f>
        <v>68251000000</v>
      </c>
      <c r="V223" s="109">
        <f>PR!F246</f>
        <v>7.2088419663477399E-2</v>
      </c>
      <c r="W223" s="109">
        <f>'Z Score'!I246</f>
        <v>0.25807094401547226</v>
      </c>
      <c r="X223" s="109">
        <f>'Z Score'!L246</f>
        <v>0.15413722875855299</v>
      </c>
      <c r="Y223" s="109">
        <f>'Z Score'!O246</f>
        <v>1.4965934565061317E-2</v>
      </c>
      <c r="Z223" s="109">
        <f>'Z Score'!R246</f>
        <v>15.799226558781532</v>
      </c>
      <c r="AA223" s="109">
        <f>'Z Score'!S246</f>
        <v>16.226400666120618</v>
      </c>
    </row>
    <row r="224" spans="1:27" ht="15" customHeight="1" x14ac:dyDescent="0.3">
      <c r="A224" s="22"/>
      <c r="B224" s="23"/>
      <c r="C224" s="4"/>
      <c r="D224" s="23">
        <v>2017</v>
      </c>
      <c r="E224" s="25">
        <f>'Current Ratio'!G247</f>
        <v>5.0484842596191219</v>
      </c>
      <c r="F224" s="25">
        <f>'Cash Ratio'!G247</f>
        <v>4.2339681305868639</v>
      </c>
      <c r="G224" s="25">
        <f>DAR!G247</f>
        <v>0.30825118634485499</v>
      </c>
      <c r="H224" s="25">
        <f>DER!G247</f>
        <v>0.45064230508832243</v>
      </c>
      <c r="I224" s="25">
        <f>NPM!G247</f>
        <v>-0.23694378661348622</v>
      </c>
      <c r="J224" s="25">
        <f>ROA!G247</f>
        <v>-1.1433417334768775E-2</v>
      </c>
      <c r="K224" s="25">
        <f>ROE!G247</f>
        <v>-1.6714879848062532E-2</v>
      </c>
      <c r="L224" s="25">
        <f>KM!E247</f>
        <v>0.53100000000000003</v>
      </c>
      <c r="M224" s="24">
        <f>KI!E247</f>
        <v>2</v>
      </c>
      <c r="N224" s="108">
        <f>IO!E247</f>
        <v>3.9E-2</v>
      </c>
      <c r="O224" s="24">
        <f>'BoC Size'!E247</f>
        <v>4</v>
      </c>
      <c r="P224" s="24">
        <f>'TMT E DK'!E247</f>
        <v>0</v>
      </c>
      <c r="Q224" s="24">
        <f>Data!R247</f>
        <v>4</v>
      </c>
      <c r="R224" s="24">
        <f>Data!S247</f>
        <v>3</v>
      </c>
      <c r="S224" s="24">
        <f>'TMT E DK'!E247</f>
        <v>0</v>
      </c>
      <c r="T224" s="24">
        <f>'TMT E DD'!E247</f>
        <v>0</v>
      </c>
      <c r="U224" s="24">
        <f>TA!E247</f>
        <v>166267000000</v>
      </c>
      <c r="V224" s="109">
        <f>PR!F247</f>
        <v>0.23449761501769503</v>
      </c>
      <c r="W224" s="109">
        <f>'Z Score'!I247</f>
        <v>1.6439553248690357</v>
      </c>
      <c r="X224" s="109">
        <f>'Z Score'!L247</f>
        <v>2.7645894855864361E-3</v>
      </c>
      <c r="Y224" s="109">
        <f>'Z Score'!O247</f>
        <v>-7.3437543228662333E-2</v>
      </c>
      <c r="Z224" s="109">
        <f>'Z Score'!R247</f>
        <v>2.3300076094591433</v>
      </c>
      <c r="AA224" s="109">
        <f>'Z Score'!S247</f>
        <v>3.9032899805851029</v>
      </c>
    </row>
    <row r="225" spans="1:27" ht="15" customHeight="1" x14ac:dyDescent="0.3">
      <c r="A225" s="22"/>
      <c r="B225" s="23"/>
      <c r="C225" s="4"/>
      <c r="D225" s="23">
        <v>2018</v>
      </c>
      <c r="E225" s="25">
        <f>'Current Ratio'!G248</f>
        <v>1.3349680170575693</v>
      </c>
      <c r="F225" s="25">
        <f>'Cash Ratio'!G248</f>
        <v>0.83411513859275055</v>
      </c>
      <c r="G225" s="25">
        <f>DAR!G248</f>
        <v>0.3617238778873279</v>
      </c>
      <c r="H225" s="25">
        <f>DER!G248</f>
        <v>0.57394834340820056</v>
      </c>
      <c r="I225" s="25">
        <f>NPM!G248</f>
        <v>3.738254579868857E-2</v>
      </c>
      <c r="J225" s="25">
        <f>ROA!G248</f>
        <v>3.0891266095019972E-3</v>
      </c>
      <c r="K225" s="25">
        <f>ROE!G248</f>
        <v>4.9015262980624348E-3</v>
      </c>
      <c r="L225" s="25">
        <f>KM!E248</f>
        <v>0.53100000000000003</v>
      </c>
      <c r="M225" s="24">
        <f>KI!E248</f>
        <v>2</v>
      </c>
      <c r="N225" s="108">
        <f>IO!E248</f>
        <v>3.9E-2</v>
      </c>
      <c r="O225" s="24">
        <f>'BoC Size'!E248</f>
        <v>4</v>
      </c>
      <c r="P225" s="24">
        <f>'TMT E DK'!E248</f>
        <v>0</v>
      </c>
      <c r="Q225" s="24">
        <f>Data!R248</f>
        <v>4</v>
      </c>
      <c r="R225" s="24">
        <f>Data!S248</f>
        <v>3</v>
      </c>
      <c r="S225" s="24">
        <f>'TMT E DK'!E248</f>
        <v>0</v>
      </c>
      <c r="T225" s="24">
        <f>'TMT E DD'!E248</f>
        <v>0</v>
      </c>
      <c r="U225" s="24">
        <f>TA!E248</f>
        <v>179015000000</v>
      </c>
      <c r="V225" s="109">
        <f>PR!F248</f>
        <v>0.8438240059827995</v>
      </c>
      <c r="W225" s="109">
        <f>'Z Score'!I248</f>
        <v>0.11513850794626149</v>
      </c>
      <c r="X225" s="109">
        <f>'Z Score'!L248</f>
        <v>1.2638270535988604E-2</v>
      </c>
      <c r="Y225" s="109">
        <f>'Z Score'!O248</f>
        <v>2.1847554674189314E-2</v>
      </c>
      <c r="Z225" s="109">
        <f>'Z Score'!R248</f>
        <v>1.8294329307841986</v>
      </c>
      <c r="AA225" s="109">
        <f>'Z Score'!S248</f>
        <v>1.9790572639406379</v>
      </c>
    </row>
    <row r="226" spans="1:27" ht="15" customHeight="1" x14ac:dyDescent="0.3">
      <c r="A226" s="22"/>
      <c r="B226" s="23"/>
      <c r="C226" s="4"/>
      <c r="D226" s="23">
        <v>2019</v>
      </c>
      <c r="E226" s="25">
        <f>'Current Ratio'!G249</f>
        <v>1.7417658273617778</v>
      </c>
      <c r="F226" s="25">
        <f>'Cash Ratio'!G249</f>
        <v>0.5098284136480179</v>
      </c>
      <c r="G226" s="25">
        <f>DAR!G249</f>
        <v>0.49235477094610974</v>
      </c>
      <c r="H226" s="25">
        <f>DER!G249</f>
        <v>0.8575524635437739</v>
      </c>
      <c r="I226" s="25">
        <f>NPM!G249</f>
        <v>4.0430482838859805E-2</v>
      </c>
      <c r="J226" s="25">
        <f>ROA!G249</f>
        <v>6.3171608628908461E-3</v>
      </c>
      <c r="K226" s="25">
        <f>ROE!G249</f>
        <v>1.1002832063888546E-2</v>
      </c>
      <c r="L226" s="25">
        <f>KM!E249</f>
        <v>0.53100000000000003</v>
      </c>
      <c r="M226" s="24">
        <f>KI!E249</f>
        <v>2</v>
      </c>
      <c r="N226" s="108">
        <f>IO!E249</f>
        <v>3.9E-2</v>
      </c>
      <c r="O226" s="24">
        <f>'BoC Size'!E249</f>
        <v>4</v>
      </c>
      <c r="P226" s="24">
        <f>'TMT E DK'!E249</f>
        <v>0</v>
      </c>
      <c r="Q226" s="24">
        <f>Data!R249</f>
        <v>4</v>
      </c>
      <c r="R226" s="24">
        <f>Data!S249</f>
        <v>2</v>
      </c>
      <c r="S226" s="24">
        <f>'TMT E DK'!E249</f>
        <v>0</v>
      </c>
      <c r="T226" s="24">
        <f>'TMT E DD'!E249</f>
        <v>0</v>
      </c>
      <c r="U226" s="24">
        <f>TA!E249</f>
        <v>198032000000</v>
      </c>
      <c r="V226" s="109">
        <f>PR!F249</f>
        <v>1.0916649766781585</v>
      </c>
      <c r="W226" s="109">
        <f>'Z Score'!I249</f>
        <v>0.37376020037165708</v>
      </c>
      <c r="X226" s="109">
        <f>'Z Score'!L249</f>
        <v>3.2002100670598686E-2</v>
      </c>
      <c r="Y226" s="109">
        <f>'Z Score'!O249</f>
        <v>4.190837844388786E-2</v>
      </c>
      <c r="Z226" s="109">
        <f>'Z Score'!R249</f>
        <v>1.2244148837972555</v>
      </c>
      <c r="AA226" s="109">
        <f>'Z Score'!S249</f>
        <v>1.6720855632833991</v>
      </c>
    </row>
    <row r="227" spans="1:27" ht="15" customHeight="1" x14ac:dyDescent="0.3">
      <c r="A227" s="22"/>
      <c r="B227" s="23"/>
      <c r="C227" s="4"/>
      <c r="D227" s="23">
        <v>2020</v>
      </c>
      <c r="E227" s="25">
        <f>'Current Ratio'!G250</f>
        <v>1.4605038883562373</v>
      </c>
      <c r="F227" s="25">
        <f>'Cash Ratio'!G250</f>
        <v>0.96668264621284761</v>
      </c>
      <c r="G227" s="25">
        <f>DAR!G250</f>
        <v>0.56616737953618923</v>
      </c>
      <c r="H227" s="25">
        <f>DER!G250</f>
        <v>1.1653469517594766</v>
      </c>
      <c r="I227" s="25">
        <f>NPM!G250</f>
        <v>1.1932099599261561E-3</v>
      </c>
      <c r="J227" s="25">
        <f>ROA!G250</f>
        <v>2.2137940252623138E-4</v>
      </c>
      <c r="K227" s="25">
        <f>ROE!G250</f>
        <v>4.5566703635879053E-4</v>
      </c>
      <c r="L227" s="25">
        <f>KM!E250</f>
        <v>0.53100000000000003</v>
      </c>
      <c r="M227" s="24">
        <f>KI!E250</f>
        <v>2</v>
      </c>
      <c r="N227" s="108">
        <f>IO!E250</f>
        <v>3.9E-2</v>
      </c>
      <c r="O227" s="24">
        <f>'BoC Size'!E250</f>
        <v>4</v>
      </c>
      <c r="P227" s="24">
        <f>'TMT E DK'!E250</f>
        <v>0</v>
      </c>
      <c r="Q227" s="24">
        <f>Data!R250</f>
        <v>4</v>
      </c>
      <c r="R227" s="24">
        <f>Data!S250</f>
        <v>3</v>
      </c>
      <c r="S227" s="24">
        <f>'TMT E DK'!E250</f>
        <v>0</v>
      </c>
      <c r="T227" s="24">
        <f>'TMT E DD'!E250</f>
        <v>0</v>
      </c>
      <c r="U227" s="24">
        <f>TA!E250</f>
        <v>239408000000</v>
      </c>
      <c r="V227" s="109">
        <f>PR!F250</f>
        <v>0.43552452976536749</v>
      </c>
      <c r="W227" s="109">
        <f>'Z Score'!I250</f>
        <v>0.47378934705607162</v>
      </c>
      <c r="X227" s="109">
        <f>'Z Score'!L250</f>
        <v>2.7206609637104855E-2</v>
      </c>
      <c r="Y227" s="109">
        <f>'Z Score'!O250</f>
        <v>7.3822094499766087E-3</v>
      </c>
      <c r="Z227" s="109">
        <f>'Z Score'!R250</f>
        <v>0.90101921870965362</v>
      </c>
      <c r="AA227" s="109">
        <f>'Z Score'!S250</f>
        <v>1.4093973848528067</v>
      </c>
    </row>
    <row r="228" spans="1:27" ht="15" customHeight="1" x14ac:dyDescent="0.3">
      <c r="A228" s="22"/>
      <c r="B228" s="23"/>
      <c r="C228" s="4"/>
      <c r="D228" s="23">
        <v>2021</v>
      </c>
      <c r="E228" s="25">
        <f>'Current Ratio'!G251</f>
        <v>0.92558403888366259</v>
      </c>
      <c r="F228" s="25">
        <f>'Cash Ratio'!G251</f>
        <v>0.36290765130134839</v>
      </c>
      <c r="G228" s="25">
        <f>DAR!G251</f>
        <v>0.54342684831620836</v>
      </c>
      <c r="H228" s="25">
        <f>DER!G251</f>
        <v>1.1700613815163827</v>
      </c>
      <c r="I228" s="25">
        <f>NPM!G251</f>
        <v>2.4215449607724805E-2</v>
      </c>
      <c r="J228" s="25">
        <f>ROA!G251</f>
        <v>5.1555705457918257E-3</v>
      </c>
      <c r="K228" s="25">
        <f>ROE!G251</f>
        <v>1.1100544652891847E-2</v>
      </c>
      <c r="L228" s="25">
        <f>KM!E251</f>
        <v>0.57999999999999996</v>
      </c>
      <c r="M228" s="24">
        <f>KI!E251</f>
        <v>2</v>
      </c>
      <c r="N228" s="108">
        <f>IO!E251</f>
        <v>0.04</v>
      </c>
      <c r="O228" s="24">
        <f>'BoC Size'!E251</f>
        <v>4</v>
      </c>
      <c r="P228" s="24">
        <f>'TMT E DK'!E251</f>
        <v>0</v>
      </c>
      <c r="Q228" s="24">
        <f>Data!R251</f>
        <v>4</v>
      </c>
      <c r="R228" s="24">
        <f>Data!S251</f>
        <v>2</v>
      </c>
      <c r="S228" s="24">
        <f>'TMT E DK'!E251</f>
        <v>0</v>
      </c>
      <c r="T228" s="24">
        <f>'TMT E DD'!E251</f>
        <v>0</v>
      </c>
      <c r="U228" s="24">
        <f>TA!E251</f>
        <v>249051000000</v>
      </c>
      <c r="V228" s="109">
        <f>PR!F251</f>
        <v>0.19375028141744338</v>
      </c>
      <c r="W228" s="109">
        <f>'Z Score'!I251</f>
        <v>-0.10001292907878306</v>
      </c>
      <c r="X228" s="109">
        <f>'Z Score'!L251</f>
        <v>4.2947267828677659E-2</v>
      </c>
      <c r="Y228" s="109">
        <f>'Z Score'!O251</f>
        <v>5.0969801365985279E-2</v>
      </c>
      <c r="Z228" s="109">
        <f>'Z Score'!R251</f>
        <v>0.89738881787484948</v>
      </c>
      <c r="AA228" s="109">
        <f>'Z Score'!S251</f>
        <v>0.89129295799072938</v>
      </c>
    </row>
    <row r="229" spans="1:27" ht="15" customHeight="1" x14ac:dyDescent="0.3">
      <c r="A229" s="22"/>
      <c r="B229" s="23"/>
      <c r="C229" s="4"/>
      <c r="D229" s="23">
        <v>2022</v>
      </c>
      <c r="E229" s="25">
        <f>'Current Ratio'!G252</f>
        <v>1.1495598043574922</v>
      </c>
      <c r="F229" s="25">
        <f>'Cash Ratio'!G252</f>
        <v>0.32821698532681193</v>
      </c>
      <c r="G229" s="25">
        <f>DAR!G252</f>
        <v>0.58156410667558245</v>
      </c>
      <c r="H229" s="25">
        <f>DER!G252</f>
        <v>1.4640397134857517</v>
      </c>
      <c r="I229" s="25">
        <f>NPM!G252</f>
        <v>3.0738670107104092E-2</v>
      </c>
      <c r="J229" s="25">
        <f>ROA!G252</f>
        <v>5.1208919426978675E-3</v>
      </c>
      <c r="K229" s="25">
        <f>ROE!G252</f>
        <v>1.2891423467372074E-2</v>
      </c>
      <c r="L229" s="25">
        <f>KM!E252</f>
        <v>0.57999999999999996</v>
      </c>
      <c r="M229" s="24">
        <f>KI!E252</f>
        <v>2</v>
      </c>
      <c r="N229" s="108">
        <f>IO!E252</f>
        <v>0.01</v>
      </c>
      <c r="O229" s="24">
        <f>'BoC Size'!E252</f>
        <v>4</v>
      </c>
      <c r="P229" s="24">
        <f>'TMT E DK'!E252</f>
        <v>0</v>
      </c>
      <c r="Q229" s="24">
        <f>Data!R252</f>
        <v>4</v>
      </c>
      <c r="R229" s="24">
        <f>Data!S252</f>
        <v>3</v>
      </c>
      <c r="S229" s="24">
        <f>'TMT E DK'!E252</f>
        <v>0</v>
      </c>
      <c r="T229" s="24">
        <f>'TMT E DD'!E252</f>
        <v>0</v>
      </c>
      <c r="U229" s="24">
        <f>TA!E252</f>
        <v>293113000000</v>
      </c>
      <c r="V229" s="109">
        <f>PR!F252</f>
        <v>-7.9077398913699457E-2</v>
      </c>
      <c r="W229" s="109">
        <f>'Z Score'!I252</f>
        <v>0.18819717992719528</v>
      </c>
      <c r="X229" s="109">
        <f>'Z Score'!L252</f>
        <v>5.3185358547727317E-2</v>
      </c>
      <c r="Y229" s="109">
        <f>'Z Score'!O252</f>
        <v>4.7984770378659419E-2</v>
      </c>
      <c r="Z229" s="109">
        <f>'Z Score'!R252</f>
        <v>0.71719365965834436</v>
      </c>
      <c r="AA229" s="109">
        <f>'Z Score'!S252</f>
        <v>1.0065609685119263</v>
      </c>
    </row>
    <row r="230" spans="1:27" ht="15" customHeight="1" x14ac:dyDescent="0.3">
      <c r="A230" s="22"/>
      <c r="B230" s="23"/>
      <c r="C230" s="4"/>
      <c r="D230" s="23">
        <v>2023</v>
      </c>
      <c r="E230" s="25">
        <f>'Current Ratio'!G253</f>
        <v>0.77069216715617128</v>
      </c>
      <c r="F230" s="25">
        <f>'Cash Ratio'!G253</f>
        <v>8.5890705580351986E-2</v>
      </c>
      <c r="G230" s="25">
        <f>DAR!G253</f>
        <v>0.67962728328581989</v>
      </c>
      <c r="H230" s="25">
        <f>DER!G253</f>
        <v>1.7135251152188742</v>
      </c>
      <c r="I230" s="25">
        <f>NPM!G253</f>
        <v>3.4785601211370365E-2</v>
      </c>
      <c r="J230" s="25">
        <f>ROA!G253</f>
        <v>8.3379526977087944E-3</v>
      </c>
      <c r="K230" s="25">
        <f>ROE!G253</f>
        <v>2.1022245145832986E-2</v>
      </c>
      <c r="L230" s="25">
        <f>KM!E253</f>
        <v>0.57999999999999996</v>
      </c>
      <c r="M230" s="24">
        <f>KI!E253</f>
        <v>2</v>
      </c>
      <c r="N230" s="108">
        <f>IO!E253</f>
        <v>0.01</v>
      </c>
      <c r="O230" s="24">
        <f>'BoC Size'!E253</f>
        <v>4</v>
      </c>
      <c r="P230" s="24">
        <f>'TMT E DK'!E253</f>
        <v>0</v>
      </c>
      <c r="Q230" s="24">
        <f>Data!R253</f>
        <v>4</v>
      </c>
      <c r="R230" s="24">
        <f>Data!S253</f>
        <v>3</v>
      </c>
      <c r="S230" s="24">
        <f>'TMT E DK'!E253</f>
        <v>0</v>
      </c>
      <c r="T230" s="24">
        <f>'TMT E DD'!E253</f>
        <v>0</v>
      </c>
      <c r="U230" s="24">
        <f>TA!E253</f>
        <v>303072000000</v>
      </c>
      <c r="V230" s="109">
        <f>PR!F253</f>
        <v>0.4876820052835289</v>
      </c>
      <c r="W230" s="109">
        <f>'Z Score'!I253</f>
        <v>-0.4292424242424242</v>
      </c>
      <c r="X230" s="109">
        <f>'Z Score'!L253</f>
        <v>7.8619403970013726E-2</v>
      </c>
      <c r="Y230" s="109">
        <f>'Z Score'!O253</f>
        <v>7.791574279379157E-2</v>
      </c>
      <c r="Z230" s="109">
        <f>'Z Score'!R253</f>
        <v>0.6127718763351071</v>
      </c>
      <c r="AA230" s="109">
        <f>'Z Score'!S253</f>
        <v>0.34006459885648821</v>
      </c>
    </row>
    <row r="231" spans="1:27" ht="15" customHeight="1" x14ac:dyDescent="0.3">
      <c r="A231" s="22"/>
      <c r="B231" s="23"/>
      <c r="C231" s="4"/>
      <c r="D231" s="23">
        <v>2024</v>
      </c>
      <c r="E231" s="25">
        <f>'Current Ratio'!G254</f>
        <v>0.62150786552322823</v>
      </c>
      <c r="F231" s="25">
        <f>'Cash Ratio'!G254</f>
        <v>7.6743655846091788E-2</v>
      </c>
      <c r="G231" s="25">
        <f>DAR!G254</f>
        <v>0.75599655100334451</v>
      </c>
      <c r="H231" s="25">
        <f>DER!G254</f>
        <v>1.889596394984326</v>
      </c>
      <c r="I231" s="25">
        <f>NPM!G254</f>
        <v>3.5598338995847488E-2</v>
      </c>
      <c r="J231" s="25">
        <f>ROA!G254</f>
        <v>9.239783653846154E-3</v>
      </c>
      <c r="K231" s="25">
        <f>ROE!G254</f>
        <v>2.3094631661442006E-2</v>
      </c>
      <c r="L231" s="25">
        <f>KM!E254</f>
        <v>0.57950000000000002</v>
      </c>
      <c r="M231" s="24">
        <f>KI!E254</f>
        <v>2</v>
      </c>
      <c r="N231" s="108">
        <f>IO!E254</f>
        <v>0</v>
      </c>
      <c r="O231" s="24">
        <f>'BoC Size'!E254</f>
        <v>3</v>
      </c>
      <c r="P231" s="24">
        <f>'TMT E DK'!E254</f>
        <v>0</v>
      </c>
      <c r="Q231" s="24">
        <f>Data!R254</f>
        <v>3</v>
      </c>
      <c r="R231" s="24">
        <f>Data!S254</f>
        <v>3</v>
      </c>
      <c r="S231" s="24">
        <f>'TMT E DK'!E254</f>
        <v>0</v>
      </c>
      <c r="T231" s="24">
        <f>'TMT E DD'!E254</f>
        <v>0</v>
      </c>
      <c r="U231" s="24">
        <f>TA!E254</f>
        <v>306176000000</v>
      </c>
      <c r="V231" s="109">
        <f>PR!F254</f>
        <v>9.3950030972537679E-2</v>
      </c>
      <c r="W231" s="109">
        <f>'Z Score'!I254</f>
        <v>-0.92481396321070219</v>
      </c>
      <c r="X231" s="109">
        <f>'Z Score'!L254</f>
        <v>0.10794405831939799</v>
      </c>
      <c r="Y231" s="109">
        <f>'Z Score'!O254</f>
        <v>8.2217809364548491E-2</v>
      </c>
      <c r="Z231" s="109">
        <f>'Z Score'!R254</f>
        <v>0.55567421846648346</v>
      </c>
      <c r="AA231" s="109">
        <f>'Z Score'!S254</f>
        <v>-0.17897787706027224</v>
      </c>
    </row>
    <row r="232" spans="1:27" ht="15" customHeight="1" x14ac:dyDescent="0.3">
      <c r="A232" s="22"/>
      <c r="B232" s="23">
        <v>24</v>
      </c>
      <c r="C232" s="4" t="s">
        <v>50</v>
      </c>
      <c r="D232" s="23">
        <v>2015</v>
      </c>
      <c r="E232" s="25">
        <f>'Current Ratio'!G256</f>
        <v>0.9192417967505575</v>
      </c>
      <c r="F232" s="25">
        <f>'Cash Ratio'!G256</f>
        <v>0.44982478496336414</v>
      </c>
      <c r="G232" s="25">
        <f>DAR!G256</f>
        <v>0.14069142985007832</v>
      </c>
      <c r="H232" s="25">
        <f>DER!G256</f>
        <v>0.1704853579175705</v>
      </c>
      <c r="I232" s="25">
        <f>NPM!G256</f>
        <v>-0.78562297177696927</v>
      </c>
      <c r="J232" s="25">
        <f>ROA!G256</f>
        <v>-0.11172801521593198</v>
      </c>
      <c r="K232" s="25">
        <f>ROE!G256</f>
        <v>-0.13538842190889372</v>
      </c>
      <c r="L232" s="25">
        <f>KM!E256</f>
        <v>0.95</v>
      </c>
      <c r="M232" s="24">
        <f>KI!E256</f>
        <v>1</v>
      </c>
      <c r="N232" s="108">
        <f>IO!E256</f>
        <v>0</v>
      </c>
      <c r="O232" s="24">
        <f>'BoC Size'!E256</f>
        <v>3</v>
      </c>
      <c r="P232" s="24">
        <f>'TMT E DK'!E256</f>
        <v>15</v>
      </c>
      <c r="Q232" s="24">
        <f>Data!R256</f>
        <v>3</v>
      </c>
      <c r="R232" s="24">
        <f>Data!S256</f>
        <v>3</v>
      </c>
      <c r="S232" s="24">
        <f>'TMT E DK'!E256</f>
        <v>15</v>
      </c>
      <c r="T232" s="24">
        <f>'TMT E DD'!E256</f>
        <v>10</v>
      </c>
      <c r="U232" s="24">
        <f>TA!E256</f>
        <v>71504000000</v>
      </c>
      <c r="V232" s="109">
        <f>PR!F256</f>
        <v>-0.28296432097024399</v>
      </c>
      <c r="W232" s="109">
        <f>'Z Score'!I256</f>
        <v>-4.6513761467889901E-2</v>
      </c>
      <c r="X232" s="109">
        <f>'Z Score'!L256</f>
        <v>-0.83428535466547327</v>
      </c>
      <c r="Y232" s="109">
        <f>'Z Score'!O256</f>
        <v>-0.7508122622510629</v>
      </c>
      <c r="Z232" s="109">
        <f>'Z Score'!R256</f>
        <v>6.1588866799204771</v>
      </c>
      <c r="AA232" s="109">
        <f>'Z Score'!S256</f>
        <v>4.5272753015360507</v>
      </c>
    </row>
    <row r="233" spans="1:27" ht="15" customHeight="1" x14ac:dyDescent="0.3">
      <c r="A233" s="22"/>
      <c r="B233" s="23"/>
      <c r="C233" s="4"/>
      <c r="D233" s="23">
        <v>2016</v>
      </c>
      <c r="E233" s="25">
        <f>'Current Ratio'!G257</f>
        <v>1.317629407351838</v>
      </c>
      <c r="F233" s="25">
        <f>'Cash Ratio'!G257</f>
        <v>0.78184546136534139</v>
      </c>
      <c r="G233" s="25">
        <f>DAR!G257</f>
        <v>0.15262081272033542</v>
      </c>
      <c r="H233" s="25">
        <f>DER!G257</f>
        <v>0.19405297720061979</v>
      </c>
      <c r="I233" s="25">
        <f>NPM!G257</f>
        <v>-0.48119530079634154</v>
      </c>
      <c r="J233" s="25">
        <f>ROA!G257</f>
        <v>-8.8540382132339071E-2</v>
      </c>
      <c r="K233" s="25">
        <f>ROE!G257</f>
        <v>-0.11257655131705158</v>
      </c>
      <c r="L233" s="25">
        <f>KM!E257</f>
        <v>0.95</v>
      </c>
      <c r="M233" s="24">
        <f>KI!E257</f>
        <v>1</v>
      </c>
      <c r="N233" s="108">
        <f>IO!E257</f>
        <v>0</v>
      </c>
      <c r="O233" s="24">
        <f>'BoC Size'!E257</f>
        <v>3</v>
      </c>
      <c r="P233" s="24">
        <f>'TMT E DK'!E257</f>
        <v>15</v>
      </c>
      <c r="Q233" s="24">
        <f>Data!R257</f>
        <v>3</v>
      </c>
      <c r="R233" s="24">
        <f>Data!S257</f>
        <v>2</v>
      </c>
      <c r="S233" s="24">
        <f>'TMT E DK'!E257</f>
        <v>15</v>
      </c>
      <c r="T233" s="24">
        <f>'TMT E DD'!E257</f>
        <v>7</v>
      </c>
      <c r="U233" s="24">
        <f>TA!E257</f>
        <v>68929000000</v>
      </c>
      <c r="V233" s="109">
        <f>PR!F257</f>
        <v>0.24722194906087128</v>
      </c>
      <c r="W233" s="109">
        <f>'Z Score'!I257</f>
        <v>0.20147572139447836</v>
      </c>
      <c r="X233" s="109">
        <f>'Z Score'!L257</f>
        <v>-1.1540936325784501</v>
      </c>
      <c r="Y233" s="109">
        <f>'Z Score'!O257</f>
        <v>-0.5949913679293185</v>
      </c>
      <c r="Z233" s="109">
        <f>'Z Score'!R257</f>
        <v>5.410893536121673</v>
      </c>
      <c r="AA233" s="109">
        <f>'Z Score'!S257</f>
        <v>3.8632842570083827</v>
      </c>
    </row>
    <row r="234" spans="1:27" ht="15" customHeight="1" x14ac:dyDescent="0.3">
      <c r="A234" s="22"/>
      <c r="B234" s="23"/>
      <c r="C234" s="4"/>
      <c r="D234" s="23">
        <v>2017</v>
      </c>
      <c r="E234" s="25">
        <f>'Current Ratio'!G258</f>
        <v>0.99765210289914252</v>
      </c>
      <c r="F234" s="25">
        <f>'Cash Ratio'!G258</f>
        <v>0.49101674152715397</v>
      </c>
      <c r="G234" s="25">
        <f>DAR!G258</f>
        <v>0.31978665694162695</v>
      </c>
      <c r="H234" s="25">
        <f>DER!G258</f>
        <v>0.55260152034345578</v>
      </c>
      <c r="I234" s="25">
        <f>NPM!G258</f>
        <v>-0.16961130742049471</v>
      </c>
      <c r="J234" s="25">
        <f>ROA!G258</f>
        <v>-2.8445741116404168E-2</v>
      </c>
      <c r="K234" s="25">
        <f>ROE!G258</f>
        <v>-4.9155145929339478E-2</v>
      </c>
      <c r="L234" s="25">
        <f>KM!E258</f>
        <v>0.95</v>
      </c>
      <c r="M234" s="24">
        <f>KI!E258</f>
        <v>2</v>
      </c>
      <c r="N234" s="108">
        <f>IO!E258</f>
        <v>0</v>
      </c>
      <c r="O234" s="24">
        <f>'BoC Size'!E258</f>
        <v>4</v>
      </c>
      <c r="P234" s="24">
        <f>'TMT E DK'!E258</f>
        <v>18</v>
      </c>
      <c r="Q234" s="24">
        <f>Data!R258</f>
        <v>4</v>
      </c>
      <c r="R234" s="24">
        <f>Data!S258</f>
        <v>2</v>
      </c>
      <c r="S234" s="24">
        <f>'TMT E DK'!E258</f>
        <v>18</v>
      </c>
      <c r="T234" s="24">
        <f>'TMT E DD'!E258</f>
        <v>7</v>
      </c>
      <c r="U234" s="24">
        <f>TA!E258</f>
        <v>87746000000</v>
      </c>
      <c r="V234" s="109">
        <f>PR!F258</f>
        <v>0.1602933060001577</v>
      </c>
      <c r="W234" s="109">
        <f>'Z Score'!I258</f>
        <v>-1.7195085815877645E-3</v>
      </c>
      <c r="X234" s="109">
        <f>'Z Score'!L258</f>
        <v>-0.99933307501196633</v>
      </c>
      <c r="Y234" s="109">
        <f>'Z Score'!O258</f>
        <v>-0.22975406286326441</v>
      </c>
      <c r="Z234" s="109">
        <f>'Z Score'!R258</f>
        <v>1.900103349964362</v>
      </c>
      <c r="AA234" s="109">
        <f>'Z Score'!S258</f>
        <v>0.66929670350754344</v>
      </c>
    </row>
    <row r="235" spans="1:27" ht="15" customHeight="1" x14ac:dyDescent="0.3">
      <c r="A235" s="22"/>
      <c r="B235" s="23"/>
      <c r="C235" s="4"/>
      <c r="D235" s="23">
        <v>2018</v>
      </c>
      <c r="E235" s="25">
        <f>'Current Ratio'!G259</f>
        <v>1.0981023988542786</v>
      </c>
      <c r="F235" s="25">
        <f>'Cash Ratio'!G259</f>
        <v>0.37173290368779088</v>
      </c>
      <c r="G235" s="25">
        <f>DAR!G259</f>
        <v>0.31807340870373241</v>
      </c>
      <c r="H235" s="25">
        <f>DER!G259</f>
        <v>0.57863300839578524</v>
      </c>
      <c r="I235" s="25">
        <f>NPM!G259</f>
        <v>-0.26290602155399806</v>
      </c>
      <c r="J235" s="25">
        <f>ROA!G259</f>
        <v>-7.2035517009963343E-2</v>
      </c>
      <c r="K235" s="25">
        <f>ROE!G259</f>
        <v>-0.13104562273435885</v>
      </c>
      <c r="L235" s="25">
        <f>KM!E259</f>
        <v>0.95</v>
      </c>
      <c r="M235" s="24">
        <f>KI!E259</f>
        <v>1</v>
      </c>
      <c r="N235" s="108">
        <f>IO!E259</f>
        <v>0</v>
      </c>
      <c r="O235" s="24">
        <f>'BoC Size'!E259</f>
        <v>3</v>
      </c>
      <c r="P235" s="24">
        <f>'TMT E DK'!E259</f>
        <v>7</v>
      </c>
      <c r="Q235" s="24">
        <f>Data!R259</f>
        <v>3</v>
      </c>
      <c r="R235" s="24">
        <f>Data!S259</f>
        <v>3</v>
      </c>
      <c r="S235" s="24">
        <f>'TMT E DK'!E259</f>
        <v>7</v>
      </c>
      <c r="T235" s="24">
        <f>'TMT E DD'!E259</f>
        <v>5</v>
      </c>
      <c r="U235" s="24">
        <f>TA!E259</f>
        <v>96855000000</v>
      </c>
      <c r="V235" s="109">
        <f>PR!F259</f>
        <v>0.80334329980973096</v>
      </c>
      <c r="W235" s="109">
        <f>'Z Score'!I259</f>
        <v>7.4232202777347572E-2</v>
      </c>
      <c r="X235" s="109">
        <f>'Z Score'!L259</f>
        <v>-1.1401837798771357</v>
      </c>
      <c r="Y235" s="109">
        <f>'Z Score'!O259</f>
        <v>-0.48047080687625832</v>
      </c>
      <c r="Z235" s="109">
        <f>'Z Score'!R259</f>
        <v>1.8146216768916157</v>
      </c>
      <c r="AA235" s="109">
        <f>'Z Score'!S259</f>
        <v>0.26819929291556943</v>
      </c>
    </row>
    <row r="236" spans="1:27" ht="15" customHeight="1" x14ac:dyDescent="0.3">
      <c r="A236" s="22"/>
      <c r="B236" s="23"/>
      <c r="C236" s="4"/>
      <c r="D236" s="23">
        <v>2019</v>
      </c>
      <c r="E236" s="25">
        <f>'Current Ratio'!G260</f>
        <v>1.2402172990408284</v>
      </c>
      <c r="F236" s="25">
        <f>'Cash Ratio'!G260</f>
        <v>0.53374076903488665</v>
      </c>
      <c r="G236" s="25">
        <f>DAR!G260</f>
        <v>0.27979898345244009</v>
      </c>
      <c r="H236" s="25">
        <f>DER!G260</f>
        <v>0.47434402332361514</v>
      </c>
      <c r="I236" s="25">
        <f>NPM!G260</f>
        <v>0.14674336047990585</v>
      </c>
      <c r="J236" s="25">
        <f>ROA!G260</f>
        <v>7.3852562387740281E-2</v>
      </c>
      <c r="K236" s="25">
        <f>ROE!G260</f>
        <v>0.12520246193715581</v>
      </c>
      <c r="L236" s="25">
        <f>KM!E260</f>
        <v>0.95</v>
      </c>
      <c r="M236" s="24">
        <f>KI!E260</f>
        <v>1</v>
      </c>
      <c r="N236" s="108">
        <f>IO!E260</f>
        <v>0</v>
      </c>
      <c r="O236" s="24">
        <f>'BoC Size'!E260</f>
        <v>3</v>
      </c>
      <c r="P236" s="24">
        <f>'TMT E DK'!E260</f>
        <v>10</v>
      </c>
      <c r="Q236" s="24">
        <f>Data!R260</f>
        <v>3</v>
      </c>
      <c r="R236" s="24">
        <f>Data!S260</f>
        <v>3</v>
      </c>
      <c r="S236" s="24">
        <f>'TMT E DK'!E260</f>
        <v>10</v>
      </c>
      <c r="T236" s="24">
        <f>'TMT E DD'!E260</f>
        <v>5</v>
      </c>
      <c r="U236" s="24">
        <f>TA!E260</f>
        <v>104668000000</v>
      </c>
      <c r="V236" s="109">
        <f>PR!F260</f>
        <v>0.98496495591227673</v>
      </c>
      <c r="W236" s="109">
        <f>'Z Score'!I260</f>
        <v>0.17736844116635456</v>
      </c>
      <c r="X236" s="109">
        <f>'Z Score'!L260</f>
        <v>-0.81431478579890693</v>
      </c>
      <c r="Y236" s="109">
        <f>'Z Score'!O260</f>
        <v>0.50354415867313784</v>
      </c>
      <c r="Z236" s="109">
        <f>'Z Score'!R260</f>
        <v>2.2135832821143206</v>
      </c>
      <c r="AA236" s="109">
        <f>'Z Score'!S260</f>
        <v>2.0801810961549059</v>
      </c>
    </row>
    <row r="237" spans="1:27" ht="15" customHeight="1" x14ac:dyDescent="0.3">
      <c r="A237" s="22"/>
      <c r="B237" s="23"/>
      <c r="C237" s="4"/>
      <c r="D237" s="23">
        <v>2020</v>
      </c>
      <c r="E237" s="25">
        <f>'Current Ratio'!G261</f>
        <v>1.6168233547748638</v>
      </c>
      <c r="F237" s="25">
        <f>'Cash Ratio'!G261</f>
        <v>0.80197921820880758</v>
      </c>
      <c r="G237" s="25">
        <f>DAR!G261</f>
        <v>0.31319100660066007</v>
      </c>
      <c r="H237" s="25">
        <f>DER!G261</f>
        <v>0.58959324337442964</v>
      </c>
      <c r="I237" s="25">
        <f>NPM!G261</f>
        <v>1.470239506758359E-2</v>
      </c>
      <c r="J237" s="25">
        <f>ROA!G261</f>
        <v>4.4760726072607263E-3</v>
      </c>
      <c r="K237" s="25">
        <f>ROE!G261</f>
        <v>8.4263663721968734E-3</v>
      </c>
      <c r="L237" s="25">
        <f>KM!E261</f>
        <v>0.95</v>
      </c>
      <c r="M237" s="24">
        <f>KI!E261</f>
        <v>2</v>
      </c>
      <c r="N237" s="108">
        <f>IO!E261</f>
        <v>0</v>
      </c>
      <c r="O237" s="24">
        <f>'BoC Size'!E261</f>
        <v>4</v>
      </c>
      <c r="P237" s="24">
        <f>'TMT E DK'!E261</f>
        <v>13</v>
      </c>
      <c r="Q237" s="24">
        <f>Data!R261</f>
        <v>4</v>
      </c>
      <c r="R237" s="24">
        <f>Data!S261</f>
        <v>3</v>
      </c>
      <c r="S237" s="24">
        <f>'TMT E DK'!E261</f>
        <v>13</v>
      </c>
      <c r="T237" s="24">
        <f>'TMT E DD'!E261</f>
        <v>5</v>
      </c>
      <c r="U237" s="24">
        <f>TA!E261</f>
        <v>96960000000</v>
      </c>
      <c r="V237" s="109">
        <f>PR!F261</f>
        <v>-0.43962260569128842</v>
      </c>
      <c r="W237" s="109">
        <f>'Z Score'!I261</f>
        <v>0.42170462046204615</v>
      </c>
      <c r="X237" s="109">
        <f>'Z Score'!L261</f>
        <v>-0.86445812706270631</v>
      </c>
      <c r="Y237" s="109">
        <f>'Z Score'!O261</f>
        <v>3.1534653465346535E-2</v>
      </c>
      <c r="Z237" s="109">
        <f>'Z Score'!R261</f>
        <v>1.7808887937563804</v>
      </c>
      <c r="AA237" s="109">
        <f>'Z Score'!S261</f>
        <v>1.3696699406210668</v>
      </c>
    </row>
    <row r="238" spans="1:27" ht="15" customHeight="1" x14ac:dyDescent="0.3">
      <c r="A238" s="22"/>
      <c r="B238" s="23"/>
      <c r="C238" s="4"/>
      <c r="D238" s="23">
        <v>2021</v>
      </c>
      <c r="E238" s="25">
        <f>'Current Ratio'!G262</f>
        <v>1.565095660289314</v>
      </c>
      <c r="F238" s="25">
        <f>'Cash Ratio'!G262</f>
        <v>0.77706486234251049</v>
      </c>
      <c r="G238" s="25">
        <f>DAR!G262</f>
        <v>0.31765482829468739</v>
      </c>
      <c r="H238" s="25">
        <f>DER!G262</f>
        <v>0.59193639755435312</v>
      </c>
      <c r="I238" s="25">
        <f>NPM!G262</f>
        <v>1.8213107701132943E-2</v>
      </c>
      <c r="J238" s="25">
        <f>ROA!G262</f>
        <v>5.3251708667030068E-3</v>
      </c>
      <c r="K238" s="25">
        <f>ROE!G262</f>
        <v>9.9232316918328681E-3</v>
      </c>
      <c r="L238" s="25">
        <f>KM!E262</f>
        <v>0.95</v>
      </c>
      <c r="M238" s="24">
        <f>KI!E262</f>
        <v>2</v>
      </c>
      <c r="N238" s="108">
        <f>IO!E262</f>
        <v>0</v>
      </c>
      <c r="O238" s="24">
        <f>'BoC Size'!E262</f>
        <v>4</v>
      </c>
      <c r="P238" s="24">
        <f>'TMT E DK'!E262</f>
        <v>13</v>
      </c>
      <c r="Q238" s="24">
        <f>Data!R262</f>
        <v>4</v>
      </c>
      <c r="R238" s="24">
        <f>Data!S262</f>
        <v>3</v>
      </c>
      <c r="S238" s="24">
        <f>'TMT E DK'!E262</f>
        <v>13</v>
      </c>
      <c r="T238" s="24">
        <f>'TMT E DD'!E262</f>
        <v>5</v>
      </c>
      <c r="U238" s="24">
        <f>TA!E262</f>
        <v>95396000000</v>
      </c>
      <c r="V238" s="109">
        <f>PR!F262</f>
        <v>-5.5117043260273044E-2</v>
      </c>
      <c r="W238" s="109">
        <f>'Z Score'!I262</f>
        <v>0.33310243616084528</v>
      </c>
      <c r="X238" s="109">
        <f>'Z Score'!L262</f>
        <v>-0.86127070317413723</v>
      </c>
      <c r="Y238" s="109">
        <f>'Z Score'!O262</f>
        <v>3.8884649251540941E-2</v>
      </c>
      <c r="Z238" s="109">
        <f>'Z Score'!R262</f>
        <v>1.773839223839224</v>
      </c>
      <c r="AA238" s="109">
        <f>'Z Score'!S262</f>
        <v>1.284555606077473</v>
      </c>
    </row>
    <row r="239" spans="1:27" ht="15" customHeight="1" x14ac:dyDescent="0.3">
      <c r="A239" s="22"/>
      <c r="B239" s="23"/>
      <c r="C239" s="4"/>
      <c r="D239" s="23">
        <v>2022</v>
      </c>
      <c r="E239" s="25">
        <f>'Current Ratio'!G263</f>
        <v>1.6095793732944388</v>
      </c>
      <c r="F239" s="25">
        <f>'Cash Ratio'!G263</f>
        <v>0.37988143408299613</v>
      </c>
      <c r="G239" s="25">
        <f>DAR!G263</f>
        <v>0.35673018042403642</v>
      </c>
      <c r="H239" s="25">
        <f>DER!G263</f>
        <v>0.78703032913672588</v>
      </c>
      <c r="I239" s="25">
        <f>NPM!G263</f>
        <v>2.8292311596041612E-2</v>
      </c>
      <c r="J239" s="25">
        <f>ROA!G263</f>
        <v>9.8953664835506171E-3</v>
      </c>
      <c r="K239" s="25">
        <f>ROE!G263</f>
        <v>2.1831496093826484E-2</v>
      </c>
      <c r="L239" s="25">
        <f>KM!E263</f>
        <v>0.95</v>
      </c>
      <c r="M239" s="24">
        <f>KI!E263</f>
        <v>2</v>
      </c>
      <c r="N239" s="108">
        <f>IO!E263</f>
        <v>0</v>
      </c>
      <c r="O239" s="24">
        <f>'BoC Size'!E263</f>
        <v>3</v>
      </c>
      <c r="P239" s="24">
        <f>'TMT E DK'!E263</f>
        <v>10</v>
      </c>
      <c r="Q239" s="24">
        <f>Data!R263</f>
        <v>3</v>
      </c>
      <c r="R239" s="24">
        <f>Data!S263</f>
        <v>3</v>
      </c>
      <c r="S239" s="24">
        <f>'TMT E DK'!E263</f>
        <v>10</v>
      </c>
      <c r="T239" s="24">
        <f>'TMT E DD'!E263</f>
        <v>5</v>
      </c>
      <c r="U239" s="24">
        <f>TA!E263</f>
        <v>112679000000</v>
      </c>
      <c r="V239" s="109">
        <f>PR!F263</f>
        <v>0.4129499498063961</v>
      </c>
      <c r="W239" s="109">
        <f>'Z Score'!I263</f>
        <v>0.37713930723559846</v>
      </c>
      <c r="X239" s="109">
        <f>'Z Score'!L263</f>
        <v>-0.69505622165620917</v>
      </c>
      <c r="Y239" s="109">
        <f>'Z Score'!O263</f>
        <v>7.3653475802944637E-2</v>
      </c>
      <c r="Z239" s="109">
        <f>'Z Score'!R263</f>
        <v>1.3341290178127176</v>
      </c>
      <c r="AA239" s="109">
        <f>'Z Score'!S263</f>
        <v>1.0898655791950516</v>
      </c>
    </row>
    <row r="240" spans="1:27" ht="15" customHeight="1" x14ac:dyDescent="0.3">
      <c r="A240" s="22"/>
      <c r="B240" s="23"/>
      <c r="C240" s="4"/>
      <c r="D240" s="23">
        <v>2023</v>
      </c>
      <c r="E240" s="25">
        <f>'Current Ratio'!G264</f>
        <v>3.7024484813671288</v>
      </c>
      <c r="F240" s="25">
        <f>'Cash Ratio'!G264</f>
        <v>2.4570259208731242</v>
      </c>
      <c r="G240" s="25">
        <f>DAR!G264</f>
        <v>0.48375783815082146</v>
      </c>
      <c r="H240" s="25">
        <f>DER!G264</f>
        <v>1.1955379937232711</v>
      </c>
      <c r="I240" s="25">
        <f>NPM!G264</f>
        <v>4.0921413561333997E-2</v>
      </c>
      <c r="J240" s="25">
        <f>ROA!G264</f>
        <v>1.6784992860949723E-2</v>
      </c>
      <c r="K240" s="25">
        <f>ROE!G264</f>
        <v>4.1481698294225731E-2</v>
      </c>
      <c r="L240" s="25">
        <f>KM!E264</f>
        <v>0.95499999999999996</v>
      </c>
      <c r="M240" s="24">
        <f>KI!E264</f>
        <v>2</v>
      </c>
      <c r="N240" s="108">
        <f>IO!E264</f>
        <v>0</v>
      </c>
      <c r="O240" s="24">
        <f>'BoC Size'!E264</f>
        <v>3</v>
      </c>
      <c r="P240" s="24">
        <f>'TMT E DK'!E264</f>
        <v>10</v>
      </c>
      <c r="Q240" s="24">
        <f>Data!R264</f>
        <v>3</v>
      </c>
      <c r="R240" s="24">
        <f>Data!S264</f>
        <v>2</v>
      </c>
      <c r="S240" s="24">
        <f>'TMT E DK'!E264</f>
        <v>10</v>
      </c>
      <c r="T240" s="24">
        <f>'TMT E DD'!E264</f>
        <v>2</v>
      </c>
      <c r="U240" s="24">
        <f>TA!E264</f>
        <v>151981000000</v>
      </c>
      <c r="V240" s="109">
        <f>PR!F264</f>
        <v>0.58180664805886828</v>
      </c>
      <c r="W240" s="109">
        <f>'Z Score'!I264</f>
        <v>1.6245367513044393</v>
      </c>
      <c r="X240" s="109">
        <f>'Z Score'!L264</f>
        <v>-0.46059691671985309</v>
      </c>
      <c r="Y240" s="109">
        <f>'Z Score'!O264</f>
        <v>0.11708410919786025</v>
      </c>
      <c r="Z240" s="109">
        <f>'Z Score'!R264</f>
        <v>0.87826568918146952</v>
      </c>
      <c r="AA240" s="109">
        <f>'Z Score'!S264</f>
        <v>2.1592896329639162</v>
      </c>
    </row>
    <row r="241" spans="1:27" ht="15" customHeight="1" x14ac:dyDescent="0.3">
      <c r="A241" s="22"/>
      <c r="B241" s="23"/>
      <c r="C241" s="4"/>
      <c r="D241" s="23">
        <v>2024</v>
      </c>
      <c r="E241" s="25">
        <f>'Current Ratio'!G265</f>
        <v>1.8554368932038834</v>
      </c>
      <c r="F241" s="25">
        <f>'Cash Ratio'!G265</f>
        <v>1.3521844660194176</v>
      </c>
      <c r="G241" s="25">
        <f>DAR!G265</f>
        <v>0.52397818193949441</v>
      </c>
      <c r="H241" s="25">
        <f>DER!G265</f>
        <v>1.4549412545738061</v>
      </c>
      <c r="I241" s="25">
        <f>NPM!G265</f>
        <v>3.9112458654906285E-2</v>
      </c>
      <c r="J241" s="25">
        <f>ROA!G265</f>
        <v>1.5779728775486376E-2</v>
      </c>
      <c r="K241" s="25">
        <f>ROE!G265</f>
        <v>4.3815905266245694E-2</v>
      </c>
      <c r="L241" s="25">
        <f>KM!E265</f>
        <v>0.95</v>
      </c>
      <c r="M241" s="24">
        <f>KI!E265</f>
        <v>2</v>
      </c>
      <c r="N241" s="108">
        <f>IO!E265</f>
        <v>0</v>
      </c>
      <c r="O241" s="24">
        <f>'BoC Size'!E265</f>
        <v>3</v>
      </c>
      <c r="P241" s="24">
        <f>'TMT E DK'!E265</f>
        <v>10</v>
      </c>
      <c r="Q241" s="24">
        <f>Data!R265</f>
        <v>3</v>
      </c>
      <c r="R241" s="24">
        <f>Data!S265</f>
        <v>3</v>
      </c>
      <c r="S241" s="24">
        <f>'TMT E DK'!E265</f>
        <v>10</v>
      </c>
      <c r="T241" s="24">
        <f>'TMT E DD'!E265</f>
        <v>3</v>
      </c>
      <c r="U241" s="24">
        <f>TA!E265</f>
        <v>179851000000</v>
      </c>
      <c r="V241" s="109">
        <f>PR!F265</f>
        <v>0.16395835672692857</v>
      </c>
      <c r="W241" s="109">
        <f>'Z Score'!I265</f>
        <v>0.64275605918232315</v>
      </c>
      <c r="X241" s="109">
        <f>'Z Score'!L265</f>
        <v>-0.33779828858332728</v>
      </c>
      <c r="Y241" s="109">
        <f>'Z Score'!O265</f>
        <v>0.12950453430895573</v>
      </c>
      <c r="Z241" s="109">
        <f>'Z Score'!R265</f>
        <v>0.72167862221184664</v>
      </c>
      <c r="AA241" s="109">
        <f>'Z Score'!S265</f>
        <v>1.1561409271197982</v>
      </c>
    </row>
    <row r="242" spans="1:27" ht="15" customHeight="1" x14ac:dyDescent="0.3">
      <c r="A242" s="22"/>
      <c r="B242" s="23">
        <v>25</v>
      </c>
      <c r="C242" s="3" t="s">
        <v>28</v>
      </c>
      <c r="D242" s="23">
        <v>2015</v>
      </c>
      <c r="E242" s="25">
        <f>'Current Ratio'!G267</f>
        <v>1.0481539533263671</v>
      </c>
      <c r="F242" s="25">
        <f>'Cash Ratio'!G267</f>
        <v>3.178335074886799E-2</v>
      </c>
      <c r="G242" s="25">
        <f>DAR!G267</f>
        <v>0.86864114075246468</v>
      </c>
      <c r="H242" s="25">
        <f>DER!G267</f>
        <v>6.6127335889510102</v>
      </c>
      <c r="I242" s="25">
        <f>NPM!G267</f>
        <v>0.14747404438900508</v>
      </c>
      <c r="J242" s="25">
        <f>ROA!G267</f>
        <v>1.5826609175424711E-2</v>
      </c>
      <c r="K242" s="25">
        <f>ROE!G267</f>
        <v>0.12048375926895596</v>
      </c>
      <c r="L242" s="25">
        <f>KM!E267</f>
        <v>0.99970000000000003</v>
      </c>
      <c r="M242" s="24">
        <f>KI!E267</f>
        <v>2</v>
      </c>
      <c r="N242" s="108">
        <f>IO!E267</f>
        <v>0</v>
      </c>
      <c r="O242" s="24">
        <f>'BoC Size'!E267</f>
        <v>4</v>
      </c>
      <c r="P242" s="24">
        <f>'TMT E DK'!E267</f>
        <v>8</v>
      </c>
      <c r="Q242" s="24">
        <f>Data!R267</f>
        <v>4</v>
      </c>
      <c r="R242" s="24">
        <f>Data!S267</f>
        <v>3</v>
      </c>
      <c r="S242" s="24">
        <f>'TMT E DK'!E267</f>
        <v>8</v>
      </c>
      <c r="T242" s="24">
        <f>'TMT E DD'!E267</f>
        <v>7</v>
      </c>
      <c r="U242" s="24">
        <f>TA!E267</f>
        <v>2704180000000</v>
      </c>
      <c r="V242" s="109">
        <f>PR!F267</f>
        <v>0.91911730668765168</v>
      </c>
      <c r="W242" s="109">
        <f>'Z Score'!I267</f>
        <v>1.3415083315459768E-3</v>
      </c>
      <c r="X242" s="109">
        <f>'Z Score'!L267</f>
        <v>6.6451833827629814E-2</v>
      </c>
      <c r="Y242" s="109">
        <f>'Z Score'!O267</f>
        <v>0.11348439822792861</v>
      </c>
      <c r="Z242" s="109">
        <f>'Z Score'!R267</f>
        <v>0.15878456101035268</v>
      </c>
      <c r="AA242" s="109">
        <f>'Z Score'!S267</f>
        <v>0.34006230139745708</v>
      </c>
    </row>
    <row r="243" spans="1:27" ht="15" customHeight="1" x14ac:dyDescent="0.3">
      <c r="A243" s="22"/>
      <c r="B243" s="23"/>
      <c r="C243" s="3"/>
      <c r="D243" s="23">
        <v>2016</v>
      </c>
      <c r="E243" s="25">
        <f>'Current Ratio'!G268</f>
        <v>3.8453787507245085</v>
      </c>
      <c r="F243" s="25">
        <f>'Cash Ratio'!G268</f>
        <v>3.3171340675018951E-2</v>
      </c>
      <c r="G243" s="25">
        <f>DAR!G268</f>
        <v>0.87025616978154652</v>
      </c>
      <c r="H243" s="25">
        <f>DER!G268</f>
        <v>6.7074955958697311</v>
      </c>
      <c r="I243" s="25">
        <f>NPM!G268</f>
        <v>5.1880758428195187E-2</v>
      </c>
      <c r="J243" s="25">
        <f>ROA!G268</f>
        <v>9.9944275007054113E-3</v>
      </c>
      <c r="K243" s="25">
        <f>ROE!G268</f>
        <v>7.7032005944926291E-2</v>
      </c>
      <c r="L243" s="25">
        <f>KM!E268</f>
        <v>0.99970000000000003</v>
      </c>
      <c r="M243" s="24">
        <f>KI!E268</f>
        <v>2</v>
      </c>
      <c r="N243" s="108">
        <f>IO!E268</f>
        <v>0</v>
      </c>
      <c r="O243" s="24">
        <f>'BoC Size'!E268</f>
        <v>4</v>
      </c>
      <c r="P243" s="24">
        <f>'TMT E DK'!E268</f>
        <v>8</v>
      </c>
      <c r="Q243" s="24">
        <f>Data!R268</f>
        <v>4</v>
      </c>
      <c r="R243" s="24">
        <f>Data!S268</f>
        <v>3</v>
      </c>
      <c r="S243" s="24">
        <f>'TMT E DK'!E268</f>
        <v>8</v>
      </c>
      <c r="T243" s="24">
        <f>'TMT E DD'!E268</f>
        <v>7</v>
      </c>
      <c r="U243" s="24">
        <f>TA!E268</f>
        <v>2966353000000</v>
      </c>
      <c r="V243" s="109">
        <f>PR!F268</f>
        <v>0.96909447394446036</v>
      </c>
      <c r="W243" s="109">
        <f>'Z Score'!I268</f>
        <v>0.14113378953887146</v>
      </c>
      <c r="X243" s="109">
        <f>'Z Score'!L268</f>
        <v>0.12094633376405302</v>
      </c>
      <c r="Y243" s="109">
        <f>'Z Score'!O268</f>
        <v>0.12867517790364127</v>
      </c>
      <c r="Z243" s="109">
        <f>'Z Score'!R268</f>
        <v>0.15654128802508013</v>
      </c>
      <c r="AA243" s="109">
        <f>'Z Score'!S268</f>
        <v>0.54729658923164592</v>
      </c>
    </row>
    <row r="244" spans="1:27" ht="15" customHeight="1" x14ac:dyDescent="0.3">
      <c r="A244" s="22"/>
      <c r="B244" s="23"/>
      <c r="C244" s="3"/>
      <c r="D244" s="23">
        <v>2017</v>
      </c>
      <c r="E244" s="25">
        <f>'Current Ratio'!G269</f>
        <v>2.9556555495302406</v>
      </c>
      <c r="F244" s="25">
        <f>'Cash Ratio'!G269</f>
        <v>5.6465607778094833E-2</v>
      </c>
      <c r="G244" s="25">
        <f>DAR!G269</f>
        <v>0.85710345959809153</v>
      </c>
      <c r="H244" s="25">
        <f>DER!G269</f>
        <v>5.9980700525528219</v>
      </c>
      <c r="I244" s="25">
        <f>NPM!G269</f>
        <v>0.1637620729612724</v>
      </c>
      <c r="J244" s="25">
        <f>ROA!G269</f>
        <v>3.2598952942711833E-2</v>
      </c>
      <c r="K244" s="25">
        <f>ROE!G269</f>
        <v>0.22812975633297039</v>
      </c>
      <c r="L244" s="25">
        <f>KM!E269</f>
        <v>0.99970000000000003</v>
      </c>
      <c r="M244" s="24">
        <f>KI!E269</f>
        <v>2</v>
      </c>
      <c r="N244" s="108">
        <f>IO!E269</f>
        <v>0</v>
      </c>
      <c r="O244" s="24">
        <f>'BoC Size'!E269</f>
        <v>4</v>
      </c>
      <c r="P244" s="24">
        <f>'TMT E DK'!E269</f>
        <v>6</v>
      </c>
      <c r="Q244" s="24">
        <f>Data!R269</f>
        <v>4</v>
      </c>
      <c r="R244" s="24">
        <f>Data!S269</f>
        <v>4</v>
      </c>
      <c r="S244" s="24">
        <f>'TMT E DK'!E269</f>
        <v>6</v>
      </c>
      <c r="T244" s="24">
        <f>'TMT E DD'!E269</f>
        <v>6</v>
      </c>
      <c r="U244" s="24">
        <f>TA!E269</f>
        <v>3416166470000</v>
      </c>
      <c r="V244" s="109">
        <f>PR!F269</f>
        <v>0.19002178687362739</v>
      </c>
      <c r="W244" s="109">
        <f>'Z Score'!I269</f>
        <v>0.2034635980722567</v>
      </c>
      <c r="X244" s="109">
        <f>'Z Score'!L269</f>
        <v>0.15801188622988854</v>
      </c>
      <c r="Y244" s="109">
        <f>'Z Score'!O269</f>
        <v>0.12898696660997322</v>
      </c>
      <c r="Z244" s="109">
        <f>'Z Score'!R269</f>
        <v>0.17505630824586857</v>
      </c>
      <c r="AA244" s="109">
        <f>'Z Score'!S269</f>
        <v>0.66551875915798708</v>
      </c>
    </row>
    <row r="245" spans="1:27" ht="15" customHeight="1" x14ac:dyDescent="0.3">
      <c r="A245" s="22"/>
      <c r="B245" s="23"/>
      <c r="C245" s="3"/>
      <c r="D245" s="23">
        <v>2018</v>
      </c>
      <c r="E245" s="25">
        <f>'Current Ratio'!G270</f>
        <v>6.9476704937811897</v>
      </c>
      <c r="F245" s="25">
        <f>'Cash Ratio'!G270</f>
        <v>2.1875481040862781E-2</v>
      </c>
      <c r="G245" s="25">
        <f>DAR!G270</f>
        <v>0.88271328036269869</v>
      </c>
      <c r="H245" s="25">
        <f>DER!G270</f>
        <v>7.526114491840258</v>
      </c>
      <c r="I245" s="25">
        <f>NPM!G270</f>
        <v>-9.152390690995732E-2</v>
      </c>
      <c r="J245" s="25">
        <f>ROA!G270</f>
        <v>-1.953449023604116E-2</v>
      </c>
      <c r="K245" s="25">
        <f>ROE!G270</f>
        <v>-0.16655330029222257</v>
      </c>
      <c r="L245" s="25">
        <f>KM!E270</f>
        <v>0.99970000000000003</v>
      </c>
      <c r="M245" s="24">
        <f>KI!E270</f>
        <v>1</v>
      </c>
      <c r="N245" s="108">
        <f>IO!E270</f>
        <v>0</v>
      </c>
      <c r="O245" s="24">
        <f>'BoC Size'!E270</f>
        <v>4</v>
      </c>
      <c r="P245" s="24">
        <f>'TMT E DK'!E270</f>
        <v>9</v>
      </c>
      <c r="Q245" s="24">
        <f>Data!R270</f>
        <v>4</v>
      </c>
      <c r="R245" s="24">
        <f>Data!S270</f>
        <v>4</v>
      </c>
      <c r="S245" s="24">
        <f>'TMT E DK'!E270</f>
        <v>9</v>
      </c>
      <c r="T245" s="24">
        <f>'TMT E DD'!E270</f>
        <v>6</v>
      </c>
      <c r="U245" s="24">
        <f>TA!E270</f>
        <v>3459841500000</v>
      </c>
      <c r="V245" s="109">
        <f>PR!F270</f>
        <v>8.591138358194908E-2</v>
      </c>
      <c r="W245" s="109">
        <f>'Z Score'!I270</f>
        <v>0.52453637451310986</v>
      </c>
      <c r="X245" s="109">
        <f>'Z Score'!L270</f>
        <v>0.21553196890666809</v>
      </c>
      <c r="Y245" s="109">
        <f>'Z Score'!O270</f>
        <v>0.14685713943832396</v>
      </c>
      <c r="Z245" s="109">
        <f>'Z Score'!R270</f>
        <v>0.13951422093543756</v>
      </c>
      <c r="AA245" s="109">
        <f>'Z Score'!S270</f>
        <v>1.0264397037935395</v>
      </c>
    </row>
    <row r="246" spans="1:27" ht="15" customHeight="1" x14ac:dyDescent="0.3">
      <c r="A246" s="22"/>
      <c r="B246" s="23"/>
      <c r="C246" s="3"/>
      <c r="D246" s="23">
        <v>2019</v>
      </c>
      <c r="E246" s="25">
        <f>'Current Ratio'!G271</f>
        <v>4.2451146843445509</v>
      </c>
      <c r="F246" s="25">
        <f>'Cash Ratio'!G271</f>
        <v>2.2788829041884111E-2</v>
      </c>
      <c r="G246" s="25">
        <f>DAR!G271</f>
        <v>0.89270337319178694</v>
      </c>
      <c r="H246" s="25">
        <f>DER!G271</f>
        <v>8.3199574837282277</v>
      </c>
      <c r="I246" s="25">
        <f>NPM!G271</f>
        <v>5.2690941389958522E-2</v>
      </c>
      <c r="J246" s="25">
        <f>ROA!G271</f>
        <v>2.027235074711169E-2</v>
      </c>
      <c r="K246" s="25">
        <f>ROE!G271</f>
        <v>0.18893744705830712</v>
      </c>
      <c r="L246" s="25">
        <f>KM!E271</f>
        <v>0.99970000000000003</v>
      </c>
      <c r="M246" s="24">
        <f>KI!E271</f>
        <v>2</v>
      </c>
      <c r="N246" s="108">
        <f>IO!E271</f>
        <v>0</v>
      </c>
      <c r="O246" s="24">
        <f>'BoC Size'!E271</f>
        <v>6</v>
      </c>
      <c r="P246" s="24">
        <f>'TMT E DK'!E271</f>
        <v>13</v>
      </c>
      <c r="Q246" s="24">
        <f>Data!R271</f>
        <v>6</v>
      </c>
      <c r="R246" s="24">
        <f>Data!S271</f>
        <v>5</v>
      </c>
      <c r="S246" s="24">
        <f>'TMT E DK'!E271</f>
        <v>13</v>
      </c>
      <c r="T246" s="24">
        <f>'TMT E DD'!E271</f>
        <v>9</v>
      </c>
      <c r="U246" s="24">
        <f>TA!E271</f>
        <v>4490719460000</v>
      </c>
      <c r="V246" s="109">
        <f>PR!F271</f>
        <v>1.3397009069577193</v>
      </c>
      <c r="W246" s="109">
        <f>'Z Score'!I271</f>
        <v>0.20365561539664731</v>
      </c>
      <c r="X246" s="109">
        <f>'Z Score'!L271</f>
        <v>0.19925123383236235</v>
      </c>
      <c r="Y246" s="109">
        <f>'Z Score'!O271</f>
        <v>9.1490996144301562E-2</v>
      </c>
      <c r="Z246" s="109">
        <f>'Z Score'!R271</f>
        <v>0.12620256798830276</v>
      </c>
      <c r="AA246" s="109">
        <f>'Z Score'!S271</f>
        <v>0.62060041336161398</v>
      </c>
    </row>
    <row r="247" spans="1:27" ht="15" customHeight="1" x14ac:dyDescent="0.3">
      <c r="A247" s="22"/>
      <c r="B247" s="23"/>
      <c r="C247" s="3"/>
      <c r="D247" s="23">
        <v>2020</v>
      </c>
      <c r="E247" s="25">
        <f>'Current Ratio'!G272</f>
        <v>3.2807192955529025</v>
      </c>
      <c r="F247" s="25">
        <f>'Cash Ratio'!G272</f>
        <v>3.6702654979618977E-2</v>
      </c>
      <c r="G247" s="25">
        <f>DAR!G272</f>
        <v>0.90192733143814019</v>
      </c>
      <c r="H247" s="25">
        <f>DER!G272</f>
        <v>9.1965207500114623</v>
      </c>
      <c r="I247" s="25">
        <f>NPM!G272</f>
        <v>2.4327518704944998E-2</v>
      </c>
      <c r="J247" s="25">
        <f>ROA!G272</f>
        <v>6.5369607620849616E-3</v>
      </c>
      <c r="K247" s="25">
        <f>ROE!G272</f>
        <v>6.665425605261005E-2</v>
      </c>
      <c r="L247" s="25">
        <f>KM!E272</f>
        <v>0.99970000000000003</v>
      </c>
      <c r="M247" s="24">
        <f>KI!E272</f>
        <v>2</v>
      </c>
      <c r="N247" s="108">
        <f>IO!E272</f>
        <v>0</v>
      </c>
      <c r="O247" s="24">
        <f>'BoC Size'!E272</f>
        <v>4</v>
      </c>
      <c r="P247" s="24">
        <f>'TMT E DK'!E272</f>
        <v>11</v>
      </c>
      <c r="Q247" s="24">
        <f>Data!R272</f>
        <v>4</v>
      </c>
      <c r="R247" s="24">
        <f>Data!S272</f>
        <v>4</v>
      </c>
      <c r="S247" s="24">
        <f>'TMT E DK'!E272</f>
        <v>11</v>
      </c>
      <c r="T247" s="24">
        <f>'TMT E DD'!E272</f>
        <v>4</v>
      </c>
      <c r="U247" s="24">
        <f>TA!E272</f>
        <v>5264244540000</v>
      </c>
      <c r="V247" s="109">
        <f>PR!F272</f>
        <v>-0.1812901047565191</v>
      </c>
      <c r="W247" s="109">
        <f>'Z Score'!I272</f>
        <v>0.18757908446251623</v>
      </c>
      <c r="X247" s="109">
        <f>'Z Score'!L272</f>
        <v>0.17628568683475332</v>
      </c>
      <c r="Y247" s="109">
        <f>'Z Score'!O272</f>
        <v>1.3220347548672197E-2</v>
      </c>
      <c r="Z247" s="109">
        <f>'Z Score'!R272</f>
        <v>0.11417361288492622</v>
      </c>
      <c r="AA247" s="109">
        <f>'Z Score'!S272</f>
        <v>0.49125873173086798</v>
      </c>
    </row>
    <row r="248" spans="1:27" ht="15" customHeight="1" x14ac:dyDescent="0.3">
      <c r="A248" s="22"/>
      <c r="B248" s="23"/>
      <c r="C248" s="3"/>
      <c r="D248" s="23">
        <v>2021</v>
      </c>
      <c r="E248" s="25">
        <f>'Current Ratio'!G273</f>
        <v>3.0784094915399289</v>
      </c>
      <c r="F248" s="25">
        <f>'Cash Ratio'!G273</f>
        <v>3.4525936245558636E-2</v>
      </c>
      <c r="G248" s="25">
        <f>DAR!G273</f>
        <v>0.90374757857193855</v>
      </c>
      <c r="H248" s="25">
        <f>DER!G273</f>
        <v>9.3893454529283567</v>
      </c>
      <c r="I248" s="25">
        <f>NPM!G273</f>
        <v>3.7739613117669199E-2</v>
      </c>
      <c r="J248" s="25">
        <f>ROA!G273</f>
        <v>1.0487663929425088E-2</v>
      </c>
      <c r="K248" s="25">
        <f>ROE!G273</f>
        <v>0.1089599595754267</v>
      </c>
      <c r="L248" s="25">
        <f>KM!E273</f>
        <v>0.99970000000000003</v>
      </c>
      <c r="M248" s="24">
        <f>KI!E273</f>
        <v>2</v>
      </c>
      <c r="N248" s="108">
        <f>IO!E273</f>
        <v>0</v>
      </c>
      <c r="O248" s="24">
        <f>'BoC Size'!E273</f>
        <v>4</v>
      </c>
      <c r="P248" s="24">
        <f>'TMT E DK'!E273</f>
        <v>13</v>
      </c>
      <c r="Q248" s="24">
        <f>Data!R273</f>
        <v>4</v>
      </c>
      <c r="R248" s="24">
        <f>Data!S273</f>
        <v>3</v>
      </c>
      <c r="S248" s="24">
        <f>'TMT E DK'!E273</f>
        <v>13</v>
      </c>
      <c r="T248" s="24">
        <f>'TMT E DD'!E273</f>
        <v>3</v>
      </c>
      <c r="U248" s="24">
        <f>TA!E273</f>
        <v>6020512330000</v>
      </c>
      <c r="V248" s="109">
        <f>PR!F273</f>
        <v>0.18277095271859287</v>
      </c>
      <c r="W248" s="109">
        <f>'Z Score'!I273</f>
        <v>0.19900128120823898</v>
      </c>
      <c r="X248" s="109">
        <f>'Z Score'!L273</f>
        <v>0.18828526385560942</v>
      </c>
      <c r="Y248" s="109">
        <f>'Z Score'!O273</f>
        <v>7.1556161400636142E-2</v>
      </c>
      <c r="Z248" s="109">
        <f>'Z Score'!R273</f>
        <v>0.11182888149807346</v>
      </c>
      <c r="AA248" s="109">
        <f>'Z Score'!S273</f>
        <v>0.57067158796255801</v>
      </c>
    </row>
    <row r="249" spans="1:27" ht="15" customHeight="1" x14ac:dyDescent="0.3">
      <c r="A249" s="22"/>
      <c r="B249" s="23"/>
      <c r="C249" s="3"/>
      <c r="D249" s="23">
        <v>2022</v>
      </c>
      <c r="E249" s="25">
        <f>'Current Ratio'!G274</f>
        <v>2.3071811350236491</v>
      </c>
      <c r="F249" s="25">
        <f>'Cash Ratio'!G274</f>
        <v>7.5288691575998351E-2</v>
      </c>
      <c r="G249" s="25">
        <f>DAR!G274</f>
        <v>0.90660716167232702</v>
      </c>
      <c r="H249" s="25">
        <f>DER!G274</f>
        <v>9.707459293600909</v>
      </c>
      <c r="I249" s="25">
        <f>NPM!G274</f>
        <v>2.0276043512180448E-2</v>
      </c>
      <c r="J249" s="25">
        <f>ROA!G274</f>
        <v>5.5625403731052354E-3</v>
      </c>
      <c r="K249" s="25">
        <f>ROE!G274</f>
        <v>5.9560674704274078E-2</v>
      </c>
      <c r="L249" s="25">
        <f>KM!E274</f>
        <v>0.99970000000000003</v>
      </c>
      <c r="M249" s="24">
        <f>KI!E274</f>
        <v>2</v>
      </c>
      <c r="N249" s="108">
        <f>IO!E274</f>
        <v>0</v>
      </c>
      <c r="O249" s="24">
        <f>'BoC Size'!E274</f>
        <v>4</v>
      </c>
      <c r="P249" s="24">
        <f>'TMT E DK'!E274</f>
        <v>10</v>
      </c>
      <c r="Q249" s="24">
        <f>Data!R274</f>
        <v>4</v>
      </c>
      <c r="R249" s="24">
        <f>Data!S274</f>
        <v>4</v>
      </c>
      <c r="S249" s="24">
        <f>'TMT E DK'!E274</f>
        <v>10</v>
      </c>
      <c r="T249" s="24">
        <f>'TMT E DD'!E274</f>
        <v>4</v>
      </c>
      <c r="U249" s="24">
        <f>TA!E274</f>
        <v>6600387150000</v>
      </c>
      <c r="V249" s="109">
        <f>PR!F274</f>
        <v>8.2292385734167778E-2</v>
      </c>
      <c r="W249" s="109">
        <f>'Z Score'!I274</f>
        <v>0.12192511852884265</v>
      </c>
      <c r="X249" s="109">
        <f>'Z Score'!L274</f>
        <v>0.21441120122779464</v>
      </c>
      <c r="Y249" s="109">
        <f>'Z Score'!O274</f>
        <v>8.7425961127143875E-2</v>
      </c>
      <c r="Z249" s="109">
        <f>'Z Score'!R274</f>
        <v>0.10816424444778798</v>
      </c>
      <c r="AA249" s="109">
        <f>'Z Score'!S274</f>
        <v>0.53192652533156914</v>
      </c>
    </row>
    <row r="250" spans="1:27" ht="15" customHeight="1" x14ac:dyDescent="0.3">
      <c r="A250" s="22"/>
      <c r="B250" s="23"/>
      <c r="C250" s="3"/>
      <c r="D250" s="23">
        <v>2023</v>
      </c>
      <c r="E250" s="25">
        <f>'Current Ratio'!G275</f>
        <v>1.8002274968869225</v>
      </c>
      <c r="F250" s="25">
        <f>'Cash Ratio'!G275</f>
        <v>6.3523871726638745E-2</v>
      </c>
      <c r="G250" s="25">
        <f>DAR!G275</f>
        <v>0.90501492968510489</v>
      </c>
      <c r="H250" s="25">
        <f>DER!G275</f>
        <v>9.5279703082262657</v>
      </c>
      <c r="I250" s="25">
        <f>NPM!G275</f>
        <v>5.4663308723193117E-2</v>
      </c>
      <c r="J250" s="25">
        <f>ROA!G275</f>
        <v>1.284617486492042E-2</v>
      </c>
      <c r="K250" s="25">
        <f>ROE!G275</f>
        <v>0.13524414755216474</v>
      </c>
      <c r="L250" s="25">
        <f>KM!E275</f>
        <v>0.99970000000000003</v>
      </c>
      <c r="M250" s="24">
        <f>KI!E275</f>
        <v>2</v>
      </c>
      <c r="N250" s="108">
        <f>IO!E275</f>
        <v>0</v>
      </c>
      <c r="O250" s="24">
        <f>'BoC Size'!E275</f>
        <v>3</v>
      </c>
      <c r="P250" s="24">
        <f>'TMT E DK'!E275</f>
        <v>9</v>
      </c>
      <c r="Q250" s="24">
        <f>Data!R275</f>
        <v>3</v>
      </c>
      <c r="R250" s="24">
        <f>Data!S275</f>
        <v>4</v>
      </c>
      <c r="S250" s="24">
        <f>'TMT E DK'!E275</f>
        <v>9</v>
      </c>
      <c r="T250" s="24">
        <f>'TMT E DD'!E275</f>
        <v>4</v>
      </c>
      <c r="U250" s="24">
        <f>TA!E275</f>
        <v>7499012820000</v>
      </c>
      <c r="V250" s="109">
        <f>PR!F275</f>
        <v>-2.6753976021233059E-2</v>
      </c>
      <c r="W250" s="109">
        <f>'Z Score'!I275</f>
        <v>8.3160966459049232E-2</v>
      </c>
      <c r="X250" s="109">
        <f>'Z Score'!L275</f>
        <v>0.22823204028073657</v>
      </c>
      <c r="Y250" s="109">
        <f>'Z Score'!O275</f>
        <v>8.1355179334124672E-2</v>
      </c>
      <c r="Z250" s="109">
        <f>'Z Score'!R275</f>
        <v>0.11020185475320492</v>
      </c>
      <c r="AA250" s="109">
        <f>'Z Score'!S275</f>
        <v>0.50295004082711536</v>
      </c>
    </row>
    <row r="251" spans="1:27" ht="15" customHeight="1" x14ac:dyDescent="0.3">
      <c r="A251" s="22"/>
      <c r="B251" s="23"/>
      <c r="C251" s="3"/>
      <c r="D251" s="23">
        <v>2024</v>
      </c>
      <c r="E251" s="25">
        <f>'Current Ratio'!G276</f>
        <v>1.5686213138836003</v>
      </c>
      <c r="F251" s="25">
        <f>'Cash Ratio'!G276</f>
        <v>9.1927050245253397E-2</v>
      </c>
      <c r="G251" s="25">
        <f>DAR!G276</f>
        <v>0.91830709383231524</v>
      </c>
      <c r="H251" s="25">
        <f>DER!G276</f>
        <v>11.240964936996791</v>
      </c>
      <c r="I251" s="25">
        <f>NPM!G276</f>
        <v>-1.1075953452702089E-2</v>
      </c>
      <c r="J251" s="25">
        <f>ROA!G276</f>
        <v>-2.7511434508876156E-3</v>
      </c>
      <c r="K251" s="25">
        <f>ROE!G276</f>
        <v>-3.3676650518963652E-2</v>
      </c>
      <c r="L251" s="25">
        <f>KM!E276</f>
        <v>0.99970000000000003</v>
      </c>
      <c r="M251" s="24">
        <f>KI!E276</f>
        <v>2</v>
      </c>
      <c r="N251" s="108">
        <f>IO!E276</f>
        <v>0</v>
      </c>
      <c r="O251" s="24">
        <f>'BoC Size'!E276</f>
        <v>3</v>
      </c>
      <c r="P251" s="24">
        <f>'TMT E DK'!E276</f>
        <v>12</v>
      </c>
      <c r="Q251" s="24">
        <f>Data!R276</f>
        <v>3</v>
      </c>
      <c r="R251" s="24">
        <f>Data!S276</f>
        <v>4</v>
      </c>
      <c r="S251" s="24">
        <f>'TMT E DK'!E276</f>
        <v>12</v>
      </c>
      <c r="T251" s="24">
        <f>'TMT E DD'!E276</f>
        <v>6</v>
      </c>
      <c r="U251" s="24">
        <f>TA!E276</f>
        <v>8435110859999.999</v>
      </c>
      <c r="V251" s="109">
        <f>PR!F276</f>
        <v>0.18888787821975353</v>
      </c>
      <c r="W251" s="109">
        <f>'Z Score'!I276</f>
        <v>6.2717418654056681E-2</v>
      </c>
      <c r="X251" s="109">
        <f>'Z Score'!L276</f>
        <v>0.25295398891769871</v>
      </c>
      <c r="Y251" s="109">
        <f>'Z Score'!O276</f>
        <v>0.10358086205401693</v>
      </c>
      <c r="Z251" s="109">
        <f>'Z Score'!R276</f>
        <v>9.3408351141118742E-2</v>
      </c>
      <c r="AA251" s="109">
        <f>'Z Score'!S276</f>
        <v>0.51266062076689112</v>
      </c>
    </row>
    <row r="252" spans="1:27" ht="15" customHeight="1" x14ac:dyDescent="0.3">
      <c r="A252" s="22"/>
      <c r="B252" s="23">
        <v>26</v>
      </c>
      <c r="C252" s="3" t="s">
        <v>42</v>
      </c>
      <c r="D252" s="23">
        <v>2015</v>
      </c>
      <c r="E252" s="25">
        <f>'Current Ratio'!G278</f>
        <v>0</v>
      </c>
      <c r="F252" s="25">
        <f>'Cash Ratio'!G278</f>
        <v>0</v>
      </c>
      <c r="G252" s="25">
        <f>DAR!G278</f>
        <v>0</v>
      </c>
      <c r="H252" s="25">
        <f>DER!G278</f>
        <v>0</v>
      </c>
      <c r="I252" s="25">
        <f>NPM!G278</f>
        <v>0</v>
      </c>
      <c r="J252" s="25">
        <f>ROA!G278</f>
        <v>0</v>
      </c>
      <c r="K252" s="25">
        <f>ROE!G278</f>
        <v>0</v>
      </c>
      <c r="L252" s="25">
        <f>KM!E278</f>
        <v>0</v>
      </c>
      <c r="M252" s="24">
        <f>KI!E278</f>
        <v>0</v>
      </c>
      <c r="N252" s="108">
        <f>IO!E278</f>
        <v>0</v>
      </c>
      <c r="O252" s="24">
        <f>'BoC Size'!E278</f>
        <v>0</v>
      </c>
      <c r="P252" s="24">
        <f>'TMT E DK'!E278</f>
        <v>0</v>
      </c>
      <c r="Q252" s="24">
        <f>Data!R278</f>
        <v>0</v>
      </c>
      <c r="R252" s="24">
        <f>Data!S278</f>
        <v>0</v>
      </c>
      <c r="S252" s="24">
        <f>'TMT E DK'!E278</f>
        <v>0</v>
      </c>
      <c r="T252" s="24">
        <f>'TMT E DD'!E278</f>
        <v>0</v>
      </c>
      <c r="U252" s="24">
        <f>TA!E278</f>
        <v>0</v>
      </c>
      <c r="V252" s="109">
        <f>PR!F278</f>
        <v>0</v>
      </c>
      <c r="W252" s="109">
        <f>'Z Score'!I278</f>
        <v>0</v>
      </c>
      <c r="X252" s="109">
        <f>'Z Score'!L278</f>
        <v>0</v>
      </c>
      <c r="Y252" s="109">
        <f>'Z Score'!O278</f>
        <v>0</v>
      </c>
      <c r="Z252" s="109">
        <f>'Z Score'!R278</f>
        <v>0</v>
      </c>
      <c r="AA252" s="109">
        <f>'Z Score'!S278</f>
        <v>0</v>
      </c>
    </row>
    <row r="253" spans="1:27" ht="15" customHeight="1" x14ac:dyDescent="0.3">
      <c r="A253" s="22"/>
      <c r="B253" s="23"/>
      <c r="C253" s="3"/>
      <c r="D253" s="23">
        <v>2016</v>
      </c>
      <c r="E253" s="25">
        <f>'Current Ratio'!G279</f>
        <v>0</v>
      </c>
      <c r="F253" s="25">
        <f>'Cash Ratio'!G279</f>
        <v>0</v>
      </c>
      <c r="G253" s="25">
        <f>DAR!G279</f>
        <v>0</v>
      </c>
      <c r="H253" s="25">
        <f>DER!G279</f>
        <v>0</v>
      </c>
      <c r="I253" s="25">
        <f>NPM!G279</f>
        <v>0</v>
      </c>
      <c r="J253" s="25">
        <f>ROA!G279</f>
        <v>0</v>
      </c>
      <c r="K253" s="25">
        <f>ROE!G279</f>
        <v>0</v>
      </c>
      <c r="L253" s="25">
        <f>KM!E279</f>
        <v>0</v>
      </c>
      <c r="M253" s="24">
        <f>KI!E279</f>
        <v>0</v>
      </c>
      <c r="N253" s="108">
        <f>IO!E279</f>
        <v>0</v>
      </c>
      <c r="O253" s="24">
        <f>'BoC Size'!E279</f>
        <v>0</v>
      </c>
      <c r="P253" s="24">
        <f>'TMT E DK'!E279</f>
        <v>0</v>
      </c>
      <c r="Q253" s="24">
        <f>Data!R279</f>
        <v>0</v>
      </c>
      <c r="R253" s="24">
        <f>Data!S279</f>
        <v>0</v>
      </c>
      <c r="S253" s="24">
        <f>'TMT E DK'!E279</f>
        <v>0</v>
      </c>
      <c r="T253" s="24">
        <f>'TMT E DD'!E279</f>
        <v>0</v>
      </c>
      <c r="U253" s="24">
        <f>TA!E279</f>
        <v>0</v>
      </c>
      <c r="V253" s="109">
        <f>PR!F279</f>
        <v>0</v>
      </c>
      <c r="W253" s="109">
        <f>'Z Score'!I279</f>
        <v>0</v>
      </c>
      <c r="X253" s="109">
        <f>'Z Score'!L279</f>
        <v>0</v>
      </c>
      <c r="Y253" s="109">
        <f>'Z Score'!O279</f>
        <v>0</v>
      </c>
      <c r="Z253" s="109">
        <f>'Z Score'!R279</f>
        <v>0</v>
      </c>
      <c r="AA253" s="109">
        <f>'Z Score'!S279</f>
        <v>0</v>
      </c>
    </row>
    <row r="254" spans="1:27" ht="15" customHeight="1" x14ac:dyDescent="0.3">
      <c r="A254" s="22"/>
      <c r="B254" s="23"/>
      <c r="C254" s="3"/>
      <c r="D254" s="23">
        <v>2017</v>
      </c>
      <c r="E254" s="25">
        <f>'Current Ratio'!G280</f>
        <v>0</v>
      </c>
      <c r="F254" s="25">
        <f>'Cash Ratio'!G280</f>
        <v>0</v>
      </c>
      <c r="G254" s="25">
        <f>DAR!G280</f>
        <v>0</v>
      </c>
      <c r="H254" s="25">
        <f>DER!G280</f>
        <v>0</v>
      </c>
      <c r="I254" s="25">
        <f>NPM!G280</f>
        <v>0</v>
      </c>
      <c r="J254" s="25">
        <f>ROA!G280</f>
        <v>0</v>
      </c>
      <c r="K254" s="25">
        <f>ROE!G280</f>
        <v>0</v>
      </c>
      <c r="L254" s="25">
        <f>KM!E280</f>
        <v>0</v>
      </c>
      <c r="M254" s="24">
        <f>KI!E280</f>
        <v>0</v>
      </c>
      <c r="N254" s="108">
        <f>IO!E280</f>
        <v>0</v>
      </c>
      <c r="O254" s="24">
        <f>'BoC Size'!E280</f>
        <v>0</v>
      </c>
      <c r="P254" s="24">
        <f>'TMT E DK'!E280</f>
        <v>0</v>
      </c>
      <c r="Q254" s="24">
        <f>Data!R280</f>
        <v>0</v>
      </c>
      <c r="R254" s="24">
        <f>Data!S280</f>
        <v>0</v>
      </c>
      <c r="S254" s="24">
        <f>'TMT E DK'!E280</f>
        <v>0</v>
      </c>
      <c r="T254" s="24">
        <f>'TMT E DD'!E280</f>
        <v>0</v>
      </c>
      <c r="U254" s="24">
        <f>TA!E280</f>
        <v>0</v>
      </c>
      <c r="V254" s="109">
        <f>PR!F280</f>
        <v>0</v>
      </c>
      <c r="W254" s="109">
        <f>'Z Score'!I280</f>
        <v>0</v>
      </c>
      <c r="X254" s="109">
        <f>'Z Score'!L280</f>
        <v>0</v>
      </c>
      <c r="Y254" s="109">
        <f>'Z Score'!O280</f>
        <v>0</v>
      </c>
      <c r="Z254" s="109">
        <f>'Z Score'!R280</f>
        <v>0</v>
      </c>
      <c r="AA254" s="109">
        <f>'Z Score'!S280</f>
        <v>0</v>
      </c>
    </row>
    <row r="255" spans="1:27" ht="15" customHeight="1" x14ac:dyDescent="0.3">
      <c r="A255" s="22"/>
      <c r="B255" s="23"/>
      <c r="C255" s="3"/>
      <c r="D255" s="23">
        <v>2018</v>
      </c>
      <c r="E255" s="25">
        <f>'Current Ratio'!G281</f>
        <v>0</v>
      </c>
      <c r="F255" s="25">
        <f>'Cash Ratio'!G281</f>
        <v>0</v>
      </c>
      <c r="G255" s="25">
        <f>DAR!G281</f>
        <v>0</v>
      </c>
      <c r="H255" s="25">
        <f>DER!G281</f>
        <v>0</v>
      </c>
      <c r="I255" s="25">
        <f>NPM!G281</f>
        <v>0</v>
      </c>
      <c r="J255" s="25">
        <f>ROA!G281</f>
        <v>0</v>
      </c>
      <c r="K255" s="25">
        <f>ROE!G281</f>
        <v>0</v>
      </c>
      <c r="L255" s="25">
        <f>KM!E281</f>
        <v>0</v>
      </c>
      <c r="M255" s="24">
        <f>KI!E281</f>
        <v>0</v>
      </c>
      <c r="N255" s="108">
        <f>IO!E281</f>
        <v>0</v>
      </c>
      <c r="O255" s="24">
        <f>'BoC Size'!E281</f>
        <v>0</v>
      </c>
      <c r="P255" s="24">
        <f>'TMT E DK'!E281</f>
        <v>0</v>
      </c>
      <c r="Q255" s="24">
        <f>Data!R281</f>
        <v>0</v>
      </c>
      <c r="R255" s="24">
        <f>Data!S281</f>
        <v>0</v>
      </c>
      <c r="S255" s="24">
        <f>'TMT E DK'!E281</f>
        <v>0</v>
      </c>
      <c r="T255" s="24">
        <f>'TMT E DD'!E281</f>
        <v>0</v>
      </c>
      <c r="U255" s="24">
        <f>TA!E281</f>
        <v>0</v>
      </c>
      <c r="V255" s="109">
        <f>PR!F281</f>
        <v>0</v>
      </c>
      <c r="W255" s="109">
        <f>'Z Score'!I281</f>
        <v>0</v>
      </c>
      <c r="X255" s="109">
        <f>'Z Score'!L281</f>
        <v>0</v>
      </c>
      <c r="Y255" s="109">
        <f>'Z Score'!O281</f>
        <v>0</v>
      </c>
      <c r="Z255" s="109">
        <f>'Z Score'!R281</f>
        <v>0</v>
      </c>
      <c r="AA255" s="109">
        <f>'Z Score'!S281</f>
        <v>0</v>
      </c>
    </row>
    <row r="256" spans="1:27" ht="15" customHeight="1" x14ac:dyDescent="0.3">
      <c r="A256" s="22"/>
      <c r="B256" s="23"/>
      <c r="C256" s="3"/>
      <c r="D256" s="23">
        <v>2019</v>
      </c>
      <c r="E256" s="25">
        <f>'Current Ratio'!G282</f>
        <v>0</v>
      </c>
      <c r="F256" s="25">
        <f>'Cash Ratio'!G282</f>
        <v>0</v>
      </c>
      <c r="G256" s="25">
        <f>DAR!G282</f>
        <v>0</v>
      </c>
      <c r="H256" s="25">
        <f>DER!G282</f>
        <v>0</v>
      </c>
      <c r="I256" s="25">
        <f>NPM!G282</f>
        <v>0</v>
      </c>
      <c r="J256" s="25">
        <f>ROA!G282</f>
        <v>0</v>
      </c>
      <c r="K256" s="25">
        <f>ROE!G282</f>
        <v>0</v>
      </c>
      <c r="L256" s="25">
        <f>KM!E282</f>
        <v>0</v>
      </c>
      <c r="M256" s="24">
        <f>KI!E282</f>
        <v>0</v>
      </c>
      <c r="N256" s="108">
        <f>IO!E282</f>
        <v>0</v>
      </c>
      <c r="O256" s="24">
        <f>'BoC Size'!E282</f>
        <v>0</v>
      </c>
      <c r="P256" s="24">
        <f>'TMT E DK'!E282</f>
        <v>0</v>
      </c>
      <c r="Q256" s="24">
        <f>Data!R282</f>
        <v>0</v>
      </c>
      <c r="R256" s="24">
        <f>Data!S282</f>
        <v>0</v>
      </c>
      <c r="S256" s="24">
        <f>'TMT E DK'!E282</f>
        <v>0</v>
      </c>
      <c r="T256" s="24">
        <f>'TMT E DD'!E282</f>
        <v>0</v>
      </c>
      <c r="U256" s="24">
        <f>TA!E282</f>
        <v>0</v>
      </c>
      <c r="V256" s="109">
        <f>PR!F282</f>
        <v>0</v>
      </c>
      <c r="W256" s="109">
        <f>'Z Score'!I282</f>
        <v>0</v>
      </c>
      <c r="X256" s="109">
        <f>'Z Score'!L282</f>
        <v>0</v>
      </c>
      <c r="Y256" s="109">
        <f>'Z Score'!O282</f>
        <v>0</v>
      </c>
      <c r="Z256" s="109">
        <f>'Z Score'!R282</f>
        <v>0</v>
      </c>
      <c r="AA256" s="109">
        <f>'Z Score'!S282</f>
        <v>0</v>
      </c>
    </row>
    <row r="257" spans="1:27" ht="15" customHeight="1" x14ac:dyDescent="0.3">
      <c r="A257" s="22"/>
      <c r="B257" s="23"/>
      <c r="C257" s="3"/>
      <c r="D257" s="23">
        <v>2020</v>
      </c>
      <c r="E257" s="25">
        <f>'Current Ratio'!G283</f>
        <v>0</v>
      </c>
      <c r="F257" s="25">
        <f>'Cash Ratio'!G283</f>
        <v>0</v>
      </c>
      <c r="G257" s="25">
        <f>DAR!G283</f>
        <v>0</v>
      </c>
      <c r="H257" s="25">
        <f>DER!G283</f>
        <v>0</v>
      </c>
      <c r="I257" s="25">
        <f>NPM!G283</f>
        <v>0</v>
      </c>
      <c r="J257" s="25">
        <f>ROA!G283</f>
        <v>0</v>
      </c>
      <c r="K257" s="25">
        <f>ROE!G283</f>
        <v>0</v>
      </c>
      <c r="L257" s="25">
        <f>KM!E283</f>
        <v>0</v>
      </c>
      <c r="M257" s="24">
        <f>KI!E283</f>
        <v>0</v>
      </c>
      <c r="N257" s="108">
        <f>IO!E283</f>
        <v>0</v>
      </c>
      <c r="O257" s="24">
        <f>'BoC Size'!E283</f>
        <v>0</v>
      </c>
      <c r="P257" s="24">
        <f>'TMT E DK'!E283</f>
        <v>0</v>
      </c>
      <c r="Q257" s="24">
        <f>Data!R283</f>
        <v>0</v>
      </c>
      <c r="R257" s="24">
        <f>Data!S283</f>
        <v>0</v>
      </c>
      <c r="S257" s="24">
        <f>'TMT E DK'!E283</f>
        <v>0</v>
      </c>
      <c r="T257" s="24">
        <f>'TMT E DD'!E283</f>
        <v>0</v>
      </c>
      <c r="U257" s="24">
        <f>TA!E283</f>
        <v>0</v>
      </c>
      <c r="V257" s="109">
        <f>PR!F283</f>
        <v>0</v>
      </c>
      <c r="W257" s="109">
        <f>'Z Score'!I283</f>
        <v>0</v>
      </c>
      <c r="X257" s="109">
        <f>'Z Score'!L283</f>
        <v>0</v>
      </c>
      <c r="Y257" s="109">
        <f>'Z Score'!O283</f>
        <v>0</v>
      </c>
      <c r="Z257" s="109">
        <f>'Z Score'!R283</f>
        <v>0</v>
      </c>
      <c r="AA257" s="109">
        <f>'Z Score'!S283</f>
        <v>0</v>
      </c>
    </row>
    <row r="258" spans="1:27" ht="15" customHeight="1" x14ac:dyDescent="0.3">
      <c r="A258" s="22"/>
      <c r="B258" s="23"/>
      <c r="C258" s="3"/>
      <c r="D258" s="23">
        <v>2021</v>
      </c>
      <c r="E258" s="25">
        <f>'Current Ratio'!G284</f>
        <v>0</v>
      </c>
      <c r="F258" s="25">
        <f>'Cash Ratio'!G284</f>
        <v>0</v>
      </c>
      <c r="G258" s="25">
        <f>DAR!G284</f>
        <v>0</v>
      </c>
      <c r="H258" s="25">
        <f>DER!G284</f>
        <v>0</v>
      </c>
      <c r="I258" s="25">
        <f>NPM!G284</f>
        <v>0</v>
      </c>
      <c r="J258" s="25">
        <f>ROA!G284</f>
        <v>0</v>
      </c>
      <c r="K258" s="25">
        <f>ROE!G284</f>
        <v>0</v>
      </c>
      <c r="L258" s="25">
        <f>KM!E284</f>
        <v>0</v>
      </c>
      <c r="M258" s="24">
        <f>KI!E284</f>
        <v>0</v>
      </c>
      <c r="N258" s="108">
        <f>IO!E284</f>
        <v>0</v>
      </c>
      <c r="O258" s="24">
        <f>'BoC Size'!E284</f>
        <v>0</v>
      </c>
      <c r="P258" s="24">
        <f>'TMT E DK'!E284</f>
        <v>0</v>
      </c>
      <c r="Q258" s="24">
        <f>Data!R284</f>
        <v>0</v>
      </c>
      <c r="R258" s="24">
        <f>Data!S284</f>
        <v>0</v>
      </c>
      <c r="S258" s="24">
        <f>'TMT E DK'!E284</f>
        <v>0</v>
      </c>
      <c r="T258" s="24">
        <f>'TMT E DD'!E284</f>
        <v>0</v>
      </c>
      <c r="U258" s="24">
        <f>TA!E284</f>
        <v>0</v>
      </c>
      <c r="V258" s="109">
        <f>PR!F284</f>
        <v>0</v>
      </c>
      <c r="W258" s="109">
        <f>'Z Score'!I284</f>
        <v>0</v>
      </c>
      <c r="X258" s="109">
        <f>'Z Score'!L284</f>
        <v>0</v>
      </c>
      <c r="Y258" s="109">
        <f>'Z Score'!O284</f>
        <v>0</v>
      </c>
      <c r="Z258" s="109">
        <f>'Z Score'!R284</f>
        <v>0</v>
      </c>
      <c r="AA258" s="109">
        <f>'Z Score'!S284</f>
        <v>0</v>
      </c>
    </row>
    <row r="259" spans="1:27" ht="15" customHeight="1" x14ac:dyDescent="0.3">
      <c r="A259" s="22"/>
      <c r="B259" s="23"/>
      <c r="C259" s="3"/>
      <c r="D259" s="23">
        <v>2022</v>
      </c>
      <c r="E259" s="25">
        <f>'Current Ratio'!G285</f>
        <v>0.28210201728228235</v>
      </c>
      <c r="F259" s="25">
        <f>'Cash Ratio'!G285</f>
        <v>2.1536812480632363E-2</v>
      </c>
      <c r="G259" s="25">
        <f>DAR!G285</f>
        <v>3.47242483725171E-2</v>
      </c>
      <c r="H259" s="25">
        <f>DER!G285</f>
        <v>3.5973397564344714E-2</v>
      </c>
      <c r="I259" s="25">
        <f>NPM!G285</f>
        <v>-1.8043807089337851</v>
      </c>
      <c r="J259" s="25">
        <f>ROA!G285</f>
        <v>-2.3149147903668746E-2</v>
      </c>
      <c r="K259" s="25">
        <f>ROE!G285</f>
        <v>-2.3981901404483242E-2</v>
      </c>
      <c r="L259" s="25">
        <f>KM!E285</f>
        <v>0</v>
      </c>
      <c r="M259" s="24">
        <f>KI!E285</f>
        <v>0</v>
      </c>
      <c r="N259" s="108">
        <f>IO!E285</f>
        <v>0</v>
      </c>
      <c r="O259" s="24">
        <f>'BoC Size'!E285</f>
        <v>0</v>
      </c>
      <c r="P259" s="24">
        <f>'TMT E DK'!E285</f>
        <v>0</v>
      </c>
      <c r="Q259" s="24">
        <f>Data!R285</f>
        <v>0</v>
      </c>
      <c r="R259" s="24">
        <f>Data!S285</f>
        <v>0</v>
      </c>
      <c r="S259" s="24">
        <f>'TMT E DK'!E285</f>
        <v>0</v>
      </c>
      <c r="T259" s="24">
        <f>'TMT E DD'!E285</f>
        <v>0</v>
      </c>
      <c r="U259" s="24">
        <f>TA!E285</f>
        <v>132949170000.00002</v>
      </c>
      <c r="V259" s="109">
        <f>PR!F285</f>
        <v>0</v>
      </c>
      <c r="W259" s="109">
        <f>'Z Score'!I285</f>
        <v>-0.13945823054028841</v>
      </c>
      <c r="X259" s="109">
        <f>'Z Score'!L285</f>
        <v>-0.15944478780875426</v>
      </c>
      <c r="Y259" s="109">
        <f>'Z Score'!O285</f>
        <v>-0.15556227391265395</v>
      </c>
      <c r="Z259" s="109">
        <f>'Z Score'!R285</f>
        <v>29.188235504358225</v>
      </c>
      <c r="AA259" s="109">
        <f>'Z Score'!S285</f>
        <v>28.733770212096527</v>
      </c>
    </row>
    <row r="260" spans="1:27" ht="15" customHeight="1" x14ac:dyDescent="0.3">
      <c r="A260" s="22"/>
      <c r="B260" s="23"/>
      <c r="C260" s="3"/>
      <c r="D260" s="23">
        <v>2023</v>
      </c>
      <c r="E260" s="25">
        <f>'Current Ratio'!G286</f>
        <v>0.18811184776307224</v>
      </c>
      <c r="F260" s="25">
        <f>'Cash Ratio'!G286</f>
        <v>4.5966716031201321E-3</v>
      </c>
      <c r="G260" s="25">
        <f>DAR!G286</f>
        <v>3.0654309567703337E-2</v>
      </c>
      <c r="H260" s="25">
        <f>DER!G286</f>
        <v>3.162371264479704E-2</v>
      </c>
      <c r="I260" s="25">
        <f>NPM!G286</f>
        <v>-0.52975451505622861</v>
      </c>
      <c r="J260" s="25">
        <f>ROA!G286</f>
        <v>-8.825924121510299E-3</v>
      </c>
      <c r="K260" s="25">
        <f>ROE!G286</f>
        <v>-9.105032609753724E-3</v>
      </c>
      <c r="L260" s="25">
        <f>KM!E286</f>
        <v>0.98</v>
      </c>
      <c r="M260" s="24">
        <f>KI!E286</f>
        <v>2</v>
      </c>
      <c r="N260" s="108">
        <f>IO!E286</f>
        <v>0</v>
      </c>
      <c r="O260" s="24">
        <f>'BoC Size'!E286</f>
        <v>4</v>
      </c>
      <c r="P260" s="24">
        <f>'TMT E DK'!E286</f>
        <v>0</v>
      </c>
      <c r="Q260" s="24">
        <f>Data!R286</f>
        <v>4</v>
      </c>
      <c r="R260" s="24">
        <f>Data!S286</f>
        <v>3</v>
      </c>
      <c r="S260" s="24">
        <f>'TMT E DK'!E286</f>
        <v>0</v>
      </c>
      <c r="T260" s="24">
        <f>'TMT E DD'!E286</f>
        <v>0</v>
      </c>
      <c r="U260" s="24">
        <f>TA!E286</f>
        <v>132473380000</v>
      </c>
      <c r="V260" s="109">
        <f>PR!F286</f>
        <v>0.29396245441647223</v>
      </c>
      <c r="W260" s="109">
        <f>'Z Score'!I286</f>
        <v>-0.14632680467577711</v>
      </c>
      <c r="X260" s="109">
        <f>'Z Score'!L286</f>
        <v>-0.19139405516791375</v>
      </c>
      <c r="Y260" s="109">
        <f>'Z Score'!O286</f>
        <v>-5.9315282813800017E-2</v>
      </c>
      <c r="Z260" s="109">
        <f>'Z Score'!R286</f>
        <v>33.202932615590711</v>
      </c>
      <c r="AA260" s="109">
        <f>'Z Score'!S286</f>
        <v>32.80589647293322</v>
      </c>
    </row>
    <row r="261" spans="1:27" ht="15" customHeight="1" x14ac:dyDescent="0.3">
      <c r="A261" s="22"/>
      <c r="B261" s="23"/>
      <c r="C261" s="3"/>
      <c r="D261" s="23">
        <v>2024</v>
      </c>
      <c r="E261" s="25">
        <f>'Current Ratio'!G287</f>
        <v>110.45465052050137</v>
      </c>
      <c r="F261" s="25">
        <f>'Cash Ratio'!G287</f>
        <v>109.8868918631825</v>
      </c>
      <c r="G261" s="25">
        <f>DAR!G287</f>
        <v>9.7512505579927817E-3</v>
      </c>
      <c r="H261" s="25">
        <f>DER!G287</f>
        <v>9.8472744145529766E-3</v>
      </c>
      <c r="I261" s="25">
        <f>NPM!G287</f>
        <v>0.51046660845842406</v>
      </c>
      <c r="J261" s="25">
        <f>ROA!G287</f>
        <v>4.1136376597224016E-2</v>
      </c>
      <c r="K261" s="25">
        <f>ROE!G287</f>
        <v>4.1541460386455564E-2</v>
      </c>
      <c r="L261" s="25">
        <f>KM!E287</f>
        <v>0.98</v>
      </c>
      <c r="M261" s="24">
        <f>KI!E287</f>
        <v>2</v>
      </c>
      <c r="N261" s="108">
        <f>IO!E287</f>
        <v>0</v>
      </c>
      <c r="O261" s="24">
        <f>'BoC Size'!E287</f>
        <v>3</v>
      </c>
      <c r="P261" s="24">
        <f>'TMT E DK'!E287</f>
        <v>0</v>
      </c>
      <c r="Q261" s="24">
        <f>Data!R287</f>
        <v>3</v>
      </c>
      <c r="R261" s="24">
        <f>Data!S287</f>
        <v>3</v>
      </c>
      <c r="S261" s="24">
        <f>'TMT E DK'!E287</f>
        <v>0</v>
      </c>
      <c r="T261" s="24">
        <f>'TMT E DD'!E287</f>
        <v>0</v>
      </c>
      <c r="U261" s="24">
        <f>TA!E287</f>
        <v>159746690000</v>
      </c>
      <c r="V261" s="109">
        <f>PR!F287</f>
        <v>4.8327911339066452</v>
      </c>
      <c r="W261" s="109">
        <f>'Z Score'!I287</f>
        <v>5.2892049631826481</v>
      </c>
      <c r="X261" s="109">
        <f>'Z Score'!L287</f>
        <v>-2.3882469176669637E-2</v>
      </c>
      <c r="Y261" s="109">
        <f>'Z Score'!O287</f>
        <v>0.27794243498879379</v>
      </c>
      <c r="Z261" s="109">
        <f>'Z Score'!R287</f>
        <v>106.62848985382576</v>
      </c>
      <c r="AA261" s="109">
        <f>'Z Score'!S287</f>
        <v>112.17175478282053</v>
      </c>
    </row>
    <row r="262" spans="1:27" ht="15" customHeight="1" x14ac:dyDescent="0.3">
      <c r="A262" s="22"/>
      <c r="B262" s="23">
        <v>27</v>
      </c>
      <c r="C262" s="3" t="s">
        <v>29</v>
      </c>
      <c r="D262" s="23">
        <v>2015</v>
      </c>
      <c r="E262" s="25">
        <f>'Current Ratio'!G289</f>
        <v>1.3255208529272349</v>
      </c>
      <c r="F262" s="25">
        <f>'Cash Ratio'!G289</f>
        <v>0.44045836562408303</v>
      </c>
      <c r="G262" s="25">
        <f>DAR!G289</f>
        <v>0.54681140631466518</v>
      </c>
      <c r="H262" s="25">
        <f>DER!G289</f>
        <v>1.2065868689853565</v>
      </c>
      <c r="I262" s="25">
        <f>NPM!G289</f>
        <v>4.9987534706450877E-2</v>
      </c>
      <c r="J262" s="25">
        <f>ROA!G289</f>
        <v>2.3616463597134141E-2</v>
      </c>
      <c r="K262" s="25">
        <f>ROE!G289</f>
        <v>5.2111778465306881E-2</v>
      </c>
      <c r="L262" s="25">
        <f>KM!E289</f>
        <v>0.5</v>
      </c>
      <c r="M262" s="24">
        <f>KI!E289</f>
        <v>2</v>
      </c>
      <c r="N262" s="108">
        <f>IO!E289</f>
        <v>0</v>
      </c>
      <c r="O262" s="24">
        <f>'BoC Size'!E289</f>
        <v>4</v>
      </c>
      <c r="P262" s="24">
        <f>'TMT E DK'!E289</f>
        <v>0</v>
      </c>
      <c r="Q262" s="24">
        <f>Data!R289</f>
        <v>4</v>
      </c>
      <c r="R262" s="24">
        <f>Data!S289</f>
        <v>0</v>
      </c>
      <c r="S262" s="24">
        <f>'TMT E DK'!E289</f>
        <v>0</v>
      </c>
      <c r="T262" s="24">
        <f>'TMT E DD'!E289</f>
        <v>0</v>
      </c>
      <c r="U262" s="24">
        <f>TA!E289</f>
        <v>1239559000000</v>
      </c>
      <c r="V262" s="109">
        <f>PR!F289</f>
        <v>-0.49424443594263179</v>
      </c>
      <c r="W262" s="109">
        <f>'Z Score'!I289</f>
        <v>0.228961945337011</v>
      </c>
      <c r="X262" s="109">
        <f>'Z Score'!L289</f>
        <v>0.14152644609897552</v>
      </c>
      <c r="Y262" s="109">
        <f>'Z Score'!O289</f>
        <v>0.11937664927607319</v>
      </c>
      <c r="Z262" s="109">
        <f>'Z Score'!R289</f>
        <v>0.87022329431031054</v>
      </c>
      <c r="AA262" s="109">
        <f>'Z Score'!S289</f>
        <v>1.3600883350223703</v>
      </c>
    </row>
    <row r="263" spans="1:27" ht="15" customHeight="1" x14ac:dyDescent="0.3">
      <c r="A263" s="22"/>
      <c r="B263" s="23"/>
      <c r="C263" s="3"/>
      <c r="D263" s="23">
        <v>2016</v>
      </c>
      <c r="E263" s="25">
        <f>'Current Ratio'!G290</f>
        <v>0.5256746351836914</v>
      </c>
      <c r="F263" s="25">
        <f>'Cash Ratio'!G290</f>
        <v>0.14481282540148127</v>
      </c>
      <c r="G263" s="25">
        <f>DAR!G290</f>
        <v>0.95386010305638536</v>
      </c>
      <c r="H263" s="25">
        <f>DER!G290</f>
        <v>20.673899937731544</v>
      </c>
      <c r="I263" s="25">
        <f>NPM!G290</f>
        <v>3.069759850003493E-3</v>
      </c>
      <c r="J263" s="25">
        <f>ROA!G290</f>
        <v>3.1845713997002514E-3</v>
      </c>
      <c r="K263" s="25">
        <f>ROE!G290</f>
        <v>6.9022187059723211E-2</v>
      </c>
      <c r="L263" s="25">
        <f>KM!E290</f>
        <v>0.5</v>
      </c>
      <c r="M263" s="24">
        <f>KI!E290</f>
        <v>2</v>
      </c>
      <c r="N263" s="108">
        <f>IO!E290</f>
        <v>0</v>
      </c>
      <c r="O263" s="24">
        <f>'BoC Size'!E290</f>
        <v>4</v>
      </c>
      <c r="P263" s="24">
        <f>'TMT E DK'!E290</f>
        <v>0</v>
      </c>
      <c r="Q263" s="24">
        <f>Data!R290</f>
        <v>4</v>
      </c>
      <c r="R263" s="24">
        <f>Data!S290</f>
        <v>0</v>
      </c>
      <c r="S263" s="24">
        <f>'TMT E DK'!E290</f>
        <v>0</v>
      </c>
      <c r="T263" s="24">
        <f>'TMT E DD'!E290</f>
        <v>0</v>
      </c>
      <c r="U263" s="24">
        <f>TA!E290</f>
        <v>13122331000000</v>
      </c>
      <c r="V263" s="109">
        <f>PR!F290</f>
        <v>22.245410893642017</v>
      </c>
      <c r="W263" s="109">
        <f>'Z Score'!I290</f>
        <v>-5.1737807863557167E-2</v>
      </c>
      <c r="X263" s="109">
        <f>'Z Score'!L290</f>
        <v>2.5723339854786469E-2</v>
      </c>
      <c r="Y263" s="109">
        <f>'Z Score'!O290</f>
        <v>2.4192823668294908E-2</v>
      </c>
      <c r="Z263" s="109">
        <f>'Z Score'!R290</f>
        <v>5.0788675729423693E-2</v>
      </c>
      <c r="AA263" s="109">
        <f>'Z Score'!S290</f>
        <v>4.8967031388947903E-2</v>
      </c>
    </row>
    <row r="264" spans="1:27" ht="15" customHeight="1" x14ac:dyDescent="0.3">
      <c r="A264" s="22"/>
      <c r="B264" s="23"/>
      <c r="C264" s="3"/>
      <c r="D264" s="23">
        <v>2017</v>
      </c>
      <c r="E264" s="25">
        <f>'Current Ratio'!G291</f>
        <v>0.18432087335570729</v>
      </c>
      <c r="F264" s="25">
        <f>'Cash Ratio'!G291</f>
        <v>0.10604771824248736</v>
      </c>
      <c r="G264" s="25">
        <f>DAR!G291</f>
        <v>0.97299064937062263</v>
      </c>
      <c r="H264" s="25">
        <f>DER!G291</f>
        <v>36.024268523362984</v>
      </c>
      <c r="I264" s="25">
        <f>NPM!G291</f>
        <v>6.3287158952273397E-3</v>
      </c>
      <c r="J264" s="25">
        <f>ROA!G291</f>
        <v>4.6471124287822485E-3</v>
      </c>
      <c r="K264" s="25">
        <f>ROE!G291</f>
        <v>0.17205594534849575</v>
      </c>
      <c r="L264" s="25">
        <f>KM!E291</f>
        <v>0.99</v>
      </c>
      <c r="M264" s="24">
        <f>KI!E291</f>
        <v>2</v>
      </c>
      <c r="N264" s="108">
        <f>IO!E291</f>
        <v>0</v>
      </c>
      <c r="O264" s="24">
        <f>'BoC Size'!E291</f>
        <v>4</v>
      </c>
      <c r="P264" s="24">
        <f>'TMT E DK'!E291</f>
        <v>0</v>
      </c>
      <c r="Q264" s="24">
        <f>Data!R291</f>
        <v>4</v>
      </c>
      <c r="R264" s="24">
        <f>Data!S291</f>
        <v>0</v>
      </c>
      <c r="S264" s="24">
        <f>'TMT E DK'!E291</f>
        <v>0</v>
      </c>
      <c r="T264" s="24">
        <f>'TMT E DD'!E291</f>
        <v>0</v>
      </c>
      <c r="U264" s="24">
        <f>TA!E291</f>
        <v>24838435000000</v>
      </c>
      <c r="V264" s="109">
        <f>PR!F291</f>
        <v>0.33978228498293228</v>
      </c>
      <c r="W264" s="109">
        <f>'Z Score'!I291</f>
        <v>-0.22337996093554202</v>
      </c>
      <c r="X264" s="109">
        <f>'Z Score'!L291</f>
        <v>2.2076079269889585E-2</v>
      </c>
      <c r="Y264" s="109">
        <f>'Z Score'!O291</f>
        <v>3.0805728299709699E-2</v>
      </c>
      <c r="Z264" s="109">
        <f>'Z Score'!R291</f>
        <v>2.9147017914299599E-2</v>
      </c>
      <c r="AA264" s="109">
        <f>'Z Score'!S291</f>
        <v>-0.14135113545164313</v>
      </c>
    </row>
    <row r="265" spans="1:27" ht="15" customHeight="1" x14ac:dyDescent="0.3">
      <c r="A265" s="22"/>
      <c r="B265" s="23"/>
      <c r="C265" s="3"/>
      <c r="D265" s="23">
        <v>2018</v>
      </c>
      <c r="E265" s="25">
        <f>'Current Ratio'!G292</f>
        <v>0.16597230333943336</v>
      </c>
      <c r="F265" s="25">
        <f>'Cash Ratio'!G292</f>
        <v>9.164124994051405E-2</v>
      </c>
      <c r="G265" s="25">
        <f>DAR!G292</f>
        <v>0.97435877031976137</v>
      </c>
      <c r="H265" s="25">
        <f>DER!G292</f>
        <v>37.999689658826554</v>
      </c>
      <c r="I265" s="25">
        <f>NPM!G292</f>
        <v>6.0037962710582883E-3</v>
      </c>
      <c r="J265" s="25">
        <f>ROA!G292</f>
        <v>3.9401738713684149E-3</v>
      </c>
      <c r="K265" s="25">
        <f>ROE!G292</f>
        <v>0.15366555818518537</v>
      </c>
      <c r="L265" s="25">
        <f>KM!E292</f>
        <v>0.99</v>
      </c>
      <c r="M265" s="24">
        <f>KI!E292</f>
        <v>2</v>
      </c>
      <c r="N265" s="108">
        <f>IO!E292</f>
        <v>0</v>
      </c>
      <c r="O265" s="24">
        <f>'BoC Size'!E292</f>
        <v>4</v>
      </c>
      <c r="P265" s="24">
        <f>'TMT E DK'!E292</f>
        <v>0</v>
      </c>
      <c r="Q265" s="24">
        <f>Data!R292</f>
        <v>4</v>
      </c>
      <c r="R265" s="24">
        <f>Data!S292</f>
        <v>0</v>
      </c>
      <c r="S265" s="24">
        <f>'TMT E DK'!E292</f>
        <v>0</v>
      </c>
      <c r="T265" s="24">
        <f>'TMT E DD'!E292</f>
        <v>0</v>
      </c>
      <c r="U265" s="24">
        <f>TA!E292</f>
        <v>30914118000000</v>
      </c>
      <c r="V265" s="109">
        <f>PR!F292</f>
        <v>0.11238338134593898</v>
      </c>
      <c r="W265" s="109">
        <f>'Z Score'!I292</f>
        <v>-0.20454351633127621</v>
      </c>
      <c r="X265" s="109">
        <f>'Z Score'!L292</f>
        <v>3.0544588074613677E-2</v>
      </c>
      <c r="Y265" s="109">
        <f>'Z Score'!O292</f>
        <v>2.6001044571286169E-2</v>
      </c>
      <c r="Z265" s="109">
        <f>'Z Score'!R292</f>
        <v>2.7631804612807051E-2</v>
      </c>
      <c r="AA265" s="109">
        <f>'Z Score'!S292</f>
        <v>-0.12036607907256931</v>
      </c>
    </row>
    <row r="266" spans="1:27" ht="15" customHeight="1" x14ac:dyDescent="0.3">
      <c r="A266" s="22"/>
      <c r="B266" s="23"/>
      <c r="C266" s="3"/>
      <c r="D266" s="23">
        <v>2019</v>
      </c>
      <c r="E266" s="25">
        <f>'Current Ratio'!G293</f>
        <v>0.49366894559791857</v>
      </c>
      <c r="F266" s="25">
        <f>'Cash Ratio'!G293</f>
        <v>0.23097388493784993</v>
      </c>
      <c r="G266" s="25">
        <f>DAR!G293</f>
        <v>0.97338470360598561</v>
      </c>
      <c r="H266" s="25">
        <f>DER!G293</f>
        <v>36.572378875513671</v>
      </c>
      <c r="I266" s="25">
        <f>NPM!G293</f>
        <v>6.7890226969505568E-3</v>
      </c>
      <c r="J266" s="25">
        <f>ROA!G293</f>
        <v>4.0848746428442002E-3</v>
      </c>
      <c r="K266" s="25">
        <f>ROE!G293</f>
        <v>0.15347845773992089</v>
      </c>
      <c r="L266" s="25">
        <f>KM!E293</f>
        <v>0.99</v>
      </c>
      <c r="M266" s="24">
        <f>KI!E293</f>
        <v>2</v>
      </c>
      <c r="N266" s="108">
        <f>IO!E293</f>
        <v>0</v>
      </c>
      <c r="O266" s="24">
        <f>'BoC Size'!E293</f>
        <v>3</v>
      </c>
      <c r="P266" s="24">
        <f>'TMT E DK'!E293</f>
        <v>0</v>
      </c>
      <c r="Q266" s="24">
        <f>Data!R293</f>
        <v>3</v>
      </c>
      <c r="R266" s="24">
        <f>Data!S293</f>
        <v>0</v>
      </c>
      <c r="S266" s="24">
        <f>'TMT E DK'!E293</f>
        <v>0</v>
      </c>
      <c r="T266" s="24">
        <f>'TMT E DD'!E293</f>
        <v>0</v>
      </c>
      <c r="U266" s="24">
        <f>TA!E293</f>
        <v>35182475000000</v>
      </c>
      <c r="V266" s="109">
        <f>PR!F293</f>
        <v>4.3401748690010462E-2</v>
      </c>
      <c r="W266" s="109">
        <f>'Z Score'!I293</f>
        <v>-6.5896139484217631E-2</v>
      </c>
      <c r="X266" s="109">
        <f>'Z Score'!L293</f>
        <v>4.0259928273948885E-2</v>
      </c>
      <c r="Y266" s="109">
        <f>'Z Score'!O293</f>
        <v>2.7704011158964797E-2</v>
      </c>
      <c r="Z266" s="109">
        <f>'Z Score'!R293</f>
        <v>2.8710191469196639E-2</v>
      </c>
      <c r="AA266" s="109">
        <f>'Z Score'!S293</f>
        <v>3.077799141789269E-2</v>
      </c>
    </row>
    <row r="267" spans="1:27" ht="15" customHeight="1" x14ac:dyDescent="0.3">
      <c r="A267" s="22"/>
      <c r="B267" s="23"/>
      <c r="C267" s="3"/>
      <c r="D267" s="23">
        <v>2020</v>
      </c>
      <c r="E267" s="25">
        <f>'Current Ratio'!G294</f>
        <v>0.75046242061779389</v>
      </c>
      <c r="F267" s="25">
        <f>'Cash Ratio'!G294</f>
        <v>0.31872874643698984</v>
      </c>
      <c r="G267" s="25">
        <f>DAR!G294</f>
        <v>0.96688957065248238</v>
      </c>
      <c r="H267" s="25">
        <f>DER!G294</f>
        <v>29.201882035372517</v>
      </c>
      <c r="I267" s="25">
        <f>NPM!G294</f>
        <v>6.6826351364045839E-3</v>
      </c>
      <c r="J267" s="25">
        <f>ROA!G294</f>
        <v>4.0510449413748584E-3</v>
      </c>
      <c r="K267" s="25">
        <f>ROE!G294</f>
        <v>0.12234917004864423</v>
      </c>
      <c r="L267" s="25">
        <f>KM!E294</f>
        <v>0.99</v>
      </c>
      <c r="M267" s="24">
        <f>KI!E294</f>
        <v>2</v>
      </c>
      <c r="N267" s="108">
        <f>IO!E294</f>
        <v>0</v>
      </c>
      <c r="O267" s="24">
        <f>'BoC Size'!E294</f>
        <v>3</v>
      </c>
      <c r="P267" s="24">
        <f>'TMT E DK'!E294</f>
        <v>0</v>
      </c>
      <c r="Q267" s="24">
        <f>Data!R294</f>
        <v>3</v>
      </c>
      <c r="R267" s="24">
        <f>Data!S294</f>
        <v>0</v>
      </c>
      <c r="S267" s="24">
        <f>'TMT E DK'!E294</f>
        <v>0</v>
      </c>
      <c r="T267" s="24">
        <f>'TMT E DD'!E294</f>
        <v>0</v>
      </c>
      <c r="U267" s="24">
        <f>TA!E294</f>
        <v>32223291000000</v>
      </c>
      <c r="V267" s="109">
        <f>PR!F294</f>
        <v>-7.7234510150490251E-2</v>
      </c>
      <c r="W267" s="109">
        <f>'Z Score'!I294</f>
        <v>-4.2844721229746516E-2</v>
      </c>
      <c r="X267" s="109">
        <f>'Z Score'!L294</f>
        <v>5.7163552909601935E-2</v>
      </c>
      <c r="Y267" s="109">
        <f>'Z Score'!O294</f>
        <v>2.7223022006039047E-2</v>
      </c>
      <c r="Z267" s="109">
        <f>'Z Score'!R294</f>
        <v>3.5956586590142552E-2</v>
      </c>
      <c r="AA267" s="109">
        <f>'Z Score'!S294</f>
        <v>7.7498440276037028E-2</v>
      </c>
    </row>
    <row r="268" spans="1:27" ht="15" customHeight="1" x14ac:dyDescent="0.3">
      <c r="A268" s="22"/>
      <c r="B268" s="23"/>
      <c r="C268" s="3"/>
      <c r="D268" s="23">
        <v>2021</v>
      </c>
      <c r="E268" s="25">
        <f>'Current Ratio'!G295</f>
        <v>0.65577483722909635</v>
      </c>
      <c r="F268" s="25">
        <f>'Cash Ratio'!G295</f>
        <v>0.28704554403465021</v>
      </c>
      <c r="G268" s="25">
        <f>DAR!G295</f>
        <v>0.96713341740673719</v>
      </c>
      <c r="H268" s="25">
        <f>DER!G295</f>
        <v>29.426041319093102</v>
      </c>
      <c r="I268" s="25">
        <f>NPM!G295</f>
        <v>5.1219179666334028E-3</v>
      </c>
      <c r="J268" s="25">
        <f>ROA!G295</f>
        <v>3.0894048520159591E-3</v>
      </c>
      <c r="K268" s="25">
        <f>ROE!G295</f>
        <v>9.399835967884429E-2</v>
      </c>
      <c r="L268" s="25">
        <f>KM!E295</f>
        <v>0.99</v>
      </c>
      <c r="M268" s="24">
        <f>KI!E295</f>
        <v>2</v>
      </c>
      <c r="N268" s="108">
        <f>IO!E295</f>
        <v>0</v>
      </c>
      <c r="O268" s="24">
        <f>'BoC Size'!E295</f>
        <v>3</v>
      </c>
      <c r="P268" s="24">
        <f>'TMT E DK'!E295</f>
        <v>0</v>
      </c>
      <c r="Q268" s="24">
        <f>Data!R295</f>
        <v>3</v>
      </c>
      <c r="R268" s="24">
        <f>Data!S295</f>
        <v>0</v>
      </c>
      <c r="S268" s="24">
        <f>'TMT E DK'!E295</f>
        <v>0</v>
      </c>
      <c r="T268" s="24">
        <f>'TMT E DD'!E295</f>
        <v>0</v>
      </c>
      <c r="U268" s="24">
        <f>TA!E295</f>
        <v>33647581000000</v>
      </c>
      <c r="V268" s="109">
        <f>PR!F295</f>
        <v>3.8979188550618458E-2</v>
      </c>
      <c r="W268" s="109">
        <f>'Z Score'!I295</f>
        <v>-6.7493898001166855E-2</v>
      </c>
      <c r="X268" s="109">
        <f>'Z Score'!L295</f>
        <v>5.8517670557060253E-2</v>
      </c>
      <c r="Y268" s="109">
        <f>'Z Score'!O295</f>
        <v>2.0760800605547244E-2</v>
      </c>
      <c r="Z268" s="109">
        <f>'Z Score'!R295</f>
        <v>3.568267945436164E-2</v>
      </c>
      <c r="AA268" s="109">
        <f>'Z Score'!S295</f>
        <v>4.7467252615802286E-2</v>
      </c>
    </row>
    <row r="269" spans="1:27" ht="15" customHeight="1" x14ac:dyDescent="0.3">
      <c r="A269" s="22"/>
      <c r="B269" s="23"/>
      <c r="C269" s="3"/>
      <c r="D269" s="23">
        <v>2022</v>
      </c>
      <c r="E269" s="25">
        <f>'Current Ratio'!G296</f>
        <v>1.0162437235959947</v>
      </c>
      <c r="F269" s="25">
        <f>'Cash Ratio'!G296</f>
        <v>0.27409051159620806</v>
      </c>
      <c r="G269" s="25">
        <f>DAR!G296</f>
        <v>0.9567052991340409</v>
      </c>
      <c r="H269" s="25">
        <f>DER!G296</f>
        <v>22.097514938283354</v>
      </c>
      <c r="I269" s="25">
        <f>NPM!G296</f>
        <v>1.2436099727503392E-2</v>
      </c>
      <c r="J269" s="25">
        <f>ROA!G296</f>
        <v>6.7325558915889176E-3</v>
      </c>
      <c r="K269" s="25">
        <f>ROE!G296</f>
        <v>0.15550531027880263</v>
      </c>
      <c r="L269" s="25">
        <f>KM!E296</f>
        <v>0.99</v>
      </c>
      <c r="M269" s="24">
        <f>KI!E296</f>
        <v>2</v>
      </c>
      <c r="N269" s="108">
        <f>IO!E296</f>
        <v>0</v>
      </c>
      <c r="O269" s="24">
        <f>'BoC Size'!E296</f>
        <v>3</v>
      </c>
      <c r="P269" s="24">
        <f>'TMT E DK'!E296</f>
        <v>0</v>
      </c>
      <c r="Q269" s="24">
        <f>Data!R296</f>
        <v>3</v>
      </c>
      <c r="R269" s="24">
        <f>Data!S296</f>
        <v>0</v>
      </c>
      <c r="S269" s="24">
        <f>'TMT E DK'!E296</f>
        <v>0</v>
      </c>
      <c r="T269" s="24">
        <f>'TMT E DD'!E296</f>
        <v>0</v>
      </c>
      <c r="U269" s="24">
        <f>TA!E296</f>
        <v>28879077000000</v>
      </c>
      <c r="V269" s="109">
        <f>PR!F296</f>
        <v>-0.22965897519167836</v>
      </c>
      <c r="W269" s="109">
        <f>'Z Score'!I296</f>
        <v>3.5949403784615412E-3</v>
      </c>
      <c r="X269" s="109">
        <f>'Z Score'!L296</f>
        <v>8.4483997185921131E-2</v>
      </c>
      <c r="Y269" s="109">
        <f>'Z Score'!O296</f>
        <v>4.5242775591477526E-2</v>
      </c>
      <c r="Z269" s="109">
        <f>'Z Score'!R296</f>
        <v>4.7516655286016035E-2</v>
      </c>
      <c r="AA269" s="109">
        <f>'Z Score'!S296</f>
        <v>0.18083836844187623</v>
      </c>
    </row>
    <row r="270" spans="1:27" ht="15" customHeight="1" x14ac:dyDescent="0.3">
      <c r="A270" s="22"/>
      <c r="B270" s="23"/>
      <c r="C270" s="3"/>
      <c r="D270" s="23">
        <v>2023</v>
      </c>
      <c r="E270" s="25">
        <f>'Current Ratio'!G297</f>
        <v>0.52344669131150712</v>
      </c>
      <c r="F270" s="25">
        <f>'Cash Ratio'!G297</f>
        <v>0.33944557020106531</v>
      </c>
      <c r="G270" s="25">
        <f>DAR!G297</f>
        <v>0.94198882619546254</v>
      </c>
      <c r="H270" s="25">
        <f>DER!G297</f>
        <v>16.238058367331018</v>
      </c>
      <c r="I270" s="25">
        <f>NPM!G297</f>
        <v>2.035870976998232E-2</v>
      </c>
      <c r="J270" s="25">
        <f>ROA!G297</f>
        <v>6.7614967005894325E-3</v>
      </c>
      <c r="K270" s="25">
        <f>ROE!G297</f>
        <v>0.11655507477527673</v>
      </c>
      <c r="L270" s="25">
        <f>KM!E297</f>
        <v>0.99</v>
      </c>
      <c r="M270" s="24">
        <f>KI!E297</f>
        <v>2</v>
      </c>
      <c r="N270" s="108">
        <f>IO!E297</f>
        <v>0</v>
      </c>
      <c r="O270" s="24">
        <f>'BoC Size'!E297</f>
        <v>3</v>
      </c>
      <c r="P270" s="24">
        <f>'TMT E DK'!E297</f>
        <v>0</v>
      </c>
      <c r="Q270" s="24">
        <f>Data!R297</f>
        <v>3</v>
      </c>
      <c r="R270" s="24">
        <f>Data!S297</f>
        <v>0</v>
      </c>
      <c r="S270" s="24">
        <f>'TMT E DK'!E297</f>
        <v>0</v>
      </c>
      <c r="T270" s="24">
        <f>'TMT E DD'!E297</f>
        <v>0</v>
      </c>
      <c r="U270" s="24">
        <f>TA!E297</f>
        <v>23420850000000</v>
      </c>
      <c r="V270" s="109">
        <f>PR!F297</f>
        <v>-0.50247356409356514</v>
      </c>
      <c r="W270" s="109">
        <f>'Z Score'!I297</f>
        <v>-0.1181070849264651</v>
      </c>
      <c r="X270" s="109">
        <f>'Z Score'!L297</f>
        <v>0.11925585365176754</v>
      </c>
      <c r="Y270" s="109">
        <f>'Z Score'!O297</f>
        <v>4.5437257827960986E-2</v>
      </c>
      <c r="Z270" s="109">
        <f>'Z Score'!R297</f>
        <v>6.4662903423999954E-2</v>
      </c>
      <c r="AA270" s="109">
        <f>'Z Score'!S297</f>
        <v>0.11124892997726338</v>
      </c>
    </row>
    <row r="271" spans="1:27" ht="15" customHeight="1" x14ac:dyDescent="0.3">
      <c r="A271" s="22"/>
      <c r="B271" s="23"/>
      <c r="C271" s="3"/>
      <c r="D271" s="23">
        <v>2024</v>
      </c>
      <c r="E271" s="25">
        <f>'Current Ratio'!G298</f>
        <v>0.5343228640274571</v>
      </c>
      <c r="F271" s="25">
        <f>'Cash Ratio'!G298</f>
        <v>0.2565992588399294</v>
      </c>
      <c r="G271" s="25">
        <f>DAR!G298</f>
        <v>0.93650731602206294</v>
      </c>
      <c r="H271" s="25">
        <f>DER!G298</f>
        <v>14.749846082227169</v>
      </c>
      <c r="I271" s="25">
        <f>NPM!G298</f>
        <v>1.9518862055055021E-2</v>
      </c>
      <c r="J271" s="25">
        <f>ROA!G298</f>
        <v>6.9311523187475816E-3</v>
      </c>
      <c r="K271" s="25">
        <f>ROE!G298</f>
        <v>0.10916458219274636</v>
      </c>
      <c r="L271" s="25">
        <f>KM!E298</f>
        <v>0.99</v>
      </c>
      <c r="M271" s="24">
        <f>KI!E298</f>
        <v>2</v>
      </c>
      <c r="N271" s="108">
        <f>IO!E298</f>
        <v>0</v>
      </c>
      <c r="O271" s="24">
        <f>'BoC Size'!E298</f>
        <v>3</v>
      </c>
      <c r="P271" s="24">
        <f>'TMT E DK'!E298</f>
        <v>0</v>
      </c>
      <c r="Q271" s="24">
        <f>Data!R298</f>
        <v>3</v>
      </c>
      <c r="R271" s="24">
        <f>Data!S298</f>
        <v>0</v>
      </c>
      <c r="S271" s="24">
        <f>'TMT E DK'!E298</f>
        <v>0</v>
      </c>
      <c r="T271" s="24">
        <f>'TMT E DD'!E298</f>
        <v>0</v>
      </c>
      <c r="U271" s="24">
        <f>TA!E298</f>
        <v>24021114000000</v>
      </c>
      <c r="V271" s="109">
        <f>PR!F298</f>
        <v>9.6601537907940738E-2</v>
      </c>
      <c r="W271" s="109">
        <f>'Z Score'!I298</f>
        <v>-0.12872433476648917</v>
      </c>
      <c r="X271" s="109">
        <f>'Z Score'!L298</f>
        <v>0.1388713237862324</v>
      </c>
      <c r="Y271" s="109">
        <f>'Z Score'!O298</f>
        <v>4.6577343581983746E-2</v>
      </c>
      <c r="Z271" s="109">
        <f>'Z Score'!R298</f>
        <v>7.1187183523575739E-2</v>
      </c>
      <c r="AA271" s="109">
        <f>'Z Score'!S298</f>
        <v>0.12791151612530272</v>
      </c>
    </row>
    <row r="272" spans="1:27" ht="15" customHeight="1" x14ac:dyDescent="0.3">
      <c r="A272" s="22"/>
      <c r="B272" s="23">
        <v>28</v>
      </c>
      <c r="C272" s="4" t="s">
        <v>149</v>
      </c>
      <c r="D272" s="23">
        <v>2015</v>
      </c>
      <c r="E272" s="25">
        <f>'Current Ratio'!G300</f>
        <v>522.36842105263156</v>
      </c>
      <c r="F272" s="25">
        <f>'Cash Ratio'!G300</f>
        <v>0.13157894736842105</v>
      </c>
      <c r="G272" s="25">
        <f>DAR!G300</f>
        <v>1.8768830570144387E-3</v>
      </c>
      <c r="H272" s="25">
        <f>DER!G300</f>
        <v>1.8804123711340206E-3</v>
      </c>
      <c r="I272" s="25">
        <f>NPM!G300</f>
        <v>0.28191249436175009</v>
      </c>
      <c r="J272" s="25">
        <f>ROA!G300</f>
        <v>1.0289929040649336E-2</v>
      </c>
      <c r="K272" s="25">
        <f>ROE!G300</f>
        <v>1.0309278350515464E-2</v>
      </c>
      <c r="L272" s="25">
        <f>KM!E300</f>
        <v>0</v>
      </c>
      <c r="M272" s="24">
        <f>KI!E300</f>
        <v>0</v>
      </c>
      <c r="N272" s="108">
        <f>IO!E300</f>
        <v>0</v>
      </c>
      <c r="O272" s="24">
        <f>'BoC Size'!E300</f>
        <v>0</v>
      </c>
      <c r="P272" s="24">
        <f>'TMT E DK'!E300</f>
        <v>0</v>
      </c>
      <c r="Q272" s="24">
        <f>Data!R300</f>
        <v>0</v>
      </c>
      <c r="R272" s="24">
        <f>Data!S300</f>
        <v>0</v>
      </c>
      <c r="S272" s="24">
        <f>'TMT E DK'!E300</f>
        <v>0</v>
      </c>
      <c r="T272" s="24">
        <f>'TMT E DD'!E300</f>
        <v>0</v>
      </c>
      <c r="U272" s="24">
        <f>TA!E300</f>
        <v>60739000000</v>
      </c>
      <c r="V272" s="109">
        <f>PR!F300</f>
        <v>0</v>
      </c>
      <c r="W272" s="109">
        <f>'Z Score'!I300</f>
        <v>6.4192719669405154</v>
      </c>
      <c r="X272" s="109">
        <f>'Z Score'!L300</f>
        <v>3.3545168672516834E-2</v>
      </c>
      <c r="Y272" s="109">
        <f>'Z Score'!O300</f>
        <v>7.0918520225884518E-2</v>
      </c>
      <c r="Z272" s="109">
        <f>'Z Score'!R300</f>
        <v>558.38815789473688</v>
      </c>
      <c r="AA272" s="109">
        <f>'Z Score'!S300</f>
        <v>564.91189355057577</v>
      </c>
    </row>
    <row r="273" spans="1:27" ht="15" customHeight="1" x14ac:dyDescent="0.3">
      <c r="A273" s="22"/>
      <c r="B273" s="23"/>
      <c r="C273" s="4"/>
      <c r="D273" s="23">
        <v>2016</v>
      </c>
      <c r="E273" s="25">
        <f>'Current Ratio'!G301</f>
        <v>2.7557357253751942</v>
      </c>
      <c r="F273" s="25">
        <f>'Cash Ratio'!G301</f>
        <v>1.344143522511644</v>
      </c>
      <c r="G273" s="25">
        <f>DAR!G301</f>
        <v>0.11201457006826135</v>
      </c>
      <c r="H273" s="25">
        <f>DER!G301</f>
        <v>0.12717148857882482</v>
      </c>
      <c r="I273" s="25">
        <f>NPM!G301</f>
        <v>7.109394263170872E-2</v>
      </c>
      <c r="J273" s="25">
        <f>ROA!G301</f>
        <v>1.2404634887856364E-2</v>
      </c>
      <c r="K273" s="25">
        <f>ROE!G301</f>
        <v>1.4083131176633399E-2</v>
      </c>
      <c r="L273" s="25">
        <f>KM!E301</f>
        <v>0</v>
      </c>
      <c r="M273" s="24">
        <f>KI!E301</f>
        <v>0</v>
      </c>
      <c r="N273" s="108">
        <f>IO!E301</f>
        <v>0</v>
      </c>
      <c r="O273" s="24">
        <f>'BoC Size'!E301</f>
        <v>0</v>
      </c>
      <c r="P273" s="24">
        <f>'TMT E DK'!E301</f>
        <v>0</v>
      </c>
      <c r="Q273" s="24">
        <f>Data!R301</f>
        <v>0</v>
      </c>
      <c r="R273" s="24">
        <f>Data!S301</f>
        <v>0</v>
      </c>
      <c r="S273" s="24">
        <f>'TMT E DK'!E301</f>
        <v>0</v>
      </c>
      <c r="T273" s="24">
        <f>'TMT E DD'!E301</f>
        <v>0</v>
      </c>
      <c r="U273" s="24">
        <f>TA!E301</f>
        <v>69732000000</v>
      </c>
      <c r="V273" s="109">
        <f>PR!F301</f>
        <v>4.4880469102390617</v>
      </c>
      <c r="W273" s="109">
        <f>'Z Score'!I301</f>
        <v>0.95748981816095913</v>
      </c>
      <c r="X273" s="109">
        <f>'Z Score'!L301</f>
        <v>6.965811965811966E-2</v>
      </c>
      <c r="Y273" s="109">
        <f>'Z Score'!O301</f>
        <v>8.3455515401824124E-2</v>
      </c>
      <c r="Z273" s="109">
        <f>'Z Score'!R301</f>
        <v>8.2565676609909104</v>
      </c>
      <c r="AA273" s="109">
        <f>'Z Score'!S301</f>
        <v>9.3671711142118141</v>
      </c>
    </row>
    <row r="274" spans="1:27" ht="15" customHeight="1" x14ac:dyDescent="0.3">
      <c r="A274" s="22"/>
      <c r="B274" s="23"/>
      <c r="C274" s="4"/>
      <c r="D274" s="23">
        <v>2017</v>
      </c>
      <c r="E274" s="25">
        <f>'Current Ratio'!G302</f>
        <v>3.1578652315281981</v>
      </c>
      <c r="F274" s="25">
        <f>'Cash Ratio'!G302</f>
        <v>1.5956945845946855</v>
      </c>
      <c r="G274" s="25">
        <f>DAR!G302</f>
        <v>0.18094040868727934</v>
      </c>
      <c r="H274" s="25">
        <f>DER!G302</f>
        <v>0.22286646131545571</v>
      </c>
      <c r="I274" s="25">
        <f>NPM!G302</f>
        <v>3.5676061362825542E-2</v>
      </c>
      <c r="J274" s="25">
        <f>ROA!G302</f>
        <v>6.6866374237723337E-3</v>
      </c>
      <c r="K274" s="25">
        <f>ROE!G302</f>
        <v>8.2360111350870541E-3</v>
      </c>
      <c r="L274" s="25">
        <f>KM!E302</f>
        <v>0</v>
      </c>
      <c r="M274" s="24">
        <f>KI!E302</f>
        <v>0</v>
      </c>
      <c r="N274" s="108">
        <f>IO!E302</f>
        <v>0</v>
      </c>
      <c r="O274" s="24">
        <f>'BoC Size'!E302</f>
        <v>0</v>
      </c>
      <c r="P274" s="24">
        <f>'TMT E DK'!E302</f>
        <v>0</v>
      </c>
      <c r="Q274" s="24">
        <f>Data!R302</f>
        <v>0</v>
      </c>
      <c r="R274" s="24">
        <f>Data!S302</f>
        <v>0</v>
      </c>
      <c r="S274" s="24">
        <f>'TMT E DK'!E302</f>
        <v>0</v>
      </c>
      <c r="T274" s="24">
        <f>'TMT E DD'!E302</f>
        <v>0</v>
      </c>
      <c r="U274" s="24">
        <f>TA!E302</f>
        <v>74776000000</v>
      </c>
      <c r="V274" s="109">
        <f>PR!F302</f>
        <v>0.15188624969178927</v>
      </c>
      <c r="W274" s="109">
        <f>'Z Score'!I302</f>
        <v>1.688426233015941</v>
      </c>
      <c r="X274" s="109">
        <f>'Z Score'!L302</f>
        <v>3.4615919546378514E-2</v>
      </c>
      <c r="Y274" s="109">
        <f>'Z Score'!O302</f>
        <v>4.1519204022681076E-2</v>
      </c>
      <c r="Z274" s="109">
        <f>'Z Score'!R302</f>
        <v>4.7113414634146347</v>
      </c>
      <c r="AA274" s="109">
        <f>'Z Score'!S302</f>
        <v>6.4759028199996349</v>
      </c>
    </row>
    <row r="275" spans="1:27" ht="15" customHeight="1" x14ac:dyDescent="0.3">
      <c r="A275" s="22"/>
      <c r="B275" s="23"/>
      <c r="C275" s="4"/>
      <c r="D275" s="23">
        <v>2018</v>
      </c>
      <c r="E275" s="25">
        <f>'Current Ratio'!G303</f>
        <v>1.7118238391574916</v>
      </c>
      <c r="F275" s="25">
        <f>'Cash Ratio'!G303</f>
        <v>1.2112653582256263</v>
      </c>
      <c r="G275" s="25">
        <f>DAR!G303</f>
        <v>0.31918895618975113</v>
      </c>
      <c r="H275" s="25">
        <f>DER!G303</f>
        <v>0.47795399678111589</v>
      </c>
      <c r="I275" s="25">
        <f>NPM!G303</f>
        <v>-0.1640795111329634</v>
      </c>
      <c r="J275" s="25">
        <f>ROA!G303</f>
        <v>-2.6154035625916679E-2</v>
      </c>
      <c r="K275" s="25">
        <f>ROE!G303</f>
        <v>-3.9163090128755365E-2</v>
      </c>
      <c r="L275" s="25">
        <f>KM!E303</f>
        <v>0</v>
      </c>
      <c r="M275" s="24">
        <f>KI!E303</f>
        <v>0</v>
      </c>
      <c r="N275" s="108">
        <f>IO!E303</f>
        <v>0</v>
      </c>
      <c r="O275" s="24">
        <f>'BoC Size'!E303</f>
        <v>0</v>
      </c>
      <c r="P275" s="24">
        <f>'TMT E DK'!E303</f>
        <v>0</v>
      </c>
      <c r="Q275" s="24">
        <f>Data!R303</f>
        <v>0</v>
      </c>
      <c r="R275" s="24">
        <f>Data!S303</f>
        <v>0</v>
      </c>
      <c r="S275" s="24">
        <f>'TMT E DK'!E303</f>
        <v>0</v>
      </c>
      <c r="T275" s="24">
        <f>'TMT E DD'!E303</f>
        <v>0</v>
      </c>
      <c r="U275" s="24">
        <f>TA!E303</f>
        <v>89317000000</v>
      </c>
      <c r="V275" s="109">
        <f>PR!F303</f>
        <v>1.5840171245094542E-2</v>
      </c>
      <c r="W275" s="109">
        <f>'Z Score'!I303</f>
        <v>0.98293135685255884</v>
      </c>
      <c r="X275" s="109">
        <f>'Z Score'!L303</f>
        <v>-7.0917966344592853E-2</v>
      </c>
      <c r="Y275" s="109">
        <f>'Z Score'!O303</f>
        <v>-0.17575511940616007</v>
      </c>
      <c r="Z275" s="109">
        <f>'Z Score'!R303</f>
        <v>2.1968641481637379</v>
      </c>
      <c r="AA275" s="109">
        <f>'Z Score'!S303</f>
        <v>2.9331224192655436</v>
      </c>
    </row>
    <row r="276" spans="1:27" ht="15" customHeight="1" x14ac:dyDescent="0.3">
      <c r="A276" s="22"/>
      <c r="B276" s="23"/>
      <c r="C276" s="4"/>
      <c r="D276" s="23">
        <v>2019</v>
      </c>
      <c r="E276" s="25">
        <f>'Current Ratio'!G304</f>
        <v>2.4846997887275948</v>
      </c>
      <c r="F276" s="25">
        <f>'Cash Ratio'!G304</f>
        <v>0.98228037892728137</v>
      </c>
      <c r="G276" s="25">
        <f>DAR!G304</f>
        <v>0.37537142857142858</v>
      </c>
      <c r="H276" s="25">
        <f>DER!G304</f>
        <v>0.60799679141085372</v>
      </c>
      <c r="I276" s="25">
        <f>NPM!G304</f>
        <v>0.13215088683487383</v>
      </c>
      <c r="J276" s="25">
        <f>ROA!G304</f>
        <v>2.519047619047619E-2</v>
      </c>
      <c r="K276" s="25">
        <f>ROE!G304</f>
        <v>4.0801530250208252E-2</v>
      </c>
      <c r="L276" s="25">
        <f>KM!E304</f>
        <v>0.99</v>
      </c>
      <c r="M276" s="24">
        <f>KI!E304</f>
        <v>2</v>
      </c>
      <c r="N276" s="108">
        <f>IO!E304</f>
        <v>0</v>
      </c>
      <c r="O276" s="24">
        <f>'BoC Size'!E304</f>
        <v>3</v>
      </c>
      <c r="P276" s="24">
        <f>'TMT E DK'!E304</f>
        <v>0</v>
      </c>
      <c r="Q276" s="24">
        <f>Data!R304</f>
        <v>3</v>
      </c>
      <c r="R276" s="24">
        <f>Data!S304</f>
        <v>3</v>
      </c>
      <c r="S276" s="24">
        <f>'TMT E DK'!E304</f>
        <v>0</v>
      </c>
      <c r="T276" s="24">
        <f>'TMT E DD'!E304</f>
        <v>0</v>
      </c>
      <c r="U276" s="24">
        <f>TA!E304</f>
        <v>105000000000</v>
      </c>
      <c r="V276" s="109">
        <f>PR!F304</f>
        <v>0.40584392779377676</v>
      </c>
      <c r="W276" s="109">
        <f>'Z Score'!I304</f>
        <v>1.3610438095238095</v>
      </c>
      <c r="X276" s="109">
        <f>'Z Score'!L304</f>
        <v>3.8623238095238092E-2</v>
      </c>
      <c r="Y276" s="109">
        <f>'Z Score'!O304</f>
        <v>0.16927999999999999</v>
      </c>
      <c r="Z276" s="109">
        <f>'Z Score'!R304</f>
        <v>1.7269827979905619</v>
      </c>
      <c r="AA276" s="109">
        <f>'Z Score'!S304</f>
        <v>3.2959298456096091</v>
      </c>
    </row>
    <row r="277" spans="1:27" ht="15" customHeight="1" x14ac:dyDescent="0.3">
      <c r="A277" s="22"/>
      <c r="B277" s="23"/>
      <c r="C277" s="4"/>
      <c r="D277" s="23">
        <v>2020</v>
      </c>
      <c r="E277" s="25">
        <f>'Current Ratio'!G305</f>
        <v>2.2821959979476656</v>
      </c>
      <c r="F277" s="25">
        <f>'Cash Ratio'!G305</f>
        <v>1.1924996501702505</v>
      </c>
      <c r="G277" s="25">
        <f>DAR!G305</f>
        <v>0.44370413684617982</v>
      </c>
      <c r="H277" s="25">
        <f>DER!G305</f>
        <v>0.82565784432422495</v>
      </c>
      <c r="I277" s="25">
        <f>NPM!G305</f>
        <v>2.9567519858781994E-2</v>
      </c>
      <c r="J277" s="25">
        <f>ROA!G305</f>
        <v>4.9661920096194237E-3</v>
      </c>
      <c r="K277" s="25">
        <f>ROE!G305</f>
        <v>9.2412376821811165E-3</v>
      </c>
      <c r="L277" s="25">
        <f>KM!E305</f>
        <v>0.99</v>
      </c>
      <c r="M277" s="24">
        <f>KI!E305</f>
        <v>2</v>
      </c>
      <c r="N277" s="108">
        <f>IO!E305</f>
        <v>0</v>
      </c>
      <c r="O277" s="24">
        <f>'BoC Size'!E305</f>
        <v>3</v>
      </c>
      <c r="P277" s="24">
        <f>'TMT E DK'!E305</f>
        <v>0</v>
      </c>
      <c r="Q277" s="24">
        <f>Data!R305</f>
        <v>3</v>
      </c>
      <c r="R277" s="24">
        <f>Data!S305</f>
        <v>4</v>
      </c>
      <c r="S277" s="24">
        <f>'TMT E DK'!E305</f>
        <v>0</v>
      </c>
      <c r="T277" s="24">
        <f>'TMT E DD'!E305</f>
        <v>0</v>
      </c>
      <c r="U277" s="24">
        <f>TA!E305</f>
        <v>121421000000</v>
      </c>
      <c r="V277" s="109">
        <f>PR!F305</f>
        <v>1.8935798151386459E-2</v>
      </c>
      <c r="W277" s="109">
        <f>'Z Score'!I305</f>
        <v>1.4851454031839633</v>
      </c>
      <c r="X277" s="109">
        <f>'Z Score'!L305</f>
        <v>4.2743182810222283E-2</v>
      </c>
      <c r="Y277" s="109">
        <f>'Z Score'!O305</f>
        <v>3.7579001984829642E-2</v>
      </c>
      <c r="Z277" s="109">
        <f>'Z Score'!R305</f>
        <v>1.2717132250580048</v>
      </c>
      <c r="AA277" s="109">
        <f>'Z Score'!S305</f>
        <v>2.83718081303702</v>
      </c>
    </row>
    <row r="278" spans="1:27" ht="15" customHeight="1" x14ac:dyDescent="0.3">
      <c r="A278" s="22"/>
      <c r="B278" s="23"/>
      <c r="C278" s="4"/>
      <c r="D278" s="23">
        <v>2021</v>
      </c>
      <c r="E278" s="25">
        <f>'Current Ratio'!G306</f>
        <v>2.1308157099697884</v>
      </c>
      <c r="F278" s="25">
        <f>'Cash Ratio'!G306</f>
        <v>1.3393084927828129</v>
      </c>
      <c r="G278" s="25">
        <f>DAR!G306</f>
        <v>0.49949312506246696</v>
      </c>
      <c r="H278" s="25">
        <f>DER!G306</f>
        <v>1.0645750281488695</v>
      </c>
      <c r="I278" s="25">
        <f>NPM!G306</f>
        <v>1.4890646812470917E-2</v>
      </c>
      <c r="J278" s="25">
        <f>ROA!G306</f>
        <v>2.0560560846409753E-3</v>
      </c>
      <c r="K278" s="25">
        <f>ROE!G306</f>
        <v>4.3820942758893517E-3</v>
      </c>
      <c r="L278" s="25">
        <f>KM!E306</f>
        <v>0.99</v>
      </c>
      <c r="M278" s="24">
        <f>KI!E306</f>
        <v>2</v>
      </c>
      <c r="N278" s="108">
        <f>IO!E306</f>
        <v>0</v>
      </c>
      <c r="O278" s="24">
        <f>'BoC Size'!E306</f>
        <v>3</v>
      </c>
      <c r="P278" s="24">
        <f>'TMT E DK'!E306</f>
        <v>0</v>
      </c>
      <c r="Q278" s="24">
        <f>Data!R306</f>
        <v>3</v>
      </c>
      <c r="R278" s="24">
        <f>Data!S306</f>
        <v>4</v>
      </c>
      <c r="S278" s="24">
        <f>'TMT E DK'!E306</f>
        <v>0</v>
      </c>
      <c r="T278" s="24">
        <f>'TMT E DD'!E306</f>
        <v>0</v>
      </c>
      <c r="U278" s="24">
        <f>TA!E306</f>
        <v>140074000000</v>
      </c>
      <c r="V278" s="109">
        <f>PR!F306</f>
        <v>-5.1632833186231242E-2</v>
      </c>
      <c r="W278" s="109">
        <f>'Z Score'!I306</f>
        <v>1.5776426745862902</v>
      </c>
      <c r="X278" s="109">
        <f>'Z Score'!L306</f>
        <v>2.1993374930393932E-2</v>
      </c>
      <c r="Y278" s="109">
        <f>'Z Score'!O306</f>
        <v>1.9525679283807131E-2</v>
      </c>
      <c r="Z278" s="109">
        <f>'Z Score'!R306</f>
        <v>0.98630906440270993</v>
      </c>
      <c r="AA278" s="109">
        <f>'Z Score'!S306</f>
        <v>2.6054707932032013</v>
      </c>
    </row>
    <row r="279" spans="1:27" ht="15" customHeight="1" x14ac:dyDescent="0.3">
      <c r="A279" s="22"/>
      <c r="B279" s="23"/>
      <c r="C279" s="4"/>
      <c r="D279" s="23">
        <v>2022</v>
      </c>
      <c r="E279" s="25">
        <f>'Current Ratio'!G307</f>
        <v>2.3559614909898792</v>
      </c>
      <c r="F279" s="25">
        <f>'Cash Ratio'!G307</f>
        <v>1.4689891384843248</v>
      </c>
      <c r="G279" s="25">
        <f>DAR!G307</f>
        <v>0.52891962127447234</v>
      </c>
      <c r="H279" s="25">
        <f>DER!G307</f>
        <v>1.227215998797083</v>
      </c>
      <c r="I279" s="25">
        <f>NPM!G307</f>
        <v>4.8208841463414635E-2</v>
      </c>
      <c r="J279" s="25">
        <f>ROA!G307</f>
        <v>6.5583544492472797E-3</v>
      </c>
      <c r="K279" s="25">
        <f>ROE!G307</f>
        <v>1.5216900984888355E-2</v>
      </c>
      <c r="L279" s="25">
        <f>KM!E307</f>
        <v>0.99</v>
      </c>
      <c r="M279" s="24">
        <f>KI!E307</f>
        <v>2</v>
      </c>
      <c r="N279" s="108">
        <f>IO!E307</f>
        <v>0</v>
      </c>
      <c r="O279" s="24">
        <f>'BoC Size'!E307</f>
        <v>3</v>
      </c>
      <c r="P279" s="24">
        <f>'TMT E DK'!E307</f>
        <v>0</v>
      </c>
      <c r="Q279" s="24">
        <f>Data!R307</f>
        <v>3</v>
      </c>
      <c r="R279" s="24">
        <f>Data!S307</f>
        <v>4</v>
      </c>
      <c r="S279" s="24">
        <f>'TMT E DK'!E307</f>
        <v>0</v>
      </c>
      <c r="T279" s="24">
        <f>'TMT E DD'!E307</f>
        <v>0</v>
      </c>
      <c r="U279" s="24">
        <f>TA!E307</f>
        <v>154307000000</v>
      </c>
      <c r="V279" s="109">
        <f>PR!F307</f>
        <v>8.5362700997880153E-2</v>
      </c>
      <c r="W279" s="109">
        <f>'Z Score'!I307</f>
        <v>1.8681760386761455</v>
      </c>
      <c r="X279" s="109">
        <f>'Z Score'!L307</f>
        <v>3.1352044949354209E-2</v>
      </c>
      <c r="Y279" s="109">
        <f>'Z Score'!O307</f>
        <v>4.1894664532393211E-2</v>
      </c>
      <c r="Z279" s="109">
        <f>'Z Score'!R307</f>
        <v>0.85559510390119586</v>
      </c>
      <c r="AA279" s="109">
        <f>'Z Score'!S307</f>
        <v>2.7970178520590889</v>
      </c>
    </row>
    <row r="280" spans="1:27" ht="15" customHeight="1" x14ac:dyDescent="0.3">
      <c r="A280" s="22"/>
      <c r="B280" s="23"/>
      <c r="C280" s="4"/>
      <c r="D280" s="23">
        <v>2023</v>
      </c>
      <c r="E280" s="25">
        <f>'Current Ratio'!G308</f>
        <v>1.952051576529547</v>
      </c>
      <c r="F280" s="25">
        <f>'Cash Ratio'!G308</f>
        <v>1.3192733347254124</v>
      </c>
      <c r="G280" s="25">
        <f>DAR!G308</f>
        <v>0.49889482052143791</v>
      </c>
      <c r="H280" s="25">
        <f>DER!G308</f>
        <v>1.135259945584234</v>
      </c>
      <c r="I280" s="25">
        <f>NPM!G308</f>
        <v>6.8229001724198601E-2</v>
      </c>
      <c r="J280" s="25">
        <f>ROA!G308</f>
        <v>1.2531830461590166E-2</v>
      </c>
      <c r="K280" s="25">
        <f>ROE!G308</f>
        <v>2.851680270608133E-2</v>
      </c>
      <c r="L280" s="25">
        <f>KM!E308</f>
        <v>0.99</v>
      </c>
      <c r="M280" s="24">
        <f>KI!E308</f>
        <v>2</v>
      </c>
      <c r="N280" s="108">
        <f>IO!E308</f>
        <v>0</v>
      </c>
      <c r="O280" s="24">
        <f>'BoC Size'!E308</f>
        <v>3</v>
      </c>
      <c r="P280" s="24">
        <f>'TMT E DK'!E308</f>
        <v>0</v>
      </c>
      <c r="Q280" s="24">
        <f>Data!R308</f>
        <v>3</v>
      </c>
      <c r="R280" s="24">
        <f>Data!S308</f>
        <v>3</v>
      </c>
      <c r="S280" s="24">
        <f>'TMT E DK'!E308</f>
        <v>0</v>
      </c>
      <c r="T280" s="24">
        <f>'TMT E DD'!E308</f>
        <v>0</v>
      </c>
      <c r="U280" s="24">
        <f>TA!E308</f>
        <v>154726000000</v>
      </c>
      <c r="V280" s="109">
        <f>PR!F308</f>
        <v>0.35380144817073172</v>
      </c>
      <c r="W280" s="109">
        <f>'Z Score'!I308</f>
        <v>1.5464498532890398</v>
      </c>
      <c r="X280" s="109">
        <f>'Z Score'!L308</f>
        <v>5.6487338908780681E-2</v>
      </c>
      <c r="Y280" s="109">
        <f>'Z Score'!O308</f>
        <v>8.4561353618654911E-2</v>
      </c>
      <c r="Z280" s="109">
        <f>'Z Score'!R308</f>
        <v>0.92489830552388852</v>
      </c>
      <c r="AA280" s="109">
        <f>'Z Score'!S308</f>
        <v>2.6123968513403639</v>
      </c>
    </row>
    <row r="281" spans="1:27" ht="15" customHeight="1" x14ac:dyDescent="0.3">
      <c r="A281" s="22"/>
      <c r="B281" s="23"/>
      <c r="C281" s="4"/>
      <c r="D281" s="23">
        <v>2024</v>
      </c>
      <c r="E281" s="25">
        <f>'Current Ratio'!G309</f>
        <v>1.9771125880765579</v>
      </c>
      <c r="F281" s="25">
        <f>'Cash Ratio'!G309</f>
        <v>1.2751986407475888</v>
      </c>
      <c r="G281" s="25">
        <f>DAR!G309</f>
        <v>0.39527094228239595</v>
      </c>
      <c r="H281" s="25">
        <f>DER!G309</f>
        <v>0.85289231024838696</v>
      </c>
      <c r="I281" s="25">
        <f>NPM!G309</f>
        <v>0.22265398925175692</v>
      </c>
      <c r="J281" s="25">
        <f>ROA!G309</f>
        <v>3.4559979466777892E-2</v>
      </c>
      <c r="K281" s="25">
        <f>ROE!G309</f>
        <v>7.4571483953147069E-2</v>
      </c>
      <c r="L281" s="25">
        <f>KM!E309</f>
        <v>0.99</v>
      </c>
      <c r="M281" s="24">
        <f>KI!E309</f>
        <v>2</v>
      </c>
      <c r="N281" s="108">
        <f>IO!E309</f>
        <v>0</v>
      </c>
      <c r="O281" s="24">
        <f>'BoC Size'!E309</f>
        <v>3</v>
      </c>
      <c r="P281" s="24">
        <f>'TMT E DK'!E309</f>
        <v>0</v>
      </c>
      <c r="Q281" s="24">
        <f>Data!R309</f>
        <v>3</v>
      </c>
      <c r="R281" s="24">
        <f>Data!S309</f>
        <v>3</v>
      </c>
      <c r="S281" s="24">
        <f>'TMT E DK'!E309</f>
        <v>0</v>
      </c>
      <c r="T281" s="24">
        <f>'TMT E DD'!E309</f>
        <v>0</v>
      </c>
      <c r="U281" s="24">
        <f>TA!E309</f>
        <v>155845000000</v>
      </c>
      <c r="V281" s="109">
        <f>PR!F309</f>
        <v>-0.1488088954572645</v>
      </c>
      <c r="W281" s="109">
        <f>'Z Score'!I309</f>
        <v>1.6460929769963746</v>
      </c>
      <c r="X281" s="109">
        <f>'Z Score'!L309</f>
        <v>0.14847752574673553</v>
      </c>
      <c r="Y281" s="109">
        <f>'Z Score'!O309</f>
        <v>0.24220372806313964</v>
      </c>
      <c r="Z281" s="109">
        <f>'Z Score'!R309</f>
        <v>1.231105014528985</v>
      </c>
      <c r="AA281" s="109">
        <f>'Z Score'!S309</f>
        <v>3.2678792453352346</v>
      </c>
    </row>
    <row r="282" spans="1:27" ht="15" customHeight="1" x14ac:dyDescent="0.3">
      <c r="A282" s="22"/>
      <c r="B282" s="23">
        <v>29</v>
      </c>
      <c r="C282" s="4" t="s">
        <v>55</v>
      </c>
      <c r="D282" s="23">
        <v>2015</v>
      </c>
      <c r="E282" s="25">
        <f>'Current Ratio'!G311</f>
        <v>1.1028271356170238</v>
      </c>
      <c r="F282" s="25">
        <f>'Cash Ratio'!G311</f>
        <v>0</v>
      </c>
      <c r="G282" s="25">
        <f>DAR!G311</f>
        <v>0.22597302801659352</v>
      </c>
      <c r="H282" s="25">
        <f>DER!G311</f>
        <v>1.4812344903601624</v>
      </c>
      <c r="I282" s="25">
        <f>NPM!G311</f>
        <v>4.8817563358169905E-2</v>
      </c>
      <c r="J282" s="25">
        <f>ROA!G311</f>
        <v>5.5208395959838877E-3</v>
      </c>
      <c r="K282" s="25">
        <f>ROE!G311</f>
        <v>3.6188646481813309E-2</v>
      </c>
      <c r="L282" s="25">
        <f>KM!E311</f>
        <v>0.57240000000000002</v>
      </c>
      <c r="M282" s="24">
        <f>KI!E311</f>
        <v>1</v>
      </c>
      <c r="N282" s="108">
        <f>IO!E311</f>
        <v>0</v>
      </c>
      <c r="O282" s="24">
        <f>'BoC Size'!E311</f>
        <v>4</v>
      </c>
      <c r="P282" s="24">
        <f>'TMT E DK'!E311</f>
        <v>0</v>
      </c>
      <c r="Q282" s="24">
        <f>Data!R311</f>
        <v>4</v>
      </c>
      <c r="R282" s="24">
        <f>Data!S311</f>
        <v>3</v>
      </c>
      <c r="S282" s="24">
        <f>'TMT E DK'!E311</f>
        <v>0</v>
      </c>
      <c r="T282" s="24">
        <f>'TMT E DD'!E311</f>
        <v>0</v>
      </c>
      <c r="U282" s="24">
        <f>TA!E311</f>
        <v>1064512000000</v>
      </c>
      <c r="V282" s="109">
        <f>PR!F311</f>
        <v>-8.0516921384872722E-2</v>
      </c>
      <c r="W282" s="109">
        <f>'Z Score'!I311</f>
        <v>2.0755125353213489E-2</v>
      </c>
      <c r="X282" s="109">
        <f>'Z Score'!L311</f>
        <v>8.1880354566223765E-2</v>
      </c>
      <c r="Y282" s="109">
        <f>'Z Score'!O311</f>
        <v>0.12874225936391509</v>
      </c>
      <c r="Z282" s="109">
        <f>'Z Score'!R311</f>
        <v>0.7088681817992859</v>
      </c>
      <c r="AA282" s="109">
        <f>'Z Score'!S311</f>
        <v>0.94024592108263827</v>
      </c>
    </row>
    <row r="283" spans="1:27" ht="15" customHeight="1" x14ac:dyDescent="0.3">
      <c r="A283" s="22"/>
      <c r="B283" s="23"/>
      <c r="C283" s="4"/>
      <c r="D283" s="23">
        <v>2016</v>
      </c>
      <c r="E283" s="25">
        <f>'Current Ratio'!G312</f>
        <v>1.9295085381091213</v>
      </c>
      <c r="F283" s="25">
        <f>'Cash Ratio'!G312</f>
        <v>1.3088990698320144</v>
      </c>
      <c r="G283" s="25">
        <f>DAR!G312</f>
        <v>0.22111133565811142</v>
      </c>
      <c r="H283" s="25">
        <f>DER!G312</f>
        <v>1.3836459034037401</v>
      </c>
      <c r="I283" s="25">
        <f>NPM!G312</f>
        <v>0.17699503179800516</v>
      </c>
      <c r="J283" s="25">
        <f>ROA!G312</f>
        <v>2.0128393108222578E-2</v>
      </c>
      <c r="K283" s="25">
        <f>ROE!G312</f>
        <v>0.12595721781245794</v>
      </c>
      <c r="L283" s="25">
        <f>KM!E312</f>
        <v>0.57240000000000002</v>
      </c>
      <c r="M283" s="24">
        <f>KI!E312</f>
        <v>1</v>
      </c>
      <c r="N283" s="108">
        <f>IO!E312</f>
        <v>0</v>
      </c>
      <c r="O283" s="24">
        <f>'BoC Size'!E312</f>
        <v>4</v>
      </c>
      <c r="P283" s="24">
        <f>'TMT E DK'!E312</f>
        <v>0</v>
      </c>
      <c r="Q283" s="24">
        <f>Data!R312</f>
        <v>4</v>
      </c>
      <c r="R283" s="24">
        <f>Data!S312</f>
        <v>3</v>
      </c>
      <c r="S283" s="24">
        <f>'TMT E DK'!E312</f>
        <v>0</v>
      </c>
      <c r="T283" s="24">
        <f>'TMT E DD'!E312</f>
        <v>0</v>
      </c>
      <c r="U283" s="24">
        <f>TA!E312</f>
        <v>1162835000000</v>
      </c>
      <c r="V283" s="109">
        <f>PR!F312</f>
        <v>9.8465781188998819E-2</v>
      </c>
      <c r="W283" s="109">
        <f>'Z Score'!I312</f>
        <v>0.15108193337833828</v>
      </c>
      <c r="X283" s="109">
        <f>'Z Score'!L312</f>
        <v>0.12167440780506261</v>
      </c>
      <c r="Y283" s="109">
        <f>'Z Score'!O312</f>
        <v>0.11831883285246832</v>
      </c>
      <c r="Z283" s="109">
        <f>'Z Score'!R312</f>
        <v>0.75886467586614603</v>
      </c>
      <c r="AA283" s="109">
        <f>'Z Score'!S312</f>
        <v>1.1499398499020153</v>
      </c>
    </row>
    <row r="284" spans="1:27" ht="15" customHeight="1" x14ac:dyDescent="0.3">
      <c r="A284" s="22"/>
      <c r="B284" s="23"/>
      <c r="C284" s="4"/>
      <c r="D284" s="23">
        <v>2017</v>
      </c>
      <c r="E284" s="25">
        <f>'Current Ratio'!G313</f>
        <v>1.7046185908241136</v>
      </c>
      <c r="F284" s="25">
        <f>'Cash Ratio'!G313</f>
        <v>0.96331484262465905</v>
      </c>
      <c r="G284" s="25">
        <f>DAR!G313</f>
        <v>0.19986305923501058</v>
      </c>
      <c r="H284" s="25">
        <f>DER!G313</f>
        <v>1.950899365154009</v>
      </c>
      <c r="I284" s="25">
        <f>NPM!G313</f>
        <v>0.15222582295753029</v>
      </c>
      <c r="J284" s="25">
        <f>ROA!G313</f>
        <v>9.6743772627745136E-3</v>
      </c>
      <c r="K284" s="25">
        <f>ROE!G313</f>
        <v>9.4433341170938156E-2</v>
      </c>
      <c r="L284" s="25">
        <f>KM!E313</f>
        <v>0.57240000000000002</v>
      </c>
      <c r="M284" s="24">
        <f>KI!E313</f>
        <v>1</v>
      </c>
      <c r="N284" s="108">
        <f>IO!E313</f>
        <v>0</v>
      </c>
      <c r="O284" s="24">
        <f>'BoC Size'!E313</f>
        <v>4</v>
      </c>
      <c r="P284" s="24">
        <f>'TMT E DK'!E313</f>
        <v>0</v>
      </c>
      <c r="Q284" s="24">
        <f>Data!R313</f>
        <v>4</v>
      </c>
      <c r="R284" s="24">
        <f>Data!S313</f>
        <v>2</v>
      </c>
      <c r="S284" s="24">
        <f>'TMT E DK'!E313</f>
        <v>0</v>
      </c>
      <c r="T284" s="24">
        <f>'TMT E DD'!E313</f>
        <v>0</v>
      </c>
      <c r="U284" s="24">
        <f>TA!E313</f>
        <v>1660572000000</v>
      </c>
      <c r="V284" s="109">
        <f>PR!F313</f>
        <v>-0.20195703299279347</v>
      </c>
      <c r="W284" s="109">
        <f>'Z Score'!I313</f>
        <v>9.082470377677089E-2</v>
      </c>
      <c r="X284" s="109">
        <f>'Z Score'!L313</f>
        <v>4.2416444454079681E-2</v>
      </c>
      <c r="Y284" s="109">
        <f>'Z Score'!O313</f>
        <v>5.4498233138942483E-2</v>
      </c>
      <c r="Z284" s="109">
        <f>'Z Score'!R313</f>
        <v>0.53821330754142227</v>
      </c>
      <c r="AA284" s="109">
        <f>'Z Score'!S313</f>
        <v>0.72595268891121534</v>
      </c>
    </row>
    <row r="285" spans="1:27" ht="15" customHeight="1" x14ac:dyDescent="0.3">
      <c r="A285" s="22"/>
      <c r="B285" s="23"/>
      <c r="C285" s="4"/>
      <c r="D285" s="23">
        <v>2018</v>
      </c>
      <c r="E285" s="25">
        <f>'Current Ratio'!G314</f>
        <v>0.86627739440357931</v>
      </c>
      <c r="F285" s="25">
        <f>'Cash Ratio'!G314</f>
        <v>0.25340107681807839</v>
      </c>
      <c r="G285" s="25">
        <f>DAR!G314</f>
        <v>0.21405904537432741</v>
      </c>
      <c r="H285" s="25">
        <f>DER!G314</f>
        <v>2.1162661801554217</v>
      </c>
      <c r="I285" s="25">
        <f>NPM!G314</f>
        <v>0.1168208228501095</v>
      </c>
      <c r="J285" s="25">
        <f>ROA!G314</f>
        <v>7.5380552658349965E-3</v>
      </c>
      <c r="K285" s="25">
        <f>ROE!G314</f>
        <v>7.4523977229426233E-2</v>
      </c>
      <c r="L285" s="25">
        <f>KM!E314</f>
        <v>0.57240000000000002</v>
      </c>
      <c r="M285" s="24">
        <f>KI!E314</f>
        <v>2</v>
      </c>
      <c r="N285" s="108">
        <f>IO!E314</f>
        <v>0</v>
      </c>
      <c r="O285" s="24">
        <f>'BoC Size'!E314</f>
        <v>4</v>
      </c>
      <c r="P285" s="24">
        <f>'TMT E DK'!E314</f>
        <v>0</v>
      </c>
      <c r="Q285" s="24">
        <f>Data!R314</f>
        <v>4</v>
      </c>
      <c r="R285" s="24">
        <f>Data!S314</f>
        <v>3</v>
      </c>
      <c r="S285" s="24">
        <f>'TMT E DK'!E314</f>
        <v>0</v>
      </c>
      <c r="T285" s="24">
        <f>'TMT E DD'!E314</f>
        <v>0</v>
      </c>
      <c r="U285" s="24">
        <f>TA!E314</f>
        <v>1712378000000</v>
      </c>
      <c r="V285" s="109">
        <f>PR!F314</f>
        <v>4.6999071389315292E-2</v>
      </c>
      <c r="W285" s="109">
        <f>'Z Score'!I314</f>
        <v>-3.3777308514825584E-2</v>
      </c>
      <c r="X285" s="109">
        <f>'Z Score'!L314</f>
        <v>4.752419150444586E-2</v>
      </c>
      <c r="Y285" s="109">
        <f>'Z Score'!O314</f>
        <v>3.9926511552939831E-2</v>
      </c>
      <c r="Z285" s="109">
        <f>'Z Score'!R314</f>
        <v>0.49615686809439369</v>
      </c>
      <c r="AA285" s="109">
        <f>'Z Score'!S314</f>
        <v>0.54983026263695378</v>
      </c>
    </row>
    <row r="286" spans="1:27" ht="15" customHeight="1" x14ac:dyDescent="0.3">
      <c r="A286" s="22"/>
      <c r="B286" s="23"/>
      <c r="C286" s="4"/>
      <c r="D286" s="23">
        <v>2019</v>
      </c>
      <c r="E286" s="25">
        <f>'Current Ratio'!G315</f>
        <v>1.1120302246967588</v>
      </c>
      <c r="F286" s="25">
        <f>'Cash Ratio'!G315</f>
        <v>0.22529329886657387</v>
      </c>
      <c r="G286" s="25">
        <f>DAR!G315</f>
        <v>0.25861589479550651</v>
      </c>
      <c r="H286" s="25">
        <f>DER!G315</f>
        <v>2.5308532208572325</v>
      </c>
      <c r="I286" s="25">
        <f>NPM!G315</f>
        <v>7.5174216027874566E-2</v>
      </c>
      <c r="J286" s="25">
        <f>ROA!G315</f>
        <v>5.2590059021857035E-3</v>
      </c>
      <c r="K286" s="25">
        <f>ROE!G315</f>
        <v>5.1465406009086279E-2</v>
      </c>
      <c r="L286" s="25">
        <f>KM!E315</f>
        <v>0.57240000000000002</v>
      </c>
      <c r="M286" s="24">
        <f>KI!E315</f>
        <v>2</v>
      </c>
      <c r="N286" s="108">
        <f>IO!E315</f>
        <v>0</v>
      </c>
      <c r="O286" s="24">
        <f>'BoC Size'!E315</f>
        <v>4</v>
      </c>
      <c r="P286" s="24">
        <f>'TMT E DK'!E315</f>
        <v>0</v>
      </c>
      <c r="Q286" s="24">
        <f>Data!R315</f>
        <v>4</v>
      </c>
      <c r="R286" s="24">
        <f>Data!S315</f>
        <v>3</v>
      </c>
      <c r="S286" s="24">
        <f>'TMT E DK'!E315</f>
        <v>0</v>
      </c>
      <c r="T286" s="24">
        <f>'TMT E DD'!E315</f>
        <v>0</v>
      </c>
      <c r="U286" s="24">
        <f>TA!E315</f>
        <v>1805094000000</v>
      </c>
      <c r="V286" s="109">
        <f>PR!F315</f>
        <v>0.14286748601734031</v>
      </c>
      <c r="W286" s="109">
        <f>'Z Score'!I315</f>
        <v>3.0712284235613212E-2</v>
      </c>
      <c r="X286" s="109">
        <f>'Z Score'!L315</f>
        <v>6.1427482446897497E-2</v>
      </c>
      <c r="Y286" s="109">
        <f>'Z Score'!O315</f>
        <v>3.5105983400310459E-2</v>
      </c>
      <c r="Z286" s="109">
        <f>'Z Score'!R315</f>
        <v>0.41487984816612616</v>
      </c>
      <c r="AA286" s="109">
        <f>'Z Score'!S315</f>
        <v>0.54212559824894735</v>
      </c>
    </row>
    <row r="287" spans="1:27" ht="15" customHeight="1" x14ac:dyDescent="0.3">
      <c r="A287" s="22"/>
      <c r="B287" s="23"/>
      <c r="C287" s="4"/>
      <c r="D287" s="23">
        <v>2020</v>
      </c>
      <c r="E287" s="25">
        <f>'Current Ratio'!G316</f>
        <v>1.0557930401190589</v>
      </c>
      <c r="F287" s="25">
        <f>'Cash Ratio'!G316</f>
        <v>0.36567873088249264</v>
      </c>
      <c r="G287" s="25">
        <f>DAR!G316</f>
        <v>0.27133384403752853</v>
      </c>
      <c r="H287" s="25">
        <f>DER!G316</f>
        <v>2.4921091255730907</v>
      </c>
      <c r="I287" s="25">
        <f>NPM!G316</f>
        <v>9.472934472934473E-2</v>
      </c>
      <c r="J287" s="25">
        <f>ROA!G316</f>
        <v>5.8428953083857083E-3</v>
      </c>
      <c r="K287" s="25">
        <f>ROE!G316</f>
        <v>5.3665007288151836E-2</v>
      </c>
      <c r="L287" s="25">
        <f>KM!E316</f>
        <v>0.57240000000000002</v>
      </c>
      <c r="M287" s="24">
        <f>KI!E316</f>
        <v>2</v>
      </c>
      <c r="N287" s="108">
        <f>IO!E316</f>
        <v>0</v>
      </c>
      <c r="O287" s="24">
        <f>'BoC Size'!E316</f>
        <v>3</v>
      </c>
      <c r="P287" s="24">
        <f>'TMT E DK'!E316</f>
        <v>0</v>
      </c>
      <c r="Q287" s="24">
        <f>Data!R316</f>
        <v>3</v>
      </c>
      <c r="R287" s="24">
        <f>Data!S316</f>
        <v>3</v>
      </c>
      <c r="S287" s="24">
        <f>'TMT E DK'!E316</f>
        <v>0</v>
      </c>
      <c r="T287" s="24">
        <f>'TMT E DD'!E316</f>
        <v>0</v>
      </c>
      <c r="U287" s="24">
        <f>TA!E316</f>
        <v>1821015000000</v>
      </c>
      <c r="V287" s="109">
        <f>PR!F316</f>
        <v>-0.11054798859676908</v>
      </c>
      <c r="W287" s="109">
        <f>'Z Score'!I316</f>
        <v>1.2694810311831587E-2</v>
      </c>
      <c r="X287" s="109">
        <f>'Z Score'!L316</f>
        <v>8.0330321276870301E-2</v>
      </c>
      <c r="Y287" s="109">
        <f>'Z Score'!O316</f>
        <v>4.1212708297295737E-2</v>
      </c>
      <c r="Z287" s="109">
        <f>'Z Score'!R316</f>
        <v>0.42132986442098108</v>
      </c>
      <c r="AA287" s="109">
        <f>'Z Score'!S316</f>
        <v>0.55556770430697866</v>
      </c>
    </row>
    <row r="288" spans="1:27" ht="15" customHeight="1" x14ac:dyDescent="0.3">
      <c r="A288" s="22"/>
      <c r="B288" s="23"/>
      <c r="C288" s="4"/>
      <c r="D288" s="23">
        <v>2021</v>
      </c>
      <c r="E288" s="25">
        <f>'Current Ratio'!G317</f>
        <v>1.1683902236736385</v>
      </c>
      <c r="F288" s="25">
        <f>'Cash Ratio'!G317</f>
        <v>0.23547935619314206</v>
      </c>
      <c r="G288" s="25">
        <f>DAR!G317</f>
        <v>0.31590905346404152</v>
      </c>
      <c r="H288" s="25">
        <f>DER!G317</f>
        <v>2.7149680701936556</v>
      </c>
      <c r="I288" s="25">
        <f>NPM!G317</f>
        <v>0.13652337510205531</v>
      </c>
      <c r="J288" s="25">
        <f>ROA!G317</f>
        <v>8.4488013839690256E-3</v>
      </c>
      <c r="K288" s="25">
        <f>ROE!G317</f>
        <v>7.2610220369942094E-2</v>
      </c>
      <c r="L288" s="25">
        <f>KM!E317</f>
        <v>0.57240000000000002</v>
      </c>
      <c r="M288" s="24">
        <f>KI!E317</f>
        <v>2</v>
      </c>
      <c r="N288" s="108">
        <f>IO!E317</f>
        <v>0</v>
      </c>
      <c r="O288" s="24">
        <f>'BoC Size'!E317</f>
        <v>3</v>
      </c>
      <c r="P288" s="24">
        <f>'TMT E DK'!E317</f>
        <v>0</v>
      </c>
      <c r="Q288" s="24">
        <f>Data!R317</f>
        <v>3</v>
      </c>
      <c r="R288" s="24">
        <f>Data!S317</f>
        <v>2</v>
      </c>
      <c r="S288" s="24">
        <f>'TMT E DK'!E317</f>
        <v>0</v>
      </c>
      <c r="T288" s="24">
        <f>'TMT E DD'!E317</f>
        <v>0</v>
      </c>
      <c r="U288" s="24">
        <f>TA!E317</f>
        <v>1820850000000</v>
      </c>
      <c r="V288" s="109">
        <f>PR!F317</f>
        <v>3.2407407407407406E-3</v>
      </c>
      <c r="W288" s="109">
        <f>'Z Score'!I317</f>
        <v>4.6813652964274928E-2</v>
      </c>
      <c r="X288" s="109">
        <f>'Z Score'!L317</f>
        <v>0.10699624900458576</v>
      </c>
      <c r="Y288" s="109">
        <f>'Z Score'!O317</f>
        <v>6.0359502430183704E-2</v>
      </c>
      <c r="Z288" s="109">
        <f>'Z Score'!R317</f>
        <v>0.38674487981182948</v>
      </c>
      <c r="AA288" s="109">
        <f>'Z Score'!S317</f>
        <v>0.60091428421087389</v>
      </c>
    </row>
    <row r="289" spans="1:27" ht="15" customHeight="1" x14ac:dyDescent="0.3">
      <c r="A289" s="22"/>
      <c r="B289" s="23"/>
      <c r="C289" s="4"/>
      <c r="D289" s="23">
        <v>2022</v>
      </c>
      <c r="E289" s="25">
        <f>'Current Ratio'!G318</f>
        <v>1.1267430392231241</v>
      </c>
      <c r="F289" s="25">
        <f>'Cash Ratio'!G318</f>
        <v>0.2983385175631591</v>
      </c>
      <c r="G289" s="25">
        <f>DAR!G318</f>
        <v>0.35121453813724018</v>
      </c>
      <c r="H289" s="25">
        <f>DER!G318</f>
        <v>2.9539052847066762</v>
      </c>
      <c r="I289" s="25">
        <f>NPM!G318</f>
        <v>2.5218625520809487E-2</v>
      </c>
      <c r="J289" s="25">
        <f>ROA!G318</f>
        <v>1.4929313441315168E-3</v>
      </c>
      <c r="K289" s="25">
        <f>ROE!G318</f>
        <v>1.2556364581386124E-2</v>
      </c>
      <c r="L289" s="25">
        <f>KM!E318</f>
        <v>0.57240000000000002</v>
      </c>
      <c r="M289" s="24">
        <f>KI!E318</f>
        <v>2</v>
      </c>
      <c r="N289" s="108">
        <f>IO!E318</f>
        <v>0</v>
      </c>
      <c r="O289" s="24">
        <f>'BoC Size'!E318</f>
        <v>4</v>
      </c>
      <c r="P289" s="24">
        <f>'TMT E DK'!E318</f>
        <v>0</v>
      </c>
      <c r="Q289" s="24">
        <f>Data!R318</f>
        <v>4</v>
      </c>
      <c r="R289" s="24">
        <f>Data!S318</f>
        <v>2</v>
      </c>
      <c r="S289" s="24">
        <f>'TMT E DK'!E318</f>
        <v>0</v>
      </c>
      <c r="T289" s="24">
        <f>'TMT E DD'!E318</f>
        <v>0</v>
      </c>
      <c r="U289" s="24">
        <f>TA!E318</f>
        <v>1844693000000</v>
      </c>
      <c r="V289" s="109">
        <f>PR!F318</f>
        <v>-3.0873948386638744E-2</v>
      </c>
      <c r="W289" s="109">
        <f>'Z Score'!I318</f>
        <v>2.9704498255265239E-2</v>
      </c>
      <c r="X289" s="109">
        <f>'Z Score'!L318</f>
        <v>0.11879685129178676</v>
      </c>
      <c r="Y289" s="109">
        <f>'Z Score'!O318</f>
        <v>1.4032383708291841E-2</v>
      </c>
      <c r="Z289" s="109">
        <f>'Z Score'!R318</f>
        <v>0.35546163427655925</v>
      </c>
      <c r="AA289" s="109">
        <f>'Z Score'!S318</f>
        <v>0.51799536753190312</v>
      </c>
    </row>
    <row r="290" spans="1:27" ht="15" customHeight="1" x14ac:dyDescent="0.3">
      <c r="A290" s="22"/>
      <c r="B290" s="23"/>
      <c r="C290" s="4"/>
      <c r="D290" s="23">
        <v>2023</v>
      </c>
      <c r="E290" s="25">
        <f>'Current Ratio'!G319</f>
        <v>1.2624819782163583</v>
      </c>
      <c r="F290" s="25">
        <f>'Cash Ratio'!G319</f>
        <v>0.12325082688183768</v>
      </c>
      <c r="G290" s="25">
        <f>DAR!G319</f>
        <v>0.37707164740349058</v>
      </c>
      <c r="H290" s="25">
        <f>DER!G319</f>
        <v>3.5787424102743426</v>
      </c>
      <c r="I290" s="25">
        <f>NPM!G319</f>
        <v>5.9465641793304123E-2</v>
      </c>
      <c r="J290" s="25">
        <f>ROA!G319</f>
        <v>3.9473507922613837E-3</v>
      </c>
      <c r="K290" s="25">
        <f>ROE!G319</f>
        <v>3.7463839526973332E-2</v>
      </c>
      <c r="L290" s="25">
        <f>KM!E319</f>
        <v>0.57240000000000002</v>
      </c>
      <c r="M290" s="24">
        <f>KI!E319</f>
        <v>2</v>
      </c>
      <c r="N290" s="108">
        <f>IO!E319</f>
        <v>0</v>
      </c>
      <c r="O290" s="24">
        <f>'BoC Size'!E319</f>
        <v>3</v>
      </c>
      <c r="P290" s="24">
        <f>'TMT E DK'!E319</f>
        <v>0</v>
      </c>
      <c r="Q290" s="24">
        <f>Data!R319</f>
        <v>3</v>
      </c>
      <c r="R290" s="24">
        <f>Data!S319</f>
        <v>3</v>
      </c>
      <c r="S290" s="24">
        <f>'TMT E DK'!E319</f>
        <v>0</v>
      </c>
      <c r="T290" s="24">
        <f>'TMT E DD'!E319</f>
        <v>0</v>
      </c>
      <c r="U290" s="24">
        <f>TA!E319</f>
        <v>1791328000000</v>
      </c>
      <c r="V290" s="109">
        <f>PR!F319</f>
        <v>8.8860400164827616E-2</v>
      </c>
      <c r="W290" s="109">
        <f>'Z Score'!I319</f>
        <v>7.9339127172689747E-2</v>
      </c>
      <c r="X290" s="109">
        <f>'Z Score'!L319</f>
        <v>6.6667623126529588E-2</v>
      </c>
      <c r="Y290" s="109">
        <f>'Z Score'!O319</f>
        <v>3.6872577216456169E-2</v>
      </c>
      <c r="Z290" s="109">
        <f>'Z Score'!R319</f>
        <v>0.29339915524110272</v>
      </c>
      <c r="AA290" s="109">
        <f>'Z Score'!S319</f>
        <v>0.4762784827567782</v>
      </c>
    </row>
    <row r="291" spans="1:27" ht="15" customHeight="1" x14ac:dyDescent="0.3">
      <c r="A291" s="22"/>
      <c r="B291" s="23"/>
      <c r="C291" s="4"/>
      <c r="D291" s="23">
        <v>2024</v>
      </c>
      <c r="E291" s="25">
        <f>'Current Ratio'!G320</f>
        <v>0.82602918152275451</v>
      </c>
      <c r="F291" s="25">
        <f>'Cash Ratio'!G320</f>
        <v>0.26108121620377073</v>
      </c>
      <c r="G291" s="25">
        <f>DAR!G320</f>
        <v>0.34045983760811288</v>
      </c>
      <c r="H291" s="25">
        <f>DER!G320</f>
        <v>2.9071742313323572</v>
      </c>
      <c r="I291" s="25">
        <f>NPM!G320</f>
        <v>3.7807898720242192E-2</v>
      </c>
      <c r="J291" s="25">
        <f>ROA!G320</f>
        <v>3.3059551713682024E-3</v>
      </c>
      <c r="K291" s="25">
        <f>ROE!G320</f>
        <v>2.8229431558398192E-2</v>
      </c>
      <c r="L291" s="25">
        <f>KM!E320</f>
        <v>0.57240000000000002</v>
      </c>
      <c r="M291" s="24">
        <f>KI!E320</f>
        <v>2</v>
      </c>
      <c r="N291" s="108">
        <f>IO!E320</f>
        <v>0</v>
      </c>
      <c r="O291" s="24">
        <f>'BoC Size'!E320</f>
        <v>4</v>
      </c>
      <c r="P291" s="24">
        <f>'TMT E DK'!E320</f>
        <v>0</v>
      </c>
      <c r="Q291" s="24">
        <f>Data!R320</f>
        <v>4</v>
      </c>
      <c r="R291" s="24">
        <f>Data!S320</f>
        <v>3</v>
      </c>
      <c r="S291" s="24">
        <f>'TMT E DK'!E320</f>
        <v>0</v>
      </c>
      <c r="T291" s="24">
        <f>'TMT E DD'!E320</f>
        <v>0</v>
      </c>
      <c r="U291" s="24">
        <f>TA!E320</f>
        <v>1662152000000</v>
      </c>
      <c r="V291" s="109">
        <f>PR!F320</f>
        <v>0.22227922192601066</v>
      </c>
      <c r="W291" s="109">
        <f>'Z Score'!I320</f>
        <v>-5.2187092395881957E-2</v>
      </c>
      <c r="X291" s="109">
        <f>'Z Score'!L320</f>
        <v>0.10305914260548973</v>
      </c>
      <c r="Y291" s="109">
        <f>'Z Score'!O320</f>
        <v>2.1892582627822243E-2</v>
      </c>
      <c r="Z291" s="109">
        <f>'Z Score'!R320</f>
        <v>0.36117546333601935</v>
      </c>
      <c r="AA291" s="109">
        <f>'Z Score'!S320</f>
        <v>0.43394009617344936</v>
      </c>
    </row>
    <row r="292" spans="1:27" ht="15" customHeight="1" x14ac:dyDescent="0.3">
      <c r="A292" s="22"/>
      <c r="B292" s="23">
        <v>30</v>
      </c>
      <c r="C292" s="3" t="s">
        <v>5</v>
      </c>
      <c r="D292" s="23">
        <v>2015</v>
      </c>
      <c r="E292" s="25">
        <f>'Current Ratio'!G322</f>
        <v>0</v>
      </c>
      <c r="F292" s="25">
        <f>'Cash Ratio'!G322</f>
        <v>0</v>
      </c>
      <c r="G292" s="25">
        <f>DAR!G322</f>
        <v>0</v>
      </c>
      <c r="H292" s="25">
        <f>DER!G322</f>
        <v>0</v>
      </c>
      <c r="I292" s="25">
        <f>NPM!G322</f>
        <v>0</v>
      </c>
      <c r="J292" s="25">
        <f>ROA!G322</f>
        <v>0</v>
      </c>
      <c r="K292" s="25">
        <f>ROE!G322</f>
        <v>0</v>
      </c>
      <c r="L292" s="25">
        <f>KM!E322</f>
        <v>0</v>
      </c>
      <c r="M292" s="24">
        <f>KI!E322</f>
        <v>0</v>
      </c>
      <c r="N292" s="108">
        <f>IO!E322</f>
        <v>0</v>
      </c>
      <c r="O292" s="24">
        <f>'BoC Size'!E322</f>
        <v>0</v>
      </c>
      <c r="P292" s="24">
        <f>'TMT E DK'!E322</f>
        <v>0</v>
      </c>
      <c r="Q292" s="24">
        <f>Data!R322</f>
        <v>0</v>
      </c>
      <c r="R292" s="24">
        <f>Data!S322</f>
        <v>0</v>
      </c>
      <c r="S292" s="24">
        <f>'TMT E DK'!E322</f>
        <v>0</v>
      </c>
      <c r="T292" s="24">
        <f>'TMT E DD'!E322</f>
        <v>0</v>
      </c>
      <c r="U292" s="24">
        <f>TA!E322</f>
        <v>0</v>
      </c>
      <c r="V292" s="109">
        <f>PR!F322</f>
        <v>0</v>
      </c>
      <c r="W292" s="109">
        <f>'Z Score'!I322</f>
        <v>0</v>
      </c>
      <c r="X292" s="109">
        <f>'Z Score'!L322</f>
        <v>0</v>
      </c>
      <c r="Y292" s="109">
        <f>'Z Score'!O322</f>
        <v>0</v>
      </c>
      <c r="Z292" s="109">
        <f>'Z Score'!R322</f>
        <v>0</v>
      </c>
      <c r="AA292" s="109">
        <f>'Z Score'!S322</f>
        <v>0</v>
      </c>
    </row>
    <row r="293" spans="1:27" ht="15" customHeight="1" x14ac:dyDescent="0.3">
      <c r="A293" s="22"/>
      <c r="B293" s="23"/>
      <c r="C293" s="3"/>
      <c r="D293" s="23">
        <v>2016</v>
      </c>
      <c r="E293" s="25">
        <f>'Current Ratio'!G323</f>
        <v>0</v>
      </c>
      <c r="F293" s="25">
        <f>'Cash Ratio'!G323</f>
        <v>0</v>
      </c>
      <c r="G293" s="25">
        <f>DAR!G323</f>
        <v>0</v>
      </c>
      <c r="H293" s="25">
        <f>DER!G323</f>
        <v>0</v>
      </c>
      <c r="I293" s="25">
        <f>NPM!G323</f>
        <v>0</v>
      </c>
      <c r="J293" s="25">
        <f>ROA!G323</f>
        <v>0</v>
      </c>
      <c r="K293" s="25">
        <f>ROE!G323</f>
        <v>0</v>
      </c>
      <c r="L293" s="25">
        <f>KM!E323</f>
        <v>0</v>
      </c>
      <c r="M293" s="24">
        <f>KI!E323</f>
        <v>0</v>
      </c>
      <c r="N293" s="108">
        <f>IO!E323</f>
        <v>0</v>
      </c>
      <c r="O293" s="24">
        <f>'BoC Size'!E323</f>
        <v>0</v>
      </c>
      <c r="P293" s="24">
        <f>'TMT E DK'!E323</f>
        <v>0</v>
      </c>
      <c r="Q293" s="24">
        <f>Data!R323</f>
        <v>0</v>
      </c>
      <c r="R293" s="24">
        <f>Data!S323</f>
        <v>0</v>
      </c>
      <c r="S293" s="24">
        <f>'TMT E DK'!E323</f>
        <v>0</v>
      </c>
      <c r="T293" s="24">
        <f>'TMT E DD'!E323</f>
        <v>0</v>
      </c>
      <c r="U293" s="24">
        <f>TA!E323</f>
        <v>0</v>
      </c>
      <c r="V293" s="109">
        <f>PR!F323</f>
        <v>0</v>
      </c>
      <c r="W293" s="109">
        <f>'Z Score'!I323</f>
        <v>0</v>
      </c>
      <c r="X293" s="109">
        <f>'Z Score'!L323</f>
        <v>0</v>
      </c>
      <c r="Y293" s="109">
        <f>'Z Score'!O323</f>
        <v>0</v>
      </c>
      <c r="Z293" s="109">
        <f>'Z Score'!R323</f>
        <v>0</v>
      </c>
      <c r="AA293" s="109">
        <f>'Z Score'!S323</f>
        <v>0</v>
      </c>
    </row>
    <row r="294" spans="1:27" ht="15" customHeight="1" x14ac:dyDescent="0.3">
      <c r="A294" s="22"/>
      <c r="B294" s="23"/>
      <c r="C294" s="3"/>
      <c r="D294" s="23">
        <v>2017</v>
      </c>
      <c r="E294" s="25">
        <f>'Current Ratio'!G324</f>
        <v>0.29519544706195872</v>
      </c>
      <c r="F294" s="25">
        <f>'Cash Ratio'!G324</f>
        <v>7.9167954169793456E-2</v>
      </c>
      <c r="G294" s="25">
        <f>DAR!G324</f>
        <v>0.81168013424995633</v>
      </c>
      <c r="H294" s="25">
        <f>DER!G324</f>
        <v>4.3101142357827333</v>
      </c>
      <c r="I294" s="25">
        <f>NPM!G324</f>
        <v>0.15999653285123455</v>
      </c>
      <c r="J294" s="25">
        <f>ROA!G324</f>
        <v>4.1388885939886974E-2</v>
      </c>
      <c r="K294" s="25">
        <f>ROE!G324</f>
        <v>0.21977971243258165</v>
      </c>
      <c r="L294" s="25">
        <f>KM!E324</f>
        <v>0</v>
      </c>
      <c r="M294" s="24">
        <f>KI!E324</f>
        <v>0</v>
      </c>
      <c r="N294" s="108">
        <f>IO!E324</f>
        <v>0</v>
      </c>
      <c r="O294" s="24">
        <f>'BoC Size'!E324</f>
        <v>0</v>
      </c>
      <c r="P294" s="24">
        <f>'TMT E DK'!E324</f>
        <v>0</v>
      </c>
      <c r="Q294" s="24">
        <f>Data!R324</f>
        <v>0</v>
      </c>
      <c r="R294" s="24">
        <f>Data!S324</f>
        <v>0</v>
      </c>
      <c r="S294" s="24">
        <f>'TMT E DK'!E324</f>
        <v>0</v>
      </c>
      <c r="T294" s="24">
        <f>'TMT E DD'!E324</f>
        <v>0</v>
      </c>
      <c r="U294" s="24">
        <f>TA!E324</f>
        <v>10926484000000</v>
      </c>
      <c r="V294" s="109">
        <f>PR!F324</f>
        <v>0</v>
      </c>
      <c r="W294" s="109">
        <f>'Z Score'!I324</f>
        <v>-0.51763587994088489</v>
      </c>
      <c r="X294" s="109">
        <f>'Z Score'!L324</f>
        <v>0.45226572976265739</v>
      </c>
      <c r="Y294" s="109">
        <f>'Z Score'!O324</f>
        <v>0.11715259181270021</v>
      </c>
      <c r="Z294" s="109">
        <f>'Z Score'!R324</f>
        <v>0.24361303263910267</v>
      </c>
      <c r="AA294" s="109">
        <f>'Z Score'!S324</f>
        <v>0.29539547427357538</v>
      </c>
    </row>
    <row r="295" spans="1:27" ht="15" customHeight="1" x14ac:dyDescent="0.3">
      <c r="A295" s="22"/>
      <c r="B295" s="23"/>
      <c r="C295" s="3"/>
      <c r="D295" s="23">
        <v>2018</v>
      </c>
      <c r="E295" s="25">
        <f>'Current Ratio'!G325</f>
        <v>0.34126152581855729</v>
      </c>
      <c r="F295" s="25">
        <f>'Cash Ratio'!G325</f>
        <v>5.1436088647586364E-2</v>
      </c>
      <c r="G295" s="25">
        <f>DAR!G325</f>
        <v>0.82489742663062848</v>
      </c>
      <c r="H295" s="25">
        <f>DER!G325</f>
        <v>4.7109383417829145</v>
      </c>
      <c r="I295" s="25">
        <f>NPM!G325</f>
        <v>-0.10204243259067343</v>
      </c>
      <c r="J295" s="25">
        <f>ROA!G325</f>
        <v>-2.1160550552436201E-2</v>
      </c>
      <c r="K295" s="25">
        <f>ROE!G325</f>
        <v>-0.12084659948314355</v>
      </c>
      <c r="L295" s="25">
        <f>KM!E325</f>
        <v>0.64929999999999999</v>
      </c>
      <c r="M295" s="24">
        <f>KI!E325</f>
        <v>2</v>
      </c>
      <c r="N295" s="108">
        <f>IO!E325</f>
        <v>0</v>
      </c>
      <c r="O295" s="24">
        <f>'BoC Size'!E325</f>
        <v>4</v>
      </c>
      <c r="P295" s="24">
        <f>'TMT E DK'!E325</f>
        <v>0</v>
      </c>
      <c r="Q295" s="24">
        <f>Data!R325</f>
        <v>4</v>
      </c>
      <c r="R295" s="24">
        <f>Data!S325</f>
        <v>3</v>
      </c>
      <c r="S295" s="24">
        <f>'TMT E DK'!E325</f>
        <v>0</v>
      </c>
      <c r="T295" s="24">
        <f>'TMT E DD'!E325</f>
        <v>0</v>
      </c>
      <c r="U295" s="24">
        <f>TA!E325</f>
        <v>10229507000000</v>
      </c>
      <c r="V295" s="109">
        <f>PR!F325</f>
        <v>-0.24950593130092374</v>
      </c>
      <c r="W295" s="109">
        <f>'Z Score'!I325</f>
        <v>-0.52535178479275679</v>
      </c>
      <c r="X295" s="109">
        <f>'Z Score'!L325</f>
        <v>0.54651132258866431</v>
      </c>
      <c r="Y295" s="109">
        <f>'Z Score'!O325</f>
        <v>0.10897895274914031</v>
      </c>
      <c r="Z295" s="109">
        <f>'Z Score'!R325</f>
        <v>0.22288553231257408</v>
      </c>
      <c r="AA295" s="109">
        <f>'Z Score'!S325</f>
        <v>0.35302402285762191</v>
      </c>
    </row>
    <row r="296" spans="1:27" ht="15" customHeight="1" x14ac:dyDescent="0.3">
      <c r="A296" s="22"/>
      <c r="B296" s="23"/>
      <c r="C296" s="3"/>
      <c r="D296" s="23">
        <v>2019</v>
      </c>
      <c r="E296" s="25">
        <f>'Current Ratio'!G326</f>
        <v>0.46984143474728179</v>
      </c>
      <c r="F296" s="25">
        <f>'Cash Ratio'!G326</f>
        <v>5.6042877433680464E-2</v>
      </c>
      <c r="G296" s="25">
        <f>DAR!G326</f>
        <v>0.82330756021558871</v>
      </c>
      <c r="H296" s="25">
        <f>DER!G326</f>
        <v>4.6595517115510754</v>
      </c>
      <c r="I296" s="25">
        <f>NPM!G326</f>
        <v>0.10114076473848864</v>
      </c>
      <c r="J296" s="25">
        <f>ROA!G326</f>
        <v>3.2914353645533787E-2</v>
      </c>
      <c r="K296" s="25">
        <f>ROE!G326</f>
        <v>0.18628048650917811</v>
      </c>
      <c r="L296" s="25">
        <f>KM!E326</f>
        <v>0.64929999999999999</v>
      </c>
      <c r="M296" s="24">
        <f>KI!E326</f>
        <v>2</v>
      </c>
      <c r="N296" s="108">
        <f>IO!E326</f>
        <v>0</v>
      </c>
      <c r="O296" s="24">
        <f>'BoC Size'!E326</f>
        <v>4</v>
      </c>
      <c r="P296" s="24">
        <f>'TMT E DK'!E326</f>
        <v>0</v>
      </c>
      <c r="Q296" s="24">
        <f>Data!R326</f>
        <v>4</v>
      </c>
      <c r="R296" s="24">
        <f>Data!S326</f>
        <v>4</v>
      </c>
      <c r="S296" s="24">
        <f>'TMT E DK'!E326</f>
        <v>0</v>
      </c>
      <c r="T296" s="24">
        <f>'TMT E DD'!E326</f>
        <v>0</v>
      </c>
      <c r="U296" s="24">
        <f>TA!E326</f>
        <v>11985227000000</v>
      </c>
      <c r="V296" s="109">
        <f>PR!F326</f>
        <v>0.83867299865082345</v>
      </c>
      <c r="W296" s="109">
        <f>'Z Score'!I326</f>
        <v>-0.37427525736475409</v>
      </c>
      <c r="X296" s="109">
        <f>'Z Score'!L326</f>
        <v>0.4807602442573678</v>
      </c>
      <c r="Y296" s="109">
        <f>'Z Score'!O326</f>
        <v>8.0232532934086262E-2</v>
      </c>
      <c r="Z296" s="109">
        <f>'Z Score'!R326</f>
        <v>0.22534356629137511</v>
      </c>
      <c r="AA296" s="109">
        <f>'Z Score'!S326</f>
        <v>0.41206108611807513</v>
      </c>
    </row>
    <row r="297" spans="1:27" ht="15" customHeight="1" x14ac:dyDescent="0.3">
      <c r="A297" s="22"/>
      <c r="B297" s="23"/>
      <c r="C297" s="3"/>
      <c r="D297" s="23">
        <v>2020</v>
      </c>
      <c r="E297" s="25">
        <f>'Current Ratio'!G327</f>
        <v>0.66404905999449138</v>
      </c>
      <c r="F297" s="25">
        <f>'Cash Ratio'!G327</f>
        <v>0.1360264956480251</v>
      </c>
      <c r="G297" s="25">
        <f>DAR!G327</f>
        <v>0.80426102433250379</v>
      </c>
      <c r="H297" s="25">
        <f>DER!G327</f>
        <v>4.1088445547948007</v>
      </c>
      <c r="I297" s="25">
        <f>NPM!G327</f>
        <v>7.0834662461804671E-2</v>
      </c>
      <c r="J297" s="25">
        <f>ROA!G327</f>
        <v>1.1123920954575654E-2</v>
      </c>
      <c r="K297" s="25">
        <f>ROE!G327</f>
        <v>5.6830382996751617E-2</v>
      </c>
      <c r="L297" s="25">
        <f>KM!E327</f>
        <v>0.64929999999999999</v>
      </c>
      <c r="M297" s="24">
        <f>KI!E327</f>
        <v>2</v>
      </c>
      <c r="N297" s="108">
        <f>IO!E327</f>
        <v>0</v>
      </c>
      <c r="O297" s="24">
        <f>'BoC Size'!E327</f>
        <v>3</v>
      </c>
      <c r="P297" s="24">
        <f>'TMT E DK'!E327</f>
        <v>0</v>
      </c>
      <c r="Q297" s="24">
        <f>Data!R327</f>
        <v>3</v>
      </c>
      <c r="R297" s="24">
        <f>Data!S327</f>
        <v>3</v>
      </c>
      <c r="S297" s="24">
        <f>'TMT E DK'!E327</f>
        <v>0</v>
      </c>
      <c r="T297" s="24">
        <f>'TMT E DD'!E327</f>
        <v>0</v>
      </c>
      <c r="U297" s="24">
        <f>TA!E327</f>
        <v>11238753000000</v>
      </c>
      <c r="V297" s="109">
        <f>PR!F327</f>
        <v>-0.54749349163642591</v>
      </c>
      <c r="W297" s="109">
        <f>'Z Score'!I327</f>
        <v>-0.26057238200714972</v>
      </c>
      <c r="X297" s="109">
        <f>'Z Score'!L327</f>
        <v>0.51274931302431859</v>
      </c>
      <c r="Y297" s="109">
        <f>'Z Score'!O327</f>
        <v>4.7785458048593112E-2</v>
      </c>
      <c r="Z297" s="109">
        <f>'Z Score'!R327</f>
        <v>0.25554629434075488</v>
      </c>
      <c r="AA297" s="109">
        <f>'Z Score'!S327</f>
        <v>0.55550868340651682</v>
      </c>
    </row>
    <row r="298" spans="1:27" ht="15" customHeight="1" x14ac:dyDescent="0.3">
      <c r="A298" s="22"/>
      <c r="B298" s="23"/>
      <c r="C298" s="3"/>
      <c r="D298" s="23">
        <v>2021</v>
      </c>
      <c r="E298" s="25">
        <f>'Current Ratio'!G328</f>
        <v>0.53213256164437339</v>
      </c>
      <c r="F298" s="25">
        <f>'Cash Ratio'!G328</f>
        <v>2.6669181312201209E-2</v>
      </c>
      <c r="G298" s="25">
        <f>DAR!G328</f>
        <v>0.76866477411771206</v>
      </c>
      <c r="H298" s="25">
        <f>DER!G328</f>
        <v>3.3227312061364893</v>
      </c>
      <c r="I298" s="25">
        <f>NPM!G328</f>
        <v>6.4032020520423658E-2</v>
      </c>
      <c r="J298" s="25">
        <f>ROA!G328</f>
        <v>8.0120550723742478E-3</v>
      </c>
      <c r="K298" s="25">
        <f>ROE!G328</f>
        <v>3.4633960486636306E-2</v>
      </c>
      <c r="L298" s="25">
        <f>KM!E328</f>
        <v>0.64929999999999999</v>
      </c>
      <c r="M298" s="24">
        <f>KI!E328</f>
        <v>2</v>
      </c>
      <c r="N298" s="108">
        <f>IO!E328</f>
        <v>0</v>
      </c>
      <c r="O298" s="24">
        <f>'BoC Size'!E328</f>
        <v>3</v>
      </c>
      <c r="P298" s="24">
        <f>'TMT E DK'!E328</f>
        <v>0</v>
      </c>
      <c r="Q298" s="24">
        <f>Data!R328</f>
        <v>3</v>
      </c>
      <c r="R298" s="24">
        <f>Data!S328</f>
        <v>3</v>
      </c>
      <c r="S298" s="24">
        <f>'TMT E DK'!E328</f>
        <v>0</v>
      </c>
      <c r="T298" s="24">
        <f>'TMT E DD'!E328</f>
        <v>0</v>
      </c>
      <c r="U298" s="24">
        <f>TA!E328</f>
        <v>9745939000000</v>
      </c>
      <c r="V298" s="109">
        <f>PR!F328</f>
        <v>-0.30906018954741266</v>
      </c>
      <c r="W298" s="109">
        <f>'Z Score'!I328</f>
        <v>-0.36902620465816577</v>
      </c>
      <c r="X298" s="109">
        <f>'Z Score'!L328</f>
        <v>0.61981698223229187</v>
      </c>
      <c r="Y298" s="109">
        <f>'Z Score'!O328</f>
        <v>8.4313566912331384E-2</v>
      </c>
      <c r="Z298" s="109">
        <f>'Z Score'!R328</f>
        <v>0.31600509787274944</v>
      </c>
      <c r="AA298" s="109">
        <f>'Z Score'!S328</f>
        <v>0.65110944235920698</v>
      </c>
    </row>
    <row r="299" spans="1:27" ht="15" customHeight="1" x14ac:dyDescent="0.3">
      <c r="A299" s="22"/>
      <c r="B299" s="23"/>
      <c r="C299" s="3"/>
      <c r="D299" s="23">
        <v>2022</v>
      </c>
      <c r="E299" s="25">
        <f>'Current Ratio'!G329</f>
        <v>0.47098832293077753</v>
      </c>
      <c r="F299" s="25">
        <f>'Cash Ratio'!G329</f>
        <v>5.504917528989995E-2</v>
      </c>
      <c r="G299" s="25">
        <f>DAR!G329</f>
        <v>0.72857929912822839</v>
      </c>
      <c r="H299" s="25">
        <f>DER!G329</f>
        <v>2.6843173596859664</v>
      </c>
      <c r="I299" s="25">
        <f>NPM!G329</f>
        <v>-0.20044734961773525</v>
      </c>
      <c r="J299" s="25">
        <f>ROA!G329</f>
        <v>-4.223446499673264E-2</v>
      </c>
      <c r="K299" s="25">
        <f>ROE!G329</f>
        <v>-0.15560517256451137</v>
      </c>
      <c r="L299" s="25">
        <f>KM!E329</f>
        <v>0.64929999999999999</v>
      </c>
      <c r="M299" s="24">
        <f>KI!E329</f>
        <v>2</v>
      </c>
      <c r="N299" s="108">
        <f>IO!E329</f>
        <v>0</v>
      </c>
      <c r="O299" s="24">
        <f>'BoC Size'!E329</f>
        <v>3</v>
      </c>
      <c r="P299" s="24">
        <f>'TMT E DK'!E329</f>
        <v>0</v>
      </c>
      <c r="Q299" s="24">
        <f>Data!R329</f>
        <v>3</v>
      </c>
      <c r="R299" s="24">
        <f>Data!S329</f>
        <v>4</v>
      </c>
      <c r="S299" s="24">
        <f>'TMT E DK'!E329</f>
        <v>0</v>
      </c>
      <c r="T299" s="24">
        <f>'TMT E DD'!E329</f>
        <v>0</v>
      </c>
      <c r="U299" s="24">
        <f>TA!E329</f>
        <v>7080639000000</v>
      </c>
      <c r="V299" s="109">
        <f>PR!F329</f>
        <v>0.22340069604122453</v>
      </c>
      <c r="W299" s="109">
        <f>'Z Score'!I329</f>
        <v>-0.51991090634616455</v>
      </c>
      <c r="X299" s="109">
        <f>'Z Score'!L329</f>
        <v>0.88933568001419083</v>
      </c>
      <c r="Y299" s="109">
        <f>'Z Score'!O329</f>
        <v>0.11726100991732526</v>
      </c>
      <c r="Z299" s="109">
        <f>'Z Score'!R329</f>
        <v>0.39116090212330101</v>
      </c>
      <c r="AA299" s="109">
        <f>'Z Score'!S329</f>
        <v>0.87784668570865254</v>
      </c>
    </row>
    <row r="300" spans="1:27" ht="15" customHeight="1" x14ac:dyDescent="0.3">
      <c r="A300" s="22"/>
      <c r="B300" s="23"/>
      <c r="C300" s="3"/>
      <c r="D300" s="23">
        <v>2023</v>
      </c>
      <c r="E300" s="25">
        <f>'Current Ratio'!G330</f>
        <v>0.4902059118812267</v>
      </c>
      <c r="F300" s="25">
        <f>'Cash Ratio'!G330</f>
        <v>6.2206683136577734E-2</v>
      </c>
      <c r="G300" s="25">
        <f>DAR!G330</f>
        <v>0.67482339297760474</v>
      </c>
      <c r="H300" s="25">
        <f>DER!G330</f>
        <v>2.0752519658682855</v>
      </c>
      <c r="I300" s="25">
        <f>NPM!G330</f>
        <v>0.14371740058789026</v>
      </c>
      <c r="J300" s="25">
        <f>ROA!G330</f>
        <v>2.4644417422994211E-2</v>
      </c>
      <c r="K300" s="25">
        <f>ROE!G330</f>
        <v>7.5787793127741573E-2</v>
      </c>
      <c r="L300" s="25">
        <f>KM!E330</f>
        <v>0.64929999999999999</v>
      </c>
      <c r="M300" s="24">
        <f>KI!E330</f>
        <v>2</v>
      </c>
      <c r="N300" s="108">
        <f>IO!E330</f>
        <v>0</v>
      </c>
      <c r="O300" s="24">
        <f>'BoC Size'!E330</f>
        <v>2</v>
      </c>
      <c r="P300" s="24">
        <f>'TMT E DK'!E330</f>
        <v>0</v>
      </c>
      <c r="Q300" s="24">
        <f>Data!R330</f>
        <v>2</v>
      </c>
      <c r="R300" s="24">
        <f>Data!S330</f>
        <v>3</v>
      </c>
      <c r="S300" s="24">
        <f>'TMT E DK'!E330</f>
        <v>0</v>
      </c>
      <c r="T300" s="24">
        <f>'TMT E DD'!E330</f>
        <v>0</v>
      </c>
      <c r="U300" s="24">
        <f>TA!E330</f>
        <v>7019115000000</v>
      </c>
      <c r="V300" s="109">
        <f>PR!F330</f>
        <v>-0.19322500599906964</v>
      </c>
      <c r="W300" s="109">
        <f>'Z Score'!I330</f>
        <v>-0.50161915854064221</v>
      </c>
      <c r="X300" s="109">
        <f>'Z Score'!L330</f>
        <v>0.91279294042055159</v>
      </c>
      <c r="Y300" s="109">
        <f>'Z Score'!O330</f>
        <v>0.1245922541516986</v>
      </c>
      <c r="Z300" s="109">
        <f>'Z Score'!R330</f>
        <v>0.50596265767693416</v>
      </c>
      <c r="AA300" s="109">
        <f>'Z Score'!S330</f>
        <v>1.0417286937085422</v>
      </c>
    </row>
    <row r="301" spans="1:27" ht="15" customHeight="1" x14ac:dyDescent="0.3">
      <c r="A301" s="22"/>
      <c r="B301" s="23"/>
      <c r="C301" s="3"/>
      <c r="D301" s="23">
        <v>2024</v>
      </c>
      <c r="E301" s="25">
        <f>'Current Ratio'!G331</f>
        <v>0.38744049112776813</v>
      </c>
      <c r="F301" s="25">
        <f>'Cash Ratio'!G331</f>
        <v>3.2322091657301634E-2</v>
      </c>
      <c r="G301" s="25">
        <f>DAR!G331</f>
        <v>0.67160585721975508</v>
      </c>
      <c r="H301" s="25">
        <f>DER!G331</f>
        <v>2.0451213031201378</v>
      </c>
      <c r="I301" s="25">
        <f>NPM!G331</f>
        <v>-1.009162489346887E-2</v>
      </c>
      <c r="J301" s="25">
        <f>ROA!G331</f>
        <v>-1.5072966160471206E-3</v>
      </c>
      <c r="K301" s="25">
        <f>ROE!G331</f>
        <v>-4.5899010356459822E-3</v>
      </c>
      <c r="L301" s="25">
        <f>KM!E331</f>
        <v>0.64929999999999999</v>
      </c>
      <c r="M301" s="24">
        <f>KI!E331</f>
        <v>3</v>
      </c>
      <c r="N301" s="108">
        <f>IO!E331</f>
        <v>0</v>
      </c>
      <c r="O301" s="24">
        <f>'BoC Size'!E331</f>
        <v>3</v>
      </c>
      <c r="P301" s="24">
        <f>'TMT E DK'!E331</f>
        <v>0</v>
      </c>
      <c r="Q301" s="24">
        <f>Data!R331</f>
        <v>3</v>
      </c>
      <c r="R301" s="24">
        <f>Data!S331</f>
        <v>4</v>
      </c>
      <c r="S301" s="24">
        <f>'TMT E DK'!E331</f>
        <v>0</v>
      </c>
      <c r="T301" s="24">
        <f>'TMT E DD'!E331</f>
        <v>0</v>
      </c>
      <c r="U301" s="24">
        <f>TA!E331</f>
        <v>6182592000000</v>
      </c>
      <c r="V301" s="109">
        <f>PR!F331</f>
        <v>-0.23278576567804285</v>
      </c>
      <c r="W301" s="109">
        <f>'Z Score'!I331</f>
        <v>-0.71484102460586108</v>
      </c>
      <c r="X301" s="109">
        <f>'Z Score'!L331</f>
        <v>0.95495618989575892</v>
      </c>
      <c r="Y301" s="109">
        <f>'Z Score'!O331</f>
        <v>0.11451818266513462</v>
      </c>
      <c r="Z301" s="109">
        <f>'Z Score'!R331</f>
        <v>0.5134169784442949</v>
      </c>
      <c r="AA301" s="109">
        <f>'Z Score'!S331</f>
        <v>0.86805032639932733</v>
      </c>
    </row>
    <row r="302" spans="1:27" ht="15" customHeight="1" x14ac:dyDescent="0.3">
      <c r="A302" s="22"/>
      <c r="B302" s="23">
        <v>31</v>
      </c>
      <c r="C302" s="3" t="s">
        <v>6</v>
      </c>
      <c r="D302" s="23">
        <v>2015</v>
      </c>
      <c r="E302" s="25">
        <f>'Current Ratio'!G333</f>
        <v>0</v>
      </c>
      <c r="F302" s="25">
        <f>'Cash Ratio'!G333</f>
        <v>0</v>
      </c>
      <c r="G302" s="25">
        <f>DAR!G333</f>
        <v>0</v>
      </c>
      <c r="H302" s="25">
        <f>DER!G333</f>
        <v>0</v>
      </c>
      <c r="I302" s="25">
        <f>NPM!G333</f>
        <v>0</v>
      </c>
      <c r="J302" s="25">
        <f>ROA!G333</f>
        <v>0</v>
      </c>
      <c r="K302" s="25">
        <f>ROE!G333</f>
        <v>0</v>
      </c>
      <c r="L302" s="25">
        <f>KM!E333</f>
        <v>0</v>
      </c>
      <c r="M302" s="24">
        <f>KI!E333</f>
        <v>0</v>
      </c>
      <c r="N302" s="108">
        <f>IO!E333</f>
        <v>0</v>
      </c>
      <c r="O302" s="24">
        <f>'BoC Size'!E333</f>
        <v>0</v>
      </c>
      <c r="P302" s="24">
        <f>'TMT E DK'!E333</f>
        <v>0</v>
      </c>
      <c r="Q302" s="24">
        <f>Data!R333</f>
        <v>0</v>
      </c>
      <c r="R302" s="24">
        <f>Data!S333</f>
        <v>0</v>
      </c>
      <c r="S302" s="24">
        <f>'TMT E DK'!E333</f>
        <v>0</v>
      </c>
      <c r="T302" s="24">
        <f>'TMT E DD'!E333</f>
        <v>0</v>
      </c>
      <c r="U302" s="24">
        <f>TA!E333</f>
        <v>0</v>
      </c>
      <c r="V302" s="109">
        <f>PR!F333</f>
        <v>0</v>
      </c>
      <c r="W302" s="109">
        <f>'Z Score'!I333</f>
        <v>0</v>
      </c>
      <c r="X302" s="109">
        <f>'Z Score'!L333</f>
        <v>0</v>
      </c>
      <c r="Y302" s="109">
        <f>'Z Score'!O333</f>
        <v>0</v>
      </c>
      <c r="Z302" s="109">
        <f>'Z Score'!R333</f>
        <v>0</v>
      </c>
      <c r="AA302" s="109">
        <f>'Z Score'!S333</f>
        <v>0</v>
      </c>
    </row>
    <row r="303" spans="1:27" ht="15" customHeight="1" x14ac:dyDescent="0.3">
      <c r="A303" s="22"/>
      <c r="B303" s="23"/>
      <c r="C303" s="3"/>
      <c r="D303" s="23">
        <v>2016</v>
      </c>
      <c r="E303" s="25">
        <f>'Current Ratio'!G334</f>
        <v>0</v>
      </c>
      <c r="F303" s="25">
        <f>'Cash Ratio'!G334</f>
        <v>0</v>
      </c>
      <c r="G303" s="25">
        <f>DAR!G334</f>
        <v>0</v>
      </c>
      <c r="H303" s="25">
        <f>DER!G334</f>
        <v>0</v>
      </c>
      <c r="I303" s="25">
        <f>NPM!G334</f>
        <v>0</v>
      </c>
      <c r="J303" s="25">
        <f>ROA!G334</f>
        <v>0</v>
      </c>
      <c r="K303" s="25">
        <f>ROE!G334</f>
        <v>0</v>
      </c>
      <c r="L303" s="25">
        <f>KM!E334</f>
        <v>0</v>
      </c>
      <c r="M303" s="24">
        <f>KI!E334</f>
        <v>0</v>
      </c>
      <c r="N303" s="108">
        <f>IO!E334</f>
        <v>0</v>
      </c>
      <c r="O303" s="24">
        <f>'BoC Size'!E334</f>
        <v>0</v>
      </c>
      <c r="P303" s="24">
        <f>'TMT E DK'!E334</f>
        <v>0</v>
      </c>
      <c r="Q303" s="24">
        <f>Data!R334</f>
        <v>0</v>
      </c>
      <c r="R303" s="24">
        <f>Data!S334</f>
        <v>0</v>
      </c>
      <c r="S303" s="24">
        <f>'TMT E DK'!E334</f>
        <v>0</v>
      </c>
      <c r="T303" s="24">
        <f>'TMT E DD'!E334</f>
        <v>0</v>
      </c>
      <c r="U303" s="24">
        <f>TA!E334</f>
        <v>0</v>
      </c>
      <c r="V303" s="109">
        <f>PR!F334</f>
        <v>0</v>
      </c>
      <c r="W303" s="109">
        <f>'Z Score'!I334</f>
        <v>0</v>
      </c>
      <c r="X303" s="109">
        <f>'Z Score'!L334</f>
        <v>0</v>
      </c>
      <c r="Y303" s="109">
        <f>'Z Score'!O334</f>
        <v>0</v>
      </c>
      <c r="Z303" s="109">
        <f>'Z Score'!R334</f>
        <v>0</v>
      </c>
      <c r="AA303" s="109">
        <f>'Z Score'!S334</f>
        <v>0</v>
      </c>
    </row>
    <row r="304" spans="1:27" ht="15" customHeight="1" x14ac:dyDescent="0.3">
      <c r="A304" s="22"/>
      <c r="B304" s="23"/>
      <c r="C304" s="3"/>
      <c r="D304" s="23">
        <v>2017</v>
      </c>
      <c r="E304" s="25">
        <f>'Current Ratio'!G335</f>
        <v>0</v>
      </c>
      <c r="F304" s="25">
        <f>'Cash Ratio'!G335</f>
        <v>0</v>
      </c>
      <c r="G304" s="25">
        <f>DAR!G335</f>
        <v>0</v>
      </c>
      <c r="H304" s="25">
        <f>DER!G335</f>
        <v>0</v>
      </c>
      <c r="I304" s="25">
        <f>NPM!G335</f>
        <v>0</v>
      </c>
      <c r="J304" s="25">
        <f>ROA!G335</f>
        <v>0</v>
      </c>
      <c r="K304" s="25">
        <f>ROE!G335</f>
        <v>0</v>
      </c>
      <c r="L304" s="25">
        <f>KM!E335</f>
        <v>0</v>
      </c>
      <c r="M304" s="24">
        <f>KI!E335</f>
        <v>0</v>
      </c>
      <c r="N304" s="108">
        <f>IO!E335</f>
        <v>0</v>
      </c>
      <c r="O304" s="24">
        <f>'BoC Size'!E335</f>
        <v>0</v>
      </c>
      <c r="P304" s="24">
        <f>'TMT E DK'!E335</f>
        <v>0</v>
      </c>
      <c r="Q304" s="24">
        <f>Data!R335</f>
        <v>0</v>
      </c>
      <c r="R304" s="24">
        <f>Data!S335</f>
        <v>0</v>
      </c>
      <c r="S304" s="24">
        <f>'TMT E DK'!E335</f>
        <v>0</v>
      </c>
      <c r="T304" s="24">
        <f>'TMT E DD'!E335</f>
        <v>0</v>
      </c>
      <c r="U304" s="24">
        <f>TA!E335</f>
        <v>0</v>
      </c>
      <c r="V304" s="109">
        <f>PR!F335</f>
        <v>0</v>
      </c>
      <c r="W304" s="109">
        <f>'Z Score'!I335</f>
        <v>0</v>
      </c>
      <c r="X304" s="109">
        <f>'Z Score'!L335</f>
        <v>0</v>
      </c>
      <c r="Y304" s="109">
        <f>'Z Score'!O335</f>
        <v>0</v>
      </c>
      <c r="Z304" s="109">
        <f>'Z Score'!R335</f>
        <v>0</v>
      </c>
      <c r="AA304" s="109">
        <f>'Z Score'!S335</f>
        <v>0</v>
      </c>
    </row>
    <row r="305" spans="1:27" ht="15" customHeight="1" x14ac:dyDescent="0.3">
      <c r="A305" s="22"/>
      <c r="B305" s="23"/>
      <c r="C305" s="3"/>
      <c r="D305" s="23">
        <v>2018</v>
      </c>
      <c r="E305" s="25">
        <f>'Current Ratio'!G336</f>
        <v>0</v>
      </c>
      <c r="F305" s="25">
        <f>'Cash Ratio'!G336</f>
        <v>0</v>
      </c>
      <c r="G305" s="25">
        <f>DAR!G336</f>
        <v>0</v>
      </c>
      <c r="H305" s="25">
        <f>DER!G336</f>
        <v>0</v>
      </c>
      <c r="I305" s="25">
        <f>NPM!G336</f>
        <v>0</v>
      </c>
      <c r="J305" s="25">
        <f>ROA!G336</f>
        <v>0</v>
      </c>
      <c r="K305" s="25">
        <f>ROE!G336</f>
        <v>0</v>
      </c>
      <c r="L305" s="25">
        <f>KM!E336</f>
        <v>0</v>
      </c>
      <c r="M305" s="24">
        <f>KI!E336</f>
        <v>0</v>
      </c>
      <c r="N305" s="108">
        <f>IO!E336</f>
        <v>0</v>
      </c>
      <c r="O305" s="24">
        <f>'BoC Size'!E336</f>
        <v>0</v>
      </c>
      <c r="P305" s="24">
        <f>'TMT E DK'!E336</f>
        <v>0</v>
      </c>
      <c r="Q305" s="24">
        <f>Data!R336</f>
        <v>0</v>
      </c>
      <c r="R305" s="24">
        <f>Data!S336</f>
        <v>0</v>
      </c>
      <c r="S305" s="24">
        <f>'TMT E DK'!E336</f>
        <v>0</v>
      </c>
      <c r="T305" s="24">
        <f>'TMT E DD'!E336</f>
        <v>0</v>
      </c>
      <c r="U305" s="24">
        <f>TA!E336</f>
        <v>0</v>
      </c>
      <c r="V305" s="109">
        <f>PR!F336</f>
        <v>0</v>
      </c>
      <c r="W305" s="109">
        <f>'Z Score'!I336</f>
        <v>0</v>
      </c>
      <c r="X305" s="109">
        <f>'Z Score'!L336</f>
        <v>0</v>
      </c>
      <c r="Y305" s="109">
        <f>'Z Score'!O336</f>
        <v>0</v>
      </c>
      <c r="Z305" s="109">
        <f>'Z Score'!R336</f>
        <v>0</v>
      </c>
      <c r="AA305" s="109">
        <f>'Z Score'!S336</f>
        <v>0</v>
      </c>
    </row>
    <row r="306" spans="1:27" ht="15" customHeight="1" x14ac:dyDescent="0.3">
      <c r="A306" s="22"/>
      <c r="B306" s="23"/>
      <c r="C306" s="3"/>
      <c r="D306" s="23">
        <v>2019</v>
      </c>
      <c r="E306" s="25">
        <f>'Current Ratio'!G337</f>
        <v>0.8060158745961209</v>
      </c>
      <c r="F306" s="25">
        <f>'Cash Ratio'!G337</f>
        <v>0.23994714501633618</v>
      </c>
      <c r="G306" s="25">
        <f>DAR!G337</f>
        <v>0.84301237352545555</v>
      </c>
      <c r="H306" s="25">
        <f>DER!G337</f>
        <v>5.3699287801013416</v>
      </c>
      <c r="I306" s="25">
        <f>NPM!G337</f>
        <v>-3.5750785207036356E-4</v>
      </c>
      <c r="J306" s="25">
        <f>ROA!G337</f>
        <v>-9.2794153417723654E-5</v>
      </c>
      <c r="K306" s="25">
        <f>ROE!G337</f>
        <v>-5.9109214848069723E-4</v>
      </c>
      <c r="L306" s="25">
        <f>KM!E337</f>
        <v>0</v>
      </c>
      <c r="M306" s="24">
        <f>KI!E337</f>
        <v>0</v>
      </c>
      <c r="N306" s="108">
        <f>IO!E337</f>
        <v>0</v>
      </c>
      <c r="O306" s="24">
        <f>'BoC Size'!E337</f>
        <v>0</v>
      </c>
      <c r="P306" s="24">
        <f>'TMT E DK'!E337</f>
        <v>0</v>
      </c>
      <c r="Q306" s="24">
        <f>Data!R337</f>
        <v>0</v>
      </c>
      <c r="R306" s="24">
        <f>Data!S337</f>
        <v>0</v>
      </c>
      <c r="S306" s="24">
        <f>'TMT E DK'!E337</f>
        <v>0</v>
      </c>
      <c r="T306" s="24">
        <f>'TMT E DD'!E337</f>
        <v>0</v>
      </c>
      <c r="U306" s="24">
        <f>TA!E337</f>
        <v>6174958000000</v>
      </c>
      <c r="V306" s="109">
        <f>PR!F337</f>
        <v>0</v>
      </c>
      <c r="W306" s="109">
        <f>'Z Score'!I337</f>
        <v>-9.1079978195803102E-2</v>
      </c>
      <c r="X306" s="109">
        <f>'Z Score'!L337</f>
        <v>0.18867002172322467</v>
      </c>
      <c r="Y306" s="109">
        <f>'Z Score'!O337</f>
        <v>-2.1499793196973968E-2</v>
      </c>
      <c r="Z306" s="109">
        <f>'Z Score'!R337</f>
        <v>0.19553331952759798</v>
      </c>
      <c r="AA306" s="109">
        <f>'Z Score'!S337</f>
        <v>0.27162356985804559</v>
      </c>
    </row>
    <row r="307" spans="1:27" ht="15" customHeight="1" x14ac:dyDescent="0.3">
      <c r="A307" s="22"/>
      <c r="B307" s="23"/>
      <c r="C307" s="3"/>
      <c r="D307" s="23">
        <v>2020</v>
      </c>
      <c r="E307" s="25">
        <f>'Current Ratio'!G338</f>
        <v>0.66760669661659411</v>
      </c>
      <c r="F307" s="25">
        <f>'Cash Ratio'!G338</f>
        <v>8.6655903411483923E-2</v>
      </c>
      <c r="G307" s="25">
        <f>DAR!G338</f>
        <v>0.83763158304359941</v>
      </c>
      <c r="H307" s="25">
        <f>DER!G338</f>
        <v>5.1588332185841406</v>
      </c>
      <c r="I307" s="25">
        <f>NPM!G338</f>
        <v>5.4740693640000088E-2</v>
      </c>
      <c r="J307" s="25">
        <f>ROA!G338</f>
        <v>1.168133378049281E-2</v>
      </c>
      <c r="K307" s="25">
        <f>ROE!G338</f>
        <v>7.1943386524668168E-2</v>
      </c>
      <c r="L307" s="25">
        <f>KM!E338</f>
        <v>0.91159999999999997</v>
      </c>
      <c r="M307" s="24">
        <f>KI!E338</f>
        <v>2</v>
      </c>
      <c r="N307" s="108">
        <f>IO!E338</f>
        <v>0</v>
      </c>
      <c r="O307" s="24">
        <f>'BoC Size'!E338</f>
        <v>3</v>
      </c>
      <c r="P307" s="24">
        <f>'TMT E DK'!E338</f>
        <v>0</v>
      </c>
      <c r="Q307" s="24">
        <f>Data!R338</f>
        <v>3</v>
      </c>
      <c r="R307" s="24">
        <f>Data!S338</f>
        <v>3</v>
      </c>
      <c r="S307" s="24">
        <f>'TMT E DK'!E338</f>
        <v>0</v>
      </c>
      <c r="T307" s="24">
        <f>'TMT E DD'!E338</f>
        <v>0</v>
      </c>
      <c r="U307" s="24">
        <f>TA!E338</f>
        <v>6360147000000</v>
      </c>
      <c r="V307" s="109">
        <f>PR!F338</f>
        <v>-0.15320116149496932</v>
      </c>
      <c r="W307" s="109">
        <f>'Z Score'!I338</f>
        <v>-0.19536280529365121</v>
      </c>
      <c r="X307" s="109">
        <f>'Z Score'!L338</f>
        <v>0.21435080981618823</v>
      </c>
      <c r="Y307" s="109">
        <f>'Z Score'!O338</f>
        <v>0.11136874666576102</v>
      </c>
      <c r="Z307" s="109">
        <f>'Z Score'!R338</f>
        <v>0.20353439537790993</v>
      </c>
      <c r="AA307" s="109">
        <f>'Z Score'!S338</f>
        <v>0.333891146566208</v>
      </c>
    </row>
    <row r="308" spans="1:27" ht="15" customHeight="1" x14ac:dyDescent="0.3">
      <c r="A308" s="22"/>
      <c r="B308" s="23"/>
      <c r="C308" s="3"/>
      <c r="D308" s="23">
        <v>2021</v>
      </c>
      <c r="E308" s="25">
        <f>'Current Ratio'!G339</f>
        <v>0.63284023185566174</v>
      </c>
      <c r="F308" s="25">
        <f>'Cash Ratio'!G339</f>
        <v>0.11965221650747</v>
      </c>
      <c r="G308" s="25">
        <f>DAR!G339</f>
        <v>0.82186757043072867</v>
      </c>
      <c r="H308" s="25">
        <f>DER!G339</f>
        <v>4.6138009368536954</v>
      </c>
      <c r="I308" s="25">
        <f>NPM!G339</f>
        <v>8.8234007980826021E-2</v>
      </c>
      <c r="J308" s="25">
        <f>ROA!G339</f>
        <v>1.9693771222637727E-2</v>
      </c>
      <c r="K308" s="25">
        <f>ROE!G339</f>
        <v>0.11055691133982602</v>
      </c>
      <c r="L308" s="25">
        <f>KM!E339</f>
        <v>0.91159999999999997</v>
      </c>
      <c r="M308" s="24">
        <f>KI!E339</f>
        <v>2</v>
      </c>
      <c r="N308" s="108">
        <f>IO!E339</f>
        <v>0</v>
      </c>
      <c r="O308" s="24">
        <f>'BoC Size'!E339</f>
        <v>3</v>
      </c>
      <c r="P308" s="24">
        <f>'TMT E DK'!E339</f>
        <v>0</v>
      </c>
      <c r="Q308" s="24">
        <f>Data!R339</f>
        <v>3</v>
      </c>
      <c r="R308" s="24">
        <f>Data!S339</f>
        <v>3</v>
      </c>
      <c r="S308" s="24">
        <f>'TMT E DK'!E339</f>
        <v>0</v>
      </c>
      <c r="T308" s="24">
        <f>'TMT E DD'!E339</f>
        <v>0</v>
      </c>
      <c r="U308" s="24">
        <f>TA!E339</f>
        <v>6454782000000</v>
      </c>
      <c r="V308" s="109">
        <f>PR!F339</f>
        <v>6.1512639467380677E-2</v>
      </c>
      <c r="W308" s="109">
        <f>'Z Score'!I339</f>
        <v>-0.22853250814667328</v>
      </c>
      <c r="X308" s="109">
        <f>'Z Score'!L339</f>
        <v>0.269746711817688</v>
      </c>
      <c r="Y308" s="109">
        <f>'Z Score'!O339</f>
        <v>0.1214887938895535</v>
      </c>
      <c r="Z308" s="109">
        <f>'Z Score'!R339</f>
        <v>0.22757808894894152</v>
      </c>
      <c r="AA308" s="109">
        <f>'Z Score'!S339</f>
        <v>0.39028108650950977</v>
      </c>
    </row>
    <row r="309" spans="1:27" ht="15" customHeight="1" x14ac:dyDescent="0.3">
      <c r="A309" s="22"/>
      <c r="B309" s="23"/>
      <c r="C309" s="3"/>
      <c r="D309" s="23">
        <v>2022</v>
      </c>
      <c r="E309" s="25">
        <f>'Current Ratio'!G340</f>
        <v>0.70056592337227874</v>
      </c>
      <c r="F309" s="25">
        <f>'Cash Ratio'!G340</f>
        <v>6.1190541469286083E-2</v>
      </c>
      <c r="G309" s="25">
        <f>DAR!G340</f>
        <v>0.81659458969354171</v>
      </c>
      <c r="H309" s="25">
        <f>DER!G340</f>
        <v>4.4524018584242748</v>
      </c>
      <c r="I309" s="25">
        <f>NPM!G340</f>
        <v>4.8291362559814394E-2</v>
      </c>
      <c r="J309" s="25">
        <f>ROA!G340</f>
        <v>1.0516005568880309E-2</v>
      </c>
      <c r="K309" s="25">
        <f>ROE!G340</f>
        <v>5.7337488306963023E-2</v>
      </c>
      <c r="L309" s="25">
        <f>KM!E340</f>
        <v>0.91159999999999997</v>
      </c>
      <c r="M309" s="24">
        <f>KI!E340</f>
        <v>2</v>
      </c>
      <c r="N309" s="108">
        <f>IO!E340</f>
        <v>0</v>
      </c>
      <c r="O309" s="24">
        <f>'BoC Size'!E340</f>
        <v>3</v>
      </c>
      <c r="P309" s="24">
        <f>'TMT E DK'!E340</f>
        <v>0</v>
      </c>
      <c r="Q309" s="24">
        <f>Data!R340</f>
        <v>3</v>
      </c>
      <c r="R309" s="24">
        <f>Data!S340</f>
        <v>3</v>
      </c>
      <c r="S309" s="24">
        <f>'TMT E DK'!E340</f>
        <v>0</v>
      </c>
      <c r="T309" s="24">
        <f>'TMT E DD'!E340</f>
        <v>0</v>
      </c>
      <c r="U309" s="24">
        <f>TA!E340</f>
        <v>6650529000000</v>
      </c>
      <c r="V309" s="109">
        <f>PR!F340</f>
        <v>5.2245327454721758E-3</v>
      </c>
      <c r="W309" s="109">
        <f>'Z Score'!I340</f>
        <v>-0.24023275140969988</v>
      </c>
      <c r="X309" s="109">
        <f>'Z Score'!L340</f>
        <v>0.29645405350461596</v>
      </c>
      <c r="Y309" s="109">
        <f>'Z Score'!O340</f>
        <v>5.4473140407326988E-2</v>
      </c>
      <c r="Z309" s="109">
        <f>'Z Score'!R340</f>
        <v>0.23582776968195765</v>
      </c>
      <c r="AA309" s="109">
        <f>'Z Score'!S340</f>
        <v>0.34652221218420071</v>
      </c>
    </row>
    <row r="310" spans="1:27" ht="15" customHeight="1" x14ac:dyDescent="0.3">
      <c r="A310" s="22"/>
      <c r="B310" s="23"/>
      <c r="C310" s="3"/>
      <c r="D310" s="23">
        <v>2023</v>
      </c>
      <c r="E310" s="25">
        <f>'Current Ratio'!G341</f>
        <v>0.73683013458797142</v>
      </c>
      <c r="F310" s="25">
        <f>'Cash Ratio'!G341</f>
        <v>7.6661456639082609E-2</v>
      </c>
      <c r="G310" s="25">
        <f>DAR!G341</f>
        <v>0.76060073506989578</v>
      </c>
      <c r="H310" s="25">
        <f>DER!G341</f>
        <v>3.1771222659850835</v>
      </c>
      <c r="I310" s="25">
        <f>NPM!G341</f>
        <v>-4.1151479824923107E-2</v>
      </c>
      <c r="J310" s="25">
        <f>ROA!G341</f>
        <v>-9.7484480351186526E-3</v>
      </c>
      <c r="K310" s="25">
        <f>ROE!G341</f>
        <v>-4.0720459346292662E-2</v>
      </c>
      <c r="L310" s="25">
        <f>KM!E341</f>
        <v>0.91159999999999997</v>
      </c>
      <c r="M310" s="24">
        <f>KI!E341</f>
        <v>2</v>
      </c>
      <c r="N310" s="108">
        <f>IO!E341</f>
        <v>0</v>
      </c>
      <c r="O310" s="24">
        <f>'BoC Size'!E341</f>
        <v>4</v>
      </c>
      <c r="P310" s="24">
        <f>'TMT E DK'!E341</f>
        <v>0</v>
      </c>
      <c r="Q310" s="24">
        <f>Data!R341</f>
        <v>4</v>
      </c>
      <c r="R310" s="24">
        <f>Data!S341</f>
        <v>3</v>
      </c>
      <c r="S310" s="24">
        <f>'TMT E DK'!E341</f>
        <v>0</v>
      </c>
      <c r="T310" s="24">
        <f>'TMT E DD'!E341</f>
        <v>0</v>
      </c>
      <c r="U310" s="24">
        <f>TA!E341</f>
        <v>7227612000000</v>
      </c>
      <c r="V310" s="109">
        <f>PR!F341</f>
        <v>0.18224453298163965</v>
      </c>
      <c r="W310" s="109">
        <f>'Z Score'!I341</f>
        <v>-0.18063477674230438</v>
      </c>
      <c r="X310" s="109">
        <f>'Z Score'!L341</f>
        <v>0.24057096590132396</v>
      </c>
      <c r="Y310" s="109">
        <f>'Z Score'!O341</f>
        <v>-6.4323187243587501E-2</v>
      </c>
      <c r="Z310" s="109">
        <f>'Z Score'!R341</f>
        <v>0.33048775341179454</v>
      </c>
      <c r="AA310" s="109">
        <f>'Z Score'!S341</f>
        <v>0.3261007553272266</v>
      </c>
    </row>
    <row r="311" spans="1:27" ht="15" customHeight="1" x14ac:dyDescent="0.3">
      <c r="A311" s="22"/>
      <c r="B311" s="23"/>
      <c r="C311" s="3"/>
      <c r="D311" s="23">
        <v>2024</v>
      </c>
      <c r="E311" s="25">
        <f>'Current Ratio'!G342</f>
        <v>0.67019327074965929</v>
      </c>
      <c r="F311" s="25">
        <f>'Cash Ratio'!G342</f>
        <v>0.31128653808712337</v>
      </c>
      <c r="G311" s="25">
        <f>DAR!G342</f>
        <v>0.74830163787802562</v>
      </c>
      <c r="H311" s="25">
        <f>DER!G342</f>
        <v>2.9730095641837928</v>
      </c>
      <c r="I311" s="25">
        <f>NPM!G342</f>
        <v>-2.9466864858842423E-2</v>
      </c>
      <c r="J311" s="25">
        <f>ROA!G342</f>
        <v>-8.0821361358003989E-3</v>
      </c>
      <c r="K311" s="25">
        <f>ROE!G342</f>
        <v>-3.2110404166570426E-2</v>
      </c>
      <c r="L311" s="25">
        <f>KM!E342</f>
        <v>0.91159999999999997</v>
      </c>
      <c r="M311" s="24">
        <f>KI!E342</f>
        <v>2</v>
      </c>
      <c r="N311" s="108">
        <f>IO!E342</f>
        <v>0</v>
      </c>
      <c r="O311" s="24">
        <f>'BoC Size'!E342</f>
        <v>4</v>
      </c>
      <c r="P311" s="24">
        <f>'TMT E DK'!E342</f>
        <v>0</v>
      </c>
      <c r="Q311" s="24">
        <f>Data!R342</f>
        <v>4</v>
      </c>
      <c r="R311" s="24">
        <f>Data!S342</f>
        <v>4</v>
      </c>
      <c r="S311" s="24">
        <f>'TMT E DK'!E342</f>
        <v>0</v>
      </c>
      <c r="T311" s="24">
        <f>'TMT E DD'!E342</f>
        <v>0</v>
      </c>
      <c r="U311" s="24">
        <f>TA!E342</f>
        <v>6708375000000</v>
      </c>
      <c r="V311" s="109">
        <f>PR!F342</f>
        <v>7.4644221750044676E-2</v>
      </c>
      <c r="W311" s="109">
        <f>'Z Score'!I342</f>
        <v>-0.16067972347997836</v>
      </c>
      <c r="X311" s="109">
        <f>'Z Score'!L342</f>
        <v>0.24756245737604113</v>
      </c>
      <c r="Y311" s="109">
        <f>'Z Score'!O342</f>
        <v>-5.3005695119906084E-2</v>
      </c>
      <c r="Z311" s="109">
        <f>'Z Score'!R342</f>
        <v>0.35317747129019611</v>
      </c>
      <c r="AA311" s="109">
        <f>'Z Score'!S342</f>
        <v>0.38705451006635277</v>
      </c>
    </row>
    <row r="312" spans="1:27" ht="15" customHeight="1" x14ac:dyDescent="0.3">
      <c r="A312" s="22"/>
      <c r="B312" s="23">
        <v>32</v>
      </c>
      <c r="C312" s="3" t="s">
        <v>7</v>
      </c>
      <c r="D312" s="23">
        <v>2015</v>
      </c>
      <c r="E312" s="25">
        <f>'Current Ratio'!G344</f>
        <v>0</v>
      </c>
      <c r="F312" s="25">
        <f>'Cash Ratio'!G344</f>
        <v>0</v>
      </c>
      <c r="G312" s="25">
        <f>DAR!G344</f>
        <v>0</v>
      </c>
      <c r="H312" s="25">
        <f>DER!G344</f>
        <v>0</v>
      </c>
      <c r="I312" s="25">
        <f>NPM!G344</f>
        <v>0</v>
      </c>
      <c r="J312" s="25">
        <f>ROA!G344</f>
        <v>0</v>
      </c>
      <c r="K312" s="25">
        <f>ROE!G344</f>
        <v>0</v>
      </c>
      <c r="L312" s="25">
        <f>KM!E344</f>
        <v>0</v>
      </c>
      <c r="M312" s="24">
        <f>KI!E344</f>
        <v>0</v>
      </c>
      <c r="N312" s="108">
        <f>IO!E344</f>
        <v>0</v>
      </c>
      <c r="O312" s="24">
        <f>'BoC Size'!E344</f>
        <v>0</v>
      </c>
      <c r="P312" s="24">
        <f>'TMT E DK'!E344</f>
        <v>0</v>
      </c>
      <c r="Q312" s="24">
        <f>Data!R344</f>
        <v>0</v>
      </c>
      <c r="R312" s="24">
        <f>Data!S344</f>
        <v>0</v>
      </c>
      <c r="S312" s="24">
        <f>'TMT E DK'!E344</f>
        <v>0</v>
      </c>
      <c r="T312" s="24">
        <f>'TMT E DD'!E344</f>
        <v>0</v>
      </c>
      <c r="U312" s="24">
        <f>TA!E344</f>
        <v>0</v>
      </c>
      <c r="V312" s="109">
        <f>PR!F344</f>
        <v>0</v>
      </c>
      <c r="W312" s="109">
        <f>'Z Score'!I344</f>
        <v>0</v>
      </c>
      <c r="X312" s="109">
        <f>'Z Score'!L344</f>
        <v>0</v>
      </c>
      <c r="Y312" s="109">
        <f>'Z Score'!O344</f>
        <v>0</v>
      </c>
      <c r="Z312" s="109">
        <f>'Z Score'!R344</f>
        <v>0</v>
      </c>
      <c r="AA312" s="109">
        <f>'Z Score'!S344</f>
        <v>0</v>
      </c>
    </row>
    <row r="313" spans="1:27" ht="15" customHeight="1" x14ac:dyDescent="0.3">
      <c r="A313" s="22"/>
      <c r="B313" s="23"/>
      <c r="C313" s="3"/>
      <c r="D313" s="23">
        <v>2016</v>
      </c>
      <c r="E313" s="25">
        <f>'Current Ratio'!G345</f>
        <v>14.984203067229064</v>
      </c>
      <c r="F313" s="25">
        <f>'Cash Ratio'!G345</f>
        <v>0.40014073483105717</v>
      </c>
      <c r="G313" s="25">
        <f>DAR!G345</f>
        <v>0.90979159664680542</v>
      </c>
      <c r="H313" s="25">
        <f>DER!G345</f>
        <v>10.171484690979812</v>
      </c>
      <c r="I313" s="25">
        <f>NPM!G345</f>
        <v>0.12694548465445557</v>
      </c>
      <c r="J313" s="25">
        <f>ROA!G345</f>
        <v>5.0112764930043255E-2</v>
      </c>
      <c r="K313" s="25">
        <f>ROE!G345</f>
        <v>0.56026151833812365</v>
      </c>
      <c r="L313" s="25">
        <f>KM!E345</f>
        <v>0</v>
      </c>
      <c r="M313" s="24">
        <f>KI!E345</f>
        <v>0</v>
      </c>
      <c r="N313" s="108">
        <f>IO!E345</f>
        <v>0</v>
      </c>
      <c r="O313" s="24">
        <f>'BoC Size'!E345</f>
        <v>0</v>
      </c>
      <c r="P313" s="24">
        <f>'TMT E DK'!E345</f>
        <v>0</v>
      </c>
      <c r="Q313" s="24">
        <f>Data!R345</f>
        <v>0</v>
      </c>
      <c r="R313" s="24">
        <f>Data!S345</f>
        <v>0</v>
      </c>
      <c r="S313" s="24">
        <f>'TMT E DK'!E345</f>
        <v>0</v>
      </c>
      <c r="T313" s="24">
        <f>'TMT E DD'!E345</f>
        <v>0</v>
      </c>
      <c r="U313" s="24">
        <f>TA!E345</f>
        <v>25983699000000</v>
      </c>
      <c r="V313" s="109">
        <f>PR!F345</f>
        <v>0</v>
      </c>
      <c r="W313" s="109">
        <f>'Z Score'!I345</f>
        <v>6.0759351130106607</v>
      </c>
      <c r="X313" s="109">
        <f>'Z Score'!L345</f>
        <v>0.27741360612282334</v>
      </c>
      <c r="Y313" s="109">
        <f>'Z Score'!O345</f>
        <v>0.42892039967057805</v>
      </c>
      <c r="Z313" s="109">
        <f>'Z Score'!R345</f>
        <v>0.10322976752166298</v>
      </c>
      <c r="AA313" s="109">
        <f>'Z Score'!S345</f>
        <v>6.8854988863257249</v>
      </c>
    </row>
    <row r="314" spans="1:27" ht="15" customHeight="1" x14ac:dyDescent="0.3">
      <c r="A314" s="22"/>
      <c r="B314" s="23"/>
      <c r="C314" s="3"/>
      <c r="D314" s="23">
        <v>2017</v>
      </c>
      <c r="E314" s="25">
        <f>'Current Ratio'!G346</f>
        <v>20.041664417975404</v>
      </c>
      <c r="F314" s="25">
        <f>'Cash Ratio'!G346</f>
        <v>0.80185665276142615</v>
      </c>
      <c r="G314" s="25">
        <f>DAR!G346</f>
        <v>0.92715714293417506</v>
      </c>
      <c r="H314" s="25">
        <f>DER!G346</f>
        <v>12.914194294856228</v>
      </c>
      <c r="I314" s="25">
        <f>NPM!G346</f>
        <v>7.888352129826473E-2</v>
      </c>
      <c r="J314" s="25">
        <f>ROA!G346</f>
        <v>3.3301148514068013E-2</v>
      </c>
      <c r="K314" s="25">
        <f>ROE!G346</f>
        <v>0.46384532053707073</v>
      </c>
      <c r="L314" s="25">
        <f>KM!E346</f>
        <v>0.51</v>
      </c>
      <c r="M314" s="24">
        <f>KI!E346</f>
        <v>2</v>
      </c>
      <c r="N314" s="108">
        <f>IO!E346</f>
        <v>0</v>
      </c>
      <c r="O314" s="24">
        <f>'BoC Size'!E346</f>
        <v>4</v>
      </c>
      <c r="P314" s="24">
        <f>'TMT E DK'!E346</f>
        <v>0</v>
      </c>
      <c r="Q314" s="24">
        <f>Data!R346</f>
        <v>4</v>
      </c>
      <c r="R314" s="24">
        <f>Data!S346</f>
        <v>4</v>
      </c>
      <c r="S314" s="24">
        <f>'TMT E DK'!E346</f>
        <v>0</v>
      </c>
      <c r="T314" s="24">
        <f>'TMT E DD'!E346</f>
        <v>0</v>
      </c>
      <c r="U314" s="24">
        <f>TA!E346</f>
        <v>30228537000000</v>
      </c>
      <c r="V314" s="109">
        <f>PR!F346</f>
        <v>0.24410767107098696</v>
      </c>
      <c r="W314" s="109">
        <f>'Z Score'!I346</f>
        <v>6.20205427738696</v>
      </c>
      <c r="X314" s="109">
        <f>'Z Score'!L346</f>
        <v>0.21423571971081495</v>
      </c>
      <c r="Y314" s="109">
        <f>'Z Score'!O346</f>
        <v>0.27681782151746209</v>
      </c>
      <c r="Z314" s="109">
        <f>'Z Score'!R346</f>
        <v>8.1305885293844374E-2</v>
      </c>
      <c r="AA314" s="109">
        <f>'Z Score'!S346</f>
        <v>6.7744137039090813</v>
      </c>
    </row>
    <row r="315" spans="1:27" ht="15" customHeight="1" x14ac:dyDescent="0.3">
      <c r="A315" s="22"/>
      <c r="B315" s="23"/>
      <c r="C315" s="3"/>
      <c r="D315" s="23">
        <v>2018</v>
      </c>
      <c r="E315" s="25">
        <f>'Current Ratio'!G347</f>
        <v>22.508743209889747</v>
      </c>
      <c r="F315" s="25">
        <f>'Cash Ratio'!G347</f>
        <v>1.2255733637467123</v>
      </c>
      <c r="G315" s="25">
        <f>DAR!G347</f>
        <v>0.92169137074723684</v>
      </c>
      <c r="H315" s="25">
        <f>DER!G347</f>
        <v>11.965356319387109</v>
      </c>
      <c r="I315" s="25">
        <f>NPM!G347</f>
        <v>0.12733761427955356</v>
      </c>
      <c r="J315" s="25">
        <f>ROA!G347</f>
        <v>3.2007239075345598E-2</v>
      </c>
      <c r="K315" s="25">
        <f>ROE!G347</f>
        <v>0.41551655195147508</v>
      </c>
      <c r="L315" s="25">
        <f>KM!E347</f>
        <v>0.51</v>
      </c>
      <c r="M315" s="24">
        <f>KI!E347</f>
        <v>2</v>
      </c>
      <c r="N315" s="108">
        <f>IO!E347</f>
        <v>0</v>
      </c>
      <c r="O315" s="24">
        <f>'BoC Size'!E347</f>
        <v>4</v>
      </c>
      <c r="P315" s="24">
        <f>'TMT E DK'!E347</f>
        <v>0</v>
      </c>
      <c r="Q315" s="24">
        <f>Data!R347</f>
        <v>4</v>
      </c>
      <c r="R315" s="24">
        <f>Data!S347</f>
        <v>3</v>
      </c>
      <c r="S315" s="24">
        <f>'TMT E DK'!E347</f>
        <v>0</v>
      </c>
      <c r="T315" s="24">
        <f>'TMT E DD'!E347</f>
        <v>0</v>
      </c>
      <c r="U315" s="24">
        <f>TA!E347</f>
        <v>29576153000000</v>
      </c>
      <c r="V315" s="109">
        <f>PR!F347</f>
        <v>-0.41743667913497184</v>
      </c>
      <c r="W315" s="109">
        <f>'Z Score'!I347</f>
        <v>6.2451238469046322</v>
      </c>
      <c r="X315" s="109">
        <f>'Z Score'!L347</f>
        <v>0.24530017342011992</v>
      </c>
      <c r="Y315" s="109">
        <f>'Z Score'!O347</f>
        <v>0.28574302817543579</v>
      </c>
      <c r="Z315" s="109">
        <f>'Z Score'!R347</f>
        <v>8.7753341561480833E-2</v>
      </c>
      <c r="AA315" s="109">
        <f>'Z Score'!S347</f>
        <v>6.8639203900616685</v>
      </c>
    </row>
    <row r="316" spans="1:27" ht="15" customHeight="1" x14ac:dyDescent="0.3">
      <c r="A316" s="22"/>
      <c r="B316" s="23"/>
      <c r="C316" s="3"/>
      <c r="D316" s="23">
        <v>2019</v>
      </c>
      <c r="E316" s="25">
        <f>'Current Ratio'!G348</f>
        <v>23.226904444058601</v>
      </c>
      <c r="F316" s="25">
        <f>'Cash Ratio'!G348</f>
        <v>0.8314364559109424</v>
      </c>
      <c r="G316" s="25">
        <f>DAR!G348</f>
        <v>0.91014230678728503</v>
      </c>
      <c r="H316" s="25">
        <f>DER!G348</f>
        <v>10.260410740081801</v>
      </c>
      <c r="I316" s="25">
        <f>NPM!G348</f>
        <v>9.3481629513466599E-2</v>
      </c>
      <c r="J316" s="25">
        <f>ROA!G348</f>
        <v>3.0648844318941184E-2</v>
      </c>
      <c r="K316" s="25">
        <f>ROE!G348</f>
        <v>0.34551710109071532</v>
      </c>
      <c r="L316" s="25">
        <f>KM!E348</f>
        <v>0.51</v>
      </c>
      <c r="M316" s="24">
        <f>KI!E348</f>
        <v>2</v>
      </c>
      <c r="N316" s="108">
        <f>IO!E348</f>
        <v>0</v>
      </c>
      <c r="O316" s="24">
        <f>'BoC Size'!E348</f>
        <v>4</v>
      </c>
      <c r="P316" s="24">
        <f>'TMT E DK'!E348</f>
        <v>0</v>
      </c>
      <c r="Q316" s="24">
        <f>Data!R348</f>
        <v>4</v>
      </c>
      <c r="R316" s="24">
        <f>Data!S348</f>
        <v>4</v>
      </c>
      <c r="S316" s="24">
        <f>'TMT E DK'!E348</f>
        <v>0</v>
      </c>
      <c r="T316" s="24">
        <f>'TMT E DD'!E348</f>
        <v>0</v>
      </c>
      <c r="U316" s="24">
        <f>TA!E348</f>
        <v>32753111000000</v>
      </c>
      <c r="V316" s="109">
        <f>PR!F348</f>
        <v>0.44446557805552783</v>
      </c>
      <c r="W316" s="109">
        <f>'Z Score'!I348</f>
        <v>6.2560014210558501</v>
      </c>
      <c r="X316" s="109">
        <f>'Z Score'!L348</f>
        <v>0.27412323733156213</v>
      </c>
      <c r="Y316" s="109">
        <f>'Z Score'!O348</f>
        <v>0.2392899092852584</v>
      </c>
      <c r="Z316" s="109">
        <f>'Z Score'!R348</f>
        <v>0.10233508449113304</v>
      </c>
      <c r="AA316" s="109">
        <f>'Z Score'!S348</f>
        <v>6.8717496521638033</v>
      </c>
    </row>
    <row r="317" spans="1:27" ht="15" customHeight="1" x14ac:dyDescent="0.3">
      <c r="A317" s="22"/>
      <c r="B317" s="23"/>
      <c r="C317" s="3"/>
      <c r="D317" s="23">
        <v>2020</v>
      </c>
      <c r="E317" s="25">
        <f>'Current Ratio'!G349</f>
        <v>0.72000956601526656</v>
      </c>
      <c r="F317" s="25">
        <f>'Cash Ratio'!G349</f>
        <v>0.54651182086172223</v>
      </c>
      <c r="G317" s="25">
        <f>DAR!G349</f>
        <v>0.91917334840132425</v>
      </c>
      <c r="H317" s="25">
        <f>DER!G349</f>
        <v>11.538930998658936</v>
      </c>
      <c r="I317" s="25">
        <f>NPM!G349</f>
        <v>8.2510722970605355E-2</v>
      </c>
      <c r="J317" s="25">
        <f>ROA!G349</f>
        <v>2.6684584092056044E-2</v>
      </c>
      <c r="K317" s="25">
        <f>ROE!G349</f>
        <v>0.33498749186068433</v>
      </c>
      <c r="L317" s="25">
        <f>KM!E349</f>
        <v>0.51</v>
      </c>
      <c r="M317" s="24">
        <f>KI!E349</f>
        <v>2</v>
      </c>
      <c r="N317" s="108">
        <f>IO!E349</f>
        <v>0</v>
      </c>
      <c r="O317" s="24">
        <f>'BoC Size'!E349</f>
        <v>4</v>
      </c>
      <c r="P317" s="24">
        <f>'TMT E DK'!E349</f>
        <v>12</v>
      </c>
      <c r="Q317" s="24">
        <f>Data!R349</f>
        <v>4</v>
      </c>
      <c r="R317" s="24">
        <f>Data!S349</f>
        <v>5</v>
      </c>
      <c r="S317" s="24">
        <f>'TMT E DK'!E349</f>
        <v>12</v>
      </c>
      <c r="T317" s="24">
        <f>'TMT E DD'!E349</f>
        <v>13</v>
      </c>
      <c r="U317" s="24">
        <f>TA!E349</f>
        <v>37555991000000</v>
      </c>
      <c r="V317" s="109">
        <f>PR!F349</f>
        <v>0.13106844396102965</v>
      </c>
      <c r="W317" s="109">
        <f>'Z Score'!I349</f>
        <v>-0.10020578820566869</v>
      </c>
      <c r="X317" s="109">
        <f>'Z Score'!L349</f>
        <v>0.23926284251159821</v>
      </c>
      <c r="Y317" s="109">
        <f>'Z Score'!O349</f>
        <v>0.20178989605147152</v>
      </c>
      <c r="Z317" s="109">
        <f>'Z Score'!R349</f>
        <v>9.0996297674544729E-2</v>
      </c>
      <c r="AA317" s="109">
        <f>'Z Score'!S349</f>
        <v>0.43184324803194574</v>
      </c>
    </row>
    <row r="318" spans="1:27" ht="15" customHeight="1" x14ac:dyDescent="0.3">
      <c r="A318" s="22"/>
      <c r="B318" s="23"/>
      <c r="C318" s="3"/>
      <c r="D318" s="23">
        <v>2021</v>
      </c>
      <c r="E318" s="25">
        <f>'Current Ratio'!G350</f>
        <v>0.55296865279627505</v>
      </c>
      <c r="F318" s="25">
        <f>'Cash Ratio'!G350</f>
        <v>0.39163626672368046</v>
      </c>
      <c r="G318" s="25">
        <f>DAR!G350</f>
        <v>0.9254505259142044</v>
      </c>
      <c r="H318" s="25">
        <f>DER!G350</f>
        <v>12.56232342077454</v>
      </c>
      <c r="I318" s="25">
        <f>NPM!G350</f>
        <v>6.9056214048364234E-2</v>
      </c>
      <c r="J318" s="25">
        <f>ROA!G350</f>
        <v>2.5209859831189042E-2</v>
      </c>
      <c r="K318" s="25">
        <f>ROE!G350</f>
        <v>0.34220566494242732</v>
      </c>
      <c r="L318" s="25">
        <f>KM!E350</f>
        <v>0.51</v>
      </c>
      <c r="M318" s="24">
        <f>KI!E350</f>
        <v>2</v>
      </c>
      <c r="N318" s="108">
        <f>IO!E350</f>
        <v>0</v>
      </c>
      <c r="O318" s="24">
        <f>'BoC Size'!E350</f>
        <v>4</v>
      </c>
      <c r="P318" s="24">
        <f>'TMT E DK'!E350</f>
        <v>13</v>
      </c>
      <c r="Q318" s="24">
        <f>Data!R350</f>
        <v>4</v>
      </c>
      <c r="R318" s="24">
        <f>Data!S350</f>
        <v>4</v>
      </c>
      <c r="S318" s="24">
        <f>'TMT E DK'!E350</f>
        <v>13</v>
      </c>
      <c r="T318" s="24">
        <f>'TMT E DD'!E350</f>
        <v>10</v>
      </c>
      <c r="U318" s="24">
        <f>TA!E350</f>
        <v>41079324000000</v>
      </c>
      <c r="V318" s="109">
        <f>PR!F350</f>
        <v>0.23470066577264667</v>
      </c>
      <c r="W318" s="109">
        <f>'Z Score'!I350</f>
        <v>-0.19232230793281796</v>
      </c>
      <c r="X318" s="109">
        <f>'Z Score'!L350</f>
        <v>0.2218864093284495</v>
      </c>
      <c r="Y318" s="109">
        <f>'Z Score'!O350</f>
        <v>0.19071323763750347</v>
      </c>
      <c r="Z318" s="109">
        <f>'Z Score'!R350</f>
        <v>8.358326440343003E-2</v>
      </c>
      <c r="AA318" s="109">
        <f>'Z Score'!S350</f>
        <v>0.30386060343656507</v>
      </c>
    </row>
    <row r="319" spans="1:27" ht="15" customHeight="1" x14ac:dyDescent="0.3">
      <c r="A319" s="22"/>
      <c r="B319" s="23"/>
      <c r="C319" s="3"/>
      <c r="D319" s="23">
        <v>2022</v>
      </c>
      <c r="E319" s="25">
        <f>'Current Ratio'!G351</f>
        <v>1.0541624870522257</v>
      </c>
      <c r="F319" s="25">
        <f>'Cash Ratio'!G351</f>
        <v>0.86342239984362479</v>
      </c>
      <c r="G319" s="25">
        <f>DAR!G351</f>
        <v>0.91846496289064516</v>
      </c>
      <c r="H319" s="25">
        <f>DER!G351</f>
        <v>11.395200799887284</v>
      </c>
      <c r="I319" s="25">
        <f>NPM!G351</f>
        <v>8.0109770540684591E-2</v>
      </c>
      <c r="J319" s="25">
        <f>ROA!G351</f>
        <v>2.9182976571265853E-2</v>
      </c>
      <c r="K319" s="25">
        <f>ROE!G351</f>
        <v>0.36206702640171845</v>
      </c>
      <c r="L319" s="25">
        <f>KM!E351</f>
        <v>0.51</v>
      </c>
      <c r="M319" s="24">
        <f>KI!E351</f>
        <v>2</v>
      </c>
      <c r="N319" s="108">
        <f>IO!E351</f>
        <v>0</v>
      </c>
      <c r="O319" s="24">
        <f>'BoC Size'!E351</f>
        <v>4</v>
      </c>
      <c r="P319" s="24">
        <f>'TMT E DK'!E351</f>
        <v>16</v>
      </c>
      <c r="Q319" s="24">
        <f>Data!R351</f>
        <v>4</v>
      </c>
      <c r="R319" s="24">
        <f>Data!S351</f>
        <v>5</v>
      </c>
      <c r="S319" s="24">
        <f>'TMT E DK'!E351</f>
        <v>16</v>
      </c>
      <c r="T319" s="24">
        <f>'TMT E DD'!E351</f>
        <v>11</v>
      </c>
      <c r="U319" s="24">
        <f>TA!E351</f>
        <v>40154026000000</v>
      </c>
      <c r="V319" s="109">
        <f>PR!F351</f>
        <v>-2.4601147891753137E-2</v>
      </c>
      <c r="W319" s="109">
        <f>'Z Score'!I351</f>
        <v>2.1638314424561062E-2</v>
      </c>
      <c r="X319" s="109">
        <f>'Z Score'!L351</f>
        <v>0.24886439382192957</v>
      </c>
      <c r="Y319" s="109">
        <f>'Z Score'!O351</f>
        <v>0.23727907333625775</v>
      </c>
      <c r="Z319" s="109">
        <f>'Z Score'!R351</f>
        <v>9.2144054189057037E-2</v>
      </c>
      <c r="AA319" s="109">
        <f>'Z Score'!S351</f>
        <v>0.59992583577180536</v>
      </c>
    </row>
    <row r="320" spans="1:27" ht="15" customHeight="1" x14ac:dyDescent="0.3">
      <c r="A320" s="22"/>
      <c r="B320" s="23"/>
      <c r="C320" s="3"/>
      <c r="D320" s="23">
        <v>2023</v>
      </c>
      <c r="E320" s="25">
        <f>'Current Ratio'!G352</f>
        <v>0.87467554792993263</v>
      </c>
      <c r="F320" s="25">
        <f>'Cash Ratio'!G352</f>
        <v>0.65082311691478623</v>
      </c>
      <c r="G320" s="25">
        <f>DAR!G352</f>
        <v>0.91079126807730215</v>
      </c>
      <c r="H320" s="25">
        <f>DER!G352</f>
        <v>10.346522419669242</v>
      </c>
      <c r="I320" s="25">
        <f>NPM!G352</f>
        <v>9.4625979382737077E-2</v>
      </c>
      <c r="J320" s="25">
        <f>ROA!G352</f>
        <v>3.2277198348134001E-2</v>
      </c>
      <c r="K320" s="25">
        <f>ROE!G352</f>
        <v>0.36666662061667388</v>
      </c>
      <c r="L320" s="25">
        <f>KM!E352</f>
        <v>0.51</v>
      </c>
      <c r="M320" s="24">
        <f>KI!E352</f>
        <v>2</v>
      </c>
      <c r="N320" s="108">
        <f>IO!E352</f>
        <v>0</v>
      </c>
      <c r="O320" s="24">
        <f>'BoC Size'!E352</f>
        <v>4</v>
      </c>
      <c r="P320" s="24">
        <f>'TMT E DK'!E352</f>
        <v>16</v>
      </c>
      <c r="Q320" s="24">
        <f>Data!R352</f>
        <v>4</v>
      </c>
      <c r="R320" s="24">
        <f>Data!S352</f>
        <v>5</v>
      </c>
      <c r="S320" s="24">
        <f>'TMT E DK'!E352</f>
        <v>16</v>
      </c>
      <c r="T320" s="24">
        <f>'TMT E DD'!E352</f>
        <v>11</v>
      </c>
      <c r="U320" s="24">
        <f>TA!E352</f>
        <v>41114473000000</v>
      </c>
      <c r="V320" s="109">
        <f>PR!F352</f>
        <v>-4.1246467979308164E-2</v>
      </c>
      <c r="W320" s="109">
        <f>'Z Score'!I352</f>
        <v>-5.4612161513051614E-2</v>
      </c>
      <c r="X320" s="109">
        <f>'Z Score'!L352</f>
        <v>0.27119147021536671</v>
      </c>
      <c r="Y320" s="109">
        <f>'Z Score'!O352</f>
        <v>0.25580490451622717</v>
      </c>
      <c r="Z320" s="109">
        <f>'Z Score'!R352</f>
        <v>0.10148337358298272</v>
      </c>
      <c r="AA320" s="109">
        <f>'Z Score'!S352</f>
        <v>0.57386758680152505</v>
      </c>
    </row>
    <row r="321" spans="1:27" ht="15" customHeight="1" x14ac:dyDescent="0.3">
      <c r="A321" s="22"/>
      <c r="B321" s="23"/>
      <c r="C321" s="3"/>
      <c r="D321" s="23">
        <v>2024</v>
      </c>
      <c r="E321" s="25">
        <f>'Current Ratio'!G353</f>
        <v>1.175834430553564</v>
      </c>
      <c r="F321" s="25">
        <f>'Cash Ratio'!G353</f>
        <v>0.85029353357059367</v>
      </c>
      <c r="G321" s="25">
        <f>DAR!G353</f>
        <v>0.89385356275945305</v>
      </c>
      <c r="H321" s="25">
        <f>DER!G353</f>
        <v>9.8266075475261232</v>
      </c>
      <c r="I321" s="25">
        <f>NPM!G353</f>
        <v>0.10452970566039432</v>
      </c>
      <c r="J321" s="25">
        <f>ROA!G353</f>
        <v>3.1070339846857805E-2</v>
      </c>
      <c r="K321" s="25">
        <f>ROE!G353</f>
        <v>0.34157276847538715</v>
      </c>
      <c r="L321" s="25">
        <f>KM!E353</f>
        <v>0.51</v>
      </c>
      <c r="M321" s="24">
        <f>KI!E353</f>
        <v>2</v>
      </c>
      <c r="N321" s="108">
        <f>IO!E353</f>
        <v>0</v>
      </c>
      <c r="O321" s="24">
        <f>'BoC Size'!E353</f>
        <v>4</v>
      </c>
      <c r="P321" s="24">
        <f>'TMT E DK'!E353</f>
        <v>16</v>
      </c>
      <c r="Q321" s="24">
        <f>Data!R353</f>
        <v>4</v>
      </c>
      <c r="R321" s="24">
        <f>Data!S353</f>
        <v>5</v>
      </c>
      <c r="S321" s="24">
        <f>'TMT E DK'!E353</f>
        <v>16</v>
      </c>
      <c r="T321" s="24">
        <f>'TMT E DD'!E353</f>
        <v>11</v>
      </c>
      <c r="U321" s="24">
        <f>TA!E353</f>
        <v>41914379000000</v>
      </c>
      <c r="V321" s="109">
        <f>PR!F353</f>
        <v>-0.11163970280942312</v>
      </c>
      <c r="W321" s="109">
        <f>'Z Score'!I353</f>
        <v>7.5996491800582322E-2</v>
      </c>
      <c r="X321" s="109">
        <f>'Z Score'!L353</f>
        <v>0.28463126651596105</v>
      </c>
      <c r="Y321" s="109">
        <f>'Z Score'!O353</f>
        <v>0.25320674606678534</v>
      </c>
      <c r="Z321" s="109">
        <f>'Z Score'!R353</f>
        <v>0.10685274596769061</v>
      </c>
      <c r="AA321" s="109">
        <f>'Z Score'!S353</f>
        <v>0.72068725035101922</v>
      </c>
    </row>
    <row r="322" spans="1:27" ht="15" customHeight="1" x14ac:dyDescent="0.3">
      <c r="A322" s="22"/>
      <c r="B322" s="23">
        <v>33</v>
      </c>
      <c r="C322" s="3" t="s">
        <v>30</v>
      </c>
      <c r="D322" s="23">
        <v>2015</v>
      </c>
      <c r="E322" s="25">
        <f>'Current Ratio'!G355</f>
        <v>0</v>
      </c>
      <c r="F322" s="25">
        <f>'Cash Ratio'!G355</f>
        <v>0</v>
      </c>
      <c r="G322" s="25">
        <f>DAR!G355</f>
        <v>0</v>
      </c>
      <c r="H322" s="25">
        <f>DER!G355</f>
        <v>0</v>
      </c>
      <c r="I322" s="25">
        <f>NPM!G355</f>
        <v>1.5114579882511097E-2</v>
      </c>
      <c r="J322" s="25">
        <f>ROA!G355</f>
        <v>0.43646972822770702</v>
      </c>
      <c r="K322" s="25">
        <f>ROE!G355</f>
        <v>1.8667520143916854E-2</v>
      </c>
      <c r="L322" s="25">
        <f>KM!E355</f>
        <v>0</v>
      </c>
      <c r="M322" s="24">
        <f>KI!E355</f>
        <v>0</v>
      </c>
      <c r="N322" s="108">
        <f>IO!E355</f>
        <v>0</v>
      </c>
      <c r="O322" s="24">
        <f>'BoC Size'!E355</f>
        <v>0</v>
      </c>
      <c r="P322" s="24">
        <f>'TMT E DK'!E355</f>
        <v>0</v>
      </c>
      <c r="Q322" s="24">
        <f>Data!R355</f>
        <v>0</v>
      </c>
      <c r="R322" s="24">
        <f>Data!S355</f>
        <v>0</v>
      </c>
      <c r="S322" s="24">
        <f>'TMT E DK'!E355</f>
        <v>0</v>
      </c>
      <c r="T322" s="24">
        <f>'TMT E DD'!E355</f>
        <v>0</v>
      </c>
      <c r="U322" s="24">
        <f>TA!E355</f>
        <v>0</v>
      </c>
      <c r="V322" s="109">
        <f>PR!F355</f>
        <v>3186.8998776009794</v>
      </c>
      <c r="W322" s="109">
        <f>'Z Score'!I355</f>
        <v>0</v>
      </c>
      <c r="X322" s="109">
        <f>'Z Score'!L355</f>
        <v>0</v>
      </c>
      <c r="Y322" s="109">
        <f>'Z Score'!O355</f>
        <v>0</v>
      </c>
      <c r="Z322" s="109">
        <f>'Z Score'!R355</f>
        <v>0</v>
      </c>
      <c r="AA322" s="109">
        <f>'Z Score'!S355</f>
        <v>0</v>
      </c>
    </row>
    <row r="323" spans="1:27" ht="15" customHeight="1" x14ac:dyDescent="0.3">
      <c r="A323" s="22"/>
      <c r="B323" s="23"/>
      <c r="C323" s="3"/>
      <c r="D323" s="23">
        <v>2016</v>
      </c>
      <c r="E323" s="25">
        <f>'Current Ratio'!G356</f>
        <v>794.43495049504952</v>
      </c>
      <c r="F323" s="25">
        <f>'Cash Ratio'!G356</f>
        <v>794.43495049504952</v>
      </c>
      <c r="G323" s="25">
        <f>DAR!G356</f>
        <v>1.0076026111073921E-3</v>
      </c>
      <c r="H323" s="25">
        <f>DER!G356</f>
        <v>1.008618898142773E-3</v>
      </c>
      <c r="I323" s="25">
        <f>NPM!G356</f>
        <v>0</v>
      </c>
      <c r="J323" s="25">
        <f>ROA!G356</f>
        <v>0</v>
      </c>
      <c r="K323" s="25">
        <f>ROE!G356</f>
        <v>0</v>
      </c>
      <c r="L323" s="25">
        <f>KM!E356</f>
        <v>0</v>
      </c>
      <c r="M323" s="24">
        <f>KI!E356</f>
        <v>0</v>
      </c>
      <c r="N323" s="108">
        <f>IO!E356</f>
        <v>0</v>
      </c>
      <c r="O323" s="24">
        <f>'BoC Size'!E356</f>
        <v>0</v>
      </c>
      <c r="P323" s="24">
        <f>'TMT E DK'!E356</f>
        <v>0</v>
      </c>
      <c r="Q323" s="24">
        <f>Data!R356</f>
        <v>0</v>
      </c>
      <c r="R323" s="24">
        <f>Data!S356</f>
        <v>0</v>
      </c>
      <c r="S323" s="24">
        <f>'TMT E DK'!E356</f>
        <v>0</v>
      </c>
      <c r="T323" s="24">
        <f>'TMT E DD'!E356</f>
        <v>0</v>
      </c>
      <c r="U323" s="24">
        <f>TA!E356</f>
        <v>100237930000</v>
      </c>
      <c r="V323" s="109">
        <f>PR!F356</f>
        <v>0</v>
      </c>
      <c r="W323" s="109">
        <f>'Z Score'!I356</f>
        <v>5.2445043587791567</v>
      </c>
      <c r="X323" s="109">
        <f>'Z Score'!L356</f>
        <v>4.4533222104646414E-3</v>
      </c>
      <c r="Y323" s="109">
        <f>'Z Score'!O356</f>
        <v>9.1798543724915319E-3</v>
      </c>
      <c r="Z323" s="109">
        <f>'Z Score'!R356</f>
        <v>1041.02749009901</v>
      </c>
      <c r="AA323" s="109">
        <f>'Z Score'!S356</f>
        <v>1046.2856276343721</v>
      </c>
    </row>
    <row r="324" spans="1:27" ht="15" customHeight="1" x14ac:dyDescent="0.3">
      <c r="A324" s="22"/>
      <c r="B324" s="23"/>
      <c r="C324" s="3"/>
      <c r="D324" s="23">
        <v>2017</v>
      </c>
      <c r="E324" s="25">
        <f>'Current Ratio'!G357</f>
        <v>0.284326275612032</v>
      </c>
      <c r="F324" s="25">
        <f>'Cash Ratio'!G357</f>
        <v>0.13059896999649534</v>
      </c>
      <c r="G324" s="25">
        <f>DAR!G357</f>
        <v>0.50594478976654034</v>
      </c>
      <c r="H324" s="25">
        <f>DER!G357</f>
        <v>1.0240652851883951</v>
      </c>
      <c r="I324" s="25">
        <f>NPM!G357</f>
        <v>0</v>
      </c>
      <c r="J324" s="25">
        <f>ROA!G357</f>
        <v>0</v>
      </c>
      <c r="K324" s="25">
        <f>ROE!G357</f>
        <v>0</v>
      </c>
      <c r="L324" s="25">
        <f>KM!E357</f>
        <v>0.99990000000000001</v>
      </c>
      <c r="M324" s="24">
        <f>KI!E357</f>
        <v>2</v>
      </c>
      <c r="N324" s="108">
        <f>IO!E357</f>
        <v>0</v>
      </c>
      <c r="O324" s="24">
        <f>'BoC Size'!E357</f>
        <v>2</v>
      </c>
      <c r="P324" s="24">
        <f>'TMT E DK'!E357</f>
        <v>4</v>
      </c>
      <c r="Q324" s="24">
        <f>Data!R357</f>
        <v>2</v>
      </c>
      <c r="R324" s="24">
        <f>Data!S357</f>
        <v>4</v>
      </c>
      <c r="S324" s="24">
        <f>'TMT E DK'!E357</f>
        <v>4</v>
      </c>
      <c r="T324" s="24">
        <f>'TMT E DD'!E357</f>
        <v>0</v>
      </c>
      <c r="U324" s="24">
        <f>TA!E357</f>
        <v>1237823420000</v>
      </c>
      <c r="V324" s="109">
        <f>PR!F357</f>
        <v>0</v>
      </c>
      <c r="W324" s="109">
        <f>'Z Score'!I357</f>
        <v>-0.34890717449828185</v>
      </c>
      <c r="X324" s="109">
        <f>'Z Score'!L357</f>
        <v>-0.12515532126545156</v>
      </c>
      <c r="Y324" s="109">
        <f>'Z Score'!O357</f>
        <v>-0.3025056792026119</v>
      </c>
      <c r="Z324" s="109">
        <f>'Z Score'!R357</f>
        <v>1.0253252553198635</v>
      </c>
      <c r="AA324" s="109">
        <f>'Z Score'!S357</f>
        <v>0.24875708035351818</v>
      </c>
    </row>
    <row r="325" spans="1:27" ht="15" customHeight="1" x14ac:dyDescent="0.3">
      <c r="A325" s="22"/>
      <c r="B325" s="23"/>
      <c r="C325" s="3"/>
      <c r="D325" s="23">
        <v>2018</v>
      </c>
      <c r="E325" s="25">
        <f>'Current Ratio'!G358</f>
        <v>0.67324817781626611</v>
      </c>
      <c r="F325" s="25">
        <f>'Cash Ratio'!G358</f>
        <v>0.10412787760698564</v>
      </c>
      <c r="G325" s="25">
        <f>DAR!G358</f>
        <v>0.62508947681225535</v>
      </c>
      <c r="H325" s="25">
        <f>DER!G358</f>
        <v>1.6673030980760921</v>
      </c>
      <c r="I325" s="25">
        <f>NPM!G358</f>
        <v>1.6914239103570702E-2</v>
      </c>
      <c r="J325" s="25">
        <f>ROA!G358</f>
        <v>1.0718756364615181E-2</v>
      </c>
      <c r="K325" s="25">
        <f>ROE!G358</f>
        <v>2.8590172058860903E-2</v>
      </c>
      <c r="L325" s="25">
        <f>KM!E358</f>
        <v>0.99990000000000001</v>
      </c>
      <c r="M325" s="24">
        <f>KI!E358</f>
        <v>2</v>
      </c>
      <c r="N325" s="108">
        <f>IO!E358</f>
        <v>0</v>
      </c>
      <c r="O325" s="24">
        <f>'BoC Size'!E358</f>
        <v>3</v>
      </c>
      <c r="P325" s="24">
        <f>'TMT E DK'!E358</f>
        <v>5</v>
      </c>
      <c r="Q325" s="24">
        <f>Data!R358</f>
        <v>3</v>
      </c>
      <c r="R325" s="24">
        <f>Data!S358</f>
        <v>4</v>
      </c>
      <c r="S325" s="24">
        <f>'TMT E DK'!E358</f>
        <v>5</v>
      </c>
      <c r="T325" s="24">
        <f>'TMT E DD'!E358</f>
        <v>0</v>
      </c>
      <c r="U325" s="24">
        <f>TA!E358</f>
        <v>1679206000000</v>
      </c>
      <c r="V325" s="109">
        <f>PR!F358</f>
        <v>0</v>
      </c>
      <c r="W325" s="109">
        <f>'Z Score'!I358</f>
        <v>-0.17688340799163413</v>
      </c>
      <c r="X325" s="109">
        <f>'Z Score'!L358</f>
        <v>-7.7946958264798957E-2</v>
      </c>
      <c r="Y325" s="109">
        <f>'Z Score'!O358</f>
        <v>3.7557750508275936E-2</v>
      </c>
      <c r="Z325" s="109">
        <f>'Z Score'!R358</f>
        <v>0.62975952075636354</v>
      </c>
      <c r="AA325" s="109">
        <f>'Z Score'!S358</f>
        <v>0.41248690500820639</v>
      </c>
    </row>
    <row r="326" spans="1:27" ht="15" customHeight="1" x14ac:dyDescent="0.3">
      <c r="A326" s="22"/>
      <c r="B326" s="23"/>
      <c r="C326" s="3"/>
      <c r="D326" s="23">
        <v>2019</v>
      </c>
      <c r="E326" s="25">
        <f>'Current Ratio'!G359</f>
        <v>0.80261632881028711</v>
      </c>
      <c r="F326" s="25">
        <f>'Cash Ratio'!G359</f>
        <v>9.1432685385169188E-2</v>
      </c>
      <c r="G326" s="25">
        <f>DAR!G359</f>
        <v>0.65622255030125076</v>
      </c>
      <c r="H326" s="25">
        <f>DER!G359</f>
        <v>1.9088586260567584</v>
      </c>
      <c r="I326" s="25">
        <f>NPM!G359</f>
        <v>3.48214127539275E-2</v>
      </c>
      <c r="J326" s="25">
        <f>ROA!G359</f>
        <v>1.9251388722787425E-2</v>
      </c>
      <c r="K326" s="25">
        <f>ROE!G359</f>
        <v>5.5999568149851998E-2</v>
      </c>
      <c r="L326" s="25">
        <f>KM!E359</f>
        <v>0.99990000000000001</v>
      </c>
      <c r="M326" s="24">
        <f>KI!E359</f>
        <v>2</v>
      </c>
      <c r="N326" s="108">
        <f>IO!E359</f>
        <v>0</v>
      </c>
      <c r="O326" s="24">
        <f>'BoC Size'!E359</f>
        <v>3</v>
      </c>
      <c r="P326" s="24">
        <f>'TMT E DK'!E359</f>
        <v>5</v>
      </c>
      <c r="Q326" s="24">
        <f>Data!R359</f>
        <v>3</v>
      </c>
      <c r="R326" s="24">
        <f>Data!S359</f>
        <v>4</v>
      </c>
      <c r="S326" s="24">
        <f>'TMT E DK'!E359</f>
        <v>5</v>
      </c>
      <c r="T326" s="24">
        <f>'TMT E DD'!E359</f>
        <v>0</v>
      </c>
      <c r="U326" s="24">
        <f>TA!E359</f>
        <v>1939912000000</v>
      </c>
      <c r="V326" s="109">
        <f>PR!F359</f>
        <v>7.8636786942985516E-3</v>
      </c>
      <c r="W326" s="109">
        <f>'Z Score'!I359</f>
        <v>-0.20674744009006593</v>
      </c>
      <c r="X326" s="109">
        <f>'Z Score'!L359</f>
        <v>-2.2453008177690532E-2</v>
      </c>
      <c r="Y326" s="109">
        <f>'Z Score'!O359</f>
        <v>0.11595643513726396</v>
      </c>
      <c r="Z326" s="109">
        <f>'Z Score'!R359</f>
        <v>0.55006692777927035</v>
      </c>
      <c r="AA326" s="109">
        <f>'Z Score'!S359</f>
        <v>0.43682291464877787</v>
      </c>
    </row>
    <row r="327" spans="1:27" ht="15" customHeight="1" x14ac:dyDescent="0.3">
      <c r="A327" s="22"/>
      <c r="B327" s="23"/>
      <c r="C327" s="3"/>
      <c r="D327" s="23">
        <v>2020</v>
      </c>
      <c r="E327" s="25">
        <f>'Current Ratio'!G360</f>
        <v>4.4763126660261117</v>
      </c>
      <c r="F327" s="25">
        <f>'Cash Ratio'!G360</f>
        <v>0.37284801899056125</v>
      </c>
      <c r="G327" s="25">
        <f>DAR!G360</f>
        <v>0.73666906316703107</v>
      </c>
      <c r="H327" s="25">
        <f>DER!G360</f>
        <v>2.7975029141156367</v>
      </c>
      <c r="I327" s="25">
        <f>NPM!G360</f>
        <v>-0.45790829408954908</v>
      </c>
      <c r="J327" s="25">
        <f>ROA!G360</f>
        <v>-0.23283255167686731</v>
      </c>
      <c r="K327" s="25">
        <f>ROE!G360</f>
        <v>-0.88418229349388322</v>
      </c>
      <c r="L327" s="25">
        <f>KM!E360</f>
        <v>0.99990000000000001</v>
      </c>
      <c r="M327" s="24">
        <f>KI!E360</f>
        <v>2</v>
      </c>
      <c r="N327" s="108">
        <f>IO!E360</f>
        <v>0</v>
      </c>
      <c r="O327" s="24">
        <f>'BoC Size'!E360</f>
        <v>3</v>
      </c>
      <c r="P327" s="24">
        <f>'TMT E DK'!E360</f>
        <v>5</v>
      </c>
      <c r="Q327" s="24">
        <f>Data!R360</f>
        <v>3</v>
      </c>
      <c r="R327" s="24">
        <f>Data!S360</f>
        <v>4</v>
      </c>
      <c r="S327" s="24">
        <f>'TMT E DK'!E360</f>
        <v>5</v>
      </c>
      <c r="T327" s="24">
        <f>'TMT E DD'!E360</f>
        <v>0</v>
      </c>
      <c r="U327" s="24">
        <f>TA!E360</f>
        <v>1342235000000</v>
      </c>
      <c r="V327" s="109">
        <f>PR!F360</f>
        <v>-0.36365001058274071</v>
      </c>
      <c r="W327" s="109">
        <f>'Z Score'!I360</f>
        <v>1.5030228834742052</v>
      </c>
      <c r="X327" s="109">
        <f>'Z Score'!L360</f>
        <v>-0.32429863622987026</v>
      </c>
      <c r="Y327" s="109">
        <f>'Z Score'!O360</f>
        <v>-0.99746992143700619</v>
      </c>
      <c r="Z327" s="109">
        <f>'Z Score'!R360</f>
        <v>0.37533472966262565</v>
      </c>
      <c r="AA327" s="109">
        <f>'Z Score'!S360</f>
        <v>0.55658905546995441</v>
      </c>
    </row>
    <row r="328" spans="1:27" ht="15" customHeight="1" x14ac:dyDescent="0.3">
      <c r="A328" s="22"/>
      <c r="B328" s="23"/>
      <c r="C328" s="3"/>
      <c r="D328" s="23">
        <v>2021</v>
      </c>
      <c r="E328" s="25">
        <f>'Current Ratio'!G361</f>
        <v>0.20942097237172588</v>
      </c>
      <c r="F328" s="25">
        <f>'Cash Ratio'!G361</f>
        <v>0.11183620380337281</v>
      </c>
      <c r="G328" s="25">
        <f>DAR!G361</f>
        <v>0.71217771323002133</v>
      </c>
      <c r="H328" s="25">
        <f>DER!G361</f>
        <v>2.4743661139735793</v>
      </c>
      <c r="I328" s="25">
        <f>NPM!G361</f>
        <v>9.4579872635741399E-2</v>
      </c>
      <c r="J328" s="25">
        <f>ROA!G361</f>
        <v>4.1504145466608036E-2</v>
      </c>
      <c r="K328" s="25">
        <f>ROE!G361</f>
        <v>0.14420059659861309</v>
      </c>
      <c r="L328" s="25">
        <f>KM!E361</f>
        <v>0.99990000000000001</v>
      </c>
      <c r="M328" s="24">
        <f>KI!E361</f>
        <v>2</v>
      </c>
      <c r="N328" s="108">
        <f>IO!E361</f>
        <v>0</v>
      </c>
      <c r="O328" s="24">
        <f>'BoC Size'!E361</f>
        <v>3</v>
      </c>
      <c r="P328" s="24">
        <f>'TMT E DK'!E361</f>
        <v>5</v>
      </c>
      <c r="Q328" s="24">
        <f>Data!R361</f>
        <v>3</v>
      </c>
      <c r="R328" s="24">
        <f>Data!S361</f>
        <v>4</v>
      </c>
      <c r="S328" s="24">
        <f>'TMT E DK'!E361</f>
        <v>5</v>
      </c>
      <c r="T328" s="24">
        <f>'TMT E DD'!E361</f>
        <v>0</v>
      </c>
      <c r="U328" s="24">
        <f>TA!E361</f>
        <v>1434941000000</v>
      </c>
      <c r="V328" s="109">
        <f>PR!F361</f>
        <v>-7.7358363395000046E-2</v>
      </c>
      <c r="W328" s="109">
        <f>'Z Score'!I361</f>
        <v>-0.32233096691780355</v>
      </c>
      <c r="X328" s="109">
        <f>'Z Score'!L361</f>
        <v>-0.39988554233240248</v>
      </c>
      <c r="Y328" s="109">
        <f>'Z Score'!O361</f>
        <v>-0.19899979162906348</v>
      </c>
      <c r="Z328" s="109">
        <f>'Z Score'!R361</f>
        <v>0.42435110716651681</v>
      </c>
      <c r="AA328" s="109">
        <f>'Z Score'!S361</f>
        <v>-0.49686519371275262</v>
      </c>
    </row>
    <row r="329" spans="1:27" ht="15" customHeight="1" x14ac:dyDescent="0.3">
      <c r="A329" s="22"/>
      <c r="B329" s="23"/>
      <c r="C329" s="3"/>
      <c r="D329" s="23">
        <v>2022</v>
      </c>
      <c r="E329" s="25">
        <f>'Current Ratio'!G362</f>
        <v>0.26699529824655405</v>
      </c>
      <c r="F329" s="25">
        <f>'Cash Ratio'!G362</f>
        <v>0.19993838157877111</v>
      </c>
      <c r="G329" s="25">
        <f>DAR!G362</f>
        <v>0.50983907906529191</v>
      </c>
      <c r="H329" s="25">
        <f>DER!G362</f>
        <v>2.644270688751118</v>
      </c>
      <c r="I329" s="25">
        <f>NPM!G362</f>
        <v>-0.11712056303549571</v>
      </c>
      <c r="J329" s="25">
        <f>ROA!G362</f>
        <v>-5.2808519014765902E-2</v>
      </c>
      <c r="K329" s="25">
        <f>ROE!G362</f>
        <v>-0.27389037969217483</v>
      </c>
      <c r="L329" s="25">
        <f>KM!E362</f>
        <v>0.99990000000000001</v>
      </c>
      <c r="M329" s="24">
        <f>KI!E362</f>
        <v>2</v>
      </c>
      <c r="N329" s="108">
        <f>IO!E362</f>
        <v>0</v>
      </c>
      <c r="O329" s="24">
        <f>'BoC Size'!E362</f>
        <v>3</v>
      </c>
      <c r="P329" s="24">
        <f>'TMT E DK'!E362</f>
        <v>5</v>
      </c>
      <c r="Q329" s="24">
        <f>Data!R362</f>
        <v>3</v>
      </c>
      <c r="R329" s="24">
        <f>Data!S362</f>
        <v>4</v>
      </c>
      <c r="S329" s="24">
        <f>'TMT E DK'!E362</f>
        <v>5</v>
      </c>
      <c r="T329" s="24">
        <f>'TMT E DD'!E362</f>
        <v>0</v>
      </c>
      <c r="U329" s="24">
        <f>TA!E362</f>
        <v>1681509000000</v>
      </c>
      <c r="V329" s="109">
        <f>PR!F362</f>
        <v>0.20404643554765042</v>
      </c>
      <c r="W329" s="109">
        <f>'Z Score'!I362</f>
        <v>-0.21348072475377772</v>
      </c>
      <c r="X329" s="109">
        <f>'Z Score'!L362</f>
        <v>-0.30412738795926753</v>
      </c>
      <c r="Y329" s="109">
        <f>'Z Score'!O362</f>
        <v>7.7718192409318057E-2</v>
      </c>
      <c r="Z329" s="109">
        <f>'Z Score'!R362</f>
        <v>0.39708491436476656</v>
      </c>
      <c r="AA329" s="109">
        <f>'Z Score'!S362</f>
        <v>-4.2805005938960583E-2</v>
      </c>
    </row>
    <row r="330" spans="1:27" ht="15" customHeight="1" x14ac:dyDescent="0.3">
      <c r="A330" s="22"/>
      <c r="B330" s="23"/>
      <c r="C330" s="3"/>
      <c r="D330" s="23">
        <v>2023</v>
      </c>
      <c r="E330" s="25">
        <f>'Current Ratio'!G363</f>
        <v>0.29637161726804123</v>
      </c>
      <c r="F330" s="25">
        <f>'Cash Ratio'!G363</f>
        <v>0.17745248067010308</v>
      </c>
      <c r="G330" s="25">
        <f>DAR!G363</f>
        <v>0.52895633022538302</v>
      </c>
      <c r="H330" s="25">
        <f>DER!G363</f>
        <v>2.8486952512678654</v>
      </c>
      <c r="I330" s="25">
        <f>NPM!G363</f>
        <v>1.3767999545897559E-3</v>
      </c>
      <c r="J330" s="25">
        <f>ROA!G363</f>
        <v>6.5062068642765297E-4</v>
      </c>
      <c r="K330" s="25">
        <f>ROE!G363</f>
        <v>3.5039188566159522E-3</v>
      </c>
      <c r="L330" s="25">
        <f>KM!E363</f>
        <v>0.99990000000000001</v>
      </c>
      <c r="M330" s="24">
        <f>KI!E363</f>
        <v>2</v>
      </c>
      <c r="N330" s="108">
        <f>IO!E363</f>
        <v>0</v>
      </c>
      <c r="O330" s="24">
        <f>'BoC Size'!E363</f>
        <v>3</v>
      </c>
      <c r="P330" s="24">
        <f>'TMT E DK'!E363</f>
        <v>5</v>
      </c>
      <c r="Q330" s="24">
        <f>Data!R363</f>
        <v>3</v>
      </c>
      <c r="R330" s="24">
        <f>Data!S363</f>
        <v>4</v>
      </c>
      <c r="S330" s="24">
        <f>'TMT E DK'!E363</f>
        <v>5</v>
      </c>
      <c r="T330" s="24">
        <f>'TMT E DD'!E363</f>
        <v>0</v>
      </c>
      <c r="U330" s="24">
        <f>TA!E363</f>
        <v>1752173000000</v>
      </c>
      <c r="V330" s="109">
        <f>PR!F363</f>
        <v>9.2103944202929139E-2</v>
      </c>
      <c r="W330" s="109">
        <f>'Z Score'!I363</f>
        <v>-0.13083137338607545</v>
      </c>
      <c r="X330" s="109">
        <f>'Z Score'!L363</f>
        <v>-0.27250499807952749</v>
      </c>
      <c r="Y330" s="109">
        <f>'Z Score'!O363</f>
        <v>3.9897978110608939E-2</v>
      </c>
      <c r="Z330" s="109">
        <f>'Z Score'!R363</f>
        <v>0.36858979546256404</v>
      </c>
      <c r="AA330" s="109">
        <f>'Z Score'!S363</f>
        <v>5.1514021075699801E-3</v>
      </c>
    </row>
    <row r="331" spans="1:27" ht="15" customHeight="1" x14ac:dyDescent="0.3">
      <c r="A331" s="22"/>
      <c r="B331" s="23"/>
      <c r="C331" s="3"/>
      <c r="D331" s="23">
        <v>2024</v>
      </c>
      <c r="E331" s="25">
        <f>'Current Ratio'!G364</f>
        <v>0.72740186141485286</v>
      </c>
      <c r="F331" s="25">
        <f>'Cash Ratio'!G364</f>
        <v>0.30509151709749494</v>
      </c>
      <c r="G331" s="25">
        <f>DAR!G364</f>
        <v>0.73979584368694173</v>
      </c>
      <c r="H331" s="25">
        <f>DER!G364</f>
        <v>2.8431361518948011</v>
      </c>
      <c r="I331" s="25">
        <f>NPM!G364</f>
        <v>4.846066019338998E-2</v>
      </c>
      <c r="J331" s="25">
        <f>ROA!G364</f>
        <v>3.3430334881873025E-2</v>
      </c>
      <c r="K331" s="25">
        <f>ROE!G364</f>
        <v>0.12847732855447602</v>
      </c>
      <c r="L331" s="25">
        <f>KM!E364</f>
        <v>0.99990000000000001</v>
      </c>
      <c r="M331" s="24">
        <f>KI!E364</f>
        <v>2</v>
      </c>
      <c r="N331" s="108">
        <f>IO!E364</f>
        <v>0</v>
      </c>
      <c r="O331" s="24">
        <f>'BoC Size'!E364</f>
        <v>3</v>
      </c>
      <c r="P331" s="24">
        <f>'TMT E DK'!E364</f>
        <v>5</v>
      </c>
      <c r="Q331" s="24">
        <f>Data!R364</f>
        <v>3</v>
      </c>
      <c r="R331" s="24">
        <f>Data!S364</f>
        <v>4</v>
      </c>
      <c r="S331" s="24">
        <f>'TMT E DK'!E364</f>
        <v>5</v>
      </c>
      <c r="T331" s="24">
        <f>'TMT E DD'!E364</f>
        <v>0</v>
      </c>
      <c r="U331" s="24">
        <f>TA!E364</f>
        <v>1434685000000</v>
      </c>
      <c r="V331" s="109">
        <f>PR!F364</f>
        <v>0.19529182724300639</v>
      </c>
      <c r="W331" s="109">
        <f>'Z Score'!I364</f>
        <v>-8.4237919822121227E-2</v>
      </c>
      <c r="X331" s="109">
        <f>'Z Score'!L364</f>
        <v>-6.4457647497534298E-2</v>
      </c>
      <c r="Y331" s="109">
        <f>'Z Score'!O364</f>
        <v>0.55317040325925204</v>
      </c>
      <c r="Z331" s="109">
        <f>'Z Score'!R364</f>
        <v>0.36931048810315686</v>
      </c>
      <c r="AA331" s="109">
        <f>'Z Score'!S364</f>
        <v>0.77378532404275346</v>
      </c>
    </row>
    <row r="332" spans="1:27" ht="15" customHeight="1" x14ac:dyDescent="0.3">
      <c r="A332" s="22"/>
      <c r="B332" s="23">
        <v>34</v>
      </c>
      <c r="C332" s="3" t="s">
        <v>9</v>
      </c>
      <c r="D332" s="23">
        <v>2015</v>
      </c>
      <c r="E332" s="25">
        <f>'Current Ratio'!G366</f>
        <v>1.1851448382592606</v>
      </c>
      <c r="F332" s="25">
        <f>'Cash Ratio'!G366</f>
        <v>0.49069931309358611</v>
      </c>
      <c r="G332" s="25">
        <f>DAR!G366</f>
        <v>0.51359350900112366</v>
      </c>
      <c r="H332" s="25">
        <f>DER!G366</f>
        <v>1.0558936167698267</v>
      </c>
      <c r="I332" s="25">
        <f>NPM!G366</f>
        <v>5.2460338911427797E-2</v>
      </c>
      <c r="J332" s="25">
        <f>ROA!G366</f>
        <v>1.9280616053511571E-2</v>
      </c>
      <c r="K332" s="25">
        <f>ROE!G366</f>
        <v>3.9638895471804284E-2</v>
      </c>
      <c r="L332" s="25">
        <f>KM!E366</f>
        <v>0.6</v>
      </c>
      <c r="M332" s="24">
        <f>KI!E366</f>
        <v>3</v>
      </c>
      <c r="N332" s="108">
        <f>IO!E366</f>
        <v>0</v>
      </c>
      <c r="O332" s="24">
        <f>'BoC Size'!E366</f>
        <v>5</v>
      </c>
      <c r="P332" s="24">
        <f>'TMT E DK'!E366</f>
        <v>13</v>
      </c>
      <c r="Q332" s="24">
        <f>Data!R366</f>
        <v>5</v>
      </c>
      <c r="R332" s="24">
        <f>Data!S366</f>
        <v>4</v>
      </c>
      <c r="S332" s="24">
        <f>'TMT E DK'!E366</f>
        <v>13</v>
      </c>
      <c r="T332" s="24">
        <f>'TMT E DD'!E366</f>
        <v>8</v>
      </c>
      <c r="U332" s="24">
        <f>TA!E366</f>
        <v>9915762000000</v>
      </c>
      <c r="V332" s="109">
        <f>PR!F366</f>
        <v>0.86873765478312415</v>
      </c>
      <c r="W332" s="109">
        <f>'Z Score'!I366</f>
        <v>2.8334508230431509E-2</v>
      </c>
      <c r="X332" s="109">
        <f>'Z Score'!L366</f>
        <v>0.11122534808721708</v>
      </c>
      <c r="Y332" s="109">
        <f>'Z Score'!O366</f>
        <v>0.10468907987101747</v>
      </c>
      <c r="Z332" s="109">
        <f>'Z Score'!R366</f>
        <v>0.99441836120966787</v>
      </c>
      <c r="AA332" s="109">
        <f>'Z Score'!S366</f>
        <v>1.2386672973983339</v>
      </c>
    </row>
    <row r="333" spans="1:27" ht="15" customHeight="1" x14ac:dyDescent="0.3">
      <c r="A333" s="22"/>
      <c r="B333" s="23"/>
      <c r="C333" s="3"/>
      <c r="D333" s="23">
        <v>2016</v>
      </c>
      <c r="E333" s="25">
        <f>'Current Ratio'!G367</f>
        <v>1.6420628559761326</v>
      </c>
      <c r="F333" s="25">
        <f>'Cash Ratio'!G367</f>
        <v>0.7968166705775156</v>
      </c>
      <c r="G333" s="25">
        <f>DAR!G367</f>
        <v>0.62457775773066704</v>
      </c>
      <c r="H333" s="25">
        <f>DER!G367</f>
        <v>1.6636674320499814</v>
      </c>
      <c r="I333" s="25">
        <f>NPM!G367</f>
        <v>2.2965472702120019E-2</v>
      </c>
      <c r="J333" s="25">
        <f>ROA!G367</f>
        <v>1.0053779052529169E-2</v>
      </c>
      <c r="K333" s="25">
        <f>ROE!G367</f>
        <v>2.6779923831248265E-2</v>
      </c>
      <c r="L333" s="25">
        <f>KM!E367</f>
        <v>0.6</v>
      </c>
      <c r="M333" s="24">
        <f>KI!E367</f>
        <v>2</v>
      </c>
      <c r="N333" s="108">
        <f>IO!E367</f>
        <v>0</v>
      </c>
      <c r="O333" s="24">
        <f>'BoC Size'!E367</f>
        <v>5</v>
      </c>
      <c r="P333" s="24">
        <f>'TMT E DK'!E367</f>
        <v>13</v>
      </c>
      <c r="Q333" s="24">
        <f>Data!R367</f>
        <v>5</v>
      </c>
      <c r="R333" s="24">
        <f>Data!S367</f>
        <v>5</v>
      </c>
      <c r="S333" s="24">
        <f>'TMT E DK'!E367</f>
        <v>13</v>
      </c>
      <c r="T333" s="24">
        <f>'TMT E DD'!E367</f>
        <v>9</v>
      </c>
      <c r="U333" s="24">
        <f>TA!E367</f>
        <v>13069215000000</v>
      </c>
      <c r="V333" s="109">
        <f>PR!F367</f>
        <v>0.56995621948157615</v>
      </c>
      <c r="W333" s="109">
        <f>'Z Score'!I367</f>
        <v>0.10575485673776122</v>
      </c>
      <c r="X333" s="109">
        <f>'Z Score'!L367</f>
        <v>0.11829646692628439</v>
      </c>
      <c r="Y333" s="109">
        <f>'Z Score'!O367</f>
        <v>8.8288724303640265E-2</v>
      </c>
      <c r="Z333" s="109">
        <f>'Z Score'!R367</f>
        <v>0.63113575452167359</v>
      </c>
      <c r="AA333" s="109">
        <f>'Z Score'!S367</f>
        <v>0.94347580248935947</v>
      </c>
    </row>
    <row r="334" spans="1:27" ht="15" customHeight="1" x14ac:dyDescent="0.3">
      <c r="A334" s="22"/>
      <c r="B334" s="23"/>
      <c r="C334" s="3"/>
      <c r="D334" s="23">
        <v>2017</v>
      </c>
      <c r="E334" s="25">
        <f>'Current Ratio'!G368</f>
        <v>1.0404218831862257</v>
      </c>
      <c r="F334" s="25">
        <f>'Cash Ratio'!G368</f>
        <v>0.37508266746065599</v>
      </c>
      <c r="G334" s="25">
        <f>DAR!G368</f>
        <v>0.66863565312263129</v>
      </c>
      <c r="H334" s="25">
        <f>DER!G368</f>
        <v>2.01782617660457</v>
      </c>
      <c r="I334" s="25">
        <f>NPM!G368</f>
        <v>6.7964874883819401E-2</v>
      </c>
      <c r="J334" s="25">
        <f>ROA!G368</f>
        <v>3.0093084868042803E-2</v>
      </c>
      <c r="K334" s="25">
        <f>ROE!G368</f>
        <v>9.081569924956244E-2</v>
      </c>
      <c r="L334" s="25">
        <f>KM!E368</f>
        <v>0.6</v>
      </c>
      <c r="M334" s="24">
        <f>KI!E368</f>
        <v>2</v>
      </c>
      <c r="N334" s="108">
        <f>IO!E368</f>
        <v>0</v>
      </c>
      <c r="O334" s="24">
        <f>'BoC Size'!E368</f>
        <v>4</v>
      </c>
      <c r="P334" s="24">
        <f>'TMT E DK'!E368</f>
        <v>13</v>
      </c>
      <c r="Q334" s="24">
        <f>Data!R368</f>
        <v>4</v>
      </c>
      <c r="R334" s="24">
        <f>Data!S368</f>
        <v>4</v>
      </c>
      <c r="S334" s="24">
        <f>'TMT E DK'!E368</f>
        <v>13</v>
      </c>
      <c r="T334" s="24">
        <f>'TMT E DD'!E368</f>
        <v>8</v>
      </c>
      <c r="U334" s="24">
        <f>TA!E368</f>
        <v>15733814000000</v>
      </c>
      <c r="V334" s="109">
        <f>PR!F368</f>
        <v>0.21762273843096508</v>
      </c>
      <c r="W334" s="109">
        <f>'Z Score'!I368</f>
        <v>5.8867252403009213E-3</v>
      </c>
      <c r="X334" s="109">
        <f>'Z Score'!L368</f>
        <v>0.13386794835632351</v>
      </c>
      <c r="Y334" s="109">
        <f>'Z Score'!O368</f>
        <v>0.14205916505686414</v>
      </c>
      <c r="Z334" s="109">
        <f>'Z Score'!R368</f>
        <v>0.52036196783156652</v>
      </c>
      <c r="AA334" s="109">
        <f>'Z Score'!S368</f>
        <v>0.80217580648505504</v>
      </c>
    </row>
    <row r="335" spans="1:27" ht="15" customHeight="1" x14ac:dyDescent="0.3">
      <c r="A335" s="22"/>
      <c r="B335" s="23"/>
      <c r="C335" s="3"/>
      <c r="D335" s="23">
        <v>2018</v>
      </c>
      <c r="E335" s="25">
        <f>'Current Ratio'!G369</f>
        <v>0.65790732520895001</v>
      </c>
      <c r="F335" s="25">
        <f>'Cash Ratio'!G369</f>
        <v>7.9544336250546605E-2</v>
      </c>
      <c r="G335" s="25">
        <f>DAR!G369</f>
        <v>0.69264576755769436</v>
      </c>
      <c r="H335" s="25">
        <f>DER!G369</f>
        <v>2.253574847672589</v>
      </c>
      <c r="I335" s="25">
        <f>NPM!G369</f>
        <v>-6.2402615843970433E-3</v>
      </c>
      <c r="J335" s="25">
        <f>ROA!G369</f>
        <v>-2.3196612278378287E-3</v>
      </c>
      <c r="K335" s="25">
        <f>ROE!G369</f>
        <v>-7.5471914260144745E-3</v>
      </c>
      <c r="L335" s="25">
        <f>KM!E369</f>
        <v>0.6</v>
      </c>
      <c r="M335" s="24">
        <f>KI!E369</f>
        <v>3</v>
      </c>
      <c r="N335" s="108">
        <f>IO!E369</f>
        <v>0</v>
      </c>
      <c r="O335" s="24">
        <f>'BoC Size'!E369</f>
        <v>5</v>
      </c>
      <c r="P335" s="24">
        <f>'TMT E DK'!E369</f>
        <v>16</v>
      </c>
      <c r="Q335" s="24">
        <f>Data!R369</f>
        <v>5</v>
      </c>
      <c r="R335" s="24">
        <f>Data!S369</f>
        <v>4</v>
      </c>
      <c r="S335" s="24">
        <f>'TMT E DK'!E369</f>
        <v>16</v>
      </c>
      <c r="T335" s="24">
        <f>'TMT E DD'!E369</f>
        <v>8</v>
      </c>
      <c r="U335" s="24">
        <f>TA!E369</f>
        <v>16472664000000</v>
      </c>
      <c r="V335" s="109">
        <f>PR!F369</f>
        <v>-0.12103939912653726</v>
      </c>
      <c r="W335" s="109">
        <f>'Z Score'!I369</f>
        <v>-0.15919982827307105</v>
      </c>
      <c r="X335" s="109">
        <f>'Z Score'!L369</f>
        <v>0.13961052201392563</v>
      </c>
      <c r="Y335" s="109">
        <f>'Z Score'!O369</f>
        <v>6.5804962694558697E-2</v>
      </c>
      <c r="Z335" s="109">
        <f>'Z Score'!R369</f>
        <v>0.46592639294159777</v>
      </c>
      <c r="AA335" s="109">
        <f>'Z Score'!S369</f>
        <v>0.51214204937701102</v>
      </c>
    </row>
    <row r="336" spans="1:27" ht="15" customHeight="1" x14ac:dyDescent="0.3">
      <c r="A336" s="22"/>
      <c r="B336" s="23"/>
      <c r="C336" s="3"/>
      <c r="D336" s="23">
        <v>2019</v>
      </c>
      <c r="E336" s="25">
        <f>'Current Ratio'!G370</f>
        <v>0.85820950779497784</v>
      </c>
      <c r="F336" s="25">
        <f>'Cash Ratio'!G370</f>
        <v>3.3532616614158746E-2</v>
      </c>
      <c r="G336" s="25">
        <f>DAR!G370</f>
        <v>0.686440003194142</v>
      </c>
      <c r="H336" s="25">
        <f>DER!G370</f>
        <v>2.1891823261471521</v>
      </c>
      <c r="I336" s="25">
        <f>NPM!G370</f>
        <v>7.0331990967530164E-2</v>
      </c>
      <c r="J336" s="25">
        <f>ROA!G370</f>
        <v>2.5059841189382311E-2</v>
      </c>
      <c r="K336" s="25">
        <f>ROE!G370</f>
        <v>7.9920402617232503E-2</v>
      </c>
      <c r="L336" s="25">
        <f>KM!E370</f>
        <v>0.6</v>
      </c>
      <c r="M336" s="24">
        <f>KI!E370</f>
        <v>3</v>
      </c>
      <c r="N336" s="108">
        <f>IO!E370</f>
        <v>0</v>
      </c>
      <c r="O336" s="24">
        <f>'BoC Size'!E370</f>
        <v>5</v>
      </c>
      <c r="P336" s="24">
        <f>'TMT E DK'!E370</f>
        <v>16</v>
      </c>
      <c r="Q336" s="24">
        <f>Data!R370</f>
        <v>5</v>
      </c>
      <c r="R336" s="24">
        <f>Data!S370</f>
        <v>5</v>
      </c>
      <c r="S336" s="24">
        <f>'TMT E DK'!E370</f>
        <v>16</v>
      </c>
      <c r="T336" s="24">
        <f>'TMT E DD'!E370</f>
        <v>11</v>
      </c>
      <c r="U336" s="24">
        <f>TA!E370</f>
        <v>17356774000000</v>
      </c>
      <c r="V336" s="109">
        <f>PR!F370</f>
        <v>9.9707657683331258E-3</v>
      </c>
      <c r="W336" s="109">
        <f>'Z Score'!I370</f>
        <v>-2.2436270703300048E-2</v>
      </c>
      <c r="X336" s="109">
        <f>'Z Score'!L370</f>
        <v>0.17587794713464608</v>
      </c>
      <c r="Y336" s="109">
        <f>'Z Score'!O370</f>
        <v>0.11286858721557359</v>
      </c>
      <c r="Z336" s="109">
        <f>'Z Score'!R370</f>
        <v>0.47963113325875684</v>
      </c>
      <c r="AA336" s="109">
        <f>'Z Score'!S370</f>
        <v>0.74594139690567651</v>
      </c>
    </row>
    <row r="337" spans="1:27" ht="15" customHeight="1" x14ac:dyDescent="0.3">
      <c r="A337" s="22"/>
      <c r="B337" s="23"/>
      <c r="C337" s="3"/>
      <c r="D337" s="23">
        <v>2020</v>
      </c>
      <c r="E337" s="25">
        <f>'Current Ratio'!G371</f>
        <v>0.87191012370868481</v>
      </c>
      <c r="F337" s="25">
        <f>'Cash Ratio'!G371</f>
        <v>0.12364050493546896</v>
      </c>
      <c r="G337" s="25">
        <f>DAR!G371</f>
        <v>0.70974479175329486</v>
      </c>
      <c r="H337" s="25">
        <f>DER!G371</f>
        <v>2.4452439494213678</v>
      </c>
      <c r="I337" s="25">
        <f>NPM!G371</f>
        <v>5.9080609089642792E-2</v>
      </c>
      <c r="J337" s="25">
        <f>ROA!G371</f>
        <v>1.6366848900392403E-2</v>
      </c>
      <c r="K337" s="25">
        <f>ROE!G371</f>
        <v>5.638778714517069E-2</v>
      </c>
      <c r="L337" s="25">
        <f>KM!E371</f>
        <v>0.6</v>
      </c>
      <c r="M337" s="24">
        <f>KI!E371</f>
        <v>3</v>
      </c>
      <c r="N337" s="108">
        <f>IO!E371</f>
        <v>0</v>
      </c>
      <c r="O337" s="24">
        <f>'BoC Size'!E371</f>
        <v>5</v>
      </c>
      <c r="P337" s="24">
        <f>'TMT E DK'!E371</f>
        <v>16</v>
      </c>
      <c r="Q337" s="24">
        <f>Data!R371</f>
        <v>5</v>
      </c>
      <c r="R337" s="24">
        <f>Data!S371</f>
        <v>5</v>
      </c>
      <c r="S337" s="24">
        <f>'TMT E DK'!E371</f>
        <v>16</v>
      </c>
      <c r="T337" s="24">
        <f>'TMT E DD'!E371</f>
        <v>11</v>
      </c>
      <c r="U337" s="24">
        <f>TA!E371</f>
        <v>19539925000000</v>
      </c>
      <c r="V337" s="109">
        <f>PR!F371</f>
        <v>-0.12471680555207455</v>
      </c>
      <c r="W337" s="109">
        <f>'Z Score'!I371</f>
        <v>-1.7029543358022103E-2</v>
      </c>
      <c r="X337" s="109">
        <f>'Z Score'!L371</f>
        <v>0.1632387033215327</v>
      </c>
      <c r="Y337" s="109">
        <f>'Z Score'!O371</f>
        <v>4.703605361842484E-2</v>
      </c>
      <c r="Z337" s="109">
        <f>'Z Score'!R371</f>
        <v>0.42940500895563716</v>
      </c>
      <c r="AA337" s="109">
        <f>'Z Score'!S371</f>
        <v>0.62265022253757263</v>
      </c>
    </row>
    <row r="338" spans="1:27" ht="15" customHeight="1" x14ac:dyDescent="0.3">
      <c r="A338" s="22"/>
      <c r="B338" s="23"/>
      <c r="C338" s="3"/>
      <c r="D338" s="23">
        <v>2021</v>
      </c>
      <c r="E338" s="25">
        <f>'Current Ratio'!G372</f>
        <v>0.71668334114480059</v>
      </c>
      <c r="F338" s="25">
        <f>'Cash Ratio'!G372</f>
        <v>4.6364813546285945E-2</v>
      </c>
      <c r="G338" s="25">
        <f>DAR!G372</f>
        <v>0.73677239753290702</v>
      </c>
      <c r="H338" s="25">
        <f>DER!G372</f>
        <v>2.7989936869368153</v>
      </c>
      <c r="I338" s="25">
        <f>NPM!G372</f>
        <v>1.4286492949925565E-2</v>
      </c>
      <c r="J338" s="25">
        <f>ROA!G372</f>
        <v>3.8677851458586258E-3</v>
      </c>
      <c r="K338" s="25">
        <f>ROE!G372</f>
        <v>1.469369135154491E-2</v>
      </c>
      <c r="L338" s="25">
        <f>KM!E372</f>
        <v>0.6</v>
      </c>
      <c r="M338" s="24">
        <f>KI!E372</f>
        <v>3</v>
      </c>
      <c r="N338" s="108">
        <f>IO!E372</f>
        <v>0</v>
      </c>
      <c r="O338" s="24">
        <f>'BoC Size'!E372</f>
        <v>5</v>
      </c>
      <c r="P338" s="24">
        <f>'TMT E DK'!E372</f>
        <v>17</v>
      </c>
      <c r="Q338" s="24">
        <f>Data!R372</f>
        <v>5</v>
      </c>
      <c r="R338" s="24">
        <f>Data!S372</f>
        <v>5</v>
      </c>
      <c r="S338" s="24">
        <f>'TMT E DK'!E372</f>
        <v>17</v>
      </c>
      <c r="T338" s="24">
        <f>'TMT E DD'!E372</f>
        <v>11</v>
      </c>
      <c r="U338" s="24">
        <f>TA!E372</f>
        <v>21685279000000</v>
      </c>
      <c r="V338" s="109">
        <f>PR!F372</f>
        <v>8.4572835116242889E-2</v>
      </c>
      <c r="W338" s="109">
        <f>'Z Score'!I372</f>
        <v>-0.11410683533285414</v>
      </c>
      <c r="X338" s="109">
        <f>'Z Score'!L372</f>
        <v>0.16187071054054689</v>
      </c>
      <c r="Y338" s="109">
        <f>'Z Score'!O372</f>
        <v>2.8972015531826913E-2</v>
      </c>
      <c r="Z338" s="109">
        <f>'Z Score'!R372</f>
        <v>0.37513482252584401</v>
      </c>
      <c r="AA338" s="109">
        <f>'Z Score'!S372</f>
        <v>0.45187071326536365</v>
      </c>
    </row>
    <row r="339" spans="1:27" ht="15" customHeight="1" x14ac:dyDescent="0.3">
      <c r="A339" s="22"/>
      <c r="B339" s="23"/>
      <c r="C339" s="3"/>
      <c r="D339" s="23">
        <v>2022</v>
      </c>
      <c r="E339" s="25">
        <f>'Current Ratio'!G373</f>
        <v>0.78704286752240249</v>
      </c>
      <c r="F339" s="25">
        <f>'Cash Ratio'!G373</f>
        <v>6.1833979171712281E-2</v>
      </c>
      <c r="G339" s="25">
        <f>DAR!G373</f>
        <v>0.74185275354739866</v>
      </c>
      <c r="H339" s="25">
        <f>DER!G373</f>
        <v>2.873758150597244</v>
      </c>
      <c r="I339" s="25">
        <f>NPM!G373</f>
        <v>5.3919276488833261E-2</v>
      </c>
      <c r="J339" s="25">
        <f>ROA!G373</f>
        <v>1.5663284194831123E-2</v>
      </c>
      <c r="K339" s="25">
        <f>ROE!G373</f>
        <v>6.1330952796489313E-2</v>
      </c>
      <c r="L339" s="25">
        <f>KM!E373</f>
        <v>0</v>
      </c>
      <c r="M339" s="24">
        <f>KI!E373</f>
        <v>0</v>
      </c>
      <c r="N339" s="108">
        <f>IO!E373</f>
        <v>0</v>
      </c>
      <c r="O339" s="24">
        <f>'BoC Size'!E373</f>
        <v>0</v>
      </c>
      <c r="P339" s="24">
        <f>'TMT E DK'!E373</f>
        <v>0</v>
      </c>
      <c r="Q339" s="24">
        <f>Data!R373</f>
        <v>0</v>
      </c>
      <c r="R339" s="24">
        <f>Data!S373</f>
        <v>0</v>
      </c>
      <c r="S339" s="24">
        <f>'TMT E DK'!E373</f>
        <v>0</v>
      </c>
      <c r="T339" s="24">
        <f>'TMT E DD'!E373</f>
        <v>0</v>
      </c>
      <c r="U339" s="24">
        <f>TA!E373</f>
        <v>22212474000000</v>
      </c>
      <c r="V339" s="109">
        <f>PR!F373</f>
        <v>0.16785990468176723</v>
      </c>
      <c r="W339" s="109">
        <f>'Z Score'!I373</f>
        <v>-4.154932404197749E-2</v>
      </c>
      <c r="X339" s="109">
        <f>'Z Score'!L373</f>
        <v>0.17994281771584739</v>
      </c>
      <c r="Y339" s="109">
        <f>'Z Score'!O373</f>
        <v>4.4337984143504226E-2</v>
      </c>
      <c r="Z339" s="109">
        <f>'Z Score'!R373</f>
        <v>0.36537521425795066</v>
      </c>
      <c r="AA339" s="109">
        <f>'Z Score'!S373</f>
        <v>0.54810669207532481</v>
      </c>
    </row>
    <row r="340" spans="1:27" ht="15" customHeight="1" x14ac:dyDescent="0.3">
      <c r="A340" s="22"/>
      <c r="B340" s="23"/>
      <c r="C340" s="3"/>
      <c r="D340" s="23">
        <v>2023</v>
      </c>
      <c r="E340" s="25">
        <f>'Current Ratio'!G374</f>
        <v>0.55621093240322128</v>
      </c>
      <c r="F340" s="25">
        <f>'Cash Ratio'!G374</f>
        <v>6.0844230000955041E-2</v>
      </c>
      <c r="G340" s="25">
        <f>DAR!G374</f>
        <v>0.74461045392844905</v>
      </c>
      <c r="H340" s="25">
        <f>DER!G374</f>
        <v>2.9155870527286036</v>
      </c>
      <c r="I340" s="25">
        <f>NPM!G374</f>
        <v>0</v>
      </c>
      <c r="J340" s="25">
        <f>ROA!G374</f>
        <v>0</v>
      </c>
      <c r="K340" s="25">
        <f>ROE!G374</f>
        <v>0</v>
      </c>
      <c r="L340" s="25">
        <f>KM!E374</f>
        <v>0.6</v>
      </c>
      <c r="M340" s="24">
        <f>KI!E374</f>
        <v>3</v>
      </c>
      <c r="N340" s="108">
        <f>IO!E374</f>
        <v>0</v>
      </c>
      <c r="O340" s="24">
        <f>'BoC Size'!E374</f>
        <v>5</v>
      </c>
      <c r="P340" s="24">
        <f>'TMT E DK'!E374</f>
        <v>0</v>
      </c>
      <c r="Q340" s="24">
        <f>Data!R374</f>
        <v>5</v>
      </c>
      <c r="R340" s="24">
        <f>Data!S374</f>
        <v>4</v>
      </c>
      <c r="S340" s="24">
        <f>'TMT E DK'!E374</f>
        <v>0</v>
      </c>
      <c r="T340" s="24">
        <f>'TMT E DD'!E374</f>
        <v>0</v>
      </c>
      <c r="U340" s="24">
        <f>TA!E374</f>
        <v>23602266000000</v>
      </c>
      <c r="V340" s="109">
        <f>PR!F374</f>
        <v>0</v>
      </c>
      <c r="W340" s="109">
        <f>'Z Score'!I374</f>
        <v>-9.1698605549145148E-2</v>
      </c>
      <c r="X340" s="109">
        <f>'Z Score'!L374</f>
        <v>0.19658039783129297</v>
      </c>
      <c r="Y340" s="109">
        <f>'Z Score'!O374</f>
        <v>8.1001822452132347E-2</v>
      </c>
      <c r="Z340" s="109">
        <f>'Z Score'!R374</f>
        <v>0.36013330454919501</v>
      </c>
      <c r="AA340" s="109">
        <f>'Z Score'!S374</f>
        <v>0.54601691928347518</v>
      </c>
    </row>
    <row r="341" spans="1:27" ht="15" customHeight="1" x14ac:dyDescent="0.3">
      <c r="A341" s="22"/>
      <c r="B341" s="23"/>
      <c r="C341" s="3"/>
      <c r="D341" s="23">
        <v>2024</v>
      </c>
      <c r="E341" s="25">
        <f>'Current Ratio'!G375</f>
        <v>0.38628738482566238</v>
      </c>
      <c r="F341" s="25">
        <f>'Cash Ratio'!G375</f>
        <v>1.8193099231271867E-2</v>
      </c>
      <c r="G341" s="25">
        <f>DAR!G375</f>
        <v>0.76236746348207274</v>
      </c>
      <c r="H341" s="25">
        <f>DER!G375</f>
        <v>3.2081779484122062</v>
      </c>
      <c r="I341" s="25">
        <f>NPM!G375</f>
        <v>1.0057024933513398E-2</v>
      </c>
      <c r="J341" s="25">
        <f>ROA!G375</f>
        <v>2.6883977197924699E-3</v>
      </c>
      <c r="K341" s="25">
        <f>ROE!G375</f>
        <v>1.131325600099233E-2</v>
      </c>
      <c r="L341" s="25">
        <f>KM!E375</f>
        <v>0.6</v>
      </c>
      <c r="M341" s="24">
        <f>KI!E375</f>
        <v>1</v>
      </c>
      <c r="N341" s="108">
        <f>IO!E375</f>
        <v>0</v>
      </c>
      <c r="O341" s="24">
        <f>'BoC Size'!E375</f>
        <v>3</v>
      </c>
      <c r="P341" s="24">
        <f>'TMT E DK'!E375</f>
        <v>10</v>
      </c>
      <c r="Q341" s="24">
        <f>Data!R375</f>
        <v>3</v>
      </c>
      <c r="R341" s="24">
        <f>Data!S375</f>
        <v>4</v>
      </c>
      <c r="S341" s="24">
        <f>'TMT E DK'!E375</f>
        <v>10</v>
      </c>
      <c r="T341" s="24">
        <f>'TMT E DD'!E375</f>
        <v>8</v>
      </c>
      <c r="U341" s="24">
        <f>TA!E375</f>
        <v>25240685000000</v>
      </c>
      <c r="V341" s="109">
        <f>PR!F375</f>
        <v>0</v>
      </c>
      <c r="W341" s="109">
        <f>'Z Score'!I375</f>
        <v>-0.15964200020720512</v>
      </c>
      <c r="X341" s="109">
        <f>'Z Score'!L375</f>
        <v>0.20777854642217514</v>
      </c>
      <c r="Y341" s="109">
        <f>'Z Score'!O375</f>
        <v>8.9029596463011992E-2</v>
      </c>
      <c r="Z341" s="109">
        <f>'Z Score'!R375</f>
        <v>0.3272885784030985</v>
      </c>
      <c r="AA341" s="109">
        <f>'Z Score'!S375</f>
        <v>0.46445472108108049</v>
      </c>
    </row>
    <row r="342" spans="1:27" ht="15" customHeight="1" x14ac:dyDescent="0.3">
      <c r="A342" s="22"/>
      <c r="B342" s="23">
        <v>35</v>
      </c>
      <c r="C342" s="3" t="s">
        <v>31</v>
      </c>
      <c r="D342" s="23">
        <v>2015</v>
      </c>
      <c r="E342" s="25">
        <f>'Current Ratio'!G377</f>
        <v>0</v>
      </c>
      <c r="F342" s="25">
        <f>'Cash Ratio'!G377</f>
        <v>0</v>
      </c>
      <c r="G342" s="25">
        <f>DAR!G377</f>
        <v>0</v>
      </c>
      <c r="H342" s="25">
        <f>DER!G377</f>
        <v>0</v>
      </c>
      <c r="I342" s="25">
        <f>NPM!G377</f>
        <v>0</v>
      </c>
      <c r="J342" s="25">
        <f>ROA!G377</f>
        <v>0</v>
      </c>
      <c r="K342" s="25">
        <f>ROE!G377</f>
        <v>0</v>
      </c>
      <c r="L342" s="25">
        <f>KM!E377</f>
        <v>0</v>
      </c>
      <c r="M342" s="24">
        <f>KI!E377</f>
        <v>0</v>
      </c>
      <c r="N342" s="108">
        <f>IO!E377</f>
        <v>0</v>
      </c>
      <c r="O342" s="24">
        <f>'BoC Size'!E377</f>
        <v>0</v>
      </c>
      <c r="P342" s="24">
        <f>'TMT E DK'!E377</f>
        <v>0</v>
      </c>
      <c r="Q342" s="24">
        <f>Data!R377</f>
        <v>0</v>
      </c>
      <c r="R342" s="24">
        <f>Data!S377</f>
        <v>0</v>
      </c>
      <c r="S342" s="24">
        <f>'TMT E DK'!E377</f>
        <v>0</v>
      </c>
      <c r="T342" s="24">
        <f>'TMT E DD'!E377</f>
        <v>0</v>
      </c>
      <c r="U342" s="24">
        <f>TA!E377</f>
        <v>0</v>
      </c>
      <c r="V342" s="109">
        <f>PR!F377</f>
        <v>0</v>
      </c>
      <c r="W342" s="109">
        <f>'Z Score'!I377</f>
        <v>0</v>
      </c>
      <c r="X342" s="109">
        <f>'Z Score'!L377</f>
        <v>0</v>
      </c>
      <c r="Y342" s="109">
        <f>'Z Score'!O377</f>
        <v>0</v>
      </c>
      <c r="Z342" s="109">
        <f>'Z Score'!R377</f>
        <v>0</v>
      </c>
      <c r="AA342" s="109">
        <f>'Z Score'!S377</f>
        <v>0</v>
      </c>
    </row>
    <row r="343" spans="1:27" ht="15" customHeight="1" x14ac:dyDescent="0.3">
      <c r="A343" s="22"/>
      <c r="B343" s="23"/>
      <c r="C343" s="3"/>
      <c r="D343" s="23">
        <v>2016</v>
      </c>
      <c r="E343" s="25">
        <f>'Current Ratio'!G378</f>
        <v>0</v>
      </c>
      <c r="F343" s="25">
        <f>'Cash Ratio'!G378</f>
        <v>0</v>
      </c>
      <c r="G343" s="25">
        <f>DAR!G378</f>
        <v>0</v>
      </c>
      <c r="H343" s="25">
        <f>DER!G378</f>
        <v>0</v>
      </c>
      <c r="I343" s="25">
        <f>NPM!G378</f>
        <v>0</v>
      </c>
      <c r="J343" s="25">
        <f>ROA!G378</f>
        <v>0</v>
      </c>
      <c r="K343" s="25">
        <f>ROE!G378</f>
        <v>0</v>
      </c>
      <c r="L343" s="25">
        <f>KM!E378</f>
        <v>0</v>
      </c>
      <c r="M343" s="24">
        <f>KI!E378</f>
        <v>0</v>
      </c>
      <c r="N343" s="108">
        <f>IO!E378</f>
        <v>0</v>
      </c>
      <c r="O343" s="24">
        <f>'BoC Size'!E378</f>
        <v>0</v>
      </c>
      <c r="P343" s="24">
        <f>'TMT E DK'!E378</f>
        <v>0</v>
      </c>
      <c r="Q343" s="24">
        <f>Data!R378</f>
        <v>0</v>
      </c>
      <c r="R343" s="24">
        <f>Data!S378</f>
        <v>0</v>
      </c>
      <c r="S343" s="24">
        <f>'TMT E DK'!E378</f>
        <v>0</v>
      </c>
      <c r="T343" s="24">
        <f>'TMT E DD'!E378</f>
        <v>0</v>
      </c>
      <c r="U343" s="24">
        <f>TA!E378</f>
        <v>0</v>
      </c>
      <c r="V343" s="109">
        <f>PR!F378</f>
        <v>0</v>
      </c>
      <c r="W343" s="109">
        <f>'Z Score'!I378</f>
        <v>0</v>
      </c>
      <c r="X343" s="109">
        <f>'Z Score'!L378</f>
        <v>0</v>
      </c>
      <c r="Y343" s="109">
        <f>'Z Score'!O378</f>
        <v>0</v>
      </c>
      <c r="Z343" s="109">
        <f>'Z Score'!R378</f>
        <v>0</v>
      </c>
      <c r="AA343" s="109">
        <f>'Z Score'!S378</f>
        <v>0</v>
      </c>
    </row>
    <row r="344" spans="1:27" ht="15" customHeight="1" x14ac:dyDescent="0.3">
      <c r="A344" s="22"/>
      <c r="B344" s="23"/>
      <c r="C344" s="3"/>
      <c r="D344" s="23">
        <v>2017</v>
      </c>
      <c r="E344" s="25">
        <f>'Current Ratio'!G379</f>
        <v>0</v>
      </c>
      <c r="F344" s="25">
        <f>'Cash Ratio'!G379</f>
        <v>0</v>
      </c>
      <c r="G344" s="25">
        <f>DAR!G379</f>
        <v>0</v>
      </c>
      <c r="H344" s="25">
        <f>DER!G379</f>
        <v>0</v>
      </c>
      <c r="I344" s="25">
        <f>NPM!G379</f>
        <v>0</v>
      </c>
      <c r="J344" s="25">
        <f>ROA!G379</f>
        <v>0</v>
      </c>
      <c r="K344" s="25">
        <f>ROE!G379</f>
        <v>0</v>
      </c>
      <c r="L344" s="25">
        <f>KM!E379</f>
        <v>0</v>
      </c>
      <c r="M344" s="24">
        <f>KI!E379</f>
        <v>0</v>
      </c>
      <c r="N344" s="108">
        <f>IO!E379</f>
        <v>0</v>
      </c>
      <c r="O344" s="24">
        <f>'BoC Size'!E379</f>
        <v>0</v>
      </c>
      <c r="P344" s="24">
        <f>'TMT E DK'!E379</f>
        <v>0</v>
      </c>
      <c r="Q344" s="24">
        <f>Data!R379</f>
        <v>0</v>
      </c>
      <c r="R344" s="24">
        <f>Data!S379</f>
        <v>0</v>
      </c>
      <c r="S344" s="24">
        <f>'TMT E DK'!E379</f>
        <v>0</v>
      </c>
      <c r="T344" s="24">
        <f>'TMT E DD'!E379</f>
        <v>0</v>
      </c>
      <c r="U344" s="24">
        <f>TA!E379</f>
        <v>0</v>
      </c>
      <c r="V344" s="109">
        <f>PR!F379</f>
        <v>0</v>
      </c>
      <c r="W344" s="109">
        <f>'Z Score'!I379</f>
        <v>0</v>
      </c>
      <c r="X344" s="109">
        <f>'Z Score'!L379</f>
        <v>0</v>
      </c>
      <c r="Y344" s="109">
        <f>'Z Score'!O379</f>
        <v>0</v>
      </c>
      <c r="Z344" s="109">
        <f>'Z Score'!R379</f>
        <v>0</v>
      </c>
      <c r="AA344" s="109">
        <f>'Z Score'!S379</f>
        <v>0</v>
      </c>
    </row>
    <row r="345" spans="1:27" ht="15" customHeight="1" x14ac:dyDescent="0.3">
      <c r="A345" s="22"/>
      <c r="B345" s="23"/>
      <c r="C345" s="3"/>
      <c r="D345" s="23">
        <v>2018</v>
      </c>
      <c r="E345" s="25">
        <f>'Current Ratio'!G380</f>
        <v>0</v>
      </c>
      <c r="F345" s="25">
        <f>'Cash Ratio'!G380</f>
        <v>0</v>
      </c>
      <c r="G345" s="25">
        <f>DAR!G380</f>
        <v>0</v>
      </c>
      <c r="H345" s="25">
        <f>DER!G380</f>
        <v>0</v>
      </c>
      <c r="I345" s="25">
        <f>NPM!G380</f>
        <v>0</v>
      </c>
      <c r="J345" s="25">
        <f>ROA!G380</f>
        <v>0</v>
      </c>
      <c r="K345" s="25">
        <f>ROE!G380</f>
        <v>0</v>
      </c>
      <c r="L345" s="25">
        <f>KM!E380</f>
        <v>0</v>
      </c>
      <c r="M345" s="24">
        <f>KI!E380</f>
        <v>0</v>
      </c>
      <c r="N345" s="108">
        <f>IO!E380</f>
        <v>0</v>
      </c>
      <c r="O345" s="24">
        <f>'BoC Size'!E380</f>
        <v>0</v>
      </c>
      <c r="P345" s="24">
        <f>'TMT E DK'!E380</f>
        <v>0</v>
      </c>
      <c r="Q345" s="24">
        <f>Data!R380</f>
        <v>0</v>
      </c>
      <c r="R345" s="24">
        <f>Data!S380</f>
        <v>0</v>
      </c>
      <c r="S345" s="24">
        <f>'TMT E DK'!E380</f>
        <v>0</v>
      </c>
      <c r="T345" s="24">
        <f>'TMT E DD'!E380</f>
        <v>0</v>
      </c>
      <c r="U345" s="24">
        <f>TA!E380</f>
        <v>0</v>
      </c>
      <c r="V345" s="109">
        <f>PR!F380</f>
        <v>0</v>
      </c>
      <c r="W345" s="109">
        <f>'Z Score'!I380</f>
        <v>0</v>
      </c>
      <c r="X345" s="109">
        <f>'Z Score'!L380</f>
        <v>0</v>
      </c>
      <c r="Y345" s="109">
        <f>'Z Score'!O380</f>
        <v>0</v>
      </c>
      <c r="Z345" s="109">
        <f>'Z Score'!R380</f>
        <v>0</v>
      </c>
      <c r="AA345" s="109">
        <f>'Z Score'!S380</f>
        <v>0</v>
      </c>
    </row>
    <row r="346" spans="1:27" ht="15" customHeight="1" x14ac:dyDescent="0.3">
      <c r="A346" s="22"/>
      <c r="B346" s="23"/>
      <c r="C346" s="3"/>
      <c r="D346" s="23">
        <v>2019</v>
      </c>
      <c r="E346" s="25">
        <f>'Current Ratio'!G381</f>
        <v>0</v>
      </c>
      <c r="F346" s="25">
        <f>'Cash Ratio'!G381</f>
        <v>0</v>
      </c>
      <c r="G346" s="25">
        <f>DAR!G381</f>
        <v>0</v>
      </c>
      <c r="H346" s="25">
        <f>DER!G381</f>
        <v>0</v>
      </c>
      <c r="I346" s="25">
        <f>NPM!G381</f>
        <v>0</v>
      </c>
      <c r="J346" s="25">
        <f>ROA!G381</f>
        <v>0</v>
      </c>
      <c r="K346" s="25">
        <f>ROE!G381</f>
        <v>0</v>
      </c>
      <c r="L346" s="25">
        <f>KM!E381</f>
        <v>0</v>
      </c>
      <c r="M346" s="24">
        <f>KI!E381</f>
        <v>0</v>
      </c>
      <c r="N346" s="108">
        <f>IO!E381</f>
        <v>0</v>
      </c>
      <c r="O346" s="24">
        <f>'BoC Size'!E381</f>
        <v>0</v>
      </c>
      <c r="P346" s="24">
        <f>'TMT E DK'!E381</f>
        <v>0</v>
      </c>
      <c r="Q346" s="24">
        <f>Data!R381</f>
        <v>0</v>
      </c>
      <c r="R346" s="24">
        <f>Data!S381</f>
        <v>0</v>
      </c>
      <c r="S346" s="24">
        <f>'TMT E DK'!E381</f>
        <v>0</v>
      </c>
      <c r="T346" s="24">
        <f>'TMT E DD'!E381</f>
        <v>0</v>
      </c>
      <c r="U346" s="24">
        <f>TA!E381</f>
        <v>0</v>
      </c>
      <c r="V346" s="109">
        <f>PR!F381</f>
        <v>0</v>
      </c>
      <c r="W346" s="109">
        <f>'Z Score'!I381</f>
        <v>0</v>
      </c>
      <c r="X346" s="109">
        <f>'Z Score'!L381</f>
        <v>0</v>
      </c>
      <c r="Y346" s="109">
        <f>'Z Score'!O381</f>
        <v>0</v>
      </c>
      <c r="Z346" s="109">
        <f>'Z Score'!R381</f>
        <v>0</v>
      </c>
      <c r="AA346" s="109">
        <f>'Z Score'!S381</f>
        <v>0</v>
      </c>
    </row>
    <row r="347" spans="1:27" ht="15" customHeight="1" x14ac:dyDescent="0.3">
      <c r="A347" s="22"/>
      <c r="B347" s="23"/>
      <c r="C347" s="3"/>
      <c r="D347" s="23">
        <v>2020</v>
      </c>
      <c r="E347" s="25">
        <f>'Current Ratio'!G382</f>
        <v>1.6976291927354445</v>
      </c>
      <c r="F347" s="25">
        <f>'Cash Ratio'!G382</f>
        <v>1.141802405543261</v>
      </c>
      <c r="G347" s="25">
        <f>DAR!G382</f>
        <v>0.73358472817869624</v>
      </c>
      <c r="H347" s="25">
        <f>DER!G382</f>
        <v>2.7535399315220204</v>
      </c>
      <c r="I347" s="25">
        <f>NPM!G382</f>
        <v>9.003738274967402E-3</v>
      </c>
      <c r="J347" s="25">
        <f>ROA!G382</f>
        <v>1.3377193628338564E-2</v>
      </c>
      <c r="K347" s="25">
        <f>ROE!G382</f>
        <v>5.0211837041350613E-2</v>
      </c>
      <c r="L347" s="25">
        <f>KM!E382</f>
        <v>0</v>
      </c>
      <c r="M347" s="24">
        <f>KI!E382</f>
        <v>0</v>
      </c>
      <c r="N347" s="108">
        <f>IO!E382</f>
        <v>0</v>
      </c>
      <c r="O347" s="24">
        <f>'BoC Size'!E382</f>
        <v>0</v>
      </c>
      <c r="P347" s="24">
        <f>'TMT E DK'!E382</f>
        <v>0</v>
      </c>
      <c r="Q347" s="24">
        <f>Data!R382</f>
        <v>0</v>
      </c>
      <c r="R347" s="24">
        <f>Data!S382</f>
        <v>0</v>
      </c>
      <c r="S347" s="24">
        <f>'TMT E DK'!E382</f>
        <v>0</v>
      </c>
      <c r="T347" s="24">
        <f>'TMT E DD'!E382</f>
        <v>0</v>
      </c>
      <c r="U347" s="24">
        <f>TA!E382</f>
        <v>6861957190000</v>
      </c>
      <c r="V347" s="109">
        <f>PR!F382</f>
        <v>0</v>
      </c>
      <c r="W347" s="109">
        <f>'Z Score'!I382</f>
        <v>3.9743953459435669E-2</v>
      </c>
      <c r="X347" s="109">
        <f>'Z Score'!L382</f>
        <v>0.1159483480834715</v>
      </c>
      <c r="Y347" s="109">
        <f>'Z Score'!O382</f>
        <v>7.524184743565851E-2</v>
      </c>
      <c r="Z347" s="109">
        <f>'Z Score'!R382</f>
        <v>0.38132731905566081</v>
      </c>
      <c r="AA347" s="109">
        <f>'Z Score'!S382</f>
        <v>0.61226146803422643</v>
      </c>
    </row>
    <row r="348" spans="1:27" ht="15" customHeight="1" x14ac:dyDescent="0.3">
      <c r="A348" s="22"/>
      <c r="B348" s="23"/>
      <c r="C348" s="3"/>
      <c r="D348" s="23">
        <v>2021</v>
      </c>
      <c r="E348" s="25">
        <f>'Current Ratio'!G383</f>
        <v>0.46823589104073765</v>
      </c>
      <c r="F348" s="25">
        <f>'Cash Ratio'!G383</f>
        <v>0.26933935019587357</v>
      </c>
      <c r="G348" s="25">
        <f>DAR!G383</f>
        <v>0.7185347840522206</v>
      </c>
      <c r="H348" s="25">
        <f>DER!G383</f>
        <v>2.5528368812206317</v>
      </c>
      <c r="I348" s="25">
        <f>NPM!G383</f>
        <v>9.9189804281044174E-3</v>
      </c>
      <c r="J348" s="25">
        <f>ROA!G383</f>
        <v>1.9396689556566243E-2</v>
      </c>
      <c r="K348" s="25">
        <f>ROE!G383</f>
        <v>6.8913274030155597E-2</v>
      </c>
      <c r="L348" s="25">
        <f>KM!E383</f>
        <v>0.99990000000000001</v>
      </c>
      <c r="M348" s="24">
        <f>KI!E383</f>
        <v>2</v>
      </c>
      <c r="N348" s="108">
        <f>IO!E383</f>
        <v>0</v>
      </c>
      <c r="O348" s="24">
        <f>'BoC Size'!E383</f>
        <v>4</v>
      </c>
      <c r="P348" s="24">
        <f>'TMT E DK'!E383</f>
        <v>0</v>
      </c>
      <c r="Q348" s="24">
        <f>Data!R383</f>
        <v>4</v>
      </c>
      <c r="R348" s="24">
        <f>Data!S383</f>
        <v>3</v>
      </c>
      <c r="S348" s="24">
        <f>'TMT E DK'!E383</f>
        <v>0</v>
      </c>
      <c r="T348" s="24">
        <f>'TMT E DD'!E383</f>
        <v>0</v>
      </c>
      <c r="U348" s="24">
        <f>TA!E383</f>
        <v>6975768190000</v>
      </c>
      <c r="V348" s="109">
        <f>PR!F383</f>
        <v>0.33801957314329695</v>
      </c>
      <c r="W348" s="109">
        <f>'Z Score'!I383</f>
        <v>-0.12451864573785384</v>
      </c>
      <c r="X348" s="109">
        <f>'Z Score'!L383</f>
        <v>0.15107087782972903</v>
      </c>
      <c r="Y348" s="109">
        <f>'Z Score'!O383</f>
        <v>7.6386869042447347E-2</v>
      </c>
      <c r="Z348" s="109">
        <f>'Z Score'!R383</f>
        <v>0.41130712570164119</v>
      </c>
      <c r="AA348" s="109">
        <f>'Z Score'!S383</f>
        <v>0.51424622683596377</v>
      </c>
    </row>
    <row r="349" spans="1:27" ht="15" customHeight="1" x14ac:dyDescent="0.3">
      <c r="A349" s="22"/>
      <c r="B349" s="23"/>
      <c r="C349" s="3"/>
      <c r="D349" s="23">
        <v>2022</v>
      </c>
      <c r="E349" s="25">
        <f>'Current Ratio'!G384</f>
        <v>0.43567949971850739</v>
      </c>
      <c r="F349" s="25">
        <f>'Cash Ratio'!G384</f>
        <v>0.29585332676386022</v>
      </c>
      <c r="G349" s="25">
        <f>DAR!G384</f>
        <v>0.66952666549719408</v>
      </c>
      <c r="H349" s="25">
        <f>DER!G384</f>
        <v>2.0259627497767436</v>
      </c>
      <c r="I349" s="25">
        <f>NPM!G384</f>
        <v>5.2518070045907989E-3</v>
      </c>
      <c r="J349" s="25">
        <f>ROA!G384</f>
        <v>7.9483213319488169E-3</v>
      </c>
      <c r="K349" s="25">
        <f>ROE!G384</f>
        <v>2.4051324273732994E-2</v>
      </c>
      <c r="L349" s="25">
        <f>KM!E384</f>
        <v>0.99990000000000001</v>
      </c>
      <c r="M349" s="24">
        <f>KI!E384</f>
        <v>2</v>
      </c>
      <c r="N349" s="108">
        <f>IO!E384</f>
        <v>0</v>
      </c>
      <c r="O349" s="24">
        <f>'BoC Size'!E384</f>
        <v>4</v>
      </c>
      <c r="P349" s="24">
        <f>'TMT E DK'!E384</f>
        <v>0</v>
      </c>
      <c r="Q349" s="24">
        <f>Data!R384</f>
        <v>4</v>
      </c>
      <c r="R349" s="24">
        <f>Data!S384</f>
        <v>3</v>
      </c>
      <c r="S349" s="24">
        <f>'TMT E DK'!E384</f>
        <v>0</v>
      </c>
      <c r="T349" s="24">
        <f>'TMT E DD'!E384</f>
        <v>0</v>
      </c>
      <c r="U349" s="24">
        <f>TA!E384</f>
        <v>6087701790000</v>
      </c>
      <c r="V349" s="109">
        <f>PR!F384</f>
        <v>-0.32459012446383911</v>
      </c>
      <c r="W349" s="109">
        <f>'Z Score'!I384</f>
        <v>-0.20854227079345816</v>
      </c>
      <c r="X349" s="109">
        <f>'Z Score'!L384</f>
        <v>0.19780474864554756</v>
      </c>
      <c r="Y349" s="109">
        <f>'Z Score'!O384</f>
        <v>5.1011901619445126E-2</v>
      </c>
      <c r="Z349" s="109">
        <f>'Z Score'!R384</f>
        <v>0.51827211537611328</v>
      </c>
      <c r="AA349" s="109">
        <f>'Z Score'!S384</f>
        <v>0.55854649484764785</v>
      </c>
    </row>
    <row r="350" spans="1:27" ht="15" customHeight="1" x14ac:dyDescent="0.3">
      <c r="A350" s="22"/>
      <c r="B350" s="23"/>
      <c r="C350" s="3"/>
      <c r="D350" s="23">
        <v>2023</v>
      </c>
      <c r="E350" s="25">
        <f>'Current Ratio'!G385</f>
        <v>0.65909065667294808</v>
      </c>
      <c r="F350" s="25">
        <f>'Cash Ratio'!G385</f>
        <v>0.31595780312115701</v>
      </c>
      <c r="G350" s="25">
        <f>DAR!G385</f>
        <v>0.61935230821927301</v>
      </c>
      <c r="H350" s="25">
        <f>DER!G385</f>
        <v>1.9869019579596316</v>
      </c>
      <c r="I350" s="25">
        <f>NPM!G385</f>
        <v>9.5320331577399917E-3</v>
      </c>
      <c r="J350" s="25">
        <f>ROA!G385</f>
        <v>1.2049841805897106E-2</v>
      </c>
      <c r="K350" s="25">
        <f>ROE!G385</f>
        <v>3.865627682260047E-2</v>
      </c>
      <c r="L350" s="25">
        <f>KM!E385</f>
        <v>0.99990000000000001</v>
      </c>
      <c r="M350" s="24">
        <f>KI!E385</f>
        <v>2</v>
      </c>
      <c r="N350" s="108">
        <f>IO!E385</f>
        <v>0</v>
      </c>
      <c r="O350" s="24">
        <f>'BoC Size'!E385</f>
        <v>4</v>
      </c>
      <c r="P350" s="24">
        <f>'TMT E DK'!E385</f>
        <v>0</v>
      </c>
      <c r="Q350" s="24">
        <f>Data!R385</f>
        <v>4</v>
      </c>
      <c r="R350" s="24">
        <f>Data!S385</f>
        <v>3</v>
      </c>
      <c r="S350" s="24">
        <f>'TMT E DK'!E385</f>
        <v>0</v>
      </c>
      <c r="T350" s="24">
        <f>'TMT E DD'!E385</f>
        <v>0</v>
      </c>
      <c r="U350" s="24">
        <f>TA!E385</f>
        <v>4352235559999.9995</v>
      </c>
      <c r="V350" s="109">
        <f>PR!F385</f>
        <v>-0.40284349749908238</v>
      </c>
      <c r="W350" s="109">
        <f>'Z Score'!I385</f>
        <v>-9.438165465474023E-2</v>
      </c>
      <c r="X350" s="109">
        <f>'Z Score'!L385</f>
        <v>4.9188295589405094E-2</v>
      </c>
      <c r="Y350" s="109">
        <f>'Z Score'!O385</f>
        <v>7.3638675200751319E-2</v>
      </c>
      <c r="Z350" s="109">
        <f>'Z Score'!R385</f>
        <v>0.52846090155261349</v>
      </c>
      <c r="AA350" s="109">
        <f>'Z Score'!S385</f>
        <v>0.55690621768802973</v>
      </c>
    </row>
    <row r="351" spans="1:27" ht="15" customHeight="1" x14ac:dyDescent="0.3">
      <c r="A351" s="22"/>
      <c r="B351" s="23"/>
      <c r="C351" s="3"/>
      <c r="D351" s="23">
        <v>2024</v>
      </c>
      <c r="E351" s="25">
        <f>'Current Ratio'!G386</f>
        <v>0.56652068247003529</v>
      </c>
      <c r="F351" s="25">
        <f>'Cash Ratio'!G386</f>
        <v>0.33213097672072112</v>
      </c>
      <c r="G351" s="25">
        <f>DAR!G386</f>
        <v>0.64886155843765159</v>
      </c>
      <c r="H351" s="25">
        <f>DER!G386</f>
        <v>2.3113380778891575</v>
      </c>
      <c r="I351" s="25">
        <f>NPM!G386</f>
        <v>-3.6204173768192377E-2</v>
      </c>
      <c r="J351" s="25">
        <f>ROA!G386</f>
        <v>-3.7673938857875296E-2</v>
      </c>
      <c r="K351" s="25">
        <f>ROE!G386</f>
        <v>-0.13419998194367108</v>
      </c>
      <c r="L351" s="25">
        <f>KM!E386</f>
        <v>0.99990000000000001</v>
      </c>
      <c r="M351" s="24">
        <f>KI!E386</f>
        <v>2</v>
      </c>
      <c r="N351" s="108">
        <f>IO!E386</f>
        <v>0</v>
      </c>
      <c r="O351" s="24">
        <f>'BoC Size'!E386</f>
        <v>4</v>
      </c>
      <c r="P351" s="24">
        <f>'TMT E DK'!E386</f>
        <v>0</v>
      </c>
      <c r="Q351" s="24">
        <f>Data!R386</f>
        <v>4</v>
      </c>
      <c r="R351" s="24">
        <f>Data!S386</f>
        <v>3</v>
      </c>
      <c r="S351" s="24">
        <f>'TMT E DK'!E386</f>
        <v>0</v>
      </c>
      <c r="T351" s="24">
        <f>'TMT E DD'!E386</f>
        <v>0</v>
      </c>
      <c r="U351" s="24">
        <f>TA!E386</f>
        <v>4260842769999.9995</v>
      </c>
      <c r="V351" s="109">
        <f>PR!F386</f>
        <v>-0.19412125319802609</v>
      </c>
      <c r="W351" s="109">
        <f>'Z Score'!I386</f>
        <v>-0.12614949825994165</v>
      </c>
      <c r="X351" s="109">
        <f>'Z Score'!L386</f>
        <v>-7.2573682553416535E-2</v>
      </c>
      <c r="Y351" s="109">
        <f>'Z Score'!O386</f>
        <v>-3.4903100637060119E-2</v>
      </c>
      <c r="Z351" s="109">
        <f>'Z Score'!R386</f>
        <v>0.45428230947456999</v>
      </c>
      <c r="AA351" s="109">
        <f>'Z Score'!S386</f>
        <v>0.22065602802415168</v>
      </c>
    </row>
    <row r="352" spans="1:27" ht="15" customHeight="1" x14ac:dyDescent="0.3">
      <c r="A352" s="22"/>
      <c r="B352" s="23">
        <v>36</v>
      </c>
      <c r="C352" s="4" t="s">
        <v>54</v>
      </c>
      <c r="D352" s="23">
        <v>2015</v>
      </c>
      <c r="E352" s="25">
        <f>'Current Ratio'!G388</f>
        <v>0</v>
      </c>
      <c r="F352" s="25">
        <f>'Cash Ratio'!G388</f>
        <v>0</v>
      </c>
      <c r="G352" s="25">
        <f>DAR!G388</f>
        <v>0</v>
      </c>
      <c r="H352" s="25">
        <f>DER!G388</f>
        <v>0</v>
      </c>
      <c r="I352" s="25">
        <f>NPM!G388</f>
        <v>0</v>
      </c>
      <c r="J352" s="25">
        <f>ROA!G388</f>
        <v>0</v>
      </c>
      <c r="K352" s="25">
        <f>ROE!G388</f>
        <v>0</v>
      </c>
      <c r="L352" s="25">
        <f>KM!E388</f>
        <v>0</v>
      </c>
      <c r="M352" s="24">
        <f>KI!E388</f>
        <v>0</v>
      </c>
      <c r="N352" s="108">
        <f>IO!E388</f>
        <v>0</v>
      </c>
      <c r="O352" s="24">
        <f>'BoC Size'!E388</f>
        <v>0</v>
      </c>
      <c r="P352" s="24">
        <f>'TMT E DK'!E388</f>
        <v>0</v>
      </c>
      <c r="Q352" s="24">
        <f>Data!R388</f>
        <v>0</v>
      </c>
      <c r="R352" s="24">
        <f>Data!S388</f>
        <v>0</v>
      </c>
      <c r="S352" s="24">
        <f>'TMT E DK'!E388</f>
        <v>0</v>
      </c>
      <c r="T352" s="24">
        <f>'TMT E DD'!E388</f>
        <v>0</v>
      </c>
      <c r="U352" s="24">
        <f>TA!E388</f>
        <v>0</v>
      </c>
      <c r="V352" s="109">
        <f>PR!F388</f>
        <v>0</v>
      </c>
      <c r="W352" s="109">
        <f>'Z Score'!I388</f>
        <v>0</v>
      </c>
      <c r="X352" s="109">
        <f>'Z Score'!L388</f>
        <v>0</v>
      </c>
      <c r="Y352" s="109">
        <f>'Z Score'!O388</f>
        <v>0</v>
      </c>
      <c r="Z352" s="109">
        <f>'Z Score'!R388</f>
        <v>0</v>
      </c>
      <c r="AA352" s="109">
        <f>'Z Score'!S388</f>
        <v>0</v>
      </c>
    </row>
    <row r="353" spans="1:27" ht="15" customHeight="1" x14ac:dyDescent="0.3">
      <c r="A353" s="22"/>
      <c r="B353" s="23"/>
      <c r="C353" s="4"/>
      <c r="D353" s="23">
        <v>2016</v>
      </c>
      <c r="E353" s="25">
        <f>'Current Ratio'!G389</f>
        <v>0.397708491535266</v>
      </c>
      <c r="F353" s="25">
        <f>'Cash Ratio'!G389</f>
        <v>0.397708491535266</v>
      </c>
      <c r="G353" s="25">
        <f>DAR!G389</f>
        <v>1.6656932079865773E-2</v>
      </c>
      <c r="H353" s="25">
        <f>DER!G389</f>
        <v>1.693908527274901E-2</v>
      </c>
      <c r="I353" s="25">
        <f>NPM!G389</f>
        <v>0.43688459787738676</v>
      </c>
      <c r="J353" s="25">
        <f>ROA!G389</f>
        <v>6.7842009516333648E-3</v>
      </c>
      <c r="K353" s="25">
        <f>ROE!G389</f>
        <v>6.899119110060547E-3</v>
      </c>
      <c r="L353" s="25">
        <f>KM!E389</f>
        <v>0</v>
      </c>
      <c r="M353" s="24">
        <f>KI!E389</f>
        <v>0</v>
      </c>
      <c r="N353" s="108">
        <f>IO!E389</f>
        <v>0</v>
      </c>
      <c r="O353" s="24">
        <f>'BoC Size'!E389</f>
        <v>0</v>
      </c>
      <c r="P353" s="24">
        <f>'TMT E DK'!E389</f>
        <v>0</v>
      </c>
      <c r="Q353" s="24">
        <f>Data!R389</f>
        <v>0</v>
      </c>
      <c r="R353" s="24">
        <f>Data!S389</f>
        <v>0</v>
      </c>
      <c r="S353" s="24">
        <f>'TMT E DK'!E389</f>
        <v>0</v>
      </c>
      <c r="T353" s="24">
        <f>'TMT E DD'!E389</f>
        <v>0</v>
      </c>
      <c r="U353" s="24">
        <f>TA!E389</f>
        <v>53760200000</v>
      </c>
      <c r="V353" s="109">
        <f>PR!F389</f>
        <v>0</v>
      </c>
      <c r="W353" s="109">
        <f>'Z Score'!I389</f>
        <v>-6.5812076591976965E-2</v>
      </c>
      <c r="X353" s="109">
        <f>'Z Score'!L389</f>
        <v>2.2116495102324767E-2</v>
      </c>
      <c r="Y353" s="109">
        <f>'Z Score'!O389</f>
        <v>2.5958653427628615E-2</v>
      </c>
      <c r="Z353" s="109">
        <f>'Z Score'!R389</f>
        <v>61.986818242730159</v>
      </c>
      <c r="AA353" s="109">
        <f>'Z Score'!S389</f>
        <v>61.969081314668138</v>
      </c>
    </row>
    <row r="354" spans="1:27" ht="15" customHeight="1" x14ac:dyDescent="0.3">
      <c r="A354" s="22"/>
      <c r="B354" s="23"/>
      <c r="C354" s="4"/>
      <c r="D354" s="23">
        <v>2017</v>
      </c>
      <c r="E354" s="25">
        <f>'Current Ratio'!G390</f>
        <v>3.6944998361800323</v>
      </c>
      <c r="F354" s="25">
        <f>'Cash Ratio'!G390</f>
        <v>3.6944998361800323</v>
      </c>
      <c r="G354" s="25">
        <f>DAR!G390</f>
        <v>2.5003934928454569E-2</v>
      </c>
      <c r="H354" s="25">
        <f>DER!G390</f>
        <v>0.34321326587197681</v>
      </c>
      <c r="I354" s="25">
        <f>NPM!G390</f>
        <v>0.26790992783062434</v>
      </c>
      <c r="J354" s="25">
        <f>ROA!G390</f>
        <v>4.9445540866369184E-3</v>
      </c>
      <c r="K354" s="25">
        <f>ROE!G390</f>
        <v>6.7870779587738114E-2</v>
      </c>
      <c r="L354" s="25">
        <f>KM!E390</f>
        <v>0.99990000000000001</v>
      </c>
      <c r="M354" s="24">
        <f>KI!E390</f>
        <v>2</v>
      </c>
      <c r="N354" s="108">
        <f>IO!E390</f>
        <v>0</v>
      </c>
      <c r="O354" s="24">
        <f>'BoC Size'!E390</f>
        <v>3</v>
      </c>
      <c r="P354" s="24">
        <f>'TMT E DK'!E390</f>
        <v>5</v>
      </c>
      <c r="Q354" s="24">
        <f>Data!R390</f>
        <v>3</v>
      </c>
      <c r="R354" s="24">
        <f>Data!S390</f>
        <v>3</v>
      </c>
      <c r="S354" s="24">
        <f>'TMT E DK'!E390</f>
        <v>5</v>
      </c>
      <c r="T354" s="24">
        <f>'TMT E DD'!E390</f>
        <v>5</v>
      </c>
      <c r="U354" s="24">
        <f>TA!E390</f>
        <v>778476670000</v>
      </c>
      <c r="V354" s="109">
        <f>PR!F390</f>
        <v>16.210404638125585</v>
      </c>
      <c r="W354" s="109">
        <f>'Z Score'!I390</f>
        <v>0.43382432616766792</v>
      </c>
      <c r="X354" s="109">
        <f>'Z Score'!L390</f>
        <v>7.8596202504051908E-3</v>
      </c>
      <c r="Y354" s="109">
        <f>'Z Score'!O390</f>
        <v>1.4408681508721386E-2</v>
      </c>
      <c r="Z354" s="109">
        <f>'Z Score'!R390</f>
        <v>3.0593223060080206</v>
      </c>
      <c r="AA354" s="109">
        <f>'Z Score'!S390</f>
        <v>3.5154149339348151</v>
      </c>
    </row>
    <row r="355" spans="1:27" ht="15" customHeight="1" x14ac:dyDescent="0.3">
      <c r="A355" s="22"/>
      <c r="B355" s="23"/>
      <c r="C355" s="4"/>
      <c r="D355" s="23">
        <v>2018</v>
      </c>
      <c r="E355" s="25">
        <f>'Current Ratio'!G391</f>
        <v>0.62306890543339222</v>
      </c>
      <c r="F355" s="25">
        <f>'Cash Ratio'!G391</f>
        <v>0.62294329761716949</v>
      </c>
      <c r="G355" s="25">
        <f>DAR!G391</f>
        <v>4.1163005747256537E-2</v>
      </c>
      <c r="H355" s="25">
        <f>DER!G391</f>
        <v>0.14162800654564747</v>
      </c>
      <c r="I355" s="25">
        <f>NPM!G391</f>
        <v>0.2985747305867813</v>
      </c>
      <c r="J355" s="25">
        <f>ROA!G391</f>
        <v>7.3046653036156952E-3</v>
      </c>
      <c r="K355" s="25">
        <f>ROE!G391</f>
        <v>2.5132887325731768E-2</v>
      </c>
      <c r="L355" s="25">
        <f>KM!E391</f>
        <v>0.99990000000000001</v>
      </c>
      <c r="M355" s="24">
        <f>KI!E391</f>
        <v>2</v>
      </c>
      <c r="N355" s="108">
        <f>IO!E391</f>
        <v>0</v>
      </c>
      <c r="O355" s="24">
        <f>'BoC Size'!E391</f>
        <v>3</v>
      </c>
      <c r="P355" s="24">
        <f>'TMT E DK'!E391</f>
        <v>5</v>
      </c>
      <c r="Q355" s="24">
        <f>Data!R391</f>
        <v>3</v>
      </c>
      <c r="R355" s="24">
        <f>Data!S391</f>
        <v>3</v>
      </c>
      <c r="S355" s="24">
        <f>'TMT E DK'!E391</f>
        <v>5</v>
      </c>
      <c r="T355" s="24">
        <f>'TMT E DD'!E391</f>
        <v>7</v>
      </c>
      <c r="U355" s="24">
        <f>TA!E391</f>
        <v>1964847040000</v>
      </c>
      <c r="V355" s="109">
        <f>PR!F391</f>
        <v>2.345739264553067</v>
      </c>
      <c r="W355" s="109">
        <f>'Z Score'!I391</f>
        <v>-0.1001890809780287</v>
      </c>
      <c r="X355" s="109">
        <f>'Z Score'!L391</f>
        <v>2.7030772431018348E-2</v>
      </c>
      <c r="Y355" s="109">
        <f>'Z Score'!O391</f>
        <v>5.3867814565351606E-2</v>
      </c>
      <c r="Z355" s="109">
        <f>'Z Score'!R391</f>
        <v>7.4137878913206281</v>
      </c>
      <c r="AA355" s="109">
        <f>'Z Score'!S391</f>
        <v>7.3944973973389692</v>
      </c>
    </row>
    <row r="356" spans="1:27" ht="15" customHeight="1" x14ac:dyDescent="0.3">
      <c r="A356" s="22"/>
      <c r="B356" s="23"/>
      <c r="C356" s="4"/>
      <c r="D356" s="23">
        <v>2019</v>
      </c>
      <c r="E356" s="25">
        <f>'Current Ratio'!G392</f>
        <v>0.61889121337610598</v>
      </c>
      <c r="F356" s="25">
        <f>'Cash Ratio'!G392</f>
        <v>0.61702656586115856</v>
      </c>
      <c r="G356" s="25">
        <f>DAR!G392</f>
        <v>6.2304325865975431E-2</v>
      </c>
      <c r="H356" s="25">
        <f>DER!G392</f>
        <v>0.36318017207067821</v>
      </c>
      <c r="I356" s="25">
        <f>NPM!G392</f>
        <v>-0.18516283627138233</v>
      </c>
      <c r="J356" s="25">
        <f>ROA!G392</f>
        <v>-6.4792471807558422E-3</v>
      </c>
      <c r="K356" s="25">
        <f>ROE!G392</f>
        <v>-3.7768390449440956E-2</v>
      </c>
      <c r="L356" s="25">
        <f>KM!E392</f>
        <v>0.99990000000000001</v>
      </c>
      <c r="M356" s="24">
        <f>KI!E392</f>
        <v>2</v>
      </c>
      <c r="N356" s="108">
        <f>IO!E392</f>
        <v>0</v>
      </c>
      <c r="O356" s="24">
        <f>'BoC Size'!E392</f>
        <v>3</v>
      </c>
      <c r="P356" s="24">
        <f>'TMT E DK'!E392</f>
        <v>5</v>
      </c>
      <c r="Q356" s="24">
        <f>Data!R392</f>
        <v>3</v>
      </c>
      <c r="R356" s="24">
        <f>Data!S392</f>
        <v>3</v>
      </c>
      <c r="S356" s="24">
        <f>'TMT E DK'!E392</f>
        <v>5</v>
      </c>
      <c r="T356" s="24">
        <f>'TMT E DD'!E392</f>
        <v>7</v>
      </c>
      <c r="U356" s="24">
        <f>TA!E392</f>
        <v>3207673580000</v>
      </c>
      <c r="V356" s="109">
        <f>PR!F392</f>
        <v>1.3349891752085128</v>
      </c>
      <c r="W356" s="109">
        <f>'Z Score'!I392</f>
        <v>-0.15033428183175671</v>
      </c>
      <c r="X356" s="109">
        <f>'Z Score'!L392</f>
        <v>3.279448590277069E-2</v>
      </c>
      <c r="Y356" s="109">
        <f>'Z Score'!O392</f>
        <v>3.6355547624019775E-2</v>
      </c>
      <c r="Z356" s="109">
        <f>'Z Score'!R392</f>
        <v>2.8911269963153723</v>
      </c>
      <c r="AA356" s="109">
        <f>'Z Score'!S392</f>
        <v>2.809942748010406</v>
      </c>
    </row>
    <row r="357" spans="1:27" ht="15" customHeight="1" x14ac:dyDescent="0.3">
      <c r="A357" s="22"/>
      <c r="B357" s="23"/>
      <c r="C357" s="4"/>
      <c r="D357" s="23">
        <v>2020</v>
      </c>
      <c r="E357" s="25">
        <f>'Current Ratio'!G393</f>
        <v>0.5073165669436378</v>
      </c>
      <c r="F357" s="25">
        <f>'Cash Ratio'!G393</f>
        <v>0.50162932806085758</v>
      </c>
      <c r="G357" s="25">
        <f>DAR!G393</f>
        <v>0.12086913738046649</v>
      </c>
      <c r="H357" s="25">
        <f>DER!G393</f>
        <v>0.64259234853586589</v>
      </c>
      <c r="I357" s="25">
        <f>NPM!G393</f>
        <v>0.21633012346980679</v>
      </c>
      <c r="J357" s="25">
        <f>ROA!G393</f>
        <v>7.9913085424078642E-3</v>
      </c>
      <c r="K357" s="25">
        <f>ROE!G393</f>
        <v>4.2485235151272643E-2</v>
      </c>
      <c r="L357" s="25">
        <f>KM!E393</f>
        <v>0.99990000000000001</v>
      </c>
      <c r="M357" s="24">
        <f>KI!E393</f>
        <v>2</v>
      </c>
      <c r="N357" s="108">
        <f>IO!E393</f>
        <v>0</v>
      </c>
      <c r="O357" s="24">
        <f>'BoC Size'!E393</f>
        <v>3</v>
      </c>
      <c r="P357" s="24">
        <f>'TMT E DK'!E393</f>
        <v>5</v>
      </c>
      <c r="Q357" s="24">
        <f>Data!R393</f>
        <v>3</v>
      </c>
      <c r="R357" s="24">
        <f>Data!S393</f>
        <v>3</v>
      </c>
      <c r="S357" s="24">
        <f>'TMT E DK'!E393</f>
        <v>5</v>
      </c>
      <c r="T357" s="24">
        <f>'TMT E DD'!E393</f>
        <v>7</v>
      </c>
      <c r="U357" s="24">
        <f>TA!E393</f>
        <v>3055349430000</v>
      </c>
      <c r="V357" s="109">
        <f>PR!F393</f>
        <v>5.5435766301490099E-3</v>
      </c>
      <c r="W357" s="109">
        <f>'Z Score'!I393</f>
        <v>-0.38030927284150273</v>
      </c>
      <c r="X357" s="109">
        <f>'Z Score'!L393</f>
        <v>5.4447510444001812E-2</v>
      </c>
      <c r="Y357" s="109">
        <f>'Z Score'!O393</f>
        <v>4.7385669795549375E-2</v>
      </c>
      <c r="Z357" s="109">
        <f>'Z Score'!R393</f>
        <v>1.634006384284538</v>
      </c>
      <c r="AA357" s="109">
        <f>'Z Score'!S393</f>
        <v>1.3555302916825864</v>
      </c>
    </row>
    <row r="358" spans="1:27" ht="15" customHeight="1" x14ac:dyDescent="0.3">
      <c r="A358" s="22"/>
      <c r="B358" s="23"/>
      <c r="C358" s="4"/>
      <c r="D358" s="23">
        <v>2021</v>
      </c>
      <c r="E358" s="25">
        <f>'Current Ratio'!G394</f>
        <v>0.18300919957736872</v>
      </c>
      <c r="F358" s="25">
        <f>'Cash Ratio'!G394</f>
        <v>0.18040867018540407</v>
      </c>
      <c r="G358" s="25">
        <f>DAR!G394</f>
        <v>9.8968769364724096E-2</v>
      </c>
      <c r="H358" s="25">
        <f>DER!G394</f>
        <v>0.70658037951832575</v>
      </c>
      <c r="I358" s="25">
        <f>NPM!G394</f>
        <v>-9.296635052515341E-2</v>
      </c>
      <c r="J358" s="25">
        <f>ROA!G394</f>
        <v>-4.0153609816163767E-3</v>
      </c>
      <c r="K358" s="25">
        <f>ROE!G394</f>
        <v>-2.8667379664365559E-2</v>
      </c>
      <c r="L358" s="25">
        <f>KM!E394</f>
        <v>0.99990000000000001</v>
      </c>
      <c r="M358" s="24">
        <f>KI!E394</f>
        <v>2</v>
      </c>
      <c r="N358" s="108">
        <f>IO!E394</f>
        <v>0</v>
      </c>
      <c r="O358" s="24">
        <f>'BoC Size'!E394</f>
        <v>3</v>
      </c>
      <c r="P358" s="24">
        <f>'TMT E DK'!E394</f>
        <v>5</v>
      </c>
      <c r="Q358" s="24">
        <f>Data!R394</f>
        <v>3</v>
      </c>
      <c r="R358" s="24">
        <f>Data!S394</f>
        <v>3</v>
      </c>
      <c r="S358" s="24">
        <f>'TMT E DK'!E394</f>
        <v>5</v>
      </c>
      <c r="T358" s="24">
        <f>'TMT E DD'!E394</f>
        <v>9</v>
      </c>
      <c r="U358" s="24">
        <f>TA!E394</f>
        <v>3988679990000</v>
      </c>
      <c r="V358" s="109">
        <f>PR!F394</f>
        <v>0.52639248522468973</v>
      </c>
      <c r="W358" s="109">
        <f>'Z Score'!I394</f>
        <v>-0.50557081747738819</v>
      </c>
      <c r="X358" s="109">
        <f>'Z Score'!L394</f>
        <v>5.7512002661311519E-2</v>
      </c>
      <c r="Y358" s="109">
        <f>'Z Score'!O394</f>
        <v>3.7252560038039048E-2</v>
      </c>
      <c r="Z358" s="109">
        <f>'Z Score'!R394</f>
        <v>1.4860305075493077</v>
      </c>
      <c r="AA358" s="109">
        <f>'Z Score'!S394</f>
        <v>1.0752242527712701</v>
      </c>
    </row>
    <row r="359" spans="1:27" ht="15" customHeight="1" x14ac:dyDescent="0.3">
      <c r="A359" s="22"/>
      <c r="B359" s="23"/>
      <c r="C359" s="4"/>
      <c r="D359" s="23">
        <v>2022</v>
      </c>
      <c r="E359" s="25">
        <f>'Current Ratio'!G395</f>
        <v>0.19407519485967975</v>
      </c>
      <c r="F359" s="25">
        <f>'Cash Ratio'!G395</f>
        <v>0.20289623260175671</v>
      </c>
      <c r="G359" s="25">
        <f>DAR!G395</f>
        <v>7.9013793309005056E-2</v>
      </c>
      <c r="H359" s="25">
        <f>DER!G395</f>
        <v>0.59972513495685187</v>
      </c>
      <c r="I359" s="25">
        <f>NPM!G395</f>
        <v>3.0869834846196527E-3</v>
      </c>
      <c r="J359" s="25">
        <f>ROA!G395</f>
        <v>1.554967090290774E-4</v>
      </c>
      <c r="K359" s="25">
        <f>ROE!G395</f>
        <v>1.1802405744919683E-3</v>
      </c>
      <c r="L359" s="25">
        <f>KM!E395</f>
        <v>0.99990000000000001</v>
      </c>
      <c r="M359" s="24">
        <f>KI!E395</f>
        <v>2</v>
      </c>
      <c r="N359" s="108">
        <f>IO!E395</f>
        <v>0</v>
      </c>
      <c r="O359" s="24">
        <f>'BoC Size'!E395</f>
        <v>3</v>
      </c>
      <c r="P359" s="24">
        <f>'TMT E DK'!E395</f>
        <v>7</v>
      </c>
      <c r="Q359" s="24">
        <f>Data!R395</f>
        <v>3</v>
      </c>
      <c r="R359" s="24">
        <f>Data!S395</f>
        <v>3</v>
      </c>
      <c r="S359" s="24">
        <f>'TMT E DK'!E395</f>
        <v>7</v>
      </c>
      <c r="T359" s="24">
        <f>'TMT E DD'!E395</f>
        <v>9</v>
      </c>
      <c r="U359" s="24">
        <f>TA!E395</f>
        <v>4245491780000.0005</v>
      </c>
      <c r="V359" s="109">
        <f>PR!F395</f>
        <v>0.2413289784932755</v>
      </c>
      <c r="W359" s="109">
        <f>'Z Score'!I395</f>
        <v>-0.34746550845989382</v>
      </c>
      <c r="X359" s="109">
        <f>'Z Score'!L395</f>
        <v>7.5329258793194492E-2</v>
      </c>
      <c r="Y359" s="109">
        <f>'Z Score'!O395</f>
        <v>4.9493216354784694E-2</v>
      </c>
      <c r="Z359" s="109">
        <f>'Z Score'!R395</f>
        <v>1.7508020571382987</v>
      </c>
      <c r="AA359" s="109">
        <f>'Z Score'!S395</f>
        <v>1.528159023826384</v>
      </c>
    </row>
    <row r="360" spans="1:27" ht="15" customHeight="1" x14ac:dyDescent="0.3">
      <c r="A360" s="22"/>
      <c r="B360" s="23"/>
      <c r="C360" s="4"/>
      <c r="D360" s="23">
        <v>2023</v>
      </c>
      <c r="E360" s="25">
        <f>'Current Ratio'!G396</f>
        <v>0.13884583147586321</v>
      </c>
      <c r="F360" s="25">
        <f>'Cash Ratio'!G396</f>
        <v>0.1271337748188901</v>
      </c>
      <c r="G360" s="25">
        <f>DAR!G396</f>
        <v>8.8577780241511792E-2</v>
      </c>
      <c r="H360" s="25">
        <f>DER!G396</f>
        <v>0.47335635206335841</v>
      </c>
      <c r="I360" s="25">
        <f>NPM!G396</f>
        <v>0.22200378683834446</v>
      </c>
      <c r="J360" s="25">
        <f>ROA!G396</f>
        <v>1.4532225391528384E-2</v>
      </c>
      <c r="K360" s="25">
        <f>ROE!G396</f>
        <v>7.7659670178465298E-2</v>
      </c>
      <c r="L360" s="25">
        <f>KM!E396</f>
        <v>0.99990000000000001</v>
      </c>
      <c r="M360" s="24">
        <f>KI!E396</f>
        <v>2</v>
      </c>
      <c r="N360" s="108">
        <f>IO!E396</f>
        <v>0</v>
      </c>
      <c r="O360" s="24">
        <f>'BoC Size'!E396</f>
        <v>3</v>
      </c>
      <c r="P360" s="24">
        <f>'TMT E DK'!E396</f>
        <v>7</v>
      </c>
      <c r="Q360" s="24">
        <f>Data!R396</f>
        <v>3</v>
      </c>
      <c r="R360" s="24">
        <f>Data!S396</f>
        <v>3</v>
      </c>
      <c r="S360" s="24">
        <f>'TMT E DK'!E396</f>
        <v>7</v>
      </c>
      <c r="T360" s="24">
        <f>'TMT E DD'!E396</f>
        <v>9</v>
      </c>
      <c r="U360" s="24">
        <f>TA!E396</f>
        <v>3240789950000</v>
      </c>
      <c r="V360" s="109">
        <f>PR!F396</f>
        <v>-8.0090144257184779E-3</v>
      </c>
      <c r="W360" s="109">
        <f>'Z Score'!I396</f>
        <v>-0.34750092458167481</v>
      </c>
      <c r="X360" s="109">
        <f>'Z Score'!L396</f>
        <v>0.12902117707443519</v>
      </c>
      <c r="Y360" s="109">
        <f>'Z Score'!O396</f>
        <v>6.7256754607005614E-2</v>
      </c>
      <c r="Z360" s="109">
        <f>'Z Score'!R396</f>
        <v>2.2182019855084953</v>
      </c>
      <c r="AA360" s="109">
        <f>'Z Score'!S396</f>
        <v>2.0669789926082611</v>
      </c>
    </row>
    <row r="361" spans="1:27" ht="15" customHeight="1" x14ac:dyDescent="0.3">
      <c r="A361" s="22"/>
      <c r="B361" s="23"/>
      <c r="C361" s="4"/>
      <c r="D361" s="23">
        <v>2024</v>
      </c>
      <c r="E361" s="25">
        <f>'Current Ratio'!G397</f>
        <v>0</v>
      </c>
      <c r="F361" s="25">
        <f>'Cash Ratio'!G397</f>
        <v>0</v>
      </c>
      <c r="G361" s="25">
        <f>DAR!G397</f>
        <v>0</v>
      </c>
      <c r="H361" s="25">
        <f>DER!G397</f>
        <v>0</v>
      </c>
      <c r="I361" s="25">
        <f>NPM!G397</f>
        <v>0</v>
      </c>
      <c r="J361" s="25">
        <f>ROA!G397</f>
        <v>0</v>
      </c>
      <c r="K361" s="25">
        <f>ROE!G397</f>
        <v>0</v>
      </c>
      <c r="L361" s="25">
        <f>KM!E397</f>
        <v>0</v>
      </c>
      <c r="M361" s="24">
        <f>KI!E397</f>
        <v>0</v>
      </c>
      <c r="N361" s="108">
        <f>IO!E397</f>
        <v>0</v>
      </c>
      <c r="O361" s="24">
        <f>'BoC Size'!E397</f>
        <v>0</v>
      </c>
      <c r="P361" s="24">
        <f>'TMT E DK'!E397</f>
        <v>0</v>
      </c>
      <c r="Q361" s="24">
        <f>Data!R397</f>
        <v>0</v>
      </c>
      <c r="R361" s="24">
        <f>Data!S397</f>
        <v>0</v>
      </c>
      <c r="S361" s="24">
        <f>'TMT E DK'!E397</f>
        <v>0</v>
      </c>
      <c r="T361" s="24">
        <f>'TMT E DD'!E397</f>
        <v>0</v>
      </c>
      <c r="U361" s="24">
        <f>TA!E397</f>
        <v>0</v>
      </c>
      <c r="V361" s="109">
        <f>PR!F397</f>
        <v>-1</v>
      </c>
      <c r="W361" s="109">
        <f>'Z Score'!I397</f>
        <v>0</v>
      </c>
      <c r="X361" s="109">
        <f>'Z Score'!L397</f>
        <v>0</v>
      </c>
      <c r="Y361" s="109">
        <f>'Z Score'!O397</f>
        <v>0</v>
      </c>
      <c r="Z361" s="109">
        <f>'Z Score'!R397</f>
        <v>0</v>
      </c>
      <c r="AA361" s="109">
        <f>'Z Score'!S397</f>
        <v>0</v>
      </c>
    </row>
    <row r="362" spans="1:27" ht="15" customHeight="1" x14ac:dyDescent="0.3">
      <c r="A362" s="22"/>
      <c r="B362" s="23">
        <v>37</v>
      </c>
      <c r="C362" s="3" t="s">
        <v>10</v>
      </c>
      <c r="D362" s="23">
        <v>2015</v>
      </c>
      <c r="E362" s="25">
        <f>'Current Ratio'!G399</f>
        <v>0</v>
      </c>
      <c r="F362" s="25">
        <f>'Cash Ratio'!G399</f>
        <v>0</v>
      </c>
      <c r="G362" s="25">
        <f>DAR!G399</f>
        <v>0</v>
      </c>
      <c r="H362" s="25">
        <f>DER!G399</f>
        <v>0</v>
      </c>
      <c r="I362" s="25">
        <f>NPM!G399</f>
        <v>0</v>
      </c>
      <c r="J362" s="25">
        <f>ROA!G399</f>
        <v>0</v>
      </c>
      <c r="K362" s="25">
        <f>ROE!G399</f>
        <v>0</v>
      </c>
      <c r="L362" s="25">
        <f>KM!E399</f>
        <v>0</v>
      </c>
      <c r="M362" s="24">
        <f>KI!E399</f>
        <v>0</v>
      </c>
      <c r="N362" s="108">
        <f>IO!E399</f>
        <v>0</v>
      </c>
      <c r="O362" s="24">
        <f>'BoC Size'!E399</f>
        <v>0</v>
      </c>
      <c r="P362" s="24">
        <f>'TMT E DK'!E399</f>
        <v>0</v>
      </c>
      <c r="Q362" s="24">
        <f>Data!R399</f>
        <v>0</v>
      </c>
      <c r="R362" s="24">
        <f>Data!S399</f>
        <v>0</v>
      </c>
      <c r="S362" s="24">
        <f>'TMT E DK'!E399</f>
        <v>0</v>
      </c>
      <c r="T362" s="24">
        <f>'TMT E DD'!E399</f>
        <v>0</v>
      </c>
      <c r="U362" s="24">
        <f>TA!E399</f>
        <v>0</v>
      </c>
      <c r="V362" s="109">
        <f>PR!F399</f>
        <v>0</v>
      </c>
      <c r="W362" s="109">
        <f>'Z Score'!I399</f>
        <v>0</v>
      </c>
      <c r="X362" s="109">
        <f>'Z Score'!L399</f>
        <v>0</v>
      </c>
      <c r="Y362" s="109">
        <f>'Z Score'!O399</f>
        <v>0</v>
      </c>
      <c r="Z362" s="109">
        <f>'Z Score'!R399</f>
        <v>0</v>
      </c>
      <c r="AA362" s="109">
        <f>'Z Score'!S399</f>
        <v>0</v>
      </c>
    </row>
    <row r="363" spans="1:27" ht="15" customHeight="1" x14ac:dyDescent="0.3">
      <c r="A363" s="22"/>
      <c r="B363" s="23"/>
      <c r="C363" s="3"/>
      <c r="D363" s="23">
        <v>2016</v>
      </c>
      <c r="E363" s="25">
        <f>'Current Ratio'!G400</f>
        <v>0</v>
      </c>
      <c r="F363" s="25">
        <f>'Cash Ratio'!G400</f>
        <v>0</v>
      </c>
      <c r="G363" s="25">
        <f>DAR!G400</f>
        <v>0</v>
      </c>
      <c r="H363" s="25">
        <f>DER!G400</f>
        <v>0</v>
      </c>
      <c r="I363" s="25">
        <f>NPM!G400</f>
        <v>0</v>
      </c>
      <c r="J363" s="25">
        <f>ROA!G400</f>
        <v>0</v>
      </c>
      <c r="K363" s="25">
        <f>ROE!G400</f>
        <v>0</v>
      </c>
      <c r="L363" s="25">
        <f>KM!E400</f>
        <v>0</v>
      </c>
      <c r="M363" s="24">
        <f>KI!E400</f>
        <v>0</v>
      </c>
      <c r="N363" s="108">
        <f>IO!E400</f>
        <v>0</v>
      </c>
      <c r="O363" s="24">
        <f>'BoC Size'!E400</f>
        <v>0</v>
      </c>
      <c r="P363" s="24">
        <f>'TMT E DK'!E400</f>
        <v>0</v>
      </c>
      <c r="Q363" s="24">
        <f>Data!R400</f>
        <v>0</v>
      </c>
      <c r="R363" s="24">
        <f>Data!S400</f>
        <v>0</v>
      </c>
      <c r="S363" s="24">
        <f>'TMT E DK'!E400</f>
        <v>0</v>
      </c>
      <c r="T363" s="24">
        <f>'TMT E DD'!E400</f>
        <v>0</v>
      </c>
      <c r="U363" s="24">
        <f>TA!E400</f>
        <v>0</v>
      </c>
      <c r="V363" s="109">
        <f>PR!F400</f>
        <v>0</v>
      </c>
      <c r="W363" s="109">
        <f>'Z Score'!I400</f>
        <v>0</v>
      </c>
      <c r="X363" s="109">
        <f>'Z Score'!L400</f>
        <v>0</v>
      </c>
      <c r="Y363" s="109">
        <f>'Z Score'!O400</f>
        <v>0</v>
      </c>
      <c r="Z363" s="109">
        <f>'Z Score'!R400</f>
        <v>0</v>
      </c>
      <c r="AA363" s="109">
        <f>'Z Score'!S400</f>
        <v>0</v>
      </c>
    </row>
    <row r="364" spans="1:27" ht="15" customHeight="1" x14ac:dyDescent="0.3">
      <c r="A364" s="22"/>
      <c r="B364" s="23"/>
      <c r="C364" s="3"/>
      <c r="D364" s="23">
        <v>2017</v>
      </c>
      <c r="E364" s="25">
        <f>'Current Ratio'!G401</f>
        <v>1.5539462912099429</v>
      </c>
      <c r="F364" s="25">
        <f>'Cash Ratio'!G401</f>
        <v>5.8440651256101685E-2</v>
      </c>
      <c r="G364" s="25">
        <f>DAR!G401</f>
        <v>0.18226340629906845</v>
      </c>
      <c r="H364" s="25">
        <f>DER!G401</f>
        <v>0.22288767275801666</v>
      </c>
      <c r="I364" s="25">
        <f>NPM!G401</f>
        <v>-0.59777759634514926</v>
      </c>
      <c r="J364" s="25">
        <f>ROA!G401</f>
        <v>-0.16831460069597415</v>
      </c>
      <c r="K364" s="25">
        <f>ROE!G401</f>
        <v>-0.20582985033629467</v>
      </c>
      <c r="L364" s="25">
        <f>KM!E401</f>
        <v>0</v>
      </c>
      <c r="M364" s="24">
        <f>KI!E401</f>
        <v>0</v>
      </c>
      <c r="N364" s="108">
        <f>IO!E401</f>
        <v>0</v>
      </c>
      <c r="O364" s="24">
        <f>'BoC Size'!E401</f>
        <v>0</v>
      </c>
      <c r="P364" s="24">
        <f>'TMT E DK'!E401</f>
        <v>0</v>
      </c>
      <c r="Q364" s="24">
        <f>Data!R401</f>
        <v>0</v>
      </c>
      <c r="R364" s="24">
        <f>Data!S401</f>
        <v>0</v>
      </c>
      <c r="S364" s="24">
        <f>'TMT E DK'!E401</f>
        <v>0</v>
      </c>
      <c r="T364" s="24">
        <f>'TMT E DD'!E401</f>
        <v>0</v>
      </c>
      <c r="U364" s="24">
        <f>TA!E401</f>
        <v>140505220000</v>
      </c>
      <c r="V364" s="109">
        <f>PR!F401</f>
        <v>0</v>
      </c>
      <c r="W364" s="109">
        <f>'Z Score'!I401</f>
        <v>0.18512379255375716</v>
      </c>
      <c r="X364" s="109">
        <f>'Z Score'!L401</f>
        <v>-1.883481453571618</v>
      </c>
      <c r="Y364" s="109">
        <f>'Z Score'!O401</f>
        <v>-1.0216612763568498</v>
      </c>
      <c r="Z364" s="109">
        <f>'Z Score'!R401</f>
        <v>4.7108931014769828</v>
      </c>
      <c r="AA364" s="109">
        <f>'Z Score'!S401</f>
        <v>1.990874164102272</v>
      </c>
    </row>
    <row r="365" spans="1:27" ht="15" customHeight="1" x14ac:dyDescent="0.3">
      <c r="A365" s="22"/>
      <c r="B365" s="23"/>
      <c r="C365" s="3"/>
      <c r="D365" s="23">
        <v>2018</v>
      </c>
      <c r="E365" s="25">
        <f>'Current Ratio'!G402</f>
        <v>0.90910034276671436</v>
      </c>
      <c r="F365" s="25">
        <f>'Cash Ratio'!G402</f>
        <v>8.8154064504134058E-2</v>
      </c>
      <c r="G365" s="25">
        <f>DAR!G402</f>
        <v>0.21978322556571039</v>
      </c>
      <c r="H365" s="25">
        <f>DER!G402</f>
        <v>0.28169507855694109</v>
      </c>
      <c r="I365" s="25">
        <f>NPM!G402</f>
        <v>-0.54843277460144757</v>
      </c>
      <c r="J365" s="25">
        <f>ROA!G402</f>
        <v>-0.15889493631406881</v>
      </c>
      <c r="K365" s="25">
        <f>ROE!G402</f>
        <v>-0.20365485788136059</v>
      </c>
      <c r="L365" s="25">
        <f>KM!E402</f>
        <v>0.84</v>
      </c>
      <c r="M365" s="24">
        <f>KI!E402</f>
        <v>2</v>
      </c>
      <c r="N365" s="108">
        <f>IO!E402</f>
        <v>0</v>
      </c>
      <c r="O365" s="24">
        <f>'BoC Size'!E402</f>
        <v>4</v>
      </c>
      <c r="P365" s="24">
        <f>'TMT E DK'!E402</f>
        <v>0</v>
      </c>
      <c r="Q365" s="24">
        <f>Data!R402</f>
        <v>4</v>
      </c>
      <c r="R365" s="24">
        <f>Data!S402</f>
        <v>3</v>
      </c>
      <c r="S365" s="24">
        <f>'TMT E DK'!E402</f>
        <v>0</v>
      </c>
      <c r="T365" s="24">
        <f>'TMT E DD'!E402</f>
        <v>0</v>
      </c>
      <c r="U365" s="24">
        <f>TA!E402</f>
        <v>143642400000</v>
      </c>
      <c r="V365" s="109">
        <f>PR!F402</f>
        <v>5.1949020352275319E-2</v>
      </c>
      <c r="W365" s="109">
        <f>'Z Score'!I402</f>
        <v>-3.8404404270605333E-2</v>
      </c>
      <c r="X365" s="109">
        <f>'Z Score'!L402</f>
        <v>-2.4911723488329351</v>
      </c>
      <c r="Y365" s="109">
        <f>'Z Score'!O402</f>
        <v>-1.3374578870862641</v>
      </c>
      <c r="Z365" s="109">
        <f>'Z Score'!R402</f>
        <v>3.7274346622557548</v>
      </c>
      <c r="AA365" s="109">
        <f>'Z Score'!S402</f>
        <v>-0.13959997793404977</v>
      </c>
    </row>
    <row r="366" spans="1:27" ht="15" customHeight="1" x14ac:dyDescent="0.3">
      <c r="A366" s="22"/>
      <c r="B366" s="23"/>
      <c r="C366" s="3"/>
      <c r="D366" s="23">
        <v>2019</v>
      </c>
      <c r="E366" s="25">
        <f>'Current Ratio'!G403</f>
        <v>0.76598305017103374</v>
      </c>
      <c r="F366" s="25">
        <f>'Cash Ratio'!G403</f>
        <v>0.11186900646187709</v>
      </c>
      <c r="G366" s="25">
        <f>DAR!G403</f>
        <v>0.24932694257684987</v>
      </c>
      <c r="H366" s="25">
        <f>DER!G403</f>
        <v>0.3321378596332194</v>
      </c>
      <c r="I366" s="25">
        <f>NPM!G403</f>
        <v>-0.67972854680637318</v>
      </c>
      <c r="J366" s="25">
        <f>ROA!G403</f>
        <v>-0.21428715559980985</v>
      </c>
      <c r="K366" s="25">
        <f>ROE!G403</f>
        <v>-0.28546003280762133</v>
      </c>
      <c r="L366" s="25">
        <f>KM!E403</f>
        <v>0.85</v>
      </c>
      <c r="M366" s="24">
        <f>KI!E403</f>
        <v>2</v>
      </c>
      <c r="N366" s="108">
        <f>IO!E403</f>
        <v>0</v>
      </c>
      <c r="O366" s="24">
        <f>'BoC Size'!E403</f>
        <v>3</v>
      </c>
      <c r="P366" s="24">
        <f>'TMT E DK'!E403</f>
        <v>0</v>
      </c>
      <c r="Q366" s="24">
        <f>Data!R403</f>
        <v>3</v>
      </c>
      <c r="R366" s="24">
        <f>Data!S403</f>
        <v>3</v>
      </c>
      <c r="S366" s="24">
        <f>'TMT E DK'!E403</f>
        <v>0</v>
      </c>
      <c r="T366" s="24">
        <f>'TMT E DD'!E403</f>
        <v>0</v>
      </c>
      <c r="U366" s="24">
        <f>TA!E403</f>
        <v>157594280000</v>
      </c>
      <c r="V366" s="109">
        <f>PR!F403</f>
        <v>0.19380054141518605</v>
      </c>
      <c r="W366" s="109">
        <f>'Z Score'!I403</f>
        <v>-0.1440097140581498</v>
      </c>
      <c r="X366" s="109">
        <f>'Z Score'!L403</f>
        <v>-2.998770814524486</v>
      </c>
      <c r="Y366" s="109">
        <f>'Z Score'!O403</f>
        <v>-1.5009570956509335</v>
      </c>
      <c r="Z366" s="109">
        <f>'Z Score'!R403</f>
        <v>3.1613378889100976</v>
      </c>
      <c r="AA366" s="109">
        <f>'Z Score'!S403</f>
        <v>-1.4823997353234719</v>
      </c>
    </row>
    <row r="367" spans="1:27" ht="15" customHeight="1" x14ac:dyDescent="0.3">
      <c r="A367" s="22"/>
      <c r="B367" s="23"/>
      <c r="C367" s="3"/>
      <c r="D367" s="23">
        <v>2020</v>
      </c>
      <c r="E367" s="25">
        <f>'Current Ratio'!G404</f>
        <v>0.69795396051704539</v>
      </c>
      <c r="F367" s="25">
        <f>'Cash Ratio'!G404</f>
        <v>4.2017920427699709E-2</v>
      </c>
      <c r="G367" s="25">
        <f>DAR!G404</f>
        <v>0.28321208405993159</v>
      </c>
      <c r="H367" s="25">
        <f>DER!G404</f>
        <v>0.39511280500383228</v>
      </c>
      <c r="I367" s="25">
        <f>NPM!G404</f>
        <v>-0.63070441108017194</v>
      </c>
      <c r="J367" s="25">
        <f>ROA!G404</f>
        <v>-0.18629765195412468</v>
      </c>
      <c r="K367" s="25">
        <f>ROE!G404</f>
        <v>-0.25990623978334654</v>
      </c>
      <c r="L367" s="25">
        <f>KM!E404</f>
        <v>0</v>
      </c>
      <c r="M367" s="24">
        <f>KI!E404</f>
        <v>0</v>
      </c>
      <c r="N367" s="108">
        <f>IO!E404</f>
        <v>0</v>
      </c>
      <c r="O367" s="24">
        <f>'BoC Size'!E404</f>
        <v>0</v>
      </c>
      <c r="P367" s="24">
        <f>'TMT E DK'!E404</f>
        <v>0</v>
      </c>
      <c r="Q367" s="24">
        <f>Data!R404</f>
        <v>0</v>
      </c>
      <c r="R367" s="24">
        <f>Data!S404</f>
        <v>0</v>
      </c>
      <c r="S367" s="24">
        <f>'TMT E DK'!E404</f>
        <v>0</v>
      </c>
      <c r="T367" s="24">
        <f>'TMT E DD'!E404</f>
        <v>0</v>
      </c>
      <c r="U367" s="24">
        <f>TA!E404</f>
        <v>169752220000</v>
      </c>
      <c r="V367" s="109">
        <f>PR!F404</f>
        <v>9.2433451558031916E-3</v>
      </c>
      <c r="W367" s="109">
        <f>'Z Score'!I404</f>
        <v>-0.18671544678473137</v>
      </c>
      <c r="X367" s="109">
        <f>'Z Score'!L404</f>
        <v>-3.3610093228824933</v>
      </c>
      <c r="Y367" s="109">
        <f>'Z Score'!O404</f>
        <v>-1.1894307785783302</v>
      </c>
      <c r="Z367" s="109">
        <f>'Z Score'!R404</f>
        <v>2.6574689220457328</v>
      </c>
      <c r="AA367" s="109">
        <f>'Z Score'!S404</f>
        <v>-2.0796866261998224</v>
      </c>
    </row>
    <row r="368" spans="1:27" ht="15" customHeight="1" x14ac:dyDescent="0.3">
      <c r="A368" s="22"/>
      <c r="B368" s="23"/>
      <c r="C368" s="3"/>
      <c r="D368" s="23">
        <v>2021</v>
      </c>
      <c r="E368" s="25">
        <f>'Current Ratio'!G405</f>
        <v>0.64057352871519058</v>
      </c>
      <c r="F368" s="25">
        <f>'Cash Ratio'!G405</f>
        <v>3.8899103901752149E-2</v>
      </c>
      <c r="G368" s="25">
        <f>DAR!G405</f>
        <v>0.25670895956759193</v>
      </c>
      <c r="H368" s="25">
        <f>DER!G405</f>
        <v>0.34536802625557278</v>
      </c>
      <c r="I368" s="25">
        <f>NPM!G405</f>
        <v>-0.57472553881002575</v>
      </c>
      <c r="J368" s="25">
        <f>ROA!G405</f>
        <v>-0.14078984933073901</v>
      </c>
      <c r="K368" s="25">
        <f>ROE!G405</f>
        <v>-0.1894141617109158</v>
      </c>
      <c r="L368" s="25">
        <f>KM!E405</f>
        <v>0.67300000000000004</v>
      </c>
      <c r="M368" s="24">
        <f>KI!E405</f>
        <v>2</v>
      </c>
      <c r="N368" s="108">
        <f>IO!E405</f>
        <v>0</v>
      </c>
      <c r="O368" s="24">
        <f>'BoC Size'!E405</f>
        <v>3</v>
      </c>
      <c r="P368" s="24">
        <f>'TMT E DK'!E405</f>
        <v>0</v>
      </c>
      <c r="Q368" s="24">
        <f>Data!R405</f>
        <v>3</v>
      </c>
      <c r="R368" s="24">
        <f>Data!S405</f>
        <v>3</v>
      </c>
      <c r="S368" s="24">
        <f>'TMT E DK'!E405</f>
        <v>0</v>
      </c>
      <c r="T368" s="24">
        <f>'TMT E DD'!E405</f>
        <v>0</v>
      </c>
      <c r="U368" s="24">
        <f>TA!E405</f>
        <v>171563860000</v>
      </c>
      <c r="V368" s="109">
        <f>PR!F405</f>
        <v>-0.16181539189325561</v>
      </c>
      <c r="W368" s="109">
        <f>'Z Score'!I405</f>
        <v>-0.12766284927373397</v>
      </c>
      <c r="X368" s="109">
        <f>'Z Score'!L405</f>
        <v>-3.8070995278376225</v>
      </c>
      <c r="Y368" s="109">
        <f>'Z Score'!O405</f>
        <v>-0.99270725198185683</v>
      </c>
      <c r="Z368" s="109">
        <f>'Z Score'!R405</f>
        <v>3.0402351120453712</v>
      </c>
      <c r="AA368" s="109">
        <f>'Z Score'!S405</f>
        <v>-1.8872345170478422</v>
      </c>
    </row>
    <row r="369" spans="1:27" ht="15" customHeight="1" x14ac:dyDescent="0.3">
      <c r="A369" s="22"/>
      <c r="B369" s="23"/>
      <c r="C369" s="3"/>
      <c r="D369" s="23">
        <v>2022</v>
      </c>
      <c r="E369" s="25">
        <f>'Current Ratio'!G406</f>
        <v>0.63301037828924112</v>
      </c>
      <c r="F369" s="25">
        <f>'Cash Ratio'!G406</f>
        <v>8.5468328324212486E-2</v>
      </c>
      <c r="G369" s="25">
        <f>DAR!G406</f>
        <v>0.26748021657359583</v>
      </c>
      <c r="H369" s="25">
        <f>DER!G406</f>
        <v>0.36515084319285068</v>
      </c>
      <c r="I369" s="25">
        <f>NPM!G406</f>
        <v>-0.52681457971480794</v>
      </c>
      <c r="J369" s="25">
        <f>ROA!G406</f>
        <v>-0.13131136356659773</v>
      </c>
      <c r="K369" s="25">
        <f>ROE!G406</f>
        <v>-0.17925981869374386</v>
      </c>
      <c r="L369" s="25">
        <f>KM!E406</f>
        <v>0.61450000000000005</v>
      </c>
      <c r="M369" s="24">
        <f>KI!E406</f>
        <v>2</v>
      </c>
      <c r="N369" s="108">
        <f>IO!E406</f>
        <v>0</v>
      </c>
      <c r="O369" s="24">
        <f>'BoC Size'!E406</f>
        <v>3</v>
      </c>
      <c r="P369" s="24">
        <f>'TMT E DK'!E406</f>
        <v>0</v>
      </c>
      <c r="Q369" s="24">
        <f>Data!R406</f>
        <v>3</v>
      </c>
      <c r="R369" s="24">
        <f>Data!S406</f>
        <v>3</v>
      </c>
      <c r="S369" s="24">
        <f>'TMT E DK'!E406</f>
        <v>0</v>
      </c>
      <c r="T369" s="24">
        <f>'TMT E DD'!E406</f>
        <v>0</v>
      </c>
      <c r="U369" s="24">
        <f>TA!E406</f>
        <v>176564460000</v>
      </c>
      <c r="V369" s="109">
        <f>PR!F406</f>
        <v>4.7155454246950827E-2</v>
      </c>
      <c r="W369" s="109">
        <f>'Z Score'!I406</f>
        <v>-0.12534945707646938</v>
      </c>
      <c r="X369" s="109">
        <f>'Z Score'!L406</f>
        <v>-4.1467363749193922</v>
      </c>
      <c r="Y369" s="109">
        <f>'Z Score'!O406</f>
        <v>-0.9223716800085362</v>
      </c>
      <c r="Z369" s="109">
        <f>'Z Score'!R406</f>
        <v>2.8755239637922818</v>
      </c>
      <c r="AA369" s="109">
        <f>'Z Score'!S406</f>
        <v>-2.3189335482121161</v>
      </c>
    </row>
    <row r="370" spans="1:27" ht="15" customHeight="1" x14ac:dyDescent="0.3">
      <c r="A370" s="22"/>
      <c r="B370" s="23"/>
      <c r="C370" s="3"/>
      <c r="D370" s="23">
        <v>2023</v>
      </c>
      <c r="E370" s="25">
        <f>'Current Ratio'!G407</f>
        <v>0.99159946478875083</v>
      </c>
      <c r="F370" s="25">
        <f>'Cash Ratio'!G407</f>
        <v>5.9917568027355823E-2</v>
      </c>
      <c r="G370" s="25">
        <f>DAR!G407</f>
        <v>0.34149184657241632</v>
      </c>
      <c r="H370" s="25">
        <f>DER!G407</f>
        <v>0.51858408251276156</v>
      </c>
      <c r="I370" s="25">
        <f>NPM!G407</f>
        <v>-0.84631222517709703</v>
      </c>
      <c r="J370" s="25">
        <f>ROA!G407</f>
        <v>-0.19310623500065027</v>
      </c>
      <c r="K370" s="25">
        <f>ROE!G407</f>
        <v>-0.29324805470595622</v>
      </c>
      <c r="L370" s="25">
        <f>KM!E407</f>
        <v>0.57299999999999995</v>
      </c>
      <c r="M370" s="24">
        <f>KI!E407</f>
        <v>2</v>
      </c>
      <c r="N370" s="108">
        <f>IO!E407</f>
        <v>0</v>
      </c>
      <c r="O370" s="24">
        <f>'BoC Size'!E407</f>
        <v>3</v>
      </c>
      <c r="P370" s="24">
        <f>'TMT E DK'!E407</f>
        <v>0</v>
      </c>
      <c r="Q370" s="24">
        <f>Data!R407</f>
        <v>3</v>
      </c>
      <c r="R370" s="24">
        <f>Data!S407</f>
        <v>4</v>
      </c>
      <c r="S370" s="24">
        <f>'TMT E DK'!E407</f>
        <v>0</v>
      </c>
      <c r="T370" s="24">
        <f>'TMT E DD'!E407</f>
        <v>0</v>
      </c>
      <c r="U370" s="24">
        <f>TA!E407</f>
        <v>181228690000</v>
      </c>
      <c r="V370" s="109">
        <f>PR!F407</f>
        <v>-6.0396085948442202E-2</v>
      </c>
      <c r="W370" s="109">
        <f>'Z Score'!I407</f>
        <v>-4.6383296154709278E-3</v>
      </c>
      <c r="X370" s="109">
        <f>'Z Score'!L407</f>
        <v>-4.6175059754611691</v>
      </c>
      <c r="Y370" s="109">
        <f>'Z Score'!O407</f>
        <v>-1.1904149083679851</v>
      </c>
      <c r="Z370" s="109">
        <f>'Z Score'!R407</f>
        <v>2.0247439815589812</v>
      </c>
      <c r="AA370" s="109">
        <f>'Z Score'!S407</f>
        <v>-3.7878152318856437</v>
      </c>
    </row>
    <row r="371" spans="1:27" ht="15" customHeight="1" x14ac:dyDescent="0.3">
      <c r="A371" s="22"/>
      <c r="B371" s="23"/>
      <c r="C371" s="3"/>
      <c r="D371" s="23">
        <v>2024</v>
      </c>
      <c r="E371" s="25">
        <f>'Current Ratio'!G408</f>
        <v>1.8296231266068852</v>
      </c>
      <c r="F371" s="25">
        <f>'Cash Ratio'!G408</f>
        <v>0.19389226813820781</v>
      </c>
      <c r="G371" s="25">
        <f>DAR!G408</f>
        <v>0.40768086688622118</v>
      </c>
      <c r="H371" s="25">
        <f>DER!G408</f>
        <v>0.68827346692537217</v>
      </c>
      <c r="I371" s="25">
        <f>NPM!G408</f>
        <v>-0.90244562543056783</v>
      </c>
      <c r="J371" s="25">
        <f>ROA!G408</f>
        <v>-0.17711965077310876</v>
      </c>
      <c r="K371" s="25">
        <f>ROE!G408</f>
        <v>-0.29902496290619751</v>
      </c>
      <c r="L371" s="25">
        <f>KM!E408</f>
        <v>0.4874</v>
      </c>
      <c r="M371" s="24">
        <f>KI!E408</f>
        <v>2</v>
      </c>
      <c r="N371" s="108">
        <f>IO!E408</f>
        <v>0</v>
      </c>
      <c r="O371" s="24">
        <f>'BoC Size'!E408</f>
        <v>3</v>
      </c>
      <c r="P371" s="24">
        <f>'TMT E DK'!E408</f>
        <v>0</v>
      </c>
      <c r="Q371" s="24">
        <f>Data!R408</f>
        <v>3</v>
      </c>
      <c r="R371" s="24">
        <f>Data!S408</f>
        <v>4</v>
      </c>
      <c r="S371" s="24">
        <f>'TMT E DK'!E408</f>
        <v>0</v>
      </c>
      <c r="T371" s="24">
        <f>'TMT E DD'!E408</f>
        <v>0</v>
      </c>
      <c r="U371" s="24">
        <f>TA!E408</f>
        <v>207086000000</v>
      </c>
      <c r="V371" s="109">
        <f>PR!F408</f>
        <v>-1.7112505601351143E-2</v>
      </c>
      <c r="W371" s="109">
        <f>'Z Score'!I408</f>
        <v>0.41909544826786932</v>
      </c>
      <c r="X371" s="109">
        <f>'Z Score'!L408</f>
        <v>-4.604388321760041</v>
      </c>
      <c r="Y371" s="109">
        <f>'Z Score'!O408</f>
        <v>-1.161428198912529</v>
      </c>
      <c r="Z371" s="109">
        <f>'Z Score'!R408</f>
        <v>1.5255564110156943</v>
      </c>
      <c r="AA371" s="109">
        <f>'Z Score'!S408</f>
        <v>-3.8211646613890062</v>
      </c>
    </row>
    <row r="372" spans="1:27" ht="15" customHeight="1" x14ac:dyDescent="0.3">
      <c r="A372" s="22"/>
      <c r="B372" s="23">
        <v>38</v>
      </c>
      <c r="C372" s="3" t="s">
        <v>32</v>
      </c>
      <c r="D372" s="23">
        <v>2015</v>
      </c>
      <c r="E372" s="25">
        <f>'Current Ratio'!G410</f>
        <v>0</v>
      </c>
      <c r="F372" s="25">
        <f>'Cash Ratio'!G410</f>
        <v>0</v>
      </c>
      <c r="G372" s="25">
        <f>DAR!G410</f>
        <v>0</v>
      </c>
      <c r="H372" s="25">
        <f>DER!G410</f>
        <v>0</v>
      </c>
      <c r="I372" s="25">
        <f>NPM!G410</f>
        <v>0</v>
      </c>
      <c r="J372" s="25">
        <f>ROA!G410</f>
        <v>0</v>
      </c>
      <c r="K372" s="25">
        <f>ROE!G410</f>
        <v>0</v>
      </c>
      <c r="L372" s="25">
        <f>KM!E410</f>
        <v>0</v>
      </c>
      <c r="M372" s="24">
        <f>KI!E410</f>
        <v>0</v>
      </c>
      <c r="N372" s="108">
        <f>IO!E410</f>
        <v>0</v>
      </c>
      <c r="O372" s="24">
        <f>'BoC Size'!E410</f>
        <v>0</v>
      </c>
      <c r="P372" s="24">
        <f>'TMT E DK'!E410</f>
        <v>0</v>
      </c>
      <c r="Q372" s="24">
        <f>Data!R410</f>
        <v>0</v>
      </c>
      <c r="R372" s="24">
        <f>Data!S410</f>
        <v>0</v>
      </c>
      <c r="S372" s="24">
        <f>'TMT E DK'!E410</f>
        <v>0</v>
      </c>
      <c r="T372" s="24">
        <f>'TMT E DD'!E410</f>
        <v>0</v>
      </c>
      <c r="U372" s="24">
        <f>TA!E410</f>
        <v>0</v>
      </c>
      <c r="V372" s="109">
        <f>PR!F410</f>
        <v>0</v>
      </c>
      <c r="W372" s="109">
        <f>'Z Score'!I410</f>
        <v>0</v>
      </c>
      <c r="X372" s="109">
        <f>'Z Score'!L410</f>
        <v>0</v>
      </c>
      <c r="Y372" s="109">
        <f>'Z Score'!O410</f>
        <v>0</v>
      </c>
      <c r="Z372" s="109">
        <f>'Z Score'!R410</f>
        <v>0</v>
      </c>
      <c r="AA372" s="109">
        <f>'Z Score'!S410</f>
        <v>0</v>
      </c>
    </row>
    <row r="373" spans="1:27" ht="15" customHeight="1" x14ac:dyDescent="0.3">
      <c r="A373" s="22"/>
      <c r="B373" s="23"/>
      <c r="C373" s="3"/>
      <c r="D373" s="23">
        <v>2016</v>
      </c>
      <c r="E373" s="25">
        <f>'Current Ratio'!G411</f>
        <v>0</v>
      </c>
      <c r="F373" s="25">
        <f>'Cash Ratio'!G411</f>
        <v>0</v>
      </c>
      <c r="G373" s="25">
        <f>DAR!G411</f>
        <v>0</v>
      </c>
      <c r="H373" s="25">
        <f>DER!G411</f>
        <v>0</v>
      </c>
      <c r="I373" s="25">
        <f>NPM!G411</f>
        <v>0</v>
      </c>
      <c r="J373" s="25">
        <f>ROA!G411</f>
        <v>0</v>
      </c>
      <c r="K373" s="25">
        <f>ROE!G411</f>
        <v>0</v>
      </c>
      <c r="L373" s="25">
        <f>KM!E411</f>
        <v>0</v>
      </c>
      <c r="M373" s="24">
        <f>KI!E411</f>
        <v>0</v>
      </c>
      <c r="N373" s="108">
        <f>IO!E411</f>
        <v>0</v>
      </c>
      <c r="O373" s="24">
        <f>'BoC Size'!E411</f>
        <v>0</v>
      </c>
      <c r="P373" s="24">
        <f>'TMT E DK'!E411</f>
        <v>0</v>
      </c>
      <c r="Q373" s="24">
        <f>Data!R411</f>
        <v>0</v>
      </c>
      <c r="R373" s="24">
        <f>Data!S411</f>
        <v>0</v>
      </c>
      <c r="S373" s="24">
        <f>'TMT E DK'!E411</f>
        <v>0</v>
      </c>
      <c r="T373" s="24">
        <f>'TMT E DD'!E411</f>
        <v>0</v>
      </c>
      <c r="U373" s="24">
        <f>TA!E411</f>
        <v>0</v>
      </c>
      <c r="V373" s="109">
        <f>PR!F411</f>
        <v>0</v>
      </c>
      <c r="W373" s="109">
        <f>'Z Score'!I411</f>
        <v>0</v>
      </c>
      <c r="X373" s="109">
        <f>'Z Score'!L411</f>
        <v>0</v>
      </c>
      <c r="Y373" s="109">
        <f>'Z Score'!O411</f>
        <v>0</v>
      </c>
      <c r="Z373" s="109">
        <f>'Z Score'!R411</f>
        <v>0</v>
      </c>
      <c r="AA373" s="109">
        <f>'Z Score'!S411</f>
        <v>0</v>
      </c>
    </row>
    <row r="374" spans="1:27" ht="15" customHeight="1" x14ac:dyDescent="0.3">
      <c r="A374" s="22"/>
      <c r="B374" s="23"/>
      <c r="C374" s="3"/>
      <c r="D374" s="23">
        <v>2017</v>
      </c>
      <c r="E374" s="25">
        <f>'Current Ratio'!G412</f>
        <v>4.6801801801801801</v>
      </c>
      <c r="F374" s="25">
        <f>'Cash Ratio'!G412</f>
        <v>1.7027027027027026</v>
      </c>
      <c r="G374" s="25">
        <f>DAR!G412</f>
        <v>4.1432984014706841E-3</v>
      </c>
      <c r="H374" s="25">
        <f>DER!G412</f>
        <v>4.1605367467226406E-3</v>
      </c>
      <c r="I374" s="25">
        <f>NPM!G412</f>
        <v>0.10818378515973018</v>
      </c>
      <c r="J374" s="25">
        <f>ROA!G412</f>
        <v>7.9319901829956792E-3</v>
      </c>
      <c r="K374" s="25">
        <f>ROE!G412</f>
        <v>7.9649915196266761E-3</v>
      </c>
      <c r="L374" s="25">
        <f>KM!E412</f>
        <v>0</v>
      </c>
      <c r="M374" s="24">
        <f>KI!E412</f>
        <v>0</v>
      </c>
      <c r="N374" s="108">
        <f>IO!E412</f>
        <v>0</v>
      </c>
      <c r="O374" s="24">
        <f>'BoC Size'!E412</f>
        <v>0</v>
      </c>
      <c r="P374" s="24">
        <f>'TMT E DK'!E412</f>
        <v>0</v>
      </c>
      <c r="Q374" s="24">
        <f>Data!R412</f>
        <v>0</v>
      </c>
      <c r="R374" s="24">
        <f>Data!S412</f>
        <v>0</v>
      </c>
      <c r="S374" s="24">
        <f>'TMT E DK'!E412</f>
        <v>0</v>
      </c>
      <c r="T374" s="24">
        <f>'TMT E DD'!E412</f>
        <v>0</v>
      </c>
      <c r="U374" s="24">
        <f>TA!E412</f>
        <v>107161000000</v>
      </c>
      <c r="V374" s="109">
        <f>PR!F412</f>
        <v>0</v>
      </c>
      <c r="W374" s="109">
        <f>'Z Score'!I412</f>
        <v>0.10002743535427999</v>
      </c>
      <c r="X374" s="109">
        <f>'Z Score'!L412</f>
        <v>4.2377170799078018E-2</v>
      </c>
      <c r="Y374" s="109">
        <f>'Z Score'!O412</f>
        <v>0.15043980552626421</v>
      </c>
      <c r="Z374" s="109">
        <f>'Z Score'!R412</f>
        <v>252.37128378378378</v>
      </c>
      <c r="AA374" s="109">
        <f>'Z Score'!S412</f>
        <v>252.66412819546341</v>
      </c>
    </row>
    <row r="375" spans="1:27" ht="15" customHeight="1" x14ac:dyDescent="0.3">
      <c r="A375" s="22"/>
      <c r="B375" s="23"/>
      <c r="C375" s="3"/>
      <c r="D375" s="23">
        <v>2018</v>
      </c>
      <c r="E375" s="25">
        <f>'Current Ratio'!G413</f>
        <v>0.64102564102564108</v>
      </c>
      <c r="F375" s="25">
        <f>'Cash Ratio'!G413</f>
        <v>0.37149270482603813</v>
      </c>
      <c r="G375" s="25">
        <f>DAR!G413</f>
        <v>3.02845698508649E-2</v>
      </c>
      <c r="H375" s="25">
        <f>DER!G413</f>
        <v>3.1230368115527825E-2</v>
      </c>
      <c r="I375" s="25">
        <f>NPM!G413</f>
        <v>-0.73612999728039163</v>
      </c>
      <c r="J375" s="25">
        <f>ROA!G413</f>
        <v>-2.830795456922337E-2</v>
      </c>
      <c r="K375" s="25">
        <f>ROE!G413</f>
        <v>-2.9192022411017853E-2</v>
      </c>
      <c r="L375" s="25">
        <f>KM!E413</f>
        <v>0.8</v>
      </c>
      <c r="M375" s="24">
        <f>KI!E413</f>
        <v>2</v>
      </c>
      <c r="N375" s="108">
        <f>IO!E413</f>
        <v>0</v>
      </c>
      <c r="O375" s="24">
        <f>'BoC Size'!E413</f>
        <v>4</v>
      </c>
      <c r="P375" s="24">
        <f>'TMT E DK'!E413</f>
        <v>0</v>
      </c>
      <c r="Q375" s="24">
        <f>Data!R413</f>
        <v>4</v>
      </c>
      <c r="R375" s="24">
        <f>Data!S413</f>
        <v>4</v>
      </c>
      <c r="S375" s="24">
        <f>'TMT E DK'!E413</f>
        <v>0</v>
      </c>
      <c r="T375" s="24">
        <f>'TMT E DD'!E413</f>
        <v>0</v>
      </c>
      <c r="U375" s="24">
        <f>TA!E413</f>
        <v>382472000000</v>
      </c>
      <c r="V375" s="109">
        <f>PR!F413</f>
        <v>0.87196130838742525</v>
      </c>
      <c r="W375" s="109">
        <f>'Z Score'!I413</f>
        <v>-7.1316279361626461E-2</v>
      </c>
      <c r="X375" s="109">
        <f>'Z Score'!L413</f>
        <v>-8.0419220230500521E-2</v>
      </c>
      <c r="Y375" s="109">
        <f>'Z Score'!O413</f>
        <v>-0.15566943462527977</v>
      </c>
      <c r="Z375" s="109">
        <f>'Z Score'!R413</f>
        <v>33.621121471121477</v>
      </c>
      <c r="AA375" s="109">
        <f>'Z Score'!S413</f>
        <v>33.313716536904067</v>
      </c>
    </row>
    <row r="376" spans="1:27" ht="15" customHeight="1" x14ac:dyDescent="0.3">
      <c r="A376" s="22"/>
      <c r="B376" s="23"/>
      <c r="C376" s="3"/>
      <c r="D376" s="23">
        <v>2019</v>
      </c>
      <c r="E376" s="25">
        <f>'Current Ratio'!G414</f>
        <v>0.926563721130784</v>
      </c>
      <c r="F376" s="25">
        <f>'Cash Ratio'!G414</f>
        <v>6.7453580187026713E-2</v>
      </c>
      <c r="G376" s="25">
        <f>DAR!G414</f>
        <v>0.12588945599723525</v>
      </c>
      <c r="H376" s="25">
        <f>DER!G414</f>
        <v>0.1440200634358634</v>
      </c>
      <c r="I376" s="25">
        <f>NPM!G414</f>
        <v>-1.1605547890494516</v>
      </c>
      <c r="J376" s="25">
        <f>ROA!G414</f>
        <v>-8.2437322205515598E-2</v>
      </c>
      <c r="K376" s="25">
        <f>ROE!G414</f>
        <v>-9.4309950579036655E-2</v>
      </c>
      <c r="L376" s="25">
        <f>KM!E414</f>
        <v>0.8</v>
      </c>
      <c r="M376" s="24">
        <f>KI!E414</f>
        <v>2</v>
      </c>
      <c r="N376" s="108">
        <f>IO!E414</f>
        <v>0</v>
      </c>
      <c r="O376" s="24">
        <f>'BoC Size'!E414</f>
        <v>3</v>
      </c>
      <c r="P376" s="24">
        <f>'TMT E DK'!E414</f>
        <v>0</v>
      </c>
      <c r="Q376" s="24">
        <f>Data!R414</f>
        <v>3</v>
      </c>
      <c r="R376" s="24">
        <f>Data!S414</f>
        <v>4</v>
      </c>
      <c r="S376" s="24">
        <f>'TMT E DK'!E414</f>
        <v>0</v>
      </c>
      <c r="T376" s="24">
        <f>'TMT E DD'!E414</f>
        <v>0</v>
      </c>
      <c r="U376" s="24">
        <f>TA!E414</f>
        <v>387737000000</v>
      </c>
      <c r="V376" s="109">
        <f>PR!F414</f>
        <v>0.87258634756595055</v>
      </c>
      <c r="W376" s="109">
        <f>'Z Score'!I414</f>
        <v>-4.6103415459448023E-2</v>
      </c>
      <c r="X376" s="109">
        <f>'Z Score'!L414</f>
        <v>-0.34807289477145587</v>
      </c>
      <c r="Y376" s="109">
        <f>'Z Score'!O414</f>
        <v>-0.48928093011500062</v>
      </c>
      <c r="Z376" s="109">
        <f>'Z Score'!R414</f>
        <v>7.2906508645415062</v>
      </c>
      <c r="AA376" s="109">
        <f>'Z Score'!S414</f>
        <v>6.4071936241956013</v>
      </c>
    </row>
    <row r="377" spans="1:27" ht="15" customHeight="1" x14ac:dyDescent="0.3">
      <c r="A377" s="22"/>
      <c r="B377" s="23"/>
      <c r="C377" s="3"/>
      <c r="D377" s="23">
        <v>2020</v>
      </c>
      <c r="E377" s="25">
        <f>'Current Ratio'!G415</f>
        <v>0.74791470268851212</v>
      </c>
      <c r="F377" s="25">
        <f>'Cash Ratio'!G415</f>
        <v>9.5846111621579688E-2</v>
      </c>
      <c r="G377" s="25">
        <f>DAR!G415</f>
        <v>0.30902954675399508</v>
      </c>
      <c r="H377" s="25">
        <f>DER!G415</f>
        <v>0.44723988602154002</v>
      </c>
      <c r="I377" s="25">
        <f>NPM!G415</f>
        <v>-0.80971428571428572</v>
      </c>
      <c r="J377" s="25">
        <f>ROA!G415</f>
        <v>-6.3049093307763676E-2</v>
      </c>
      <c r="K377" s="25">
        <f>ROE!G415</f>
        <v>-9.124716261248933E-2</v>
      </c>
      <c r="L377" s="25">
        <f>KM!E415</f>
        <v>0.8</v>
      </c>
      <c r="M377" s="24">
        <f>KI!E415</f>
        <v>2</v>
      </c>
      <c r="N377" s="108">
        <f>IO!E415</f>
        <v>0</v>
      </c>
      <c r="O377" s="24">
        <f>'BoC Size'!E415</f>
        <v>3</v>
      </c>
      <c r="P377" s="24">
        <f>'TMT E DK'!E415</f>
        <v>0</v>
      </c>
      <c r="Q377" s="24">
        <f>Data!R415</f>
        <v>3</v>
      </c>
      <c r="R377" s="24">
        <f>Data!S415</f>
        <v>4</v>
      </c>
      <c r="S377" s="24">
        <f>'TMT E DK'!E415</f>
        <v>0</v>
      </c>
      <c r="T377" s="24">
        <f>'TMT E DD'!E415</f>
        <v>0</v>
      </c>
      <c r="U377" s="24">
        <f>TA!E415</f>
        <v>449491000000</v>
      </c>
      <c r="V377" s="109">
        <f>PR!F415</f>
        <v>0.27078643526250817</v>
      </c>
      <c r="W377" s="109">
        <f>'Z Score'!I415</f>
        <v>-0.30830428195447734</v>
      </c>
      <c r="X377" s="109">
        <f>'Z Score'!L415</f>
        <v>-0.5057924185356325</v>
      </c>
      <c r="Y377" s="109">
        <f>'Z Score'!O415</f>
        <v>-0.3835485026396524</v>
      </c>
      <c r="Z377" s="109">
        <f>'Z Score'!R415</f>
        <v>2.3477333592501406</v>
      </c>
      <c r="AA377" s="109">
        <f>'Z Score'!S415</f>
        <v>1.1500881561203784</v>
      </c>
    </row>
    <row r="378" spans="1:27" ht="15" customHeight="1" x14ac:dyDescent="0.3">
      <c r="A378" s="22"/>
      <c r="B378" s="23"/>
      <c r="C378" s="3"/>
      <c r="D378" s="23">
        <v>2021</v>
      </c>
      <c r="E378" s="25">
        <f>'Current Ratio'!G416</f>
        <v>2.8422383350398062</v>
      </c>
      <c r="F378" s="25">
        <f>'Cash Ratio'!G416</f>
        <v>0.7929038594145057</v>
      </c>
      <c r="G378" s="25">
        <f>DAR!G416</f>
        <v>0.38689364464788933</v>
      </c>
      <c r="H378" s="25">
        <f>DER!G416</f>
        <v>0.6310383855435554</v>
      </c>
      <c r="I378" s="25">
        <f>NPM!G416</f>
        <v>-0.96928147123443731</v>
      </c>
      <c r="J378" s="25">
        <f>ROA!G416</f>
        <v>-5.6038031435681993E-2</v>
      </c>
      <c r="K378" s="25">
        <f>ROE!G416</f>
        <v>-9.1400180321893759E-2</v>
      </c>
      <c r="L378" s="25">
        <f>KM!E416</f>
        <v>0.8</v>
      </c>
      <c r="M378" s="24">
        <f>KI!E416</f>
        <v>2</v>
      </c>
      <c r="N378" s="108">
        <f>IO!E416</f>
        <v>0</v>
      </c>
      <c r="O378" s="24">
        <f>'BoC Size'!E416</f>
        <v>4</v>
      </c>
      <c r="P378" s="24">
        <f>'TMT E DK'!E416</f>
        <v>0</v>
      </c>
      <c r="Q378" s="24">
        <f>Data!R416</f>
        <v>4</v>
      </c>
      <c r="R378" s="24">
        <f>Data!S416</f>
        <v>4</v>
      </c>
      <c r="S378" s="24">
        <f>'TMT E DK'!E416</f>
        <v>0</v>
      </c>
      <c r="T378" s="24">
        <f>'TMT E DD'!E416</f>
        <v>0</v>
      </c>
      <c r="U378" s="24">
        <f>TA!E416</f>
        <v>425122000000</v>
      </c>
      <c r="V378" s="109">
        <f>PR!F416</f>
        <v>-0.29777142857142858</v>
      </c>
      <c r="W378" s="109">
        <f>'Z Score'!I416</f>
        <v>1.3604467423469027</v>
      </c>
      <c r="X378" s="109">
        <f>'Z Score'!L416</f>
        <v>-0.91774488264545229</v>
      </c>
      <c r="Y378" s="109">
        <f>'Z Score'!O416</f>
        <v>-0.34210000893861053</v>
      </c>
      <c r="Z378" s="109">
        <f>'Z Score'!R416</f>
        <v>1.6639241352894325</v>
      </c>
      <c r="AA378" s="109">
        <f>'Z Score'!S416</f>
        <v>1.7645259860522724</v>
      </c>
    </row>
    <row r="379" spans="1:27" ht="15" customHeight="1" x14ac:dyDescent="0.3">
      <c r="A379" s="22"/>
      <c r="B379" s="23"/>
      <c r="C379" s="3"/>
      <c r="D379" s="23">
        <v>2022</v>
      </c>
      <c r="E379" s="25">
        <f>'Current Ratio'!G417</f>
        <v>8.4626577077391598</v>
      </c>
      <c r="F379" s="25">
        <f>'Cash Ratio'!G417</f>
        <v>2.2736984579687727</v>
      </c>
      <c r="G379" s="25">
        <f>DAR!G417</f>
        <v>0.42833621742671008</v>
      </c>
      <c r="H379" s="25">
        <f>DER!G417</f>
        <v>0.74927996225088034</v>
      </c>
      <c r="I379" s="25">
        <f>NPM!G417</f>
        <v>-1.3393846955098396</v>
      </c>
      <c r="J379" s="25">
        <f>ROA!G417</f>
        <v>-9.1622557003257332E-2</v>
      </c>
      <c r="K379" s="25">
        <f>ROE!G417</f>
        <v>-0.16027350305598712</v>
      </c>
      <c r="L379" s="25">
        <f>KM!E417</f>
        <v>0.8</v>
      </c>
      <c r="M379" s="24">
        <f>KI!E417</f>
        <v>2</v>
      </c>
      <c r="N379" s="108">
        <f>IO!E417</f>
        <v>0</v>
      </c>
      <c r="O379" s="24">
        <f>'BoC Size'!E417</f>
        <v>4</v>
      </c>
      <c r="P379" s="24">
        <f>'TMT E DK'!E417</f>
        <v>0</v>
      </c>
      <c r="Q379" s="24">
        <f>Data!R417</f>
        <v>4</v>
      </c>
      <c r="R379" s="24">
        <f>Data!S417</f>
        <v>5</v>
      </c>
      <c r="S379" s="24">
        <f>'TMT E DK'!E417</f>
        <v>0</v>
      </c>
      <c r="T379" s="24">
        <f>'TMT E DD'!E417</f>
        <v>0</v>
      </c>
      <c r="U379" s="24">
        <f>TA!E417</f>
        <v>392960000000</v>
      </c>
      <c r="V379" s="109">
        <f>PR!F417</f>
        <v>9.3701684433232971E-2</v>
      </c>
      <c r="W379" s="109">
        <f>'Z Score'!I417</f>
        <v>2.5771905537459281</v>
      </c>
      <c r="X379" s="109">
        <f>'Z Score'!L417</f>
        <v>-1.2915476893322475</v>
      </c>
      <c r="Y379" s="109">
        <f>'Z Score'!O417</f>
        <v>-0.60833306188925085</v>
      </c>
      <c r="Z379" s="109">
        <f>'Z Score'!R417</f>
        <v>1.4013453620803356</v>
      </c>
      <c r="AA379" s="109">
        <f>'Z Score'!S417</f>
        <v>2.0786551646047653</v>
      </c>
    </row>
    <row r="380" spans="1:27" ht="15" customHeight="1" x14ac:dyDescent="0.3">
      <c r="A380" s="22"/>
      <c r="B380" s="23"/>
      <c r="C380" s="3"/>
      <c r="D380" s="23">
        <v>2023</v>
      </c>
      <c r="E380" s="25">
        <f>'Current Ratio'!G418</f>
        <v>12.899992277395938</v>
      </c>
      <c r="F380" s="25">
        <f>'Cash Ratio'!G418</f>
        <v>3.1741447216001237</v>
      </c>
      <c r="G380" s="25">
        <f>DAR!G418</f>
        <v>0.53241305108282011</v>
      </c>
      <c r="H380" s="25">
        <f>DER!G418</f>
        <v>1.138639674002369</v>
      </c>
      <c r="I380" s="25">
        <f>NPM!G418</f>
        <v>-0.87400546666898793</v>
      </c>
      <c r="J380" s="25">
        <f>ROA!G418</f>
        <v>-0.13303899848415787</v>
      </c>
      <c r="K380" s="25">
        <f>ROE!G418</f>
        <v>-0.28452248034776101</v>
      </c>
      <c r="L380" s="25">
        <f>KM!E418</f>
        <v>0.8</v>
      </c>
      <c r="M380" s="24">
        <f>KI!E418</f>
        <v>2</v>
      </c>
      <c r="N380" s="108">
        <f>IO!E418</f>
        <v>0</v>
      </c>
      <c r="O380" s="24">
        <f>'BoC Size'!E418</f>
        <v>3</v>
      </c>
      <c r="P380" s="24">
        <f>'TMT E DK'!E418</f>
        <v>0</v>
      </c>
      <c r="Q380" s="24">
        <f>Data!R418</f>
        <v>3</v>
      </c>
      <c r="R380" s="24">
        <f>Data!S418</f>
        <v>4</v>
      </c>
      <c r="S380" s="24">
        <f>'TMT E DK'!E418</f>
        <v>0</v>
      </c>
      <c r="T380" s="24">
        <f>'TMT E DD'!E418</f>
        <v>0</v>
      </c>
      <c r="U380" s="24">
        <f>TA!E418</f>
        <v>377348000000</v>
      </c>
      <c r="V380" s="109">
        <f>PR!F418</f>
        <v>1.1367880659201666</v>
      </c>
      <c r="W380" s="109">
        <f>'Z Score'!I418</f>
        <v>2.6788271833956983</v>
      </c>
      <c r="X380" s="109">
        <f>'Z Score'!L418</f>
        <v>-1.7613769252785225</v>
      </c>
      <c r="Y380" s="109">
        <f>'Z Score'!O418</f>
        <v>-0.87183268494864163</v>
      </c>
      <c r="Z380" s="109">
        <f>'Z Score'!R418</f>
        <v>0.92215300764042707</v>
      </c>
      <c r="AA380" s="109">
        <f>'Z Score'!S418</f>
        <v>0.96777058080896117</v>
      </c>
    </row>
    <row r="381" spans="1:27" ht="15" customHeight="1" x14ac:dyDescent="0.3">
      <c r="A381" s="22"/>
      <c r="B381" s="23"/>
      <c r="C381" s="3"/>
      <c r="D381" s="23">
        <v>2024</v>
      </c>
      <c r="E381" s="25">
        <f>'Current Ratio'!G419</f>
        <v>6.2974802063142681</v>
      </c>
      <c r="F381" s="25">
        <f>'Cash Ratio'!G419</f>
        <v>1.9366273530667892</v>
      </c>
      <c r="G381" s="25">
        <f>DAR!G419</f>
        <v>0.66499616939212214</v>
      </c>
      <c r="H381" s="25">
        <f>DER!G419</f>
        <v>1.985040493971248</v>
      </c>
      <c r="I381" s="25">
        <f>NPM!G419</f>
        <v>-1.1562995061038115</v>
      </c>
      <c r="J381" s="25">
        <f>ROA!G419</f>
        <v>-0.13112038675930573</v>
      </c>
      <c r="K381" s="25">
        <f>ROE!G419</f>
        <v>-0.39139966406169907</v>
      </c>
      <c r="L381" s="25">
        <f>KM!E419</f>
        <v>0.8</v>
      </c>
      <c r="M381" s="24">
        <f>KI!E419</f>
        <v>2</v>
      </c>
      <c r="N381" s="108">
        <f>IO!E419</f>
        <v>0</v>
      </c>
      <c r="O381" s="24">
        <f>'BoC Size'!E419</f>
        <v>4</v>
      </c>
      <c r="P381" s="24">
        <f>'TMT E DK'!E419</f>
        <v>0</v>
      </c>
      <c r="Q381" s="24">
        <f>Data!R419</f>
        <v>4</v>
      </c>
      <c r="R381" s="24">
        <f>Data!S419</f>
        <v>4</v>
      </c>
      <c r="S381" s="24">
        <f>'TMT E DK'!E419</f>
        <v>0</v>
      </c>
      <c r="T381" s="24">
        <f>'TMT E DD'!E419</f>
        <v>0</v>
      </c>
      <c r="U381" s="24">
        <f>TA!E419</f>
        <v>378530000000</v>
      </c>
      <c r="V381" s="109">
        <f>PR!F419</f>
        <v>-0.25270286738975262</v>
      </c>
      <c r="W381" s="109">
        <f>'Z Score'!I419</f>
        <v>2.7944944918500512</v>
      </c>
      <c r="X381" s="109">
        <f>'Z Score'!L419</f>
        <v>2.1833379124507966</v>
      </c>
      <c r="Y381" s="109">
        <f>'Z Score'!O419</f>
        <v>-0.84736300953689259</v>
      </c>
      <c r="Z381" s="109">
        <f>'Z Score'!R419</f>
        <v>0.52895646370386262</v>
      </c>
      <c r="AA381" s="109">
        <f>'Z Score'!S419</f>
        <v>4.6594258584678183</v>
      </c>
    </row>
    <row r="382" spans="1:27" ht="15" customHeight="1" x14ac:dyDescent="0.3">
      <c r="A382" s="22"/>
      <c r="B382" s="23">
        <v>39</v>
      </c>
      <c r="C382" s="3" t="s">
        <v>33</v>
      </c>
      <c r="D382" s="23">
        <v>2015</v>
      </c>
      <c r="E382" s="25">
        <f>'Current Ratio'!G421</f>
        <v>1.0704179974225361</v>
      </c>
      <c r="F382" s="25">
        <f>'Cash Ratio'!G421</f>
        <v>0.16620440410152967</v>
      </c>
      <c r="G382" s="25">
        <f>DAR!G421</f>
        <v>0.7508774322299655</v>
      </c>
      <c r="H382" s="25">
        <f>DER!G421</f>
        <v>3.029040996308785</v>
      </c>
      <c r="I382" s="25">
        <f>NPM!G421</f>
        <v>-4.7673013784003036E-2</v>
      </c>
      <c r="J382" s="25">
        <f>ROA!G421</f>
        <v>-3.3343946737352345E-2</v>
      </c>
      <c r="K382" s="25">
        <f>ROE!G421</f>
        <v>-0.13450954484838512</v>
      </c>
      <c r="L382" s="25">
        <f>KM!E421</f>
        <v>0.98219999999999996</v>
      </c>
      <c r="M382" s="24">
        <f>KI!E421</f>
        <v>2</v>
      </c>
      <c r="N382" s="108">
        <f>IO!E421</f>
        <v>0</v>
      </c>
      <c r="O382" s="24">
        <f>'BoC Size'!E421</f>
        <v>4</v>
      </c>
      <c r="P382" s="24">
        <f>'TMT E DK'!E421</f>
        <v>0</v>
      </c>
      <c r="Q382" s="24">
        <f>Data!R421</f>
        <v>4</v>
      </c>
      <c r="R382" s="24">
        <f>Data!S421</f>
        <v>3</v>
      </c>
      <c r="S382" s="24">
        <f>'TMT E DK'!E421</f>
        <v>0</v>
      </c>
      <c r="T382" s="24">
        <f>'TMT E DD'!E421</f>
        <v>0</v>
      </c>
      <c r="U382" s="24">
        <f>TA!E421</f>
        <v>1642577000000</v>
      </c>
      <c r="V382" s="109">
        <f>PR!F421</f>
        <v>8.1003670565564428E-2</v>
      </c>
      <c r="W382" s="109">
        <f>'Z Score'!I421</f>
        <v>4.0152906073809627E-2</v>
      </c>
      <c r="X382" s="109">
        <f>'Z Score'!L421</f>
        <v>-0.24519607908792099</v>
      </c>
      <c r="Y382" s="109">
        <f>'Z Score'!O421</f>
        <v>-0.17193393064678245</v>
      </c>
      <c r="Z382" s="109">
        <f>'Z Score'!R421</f>
        <v>0.34664436740193971</v>
      </c>
      <c r="AA382" s="109">
        <f>'Z Score'!S421</f>
        <v>-3.0332736258954052E-2</v>
      </c>
    </row>
    <row r="383" spans="1:27" ht="15" customHeight="1" x14ac:dyDescent="0.3">
      <c r="A383" s="22"/>
      <c r="B383" s="23"/>
      <c r="C383" s="3"/>
      <c r="D383" s="23">
        <v>2016</v>
      </c>
      <c r="E383" s="25">
        <f>'Current Ratio'!G422</f>
        <v>0.91590143902325849</v>
      </c>
      <c r="F383" s="25">
        <f>'Cash Ratio'!G422</f>
        <v>4.9172213600342352E-2</v>
      </c>
      <c r="G383" s="25">
        <f>DAR!G422</f>
        <v>0.80991653227058946</v>
      </c>
      <c r="H383" s="25">
        <f>DER!G422</f>
        <v>4.2605926048885756</v>
      </c>
      <c r="I383" s="25">
        <f>NPM!G422</f>
        <v>-1.6667372954814252E-2</v>
      </c>
      <c r="J383" s="25">
        <f>ROA!G422</f>
        <v>-1.0665567503151795E-2</v>
      </c>
      <c r="K383" s="25">
        <f>ROE!G422</f>
        <v>-5.6106569282483296E-2</v>
      </c>
      <c r="L383" s="25">
        <f>KM!E422</f>
        <v>0.98219999999999996</v>
      </c>
      <c r="M383" s="24">
        <f>KI!E422</f>
        <v>2</v>
      </c>
      <c r="N383" s="108">
        <f>IO!E422</f>
        <v>0</v>
      </c>
      <c r="O383" s="24">
        <f>'BoC Size'!E422</f>
        <v>4</v>
      </c>
      <c r="P383" s="24">
        <f>'TMT E DK'!E422</f>
        <v>0</v>
      </c>
      <c r="Q383" s="24">
        <f>Data!R422</f>
        <v>4</v>
      </c>
      <c r="R383" s="24">
        <f>Data!S422</f>
        <v>4</v>
      </c>
      <c r="S383" s="24">
        <f>'TMT E DK'!E422</f>
        <v>0</v>
      </c>
      <c r="T383" s="24">
        <f>'TMT E DD'!E422</f>
        <v>0</v>
      </c>
      <c r="U383" s="24">
        <f>TA!E422</f>
        <v>2028209000000</v>
      </c>
      <c r="V383" s="109">
        <f>PR!F422</f>
        <v>0.12969026903003653</v>
      </c>
      <c r="W383" s="109">
        <f>'Z Score'!I422</f>
        <v>-5.2755983234469415E-2</v>
      </c>
      <c r="X383" s="109">
        <f>'Z Score'!L422</f>
        <v>-0.25256931608133082</v>
      </c>
      <c r="Y383" s="109">
        <f>'Z Score'!O422</f>
        <v>-0.1257948465863232</v>
      </c>
      <c r="Z383" s="109">
        <f>'Z Score'!R422</f>
        <v>0.24644459054715467</v>
      </c>
      <c r="AA383" s="109">
        <f>'Z Score'!S422</f>
        <v>-0.18467555535496877</v>
      </c>
    </row>
    <row r="384" spans="1:27" ht="15" customHeight="1" x14ac:dyDescent="0.3">
      <c r="A384" s="22"/>
      <c r="B384" s="23"/>
      <c r="C384" s="3"/>
      <c r="D384" s="23">
        <v>2017</v>
      </c>
      <c r="E384" s="25">
        <f>'Current Ratio'!G423</f>
        <v>0.81470606072858121</v>
      </c>
      <c r="F384" s="25">
        <f>'Cash Ratio'!G423</f>
        <v>0.15632454615291311</v>
      </c>
      <c r="G384" s="25">
        <f>DAR!G423</f>
        <v>0.80584241566820314</v>
      </c>
      <c r="H384" s="25">
        <f>DER!G423</f>
        <v>4.1503497120537425</v>
      </c>
      <c r="I384" s="25">
        <f>NPM!G423</f>
        <v>7.8674559475195249E-2</v>
      </c>
      <c r="J384" s="25">
        <f>ROA!G423</f>
        <v>4.7376113551299219E-2</v>
      </c>
      <c r="K384" s="25">
        <f>ROE!G423</f>
        <v>0.24400234513942404</v>
      </c>
      <c r="L384" s="25">
        <f>KM!E423</f>
        <v>0.98219999999999996</v>
      </c>
      <c r="M384" s="24">
        <f>KI!E423</f>
        <v>2</v>
      </c>
      <c r="N384" s="108">
        <f>IO!E423</f>
        <v>0</v>
      </c>
      <c r="O384" s="24">
        <f>'BoC Size'!E423</f>
        <v>5</v>
      </c>
      <c r="P384" s="24">
        <f>'TMT E DK'!E423</f>
        <v>0</v>
      </c>
      <c r="Q384" s="24">
        <f>Data!R423</f>
        <v>5</v>
      </c>
      <c r="R384" s="24">
        <f>Data!S423</f>
        <v>4</v>
      </c>
      <c r="S384" s="24">
        <f>'TMT E DK'!E423</f>
        <v>0</v>
      </c>
      <c r="T384" s="24">
        <f>'TMT E DD'!E423</f>
        <v>0</v>
      </c>
      <c r="U384" s="24">
        <f>TA!E423</f>
        <v>2626619000000</v>
      </c>
      <c r="V384" s="109">
        <f>PR!F423</f>
        <v>0.21868838438512481</v>
      </c>
      <c r="W384" s="109">
        <f>'Z Score'!I423</f>
        <v>-9.1566108369733099E-2</v>
      </c>
      <c r="X384" s="109">
        <f>'Z Score'!L423</f>
        <v>-8.0882564239427177E-2</v>
      </c>
      <c r="Y384" s="109">
        <f>'Z Score'!O423</f>
        <v>0.28925263999080186</v>
      </c>
      <c r="Z384" s="109">
        <f>'Z Score'!R423</f>
        <v>0.25299072917892079</v>
      </c>
      <c r="AA384" s="109">
        <f>'Z Score'!S423</f>
        <v>0.36979469656056241</v>
      </c>
    </row>
    <row r="385" spans="1:27" ht="15" customHeight="1" x14ac:dyDescent="0.3">
      <c r="A385" s="22"/>
      <c r="B385" s="23"/>
      <c r="C385" s="3"/>
      <c r="D385" s="23">
        <v>2018</v>
      </c>
      <c r="E385" s="25">
        <f>'Current Ratio'!G424</f>
        <v>1.1885560026600841</v>
      </c>
      <c r="F385" s="25">
        <f>'Cash Ratio'!G424</f>
        <v>0.6058848724624939</v>
      </c>
      <c r="G385" s="25">
        <f>DAR!G424</f>
        <v>0.78071185486553574</v>
      </c>
      <c r="H385" s="25">
        <f>DER!G424</f>
        <v>3.5603346674912775</v>
      </c>
      <c r="I385" s="25">
        <f>NPM!G424</f>
        <v>3.087550620380717E-2</v>
      </c>
      <c r="J385" s="25">
        <f>ROA!G424</f>
        <v>1.0536481426513707E-2</v>
      </c>
      <c r="K385" s="25">
        <f>ROE!G424</f>
        <v>5.7259120310183077E-2</v>
      </c>
      <c r="L385" s="25">
        <f>KM!E424</f>
        <v>0.98219999999999996</v>
      </c>
      <c r="M385" s="24">
        <f>KI!E424</f>
        <v>2</v>
      </c>
      <c r="N385" s="108">
        <f>IO!E424</f>
        <v>0</v>
      </c>
      <c r="O385" s="24">
        <f>'BoC Size'!E424</f>
        <v>4</v>
      </c>
      <c r="P385" s="24">
        <f>'TMT E DK'!E424</f>
        <v>0</v>
      </c>
      <c r="Q385" s="24">
        <f>Data!R424</f>
        <v>4</v>
      </c>
      <c r="R385" s="24">
        <f>Data!S424</f>
        <v>4</v>
      </c>
      <c r="S385" s="24">
        <f>'TMT E DK'!E424</f>
        <v>0</v>
      </c>
      <c r="T385" s="24">
        <f>'TMT E DD'!E424</f>
        <v>0</v>
      </c>
      <c r="U385" s="24">
        <f>TA!E424</f>
        <v>2735670000000</v>
      </c>
      <c r="V385" s="109">
        <f>PR!F424</f>
        <v>-0.48682898640886696</v>
      </c>
      <c r="W385" s="109">
        <f>'Z Score'!I424</f>
        <v>8.0228214660393968E-2</v>
      </c>
      <c r="X385" s="109">
        <f>'Z Score'!L424</f>
        <v>7.071097025591537E-2</v>
      </c>
      <c r="Y385" s="109">
        <f>'Z Score'!O424</f>
        <v>0.380246564826898</v>
      </c>
      <c r="Z385" s="109">
        <f>'Z Score'!R424</f>
        <v>0.29491609583428929</v>
      </c>
      <c r="AA385" s="109">
        <f>'Z Score'!S424</f>
        <v>0.82610184557749666</v>
      </c>
    </row>
    <row r="386" spans="1:27" ht="15" customHeight="1" x14ac:dyDescent="0.3">
      <c r="A386" s="22"/>
      <c r="B386" s="23"/>
      <c r="C386" s="3"/>
      <c r="D386" s="23">
        <v>2019</v>
      </c>
      <c r="E386" s="25">
        <f>'Current Ratio'!G425</f>
        <v>0.89955797219745581</v>
      </c>
      <c r="F386" s="25">
        <f>'Cash Ratio'!G425</f>
        <v>0.49159268142604196</v>
      </c>
      <c r="G386" s="25">
        <f>DAR!G425</f>
        <v>0.7418345111453527</v>
      </c>
      <c r="H386" s="25">
        <f>DER!G425</f>
        <v>2.8720603458926139</v>
      </c>
      <c r="I386" s="25">
        <f>NPM!G425</f>
        <v>4.7453134039668762E-2</v>
      </c>
      <c r="J386" s="25">
        <f>ROA!G425</f>
        <v>1.7637638087413105E-2</v>
      </c>
      <c r="K386" s="25">
        <f>ROE!G425</f>
        <v>9.4000829595166105E-2</v>
      </c>
      <c r="L386" s="25">
        <f>KM!E425</f>
        <v>0.98219999999999996</v>
      </c>
      <c r="M386" s="24">
        <f>KI!E425</f>
        <v>2</v>
      </c>
      <c r="N386" s="108">
        <f>IO!E425</f>
        <v>0</v>
      </c>
      <c r="O386" s="24">
        <f>'BoC Size'!E425</f>
        <v>3</v>
      </c>
      <c r="P386" s="24">
        <f>'TMT E DK'!E425</f>
        <v>0</v>
      </c>
      <c r="Q386" s="24">
        <f>Data!R425</f>
        <v>3</v>
      </c>
      <c r="R386" s="24">
        <f>Data!S425</f>
        <v>4</v>
      </c>
      <c r="S386" s="24">
        <f>'TMT E DK'!E425</f>
        <v>0</v>
      </c>
      <c r="T386" s="24">
        <f>'TMT E DD'!E425</f>
        <v>0</v>
      </c>
      <c r="U386" s="24">
        <f>TA!E425</f>
        <v>2726383000000</v>
      </c>
      <c r="V386" s="109">
        <f>PR!F425</f>
        <v>0.14142659844593738</v>
      </c>
      <c r="W386" s="109">
        <f>'Z Score'!I425</f>
        <v>-3.8490674274304082E-2</v>
      </c>
      <c r="X386" s="109">
        <f>'Z Score'!L425</f>
        <v>0.17104225635209724</v>
      </c>
      <c r="Y386" s="109">
        <f>'Z Score'!O425</f>
        <v>0.25270157567737178</v>
      </c>
      <c r="Z386" s="109">
        <f>'Z Score'!R425</f>
        <v>0.36559120406422668</v>
      </c>
      <c r="AA386" s="109">
        <f>'Z Score'!S425</f>
        <v>0.75084436181939163</v>
      </c>
    </row>
    <row r="387" spans="1:27" ht="15" customHeight="1" x14ac:dyDescent="0.3">
      <c r="A387" s="22"/>
      <c r="B387" s="23"/>
      <c r="C387" s="3"/>
      <c r="D387" s="23">
        <v>2020</v>
      </c>
      <c r="E387" s="25">
        <f>'Current Ratio'!G426</f>
        <v>1.0045356096318003</v>
      </c>
      <c r="F387" s="25">
        <f>'Cash Ratio'!G426</f>
        <v>0.76008153904956044</v>
      </c>
      <c r="G387" s="25">
        <f>DAR!G426</f>
        <v>0.69572559401405865</v>
      </c>
      <c r="H387" s="25">
        <f>DER!G426</f>
        <v>2.2866277396767543</v>
      </c>
      <c r="I387" s="25">
        <f>NPM!G426</f>
        <v>4.3641773722582676E-2</v>
      </c>
      <c r="J387" s="25">
        <f>ROA!G426</f>
        <v>1.465078030834324E-2</v>
      </c>
      <c r="K387" s="25">
        <f>ROE!G426</f>
        <v>7.8940786035563218E-2</v>
      </c>
      <c r="L387" s="25">
        <f>KM!E426</f>
        <v>0.98219999999999996</v>
      </c>
      <c r="M387" s="24">
        <f>KI!E426</f>
        <v>2</v>
      </c>
      <c r="N387" s="108">
        <f>IO!E426</f>
        <v>0</v>
      </c>
      <c r="O387" s="24">
        <f>'BoC Size'!E426</f>
        <v>3</v>
      </c>
      <c r="P387" s="24">
        <f>'TMT E DK'!E426</f>
        <v>0</v>
      </c>
      <c r="Q387" s="24">
        <f>Data!R426</f>
        <v>3</v>
      </c>
      <c r="R387" s="24">
        <f>Data!S426</f>
        <v>3</v>
      </c>
      <c r="S387" s="24">
        <f>'TMT E DK'!E426</f>
        <v>0</v>
      </c>
      <c r="T387" s="24">
        <f>'TMT E DD'!E426</f>
        <v>0</v>
      </c>
      <c r="U387" s="24">
        <f>TA!E426</f>
        <v>2741223000000</v>
      </c>
      <c r="V387" s="109">
        <f>PR!F426</f>
        <v>-0.12578577658040394</v>
      </c>
      <c r="W387" s="109">
        <f>'Z Score'!I426</f>
        <v>2.1298522593747389E-3</v>
      </c>
      <c r="X387" s="109">
        <f>'Z Score'!L426</f>
        <v>0.26606143316322678</v>
      </c>
      <c r="Y387" s="109">
        <f>'Z Score'!O426</f>
        <v>0.23240826448632601</v>
      </c>
      <c r="Z387" s="109">
        <f>'Z Score'!R426</f>
        <v>0.4591914904996437</v>
      </c>
      <c r="AA387" s="109">
        <f>'Z Score'!S426</f>
        <v>0.95979104040857122</v>
      </c>
    </row>
    <row r="388" spans="1:27" ht="15" customHeight="1" x14ac:dyDescent="0.3">
      <c r="A388" s="22"/>
      <c r="B388" s="23"/>
      <c r="C388" s="3"/>
      <c r="D388" s="23">
        <v>2021</v>
      </c>
      <c r="E388" s="25">
        <f>'Current Ratio'!G427</f>
        <v>0.88031223625148536</v>
      </c>
      <c r="F388" s="25">
        <f>'Cash Ratio'!G427</f>
        <v>0.51860358676984963</v>
      </c>
      <c r="G388" s="25">
        <f>DAR!G427</f>
        <v>0.67894913113409217</v>
      </c>
      <c r="H388" s="25">
        <f>DER!G427</f>
        <v>2.1184134833962718</v>
      </c>
      <c r="I388" s="25">
        <f>NPM!G427</f>
        <v>3.5549091082267919E-3</v>
      </c>
      <c r="J388" s="25">
        <f>ROA!G427</f>
        <v>1.4585786856997005E-3</v>
      </c>
      <c r="K388" s="25">
        <f>ROE!G427</f>
        <v>8.3752524496970605E-3</v>
      </c>
      <c r="L388" s="25">
        <f>KM!E427</f>
        <v>0.98219999999999996</v>
      </c>
      <c r="M388" s="24">
        <f>KI!E427</f>
        <v>1</v>
      </c>
      <c r="N388" s="108">
        <f>IO!E427</f>
        <v>0</v>
      </c>
      <c r="O388" s="24">
        <f>'BoC Size'!E427</f>
        <v>2</v>
      </c>
      <c r="P388" s="24">
        <f>'TMT E DK'!E427</f>
        <v>0</v>
      </c>
      <c r="Q388" s="24">
        <f>Data!R427</f>
        <v>2</v>
      </c>
      <c r="R388" s="24">
        <f>Data!S427</f>
        <v>2</v>
      </c>
      <c r="S388" s="24">
        <f>'TMT E DK'!E427</f>
        <v>0</v>
      </c>
      <c r="T388" s="24">
        <f>'TMT E DD'!E427</f>
        <v>0</v>
      </c>
      <c r="U388" s="24">
        <f>TA!E427</f>
        <v>2690231000000</v>
      </c>
      <c r="V388" s="109">
        <f>PR!F427</f>
        <v>0.24442331792057387</v>
      </c>
      <c r="W388" s="109">
        <f>'Z Score'!I427</f>
        <v>-6.9505644682556988E-2</v>
      </c>
      <c r="X388" s="109">
        <f>'Z Score'!L427</f>
        <v>0.31898360401021325</v>
      </c>
      <c r="Y388" s="109">
        <f>'Z Score'!O427</f>
        <v>8.6800456912436152E-2</v>
      </c>
      <c r="Z388" s="109">
        <f>'Z Score'!R427</f>
        <v>0.49565394491193687</v>
      </c>
      <c r="AA388" s="109">
        <f>'Z Score'!S427</f>
        <v>0.83193236115202929</v>
      </c>
    </row>
    <row r="389" spans="1:27" ht="15" customHeight="1" x14ac:dyDescent="0.3">
      <c r="A389" s="22"/>
      <c r="B389" s="23"/>
      <c r="C389" s="3"/>
      <c r="D389" s="23">
        <v>2022</v>
      </c>
      <c r="E389" s="25">
        <f>'Current Ratio'!G428</f>
        <v>0.50675226389355421</v>
      </c>
      <c r="F389" s="25">
        <f>'Cash Ratio'!G428</f>
        <v>0.23262063245062622</v>
      </c>
      <c r="G389" s="25">
        <f>DAR!G428</f>
        <v>0.6979849132644782</v>
      </c>
      <c r="H389" s="25">
        <f>DER!G428</f>
        <v>2.3111939403329718</v>
      </c>
      <c r="I389" s="25">
        <f>NPM!G428</f>
        <v>-2.6333926094836168E-3</v>
      </c>
      <c r="J389" s="25">
        <f>ROA!G428</f>
        <v>-9.6664187597235158E-4</v>
      </c>
      <c r="K389" s="25">
        <f>ROE!G428</f>
        <v>-5.0806314264549872E-3</v>
      </c>
      <c r="L389" s="25">
        <f>KM!E428</f>
        <v>0.98219999999999996</v>
      </c>
      <c r="M389" s="24">
        <f>KI!E428</f>
        <v>2</v>
      </c>
      <c r="N389" s="108">
        <f>IO!E428</f>
        <v>0</v>
      </c>
      <c r="O389" s="24">
        <f>'BoC Size'!E428</f>
        <v>3</v>
      </c>
      <c r="P389" s="24">
        <f>'TMT E DK'!E428</f>
        <v>0</v>
      </c>
      <c r="Q389" s="24">
        <f>Data!R428</f>
        <v>3</v>
      </c>
      <c r="R389" s="24">
        <f>Data!S428</f>
        <v>4</v>
      </c>
      <c r="S389" s="24">
        <f>'TMT E DK'!E428</f>
        <v>0</v>
      </c>
      <c r="T389" s="24">
        <f>'TMT E DD'!E428</f>
        <v>0</v>
      </c>
      <c r="U389" s="24">
        <f>TA!E428</f>
        <v>2650010000000</v>
      </c>
      <c r="V389" s="109">
        <f>PR!F428</f>
        <v>-6.7139463955821099E-2</v>
      </c>
      <c r="W389" s="109">
        <f>'Z Score'!I428</f>
        <v>-0.35623636137222126</v>
      </c>
      <c r="X389" s="109">
        <f>'Z Score'!L428</f>
        <v>0.29695535488545327</v>
      </c>
      <c r="Y389" s="109">
        <f>'Z Score'!O428</f>
        <v>-6.1068086535522509E-2</v>
      </c>
      <c r="Z389" s="109">
        <f>'Z Score'!R428</f>
        <v>0.45431064078020528</v>
      </c>
      <c r="AA389" s="109">
        <f>'Z Score'!S428</f>
        <v>0.33396154775791476</v>
      </c>
    </row>
    <row r="390" spans="1:27" ht="15" customHeight="1" x14ac:dyDescent="0.3">
      <c r="A390" s="22"/>
      <c r="B390" s="23"/>
      <c r="C390" s="3"/>
      <c r="D390" s="23">
        <v>2023</v>
      </c>
      <c r="E390" s="25">
        <f>'Current Ratio'!G429</f>
        <v>0.86196678273582605</v>
      </c>
      <c r="F390" s="25">
        <f>'Cash Ratio'!G429</f>
        <v>0.41027762275689145</v>
      </c>
      <c r="G390" s="25">
        <f>DAR!G429</f>
        <v>0.70593720989322828</v>
      </c>
      <c r="H390" s="25">
        <f>DER!G429</f>
        <v>2.4046291481696649</v>
      </c>
      <c r="I390" s="25">
        <f>NPM!G429</f>
        <v>-5.6274540856013001E-2</v>
      </c>
      <c r="J390" s="25">
        <f>ROA!G429</f>
        <v>-1.9471595210649163E-2</v>
      </c>
      <c r="K390" s="25">
        <f>ROE!G429</f>
        <v>-0.11008077191160191</v>
      </c>
      <c r="L390" s="25">
        <f>KM!E429</f>
        <v>0.59350000000000003</v>
      </c>
      <c r="M390" s="24">
        <f>KI!E429</f>
        <v>3</v>
      </c>
      <c r="N390" s="108">
        <f>IO!E429</f>
        <v>0</v>
      </c>
      <c r="O390" s="24">
        <f>'BoC Size'!E429</f>
        <v>4</v>
      </c>
      <c r="P390" s="24">
        <f>'TMT E DK'!E429</f>
        <v>0</v>
      </c>
      <c r="Q390" s="24">
        <f>Data!R429</f>
        <v>4</v>
      </c>
      <c r="R390" s="24">
        <f>Data!S429</f>
        <v>6</v>
      </c>
      <c r="S390" s="24">
        <f>'TMT E DK'!E429</f>
        <v>0</v>
      </c>
      <c r="T390" s="24">
        <f>'TMT E DD'!E429</f>
        <v>0</v>
      </c>
      <c r="U390" s="24">
        <f>TA!E429</f>
        <v>4022226000000</v>
      </c>
      <c r="V390" s="109">
        <f>PR!F429</f>
        <v>-8.6638191425095087E-2</v>
      </c>
      <c r="W390" s="109">
        <f>'Z Score'!I429</f>
        <v>-0.11456358742646486</v>
      </c>
      <c r="X390" s="109">
        <f>'Z Score'!L429</f>
        <v>0.11109313101750126</v>
      </c>
      <c r="Y390" s="109">
        <f>'Z Score'!O429</f>
        <v>-0.13653597783913685</v>
      </c>
      <c r="Z390" s="109">
        <f>'Z Score'!R429</f>
        <v>0.43665776936923106</v>
      </c>
      <c r="AA390" s="109">
        <f>'Z Score'!S429</f>
        <v>0.29665133512113062</v>
      </c>
    </row>
    <row r="391" spans="1:27" ht="15" customHeight="1" x14ac:dyDescent="0.3">
      <c r="A391" s="22"/>
      <c r="B391" s="23"/>
      <c r="C391" s="3"/>
      <c r="D391" s="23">
        <v>2024</v>
      </c>
      <c r="E391" s="25">
        <f>'Current Ratio'!G430</f>
        <v>0.49053747423483968</v>
      </c>
      <c r="F391" s="25">
        <f>'Cash Ratio'!G430</f>
        <v>0.16937107027176831</v>
      </c>
      <c r="G391" s="25">
        <f>DAR!G430</f>
        <v>0.71882335164007949</v>
      </c>
      <c r="H391" s="25">
        <f>DER!G430</f>
        <v>2.5594528028705423</v>
      </c>
      <c r="I391" s="25">
        <f>NPM!G430</f>
        <v>2.6342025361446617E-4</v>
      </c>
      <c r="J391" s="25">
        <f>ROA!G430</f>
        <v>8.9000288292799879E-5</v>
      </c>
      <c r="K391" s="25">
        <f>ROE!G430</f>
        <v>4.758402906951594E-4</v>
      </c>
      <c r="L391" s="25">
        <f>KM!E430</f>
        <v>0.59350000000000003</v>
      </c>
      <c r="M391" s="24">
        <f>KI!E430</f>
        <v>2</v>
      </c>
      <c r="N391" s="108">
        <f>IO!E430</f>
        <v>0</v>
      </c>
      <c r="O391" s="24">
        <f>'BoC Size'!E430</f>
        <v>4</v>
      </c>
      <c r="P391" s="24">
        <f>'TMT E DK'!E430</f>
        <v>0</v>
      </c>
      <c r="Q391" s="24">
        <f>Data!R430</f>
        <v>4</v>
      </c>
      <c r="R391" s="24">
        <f>Data!S430</f>
        <v>5</v>
      </c>
      <c r="S391" s="24">
        <f>'TMT E DK'!E430</f>
        <v>0</v>
      </c>
      <c r="T391" s="24">
        <f>'TMT E DD'!E430</f>
        <v>0</v>
      </c>
      <c r="U391" s="24">
        <f>TA!E430</f>
        <v>3619977000000</v>
      </c>
      <c r="V391" s="109">
        <f>PR!F430</f>
        <v>-7.6112169469894214E-2</v>
      </c>
      <c r="W391" s="109">
        <f>'Z Score'!I430</f>
        <v>-0.53300882298423446</v>
      </c>
      <c r="X391" s="109">
        <f>'Z Score'!L430</f>
        <v>9.9817871771008485E-3</v>
      </c>
      <c r="Y391" s="109">
        <f>'Z Score'!O430</f>
        <v>-0.25450769438590354</v>
      </c>
      <c r="Z391" s="109">
        <f>'Z Score'!R430</f>
        <v>0.41024393918199137</v>
      </c>
      <c r="AA391" s="109">
        <f>'Z Score'!S430</f>
        <v>-0.36729079101104573</v>
      </c>
    </row>
    <row r="392" spans="1:27" ht="15" customHeight="1" x14ac:dyDescent="0.3">
      <c r="A392" s="22"/>
      <c r="B392" s="23">
        <v>40</v>
      </c>
      <c r="C392" s="3" t="s">
        <v>12</v>
      </c>
      <c r="D392" s="23">
        <v>2015</v>
      </c>
      <c r="E392" s="25">
        <f>'Current Ratio'!G432</f>
        <v>0</v>
      </c>
      <c r="F392" s="25">
        <f>'Cash Ratio'!G432</f>
        <v>0</v>
      </c>
      <c r="G392" s="25">
        <f>DAR!G432</f>
        <v>0</v>
      </c>
      <c r="H392" s="25">
        <f>DER!G432</f>
        <v>0</v>
      </c>
      <c r="I392" s="25">
        <f>NPM!G432</f>
        <v>0</v>
      </c>
      <c r="J392" s="25">
        <f>ROA!G432</f>
        <v>0</v>
      </c>
      <c r="K392" s="25">
        <f>ROE!G432</f>
        <v>0</v>
      </c>
      <c r="L392" s="25">
        <f>KM!E432</f>
        <v>0</v>
      </c>
      <c r="M392" s="24">
        <f>KI!E432</f>
        <v>0</v>
      </c>
      <c r="N392" s="108">
        <f>IO!E432</f>
        <v>0</v>
      </c>
      <c r="O392" s="24">
        <f>'BoC Size'!E432</f>
        <v>0</v>
      </c>
      <c r="P392" s="24">
        <f>'TMT E DK'!E432</f>
        <v>0</v>
      </c>
      <c r="Q392" s="24">
        <f>Data!R432</f>
        <v>0</v>
      </c>
      <c r="R392" s="24">
        <f>Data!S432</f>
        <v>0</v>
      </c>
      <c r="S392" s="24">
        <f>'TMT E DK'!E432</f>
        <v>0</v>
      </c>
      <c r="T392" s="24">
        <f>'TMT E DD'!E432</f>
        <v>0</v>
      </c>
      <c r="U392" s="24">
        <f>TA!E432</f>
        <v>0</v>
      </c>
      <c r="V392" s="109">
        <f>PR!F432</f>
        <v>0</v>
      </c>
      <c r="W392" s="109">
        <f>'Z Score'!I432</f>
        <v>0</v>
      </c>
      <c r="X392" s="109">
        <f>'Z Score'!L432</f>
        <v>0</v>
      </c>
      <c r="Y392" s="109">
        <f>'Z Score'!O432</f>
        <v>0</v>
      </c>
      <c r="Z392" s="109">
        <f>'Z Score'!R432</f>
        <v>0</v>
      </c>
      <c r="AA392" s="109">
        <f>'Z Score'!S432</f>
        <v>0</v>
      </c>
    </row>
    <row r="393" spans="1:27" ht="15" customHeight="1" x14ac:dyDescent="0.3">
      <c r="A393" s="22"/>
      <c r="B393" s="23"/>
      <c r="C393" s="3"/>
      <c r="D393" s="23">
        <v>2016</v>
      </c>
      <c r="E393" s="25">
        <f>'Current Ratio'!G433</f>
        <v>0</v>
      </c>
      <c r="F393" s="25">
        <f>'Cash Ratio'!G433</f>
        <v>0</v>
      </c>
      <c r="G393" s="25">
        <f>DAR!G433</f>
        <v>0</v>
      </c>
      <c r="H393" s="25">
        <f>DER!G433</f>
        <v>0</v>
      </c>
      <c r="I393" s="25">
        <f>NPM!G433</f>
        <v>0</v>
      </c>
      <c r="J393" s="25">
        <f>ROA!G433</f>
        <v>0</v>
      </c>
      <c r="K393" s="25">
        <f>ROE!G433</f>
        <v>0</v>
      </c>
      <c r="L393" s="25">
        <f>KM!E433</f>
        <v>0</v>
      </c>
      <c r="M393" s="24">
        <f>KI!E433</f>
        <v>0</v>
      </c>
      <c r="N393" s="108">
        <f>IO!E433</f>
        <v>0</v>
      </c>
      <c r="O393" s="24">
        <f>'BoC Size'!E433</f>
        <v>0</v>
      </c>
      <c r="P393" s="24">
        <f>'TMT E DK'!E433</f>
        <v>0</v>
      </c>
      <c r="Q393" s="24">
        <f>Data!R433</f>
        <v>0</v>
      </c>
      <c r="R393" s="24">
        <f>Data!S433</f>
        <v>0</v>
      </c>
      <c r="S393" s="24">
        <f>'TMT E DK'!E433</f>
        <v>0</v>
      </c>
      <c r="T393" s="24">
        <f>'TMT E DD'!E433</f>
        <v>0</v>
      </c>
      <c r="U393" s="24">
        <f>TA!E433</f>
        <v>0</v>
      </c>
      <c r="V393" s="109">
        <f>PR!F433</f>
        <v>0</v>
      </c>
      <c r="W393" s="109">
        <f>'Z Score'!I433</f>
        <v>0</v>
      </c>
      <c r="X393" s="109">
        <f>'Z Score'!L433</f>
        <v>0</v>
      </c>
      <c r="Y393" s="109">
        <f>'Z Score'!O433</f>
        <v>0</v>
      </c>
      <c r="Z393" s="109">
        <f>'Z Score'!R433</f>
        <v>0</v>
      </c>
      <c r="AA393" s="109">
        <f>'Z Score'!S433</f>
        <v>0</v>
      </c>
    </row>
    <row r="394" spans="1:27" ht="15" customHeight="1" x14ac:dyDescent="0.3">
      <c r="A394" s="22"/>
      <c r="B394" s="23"/>
      <c r="C394" s="3"/>
      <c r="D394" s="23">
        <v>2017</v>
      </c>
      <c r="E394" s="25">
        <f>'Current Ratio'!G434</f>
        <v>0</v>
      </c>
      <c r="F394" s="25">
        <f>'Cash Ratio'!G434</f>
        <v>0</v>
      </c>
      <c r="G394" s="25">
        <f>DAR!G434</f>
        <v>0</v>
      </c>
      <c r="H394" s="25">
        <f>DER!G434</f>
        <v>0</v>
      </c>
      <c r="I394" s="25">
        <f>NPM!G434</f>
        <v>0</v>
      </c>
      <c r="J394" s="25">
        <f>ROA!G434</f>
        <v>0</v>
      </c>
      <c r="K394" s="25">
        <f>ROE!G434</f>
        <v>0</v>
      </c>
      <c r="L394" s="25">
        <f>KM!E434</f>
        <v>0</v>
      </c>
      <c r="M394" s="24">
        <f>KI!E434</f>
        <v>0</v>
      </c>
      <c r="N394" s="108">
        <f>IO!E434</f>
        <v>0</v>
      </c>
      <c r="O394" s="24">
        <f>'BoC Size'!E434</f>
        <v>0</v>
      </c>
      <c r="P394" s="24">
        <f>'TMT E DK'!E434</f>
        <v>0</v>
      </c>
      <c r="Q394" s="24">
        <f>Data!R434</f>
        <v>0</v>
      </c>
      <c r="R394" s="24">
        <f>Data!S434</f>
        <v>0</v>
      </c>
      <c r="S394" s="24">
        <f>'TMT E DK'!E434</f>
        <v>0</v>
      </c>
      <c r="T394" s="24">
        <f>'TMT E DD'!E434</f>
        <v>0</v>
      </c>
      <c r="U394" s="24">
        <f>TA!E434</f>
        <v>0</v>
      </c>
      <c r="V394" s="109">
        <f>PR!F434</f>
        <v>0</v>
      </c>
      <c r="W394" s="109">
        <f>'Z Score'!I434</f>
        <v>0</v>
      </c>
      <c r="X394" s="109">
        <f>'Z Score'!L434</f>
        <v>0</v>
      </c>
      <c r="Y394" s="109">
        <f>'Z Score'!O434</f>
        <v>0</v>
      </c>
      <c r="Z394" s="109">
        <f>'Z Score'!R434</f>
        <v>0</v>
      </c>
      <c r="AA394" s="109">
        <f>'Z Score'!S434</f>
        <v>0</v>
      </c>
    </row>
    <row r="395" spans="1:27" ht="15" customHeight="1" x14ac:dyDescent="0.3">
      <c r="A395" s="22"/>
      <c r="B395" s="23"/>
      <c r="C395" s="3"/>
      <c r="D395" s="23">
        <v>2018</v>
      </c>
      <c r="E395" s="25">
        <f>'Current Ratio'!G435</f>
        <v>1.1839644019611884</v>
      </c>
      <c r="F395" s="25">
        <f>'Cash Ratio'!G435</f>
        <v>0.15276461620864407</v>
      </c>
      <c r="G395" s="25">
        <f>DAR!G435</f>
        <v>0.81598597097832326</v>
      </c>
      <c r="H395" s="25">
        <f>DER!G435</f>
        <v>4.43436826700969</v>
      </c>
      <c r="I395" s="25">
        <f>NPM!G435</f>
        <v>0</v>
      </c>
      <c r="J395" s="25">
        <f>ROA!G435</f>
        <v>0</v>
      </c>
      <c r="K395" s="25">
        <f>ROE!G435</f>
        <v>0</v>
      </c>
      <c r="L395" s="25">
        <f>KM!E435</f>
        <v>0</v>
      </c>
      <c r="M395" s="24">
        <f>KI!E435</f>
        <v>0</v>
      </c>
      <c r="N395" s="108">
        <f>IO!E435</f>
        <v>0</v>
      </c>
      <c r="O395" s="24">
        <f>'BoC Size'!E435</f>
        <v>0</v>
      </c>
      <c r="P395" s="24">
        <f>'TMT E DK'!E435</f>
        <v>0</v>
      </c>
      <c r="Q395" s="24">
        <f>Data!R435</f>
        <v>0</v>
      </c>
      <c r="R395" s="24">
        <f>Data!S435</f>
        <v>0</v>
      </c>
      <c r="S395" s="24">
        <f>'TMT E DK'!E435</f>
        <v>0</v>
      </c>
      <c r="T395" s="24">
        <f>'TMT E DD'!E435</f>
        <v>0</v>
      </c>
      <c r="U395" s="24">
        <f>TA!E435</f>
        <v>2378498000000</v>
      </c>
      <c r="V395" s="109">
        <f>PR!F435</f>
        <v>0</v>
      </c>
      <c r="W395" s="109">
        <f>'Z Score'!I435</f>
        <v>4.9258649786545962E-2</v>
      </c>
      <c r="X395" s="109">
        <f>'Z Score'!L435</f>
        <v>0.25658969652276353</v>
      </c>
      <c r="Y395" s="109">
        <f>'Z Score'!O435</f>
        <v>7.4766243234175508E-2</v>
      </c>
      <c r="Z395" s="109">
        <f>'Z Score'!R435</f>
        <v>0.23678682887293573</v>
      </c>
      <c r="AA395" s="109">
        <f>'Z Score'!S435</f>
        <v>0.61740141841642071</v>
      </c>
    </row>
    <row r="396" spans="1:27" ht="15" customHeight="1" x14ac:dyDescent="0.3">
      <c r="A396" s="22"/>
      <c r="B396" s="23"/>
      <c r="C396" s="3"/>
      <c r="D396" s="23">
        <v>2019</v>
      </c>
      <c r="E396" s="25">
        <f>'Current Ratio'!G436</f>
        <v>1.1801565120178872</v>
      </c>
      <c r="F396" s="25">
        <f>'Cash Ratio'!G436</f>
        <v>0.10628842929010621</v>
      </c>
      <c r="G396" s="25">
        <f>DAR!G436</f>
        <v>0.81236720821110608</v>
      </c>
      <c r="H396" s="25">
        <f>DER!G436</f>
        <v>4.3295588178696507</v>
      </c>
      <c r="I396" s="25">
        <f>NPM!G436</f>
        <v>0</v>
      </c>
      <c r="J396" s="25">
        <f>ROA!G436</f>
        <v>0</v>
      </c>
      <c r="K396" s="25">
        <f>ROE!G436</f>
        <v>0</v>
      </c>
      <c r="L396" s="25">
        <f>KM!E436</f>
        <v>0.58230000000000004</v>
      </c>
      <c r="M396" s="24">
        <f>KI!E436</f>
        <v>1</v>
      </c>
      <c r="N396" s="108">
        <f>IO!E436</f>
        <v>0</v>
      </c>
      <c r="O396" s="24">
        <f>'BoC Size'!E436</f>
        <v>3</v>
      </c>
      <c r="P396" s="24">
        <f>'TMT E DK'!E436</f>
        <v>0</v>
      </c>
      <c r="Q396" s="24">
        <f>Data!R436</f>
        <v>3</v>
      </c>
      <c r="R396" s="24">
        <f>Data!S436</f>
        <v>6</v>
      </c>
      <c r="S396" s="24">
        <f>'TMT E DK'!E436</f>
        <v>0</v>
      </c>
      <c r="T396" s="24">
        <f>'TMT E DD'!E436</f>
        <v>0</v>
      </c>
      <c r="U396" s="24">
        <f>TA!E436</f>
        <v>2492624000000</v>
      </c>
      <c r="V396" s="109">
        <f>PR!F436</f>
        <v>0</v>
      </c>
      <c r="W396" s="109">
        <f>'Z Score'!I436</f>
        <v>5.0893066904595316E-2</v>
      </c>
      <c r="X396" s="109">
        <f>'Z Score'!L436</f>
        <v>0.26971970100584763</v>
      </c>
      <c r="Y396" s="109">
        <f>'Z Score'!O436</f>
        <v>8.8872128327417213E-2</v>
      </c>
      <c r="Z396" s="109">
        <f>'Z Score'!R436</f>
        <v>0.24251893649446943</v>
      </c>
      <c r="AA396" s="109">
        <f>'Z Score'!S436</f>
        <v>0.65200383273232965</v>
      </c>
    </row>
    <row r="397" spans="1:27" ht="15" customHeight="1" x14ac:dyDescent="0.3">
      <c r="A397" s="22"/>
      <c r="B397" s="23"/>
      <c r="C397" s="3"/>
      <c r="D397" s="23">
        <v>2020</v>
      </c>
      <c r="E397" s="25">
        <f>'Current Ratio'!G437</f>
        <v>0.94629660565273765</v>
      </c>
      <c r="F397" s="25">
        <f>'Cash Ratio'!G437</f>
        <v>0.17470507282692568</v>
      </c>
      <c r="G397" s="25">
        <f>DAR!G437</f>
        <v>0.81440797534315168</v>
      </c>
      <c r="H397" s="25">
        <f>DER!G437</f>
        <v>4.3881625670551134</v>
      </c>
      <c r="I397" s="25">
        <f>NPM!G437</f>
        <v>0</v>
      </c>
      <c r="J397" s="25">
        <f>ROA!G437</f>
        <v>0</v>
      </c>
      <c r="K397" s="25">
        <f>ROE!G437</f>
        <v>0</v>
      </c>
      <c r="L397" s="25">
        <f>KM!E437</f>
        <v>0.58230000000000004</v>
      </c>
      <c r="M397" s="24">
        <f>KI!E437</f>
        <v>2</v>
      </c>
      <c r="N397" s="108">
        <f>IO!E437</f>
        <v>0</v>
      </c>
      <c r="O397" s="24">
        <f>'BoC Size'!E437</f>
        <v>4</v>
      </c>
      <c r="P397" s="24">
        <f>'TMT E DK'!E437</f>
        <v>0</v>
      </c>
      <c r="Q397" s="24">
        <f>Data!R437</f>
        <v>4</v>
      </c>
      <c r="R397" s="24">
        <f>Data!S437</f>
        <v>6</v>
      </c>
      <c r="S397" s="24">
        <f>'TMT E DK'!E437</f>
        <v>0</v>
      </c>
      <c r="T397" s="24">
        <f>'TMT E DD'!E437</f>
        <v>0</v>
      </c>
      <c r="U397" s="24">
        <f>TA!E437</f>
        <v>2412636000000</v>
      </c>
      <c r="V397" s="109">
        <f>PR!F437</f>
        <v>0</v>
      </c>
      <c r="W397" s="109">
        <f>'Z Score'!I437</f>
        <v>-1.8356088527237427E-2</v>
      </c>
      <c r="X397" s="109">
        <f>'Z Score'!L437</f>
        <v>0.24074671852695556</v>
      </c>
      <c r="Y397" s="109">
        <f>'Z Score'!O437</f>
        <v>7.5811253749011445E-2</v>
      </c>
      <c r="Z397" s="109">
        <f>'Z Score'!R437</f>
        <v>0.23928010504511749</v>
      </c>
      <c r="AA397" s="109">
        <f>'Z Score'!S437</f>
        <v>0.53748198879384712</v>
      </c>
    </row>
    <row r="398" spans="1:27" ht="15" customHeight="1" x14ac:dyDescent="0.3">
      <c r="A398" s="22"/>
      <c r="B398" s="23"/>
      <c r="C398" s="3"/>
      <c r="D398" s="23">
        <v>2021</v>
      </c>
      <c r="E398" s="25">
        <f>'Current Ratio'!G438</f>
        <v>1.5737110019685432</v>
      </c>
      <c r="F398" s="25">
        <f>'Cash Ratio'!G438</f>
        <v>0.12028991270803921</v>
      </c>
      <c r="G398" s="25">
        <f>DAR!G438</f>
        <v>0.82584660051023795</v>
      </c>
      <c r="H398" s="25">
        <f>DER!G438</f>
        <v>4.7420641970229633</v>
      </c>
      <c r="I398" s="25">
        <f>NPM!G438</f>
        <v>0</v>
      </c>
      <c r="J398" s="25">
        <f>ROA!G438</f>
        <v>0</v>
      </c>
      <c r="K398" s="25">
        <f>ROE!G438</f>
        <v>0</v>
      </c>
      <c r="L398" s="25">
        <f>KM!E438</f>
        <v>0.58230000000000004</v>
      </c>
      <c r="M398" s="24">
        <f>KI!E438</f>
        <v>2</v>
      </c>
      <c r="N398" s="108">
        <f>IO!E438</f>
        <v>0</v>
      </c>
      <c r="O398" s="24">
        <f>'BoC Size'!E438</f>
        <v>4</v>
      </c>
      <c r="P398" s="24">
        <f>'TMT E DK'!E438</f>
        <v>0</v>
      </c>
      <c r="Q398" s="24">
        <f>Data!R438</f>
        <v>4</v>
      </c>
      <c r="R398" s="24">
        <f>Data!S438</f>
        <v>6</v>
      </c>
      <c r="S398" s="24">
        <f>'TMT E DK'!E438</f>
        <v>0</v>
      </c>
      <c r="T398" s="24">
        <f>'TMT E DD'!E438</f>
        <v>0</v>
      </c>
      <c r="U398" s="24">
        <f>TA!E438</f>
        <v>2456501000000</v>
      </c>
      <c r="V398" s="109">
        <f>PR!F438</f>
        <v>0</v>
      </c>
      <c r="W398" s="109">
        <f>'Z Score'!I438</f>
        <v>0.15409918416479373</v>
      </c>
      <c r="X398" s="109">
        <f>'Z Score'!L438</f>
        <v>0.22558022976583358</v>
      </c>
      <c r="Y398" s="109">
        <f>'Z Score'!O438</f>
        <v>4.2308763562481755E-2</v>
      </c>
      <c r="Z398" s="109">
        <f>'Z Score'!R438</f>
        <v>0.22142256122538009</v>
      </c>
      <c r="AA398" s="109">
        <f>'Z Score'!S438</f>
        <v>0.64341073871848919</v>
      </c>
    </row>
    <row r="399" spans="1:27" ht="15" customHeight="1" x14ac:dyDescent="0.3">
      <c r="A399" s="22"/>
      <c r="B399" s="23"/>
      <c r="C399" s="3"/>
      <c r="D399" s="23">
        <v>2022</v>
      </c>
      <c r="E399" s="25">
        <f>'Current Ratio'!G439</f>
        <v>1.7426905379231188</v>
      </c>
      <c r="F399" s="25">
        <f>'Cash Ratio'!G439</f>
        <v>0.11652097275028439</v>
      </c>
      <c r="G399" s="25">
        <f>DAR!G439</f>
        <v>0.80973981483108171</v>
      </c>
      <c r="H399" s="25">
        <f>DER!G439</f>
        <v>4.2559604055476559</v>
      </c>
      <c r="I399" s="25">
        <f>NPM!G439</f>
        <v>0</v>
      </c>
      <c r="J399" s="25">
        <f>ROA!G439</f>
        <v>0</v>
      </c>
      <c r="K399" s="25">
        <f>ROE!G439</f>
        <v>0</v>
      </c>
      <c r="L399" s="25">
        <f>KM!E439</f>
        <v>0.61870000000000003</v>
      </c>
      <c r="M399" s="24">
        <f>KI!E439</f>
        <v>2</v>
      </c>
      <c r="N399" s="108">
        <f>IO!E439</f>
        <v>0</v>
      </c>
      <c r="O399" s="24">
        <f>'BoC Size'!E439</f>
        <v>4</v>
      </c>
      <c r="P399" s="24">
        <f>'TMT E DK'!E439</f>
        <v>0</v>
      </c>
      <c r="Q399" s="24">
        <f>Data!R439</f>
        <v>4</v>
      </c>
      <c r="R399" s="24">
        <f>Data!S439</f>
        <v>6</v>
      </c>
      <c r="S399" s="24">
        <f>'TMT E DK'!E439</f>
        <v>0</v>
      </c>
      <c r="T399" s="24">
        <f>'TMT E DD'!E439</f>
        <v>0</v>
      </c>
      <c r="U399" s="24">
        <f>TA!E439</f>
        <v>2561445000000</v>
      </c>
      <c r="V399" s="109">
        <f>PR!F439</f>
        <v>0</v>
      </c>
      <c r="W399" s="109">
        <f>'Z Score'!I439</f>
        <v>0.18560217377300703</v>
      </c>
      <c r="X399" s="109">
        <f>'Z Score'!L439</f>
        <v>0.23039397683729301</v>
      </c>
      <c r="Y399" s="109">
        <f>'Z Score'!O439</f>
        <v>2.8974145453054819E-2</v>
      </c>
      <c r="Z399" s="109">
        <f>'Z Score'!R439</f>
        <v>0.24671282153643212</v>
      </c>
      <c r="AA399" s="109">
        <f>'Z Score'!S439</f>
        <v>0.69168311759978696</v>
      </c>
    </row>
    <row r="400" spans="1:27" ht="15" customHeight="1" x14ac:dyDescent="0.3">
      <c r="A400" s="22"/>
      <c r="B400" s="23"/>
      <c r="C400" s="3"/>
      <c r="D400" s="23">
        <v>2023</v>
      </c>
      <c r="E400" s="25">
        <f>'Current Ratio'!G440</f>
        <v>1.0666055521603053</v>
      </c>
      <c r="F400" s="25">
        <f>'Cash Ratio'!G440</f>
        <v>0.13491490267977851</v>
      </c>
      <c r="G400" s="25">
        <f>DAR!G440</f>
        <v>0.82311538270929441</v>
      </c>
      <c r="H400" s="25">
        <f>DER!G440</f>
        <v>4.653402852756404</v>
      </c>
      <c r="I400" s="25">
        <f>NPM!G440</f>
        <v>0</v>
      </c>
      <c r="J400" s="25">
        <f>ROA!G440</f>
        <v>0</v>
      </c>
      <c r="K400" s="25">
        <f>ROE!G440</f>
        <v>0</v>
      </c>
      <c r="L400" s="25">
        <f>KM!E440</f>
        <v>0.61870000000000003</v>
      </c>
      <c r="M400" s="24">
        <f>KI!E440</f>
        <v>2</v>
      </c>
      <c r="N400" s="108">
        <f>IO!E440</f>
        <v>0</v>
      </c>
      <c r="O400" s="24">
        <f>'BoC Size'!E440</f>
        <v>4</v>
      </c>
      <c r="P400" s="24">
        <f>'TMT E DK'!E440</f>
        <v>0</v>
      </c>
      <c r="Q400" s="24">
        <f>Data!R440</f>
        <v>4</v>
      </c>
      <c r="R400" s="24">
        <f>Data!S440</f>
        <v>6</v>
      </c>
      <c r="S400" s="24">
        <f>'TMT E DK'!E440</f>
        <v>0</v>
      </c>
      <c r="T400" s="24">
        <f>'TMT E DD'!E440</f>
        <v>0</v>
      </c>
      <c r="U400" s="24">
        <f>TA!E440</f>
        <v>2481923000000</v>
      </c>
      <c r="V400" s="109">
        <f>PR!F440</f>
        <v>0</v>
      </c>
      <c r="W400" s="109">
        <f>'Z Score'!I440</f>
        <v>1.9011903270165914E-2</v>
      </c>
      <c r="X400" s="109">
        <f>'Z Score'!L440</f>
        <v>0.16662242946296077</v>
      </c>
      <c r="Y400" s="109">
        <f>'Z Score'!O440</f>
        <v>-0.14667220538268108</v>
      </c>
      <c r="Z400" s="109">
        <f>'Z Score'!R440</f>
        <v>0.22564132812572663</v>
      </c>
      <c r="AA400" s="109">
        <f>'Z Score'!S440</f>
        <v>0.26460345547617226</v>
      </c>
    </row>
    <row r="401" spans="1:27" ht="15" customHeight="1" x14ac:dyDescent="0.3">
      <c r="A401" s="22"/>
      <c r="B401" s="23"/>
      <c r="C401" s="3"/>
      <c r="D401" s="23">
        <v>2024</v>
      </c>
      <c r="E401" s="25">
        <f>'Current Ratio'!G441</f>
        <v>0.90080317351486361</v>
      </c>
      <c r="F401" s="25">
        <f>'Cash Ratio'!G441</f>
        <v>7.1306136441549539E-2</v>
      </c>
      <c r="G401" s="25">
        <f>DAR!G441</f>
        <v>0.81296184868503141</v>
      </c>
      <c r="H401" s="25">
        <f>DER!G441</f>
        <v>4.346502801538171</v>
      </c>
      <c r="I401" s="25">
        <f>NPM!G441</f>
        <v>0</v>
      </c>
      <c r="J401" s="25">
        <f>ROA!G441</f>
        <v>0</v>
      </c>
      <c r="K401" s="25">
        <f>ROE!G441</f>
        <v>0</v>
      </c>
      <c r="L401" s="25">
        <f>KM!E441</f>
        <v>0.61870000000000003</v>
      </c>
      <c r="M401" s="24">
        <f>KI!E441</f>
        <v>2</v>
      </c>
      <c r="N401" s="108">
        <f>IO!E441</f>
        <v>0</v>
      </c>
      <c r="O401" s="24">
        <f>'BoC Size'!E441</f>
        <v>4</v>
      </c>
      <c r="P401" s="24">
        <f>'TMT E DK'!E441</f>
        <v>0</v>
      </c>
      <c r="Q401" s="24">
        <f>Data!R441</f>
        <v>4</v>
      </c>
      <c r="R401" s="24">
        <f>Data!S441</f>
        <v>6</v>
      </c>
      <c r="S401" s="24">
        <f>'TMT E DK'!E441</f>
        <v>0</v>
      </c>
      <c r="T401" s="24">
        <f>'TMT E DD'!E441</f>
        <v>0</v>
      </c>
      <c r="U401" s="24">
        <f>TA!E441</f>
        <v>2348307000000</v>
      </c>
      <c r="V401" s="109">
        <f>PR!F441</f>
        <v>0</v>
      </c>
      <c r="W401" s="109">
        <f>'Z Score'!I441</f>
        <v>-3.3949428247669486E-2</v>
      </c>
      <c r="X401" s="109">
        <f>'Z Score'!L441</f>
        <v>0.10637760735713003</v>
      </c>
      <c r="Y401" s="109">
        <f>'Z Score'!O441</f>
        <v>1.6980948402402239E-2</v>
      </c>
      <c r="Z401" s="109">
        <f>'Z Score'!R441</f>
        <v>0.24157352426608783</v>
      </c>
      <c r="AA401" s="109">
        <f>'Z Score'!S441</f>
        <v>0.33098265177795061</v>
      </c>
    </row>
    <row r="402" spans="1:27" ht="15" customHeight="1" x14ac:dyDescent="0.3">
      <c r="A402" s="22"/>
      <c r="B402" s="23">
        <v>41</v>
      </c>
      <c r="C402" s="3" t="s">
        <v>34</v>
      </c>
      <c r="D402" s="23">
        <v>2015</v>
      </c>
      <c r="E402" s="25">
        <f>'Current Ratio'!G443</f>
        <v>0</v>
      </c>
      <c r="F402" s="25">
        <f>'Cash Ratio'!G443</f>
        <v>0</v>
      </c>
      <c r="G402" s="25">
        <f>DAR!G443</f>
        <v>0</v>
      </c>
      <c r="H402" s="25">
        <f>DER!G443</f>
        <v>0</v>
      </c>
      <c r="I402" s="25">
        <f>NPM!G443</f>
        <v>0</v>
      </c>
      <c r="J402" s="25">
        <f>ROA!G443</f>
        <v>0</v>
      </c>
      <c r="K402" s="25">
        <f>ROE!G443</f>
        <v>0</v>
      </c>
      <c r="L402" s="25">
        <f>KM!E443</f>
        <v>0</v>
      </c>
      <c r="M402" s="24">
        <f>KI!E443</f>
        <v>0</v>
      </c>
      <c r="N402" s="108">
        <f>IO!E443</f>
        <v>0</v>
      </c>
      <c r="O402" s="24">
        <f>'BoC Size'!E443</f>
        <v>0</v>
      </c>
      <c r="P402" s="24">
        <f>'TMT E DK'!E443</f>
        <v>0</v>
      </c>
      <c r="Q402" s="24">
        <f>Data!R443</f>
        <v>0</v>
      </c>
      <c r="R402" s="24">
        <f>Data!S443</f>
        <v>0</v>
      </c>
      <c r="S402" s="24">
        <f>'TMT E DK'!E443</f>
        <v>0</v>
      </c>
      <c r="T402" s="24">
        <f>'TMT E DD'!E443</f>
        <v>0</v>
      </c>
      <c r="U402" s="24">
        <f>TA!E443</f>
        <v>0</v>
      </c>
      <c r="V402" s="109">
        <f>PR!F443</f>
        <v>0</v>
      </c>
      <c r="W402" s="109">
        <f>'Z Score'!I443</f>
        <v>0</v>
      </c>
      <c r="X402" s="109">
        <f>'Z Score'!L443</f>
        <v>0</v>
      </c>
      <c r="Y402" s="109">
        <f>'Z Score'!O443</f>
        <v>0</v>
      </c>
      <c r="Z402" s="109">
        <f>'Z Score'!R443</f>
        <v>0</v>
      </c>
      <c r="AA402" s="109">
        <f>'Z Score'!S443</f>
        <v>0</v>
      </c>
    </row>
    <row r="403" spans="1:27" ht="15" customHeight="1" x14ac:dyDescent="0.3">
      <c r="A403" s="22"/>
      <c r="B403" s="23"/>
      <c r="C403" s="3"/>
      <c r="D403" s="23">
        <v>2016</v>
      </c>
      <c r="E403" s="25">
        <f>'Current Ratio'!G444</f>
        <v>0</v>
      </c>
      <c r="F403" s="25">
        <f>'Cash Ratio'!G444</f>
        <v>0</v>
      </c>
      <c r="G403" s="25">
        <f>DAR!G444</f>
        <v>0</v>
      </c>
      <c r="H403" s="25">
        <f>DER!G444</f>
        <v>0</v>
      </c>
      <c r="I403" s="25">
        <f>NPM!G444</f>
        <v>0</v>
      </c>
      <c r="J403" s="25">
        <f>ROA!G444</f>
        <v>0</v>
      </c>
      <c r="K403" s="25">
        <f>ROE!G444</f>
        <v>0</v>
      </c>
      <c r="L403" s="25">
        <f>KM!E444</f>
        <v>0</v>
      </c>
      <c r="M403" s="24">
        <f>KI!E444</f>
        <v>0</v>
      </c>
      <c r="N403" s="108">
        <f>IO!E444</f>
        <v>0</v>
      </c>
      <c r="O403" s="24">
        <f>'BoC Size'!E444</f>
        <v>0</v>
      </c>
      <c r="P403" s="24">
        <f>'TMT E DK'!E444</f>
        <v>0</v>
      </c>
      <c r="Q403" s="24">
        <f>Data!R444</f>
        <v>0</v>
      </c>
      <c r="R403" s="24">
        <f>Data!S444</f>
        <v>0</v>
      </c>
      <c r="S403" s="24">
        <f>'TMT E DK'!E444</f>
        <v>0</v>
      </c>
      <c r="T403" s="24">
        <f>'TMT E DD'!E444</f>
        <v>0</v>
      </c>
      <c r="U403" s="24">
        <f>TA!E444</f>
        <v>0</v>
      </c>
      <c r="V403" s="109">
        <f>PR!F444</f>
        <v>0</v>
      </c>
      <c r="W403" s="109">
        <f>'Z Score'!I444</f>
        <v>0</v>
      </c>
      <c r="X403" s="109">
        <f>'Z Score'!L444</f>
        <v>0</v>
      </c>
      <c r="Y403" s="109">
        <f>'Z Score'!O444</f>
        <v>0</v>
      </c>
      <c r="Z403" s="109">
        <f>'Z Score'!R444</f>
        <v>0</v>
      </c>
      <c r="AA403" s="109">
        <f>'Z Score'!S444</f>
        <v>0</v>
      </c>
    </row>
    <row r="404" spans="1:27" ht="15" customHeight="1" x14ac:dyDescent="0.3">
      <c r="A404" s="22"/>
      <c r="B404" s="23"/>
      <c r="C404" s="3"/>
      <c r="D404" s="23">
        <v>2017</v>
      </c>
      <c r="E404" s="25">
        <f>'Current Ratio'!G445</f>
        <v>0</v>
      </c>
      <c r="F404" s="25">
        <f>'Cash Ratio'!G445</f>
        <v>0</v>
      </c>
      <c r="G404" s="25">
        <f>DAR!G445</f>
        <v>0</v>
      </c>
      <c r="H404" s="25">
        <f>DER!G445</f>
        <v>0</v>
      </c>
      <c r="I404" s="25">
        <f>NPM!G445</f>
        <v>0</v>
      </c>
      <c r="J404" s="25">
        <f>ROA!G445</f>
        <v>0</v>
      </c>
      <c r="K404" s="25">
        <f>ROE!G445</f>
        <v>0</v>
      </c>
      <c r="L404" s="25">
        <f>KM!E445</f>
        <v>0</v>
      </c>
      <c r="M404" s="24">
        <f>KI!E445</f>
        <v>0</v>
      </c>
      <c r="N404" s="108">
        <f>IO!E445</f>
        <v>0</v>
      </c>
      <c r="O404" s="24">
        <f>'BoC Size'!E445</f>
        <v>0</v>
      </c>
      <c r="P404" s="24">
        <f>'TMT E DK'!E445</f>
        <v>0</v>
      </c>
      <c r="Q404" s="24">
        <f>Data!R445</f>
        <v>0</v>
      </c>
      <c r="R404" s="24">
        <f>Data!S445</f>
        <v>0</v>
      </c>
      <c r="S404" s="24">
        <f>'TMT E DK'!E445</f>
        <v>0</v>
      </c>
      <c r="T404" s="24">
        <f>'TMT E DD'!E445</f>
        <v>0</v>
      </c>
      <c r="U404" s="24">
        <f>TA!E445</f>
        <v>0</v>
      </c>
      <c r="V404" s="109">
        <f>PR!F445</f>
        <v>0</v>
      </c>
      <c r="W404" s="109">
        <f>'Z Score'!I445</f>
        <v>0</v>
      </c>
      <c r="X404" s="109">
        <f>'Z Score'!L445</f>
        <v>0</v>
      </c>
      <c r="Y404" s="109">
        <f>'Z Score'!O445</f>
        <v>0</v>
      </c>
      <c r="Z404" s="109">
        <f>'Z Score'!R445</f>
        <v>0</v>
      </c>
      <c r="AA404" s="109">
        <f>'Z Score'!S445</f>
        <v>0</v>
      </c>
    </row>
    <row r="405" spans="1:27" ht="15" customHeight="1" x14ac:dyDescent="0.3">
      <c r="A405" s="22"/>
      <c r="B405" s="23"/>
      <c r="C405" s="3"/>
      <c r="D405" s="23">
        <v>2018</v>
      </c>
      <c r="E405" s="25">
        <f>'Current Ratio'!G446</f>
        <v>1.0052786948046826</v>
      </c>
      <c r="F405" s="25">
        <f>'Cash Ratio'!G446</f>
        <v>0.18624722544590042</v>
      </c>
      <c r="G405" s="25">
        <f>DAR!G446</f>
        <v>0.73756760344076</v>
      </c>
      <c r="H405" s="25">
        <f>DER!G446</f>
        <v>3.6516513611512327</v>
      </c>
      <c r="I405" s="25">
        <f>NPM!G446</f>
        <v>-0.8093721542419523</v>
      </c>
      <c r="J405" s="25">
        <f>ROA!G446</f>
        <v>-0.32875939811630051</v>
      </c>
      <c r="K405" s="25">
        <f>ROE!G446</f>
        <v>-1.6276673460469739</v>
      </c>
      <c r="L405" s="25">
        <f>KM!E446</f>
        <v>0</v>
      </c>
      <c r="M405" s="24">
        <f>KI!E446</f>
        <v>0</v>
      </c>
      <c r="N405" s="108">
        <f>IO!E446</f>
        <v>0</v>
      </c>
      <c r="O405" s="24">
        <f>'BoC Size'!E446</f>
        <v>0</v>
      </c>
      <c r="P405" s="24">
        <f>'TMT E DK'!E446</f>
        <v>0</v>
      </c>
      <c r="Q405" s="24">
        <f>Data!R446</f>
        <v>0</v>
      </c>
      <c r="R405" s="24">
        <f>Data!S446</f>
        <v>0</v>
      </c>
      <c r="S405" s="24">
        <f>'TMT E DK'!E446</f>
        <v>0</v>
      </c>
      <c r="T405" s="24">
        <f>'TMT E DD'!E446</f>
        <v>0</v>
      </c>
      <c r="U405" s="24">
        <f>TA!E446</f>
        <v>1484207000000</v>
      </c>
      <c r="V405" s="109">
        <f>PR!F446</f>
        <v>0</v>
      </c>
      <c r="W405" s="109">
        <f>'Z Score'!I446</f>
        <v>8.2828338634705258E-3</v>
      </c>
      <c r="X405" s="109">
        <f>'Z Score'!L446</f>
        <v>-3.6923070838501637</v>
      </c>
      <c r="Y405" s="109">
        <f>'Z Score'!O446</f>
        <v>-2.1715069124455009</v>
      </c>
      <c r="Z405" s="109">
        <f>'Z Score'!R446</f>
        <v>0.28754114129585834</v>
      </c>
      <c r="AA405" s="109">
        <f>'Z Score'!S446</f>
        <v>-5.5679900211363353</v>
      </c>
    </row>
    <row r="406" spans="1:27" ht="15" customHeight="1" x14ac:dyDescent="0.3">
      <c r="A406" s="22"/>
      <c r="B406" s="23"/>
      <c r="C406" s="3"/>
      <c r="D406" s="23">
        <v>2019</v>
      </c>
      <c r="E406" s="25">
        <f>'Current Ratio'!G447</f>
        <v>10.65590975487007</v>
      </c>
      <c r="F406" s="25">
        <f>'Cash Ratio'!G447</f>
        <v>9.9807617107014401</v>
      </c>
      <c r="G406" s="25">
        <f>DAR!G447</f>
        <v>0.20194526433745719</v>
      </c>
      <c r="H406" s="25">
        <f>DER!G447</f>
        <v>0.26082899917525648</v>
      </c>
      <c r="I406" s="25">
        <f>NPM!G447</f>
        <v>-0.33732492238034267</v>
      </c>
      <c r="J406" s="25">
        <f>ROA!G447</f>
        <v>-4.5813964963700389E-2</v>
      </c>
      <c r="K406" s="25">
        <f>ROE!G447</f>
        <v>-5.9172522163055262E-2</v>
      </c>
      <c r="L406" s="25">
        <f>KM!E447</f>
        <v>0.79049999999999998</v>
      </c>
      <c r="M406" s="24">
        <f>KI!E447</f>
        <v>2</v>
      </c>
      <c r="N406" s="108">
        <f>IO!E447</f>
        <v>0</v>
      </c>
      <c r="O406" s="24">
        <f>'BoC Size'!E447</f>
        <v>6</v>
      </c>
      <c r="P406" s="24">
        <f>'TMT E DK'!E447</f>
        <v>0</v>
      </c>
      <c r="Q406" s="24">
        <f>Data!R447</f>
        <v>6</v>
      </c>
      <c r="R406" s="24">
        <f>Data!S447</f>
        <v>4</v>
      </c>
      <c r="S406" s="24">
        <f>'TMT E DK'!E447</f>
        <v>0</v>
      </c>
      <c r="T406" s="24">
        <f>'TMT E DD'!E447</f>
        <v>0</v>
      </c>
      <c r="U406" s="24">
        <f>TA!E447</f>
        <v>7538924000000</v>
      </c>
      <c r="V406" s="109">
        <f>PR!F447</f>
        <v>0.69837826002577663</v>
      </c>
      <c r="W406" s="109">
        <f>'Z Score'!I447</f>
        <v>4.7914552474597167</v>
      </c>
      <c r="X406" s="109">
        <f>'Z Score'!L447</f>
        <v>-0.87904522449092193</v>
      </c>
      <c r="Y406" s="109">
        <f>'Z Score'!O447</f>
        <v>-0.30793669759769432</v>
      </c>
      <c r="Z406" s="109">
        <f>'Z Score'!R447</f>
        <v>4.0256259975697066</v>
      </c>
      <c r="AA406" s="109">
        <f>'Z Score'!S447</f>
        <v>7.6300993229408069</v>
      </c>
    </row>
    <row r="407" spans="1:27" ht="15" customHeight="1" x14ac:dyDescent="0.3">
      <c r="A407" s="22"/>
      <c r="B407" s="23"/>
      <c r="C407" s="3"/>
      <c r="D407" s="23">
        <v>2020</v>
      </c>
      <c r="E407" s="25">
        <f>'Current Ratio'!G448</f>
        <v>1.7517706895010281</v>
      </c>
      <c r="F407" s="25">
        <f>'Cash Ratio'!G448</f>
        <v>1.3084834156178291</v>
      </c>
      <c r="G407" s="25">
        <f>DAR!G448</f>
        <v>0.58192684278135143</v>
      </c>
      <c r="H407" s="25">
        <f>DER!G448</f>
        <v>1.3919258692731831</v>
      </c>
      <c r="I407" s="25">
        <f>NPM!G448</f>
        <v>-0.12218618400710259</v>
      </c>
      <c r="J407" s="25">
        <f>ROA!G448</f>
        <v>-2.6951676940754656E-2</v>
      </c>
      <c r="K407" s="25">
        <f>ROE!G448</f>
        <v>-6.4466413294884589E-2</v>
      </c>
      <c r="L407" s="25">
        <f>KM!E448</f>
        <v>0.79049999999999998</v>
      </c>
      <c r="M407" s="24">
        <f>KI!E448</f>
        <v>3</v>
      </c>
      <c r="N407" s="108">
        <f>IO!E448</f>
        <v>0</v>
      </c>
      <c r="O407" s="24">
        <f>'BoC Size'!E448</f>
        <v>6</v>
      </c>
      <c r="P407" s="24">
        <f>'TMT E DK'!E448</f>
        <v>0</v>
      </c>
      <c r="Q407" s="24">
        <f>Data!R448</f>
        <v>6</v>
      </c>
      <c r="R407" s="24">
        <f>Data!S448</f>
        <v>5</v>
      </c>
      <c r="S407" s="24">
        <f>'TMT E DK'!E448</f>
        <v>0</v>
      </c>
      <c r="T407" s="24">
        <f>'TMT E DD'!E448</f>
        <v>0</v>
      </c>
      <c r="U407" s="24">
        <f>TA!E448</f>
        <v>13444989000000</v>
      </c>
      <c r="V407" s="109">
        <f>PR!F448</f>
        <v>1.8964452687412772</v>
      </c>
      <c r="W407" s="109">
        <f>'Z Score'!I448</f>
        <v>0.36924608863569913</v>
      </c>
      <c r="X407" s="109">
        <f>'Z Score'!L448</f>
        <v>-0.58549065975435155</v>
      </c>
      <c r="Y407" s="109">
        <f>'Z Score'!O448</f>
        <v>-0.22213954061249136</v>
      </c>
      <c r="Z407" s="109">
        <f>'Z Score'!R448</f>
        <v>0.75435051763803684</v>
      </c>
      <c r="AA407" s="109">
        <f>'Z Score'!S448</f>
        <v>0.31596640590689307</v>
      </c>
    </row>
    <row r="408" spans="1:27" ht="15" customHeight="1" x14ac:dyDescent="0.3">
      <c r="A408" s="22"/>
      <c r="B408" s="23"/>
      <c r="C408" s="3"/>
      <c r="D408" s="23">
        <v>2021</v>
      </c>
      <c r="E408" s="25">
        <f>'Current Ratio'!G449</f>
        <v>1.0900580306783425</v>
      </c>
      <c r="F408" s="25">
        <f>'Cash Ratio'!G449</f>
        <v>0.49067361329162257</v>
      </c>
      <c r="G408" s="25">
        <f>DAR!G449</f>
        <v>0.58978197102027774</v>
      </c>
      <c r="H408" s="25">
        <f>DER!G449</f>
        <v>1.4377283174498614</v>
      </c>
      <c r="I408" s="25">
        <f>NPM!G449</f>
        <v>-6.1175022096812845E-2</v>
      </c>
      <c r="J408" s="25">
        <f>ROA!G449</f>
        <v>-1.3178328556347107E-2</v>
      </c>
      <c r="K408" s="25">
        <f>ROE!G449</f>
        <v>-3.2125187057416779E-2</v>
      </c>
      <c r="L408" s="25">
        <f>KM!E449</f>
        <v>0.79049999999999998</v>
      </c>
      <c r="M408" s="24">
        <f>KI!E449</f>
        <v>3</v>
      </c>
      <c r="N408" s="108">
        <f>IO!E449</f>
        <v>0</v>
      </c>
      <c r="O408" s="24">
        <f>'BoC Size'!E449</f>
        <v>6</v>
      </c>
      <c r="P408" s="24">
        <f>'TMT E DK'!E449</f>
        <v>0</v>
      </c>
      <c r="Q408" s="24">
        <f>Data!R449</f>
        <v>6</v>
      </c>
      <c r="R408" s="24">
        <f>Data!S449</f>
        <v>4</v>
      </c>
      <c r="S408" s="24">
        <f>'TMT E DK'!E449</f>
        <v>0</v>
      </c>
      <c r="T408" s="24">
        <f>'TMT E DD'!E449</f>
        <v>0</v>
      </c>
      <c r="U408" s="24">
        <f>TA!E449</f>
        <v>13618419000000</v>
      </c>
      <c r="V408" s="109">
        <f>PR!F449</f>
        <v>-1.0789434729787007E-2</v>
      </c>
      <c r="W408" s="109">
        <f>'Z Score'!I449</f>
        <v>5.5954336549639133E-2</v>
      </c>
      <c r="X408" s="109">
        <f>'Z Score'!L449</f>
        <v>-0.62502005702717767</v>
      </c>
      <c r="Y408" s="109">
        <f>'Z Score'!O449</f>
        <v>-7.0801593048356051E-2</v>
      </c>
      <c r="Z408" s="109">
        <f>'Z Score'!R449</f>
        <v>0.73031878641885151</v>
      </c>
      <c r="AA408" s="109">
        <f>'Z Score'!S449</f>
        <v>9.0451472892956852E-2</v>
      </c>
    </row>
    <row r="409" spans="1:27" ht="15" customHeight="1" x14ac:dyDescent="0.3">
      <c r="A409" s="22"/>
      <c r="B409" s="23"/>
      <c r="C409" s="3"/>
      <c r="D409" s="23">
        <v>2022</v>
      </c>
      <c r="E409" s="25">
        <f>'Current Ratio'!G450</f>
        <v>0.992425306713282</v>
      </c>
      <c r="F409" s="25">
        <f>'Cash Ratio'!G450</f>
        <v>0.40408441261672357</v>
      </c>
      <c r="G409" s="25">
        <f>DAR!G450</f>
        <v>0.58170404362898875</v>
      </c>
      <c r="H409" s="25">
        <f>DER!G450</f>
        <v>1.3906521129948375</v>
      </c>
      <c r="I409" s="25">
        <f>NPM!G450</f>
        <v>-0.15311967942507221</v>
      </c>
      <c r="J409" s="25">
        <f>ROA!G450</f>
        <v>-3.145136008905873E-2</v>
      </c>
      <c r="K409" s="25">
        <f>ROE!G450</f>
        <v>-7.5189266506641456E-2</v>
      </c>
      <c r="L409" s="25">
        <f>KM!E450</f>
        <v>0.79049999999999998</v>
      </c>
      <c r="M409" s="24">
        <f>KI!E450</f>
        <v>3</v>
      </c>
      <c r="N409" s="108">
        <f>IO!E450</f>
        <v>0</v>
      </c>
      <c r="O409" s="24">
        <f>'BoC Size'!E450</f>
        <v>8</v>
      </c>
      <c r="P409" s="24">
        <f>'TMT E DK'!E450</f>
        <v>0</v>
      </c>
      <c r="Q409" s="24">
        <f>Data!R450</f>
        <v>8</v>
      </c>
      <c r="R409" s="24">
        <f>Data!S450</f>
        <v>4</v>
      </c>
      <c r="S409" s="24">
        <f>'TMT E DK'!E450</f>
        <v>0</v>
      </c>
      <c r="T409" s="24">
        <f>'TMT E DD'!E450</f>
        <v>0</v>
      </c>
      <c r="U409" s="24">
        <f>TA!E450</f>
        <v>12421466000000</v>
      </c>
      <c r="V409" s="109">
        <f>PR!F450</f>
        <v>-0.13030216986782134</v>
      </c>
      <c r="W409" s="109">
        <f>'Z Score'!I450</f>
        <v>-4.4990373922047531E-3</v>
      </c>
      <c r="X409" s="109">
        <f>'Z Score'!L450</f>
        <v>-0.75868883431311562</v>
      </c>
      <c r="Y409" s="109">
        <f>'Z Score'!O450</f>
        <v>-0.14332252247842564</v>
      </c>
      <c r="Z409" s="109">
        <f>'Z Score'!R450</f>
        <v>0.75504145874324646</v>
      </c>
      <c r="AA409" s="109">
        <f>'Z Score'!S450</f>
        <v>-0.15146893544049955</v>
      </c>
    </row>
    <row r="410" spans="1:27" ht="15" customHeight="1" x14ac:dyDescent="0.3">
      <c r="A410" s="22"/>
      <c r="B410" s="23"/>
      <c r="C410" s="3"/>
      <c r="D410" s="23">
        <v>2023</v>
      </c>
      <c r="E410" s="25">
        <f>'Current Ratio'!G451</f>
        <v>0.91376773728285743</v>
      </c>
      <c r="F410" s="25">
        <f>'Cash Ratio'!G451</f>
        <v>0.43791975102726322</v>
      </c>
      <c r="G410" s="25">
        <f>DAR!G451</f>
        <v>0.66092982405718181</v>
      </c>
      <c r="H410" s="25">
        <f>DER!G451</f>
        <v>1.9487658371763956</v>
      </c>
      <c r="I410" s="25">
        <f>NPM!G451</f>
        <v>-0.65665204269826194</v>
      </c>
      <c r="J410" s="25">
        <f>ROA!G451</f>
        <v>-0.19227752368622303</v>
      </c>
      <c r="K410" s="25">
        <f>ROE!G451</f>
        <v>-0.5669344244695006</v>
      </c>
      <c r="L410" s="25">
        <f>KM!E451</f>
        <v>0.79049999999999998</v>
      </c>
      <c r="M410" s="24">
        <f>KI!E451</f>
        <v>3</v>
      </c>
      <c r="N410" s="108">
        <f>IO!E451</f>
        <v>0</v>
      </c>
      <c r="O410" s="24">
        <f>'BoC Size'!E451</f>
        <v>7</v>
      </c>
      <c r="P410" s="24">
        <f>'TMT E DK'!E451</f>
        <v>0</v>
      </c>
      <c r="Q410" s="24">
        <f>Data!R451</f>
        <v>7</v>
      </c>
      <c r="R410" s="24">
        <f>Data!S451</f>
        <v>3</v>
      </c>
      <c r="S410" s="24">
        <f>'TMT E DK'!E451</f>
        <v>0</v>
      </c>
      <c r="T410" s="24">
        <f>'TMT E DD'!E451</f>
        <v>0</v>
      </c>
      <c r="U410" s="24">
        <f>TA!E451</f>
        <v>9777097000000</v>
      </c>
      <c r="V410" s="109">
        <f>PR!F451</f>
        <v>0.12207495759217626</v>
      </c>
      <c r="W410" s="109">
        <f>'Z Score'!I451</f>
        <v>-6.0011629218775259E-2</v>
      </c>
      <c r="X410" s="109">
        <f>'Z Score'!L451</f>
        <v>-1.5990833229945454</v>
      </c>
      <c r="Y410" s="109">
        <f>'Z Score'!O451</f>
        <v>-1.2992737128413474</v>
      </c>
      <c r="Z410" s="109">
        <f>'Z Score'!R451</f>
        <v>0.53880254875637867</v>
      </c>
      <c r="AA410" s="109">
        <f>'Z Score'!S451</f>
        <v>-2.4195661162982898</v>
      </c>
    </row>
    <row r="411" spans="1:27" ht="15" customHeight="1" x14ac:dyDescent="0.3">
      <c r="A411" s="22"/>
      <c r="B411" s="23"/>
      <c r="C411" s="3"/>
      <c r="D411" s="23">
        <v>2024</v>
      </c>
      <c r="E411" s="25">
        <f>'Current Ratio'!G452</f>
        <v>0.97158585281363841</v>
      </c>
      <c r="F411" s="25">
        <f>'Cash Ratio'!G452</f>
        <v>0.30000053075832983</v>
      </c>
      <c r="G411" s="25">
        <f>DAR!G452</f>
        <v>0.68342108611826335</v>
      </c>
      <c r="H411" s="25">
        <f>DER!G452</f>
        <v>2.1587700764352453</v>
      </c>
      <c r="I411" s="25">
        <f>NPM!G452</f>
        <v>-0.35493079444719494</v>
      </c>
      <c r="J411" s="25">
        <f>ROA!G452</f>
        <v>-0.10621703851627709</v>
      </c>
      <c r="K411" s="25">
        <f>ROE!G452</f>
        <v>-0.33551520287278597</v>
      </c>
      <c r="L411" s="25">
        <f>KM!E452</f>
        <v>0.79049999999999998</v>
      </c>
      <c r="M411" s="24">
        <f>KI!E452</f>
        <v>2</v>
      </c>
      <c r="N411" s="108">
        <f>IO!E452</f>
        <v>0</v>
      </c>
      <c r="O411" s="24">
        <f>'BoC Size'!E452</f>
        <v>5</v>
      </c>
      <c r="P411" s="24">
        <f>'TMT E DK'!E452</f>
        <v>0</v>
      </c>
      <c r="Q411" s="24">
        <f>Data!R452</f>
        <v>5</v>
      </c>
      <c r="R411" s="24">
        <f>Data!S452</f>
        <v>5</v>
      </c>
      <c r="S411" s="24">
        <f>'TMT E DK'!E452</f>
        <v>0</v>
      </c>
      <c r="T411" s="24">
        <f>'TMT E DD'!E452</f>
        <v>0</v>
      </c>
      <c r="U411" s="24">
        <f>TA!E452</f>
        <v>7842866000000</v>
      </c>
      <c r="V411" s="109">
        <f>PR!F452</f>
        <v>-0.18017311239032024</v>
      </c>
      <c r="W411" s="109">
        <f>'Z Score'!I452</f>
        <v>-2.6866933592898306E-2</v>
      </c>
      <c r="X411" s="109">
        <f>'Z Score'!L452</f>
        <v>-2.3257298875181593</v>
      </c>
      <c r="Y411" s="109">
        <f>'Z Score'!O452</f>
        <v>-0.67328987133019991</v>
      </c>
      <c r="Z411" s="109">
        <f>'Z Score'!R452</f>
        <v>0.48638806488083913</v>
      </c>
      <c r="AA411" s="109">
        <f>'Z Score'!S452</f>
        <v>-2.5394986275604183</v>
      </c>
    </row>
    <row r="412" spans="1:27" ht="15" customHeight="1" x14ac:dyDescent="0.3">
      <c r="A412" s="22"/>
      <c r="B412" s="23">
        <v>42</v>
      </c>
      <c r="C412" s="3" t="s">
        <v>14</v>
      </c>
      <c r="D412" s="23">
        <v>2015</v>
      </c>
      <c r="E412" s="25">
        <f>'Current Ratio'!G454</f>
        <v>0.53011376975197011</v>
      </c>
      <c r="F412" s="25">
        <f>'Cash Ratio'!G454</f>
        <v>0.14425144057308065</v>
      </c>
      <c r="G412" s="25">
        <f>DAR!G454</f>
        <v>0.94971852101755572</v>
      </c>
      <c r="H412" s="25">
        <f>DER!G454</f>
        <v>19.58392467778846</v>
      </c>
      <c r="I412" s="25">
        <f>NPM!G454</f>
        <v>-4.1146548648104672E-2</v>
      </c>
      <c r="J412" s="25">
        <f>ROA!G454</f>
        <v>-1.5230794240850172E-2</v>
      </c>
      <c r="K412" s="25">
        <f>ROE!G454</f>
        <v>-0.31407066472297457</v>
      </c>
      <c r="L412" s="25">
        <f>KM!E454</f>
        <v>0.99160000000000004</v>
      </c>
      <c r="M412" s="24">
        <f>KI!E454</f>
        <v>2</v>
      </c>
      <c r="N412" s="108">
        <f>IO!E454</f>
        <v>0</v>
      </c>
      <c r="O412" s="24">
        <f>'BoC Size'!E454</f>
        <v>4</v>
      </c>
      <c r="P412" s="24">
        <f>'TMT E DK'!E454</f>
        <v>11</v>
      </c>
      <c r="Q412" s="24">
        <f>Data!R454</f>
        <v>4</v>
      </c>
      <c r="R412" s="24">
        <f>Data!S454</f>
        <v>4</v>
      </c>
      <c r="S412" s="24">
        <f>'TMT E DK'!E454</f>
        <v>11</v>
      </c>
      <c r="T412" s="24">
        <f>'TMT E DD'!E454</f>
        <v>6</v>
      </c>
      <c r="U412" s="24">
        <f>TA!E454</f>
        <v>2405430040000</v>
      </c>
      <c r="V412" s="109">
        <f>PR!F454</f>
        <v>-0.29225979205999941</v>
      </c>
      <c r="W412" s="109">
        <f>'Z Score'!I454</f>
        <v>-0.20878762385456862</v>
      </c>
      <c r="X412" s="109">
        <f>'Z Score'!L454</f>
        <v>-0.43826483916364489</v>
      </c>
      <c r="Y412" s="109">
        <f>'Z Score'!O454</f>
        <v>7.3691671365341382E-4</v>
      </c>
      <c r="Z412" s="109">
        <f>'Z Score'!R454</f>
        <v>5.3615402289147934E-2</v>
      </c>
      <c r="AA412" s="109">
        <f>'Z Score'!S454</f>
        <v>-0.59270014401541216</v>
      </c>
    </row>
    <row r="413" spans="1:27" ht="15" customHeight="1" x14ac:dyDescent="0.3">
      <c r="A413" s="22"/>
      <c r="B413" s="23"/>
      <c r="C413" s="3"/>
      <c r="D413" s="23">
        <v>2016</v>
      </c>
      <c r="E413" s="25">
        <f>'Current Ratio'!G455</f>
        <v>0.91348108116209481</v>
      </c>
      <c r="F413" s="25">
        <f>'Cash Ratio'!G455</f>
        <v>0.31532922414062742</v>
      </c>
      <c r="G413" s="25">
        <f>DAR!G455</f>
        <v>0.89211259815773181</v>
      </c>
      <c r="H413" s="25">
        <f>DER!G455</f>
        <v>8.4066090432845293</v>
      </c>
      <c r="I413" s="25">
        <f>NPM!G455</f>
        <v>-5.2841565787908287E-2</v>
      </c>
      <c r="J413" s="25">
        <f>ROA!G455</f>
        <v>-2.3766013210337118E-2</v>
      </c>
      <c r="K413" s="25">
        <f>ROE!G455</f>
        <v>-0.22395332381744379</v>
      </c>
      <c r="L413" s="25">
        <f>KM!E455</f>
        <v>0.99160000000000004</v>
      </c>
      <c r="M413" s="24">
        <f>KI!E455</f>
        <v>2</v>
      </c>
      <c r="N413" s="108">
        <f>IO!E455</f>
        <v>0</v>
      </c>
      <c r="O413" s="24">
        <f>'BoC Size'!E455</f>
        <v>4</v>
      </c>
      <c r="P413" s="24">
        <f>'TMT E DK'!E455</f>
        <v>6</v>
      </c>
      <c r="Q413" s="24">
        <f>Data!R455</f>
        <v>4</v>
      </c>
      <c r="R413" s="24">
        <f>Data!S455</f>
        <v>4</v>
      </c>
      <c r="S413" s="24">
        <f>'TMT E DK'!E455</f>
        <v>6</v>
      </c>
      <c r="T413" s="24">
        <f>'TMT E DD'!E455</f>
        <v>6</v>
      </c>
      <c r="U413" s="24">
        <f>TA!E455</f>
        <v>2607832010000</v>
      </c>
      <c r="V413" s="109">
        <f>PR!F455</f>
        <v>0.31728091341031811</v>
      </c>
      <c r="W413" s="109">
        <f>'Z Score'!I455</f>
        <v>-2.671915726657562E-2</v>
      </c>
      <c r="X413" s="109">
        <f>'Z Score'!L455</f>
        <v>-0.51676887431104124</v>
      </c>
      <c r="Y413" s="109">
        <f>'Z Score'!O455</f>
        <v>-0.22020178638730642</v>
      </c>
      <c r="Z413" s="109">
        <f>'Z Score'!R455</f>
        <v>0.12490172846074885</v>
      </c>
      <c r="AA413" s="109">
        <f>'Z Score'!S455</f>
        <v>-0.63878808950417432</v>
      </c>
    </row>
    <row r="414" spans="1:27" ht="15" customHeight="1" x14ac:dyDescent="0.3">
      <c r="A414" s="22"/>
      <c r="B414" s="23"/>
      <c r="C414" s="3"/>
      <c r="D414" s="23">
        <v>2017</v>
      </c>
      <c r="E414" s="25">
        <f>'Current Ratio'!G456</f>
        <v>0.68837770683416899</v>
      </c>
      <c r="F414" s="25">
        <f>'Cash Ratio'!G456</f>
        <v>0.40619798147867436</v>
      </c>
      <c r="G414" s="25">
        <f>DAR!G456</f>
        <v>0.81646750177373839</v>
      </c>
      <c r="H414" s="25">
        <f>DER!G456</f>
        <v>4.4578153727483407</v>
      </c>
      <c r="I414" s="25">
        <f>NPM!G456</f>
        <v>2.265309848082194E-3</v>
      </c>
      <c r="J414" s="25">
        <f>ROA!G456</f>
        <v>9.3551898987274994E-4</v>
      </c>
      <c r="K414" s="25">
        <f>ROE!G456</f>
        <v>5.1078223266606496E-3</v>
      </c>
      <c r="L414" s="25">
        <f>KM!E456</f>
        <v>0.99480000000000002</v>
      </c>
      <c r="M414" s="24">
        <f>KI!E456</f>
        <v>2</v>
      </c>
      <c r="N414" s="108">
        <f>IO!E456</f>
        <v>0</v>
      </c>
      <c r="O414" s="24">
        <f>'BoC Size'!E456</f>
        <v>3</v>
      </c>
      <c r="P414" s="24">
        <f>'TMT E DK'!E456</f>
        <v>5</v>
      </c>
      <c r="Q414" s="24">
        <f>Data!R456</f>
        <v>3</v>
      </c>
      <c r="R414" s="24">
        <f>Data!S456</f>
        <v>5</v>
      </c>
      <c r="S414" s="24">
        <f>'TMT E DK'!E456</f>
        <v>5</v>
      </c>
      <c r="T414" s="24">
        <f>'TMT E DD'!E456</f>
        <v>6</v>
      </c>
      <c r="U414" s="24">
        <f>TA!E456</f>
        <v>3661165660000</v>
      </c>
      <c r="V414" s="109">
        <f>PR!F456</f>
        <v>0.28909257467780275</v>
      </c>
      <c r="W414" s="109">
        <f>'Z Score'!I456</f>
        <v>-0.10295426358828026</v>
      </c>
      <c r="X414" s="109">
        <f>'Z Score'!L456</f>
        <v>-0.41643764335973804</v>
      </c>
      <c r="Y414" s="109">
        <f>'Z Score'!O456</f>
        <v>-8.4440036837885118E-2</v>
      </c>
      <c r="Z414" s="109">
        <f>'Z Score'!R456</f>
        <v>0.23554138343613187</v>
      </c>
      <c r="AA414" s="109">
        <f>'Z Score'!S456</f>
        <v>-0.36829056034977159</v>
      </c>
    </row>
    <row r="415" spans="1:27" ht="15" customHeight="1" x14ac:dyDescent="0.3">
      <c r="A415" s="22"/>
      <c r="B415" s="23"/>
      <c r="C415" s="3"/>
      <c r="D415" s="23">
        <v>2018</v>
      </c>
      <c r="E415" s="25">
        <f>'Current Ratio'!G457</f>
        <v>1.0543324173302007</v>
      </c>
      <c r="F415" s="25">
        <f>'Cash Ratio'!G457</f>
        <v>0.54410816335025125</v>
      </c>
      <c r="G415" s="25">
        <f>DAR!G457</f>
        <v>0.87349973076692711</v>
      </c>
      <c r="H415" s="25">
        <f>DER!G457</f>
        <v>6.9217683425658061</v>
      </c>
      <c r="I415" s="25">
        <f>NPM!G457</f>
        <v>-5.0413126645102661E-2</v>
      </c>
      <c r="J415" s="25">
        <f>ROA!G457</f>
        <v>-2.1089784568360345E-2</v>
      </c>
      <c r="K415" s="25">
        <f>ROE!G457</f>
        <v>-0.16711923087674135</v>
      </c>
      <c r="L415" s="25">
        <f>KM!E457</f>
        <v>0.99480000000000002</v>
      </c>
      <c r="M415" s="24">
        <f>KI!E457</f>
        <v>2</v>
      </c>
      <c r="N415" s="108">
        <f>IO!E457</f>
        <v>0</v>
      </c>
      <c r="O415" s="24">
        <f>'BoC Size'!E457</f>
        <v>4</v>
      </c>
      <c r="P415" s="24">
        <f>'TMT E DK'!E457</f>
        <v>6</v>
      </c>
      <c r="Q415" s="24">
        <f>Data!R457</f>
        <v>4</v>
      </c>
      <c r="R415" s="24">
        <f>Data!S457</f>
        <v>4</v>
      </c>
      <c r="S415" s="24">
        <f>'TMT E DK'!E457</f>
        <v>6</v>
      </c>
      <c r="T415" s="24">
        <f>'TMT E DD'!E457</f>
        <v>6</v>
      </c>
      <c r="U415" s="24">
        <f>TA!E457</f>
        <v>4552765330000</v>
      </c>
      <c r="V415" s="109">
        <f>PR!F457</f>
        <v>0.25967758258940637</v>
      </c>
      <c r="W415" s="109">
        <f>'Z Score'!I457</f>
        <v>1.3259966377401665E-2</v>
      </c>
      <c r="X415" s="109">
        <f>'Z Score'!L457</f>
        <v>-0.32836179017379746</v>
      </c>
      <c r="Y415" s="109">
        <f>'Z Score'!O457</f>
        <v>1.3444072857583457E-2</v>
      </c>
      <c r="Z415" s="109">
        <f>'Z Score'!R457</f>
        <v>0.15169533969274379</v>
      </c>
      <c r="AA415" s="109">
        <f>'Z Score'!S457</f>
        <v>-0.14996241124606852</v>
      </c>
    </row>
    <row r="416" spans="1:27" ht="15" customHeight="1" x14ac:dyDescent="0.3">
      <c r="A416" s="22"/>
      <c r="B416" s="23"/>
      <c r="C416" s="3"/>
      <c r="D416" s="23">
        <v>2019</v>
      </c>
      <c r="E416" s="25">
        <f>'Current Ratio'!G458</f>
        <v>1.3869638002805902</v>
      </c>
      <c r="F416" s="25">
        <f>'Cash Ratio'!G458</f>
        <v>0.84780703802266433</v>
      </c>
      <c r="G416" s="25">
        <f>DAR!G458</f>
        <v>0.87267840048737311</v>
      </c>
      <c r="H416" s="25">
        <f>DER!G458</f>
        <v>6.866714093331046</v>
      </c>
      <c r="I416" s="25">
        <f>NPM!G458</f>
        <v>8.118942992423353E-2</v>
      </c>
      <c r="J416" s="25">
        <f>ROA!G458</f>
        <v>3.0277861660996653E-2</v>
      </c>
      <c r="K416" s="25">
        <f>ROE!G458</f>
        <v>0.23824288451207257</v>
      </c>
      <c r="L416" s="25">
        <f>KM!E458</f>
        <v>0.99480000000000002</v>
      </c>
      <c r="M416" s="24">
        <f>KI!E458</f>
        <v>2</v>
      </c>
      <c r="N416" s="108">
        <f>IO!E458</f>
        <v>0</v>
      </c>
      <c r="O416" s="24">
        <f>'BoC Size'!E458</f>
        <v>4</v>
      </c>
      <c r="P416" s="24">
        <f>'TMT E DK'!E458</f>
        <v>6</v>
      </c>
      <c r="Q416" s="24">
        <f>Data!R458</f>
        <v>4</v>
      </c>
      <c r="R416" s="24">
        <f>Data!S458</f>
        <v>4</v>
      </c>
      <c r="S416" s="24">
        <f>'TMT E DK'!E458</f>
        <v>6</v>
      </c>
      <c r="T416" s="24">
        <f>'TMT E DD'!E458</f>
        <v>6</v>
      </c>
      <c r="U416" s="24">
        <f>TA!E458</f>
        <v>5934705760000</v>
      </c>
      <c r="V416" s="109">
        <f>PR!F458</f>
        <v>0.16204012561209835</v>
      </c>
      <c r="W416" s="109">
        <f>'Z Score'!I458</f>
        <v>7.3836410855186149E-2</v>
      </c>
      <c r="X416" s="109">
        <f>'Z Score'!L458</f>
        <v>-0.24876355423558522</v>
      </c>
      <c r="Y416" s="109">
        <f>'Z Score'!O458</f>
        <v>6.4659343111224434E-3</v>
      </c>
      <c r="Z416" s="109">
        <f>'Z Score'!R458</f>
        <v>0.15291156523026936</v>
      </c>
      <c r="AA416" s="109">
        <f>'Z Score'!S458</f>
        <v>-1.5549643839007254E-2</v>
      </c>
    </row>
    <row r="417" spans="1:27" ht="15" customHeight="1" x14ac:dyDescent="0.3">
      <c r="A417" s="22"/>
      <c r="B417" s="23"/>
      <c r="C417" s="3"/>
      <c r="D417" s="23">
        <v>2020</v>
      </c>
      <c r="E417" s="25">
        <f>'Current Ratio'!G459</f>
        <v>1.350500809643423</v>
      </c>
      <c r="F417" s="25">
        <f>'Cash Ratio'!G459</f>
        <v>0.69167068927767184</v>
      </c>
      <c r="G417" s="25">
        <f>DAR!G459</f>
        <v>0.87791952981059118</v>
      </c>
      <c r="H417" s="25">
        <f>DER!G459</f>
        <v>7.2029381169999622</v>
      </c>
      <c r="I417" s="25">
        <f>NPM!G459</f>
        <v>5.2955498367623102E-2</v>
      </c>
      <c r="J417" s="25">
        <f>ROA!G459</f>
        <v>1.464374980497654E-2</v>
      </c>
      <c r="K417" s="25">
        <f>ROE!G459</f>
        <v>0.12014543482001463</v>
      </c>
      <c r="L417" s="25">
        <f>KM!E459</f>
        <v>0.99480000000000002</v>
      </c>
      <c r="M417" s="24">
        <f>KI!E459</f>
        <v>2</v>
      </c>
      <c r="N417" s="108">
        <f>IO!E459</f>
        <v>0</v>
      </c>
      <c r="O417" s="24">
        <f>'BoC Size'!E459</f>
        <v>4</v>
      </c>
      <c r="P417" s="24">
        <f>'TMT E DK'!E459</f>
        <v>6</v>
      </c>
      <c r="Q417" s="24">
        <f>Data!R459</f>
        <v>4</v>
      </c>
      <c r="R417" s="24">
        <f>Data!S459</f>
        <v>4</v>
      </c>
      <c r="S417" s="24">
        <f>'TMT E DK'!E459</f>
        <v>6</v>
      </c>
      <c r="T417" s="24">
        <f>'TMT E DD'!E459</f>
        <v>6</v>
      </c>
      <c r="U417" s="24">
        <f>TA!E459</f>
        <v>7033128220000</v>
      </c>
      <c r="V417" s="109">
        <f>PR!F459</f>
        <v>-0.12125093574000904</v>
      </c>
      <c r="W417" s="109">
        <f>'Z Score'!I459</f>
        <v>6.7773348912441744E-2</v>
      </c>
      <c r="X417" s="109">
        <f>'Z Score'!L459</f>
        <v>-0.2003732226852534</v>
      </c>
      <c r="Y417" s="109">
        <f>'Z Score'!O459</f>
        <v>1.96628985103303E-2</v>
      </c>
      <c r="Z417" s="109">
        <f>'Z Score'!R459</f>
        <v>0.1457738471363304</v>
      </c>
      <c r="AA417" s="109">
        <f>'Z Score'!S459</f>
        <v>3.2836871873849052E-2</v>
      </c>
    </row>
    <row r="418" spans="1:27" ht="15" customHeight="1" x14ac:dyDescent="0.3">
      <c r="A418" s="22"/>
      <c r="B418" s="23"/>
      <c r="C418" s="3"/>
      <c r="D418" s="23">
        <v>2021</v>
      </c>
      <c r="E418" s="25">
        <f>'Current Ratio'!G460</f>
        <v>1.8002373641641889</v>
      </c>
      <c r="F418" s="25">
        <f>'Cash Ratio'!G460</f>
        <v>0.91398024432062774</v>
      </c>
      <c r="G418" s="25">
        <f>DAR!G460</f>
        <v>0.89854731279134115</v>
      </c>
      <c r="H418" s="25">
        <f>DER!G460</f>
        <v>8.8716640560135236</v>
      </c>
      <c r="I418" s="25">
        <f>NPM!G460</f>
        <v>-1.2546681942035226E-2</v>
      </c>
      <c r="J418" s="25">
        <f>ROA!G460</f>
        <v>-3.8349295392344921E-3</v>
      </c>
      <c r="K418" s="25">
        <f>ROE!G460</f>
        <v>-3.7863567189223471E-2</v>
      </c>
      <c r="L418" s="25">
        <f>KM!E460</f>
        <v>0.99480000000000002</v>
      </c>
      <c r="M418" s="24">
        <f>KI!E460</f>
        <v>2</v>
      </c>
      <c r="N418" s="108">
        <f>IO!E460</f>
        <v>0</v>
      </c>
      <c r="O418" s="24">
        <f>'BoC Size'!E460</f>
        <v>4</v>
      </c>
      <c r="P418" s="24">
        <f>'TMT E DK'!E460</f>
        <v>8</v>
      </c>
      <c r="Q418" s="24">
        <f>Data!R460</f>
        <v>4</v>
      </c>
      <c r="R418" s="24">
        <f>Data!S460</f>
        <v>5</v>
      </c>
      <c r="S418" s="24">
        <f>'TMT E DK'!E460</f>
        <v>8</v>
      </c>
      <c r="T418" s="24">
        <f>'TMT E DD'!E460</f>
        <v>9</v>
      </c>
      <c r="U418" s="24">
        <f>TA!E460</f>
        <v>8154877340000</v>
      </c>
      <c r="V418" s="109">
        <f>PR!F460</f>
        <v>0.28161079711382336</v>
      </c>
      <c r="W418" s="109">
        <f>'Z Score'!I460</f>
        <v>0.13691815622085121</v>
      </c>
      <c r="X418" s="109">
        <f>'Z Score'!L460</f>
        <v>-0.16089886261857617</v>
      </c>
      <c r="Y418" s="109">
        <f>'Z Score'!O460</f>
        <v>2.4501801666583986E-2</v>
      </c>
      <c r="Z418" s="109">
        <f>'Z Score'!R460</f>
        <v>0.11835434630646022</v>
      </c>
      <c r="AA418" s="109">
        <f>'Z Score'!S460</f>
        <v>0.11887544157531925</v>
      </c>
    </row>
    <row r="419" spans="1:27" ht="15" customHeight="1" x14ac:dyDescent="0.3">
      <c r="A419" s="22"/>
      <c r="B419" s="23"/>
      <c r="C419" s="3"/>
      <c r="D419" s="23">
        <v>2022</v>
      </c>
      <c r="E419" s="25">
        <f>'Current Ratio'!G461</f>
        <v>1.7445185191581964</v>
      </c>
      <c r="F419" s="25">
        <f>'Cash Ratio'!G461</f>
        <v>0.74610829745370943</v>
      </c>
      <c r="G419" s="25">
        <f>DAR!G461</f>
        <v>0.95729183148450669</v>
      </c>
      <c r="H419" s="25">
        <f>DER!G461</f>
        <v>22.488203943533403</v>
      </c>
      <c r="I419" s="25">
        <f>NPM!G461</f>
        <v>-0.10175445221026747</v>
      </c>
      <c r="J419" s="25">
        <f>ROA!G461</f>
        <v>-4.0630533474937211E-2</v>
      </c>
      <c r="K419" s="25">
        <f>ROE!G461</f>
        <v>-0.95447145067772043</v>
      </c>
      <c r="L419" s="25">
        <f>KM!E461</f>
        <v>0.99480000000000002</v>
      </c>
      <c r="M419" s="24">
        <f>KI!E461</f>
        <v>2</v>
      </c>
      <c r="N419" s="108">
        <f>IO!E461</f>
        <v>0</v>
      </c>
      <c r="O419" s="24">
        <f>'BoC Size'!E461</f>
        <v>4</v>
      </c>
      <c r="P419" s="24">
        <f>'TMT E DK'!E461</f>
        <v>8</v>
      </c>
      <c r="Q419" s="24">
        <f>Data!R461</f>
        <v>4</v>
      </c>
      <c r="R419" s="24">
        <f>Data!S461</f>
        <v>4</v>
      </c>
      <c r="S419" s="24">
        <f>'TMT E DK'!E461</f>
        <v>8</v>
      </c>
      <c r="T419" s="24">
        <f>'TMT E DD'!E461</f>
        <v>9</v>
      </c>
      <c r="U419" s="24">
        <f>TA!E461</f>
        <v>9927373960000</v>
      </c>
      <c r="V419" s="109">
        <f>PR!F461</f>
        <v>0.5903311026845196</v>
      </c>
      <c r="W419" s="109">
        <f>'Z Score'!I461</f>
        <v>0.1082438852741677</v>
      </c>
      <c r="X419" s="109">
        <f>'Z Score'!L461</f>
        <v>-0.11026183740135843</v>
      </c>
      <c r="Y419" s="109">
        <f>'Z Score'!O461</f>
        <v>4.5162351152126835E-2</v>
      </c>
      <c r="Z419" s="109">
        <f>'Z Score'!R461</f>
        <v>4.6691145395003096E-2</v>
      </c>
      <c r="AA419" s="109">
        <f>'Z Score'!S461</f>
        <v>8.9835544419939198E-2</v>
      </c>
    </row>
    <row r="420" spans="1:27" ht="15" customHeight="1" x14ac:dyDescent="0.3">
      <c r="A420" s="22"/>
      <c r="B420" s="23"/>
      <c r="C420" s="3"/>
      <c r="D420" s="23">
        <v>2023</v>
      </c>
      <c r="E420" s="25">
        <f>'Current Ratio'!G462</f>
        <v>0.8698877415287869</v>
      </c>
      <c r="F420" s="25">
        <f>'Cash Ratio'!G462</f>
        <v>0.4359089493587735</v>
      </c>
      <c r="G420" s="25">
        <f>DAR!G462</f>
        <v>0.90956783462850066</v>
      </c>
      <c r="H420" s="25">
        <f>DER!G462</f>
        <v>10.070652500843398</v>
      </c>
      <c r="I420" s="25">
        <f>NPM!G462</f>
        <v>9.87413716237832E-2</v>
      </c>
      <c r="J420" s="25">
        <f>ROA!G462</f>
        <v>3.3225710290688992E-2</v>
      </c>
      <c r="K420" s="25">
        <f>ROE!G462</f>
        <v>0.3678720483424851</v>
      </c>
      <c r="L420" s="25">
        <f>KM!E462</f>
        <v>0.99480000000000002</v>
      </c>
      <c r="M420" s="24">
        <f>KI!E462</f>
        <v>2</v>
      </c>
      <c r="N420" s="108">
        <f>IO!E462</f>
        <v>0</v>
      </c>
      <c r="O420" s="24">
        <f>'BoC Size'!E462</f>
        <v>4</v>
      </c>
      <c r="P420" s="24">
        <f>'TMT E DK'!E462</f>
        <v>10</v>
      </c>
      <c r="Q420" s="24">
        <f>Data!R462</f>
        <v>4</v>
      </c>
      <c r="R420" s="24">
        <f>Data!S462</f>
        <v>3</v>
      </c>
      <c r="S420" s="24">
        <f>'TMT E DK'!E462</f>
        <v>10</v>
      </c>
      <c r="T420" s="24">
        <f>'TMT E DD'!E462</f>
        <v>6</v>
      </c>
      <c r="U420" s="24">
        <f>TA!E462</f>
        <v>12202897890000</v>
      </c>
      <c r="V420" s="109">
        <f>PR!F462</f>
        <v>3.5868459225012729E-2</v>
      </c>
      <c r="W420" s="109">
        <f>'Z Score'!I462</f>
        <v>-3.7754387273660976E-2</v>
      </c>
      <c r="X420" s="109">
        <f>'Z Score'!L462</f>
        <v>3.9049382573011104E-2</v>
      </c>
      <c r="Y420" s="109">
        <f>'Z Score'!O462</f>
        <v>0.11445281143789034</v>
      </c>
      <c r="Z420" s="109">
        <f>'Z Score'!R462</f>
        <v>0.10426335333406296</v>
      </c>
      <c r="AA420" s="109">
        <f>'Z Score'!S462</f>
        <v>0.22001116007130345</v>
      </c>
    </row>
    <row r="421" spans="1:27" ht="15" customHeight="1" x14ac:dyDescent="0.3">
      <c r="A421" s="22"/>
      <c r="B421" s="23"/>
      <c r="C421" s="3"/>
      <c r="D421" s="23">
        <v>2024</v>
      </c>
      <c r="E421" s="25">
        <f>'Current Ratio'!G463</f>
        <v>0.93455933335584762</v>
      </c>
      <c r="F421" s="25">
        <f>'Cash Ratio'!G463</f>
        <v>0.36967112799214175</v>
      </c>
      <c r="G421" s="25">
        <f>DAR!G463</f>
        <v>0.92778139427669337</v>
      </c>
      <c r="H421" s="25">
        <f>DER!G463</f>
        <v>12.864591692110157</v>
      </c>
      <c r="I421" s="25">
        <f>NPM!G463</f>
        <v>-2.2891746088491108E-2</v>
      </c>
      <c r="J421" s="25">
        <f>ROA!G463</f>
        <v>-7.144913589841019E-3</v>
      </c>
      <c r="K421" s="25">
        <f>ROE!G463</f>
        <v>-9.9071178378579761E-2</v>
      </c>
      <c r="L421" s="25">
        <f>KM!E463</f>
        <v>0.99480000000000002</v>
      </c>
      <c r="M421" s="24">
        <f>KI!E463</f>
        <v>2</v>
      </c>
      <c r="N421" s="108">
        <f>IO!E463</f>
        <v>0</v>
      </c>
      <c r="O421" s="24">
        <f>'BoC Size'!E463</f>
        <v>3</v>
      </c>
      <c r="P421" s="24">
        <f>'TMT E DK'!E463</f>
        <v>7</v>
      </c>
      <c r="Q421" s="24">
        <f>Data!R463</f>
        <v>3</v>
      </c>
      <c r="R421" s="24">
        <f>Data!S463</f>
        <v>5</v>
      </c>
      <c r="S421" s="24">
        <f>'TMT E DK'!E463</f>
        <v>7</v>
      </c>
      <c r="T421" s="24">
        <f>'TMT E DD'!E463</f>
        <v>8</v>
      </c>
      <c r="U421" s="24">
        <f>TA!E463</f>
        <v>13904807770000</v>
      </c>
      <c r="V421" s="109">
        <f>PR!F463</f>
        <v>5.6926907650779533E-2</v>
      </c>
      <c r="W421" s="109">
        <f>'Z Score'!I463</f>
        <v>-1.5285294375558273E-2</v>
      </c>
      <c r="X421" s="109">
        <f>'Z Score'!L463</f>
        <v>7.1757952753057005E-2</v>
      </c>
      <c r="Y421" s="109">
        <f>'Z Score'!O463</f>
        <v>7.2536996921029703E-2</v>
      </c>
      <c r="Z421" s="109">
        <f>'Z Score'!R463</f>
        <v>8.1619380166100736E-2</v>
      </c>
      <c r="AA421" s="109">
        <f>'Z Score'!S463</f>
        <v>0.21062903546462916</v>
      </c>
    </row>
    <row r="422" spans="1:27" ht="15" customHeight="1" x14ac:dyDescent="0.3">
      <c r="A422" s="22"/>
      <c r="B422" s="23">
        <v>43</v>
      </c>
      <c r="C422" s="3" t="s">
        <v>15</v>
      </c>
      <c r="D422" s="23">
        <v>2015</v>
      </c>
      <c r="E422" s="25">
        <f>'Current Ratio'!G465</f>
        <v>2.9854590005732393</v>
      </c>
      <c r="F422" s="25">
        <f>'Cash Ratio'!G465</f>
        <v>1.1216139966633321</v>
      </c>
      <c r="G422" s="25">
        <f>DAR!G465</f>
        <v>0.26377833332695722</v>
      </c>
      <c r="H422" s="25">
        <f>DER!G465</f>
        <v>0.3582865790090391</v>
      </c>
      <c r="I422" s="25">
        <f>NPM!G465</f>
        <v>-1.131871391191354</v>
      </c>
      <c r="J422" s="25">
        <f>ROA!G465</f>
        <v>-0.18297281643634486</v>
      </c>
      <c r="K422" s="25">
        <f>ROE!G465</f>
        <v>-0.24852952714417356</v>
      </c>
      <c r="L422" s="25">
        <f>KM!E465</f>
        <v>0.98129999999999995</v>
      </c>
      <c r="M422" s="24">
        <f>KI!E465</f>
        <v>2</v>
      </c>
      <c r="N422" s="108">
        <f>IO!E465</f>
        <v>0</v>
      </c>
      <c r="O422" s="24">
        <f>'BoC Size'!E465</f>
        <v>4</v>
      </c>
      <c r="P422" s="24">
        <f>'TMT E DK'!E465</f>
        <v>0</v>
      </c>
      <c r="Q422" s="24">
        <f>Data!R465</f>
        <v>4</v>
      </c>
      <c r="R422" s="24">
        <f>Data!S465</f>
        <v>3</v>
      </c>
      <c r="S422" s="24">
        <f>'TMT E DK'!E465</f>
        <v>0</v>
      </c>
      <c r="T422" s="24">
        <f>'TMT E DD'!E465</f>
        <v>0</v>
      </c>
      <c r="U422" s="24">
        <f>TA!E465</f>
        <v>397316560000</v>
      </c>
      <c r="V422" s="109">
        <f>PR!F465</f>
        <v>3.1345373576481359</v>
      </c>
      <c r="W422" s="109">
        <f>'Z Score'!I465</f>
        <v>1.020776505263209</v>
      </c>
      <c r="X422" s="109">
        <f>'Z Score'!L465</f>
        <v>-1.3824173812438123</v>
      </c>
      <c r="Y422" s="109">
        <f>'Z Score'!O465</f>
        <v>-1.3064121565937248</v>
      </c>
      <c r="Z422" s="109">
        <f>'Z Score'!R465</f>
        <v>2.9306149365240666</v>
      </c>
      <c r="AA422" s="109">
        <f>'Z Score'!S465</f>
        <v>1.2625619039497384</v>
      </c>
    </row>
    <row r="423" spans="1:27" ht="15" customHeight="1" x14ac:dyDescent="0.3">
      <c r="A423" s="22"/>
      <c r="B423" s="23"/>
      <c r="C423" s="3"/>
      <c r="D423" s="23">
        <v>2016</v>
      </c>
      <c r="E423" s="25">
        <f>'Current Ratio'!G466</f>
        <v>2.7465185696628782</v>
      </c>
      <c r="F423" s="25">
        <f>'Cash Ratio'!G466</f>
        <v>1.0589387515102917</v>
      </c>
      <c r="G423" s="25">
        <f>DAR!G466</f>
        <v>0.13683985382663974</v>
      </c>
      <c r="H423" s="25">
        <f>DER!G466</f>
        <v>0.15853356347983696</v>
      </c>
      <c r="I423" s="25">
        <f>NPM!G466</f>
        <v>-0.68419559233062788</v>
      </c>
      <c r="J423" s="25">
        <f>ROA!G466</f>
        <v>-6.0372455965826591E-2</v>
      </c>
      <c r="K423" s="25">
        <f>ROE!G466</f>
        <v>-6.994351654611862E-2</v>
      </c>
      <c r="L423" s="25">
        <f>KM!E466</f>
        <v>0.99609999999999999</v>
      </c>
      <c r="M423" s="24">
        <f>KI!E466</f>
        <v>2</v>
      </c>
      <c r="N423" s="108">
        <f>IO!E466</f>
        <v>0</v>
      </c>
      <c r="O423" s="24">
        <f>'BoC Size'!E466</f>
        <v>4</v>
      </c>
      <c r="P423" s="24">
        <f>'TMT E DK'!E466</f>
        <v>0</v>
      </c>
      <c r="Q423" s="24">
        <f>Data!R466</f>
        <v>4</v>
      </c>
      <c r="R423" s="24">
        <f>Data!S466</f>
        <v>3</v>
      </c>
      <c r="S423" s="24">
        <f>'TMT E DK'!E466</f>
        <v>0</v>
      </c>
      <c r="T423" s="24">
        <f>'TMT E DD'!E466</f>
        <v>0</v>
      </c>
      <c r="U423" s="24">
        <f>TA!E466</f>
        <v>2179146730000</v>
      </c>
      <c r="V423" s="109">
        <f>PR!F466</f>
        <v>1.9937731459640975</v>
      </c>
      <c r="W423" s="109">
        <f>'Z Score'!I466</f>
        <v>0.50394810522924238</v>
      </c>
      <c r="X423" s="109">
        <f>'Z Score'!L466</f>
        <v>-0.44839350308457654</v>
      </c>
      <c r="Y423" s="109">
        <f>'Z Score'!O466</f>
        <v>-0.40373348149897187</v>
      </c>
      <c r="Z423" s="109">
        <f>'Z Score'!R466</f>
        <v>6.6232031687948778</v>
      </c>
      <c r="AA423" s="109">
        <f>'Z Score'!S466</f>
        <v>6.2750242894405721</v>
      </c>
    </row>
    <row r="424" spans="1:27" ht="15" customHeight="1" x14ac:dyDescent="0.3">
      <c r="A424" s="22"/>
      <c r="B424" s="23"/>
      <c r="C424" s="3"/>
      <c r="D424" s="23">
        <v>2017</v>
      </c>
      <c r="E424" s="25">
        <f>'Current Ratio'!G467</f>
        <v>4.1638129249432581</v>
      </c>
      <c r="F424" s="25">
        <f>'Cash Ratio'!G467</f>
        <v>1.9344020443495138</v>
      </c>
      <c r="G424" s="25">
        <f>DAR!G467</f>
        <v>0.12812199998605206</v>
      </c>
      <c r="H424" s="25">
        <f>DER!G467</f>
        <v>0.14694945770117879</v>
      </c>
      <c r="I424" s="25">
        <f>NPM!G467</f>
        <v>-0.22998851284162822</v>
      </c>
      <c r="J424" s="25">
        <f>ROA!G467</f>
        <v>-2.7211764095901904E-2</v>
      </c>
      <c r="K424" s="25">
        <f>ROE!G467</f>
        <v>-3.1210517923701744E-2</v>
      </c>
      <c r="L424" s="25">
        <f>KM!E467</f>
        <v>0.99609999999999999</v>
      </c>
      <c r="M424" s="24">
        <f>KI!E467</f>
        <v>2</v>
      </c>
      <c r="N424" s="108">
        <f>IO!E467</f>
        <v>0</v>
      </c>
      <c r="O424" s="24">
        <f>'BoC Size'!E467</f>
        <v>3</v>
      </c>
      <c r="P424" s="24">
        <f>'TMT E DK'!E467</f>
        <v>0</v>
      </c>
      <c r="Q424" s="24">
        <f>Data!R467</f>
        <v>3</v>
      </c>
      <c r="R424" s="24">
        <f>Data!S467</f>
        <v>3</v>
      </c>
      <c r="S424" s="24">
        <f>'TMT E DK'!E467</f>
        <v>0</v>
      </c>
      <c r="T424" s="24">
        <f>'TMT E DD'!E467</f>
        <v>0</v>
      </c>
      <c r="U424" s="24">
        <f>TA!E467</f>
        <v>2092063190000</v>
      </c>
      <c r="V424" s="109">
        <f>PR!F467</f>
        <v>0.2873015886223792</v>
      </c>
      <c r="W424" s="109">
        <f>'Z Score'!I467</f>
        <v>0.56237131154723852</v>
      </c>
      <c r="X424" s="109">
        <f>'Z Score'!L467</f>
        <v>-0.55470702641634828</v>
      </c>
      <c r="Y424" s="109">
        <f>'Z Score'!O467</f>
        <v>-0.18685696544376368</v>
      </c>
      <c r="Z424" s="109">
        <f>'Z Score'!R467</f>
        <v>7.1453138815603623</v>
      </c>
      <c r="AA424" s="109">
        <f>'Z Score'!S467</f>
        <v>6.9661212012474891</v>
      </c>
    </row>
    <row r="425" spans="1:27" ht="15" customHeight="1" x14ac:dyDescent="0.3">
      <c r="A425" s="22"/>
      <c r="B425" s="23"/>
      <c r="C425" s="3"/>
      <c r="D425" s="23">
        <v>2018</v>
      </c>
      <c r="E425" s="25">
        <f>'Current Ratio'!G468</f>
        <v>1.5215607994912772</v>
      </c>
      <c r="F425" s="25">
        <f>'Cash Ratio'!G468</f>
        <v>0.53582988494795725</v>
      </c>
      <c r="G425" s="25">
        <f>DAR!G468</f>
        <v>0.10777812349190065</v>
      </c>
      <c r="H425" s="25">
        <f>DER!G468</f>
        <v>0.1207974454893589</v>
      </c>
      <c r="I425" s="25">
        <f>NPM!G468</f>
        <v>-1.286473257751039E-2</v>
      </c>
      <c r="J425" s="25">
        <f>ROA!G468</f>
        <v>-1.2334076956949935E-3</v>
      </c>
      <c r="K425" s="25">
        <f>ROE!G468</f>
        <v>-1.3824001945818652E-3</v>
      </c>
      <c r="L425" s="25">
        <f>KM!E468</f>
        <v>0.99609999999999999</v>
      </c>
      <c r="M425" s="24">
        <f>KI!E468</f>
        <v>2</v>
      </c>
      <c r="N425" s="108">
        <f>IO!E468</f>
        <v>0</v>
      </c>
      <c r="O425" s="24">
        <f>'BoC Size'!E468</f>
        <v>3</v>
      </c>
      <c r="P425" s="24">
        <f>'TMT E DK'!E468</f>
        <v>0</v>
      </c>
      <c r="Q425" s="24">
        <f>Data!R468</f>
        <v>3</v>
      </c>
      <c r="R425" s="24">
        <f>Data!S468</f>
        <v>3</v>
      </c>
      <c r="S425" s="24">
        <f>'TMT E DK'!E468</f>
        <v>0</v>
      </c>
      <c r="T425" s="24">
        <f>'TMT E DD'!E468</f>
        <v>0</v>
      </c>
      <c r="U425" s="24">
        <f>TA!E468</f>
        <v>2041539070000</v>
      </c>
      <c r="V425" s="109">
        <f>PR!F468</f>
        <v>-0.20925175589824818</v>
      </c>
      <c r="W425" s="109">
        <f>'Z Score'!I468</f>
        <v>0.13931158633177659</v>
      </c>
      <c r="X425" s="109">
        <f>'Z Score'!L468</f>
        <v>-0.57245587114823127</v>
      </c>
      <c r="Y425" s="109">
        <f>'Z Score'!O468</f>
        <v>-1.1504788492732593E-2</v>
      </c>
      <c r="Z425" s="109">
        <f>'Z Score'!R468</f>
        <v>8.692236791484925</v>
      </c>
      <c r="AA425" s="109">
        <f>'Z Score'!S468</f>
        <v>8.2475877181757369</v>
      </c>
    </row>
    <row r="426" spans="1:27" ht="15" customHeight="1" x14ac:dyDescent="0.3">
      <c r="A426" s="22"/>
      <c r="B426" s="23"/>
      <c r="C426" s="3"/>
      <c r="D426" s="23">
        <v>2019</v>
      </c>
      <c r="E426" s="25">
        <f>'Current Ratio'!G469</f>
        <v>1.8277286045026937</v>
      </c>
      <c r="F426" s="25">
        <f>'Cash Ratio'!G469</f>
        <v>0.37935949412463504</v>
      </c>
      <c r="G426" s="25">
        <f>DAR!G469</f>
        <v>9.4331021287049857E-2</v>
      </c>
      <c r="H426" s="25">
        <f>DER!G469</f>
        <v>0.10415618013228636</v>
      </c>
      <c r="I426" s="25">
        <f>NPM!G469</f>
        <v>0.149413169050754</v>
      </c>
      <c r="J426" s="25">
        <f>ROA!G469</f>
        <v>1.3859082971289375E-2</v>
      </c>
      <c r="K426" s="25">
        <f>ROE!G469</f>
        <v>1.5302592113715294E-2</v>
      </c>
      <c r="L426" s="25">
        <f>KM!E469</f>
        <v>0.99609999999999999</v>
      </c>
      <c r="M426" s="24">
        <f>KI!E469</f>
        <v>2</v>
      </c>
      <c r="N426" s="108">
        <f>IO!E469</f>
        <v>0</v>
      </c>
      <c r="O426" s="24">
        <f>'BoC Size'!E469</f>
        <v>3</v>
      </c>
      <c r="P426" s="24">
        <f>'TMT E DK'!E469</f>
        <v>0</v>
      </c>
      <c r="Q426" s="24">
        <f>Data!R469</f>
        <v>3</v>
      </c>
      <c r="R426" s="24">
        <f>Data!S469</f>
        <v>3</v>
      </c>
      <c r="S426" s="24">
        <f>'TMT E DK'!E469</f>
        <v>0</v>
      </c>
      <c r="T426" s="24">
        <f>'TMT E DD'!E469</f>
        <v>3</v>
      </c>
      <c r="U426" s="24">
        <f>TA!E469</f>
        <v>2042482180000</v>
      </c>
      <c r="V426" s="109">
        <f>PR!F469</f>
        <v>-3.2078120380340976E-2</v>
      </c>
      <c r="W426" s="109">
        <f>'Z Score'!I469</f>
        <v>0.14358071941660708</v>
      </c>
      <c r="X426" s="109">
        <f>'Z Score'!L469</f>
        <v>-0.52701093088606521</v>
      </c>
      <c r="Y426" s="109">
        <f>'Z Score'!O469</f>
        <v>5.613856371564524E-2</v>
      </c>
      <c r="Z426" s="109">
        <f>'Z Score'!R469</f>
        <v>10.081014863125926</v>
      </c>
      <c r="AA426" s="109">
        <f>'Z Score'!S469</f>
        <v>9.7537232153721138</v>
      </c>
    </row>
    <row r="427" spans="1:27" ht="15" customHeight="1" x14ac:dyDescent="0.3">
      <c r="A427" s="22"/>
      <c r="B427" s="23"/>
      <c r="C427" s="3"/>
      <c r="D427" s="23">
        <v>2020</v>
      </c>
      <c r="E427" s="25">
        <f>'Current Ratio'!G470</f>
        <v>1.580139654098023</v>
      </c>
      <c r="F427" s="25">
        <f>'Cash Ratio'!G470</f>
        <v>0.68144510897464861</v>
      </c>
      <c r="G427" s="25">
        <f>DAR!G470</f>
        <v>9.8790085669894279E-2</v>
      </c>
      <c r="H427" s="25">
        <f>DER!G470</f>
        <v>0.10961939451444684</v>
      </c>
      <c r="I427" s="25">
        <f>NPM!G470</f>
        <v>0.1676221186377039</v>
      </c>
      <c r="J427" s="25">
        <f>ROA!G470</f>
        <v>1.6315180947676918E-2</v>
      </c>
      <c r="K427" s="25">
        <f>ROE!G470</f>
        <v>1.8103641116924408E-2</v>
      </c>
      <c r="L427" s="25">
        <f>KM!E470</f>
        <v>0.99609999999999999</v>
      </c>
      <c r="M427" s="24">
        <f>KI!E470</f>
        <v>2</v>
      </c>
      <c r="N427" s="108">
        <f>IO!E470</f>
        <v>0</v>
      </c>
      <c r="O427" s="24">
        <f>'BoC Size'!E470</f>
        <v>3</v>
      </c>
      <c r="P427" s="24">
        <f>'TMT E DK'!E470</f>
        <v>0</v>
      </c>
      <c r="Q427" s="24">
        <f>Data!R470</f>
        <v>3</v>
      </c>
      <c r="R427" s="24">
        <f>Data!S470</f>
        <v>4</v>
      </c>
      <c r="S427" s="24">
        <f>'TMT E DK'!E470</f>
        <v>0</v>
      </c>
      <c r="T427" s="24">
        <f>'TMT E DD'!E470</f>
        <v>0</v>
      </c>
      <c r="U427" s="24">
        <f>TA!E470</f>
        <v>2065906600000</v>
      </c>
      <c r="V427" s="109">
        <f>PR!F470</f>
        <v>6.1371345716811014E-2</v>
      </c>
      <c r="W427" s="109">
        <f>'Z Score'!I470</f>
        <v>0.1308714707625214</v>
      </c>
      <c r="X427" s="109">
        <f>'Z Score'!L470</f>
        <v>-0.50209501475042473</v>
      </c>
      <c r="Y427" s="109">
        <f>'Z Score'!O470</f>
        <v>5.7349498375192758E-2</v>
      </c>
      <c r="Z427" s="109">
        <f>'Z Score'!R470</f>
        <v>9.5785969686378767</v>
      </c>
      <c r="AA427" s="109">
        <f>'Z Score'!S470</f>
        <v>9.2647229230251664</v>
      </c>
    </row>
    <row r="428" spans="1:27" ht="15" customHeight="1" x14ac:dyDescent="0.3">
      <c r="A428" s="22"/>
      <c r="B428" s="23"/>
      <c r="C428" s="3"/>
      <c r="D428" s="23">
        <v>2021</v>
      </c>
      <c r="E428" s="25">
        <f>'Current Ratio'!G471</f>
        <v>0.85256438824180281</v>
      </c>
      <c r="F428" s="25">
        <f>'Cash Ratio'!G471</f>
        <v>0.31570385311819538</v>
      </c>
      <c r="G428" s="25">
        <f>DAR!G471</f>
        <v>8.1440822846226391E-2</v>
      </c>
      <c r="H428" s="25">
        <f>DER!G471</f>
        <v>8.8661487329076666E-2</v>
      </c>
      <c r="I428" s="25">
        <f>NPM!G471</f>
        <v>4.6135633982086408E-2</v>
      </c>
      <c r="J428" s="25">
        <f>ROA!G471</f>
        <v>5.0651931101500045E-3</v>
      </c>
      <c r="K428" s="25">
        <f>ROE!G471</f>
        <v>5.5142806649048958E-3</v>
      </c>
      <c r="L428" s="25">
        <f>KM!E471</f>
        <v>0.99609999999999999</v>
      </c>
      <c r="M428" s="24">
        <f>KI!E471</f>
        <v>2</v>
      </c>
      <c r="N428" s="108">
        <f>IO!E471</f>
        <v>0</v>
      </c>
      <c r="O428" s="24">
        <f>'BoC Size'!E471</f>
        <v>3</v>
      </c>
      <c r="P428" s="24">
        <f>'TMT E DK'!E471</f>
        <v>0</v>
      </c>
      <c r="Q428" s="24">
        <f>Data!R471</f>
        <v>3</v>
      </c>
      <c r="R428" s="24">
        <f>Data!S471</f>
        <v>4</v>
      </c>
      <c r="S428" s="24">
        <f>'TMT E DK'!E471</f>
        <v>0</v>
      </c>
      <c r="T428" s="24">
        <f>'TMT E DD'!E471</f>
        <v>4</v>
      </c>
      <c r="U428" s="24">
        <f>TA!E471</f>
        <v>2038125650000</v>
      </c>
      <c r="V428" s="109">
        <f>PR!F471</f>
        <v>0.11280538051562281</v>
      </c>
      <c r="W428" s="109">
        <f>'Z Score'!I471</f>
        <v>-3.343520493940106E-2</v>
      </c>
      <c r="X428" s="109">
        <f>'Z Score'!L471</f>
        <v>-0.49258100039121727</v>
      </c>
      <c r="Y428" s="109">
        <f>'Z Score'!O471</f>
        <v>4.5662618298337003E-2</v>
      </c>
      <c r="Z428" s="109">
        <f>'Z Score'!R471</f>
        <v>11.842797043352228</v>
      </c>
      <c r="AA428" s="109">
        <f>'Z Score'!S471</f>
        <v>11.362443456319946</v>
      </c>
    </row>
    <row r="429" spans="1:27" ht="15" customHeight="1" x14ac:dyDescent="0.3">
      <c r="A429" s="22"/>
      <c r="B429" s="23"/>
      <c r="C429" s="3"/>
      <c r="D429" s="23">
        <v>2022</v>
      </c>
      <c r="E429" s="25">
        <f>'Current Ratio'!G472</f>
        <v>2.6850556656601023</v>
      </c>
      <c r="F429" s="25">
        <f>'Cash Ratio'!G472</f>
        <v>2.4319454716219417</v>
      </c>
      <c r="G429" s="25">
        <f>DAR!G472</f>
        <v>0.1243867522838322</v>
      </c>
      <c r="H429" s="25">
        <f>DER!G472</f>
        <v>0.14205672722319579</v>
      </c>
      <c r="I429" s="25">
        <f>NPM!G472</f>
        <v>-0.30361702555441622</v>
      </c>
      <c r="J429" s="25">
        <f>ROA!G472</f>
        <v>-3.1764760952778137E-2</v>
      </c>
      <c r="K429" s="25">
        <f>ROE!G472</f>
        <v>-3.6277158934756963E-2</v>
      </c>
      <c r="L429" s="25">
        <f>KM!E472</f>
        <v>0.99609999999999999</v>
      </c>
      <c r="M429" s="24">
        <f>KI!E472</f>
        <v>2</v>
      </c>
      <c r="N429" s="108">
        <f>IO!E472</f>
        <v>0</v>
      </c>
      <c r="O429" s="24">
        <f>'BoC Size'!E472</f>
        <v>3</v>
      </c>
      <c r="P429" s="24">
        <f>'TMT E DK'!E472</f>
        <v>9</v>
      </c>
      <c r="Q429" s="24">
        <f>Data!R472</f>
        <v>3</v>
      </c>
      <c r="R429" s="24">
        <f>Data!S472</f>
        <v>4</v>
      </c>
      <c r="S429" s="24">
        <f>'TMT E DK'!E472</f>
        <v>9</v>
      </c>
      <c r="T429" s="24">
        <f>'TMT E DD'!E472</f>
        <v>4</v>
      </c>
      <c r="U429" s="24">
        <f>TA!E472</f>
        <v>2063240460000</v>
      </c>
      <c r="V429" s="109">
        <f>PR!F472</f>
        <v>-3.5329835930361132E-2</v>
      </c>
      <c r="W429" s="109">
        <f>'Z Score'!I472</f>
        <v>0.6166984918471401</v>
      </c>
      <c r="X429" s="109">
        <f>'Z Score'!L472</f>
        <v>-0.59013819096975251</v>
      </c>
      <c r="Y429" s="109">
        <f>'Z Score'!O472</f>
        <v>-0.17099957336044097</v>
      </c>
      <c r="Z429" s="109">
        <f>'Z Score'!R472</f>
        <v>7.3914134200083863</v>
      </c>
      <c r="AA429" s="109">
        <f>'Z Score'!S472</f>
        <v>7.2469741475253331</v>
      </c>
    </row>
    <row r="430" spans="1:27" ht="15" customHeight="1" x14ac:dyDescent="0.3">
      <c r="A430" s="22"/>
      <c r="B430" s="23"/>
      <c r="C430" s="3"/>
      <c r="D430" s="23">
        <v>2023</v>
      </c>
      <c r="E430" s="25">
        <f>'Current Ratio'!G473</f>
        <v>0.60608113210912895</v>
      </c>
      <c r="F430" s="25">
        <f>'Cash Ratio'!G473</f>
        <v>0.25009381838927119</v>
      </c>
      <c r="G430" s="25">
        <f>DAR!G473</f>
        <v>0.165159173679195</v>
      </c>
      <c r="H430" s="25">
        <f>DER!G473</f>
        <v>0.19783312994773106</v>
      </c>
      <c r="I430" s="25">
        <f>NPM!G473</f>
        <v>-0.14413861441762899</v>
      </c>
      <c r="J430" s="25">
        <f>ROA!G473</f>
        <v>-1.7379557920910976E-2</v>
      </c>
      <c r="K430" s="25">
        <f>ROE!G473</f>
        <v>-2.0817810261512679E-2</v>
      </c>
      <c r="L430" s="25">
        <f>KM!E473</f>
        <v>0.99609999999999999</v>
      </c>
      <c r="M430" s="24">
        <f>KI!E473</f>
        <v>2</v>
      </c>
      <c r="N430" s="108">
        <f>IO!E473</f>
        <v>0</v>
      </c>
      <c r="O430" s="24">
        <f>'BoC Size'!E473</f>
        <v>3</v>
      </c>
      <c r="P430" s="24">
        <f>'TMT E DK'!E473</f>
        <v>9</v>
      </c>
      <c r="Q430" s="24">
        <f>Data!R473</f>
        <v>3</v>
      </c>
      <c r="R430" s="24">
        <f>Data!S473</f>
        <v>4</v>
      </c>
      <c r="S430" s="24">
        <f>'TMT E DK'!E473</f>
        <v>9</v>
      </c>
      <c r="T430" s="24">
        <f>'TMT E DD'!E473</f>
        <v>6</v>
      </c>
      <c r="U430" s="24">
        <f>TA!E473</f>
        <v>2119874980000</v>
      </c>
      <c r="V430" s="109">
        <f>PR!F473</f>
        <v>0.18412981313969545</v>
      </c>
      <c r="W430" s="109">
        <f>'Z Score'!I473</f>
        <v>-0.14623721253599589</v>
      </c>
      <c r="X430" s="109">
        <f>'Z Score'!L473</f>
        <v>-0.63102943457542948</v>
      </c>
      <c r="Y430" s="109">
        <f>'Z Score'!O473</f>
        <v>-0.13331849296131604</v>
      </c>
      <c r="Z430" s="109">
        <f>'Z Score'!R473</f>
        <v>5.3075033503105251</v>
      </c>
      <c r="AA430" s="109">
        <f>'Z Score'!S473</f>
        <v>4.396918210237784</v>
      </c>
    </row>
    <row r="431" spans="1:27" ht="15" customHeight="1" x14ac:dyDescent="0.3">
      <c r="A431" s="22"/>
      <c r="B431" s="23"/>
      <c r="C431" s="3"/>
      <c r="D431" s="23">
        <v>2024</v>
      </c>
      <c r="E431" s="25">
        <f>'Current Ratio'!G474</f>
        <v>0.69630954187689331</v>
      </c>
      <c r="F431" s="25">
        <f>'Cash Ratio'!G474</f>
        <v>0.23642392037142382</v>
      </c>
      <c r="G431" s="25">
        <f>DAR!G474</f>
        <v>0.20042341367740635</v>
      </c>
      <c r="H431" s="25">
        <f>DER!G474</f>
        <v>0.25066193421094557</v>
      </c>
      <c r="I431" s="25">
        <f>NPM!G474</f>
        <v>-0.28876847638594522</v>
      </c>
      <c r="J431" s="25">
        <f>ROA!G474</f>
        <v>-3.8446150939227243E-2</v>
      </c>
      <c r="K431" s="25">
        <f>ROE!G474</f>
        <v>-4.8083137496619917E-2</v>
      </c>
      <c r="L431" s="25">
        <f>KM!E474</f>
        <v>0.99609999999999999</v>
      </c>
      <c r="M431" s="24">
        <f>KI!E474</f>
        <v>2</v>
      </c>
      <c r="N431" s="108">
        <f>IO!E474</f>
        <v>0</v>
      </c>
      <c r="O431" s="24">
        <f>'BoC Size'!E474</f>
        <v>3</v>
      </c>
      <c r="P431" s="24">
        <f>'TMT E DK'!E474</f>
        <v>9</v>
      </c>
      <c r="Q431" s="24">
        <f>Data!R474</f>
        <v>3</v>
      </c>
      <c r="R431" s="24">
        <f>Data!S474</f>
        <v>4</v>
      </c>
      <c r="S431" s="24">
        <f>'TMT E DK'!E474</f>
        <v>9</v>
      </c>
      <c r="T431" s="24">
        <f>'TMT E DD'!E474</f>
        <v>6</v>
      </c>
      <c r="U431" s="24">
        <f>TA!E474</f>
        <v>2111825970000.0002</v>
      </c>
      <c r="V431" s="109">
        <f>PR!F474</f>
        <v>9.9999733964078422E-2</v>
      </c>
      <c r="W431" s="109">
        <f>'Z Score'!I474</f>
        <v>-0.10964812900752426</v>
      </c>
      <c r="X431" s="109">
        <f>'Z Score'!L474</f>
        <v>-0.75876899117780983</v>
      </c>
      <c r="Y431" s="109">
        <f>'Z Score'!O474</f>
        <v>-0.2616481508653859</v>
      </c>
      <c r="Z431" s="109">
        <f>'Z Score'!R474</f>
        <v>4.1889088716452987</v>
      </c>
      <c r="AA431" s="109">
        <f>'Z Score'!S474</f>
        <v>3.0588436005945789</v>
      </c>
    </row>
    <row r="432" spans="1:27" ht="15" customHeight="1" x14ac:dyDescent="0.3">
      <c r="A432" s="22"/>
      <c r="B432" s="23">
        <v>44</v>
      </c>
      <c r="C432" s="3" t="s">
        <v>35</v>
      </c>
      <c r="D432" s="23">
        <v>2015</v>
      </c>
      <c r="E432" s="25">
        <f>'Current Ratio'!G476</f>
        <v>7.4606027094277021</v>
      </c>
      <c r="F432" s="25">
        <f>'Cash Ratio'!G476</f>
        <v>0.51320154824440145</v>
      </c>
      <c r="G432" s="25">
        <f>DAR!G476</f>
        <v>0.85078006468589329</v>
      </c>
      <c r="H432" s="25">
        <f>DER!G476</f>
        <v>5.7015800511677446</v>
      </c>
      <c r="I432" s="25">
        <f>NPM!G476</f>
        <v>8.5576359189923845E-2</v>
      </c>
      <c r="J432" s="25">
        <f>ROA!G476</f>
        <v>3.472175877466753E-2</v>
      </c>
      <c r="K432" s="25">
        <f>ROE!G476</f>
        <v>0.15862077237349581</v>
      </c>
      <c r="L432" s="25">
        <f>KM!E476</f>
        <v>0.56499999999999995</v>
      </c>
      <c r="M432" s="24">
        <f>KI!E476</f>
        <v>2</v>
      </c>
      <c r="N432" s="108">
        <f>IO!E476</f>
        <v>0</v>
      </c>
      <c r="O432" s="24">
        <f>'BoC Size'!E476</f>
        <v>6</v>
      </c>
      <c r="P432" s="24">
        <f>'TMT E DK'!E476</f>
        <v>0</v>
      </c>
      <c r="Q432" s="24">
        <f>Data!R476</f>
        <v>6</v>
      </c>
      <c r="R432" s="24">
        <f>Data!S476</f>
        <v>3</v>
      </c>
      <c r="S432" s="24">
        <f>'TMT E DK'!E476</f>
        <v>0</v>
      </c>
      <c r="T432" s="24">
        <f>'TMT E DD'!E476</f>
        <v>0</v>
      </c>
      <c r="U432" s="24">
        <f>TA!E476</f>
        <v>610334000000</v>
      </c>
      <c r="V432" s="109">
        <f>PR!F476</f>
        <v>3.5709570967383461E-2</v>
      </c>
      <c r="W432" s="109">
        <f>'Z Score'!I476</f>
        <v>1.0046569910901244</v>
      </c>
      <c r="X432" s="109">
        <f>'Z Score'!L476</f>
        <v>-9.7976157317141099E-2</v>
      </c>
      <c r="Y432" s="109">
        <f>'Z Score'!O476</f>
        <v>-0.24010302555649857</v>
      </c>
      <c r="Z432" s="109">
        <f>'Z Score'!R476</f>
        <v>0.18415947694796442</v>
      </c>
      <c r="AA432" s="109">
        <f>'Z Score'!S476</f>
        <v>0.85073728516444913</v>
      </c>
    </row>
    <row r="433" spans="1:27" ht="15" customHeight="1" x14ac:dyDescent="0.3">
      <c r="A433" s="22"/>
      <c r="B433" s="23"/>
      <c r="C433" s="3"/>
      <c r="D433" s="23">
        <v>2016</v>
      </c>
      <c r="E433" s="25">
        <f>'Current Ratio'!G477</f>
        <v>2.6135395791583167</v>
      </c>
      <c r="F433" s="25">
        <f>'Cash Ratio'!G477</f>
        <v>0.33801978957915829</v>
      </c>
      <c r="G433" s="25">
        <f>DAR!G477</f>
        <v>0.79430202340582978</v>
      </c>
      <c r="H433" s="25">
        <f>DER!G477</f>
        <v>4.4241820768136559</v>
      </c>
      <c r="I433" s="25">
        <f>NPM!G477</f>
        <v>7.413910247354577E-2</v>
      </c>
      <c r="J433" s="25">
        <f>ROA!G477</f>
        <v>2.7459617842647246E-2</v>
      </c>
      <c r="K433" s="25">
        <f>ROE!G477</f>
        <v>0.15294729903202303</v>
      </c>
      <c r="L433" s="25">
        <f>KM!E477</f>
        <v>0.54</v>
      </c>
      <c r="M433" s="24">
        <f>KI!E477</f>
        <v>3</v>
      </c>
      <c r="N433" s="108">
        <f>IO!E477</f>
        <v>0</v>
      </c>
      <c r="O433" s="24">
        <f>'BoC Size'!E477</f>
        <v>7</v>
      </c>
      <c r="P433" s="24">
        <f>'TMT E DK'!E477</f>
        <v>0</v>
      </c>
      <c r="Q433" s="24">
        <f>Data!R477</f>
        <v>7</v>
      </c>
      <c r="R433" s="24">
        <f>Data!S477</f>
        <v>3</v>
      </c>
      <c r="S433" s="24">
        <f>'TMT E DK'!E477</f>
        <v>0</v>
      </c>
      <c r="T433" s="24">
        <f>'TMT E DD'!E477</f>
        <v>0</v>
      </c>
      <c r="U433" s="24">
        <f>TA!E477</f>
        <v>802706000000</v>
      </c>
      <c r="V433" s="109">
        <f>PR!F477</f>
        <v>-0.97762986044113653</v>
      </c>
      <c r="W433" s="109">
        <f>'Z Score'!I477</f>
        <v>0.84224311267138885</v>
      </c>
      <c r="X433" s="109">
        <f>'Z Score'!L477</f>
        <v>0.11100649552887358</v>
      </c>
      <c r="Y433" s="109">
        <f>'Z Score'!O477</f>
        <v>0.21142684868432524</v>
      </c>
      <c r="Z433" s="109">
        <f>'Z Score'!R477</f>
        <v>0.23733200437270915</v>
      </c>
      <c r="AA433" s="109">
        <f>'Z Score'!S477</f>
        <v>1.4020084612572967</v>
      </c>
    </row>
    <row r="434" spans="1:27" ht="15" customHeight="1" x14ac:dyDescent="0.3">
      <c r="A434" s="22"/>
      <c r="B434" s="23"/>
      <c r="C434" s="3"/>
      <c r="D434" s="23">
        <v>2017</v>
      </c>
      <c r="E434" s="25">
        <f>'Current Ratio'!G478</f>
        <v>2.992207183453448</v>
      </c>
      <c r="F434" s="25">
        <f>'Cash Ratio'!G478</f>
        <v>0.42180816780922248</v>
      </c>
      <c r="G434" s="25">
        <f>DAR!G478</f>
        <v>0.79218165669648011</v>
      </c>
      <c r="H434" s="25">
        <f>DER!G478</f>
        <v>4.2509255044341945</v>
      </c>
      <c r="I434" s="25">
        <f>NPM!G478</f>
        <v>5.8248019535235653E-2</v>
      </c>
      <c r="J434" s="25">
        <f>ROA!G478</f>
        <v>2.5964389416782415E-2</v>
      </c>
      <c r="K434" s="25">
        <f>ROE!G478</f>
        <v>0.13932749420017221</v>
      </c>
      <c r="L434" s="25">
        <f>KM!E478</f>
        <v>0.54</v>
      </c>
      <c r="M434" s="24">
        <f>KI!E478</f>
        <v>3</v>
      </c>
      <c r="N434" s="108">
        <f>IO!E478</f>
        <v>0</v>
      </c>
      <c r="O434" s="24">
        <f>'BoC Size'!E478</f>
        <v>5</v>
      </c>
      <c r="P434" s="24">
        <f>'TMT E DK'!E478</f>
        <v>0</v>
      </c>
      <c r="Q434" s="24">
        <f>Data!R478</f>
        <v>5</v>
      </c>
      <c r="R434" s="24">
        <f>Data!S478</f>
        <v>3</v>
      </c>
      <c r="S434" s="24">
        <f>'TMT E DK'!E478</f>
        <v>0</v>
      </c>
      <c r="T434" s="24">
        <f>'TMT E DD'!E478</f>
        <v>0</v>
      </c>
      <c r="U434" s="24">
        <f>TA!E478</f>
        <v>978417000000</v>
      </c>
      <c r="V434" s="109">
        <f>PR!F478</f>
        <v>0.46695660363396635</v>
      </c>
      <c r="W434" s="109">
        <f>'Z Score'!I478</f>
        <v>0.68390030017875814</v>
      </c>
      <c r="X434" s="109">
        <f>'Z Score'!L478</f>
        <v>0.17761426876270547</v>
      </c>
      <c r="Y434" s="109">
        <f>'Z Score'!O478</f>
        <v>0.20746197173597758</v>
      </c>
      <c r="Z434" s="109">
        <f>'Z Score'!R478</f>
        <v>0.24700503429305729</v>
      </c>
      <c r="AA434" s="109">
        <f>'Z Score'!S478</f>
        <v>1.3159815749704984</v>
      </c>
    </row>
    <row r="435" spans="1:27" ht="15" customHeight="1" x14ac:dyDescent="0.3">
      <c r="A435" s="22"/>
      <c r="B435" s="23"/>
      <c r="C435" s="3"/>
      <c r="D435" s="23">
        <v>2018</v>
      </c>
      <c r="E435" s="25">
        <f>'Current Ratio'!G479</f>
        <v>2.3663397759370337</v>
      </c>
      <c r="F435" s="25">
        <f>'Cash Ratio'!G479</f>
        <v>0.71159562876215265</v>
      </c>
      <c r="G435" s="25">
        <f>DAR!G479</f>
        <v>0.80350896877919731</v>
      </c>
      <c r="H435" s="25">
        <f>DER!G479</f>
        <v>4.1043146965677879</v>
      </c>
      <c r="I435" s="25">
        <f>NPM!G479</f>
        <v>0</v>
      </c>
      <c r="J435" s="25">
        <f>ROA!G479</f>
        <v>0</v>
      </c>
      <c r="K435" s="25">
        <f>ROE!G479</f>
        <v>0</v>
      </c>
      <c r="L435" s="25">
        <f>KM!E479</f>
        <v>0.65039999999999998</v>
      </c>
      <c r="M435" s="24">
        <f>KI!E479</f>
        <v>2</v>
      </c>
      <c r="N435" s="108">
        <f>IO!E479</f>
        <v>0</v>
      </c>
      <c r="O435" s="24">
        <f>'BoC Size'!E479</f>
        <v>4</v>
      </c>
      <c r="P435" s="24">
        <f>'TMT E DK'!E479</f>
        <v>0</v>
      </c>
      <c r="Q435" s="24">
        <f>Data!R479</f>
        <v>4</v>
      </c>
      <c r="R435" s="24">
        <f>Data!S479</f>
        <v>5</v>
      </c>
      <c r="S435" s="24">
        <f>'TMT E DK'!E479</f>
        <v>0</v>
      </c>
      <c r="T435" s="24">
        <f>'TMT E DD'!E479</f>
        <v>0</v>
      </c>
      <c r="U435" s="24">
        <f>TA!E479</f>
        <v>1390323000000</v>
      </c>
      <c r="V435" s="109">
        <f>PR!F479</f>
        <v>0</v>
      </c>
      <c r="W435" s="109">
        <f>'Z Score'!I479</f>
        <v>0.60940037674698611</v>
      </c>
      <c r="X435" s="109">
        <f>'Z Score'!L479</f>
        <v>0.22407879320129204</v>
      </c>
      <c r="Y435" s="109">
        <f>'Z Score'!O479</f>
        <v>0.22434752212255712</v>
      </c>
      <c r="Z435" s="109">
        <f>'Z Score'!R479</f>
        <v>0.25582833618437134</v>
      </c>
      <c r="AA435" s="109">
        <f>'Z Score'!S479</f>
        <v>1.3136550282552066</v>
      </c>
    </row>
    <row r="436" spans="1:27" ht="15" customHeight="1" x14ac:dyDescent="0.3">
      <c r="A436" s="22"/>
      <c r="B436" s="23"/>
      <c r="C436" s="3"/>
      <c r="D436" s="23">
        <v>2019</v>
      </c>
      <c r="E436" s="25">
        <f>'Current Ratio'!G480</f>
        <v>2.6888513675719796</v>
      </c>
      <c r="F436" s="25">
        <f>'Cash Ratio'!G480</f>
        <v>0.5656898676439992</v>
      </c>
      <c r="G436" s="25">
        <f>DAR!G480</f>
        <v>0.82704623890386497</v>
      </c>
      <c r="H436" s="25">
        <f>DER!G480</f>
        <v>4.7818921870346474</v>
      </c>
      <c r="I436" s="25">
        <f>NPM!G480</f>
        <v>0</v>
      </c>
      <c r="J436" s="25">
        <f>ROA!G480</f>
        <v>0</v>
      </c>
      <c r="K436" s="25">
        <f>ROE!G480</f>
        <v>0</v>
      </c>
      <c r="L436" s="25">
        <f>KM!E480</f>
        <v>0.65310000000000001</v>
      </c>
      <c r="M436" s="24">
        <f>KI!E480</f>
        <v>2</v>
      </c>
      <c r="N436" s="108">
        <f>IO!E480</f>
        <v>0</v>
      </c>
      <c r="O436" s="24">
        <f>'BoC Size'!E480</f>
        <v>3</v>
      </c>
      <c r="P436" s="24">
        <f>'TMT E DK'!E480</f>
        <v>0</v>
      </c>
      <c r="Q436" s="24">
        <f>Data!R480</f>
        <v>3</v>
      </c>
      <c r="R436" s="24">
        <f>Data!S480</f>
        <v>3</v>
      </c>
      <c r="S436" s="24">
        <f>'TMT E DK'!E480</f>
        <v>0</v>
      </c>
      <c r="T436" s="24">
        <f>'TMT E DD'!E480</f>
        <v>0</v>
      </c>
      <c r="U436" s="24">
        <f>TA!E480</f>
        <v>1106579000000</v>
      </c>
      <c r="V436" s="109">
        <f>PR!F480</f>
        <v>0</v>
      </c>
      <c r="W436" s="109">
        <f>'Z Score'!I480</f>
        <v>1.2511365569019472</v>
      </c>
      <c r="X436" s="109">
        <f>'Z Score'!L480</f>
        <v>8.7378849589590982E-2</v>
      </c>
      <c r="Y436" s="109">
        <f>'Z Score'!O480</f>
        <v>4.6499201593379232E-2</v>
      </c>
      <c r="Z436" s="109">
        <f>'Z Score'!R480</f>
        <v>0.21957835077229695</v>
      </c>
      <c r="AA436" s="109">
        <f>'Z Score'!S480</f>
        <v>1.6045929588572145</v>
      </c>
    </row>
    <row r="437" spans="1:27" ht="15" customHeight="1" x14ac:dyDescent="0.3">
      <c r="A437" s="22"/>
      <c r="B437" s="23"/>
      <c r="C437" s="3"/>
      <c r="D437" s="23">
        <v>2020</v>
      </c>
      <c r="E437" s="25">
        <f>'Current Ratio'!G481</f>
        <v>2.3063121337913621</v>
      </c>
      <c r="F437" s="25">
        <f>'Cash Ratio'!G481</f>
        <v>0.73534380436216107</v>
      </c>
      <c r="G437" s="25">
        <f>DAR!G481</f>
        <v>0.80199149807304948</v>
      </c>
      <c r="H437" s="25">
        <f>DER!G481</f>
        <v>4.0502881960539305</v>
      </c>
      <c r="I437" s="25">
        <f>NPM!G481</f>
        <v>1.3795509015512807E-2</v>
      </c>
      <c r="J437" s="25">
        <f>ROA!G481</f>
        <v>1.1324263414079359E-2</v>
      </c>
      <c r="K437" s="25">
        <f>ROE!G481</f>
        <v>5.7190793849130374E-2</v>
      </c>
      <c r="L437" s="25">
        <f>KM!E481</f>
        <v>0.65310000000000001</v>
      </c>
      <c r="M437" s="24">
        <f>KI!E481</f>
        <v>2</v>
      </c>
      <c r="N437" s="108">
        <f>IO!E481</f>
        <v>0</v>
      </c>
      <c r="O437" s="24">
        <f>'BoC Size'!E481</f>
        <v>3</v>
      </c>
      <c r="P437" s="24">
        <f>'TMT E DK'!E481</f>
        <v>0</v>
      </c>
      <c r="Q437" s="24">
        <f>Data!R481</f>
        <v>3</v>
      </c>
      <c r="R437" s="24">
        <f>Data!S481</f>
        <v>3</v>
      </c>
      <c r="S437" s="24">
        <f>'TMT E DK'!E481</f>
        <v>0</v>
      </c>
      <c r="T437" s="24">
        <f>'TMT E DD'!E481</f>
        <v>0</v>
      </c>
      <c r="U437" s="24">
        <f>TA!E481</f>
        <v>1002361000000</v>
      </c>
      <c r="V437" s="109">
        <f>PR!F481</f>
        <v>0</v>
      </c>
      <c r="W437" s="109">
        <f>'Z Score'!I481</f>
        <v>1.3613184072405051</v>
      </c>
      <c r="X437" s="109">
        <f>'Z Score'!L481</f>
        <v>0.12171812351039195</v>
      </c>
      <c r="Y437" s="109">
        <f>'Z Score'!O481</f>
        <v>5.580552315981966E-2</v>
      </c>
      <c r="Z437" s="109">
        <f>'Z Score'!R481</f>
        <v>0.25924081180765907</v>
      </c>
      <c r="AA437" s="109">
        <f>'Z Score'!S481</f>
        <v>1.7980828657183756</v>
      </c>
    </row>
    <row r="438" spans="1:27" ht="15" customHeight="1" x14ac:dyDescent="0.3">
      <c r="A438" s="22"/>
      <c r="B438" s="23"/>
      <c r="C438" s="3"/>
      <c r="D438" s="23">
        <v>2021</v>
      </c>
      <c r="E438" s="25">
        <f>'Current Ratio'!G482</f>
        <v>1.9483879175401431</v>
      </c>
      <c r="F438" s="25">
        <f>'Cash Ratio'!G482</f>
        <v>0.56756143834593531</v>
      </c>
      <c r="G438" s="25">
        <f>DAR!G482</f>
        <v>0.78441198171542303</v>
      </c>
      <c r="H438" s="25">
        <f>DER!G482</f>
        <v>3.6384767017988748</v>
      </c>
      <c r="I438" s="25">
        <f>NPM!G482</f>
        <v>7.1220034059950215E-3</v>
      </c>
      <c r="J438" s="25">
        <f>ROA!G482</f>
        <v>1.0989539009553382E-2</v>
      </c>
      <c r="K438" s="25">
        <f>ROE!G482</f>
        <v>5.0974720659323243E-2</v>
      </c>
      <c r="L438" s="25">
        <f>KM!E482</f>
        <v>0.65310000000000001</v>
      </c>
      <c r="M438" s="24">
        <f>KI!E482</f>
        <v>2</v>
      </c>
      <c r="N438" s="108">
        <f>IO!E482</f>
        <v>0</v>
      </c>
      <c r="O438" s="24">
        <f>'BoC Size'!E482</f>
        <v>3</v>
      </c>
      <c r="P438" s="24">
        <f>'TMT E DK'!E482</f>
        <v>0</v>
      </c>
      <c r="Q438" s="24">
        <f>Data!R482</f>
        <v>3</v>
      </c>
      <c r="R438" s="24">
        <f>Data!S482</f>
        <v>3</v>
      </c>
      <c r="S438" s="24">
        <f>'TMT E DK'!E482</f>
        <v>0</v>
      </c>
      <c r="T438" s="24">
        <f>'TMT E DD'!E482</f>
        <v>0</v>
      </c>
      <c r="U438" s="24">
        <f>TA!E482</f>
        <v>936527000000</v>
      </c>
      <c r="V438" s="109">
        <f>PR!F482</f>
        <v>0.7563101297514353</v>
      </c>
      <c r="W438" s="109">
        <f>'Z Score'!I482</f>
        <v>1.2010092608114875</v>
      </c>
      <c r="X438" s="109">
        <f>'Z Score'!L482</f>
        <v>0.13884101579559371</v>
      </c>
      <c r="Y438" s="109">
        <f>'Z Score'!O482</f>
        <v>6.2670355472933509E-2</v>
      </c>
      <c r="Z438" s="109">
        <f>'Z Score'!R482</f>
        <v>0.28858230684310188</v>
      </c>
      <c r="AA438" s="109">
        <f>'Z Score'!S482</f>
        <v>1.6911029389231167</v>
      </c>
    </row>
    <row r="439" spans="1:27" ht="15" customHeight="1" x14ac:dyDescent="0.3">
      <c r="A439" s="22"/>
      <c r="B439" s="23"/>
      <c r="C439" s="3"/>
      <c r="D439" s="23">
        <v>2022</v>
      </c>
      <c r="E439" s="25">
        <f>'Current Ratio'!G483</f>
        <v>2.079044060407909</v>
      </c>
      <c r="F439" s="25">
        <f>'Cash Ratio'!G483</f>
        <v>0.46144325081737508</v>
      </c>
      <c r="G439" s="25">
        <f>DAR!G483</f>
        <v>0.69136302642795089</v>
      </c>
      <c r="H439" s="25">
        <f>DER!G483</f>
        <v>2.2400525070809674</v>
      </c>
      <c r="I439" s="25">
        <f>NPM!G483</f>
        <v>1.2229335101634828E-2</v>
      </c>
      <c r="J439" s="25">
        <f>ROA!G483</f>
        <v>1.6949290799908097E-2</v>
      </c>
      <c r="K439" s="25">
        <f>ROE!G483</f>
        <v>5.4916592149486604E-2</v>
      </c>
      <c r="L439" s="25">
        <f>KM!E483</f>
        <v>0.65310000000000001</v>
      </c>
      <c r="M439" s="24">
        <f>KI!E483</f>
        <v>2</v>
      </c>
      <c r="N439" s="108">
        <f>IO!E483</f>
        <v>0</v>
      </c>
      <c r="O439" s="24">
        <f>'BoC Size'!E483</f>
        <v>3</v>
      </c>
      <c r="P439" s="24">
        <f>'TMT E DK'!E483</f>
        <v>0</v>
      </c>
      <c r="Q439" s="24">
        <f>Data!R483</f>
        <v>3</v>
      </c>
      <c r="R439" s="24">
        <f>Data!S483</f>
        <v>3</v>
      </c>
      <c r="S439" s="24">
        <f>'TMT E DK'!E483</f>
        <v>0</v>
      </c>
      <c r="T439" s="24">
        <f>'TMT E DD'!E483</f>
        <v>0</v>
      </c>
      <c r="U439" s="24">
        <f>TA!E483</f>
        <v>735547000000</v>
      </c>
      <c r="V439" s="109">
        <f>PR!F483</f>
        <v>-0.29455767390331045</v>
      </c>
      <c r="W439" s="109">
        <f>'Z Score'!I483</f>
        <v>1.23623349697572</v>
      </c>
      <c r="X439" s="109">
        <f>'Z Score'!L483</f>
        <v>0.18212728758325436</v>
      </c>
      <c r="Y439" s="109">
        <f>'Z Score'!O483</f>
        <v>0.11779119485226641</v>
      </c>
      <c r="Z439" s="109">
        <f>'Z Score'!R483</f>
        <v>0.46873901244764321</v>
      </c>
      <c r="AA439" s="109">
        <f>'Z Score'!S483</f>
        <v>2.004890991858884</v>
      </c>
    </row>
    <row r="440" spans="1:27" ht="15" customHeight="1" x14ac:dyDescent="0.3">
      <c r="A440" s="22"/>
      <c r="B440" s="23"/>
      <c r="C440" s="3"/>
      <c r="D440" s="23">
        <v>2023</v>
      </c>
      <c r="E440" s="25">
        <f>'Current Ratio'!G484</f>
        <v>2.1910736196319021</v>
      </c>
      <c r="F440" s="25">
        <f>'Cash Ratio'!G484</f>
        <v>0.32983640081799592</v>
      </c>
      <c r="G440" s="25">
        <f>DAR!G484</f>
        <v>0.75861571138496375</v>
      </c>
      <c r="H440" s="25">
        <f>DER!G484</f>
        <v>3.1427717012469558</v>
      </c>
      <c r="I440" s="25">
        <f>NPM!G484</f>
        <v>1.0206272531279427E-2</v>
      </c>
      <c r="J440" s="25">
        <f>ROA!G484</f>
        <v>1.3182316253031507E-2</v>
      </c>
      <c r="K440" s="25">
        <f>ROE!G484</f>
        <v>5.461132672994673E-2</v>
      </c>
      <c r="L440" s="25">
        <f>KM!E484</f>
        <v>0.74850000000000005</v>
      </c>
      <c r="M440" s="24">
        <f>KI!E484</f>
        <v>2</v>
      </c>
      <c r="N440" s="108">
        <f>IO!E484</f>
        <v>0</v>
      </c>
      <c r="O440" s="24">
        <f>'BoC Size'!E484</f>
        <v>3</v>
      </c>
      <c r="P440" s="24">
        <f>'TMT E DK'!E484</f>
        <v>0</v>
      </c>
      <c r="Q440" s="24">
        <f>Data!R484</f>
        <v>3</v>
      </c>
      <c r="R440" s="24">
        <f>Data!S484</f>
        <v>3</v>
      </c>
      <c r="S440" s="24">
        <f>'TMT E DK'!E484</f>
        <v>0</v>
      </c>
      <c r="T440" s="24">
        <f>'TMT E DD'!E484</f>
        <v>0</v>
      </c>
      <c r="U440" s="24">
        <f>TA!E484</f>
        <v>962805000000</v>
      </c>
      <c r="V440" s="109">
        <f>PR!F484</f>
        <v>0.21984257931361911</v>
      </c>
      <c r="W440" s="109">
        <f>'Z Score'!I484</f>
        <v>0.79367547945845729</v>
      </c>
      <c r="X440" s="109">
        <f>'Z Score'!L484</f>
        <v>0.16197659962297661</v>
      </c>
      <c r="Y440" s="109">
        <f>'Z Score'!O484</f>
        <v>9.2933460046426844E-2</v>
      </c>
      <c r="Z440" s="109">
        <f>'Z Score'!R484</f>
        <v>0.33409999192222334</v>
      </c>
      <c r="AA440" s="109">
        <f>'Z Score'!S484</f>
        <v>1.3826855310500841</v>
      </c>
    </row>
    <row r="441" spans="1:27" ht="15" customHeight="1" x14ac:dyDescent="0.3">
      <c r="A441" s="22"/>
      <c r="B441" s="23"/>
      <c r="C441" s="3"/>
      <c r="D441" s="23">
        <v>2024</v>
      </c>
      <c r="E441" s="25">
        <f>'Current Ratio'!G485</f>
        <v>2.2626424118658641</v>
      </c>
      <c r="F441" s="25">
        <f>'Cash Ratio'!G485</f>
        <v>0.14730223559759242</v>
      </c>
      <c r="G441" s="25">
        <f>DAR!G485</f>
        <v>0.76238300739735121</v>
      </c>
      <c r="H441" s="25">
        <f>DER!G485</f>
        <v>3.2084532299095043</v>
      </c>
      <c r="I441" s="25">
        <f>NPM!G485</f>
        <v>1.3695781676763816E-2</v>
      </c>
      <c r="J441" s="25">
        <f>ROA!G485</f>
        <v>1.6904409178066581E-2</v>
      </c>
      <c r="K441" s="25">
        <f>ROE!G485</f>
        <v>7.1141415405146166E-2</v>
      </c>
      <c r="L441" s="25">
        <f>KM!E485</f>
        <v>0.74850000000000005</v>
      </c>
      <c r="M441" s="24">
        <f>KI!E485</f>
        <v>2</v>
      </c>
      <c r="N441" s="108">
        <f>IO!E485</f>
        <v>0</v>
      </c>
      <c r="O441" s="24">
        <f>'BoC Size'!E485</f>
        <v>3</v>
      </c>
      <c r="P441" s="24">
        <f>'TMT E DK'!E485</f>
        <v>0</v>
      </c>
      <c r="Q441" s="24">
        <f>Data!R485</f>
        <v>3</v>
      </c>
      <c r="R441" s="24">
        <f>Data!S485</f>
        <v>3</v>
      </c>
      <c r="S441" s="24">
        <f>'TMT E DK'!E485</f>
        <v>0</v>
      </c>
      <c r="T441" s="24">
        <f>'TMT E DD'!E485</f>
        <v>0</v>
      </c>
      <c r="U441" s="24">
        <f>TA!E485</f>
        <v>1009145000000</v>
      </c>
      <c r="V441" s="109">
        <f>PR!F485</f>
        <v>1.6219706662141983E-3</v>
      </c>
      <c r="W441" s="109">
        <f>'Z Score'!I485</f>
        <v>0.61092841960273303</v>
      </c>
      <c r="X441" s="109">
        <f>'Z Score'!L485</f>
        <v>0.18914328466176811</v>
      </c>
      <c r="Y441" s="109">
        <f>'Z Score'!O485</f>
        <v>9.7695692888534358E-2</v>
      </c>
      <c r="Z441" s="109">
        <f>'Z Score'!R485</f>
        <v>0.32726049742966512</v>
      </c>
      <c r="AA441" s="109">
        <f>'Z Score'!S485</f>
        <v>1.2250278945827007</v>
      </c>
    </row>
    <row r="442" spans="1:27" ht="15" customHeight="1" x14ac:dyDescent="0.3">
      <c r="A442" s="22"/>
      <c r="B442" s="23">
        <v>45</v>
      </c>
      <c r="C442" s="3" t="s">
        <v>36</v>
      </c>
      <c r="D442" s="23">
        <v>2015</v>
      </c>
      <c r="E442" s="25">
        <f>'Current Ratio'!G487</f>
        <v>0</v>
      </c>
      <c r="F442" s="25">
        <f>'Cash Ratio'!G487</f>
        <v>0</v>
      </c>
      <c r="G442" s="25">
        <f>DAR!G487</f>
        <v>0</v>
      </c>
      <c r="H442" s="25">
        <f>DER!G487</f>
        <v>0</v>
      </c>
      <c r="I442" s="25">
        <f>NPM!G487</f>
        <v>0</v>
      </c>
      <c r="J442" s="25">
        <f>ROA!G487</f>
        <v>0</v>
      </c>
      <c r="K442" s="25">
        <f>ROE!G487</f>
        <v>0</v>
      </c>
      <c r="L442" s="25">
        <f>KM!E487</f>
        <v>0</v>
      </c>
      <c r="M442" s="24">
        <f>KI!E487</f>
        <v>0</v>
      </c>
      <c r="N442" s="108">
        <f>IO!E487</f>
        <v>0</v>
      </c>
      <c r="O442" s="24">
        <f>'BoC Size'!E487</f>
        <v>0</v>
      </c>
      <c r="P442" s="24">
        <f>'TMT E DK'!E487</f>
        <v>0</v>
      </c>
      <c r="Q442" s="24">
        <f>Data!R487</f>
        <v>0</v>
      </c>
      <c r="R442" s="24">
        <f>Data!S487</f>
        <v>0</v>
      </c>
      <c r="S442" s="24">
        <f>'TMT E DK'!E487</f>
        <v>0</v>
      </c>
      <c r="T442" s="24">
        <f>'TMT E DD'!E487</f>
        <v>0</v>
      </c>
      <c r="U442" s="24">
        <f>TA!E487</f>
        <v>0</v>
      </c>
      <c r="V442" s="109">
        <f>PR!F487</f>
        <v>0</v>
      </c>
      <c r="W442" s="109">
        <f>'Z Score'!I487</f>
        <v>0</v>
      </c>
      <c r="X442" s="109">
        <f>'Z Score'!L487</f>
        <v>0</v>
      </c>
      <c r="Y442" s="109">
        <f>'Z Score'!O487</f>
        <v>0</v>
      </c>
      <c r="Z442" s="109">
        <f>'Z Score'!R487</f>
        <v>0</v>
      </c>
      <c r="AA442" s="109">
        <f>'Z Score'!S487</f>
        <v>0</v>
      </c>
    </row>
    <row r="443" spans="1:27" ht="15" customHeight="1" x14ac:dyDescent="0.3">
      <c r="A443" s="22"/>
      <c r="B443" s="23"/>
      <c r="C443" s="3"/>
      <c r="D443" s="23">
        <v>2016</v>
      </c>
      <c r="E443" s="25">
        <f>'Current Ratio'!G488</f>
        <v>0</v>
      </c>
      <c r="F443" s="25">
        <f>'Cash Ratio'!G488</f>
        <v>0</v>
      </c>
      <c r="G443" s="25">
        <f>DAR!G488</f>
        <v>0</v>
      </c>
      <c r="H443" s="25">
        <f>DER!G488</f>
        <v>0</v>
      </c>
      <c r="I443" s="25">
        <f>NPM!G488</f>
        <v>0</v>
      </c>
      <c r="J443" s="25">
        <f>ROA!G488</f>
        <v>0</v>
      </c>
      <c r="K443" s="25">
        <f>ROE!G488</f>
        <v>0</v>
      </c>
      <c r="L443" s="25">
        <f>KM!E488</f>
        <v>0</v>
      </c>
      <c r="M443" s="24">
        <f>KI!E488</f>
        <v>0</v>
      </c>
      <c r="N443" s="108">
        <f>IO!E488</f>
        <v>0</v>
      </c>
      <c r="O443" s="24">
        <f>'BoC Size'!E488</f>
        <v>0</v>
      </c>
      <c r="P443" s="24">
        <f>'TMT E DK'!E488</f>
        <v>0</v>
      </c>
      <c r="Q443" s="24">
        <f>Data!R488</f>
        <v>0</v>
      </c>
      <c r="R443" s="24">
        <f>Data!S488</f>
        <v>0</v>
      </c>
      <c r="S443" s="24">
        <f>'TMT E DK'!E488</f>
        <v>0</v>
      </c>
      <c r="T443" s="24">
        <f>'TMT E DD'!E488</f>
        <v>0</v>
      </c>
      <c r="U443" s="24">
        <f>TA!E488</f>
        <v>0</v>
      </c>
      <c r="V443" s="109">
        <f>PR!F488</f>
        <v>0</v>
      </c>
      <c r="W443" s="109">
        <f>'Z Score'!I488</f>
        <v>0</v>
      </c>
      <c r="X443" s="109">
        <f>'Z Score'!L488</f>
        <v>0</v>
      </c>
      <c r="Y443" s="109">
        <f>'Z Score'!O488</f>
        <v>0</v>
      </c>
      <c r="Z443" s="109">
        <f>'Z Score'!R488</f>
        <v>0</v>
      </c>
      <c r="AA443" s="109">
        <f>'Z Score'!S488</f>
        <v>0</v>
      </c>
    </row>
    <row r="444" spans="1:27" ht="15" customHeight="1" x14ac:dyDescent="0.3">
      <c r="A444" s="22"/>
      <c r="B444" s="23"/>
      <c r="C444" s="3"/>
      <c r="D444" s="23">
        <v>2017</v>
      </c>
      <c r="E444" s="25">
        <f>'Current Ratio'!G489</f>
        <v>0</v>
      </c>
      <c r="F444" s="25">
        <f>'Cash Ratio'!G489</f>
        <v>0</v>
      </c>
      <c r="G444" s="25">
        <f>DAR!G489</f>
        <v>0</v>
      </c>
      <c r="H444" s="25">
        <f>DER!G489</f>
        <v>0</v>
      </c>
      <c r="I444" s="25">
        <f>NPM!G489</f>
        <v>0</v>
      </c>
      <c r="J444" s="25">
        <f>ROA!G489</f>
        <v>0</v>
      </c>
      <c r="K444" s="25">
        <f>ROE!G489</f>
        <v>0</v>
      </c>
      <c r="L444" s="25">
        <f>KM!E489</f>
        <v>0</v>
      </c>
      <c r="M444" s="24">
        <f>KI!E489</f>
        <v>0</v>
      </c>
      <c r="N444" s="108">
        <f>IO!E489</f>
        <v>0</v>
      </c>
      <c r="O444" s="24">
        <f>'BoC Size'!E489</f>
        <v>0</v>
      </c>
      <c r="P444" s="24">
        <f>'TMT E DK'!E489</f>
        <v>0</v>
      </c>
      <c r="Q444" s="24">
        <f>Data!R489</f>
        <v>0</v>
      </c>
      <c r="R444" s="24">
        <f>Data!S489</f>
        <v>0</v>
      </c>
      <c r="S444" s="24">
        <f>'TMT E DK'!E489</f>
        <v>0</v>
      </c>
      <c r="T444" s="24">
        <f>'TMT E DD'!E489</f>
        <v>0</v>
      </c>
      <c r="U444" s="24">
        <f>TA!E489</f>
        <v>0</v>
      </c>
      <c r="V444" s="109">
        <f>PR!F489</f>
        <v>0</v>
      </c>
      <c r="W444" s="109">
        <f>'Z Score'!I489</f>
        <v>0</v>
      </c>
      <c r="X444" s="109">
        <f>'Z Score'!L489</f>
        <v>0</v>
      </c>
      <c r="Y444" s="109">
        <f>'Z Score'!O489</f>
        <v>0</v>
      </c>
      <c r="Z444" s="109">
        <f>'Z Score'!R489</f>
        <v>0</v>
      </c>
      <c r="AA444" s="109">
        <f>'Z Score'!S489</f>
        <v>0</v>
      </c>
    </row>
    <row r="445" spans="1:27" ht="15" customHeight="1" x14ac:dyDescent="0.3">
      <c r="A445" s="22"/>
      <c r="B445" s="23"/>
      <c r="C445" s="3"/>
      <c r="D445" s="23">
        <v>2018</v>
      </c>
      <c r="E445" s="25">
        <f>'Current Ratio'!G490</f>
        <v>42.871001257724068</v>
      </c>
      <c r="F445" s="25">
        <f>'Cash Ratio'!G490</f>
        <v>2.319543938316837</v>
      </c>
      <c r="G445" s="25">
        <f>DAR!G490</f>
        <v>0.78814188879062985</v>
      </c>
      <c r="H445" s="25">
        <f>DER!G490</f>
        <v>3.7201402594009902</v>
      </c>
      <c r="I445" s="25">
        <f>NPM!G490</f>
        <v>0</v>
      </c>
      <c r="J445" s="25">
        <f>ROA!G490</f>
        <v>0</v>
      </c>
      <c r="K445" s="25">
        <f>ROE!G490</f>
        <v>0</v>
      </c>
      <c r="L445" s="25">
        <f>KM!E490</f>
        <v>0</v>
      </c>
      <c r="M445" s="24">
        <f>KI!E490</f>
        <v>0</v>
      </c>
      <c r="N445" s="108">
        <f>IO!E490</f>
        <v>0</v>
      </c>
      <c r="O445" s="24">
        <f>'BoC Size'!E490</f>
        <v>0</v>
      </c>
      <c r="P445" s="24">
        <f>'TMT E DK'!E490</f>
        <v>0</v>
      </c>
      <c r="Q445" s="24">
        <f>Data!R490</f>
        <v>0</v>
      </c>
      <c r="R445" s="24">
        <f>Data!S490</f>
        <v>0</v>
      </c>
      <c r="S445" s="24">
        <f>'TMT E DK'!E490</f>
        <v>0</v>
      </c>
      <c r="T445" s="24">
        <f>'TMT E DD'!E490</f>
        <v>0</v>
      </c>
      <c r="U445" s="24">
        <f>TA!E490</f>
        <v>28475766000000</v>
      </c>
      <c r="V445" s="109">
        <f>PR!F490</f>
        <v>0</v>
      </c>
      <c r="W445" s="109">
        <f>'Z Score'!I490</f>
        <v>0.35278834641357848</v>
      </c>
      <c r="X445" s="109">
        <f>'Z Score'!L490</f>
        <v>0.10613186876166913</v>
      </c>
      <c r="Y445" s="109">
        <f>'Z Score'!O490</f>
        <v>2.7123998701211405E-2</v>
      </c>
      <c r="Z445" s="109">
        <f>'Z Score'!R490</f>
        <v>0.28224742261977753</v>
      </c>
      <c r="AA445" s="109">
        <f>'Z Score'!S490</f>
        <v>0.76829163649623655</v>
      </c>
    </row>
    <row r="446" spans="1:27" ht="15" customHeight="1" x14ac:dyDescent="0.3">
      <c r="A446" s="22"/>
      <c r="B446" s="23"/>
      <c r="C446" s="3"/>
      <c r="D446" s="23">
        <v>2019</v>
      </c>
      <c r="E446" s="25">
        <f>'Current Ratio'!G491</f>
        <v>23.821478615497227</v>
      </c>
      <c r="F446" s="25">
        <f>'Cash Ratio'!G491</f>
        <v>1.6747673324270627</v>
      </c>
      <c r="G446" s="25">
        <f>DAR!G491</f>
        <v>0.78110206970301421</v>
      </c>
      <c r="H446" s="25">
        <f>DER!G491</f>
        <v>3.5683392193031174</v>
      </c>
      <c r="I446" s="25">
        <f>NPM!G491</f>
        <v>0</v>
      </c>
      <c r="J446" s="25">
        <f>ROA!G491</f>
        <v>0</v>
      </c>
      <c r="K446" s="25">
        <f>ROE!G491</f>
        <v>0</v>
      </c>
      <c r="L446" s="25">
        <f>KM!E491</f>
        <v>0.49730000000000002</v>
      </c>
      <c r="M446" s="24">
        <f>KI!E491</f>
        <v>2</v>
      </c>
      <c r="N446" s="108">
        <f>IO!E491</f>
        <v>0</v>
      </c>
      <c r="O446" s="24">
        <f>'BoC Size'!E491</f>
        <v>4</v>
      </c>
      <c r="P446" s="24">
        <f>'TMT E DK'!E491</f>
        <v>0</v>
      </c>
      <c r="Q446" s="24">
        <f>Data!R491</f>
        <v>4</v>
      </c>
      <c r="R446" s="24">
        <f>Data!S491</f>
        <v>3</v>
      </c>
      <c r="S446" s="24">
        <f>'TMT E DK'!E491</f>
        <v>0</v>
      </c>
      <c r="T446" s="24">
        <f>'TMT E DD'!E491</f>
        <v>0</v>
      </c>
      <c r="U446" s="24">
        <f>TA!E491</f>
        <v>32755714000000</v>
      </c>
      <c r="V446" s="109">
        <f>PR!F491</f>
        <v>0</v>
      </c>
      <c r="W446" s="109">
        <f>'Z Score'!I491</f>
        <v>0.21853686474365966</v>
      </c>
      <c r="X446" s="109">
        <f>'Z Score'!L491</f>
        <v>0.10760303377908353</v>
      </c>
      <c r="Y446" s="109">
        <f>'Z Score'!O491</f>
        <v>3.1618495631021815E-2</v>
      </c>
      <c r="Z446" s="109">
        <f>'Z Score'!R491</f>
        <v>0.29425453564503351</v>
      </c>
      <c r="AA446" s="109">
        <f>'Z Score'!S491</f>
        <v>0.65201292979879844</v>
      </c>
    </row>
    <row r="447" spans="1:27" ht="15" customHeight="1" x14ac:dyDescent="0.3">
      <c r="A447" s="22"/>
      <c r="B447" s="23"/>
      <c r="C447" s="3"/>
      <c r="D447" s="23">
        <v>2020</v>
      </c>
      <c r="E447" s="25">
        <f>'Current Ratio'!G492</f>
        <v>2.7400324493975585</v>
      </c>
      <c r="F447" s="25">
        <f>'Cash Ratio'!G492</f>
        <v>2.3101976221507035</v>
      </c>
      <c r="G447" s="25">
        <f>DAR!G492</f>
        <v>0.82333240845546563</v>
      </c>
      <c r="H447" s="25">
        <f>DER!G492</f>
        <v>0.82333240845546563</v>
      </c>
      <c r="I447" s="25">
        <f>NPM!G492</f>
        <v>-0.16027091247656533</v>
      </c>
      <c r="J447" s="25">
        <f>ROA!G492</f>
        <v>-7.0746462704469631E-2</v>
      </c>
      <c r="K447" s="25">
        <f>ROE!G492</f>
        <v>-7.0746462704469631E-2</v>
      </c>
      <c r="L447" s="25">
        <f>KM!E492</f>
        <v>0.49730000000000002</v>
      </c>
      <c r="M447" s="24">
        <f>KI!E492</f>
        <v>2</v>
      </c>
      <c r="N447" s="108">
        <f>IO!E492</f>
        <v>0</v>
      </c>
      <c r="O447" s="24">
        <f>'BoC Size'!E492</f>
        <v>3</v>
      </c>
      <c r="P447" s="24">
        <f>'TMT E DK'!E492</f>
        <v>0</v>
      </c>
      <c r="Q447" s="24">
        <f>Data!R492</f>
        <v>3</v>
      </c>
      <c r="R447" s="24">
        <f>Data!S492</f>
        <v>3</v>
      </c>
      <c r="S447" s="24">
        <f>'TMT E DK'!E492</f>
        <v>0</v>
      </c>
      <c r="T447" s="24">
        <f>'TMT E DD'!E492</f>
        <v>0</v>
      </c>
      <c r="U447" s="24">
        <f>TA!E492</f>
        <v>28980403000000</v>
      </c>
      <c r="V447" s="109">
        <f>PR!F492</f>
        <v>0</v>
      </c>
      <c r="W447" s="109">
        <f>'Z Score'!I492</f>
        <v>2.9616924236698844E-2</v>
      </c>
      <c r="X447" s="109">
        <f>'Z Score'!L492</f>
        <v>0.23749107215658802</v>
      </c>
      <c r="Y447" s="109">
        <f>'Z Score'!O492</f>
        <v>0.23884954808944514</v>
      </c>
      <c r="Z447" s="109">
        <f>'Z Score'!R492</f>
        <v>1.275305076317538</v>
      </c>
      <c r="AA447" s="109">
        <f>'Z Score'!S492</f>
        <v>1.78126262080027</v>
      </c>
    </row>
    <row r="448" spans="1:27" ht="15" customHeight="1" x14ac:dyDescent="0.3">
      <c r="A448" s="22"/>
      <c r="B448" s="23"/>
      <c r="C448" s="3"/>
      <c r="D448" s="23">
        <v>2021</v>
      </c>
      <c r="E448" s="25">
        <f>'Current Ratio'!G493</f>
        <v>1.8141684098785475</v>
      </c>
      <c r="F448" s="25">
        <f>'Cash Ratio'!G493</f>
        <v>1.3552561740922289</v>
      </c>
      <c r="G448" s="25">
        <f>DAR!G493</f>
        <v>0.60797490546948973</v>
      </c>
      <c r="H448" s="25">
        <f>DER!G493</f>
        <v>1.5508570295320623</v>
      </c>
      <c r="I448" s="25">
        <f>NPM!G493</f>
        <v>0.87641055774441334</v>
      </c>
      <c r="J448" s="25">
        <f>ROA!G493</f>
        <v>0.2868318167558338</v>
      </c>
      <c r="K448" s="25">
        <f>ROE!G493</f>
        <v>0.73166694103225716</v>
      </c>
      <c r="L448" s="25">
        <f>KM!E493</f>
        <v>0.49730000000000002</v>
      </c>
      <c r="M448" s="24">
        <f>KI!E493</f>
        <v>2</v>
      </c>
      <c r="N448" s="108">
        <f>IO!E493</f>
        <v>0</v>
      </c>
      <c r="O448" s="24">
        <f>'BoC Size'!E493</f>
        <v>3</v>
      </c>
      <c r="P448" s="24">
        <f>'TMT E DK'!E493</f>
        <v>0</v>
      </c>
      <c r="Q448" s="24">
        <f>Data!R493</f>
        <v>3</v>
      </c>
      <c r="R448" s="24">
        <f>Data!S493</f>
        <v>3</v>
      </c>
      <c r="S448" s="24">
        <f>'TMT E DK'!E493</f>
        <v>0</v>
      </c>
      <c r="T448" s="24">
        <f>'TMT E DD'!E493</f>
        <v>0</v>
      </c>
      <c r="U448" s="24">
        <f>TA!E493</f>
        <v>48671323000000</v>
      </c>
      <c r="V448" s="109">
        <f>PR!F493</f>
        <v>0.24519805438683426</v>
      </c>
      <c r="W448" s="109">
        <f>'Z Score'!I493</f>
        <v>7.0294008650638069E-3</v>
      </c>
      <c r="X448" s="109">
        <f>'Z Score'!L493</f>
        <v>0.15609751105389102</v>
      </c>
      <c r="Y448" s="109">
        <f>'Z Score'!O493</f>
        <v>3.0277146976259509E-2</v>
      </c>
      <c r="Z448" s="109">
        <f>'Z Score'!R493</f>
        <v>0.67704500157362335</v>
      </c>
      <c r="AA448" s="109">
        <f>'Z Score'!S493</f>
        <v>0.87044906046883774</v>
      </c>
    </row>
    <row r="449" spans="1:27" ht="15" customHeight="1" x14ac:dyDescent="0.3">
      <c r="A449" s="22"/>
      <c r="B449" s="23"/>
      <c r="C449" s="3"/>
      <c r="D449" s="23">
        <v>2022</v>
      </c>
      <c r="E449" s="25">
        <f>'Current Ratio'!G494</f>
        <v>3.3603221485729984</v>
      </c>
      <c r="F449" s="25">
        <f>'Cash Ratio'!G494</f>
        <v>2.7985369371844628</v>
      </c>
      <c r="G449" s="25">
        <f>DAR!G494</f>
        <v>0.64648511070745063</v>
      </c>
      <c r="H449" s="25">
        <f>DER!G494</f>
        <v>1.8290303364722025</v>
      </c>
      <c r="I449" s="25">
        <f>NPM!G494</f>
        <v>-3.1568507221936618E-2</v>
      </c>
      <c r="J449" s="25">
        <f>ROA!G494</f>
        <v>-9.3304344320405044E-3</v>
      </c>
      <c r="K449" s="25">
        <f>ROE!G494</f>
        <v>-2.639758804343054E-2</v>
      </c>
      <c r="L449" s="25">
        <f>KM!E494</f>
        <v>0.49730000000000002</v>
      </c>
      <c r="M449" s="24">
        <f>KI!E494</f>
        <v>2</v>
      </c>
      <c r="N449" s="108">
        <f>IO!E494</f>
        <v>0</v>
      </c>
      <c r="O449" s="24">
        <f>'BoC Size'!E494</f>
        <v>3</v>
      </c>
      <c r="P449" s="24">
        <f>'TMT E DK'!E494</f>
        <v>0</v>
      </c>
      <c r="Q449" s="24">
        <f>Data!R494</f>
        <v>3</v>
      </c>
      <c r="R449" s="24">
        <f>Data!S494</f>
        <v>3</v>
      </c>
      <c r="S449" s="24">
        <f>'TMT E DK'!E494</f>
        <v>0</v>
      </c>
      <c r="T449" s="24">
        <f>'TMT E DD'!E494</f>
        <v>0</v>
      </c>
      <c r="U449" s="24">
        <f>TA!E494</f>
        <v>52585440000000</v>
      </c>
      <c r="V449" s="109">
        <f>PR!F494</f>
        <v>-2.4290671950058886E-2</v>
      </c>
      <c r="W449" s="109">
        <f>'Z Score'!I494</f>
        <v>1.7146924319735652E-2</v>
      </c>
      <c r="X449" s="109">
        <f>'Z Score'!L494</f>
        <v>0.16078766974280331</v>
      </c>
      <c r="Y449" s="109">
        <f>'Z Score'!O494</f>
        <v>3.3618632077624527E-2</v>
      </c>
      <c r="Z449" s="109">
        <f>'Z Score'!R494</f>
        <v>0.57407467720038974</v>
      </c>
      <c r="AA449" s="109">
        <f>'Z Score'!S494</f>
        <v>0.78562790334055321</v>
      </c>
    </row>
    <row r="450" spans="1:27" ht="15" customHeight="1" x14ac:dyDescent="0.3">
      <c r="A450" s="22"/>
      <c r="B450" s="23"/>
      <c r="C450" s="3"/>
      <c r="D450" s="23">
        <v>2023</v>
      </c>
      <c r="E450" s="25">
        <f>'Current Ratio'!G495</f>
        <v>7.4629906231847976</v>
      </c>
      <c r="F450" s="25">
        <f>'Cash Ratio'!G495</f>
        <v>5.8198489751887807</v>
      </c>
      <c r="G450" s="25">
        <f>DAR!G495</f>
        <v>0.67624655130135702</v>
      </c>
      <c r="H450" s="25">
        <f>DER!G495</f>
        <v>2.0887701861388437</v>
      </c>
      <c r="I450" s="25">
        <f>NPM!G495</f>
        <v>-3.3771643963623796E-2</v>
      </c>
      <c r="J450" s="25">
        <f>ROA!G495</f>
        <v>-9.2226929251681428E-3</v>
      </c>
      <c r="K450" s="25">
        <f>ROE!G495</f>
        <v>-2.8486778943172999E-2</v>
      </c>
      <c r="L450" s="25">
        <f>KM!E495</f>
        <v>0.49730000000000002</v>
      </c>
      <c r="M450" s="24">
        <f>KI!E495</f>
        <v>2</v>
      </c>
      <c r="N450" s="108">
        <f>IO!E495</f>
        <v>0</v>
      </c>
      <c r="O450" s="24">
        <f>'BoC Size'!E495</f>
        <v>3</v>
      </c>
      <c r="P450" s="24">
        <f>'TMT E DK'!E495</f>
        <v>0</v>
      </c>
      <c r="Q450" s="24">
        <f>Data!R495</f>
        <v>3</v>
      </c>
      <c r="R450" s="24">
        <f>Data!S495</f>
        <v>3</v>
      </c>
      <c r="S450" s="24">
        <f>'TMT E DK'!E495</f>
        <v>0</v>
      </c>
      <c r="T450" s="24">
        <f>'TMT E DD'!E495</f>
        <v>0</v>
      </c>
      <c r="U450" s="24">
        <f>TA!E495</f>
        <v>55829030000000</v>
      </c>
      <c r="V450" s="109">
        <f>PR!F495</f>
        <v>-1.9037744261923804E-2</v>
      </c>
      <c r="W450" s="109">
        <f>'Z Score'!I495</f>
        <v>1.8303340753009677E-2</v>
      </c>
      <c r="X450" s="109">
        <f>'Z Score'!L495</f>
        <v>0.17080577147767032</v>
      </c>
      <c r="Y450" s="109">
        <f>'Z Score'!O495</f>
        <v>3.9906997488582556E-2</v>
      </c>
      <c r="Z450" s="109">
        <f>'Z Score'!R495</f>
        <v>0.50268814011605445</v>
      </c>
      <c r="AA450" s="109">
        <f>'Z Score'!S495</f>
        <v>0.73170424983531701</v>
      </c>
    </row>
    <row r="451" spans="1:27" ht="15" customHeight="1" x14ac:dyDescent="0.3">
      <c r="A451" s="22"/>
      <c r="B451" s="23"/>
      <c r="C451" s="3"/>
      <c r="D451" s="23">
        <v>2024</v>
      </c>
      <c r="E451" s="25">
        <f>'Current Ratio'!G496</f>
        <v>9.5844237972466804</v>
      </c>
      <c r="F451" s="25">
        <f>'Cash Ratio'!G496</f>
        <v>7.1475409836065573</v>
      </c>
      <c r="G451" s="25">
        <f>DAR!G496</f>
        <v>0.68479318653688015</v>
      </c>
      <c r="H451" s="25">
        <f>DER!G496</f>
        <v>2.1725202542837891</v>
      </c>
      <c r="I451" s="25">
        <f>NPM!G496</f>
        <v>6.2443872744428225E-2</v>
      </c>
      <c r="J451" s="25">
        <f>ROA!G496</f>
        <v>1.6934117178321741E-2</v>
      </c>
      <c r="K451" s="25">
        <f>ROE!G496</f>
        <v>5.3723829736640777E-2</v>
      </c>
      <c r="L451" s="25">
        <f>KM!E496</f>
        <v>0.49730000000000002</v>
      </c>
      <c r="M451" s="24">
        <f>KI!E496</f>
        <v>2</v>
      </c>
      <c r="N451" s="108">
        <f>IO!E496</f>
        <v>0</v>
      </c>
      <c r="O451" s="24">
        <f>'BoC Size'!E496</f>
        <v>3</v>
      </c>
      <c r="P451" s="24">
        <f>'TMT E DK'!E496</f>
        <v>0</v>
      </c>
      <c r="Q451" s="24">
        <f>Data!R496</f>
        <v>3</v>
      </c>
      <c r="R451" s="24">
        <f>Data!S496</f>
        <v>3</v>
      </c>
      <c r="S451" s="24">
        <f>'TMT E DK'!E496</f>
        <v>0</v>
      </c>
      <c r="T451" s="24">
        <f>'TMT E DD'!E496</f>
        <v>0</v>
      </c>
      <c r="U451" s="24">
        <f>TA!E496</f>
        <v>60598376000000</v>
      </c>
      <c r="V451" s="109">
        <f>PR!F496</f>
        <v>7.7874225691265855E-2</v>
      </c>
      <c r="W451" s="109">
        <f>'Z Score'!I496</f>
        <v>1.910353505183043E-2</v>
      </c>
      <c r="X451" s="109">
        <f>'Z Score'!L496</f>
        <v>0.17235904374731098</v>
      </c>
      <c r="Y451" s="109">
        <f>'Z Score'!O496</f>
        <v>3.0912939317053641E-2</v>
      </c>
      <c r="Z451" s="109">
        <f>'Z Score'!R496</f>
        <v>0.48330964828963197</v>
      </c>
      <c r="AA451" s="109">
        <f>'Z Score'!S496</f>
        <v>0.70568516640582701</v>
      </c>
    </row>
    <row r="452" spans="1:27" ht="15" customHeight="1" x14ac:dyDescent="0.3">
      <c r="A452" s="22"/>
      <c r="B452" s="23">
        <v>46</v>
      </c>
      <c r="C452" s="3" t="s">
        <v>16</v>
      </c>
      <c r="D452" s="23">
        <v>2015</v>
      </c>
      <c r="E452" s="25">
        <f>'Current Ratio'!G498</f>
        <v>0</v>
      </c>
      <c r="F452" s="25">
        <f>'Cash Ratio'!G498</f>
        <v>0</v>
      </c>
      <c r="G452" s="25">
        <f>DAR!G498</f>
        <v>0</v>
      </c>
      <c r="H452" s="25">
        <f>DER!G498</f>
        <v>0</v>
      </c>
      <c r="I452" s="25">
        <f>NPM!G498</f>
        <v>-1.5118208683791772</v>
      </c>
      <c r="J452" s="25">
        <f>ROA!G498</f>
        <v>-0.19400525087514586</v>
      </c>
      <c r="K452" s="25">
        <f>ROE!G498</f>
        <v>-0.24727644543595464</v>
      </c>
      <c r="L452" s="25">
        <f>KM!E498</f>
        <v>0</v>
      </c>
      <c r="M452" s="24">
        <f>KI!E498</f>
        <v>0</v>
      </c>
      <c r="N452" s="108">
        <f>IO!E498</f>
        <v>0</v>
      </c>
      <c r="O452" s="24">
        <f>'BoC Size'!E498</f>
        <v>0</v>
      </c>
      <c r="P452" s="24">
        <f>'TMT E DK'!E498</f>
        <v>0</v>
      </c>
      <c r="Q452" s="24">
        <f>Data!R498</f>
        <v>0</v>
      </c>
      <c r="R452" s="24">
        <f>Data!S498</f>
        <v>0</v>
      </c>
      <c r="S452" s="24">
        <f>'TMT E DK'!E498</f>
        <v>0</v>
      </c>
      <c r="T452" s="24">
        <f>'TMT E DD'!E498</f>
        <v>0</v>
      </c>
      <c r="U452" s="24">
        <f>TA!E498</f>
        <v>0</v>
      </c>
      <c r="V452" s="109">
        <f>PR!F498</f>
        <v>7.6207951070336385E-2</v>
      </c>
      <c r="W452" s="109">
        <f>'Z Score'!I498</f>
        <v>0</v>
      </c>
      <c r="X452" s="109">
        <f>'Z Score'!L498</f>
        <v>0</v>
      </c>
      <c r="Y452" s="109">
        <f>'Z Score'!O498</f>
        <v>0</v>
      </c>
      <c r="Z452" s="109">
        <f>'Z Score'!R498</f>
        <v>0</v>
      </c>
      <c r="AA452" s="109">
        <f>'Z Score'!S498</f>
        <v>0</v>
      </c>
    </row>
    <row r="453" spans="1:27" ht="15" customHeight="1" x14ac:dyDescent="0.3">
      <c r="A453" s="22"/>
      <c r="B453" s="23"/>
      <c r="C453" s="3"/>
      <c r="D453" s="23">
        <v>2016</v>
      </c>
      <c r="E453" s="25">
        <f>'Current Ratio'!G499</f>
        <v>0.40660822656776802</v>
      </c>
      <c r="F453" s="25">
        <f>'Cash Ratio'!G499</f>
        <v>0.20895144976399191</v>
      </c>
      <c r="G453" s="25">
        <f>DAR!G499</f>
        <v>0.17674361686319415</v>
      </c>
      <c r="H453" s="25">
        <f>DER!G499</f>
        <v>0.21469070523029879</v>
      </c>
      <c r="I453" s="25">
        <f>NPM!G499</f>
        <v>-0.37513306719893547</v>
      </c>
      <c r="J453" s="25">
        <f>ROA!G499</f>
        <v>-0.13875865972658027</v>
      </c>
      <c r="K453" s="25">
        <f>ROE!G499</f>
        <v>-0.22546912333669908</v>
      </c>
      <c r="L453" s="25">
        <f>KM!E499</f>
        <v>0</v>
      </c>
      <c r="M453" s="24">
        <f>KI!E499</f>
        <v>0</v>
      </c>
      <c r="N453" s="108">
        <f>IO!E499</f>
        <v>0</v>
      </c>
      <c r="O453" s="24">
        <f>'BoC Size'!E499</f>
        <v>0</v>
      </c>
      <c r="P453" s="24">
        <f>'TMT E DK'!E499</f>
        <v>0</v>
      </c>
      <c r="Q453" s="24">
        <f>Data!R499</f>
        <v>0</v>
      </c>
      <c r="R453" s="24">
        <f>Data!S499</f>
        <v>0</v>
      </c>
      <c r="S453" s="24">
        <f>'TMT E DK'!E499</f>
        <v>0</v>
      </c>
      <c r="T453" s="24">
        <f>'TMT E DD'!E499</f>
        <v>0</v>
      </c>
      <c r="U453" s="24">
        <f>TA!E499</f>
        <v>114403000000</v>
      </c>
      <c r="V453" s="109">
        <f>PR!F499</f>
        <v>2.4166856103659922</v>
      </c>
      <c r="W453" s="109">
        <f>'Z Score'!I499</f>
        <v>-0.40368172163317395</v>
      </c>
      <c r="X453" s="109">
        <f>'Z Score'!L499</f>
        <v>-0.56472889696948503</v>
      </c>
      <c r="Y453" s="109">
        <f>'Z Score'!O499</f>
        <v>-0.57623663715112361</v>
      </c>
      <c r="Z453" s="109">
        <f>'Z Score'!R499</f>
        <v>4.8907566765578636</v>
      </c>
      <c r="AA453" s="109">
        <f>'Z Score'!S499</f>
        <v>3.3461094208040811</v>
      </c>
    </row>
    <row r="454" spans="1:27" ht="15" customHeight="1" x14ac:dyDescent="0.3">
      <c r="A454" s="22"/>
      <c r="B454" s="23"/>
      <c r="C454" s="3"/>
      <c r="D454" s="23">
        <v>2017</v>
      </c>
      <c r="E454" s="25">
        <f>'Current Ratio'!G500</f>
        <v>1.8867264710354266</v>
      </c>
      <c r="F454" s="25">
        <f>'Cash Ratio'!G500</f>
        <v>0.65455374790938115</v>
      </c>
      <c r="G454" s="25">
        <f>DAR!G500</f>
        <v>0.21543173862310386</v>
      </c>
      <c r="H454" s="25">
        <f>DER!G500</f>
        <v>0.27458635434095557</v>
      </c>
      <c r="I454" s="25">
        <f>NPM!G500</f>
        <v>0</v>
      </c>
      <c r="J454" s="25">
        <f>ROA!G500</f>
        <v>0</v>
      </c>
      <c r="K454" s="25">
        <f>ROE!G500</f>
        <v>0</v>
      </c>
      <c r="L454" s="25">
        <f>KM!E500</f>
        <v>0.99990000000000001</v>
      </c>
      <c r="M454" s="24">
        <f>KI!E500</f>
        <v>2</v>
      </c>
      <c r="N454" s="108">
        <f>IO!E500</f>
        <v>0</v>
      </c>
      <c r="O454" s="24">
        <f>'BoC Size'!E500</f>
        <v>4</v>
      </c>
      <c r="P454" s="24">
        <f>'TMT E DK'!E500</f>
        <v>0</v>
      </c>
      <c r="Q454" s="24">
        <f>Data!R500</f>
        <v>4</v>
      </c>
      <c r="R454" s="24">
        <f>Data!S500</f>
        <v>4</v>
      </c>
      <c r="S454" s="24">
        <f>'TMT E DK'!E500</f>
        <v>0</v>
      </c>
      <c r="T454" s="24">
        <f>'TMT E DD'!E500</f>
        <v>0</v>
      </c>
      <c r="U454" s="24">
        <f>TA!E500</f>
        <v>137120000000</v>
      </c>
      <c r="V454" s="109">
        <f>PR!F500</f>
        <v>0</v>
      </c>
      <c r="W454" s="109">
        <f>'Z Score'!I500</f>
        <v>0.27901050175029168</v>
      </c>
      <c r="X454" s="109">
        <f>'Z Score'!L500</f>
        <v>-0.56805119603267207</v>
      </c>
      <c r="Y454" s="109">
        <f>'Z Score'!O500</f>
        <v>-0.17657642940490081</v>
      </c>
      <c r="Z454" s="109">
        <f>'Z Score'!R500</f>
        <v>3.8239336492890996</v>
      </c>
      <c r="AA454" s="109">
        <f>'Z Score'!S500</f>
        <v>3.3583165256018184</v>
      </c>
    </row>
    <row r="455" spans="1:27" ht="15" customHeight="1" x14ac:dyDescent="0.3">
      <c r="A455" s="22"/>
      <c r="B455" s="23"/>
      <c r="C455" s="3"/>
      <c r="D455" s="23">
        <v>2018</v>
      </c>
      <c r="E455" s="25">
        <f>'Current Ratio'!G501</f>
        <v>2.394532693018101</v>
      </c>
      <c r="F455" s="25">
        <f>'Cash Ratio'!G501</f>
        <v>0.31904937815539958</v>
      </c>
      <c r="G455" s="25">
        <f>DAR!G501</f>
        <v>0.38457799598853165</v>
      </c>
      <c r="H455" s="25">
        <f>DER!G501</f>
        <v>0.62490127665530304</v>
      </c>
      <c r="I455" s="25">
        <f>NPM!G501</f>
        <v>0</v>
      </c>
      <c r="J455" s="25">
        <f>ROA!G501</f>
        <v>0</v>
      </c>
      <c r="K455" s="25">
        <f>ROE!G501</f>
        <v>0</v>
      </c>
      <c r="L455" s="25">
        <f>KM!E501</f>
        <v>1</v>
      </c>
      <c r="M455" s="24">
        <f>KI!E501</f>
        <v>3</v>
      </c>
      <c r="N455" s="108">
        <f>IO!E501</f>
        <v>0</v>
      </c>
      <c r="O455" s="24">
        <f>'BoC Size'!E501</f>
        <v>4</v>
      </c>
      <c r="P455" s="24">
        <f>'TMT E DK'!E501</f>
        <v>0</v>
      </c>
      <c r="Q455" s="24">
        <f>Data!R501</f>
        <v>4</v>
      </c>
      <c r="R455" s="24">
        <f>Data!S501</f>
        <v>3</v>
      </c>
      <c r="S455" s="24">
        <f>'TMT E DK'!E501</f>
        <v>0</v>
      </c>
      <c r="T455" s="24">
        <f>'TMT E DD'!E501</f>
        <v>0</v>
      </c>
      <c r="U455" s="24">
        <f>TA!E501</f>
        <v>162534000000</v>
      </c>
      <c r="V455" s="109">
        <f>PR!F501</f>
        <v>0</v>
      </c>
      <c r="W455" s="109">
        <f>'Z Score'!I501</f>
        <v>0.45708590202665289</v>
      </c>
      <c r="X455" s="109">
        <f>'Z Score'!L501</f>
        <v>-0.5397831838261532</v>
      </c>
      <c r="Y455" s="109">
        <f>'Z Score'!O501</f>
        <v>-9.3233415777621911E-2</v>
      </c>
      <c r="Z455" s="109">
        <f>'Z Score'!R501</f>
        <v>1.6802654102740493</v>
      </c>
      <c r="AA455" s="109">
        <f>'Z Score'!S501</f>
        <v>1.5043347126969271</v>
      </c>
    </row>
    <row r="456" spans="1:27" ht="15" customHeight="1" x14ac:dyDescent="0.3">
      <c r="A456" s="22"/>
      <c r="B456" s="23"/>
      <c r="C456" s="3"/>
      <c r="D456" s="23">
        <v>2019</v>
      </c>
      <c r="E456" s="25">
        <f>'Current Ratio'!G502</f>
        <v>1.5926044501360652</v>
      </c>
      <c r="F456" s="25">
        <f>'Cash Ratio'!G502</f>
        <v>0.42276292620457817</v>
      </c>
      <c r="G456" s="25">
        <f>DAR!G502</f>
        <v>0.39874576151869623</v>
      </c>
      <c r="H456" s="25">
        <f>DER!G502</f>
        <v>0.66318993862875764</v>
      </c>
      <c r="I456" s="25">
        <f>NPM!G502</f>
        <v>-0.27255805437734582</v>
      </c>
      <c r="J456" s="25">
        <f>ROA!G502</f>
        <v>-5.2398775093569244E-2</v>
      </c>
      <c r="K456" s="25">
        <f>ROE!G502</f>
        <v>-8.7149115532095506E-2</v>
      </c>
      <c r="L456" s="25">
        <f>KM!E502</f>
        <v>1</v>
      </c>
      <c r="M456" s="24">
        <f>KI!E502</f>
        <v>2</v>
      </c>
      <c r="N456" s="108">
        <f>IO!E502</f>
        <v>0</v>
      </c>
      <c r="O456" s="24">
        <f>'BoC Size'!E502</f>
        <v>4</v>
      </c>
      <c r="P456" s="24">
        <f>'TMT E DK'!E502</f>
        <v>0</v>
      </c>
      <c r="Q456" s="24">
        <f>Data!R502</f>
        <v>4</v>
      </c>
      <c r="R456" s="24">
        <f>Data!S502</f>
        <v>3</v>
      </c>
      <c r="S456" s="24">
        <f>'TMT E DK'!E502</f>
        <v>0</v>
      </c>
      <c r="T456" s="24">
        <f>'TMT E DD'!E502</f>
        <v>0</v>
      </c>
      <c r="U456" s="24">
        <f>TA!E502</f>
        <v>170462000000</v>
      </c>
      <c r="V456" s="109">
        <f>PR!F502</f>
        <v>0</v>
      </c>
      <c r="W456" s="109">
        <f>'Z Score'!I502</f>
        <v>0.28493294693245413</v>
      </c>
      <c r="X456" s="109">
        <f>'Z Score'!L502</f>
        <v>-0.6626446950053384</v>
      </c>
      <c r="Y456" s="109">
        <f>'Z Score'!O502</f>
        <v>-0.37261935211366753</v>
      </c>
      <c r="Z456" s="109">
        <f>'Z Score'!R502</f>
        <v>1.5832568301187271</v>
      </c>
      <c r="AA456" s="109">
        <f>'Z Score'!S502</f>
        <v>0.83292572993217528</v>
      </c>
    </row>
    <row r="457" spans="1:27" ht="15" customHeight="1" x14ac:dyDescent="0.3">
      <c r="A457" s="22"/>
      <c r="B457" s="23"/>
      <c r="C457" s="3"/>
      <c r="D457" s="23">
        <v>2020</v>
      </c>
      <c r="E457" s="25">
        <f>'Current Ratio'!G503</f>
        <v>1.6950073515310362</v>
      </c>
      <c r="F457" s="25">
        <f>'Cash Ratio'!G503</f>
        <v>0.23524899315987982</v>
      </c>
      <c r="G457" s="25">
        <f>DAR!G503</f>
        <v>0.43539875642065423</v>
      </c>
      <c r="H457" s="25">
        <f>DER!G503</f>
        <v>0.7711615257175144</v>
      </c>
      <c r="I457" s="25">
        <f>NPM!G503</f>
        <v>-0.80441654423222475</v>
      </c>
      <c r="J457" s="25">
        <f>ROA!G503</f>
        <v>-9.7691267910246016E-2</v>
      </c>
      <c r="K457" s="25">
        <f>ROE!G503</f>
        <v>-0.17302701512118979</v>
      </c>
      <c r="L457" s="25">
        <f>KM!E503</f>
        <v>1</v>
      </c>
      <c r="M457" s="24">
        <f>KI!E503</f>
        <v>2</v>
      </c>
      <c r="N457" s="108">
        <f>IO!E503</f>
        <v>0</v>
      </c>
      <c r="O457" s="24">
        <f>'BoC Size'!E503</f>
        <v>3</v>
      </c>
      <c r="P457" s="24">
        <f>'TMT E DK'!E503</f>
        <v>0</v>
      </c>
      <c r="Q457" s="24">
        <f>Data!R503</f>
        <v>3</v>
      </c>
      <c r="R457" s="24">
        <f>Data!S503</f>
        <v>2</v>
      </c>
      <c r="S457" s="24">
        <f>'TMT E DK'!E503</f>
        <v>0</v>
      </c>
      <c r="T457" s="24">
        <f>'TMT E DD'!E503</f>
        <v>0</v>
      </c>
      <c r="U457" s="24">
        <f>TA!E503</f>
        <v>184950000000</v>
      </c>
      <c r="V457" s="109">
        <f>PR!F503</f>
        <v>-0.31460742729852614</v>
      </c>
      <c r="W457" s="109">
        <f>'Z Score'!I503</f>
        <v>0.38561946472019459</v>
      </c>
      <c r="X457" s="109">
        <f>'Z Score'!L503</f>
        <v>-1.0527535009462015</v>
      </c>
      <c r="Y457" s="109">
        <f>'Z Score'!O503</f>
        <v>-0.9295727493917274</v>
      </c>
      <c r="Z457" s="109">
        <f>'Z Score'!R503</f>
        <v>1.361582450606629</v>
      </c>
      <c r="AA457" s="109">
        <f>'Z Score'!S503</f>
        <v>-0.23512433501110519</v>
      </c>
    </row>
    <row r="458" spans="1:27" ht="15" customHeight="1" x14ac:dyDescent="0.3">
      <c r="A458" s="22"/>
      <c r="B458" s="23"/>
      <c r="C458" s="3"/>
      <c r="D458" s="23">
        <v>2021</v>
      </c>
      <c r="E458" s="25">
        <f>'Current Ratio'!G504</f>
        <v>1.3990651566960504</v>
      </c>
      <c r="F458" s="25">
        <f>'Cash Ratio'!G504</f>
        <v>7.5916805220064623E-2</v>
      </c>
      <c r="G458" s="25">
        <f>DAR!G504</f>
        <v>0.54581223498851883</v>
      </c>
      <c r="H458" s="25">
        <f>DER!G504</f>
        <v>1.2017325807416268</v>
      </c>
      <c r="I458" s="25">
        <f>NPM!G504</f>
        <v>-0.40842824601366745</v>
      </c>
      <c r="J458" s="25">
        <f>ROA!G504</f>
        <v>-0.10654363484335938</v>
      </c>
      <c r="K458" s="25">
        <f>ROE!G504</f>
        <v>-0.23458059210526316</v>
      </c>
      <c r="L458" s="25">
        <f>KM!E504</f>
        <v>0.99990000000000001</v>
      </c>
      <c r="M458" s="24">
        <f>KI!E504</f>
        <v>2</v>
      </c>
      <c r="N458" s="108">
        <f>IO!E504</f>
        <v>0</v>
      </c>
      <c r="O458" s="24">
        <f>'BoC Size'!E504</f>
        <v>3</v>
      </c>
      <c r="P458" s="24">
        <f>'TMT E DK'!E504</f>
        <v>0</v>
      </c>
      <c r="Q458" s="24">
        <f>Data!R504</f>
        <v>3</v>
      </c>
      <c r="R458" s="24">
        <f>Data!S504</f>
        <v>3</v>
      </c>
      <c r="S458" s="24">
        <f>'TMT E DK'!E504</f>
        <v>0</v>
      </c>
      <c r="T458" s="24">
        <f>'TMT E DD'!E504</f>
        <v>0</v>
      </c>
      <c r="U458" s="24">
        <f>TA!E504</f>
        <v>235603000000</v>
      </c>
      <c r="V458" s="109">
        <f>PR!F504</f>
        <v>1.7362984729085971</v>
      </c>
      <c r="W458" s="109">
        <f>'Z Score'!I504</f>
        <v>0.35419650853342272</v>
      </c>
      <c r="X458" s="109">
        <f>'Z Score'!L504</f>
        <v>-1.4788533252972158</v>
      </c>
      <c r="Y458" s="109">
        <f>'Z Score'!O504</f>
        <v>-1.3704232968171033</v>
      </c>
      <c r="Z458" s="109">
        <f>'Z Score'!R504</f>
        <v>0.87373848127843234</v>
      </c>
      <c r="AA458" s="109">
        <f>'Z Score'!S504</f>
        <v>-1.6213416323024641</v>
      </c>
    </row>
    <row r="459" spans="1:27" ht="15" customHeight="1" x14ac:dyDescent="0.3">
      <c r="A459" s="22"/>
      <c r="B459" s="23"/>
      <c r="C459" s="3"/>
      <c r="D459" s="23">
        <v>2022</v>
      </c>
      <c r="E459" s="25">
        <f>'Current Ratio'!G505</f>
        <v>1.2359128474830954</v>
      </c>
      <c r="F459" s="25">
        <f>'Cash Ratio'!G505</f>
        <v>0.12697220135236664</v>
      </c>
      <c r="G459" s="25">
        <f>DAR!G505</f>
        <v>0.55043965296949027</v>
      </c>
      <c r="H459" s="25">
        <f>DER!G505</f>
        <v>1.2243954712761496</v>
      </c>
      <c r="I459" s="25">
        <f>NPM!G505</f>
        <v>-0.11150639244024459</v>
      </c>
      <c r="J459" s="25">
        <f>ROA!G505</f>
        <v>-2.9412134338174613E-2</v>
      </c>
      <c r="K459" s="25">
        <f>ROE!G505</f>
        <v>-6.5424218422401342E-2</v>
      </c>
      <c r="L459" s="25">
        <f>KM!E505</f>
        <v>1</v>
      </c>
      <c r="M459" s="24">
        <f>KI!E505</f>
        <v>2</v>
      </c>
      <c r="N459" s="108">
        <f>IO!E505</f>
        <v>0</v>
      </c>
      <c r="O459" s="24">
        <f>'BoC Size'!E505</f>
        <v>3</v>
      </c>
      <c r="P459" s="24">
        <f>'TMT E DK'!E505</f>
        <v>0</v>
      </c>
      <c r="Q459" s="24">
        <f>Data!R505</f>
        <v>3</v>
      </c>
      <c r="R459" s="24">
        <f>Data!S505</f>
        <v>3</v>
      </c>
      <c r="S459" s="24">
        <f>'TMT E DK'!E505</f>
        <v>0</v>
      </c>
      <c r="T459" s="24">
        <f>'TMT E DD'!E505</f>
        <v>0</v>
      </c>
      <c r="U459" s="24">
        <f>TA!E505</f>
        <v>238711000000</v>
      </c>
      <c r="V459" s="109">
        <f>PR!F505</f>
        <v>2.44874715261959E-2</v>
      </c>
      <c r="W459" s="109">
        <f>'Z Score'!I505</f>
        <v>0.13806418640112939</v>
      </c>
      <c r="X459" s="109">
        <f>'Z Score'!L505</f>
        <v>-1.5820445643476839</v>
      </c>
      <c r="Y459" s="109">
        <f>'Z Score'!O505</f>
        <v>-0.17453741134677497</v>
      </c>
      <c r="Z459" s="109">
        <f>'Z Score'!R505</f>
        <v>0.85756605984961487</v>
      </c>
      <c r="AA459" s="109">
        <f>'Z Score'!S505</f>
        <v>-0.7609517294437147</v>
      </c>
    </row>
    <row r="460" spans="1:27" ht="15" customHeight="1" x14ac:dyDescent="0.3">
      <c r="A460" s="22"/>
      <c r="B460" s="23"/>
      <c r="C460" s="3"/>
      <c r="D460" s="23">
        <v>2023</v>
      </c>
      <c r="E460" s="25">
        <f>'Current Ratio'!G506</f>
        <v>1.7220045927326759</v>
      </c>
      <c r="F460" s="25">
        <f>'Cash Ratio'!G506</f>
        <v>0.48201179701922642</v>
      </c>
      <c r="G460" s="25">
        <f>DAR!G506</f>
        <v>0.57749634680954698</v>
      </c>
      <c r="H460" s="25">
        <f>DER!G506</f>
        <v>1.3668321845895401</v>
      </c>
      <c r="I460" s="25">
        <f>NPM!G506</f>
        <v>-0.1861500731434472</v>
      </c>
      <c r="J460" s="25">
        <f>ROA!G506</f>
        <v>-6.021153712337346E-2</v>
      </c>
      <c r="K460" s="25">
        <f>ROE!G506</f>
        <v>-0.14251010812190684</v>
      </c>
      <c r="L460" s="25">
        <f>KM!E506</f>
        <v>0.99990000000000001</v>
      </c>
      <c r="M460" s="24">
        <f>KI!E506</f>
        <v>2</v>
      </c>
      <c r="N460" s="108">
        <f>IO!E506</f>
        <v>0</v>
      </c>
      <c r="O460" s="24">
        <f>'BoC Size'!E506</f>
        <v>3</v>
      </c>
      <c r="P460" s="24">
        <f>'TMT E DK'!E506</f>
        <v>0</v>
      </c>
      <c r="Q460" s="24">
        <f>Data!R506</f>
        <v>3</v>
      </c>
      <c r="R460" s="24">
        <f>Data!S506</f>
        <v>3</v>
      </c>
      <c r="S460" s="24">
        <f>'TMT E DK'!E506</f>
        <v>0</v>
      </c>
      <c r="T460" s="24">
        <f>'TMT E DD'!E506</f>
        <v>0</v>
      </c>
      <c r="U460" s="24">
        <f>TA!E506</f>
        <v>287420000000</v>
      </c>
      <c r="V460" s="109">
        <f>PR!F506</f>
        <v>0.47650281902644326</v>
      </c>
      <c r="W460" s="109">
        <f>'Z Score'!I506</f>
        <v>0.3659787071185025</v>
      </c>
      <c r="X460" s="109">
        <f>'Z Score'!L506</f>
        <v>-1.5428458701551735</v>
      </c>
      <c r="Y460" s="109">
        <f>'Z Score'!O506</f>
        <v>-0.40932099366780322</v>
      </c>
      <c r="Z460" s="109">
        <f>'Z Score'!R506</f>
        <v>0.76819964574898791</v>
      </c>
      <c r="AA460" s="109">
        <f>'Z Score'!S506</f>
        <v>-0.8179885109554863</v>
      </c>
    </row>
    <row r="461" spans="1:27" ht="15" customHeight="1" x14ac:dyDescent="0.3">
      <c r="A461" s="22"/>
      <c r="B461" s="23"/>
      <c r="C461" s="3"/>
      <c r="D461" s="23">
        <v>2024</v>
      </c>
      <c r="E461" s="25">
        <f>'Current Ratio'!G507</f>
        <v>1.2870719839934519</v>
      </c>
      <c r="F461" s="25">
        <f>'Cash Ratio'!G507</f>
        <v>0.25924241735255332</v>
      </c>
      <c r="G461" s="25">
        <f>DAR!G507</f>
        <v>0.5815758129517532</v>
      </c>
      <c r="H461" s="25">
        <f>DER!G507</f>
        <v>1.3899192038931869</v>
      </c>
      <c r="I461" s="25">
        <f>NPM!G507</f>
        <v>-7.4060972472343709E-2</v>
      </c>
      <c r="J461" s="25">
        <f>ROA!G507</f>
        <v>-3.006085920801449E-2</v>
      </c>
      <c r="K461" s="25">
        <f>ROE!G507</f>
        <v>-7.1843024706763167E-2</v>
      </c>
      <c r="L461" s="25">
        <f>KM!E507</f>
        <v>0.99990000000000001</v>
      </c>
      <c r="M461" s="24">
        <f>KI!E507</f>
        <v>2</v>
      </c>
      <c r="N461" s="108">
        <f>IO!E507</f>
        <v>0</v>
      </c>
      <c r="O461" s="24">
        <f>'BoC Size'!E507</f>
        <v>3</v>
      </c>
      <c r="P461" s="24">
        <f>'TMT E DK'!E507</f>
        <v>0</v>
      </c>
      <c r="Q461" s="24">
        <f>Data!R507</f>
        <v>3</v>
      </c>
      <c r="R461" s="24">
        <f>Data!S507</f>
        <v>2</v>
      </c>
      <c r="S461" s="24">
        <f>'TMT E DK'!E507</f>
        <v>0</v>
      </c>
      <c r="T461" s="24">
        <f>'TMT E DD'!E507</f>
        <v>0</v>
      </c>
      <c r="U461" s="24">
        <f>TA!E507</f>
        <v>306445000000</v>
      </c>
      <c r="V461" s="109">
        <f>PR!F507</f>
        <v>0.33792272609930296</v>
      </c>
      <c r="W461" s="109">
        <f>'Z Score'!I507</f>
        <v>0.13514098777920996</v>
      </c>
      <c r="X461" s="109">
        <f>'Z Score'!L507</f>
        <v>-1.5507406549299221</v>
      </c>
      <c r="Y461" s="109">
        <f>'Z Score'!O507</f>
        <v>-0.24722635383184582</v>
      </c>
      <c r="Z461" s="109">
        <f>'Z Score'!R507</f>
        <v>0.75543959466056188</v>
      </c>
      <c r="AA461" s="109">
        <f>'Z Score'!S507</f>
        <v>-0.90738642632199595</v>
      </c>
    </row>
    <row r="462" spans="1:27" ht="15" customHeight="1" x14ac:dyDescent="0.3">
      <c r="A462" s="22"/>
      <c r="B462" s="23">
        <v>47</v>
      </c>
      <c r="C462" s="3" t="s">
        <v>17</v>
      </c>
      <c r="D462" s="23">
        <v>2015</v>
      </c>
      <c r="E462" s="25">
        <f>'Current Ratio'!G509</f>
        <v>0</v>
      </c>
      <c r="F462" s="25">
        <f>'Cash Ratio'!G509</f>
        <v>0</v>
      </c>
      <c r="G462" s="25">
        <f>DAR!G509</f>
        <v>0</v>
      </c>
      <c r="H462" s="25">
        <f>DER!G509</f>
        <v>0</v>
      </c>
      <c r="I462" s="25">
        <f>NPM!G509</f>
        <v>0</v>
      </c>
      <c r="J462" s="25">
        <f>ROA!G509</f>
        <v>0</v>
      </c>
      <c r="K462" s="25">
        <f>ROE!G509</f>
        <v>0</v>
      </c>
      <c r="L462" s="25">
        <f>KM!E509</f>
        <v>0</v>
      </c>
      <c r="M462" s="24">
        <f>KI!E509</f>
        <v>0</v>
      </c>
      <c r="N462" s="108">
        <f>IO!E509</f>
        <v>0</v>
      </c>
      <c r="O462" s="24">
        <f>'BoC Size'!E509</f>
        <v>0</v>
      </c>
      <c r="P462" s="24">
        <f>'TMT E DK'!E509</f>
        <v>0</v>
      </c>
      <c r="Q462" s="24">
        <f>Data!R509</f>
        <v>0</v>
      </c>
      <c r="R462" s="24">
        <f>Data!S509</f>
        <v>0</v>
      </c>
      <c r="S462" s="24">
        <f>'TMT E DK'!E509</f>
        <v>0</v>
      </c>
      <c r="T462" s="24">
        <f>'TMT E DD'!E509</f>
        <v>0</v>
      </c>
      <c r="U462" s="24">
        <f>TA!E509</f>
        <v>0</v>
      </c>
      <c r="V462" s="109">
        <f>PR!F509</f>
        <v>0</v>
      </c>
      <c r="W462" s="109">
        <f>'Z Score'!I509</f>
        <v>0</v>
      </c>
      <c r="X462" s="109">
        <f>'Z Score'!L509</f>
        <v>0</v>
      </c>
      <c r="Y462" s="109">
        <f>'Z Score'!O509</f>
        <v>0</v>
      </c>
      <c r="Z462" s="109">
        <f>'Z Score'!R509</f>
        <v>0</v>
      </c>
      <c r="AA462" s="109">
        <f>'Z Score'!S509</f>
        <v>0</v>
      </c>
    </row>
    <row r="463" spans="1:27" ht="15" customHeight="1" x14ac:dyDescent="0.3">
      <c r="A463" s="22"/>
      <c r="B463" s="23"/>
      <c r="C463" s="3"/>
      <c r="D463" s="23">
        <v>2016</v>
      </c>
      <c r="E463" s="25">
        <f>'Current Ratio'!G510</f>
        <v>0</v>
      </c>
      <c r="F463" s="25">
        <f>'Cash Ratio'!G510</f>
        <v>0</v>
      </c>
      <c r="G463" s="25">
        <f>DAR!G510</f>
        <v>0</v>
      </c>
      <c r="H463" s="25">
        <f>DER!G510</f>
        <v>0</v>
      </c>
      <c r="I463" s="25">
        <f>NPM!G510</f>
        <v>0</v>
      </c>
      <c r="J463" s="25">
        <f>ROA!G510</f>
        <v>0</v>
      </c>
      <c r="K463" s="25">
        <f>ROE!G510</f>
        <v>0</v>
      </c>
      <c r="L463" s="25">
        <f>KM!E510</f>
        <v>0</v>
      </c>
      <c r="M463" s="24">
        <f>KI!E510</f>
        <v>0</v>
      </c>
      <c r="N463" s="108">
        <f>IO!E510</f>
        <v>0</v>
      </c>
      <c r="O463" s="24">
        <f>'BoC Size'!E510</f>
        <v>0</v>
      </c>
      <c r="P463" s="24">
        <f>'TMT E DK'!E510</f>
        <v>0</v>
      </c>
      <c r="Q463" s="24">
        <f>Data!R510</f>
        <v>0</v>
      </c>
      <c r="R463" s="24">
        <f>Data!S510</f>
        <v>0</v>
      </c>
      <c r="S463" s="24">
        <f>'TMT E DK'!E510</f>
        <v>0</v>
      </c>
      <c r="T463" s="24">
        <f>'TMT E DD'!E510</f>
        <v>0</v>
      </c>
      <c r="U463" s="24">
        <f>TA!E510</f>
        <v>0</v>
      </c>
      <c r="V463" s="109">
        <f>PR!F510</f>
        <v>0</v>
      </c>
      <c r="W463" s="109">
        <f>'Z Score'!I510</f>
        <v>0</v>
      </c>
      <c r="X463" s="109">
        <f>'Z Score'!L510</f>
        <v>0</v>
      </c>
      <c r="Y463" s="109">
        <f>'Z Score'!O510</f>
        <v>0</v>
      </c>
      <c r="Z463" s="109">
        <f>'Z Score'!R510</f>
        <v>0</v>
      </c>
      <c r="AA463" s="109">
        <f>'Z Score'!S510</f>
        <v>0</v>
      </c>
    </row>
    <row r="464" spans="1:27" ht="15" customHeight="1" x14ac:dyDescent="0.3">
      <c r="A464" s="22"/>
      <c r="B464" s="23"/>
      <c r="C464" s="3"/>
      <c r="D464" s="23">
        <v>2017</v>
      </c>
      <c r="E464" s="25">
        <f>'Current Ratio'!G511</f>
        <v>0</v>
      </c>
      <c r="F464" s="25">
        <f>'Cash Ratio'!G511</f>
        <v>0</v>
      </c>
      <c r="G464" s="25">
        <f>DAR!G511</f>
        <v>0</v>
      </c>
      <c r="H464" s="25">
        <f>DER!G511</f>
        <v>0</v>
      </c>
      <c r="I464" s="25">
        <f>NPM!G511</f>
        <v>0</v>
      </c>
      <c r="J464" s="25">
        <f>ROA!G511</f>
        <v>0</v>
      </c>
      <c r="K464" s="25">
        <f>ROE!G511</f>
        <v>0</v>
      </c>
      <c r="L464" s="25">
        <f>KM!E511</f>
        <v>0</v>
      </c>
      <c r="M464" s="24">
        <f>KI!E511</f>
        <v>0</v>
      </c>
      <c r="N464" s="108">
        <f>IO!E511</f>
        <v>0</v>
      </c>
      <c r="O464" s="24">
        <f>'BoC Size'!E511</f>
        <v>0</v>
      </c>
      <c r="P464" s="24">
        <f>'TMT E DK'!E511</f>
        <v>0</v>
      </c>
      <c r="Q464" s="24">
        <f>Data!R511</f>
        <v>0</v>
      </c>
      <c r="R464" s="24">
        <f>Data!S511</f>
        <v>0</v>
      </c>
      <c r="S464" s="24">
        <f>'TMT E DK'!E511</f>
        <v>0</v>
      </c>
      <c r="T464" s="24">
        <f>'TMT E DD'!E511</f>
        <v>0</v>
      </c>
      <c r="U464" s="24">
        <f>TA!E511</f>
        <v>0</v>
      </c>
      <c r="V464" s="109">
        <f>PR!F511</f>
        <v>0</v>
      </c>
      <c r="W464" s="109">
        <f>'Z Score'!I511</f>
        <v>0</v>
      </c>
      <c r="X464" s="109">
        <f>'Z Score'!L511</f>
        <v>0</v>
      </c>
      <c r="Y464" s="109">
        <f>'Z Score'!O511</f>
        <v>0</v>
      </c>
      <c r="Z464" s="109">
        <f>'Z Score'!R511</f>
        <v>0</v>
      </c>
      <c r="AA464" s="109">
        <f>'Z Score'!S511</f>
        <v>0</v>
      </c>
    </row>
    <row r="465" spans="1:27" ht="15" customHeight="1" x14ac:dyDescent="0.3">
      <c r="A465" s="22"/>
      <c r="B465" s="23"/>
      <c r="C465" s="3"/>
      <c r="D465" s="23">
        <v>2018</v>
      </c>
      <c r="E465" s="25">
        <f>'Current Ratio'!G512</f>
        <v>0</v>
      </c>
      <c r="F465" s="25">
        <f>'Cash Ratio'!G512</f>
        <v>0</v>
      </c>
      <c r="G465" s="25">
        <f>DAR!G512</f>
        <v>0</v>
      </c>
      <c r="H465" s="25">
        <f>DER!G512</f>
        <v>0</v>
      </c>
      <c r="I465" s="25">
        <f>NPM!G512</f>
        <v>0</v>
      </c>
      <c r="J465" s="25">
        <f>ROA!G512</f>
        <v>0</v>
      </c>
      <c r="K465" s="25">
        <f>ROE!G512</f>
        <v>0</v>
      </c>
      <c r="L465" s="25">
        <f>KM!E512</f>
        <v>0</v>
      </c>
      <c r="M465" s="24">
        <f>KI!E512</f>
        <v>0</v>
      </c>
      <c r="N465" s="108">
        <f>IO!E512</f>
        <v>0</v>
      </c>
      <c r="O465" s="24">
        <f>'BoC Size'!E512</f>
        <v>0</v>
      </c>
      <c r="P465" s="24">
        <f>'TMT E DK'!E512</f>
        <v>0</v>
      </c>
      <c r="Q465" s="24">
        <f>Data!R512</f>
        <v>0</v>
      </c>
      <c r="R465" s="24">
        <f>Data!S512</f>
        <v>0</v>
      </c>
      <c r="S465" s="24">
        <f>'TMT E DK'!E512</f>
        <v>0</v>
      </c>
      <c r="T465" s="24">
        <f>'TMT E DD'!E512</f>
        <v>0</v>
      </c>
      <c r="U465" s="24">
        <f>TA!E512</f>
        <v>0</v>
      </c>
      <c r="V465" s="109">
        <f>PR!F512</f>
        <v>0</v>
      </c>
      <c r="W465" s="109">
        <f>'Z Score'!I512</f>
        <v>0</v>
      </c>
      <c r="X465" s="109">
        <f>'Z Score'!L512</f>
        <v>0</v>
      </c>
      <c r="Y465" s="109">
        <f>'Z Score'!O512</f>
        <v>0</v>
      </c>
      <c r="Z465" s="109">
        <f>'Z Score'!R512</f>
        <v>0</v>
      </c>
      <c r="AA465" s="109">
        <f>'Z Score'!S512</f>
        <v>0</v>
      </c>
    </row>
    <row r="466" spans="1:27" ht="15" customHeight="1" x14ac:dyDescent="0.3">
      <c r="A466" s="22"/>
      <c r="B466" s="23"/>
      <c r="C466" s="3"/>
      <c r="D466" s="23">
        <v>2019</v>
      </c>
      <c r="E466" s="25">
        <f>'Current Ratio'!G513</f>
        <v>5.4332525713387936</v>
      </c>
      <c r="F466" s="25">
        <f>'Cash Ratio'!G513</f>
        <v>2.4212095420576349</v>
      </c>
      <c r="G466" s="25">
        <f>DAR!G513</f>
        <v>0.78559829145627358</v>
      </c>
      <c r="H466" s="25">
        <f>DER!G513</f>
        <v>3.6641419361453162</v>
      </c>
      <c r="I466" s="25">
        <f>NPM!G513</f>
        <v>-4.948533297387956E-2</v>
      </c>
      <c r="J466" s="25">
        <f>ROA!G513</f>
        <v>-3.6211566316650519E-2</v>
      </c>
      <c r="K466" s="25">
        <f>ROE!G513</f>
        <v>-0.16889588503099684</v>
      </c>
      <c r="L466" s="25">
        <f>KM!E513</f>
        <v>0</v>
      </c>
      <c r="M466" s="24">
        <f>KI!E513</f>
        <v>0</v>
      </c>
      <c r="N466" s="108">
        <f>IO!E513</f>
        <v>0</v>
      </c>
      <c r="O466" s="24">
        <f>'BoC Size'!E513</f>
        <v>0</v>
      </c>
      <c r="P466" s="24">
        <f>'TMT E DK'!E513</f>
        <v>0</v>
      </c>
      <c r="Q466" s="24">
        <f>Data!R513</f>
        <v>0</v>
      </c>
      <c r="R466" s="24">
        <f>Data!S513</f>
        <v>0</v>
      </c>
      <c r="S466" s="24">
        <f>'TMT E DK'!E513</f>
        <v>0</v>
      </c>
      <c r="T466" s="24">
        <f>'TMT E DD'!E513</f>
        <v>0</v>
      </c>
      <c r="U466" s="24">
        <f>TA!E513</f>
        <v>504064360000</v>
      </c>
      <c r="V466" s="109">
        <f>PR!F513</f>
        <v>0</v>
      </c>
      <c r="W466" s="109">
        <f>'Z Score'!I513</f>
        <v>1.8214476452967234</v>
      </c>
      <c r="X466" s="109">
        <f>'Z Score'!L513</f>
        <v>-1.1261394283063377</v>
      </c>
      <c r="Y466" s="109">
        <f>'Z Score'!O513</f>
        <v>-0.29772451438542491</v>
      </c>
      <c r="Z466" s="109">
        <f>'Z Score'!R513</f>
        <v>0.28656095159474143</v>
      </c>
      <c r="AA466" s="109">
        <f>'Z Score'!S513</f>
        <v>0.68414465419970227</v>
      </c>
    </row>
    <row r="467" spans="1:27" ht="15" customHeight="1" x14ac:dyDescent="0.3">
      <c r="A467" s="22"/>
      <c r="B467" s="23"/>
      <c r="C467" s="3"/>
      <c r="D467" s="23">
        <v>2020</v>
      </c>
      <c r="E467" s="25">
        <f>'Current Ratio'!G514</f>
        <v>1.6612069313328708</v>
      </c>
      <c r="F467" s="25">
        <f>'Cash Ratio'!G514</f>
        <v>1.0496711128983933</v>
      </c>
      <c r="G467" s="25">
        <f>DAR!G514</f>
        <v>0.7393815913208589</v>
      </c>
      <c r="H467" s="25">
        <f>DER!G514</f>
        <v>2.837027495748178</v>
      </c>
      <c r="I467" s="25">
        <f>NPM!G514</f>
        <v>-6.4999747690826115E-2</v>
      </c>
      <c r="J467" s="25">
        <f>ROA!G514</f>
        <v>-4.6544934796867103E-2</v>
      </c>
      <c r="K467" s="25">
        <f>ROE!G514</f>
        <v>-0.17859419460338521</v>
      </c>
      <c r="L467" s="25">
        <f>KM!E514</f>
        <v>0.99980000000000002</v>
      </c>
      <c r="M467" s="24">
        <f>KI!E514</f>
        <v>2</v>
      </c>
      <c r="N467" s="108">
        <f>IO!E514</f>
        <v>0</v>
      </c>
      <c r="O467" s="24">
        <f>'BoC Size'!E514</f>
        <v>3</v>
      </c>
      <c r="P467" s="24">
        <f>'TMT E DK'!E514</f>
        <v>0</v>
      </c>
      <c r="Q467" s="24">
        <f>Data!R514</f>
        <v>3</v>
      </c>
      <c r="R467" s="24">
        <f>Data!S514</f>
        <v>3</v>
      </c>
      <c r="S467" s="24">
        <f>'TMT E DK'!E514</f>
        <v>0</v>
      </c>
      <c r="T467" s="24">
        <f>'TMT E DD'!E514</f>
        <v>0</v>
      </c>
      <c r="U467" s="24">
        <f>TA!E514</f>
        <v>384395640000</v>
      </c>
      <c r="V467" s="109">
        <f>PR!F514</f>
        <v>-0.25375333504167857</v>
      </c>
      <c r="W467" s="109">
        <f>'Z Score'!I514</f>
        <v>0.85302299474572607</v>
      </c>
      <c r="X467" s="109">
        <f>'Z Score'!L514</f>
        <v>-1.6284618290675721</v>
      </c>
      <c r="Y467" s="109">
        <f>'Z Score'!O514</f>
        <v>-0.25590134164893236</v>
      </c>
      <c r="Z467" s="109">
        <f>'Z Score'!R514</f>
        <v>0.37010568335119187</v>
      </c>
      <c r="AA467" s="109">
        <f>'Z Score'!S514</f>
        <v>-0.66123449261958644</v>
      </c>
    </row>
    <row r="468" spans="1:27" ht="15" customHeight="1" x14ac:dyDescent="0.3">
      <c r="A468" s="22"/>
      <c r="B468" s="23"/>
      <c r="C468" s="3"/>
      <c r="D468" s="23">
        <v>2021</v>
      </c>
      <c r="E468" s="25">
        <f>'Current Ratio'!G515</f>
        <v>3.0817718977638573</v>
      </c>
      <c r="F468" s="25">
        <f>'Cash Ratio'!G515</f>
        <v>1.4674658333495811</v>
      </c>
      <c r="G468" s="25">
        <f>DAR!G515</f>
        <v>0.70313206275718665</v>
      </c>
      <c r="H468" s="25">
        <f>DER!G515</f>
        <v>2.3685011904201807</v>
      </c>
      <c r="I468" s="25">
        <f>NPM!G515</f>
        <v>-1.5058490820844407E-2</v>
      </c>
      <c r="J468" s="25">
        <f>ROA!G515</f>
        <v>-8.9742646421349607E-3</v>
      </c>
      <c r="K468" s="25">
        <f>ROE!G515</f>
        <v>-3.0229821130177352E-2</v>
      </c>
      <c r="L468" s="25">
        <f>KM!E515</f>
        <v>0.99980000000000002</v>
      </c>
      <c r="M468" s="24">
        <f>KI!E515</f>
        <v>2</v>
      </c>
      <c r="N468" s="108">
        <f>IO!E515</f>
        <v>0</v>
      </c>
      <c r="O468" s="24">
        <f>'BoC Size'!E515</f>
        <v>3</v>
      </c>
      <c r="P468" s="24">
        <f>'TMT E DK'!E515</f>
        <v>0</v>
      </c>
      <c r="Q468" s="24">
        <f>Data!R515</f>
        <v>3</v>
      </c>
      <c r="R468" s="24">
        <f>Data!S515</f>
        <v>3</v>
      </c>
      <c r="S468" s="24">
        <f>'TMT E DK'!E515</f>
        <v>0</v>
      </c>
      <c r="T468" s="24">
        <f>'TMT E DD'!E515</f>
        <v>0</v>
      </c>
      <c r="U468" s="24">
        <f>TA!E515</f>
        <v>376601330000</v>
      </c>
      <c r="V468" s="109">
        <f>PR!F515</f>
        <v>-0.18461998115001613</v>
      </c>
      <c r="W468" s="109">
        <f>'Z Score'!I515</f>
        <v>1.2274876756276989</v>
      </c>
      <c r="X468" s="109">
        <f>'Z Score'!L515</f>
        <v>-1.6914213080447698</v>
      </c>
      <c r="Y468" s="109">
        <f>'Z Score'!O515</f>
        <v>0.26807691199603567</v>
      </c>
      <c r="Z468" s="109">
        <f>'Z Score'!R515</f>
        <v>0.44331833323407632</v>
      </c>
      <c r="AA468" s="109">
        <f>'Z Score'!S515</f>
        <v>0.24746161281304113</v>
      </c>
    </row>
    <row r="469" spans="1:27" ht="15" customHeight="1" x14ac:dyDescent="0.3">
      <c r="A469" s="22"/>
      <c r="B469" s="23"/>
      <c r="C469" s="3"/>
      <c r="D469" s="23">
        <v>2022</v>
      </c>
      <c r="E469" s="25">
        <f>'Current Ratio'!G516</f>
        <v>4.4487982584743877</v>
      </c>
      <c r="F469" s="25">
        <f>'Cash Ratio'!G516</f>
        <v>2.6185081522946376</v>
      </c>
      <c r="G469" s="25">
        <f>DAR!G516</f>
        <v>0.69357930365164844</v>
      </c>
      <c r="H469" s="25">
        <f>DER!G516</f>
        <v>2.2635069925775149</v>
      </c>
      <c r="I469" s="25">
        <f>NPM!G516</f>
        <v>7.7808634363752682E-3</v>
      </c>
      <c r="J469" s="25">
        <f>ROA!G516</f>
        <v>5.8526382574891995E-3</v>
      </c>
      <c r="K469" s="25">
        <f>ROE!G516</f>
        <v>1.9100177227184195E-2</v>
      </c>
      <c r="L469" s="25">
        <f>KM!E516</f>
        <v>0.99980000000000002</v>
      </c>
      <c r="M469" s="24">
        <f>KI!E516</f>
        <v>2</v>
      </c>
      <c r="N469" s="108">
        <f>IO!E516</f>
        <v>0</v>
      </c>
      <c r="O469" s="24">
        <f>'BoC Size'!E516</f>
        <v>3</v>
      </c>
      <c r="P469" s="24">
        <f>'TMT E DK'!E516</f>
        <v>0</v>
      </c>
      <c r="Q469" s="24">
        <f>Data!R516</f>
        <v>3</v>
      </c>
      <c r="R469" s="24">
        <f>Data!S516</f>
        <v>3</v>
      </c>
      <c r="S469" s="24">
        <f>'TMT E DK'!E516</f>
        <v>0</v>
      </c>
      <c r="T469" s="24">
        <f>'TMT E DD'!E516</f>
        <v>0</v>
      </c>
      <c r="U469" s="24">
        <f>TA!E516</f>
        <v>371969000000</v>
      </c>
      <c r="V469" s="109">
        <f>PR!F516</f>
        <v>0.24661217150333037</v>
      </c>
      <c r="W469" s="109">
        <f>'Z Score'!I516</f>
        <v>1.369055593342456</v>
      </c>
      <c r="X469" s="109">
        <f>'Z Score'!L516</f>
        <v>-1.6561741973121413</v>
      </c>
      <c r="Y469" s="109">
        <f>'Z Score'!O516</f>
        <v>0.21569023225053699</v>
      </c>
      <c r="Z469" s="109">
        <f>'Z Score'!R516</f>
        <v>0.46388193340827166</v>
      </c>
      <c r="AA469" s="109">
        <f>'Z Score'!S516</f>
        <v>0.39245356168912326</v>
      </c>
    </row>
    <row r="470" spans="1:27" ht="15" customHeight="1" x14ac:dyDescent="0.3">
      <c r="A470" s="22"/>
      <c r="B470" s="23"/>
      <c r="C470" s="3"/>
      <c r="D470" s="23">
        <v>2023</v>
      </c>
      <c r="E470" s="25">
        <f>'Current Ratio'!G517</f>
        <v>5.3345391256867893</v>
      </c>
      <c r="F470" s="25">
        <f>'Cash Ratio'!G517</f>
        <v>3.9019554311845202</v>
      </c>
      <c r="G470" s="25">
        <f>DAR!G517</f>
        <v>0.69657406837080382</v>
      </c>
      <c r="H470" s="25">
        <f>DER!G517</f>
        <v>2.2956972221545557</v>
      </c>
      <c r="I470" s="25">
        <f>NPM!G517</f>
        <v>1.0446037579414561E-2</v>
      </c>
      <c r="J470" s="25">
        <f>ROA!G517</f>
        <v>7.8226054819833697E-3</v>
      </c>
      <c r="K470" s="25">
        <f>ROE!G517</f>
        <v>2.5780939156983589E-2</v>
      </c>
      <c r="L470" s="25">
        <f>KM!E517</f>
        <v>0.99980000000000002</v>
      </c>
      <c r="M470" s="24">
        <f>KI!E517</f>
        <v>2</v>
      </c>
      <c r="N470" s="108">
        <f>IO!E517</f>
        <v>0</v>
      </c>
      <c r="O470" s="24">
        <f>'BoC Size'!E517</f>
        <v>2</v>
      </c>
      <c r="P470" s="24">
        <f>'TMT E DK'!E517</f>
        <v>0</v>
      </c>
      <c r="Q470" s="24">
        <f>Data!R517</f>
        <v>2</v>
      </c>
      <c r="R470" s="24">
        <f>Data!S517</f>
        <v>3</v>
      </c>
      <c r="S470" s="24">
        <f>'TMT E DK'!E517</f>
        <v>0</v>
      </c>
      <c r="T470" s="24">
        <f>'TMT E DD'!E517</f>
        <v>0</v>
      </c>
      <c r="U470" s="24">
        <f>TA!E517</f>
        <v>405875000000</v>
      </c>
      <c r="V470" s="109">
        <f>PR!F517</f>
        <v>8.6329341039140209E-2</v>
      </c>
      <c r="W470" s="109">
        <f>'Z Score'!I517</f>
        <v>2.0528941176470585</v>
      </c>
      <c r="X470" s="109">
        <f>'Z Score'!L517</f>
        <v>-1.415179353249153</v>
      </c>
      <c r="Y470" s="109">
        <f>'Z Score'!O517</f>
        <v>0.32621905759162306</v>
      </c>
      <c r="Z470" s="109">
        <f>'Z Score'!R517</f>
        <v>0.45737738838859376</v>
      </c>
      <c r="AA470" s="109">
        <f>'Z Score'!S517</f>
        <v>1.4213112103781222</v>
      </c>
    </row>
    <row r="471" spans="1:27" ht="15" customHeight="1" x14ac:dyDescent="0.3">
      <c r="A471" s="22"/>
      <c r="B471" s="23"/>
      <c r="C471" s="3"/>
      <c r="D471" s="23">
        <v>2024</v>
      </c>
      <c r="E471" s="25">
        <f>'Current Ratio'!G518</f>
        <v>2.70767306088407</v>
      </c>
      <c r="F471" s="25">
        <f>'Cash Ratio'!G518</f>
        <v>1.6674311926605505</v>
      </c>
      <c r="G471" s="25">
        <f>DAR!G518</f>
        <v>0.75339237632915246</v>
      </c>
      <c r="H471" s="25">
        <f>DER!G518</f>
        <v>3.0550246789398581</v>
      </c>
      <c r="I471" s="25">
        <f>NPM!G518</f>
        <v>6.8770383274753794E-2</v>
      </c>
      <c r="J471" s="25">
        <f>ROA!G518</f>
        <v>6.8089813424710086E-2</v>
      </c>
      <c r="K471" s="25">
        <f>ROE!G518</f>
        <v>0.27610587382160984</v>
      </c>
      <c r="L471" s="25">
        <f>KM!E518</f>
        <v>0.99980000000000002</v>
      </c>
      <c r="M471" s="24">
        <f>KI!E518</f>
        <v>3</v>
      </c>
      <c r="N471" s="108">
        <f>IO!E518</f>
        <v>0</v>
      </c>
      <c r="O471" s="24">
        <f>'BoC Size'!E518</f>
        <v>3</v>
      </c>
      <c r="P471" s="24">
        <f>'TMT E DK'!E518</f>
        <v>0</v>
      </c>
      <c r="Q471" s="24">
        <f>Data!R518</f>
        <v>3</v>
      </c>
      <c r="R471" s="24">
        <f>Data!S518</f>
        <v>3</v>
      </c>
      <c r="S471" s="24">
        <f>'TMT E DK'!E518</f>
        <v>0</v>
      </c>
      <c r="T471" s="24">
        <f>'TMT E DD'!E518</f>
        <v>0</v>
      </c>
      <c r="U471" s="24">
        <f>TA!E518</f>
        <v>693393000000</v>
      </c>
      <c r="V471" s="109">
        <f>PR!F518</f>
        <v>1.2587491733647427</v>
      </c>
      <c r="W471" s="109">
        <f>'Z Score'!I518</f>
        <v>0.54238332374281251</v>
      </c>
      <c r="X471" s="109">
        <f>'Z Score'!L518</f>
        <v>-0.59790150751449755</v>
      </c>
      <c r="Y471" s="109">
        <f>'Z Score'!O518</f>
        <v>0.59880708342887801</v>
      </c>
      <c r="Z471" s="109">
        <f>'Z Score'!R518</f>
        <v>0.3436960778871242</v>
      </c>
      <c r="AA471" s="109">
        <f>'Z Score'!S518</f>
        <v>0.88698497754431715</v>
      </c>
    </row>
    <row r="472" spans="1:27" ht="15" customHeight="1" x14ac:dyDescent="0.3">
      <c r="A472" s="22"/>
      <c r="B472" s="23">
        <v>48</v>
      </c>
      <c r="C472" s="3" t="s">
        <v>26</v>
      </c>
      <c r="D472" s="23">
        <v>2015</v>
      </c>
      <c r="E472" s="25">
        <f>'Current Ratio'!G520</f>
        <v>0.90076707506006493</v>
      </c>
      <c r="F472" s="25">
        <f>'Cash Ratio'!G520</f>
        <v>0.72087872829870925</v>
      </c>
      <c r="G472" s="25">
        <f>DAR!G520</f>
        <v>0.52937409070122554</v>
      </c>
      <c r="H472" s="25">
        <f>DER!G520</f>
        <v>1.1248298919411066</v>
      </c>
      <c r="I472" s="25">
        <f>NPM!G520</f>
        <v>-0.2237676025893027</v>
      </c>
      <c r="J472" s="25">
        <f>ROA!G520</f>
        <v>-0.12140227277219394</v>
      </c>
      <c r="K472" s="25">
        <f>ROE!G520</f>
        <v>-0.2579591781359456</v>
      </c>
      <c r="L472" s="25">
        <f>KM!E520</f>
        <v>0.5</v>
      </c>
      <c r="M472" s="24">
        <f>KI!E520</f>
        <v>2</v>
      </c>
      <c r="N472" s="108">
        <f>IO!E520</f>
        <v>0</v>
      </c>
      <c r="O472" s="24">
        <f>'BoC Size'!E520</f>
        <v>4</v>
      </c>
      <c r="P472" s="24">
        <f>'TMT E DK'!E520</f>
        <v>0</v>
      </c>
      <c r="Q472" s="24">
        <f>Data!R520</f>
        <v>4</v>
      </c>
      <c r="R472" s="24">
        <f>Data!S520</f>
        <v>8</v>
      </c>
      <c r="S472" s="24">
        <f>'TMT E DK'!E520</f>
        <v>0</v>
      </c>
      <c r="T472" s="24">
        <f>'TMT E DD'!E520</f>
        <v>0</v>
      </c>
      <c r="U472" s="24">
        <f>TA!E520</f>
        <v>15348592390000</v>
      </c>
      <c r="V472" s="109">
        <f>PR!F520</f>
        <v>0</v>
      </c>
      <c r="W472" s="109">
        <f>'Z Score'!I520</f>
        <v>-1.5602080836808278E-2</v>
      </c>
      <c r="X472" s="109">
        <f>'Z Score'!L520</f>
        <v>5.1451651039642984E-2</v>
      </c>
      <c r="Y472" s="109">
        <f>'Z Score'!O520</f>
        <v>-0.81203520969912213</v>
      </c>
      <c r="Z472" s="109">
        <f>'Z Score'!R520</f>
        <v>0.93347448136182309</v>
      </c>
      <c r="AA472" s="109">
        <f>'Z Score'!S520</f>
        <v>0.15728884186553571</v>
      </c>
    </row>
    <row r="473" spans="1:27" ht="15" customHeight="1" x14ac:dyDescent="0.3">
      <c r="A473" s="22"/>
      <c r="B473" s="23"/>
      <c r="C473" s="3"/>
      <c r="D473" s="23">
        <v>2016</v>
      </c>
      <c r="E473" s="25">
        <f>'Current Ratio'!G521</f>
        <v>0.63687750378934638</v>
      </c>
      <c r="F473" s="25">
        <f>'Cash Ratio'!G521</f>
        <v>0.55513392346769386</v>
      </c>
      <c r="G473" s="25">
        <f>DAR!G521</f>
        <v>0.50985520421684505</v>
      </c>
      <c r="H473" s="25">
        <f>DER!G521</f>
        <v>1.0402134401982108</v>
      </c>
      <c r="I473" s="25">
        <f>NPM!G521</f>
        <v>0.98575651706530498</v>
      </c>
      <c r="J473" s="25">
        <f>ROA!G521</f>
        <v>2.8036383092562869E-2</v>
      </c>
      <c r="K473" s="25">
        <f>ROE!G521</f>
        <v>3.3754187065189387E-2</v>
      </c>
      <c r="L473" s="25">
        <f>KM!E521</f>
        <v>0.5</v>
      </c>
      <c r="M473" s="24">
        <f>KI!E521</f>
        <v>2</v>
      </c>
      <c r="N473" s="108">
        <f>IO!E521</f>
        <v>0</v>
      </c>
      <c r="O473" s="24">
        <f>'BoC Size'!E521</f>
        <v>4</v>
      </c>
      <c r="P473" s="24">
        <f>'TMT E DK'!E521</f>
        <v>0</v>
      </c>
      <c r="Q473" s="24">
        <f>Data!R521</f>
        <v>4</v>
      </c>
      <c r="R473" s="24">
        <f>Data!S521</f>
        <v>5</v>
      </c>
      <c r="S473" s="24">
        <f>'TMT E DK'!E521</f>
        <v>0</v>
      </c>
      <c r="T473" s="24">
        <f>'TMT E DD'!E521</f>
        <v>0</v>
      </c>
      <c r="U473" s="24">
        <f>TA!E521</f>
        <v>15860037150000</v>
      </c>
      <c r="V473" s="109">
        <f>PR!F521</f>
        <v>-0.99955315026064029</v>
      </c>
      <c r="W473" s="109">
        <f>'Z Score'!I521</f>
        <v>-9.6430127920601988E-2</v>
      </c>
      <c r="X473" s="109">
        <f>'Z Score'!L521</f>
        <v>0.11315662475607756</v>
      </c>
      <c r="Y473" s="109">
        <f>'Z Score'!O521</f>
        <v>0.14360408067518302</v>
      </c>
      <c r="Z473" s="109">
        <f>'Z Score'!R521</f>
        <v>1.0094082227969716</v>
      </c>
      <c r="AA473" s="109">
        <f>'Z Score'!S521</f>
        <v>1.1697388003076301</v>
      </c>
    </row>
    <row r="474" spans="1:27" ht="15" customHeight="1" x14ac:dyDescent="0.3">
      <c r="A474" s="22"/>
      <c r="B474" s="23"/>
      <c r="C474" s="3"/>
      <c r="D474" s="23">
        <v>2017</v>
      </c>
      <c r="E474" s="25">
        <f>'Current Ratio'!G522</f>
        <v>1.5414063908903672</v>
      </c>
      <c r="F474" s="25">
        <f>'Cash Ratio'!G522</f>
        <v>1.3718565004822125</v>
      </c>
      <c r="G474" s="25">
        <f>DAR!G522</f>
        <v>0.45216390633687603</v>
      </c>
      <c r="H474" s="25">
        <f>DER!G522</f>
        <v>0.82536348292327233</v>
      </c>
      <c r="I474" s="25">
        <f>NPM!G522</f>
        <v>0.21519246519246518</v>
      </c>
      <c r="J474" s="25">
        <f>ROA!G522</f>
        <v>1.8463538464241168E-2</v>
      </c>
      <c r="K474" s="25">
        <f>ROE!G522</f>
        <v>1.8976257109325628E-2</v>
      </c>
      <c r="L474" s="25">
        <f>KM!E522</f>
        <v>0.5</v>
      </c>
      <c r="M474" s="24">
        <f>KI!E522</f>
        <v>2</v>
      </c>
      <c r="N474" s="108">
        <f>IO!E522</f>
        <v>0</v>
      </c>
      <c r="O474" s="24">
        <f>'BoC Size'!E522</f>
        <v>4</v>
      </c>
      <c r="P474" s="24">
        <f>'TMT E DK'!E522</f>
        <v>0</v>
      </c>
      <c r="Q474" s="24">
        <f>Data!R522</f>
        <v>4</v>
      </c>
      <c r="R474" s="24">
        <f>Data!S522</f>
        <v>5</v>
      </c>
      <c r="S474" s="24">
        <f>'TMT E DK'!E522</f>
        <v>0</v>
      </c>
      <c r="T474" s="24">
        <f>'TMT E DD'!E522</f>
        <v>0</v>
      </c>
      <c r="U474" s="24">
        <f>TA!E522</f>
        <v>15534781440000</v>
      </c>
      <c r="V474" s="109">
        <f>PR!F522</f>
        <v>1.6251007793603869</v>
      </c>
      <c r="W474" s="109">
        <f>'Z Score'!I522</f>
        <v>0.10788482441630025</v>
      </c>
      <c r="X474" s="109">
        <f>'Z Score'!L522</f>
        <v>0.19726423790613687</v>
      </c>
      <c r="Y474" s="109">
        <f>'Z Score'!O522</f>
        <v>0.22542541359371709</v>
      </c>
      <c r="Z474" s="109">
        <f>'Z Score'!R522</f>
        <v>1.2721667746689134</v>
      </c>
      <c r="AA474" s="109">
        <f>'Z Score'!S522</f>
        <v>1.8027412505850675</v>
      </c>
    </row>
    <row r="475" spans="1:27" ht="15" customHeight="1" x14ac:dyDescent="0.3">
      <c r="A475" s="22"/>
      <c r="B475" s="23"/>
      <c r="C475" s="3"/>
      <c r="D475" s="23">
        <v>2018</v>
      </c>
      <c r="E475" s="25">
        <f>'Current Ratio'!G523</f>
        <v>1.1867464175816447</v>
      </c>
      <c r="F475" s="25">
        <f>'Cash Ratio'!G523</f>
        <v>1.0043013465400976</v>
      </c>
      <c r="G475" s="25">
        <f>DAR!G523</f>
        <v>0.51502113350768375</v>
      </c>
      <c r="H475" s="25">
        <f>DER!G523</f>
        <v>1.0619455178174109</v>
      </c>
      <c r="I475" s="25">
        <f>NPM!G523</f>
        <v>-2.8961620109982347E-2</v>
      </c>
      <c r="J475" s="25">
        <f>ROA!G523</f>
        <v>-1.0553343077821702E-2</v>
      </c>
      <c r="K475" s="25">
        <f>ROE!G523</f>
        <v>-2.1760418457303862E-2</v>
      </c>
      <c r="L475" s="25">
        <f>KM!E523</f>
        <v>0.5</v>
      </c>
      <c r="M475" s="24">
        <f>KI!E523</f>
        <v>2</v>
      </c>
      <c r="N475" s="108">
        <f>IO!E523</f>
        <v>0</v>
      </c>
      <c r="O475" s="24">
        <f>'BoC Size'!E523</f>
        <v>4</v>
      </c>
      <c r="P475" s="24">
        <f>'TMT E DK'!E523</f>
        <v>0</v>
      </c>
      <c r="Q475" s="24">
        <f>Data!R523</f>
        <v>4</v>
      </c>
      <c r="R475" s="24">
        <f>Data!S523</f>
        <v>6</v>
      </c>
      <c r="S475" s="24">
        <f>'TMT E DK'!E523</f>
        <v>0</v>
      </c>
      <c r="T475" s="24">
        <f>'TMT E DD'!E523</f>
        <v>0</v>
      </c>
      <c r="U475" s="24">
        <f>TA!E523</f>
        <v>14646070810000</v>
      </c>
      <c r="V475" s="109">
        <f>PR!F523</f>
        <v>545.36476351351348</v>
      </c>
      <c r="W475" s="109">
        <f>'Z Score'!I523</f>
        <v>5.532896095563803E-2</v>
      </c>
      <c r="X475" s="109">
        <f>'Z Score'!L523</f>
        <v>5.6457469223446964E-3</v>
      </c>
      <c r="Y475" s="109">
        <f>'Z Score'!O523</f>
        <v>0.16827025765281001</v>
      </c>
      <c r="Z475" s="109">
        <f>'Z Score'!R523</f>
        <v>0.98875128938633117</v>
      </c>
      <c r="AA475" s="109">
        <f>'Z Score'!S523</f>
        <v>1.2179962549171239</v>
      </c>
    </row>
    <row r="476" spans="1:27" ht="15" customHeight="1" x14ac:dyDescent="0.3">
      <c r="A476" s="22"/>
      <c r="B476" s="23"/>
      <c r="C476" s="3"/>
      <c r="D476" s="23">
        <v>2019</v>
      </c>
      <c r="E476" s="25">
        <f>'Current Ratio'!G524</f>
        <v>1.6744618887175324</v>
      </c>
      <c r="F476" s="25">
        <f>'Cash Ratio'!G524</f>
        <v>1.4599236225774261</v>
      </c>
      <c r="G476" s="25">
        <f>DAR!G524</f>
        <v>0.50116667232096401</v>
      </c>
      <c r="H476" s="25">
        <f>DER!G524</f>
        <v>1.004677603745493</v>
      </c>
      <c r="I476" s="25">
        <f>NPM!G524</f>
        <v>0.1339317517645531</v>
      </c>
      <c r="J476" s="25">
        <f>ROA!G524</f>
        <v>4.0188854671414122E-2</v>
      </c>
      <c r="K476" s="25">
        <f>ROE!G524</f>
        <v>8.0565696879966314E-2</v>
      </c>
      <c r="L476" s="25">
        <f>KM!E524</f>
        <v>0.8</v>
      </c>
      <c r="M476" s="24">
        <f>KI!E524</f>
        <v>2</v>
      </c>
      <c r="N476" s="108">
        <f>IO!E524</f>
        <v>0</v>
      </c>
      <c r="O476" s="24">
        <f>'BoC Size'!E524</f>
        <v>5</v>
      </c>
      <c r="P476" s="24">
        <f>'TMT E DK'!E524</f>
        <v>11</v>
      </c>
      <c r="Q476" s="24">
        <f>Data!R524</f>
        <v>5</v>
      </c>
      <c r="R476" s="24">
        <f>Data!S524</f>
        <v>5</v>
      </c>
      <c r="S476" s="24">
        <f>'TMT E DK'!E524</f>
        <v>11</v>
      </c>
      <c r="T476" s="24">
        <f>'TMT E DD'!E524</f>
        <v>9</v>
      </c>
      <c r="U476" s="24">
        <f>TA!E524</f>
        <v>15520643350000</v>
      </c>
      <c r="V476" s="109">
        <f>PR!F524</f>
        <v>-0.12734322262279063</v>
      </c>
      <c r="W476" s="109">
        <f>'Z Score'!I524</f>
        <v>0.11994992390569943</v>
      </c>
      <c r="X476" s="109">
        <f>'Z Score'!L524</f>
        <v>5.8014827871165527E-2</v>
      </c>
      <c r="Y476" s="109">
        <f>'Z Score'!O524</f>
        <v>0.11548453096823463</v>
      </c>
      <c r="Z476" s="109">
        <f>'Z Score'!R524</f>
        <v>1.0451113830800476</v>
      </c>
      <c r="AA476" s="109">
        <f>'Z Score'!S524</f>
        <v>1.3385606658251472</v>
      </c>
    </row>
    <row r="477" spans="1:27" ht="15" customHeight="1" x14ac:dyDescent="0.3">
      <c r="A477" s="22"/>
      <c r="B477" s="23"/>
      <c r="C477" s="3"/>
      <c r="D477" s="23">
        <v>2020</v>
      </c>
      <c r="E477" s="25">
        <f>'Current Ratio'!G525</f>
        <v>2.2627110962356181</v>
      </c>
      <c r="F477" s="25">
        <f>'Cash Ratio'!G525</f>
        <v>1.430079637916688</v>
      </c>
      <c r="G477" s="25">
        <f>DAR!G525</f>
        <v>0.47142347169363608</v>
      </c>
      <c r="H477" s="25">
        <f>DER!G525</f>
        <v>0.8918736388165881</v>
      </c>
      <c r="I477" s="25">
        <f>NPM!G525</f>
        <v>9.179156858416386E-2</v>
      </c>
      <c r="J477" s="25">
        <f>ROA!G525</f>
        <v>2.8151226232468018E-2</v>
      </c>
      <c r="K477" s="25">
        <f>ROE!G525</f>
        <v>5.3258562809568262E-2</v>
      </c>
      <c r="L477" s="25">
        <f>KM!E525</f>
        <v>0.8</v>
      </c>
      <c r="M477" s="24">
        <f>KI!E525</f>
        <v>3</v>
      </c>
      <c r="N477" s="108">
        <f>IO!E525</f>
        <v>0</v>
      </c>
      <c r="O477" s="24">
        <f>'BoC Size'!E525</f>
        <v>6</v>
      </c>
      <c r="P477" s="24">
        <f>'TMT E DK'!E525</f>
        <v>14</v>
      </c>
      <c r="Q477" s="24">
        <f>Data!R525</f>
        <v>6</v>
      </c>
      <c r="R477" s="24">
        <f>Data!S525</f>
        <v>6</v>
      </c>
      <c r="S477" s="24">
        <f>'TMT E DK'!E525</f>
        <v>14</v>
      </c>
      <c r="T477" s="24">
        <f>'TMT E DD'!E525</f>
        <v>10</v>
      </c>
      <c r="U477" s="24">
        <f>TA!E525</f>
        <v>15214292140000</v>
      </c>
      <c r="V477" s="109">
        <f>PR!F525</f>
        <v>1.8771624331126175E-3</v>
      </c>
      <c r="W477" s="109">
        <f>'Z Score'!I525</f>
        <v>0.2718508081967197</v>
      </c>
      <c r="X477" s="109">
        <f>'Z Score'!L525</f>
        <v>0.10292276338529674</v>
      </c>
      <c r="Y477" s="109">
        <f>'Z Score'!O525</f>
        <v>0.16262585077454678</v>
      </c>
      <c r="Z477" s="109">
        <f>'Z Score'!R525</f>
        <v>1.1772968213223871</v>
      </c>
      <c r="AA477" s="109">
        <f>'Z Score'!S525</f>
        <v>1.7146962436789503</v>
      </c>
    </row>
    <row r="478" spans="1:27" ht="15" customHeight="1" x14ac:dyDescent="0.3">
      <c r="A478" s="22"/>
      <c r="B478" s="23"/>
      <c r="C478" s="3"/>
      <c r="D478" s="23">
        <v>2021</v>
      </c>
      <c r="E478" s="25">
        <f>'Current Ratio'!G526</f>
        <v>2.3552768808472022</v>
      </c>
      <c r="F478" s="25">
        <f>'Cash Ratio'!G526</f>
        <v>2.0984320724369505</v>
      </c>
      <c r="G478" s="25">
        <f>DAR!G526</f>
        <v>0.51904820136168706</v>
      </c>
      <c r="H478" s="25">
        <f>DER!G526</f>
        <v>1.0792104382003229</v>
      </c>
      <c r="I478" s="25">
        <f>NPM!G526</f>
        <v>1.381344566364151E-2</v>
      </c>
      <c r="J478" s="25">
        <f>ROA!G526</f>
        <v>3.8331057364035829E-3</v>
      </c>
      <c r="K478" s="25">
        <f>ROE!G526</f>
        <v>7.9698334578558652E-3</v>
      </c>
      <c r="L478" s="25">
        <f>KM!E526</f>
        <v>0.8</v>
      </c>
      <c r="M478" s="24">
        <f>KI!E526</f>
        <v>3</v>
      </c>
      <c r="N478" s="108">
        <f>IO!E526</f>
        <v>0</v>
      </c>
      <c r="O478" s="24">
        <f>'BoC Size'!E526</f>
        <v>6</v>
      </c>
      <c r="P478" s="24">
        <f>'TMT E DK'!E526</f>
        <v>14</v>
      </c>
      <c r="Q478" s="24">
        <f>Data!R526</f>
        <v>6</v>
      </c>
      <c r="R478" s="24">
        <f>Data!S526</f>
        <v>7</v>
      </c>
      <c r="S478" s="24">
        <f>'TMT E DK'!E526</f>
        <v>14</v>
      </c>
      <c r="T478" s="24">
        <f>'TMT E DD'!E526</f>
        <v>13</v>
      </c>
      <c r="U478" s="24">
        <f>TA!E526</f>
        <v>15792655920000</v>
      </c>
      <c r="V478" s="109">
        <f>PR!F526</f>
        <v>-6.0800889954833466E-2</v>
      </c>
      <c r="W478" s="109">
        <f>'Z Score'!I526</f>
        <v>0.37584233935491196</v>
      </c>
      <c r="X478" s="109">
        <f>'Z Score'!L526</f>
        <v>1.5860122722157047E-2</v>
      </c>
      <c r="Y478" s="109">
        <f>'Z Score'!O526</f>
        <v>4.2100544972805305E-2</v>
      </c>
      <c r="Z478" s="109">
        <f>'Z Score'!R526</f>
        <v>0.97293351030867181</v>
      </c>
      <c r="AA478" s="109">
        <f>'Z Score'!S526</f>
        <v>1.4067365173585462</v>
      </c>
    </row>
    <row r="479" spans="1:27" ht="15" customHeight="1" x14ac:dyDescent="0.3">
      <c r="A479" s="22"/>
      <c r="B479" s="23"/>
      <c r="C479" s="3"/>
      <c r="D479" s="23">
        <v>2022</v>
      </c>
      <c r="E479" s="25">
        <f>'Current Ratio'!G527</f>
        <v>2.4287204592362985</v>
      </c>
      <c r="F479" s="25">
        <f>'Cash Ratio'!G527</f>
        <v>2.0063648641206928</v>
      </c>
      <c r="G479" s="25">
        <f>DAR!G527</f>
        <v>0.49058041671762231</v>
      </c>
      <c r="H479" s="25">
        <f>DER!G527</f>
        <v>0.96301836995867396</v>
      </c>
      <c r="I479" s="25">
        <f>NPM!G527</f>
        <v>1.0915666408534983E-2</v>
      </c>
      <c r="J479" s="25">
        <f>ROA!G527</f>
        <v>2.8524045683814437E-3</v>
      </c>
      <c r="K479" s="25">
        <f>ROE!G527</f>
        <v>5.5993225662868164E-3</v>
      </c>
      <c r="L479" s="25">
        <f>KM!E527</f>
        <v>0.8</v>
      </c>
      <c r="M479" s="24">
        <f>KI!E527</f>
        <v>3</v>
      </c>
      <c r="N479" s="108">
        <f>IO!E527</f>
        <v>0</v>
      </c>
      <c r="O479" s="24">
        <f>'BoC Size'!E527</f>
        <v>6</v>
      </c>
      <c r="P479" s="24">
        <f>'TMT E DK'!E527</f>
        <v>14</v>
      </c>
      <c r="Q479" s="24">
        <f>Data!R527</f>
        <v>6</v>
      </c>
      <c r="R479" s="24">
        <f>Data!S527</f>
        <v>6</v>
      </c>
      <c r="S479" s="24">
        <f>'TMT E DK'!E527</f>
        <v>14</v>
      </c>
      <c r="T479" s="24">
        <f>'TMT E DD'!E527</f>
        <v>10</v>
      </c>
      <c r="U479" s="24">
        <f>TA!E527</f>
        <v>14863256240000</v>
      </c>
      <c r="V479" s="109">
        <f>PR!F527</f>
        <v>-0.11372013181853075</v>
      </c>
      <c r="W479" s="109">
        <f>'Z Score'!I527</f>
        <v>0.41611841750768325</v>
      </c>
      <c r="X479" s="109">
        <f>'Z Score'!L527</f>
        <v>7.8842386693590366E-2</v>
      </c>
      <c r="Y479" s="109">
        <f>'Z Score'!O527</f>
        <v>0.1687955053380685</v>
      </c>
      <c r="Z479" s="109">
        <f>'Z Score'!R527</f>
        <v>1.0903218804071815</v>
      </c>
      <c r="AA479" s="109">
        <f>'Z Score'!S527</f>
        <v>1.7540781899465236</v>
      </c>
    </row>
    <row r="480" spans="1:27" ht="15" customHeight="1" x14ac:dyDescent="0.3">
      <c r="A480" s="22"/>
      <c r="B480" s="23"/>
      <c r="C480" s="3"/>
      <c r="D480" s="23">
        <v>2023</v>
      </c>
      <c r="E480" s="25">
        <f>'Current Ratio'!G528</f>
        <v>1.2417999223527998</v>
      </c>
      <c r="F480" s="25">
        <f>'Cash Ratio'!G528</f>
        <v>0.93686659140942075</v>
      </c>
      <c r="G480" s="25">
        <f>DAR!G528</f>
        <v>0.48211631270568367</v>
      </c>
      <c r="H480" s="25">
        <f>DER!G528</f>
        <v>0.93093550643485345</v>
      </c>
      <c r="I480" s="25">
        <f>NPM!G528</f>
        <v>3.3347075171134902E-2</v>
      </c>
      <c r="J480" s="25">
        <f>ROA!G528</f>
        <v>8.7256745890498897E-3</v>
      </c>
      <c r="K480" s="25">
        <f>ROE!G528</f>
        <v>1.6848714881592782E-2</v>
      </c>
      <c r="L480" s="25">
        <f>KM!E528</f>
        <v>0.8</v>
      </c>
      <c r="M480" s="24">
        <f>KI!E528</f>
        <v>3</v>
      </c>
      <c r="N480" s="108">
        <f>IO!E528</f>
        <v>0</v>
      </c>
      <c r="O480" s="24">
        <f>'BoC Size'!E528</f>
        <v>6</v>
      </c>
      <c r="P480" s="24">
        <f>'TMT E DK'!E528</f>
        <v>14</v>
      </c>
      <c r="Q480" s="24">
        <f>Data!R528</f>
        <v>6</v>
      </c>
      <c r="R480" s="24">
        <f>Data!S528</f>
        <v>6</v>
      </c>
      <c r="S480" s="24">
        <f>'TMT E DK'!E528</f>
        <v>14</v>
      </c>
      <c r="T480" s="24">
        <f>'TMT E DD'!E528</f>
        <v>10</v>
      </c>
      <c r="U480" s="24">
        <f>TA!E528</f>
        <v>14368742350000</v>
      </c>
      <c r="V480" s="109">
        <f>PR!F528</f>
        <v>-3.1978088264722843E-2</v>
      </c>
      <c r="W480" s="109">
        <f>'Z Score'!I528</f>
        <v>8.9486181537662551E-2</v>
      </c>
      <c r="X480" s="109">
        <f>'Z Score'!L528</f>
        <v>4.1215429129049699E-2</v>
      </c>
      <c r="Y480" s="109">
        <f>'Z Score'!O528</f>
        <v>6.3197848348919686E-2</v>
      </c>
      <c r="Z480" s="109">
        <f>'Z Score'!R528</f>
        <v>1.1278976822155173</v>
      </c>
      <c r="AA480" s="109">
        <f>'Z Score'!S528</f>
        <v>1.3217971412311493</v>
      </c>
    </row>
    <row r="481" spans="1:27" ht="15" customHeight="1" x14ac:dyDescent="0.3">
      <c r="A481" s="22"/>
      <c r="B481" s="23"/>
      <c r="C481" s="3"/>
      <c r="D481" s="23">
        <v>2024</v>
      </c>
      <c r="E481" s="25">
        <f>'Current Ratio'!G529</f>
        <v>1.0432044183396361</v>
      </c>
      <c r="F481" s="25">
        <f>'Cash Ratio'!G529</f>
        <v>0.70172528559966263</v>
      </c>
      <c r="G481" s="25">
        <f>DAR!G529</f>
        <v>0.4604499748223192</v>
      </c>
      <c r="H481" s="25">
        <f>DER!G529</f>
        <v>0.8533962623218988</v>
      </c>
      <c r="I481" s="25">
        <f>NPM!G529</f>
        <v>5.5876400109476816E-2</v>
      </c>
      <c r="J481" s="25">
        <f>ROA!G529</f>
        <v>1.6077795817525886E-2</v>
      </c>
      <c r="K481" s="25">
        <f>ROE!G529</f>
        <v>2.9798526674577133E-2</v>
      </c>
      <c r="L481" s="25">
        <f>KM!E529</f>
        <v>0.8</v>
      </c>
      <c r="M481" s="24">
        <f>KI!E529</f>
        <v>3</v>
      </c>
      <c r="N481" s="108">
        <f>IO!E529</f>
        <v>0</v>
      </c>
      <c r="O481" s="24">
        <f>'BoC Size'!E529</f>
        <v>6</v>
      </c>
      <c r="P481" s="24">
        <f>'TMT E DK'!E529</f>
        <v>14</v>
      </c>
      <c r="Q481" s="24">
        <f>Data!R529</f>
        <v>6</v>
      </c>
      <c r="R481" s="24">
        <f>Data!S529</f>
        <v>6</v>
      </c>
      <c r="S481" s="24">
        <f>'TMT E DK'!E529</f>
        <v>14</v>
      </c>
      <c r="T481" s="24">
        <f>'TMT E DD'!E529</f>
        <v>10</v>
      </c>
      <c r="U481" s="24">
        <f>TA!E529</f>
        <v>14072702040000</v>
      </c>
      <c r="V481" s="109">
        <f>PR!F529</f>
        <v>7.6999648317895436E-2</v>
      </c>
      <c r="W481" s="109">
        <f>'Z Score'!I529</f>
        <v>1.7589264612895904E-2</v>
      </c>
      <c r="X481" s="109">
        <f>'Z Score'!L529</f>
        <v>0.1034075315645637</v>
      </c>
      <c r="Y481" s="109">
        <f>'Z Score'!O529</f>
        <v>0.18826929620688537</v>
      </c>
      <c r="Z481" s="109">
        <f>'Z Score'!R529</f>
        <v>1.2303780158858286</v>
      </c>
      <c r="AA481" s="109">
        <f>'Z Score'!S529</f>
        <v>1.5396441082701737</v>
      </c>
    </row>
    <row r="482" spans="1:27" ht="15" customHeight="1" x14ac:dyDescent="0.3">
      <c r="A482" s="22"/>
      <c r="B482" s="23">
        <v>49</v>
      </c>
      <c r="C482" s="3" t="s">
        <v>38</v>
      </c>
      <c r="D482" s="23">
        <v>2015</v>
      </c>
      <c r="E482" s="25">
        <f>'Current Ratio'!G531</f>
        <v>0</v>
      </c>
      <c r="F482" s="25">
        <f>'Cash Ratio'!G531</f>
        <v>0</v>
      </c>
      <c r="G482" s="25">
        <f>DAR!G531</f>
        <v>0</v>
      </c>
      <c r="H482" s="25">
        <f>DER!G531</f>
        <v>0</v>
      </c>
      <c r="I482" s="25">
        <f>NPM!G531</f>
        <v>0</v>
      </c>
      <c r="J482" s="25">
        <f>ROA!G531</f>
        <v>0</v>
      </c>
      <c r="K482" s="25">
        <f>ROE!G531</f>
        <v>0</v>
      </c>
      <c r="L482" s="25">
        <f>KM!E531</f>
        <v>0</v>
      </c>
      <c r="M482" s="24">
        <f>KI!E531</f>
        <v>0</v>
      </c>
      <c r="N482" s="108">
        <f>IO!E531</f>
        <v>0</v>
      </c>
      <c r="O482" s="24">
        <f>'BoC Size'!E531</f>
        <v>0</v>
      </c>
      <c r="P482" s="24">
        <f>'TMT E DK'!E531</f>
        <v>0</v>
      </c>
      <c r="Q482" s="24">
        <f>Data!R531</f>
        <v>0</v>
      </c>
      <c r="R482" s="24">
        <f>Data!S531</f>
        <v>0</v>
      </c>
      <c r="S482" s="24">
        <f>'TMT E DK'!E531</f>
        <v>0</v>
      </c>
      <c r="T482" s="24">
        <f>'TMT E DD'!E531</f>
        <v>0</v>
      </c>
      <c r="U482" s="24">
        <f>TA!E531</f>
        <v>0</v>
      </c>
      <c r="V482" s="109">
        <f>PR!F531</f>
        <v>0</v>
      </c>
      <c r="W482" s="109">
        <f>'Z Score'!I531</f>
        <v>0</v>
      </c>
      <c r="X482" s="109">
        <f>'Z Score'!L531</f>
        <v>0</v>
      </c>
      <c r="Y482" s="109">
        <f>'Z Score'!O531</f>
        <v>0</v>
      </c>
      <c r="Z482" s="109">
        <f>'Z Score'!R531</f>
        <v>0</v>
      </c>
      <c r="AA482" s="109">
        <f>'Z Score'!S531</f>
        <v>0</v>
      </c>
    </row>
    <row r="483" spans="1:27" ht="15" customHeight="1" x14ac:dyDescent="0.3">
      <c r="A483" s="22"/>
      <c r="B483" s="23"/>
      <c r="C483" s="3"/>
      <c r="D483" s="23">
        <v>2016</v>
      </c>
      <c r="E483" s="25">
        <f>'Current Ratio'!G532</f>
        <v>0.2223174803718076</v>
      </c>
      <c r="F483" s="25">
        <f>'Cash Ratio'!G532</f>
        <v>0.15111452035014891</v>
      </c>
      <c r="G483" s="25">
        <f>DAR!G532</f>
        <v>0.16939539860888175</v>
      </c>
      <c r="H483" s="25">
        <f>DER!G532</f>
        <v>0.20394228291677402</v>
      </c>
      <c r="I483" s="25">
        <f>NPM!G532</f>
        <v>0</v>
      </c>
      <c r="J483" s="25">
        <f>ROA!G532</f>
        <v>0</v>
      </c>
      <c r="K483" s="25">
        <f>ROE!G532</f>
        <v>0</v>
      </c>
      <c r="L483" s="25">
        <f>KM!E532</f>
        <v>0</v>
      </c>
      <c r="M483" s="24">
        <f>KI!E532</f>
        <v>0</v>
      </c>
      <c r="N483" s="108">
        <f>IO!E532</f>
        <v>0</v>
      </c>
      <c r="O483" s="24">
        <f>'BoC Size'!E532</f>
        <v>0</v>
      </c>
      <c r="P483" s="24">
        <f>'TMT E DK'!E532</f>
        <v>0</v>
      </c>
      <c r="Q483" s="24">
        <f>Data!R532</f>
        <v>0</v>
      </c>
      <c r="R483" s="24">
        <f>Data!S532</f>
        <v>0</v>
      </c>
      <c r="S483" s="24">
        <f>'TMT E DK'!E532</f>
        <v>0</v>
      </c>
      <c r="T483" s="24">
        <f>'TMT E DD'!E532</f>
        <v>0</v>
      </c>
      <c r="U483" s="24">
        <f>TA!E532</f>
        <v>130830000000</v>
      </c>
      <c r="V483" s="109">
        <f>PR!F532</f>
        <v>0</v>
      </c>
      <c r="W483" s="109">
        <f>'Z Score'!I532</f>
        <v>-0.86418711304746609</v>
      </c>
      <c r="X483" s="109">
        <f>'Z Score'!L532</f>
        <v>9.1398608881754939E-2</v>
      </c>
      <c r="Y483" s="109">
        <f>'Z Score'!O532</f>
        <v>0.18840449438202247</v>
      </c>
      <c r="Z483" s="109">
        <f>'Z Score'!R532</f>
        <v>5.1485154769425145</v>
      </c>
      <c r="AA483" s="109">
        <f>'Z Score'!S532</f>
        <v>4.564131467158826</v>
      </c>
    </row>
    <row r="484" spans="1:27" ht="15" customHeight="1" x14ac:dyDescent="0.3">
      <c r="A484" s="22"/>
      <c r="B484" s="23"/>
      <c r="C484" s="3"/>
      <c r="D484" s="23">
        <v>2017</v>
      </c>
      <c r="E484" s="25">
        <f>'Current Ratio'!G533</f>
        <v>12.330985915492958</v>
      </c>
      <c r="F484" s="25">
        <f>'Cash Ratio'!G533</f>
        <v>6.373239436619718</v>
      </c>
      <c r="G484" s="25">
        <f>DAR!G533</f>
        <v>2.7018955431020852E-2</v>
      </c>
      <c r="H484" s="25">
        <f>DER!G533</f>
        <v>2.7769251602419429E-2</v>
      </c>
      <c r="I484" s="25">
        <f>NPM!G533</f>
        <v>0</v>
      </c>
      <c r="J484" s="25">
        <f>ROA!G533</f>
        <v>0</v>
      </c>
      <c r="K484" s="25">
        <f>ROE!G533</f>
        <v>0</v>
      </c>
      <c r="L484" s="25">
        <f>KM!E533</f>
        <v>0.99990000000000001</v>
      </c>
      <c r="M484" s="24">
        <f>KI!E533</f>
        <v>2</v>
      </c>
      <c r="N484" s="108">
        <f>IO!E533</f>
        <v>0</v>
      </c>
      <c r="O484" s="24">
        <f>'BoC Size'!E533</f>
        <v>3</v>
      </c>
      <c r="P484" s="24">
        <f>'TMT E DK'!E533</f>
        <v>0</v>
      </c>
      <c r="Q484" s="24">
        <f>Data!R533</f>
        <v>3</v>
      </c>
      <c r="R484" s="24">
        <f>Data!S533</f>
        <v>3</v>
      </c>
      <c r="S484" s="24">
        <f>'TMT E DK'!E533</f>
        <v>0</v>
      </c>
      <c r="T484" s="24">
        <f>'TMT E DD'!E533</f>
        <v>0</v>
      </c>
      <c r="U484" s="24">
        <f>TA!E533</f>
        <v>113846000000</v>
      </c>
      <c r="V484" s="109">
        <f>PR!F533</f>
        <v>0</v>
      </c>
      <c r="W484" s="109">
        <f>'Z Score'!I533</f>
        <v>9.2713314477452E-2</v>
      </c>
      <c r="X484" s="109">
        <f>'Z Score'!L533</f>
        <v>0.10795460534406126</v>
      </c>
      <c r="Y484" s="109">
        <f>'Z Score'!O533</f>
        <v>5.7256293589585932E-3</v>
      </c>
      <c r="Z484" s="109">
        <f>'Z Score'!R533</f>
        <v>37.811605981794543</v>
      </c>
      <c r="AA484" s="109">
        <f>'Z Score'!S533</f>
        <v>38.017999530975011</v>
      </c>
    </row>
    <row r="485" spans="1:27" ht="15" customHeight="1" x14ac:dyDescent="0.3">
      <c r="A485" s="22"/>
      <c r="B485" s="23"/>
      <c r="C485" s="3"/>
      <c r="D485" s="23">
        <v>2018</v>
      </c>
      <c r="E485" s="25">
        <f>'Current Ratio'!G534</f>
        <v>1.042461703843053</v>
      </c>
      <c r="F485" s="25">
        <f>'Cash Ratio'!G534</f>
        <v>0.76941682343456064</v>
      </c>
      <c r="G485" s="25">
        <f>DAR!G534</f>
        <v>0.57489196147170984</v>
      </c>
      <c r="H485" s="25">
        <f>DER!G534</f>
        <v>1.3523431913025374</v>
      </c>
      <c r="I485" s="25">
        <f>NPM!G534</f>
        <v>-1.5997287877022174E-3</v>
      </c>
      <c r="J485" s="25">
        <f>ROA!G534</f>
        <v>-1.1621597700309011E-3</v>
      </c>
      <c r="K485" s="25">
        <f>ROE!G534</f>
        <v>-2.7337986222379131E-3</v>
      </c>
      <c r="L485" s="25">
        <f>KM!E534</f>
        <v>0.99990000000000001</v>
      </c>
      <c r="M485" s="24">
        <f>KI!E534</f>
        <v>2</v>
      </c>
      <c r="N485" s="108">
        <f>IO!E534</f>
        <v>0</v>
      </c>
      <c r="O485" s="24">
        <f>'BoC Size'!E534</f>
        <v>3</v>
      </c>
      <c r="P485" s="24">
        <f>'TMT E DK'!E534</f>
        <v>0</v>
      </c>
      <c r="Q485" s="24">
        <f>Data!R534</f>
        <v>3</v>
      </c>
      <c r="R485" s="24">
        <f>Data!S534</f>
        <v>3</v>
      </c>
      <c r="S485" s="24">
        <f>'TMT E DK'!E534</f>
        <v>0</v>
      </c>
      <c r="T485" s="24">
        <f>'TMT E DD'!E534</f>
        <v>0</v>
      </c>
      <c r="U485" s="24">
        <f>TA!E534</f>
        <v>259861000000</v>
      </c>
      <c r="V485" s="109">
        <f>PR!F534</f>
        <v>0</v>
      </c>
      <c r="W485" s="109">
        <f>'Z Score'!I534</f>
        <v>3.9885939021245967E-3</v>
      </c>
      <c r="X485" s="109">
        <f>'Z Score'!L534</f>
        <v>7.1106014369220469E-2</v>
      </c>
      <c r="Y485" s="109">
        <f>'Z Score'!O534</f>
        <v>4.7349621528432508E-2</v>
      </c>
      <c r="Z485" s="109">
        <f>'Z Score'!R534</f>
        <v>0.77643013012744999</v>
      </c>
      <c r="AA485" s="109">
        <f>'Z Score'!S534</f>
        <v>0.89887435992722753</v>
      </c>
    </row>
    <row r="486" spans="1:27" ht="15" customHeight="1" x14ac:dyDescent="0.3">
      <c r="A486" s="22"/>
      <c r="B486" s="23"/>
      <c r="C486" s="3"/>
      <c r="D486" s="23">
        <v>2019</v>
      </c>
      <c r="E486" s="25">
        <f>'Current Ratio'!G535</f>
        <v>0.2838638310019983</v>
      </c>
      <c r="F486" s="25">
        <f>'Cash Ratio'!G535</f>
        <v>0.16892663431344562</v>
      </c>
      <c r="G486" s="25">
        <f>DAR!G535</f>
        <v>0.82643055927291353</v>
      </c>
      <c r="H486" s="25">
        <f>DER!G535</f>
        <v>4.7613828552478861</v>
      </c>
      <c r="I486" s="25">
        <f>NPM!G535</f>
        <v>2.1117304713180952E-2</v>
      </c>
      <c r="J486" s="25">
        <f>ROA!G535</f>
        <v>1.9628609554617343E-2</v>
      </c>
      <c r="K486" s="25">
        <f>ROE!G535</f>
        <v>0.1130879345603272</v>
      </c>
      <c r="L486" s="25">
        <f>KM!E535</f>
        <v>0.99990000000000001</v>
      </c>
      <c r="M486" s="24">
        <f>KI!E535</f>
        <v>2</v>
      </c>
      <c r="N486" s="108">
        <f>IO!E535</f>
        <v>0</v>
      </c>
      <c r="O486" s="24">
        <f>'BoC Size'!E535</f>
        <v>3</v>
      </c>
      <c r="P486" s="24">
        <f>'TMT E DK'!E535</f>
        <v>0</v>
      </c>
      <c r="Q486" s="24">
        <f>Data!R535</f>
        <v>3</v>
      </c>
      <c r="R486" s="24">
        <f>Data!S535</f>
        <v>3</v>
      </c>
      <c r="S486" s="24">
        <f>'TMT E DK'!E535</f>
        <v>0</v>
      </c>
      <c r="T486" s="24">
        <f>'TMT E DD'!E535</f>
        <v>0</v>
      </c>
      <c r="U486" s="24">
        <f>TA!E535</f>
        <v>1042407000000</v>
      </c>
      <c r="V486" s="109">
        <f>PR!F535</f>
        <v>4.1324861480437756</v>
      </c>
      <c r="W486" s="109">
        <f>'Z Score'!I535</f>
        <v>-0.12629677275766568</v>
      </c>
      <c r="X486" s="109">
        <f>'Z Score'!L535</f>
        <v>2.2639084349970789E-2</v>
      </c>
      <c r="Y486" s="109">
        <f>'Z Score'!O535</f>
        <v>9.5861213518328263E-3</v>
      </c>
      <c r="Z486" s="109">
        <f>'Z Score'!R535</f>
        <v>0.22052416953673748</v>
      </c>
      <c r="AA486" s="109">
        <f>'Z Score'!S535</f>
        <v>0.12645260248087542</v>
      </c>
    </row>
    <row r="487" spans="1:27" ht="15" customHeight="1" x14ac:dyDescent="0.3">
      <c r="A487" s="22"/>
      <c r="B487" s="23"/>
      <c r="C487" s="3"/>
      <c r="D487" s="23">
        <v>2020</v>
      </c>
      <c r="E487" s="25">
        <f>'Current Ratio'!G536</f>
        <v>0.45381882770870335</v>
      </c>
      <c r="F487" s="25">
        <f>'Cash Ratio'!G536</f>
        <v>0.12514801657785671</v>
      </c>
      <c r="G487" s="25">
        <f>DAR!G536</f>
        <v>0.81662795074226047</v>
      </c>
      <c r="H487" s="25">
        <f>DER!G536</f>
        <v>4.4533938190026161</v>
      </c>
      <c r="I487" s="25">
        <f>NPM!G536</f>
        <v>3.3707386185538573E-3</v>
      </c>
      <c r="J487" s="25">
        <f>ROA!G536</f>
        <v>3.879866718698406E-3</v>
      </c>
      <c r="K487" s="25">
        <f>ROE!G536</f>
        <v>2.1158441182303849E-2</v>
      </c>
      <c r="L487" s="25">
        <f>KM!E536</f>
        <v>0.99990000000000001</v>
      </c>
      <c r="M487" s="24">
        <f>KI!E536</f>
        <v>2</v>
      </c>
      <c r="N487" s="108">
        <f>IO!E536</f>
        <v>0</v>
      </c>
      <c r="O487" s="24">
        <f>'BoC Size'!E536</f>
        <v>3</v>
      </c>
      <c r="P487" s="24">
        <f>'TMT E DK'!E536</f>
        <v>0</v>
      </c>
      <c r="Q487" s="24">
        <f>Data!R536</f>
        <v>3</v>
      </c>
      <c r="R487" s="24">
        <f>Data!S536</f>
        <v>2</v>
      </c>
      <c r="S487" s="24">
        <f>'TMT E DK'!E536</f>
        <v>0</v>
      </c>
      <c r="T487" s="24">
        <f>'TMT E DD'!E536</f>
        <v>0</v>
      </c>
      <c r="U487" s="24">
        <f>TA!E536</f>
        <v>1732276000000</v>
      </c>
      <c r="V487" s="109">
        <f>PR!F536</f>
        <v>1.0578819119412213</v>
      </c>
      <c r="W487" s="109">
        <f>'Z Score'!I536</f>
        <v>-2.7947509519268287E-2</v>
      </c>
      <c r="X487" s="109">
        <f>'Z Score'!L536</f>
        <v>2.5119830789089036E-2</v>
      </c>
      <c r="Y487" s="109">
        <f>'Z Score'!O536</f>
        <v>2.3252460924240711E-2</v>
      </c>
      <c r="Z487" s="109">
        <f>'Z Score'!R536</f>
        <v>0.23577524078819476</v>
      </c>
      <c r="AA487" s="109">
        <f>'Z Score'!S536</f>
        <v>0.25620002298225619</v>
      </c>
    </row>
    <row r="488" spans="1:27" ht="15" customHeight="1" x14ac:dyDescent="0.3">
      <c r="A488" s="22"/>
      <c r="B488" s="23"/>
      <c r="C488" s="3"/>
      <c r="D488" s="23">
        <v>2021</v>
      </c>
      <c r="E488" s="25">
        <f>'Current Ratio'!G537</f>
        <v>0.9023304281924972</v>
      </c>
      <c r="F488" s="25">
        <f>'Cash Ratio'!G537</f>
        <v>0.16445623342175067</v>
      </c>
      <c r="G488" s="25">
        <f>DAR!G537</f>
        <v>0.85262124470663037</v>
      </c>
      <c r="H488" s="25">
        <f>DER!G537</f>
        <v>5.7852384694755861</v>
      </c>
      <c r="I488" s="25">
        <f>NPM!G537</f>
        <v>3.109884267103041E-2</v>
      </c>
      <c r="J488" s="25">
        <f>ROA!G537</f>
        <v>2.2236387338539672E-2</v>
      </c>
      <c r="K488" s="25">
        <f>ROE!G537</f>
        <v>0.15087919079161921</v>
      </c>
      <c r="L488" s="25">
        <f>KM!E537</f>
        <v>0.99990000000000001</v>
      </c>
      <c r="M488" s="24">
        <f>KI!E537</f>
        <v>2</v>
      </c>
      <c r="N488" s="108">
        <f>IO!E537</f>
        <v>0</v>
      </c>
      <c r="O488" s="24">
        <f>'BoC Size'!E537</f>
        <v>3</v>
      </c>
      <c r="P488" s="24">
        <f>'TMT E DK'!E537</f>
        <v>0</v>
      </c>
      <c r="Q488" s="24">
        <f>Data!R537</f>
        <v>3</v>
      </c>
      <c r="R488" s="24">
        <f>Data!S537</f>
        <v>3</v>
      </c>
      <c r="S488" s="24">
        <f>'TMT E DK'!E537</f>
        <v>0</v>
      </c>
      <c r="T488" s="24">
        <f>'TMT E DD'!E537</f>
        <v>0</v>
      </c>
      <c r="U488" s="24">
        <f>TA!E537</f>
        <v>2538317000000</v>
      </c>
      <c r="V488" s="109">
        <f>PR!F537</f>
        <v>-8.975763882793987E-2</v>
      </c>
      <c r="W488" s="109">
        <f>'Z Score'!I537</f>
        <v>-2.6645056547310677E-3</v>
      </c>
      <c r="X488" s="109">
        <f>'Z Score'!L537</f>
        <v>2.7614068691971885E-2</v>
      </c>
      <c r="Y488" s="109">
        <f>'Z Score'!O537</f>
        <v>2.0771684545310927E-2</v>
      </c>
      <c r="Z488" s="109">
        <f>'Z Score'!R537</f>
        <v>0.18149640771768899</v>
      </c>
      <c r="AA488" s="109">
        <f>'Z Score'!S537</f>
        <v>0.22721765530024074</v>
      </c>
    </row>
    <row r="489" spans="1:27" ht="15" customHeight="1" x14ac:dyDescent="0.3">
      <c r="A489" s="22"/>
      <c r="B489" s="23"/>
      <c r="C489" s="3"/>
      <c r="D489" s="23">
        <v>2022</v>
      </c>
      <c r="E489" s="25">
        <f>'Current Ratio'!G538</f>
        <v>1.9663586485706035</v>
      </c>
      <c r="F489" s="25">
        <f>'Cash Ratio'!G538</f>
        <v>0.71065550101068442</v>
      </c>
      <c r="G489" s="25">
        <f>DAR!G538</f>
        <v>0.86214878763917191</v>
      </c>
      <c r="H489" s="25">
        <f>DER!G538</f>
        <v>6.2541980797563195</v>
      </c>
      <c r="I489" s="25">
        <f>NPM!G538</f>
        <v>4.102356471065766E-3</v>
      </c>
      <c r="J489" s="25">
        <f>ROA!G538</f>
        <v>2.902119394887364E-3</v>
      </c>
      <c r="K489" s="25">
        <f>ROE!G538</f>
        <v>2.1052548941615484E-2</v>
      </c>
      <c r="L489" s="25">
        <f>KM!E538</f>
        <v>0.99990000000000001</v>
      </c>
      <c r="M489" s="24">
        <f>KI!E538</f>
        <v>2</v>
      </c>
      <c r="N489" s="108">
        <f>IO!E538</f>
        <v>0</v>
      </c>
      <c r="O489" s="24">
        <f>'BoC Size'!E538</f>
        <v>3</v>
      </c>
      <c r="P489" s="24">
        <f>'TMT E DK'!E538</f>
        <v>0</v>
      </c>
      <c r="Q489" s="24">
        <f>Data!R538</f>
        <v>3</v>
      </c>
      <c r="R489" s="24">
        <f>Data!S538</f>
        <v>3</v>
      </c>
      <c r="S489" s="24">
        <f>'TMT E DK'!E538</f>
        <v>0</v>
      </c>
      <c r="T489" s="24">
        <f>'TMT E DD'!E538</f>
        <v>0</v>
      </c>
      <c r="U489" s="24">
        <f>TA!E538</f>
        <v>2772112000000</v>
      </c>
      <c r="V489" s="109">
        <f>PR!F538</f>
        <v>8.0505026295417795E-2</v>
      </c>
      <c r="W489" s="109">
        <f>'Z Score'!I538</f>
        <v>1.5838494259972181E-2</v>
      </c>
      <c r="X489" s="109">
        <f>'Z Score'!L538</f>
        <v>3.5376391718660714E-2</v>
      </c>
      <c r="Y489" s="109">
        <f>'Z Score'!O538</f>
        <v>1.9904650317158903E-2</v>
      </c>
      <c r="Z489" s="109">
        <f>'Z Score'!R538</f>
        <v>0.16788723136202796</v>
      </c>
      <c r="AA489" s="109">
        <f>'Z Score'!S538</f>
        <v>0.23900676765781975</v>
      </c>
    </row>
    <row r="490" spans="1:27" ht="15" customHeight="1" x14ac:dyDescent="0.3">
      <c r="A490" s="22"/>
      <c r="B490" s="23"/>
      <c r="C490" s="3"/>
      <c r="D490" s="23">
        <v>2023</v>
      </c>
      <c r="E490" s="25">
        <f>'Current Ratio'!G539</f>
        <v>8.3381278000471593</v>
      </c>
      <c r="F490" s="25">
        <f>'Cash Ratio'!G539</f>
        <v>6.4846734260787553</v>
      </c>
      <c r="G490" s="25">
        <f>DAR!G539</f>
        <v>0.82162916465278113</v>
      </c>
      <c r="H490" s="25">
        <f>DER!G539</f>
        <v>6.4571877076055975</v>
      </c>
      <c r="I490" s="25">
        <f>NPM!G539</f>
        <v>-6.0132238546536265E-2</v>
      </c>
      <c r="J490" s="25">
        <f>ROA!G539</f>
        <v>-3.7096623557586444E-2</v>
      </c>
      <c r="K490" s="25">
        <f>ROE!G539</f>
        <v>-0.2915425497717678</v>
      </c>
      <c r="L490" s="25">
        <f>KM!E539</f>
        <v>0.99990000000000001</v>
      </c>
      <c r="M490" s="24">
        <f>KI!E539</f>
        <v>2</v>
      </c>
      <c r="N490" s="108">
        <f>IO!E539</f>
        <v>0</v>
      </c>
      <c r="O490" s="24">
        <f>'BoC Size'!E539</f>
        <v>3</v>
      </c>
      <c r="P490" s="24">
        <f>'TMT E DK'!E539</f>
        <v>0</v>
      </c>
      <c r="Q490" s="24">
        <f>Data!R539</f>
        <v>3</v>
      </c>
      <c r="R490" s="24">
        <f>Data!S539</f>
        <v>3</v>
      </c>
      <c r="S490" s="24">
        <f>'TMT E DK'!E539</f>
        <v>0</v>
      </c>
      <c r="T490" s="24">
        <f>'TMT E DD'!E539</f>
        <v>0</v>
      </c>
      <c r="U490" s="24">
        <f>TA!E539</f>
        <v>2933798000000</v>
      </c>
      <c r="V490" s="109">
        <f>PR!F539</f>
        <v>-7.7078918222111631E-2</v>
      </c>
      <c r="W490" s="109">
        <f>'Z Score'!I539</f>
        <v>0.13917369907539645</v>
      </c>
      <c r="X490" s="109">
        <f>'Z Score'!L539</f>
        <v>4.4040809898977358E-2</v>
      </c>
      <c r="Y490" s="109">
        <f>'Z Score'!O539</f>
        <v>2.0926430517711168E-2</v>
      </c>
      <c r="Z490" s="109">
        <f>'Z Score'!R539</f>
        <v>0.16260949000495334</v>
      </c>
      <c r="AA490" s="109">
        <f>'Z Score'!S539</f>
        <v>0.36675042949703829</v>
      </c>
    </row>
    <row r="491" spans="1:27" ht="15" customHeight="1" x14ac:dyDescent="0.3">
      <c r="A491" s="22"/>
      <c r="B491" s="23"/>
      <c r="C491" s="3"/>
      <c r="D491" s="23">
        <v>2024</v>
      </c>
      <c r="E491" s="25">
        <f>'Current Ratio'!G540</f>
        <v>1.9240404689256463</v>
      </c>
      <c r="F491" s="25">
        <f>'Cash Ratio'!G540</f>
        <v>1.5065842299662759</v>
      </c>
      <c r="G491" s="25">
        <f>DAR!G540</f>
        <v>0.7870470291857804</v>
      </c>
      <c r="H491" s="25">
        <f>DER!G540</f>
        <v>7.2157031877117319</v>
      </c>
      <c r="I491" s="25">
        <f>NPM!G540</f>
        <v>-4.5020317097845299E-2</v>
      </c>
      <c r="J491" s="25">
        <f>ROA!G540</f>
        <v>-2.5464842674112698E-2</v>
      </c>
      <c r="K491" s="25">
        <f>ROE!G540</f>
        <v>-0.23346349029264907</v>
      </c>
      <c r="L491" s="25">
        <f>KM!E540</f>
        <v>0.99990000000000001</v>
      </c>
      <c r="M491" s="24">
        <f>KI!E540</f>
        <v>2</v>
      </c>
      <c r="N491" s="108">
        <f>IO!E540</f>
        <v>0</v>
      </c>
      <c r="O491" s="24">
        <f>'BoC Size'!E540</f>
        <v>3</v>
      </c>
      <c r="P491" s="24">
        <f>'TMT E DK'!E540</f>
        <v>0</v>
      </c>
      <c r="Q491" s="24">
        <f>Data!R540</f>
        <v>3</v>
      </c>
      <c r="R491" s="24">
        <f>Data!S540</f>
        <v>3</v>
      </c>
      <c r="S491" s="24">
        <f>'TMT E DK'!E540</f>
        <v>0</v>
      </c>
      <c r="T491" s="24">
        <f>'TMT E DD'!E540</f>
        <v>0</v>
      </c>
      <c r="U491" s="24">
        <f>TA!E540</f>
        <v>3369312000000</v>
      </c>
      <c r="V491" s="109">
        <f>PR!F540</f>
        <v>5.2971112944227641E-2</v>
      </c>
      <c r="W491" s="109">
        <f>'Z Score'!I540</f>
        <v>2.2405903638487618E-2</v>
      </c>
      <c r="X491" s="109">
        <f>'Z Score'!L540</f>
        <v>7.9397693060185588E-3</v>
      </c>
      <c r="Y491" s="109">
        <f>'Z Score'!O540</f>
        <v>-6.4473316807704364E-2</v>
      </c>
      <c r="Z491" s="109">
        <f>'Z Score'!R540</f>
        <v>0.14551596326580329</v>
      </c>
      <c r="AA491" s="109">
        <f>'Z Score'!S540</f>
        <v>0.1113883194026051</v>
      </c>
    </row>
    <row r="492" spans="1:27" ht="15" customHeight="1" x14ac:dyDescent="0.3">
      <c r="A492" s="22"/>
      <c r="B492" s="23">
        <v>50</v>
      </c>
      <c r="C492" s="3" t="s">
        <v>39</v>
      </c>
      <c r="D492" s="23">
        <v>2015</v>
      </c>
      <c r="E492" s="25">
        <f>'Current Ratio'!G542</f>
        <v>0.65931034482758621</v>
      </c>
      <c r="F492" s="25">
        <f>'Cash Ratio'!G542</f>
        <v>0.32789689313758963</v>
      </c>
      <c r="G492" s="25">
        <f>DAR!G542</f>
        <v>0.48180148920227095</v>
      </c>
      <c r="H492" s="25">
        <f>DER!G542</f>
        <v>0.92976239638468361</v>
      </c>
      <c r="I492" s="25">
        <f>NPM!G542</f>
        <v>7.4479021979657098E-2</v>
      </c>
      <c r="J492" s="25">
        <f>ROA!G542</f>
        <v>3.598657962776694E-2</v>
      </c>
      <c r="K492" s="25">
        <f>ROE!G542</f>
        <v>6.9445548140167762E-2</v>
      </c>
      <c r="L492" s="25">
        <f>KM!E542</f>
        <v>0.95</v>
      </c>
      <c r="M492" s="24">
        <f>KI!E542</f>
        <v>4</v>
      </c>
      <c r="N492" s="108">
        <f>IO!E542</f>
        <v>0</v>
      </c>
      <c r="O492" s="24">
        <f>'BoC Size'!E542</f>
        <v>8</v>
      </c>
      <c r="P492" s="24">
        <f>'TMT E DK'!E542</f>
        <v>0</v>
      </c>
      <c r="Q492" s="24">
        <f>Data!R542</f>
        <v>8</v>
      </c>
      <c r="R492" s="24">
        <f>Data!S542</f>
        <v>5</v>
      </c>
      <c r="S492" s="24">
        <f>'TMT E DK'!E542</f>
        <v>0</v>
      </c>
      <c r="T492" s="24">
        <f>'TMT E DD'!E542</f>
        <v>0</v>
      </c>
      <c r="U492" s="24">
        <f>TA!E542</f>
        <v>8887980000000</v>
      </c>
      <c r="V492" s="109">
        <f>PR!F542</f>
        <v>-4.9378422769914602E-2</v>
      </c>
      <c r="W492" s="109">
        <f>'Z Score'!I542</f>
        <v>-7.3651074822400589E-2</v>
      </c>
      <c r="X492" s="109">
        <f>'Z Score'!L542</f>
        <v>0.24976761873901604</v>
      </c>
      <c r="Y492" s="109">
        <f>'Z Score'!O542</f>
        <v>0.26068260279613592</v>
      </c>
      <c r="Z492" s="109">
        <f>'Z Score'!R542</f>
        <v>1.1293207857005747</v>
      </c>
      <c r="AA492" s="109">
        <f>'Z Score'!S542</f>
        <v>1.5661199324133261</v>
      </c>
    </row>
    <row r="493" spans="1:27" ht="15" customHeight="1" x14ac:dyDescent="0.3">
      <c r="A493" s="22"/>
      <c r="B493" s="23"/>
      <c r="C493" s="3"/>
      <c r="D493" s="23">
        <v>2016</v>
      </c>
      <c r="E493" s="25">
        <f>'Current Ratio'!G543</f>
        <v>0.72563862735606999</v>
      </c>
      <c r="F493" s="25">
        <f>'Cash Ratio'!G543</f>
        <v>0.27049994722839915</v>
      </c>
      <c r="G493" s="25">
        <f>DAR!G543</f>
        <v>0.47594162789268446</v>
      </c>
      <c r="H493" s="25">
        <f>DER!G543</f>
        <v>0.90818438026064419</v>
      </c>
      <c r="I493" s="25">
        <f>NPM!G543</f>
        <v>1.0718147735926424</v>
      </c>
      <c r="J493" s="25">
        <f>ROA!G543</f>
        <v>4.0303684921552209E-2</v>
      </c>
      <c r="K493" s="25">
        <f>ROE!G543</f>
        <v>7.6906862034252371E-2</v>
      </c>
      <c r="L493" s="25">
        <f>KM!E543</f>
        <v>0.95</v>
      </c>
      <c r="M493" s="24">
        <f>KI!E543</f>
        <v>4</v>
      </c>
      <c r="N493" s="108">
        <f>IO!E543</f>
        <v>0</v>
      </c>
      <c r="O493" s="24">
        <f>'BoC Size'!E543</f>
        <v>8</v>
      </c>
      <c r="P493" s="24">
        <f>'TMT E DK'!E543</f>
        <v>0</v>
      </c>
      <c r="Q493" s="24">
        <f>Data!R543</f>
        <v>8</v>
      </c>
      <c r="R493" s="24">
        <f>Data!S543</f>
        <v>5</v>
      </c>
      <c r="S493" s="24">
        <f>'TMT E DK'!E543</f>
        <v>0</v>
      </c>
      <c r="T493" s="24">
        <f>'TMT E DD'!E543</f>
        <v>0</v>
      </c>
      <c r="U493" s="24">
        <f>TA!E543</f>
        <v>9079542000000</v>
      </c>
      <c r="V493" s="109">
        <f>PR!F543</f>
        <v>-0.92049777492967122</v>
      </c>
      <c r="W493" s="109">
        <f>'Z Score'!I543</f>
        <v>-5.4466641599322956E-2</v>
      </c>
      <c r="X493" s="109">
        <f>'Z Score'!L543</f>
        <v>0.29185473232019848</v>
      </c>
      <c r="Y493" s="109">
        <f>'Z Score'!O543</f>
        <v>0.25269362705740001</v>
      </c>
      <c r="Z493" s="109">
        <f>'Z Score'!R543</f>
        <v>1.1561528945241883</v>
      </c>
      <c r="AA493" s="109">
        <f>'Z Score'!S543</f>
        <v>1.6462346123024638</v>
      </c>
    </row>
    <row r="494" spans="1:27" ht="15" customHeight="1" x14ac:dyDescent="0.3">
      <c r="A494" s="22"/>
      <c r="B494" s="23"/>
      <c r="C494" s="3"/>
      <c r="D494" s="23">
        <v>2017</v>
      </c>
      <c r="E494" s="25">
        <f>'Current Ratio'!G544</f>
        <v>0.61606488882661281</v>
      </c>
      <c r="F494" s="25">
        <f>'Cash Ratio'!G544</f>
        <v>0.24891883801359174</v>
      </c>
      <c r="G494" s="25">
        <f>DAR!G544</f>
        <v>0.45712391843929234</v>
      </c>
      <c r="H494" s="25">
        <f>DER!G544</f>
        <v>0.8420409997160172</v>
      </c>
      <c r="I494" s="25">
        <f>NPM!G544</f>
        <v>9.3345944446758519E-2</v>
      </c>
      <c r="J494" s="25">
        <f>ROA!G544</f>
        <v>5.0160112529153429E-2</v>
      </c>
      <c r="K494" s="25">
        <f>ROE!G544</f>
        <v>9.2396983829069704E-2</v>
      </c>
      <c r="L494" s="25">
        <f>KM!E544</f>
        <v>0.95</v>
      </c>
      <c r="M494" s="24">
        <f>KI!E544</f>
        <v>4</v>
      </c>
      <c r="N494" s="108">
        <f>IO!E544</f>
        <v>0</v>
      </c>
      <c r="O494" s="24">
        <f>'BoC Size'!E544</f>
        <v>8</v>
      </c>
      <c r="P494" s="24">
        <f>'TMT E DK'!E544</f>
        <v>0</v>
      </c>
      <c r="Q494" s="24">
        <f>Data!R544</f>
        <v>8</v>
      </c>
      <c r="R494" s="24">
        <f>Data!S544</f>
        <v>5</v>
      </c>
      <c r="S494" s="24">
        <f>'TMT E DK'!E544</f>
        <v>0</v>
      </c>
      <c r="T494" s="24">
        <f>'TMT E DD'!E544</f>
        <v>0</v>
      </c>
      <c r="U494" s="24">
        <f>TA!E544</f>
        <v>9158871000000</v>
      </c>
      <c r="V494" s="109">
        <f>PR!F544</f>
        <v>13.415045984418018</v>
      </c>
      <c r="W494" s="109">
        <f>'Z Score'!I544</f>
        <v>-8.6351271898031975E-2</v>
      </c>
      <c r="X494" s="109">
        <f>'Z Score'!L544</f>
        <v>0.33142269609431119</v>
      </c>
      <c r="Y494" s="109">
        <f>'Z Score'!O544</f>
        <v>0.26807814194566121</v>
      </c>
      <c r="Z494" s="109">
        <f>'Z Score'!R544</f>
        <v>1.2469701598308374</v>
      </c>
      <c r="AA494" s="109">
        <f>'Z Score'!S544</f>
        <v>1.7601197259727779</v>
      </c>
    </row>
    <row r="495" spans="1:27" ht="15" customHeight="1" x14ac:dyDescent="0.3">
      <c r="A495" s="22"/>
      <c r="B495" s="23"/>
      <c r="C495" s="3"/>
      <c r="D495" s="23">
        <v>2018</v>
      </c>
      <c r="E495" s="25">
        <f>'Current Ratio'!G545</f>
        <v>0.67714995440681691</v>
      </c>
      <c r="F495" s="25">
        <f>'Cash Ratio'!G545</f>
        <v>0.2084237336100368</v>
      </c>
      <c r="G495" s="25">
        <f>DAR!G545</f>
        <v>0.46329798613101342</v>
      </c>
      <c r="H495" s="25">
        <f>DER!G545</f>
        <v>0.86323131674349984</v>
      </c>
      <c r="I495" s="25">
        <f>NPM!G545</f>
        <v>6.5591192449204472E-2</v>
      </c>
      <c r="J495" s="25">
        <f>ROA!G545</f>
        <v>3.0395481805969612E-2</v>
      </c>
      <c r="K495" s="25">
        <f>ROE!G545</f>
        <v>5.6633813588389849E-2</v>
      </c>
      <c r="L495" s="25">
        <f>KM!E545</f>
        <v>0.95</v>
      </c>
      <c r="M495" s="24">
        <f>KI!E545</f>
        <v>4</v>
      </c>
      <c r="N495" s="108">
        <f>IO!E545</f>
        <v>0</v>
      </c>
      <c r="O495" s="24">
        <f>'BoC Size'!E545</f>
        <v>8</v>
      </c>
      <c r="P495" s="24">
        <f>'TMT E DK'!E545</f>
        <v>0</v>
      </c>
      <c r="Q495" s="24">
        <f>Data!R545</f>
        <v>8</v>
      </c>
      <c r="R495" s="24">
        <f>Data!S545</f>
        <v>5</v>
      </c>
      <c r="S495" s="24">
        <f>'TMT E DK'!E545</f>
        <v>0</v>
      </c>
      <c r="T495" s="24">
        <f>'TMT E DD'!E545</f>
        <v>0</v>
      </c>
      <c r="U495" s="24">
        <f>TA!E545</f>
        <v>9082567000000</v>
      </c>
      <c r="V495" s="109">
        <f>PR!F545</f>
        <v>-0.14480111590067021</v>
      </c>
      <c r="W495" s="109">
        <f>'Z Score'!I545</f>
        <v>-7.415905217104371E-2</v>
      </c>
      <c r="X495" s="109">
        <f>'Z Score'!L545</f>
        <v>0.34655635130464763</v>
      </c>
      <c r="Y495" s="109">
        <f>'Z Score'!O545</f>
        <v>0.29462867050691727</v>
      </c>
      <c r="Z495" s="109">
        <f>'Z Score'!R545</f>
        <v>1.2163599485258207</v>
      </c>
      <c r="AA495" s="109">
        <f>'Z Score'!S545</f>
        <v>1.7833859181663418</v>
      </c>
    </row>
    <row r="496" spans="1:27" ht="15" customHeight="1" x14ac:dyDescent="0.3">
      <c r="A496" s="22"/>
      <c r="B496" s="23"/>
      <c r="C496" s="3"/>
      <c r="D496" s="23">
        <v>2019</v>
      </c>
      <c r="E496" s="25">
        <f>'Current Ratio'!G546</f>
        <v>0.72857360132604321</v>
      </c>
      <c r="F496" s="25">
        <f>'Cash Ratio'!G546</f>
        <v>0.2133346738124515</v>
      </c>
      <c r="G496" s="25">
        <f>DAR!G546</f>
        <v>0.45316284227938763</v>
      </c>
      <c r="H496" s="25">
        <f>DER!G546</f>
        <v>0.82869796955333386</v>
      </c>
      <c r="I496" s="25">
        <f>NPM!G546</f>
        <v>0.11829749104767409</v>
      </c>
      <c r="J496" s="25">
        <f>ROA!G546</f>
        <v>5.6415702202365109E-2</v>
      </c>
      <c r="K496" s="25">
        <f>ROE!G546</f>
        <v>0.10316728006839061</v>
      </c>
      <c r="L496" s="25">
        <f>KM!E546</f>
        <v>0.95</v>
      </c>
      <c r="M496" s="24">
        <f>KI!E546</f>
        <v>4</v>
      </c>
      <c r="N496" s="108">
        <f>IO!E546</f>
        <v>0</v>
      </c>
      <c r="O496" s="24">
        <f>'BoC Size'!E546</f>
        <v>8</v>
      </c>
      <c r="P496" s="24">
        <f>'TMT E DK'!E546</f>
        <v>0</v>
      </c>
      <c r="Q496" s="24">
        <f>Data!R546</f>
        <v>8</v>
      </c>
      <c r="R496" s="24">
        <f>Data!S546</f>
        <v>5</v>
      </c>
      <c r="S496" s="24">
        <f>'TMT E DK'!E546</f>
        <v>0</v>
      </c>
      <c r="T496" s="24">
        <f>'TMT E DD'!E546</f>
        <v>0</v>
      </c>
      <c r="U496" s="24">
        <f>TA!E546</f>
        <v>9112658000000</v>
      </c>
      <c r="V496" s="109">
        <f>PR!F546</f>
        <v>3.2517497304543147E-2</v>
      </c>
      <c r="W496" s="109">
        <f>'Z Score'!I546</f>
        <v>-7.5797371085362789E-2</v>
      </c>
      <c r="X496" s="109">
        <f>'Z Score'!L546</f>
        <v>0.34898906773413418</v>
      </c>
      <c r="Y496" s="109">
        <f>'Z Score'!O546</f>
        <v>0.30745835956973255</v>
      </c>
      <c r="Z496" s="109">
        <f>'Z Score'!R546</f>
        <v>1.2670478733837702</v>
      </c>
      <c r="AA496" s="109">
        <f>'Z Score'!S546</f>
        <v>1.8476979296022742</v>
      </c>
    </row>
    <row r="497" spans="1:27" ht="15" customHeight="1" x14ac:dyDescent="0.3">
      <c r="A497" s="22"/>
      <c r="B497" s="23"/>
      <c r="C497" s="3"/>
      <c r="D497" s="23">
        <v>2020</v>
      </c>
      <c r="E497" s="25">
        <f>'Current Ratio'!G547</f>
        <v>0.76986899232442019</v>
      </c>
      <c r="F497" s="25">
        <f>'Cash Ratio'!G547</f>
        <v>0.19410200262166893</v>
      </c>
      <c r="G497" s="25">
        <f>DAR!G547</f>
        <v>0.4433074855536443</v>
      </c>
      <c r="H497" s="25">
        <f>DER!G547</f>
        <v>0.81144155680199104</v>
      </c>
      <c r="I497" s="25">
        <f>NPM!G547</f>
        <v>0.17823391626093751</v>
      </c>
      <c r="J497" s="25">
        <f>ROA!G547</f>
        <v>5.1629042788593926E-2</v>
      </c>
      <c r="K497" s="25">
        <f>ROE!G547</f>
        <v>9.4503143352637375E-2</v>
      </c>
      <c r="L497" s="25">
        <f>KM!E547</f>
        <v>0.95</v>
      </c>
      <c r="M497" s="24">
        <f>KI!E547</f>
        <v>4</v>
      </c>
      <c r="N497" s="108">
        <f>IO!E547</f>
        <v>0</v>
      </c>
      <c r="O497" s="24">
        <f>'BoC Size'!E547</f>
        <v>7</v>
      </c>
      <c r="P497" s="24">
        <f>'TMT E DK'!E547</f>
        <v>0</v>
      </c>
      <c r="Q497" s="24">
        <f>Data!R547</f>
        <v>7</v>
      </c>
      <c r="R497" s="24">
        <f>Data!S547</f>
        <v>4</v>
      </c>
      <c r="S497" s="24">
        <f>'TMT E DK'!E547</f>
        <v>0</v>
      </c>
      <c r="T497" s="24">
        <f>'TMT E DD'!E547</f>
        <v>0</v>
      </c>
      <c r="U497" s="24">
        <f>TA!E547</f>
        <v>9641705000000</v>
      </c>
      <c r="V497" s="109">
        <f>PR!F547</f>
        <v>-0.35733000015187083</v>
      </c>
      <c r="W497" s="109">
        <f>'Z Score'!I547</f>
        <v>-8.2657712510391043E-2</v>
      </c>
      <c r="X497" s="109">
        <f>'Z Score'!L547</f>
        <v>0.40287624232436064</v>
      </c>
      <c r="Y497" s="109">
        <f>'Z Score'!O547</f>
        <v>0.30330974034156821</v>
      </c>
      <c r="Z497" s="109">
        <f>'Z Score'!R547</f>
        <v>1.2939933766002845</v>
      </c>
      <c r="AA497" s="109">
        <f>'Z Score'!S547</f>
        <v>1.9175216467558223</v>
      </c>
    </row>
    <row r="498" spans="1:27" ht="15" customHeight="1" x14ac:dyDescent="0.3">
      <c r="A498" s="22"/>
      <c r="B498" s="23"/>
      <c r="C498" s="3"/>
      <c r="D498" s="23">
        <v>2021</v>
      </c>
      <c r="E498" s="25">
        <f>'Current Ratio'!G548</f>
        <v>1.201314260910147</v>
      </c>
      <c r="F498" s="25">
        <f>'Cash Ratio'!G548</f>
        <v>0.28577522073712019</v>
      </c>
      <c r="G498" s="25">
        <f>DAR!G548</f>
        <v>0.45708675621452771</v>
      </c>
      <c r="H498" s="25">
        <f>DER!G548</f>
        <v>0.84191491264328377</v>
      </c>
      <c r="I498" s="25">
        <f>NPM!G548</f>
        <v>0.14352435639639144</v>
      </c>
      <c r="J498" s="25">
        <f>ROA!G548</f>
        <v>4.0281743523504727E-2</v>
      </c>
      <c r="K498" s="25">
        <f>ROE!G548</f>
        <v>7.4195544103215369E-2</v>
      </c>
      <c r="L498" s="25">
        <f>KM!E548</f>
        <v>0.95</v>
      </c>
      <c r="M498" s="24">
        <f>KI!E548</f>
        <v>4</v>
      </c>
      <c r="N498" s="108">
        <f>IO!E548</f>
        <v>0</v>
      </c>
      <c r="O498" s="24">
        <f>'BoC Size'!E548</f>
        <v>7</v>
      </c>
      <c r="P498" s="24">
        <f>'TMT E DK'!E548</f>
        <v>0</v>
      </c>
      <c r="Q498" s="24">
        <f>Data!R548</f>
        <v>7</v>
      </c>
      <c r="R498" s="24">
        <f>Data!S548</f>
        <v>5</v>
      </c>
      <c r="S498" s="24">
        <f>'TMT E DK'!E548</f>
        <v>0</v>
      </c>
      <c r="T498" s="24">
        <f>'TMT E DD'!E548</f>
        <v>0</v>
      </c>
      <c r="U498" s="24">
        <f>TA!E548</f>
        <v>9598517000000</v>
      </c>
      <c r="V498" s="109">
        <f>PR!F548</f>
        <v>-3.5440045772981196E-2</v>
      </c>
      <c r="W498" s="109">
        <f>'Z Score'!I548</f>
        <v>5.4835037537569603E-2</v>
      </c>
      <c r="X498" s="109">
        <f>'Z Score'!L548</f>
        <v>0.39264106111391994</v>
      </c>
      <c r="Y498" s="109">
        <f>'Z Score'!O548</f>
        <v>0.28500422721551671</v>
      </c>
      <c r="Z498" s="109">
        <f>'Z Score'!R548</f>
        <v>1.2471569088892966</v>
      </c>
      <c r="AA498" s="109">
        <f>'Z Score'!S548</f>
        <v>1.9796372347563029</v>
      </c>
    </row>
    <row r="499" spans="1:27" ht="15" customHeight="1" x14ac:dyDescent="0.3">
      <c r="A499" s="22"/>
      <c r="B499" s="23"/>
      <c r="C499" s="3"/>
      <c r="D499" s="23">
        <v>2022</v>
      </c>
      <c r="E499" s="25">
        <f>'Current Ratio'!G549</f>
        <v>1.3525138625283764</v>
      </c>
      <c r="F499" s="25">
        <f>'Cash Ratio'!G549</f>
        <v>0.3753910659571037</v>
      </c>
      <c r="G499" s="25">
        <f>DAR!G549</f>
        <v>0.47688055881119801</v>
      </c>
      <c r="H499" s="25">
        <f>DER!G549</f>
        <v>0.91160932143426943</v>
      </c>
      <c r="I499" s="25">
        <f>NPM!G549</f>
        <v>0.15347433410362324</v>
      </c>
      <c r="J499" s="25">
        <f>ROA!G549</f>
        <v>4.5625759395699329E-2</v>
      </c>
      <c r="K499" s="25">
        <f>ROE!G549</f>
        <v>8.7218626958336043E-2</v>
      </c>
      <c r="L499" s="25">
        <f>KM!E549</f>
        <v>0.95</v>
      </c>
      <c r="M499" s="24">
        <f>KI!E549</f>
        <v>4</v>
      </c>
      <c r="N499" s="108">
        <f>IO!E549</f>
        <v>0</v>
      </c>
      <c r="O499" s="24">
        <f>'BoC Size'!E549</f>
        <v>8</v>
      </c>
      <c r="P499" s="24">
        <f>'TMT E DK'!E549</f>
        <v>0</v>
      </c>
      <c r="Q499" s="24">
        <f>Data!R549</f>
        <v>8</v>
      </c>
      <c r="R499" s="24">
        <f>Data!S549</f>
        <v>4</v>
      </c>
      <c r="S499" s="24">
        <f>'TMT E DK'!E549</f>
        <v>0</v>
      </c>
      <c r="T499" s="24">
        <f>'TMT E DD'!E549</f>
        <v>0</v>
      </c>
      <c r="U499" s="24">
        <f>TA!E549</f>
        <v>8650793000000</v>
      </c>
      <c r="V499" s="109">
        <f>PR!F549</f>
        <v>-4.535153621118268E-2</v>
      </c>
      <c r="W499" s="109">
        <f>'Z Score'!I549</f>
        <v>0.10774551650929573</v>
      </c>
      <c r="X499" s="109">
        <f>'Z Score'!L549</f>
        <v>0.19930189752546384</v>
      </c>
      <c r="Y499" s="109">
        <f>'Z Score'!O549</f>
        <v>0.33808366932372552</v>
      </c>
      <c r="Z499" s="109">
        <f>'Z Score'!R549</f>
        <v>1.1518091964527033</v>
      </c>
      <c r="AA499" s="109">
        <f>'Z Score'!S549</f>
        <v>1.7969402798111884</v>
      </c>
    </row>
    <row r="500" spans="1:27" ht="15" customHeight="1" x14ac:dyDescent="0.3">
      <c r="A500" s="22"/>
      <c r="B500" s="23"/>
      <c r="C500" s="3"/>
      <c r="D500" s="23">
        <v>2023</v>
      </c>
      <c r="E500" s="25">
        <f>'Current Ratio'!G550</f>
        <v>1.372924288753812</v>
      </c>
      <c r="F500" s="25">
        <f>'Cash Ratio'!G550</f>
        <v>0.38935301598014727</v>
      </c>
      <c r="G500" s="25">
        <f>DAR!G550</f>
        <v>0.47189299025491199</v>
      </c>
      <c r="H500" s="25">
        <f>DER!G550</f>
        <v>0.89355562707393332</v>
      </c>
      <c r="I500" s="25">
        <f>NPM!G550</f>
        <v>0.17686885367310246</v>
      </c>
      <c r="J500" s="25">
        <f>ROA!G550</f>
        <v>5.000661582505353E-2</v>
      </c>
      <c r="K500" s="25">
        <f>ROE!G550</f>
        <v>9.4690308786454513E-2</v>
      </c>
      <c r="L500" s="25">
        <f>KM!E550</f>
        <v>0.95</v>
      </c>
      <c r="M500" s="24">
        <f>KI!E550</f>
        <v>4</v>
      </c>
      <c r="N500" s="108">
        <f>IO!E550</f>
        <v>0</v>
      </c>
      <c r="O500" s="24">
        <f>'BoC Size'!E550</f>
        <v>8</v>
      </c>
      <c r="P500" s="24">
        <f>'TMT E DK'!E550</f>
        <v>0</v>
      </c>
      <c r="Q500" s="24">
        <f>Data!R550</f>
        <v>8</v>
      </c>
      <c r="R500" s="24">
        <f>Data!S550</f>
        <v>3</v>
      </c>
      <c r="S500" s="24">
        <f>'TMT E DK'!E550</f>
        <v>0</v>
      </c>
      <c r="T500" s="24">
        <f>'TMT E DD'!E550</f>
        <v>0</v>
      </c>
      <c r="U500" s="24">
        <f>TA!E550</f>
        <v>8978472000000</v>
      </c>
      <c r="V500" s="109">
        <f>PR!F550</f>
        <v>-1.2929283031574887E-2</v>
      </c>
      <c r="W500" s="109">
        <f>'Z Score'!I550</f>
        <v>0.13241545777499777</v>
      </c>
      <c r="X500" s="109">
        <f>'Z Score'!L550</f>
        <v>0.25624983404748602</v>
      </c>
      <c r="Y500" s="109">
        <f>'Z Score'!O550</f>
        <v>0.32759288217416055</v>
      </c>
      <c r="Z500" s="109">
        <f>'Z Score'!R550</f>
        <v>1.1750807316141745</v>
      </c>
      <c r="AA500" s="109">
        <f>'Z Score'!S550</f>
        <v>1.8913389056108187</v>
      </c>
    </row>
    <row r="501" spans="1:27" ht="15" customHeight="1" x14ac:dyDescent="0.3">
      <c r="A501" s="22"/>
      <c r="B501" s="23"/>
      <c r="C501" s="3"/>
      <c r="D501" s="23">
        <v>2024</v>
      </c>
      <c r="E501" s="25">
        <f>'Current Ratio'!G551</f>
        <v>1.224754654940402</v>
      </c>
      <c r="F501" s="25">
        <f>'Cash Ratio'!G551</f>
        <v>0.42297131682122141</v>
      </c>
      <c r="G501" s="25">
        <f>DAR!G551</f>
        <v>0.47567552589743139</v>
      </c>
      <c r="H501" s="25">
        <f>DER!G551</f>
        <v>0.90721595003093358</v>
      </c>
      <c r="I501" s="25">
        <f>NPM!G551</f>
        <v>0.11968542752789985</v>
      </c>
      <c r="J501" s="25">
        <f>ROA!G551</f>
        <v>3.177295822131971E-2</v>
      </c>
      <c r="K501" s="25">
        <f>ROE!G551</f>
        <v>6.0597892699367426E-2</v>
      </c>
      <c r="L501" s="25">
        <f>KM!E551</f>
        <v>0.95</v>
      </c>
      <c r="M501" s="24">
        <f>KI!E551</f>
        <v>2</v>
      </c>
      <c r="N501" s="108">
        <f>IO!E551</f>
        <v>0</v>
      </c>
      <c r="O501" s="24">
        <f>'BoC Size'!E551</f>
        <v>4</v>
      </c>
      <c r="P501" s="24">
        <f>'TMT E DK'!E551</f>
        <v>0</v>
      </c>
      <c r="Q501" s="24">
        <f>Data!R551</f>
        <v>4</v>
      </c>
      <c r="R501" s="24">
        <f>Data!S551</f>
        <v>4</v>
      </c>
      <c r="S501" s="24">
        <f>'TMT E DK'!E551</f>
        <v>0</v>
      </c>
      <c r="T501" s="24">
        <f>'TMT E DD'!E551</f>
        <v>0</v>
      </c>
      <c r="U501" s="24">
        <f>TA!E551</f>
        <v>8986258000000</v>
      </c>
      <c r="V501" s="109">
        <f>PR!F551</f>
        <v>-6.0240503476845453E-2</v>
      </c>
      <c r="W501" s="109">
        <f>'Z Score'!I551</f>
        <v>8.7420841912173003E-2</v>
      </c>
      <c r="X501" s="109">
        <f>'Z Score'!L551</f>
        <v>0.27370770569907965</v>
      </c>
      <c r="Y501" s="109">
        <f>'Z Score'!O551</f>
        <v>0.27065582136635735</v>
      </c>
      <c r="Z501" s="109">
        <f>'Z Score'!R551</f>
        <v>1.1573870586867416</v>
      </c>
      <c r="AA501" s="109">
        <f>'Z Score'!S551</f>
        <v>1.7891714276643516</v>
      </c>
    </row>
    <row r="502" spans="1:27" ht="15" customHeight="1" x14ac:dyDescent="0.3">
      <c r="A502" s="22"/>
      <c r="B502" s="23">
        <v>51</v>
      </c>
      <c r="C502" s="3" t="s">
        <v>48</v>
      </c>
      <c r="D502" s="23">
        <v>2015</v>
      </c>
      <c r="E502" s="25">
        <f>'Current Ratio'!G553</f>
        <v>0</v>
      </c>
      <c r="F502" s="25">
        <f>'Cash Ratio'!G553</f>
        <v>0</v>
      </c>
      <c r="G502" s="25">
        <f>DAR!G553</f>
        <v>0</v>
      </c>
      <c r="H502" s="25">
        <f>DER!G553</f>
        <v>0</v>
      </c>
      <c r="I502" s="25">
        <f>NPM!G553</f>
        <v>0</v>
      </c>
      <c r="J502" s="25">
        <f>ROA!G553</f>
        <v>0</v>
      </c>
      <c r="K502" s="25">
        <f>ROE!G553</f>
        <v>0</v>
      </c>
      <c r="L502" s="25">
        <f>KM!E553</f>
        <v>0</v>
      </c>
      <c r="M502" s="24">
        <f>KI!E553</f>
        <v>0</v>
      </c>
      <c r="N502" s="108">
        <f>IO!E553</f>
        <v>0</v>
      </c>
      <c r="O502" s="24">
        <f>'BoC Size'!E553</f>
        <v>0</v>
      </c>
      <c r="P502" s="24">
        <f>'TMT E DK'!E553</f>
        <v>0</v>
      </c>
      <c r="Q502" s="24">
        <f>Data!R553</f>
        <v>0</v>
      </c>
      <c r="R502" s="24">
        <f>Data!S553</f>
        <v>0</v>
      </c>
      <c r="S502" s="24">
        <f>'TMT E DK'!E553</f>
        <v>0</v>
      </c>
      <c r="T502" s="24">
        <f>'TMT E DD'!E553</f>
        <v>0</v>
      </c>
      <c r="U502" s="24">
        <f>TA!E553</f>
        <v>0</v>
      </c>
      <c r="V502" s="109">
        <f>PR!F553</f>
        <v>0</v>
      </c>
      <c r="W502" s="109">
        <f>'Z Score'!I553</f>
        <v>0</v>
      </c>
      <c r="X502" s="109">
        <f>'Z Score'!L553</f>
        <v>0</v>
      </c>
      <c r="Y502" s="109">
        <f>'Z Score'!O553</f>
        <v>0</v>
      </c>
      <c r="Z502" s="109">
        <f>'Z Score'!R553</f>
        <v>0</v>
      </c>
      <c r="AA502" s="109">
        <f>'Z Score'!S553</f>
        <v>0</v>
      </c>
    </row>
    <row r="503" spans="1:27" ht="15" customHeight="1" x14ac:dyDescent="0.3">
      <c r="A503" s="22"/>
      <c r="B503" s="23"/>
      <c r="C503" s="3"/>
      <c r="D503" s="23">
        <v>2016</v>
      </c>
      <c r="E503" s="25">
        <f>'Current Ratio'!G554</f>
        <v>0</v>
      </c>
      <c r="F503" s="25">
        <f>'Cash Ratio'!G554</f>
        <v>0</v>
      </c>
      <c r="G503" s="25">
        <f>DAR!G554</f>
        <v>0</v>
      </c>
      <c r="H503" s="25">
        <f>DER!G554</f>
        <v>0</v>
      </c>
      <c r="I503" s="25">
        <f>NPM!G554</f>
        <v>0</v>
      </c>
      <c r="J503" s="25">
        <f>ROA!G554</f>
        <v>0</v>
      </c>
      <c r="K503" s="25">
        <f>ROE!G554</f>
        <v>0</v>
      </c>
      <c r="L503" s="25">
        <f>KM!E554</f>
        <v>0</v>
      </c>
      <c r="M503" s="24">
        <f>KI!E554</f>
        <v>0</v>
      </c>
      <c r="N503" s="108">
        <f>IO!E554</f>
        <v>0</v>
      </c>
      <c r="O503" s="24">
        <f>'BoC Size'!E554</f>
        <v>0</v>
      </c>
      <c r="P503" s="24">
        <f>'TMT E DK'!E554</f>
        <v>0</v>
      </c>
      <c r="Q503" s="24">
        <f>Data!R554</f>
        <v>0</v>
      </c>
      <c r="R503" s="24">
        <f>Data!S554</f>
        <v>0</v>
      </c>
      <c r="S503" s="24">
        <f>'TMT E DK'!E554</f>
        <v>0</v>
      </c>
      <c r="T503" s="24">
        <f>'TMT E DD'!E554</f>
        <v>0</v>
      </c>
      <c r="U503" s="24">
        <f>TA!E554</f>
        <v>0</v>
      </c>
      <c r="V503" s="109">
        <f>PR!F554</f>
        <v>0</v>
      </c>
      <c r="W503" s="109">
        <f>'Z Score'!I554</f>
        <v>0</v>
      </c>
      <c r="X503" s="109">
        <f>'Z Score'!L554</f>
        <v>0</v>
      </c>
      <c r="Y503" s="109">
        <f>'Z Score'!O554</f>
        <v>0</v>
      </c>
      <c r="Z503" s="109">
        <f>'Z Score'!R554</f>
        <v>0</v>
      </c>
      <c r="AA503" s="109">
        <f>'Z Score'!S554</f>
        <v>0</v>
      </c>
    </row>
    <row r="504" spans="1:27" ht="15" customHeight="1" x14ac:dyDescent="0.3">
      <c r="A504" s="22"/>
      <c r="B504" s="23"/>
      <c r="C504" s="3"/>
      <c r="D504" s="23">
        <v>2017</v>
      </c>
      <c r="E504" s="25">
        <f>'Current Ratio'!G555</f>
        <v>0</v>
      </c>
      <c r="F504" s="25">
        <f>'Cash Ratio'!G555</f>
        <v>0</v>
      </c>
      <c r="G504" s="25">
        <f>DAR!G555</f>
        <v>0</v>
      </c>
      <c r="H504" s="25">
        <f>DER!G555</f>
        <v>0</v>
      </c>
      <c r="I504" s="25">
        <f>NPM!G555</f>
        <v>0</v>
      </c>
      <c r="J504" s="25">
        <f>ROA!G555</f>
        <v>0</v>
      </c>
      <c r="K504" s="25">
        <f>ROE!G555</f>
        <v>0</v>
      </c>
      <c r="L504" s="25">
        <f>KM!E555</f>
        <v>0</v>
      </c>
      <c r="M504" s="24">
        <f>KI!E555</f>
        <v>0</v>
      </c>
      <c r="N504" s="108">
        <f>IO!E555</f>
        <v>0</v>
      </c>
      <c r="O504" s="24">
        <f>'BoC Size'!E555</f>
        <v>0</v>
      </c>
      <c r="P504" s="24">
        <f>'TMT E DK'!E555</f>
        <v>0</v>
      </c>
      <c r="Q504" s="24">
        <f>Data!R555</f>
        <v>0</v>
      </c>
      <c r="R504" s="24">
        <f>Data!S555</f>
        <v>0</v>
      </c>
      <c r="S504" s="24">
        <f>'TMT E DK'!E555</f>
        <v>0</v>
      </c>
      <c r="T504" s="24">
        <f>'TMT E DD'!E555</f>
        <v>0</v>
      </c>
      <c r="U504" s="24">
        <f>TA!E555</f>
        <v>0</v>
      </c>
      <c r="V504" s="109">
        <f>PR!F555</f>
        <v>0</v>
      </c>
      <c r="W504" s="109">
        <f>'Z Score'!I555</f>
        <v>0</v>
      </c>
      <c r="X504" s="109">
        <f>'Z Score'!L555</f>
        <v>0</v>
      </c>
      <c r="Y504" s="109">
        <f>'Z Score'!O555</f>
        <v>0</v>
      </c>
      <c r="Z504" s="109">
        <f>'Z Score'!R555</f>
        <v>0</v>
      </c>
      <c r="AA504" s="109">
        <f>'Z Score'!S555</f>
        <v>0</v>
      </c>
    </row>
    <row r="505" spans="1:27" ht="15" customHeight="1" x14ac:dyDescent="0.3">
      <c r="A505" s="22"/>
      <c r="B505" s="23"/>
      <c r="C505" s="3"/>
      <c r="D505" s="23">
        <v>2018</v>
      </c>
      <c r="E505" s="25">
        <f>'Current Ratio'!G556</f>
        <v>0</v>
      </c>
      <c r="F505" s="25">
        <f>'Cash Ratio'!G556</f>
        <v>0</v>
      </c>
      <c r="G505" s="25">
        <f>DAR!G556</f>
        <v>0</v>
      </c>
      <c r="H505" s="25">
        <f>DER!G556</f>
        <v>0</v>
      </c>
      <c r="I505" s="25">
        <f>NPM!G556</f>
        <v>0</v>
      </c>
      <c r="J505" s="25">
        <f>ROA!G556</f>
        <v>0</v>
      </c>
      <c r="K505" s="25">
        <f>ROE!G556</f>
        <v>0</v>
      </c>
      <c r="L505" s="25">
        <f>KM!E556</f>
        <v>0</v>
      </c>
      <c r="M505" s="24">
        <f>KI!E556</f>
        <v>0</v>
      </c>
      <c r="N505" s="108">
        <f>IO!E556</f>
        <v>0</v>
      </c>
      <c r="O505" s="24">
        <f>'BoC Size'!E556</f>
        <v>0</v>
      </c>
      <c r="P505" s="24">
        <f>'TMT E DK'!E556</f>
        <v>0</v>
      </c>
      <c r="Q505" s="24">
        <f>Data!R556</f>
        <v>0</v>
      </c>
      <c r="R505" s="24">
        <f>Data!S556</f>
        <v>0</v>
      </c>
      <c r="S505" s="24">
        <f>'TMT E DK'!E556</f>
        <v>0</v>
      </c>
      <c r="T505" s="24">
        <f>'TMT E DD'!E556</f>
        <v>0</v>
      </c>
      <c r="U505" s="24">
        <f>TA!E556</f>
        <v>0</v>
      </c>
      <c r="V505" s="109">
        <f>PR!F556</f>
        <v>0</v>
      </c>
      <c r="W505" s="109">
        <f>'Z Score'!I556</f>
        <v>0</v>
      </c>
      <c r="X505" s="109">
        <f>'Z Score'!L556</f>
        <v>0</v>
      </c>
      <c r="Y505" s="109">
        <f>'Z Score'!O556</f>
        <v>0</v>
      </c>
      <c r="Z505" s="109">
        <f>'Z Score'!R556</f>
        <v>0</v>
      </c>
      <c r="AA505" s="109">
        <f>'Z Score'!S556</f>
        <v>0</v>
      </c>
    </row>
    <row r="506" spans="1:27" ht="15" customHeight="1" x14ac:dyDescent="0.3">
      <c r="A506" s="22"/>
      <c r="B506" s="23"/>
      <c r="C506" s="3"/>
      <c r="D506" s="23">
        <v>2019</v>
      </c>
      <c r="E506" s="25">
        <f>'Current Ratio'!G557</f>
        <v>2.2279390241156469</v>
      </c>
      <c r="F506" s="25">
        <f>'Cash Ratio'!G557</f>
        <v>0.18423363581094773</v>
      </c>
      <c r="G506" s="25">
        <f>DAR!G557</f>
        <v>0.90358865750297568</v>
      </c>
      <c r="H506" s="25">
        <f>DER!G557</f>
        <v>9.3722235797189981</v>
      </c>
      <c r="I506" s="25">
        <f>NPM!G557</f>
        <v>-5.6534779925661229E-2</v>
      </c>
      <c r="J506" s="25">
        <f>ROA!G557</f>
        <v>-2.3201151046596067E-2</v>
      </c>
      <c r="K506" s="25">
        <f>ROE!G557</f>
        <v>-0.24064752596212585</v>
      </c>
      <c r="L506" s="25">
        <f>KM!E557</f>
        <v>0</v>
      </c>
      <c r="M506" s="24">
        <f>KI!E557</f>
        <v>0</v>
      </c>
      <c r="N506" s="108">
        <f>IO!E557</f>
        <v>0</v>
      </c>
      <c r="O506" s="24">
        <f>'BoC Size'!E557</f>
        <v>0</v>
      </c>
      <c r="P506" s="24">
        <f>'TMT E DK'!E557</f>
        <v>0</v>
      </c>
      <c r="Q506" s="24">
        <f>Data!R557</f>
        <v>0</v>
      </c>
      <c r="R506" s="24">
        <f>Data!S557</f>
        <v>0</v>
      </c>
      <c r="S506" s="24">
        <f>'TMT E DK'!E557</f>
        <v>0</v>
      </c>
      <c r="T506" s="24">
        <f>'TMT E DD'!E557</f>
        <v>0</v>
      </c>
      <c r="U506" s="24">
        <f>TA!E557</f>
        <v>1697933000000</v>
      </c>
      <c r="V506" s="109">
        <f>PR!F557</f>
        <v>0</v>
      </c>
      <c r="W506" s="109">
        <f>'Z Score'!I557</f>
        <v>0.21069326057035229</v>
      </c>
      <c r="X506" s="109">
        <f>'Z Score'!L557</f>
        <v>-0.45245132758477513</v>
      </c>
      <c r="Y506" s="109">
        <f>'Z Score'!O557</f>
        <v>1.5158195288035511E-3</v>
      </c>
      <c r="Z506" s="109">
        <f>'Z Score'!R557</f>
        <v>0.11203317879357308</v>
      </c>
      <c r="AA506" s="109">
        <f>'Z Score'!S557</f>
        <v>-0.12820906869204621</v>
      </c>
    </row>
    <row r="507" spans="1:27" ht="15" customHeight="1" x14ac:dyDescent="0.3">
      <c r="A507" s="22"/>
      <c r="B507" s="23"/>
      <c r="C507" s="3"/>
      <c r="D507" s="23">
        <v>2020</v>
      </c>
      <c r="E507" s="25">
        <f>'Current Ratio'!G558</f>
        <v>1.7728389126367827</v>
      </c>
      <c r="F507" s="25">
        <f>'Cash Ratio'!G558</f>
        <v>0.30657079252934227</v>
      </c>
      <c r="G507" s="25">
        <f>DAR!G558</f>
        <v>0.83169727247142666</v>
      </c>
      <c r="H507" s="25">
        <f>DER!G558</f>
        <v>4.9416743548034665</v>
      </c>
      <c r="I507" s="25">
        <f>NPM!G558</f>
        <v>4.2482619392158284E-2</v>
      </c>
      <c r="J507" s="25">
        <f>ROA!G558</f>
        <v>1.1651027937235329E-2</v>
      </c>
      <c r="K507" s="25">
        <f>ROE!G558</f>
        <v>6.9226613901769887E-2</v>
      </c>
      <c r="L507" s="25">
        <f>KM!E558</f>
        <v>0.71389999999999998</v>
      </c>
      <c r="M507" s="24">
        <f>KI!E558</f>
        <v>2</v>
      </c>
      <c r="N507" s="108">
        <f>IO!E558</f>
        <v>0</v>
      </c>
      <c r="O507" s="24">
        <f>'BoC Size'!E558</f>
        <v>4</v>
      </c>
      <c r="P507" s="24">
        <f>'TMT E DK'!E558</f>
        <v>12</v>
      </c>
      <c r="Q507" s="24">
        <f>Data!R558</f>
        <v>4</v>
      </c>
      <c r="R507" s="24">
        <f>Data!S558</f>
        <v>4</v>
      </c>
      <c r="S507" s="24">
        <f>'TMT E DK'!E558</f>
        <v>12</v>
      </c>
      <c r="T507" s="24">
        <f>'TMT E DD'!E558</f>
        <v>10</v>
      </c>
      <c r="U507" s="24">
        <f>TA!E558</f>
        <v>1957853000000</v>
      </c>
      <c r="V507" s="109">
        <f>PR!F558</f>
        <v>-0.22941834933482586</v>
      </c>
      <c r="W507" s="109">
        <f>'Z Score'!I558</f>
        <v>0.24776413755271717</v>
      </c>
      <c r="X507" s="109">
        <f>'Z Score'!L558</f>
        <v>-0.36176894792407804</v>
      </c>
      <c r="Y507" s="109">
        <f>'Z Score'!O558</f>
        <v>-6.0546322936400228E-3</v>
      </c>
      <c r="Z507" s="109">
        <f>'Z Score'!R558</f>
        <v>0.2124785901724516</v>
      </c>
      <c r="AA507" s="109">
        <f>'Z Score'!S558</f>
        <v>9.2419147507450713E-2</v>
      </c>
    </row>
    <row r="508" spans="1:27" ht="15" customHeight="1" x14ac:dyDescent="0.3">
      <c r="A508" s="22"/>
      <c r="B508" s="23"/>
      <c r="C508" s="3"/>
      <c r="D508" s="23">
        <v>2021</v>
      </c>
      <c r="E508" s="25">
        <f>'Current Ratio'!G559</f>
        <v>3.4687029816062065</v>
      </c>
      <c r="F508" s="25">
        <f>'Cash Ratio'!G559</f>
        <v>0.57377735764832538</v>
      </c>
      <c r="G508" s="25">
        <f>DAR!G559</f>
        <v>0.83038426247992403</v>
      </c>
      <c r="H508" s="25">
        <f>DER!G559</f>
        <v>4.8956793433253143</v>
      </c>
      <c r="I508" s="25">
        <f>NPM!G559</f>
        <v>4.7109872471028172E-2</v>
      </c>
      <c r="J508" s="25">
        <f>ROA!G559</f>
        <v>1.2717168701518414E-2</v>
      </c>
      <c r="K508" s="25">
        <f>ROE!G559</f>
        <v>7.4976348819125307E-2</v>
      </c>
      <c r="L508" s="25">
        <f>KM!E559</f>
        <v>0.71389999999999998</v>
      </c>
      <c r="M508" s="24">
        <f>KI!E559</f>
        <v>2</v>
      </c>
      <c r="N508" s="108">
        <f>IO!E559</f>
        <v>0</v>
      </c>
      <c r="O508" s="24">
        <f>'BoC Size'!E559</f>
        <v>4</v>
      </c>
      <c r="P508" s="24">
        <f>'TMT E DK'!E559</f>
        <v>12</v>
      </c>
      <c r="Q508" s="24">
        <f>Data!R559</f>
        <v>4</v>
      </c>
      <c r="R508" s="24">
        <f>Data!S559</f>
        <v>3</v>
      </c>
      <c r="S508" s="24">
        <f>'TMT E DK'!E559</f>
        <v>12</v>
      </c>
      <c r="T508" s="24">
        <f>'TMT E DD'!E559</f>
        <v>9</v>
      </c>
      <c r="U508" s="24">
        <f>TA!E559</f>
        <v>2100153000000</v>
      </c>
      <c r="V508" s="109">
        <f>PR!F559</f>
        <v>5.5835842882657381E-2</v>
      </c>
      <c r="W508" s="109">
        <f>'Z Score'!I559</f>
        <v>0.58733867103968118</v>
      </c>
      <c r="X508" s="109">
        <f>'Z Score'!L559</f>
        <v>-0.26126686008114641</v>
      </c>
      <c r="Y508" s="109">
        <f>'Z Score'!O559</f>
        <v>0.15918200245410691</v>
      </c>
      <c r="Z508" s="109">
        <f>'Z Score'!R559</f>
        <v>0.2144748310429179</v>
      </c>
      <c r="AA508" s="109">
        <f>'Z Score'!S559</f>
        <v>0.6997286444555596</v>
      </c>
    </row>
    <row r="509" spans="1:27" ht="15" customHeight="1" x14ac:dyDescent="0.3">
      <c r="A509" s="22"/>
      <c r="B509" s="23"/>
      <c r="C509" s="3"/>
      <c r="D509" s="23">
        <v>2022</v>
      </c>
      <c r="E509" s="25">
        <f>'Current Ratio'!G560</f>
        <v>2.0671088437006571</v>
      </c>
      <c r="F509" s="25">
        <f>'Cash Ratio'!G560</f>
        <v>0.59457773213094456</v>
      </c>
      <c r="G509" s="25">
        <f>DAR!G560</f>
        <v>0.82238698871843019</v>
      </c>
      <c r="H509" s="25">
        <f>DER!G560</f>
        <v>4.6302071862782013</v>
      </c>
      <c r="I509" s="25">
        <f>NPM!G560</f>
        <v>8.3274504069304228E-2</v>
      </c>
      <c r="J509" s="25">
        <f>ROA!G560</f>
        <v>2.7784577620413996E-2</v>
      </c>
      <c r="K509" s="25">
        <f>ROE!G560</f>
        <v>0.15643286278911708</v>
      </c>
      <c r="L509" s="25">
        <f>KM!E560</f>
        <v>0.71389999999999998</v>
      </c>
      <c r="M509" s="24">
        <f>KI!E560</f>
        <v>2</v>
      </c>
      <c r="N509" s="108">
        <f>IO!E560</f>
        <v>0</v>
      </c>
      <c r="O509" s="24">
        <f>'BoC Size'!E560</f>
        <v>4</v>
      </c>
      <c r="P509" s="24">
        <f>'TMT E DK'!E560</f>
        <v>12</v>
      </c>
      <c r="Q509" s="24">
        <f>Data!R560</f>
        <v>4</v>
      </c>
      <c r="R509" s="24">
        <f>Data!S560</f>
        <v>4</v>
      </c>
      <c r="S509" s="24">
        <f>'TMT E DK'!E560</f>
        <v>12</v>
      </c>
      <c r="T509" s="24">
        <f>'TMT E DD'!E560</f>
        <v>10</v>
      </c>
      <c r="U509" s="24">
        <f>TA!E560</f>
        <v>2377506000000</v>
      </c>
      <c r="V509" s="109">
        <f>PR!F560</f>
        <v>0.39921330675744798</v>
      </c>
      <c r="W509" s="109">
        <f>'Z Score'!I560</f>
        <v>0.61349572198766267</v>
      </c>
      <c r="X509" s="109">
        <f>'Z Score'!L560</f>
        <v>-0.11975653478897633</v>
      </c>
      <c r="Y509" s="109">
        <f>'Z Score'!O560</f>
        <v>0.20355259671268969</v>
      </c>
      <c r="Z509" s="109">
        <f>'Z Score'!R560</f>
        <v>0.2267717097221299</v>
      </c>
      <c r="AA509" s="109">
        <f>'Z Score'!S560</f>
        <v>0.92406349363350593</v>
      </c>
    </row>
    <row r="510" spans="1:27" ht="15" customHeight="1" x14ac:dyDescent="0.3">
      <c r="A510" s="22"/>
      <c r="B510" s="23"/>
      <c r="C510" s="3"/>
      <c r="D510" s="23">
        <v>2023</v>
      </c>
      <c r="E510" s="25">
        <f>'Current Ratio'!G561</f>
        <v>1.9649803134001005</v>
      </c>
      <c r="F510" s="25">
        <f>'Cash Ratio'!G561</f>
        <v>0.17365827233570277</v>
      </c>
      <c r="G510" s="25">
        <f>DAR!G561</f>
        <v>0.80826809671224109</v>
      </c>
      <c r="H510" s="25">
        <f>DER!G561</f>
        <v>4.5098560036604969</v>
      </c>
      <c r="I510" s="25">
        <f>NPM!G561</f>
        <v>8.7340405259480405E-2</v>
      </c>
      <c r="J510" s="25">
        <f>ROA!G561</f>
        <v>3.2489453089573246E-2</v>
      </c>
      <c r="K510" s="25">
        <f>ROE!G561</f>
        <v>0.18127989421784996</v>
      </c>
      <c r="L510" s="25">
        <f>KM!E561</f>
        <v>0.71389999999999998</v>
      </c>
      <c r="M510" s="24">
        <f>KI!E561</f>
        <v>2</v>
      </c>
      <c r="N510" s="108">
        <f>IO!E561</f>
        <v>0</v>
      </c>
      <c r="O510" s="24">
        <f>'BoC Size'!E561</f>
        <v>4</v>
      </c>
      <c r="P510" s="24">
        <f>'TMT E DK'!E561</f>
        <v>12</v>
      </c>
      <c r="Q510" s="24">
        <f>Data!R561</f>
        <v>4</v>
      </c>
      <c r="R510" s="24">
        <f>Data!S561</f>
        <v>3</v>
      </c>
      <c r="S510" s="24">
        <f>'TMT E DK'!E561</f>
        <v>12</v>
      </c>
      <c r="T510" s="24">
        <f>'TMT E DD'!E561</f>
        <v>7</v>
      </c>
      <c r="U510" s="24">
        <f>TA!E561</f>
        <v>2877857000000</v>
      </c>
      <c r="V510" s="109">
        <f>PR!F561</f>
        <v>0.34953155097471689</v>
      </c>
      <c r="W510" s="109">
        <f>'Z Score'!I561</f>
        <v>0.33296503613626388</v>
      </c>
      <c r="X510" s="109">
        <f>'Z Score'!L561</f>
        <v>3.5796080208293874E-4</v>
      </c>
      <c r="Y510" s="109">
        <f>'Z Score'!O561</f>
        <v>0.21509972177213807</v>
      </c>
      <c r="Z510" s="109">
        <f>'Z Score'!R561</f>
        <v>0.23282339816343378</v>
      </c>
      <c r="AA510" s="109">
        <f>'Z Score'!S561</f>
        <v>0.78124611687391865</v>
      </c>
    </row>
    <row r="511" spans="1:27" ht="15" customHeight="1" x14ac:dyDescent="0.3">
      <c r="A511" s="22"/>
      <c r="B511" s="23"/>
      <c r="C511" s="3"/>
      <c r="D511" s="23">
        <v>2024</v>
      </c>
      <c r="E511" s="25">
        <f>'Current Ratio'!G562</f>
        <v>1.886632984031936</v>
      </c>
      <c r="F511" s="25">
        <f>'Cash Ratio'!G562</f>
        <v>5.3985778443113773E-2</v>
      </c>
      <c r="G511" s="25">
        <f>DAR!G562</f>
        <v>0.80523070653937945</v>
      </c>
      <c r="H511" s="25">
        <f>DER!G562</f>
        <v>4.1342727265227328</v>
      </c>
      <c r="I511" s="25">
        <f>NPM!G562</f>
        <v>6.6072695216605706E-2</v>
      </c>
      <c r="J511" s="25">
        <f>ROA!G562</f>
        <v>2.9096937945857285E-2</v>
      </c>
      <c r="K511" s="25">
        <f>ROE!G562</f>
        <v>0.14939156691113989</v>
      </c>
      <c r="L511" s="25">
        <f>KM!E562</f>
        <v>0.71389999999999998</v>
      </c>
      <c r="M511" s="24">
        <f>KI!E562</f>
        <v>2</v>
      </c>
      <c r="N511" s="108">
        <f>IO!E562</f>
        <v>0</v>
      </c>
      <c r="O511" s="24">
        <f>'BoC Size'!E562</f>
        <v>3</v>
      </c>
      <c r="P511" s="24">
        <f>'TMT E DK'!E562</f>
        <v>0</v>
      </c>
      <c r="Q511" s="24">
        <f>Data!R562</f>
        <v>3</v>
      </c>
      <c r="R511" s="24">
        <f>Data!S562</f>
        <v>3</v>
      </c>
      <c r="S511" s="24">
        <f>'TMT E DK'!E562</f>
        <v>0</v>
      </c>
      <c r="T511" s="24">
        <f>'TMT E DD'!E562</f>
        <v>0</v>
      </c>
      <c r="U511" s="24">
        <f>TA!E562</f>
        <v>3111702000000</v>
      </c>
      <c r="V511" s="109">
        <f>PR!F562</f>
        <v>0.2800497700191682</v>
      </c>
      <c r="W511" s="109">
        <f>'Z Score'!I562</f>
        <v>0.23973277646766944</v>
      </c>
      <c r="X511" s="109">
        <f>'Z Score'!L562</f>
        <v>0.10178418113302623</v>
      </c>
      <c r="Y511" s="109">
        <f>'Z Score'!O562</f>
        <v>0.22277464872921637</v>
      </c>
      <c r="Z511" s="109">
        <f>'Z Score'!R562</f>
        <v>0.2539745366250033</v>
      </c>
      <c r="AA511" s="109">
        <f>'Z Score'!S562</f>
        <v>0.8182661429549154</v>
      </c>
    </row>
    <row r="512" spans="1:27" ht="15" customHeight="1" x14ac:dyDescent="0.3">
      <c r="A512" s="22"/>
      <c r="B512" s="23">
        <v>52</v>
      </c>
      <c r="C512" s="3" t="s">
        <v>37</v>
      </c>
      <c r="D512" s="23">
        <v>2015</v>
      </c>
      <c r="E512" s="25">
        <f>'Current Ratio'!G564</f>
        <v>1.0197289517869992</v>
      </c>
      <c r="F512" s="25">
        <f>'Cash Ratio'!G564</f>
        <v>0.63894219237227157</v>
      </c>
      <c r="G512" s="25">
        <f>DAR!G564</f>
        <v>0.389758276517985</v>
      </c>
      <c r="H512" s="25">
        <f>DER!G564</f>
        <v>0.63869489993905981</v>
      </c>
      <c r="I512" s="25">
        <f>NPM!G564</f>
        <v>0.18622677482147951</v>
      </c>
      <c r="J512" s="25">
        <f>ROA!G564</f>
        <v>0.15907585116159781</v>
      </c>
      <c r="K512" s="25">
        <f>ROE!G564</f>
        <v>0.2606767860019753</v>
      </c>
      <c r="L512" s="25">
        <f>KM!E564</f>
        <v>0</v>
      </c>
      <c r="M512" s="24">
        <f>KI!E564</f>
        <v>0</v>
      </c>
      <c r="N512" s="108">
        <f>IO!E564</f>
        <v>0</v>
      </c>
      <c r="O512" s="24">
        <f>'BoC Size'!E564</f>
        <v>0</v>
      </c>
      <c r="P512" s="24">
        <f>'TMT E DK'!E564</f>
        <v>0</v>
      </c>
      <c r="Q512" s="24">
        <f>Data!R564</f>
        <v>0</v>
      </c>
      <c r="R512" s="24">
        <f>Data!S564</f>
        <v>0</v>
      </c>
      <c r="S512" s="24">
        <f>'TMT E DK'!E564</f>
        <v>0</v>
      </c>
      <c r="T512" s="24">
        <f>'TMT E DD'!E564</f>
        <v>0</v>
      </c>
      <c r="U512" s="24">
        <f>TA!E564</f>
        <v>233945000000</v>
      </c>
      <c r="V512" s="109">
        <f>PR!F564</f>
        <v>3.1686066498451351</v>
      </c>
      <c r="W512" s="109">
        <f>'Z Score'!I564</f>
        <v>9.2254162303105434E-3</v>
      </c>
      <c r="X512" s="109">
        <f>'Z Score'!L564</f>
        <v>0.59818341917972173</v>
      </c>
      <c r="Y512" s="109">
        <f>'Z Score'!O564</f>
        <v>1.330815362585223</v>
      </c>
      <c r="Z512" s="109">
        <f>'Z Score'!R564</f>
        <v>1.6439774297558729</v>
      </c>
      <c r="AA512" s="109">
        <f>'Z Score'!S564</f>
        <v>3.5822016277511279</v>
      </c>
    </row>
    <row r="513" spans="1:27" ht="15" customHeight="1" x14ac:dyDescent="0.3">
      <c r="A513" s="22"/>
      <c r="B513" s="23"/>
      <c r="C513" s="3"/>
      <c r="D513" s="23">
        <v>2016</v>
      </c>
      <c r="E513" s="25">
        <f>'Current Ratio'!G565</f>
        <v>2.773034419652284</v>
      </c>
      <c r="F513" s="25">
        <f>'Cash Ratio'!G565</f>
        <v>2.2940803829098333</v>
      </c>
      <c r="G513" s="25">
        <f>DAR!G565</f>
        <v>0.48890374584215301</v>
      </c>
      <c r="H513" s="25">
        <f>DER!G565</f>
        <v>0.95657861286371304</v>
      </c>
      <c r="I513" s="25">
        <f>NPM!G565</f>
        <v>0.20063258350374916</v>
      </c>
      <c r="J513" s="25">
        <f>ROA!G565</f>
        <v>0.17383107801632899</v>
      </c>
      <c r="K513" s="25">
        <f>ROE!G565</f>
        <v>0.34011416949779288</v>
      </c>
      <c r="L513" s="25">
        <f>KM!E565</f>
        <v>0.99990000000000001</v>
      </c>
      <c r="M513" s="24">
        <f>KI!E565</f>
        <v>2</v>
      </c>
      <c r="N513" s="108">
        <f>IO!E565</f>
        <v>0</v>
      </c>
      <c r="O513" s="24">
        <f>'BoC Size'!E565</f>
        <v>3</v>
      </c>
      <c r="P513" s="24">
        <f>'TMT E DK'!E565</f>
        <v>0</v>
      </c>
      <c r="Q513" s="24">
        <f>Data!R565</f>
        <v>3</v>
      </c>
      <c r="R513" s="24">
        <f>Data!S565</f>
        <v>4</v>
      </c>
      <c r="S513" s="24">
        <f>'TMT E DK'!E565</f>
        <v>0</v>
      </c>
      <c r="T513" s="24">
        <f>'TMT E DD'!E565</f>
        <v>0</v>
      </c>
      <c r="U513" s="24">
        <f>TA!E565</f>
        <v>423296000000</v>
      </c>
      <c r="V513" s="109">
        <f>PR!F565</f>
        <v>0.83524572526609187</v>
      </c>
      <c r="W513" s="109">
        <f>'Z Score'!I565</f>
        <v>0.78074501058361045</v>
      </c>
      <c r="X513" s="109">
        <f>'Z Score'!L565</f>
        <v>0.89876885205624435</v>
      </c>
      <c r="Y513" s="109">
        <f>'Z Score'!O565</f>
        <v>1.5003220441487752</v>
      </c>
      <c r="Z513" s="109">
        <f>'Z Score'!R565</f>
        <v>1.0976620069485046</v>
      </c>
      <c r="AA513" s="109">
        <f>'Z Score'!S565</f>
        <v>4.2774979137371343</v>
      </c>
    </row>
    <row r="514" spans="1:27" ht="15" customHeight="1" x14ac:dyDescent="0.3">
      <c r="A514" s="22"/>
      <c r="B514" s="23"/>
      <c r="C514" s="3"/>
      <c r="D514" s="23">
        <v>2017</v>
      </c>
      <c r="E514" s="25">
        <f>'Current Ratio'!G566</f>
        <v>1.6816467414908451</v>
      </c>
      <c r="F514" s="25">
        <f>'Cash Ratio'!G566</f>
        <v>1.3861293345829429</v>
      </c>
      <c r="G514" s="25">
        <f>DAR!G566</f>
        <v>0.59111596872238081</v>
      </c>
      <c r="H514" s="25">
        <f>DER!G566</f>
        <v>1.4456812286734471</v>
      </c>
      <c r="I514" s="25">
        <f>NPM!G566</f>
        <v>0.14149889329107668</v>
      </c>
      <c r="J514" s="25">
        <f>ROA!G566</f>
        <v>0.11705493823412337</v>
      </c>
      <c r="K514" s="25">
        <f>ROE!G566</f>
        <v>0.28627906516272533</v>
      </c>
      <c r="L514" s="25">
        <f>KM!E566</f>
        <v>0.51</v>
      </c>
      <c r="M514" s="24">
        <f>KI!E566</f>
        <v>2</v>
      </c>
      <c r="N514" s="108">
        <f>IO!E566</f>
        <v>0</v>
      </c>
      <c r="O514" s="24">
        <f>'BoC Size'!E566</f>
        <v>4</v>
      </c>
      <c r="P514" s="24">
        <f>'TMT E DK'!E566</f>
        <v>0</v>
      </c>
      <c r="Q514" s="24">
        <f>Data!R566</f>
        <v>4</v>
      </c>
      <c r="R514" s="24">
        <f>Data!S566</f>
        <v>4</v>
      </c>
      <c r="S514" s="24">
        <f>'TMT E DK'!E566</f>
        <v>0</v>
      </c>
      <c r="T514" s="24">
        <f>'TMT E DD'!E566</f>
        <v>0</v>
      </c>
      <c r="U514" s="24">
        <f>TA!E566</f>
        <v>741105000000</v>
      </c>
      <c r="V514" s="109">
        <f>PR!F566</f>
        <v>0.67165371506475802</v>
      </c>
      <c r="W514" s="109">
        <f>'Z Score'!I566</f>
        <v>0.26395611957819737</v>
      </c>
      <c r="X514" s="109">
        <f>'Z Score'!L566</f>
        <v>0.38427359146139883</v>
      </c>
      <c r="Y514" s="109">
        <f>'Z Score'!O566</f>
        <v>0.98569611593498896</v>
      </c>
      <c r="Z514" s="109">
        <f>'Z Score'!R566</f>
        <v>0.72630119225071277</v>
      </c>
      <c r="AA514" s="109">
        <f>'Z Score'!S566</f>
        <v>2.3602270192252979</v>
      </c>
    </row>
    <row r="515" spans="1:27" ht="15" customHeight="1" x14ac:dyDescent="0.3">
      <c r="A515" s="22"/>
      <c r="B515" s="23"/>
      <c r="C515" s="3"/>
      <c r="D515" s="23">
        <v>2018</v>
      </c>
      <c r="E515" s="25">
        <f>'Current Ratio'!G567</f>
        <v>1.1239653613410308</v>
      </c>
      <c r="F515" s="25">
        <f>'Cash Ratio'!G567</f>
        <v>0.79524587883424913</v>
      </c>
      <c r="G515" s="25">
        <f>DAR!G567</f>
        <v>0.72802708463652455</v>
      </c>
      <c r="H515" s="25">
        <f>DER!G567</f>
        <v>2.6768367124482233</v>
      </c>
      <c r="I515" s="25">
        <f>NPM!G567</f>
        <v>8.1516300933144062E-2</v>
      </c>
      <c r="J515" s="25">
        <f>ROA!G567</f>
        <v>5.8848408846778312E-2</v>
      </c>
      <c r="K515" s="25">
        <f>ROE!G567</f>
        <v>0.21637599011699732</v>
      </c>
      <c r="L515" s="25">
        <f>KM!E567</f>
        <v>0.51</v>
      </c>
      <c r="M515" s="24">
        <f>KI!E567</f>
        <v>2</v>
      </c>
      <c r="N515" s="108">
        <f>IO!E567</f>
        <v>0</v>
      </c>
      <c r="O515" s="24">
        <f>'BoC Size'!E567</f>
        <v>4</v>
      </c>
      <c r="P515" s="24">
        <f>'TMT E DK'!E567</f>
        <v>0</v>
      </c>
      <c r="Q515" s="24">
        <f>Data!R567</f>
        <v>4</v>
      </c>
      <c r="R515" s="24">
        <f>Data!S567</f>
        <v>3</v>
      </c>
      <c r="S515" s="24">
        <f>'TMT E DK'!E567</f>
        <v>0</v>
      </c>
      <c r="T515" s="24">
        <f>'TMT E DD'!E567</f>
        <v>0</v>
      </c>
      <c r="U515" s="24">
        <f>TA!E567</f>
        <v>1011939000000</v>
      </c>
      <c r="V515" s="109">
        <f>PR!F567</f>
        <v>0.19159357929402246</v>
      </c>
      <c r="W515" s="109">
        <f>'Z Score'!I567</f>
        <v>4.6214485260475183E-2</v>
      </c>
      <c r="X515" s="109">
        <f>'Z Score'!L567</f>
        <v>0.19343725264072242</v>
      </c>
      <c r="Y515" s="109">
        <f>'Z Score'!O567</f>
        <v>0.58302834459389352</v>
      </c>
      <c r="Z515" s="109">
        <f>'Z Score'!R567</f>
        <v>0.39225403444189716</v>
      </c>
      <c r="AA515" s="109">
        <f>'Z Score'!S567</f>
        <v>1.2149341169369883</v>
      </c>
    </row>
    <row r="516" spans="1:27" ht="15" customHeight="1" x14ac:dyDescent="0.3">
      <c r="A516" s="22"/>
      <c r="B516" s="23"/>
      <c r="C516" s="3"/>
      <c r="D516" s="23">
        <v>2019</v>
      </c>
      <c r="E516" s="25">
        <f>'Current Ratio'!G568</f>
        <v>0.76513177263359899</v>
      </c>
      <c r="F516" s="25">
        <f>'Cash Ratio'!G568</f>
        <v>0.48213409514671085</v>
      </c>
      <c r="G516" s="25">
        <f>DAR!G568</f>
        <v>0.79864476687414254</v>
      </c>
      <c r="H516" s="25">
        <f>DER!G568</f>
        <v>3.9663472087410234</v>
      </c>
      <c r="I516" s="25">
        <f>NPM!G568</f>
        <v>6.823378180635721E-2</v>
      </c>
      <c r="J516" s="25">
        <f>ROA!G568</f>
        <v>4.0225667507353513E-2</v>
      </c>
      <c r="K516" s="25">
        <f>ROE!G568</f>
        <v>0.19977463154488961</v>
      </c>
      <c r="L516" s="25">
        <f>KM!E568</f>
        <v>0.51</v>
      </c>
      <c r="M516" s="24">
        <f>KI!E568</f>
        <v>3</v>
      </c>
      <c r="N516" s="108">
        <f>IO!E568</f>
        <v>0</v>
      </c>
      <c r="O516" s="24">
        <f>'BoC Size'!E568</f>
        <v>5</v>
      </c>
      <c r="P516" s="24">
        <f>'TMT E DK'!E568</f>
        <v>0</v>
      </c>
      <c r="Q516" s="24">
        <f>Data!R568</f>
        <v>5</v>
      </c>
      <c r="R516" s="24">
        <f>Data!S568</f>
        <v>4</v>
      </c>
      <c r="S516" s="24">
        <f>'TMT E DK'!E568</f>
        <v>0</v>
      </c>
      <c r="T516" s="24">
        <f>'TMT E DD'!E568</f>
        <v>0</v>
      </c>
      <c r="U516" s="24">
        <f>TA!E568</f>
        <v>1335416000000</v>
      </c>
      <c r="V516" s="109">
        <f>PR!F568</f>
        <v>7.7645197189480125E-2</v>
      </c>
      <c r="W516" s="109">
        <f>'Z Score'!I568</f>
        <v>-0.10581152240200806</v>
      </c>
      <c r="X516" s="109">
        <f>'Z Score'!L568</f>
        <v>0.13410904167690069</v>
      </c>
      <c r="Y516" s="109">
        <f>'Z Score'!O568</f>
        <v>0.35647678326454074</v>
      </c>
      <c r="Z516" s="109">
        <f>'Z Score'!R568</f>
        <v>0.26472720232006247</v>
      </c>
      <c r="AA516" s="109">
        <f>'Z Score'!S568</f>
        <v>0.64950150485949587</v>
      </c>
    </row>
    <row r="517" spans="1:27" ht="15" customHeight="1" x14ac:dyDescent="0.3">
      <c r="A517" s="22"/>
      <c r="B517" s="23"/>
      <c r="C517" s="3"/>
      <c r="D517" s="23">
        <v>2020</v>
      </c>
      <c r="E517" s="25">
        <f>'Current Ratio'!G569</f>
        <v>0.57453690555082204</v>
      </c>
      <c r="F517" s="25">
        <f>'Cash Ratio'!G569</f>
        <v>0.37694468111963142</v>
      </c>
      <c r="G517" s="25">
        <f>DAR!G569</f>
        <v>0.81997784436085031</v>
      </c>
      <c r="H517" s="25">
        <f>DER!G569</f>
        <v>4.5548718236908412</v>
      </c>
      <c r="I517" s="25">
        <f>NPM!G569</f>
        <v>5.8629443940092063E-2</v>
      </c>
      <c r="J517" s="25">
        <f>ROA!G569</f>
        <v>2.8892819425920525E-2</v>
      </c>
      <c r="K517" s="25">
        <f>ROE!G569</f>
        <v>0.16049590853603329</v>
      </c>
      <c r="L517" s="25">
        <f>KM!E569</f>
        <v>0.51</v>
      </c>
      <c r="M517" s="24">
        <f>KI!E569</f>
        <v>2</v>
      </c>
      <c r="N517" s="108">
        <f>IO!E569</f>
        <v>0</v>
      </c>
      <c r="O517" s="24">
        <f>'BoC Size'!E569</f>
        <v>4</v>
      </c>
      <c r="P517" s="24">
        <f>'TMT E DK'!E569</f>
        <v>0</v>
      </c>
      <c r="Q517" s="24">
        <f>Data!R569</f>
        <v>4</v>
      </c>
      <c r="R517" s="24">
        <f>Data!S569</f>
        <v>3</v>
      </c>
      <c r="S517" s="24">
        <f>'TMT E DK'!E569</f>
        <v>0</v>
      </c>
      <c r="T517" s="24">
        <f>'TMT E DD'!E569</f>
        <v>0</v>
      </c>
      <c r="U517" s="24">
        <f>TA!E569</f>
        <v>1779231000000</v>
      </c>
      <c r="V517" s="109">
        <f>PR!F569</f>
        <v>0.11374583367205918</v>
      </c>
      <c r="W517" s="109">
        <f>'Z Score'!I569</f>
        <v>-0.19883916141299246</v>
      </c>
      <c r="X517" s="109">
        <f>'Z Score'!L569</f>
        <v>0.19297647129574516</v>
      </c>
      <c r="Y517" s="109">
        <f>'Z Score'!O569</f>
        <v>0.22820483680871118</v>
      </c>
      <c r="Z517" s="109">
        <f>'Z Score'!R569</f>
        <v>0.23052240340523536</v>
      </c>
      <c r="AA517" s="109">
        <f>'Z Score'!S569</f>
        <v>0.45286455009669924</v>
      </c>
    </row>
    <row r="518" spans="1:27" ht="15" customHeight="1" x14ac:dyDescent="0.3">
      <c r="A518" s="22"/>
      <c r="B518" s="23"/>
      <c r="C518" s="3"/>
      <c r="D518" s="23">
        <v>2021</v>
      </c>
      <c r="E518" s="25">
        <f>'Current Ratio'!G570</f>
        <v>0.90021341489756945</v>
      </c>
      <c r="F518" s="25">
        <f>'Cash Ratio'!G570</f>
        <v>0.51495200324874502</v>
      </c>
      <c r="G518" s="25">
        <f>DAR!G570</f>
        <v>0.82304623282732625</v>
      </c>
      <c r="H518" s="25">
        <f>DER!G570</f>
        <v>4.6511936195412416</v>
      </c>
      <c r="I518" s="25">
        <f>NPM!G570</f>
        <v>4.8744713793113993E-2</v>
      </c>
      <c r="J518" s="25">
        <f>ROA!G570</f>
        <v>2.2988069257909766E-2</v>
      </c>
      <c r="K518" s="25">
        <f>ROE!G570</f>
        <v>0.12991003031587184</v>
      </c>
      <c r="L518" s="25">
        <f>KM!E570</f>
        <v>0.51</v>
      </c>
      <c r="M518" s="24">
        <f>KI!E570</f>
        <v>2</v>
      </c>
      <c r="N518" s="108">
        <f>IO!E570</f>
        <v>0</v>
      </c>
      <c r="O518" s="24">
        <f>'BoC Size'!E570</f>
        <v>4</v>
      </c>
      <c r="P518" s="24">
        <f>'TMT E DK'!E570</f>
        <v>0</v>
      </c>
      <c r="Q518" s="24">
        <f>Data!R570</f>
        <v>4</v>
      </c>
      <c r="R518" s="24">
        <f>Data!S570</f>
        <v>3</v>
      </c>
      <c r="S518" s="24">
        <f>'TMT E DK'!E570</f>
        <v>0</v>
      </c>
      <c r="T518" s="24">
        <f>'TMT E DD'!E570</f>
        <v>0</v>
      </c>
      <c r="U518" s="24">
        <f>TA!E570</f>
        <v>2080340000000</v>
      </c>
      <c r="V518" s="109">
        <f>PR!F570</f>
        <v>0.11892971355319042</v>
      </c>
      <c r="W518" s="109">
        <f>'Z Score'!I570</f>
        <v>-3.6417816318486396E-2</v>
      </c>
      <c r="X518" s="109">
        <f>'Z Score'!L570</f>
        <v>0.23889230606535472</v>
      </c>
      <c r="Y518" s="109">
        <f>'Z Score'!O570</f>
        <v>0.18300285530249863</v>
      </c>
      <c r="Z518" s="109">
        <f>'Z Score'!R570</f>
        <v>0.22574850369345925</v>
      </c>
      <c r="AA518" s="109">
        <f>'Z Score'!S570</f>
        <v>0.61122584874282615</v>
      </c>
    </row>
    <row r="519" spans="1:27" ht="15" customHeight="1" x14ac:dyDescent="0.3">
      <c r="A519" s="22"/>
      <c r="B519" s="23"/>
      <c r="C519" s="3"/>
      <c r="D519" s="23">
        <v>2022</v>
      </c>
      <c r="E519" s="25">
        <f>'Current Ratio'!G571</f>
        <v>0.60446310610317233</v>
      </c>
      <c r="F519" s="25">
        <f>'Cash Ratio'!G571</f>
        <v>0.2423425612367314</v>
      </c>
      <c r="G519" s="25">
        <f>DAR!G571</f>
        <v>0.78527740448256245</v>
      </c>
      <c r="H519" s="25">
        <f>DER!G571</f>
        <v>3.6571717223807059</v>
      </c>
      <c r="I519" s="25">
        <f>NPM!G571</f>
        <v>0.10806321686177131</v>
      </c>
      <c r="J519" s="25">
        <f>ROA!G571</f>
        <v>2.9438647882786981E-2</v>
      </c>
      <c r="K519" s="25">
        <f>ROE!G571</f>
        <v>0.13710083846483814</v>
      </c>
      <c r="L519" s="25">
        <f>KM!E571</f>
        <v>0.51</v>
      </c>
      <c r="M519" s="24">
        <f>KI!E571</f>
        <v>2</v>
      </c>
      <c r="N519" s="108">
        <f>IO!E571</f>
        <v>0</v>
      </c>
      <c r="O519" s="24">
        <f>'BoC Size'!E571</f>
        <v>3</v>
      </c>
      <c r="P519" s="24">
        <f>'TMT E DK'!E571</f>
        <v>0</v>
      </c>
      <c r="Q519" s="24">
        <f>Data!R571</f>
        <v>3</v>
      </c>
      <c r="R519" s="24">
        <f>Data!S571</f>
        <v>4</v>
      </c>
      <c r="S519" s="24">
        <f>'TMT E DK'!E571</f>
        <v>0</v>
      </c>
      <c r="T519" s="24">
        <f>'TMT E DD'!E571</f>
        <v>0</v>
      </c>
      <c r="U519" s="24">
        <f>TA!E571</f>
        <v>1986810000000</v>
      </c>
      <c r="V519" s="109">
        <f>PR!F571</f>
        <v>-0.44832028833207116</v>
      </c>
      <c r="W519" s="109">
        <f>'Z Score'!I571</f>
        <v>-0.17199937588395467</v>
      </c>
      <c r="X519" s="109">
        <f>'Z Score'!L571</f>
        <v>0.35151148826510836</v>
      </c>
      <c r="Y519" s="109">
        <f>'Z Score'!O571</f>
        <v>0.25324680266356625</v>
      </c>
      <c r="Z519" s="109">
        <f>'Z Score'!R571</f>
        <v>0.28710710890996455</v>
      </c>
      <c r="AA519" s="109">
        <f>'Z Score'!S571</f>
        <v>0.71986602395468458</v>
      </c>
    </row>
    <row r="520" spans="1:27" ht="15" customHeight="1" x14ac:dyDescent="0.3">
      <c r="A520" s="22"/>
      <c r="B520" s="23"/>
      <c r="C520" s="3"/>
      <c r="D520" s="23">
        <v>2023</v>
      </c>
      <c r="E520" s="25">
        <f>'Current Ratio'!G572</f>
        <v>0.67665124183730962</v>
      </c>
      <c r="F520" s="25">
        <f>'Cash Ratio'!G572</f>
        <v>0.31732660921610462</v>
      </c>
      <c r="G520" s="25">
        <f>DAR!G572</f>
        <v>0.78178107834838118</v>
      </c>
      <c r="H520" s="25">
        <f>DER!G572</f>
        <v>3.5825540353300593</v>
      </c>
      <c r="I520" s="25">
        <f>NPM!G572</f>
        <v>5.5735708155244201E-2</v>
      </c>
      <c r="J520" s="25">
        <f>ROA!G572</f>
        <v>2.0986198290979214E-2</v>
      </c>
      <c r="K520" s="25">
        <f>ROE!G572</f>
        <v>9.6170387664563581E-2</v>
      </c>
      <c r="L520" s="25">
        <f>KM!E572</f>
        <v>0.51</v>
      </c>
      <c r="M520" s="24">
        <f>KI!E572</f>
        <v>2</v>
      </c>
      <c r="N520" s="108">
        <f>IO!E572</f>
        <v>0</v>
      </c>
      <c r="O520" s="24">
        <f>'BoC Size'!E572</f>
        <v>3</v>
      </c>
      <c r="P520" s="24">
        <f>'TMT E DK'!E572</f>
        <v>0</v>
      </c>
      <c r="Q520" s="24">
        <f>Data!R572</f>
        <v>3</v>
      </c>
      <c r="R520" s="24">
        <f>Data!S572</f>
        <v>4</v>
      </c>
      <c r="S520" s="24">
        <f>'TMT E DK'!E572</f>
        <v>0</v>
      </c>
      <c r="T520" s="24">
        <f>'TMT E DD'!E572</f>
        <v>0</v>
      </c>
      <c r="U520" s="24">
        <f>TA!E572</f>
        <v>2162993000000</v>
      </c>
      <c r="V520" s="109">
        <f>PR!F572</f>
        <v>0.50473165720704738</v>
      </c>
      <c r="W520" s="109">
        <f>'Z Score'!I572</f>
        <v>-0.10617347351563321</v>
      </c>
      <c r="X520" s="109">
        <f>'Z Score'!L572</f>
        <v>0.38253955514419136</v>
      </c>
      <c r="Y520" s="109">
        <f>'Z Score'!O572</f>
        <v>0.13938996566331929</v>
      </c>
      <c r="Z520" s="109">
        <f>'Z Score'!R572</f>
        <v>0.29308699593787535</v>
      </c>
      <c r="AA520" s="109">
        <f>'Z Score'!S572</f>
        <v>0.70884304322975278</v>
      </c>
    </row>
    <row r="521" spans="1:27" ht="15" customHeight="1" x14ac:dyDescent="0.3">
      <c r="A521" s="22"/>
      <c r="B521" s="23"/>
      <c r="C521" s="3"/>
      <c r="D521" s="23">
        <v>2024</v>
      </c>
      <c r="E521" s="25">
        <f>'Current Ratio'!G573</f>
        <v>0.77962111787361155</v>
      </c>
      <c r="F521" s="25">
        <f>'Cash Ratio'!G573</f>
        <v>0.36325305243710748</v>
      </c>
      <c r="G521" s="25">
        <f>DAR!G573</f>
        <v>0.75318222792179212</v>
      </c>
      <c r="H521" s="25">
        <f>DER!G573</f>
        <v>3.0515721034996424</v>
      </c>
      <c r="I521" s="25">
        <f>NPM!G573</f>
        <v>5.7768600514114053E-2</v>
      </c>
      <c r="J521" s="25">
        <f>ROA!G573</f>
        <v>1.4188249105595211E-2</v>
      </c>
      <c r="K521" s="25">
        <f>ROE!G573</f>
        <v>5.7484714273733313E-2</v>
      </c>
      <c r="L521" s="25">
        <f>KM!E573</f>
        <v>0.51</v>
      </c>
      <c r="M521" s="24">
        <f>KI!E573</f>
        <v>2</v>
      </c>
      <c r="N521" s="108">
        <f>IO!E573</f>
        <v>0</v>
      </c>
      <c r="O521" s="24">
        <f>'BoC Size'!E573</f>
        <v>3</v>
      </c>
      <c r="P521" s="24">
        <f>'TMT E DK'!E573</f>
        <v>0</v>
      </c>
      <c r="Q521" s="24">
        <f>Data!R573</f>
        <v>3</v>
      </c>
      <c r="R521" s="24">
        <f>Data!S573</f>
        <v>3</v>
      </c>
      <c r="S521" s="24">
        <f>'TMT E DK'!E573</f>
        <v>0</v>
      </c>
      <c r="T521" s="24">
        <f>'TMT E DD'!E573</f>
        <v>0</v>
      </c>
      <c r="U521" s="24">
        <f>TA!E573</f>
        <v>2029003000000</v>
      </c>
      <c r="V521" s="109">
        <f>PR!F573</f>
        <v>-0.38812277989718003</v>
      </c>
      <c r="W521" s="109">
        <f>'Z Score'!I573</f>
        <v>-9.5645240544247598E-2</v>
      </c>
      <c r="X521" s="109">
        <f>'Z Score'!L573</f>
        <v>0.47430921491983996</v>
      </c>
      <c r="Y521" s="109">
        <f>'Z Score'!O573</f>
        <v>0.14315665378513487</v>
      </c>
      <c r="Z521" s="109">
        <f>'Z Score'!R573</f>
        <v>0.34408493864386352</v>
      </c>
      <c r="AA521" s="109">
        <f>'Z Score'!S573</f>
        <v>0.86590556680459074</v>
      </c>
    </row>
    <row r="522" spans="1:27" ht="15" customHeight="1" x14ac:dyDescent="0.3">
      <c r="A522" s="22"/>
      <c r="B522" s="23">
        <v>53</v>
      </c>
      <c r="C522" s="3" t="s">
        <v>43</v>
      </c>
      <c r="D522" s="23">
        <v>2015</v>
      </c>
      <c r="E522" s="25">
        <f>'Current Ratio'!G575</f>
        <v>0</v>
      </c>
      <c r="F522" s="25">
        <f>'Cash Ratio'!G575</f>
        <v>0</v>
      </c>
      <c r="G522" s="25">
        <f>DAR!G575</f>
        <v>0</v>
      </c>
      <c r="H522" s="25">
        <f>DER!G575</f>
        <v>0</v>
      </c>
      <c r="I522" s="25">
        <f>NPM!G575</f>
        <v>0</v>
      </c>
      <c r="J522" s="25">
        <f>ROA!G575</f>
        <v>0</v>
      </c>
      <c r="K522" s="25">
        <f>ROE!G575</f>
        <v>0</v>
      </c>
      <c r="L522" s="25">
        <f>KM!E575</f>
        <v>0</v>
      </c>
      <c r="M522" s="24">
        <f>KI!E575</f>
        <v>0</v>
      </c>
      <c r="N522" s="108">
        <f>IO!E575</f>
        <v>0</v>
      </c>
      <c r="O522" s="24">
        <f>'BoC Size'!E575</f>
        <v>0</v>
      </c>
      <c r="P522" s="24">
        <f>'TMT E DK'!E575</f>
        <v>0</v>
      </c>
      <c r="Q522" s="24">
        <f>Data!R575</f>
        <v>0</v>
      </c>
      <c r="R522" s="24">
        <f>Data!S575</f>
        <v>0</v>
      </c>
      <c r="S522" s="24">
        <f>'TMT E DK'!E575</f>
        <v>0</v>
      </c>
      <c r="T522" s="24">
        <f>'TMT E DD'!E575</f>
        <v>0</v>
      </c>
      <c r="U522" s="24">
        <f>TA!E575</f>
        <v>0</v>
      </c>
      <c r="V522" s="109">
        <f>PR!F575</f>
        <v>0</v>
      </c>
      <c r="W522" s="109">
        <f>'Z Score'!I575</f>
        <v>0</v>
      </c>
      <c r="X522" s="109">
        <f>'Z Score'!L575</f>
        <v>0</v>
      </c>
      <c r="Y522" s="109">
        <f>'Z Score'!O575</f>
        <v>0</v>
      </c>
      <c r="Z522" s="109">
        <f>'Z Score'!R575</f>
        <v>0</v>
      </c>
      <c r="AA522" s="109">
        <f>'Z Score'!S575</f>
        <v>0</v>
      </c>
    </row>
    <row r="523" spans="1:27" ht="15" customHeight="1" x14ac:dyDescent="0.3">
      <c r="A523" s="22"/>
      <c r="B523" s="23"/>
      <c r="C523" s="3"/>
      <c r="D523" s="23">
        <v>2016</v>
      </c>
      <c r="E523" s="25">
        <f>'Current Ratio'!G576</f>
        <v>1.0066416724848135</v>
      </c>
      <c r="F523" s="25">
        <f>'Cash Ratio'!G576</f>
        <v>0.22210101545242109</v>
      </c>
      <c r="G523" s="25">
        <f>DAR!G576</f>
        <v>0.89180135111330494</v>
      </c>
      <c r="H523" s="25">
        <f>DER!G576</f>
        <v>8.2673970492928213</v>
      </c>
      <c r="I523" s="25">
        <f>NPM!G576</f>
        <v>0.16954628616957371</v>
      </c>
      <c r="J523" s="25">
        <f>ROA!G576</f>
        <v>8.1375582459592199E-2</v>
      </c>
      <c r="K523" s="25">
        <f>ROE!G576</f>
        <v>0.75438801418169343</v>
      </c>
      <c r="L523" s="25">
        <f>KM!E576</f>
        <v>0</v>
      </c>
      <c r="M523" s="24">
        <f>KI!E576</f>
        <v>0</v>
      </c>
      <c r="N523" s="108">
        <f>IO!E576</f>
        <v>0</v>
      </c>
      <c r="O523" s="24">
        <f>'BoC Size'!E576</f>
        <v>0</v>
      </c>
      <c r="P523" s="24">
        <f>'TMT E DK'!E576</f>
        <v>0</v>
      </c>
      <c r="Q523" s="24">
        <f>Data!R576</f>
        <v>0</v>
      </c>
      <c r="R523" s="24">
        <f>Data!S576</f>
        <v>0</v>
      </c>
      <c r="S523" s="24">
        <f>'TMT E DK'!E576</f>
        <v>0</v>
      </c>
      <c r="T523" s="24">
        <f>'TMT E DD'!E576</f>
        <v>0</v>
      </c>
      <c r="U523" s="24">
        <f>TA!E576</f>
        <v>60793273000000</v>
      </c>
      <c r="V523" s="109">
        <f>PR!F576</f>
        <v>0</v>
      </c>
      <c r="W523" s="109">
        <f>'Z Score'!I576</f>
        <v>2.1536014354746123E-3</v>
      </c>
      <c r="X523" s="109">
        <f>'Z Score'!L576</f>
        <v>0.34621223634397835</v>
      </c>
      <c r="Y523" s="109">
        <f>'Z Score'!O576</f>
        <v>0.70419100218538977</v>
      </c>
      <c r="Z523" s="109">
        <f>'Z Score'!R576</f>
        <v>0.12700490780103699</v>
      </c>
      <c r="AA523" s="109">
        <f>'Z Score'!S576</f>
        <v>1.1795617477658795</v>
      </c>
    </row>
    <row r="524" spans="1:27" ht="15" customHeight="1" x14ac:dyDescent="0.3">
      <c r="A524" s="22"/>
      <c r="B524" s="23"/>
      <c r="C524" s="3"/>
      <c r="D524" s="23">
        <v>2017</v>
      </c>
      <c r="E524" s="25">
        <f>'Current Ratio'!G577</f>
        <v>0.83564946202719026</v>
      </c>
      <c r="F524" s="25">
        <f>'Cash Ratio'!G577</f>
        <v>0.25489988886900578</v>
      </c>
      <c r="G524" s="25">
        <f>DAR!G577</f>
        <v>0.91241745729259838</v>
      </c>
      <c r="H524" s="25">
        <f>DER!G577</f>
        <v>10.417800500960901</v>
      </c>
      <c r="I524" s="25">
        <f>NPM!G577</f>
        <v>0.15316622947088304</v>
      </c>
      <c r="J524" s="25">
        <f>ROA!G577</f>
        <v>7.5959414084915924E-2</v>
      </c>
      <c r="K524" s="25">
        <f>ROE!G577</f>
        <v>0.86728943619144971</v>
      </c>
      <c r="L524" s="25">
        <f>KM!E577</f>
        <v>0.94599999999999995</v>
      </c>
      <c r="M524" s="24">
        <f>KI!E577</f>
        <v>3</v>
      </c>
      <c r="N524" s="108">
        <f>IO!E577</f>
        <v>0</v>
      </c>
      <c r="O524" s="24">
        <f>'BoC Size'!E577</f>
        <v>6</v>
      </c>
      <c r="P524" s="24">
        <f>'TMT E DK'!E577</f>
        <v>0</v>
      </c>
      <c r="Q524" s="24">
        <f>Data!R577</f>
        <v>6</v>
      </c>
      <c r="R524" s="24">
        <f>Data!S577</f>
        <v>7</v>
      </c>
      <c r="S524" s="24">
        <f>'TMT E DK'!E577</f>
        <v>0</v>
      </c>
      <c r="T524" s="24">
        <f>'TMT E DD'!E577</f>
        <v>0</v>
      </c>
      <c r="U524" s="24">
        <f>TA!E577</f>
        <v>71757702000000</v>
      </c>
      <c r="V524" s="109">
        <f>PR!F577</f>
        <v>0.21962341173564329</v>
      </c>
      <c r="W524" s="109">
        <f>'Z Score'!I577</f>
        <v>-4.5926864268869695E-2</v>
      </c>
      <c r="X524" s="109">
        <f>'Z Score'!L577</f>
        <v>0.27999926363305222</v>
      </c>
      <c r="Y524" s="109">
        <f>'Z Score'!O577</f>
        <v>0.63493110189063739</v>
      </c>
      <c r="Z524" s="109">
        <f>'Z Score'!R577</f>
        <v>0.10078902930644063</v>
      </c>
      <c r="AA524" s="109">
        <f>'Z Score'!S577</f>
        <v>0.96979253056126058</v>
      </c>
    </row>
    <row r="525" spans="1:27" ht="15" customHeight="1" x14ac:dyDescent="0.3">
      <c r="A525" s="22"/>
      <c r="B525" s="23"/>
      <c r="C525" s="3"/>
      <c r="D525" s="23">
        <v>2018</v>
      </c>
      <c r="E525" s="25">
        <f>'Current Ratio'!G578</f>
        <v>0.58060770629193448</v>
      </c>
      <c r="F525" s="25">
        <f>'Cash Ratio'!G578</f>
        <v>0.15017727055149521</v>
      </c>
      <c r="G525" s="25">
        <f>DAR!G578</f>
        <v>0.94698871059754175</v>
      </c>
      <c r="H525" s="25">
        <f>DER!G578</f>
        <v>11.475347199125681</v>
      </c>
      <c r="I525" s="25">
        <f>NPM!G578</f>
        <v>0.21078929654629422</v>
      </c>
      <c r="J525" s="25">
        <f>ROA!G578</f>
        <v>6.8519070510881394E-2</v>
      </c>
      <c r="K525" s="25">
        <f>ROE!G578</f>
        <v>0.83029513982020098</v>
      </c>
      <c r="L525" s="25">
        <f>KM!E578</f>
        <v>0.94599999999999995</v>
      </c>
      <c r="M525" s="24">
        <f>KI!E578</f>
        <v>3</v>
      </c>
      <c r="N525" s="108">
        <f>IO!E578</f>
        <v>0</v>
      </c>
      <c r="O525" s="24">
        <f>'BoC Size'!E578</f>
        <v>6</v>
      </c>
      <c r="P525" s="24">
        <f>'TMT E DK'!E578</f>
        <v>0</v>
      </c>
      <c r="Q525" s="24">
        <f>Data!R578</f>
        <v>6</v>
      </c>
      <c r="R525" s="24">
        <f>Data!S578</f>
        <v>7</v>
      </c>
      <c r="S525" s="24">
        <f>'TMT E DK'!E578</f>
        <v>0</v>
      </c>
      <c r="T525" s="24">
        <f>'TMT E DD'!E578</f>
        <v>0</v>
      </c>
      <c r="U525" s="24">
        <f>TA!E578</f>
        <v>67767980000000</v>
      </c>
      <c r="V525" s="109">
        <f>PR!F578</f>
        <v>-0.38098618442590126</v>
      </c>
      <c r="W525" s="109">
        <f>'Z Score'!I578</f>
        <v>-0.13010318796576198</v>
      </c>
      <c r="X525" s="109">
        <f>'Z Score'!L578</f>
        <v>0.26318263699168842</v>
      </c>
      <c r="Y525" s="109">
        <f>'Z Score'!O578</f>
        <v>0.59418608965473074</v>
      </c>
      <c r="Z525" s="109">
        <f>'Z Score'!R578</f>
        <v>9.1500499442840444E-2</v>
      </c>
      <c r="AA525" s="109">
        <f>'Z Score'!S578</f>
        <v>0.81876603812349769</v>
      </c>
    </row>
    <row r="526" spans="1:27" ht="15" customHeight="1" x14ac:dyDescent="0.3">
      <c r="A526" s="22"/>
      <c r="B526" s="23"/>
      <c r="C526" s="3"/>
      <c r="D526" s="23">
        <v>2019</v>
      </c>
      <c r="E526" s="25">
        <f>'Current Ratio'!G579</f>
        <v>0.3210470893545222</v>
      </c>
      <c r="F526" s="25">
        <f>'Cash Ratio'!G579</f>
        <v>0.10021759151540065</v>
      </c>
      <c r="G526" s="25">
        <f>DAR!G579</f>
        <v>0.92403245093737729</v>
      </c>
      <c r="H526" s="25">
        <f>DER!G579</f>
        <v>12.163515373856082</v>
      </c>
      <c r="I526" s="25">
        <f>NPM!G579</f>
        <v>0.1483186333793618</v>
      </c>
      <c r="J526" s="25">
        <f>ROA!G579</f>
        <v>5.7104475140742073E-2</v>
      </c>
      <c r="K526" s="25">
        <f>ROE!G579</f>
        <v>0.75169563643114068</v>
      </c>
      <c r="L526" s="25">
        <f>KM!E579</f>
        <v>0.94599999999999995</v>
      </c>
      <c r="M526" s="24">
        <f>KI!E579</f>
        <v>3</v>
      </c>
      <c r="N526" s="108">
        <f>IO!E579</f>
        <v>0</v>
      </c>
      <c r="O526" s="24">
        <f>'BoC Size'!E579</f>
        <v>6</v>
      </c>
      <c r="P526" s="24">
        <f>'TMT E DK'!E579</f>
        <v>0</v>
      </c>
      <c r="Q526" s="24">
        <f>Data!R579</f>
        <v>6</v>
      </c>
      <c r="R526" s="24">
        <f>Data!S579</f>
        <v>5</v>
      </c>
      <c r="S526" s="24">
        <f>'TMT E DK'!E579</f>
        <v>0</v>
      </c>
      <c r="T526" s="24">
        <f>'TMT E DD'!E579</f>
        <v>0</v>
      </c>
      <c r="U526" s="24">
        <f>TA!E579</f>
        <v>71619133000000</v>
      </c>
      <c r="V526" s="109">
        <f>PR!F579</f>
        <v>0.2517455013539654</v>
      </c>
      <c r="W526" s="109">
        <f>'Z Score'!I579</f>
        <v>-0.27503183318345947</v>
      </c>
      <c r="X526" s="109">
        <f>'Z Score'!L579</f>
        <v>0.2421237045692804</v>
      </c>
      <c r="Y526" s="109">
        <f>'Z Score'!O579</f>
        <v>0.49226434952793963</v>
      </c>
      <c r="Z526" s="109">
        <f>'Z Score'!R579</f>
        <v>8.6323728603725905E-2</v>
      </c>
      <c r="AA526" s="109">
        <f>'Z Score'!S579</f>
        <v>0.54567994951748644</v>
      </c>
    </row>
    <row r="527" spans="1:27" ht="15" customHeight="1" x14ac:dyDescent="0.3">
      <c r="A527" s="22"/>
      <c r="B527" s="23"/>
      <c r="C527" s="3"/>
      <c r="D527" s="23">
        <v>2020</v>
      </c>
      <c r="E527" s="25">
        <f>'Current Ratio'!G580</f>
        <v>0.39401427640083236</v>
      </c>
      <c r="F527" s="25">
        <f>'Cash Ratio'!G580</f>
        <v>0.16419759557043298</v>
      </c>
      <c r="G527" s="25">
        <f>DAR!G580</f>
        <v>0.92029569277633427</v>
      </c>
      <c r="H527" s="25">
        <f>DER!G580</f>
        <v>11.546373399793888</v>
      </c>
      <c r="I527" s="25">
        <f>NPM!G580</f>
        <v>0.21280467890792693</v>
      </c>
      <c r="J527" s="25">
        <f>ROA!G580</f>
        <v>6.4195760656503273E-2</v>
      </c>
      <c r="K527" s="25">
        <f>ROE!G580</f>
        <v>0.80542398388028758</v>
      </c>
      <c r="L527" s="25">
        <f>KM!E580</f>
        <v>0.94599999999999995</v>
      </c>
      <c r="M527" s="24">
        <f>KI!E580</f>
        <v>4</v>
      </c>
      <c r="N527" s="108">
        <f>IO!E580</f>
        <v>0</v>
      </c>
      <c r="O527" s="24">
        <f>'BoC Size'!E580</f>
        <v>7</v>
      </c>
      <c r="P527" s="24">
        <f>'TMT E DK'!E580</f>
        <v>0</v>
      </c>
      <c r="Q527" s="24">
        <f>Data!R580</f>
        <v>7</v>
      </c>
      <c r="R527" s="24">
        <f>Data!S580</f>
        <v>8</v>
      </c>
      <c r="S527" s="24">
        <f>'TMT E DK'!E580</f>
        <v>0</v>
      </c>
      <c r="T527" s="24">
        <f>'TMT E DD'!E580</f>
        <v>0</v>
      </c>
      <c r="U527" s="24">
        <f>TA!E580</f>
        <v>67396709000000</v>
      </c>
      <c r="V527" s="109">
        <f>PR!F580</f>
        <v>-0.26267259045726599</v>
      </c>
      <c r="W527" s="109">
        <f>'Z Score'!I580</f>
        <v>-0.22057305617103645</v>
      </c>
      <c r="X527" s="109">
        <f>'Z Score'!L580</f>
        <v>0.24283387605765736</v>
      </c>
      <c r="Y527" s="109">
        <f>'Z Score'!O580</f>
        <v>0.55101625570471102</v>
      </c>
      <c r="Z527" s="109">
        <f>'Z Score'!R580</f>
        <v>9.0937644543761548E-2</v>
      </c>
      <c r="AA527" s="109">
        <f>'Z Score'!S580</f>
        <v>0.66421472013509342</v>
      </c>
    </row>
    <row r="528" spans="1:27" ht="15" customHeight="1" x14ac:dyDescent="0.3">
      <c r="A528" s="22"/>
      <c r="B528" s="23"/>
      <c r="C528" s="3"/>
      <c r="D528" s="23">
        <v>2021</v>
      </c>
      <c r="E528" s="25">
        <f>'Current Ratio'!G581</f>
        <v>0.60546271381608385</v>
      </c>
      <c r="F528" s="25">
        <f>'Cash Ratio'!G581</f>
        <v>0.2814934361122215</v>
      </c>
      <c r="G528" s="25">
        <f>DAR!G581</f>
        <v>0.92301247712135437</v>
      </c>
      <c r="H528" s="25">
        <f>DER!G581</f>
        <v>11.989117750629354</v>
      </c>
      <c r="I528" s="25">
        <f>NPM!G581</f>
        <v>0.12761732334678375</v>
      </c>
      <c r="J528" s="25">
        <f>ROA!G581</f>
        <v>4.5357219278355766E-2</v>
      </c>
      <c r="K528" s="25">
        <f>ROE!G581</f>
        <v>0.58915026204767884</v>
      </c>
      <c r="L528" s="25">
        <f>KM!E581</f>
        <v>0.94599999999999995</v>
      </c>
      <c r="M528" s="24">
        <f>KI!E581</f>
        <v>5</v>
      </c>
      <c r="N528" s="108">
        <f>IO!E581</f>
        <v>0</v>
      </c>
      <c r="O528" s="24">
        <f>'BoC Size'!E581</f>
        <v>8</v>
      </c>
      <c r="P528" s="24">
        <f>'TMT E DK'!E581</f>
        <v>0</v>
      </c>
      <c r="Q528" s="24">
        <f>Data!R581</f>
        <v>8</v>
      </c>
      <c r="R528" s="24">
        <f>Data!S581</f>
        <v>6</v>
      </c>
      <c r="S528" s="24">
        <f>'TMT E DK'!E581</f>
        <v>0</v>
      </c>
      <c r="T528" s="24">
        <f>'TMT E DD'!E581</f>
        <v>0</v>
      </c>
      <c r="U528" s="24">
        <f>TA!E581</f>
        <v>64403397000000</v>
      </c>
      <c r="V528" s="109">
        <f>PR!F581</f>
        <v>0.12585302224556888</v>
      </c>
      <c r="W528" s="109">
        <f>'Z Score'!I581</f>
        <v>-0.12124196243872043</v>
      </c>
      <c r="X528" s="109">
        <f>'Z Score'!L581</f>
        <v>0.24482918315628596</v>
      </c>
      <c r="Y528" s="109">
        <f>'Z Score'!O581</f>
        <v>0.3335164596985466</v>
      </c>
      <c r="Z528" s="109">
        <f>'Z Score'!R581</f>
        <v>8.7579421758943149E-2</v>
      </c>
      <c r="AA528" s="109">
        <f>'Z Score'!S581</f>
        <v>0.54468310217505533</v>
      </c>
    </row>
    <row r="529" spans="1:27" ht="15" customHeight="1" x14ac:dyDescent="0.3">
      <c r="A529" s="22"/>
      <c r="B529" s="23"/>
      <c r="C529" s="3"/>
      <c r="D529" s="23">
        <v>2022</v>
      </c>
      <c r="E529" s="25">
        <f>'Current Ratio'!G582</f>
        <v>0.69826250874102147</v>
      </c>
      <c r="F529" s="25">
        <f>'Cash Ratio'!G582</f>
        <v>0.36007725118448636</v>
      </c>
      <c r="G529" s="25">
        <f>DAR!G582</f>
        <v>0.90706526643337559</v>
      </c>
      <c r="H529" s="25">
        <f>DER!G582</f>
        <v>9.7602395963518394</v>
      </c>
      <c r="I529" s="25">
        <f>NPM!G582</f>
        <v>0.10930832202722199</v>
      </c>
      <c r="J529" s="25">
        <f>ROA!G582</f>
        <v>3.7312566184020984E-2</v>
      </c>
      <c r="K529" s="25">
        <f>ROE!G582</f>
        <v>0.40149215209480127</v>
      </c>
      <c r="L529" s="25">
        <f>KM!E582</f>
        <v>0.94620000000000004</v>
      </c>
      <c r="M529" s="24">
        <f>KI!E582</f>
        <v>4</v>
      </c>
      <c r="N529" s="108">
        <f>IO!E582</f>
        <v>0</v>
      </c>
      <c r="O529" s="24">
        <f>'BoC Size'!E582</f>
        <v>7</v>
      </c>
      <c r="P529" s="24">
        <f>'TMT E DK'!E582</f>
        <v>0</v>
      </c>
      <c r="Q529" s="24">
        <f>Data!R582</f>
        <v>7</v>
      </c>
      <c r="R529" s="24">
        <f>Data!S582</f>
        <v>6</v>
      </c>
      <c r="S529" s="24">
        <f>'TMT E DK'!E582</f>
        <v>0</v>
      </c>
      <c r="T529" s="24">
        <f>'TMT E DD'!E582</f>
        <v>0</v>
      </c>
      <c r="U529" s="24">
        <f>TA!E582</f>
        <v>61327114000000</v>
      </c>
      <c r="V529" s="109">
        <f>PR!F582</f>
        <v>-8.5447052222133099E-2</v>
      </c>
      <c r="W529" s="109">
        <f>'Z Score'!I582</f>
        <v>-8.7973386779622464E-2</v>
      </c>
      <c r="X529" s="109">
        <f>'Z Score'!L582</f>
        <v>0.29151305212242662</v>
      </c>
      <c r="Y529" s="109">
        <f>'Z Score'!O582</f>
        <v>0.29991205521264214</v>
      </c>
      <c r="Z529" s="109">
        <f>'Z Score'!R582</f>
        <v>0.10757932626904639</v>
      </c>
      <c r="AA529" s="109">
        <f>'Z Score'!S582</f>
        <v>0.61103104682449272</v>
      </c>
    </row>
    <row r="530" spans="1:27" ht="15" customHeight="1" x14ac:dyDescent="0.3">
      <c r="A530" s="22"/>
      <c r="B530" s="23"/>
      <c r="C530" s="3"/>
      <c r="D530" s="23">
        <v>2023</v>
      </c>
      <c r="E530" s="25">
        <f>'Current Ratio'!G583</f>
        <v>1.0146585459194732</v>
      </c>
      <c r="F530" s="25">
        <f>'Cash Ratio'!G583</f>
        <v>0.61661216551561282</v>
      </c>
      <c r="G530" s="25">
        <f>DAR!G583</f>
        <v>0.89785407467336065</v>
      </c>
      <c r="H530" s="25">
        <f>DER!G583</f>
        <v>8.7899157191266131</v>
      </c>
      <c r="I530" s="25">
        <f>NPM!G583</f>
        <v>8.4132782924197708E-2</v>
      </c>
      <c r="J530" s="25">
        <f>ROA!G583</f>
        <v>3.3011599405176423E-2</v>
      </c>
      <c r="K530" s="25">
        <f>ROE!G583</f>
        <v>0.32318077593024741</v>
      </c>
      <c r="L530" s="25">
        <f>KM!E583</f>
        <v>0.94620000000000004</v>
      </c>
      <c r="M530" s="24">
        <f>KI!E583</f>
        <v>4</v>
      </c>
      <c r="N530" s="108">
        <f>IO!E583</f>
        <v>0</v>
      </c>
      <c r="O530" s="24">
        <f>'BoC Size'!E583</f>
        <v>7</v>
      </c>
      <c r="P530" s="24">
        <f>'TMT E DK'!E583</f>
        <v>0</v>
      </c>
      <c r="Q530" s="24">
        <f>Data!R583</f>
        <v>7</v>
      </c>
      <c r="R530" s="24">
        <f>Data!S583</f>
        <v>6</v>
      </c>
      <c r="S530" s="24">
        <f>'TMT E DK'!E583</f>
        <v>0</v>
      </c>
      <c r="T530" s="24">
        <f>'TMT E DD'!E583</f>
        <v>0</v>
      </c>
      <c r="U530" s="24">
        <f>TA!E583</f>
        <v>60222226000000</v>
      </c>
      <c r="V530" s="109">
        <f>PR!F583</f>
        <v>0.12876542232087676</v>
      </c>
      <c r="W530" s="109">
        <f>'Z Score'!I583</f>
        <v>3.8677733367079459E-3</v>
      </c>
      <c r="X530" s="109">
        <f>'Z Score'!L583</f>
        <v>0.32111150159079144</v>
      </c>
      <c r="Y530" s="109">
        <f>'Z Score'!O583</f>
        <v>0.2665210601813357</v>
      </c>
      <c r="Z530" s="109">
        <f>'Z Score'!R583</f>
        <v>0.11945507028187188</v>
      </c>
      <c r="AA530" s="109">
        <f>'Z Score'!S583</f>
        <v>0.7109554053907069</v>
      </c>
    </row>
    <row r="531" spans="1:27" ht="15" customHeight="1" x14ac:dyDescent="0.3">
      <c r="A531" s="22"/>
      <c r="B531" s="23"/>
      <c r="C531" s="3"/>
      <c r="D531" s="23">
        <v>2024</v>
      </c>
      <c r="E531" s="25">
        <f>'Current Ratio'!G584</f>
        <v>1.1447088176468656</v>
      </c>
      <c r="F531" s="25">
        <f>'Cash Ratio'!G584</f>
        <v>0.69308179001968795</v>
      </c>
      <c r="G531" s="25">
        <f>DAR!G584</f>
        <v>0.88524841277426169</v>
      </c>
      <c r="H531" s="25">
        <f>DER!G584</f>
        <v>7.7144764109694561</v>
      </c>
      <c r="I531" s="25">
        <f>NPM!G584</f>
        <v>7.0657347435960097E-2</v>
      </c>
      <c r="J531" s="25">
        <f>ROA!G584</f>
        <v>2.6974433279847717E-2</v>
      </c>
      <c r="K531" s="25">
        <f>ROE!G584</f>
        <v>0.23506806251650239</v>
      </c>
      <c r="L531" s="25">
        <f>KM!E584</f>
        <v>0.94620000000000004</v>
      </c>
      <c r="M531" s="24">
        <f>KI!E584</f>
        <v>3</v>
      </c>
      <c r="N531" s="108">
        <f>IO!E584</f>
        <v>0</v>
      </c>
      <c r="O531" s="24">
        <f>'BoC Size'!E584</f>
        <v>6</v>
      </c>
      <c r="P531" s="24">
        <f>'TMT E DK'!E584</f>
        <v>0</v>
      </c>
      <c r="Q531" s="24">
        <f>Data!R584</f>
        <v>6</v>
      </c>
      <c r="R531" s="24">
        <f>Data!S584</f>
        <v>6</v>
      </c>
      <c r="S531" s="24">
        <f>'TMT E DK'!E584</f>
        <v>0</v>
      </c>
      <c r="T531" s="24">
        <f>'TMT E DD'!E584</f>
        <v>0</v>
      </c>
      <c r="U531" s="24">
        <f>TA!E584</f>
        <v>57560023000000</v>
      </c>
      <c r="V531" s="109">
        <f>PR!F584</f>
        <v>-7.0053760744690108E-2</v>
      </c>
      <c r="W531" s="109">
        <f>'Z Score'!I584</f>
        <v>4.2185592594360152E-2</v>
      </c>
      <c r="X531" s="109">
        <f>'Z Score'!L584</f>
        <v>0.36149857097868077</v>
      </c>
      <c r="Y531" s="109">
        <f>'Z Score'!O584</f>
        <v>0.20325610224304461</v>
      </c>
      <c r="Z531" s="109">
        <f>'Z Score'!R584</f>
        <v>0.13610774653571719</v>
      </c>
      <c r="AA531" s="109">
        <f>'Z Score'!S584</f>
        <v>0.74304801235180273</v>
      </c>
    </row>
    <row r="532" spans="1:27" ht="15" customHeight="1" x14ac:dyDescent="0.3">
      <c r="A532" s="22"/>
      <c r="B532" s="23">
        <v>54</v>
      </c>
      <c r="C532" s="4" t="s">
        <v>150</v>
      </c>
      <c r="D532" s="23">
        <v>2015</v>
      </c>
      <c r="E532" s="25">
        <f>'Current Ratio'!G586</f>
        <v>0</v>
      </c>
      <c r="F532" s="25">
        <f>'Cash Ratio'!G586</f>
        <v>0</v>
      </c>
      <c r="G532" s="25">
        <f>DAR!G586</f>
        <v>0</v>
      </c>
      <c r="H532" s="25">
        <f>DER!G586</f>
        <v>0</v>
      </c>
      <c r="I532" s="25">
        <f>NPM!G586</f>
        <v>-8.2818686564367333E-2</v>
      </c>
      <c r="J532" s="25">
        <f>ROA!G586</f>
        <v>-1.6919003786088085E-2</v>
      </c>
      <c r="K532" s="25">
        <f>ROE!G586</f>
        <v>-9.6176664531179207E-2</v>
      </c>
      <c r="L532" s="25">
        <f>KM!E586</f>
        <v>0</v>
      </c>
      <c r="M532" s="24">
        <f>KI!E586</f>
        <v>0</v>
      </c>
      <c r="N532" s="108">
        <f>IO!E586</f>
        <v>0</v>
      </c>
      <c r="O532" s="24">
        <f>'BoC Size'!E586</f>
        <v>0</v>
      </c>
      <c r="P532" s="24">
        <f>'TMT E DK'!E586</f>
        <v>0</v>
      </c>
      <c r="Q532" s="24">
        <f>Data!R586</f>
        <v>0</v>
      </c>
      <c r="R532" s="24">
        <f>Data!S586</f>
        <v>0</v>
      </c>
      <c r="S532" s="24">
        <f>'TMT E DK'!E586</f>
        <v>0</v>
      </c>
      <c r="T532" s="24">
        <f>'TMT E DD'!E586</f>
        <v>0</v>
      </c>
      <c r="U532" s="24">
        <f>TA!E586</f>
        <v>0</v>
      </c>
      <c r="V532" s="109">
        <f>PR!F586</f>
        <v>-0.28147750065000188</v>
      </c>
      <c r="W532" s="109">
        <f>'Z Score'!I586</f>
        <v>0</v>
      </c>
      <c r="X532" s="109">
        <f>'Z Score'!L586</f>
        <v>0</v>
      </c>
      <c r="Y532" s="109">
        <f>'Z Score'!O586</f>
        <v>0</v>
      </c>
      <c r="Z532" s="109">
        <f>'Z Score'!R586</f>
        <v>0</v>
      </c>
      <c r="AA532" s="109">
        <f>'Z Score'!S586</f>
        <v>0</v>
      </c>
    </row>
    <row r="533" spans="1:27" ht="15" customHeight="1" x14ac:dyDescent="0.3">
      <c r="A533" s="22"/>
      <c r="B533" s="23"/>
      <c r="C533" s="4"/>
      <c r="D533" s="23">
        <v>2016</v>
      </c>
      <c r="E533" s="25">
        <f>'Current Ratio'!G587</f>
        <v>0</v>
      </c>
      <c r="F533" s="25">
        <f>'Cash Ratio'!G587</f>
        <v>0</v>
      </c>
      <c r="G533" s="25">
        <f>DAR!G587</f>
        <v>0</v>
      </c>
      <c r="H533" s="25">
        <f>DER!G587</f>
        <v>0</v>
      </c>
      <c r="I533" s="25">
        <f>NPM!G587</f>
        <v>-2.8111400081027745E-2</v>
      </c>
      <c r="J533" s="25">
        <f>ROA!G587</f>
        <v>-6.4855042290053906E-3</v>
      </c>
      <c r="K533" s="25">
        <f>ROE!G587</f>
        <v>-4.8408800951118588E-2</v>
      </c>
      <c r="L533" s="25">
        <f>KM!E587</f>
        <v>0</v>
      </c>
      <c r="M533" s="24">
        <f>KI!E587</f>
        <v>0</v>
      </c>
      <c r="N533" s="108">
        <f>IO!E587</f>
        <v>0</v>
      </c>
      <c r="O533" s="24">
        <f>'BoC Size'!E587</f>
        <v>0</v>
      </c>
      <c r="P533" s="24">
        <f>'TMT E DK'!E587</f>
        <v>0</v>
      </c>
      <c r="Q533" s="24">
        <f>Data!R587</f>
        <v>0</v>
      </c>
      <c r="R533" s="24">
        <f>Data!S587</f>
        <v>0</v>
      </c>
      <c r="S533" s="24">
        <f>'TMT E DK'!E587</f>
        <v>0</v>
      </c>
      <c r="T533" s="24">
        <f>'TMT E DD'!E587</f>
        <v>0</v>
      </c>
      <c r="U533" s="24">
        <f>TA!E587</f>
        <v>0</v>
      </c>
      <c r="V533" s="109">
        <f>PR!F587</f>
        <v>0.79230590291632275</v>
      </c>
      <c r="W533" s="109">
        <f>'Z Score'!I587</f>
        <v>0</v>
      </c>
      <c r="X533" s="109">
        <f>'Z Score'!L587</f>
        <v>0</v>
      </c>
      <c r="Y533" s="109">
        <f>'Z Score'!O587</f>
        <v>0</v>
      </c>
      <c r="Z533" s="109">
        <f>'Z Score'!R587</f>
        <v>0</v>
      </c>
      <c r="AA533" s="109">
        <f>'Z Score'!S587</f>
        <v>0</v>
      </c>
    </row>
    <row r="534" spans="1:27" ht="15" customHeight="1" x14ac:dyDescent="0.3">
      <c r="A534" s="22"/>
      <c r="B534" s="23"/>
      <c r="C534" s="4"/>
      <c r="D534" s="23">
        <v>2017</v>
      </c>
      <c r="E534" s="25">
        <f>'Current Ratio'!G588</f>
        <v>0</v>
      </c>
      <c r="F534" s="25">
        <f>'Cash Ratio'!G588</f>
        <v>0</v>
      </c>
      <c r="G534" s="25">
        <f>DAR!G588</f>
        <v>0</v>
      </c>
      <c r="H534" s="25">
        <f>DER!G588</f>
        <v>0</v>
      </c>
      <c r="I534" s="25">
        <f>NPM!G588</f>
        <v>-4.6778549358370343E-2</v>
      </c>
      <c r="J534" s="25">
        <f>ROA!G588</f>
        <v>-1.5781832723797021E-2</v>
      </c>
      <c r="K534" s="25">
        <f>ROE!G588</f>
        <v>-0.11948775579811204</v>
      </c>
      <c r="L534" s="25">
        <f>KM!E588</f>
        <v>0</v>
      </c>
      <c r="M534" s="24">
        <f>KI!E588</f>
        <v>0</v>
      </c>
      <c r="N534" s="108">
        <f>IO!E588</f>
        <v>0</v>
      </c>
      <c r="O534" s="24">
        <f>'BoC Size'!E588</f>
        <v>0</v>
      </c>
      <c r="P534" s="24">
        <f>'TMT E DK'!E588</f>
        <v>0</v>
      </c>
      <c r="Q534" s="24">
        <f>Data!R588</f>
        <v>0</v>
      </c>
      <c r="R534" s="24">
        <f>Data!S588</f>
        <v>0</v>
      </c>
      <c r="S534" s="24">
        <f>'TMT E DK'!E588</f>
        <v>0</v>
      </c>
      <c r="T534" s="24">
        <f>'TMT E DD'!E588</f>
        <v>0</v>
      </c>
      <c r="U534" s="24">
        <f>TA!E588</f>
        <v>0</v>
      </c>
      <c r="V534" s="109">
        <f>PR!F588</f>
        <v>0.78536345089867343</v>
      </c>
      <c r="W534" s="109">
        <f>'Z Score'!I588</f>
        <v>0</v>
      </c>
      <c r="X534" s="109">
        <f>'Z Score'!L588</f>
        <v>0</v>
      </c>
      <c r="Y534" s="109">
        <f>'Z Score'!O588</f>
        <v>0</v>
      </c>
      <c r="Z534" s="109">
        <f>'Z Score'!R588</f>
        <v>0</v>
      </c>
      <c r="AA534" s="109">
        <f>'Z Score'!S588</f>
        <v>0</v>
      </c>
    </row>
    <row r="535" spans="1:27" ht="15" customHeight="1" x14ac:dyDescent="0.3">
      <c r="A535" s="22"/>
      <c r="B535" s="23"/>
      <c r="C535" s="4"/>
      <c r="D535" s="23">
        <v>2018</v>
      </c>
      <c r="E535" s="25">
        <f>'Current Ratio'!G589</f>
        <v>0</v>
      </c>
      <c r="F535" s="25">
        <f>'Cash Ratio'!G589</f>
        <v>0</v>
      </c>
      <c r="G535" s="25">
        <f>DAR!G589</f>
        <v>0</v>
      </c>
      <c r="H535" s="25">
        <f>DER!G589</f>
        <v>0</v>
      </c>
      <c r="I535" s="25">
        <f>NPM!G589</f>
        <v>-1.7609935884553639E-2</v>
      </c>
      <c r="J535" s="25">
        <f>ROA!G589</f>
        <v>-4.4924055247309884E-3</v>
      </c>
      <c r="K535" s="25">
        <f>ROE!G589</f>
        <v>-3.6027152564037428E-2</v>
      </c>
      <c r="L535" s="25">
        <f>KM!E589</f>
        <v>0</v>
      </c>
      <c r="M535" s="24">
        <f>KI!E589</f>
        <v>0</v>
      </c>
      <c r="N535" s="108">
        <f>IO!E589</f>
        <v>0</v>
      </c>
      <c r="O535" s="24">
        <f>'BoC Size'!E589</f>
        <v>0</v>
      </c>
      <c r="P535" s="24">
        <f>'TMT E DK'!E589</f>
        <v>0</v>
      </c>
      <c r="Q535" s="24">
        <f>Data!R589</f>
        <v>0</v>
      </c>
      <c r="R535" s="24">
        <f>Data!S589</f>
        <v>0</v>
      </c>
      <c r="S535" s="24">
        <f>'TMT E DK'!E589</f>
        <v>0</v>
      </c>
      <c r="T535" s="24">
        <f>'TMT E DD'!E589</f>
        <v>0</v>
      </c>
      <c r="U535" s="24">
        <f>TA!E589</f>
        <v>0</v>
      </c>
      <c r="V535" s="109">
        <f>PR!F589</f>
        <v>-0.22754018530891593</v>
      </c>
      <c r="W535" s="109">
        <f>'Z Score'!I589</f>
        <v>0</v>
      </c>
      <c r="X535" s="109">
        <f>'Z Score'!L589</f>
        <v>0</v>
      </c>
      <c r="Y535" s="109">
        <f>'Z Score'!O589</f>
        <v>0</v>
      </c>
      <c r="Z535" s="109">
        <f>'Z Score'!R589</f>
        <v>0</v>
      </c>
      <c r="AA535" s="109">
        <f>'Z Score'!S589</f>
        <v>0</v>
      </c>
    </row>
    <row r="536" spans="1:27" ht="15" customHeight="1" x14ac:dyDescent="0.3">
      <c r="A536" s="22"/>
      <c r="B536" s="23"/>
      <c r="C536" s="4"/>
      <c r="D536" s="23">
        <v>2019</v>
      </c>
      <c r="E536" s="25">
        <f>'Current Ratio'!G590</f>
        <v>0</v>
      </c>
      <c r="F536" s="25">
        <f>'Cash Ratio'!G590</f>
        <v>0</v>
      </c>
      <c r="G536" s="25">
        <f>DAR!G590</f>
        <v>0</v>
      </c>
      <c r="H536" s="25">
        <f>DER!G590</f>
        <v>0</v>
      </c>
      <c r="I536" s="25">
        <f>NPM!G590</f>
        <v>-2.6645240924950034E-2</v>
      </c>
      <c r="J536" s="25">
        <f>ROA!G590</f>
        <v>-8.3336327594536047E-3</v>
      </c>
      <c r="K536" s="25">
        <f>ROE!G590</f>
        <v>-8.0590399079957575E-2</v>
      </c>
      <c r="L536" s="25">
        <f>KM!E590</f>
        <v>0</v>
      </c>
      <c r="M536" s="24">
        <f>KI!E590</f>
        <v>0</v>
      </c>
      <c r="N536" s="108">
        <f>IO!E590</f>
        <v>0</v>
      </c>
      <c r="O536" s="24">
        <f>'BoC Size'!E590</f>
        <v>0</v>
      </c>
      <c r="P536" s="24">
        <f>'TMT E DK'!E590</f>
        <v>0</v>
      </c>
      <c r="Q536" s="24">
        <f>Data!R590</f>
        <v>0</v>
      </c>
      <c r="R536" s="24">
        <f>Data!S590</f>
        <v>0</v>
      </c>
      <c r="S536" s="24">
        <f>'TMT E DK'!E590</f>
        <v>0</v>
      </c>
      <c r="T536" s="24">
        <f>'TMT E DD'!E590</f>
        <v>0</v>
      </c>
      <c r="U536" s="24">
        <f>TA!E590</f>
        <v>0</v>
      </c>
      <c r="V536" s="109">
        <f>PR!F590</f>
        <v>0.36813951489758551</v>
      </c>
      <c r="W536" s="109">
        <f>'Z Score'!I590</f>
        <v>0</v>
      </c>
      <c r="X536" s="109">
        <f>'Z Score'!L590</f>
        <v>0</v>
      </c>
      <c r="Y536" s="109">
        <f>'Z Score'!O590</f>
        <v>0</v>
      </c>
      <c r="Z536" s="109">
        <f>'Z Score'!R590</f>
        <v>0</v>
      </c>
      <c r="AA536" s="109">
        <f>'Z Score'!S590</f>
        <v>0</v>
      </c>
    </row>
    <row r="537" spans="1:27" ht="15" customHeight="1" x14ac:dyDescent="0.3">
      <c r="A537" s="22"/>
      <c r="B537" s="23"/>
      <c r="C537" s="4"/>
      <c r="D537" s="23">
        <v>2020</v>
      </c>
      <c r="E537" s="25">
        <f>'Current Ratio'!G591</f>
        <v>0</v>
      </c>
      <c r="F537" s="25">
        <f>'Cash Ratio'!G591</f>
        <v>0</v>
      </c>
      <c r="G537" s="25">
        <f>DAR!G591</f>
        <v>0</v>
      </c>
      <c r="H537" s="25">
        <f>DER!G591</f>
        <v>0</v>
      </c>
      <c r="I537" s="25">
        <f>NPM!G591</f>
        <v>-6.7150790813815545E-2</v>
      </c>
      <c r="J537" s="25">
        <f>ROA!G591</f>
        <v>-1.7945183366338387E-2</v>
      </c>
      <c r="K537" s="25">
        <f>ROE!G591</f>
        <v>-0.23115270964071782</v>
      </c>
      <c r="L537" s="25">
        <f>KM!E591</f>
        <v>0</v>
      </c>
      <c r="M537" s="24">
        <f>KI!E591</f>
        <v>0</v>
      </c>
      <c r="N537" s="108">
        <f>IO!E591</f>
        <v>0</v>
      </c>
      <c r="O537" s="24">
        <f>'BoC Size'!E591</f>
        <v>0</v>
      </c>
      <c r="P537" s="24">
        <f>'TMT E DK'!E591</f>
        <v>0</v>
      </c>
      <c r="Q537" s="24">
        <f>Data!R591</f>
        <v>0</v>
      </c>
      <c r="R537" s="24">
        <f>Data!S591</f>
        <v>0</v>
      </c>
      <c r="S537" s="24">
        <f>'TMT E DK'!E591</f>
        <v>0</v>
      </c>
      <c r="T537" s="24">
        <f>'TMT E DD'!E591</f>
        <v>0</v>
      </c>
      <c r="U537" s="24">
        <f>TA!E591</f>
        <v>0</v>
      </c>
      <c r="V537" s="109">
        <f>PR!F591</f>
        <v>-7.7930403280354943E-2</v>
      </c>
      <c r="W537" s="109">
        <f>'Z Score'!I591</f>
        <v>0</v>
      </c>
      <c r="X537" s="109">
        <f>'Z Score'!L591</f>
        <v>0</v>
      </c>
      <c r="Y537" s="109">
        <f>'Z Score'!O591</f>
        <v>0</v>
      </c>
      <c r="Z537" s="109">
        <f>'Z Score'!R591</f>
        <v>0</v>
      </c>
      <c r="AA537" s="109">
        <f>'Z Score'!S591</f>
        <v>0</v>
      </c>
    </row>
    <row r="538" spans="1:27" ht="15" customHeight="1" x14ac:dyDescent="0.3">
      <c r="A538" s="22"/>
      <c r="B538" s="23"/>
      <c r="C538" s="4"/>
      <c r="D538" s="23">
        <v>2021</v>
      </c>
      <c r="E538" s="25">
        <f>'Current Ratio'!G592</f>
        <v>200.40298507462686</v>
      </c>
      <c r="F538" s="25">
        <f>'Cash Ratio'!G592</f>
        <v>200.40298507462686</v>
      </c>
      <c r="G538" s="25">
        <f>DAR!G592</f>
        <v>3.9798827815618566E-3</v>
      </c>
      <c r="H538" s="25">
        <f>DER!G592</f>
        <v>3.9957855396298434E-3</v>
      </c>
      <c r="I538" s="25">
        <f>NPM!G592</f>
        <v>-3.9619878149469268E-2</v>
      </c>
      <c r="J538" s="25">
        <f>ROA!G592</f>
        <v>-1.1926867330463144E-2</v>
      </c>
      <c r="K538" s="25">
        <f>ROE!G592</f>
        <v>-0.14834499173607155</v>
      </c>
      <c r="L538" s="25">
        <f>KM!E592</f>
        <v>0</v>
      </c>
      <c r="M538" s="24">
        <f>KI!E592</f>
        <v>0</v>
      </c>
      <c r="N538" s="108">
        <f>IO!E592</f>
        <v>0</v>
      </c>
      <c r="O538" s="24">
        <f>'BoC Size'!E592</f>
        <v>0</v>
      </c>
      <c r="P538" s="24">
        <f>'TMT E DK'!E592</f>
        <v>0</v>
      </c>
      <c r="Q538" s="24">
        <f>Data!R592</f>
        <v>0</v>
      </c>
      <c r="R538" s="24">
        <f>Data!S592</f>
        <v>0</v>
      </c>
      <c r="S538" s="24">
        <f>'TMT E DK'!E592</f>
        <v>0</v>
      </c>
      <c r="T538" s="24">
        <f>'TMT E DD'!E592</f>
        <v>0</v>
      </c>
      <c r="U538" s="24">
        <f>TA!E592</f>
        <v>101008000000</v>
      </c>
      <c r="V538" s="109">
        <f>PR!F592</f>
        <v>0.2000075118246481</v>
      </c>
      <c r="W538" s="109">
        <f>'Z Score'!I592</f>
        <v>5.2060193252019635</v>
      </c>
      <c r="X538" s="109">
        <f>'Z Score'!L592</f>
        <v>1.9558450815776968E-2</v>
      </c>
      <c r="Y538" s="109">
        <f>'Z Score'!O592</f>
        <v>4.989703785838745E-2</v>
      </c>
      <c r="Z538" s="109">
        <f>'Z Score'!R592</f>
        <v>262.77686567164181</v>
      </c>
      <c r="AA538" s="109">
        <f>'Z Score'!S592</f>
        <v>268.05234048551796</v>
      </c>
    </row>
    <row r="539" spans="1:27" ht="15" customHeight="1" x14ac:dyDescent="0.3">
      <c r="A539" s="22"/>
      <c r="B539" s="23"/>
      <c r="C539" s="4"/>
      <c r="D539" s="23">
        <v>2022</v>
      </c>
      <c r="E539" s="25">
        <f>'Current Ratio'!G593</f>
        <v>2.2030779313826061</v>
      </c>
      <c r="F539" s="25">
        <f>'Cash Ratio'!G593</f>
        <v>1.8502352922019767</v>
      </c>
      <c r="G539" s="25">
        <f>DAR!G593</f>
        <v>0.21509576270655265</v>
      </c>
      <c r="H539" s="25">
        <f>DER!G593</f>
        <v>2.9349785372767183</v>
      </c>
      <c r="I539" s="25">
        <f>NPM!G593</f>
        <v>-5.0029587132809319E-2</v>
      </c>
      <c r="J539" s="25">
        <f>ROA!G593</f>
        <v>-1.1977387000558308E-2</v>
      </c>
      <c r="K539" s="25">
        <f>ROE!G593</f>
        <v>-3.4662051768322516E-2</v>
      </c>
      <c r="L539" s="25">
        <f>KM!E593</f>
        <v>0.99990000000000001</v>
      </c>
      <c r="M539" s="24">
        <f>KI!E593</f>
        <v>2</v>
      </c>
      <c r="N539" s="108">
        <f>IO!E593</f>
        <v>0</v>
      </c>
      <c r="O539" s="24">
        <f>'BoC Size'!E593</f>
        <v>3</v>
      </c>
      <c r="P539" s="24">
        <f>'TMT E DK'!E593</f>
        <v>0</v>
      </c>
      <c r="Q539" s="24">
        <f>Data!R593</f>
        <v>3</v>
      </c>
      <c r="R539" s="24">
        <f>Data!S593</f>
        <v>3</v>
      </c>
      <c r="S539" s="24">
        <f>'TMT E DK'!E593</f>
        <v>0</v>
      </c>
      <c r="T539" s="24">
        <f>'TMT E DD'!E593</f>
        <v>0</v>
      </c>
      <c r="U539" s="24">
        <f>TA!E593</f>
        <v>6700834000000</v>
      </c>
      <c r="V539" s="109">
        <f>PR!F593</f>
        <v>8.1936441295349924E-2</v>
      </c>
      <c r="W539" s="109">
        <f>'Z Score'!I593</f>
        <v>0.57865410783195048</v>
      </c>
      <c r="X539" s="109">
        <f>'Z Score'!L593</f>
        <v>0.19021289290258495</v>
      </c>
      <c r="Y539" s="109">
        <f>'Z Score'!O593</f>
        <v>0.46679533920703004</v>
      </c>
      <c r="Z539" s="109">
        <f>'Z Score'!R593</f>
        <v>0.3577538938237908</v>
      </c>
      <c r="AA539" s="109">
        <f>'Z Score'!S593</f>
        <v>1.5934162337653561</v>
      </c>
    </row>
    <row r="540" spans="1:27" ht="15" customHeight="1" x14ac:dyDescent="0.3">
      <c r="A540" s="22"/>
      <c r="B540" s="23"/>
      <c r="C540" s="4"/>
      <c r="D540" s="23">
        <v>2023</v>
      </c>
      <c r="E540" s="25">
        <f>'Current Ratio'!G594</f>
        <v>1.6735629389753697</v>
      </c>
      <c r="F540" s="25">
        <f>'Cash Ratio'!G594</f>
        <v>1.3512341230910812</v>
      </c>
      <c r="G540" s="25">
        <f>DAR!G594</f>
        <v>0.25821778901864917</v>
      </c>
      <c r="H540" s="25">
        <f>DER!G594</f>
        <v>2.3838244083855402</v>
      </c>
      <c r="I540" s="25">
        <f>NPM!G594</f>
        <v>-2.9597401977593869E-2</v>
      </c>
      <c r="J540" s="25">
        <f>ROA!G594</f>
        <v>-6.5257447462651798E-3</v>
      </c>
      <c r="K540" s="25">
        <f>ROE!G594</f>
        <v>-1.8985658036487104E-2</v>
      </c>
      <c r="L540" s="25">
        <f>KM!E594</f>
        <v>0.99990000000000001</v>
      </c>
      <c r="M540" s="24">
        <f>KI!E594</f>
        <v>2</v>
      </c>
      <c r="N540" s="108">
        <f>IO!E594</f>
        <v>0</v>
      </c>
      <c r="O540" s="24">
        <f>'BoC Size'!E594</f>
        <v>3</v>
      </c>
      <c r="P540" s="24">
        <f>'TMT E DK'!E594</f>
        <v>0</v>
      </c>
      <c r="Q540" s="24">
        <f>Data!R594</f>
        <v>3</v>
      </c>
      <c r="R540" s="24">
        <f>Data!S594</f>
        <v>2</v>
      </c>
      <c r="S540" s="24">
        <f>'TMT E DK'!E594</f>
        <v>0</v>
      </c>
      <c r="T540" s="24">
        <f>'TMT E DD'!E594</f>
        <v>0</v>
      </c>
      <c r="U540" s="24">
        <f>TA!E594</f>
        <v>6672476000000</v>
      </c>
      <c r="V540" s="109">
        <f>PR!F594</f>
        <v>-9.704300249345911E-2</v>
      </c>
      <c r="W540" s="109">
        <f>'Z Score'!I594</f>
        <v>0.38137602892839179</v>
      </c>
      <c r="X540" s="109">
        <f>'Z Score'!L594</f>
        <v>0.30400604812965981</v>
      </c>
      <c r="Y540" s="109">
        <f>'Z Score'!O594</f>
        <v>0.66032584006296913</v>
      </c>
      <c r="Z540" s="109">
        <f>'Z Score'!R594</f>
        <v>0.44046868397958855</v>
      </c>
      <c r="AA540" s="109">
        <f>'Z Score'!S594</f>
        <v>1.7861766011006095</v>
      </c>
    </row>
    <row r="541" spans="1:27" ht="15" customHeight="1" x14ac:dyDescent="0.3">
      <c r="A541" s="22"/>
      <c r="B541" s="23"/>
      <c r="C541" s="4"/>
      <c r="D541" s="23">
        <v>2024</v>
      </c>
      <c r="E541" s="25">
        <f>'Current Ratio'!G595</f>
        <v>1.7606337382873696</v>
      </c>
      <c r="F541" s="25">
        <f>'Cash Ratio'!G595</f>
        <v>1.3755930211935798</v>
      </c>
      <c r="G541" s="25">
        <f>DAR!G595</f>
        <v>0.31793270238995075</v>
      </c>
      <c r="H541" s="25">
        <f>DER!G595</f>
        <v>2.6836397349104226</v>
      </c>
      <c r="I541" s="25">
        <f>NPM!G595</f>
        <v>6.0631621465064784E-3</v>
      </c>
      <c r="J541" s="25">
        <f>ROA!G595</f>
        <v>1.1365438983908357E-3</v>
      </c>
      <c r="K541" s="25">
        <f>ROE!G595</f>
        <v>3.1219243125507404E-3</v>
      </c>
      <c r="L541" s="25">
        <f>KM!E595</f>
        <v>0.99990000000000001</v>
      </c>
      <c r="M541" s="24">
        <f>KI!E595</f>
        <v>1</v>
      </c>
      <c r="N541" s="108">
        <f>IO!E595</f>
        <v>0</v>
      </c>
      <c r="O541" s="24">
        <f>'BoC Size'!E595</f>
        <v>2</v>
      </c>
      <c r="P541" s="24">
        <f>'TMT E DK'!E595</f>
        <v>0</v>
      </c>
      <c r="Q541" s="24">
        <f>Data!R595</f>
        <v>2</v>
      </c>
      <c r="R541" s="24">
        <f>Data!S595</f>
        <v>3</v>
      </c>
      <c r="S541" s="24">
        <f>'TMT E DK'!E595</f>
        <v>0</v>
      </c>
      <c r="T541" s="24">
        <f>'TMT E DD'!E595</f>
        <v>0</v>
      </c>
      <c r="U541" s="24">
        <f>TA!E595</f>
        <v>6628170000000</v>
      </c>
      <c r="V541" s="109">
        <f>PR!F595</f>
        <v>-0.19479003531670136</v>
      </c>
      <c r="W541" s="109">
        <f>'Z Score'!I595</f>
        <v>0.40749342276978412</v>
      </c>
      <c r="X541" s="109">
        <f>'Z Score'!L595</f>
        <v>0.33658980985701936</v>
      </c>
      <c r="Y541" s="109">
        <f>'Z Score'!O595</f>
        <v>0.25142476430145877</v>
      </c>
      <c r="Z541" s="109">
        <f>'Z Score'!R595</f>
        <v>0.39125967108809712</v>
      </c>
      <c r="AA541" s="109">
        <f>'Z Score'!S595</f>
        <v>1.3867676680163594</v>
      </c>
    </row>
    <row r="542" spans="1:27" ht="15" customHeight="1" x14ac:dyDescent="0.3">
      <c r="A542" s="22"/>
      <c r="B542" s="23">
        <v>55</v>
      </c>
      <c r="C542" s="3" t="s">
        <v>40</v>
      </c>
      <c r="D542" s="23">
        <v>2015</v>
      </c>
      <c r="E542" s="25">
        <f>'Current Ratio'!G597</f>
        <v>1.1974240063655772</v>
      </c>
      <c r="F542" s="25">
        <f>'Cash Ratio'!G597</f>
        <v>0.32305608450182371</v>
      </c>
      <c r="G542" s="25">
        <f>DAR!G597</f>
        <v>0.82408559248689639</v>
      </c>
      <c r="H542" s="25">
        <f>DER!G597</f>
        <v>4.6845431667059056</v>
      </c>
      <c r="I542" s="25">
        <f>NPM!G597</f>
        <v>0</v>
      </c>
      <c r="J542" s="25">
        <f>ROA!G597</f>
        <v>0</v>
      </c>
      <c r="K542" s="25">
        <f>ROE!G597</f>
        <v>0</v>
      </c>
      <c r="L542" s="25">
        <f>KM!E597</f>
        <v>0.97870000000000001</v>
      </c>
      <c r="M542" s="24">
        <f>KI!E597</f>
        <v>1</v>
      </c>
      <c r="N542" s="108">
        <f>IO!E597</f>
        <v>0</v>
      </c>
      <c r="O542" s="24">
        <f>'BoC Size'!E597</f>
        <v>3</v>
      </c>
      <c r="P542" s="24">
        <f>'TMT E DK'!E597</f>
        <v>0</v>
      </c>
      <c r="Q542" s="24">
        <f>Data!R597</f>
        <v>3</v>
      </c>
      <c r="R542" s="24">
        <f>Data!S597</f>
        <v>4</v>
      </c>
      <c r="S542" s="24">
        <f>'TMT E DK'!E597</f>
        <v>0</v>
      </c>
      <c r="T542" s="24">
        <f>'TMT E DD'!E597</f>
        <v>0</v>
      </c>
      <c r="U542" s="24">
        <f>TA!E597</f>
        <v>6060345000000</v>
      </c>
      <c r="V542" s="109">
        <f>PR!F597</f>
        <v>0.51608152001178309</v>
      </c>
      <c r="W542" s="109">
        <f>'Z Score'!I597</f>
        <v>7.0365525395006387E-2</v>
      </c>
      <c r="X542" s="109">
        <f>'Z Score'!L597</f>
        <v>0.25838601597763822</v>
      </c>
      <c r="Y542" s="109">
        <f>'Z Score'!O597</f>
        <v>0.10748172257519992</v>
      </c>
      <c r="Z542" s="109">
        <f>'Z Score'!R597</f>
        <v>0.22414138639229209</v>
      </c>
      <c r="AA542" s="109">
        <f>'Z Score'!S597</f>
        <v>0.66037465034013665</v>
      </c>
    </row>
    <row r="543" spans="1:27" ht="15" customHeight="1" x14ac:dyDescent="0.3">
      <c r="A543" s="22"/>
      <c r="B543" s="23"/>
      <c r="C543" s="3"/>
      <c r="D543" s="23">
        <v>2016</v>
      </c>
      <c r="E543" s="25">
        <f>'Current Ratio'!G598</f>
        <v>0.83624717970051243</v>
      </c>
      <c r="F543" s="25">
        <f>'Cash Ratio'!G598</f>
        <v>0.22688307089927265</v>
      </c>
      <c r="G543" s="25">
        <f>DAR!G598</f>
        <v>0.8660263402195354</v>
      </c>
      <c r="H543" s="25">
        <f>DER!G598</f>
        <v>6.4641537869357775</v>
      </c>
      <c r="I543" s="25">
        <f>NPM!G598</f>
        <v>0</v>
      </c>
      <c r="J543" s="25">
        <f>ROA!G598</f>
        <v>0</v>
      </c>
      <c r="K543" s="25">
        <f>ROE!G598</f>
        <v>0</v>
      </c>
      <c r="L543" s="25">
        <f>KM!E598</f>
        <v>0.97609999999999997</v>
      </c>
      <c r="M543" s="24">
        <f>KI!E598</f>
        <v>1</v>
      </c>
      <c r="N543" s="108">
        <f>IO!E598</f>
        <v>0</v>
      </c>
      <c r="O543" s="24">
        <f>'BoC Size'!E598</f>
        <v>3</v>
      </c>
      <c r="P543" s="24">
        <f>'TMT E DK'!E598</f>
        <v>0</v>
      </c>
      <c r="Q543" s="24">
        <f>Data!R598</f>
        <v>3</v>
      </c>
      <c r="R543" s="24">
        <f>Data!S598</f>
        <v>3</v>
      </c>
      <c r="S543" s="24">
        <f>'TMT E DK'!E598</f>
        <v>0</v>
      </c>
      <c r="T543" s="24">
        <f>'TMT E DD'!E598</f>
        <v>0</v>
      </c>
      <c r="U543" s="24">
        <f>TA!E598</f>
        <v>9618219000000</v>
      </c>
      <c r="V543" s="109">
        <f>PR!F598</f>
        <v>0</v>
      </c>
      <c r="W543" s="109">
        <f>'Z Score'!I598</f>
        <v>-7.0340723162988894E-2</v>
      </c>
      <c r="X543" s="109">
        <f>'Z Score'!L598</f>
        <v>7.6459799886028787E-2</v>
      </c>
      <c r="Y543" s="109">
        <f>'Z Score'!O598</f>
        <v>-0.1775058272222747</v>
      </c>
      <c r="Z543" s="109">
        <f>'Z Score'!R598</f>
        <v>0.16243425429049621</v>
      </c>
      <c r="AA543" s="109">
        <f>'Z Score'!S598</f>
        <v>-8.9524962087385862E-3</v>
      </c>
    </row>
    <row r="544" spans="1:27" ht="15" customHeight="1" x14ac:dyDescent="0.3">
      <c r="A544" s="22"/>
      <c r="B544" s="23"/>
      <c r="C544" s="3"/>
      <c r="D544" s="23">
        <v>2017</v>
      </c>
      <c r="E544" s="25">
        <f>'Current Ratio'!G599</f>
        <v>0.53915014830766184</v>
      </c>
      <c r="F544" s="25">
        <f>'Cash Ratio'!G599</f>
        <v>0.14914444056799361</v>
      </c>
      <c r="G544" s="25">
        <f>DAR!G599</f>
        <v>0.86792092111544716</v>
      </c>
      <c r="H544" s="25">
        <f>DER!G599</f>
        <v>6.5712217895922507</v>
      </c>
      <c r="I544" s="25">
        <f>NPM!G599</f>
        <v>0</v>
      </c>
      <c r="J544" s="25">
        <f>ROA!G599</f>
        <v>0</v>
      </c>
      <c r="K544" s="25">
        <f>ROE!G599</f>
        <v>0</v>
      </c>
      <c r="L544" s="25">
        <f>KM!E599</f>
        <v>0.97609999999999997</v>
      </c>
      <c r="M544" s="24">
        <f>KI!E599</f>
        <v>2</v>
      </c>
      <c r="N544" s="108">
        <f>IO!E599</f>
        <v>0</v>
      </c>
      <c r="O544" s="24">
        <f>'BoC Size'!E599</f>
        <v>3</v>
      </c>
      <c r="P544" s="24">
        <f>'TMT E DK'!E599</f>
        <v>0</v>
      </c>
      <c r="Q544" s="24">
        <f>Data!R599</f>
        <v>3</v>
      </c>
      <c r="R544" s="24">
        <f>Data!S599</f>
        <v>5</v>
      </c>
      <c r="S544" s="24">
        <f>'TMT E DK'!E599</f>
        <v>0</v>
      </c>
      <c r="T544" s="24">
        <f>'TMT E DD'!E599</f>
        <v>0</v>
      </c>
      <c r="U544" s="24">
        <f>TA!E599</f>
        <v>11742806000000</v>
      </c>
      <c r="V544" s="109">
        <f>PR!F599</f>
        <v>0</v>
      </c>
      <c r="W544" s="109">
        <f>'Z Score'!I599</f>
        <v>-0.19259948601722621</v>
      </c>
      <c r="X544" s="109">
        <f>'Z Score'!L599</f>
        <v>-3.5222073838229125E-2</v>
      </c>
      <c r="Y544" s="109">
        <f>'Z Score'!O599</f>
        <v>-0.20112949494354246</v>
      </c>
      <c r="Z544" s="109">
        <f>'Z Score'!R599</f>
        <v>0.15978763670144716</v>
      </c>
      <c r="AA544" s="109">
        <f>'Z Score'!S599</f>
        <v>-0.26916341809755062</v>
      </c>
    </row>
    <row r="545" spans="1:27" ht="15" customHeight="1" x14ac:dyDescent="0.3">
      <c r="A545" s="22"/>
      <c r="B545" s="23"/>
      <c r="C545" s="3"/>
      <c r="D545" s="23">
        <v>2018</v>
      </c>
      <c r="E545" s="25">
        <f>'Current Ratio'!G600</f>
        <v>0.56901007124720504</v>
      </c>
      <c r="F545" s="25">
        <f>'Cash Ratio'!G600</f>
        <v>0.16736342706635843</v>
      </c>
      <c r="G545" s="25">
        <f>DAR!G600</f>
        <v>0.87530500733451411</v>
      </c>
      <c r="H545" s="25">
        <f>DER!G600</f>
        <v>7.0195682170065865</v>
      </c>
      <c r="I545" s="25">
        <f>NPM!G600</f>
        <v>0</v>
      </c>
      <c r="J545" s="25">
        <f>ROA!G600</f>
        <v>0</v>
      </c>
      <c r="K545" s="25">
        <f>ROE!G600</f>
        <v>0</v>
      </c>
      <c r="L545" s="25">
        <f>KM!E600</f>
        <v>0.95860000000000001</v>
      </c>
      <c r="M545" s="24">
        <f>KI!E600</f>
        <v>2</v>
      </c>
      <c r="N545" s="108">
        <f>IO!E600</f>
        <v>0</v>
      </c>
      <c r="O545" s="24">
        <f>'BoC Size'!E600</f>
        <v>4</v>
      </c>
      <c r="P545" s="24">
        <f>'TMT E DK'!E600</f>
        <v>0</v>
      </c>
      <c r="Q545" s="24">
        <f>Data!R600</f>
        <v>4</v>
      </c>
      <c r="R545" s="24">
        <f>Data!S600</f>
        <v>5</v>
      </c>
      <c r="S545" s="24">
        <f>'TMT E DK'!E600</f>
        <v>0</v>
      </c>
      <c r="T545" s="24">
        <f>'TMT E DD'!E600</f>
        <v>0</v>
      </c>
      <c r="U545" s="24">
        <f>TA!E600</f>
        <v>11996023000000</v>
      </c>
      <c r="V545" s="109">
        <f>PR!F600</f>
        <v>0</v>
      </c>
      <c r="W545" s="109">
        <f>'Z Score'!I600</f>
        <v>-0.19900943504359736</v>
      </c>
      <c r="X545" s="109">
        <f>'Z Score'!L600</f>
        <v>1.3616099268899368E-2</v>
      </c>
      <c r="Y545" s="109">
        <f>'Z Score'!O600</f>
        <v>9.9892305975071899E-2</v>
      </c>
      <c r="Z545" s="109">
        <f>'Z Score'!R600</f>
        <v>0.14958184998560503</v>
      </c>
      <c r="AA545" s="109">
        <f>'Z Score'!S600</f>
        <v>6.4080820185978937E-2</v>
      </c>
    </row>
    <row r="546" spans="1:27" ht="15" customHeight="1" x14ac:dyDescent="0.3">
      <c r="A546" s="22"/>
      <c r="B546" s="23"/>
      <c r="C546" s="3"/>
      <c r="D546" s="23">
        <v>2019</v>
      </c>
      <c r="E546" s="25">
        <f>'Current Ratio'!G601</f>
        <v>0.4755726391156565</v>
      </c>
      <c r="F546" s="25">
        <f>'Cash Ratio'!G601</f>
        <v>0.16686124406036351</v>
      </c>
      <c r="G546" s="25">
        <f>DAR!G601</f>
        <v>0.89659273493378022</v>
      </c>
      <c r="H546" s="25">
        <f>DER!G601</f>
        <v>8.6705004175443765</v>
      </c>
      <c r="I546" s="25">
        <f>NPM!G601</f>
        <v>0</v>
      </c>
      <c r="J546" s="25">
        <f>ROA!G601</f>
        <v>0</v>
      </c>
      <c r="K546" s="25">
        <f>ROE!G601</f>
        <v>0</v>
      </c>
      <c r="L546" s="25">
        <f>KM!E601</f>
        <v>0.95860000000000001</v>
      </c>
      <c r="M546" s="24">
        <f>KI!E601</f>
        <v>2</v>
      </c>
      <c r="N546" s="108">
        <f>IO!E601</f>
        <v>0</v>
      </c>
      <c r="O546" s="24">
        <f>'BoC Size'!E601</f>
        <v>4</v>
      </c>
      <c r="P546" s="24">
        <f>'TMT E DK'!E601</f>
        <v>0</v>
      </c>
      <c r="Q546" s="24">
        <f>Data!R601</f>
        <v>4</v>
      </c>
      <c r="R546" s="24">
        <f>Data!S601</f>
        <v>6</v>
      </c>
      <c r="S546" s="24">
        <f>'TMT E DK'!E601</f>
        <v>0</v>
      </c>
      <c r="T546" s="24">
        <f>'TMT E DD'!E601</f>
        <v>0</v>
      </c>
      <c r="U546" s="24">
        <f>TA!E601</f>
        <v>13386719000000</v>
      </c>
      <c r="V546" s="109">
        <f>PR!F601</f>
        <v>0</v>
      </c>
      <c r="W546" s="109">
        <f>'Z Score'!I601</f>
        <v>-0.23861661696193068</v>
      </c>
      <c r="X546" s="109">
        <f>'Z Score'!L601</f>
        <v>-6.1350508664595113E-2</v>
      </c>
      <c r="Y546" s="109">
        <f>'Z Score'!O601</f>
        <v>-0.15161706464444349</v>
      </c>
      <c r="Z546" s="109">
        <f>'Z Score'!R601</f>
        <v>0.12110027673551242</v>
      </c>
      <c r="AA546" s="109">
        <f>'Z Score'!S601</f>
        <v>-0.33048391353545686</v>
      </c>
    </row>
    <row r="547" spans="1:27" ht="15" customHeight="1" x14ac:dyDescent="0.3">
      <c r="A547" s="22"/>
      <c r="B547" s="23"/>
      <c r="C547" s="3"/>
      <c r="D547" s="23">
        <v>2020</v>
      </c>
      <c r="E547" s="25">
        <f>'Current Ratio'!G602</f>
        <v>0.52127422902500042</v>
      </c>
      <c r="F547" s="25">
        <f>'Cash Ratio'!G602</f>
        <v>0.21499116656683964</v>
      </c>
      <c r="G547" s="25">
        <f>DAR!G602</f>
        <v>0.92236654550045849</v>
      </c>
      <c r="H547" s="25">
        <f>DER!G602</f>
        <v>11.881044730605236</v>
      </c>
      <c r="I547" s="25">
        <f>NPM!G602</f>
        <v>0</v>
      </c>
      <c r="J547" s="25">
        <f>ROA!G602</f>
        <v>0</v>
      </c>
      <c r="K547" s="25">
        <f>ROE!G602</f>
        <v>0</v>
      </c>
      <c r="L547" s="25">
        <f>KM!E602</f>
        <v>0.95860000000000001</v>
      </c>
      <c r="M547" s="24">
        <f>KI!E602</f>
        <v>2</v>
      </c>
      <c r="N547" s="108">
        <f>IO!E602</f>
        <v>0</v>
      </c>
      <c r="O547" s="24">
        <f>'BoC Size'!E602</f>
        <v>4</v>
      </c>
      <c r="P547" s="24">
        <f>'TMT E DK'!E602</f>
        <v>0</v>
      </c>
      <c r="Q547" s="24">
        <f>Data!R602</f>
        <v>4</v>
      </c>
      <c r="R547" s="24">
        <f>Data!S602</f>
        <v>6</v>
      </c>
      <c r="S547" s="24">
        <f>'TMT E DK'!E602</f>
        <v>0</v>
      </c>
      <c r="T547" s="24">
        <f>'TMT E DD'!E602</f>
        <v>0</v>
      </c>
      <c r="U547" s="24">
        <f>TA!E602</f>
        <v>14446272000000</v>
      </c>
      <c r="V547" s="109">
        <f>PR!F602</f>
        <v>0</v>
      </c>
      <c r="W547" s="109">
        <f>'Z Score'!I602</f>
        <v>-0.21594962631189557</v>
      </c>
      <c r="X547" s="109">
        <f>'Z Score'!L602</f>
        <v>-0.12898804895823643</v>
      </c>
      <c r="Y547" s="109">
        <f>'Z Score'!O602</f>
        <v>-0.14033678446591619</v>
      </c>
      <c r="Z547" s="109">
        <f>'Z Score'!R602</f>
        <v>8.8376066567212697E-2</v>
      </c>
      <c r="AA547" s="109">
        <f>'Z Score'!S602</f>
        <v>-0.39689839316883546</v>
      </c>
    </row>
    <row r="548" spans="1:27" ht="15" customHeight="1" x14ac:dyDescent="0.3">
      <c r="A548" s="22"/>
      <c r="B548" s="23"/>
      <c r="C548" s="3"/>
      <c r="D548" s="23">
        <v>2021</v>
      </c>
      <c r="E548" s="25">
        <f>'Current Ratio'!G603</f>
        <v>0.93612033092796898</v>
      </c>
      <c r="F548" s="25">
        <f>'Cash Ratio'!G603</f>
        <v>0.54885039708668715</v>
      </c>
      <c r="G548" s="25">
        <f>DAR!G603</f>
        <v>0.91960047190751903</v>
      </c>
      <c r="H548" s="25">
        <f>DER!G603</f>
        <v>11.437883949390004</v>
      </c>
      <c r="I548" s="25">
        <f>NPM!G603</f>
        <v>0</v>
      </c>
      <c r="J548" s="25">
        <f>ROA!G603</f>
        <v>0</v>
      </c>
      <c r="K548" s="25">
        <f>ROE!G603</f>
        <v>0</v>
      </c>
      <c r="L548" s="25">
        <f>KM!E603</f>
        <v>0.95860000000000001</v>
      </c>
      <c r="M548" s="24">
        <f>KI!E603</f>
        <v>2</v>
      </c>
      <c r="N548" s="108">
        <f>IO!E603</f>
        <v>0</v>
      </c>
      <c r="O548" s="24">
        <f>'BoC Size'!E603</f>
        <v>4</v>
      </c>
      <c r="P548" s="24">
        <f>'TMT E DK'!E603</f>
        <v>0</v>
      </c>
      <c r="Q548" s="24">
        <f>Data!R603</f>
        <v>4</v>
      </c>
      <c r="R548" s="24">
        <f>Data!S603</f>
        <v>6</v>
      </c>
      <c r="S548" s="24">
        <f>'TMT E DK'!E603</f>
        <v>0</v>
      </c>
      <c r="T548" s="24">
        <f>'TMT E DD'!E603</f>
        <v>0</v>
      </c>
      <c r="U548" s="24">
        <f>TA!E603</f>
        <v>15389456000000</v>
      </c>
      <c r="V548" s="109">
        <f>PR!F603</f>
        <v>0</v>
      </c>
      <c r="W548" s="109">
        <f>'Z Score'!I603</f>
        <v>-3.039531481814562E-2</v>
      </c>
      <c r="X548" s="109">
        <f>'Z Score'!L603</f>
        <v>-0.14966407389578942</v>
      </c>
      <c r="Y548" s="109">
        <f>'Z Score'!O603</f>
        <v>-6.1753699416015745E-2</v>
      </c>
      <c r="Z548" s="109">
        <f>'Z Score'!R603</f>
        <v>9.1800197015987184E-2</v>
      </c>
      <c r="AA548" s="109">
        <f>'Z Score'!S603</f>
        <v>-0.1500128911139636</v>
      </c>
    </row>
    <row r="549" spans="1:27" ht="15" customHeight="1" x14ac:dyDescent="0.3">
      <c r="A549" s="22"/>
      <c r="B549" s="23"/>
      <c r="C549" s="3"/>
      <c r="D549" s="23">
        <v>2022</v>
      </c>
      <c r="E549" s="25">
        <f>'Current Ratio'!G604</f>
        <v>0.51224626464227296</v>
      </c>
      <c r="F549" s="25">
        <f>'Cash Ratio'!G604</f>
        <v>0.18107931071077005</v>
      </c>
      <c r="G549" s="25">
        <f>DAR!G604</f>
        <v>0.65445245190290824</v>
      </c>
      <c r="H549" s="25">
        <f>DER!G604</f>
        <v>1.8939577360827364</v>
      </c>
      <c r="I549" s="25">
        <f>NPM!G604</f>
        <v>0</v>
      </c>
      <c r="J549" s="25">
        <f>ROA!G604</f>
        <v>0</v>
      </c>
      <c r="K549" s="25">
        <f>ROE!G604</f>
        <v>0</v>
      </c>
      <c r="L549" s="25">
        <f>KM!E604</f>
        <v>0.95860000000000001</v>
      </c>
      <c r="M549" s="24">
        <f>KI!E604</f>
        <v>2</v>
      </c>
      <c r="N549" s="108">
        <f>IO!E604</f>
        <v>0</v>
      </c>
      <c r="O549" s="24">
        <f>'BoC Size'!E604</f>
        <v>4</v>
      </c>
      <c r="P549" s="24">
        <f>'TMT E DK'!E604</f>
        <v>0</v>
      </c>
      <c r="Q549" s="24">
        <f>Data!R604</f>
        <v>4</v>
      </c>
      <c r="R549" s="24">
        <f>Data!S604</f>
        <v>7</v>
      </c>
      <c r="S549" s="24">
        <f>'TMT E DK'!E604</f>
        <v>0</v>
      </c>
      <c r="T549" s="24">
        <f>'TMT E DD'!E604</f>
        <v>0</v>
      </c>
      <c r="U549" s="24">
        <f>TA!E604</f>
        <v>20936453000000</v>
      </c>
      <c r="V549" s="109">
        <f>PR!F604</f>
        <v>0</v>
      </c>
      <c r="W549" s="109">
        <f>'Z Score'!I604</f>
        <v>-0.16705078362605164</v>
      </c>
      <c r="X549" s="109">
        <f>'Z Score'!L604</f>
        <v>-0.12244821985844496</v>
      </c>
      <c r="Y549" s="109">
        <f>'Z Score'!O604</f>
        <v>-1.8365976318911327E-2</v>
      </c>
      <c r="Z549" s="109">
        <f>'Z Score'!R604</f>
        <v>0.55439463088110408</v>
      </c>
      <c r="AA549" s="109">
        <f>'Z Score'!S604</f>
        <v>0.24652965107769614</v>
      </c>
    </row>
    <row r="550" spans="1:27" ht="15" customHeight="1" x14ac:dyDescent="0.3">
      <c r="A550" s="22"/>
      <c r="B550" s="23"/>
      <c r="C550" s="3"/>
      <c r="D550" s="23">
        <v>2023</v>
      </c>
      <c r="E550" s="25">
        <f>'Current Ratio'!G605</f>
        <v>0.85564749963820996</v>
      </c>
      <c r="F550" s="25">
        <f>'Cash Ratio'!G605</f>
        <v>0.49765315925563652</v>
      </c>
      <c r="G550" s="25">
        <f>DAR!G605</f>
        <v>0.62123925673299452</v>
      </c>
      <c r="H550" s="25">
        <f>DER!G605</f>
        <v>1.8074007712183915</v>
      </c>
      <c r="I550" s="25">
        <f>NPM!G605</f>
        <v>0</v>
      </c>
      <c r="J550" s="25">
        <f>ROA!G605</f>
        <v>0</v>
      </c>
      <c r="K550" s="25">
        <f>ROE!G605</f>
        <v>0</v>
      </c>
      <c r="L550" s="25">
        <f>KM!E605</f>
        <v>0.95860000000000001</v>
      </c>
      <c r="M550" s="24">
        <f>KI!E605</f>
        <v>2</v>
      </c>
      <c r="N550" s="108">
        <f>IO!E605</f>
        <v>0</v>
      </c>
      <c r="O550" s="24">
        <f>'BoC Size'!E605</f>
        <v>3</v>
      </c>
      <c r="P550" s="24">
        <f>'TMT E DK'!E605</f>
        <v>0</v>
      </c>
      <c r="Q550" s="24">
        <f>Data!R605</f>
        <v>3</v>
      </c>
      <c r="R550" s="24">
        <f>Data!S605</f>
        <v>8</v>
      </c>
      <c r="S550" s="24">
        <f>'TMT E DK'!E605</f>
        <v>0</v>
      </c>
      <c r="T550" s="24">
        <f>'TMT E DD'!E605</f>
        <v>0</v>
      </c>
      <c r="U550" s="24">
        <f>TA!E605</f>
        <v>20527159000000</v>
      </c>
      <c r="V550" s="109">
        <f>PR!F605</f>
        <v>0</v>
      </c>
      <c r="W550" s="109">
        <f>'Z Score'!I605</f>
        <v>-5.2916454731996763E-2</v>
      </c>
      <c r="X550" s="109">
        <f>'Z Score'!L605</f>
        <v>-0.15730239727767489</v>
      </c>
      <c r="Y550" s="109">
        <f>'Z Score'!O605</f>
        <v>-5.1035855473229391E-2</v>
      </c>
      <c r="Z550" s="109">
        <f>'Z Score'!R605</f>
        <v>0.58094475598357853</v>
      </c>
      <c r="AA550" s="109">
        <f>'Z Score'!S605</f>
        <v>0.3196900485006775</v>
      </c>
    </row>
    <row r="551" spans="1:27" ht="15" customHeight="1" x14ac:dyDescent="0.3">
      <c r="A551" s="22"/>
      <c r="B551" s="23"/>
      <c r="C551" s="3"/>
      <c r="D551" s="23">
        <v>2024</v>
      </c>
      <c r="E551" s="25">
        <f>'Current Ratio'!G606</f>
        <v>0.87395266914148284</v>
      </c>
      <c r="F551" s="25">
        <f>'Cash Ratio'!G606</f>
        <v>0.48301559395587157</v>
      </c>
      <c r="G551" s="25">
        <f>DAR!G606</f>
        <v>0.59042714833852461</v>
      </c>
      <c r="H551" s="25">
        <f>DER!G606</f>
        <v>1.6218193347373704</v>
      </c>
      <c r="I551" s="25">
        <f>NPM!G606</f>
        <v>0</v>
      </c>
      <c r="J551" s="25">
        <f>ROA!G606</f>
        <v>0</v>
      </c>
      <c r="K551" s="25">
        <f>ROE!G606</f>
        <v>0</v>
      </c>
      <c r="L551" s="25">
        <f>KM!E606</f>
        <v>0.95860000000000001</v>
      </c>
      <c r="M551" s="24">
        <f>KI!E606</f>
        <v>3</v>
      </c>
      <c r="N551" s="108">
        <f>IO!E606</f>
        <v>0</v>
      </c>
      <c r="O551" s="24">
        <f>'BoC Size'!E606</f>
        <v>6</v>
      </c>
      <c r="P551" s="24">
        <f>'TMT E DK'!E606</f>
        <v>0</v>
      </c>
      <c r="Q551" s="24">
        <f>Data!R606</f>
        <v>6</v>
      </c>
      <c r="R551" s="24">
        <f>Data!S606</f>
        <v>7</v>
      </c>
      <c r="S551" s="24">
        <f>'TMT E DK'!E606</f>
        <v>0</v>
      </c>
      <c r="T551" s="24">
        <f>'TMT E DD'!E606</f>
        <v>0</v>
      </c>
      <c r="U551" s="24">
        <f>TA!E606</f>
        <v>19441396000000</v>
      </c>
      <c r="V551" s="109">
        <f>PR!F606</f>
        <v>0</v>
      </c>
      <c r="W551" s="109">
        <f>'Z Score'!I606</f>
        <v>-5.2061199720431592E-2</v>
      </c>
      <c r="X551" s="109">
        <f>'Z Score'!L606</f>
        <v>-0.15737509281740877</v>
      </c>
      <c r="Y551" s="109">
        <f>'Z Score'!O606</f>
        <v>1.6971620762212754E-2</v>
      </c>
      <c r="Z551" s="109">
        <f>'Z Score'!R606</f>
        <v>0.64742106442455993</v>
      </c>
      <c r="AA551" s="109">
        <f>'Z Score'!S606</f>
        <v>0.45495639264893234</v>
      </c>
    </row>
    <row r="552" spans="1:27" ht="15" customHeight="1" x14ac:dyDescent="0.3">
      <c r="A552" s="22"/>
      <c r="B552" s="23">
        <v>56</v>
      </c>
      <c r="C552" s="3" t="s">
        <v>47</v>
      </c>
      <c r="D552" s="23">
        <v>2015</v>
      </c>
      <c r="E552" s="25">
        <f>'Current Ratio'!G608</f>
        <v>0.57294943847584912</v>
      </c>
      <c r="F552" s="25">
        <f>'Cash Ratio'!G608</f>
        <v>0.31756065727059329</v>
      </c>
      <c r="G552" s="25">
        <f>DAR!G608</f>
        <v>0.38191321090346775</v>
      </c>
      <c r="H552" s="25">
        <f>DER!G608</f>
        <v>0.61789576745640629</v>
      </c>
      <c r="I552" s="25">
        <f>NPM!G608</f>
        <v>0</v>
      </c>
      <c r="J552" s="25">
        <f>ROA!G608</f>
        <v>0</v>
      </c>
      <c r="K552" s="25">
        <f>ROE!G608</f>
        <v>0</v>
      </c>
      <c r="L552" s="25">
        <f>KM!E608</f>
        <v>0.96199999999999997</v>
      </c>
      <c r="M552" s="24">
        <f>KI!E608</f>
        <v>2</v>
      </c>
      <c r="N552" s="108">
        <f>IO!E608</f>
        <v>0</v>
      </c>
      <c r="O552" s="24">
        <f>'BoC Size'!E608</f>
        <v>4</v>
      </c>
      <c r="P552" s="24">
        <f>'TMT E DK'!E608</f>
        <v>0</v>
      </c>
      <c r="Q552" s="24">
        <f>Data!R608</f>
        <v>4</v>
      </c>
      <c r="R552" s="24">
        <f>Data!S608</f>
        <v>5</v>
      </c>
      <c r="S552" s="24">
        <f>'TMT E DK'!E608</f>
        <v>0</v>
      </c>
      <c r="T552" s="24">
        <f>'TMT E DD'!E608</f>
        <v>0</v>
      </c>
      <c r="U552" s="24">
        <f>TA!E608</f>
        <v>791528000000</v>
      </c>
      <c r="V552" s="109">
        <f>PR!F608</f>
        <v>0</v>
      </c>
      <c r="W552" s="109">
        <f>'Z Score'!I608</f>
        <v>-0.3633688764010875</v>
      </c>
      <c r="X552" s="109">
        <f>'Z Score'!L608</f>
        <v>-2.214250411861614</v>
      </c>
      <c r="Y552" s="109">
        <f>'Z Score'!O608</f>
        <v>-1.0992308547518219</v>
      </c>
      <c r="Z552" s="109">
        <f>'Z Score'!R608</f>
        <v>1.69931573463008</v>
      </c>
      <c r="AA552" s="109">
        <f>'Z Score'!S608</f>
        <v>-1.9775344083844437</v>
      </c>
    </row>
    <row r="553" spans="1:27" ht="15" customHeight="1" x14ac:dyDescent="0.3">
      <c r="A553" s="22"/>
      <c r="B553" s="23"/>
      <c r="C553" s="3"/>
      <c r="D553" s="23">
        <v>2016</v>
      </c>
      <c r="E553" s="25">
        <f>'Current Ratio'!G609</f>
        <v>0.48948055954889491</v>
      </c>
      <c r="F553" s="25">
        <f>'Cash Ratio'!G609</f>
        <v>0.30496858937749854</v>
      </c>
      <c r="G553" s="25">
        <f>DAR!G609</f>
        <v>0.4850481572485692</v>
      </c>
      <c r="H553" s="25">
        <f>DER!G609</f>
        <v>0.94192916109769853</v>
      </c>
      <c r="I553" s="25">
        <f>NPM!G609</f>
        <v>-0.65782114183764495</v>
      </c>
      <c r="J553" s="25">
        <f>ROA!G609</f>
        <v>-0.24727651037881132</v>
      </c>
      <c r="K553" s="25">
        <f>ROE!G609</f>
        <v>-0.48019346635909138</v>
      </c>
      <c r="L553" s="25">
        <f>KM!E609</f>
        <v>0.96199999999999997</v>
      </c>
      <c r="M553" s="24">
        <f>KI!E609</f>
        <v>2</v>
      </c>
      <c r="N553" s="108">
        <f>IO!E609</f>
        <v>0</v>
      </c>
      <c r="O553" s="24">
        <f>'BoC Size'!E609</f>
        <v>4</v>
      </c>
      <c r="P553" s="24">
        <f>'TMT E DK'!E609</f>
        <v>0</v>
      </c>
      <c r="Q553" s="24">
        <f>Data!R609</f>
        <v>4</v>
      </c>
      <c r="R553" s="24">
        <f>Data!S609</f>
        <v>6</v>
      </c>
      <c r="S553" s="24">
        <f>'TMT E DK'!E609</f>
        <v>0</v>
      </c>
      <c r="T553" s="24">
        <f>'TMT E DD'!E609</f>
        <v>0</v>
      </c>
      <c r="U553" s="24">
        <f>TA!E609</f>
        <v>1192863000000</v>
      </c>
      <c r="V553" s="109">
        <f>PR!F609</f>
        <v>0</v>
      </c>
      <c r="W553" s="109">
        <f>'Z Score'!I609</f>
        <v>-0.42769183049520354</v>
      </c>
      <c r="X553" s="109">
        <f>'Z Score'!L609</f>
        <v>-2.2833579883020931</v>
      </c>
      <c r="Y553" s="109">
        <f>'Z Score'!O609</f>
        <v>-1.6498790556836787</v>
      </c>
      <c r="Z553" s="109">
        <f>'Z Score'!R609</f>
        <v>1.1147335100830287</v>
      </c>
      <c r="AA553" s="109">
        <f>'Z Score'!S609</f>
        <v>-3.2461953643979466</v>
      </c>
    </row>
    <row r="554" spans="1:27" ht="15" customHeight="1" x14ac:dyDescent="0.3">
      <c r="A554" s="22"/>
      <c r="B554" s="23"/>
      <c r="C554" s="3"/>
      <c r="D554" s="23">
        <v>2017</v>
      </c>
      <c r="E554" s="25">
        <f>'Current Ratio'!G610</f>
        <v>0.4540068519615672</v>
      </c>
      <c r="F554" s="25">
        <f>'Cash Ratio'!G610</f>
        <v>0.16058318951083175</v>
      </c>
      <c r="G554" s="25">
        <f>DAR!G610</f>
        <v>0.364490234877623</v>
      </c>
      <c r="H554" s="25">
        <f>DER!G610</f>
        <v>0.57353994365048799</v>
      </c>
      <c r="I554" s="25">
        <f>NPM!G610</f>
        <v>-0.44252106601060304</v>
      </c>
      <c r="J554" s="25">
        <f>ROA!G610</f>
        <v>-0.11055966879264416</v>
      </c>
      <c r="K554" s="25">
        <f>ROE!G610</f>
        <v>-0.17397005500199392</v>
      </c>
      <c r="L554" s="25">
        <f>KM!E610</f>
        <v>0.97799999999999998</v>
      </c>
      <c r="M554" s="24">
        <f>KI!E610</f>
        <v>2</v>
      </c>
      <c r="N554" s="108">
        <f>IO!E610</f>
        <v>0</v>
      </c>
      <c r="O554" s="24">
        <f>'BoC Size'!E610</f>
        <v>4</v>
      </c>
      <c r="P554" s="24">
        <f>'TMT E DK'!E610</f>
        <v>0</v>
      </c>
      <c r="Q554" s="24">
        <f>Data!R610</f>
        <v>4</v>
      </c>
      <c r="R554" s="24">
        <f>Data!S610</f>
        <v>5</v>
      </c>
      <c r="S554" s="24">
        <f>'TMT E DK'!E610</f>
        <v>0</v>
      </c>
      <c r="T554" s="24">
        <f>'TMT E DD'!E610</f>
        <v>0</v>
      </c>
      <c r="U554" s="24">
        <f>TA!E610</f>
        <v>2300432000000</v>
      </c>
      <c r="V554" s="109">
        <f>PR!F610</f>
        <v>0.28175958965209635</v>
      </c>
      <c r="W554" s="109">
        <f>'Z Score'!I610</f>
        <v>-0.24177330171028744</v>
      </c>
      <c r="X554" s="109">
        <f>'Z Score'!L610</f>
        <v>-1.5524464100655875</v>
      </c>
      <c r="Y554" s="109">
        <f>'Z Score'!O610</f>
        <v>-0.75435069586929759</v>
      </c>
      <c r="Z554" s="109">
        <f>'Z Score'!R610</f>
        <v>1.8307356124438721</v>
      </c>
      <c r="AA554" s="109">
        <f>'Z Score'!S610</f>
        <v>-0.71783479520130045</v>
      </c>
    </row>
    <row r="555" spans="1:27" ht="15" customHeight="1" x14ac:dyDescent="0.3">
      <c r="A555" s="22"/>
      <c r="B555" s="23"/>
      <c r="C555" s="3"/>
      <c r="D555" s="23">
        <v>2018</v>
      </c>
      <c r="E555" s="25">
        <f>'Current Ratio'!G611</f>
        <v>0.54873737047885729</v>
      </c>
      <c r="F555" s="25">
        <f>'Cash Ratio'!G611</f>
        <v>0.18397486354310488</v>
      </c>
      <c r="G555" s="25">
        <f>DAR!G611</f>
        <v>0.4453645975837135</v>
      </c>
      <c r="H555" s="25">
        <f>DER!G611</f>
        <v>0.80298624221149362</v>
      </c>
      <c r="I555" s="25">
        <f>NPM!G611</f>
        <v>-0.42014697848192728</v>
      </c>
      <c r="J555" s="25">
        <f>ROA!G611</f>
        <v>-0.10081773482758723</v>
      </c>
      <c r="K555" s="25">
        <f>ROE!G611</f>
        <v>-0.18177298886506632</v>
      </c>
      <c r="L555" s="25">
        <f>KM!E611</f>
        <v>0.97799999999999998</v>
      </c>
      <c r="M555" s="24">
        <f>KI!E611</f>
        <v>2</v>
      </c>
      <c r="N555" s="108">
        <f>IO!E611</f>
        <v>0</v>
      </c>
      <c r="O555" s="24">
        <f>'BoC Size'!E611</f>
        <v>4</v>
      </c>
      <c r="P555" s="24">
        <f>'TMT E DK'!E611</f>
        <v>0</v>
      </c>
      <c r="Q555" s="24">
        <f>Data!R611</f>
        <v>4</v>
      </c>
      <c r="R555" s="24">
        <f>Data!S611</f>
        <v>5</v>
      </c>
      <c r="S555" s="24">
        <f>'TMT E DK'!E611</f>
        <v>0</v>
      </c>
      <c r="T555" s="24">
        <f>'TMT E DD'!E611</f>
        <v>0</v>
      </c>
      <c r="U555" s="24">
        <f>TA!E611</f>
        <v>2364703000000</v>
      </c>
      <c r="V555" s="109">
        <f>PR!F611</f>
        <v>-1.2720512369919668E-2</v>
      </c>
      <c r="W555" s="109">
        <f>'Z Score'!I611</f>
        <v>-0.19403116585888375</v>
      </c>
      <c r="X555" s="109">
        <f>'Z Score'!L611</f>
        <v>-1.8193594798162813</v>
      </c>
      <c r="Y555" s="109">
        <f>'Z Score'!O611</f>
        <v>-0.5985018160843032</v>
      </c>
      <c r="Z555" s="109">
        <f>'Z Score'!R611</f>
        <v>1.3076189164937735</v>
      </c>
      <c r="AA555" s="109">
        <f>'Z Score'!S611</f>
        <v>-1.3042735452656946</v>
      </c>
    </row>
    <row r="556" spans="1:27" ht="15" customHeight="1" x14ac:dyDescent="0.3">
      <c r="A556" s="22"/>
      <c r="B556" s="23"/>
      <c r="C556" s="3"/>
      <c r="D556" s="23">
        <v>2019</v>
      </c>
      <c r="E556" s="25">
        <f>'Current Ratio'!G612</f>
        <v>0.61034636705234568</v>
      </c>
      <c r="F556" s="25">
        <f>'Cash Ratio'!G612</f>
        <v>0.24499299329092103</v>
      </c>
      <c r="G556" s="25">
        <f>DAR!G612</f>
        <v>0.52837817851122892</v>
      </c>
      <c r="H556" s="25">
        <f>DER!G612</f>
        <v>1.1203429409676056</v>
      </c>
      <c r="I556" s="25">
        <f>NPM!G612</f>
        <v>0.19707775131709776</v>
      </c>
      <c r="J556" s="25">
        <f>ROA!G612</f>
        <v>6.274902386921416E-2</v>
      </c>
      <c r="K556" s="25">
        <f>ROE!G612</f>
        <v>0.13304944981369604</v>
      </c>
      <c r="L556" s="25">
        <f>KM!E612</f>
        <v>0.97799999999999998</v>
      </c>
      <c r="M556" s="24">
        <f>KI!E612</f>
        <v>2</v>
      </c>
      <c r="N556" s="108">
        <f>IO!E612</f>
        <v>0</v>
      </c>
      <c r="O556" s="24">
        <f>'BoC Size'!E612</f>
        <v>4</v>
      </c>
      <c r="P556" s="24">
        <f>'TMT E DK'!E612</f>
        <v>0</v>
      </c>
      <c r="Q556" s="24">
        <f>Data!R612</f>
        <v>4</v>
      </c>
      <c r="R556" s="24">
        <f>Data!S612</f>
        <v>6</v>
      </c>
      <c r="S556" s="24">
        <f>'TMT E DK'!E612</f>
        <v>0</v>
      </c>
      <c r="T556" s="24">
        <f>'TMT E DD'!E612</f>
        <v>0</v>
      </c>
      <c r="U556" s="24">
        <f>TA!E612</f>
        <v>2454333000000</v>
      </c>
      <c r="V556" s="109">
        <f>PR!F612</f>
        <v>0.37717956399908359</v>
      </c>
      <c r="W556" s="109">
        <f>'Z Score'!I612</f>
        <v>-0.16796292923576384</v>
      </c>
      <c r="X556" s="109">
        <f>'Z Score'!L612</f>
        <v>-2.0031124301388603</v>
      </c>
      <c r="Y556" s="109">
        <f>'Z Score'!O612</f>
        <v>-0.47490866153859318</v>
      </c>
      <c r="Z556" s="109">
        <f>'Z Score'!R612</f>
        <v>0.93721302790835403</v>
      </c>
      <c r="AA556" s="109">
        <f>'Z Score'!S612</f>
        <v>-1.7087709930048636</v>
      </c>
    </row>
    <row r="557" spans="1:27" ht="15" customHeight="1" x14ac:dyDescent="0.3">
      <c r="A557" s="22"/>
      <c r="B557" s="23"/>
      <c r="C557" s="3"/>
      <c r="D557" s="23">
        <v>2020</v>
      </c>
      <c r="E557" s="25">
        <f>'Current Ratio'!G613</f>
        <v>0.50854835461600822</v>
      </c>
      <c r="F557" s="25">
        <f>'Cash Ratio'!G613</f>
        <v>0.1762133190129245</v>
      </c>
      <c r="G557" s="25">
        <f>DAR!G613</f>
        <v>0.57760482729093476</v>
      </c>
      <c r="H557" s="25">
        <f>DER!G613</f>
        <v>1.366154715557081</v>
      </c>
      <c r="I557" s="25">
        <f>NPM!G613</f>
        <v>-0.17004636529226694</v>
      </c>
      <c r="J557" s="25">
        <f>ROA!G613</f>
        <v>-4.1167231379315321E-2</v>
      </c>
      <c r="K557" s="25">
        <f>ROE!G613</f>
        <v>-9.7369004928611932E-2</v>
      </c>
      <c r="L557" s="25">
        <f>KM!E613</f>
        <v>0.97799999999999998</v>
      </c>
      <c r="M557" s="24">
        <f>KI!E613</f>
        <v>2</v>
      </c>
      <c r="N557" s="108">
        <f>IO!E613</f>
        <v>0</v>
      </c>
      <c r="O557" s="24">
        <f>'BoC Size'!E613</f>
        <v>4</v>
      </c>
      <c r="P557" s="24">
        <f>'TMT E DK'!E613</f>
        <v>0</v>
      </c>
      <c r="Q557" s="24">
        <f>Data!R613</f>
        <v>4</v>
      </c>
      <c r="R557" s="24">
        <f>Data!S613</f>
        <v>6</v>
      </c>
      <c r="S557" s="24">
        <f>'TMT E DK'!E613</f>
        <v>0</v>
      </c>
      <c r="T557" s="24">
        <f>'TMT E DD'!E613</f>
        <v>0</v>
      </c>
      <c r="U557" s="24">
        <f>TA!E613</f>
        <v>2494484000000</v>
      </c>
      <c r="V557" s="109">
        <f>PR!F613</f>
        <v>-0.22720880206487146</v>
      </c>
      <c r="W557" s="109">
        <f>'Z Score'!I613</f>
        <v>-0.2502940728423193</v>
      </c>
      <c r="X557" s="109">
        <f>'Z Score'!L613</f>
        <v>-2.1393918261251623</v>
      </c>
      <c r="Y557" s="109">
        <f>'Z Score'!O613</f>
        <v>-0.32289073010690789</v>
      </c>
      <c r="Z557" s="109">
        <f>'Z Score'!R613</f>
        <v>0.76858059196599737</v>
      </c>
      <c r="AA557" s="109">
        <f>'Z Score'!S613</f>
        <v>-1.9439960371083924</v>
      </c>
    </row>
    <row r="558" spans="1:27" ht="15" customHeight="1" x14ac:dyDescent="0.3">
      <c r="A558" s="22"/>
      <c r="B558" s="23"/>
      <c r="C558" s="3"/>
      <c r="D558" s="23">
        <v>2021</v>
      </c>
      <c r="E558" s="25">
        <f>'Current Ratio'!G614</f>
        <v>0.57479214664930378</v>
      </c>
      <c r="F558" s="25">
        <f>'Cash Ratio'!G614</f>
        <v>0.16311229089452067</v>
      </c>
      <c r="G558" s="25">
        <f>DAR!G614</f>
        <v>0.63623691024834095</v>
      </c>
      <c r="H558" s="25">
        <f>DER!G614</f>
        <v>1.7490419676243119</v>
      </c>
      <c r="I558" s="25">
        <f>NPM!G614</f>
        <v>-0.32279953761390762</v>
      </c>
      <c r="J558" s="25">
        <f>ROA!G614</f>
        <v>-8.1745947932463425E-2</v>
      </c>
      <c r="K558" s="25">
        <f>ROE!G614</f>
        <v>-0.22472304154957382</v>
      </c>
      <c r="L558" s="25">
        <f>KM!E614</f>
        <v>0.98</v>
      </c>
      <c r="M558" s="24">
        <f>KI!E614</f>
        <v>2</v>
      </c>
      <c r="N558" s="108">
        <f>IO!E614</f>
        <v>0</v>
      </c>
      <c r="O558" s="24">
        <f>'BoC Size'!E614</f>
        <v>3</v>
      </c>
      <c r="P558" s="24">
        <f>'TMT E DK'!E614</f>
        <v>0</v>
      </c>
      <c r="Q558" s="24">
        <f>Data!R614</f>
        <v>3</v>
      </c>
      <c r="R558" s="24">
        <f>Data!S614</f>
        <v>6</v>
      </c>
      <c r="S558" s="24">
        <f>'TMT E DK'!E614</f>
        <v>0</v>
      </c>
      <c r="T558" s="24">
        <f>'TMT E DD'!E614</f>
        <v>0</v>
      </c>
      <c r="U558" s="24">
        <f>TA!E614</f>
        <v>2367310000000</v>
      </c>
      <c r="V558" s="109">
        <f>PR!F614</f>
        <v>-7.2876304023845005E-3</v>
      </c>
      <c r="W558" s="109">
        <f>'Z Score'!I614</f>
        <v>-0.23525618529047734</v>
      </c>
      <c r="X558" s="109">
        <f>'Z Score'!L614</f>
        <v>-2.5455585875952029</v>
      </c>
      <c r="Y558" s="109">
        <f>'Z Score'!O614</f>
        <v>-0.58524755946622953</v>
      </c>
      <c r="Z558" s="109">
        <f>'Z Score'!R614</f>
        <v>0.60032864816056619</v>
      </c>
      <c r="AA558" s="109">
        <f>'Z Score'!S614</f>
        <v>-2.7657336841913436</v>
      </c>
    </row>
    <row r="559" spans="1:27" ht="15" customHeight="1" x14ac:dyDescent="0.3">
      <c r="A559" s="22"/>
      <c r="B559" s="23"/>
      <c r="C559" s="3"/>
      <c r="D559" s="23">
        <v>2022</v>
      </c>
      <c r="E559" s="25">
        <f>'Current Ratio'!G615</f>
        <v>0.8800322360014633</v>
      </c>
      <c r="F559" s="25">
        <f>'Cash Ratio'!G615</f>
        <v>0.28465237607961447</v>
      </c>
      <c r="G559" s="25">
        <f>DAR!G615</f>
        <v>0.69303765409278983</v>
      </c>
      <c r="H559" s="25">
        <f>DER!G615</f>
        <v>2.2577285563952656</v>
      </c>
      <c r="I559" s="25">
        <f>NPM!G615</f>
        <v>-0.20630122913582521</v>
      </c>
      <c r="J559" s="25">
        <f>ROA!G615</f>
        <v>-7.5665869246847053E-2</v>
      </c>
      <c r="K559" s="25">
        <f>ROE!G615</f>
        <v>-0.24649886298992396</v>
      </c>
      <c r="L559" s="25">
        <f>KM!E615</f>
        <v>0.97799999999999998</v>
      </c>
      <c r="M559" s="24">
        <f>KI!E615</f>
        <v>2</v>
      </c>
      <c r="N559" s="108">
        <f>IO!E615</f>
        <v>0</v>
      </c>
      <c r="O559" s="24">
        <f>'BoC Size'!E615</f>
        <v>4</v>
      </c>
      <c r="P559" s="24">
        <f>'TMT E DK'!E615</f>
        <v>0</v>
      </c>
      <c r="Q559" s="24">
        <f>Data!R615</f>
        <v>4</v>
      </c>
      <c r="R559" s="24">
        <f>Data!S615</f>
        <v>6</v>
      </c>
      <c r="S559" s="24">
        <f>'TMT E DK'!E615</f>
        <v>0</v>
      </c>
      <c r="T559" s="24">
        <f>'TMT E DD'!E615</f>
        <v>0</v>
      </c>
      <c r="U559" s="24">
        <f>TA!E615</f>
        <v>2250592000000</v>
      </c>
      <c r="V559" s="109">
        <f>PR!F615</f>
        <v>0.37691305573487194</v>
      </c>
      <c r="W559" s="109">
        <f>'Z Score'!I615</f>
        <v>-6.5952922608806933E-2</v>
      </c>
      <c r="X559" s="109">
        <f>'Z Score'!L615</f>
        <v>-2.8121894772575393</v>
      </c>
      <c r="Y559" s="109">
        <f>'Z Score'!O615</f>
        <v>-0.26141985753081853</v>
      </c>
      <c r="Z559" s="109">
        <f>'Z Score'!R615</f>
        <v>0.46506919400286584</v>
      </c>
      <c r="AA559" s="109">
        <f>'Z Score'!S615</f>
        <v>-2.6744930633942987</v>
      </c>
    </row>
    <row r="560" spans="1:27" ht="15" customHeight="1" x14ac:dyDescent="0.3">
      <c r="A560" s="22"/>
      <c r="B560" s="23"/>
      <c r="C560" s="3"/>
      <c r="D560" s="23">
        <v>2023</v>
      </c>
      <c r="E560" s="25">
        <f>'Current Ratio'!G616</f>
        <v>0.73590821454533961</v>
      </c>
      <c r="F560" s="25">
        <f>'Cash Ratio'!G616</f>
        <v>0.26843452700780684</v>
      </c>
      <c r="G560" s="25">
        <f>DAR!G616</f>
        <v>0.7582862530458313</v>
      </c>
      <c r="H560" s="25">
        <f>DER!G616</f>
        <v>3.1371250605353862</v>
      </c>
      <c r="I560" s="25">
        <f>NPM!G616</f>
        <v>-0.27500313558259126</v>
      </c>
      <c r="J560" s="25">
        <f>ROA!G616</f>
        <v>-9.6650626308636078E-2</v>
      </c>
      <c r="K560" s="25">
        <f>ROE!G616</f>
        <v>-0.399855728217899</v>
      </c>
      <c r="L560" s="25">
        <f>KM!E616</f>
        <v>0.97799999999999998</v>
      </c>
      <c r="M560" s="24">
        <f>KI!E616</f>
        <v>2</v>
      </c>
      <c r="N560" s="108">
        <f>IO!E616</f>
        <v>0</v>
      </c>
      <c r="O560" s="24">
        <f>'BoC Size'!E616</f>
        <v>4</v>
      </c>
      <c r="P560" s="24">
        <f>'TMT E DK'!E616</f>
        <v>0</v>
      </c>
      <c r="Q560" s="24">
        <f>Data!R616</f>
        <v>4</v>
      </c>
      <c r="R560" s="24">
        <f>Data!S616</f>
        <v>6</v>
      </c>
      <c r="S560" s="24">
        <f>'TMT E DK'!E616</f>
        <v>0</v>
      </c>
      <c r="T560" s="24">
        <f>'TMT E DD'!E616</f>
        <v>0</v>
      </c>
      <c r="U560" s="24">
        <f>TA!E616</f>
        <v>2041725000000</v>
      </c>
      <c r="V560" s="109">
        <f>PR!F616</f>
        <v>-0.13070077460028251</v>
      </c>
      <c r="W560" s="109">
        <f>'Z Score'!I616</f>
        <v>-0.13423143665283033</v>
      </c>
      <c r="X560" s="109">
        <f>'Z Score'!L616</f>
        <v>-3.419022248343925</v>
      </c>
      <c r="Y560" s="109">
        <f>'Z Score'!O616</f>
        <v>-0.6353822576497814</v>
      </c>
      <c r="Z560" s="109">
        <f>'Z Score'!R616</f>
        <v>0.33470135226958581</v>
      </c>
      <c r="AA560" s="109">
        <f>'Z Score'!S616</f>
        <v>-3.8539345903769506</v>
      </c>
    </row>
    <row r="561" spans="1:27" ht="15" customHeight="1" x14ac:dyDescent="0.3">
      <c r="A561" s="22"/>
      <c r="B561" s="23"/>
      <c r="C561" s="3"/>
      <c r="D561" s="23">
        <v>2024</v>
      </c>
      <c r="E561" s="25">
        <f>'Current Ratio'!G617</f>
        <v>0.77439614763966091</v>
      </c>
      <c r="F561" s="25">
        <f>'Cash Ratio'!G617</f>
        <v>0.286888143234036</v>
      </c>
      <c r="G561" s="25">
        <f>DAR!G617</f>
        <v>0.8315812930541695</v>
      </c>
      <c r="H561" s="25">
        <f>DER!G617</f>
        <v>4.9375984761563858</v>
      </c>
      <c r="I561" s="25">
        <f>NPM!G617</f>
        <v>-0.25268007157116618</v>
      </c>
      <c r="J561" s="25">
        <f>ROA!G617</f>
        <v>-9.7220203742637928E-2</v>
      </c>
      <c r="K561" s="25">
        <f>ROE!G617</f>
        <v>-0.5772548443077985</v>
      </c>
      <c r="L561" s="25">
        <f>KM!E617</f>
        <v>0.97799999999999998</v>
      </c>
      <c r="M561" s="24">
        <f>KI!E617</f>
        <v>2</v>
      </c>
      <c r="N561" s="108">
        <f>IO!E617</f>
        <v>0</v>
      </c>
      <c r="O561" s="24">
        <f>'BoC Size'!E617</f>
        <v>4</v>
      </c>
      <c r="P561" s="24">
        <f>'TMT E DK'!E617</f>
        <v>0</v>
      </c>
      <c r="Q561" s="24">
        <f>Data!R617</f>
        <v>4</v>
      </c>
      <c r="R561" s="24">
        <f>Data!S617</f>
        <v>6</v>
      </c>
      <c r="S561" s="24">
        <f>'TMT E DK'!E617</f>
        <v>0</v>
      </c>
      <c r="T561" s="24">
        <f>'TMT E DD'!E617</f>
        <v>0</v>
      </c>
      <c r="U561" s="24">
        <f>TA!E617</f>
        <v>1857834000000</v>
      </c>
      <c r="V561" s="109">
        <f>PR!F617</f>
        <v>-3.8421338684727622E-3</v>
      </c>
      <c r="W561" s="109">
        <f>'Z Score'!I617</f>
        <v>-0.15550142800702321</v>
      </c>
      <c r="X561" s="109">
        <f>'Z Score'!L617</f>
        <v>-4.0771346309734886</v>
      </c>
      <c r="Y561" s="109">
        <f>'Z Score'!O617</f>
        <v>-0.63774447017333091</v>
      </c>
      <c r="Z561" s="109">
        <f>'Z Score'!R617</f>
        <v>0.21265398656258494</v>
      </c>
      <c r="AA561" s="109">
        <f>'Z Score'!S617</f>
        <v>-4.6577265425912575</v>
      </c>
    </row>
    <row r="562" spans="1:27" ht="15" customHeight="1" x14ac:dyDescent="0.3">
      <c r="A562" s="22"/>
      <c r="B562" s="23">
        <v>57</v>
      </c>
      <c r="C562" s="3" t="s">
        <v>41</v>
      </c>
      <c r="D562" s="23">
        <v>2015</v>
      </c>
      <c r="E562" s="25">
        <f>'Current Ratio'!G619</f>
        <v>0</v>
      </c>
      <c r="F562" s="25">
        <f>'Cash Ratio'!G619</f>
        <v>0</v>
      </c>
      <c r="G562" s="25">
        <f>DAR!G619</f>
        <v>0</v>
      </c>
      <c r="H562" s="25">
        <f>DER!G619</f>
        <v>0</v>
      </c>
      <c r="I562" s="25">
        <f>NPM!G619</f>
        <v>0</v>
      </c>
      <c r="J562" s="25">
        <f>ROA!G619</f>
        <v>0</v>
      </c>
      <c r="K562" s="25">
        <f>ROE!G619</f>
        <v>0</v>
      </c>
      <c r="L562" s="25">
        <f>KM!E619</f>
        <v>0</v>
      </c>
      <c r="M562" s="24">
        <f>KI!E619</f>
        <v>0</v>
      </c>
      <c r="N562" s="108">
        <f>IO!E619</f>
        <v>0</v>
      </c>
      <c r="O562" s="24">
        <f>'BoC Size'!E619</f>
        <v>0</v>
      </c>
      <c r="P562" s="24">
        <f>'TMT E DK'!E619</f>
        <v>0</v>
      </c>
      <c r="Q562" s="24">
        <f>Data!R619</f>
        <v>0</v>
      </c>
      <c r="R562" s="24">
        <f>Data!S619</f>
        <v>0</v>
      </c>
      <c r="S562" s="24">
        <f>'TMT E DK'!E619</f>
        <v>0</v>
      </c>
      <c r="T562" s="24">
        <f>'TMT E DD'!E619</f>
        <v>0</v>
      </c>
      <c r="U562" s="24">
        <f>TA!E619</f>
        <v>0</v>
      </c>
      <c r="V562" s="109">
        <f>PR!F619</f>
        <v>0</v>
      </c>
      <c r="W562" s="109">
        <f>'Z Score'!I619</f>
        <v>0</v>
      </c>
      <c r="X562" s="109">
        <f>'Z Score'!L619</f>
        <v>0</v>
      </c>
      <c r="Y562" s="109">
        <f>'Z Score'!O619</f>
        <v>0</v>
      </c>
      <c r="Z562" s="109">
        <f>'Z Score'!R619</f>
        <v>0</v>
      </c>
      <c r="AA562" s="109">
        <f>'Z Score'!S619</f>
        <v>0</v>
      </c>
    </row>
    <row r="563" spans="1:27" ht="15" customHeight="1" x14ac:dyDescent="0.3">
      <c r="A563" s="22"/>
      <c r="B563" s="23"/>
      <c r="C563" s="3"/>
      <c r="D563" s="23">
        <v>2016</v>
      </c>
      <c r="E563" s="25">
        <f>'Current Ratio'!G620</f>
        <v>0</v>
      </c>
      <c r="F563" s="25">
        <f>'Cash Ratio'!G620</f>
        <v>0</v>
      </c>
      <c r="G563" s="25">
        <f>DAR!G620</f>
        <v>0</v>
      </c>
      <c r="H563" s="25">
        <f>DER!G620</f>
        <v>0</v>
      </c>
      <c r="I563" s="25">
        <f>NPM!G620</f>
        <v>0</v>
      </c>
      <c r="J563" s="25">
        <f>ROA!G620</f>
        <v>0</v>
      </c>
      <c r="K563" s="25">
        <f>ROE!G620</f>
        <v>0</v>
      </c>
      <c r="L563" s="25">
        <f>KM!E620</f>
        <v>0</v>
      </c>
      <c r="M563" s="24">
        <f>KI!E620</f>
        <v>0</v>
      </c>
      <c r="N563" s="108">
        <f>IO!E620</f>
        <v>0</v>
      </c>
      <c r="O563" s="24">
        <f>'BoC Size'!E620</f>
        <v>0</v>
      </c>
      <c r="P563" s="24">
        <f>'TMT E DK'!E620</f>
        <v>0</v>
      </c>
      <c r="Q563" s="24">
        <f>Data!R620</f>
        <v>0</v>
      </c>
      <c r="R563" s="24">
        <f>Data!S620</f>
        <v>0</v>
      </c>
      <c r="S563" s="24">
        <f>'TMT E DK'!E620</f>
        <v>0</v>
      </c>
      <c r="T563" s="24">
        <f>'TMT E DD'!E620</f>
        <v>0</v>
      </c>
      <c r="U563" s="24">
        <f>TA!E620</f>
        <v>0</v>
      </c>
      <c r="V563" s="109">
        <f>PR!F620</f>
        <v>0</v>
      </c>
      <c r="W563" s="109">
        <f>'Z Score'!I620</f>
        <v>0</v>
      </c>
      <c r="X563" s="109">
        <f>'Z Score'!L620</f>
        <v>0</v>
      </c>
      <c r="Y563" s="109">
        <f>'Z Score'!O620</f>
        <v>0</v>
      </c>
      <c r="Z563" s="109">
        <f>'Z Score'!R620</f>
        <v>0</v>
      </c>
      <c r="AA563" s="109">
        <f>'Z Score'!S620</f>
        <v>0</v>
      </c>
    </row>
    <row r="564" spans="1:27" ht="15" customHeight="1" x14ac:dyDescent="0.3">
      <c r="A564" s="22"/>
      <c r="B564" s="23"/>
      <c r="C564" s="3"/>
      <c r="D564" s="23">
        <v>2017</v>
      </c>
      <c r="E564" s="25">
        <f>'Current Ratio'!G621</f>
        <v>0.41984304932735428</v>
      </c>
      <c r="F564" s="25">
        <f>'Cash Ratio'!G621</f>
        <v>0.25</v>
      </c>
      <c r="G564" s="25">
        <f>DAR!G621</f>
        <v>0.13993046995668207</v>
      </c>
      <c r="H564" s="25">
        <f>DER!G621</f>
        <v>0.16269669494004094</v>
      </c>
      <c r="I564" s="25">
        <f>NPM!G621</f>
        <v>0.56155351567960488</v>
      </c>
      <c r="J564" s="25">
        <f>ROA!G621</f>
        <v>0.1212650241745194</v>
      </c>
      <c r="K564" s="25">
        <f>ROE!G621</f>
        <v>0.14099444281953788</v>
      </c>
      <c r="L564" s="25">
        <f>KM!E621</f>
        <v>0</v>
      </c>
      <c r="M564" s="24">
        <f>KI!E621</f>
        <v>0</v>
      </c>
      <c r="N564" s="108">
        <f>IO!E621</f>
        <v>0</v>
      </c>
      <c r="O564" s="24">
        <f>'BoC Size'!E621</f>
        <v>0</v>
      </c>
      <c r="P564" s="24">
        <f>'TMT E DK'!E621</f>
        <v>0</v>
      </c>
      <c r="Q564" s="24">
        <f>Data!R621</f>
        <v>0</v>
      </c>
      <c r="R564" s="24">
        <f>Data!S621</f>
        <v>0</v>
      </c>
      <c r="S564" s="24">
        <f>'TMT E DK'!E621</f>
        <v>0</v>
      </c>
      <c r="T564" s="24">
        <f>'TMT E DD'!E621</f>
        <v>0</v>
      </c>
      <c r="U564" s="24">
        <f>TA!E621</f>
        <v>198763000000</v>
      </c>
      <c r="V564" s="109">
        <f>PR!F621</f>
        <v>0</v>
      </c>
      <c r="W564" s="109">
        <f>'Z Score'!I621</f>
        <v>-3.4159275116596145E-2</v>
      </c>
      <c r="X564" s="109">
        <f>'Z Score'!L621</f>
        <v>0.18325332179530396</v>
      </c>
      <c r="Y564" s="109">
        <f>'Z Score'!O621</f>
        <v>0.34836906265250572</v>
      </c>
      <c r="Z564" s="109">
        <f>'Z Score'!R621</f>
        <v>6.4537266745766377</v>
      </c>
      <c r="AA564" s="109">
        <f>'Z Score'!S621</f>
        <v>6.9511897839078509</v>
      </c>
    </row>
    <row r="565" spans="1:27" ht="15" customHeight="1" x14ac:dyDescent="0.3">
      <c r="A565" s="22"/>
      <c r="B565" s="23"/>
      <c r="C565" s="3"/>
      <c r="D565" s="23">
        <v>2018</v>
      </c>
      <c r="E565" s="25">
        <f>'Current Ratio'!G622</f>
        <v>3.8921282798833818</v>
      </c>
      <c r="F565" s="25">
        <f>'Cash Ratio'!G622</f>
        <v>2.545189504373178</v>
      </c>
      <c r="G565" s="25">
        <f>DAR!G622</f>
        <v>0.60474514563106796</v>
      </c>
      <c r="H565" s="25">
        <f>DER!G622</f>
        <v>1.5300132027388007</v>
      </c>
      <c r="I565" s="25">
        <f>NPM!G622</f>
        <v>-3.0947989812555605E-2</v>
      </c>
      <c r="J565" s="25">
        <f>ROA!G622</f>
        <v>-1.9672330097087378E-2</v>
      </c>
      <c r="K565" s="25">
        <f>ROE!G622</f>
        <v>-4.9771254874266938E-2</v>
      </c>
      <c r="L565" s="25">
        <f>KM!E622</f>
        <v>0.99329999999999996</v>
      </c>
      <c r="M565" s="24">
        <f>KI!E622</f>
        <v>2</v>
      </c>
      <c r="N565" s="108">
        <f>IO!E622</f>
        <v>0</v>
      </c>
      <c r="O565" s="24">
        <f>'BoC Size'!E622</f>
        <v>3</v>
      </c>
      <c r="P565" s="24">
        <f>'TMT E DK'!E622</f>
        <v>0</v>
      </c>
      <c r="Q565" s="24">
        <f>Data!R622</f>
        <v>3</v>
      </c>
      <c r="R565" s="24">
        <f>Data!S622</f>
        <v>2</v>
      </c>
      <c r="S565" s="24">
        <f>'TMT E DK'!E622</f>
        <v>0</v>
      </c>
      <c r="T565" s="24">
        <f>'TMT E DD'!E622</f>
        <v>0</v>
      </c>
      <c r="U565" s="24">
        <f>TA!E622</f>
        <v>412000000000</v>
      </c>
      <c r="V565" s="109">
        <f>PR!F622</f>
        <v>5.1015563114486744</v>
      </c>
      <c r="W565" s="109">
        <f>'Z Score'!I622</f>
        <v>3.1589902912621357E-2</v>
      </c>
      <c r="X565" s="109">
        <f>'Z Score'!L622</f>
        <v>9.1944660194174757E-2</v>
      </c>
      <c r="Y565" s="109">
        <f>'Z Score'!O622</f>
        <v>2.6178640776699028E-2</v>
      </c>
      <c r="Z565" s="109">
        <f>'Z Score'!R622</f>
        <v>0.68626858782685485</v>
      </c>
      <c r="AA565" s="109">
        <f>'Z Score'!S622</f>
        <v>0.83598179171035003</v>
      </c>
    </row>
    <row r="566" spans="1:27" ht="15" customHeight="1" x14ac:dyDescent="0.3">
      <c r="A566" s="22"/>
      <c r="B566" s="23"/>
      <c r="C566" s="3"/>
      <c r="D566" s="23">
        <v>2019</v>
      </c>
      <c r="E566" s="25">
        <f>'Current Ratio'!G623</f>
        <v>1.08207343412527</v>
      </c>
      <c r="F566" s="25">
        <f>'Cash Ratio'!G623</f>
        <v>0.93995680345572352</v>
      </c>
      <c r="G566" s="25">
        <f>DAR!G623</f>
        <v>0.55231358959448396</v>
      </c>
      <c r="H566" s="25">
        <f>DER!G623</f>
        <v>1.2337260224585662</v>
      </c>
      <c r="I566" s="25">
        <f>NPM!G623</f>
        <v>6.6782064304815605E-2</v>
      </c>
      <c r="J566" s="25">
        <f>ROA!G623</f>
        <v>6.1170383204965408E-2</v>
      </c>
      <c r="K566" s="25">
        <f>ROE!G623</f>
        <v>0.13663884971423118</v>
      </c>
      <c r="L566" s="25">
        <f>KM!E623</f>
        <v>0.99329999999999996</v>
      </c>
      <c r="M566" s="24">
        <f>KI!E623</f>
        <v>2</v>
      </c>
      <c r="N566" s="108">
        <f>IO!E623</f>
        <v>0</v>
      </c>
      <c r="O566" s="24">
        <f>'BoC Size'!E623</f>
        <v>3</v>
      </c>
      <c r="P566" s="24">
        <f>'TMT E DK'!E623</f>
        <v>0</v>
      </c>
      <c r="Q566" s="24">
        <f>Data!R623</f>
        <v>3</v>
      </c>
      <c r="R566" s="24">
        <f>Data!S623</f>
        <v>4</v>
      </c>
      <c r="S566" s="24">
        <f>'TMT E DK'!E623</f>
        <v>0</v>
      </c>
      <c r="T566" s="24">
        <f>'TMT E DD'!E623</f>
        <v>0</v>
      </c>
      <c r="U566" s="24">
        <f>TA!E623</f>
        <v>421315000000</v>
      </c>
      <c r="V566" s="109">
        <f>PR!F623</f>
        <v>0.47355961067772473</v>
      </c>
      <c r="W566" s="109">
        <f>'Z Score'!I623</f>
        <v>1.4791782870298946E-2</v>
      </c>
      <c r="X566" s="109">
        <f>'Z Score'!L623</f>
        <v>0.31712875164663018</v>
      </c>
      <c r="Y566" s="109">
        <f>'Z Score'!O623</f>
        <v>0.47387631582070422</v>
      </c>
      <c r="Z566" s="109">
        <f>'Z Score'!R623</f>
        <v>0.85108037026532246</v>
      </c>
      <c r="AA566" s="109">
        <f>'Z Score'!S623</f>
        <v>1.6568772206029558</v>
      </c>
    </row>
    <row r="567" spans="1:27" ht="15" customHeight="1" x14ac:dyDescent="0.3">
      <c r="A567" s="22"/>
      <c r="B567" s="23"/>
      <c r="C567" s="3"/>
      <c r="D567" s="23">
        <v>2020</v>
      </c>
      <c r="E567" s="25">
        <f>'Current Ratio'!G624</f>
        <v>2.4379900213827512</v>
      </c>
      <c r="F567" s="25">
        <f>'Cash Ratio'!G624</f>
        <v>1.5138987883107626</v>
      </c>
      <c r="G567" s="25">
        <f>DAR!G624</f>
        <v>0.35801250155491976</v>
      </c>
      <c r="H567" s="25">
        <f>DER!G624</f>
        <v>0.52582658193880638</v>
      </c>
      <c r="I567" s="25">
        <f>NPM!G624</f>
        <v>1.0400761916279913E-2</v>
      </c>
      <c r="J567" s="25">
        <f>ROA!G624</f>
        <v>5.348923995521831E-3</v>
      </c>
      <c r="K567" s="25">
        <f>ROE!G624</f>
        <v>7.8561681768094596E-3</v>
      </c>
      <c r="L567" s="25">
        <f>KM!E624</f>
        <v>0.99329999999999996</v>
      </c>
      <c r="M567" s="24">
        <f>KI!E624</f>
        <v>2</v>
      </c>
      <c r="N567" s="108">
        <f>IO!E624</f>
        <v>0</v>
      </c>
      <c r="O567" s="24">
        <f>'BoC Size'!E624</f>
        <v>3</v>
      </c>
      <c r="P567" s="24">
        <f>'TMT E DK'!E624</f>
        <v>0</v>
      </c>
      <c r="Q567" s="24">
        <f>Data!R624</f>
        <v>3</v>
      </c>
      <c r="R567" s="24">
        <f>Data!S624</f>
        <v>4</v>
      </c>
      <c r="S567" s="24">
        <f>'TMT E DK'!E624</f>
        <v>0</v>
      </c>
      <c r="T567" s="24">
        <f>'TMT E DD'!E624</f>
        <v>0</v>
      </c>
      <c r="U567" s="24">
        <f>TA!E624</f>
        <v>257248000000</v>
      </c>
      <c r="V567" s="109">
        <f>PR!F624</f>
        <v>-0.6571809117104418</v>
      </c>
      <c r="W567" s="109">
        <f>'Z Score'!I624</f>
        <v>0.1028952606045528</v>
      </c>
      <c r="X567" s="109">
        <f>'Z Score'!L624</f>
        <v>0.22748577248413981</v>
      </c>
      <c r="Y567" s="109">
        <f>'Z Score'!O624</f>
        <v>0.2863565120039806</v>
      </c>
      <c r="Z567" s="109">
        <f>'Z Score'!R624</f>
        <v>1.9968560663640904</v>
      </c>
      <c r="AA567" s="109">
        <f>'Z Score'!S624</f>
        <v>2.6135936114567637</v>
      </c>
    </row>
    <row r="568" spans="1:27" ht="15" customHeight="1" x14ac:dyDescent="0.3">
      <c r="A568" s="22"/>
      <c r="B568" s="23"/>
      <c r="C568" s="3"/>
      <c r="D568" s="23">
        <v>2021</v>
      </c>
      <c r="E568" s="25">
        <f>'Current Ratio'!G625</f>
        <v>1.8158168574401665</v>
      </c>
      <c r="F568" s="25">
        <f>'Cash Ratio'!G625</f>
        <v>1.5797086368366284</v>
      </c>
      <c r="G568" s="25">
        <f>DAR!G625</f>
        <v>0.45669597198260276</v>
      </c>
      <c r="H568" s="25">
        <f>DER!G625</f>
        <v>0.84059007191453916</v>
      </c>
      <c r="I568" s="25">
        <f>NPM!G625</f>
        <v>0.31486840736875704</v>
      </c>
      <c r="J568" s="25">
        <f>ROA!G625</f>
        <v>0.181414713265907</v>
      </c>
      <c r="K568" s="25">
        <f>ROE!G625</f>
        <v>0.33391012013645127</v>
      </c>
      <c r="L568" s="25">
        <f>KM!E625</f>
        <v>0.99329999999999996</v>
      </c>
      <c r="M568" s="24">
        <f>KI!E625</f>
        <v>2</v>
      </c>
      <c r="N568" s="108">
        <f>IO!E625</f>
        <v>0</v>
      </c>
      <c r="O568" s="24">
        <f>'BoC Size'!E625</f>
        <v>3</v>
      </c>
      <c r="P568" s="24">
        <f>'TMT E DK'!E625</f>
        <v>0</v>
      </c>
      <c r="Q568" s="24">
        <f>Data!R625</f>
        <v>3</v>
      </c>
      <c r="R568" s="24">
        <f>Data!S625</f>
        <v>3</v>
      </c>
      <c r="S568" s="24">
        <f>'TMT E DK'!E625</f>
        <v>0</v>
      </c>
      <c r="T568" s="24">
        <f>'TMT E DD'!E625</f>
        <v>0</v>
      </c>
      <c r="U568" s="24">
        <f>TA!E625</f>
        <v>483985000000</v>
      </c>
      <c r="V568" s="109">
        <f>PR!F625</f>
        <v>1.107764289709595</v>
      </c>
      <c r="W568" s="109">
        <f>'Z Score'!I625</f>
        <v>0.10626445034453547</v>
      </c>
      <c r="X568" s="109">
        <f>'Z Score'!L625</f>
        <v>0.13638538384454063</v>
      </c>
      <c r="Y568" s="109">
        <f>'Z Score'!O625</f>
        <v>3.3989813733896708E-2</v>
      </c>
      <c r="Z568" s="109">
        <f>'Z Score'!R625</f>
        <v>1.2491225331849398</v>
      </c>
      <c r="AA568" s="109">
        <f>'Z Score'!S625</f>
        <v>1.5257621811079125</v>
      </c>
    </row>
    <row r="569" spans="1:27" ht="15" customHeight="1" x14ac:dyDescent="0.3">
      <c r="A569" s="22"/>
      <c r="B569" s="23"/>
      <c r="C569" s="3"/>
      <c r="D569" s="23">
        <v>2022</v>
      </c>
      <c r="E569" s="25">
        <f>'Current Ratio'!G626</f>
        <v>1.3778846153846154</v>
      </c>
      <c r="F569" s="25">
        <f>'Cash Ratio'!G626</f>
        <v>0.25</v>
      </c>
      <c r="G569" s="25">
        <f>DAR!G626</f>
        <v>0.5761361899980354</v>
      </c>
      <c r="H569" s="25">
        <f>DER!G626</f>
        <v>1.3592483632782073</v>
      </c>
      <c r="I569" s="25">
        <f>NPM!G626</f>
        <v>-0.25002283052898333</v>
      </c>
      <c r="J569" s="25">
        <f>ROA!G626</f>
        <v>-0.23905284756936107</v>
      </c>
      <c r="K569" s="25">
        <f>ROE!G626</f>
        <v>-0.56398503936500988</v>
      </c>
      <c r="L569" s="25">
        <f>KM!E626</f>
        <v>0.99329999999999996</v>
      </c>
      <c r="M569" s="24">
        <f>KI!E626</f>
        <v>2</v>
      </c>
      <c r="N569" s="108">
        <f>IO!E626</f>
        <v>0</v>
      </c>
      <c r="O569" s="24">
        <f>'BoC Size'!E626</f>
        <v>3</v>
      </c>
      <c r="P569" s="24">
        <f>'TMT E DK'!E626</f>
        <v>0</v>
      </c>
      <c r="Q569" s="24">
        <f>Data!R626</f>
        <v>3</v>
      </c>
      <c r="R569" s="24">
        <f>Data!S626</f>
        <v>3</v>
      </c>
      <c r="S569" s="24">
        <f>'TMT E DK'!E626</f>
        <v>0</v>
      </c>
      <c r="T569" s="24">
        <f>'TMT E DD'!E626</f>
        <v>0</v>
      </c>
      <c r="U569" s="24">
        <f>TA!E626</f>
        <v>366488000000</v>
      </c>
      <c r="V569" s="109">
        <f>PR!F626</f>
        <v>0.2566047343941073</v>
      </c>
      <c r="W569" s="109">
        <f>'Z Score'!I626</f>
        <v>1.4069110039073582E-2</v>
      </c>
      <c r="X569" s="109">
        <f>'Z Score'!L626</f>
        <v>6.6785488201523649E-2</v>
      </c>
      <c r="Y569" s="109">
        <f>'Z Score'!O626</f>
        <v>0.12549300386370085</v>
      </c>
      <c r="Z569" s="109">
        <f>'Z Score'!R626</f>
        <v>0.77248575636878569</v>
      </c>
      <c r="AA569" s="109">
        <f>'Z Score'!S626</f>
        <v>0.97883335847308373</v>
      </c>
    </row>
    <row r="570" spans="1:27" ht="15" customHeight="1" x14ac:dyDescent="0.3">
      <c r="A570" s="22"/>
      <c r="B570" s="23"/>
      <c r="C570" s="3"/>
      <c r="D570" s="23">
        <v>2023</v>
      </c>
      <c r="E570" s="25">
        <f>'Current Ratio'!G627</f>
        <v>0.82675601886324146</v>
      </c>
      <c r="F570" s="25">
        <f>'Cash Ratio'!G627</f>
        <v>0.35691238520724744</v>
      </c>
      <c r="G570" s="25">
        <f>DAR!G627</f>
        <v>0.14874839754402536</v>
      </c>
      <c r="H570" s="25">
        <f>DER!G627</f>
        <v>0.1747408135442757</v>
      </c>
      <c r="I570" s="25">
        <f>NPM!G627</f>
        <v>-1.025805997960834</v>
      </c>
      <c r="J570" s="25">
        <f>ROA!G627</f>
        <v>-0.19686255988124957</v>
      </c>
      <c r="K570" s="25">
        <f>ROE!G627</f>
        <v>-0.23126248375130781</v>
      </c>
      <c r="L570" s="25">
        <f>KM!E627</f>
        <v>0.99329999999999996</v>
      </c>
      <c r="M570" s="24">
        <f>KI!E627</f>
        <v>2</v>
      </c>
      <c r="N570" s="108">
        <f>IO!E627</f>
        <v>0</v>
      </c>
      <c r="O570" s="24">
        <f>'BoC Size'!E627</f>
        <v>3</v>
      </c>
      <c r="P570" s="24">
        <f>'TMT E DK'!E627</f>
        <v>0</v>
      </c>
      <c r="Q570" s="24">
        <f>Data!R627</f>
        <v>3</v>
      </c>
      <c r="R570" s="24">
        <f>Data!S627</f>
        <v>3</v>
      </c>
      <c r="S570" s="24">
        <f>'TMT E DK'!E627</f>
        <v>0</v>
      </c>
      <c r="T570" s="24">
        <f>'TMT E DD'!E627</f>
        <v>0</v>
      </c>
      <c r="U570" s="24">
        <f>TA!E627</f>
        <v>148210000000</v>
      </c>
      <c r="V570" s="109">
        <f>PR!F627</f>
        <v>-0.91882890801579875</v>
      </c>
      <c r="W570" s="109">
        <f>'Z Score'!I627</f>
        <v>-3.0894541528911679E-2</v>
      </c>
      <c r="X570" s="109">
        <f>'Z Score'!L627</f>
        <v>0.19079171445921325</v>
      </c>
      <c r="Y570" s="109">
        <f>'Z Score'!O627</f>
        <v>4.6383914715606232E-2</v>
      </c>
      <c r="Z570" s="109">
        <f>'Z Score'!R627</f>
        <v>6.0088995736187973</v>
      </c>
      <c r="AA570" s="109">
        <f>'Z Score'!S627</f>
        <v>6.2151806612647054</v>
      </c>
    </row>
    <row r="571" spans="1:27" ht="15" customHeight="1" x14ac:dyDescent="0.3">
      <c r="A571" s="22"/>
      <c r="B571" s="23"/>
      <c r="C571" s="3"/>
      <c r="D571" s="23">
        <v>2024</v>
      </c>
      <c r="E571" s="25">
        <f>'Current Ratio'!G628</f>
        <v>6.5881164106709784</v>
      </c>
      <c r="F571" s="25">
        <f>'Cash Ratio'!G628</f>
        <v>1.2694017784963623</v>
      </c>
      <c r="G571" s="25">
        <f>DAR!G628</f>
        <v>0.26053605672746732</v>
      </c>
      <c r="H571" s="25">
        <f>DER!G628</f>
        <v>0.35232301301912539</v>
      </c>
      <c r="I571" s="25">
        <f>NPM!G628</f>
        <v>0.13803302408715634</v>
      </c>
      <c r="J571" s="25">
        <f>ROA!G628</f>
        <v>3.6162645497926235E-2</v>
      </c>
      <c r="K571" s="25">
        <f>ROE!G628</f>
        <v>4.8902759873653424E-2</v>
      </c>
      <c r="L571" s="25">
        <f>KM!E628</f>
        <v>0.99329999999999996</v>
      </c>
      <c r="M571" s="24">
        <f>KI!E628</f>
        <v>2</v>
      </c>
      <c r="N571" s="108">
        <f>IO!E628</f>
        <v>0</v>
      </c>
      <c r="O571" s="24">
        <f>'BoC Size'!E628</f>
        <v>3</v>
      </c>
      <c r="P571" s="24">
        <f>'TMT E DK'!E628</f>
        <v>0</v>
      </c>
      <c r="Q571" s="24">
        <f>Data!R628</f>
        <v>3</v>
      </c>
      <c r="R571" s="24">
        <f>Data!S628</f>
        <v>3</v>
      </c>
      <c r="S571" s="24">
        <f>'TMT E DK'!E628</f>
        <v>0</v>
      </c>
      <c r="T571" s="24">
        <f>'TMT E DD'!E628</f>
        <v>0</v>
      </c>
      <c r="U571" s="24">
        <f>TA!E628</f>
        <v>179384000000</v>
      </c>
      <c r="V571" s="109">
        <f>PR!F628</f>
        <v>0.6522870302007524</v>
      </c>
      <c r="W571" s="109">
        <f>'Z Score'!I628</f>
        <v>1.0111492663782722</v>
      </c>
      <c r="X571" s="109">
        <f>'Z Score'!L628</f>
        <v>0.32533849172724433</v>
      </c>
      <c r="Y571" s="109">
        <f>'Z Score'!O628</f>
        <v>0.28272220487891897</v>
      </c>
      <c r="Z571" s="109">
        <f>'Z Score'!R628</f>
        <v>2.9802197449503596</v>
      </c>
      <c r="AA571" s="109">
        <f>'Z Score'!S628</f>
        <v>4.599429707934795</v>
      </c>
    </row>
    <row r="572" spans="1:27" ht="15" customHeight="1" x14ac:dyDescent="0.3">
      <c r="A572" s="22"/>
      <c r="B572" s="23">
        <v>58</v>
      </c>
      <c r="C572" s="4" t="s">
        <v>49</v>
      </c>
      <c r="D572" s="23">
        <v>2015</v>
      </c>
      <c r="E572" s="25">
        <f>'Current Ratio'!G630</f>
        <v>0</v>
      </c>
      <c r="F572" s="25">
        <f>'Cash Ratio'!G630</f>
        <v>0</v>
      </c>
      <c r="G572" s="25">
        <f>DAR!G630</f>
        <v>0</v>
      </c>
      <c r="H572" s="25">
        <f>DER!G630</f>
        <v>0</v>
      </c>
      <c r="I572" s="25">
        <f>NPM!G630</f>
        <v>0</v>
      </c>
      <c r="J572" s="25">
        <f>ROA!G630</f>
        <v>0</v>
      </c>
      <c r="K572" s="25">
        <f>ROE!G630</f>
        <v>0</v>
      </c>
      <c r="L572" s="25">
        <f>KM!E630</f>
        <v>0</v>
      </c>
      <c r="M572" s="24">
        <f>KI!E630</f>
        <v>0</v>
      </c>
      <c r="N572" s="108">
        <f>IO!E630</f>
        <v>0</v>
      </c>
      <c r="O572" s="24">
        <f>'BoC Size'!E630</f>
        <v>0</v>
      </c>
      <c r="P572" s="24">
        <f>'TMT E DK'!E630</f>
        <v>0</v>
      </c>
      <c r="Q572" s="24">
        <f>Data!R630</f>
        <v>0</v>
      </c>
      <c r="R572" s="24">
        <f>Data!S630</f>
        <v>0</v>
      </c>
      <c r="S572" s="24">
        <f>'TMT E DK'!E630</f>
        <v>0</v>
      </c>
      <c r="T572" s="24">
        <f>'TMT E DD'!E630</f>
        <v>0</v>
      </c>
      <c r="U572" s="24">
        <f>TA!E630</f>
        <v>0</v>
      </c>
      <c r="V572" s="109">
        <f>PR!F630</f>
        <v>0</v>
      </c>
      <c r="W572" s="109">
        <f>'Z Score'!I630</f>
        <v>0</v>
      </c>
      <c r="X572" s="109">
        <f>'Z Score'!L630</f>
        <v>0</v>
      </c>
      <c r="Y572" s="109">
        <f>'Z Score'!O630</f>
        <v>0</v>
      </c>
      <c r="Z572" s="109">
        <f>'Z Score'!R630</f>
        <v>0</v>
      </c>
      <c r="AA572" s="109">
        <f>'Z Score'!S630</f>
        <v>0</v>
      </c>
    </row>
    <row r="573" spans="1:27" ht="15" customHeight="1" x14ac:dyDescent="0.3">
      <c r="A573" s="22"/>
      <c r="B573" s="23"/>
      <c r="C573" s="4"/>
      <c r="D573" s="23">
        <v>2016</v>
      </c>
      <c r="E573" s="25">
        <f>'Current Ratio'!G631</f>
        <v>0</v>
      </c>
      <c r="F573" s="25">
        <f>'Cash Ratio'!G631</f>
        <v>0</v>
      </c>
      <c r="G573" s="25">
        <f>DAR!G631</f>
        <v>0</v>
      </c>
      <c r="H573" s="25">
        <f>DER!G631</f>
        <v>0</v>
      </c>
      <c r="I573" s="25">
        <f>NPM!G631</f>
        <v>0</v>
      </c>
      <c r="J573" s="25">
        <f>ROA!G631</f>
        <v>0</v>
      </c>
      <c r="K573" s="25">
        <f>ROE!G631</f>
        <v>0</v>
      </c>
      <c r="L573" s="25">
        <f>KM!E631</f>
        <v>0</v>
      </c>
      <c r="M573" s="24">
        <f>KI!E631</f>
        <v>0</v>
      </c>
      <c r="N573" s="108">
        <f>IO!E631</f>
        <v>0</v>
      </c>
      <c r="O573" s="24">
        <f>'BoC Size'!E631</f>
        <v>0</v>
      </c>
      <c r="P573" s="24">
        <f>'TMT E DK'!E631</f>
        <v>0</v>
      </c>
      <c r="Q573" s="24">
        <f>Data!R631</f>
        <v>0</v>
      </c>
      <c r="R573" s="24">
        <f>Data!S631</f>
        <v>0</v>
      </c>
      <c r="S573" s="24">
        <f>'TMT E DK'!E631</f>
        <v>0</v>
      </c>
      <c r="T573" s="24">
        <f>'TMT E DD'!E631</f>
        <v>0</v>
      </c>
      <c r="U573" s="24">
        <f>TA!E631</f>
        <v>0</v>
      </c>
      <c r="V573" s="109">
        <f>PR!F631</f>
        <v>0</v>
      </c>
      <c r="W573" s="109">
        <f>'Z Score'!I631</f>
        <v>0</v>
      </c>
      <c r="X573" s="109">
        <f>'Z Score'!L631</f>
        <v>0</v>
      </c>
      <c r="Y573" s="109">
        <f>'Z Score'!O631</f>
        <v>0</v>
      </c>
      <c r="Z573" s="109">
        <f>'Z Score'!R631</f>
        <v>0</v>
      </c>
      <c r="AA573" s="109">
        <f>'Z Score'!S631</f>
        <v>0</v>
      </c>
    </row>
    <row r="574" spans="1:27" ht="15" customHeight="1" x14ac:dyDescent="0.3">
      <c r="A574" s="22"/>
      <c r="B574" s="23"/>
      <c r="C574" s="4"/>
      <c r="D574" s="23">
        <v>2017</v>
      </c>
      <c r="E574" s="25">
        <f>'Current Ratio'!G632</f>
        <v>0</v>
      </c>
      <c r="F574" s="25">
        <f>'Cash Ratio'!G632</f>
        <v>0</v>
      </c>
      <c r="G574" s="25">
        <f>DAR!G632</f>
        <v>0</v>
      </c>
      <c r="H574" s="25">
        <f>DER!G632</f>
        <v>0</v>
      </c>
      <c r="I574" s="25">
        <f>NPM!G632</f>
        <v>0</v>
      </c>
      <c r="J574" s="25">
        <f>ROA!G632</f>
        <v>0</v>
      </c>
      <c r="K574" s="25">
        <f>ROE!G632</f>
        <v>0</v>
      </c>
      <c r="L574" s="25">
        <f>KM!E632</f>
        <v>0</v>
      </c>
      <c r="M574" s="24">
        <f>KI!E632</f>
        <v>0</v>
      </c>
      <c r="N574" s="108">
        <f>IO!E632</f>
        <v>0</v>
      </c>
      <c r="O574" s="24">
        <f>'BoC Size'!E632</f>
        <v>0</v>
      </c>
      <c r="P574" s="24">
        <f>'TMT E DK'!E632</f>
        <v>0</v>
      </c>
      <c r="Q574" s="24">
        <f>Data!R632</f>
        <v>0</v>
      </c>
      <c r="R574" s="24">
        <f>Data!S632</f>
        <v>0</v>
      </c>
      <c r="S574" s="24">
        <f>'TMT E DK'!E632</f>
        <v>0</v>
      </c>
      <c r="T574" s="24">
        <f>'TMT E DD'!E632</f>
        <v>0</v>
      </c>
      <c r="U574" s="24">
        <f>TA!E632</f>
        <v>0</v>
      </c>
      <c r="V574" s="109">
        <f>PR!F632</f>
        <v>0</v>
      </c>
      <c r="W574" s="109">
        <f>'Z Score'!I632</f>
        <v>0</v>
      </c>
      <c r="X574" s="109">
        <f>'Z Score'!L632</f>
        <v>0</v>
      </c>
      <c r="Y574" s="109">
        <f>'Z Score'!O632</f>
        <v>0</v>
      </c>
      <c r="Z574" s="109">
        <f>'Z Score'!R632</f>
        <v>0</v>
      </c>
      <c r="AA574" s="109">
        <f>'Z Score'!S632</f>
        <v>0</v>
      </c>
    </row>
    <row r="575" spans="1:27" ht="15" customHeight="1" x14ac:dyDescent="0.3">
      <c r="A575" s="22"/>
      <c r="B575" s="23"/>
      <c r="C575" s="4"/>
      <c r="D575" s="23">
        <v>2018</v>
      </c>
      <c r="E575" s="25">
        <f>'Current Ratio'!G633</f>
        <v>0</v>
      </c>
      <c r="F575" s="25">
        <f>'Cash Ratio'!G633</f>
        <v>0</v>
      </c>
      <c r="G575" s="25">
        <f>DAR!G633</f>
        <v>0</v>
      </c>
      <c r="H575" s="25">
        <f>DER!G633</f>
        <v>0</v>
      </c>
      <c r="I575" s="25">
        <f>NPM!G633</f>
        <v>0</v>
      </c>
      <c r="J575" s="25">
        <f>ROA!G633</f>
        <v>0</v>
      </c>
      <c r="K575" s="25">
        <f>ROE!G633</f>
        <v>0</v>
      </c>
      <c r="L575" s="25">
        <f>KM!E633</f>
        <v>0</v>
      </c>
      <c r="M575" s="24">
        <f>KI!E633</f>
        <v>0</v>
      </c>
      <c r="N575" s="108">
        <f>IO!E633</f>
        <v>0</v>
      </c>
      <c r="O575" s="24">
        <f>'BoC Size'!E633</f>
        <v>0</v>
      </c>
      <c r="P575" s="24">
        <f>'TMT E DK'!E633</f>
        <v>0</v>
      </c>
      <c r="Q575" s="24">
        <f>Data!R633</f>
        <v>0</v>
      </c>
      <c r="R575" s="24">
        <f>Data!S633</f>
        <v>0</v>
      </c>
      <c r="S575" s="24">
        <f>'TMT E DK'!E633</f>
        <v>0</v>
      </c>
      <c r="T575" s="24">
        <f>'TMT E DD'!E633</f>
        <v>0</v>
      </c>
      <c r="U575" s="24">
        <f>TA!E633</f>
        <v>0</v>
      </c>
      <c r="V575" s="109">
        <f>PR!F633</f>
        <v>0</v>
      </c>
      <c r="W575" s="109">
        <f>'Z Score'!I633</f>
        <v>0</v>
      </c>
      <c r="X575" s="109">
        <f>'Z Score'!L633</f>
        <v>0</v>
      </c>
      <c r="Y575" s="109">
        <f>'Z Score'!O633</f>
        <v>0</v>
      </c>
      <c r="Z575" s="109">
        <f>'Z Score'!R633</f>
        <v>0</v>
      </c>
      <c r="AA575" s="109">
        <f>'Z Score'!S633</f>
        <v>0</v>
      </c>
    </row>
    <row r="576" spans="1:27" ht="15" customHeight="1" x14ac:dyDescent="0.3">
      <c r="A576" s="22"/>
      <c r="B576" s="23"/>
      <c r="C576" s="4"/>
      <c r="D576" s="23">
        <v>2019</v>
      </c>
      <c r="E576" s="25">
        <f>'Current Ratio'!G634</f>
        <v>0</v>
      </c>
      <c r="F576" s="25">
        <f>'Cash Ratio'!G634</f>
        <v>0</v>
      </c>
      <c r="G576" s="25">
        <f>DAR!G634</f>
        <v>0</v>
      </c>
      <c r="H576" s="25">
        <f>DER!G634</f>
        <v>0</v>
      </c>
      <c r="I576" s="25">
        <f>NPM!G634</f>
        <v>0</v>
      </c>
      <c r="J576" s="25">
        <f>ROA!G634</f>
        <v>0</v>
      </c>
      <c r="K576" s="25">
        <f>ROE!G634</f>
        <v>0</v>
      </c>
      <c r="L576" s="25">
        <f>KM!E634</f>
        <v>0</v>
      </c>
      <c r="M576" s="24">
        <f>KI!E634</f>
        <v>0</v>
      </c>
      <c r="N576" s="108">
        <f>IO!E634</f>
        <v>0</v>
      </c>
      <c r="O576" s="24">
        <f>'BoC Size'!E634</f>
        <v>0</v>
      </c>
      <c r="P576" s="24">
        <f>'TMT E DK'!E634</f>
        <v>0</v>
      </c>
      <c r="Q576" s="24">
        <f>Data!R634</f>
        <v>0</v>
      </c>
      <c r="R576" s="24">
        <f>Data!S634</f>
        <v>0</v>
      </c>
      <c r="S576" s="24">
        <f>'TMT E DK'!E634</f>
        <v>0</v>
      </c>
      <c r="T576" s="24">
        <f>'TMT E DD'!E634</f>
        <v>0</v>
      </c>
      <c r="U576" s="24">
        <f>TA!E634</f>
        <v>0</v>
      </c>
      <c r="V576" s="109">
        <f>PR!F634</f>
        <v>0</v>
      </c>
      <c r="W576" s="109">
        <f>'Z Score'!I634</f>
        <v>0</v>
      </c>
      <c r="X576" s="109">
        <f>'Z Score'!L634</f>
        <v>0</v>
      </c>
      <c r="Y576" s="109">
        <f>'Z Score'!O634</f>
        <v>0</v>
      </c>
      <c r="Z576" s="109">
        <f>'Z Score'!R634</f>
        <v>0</v>
      </c>
      <c r="AA576" s="109">
        <f>'Z Score'!S634</f>
        <v>0</v>
      </c>
    </row>
    <row r="577" spans="1:27" ht="15" customHeight="1" x14ac:dyDescent="0.3">
      <c r="A577" s="22"/>
      <c r="B577" s="23"/>
      <c r="C577" s="4"/>
      <c r="D577" s="23">
        <v>2020</v>
      </c>
      <c r="E577" s="25">
        <f>'Current Ratio'!G635</f>
        <v>0.54689376083959618</v>
      </c>
      <c r="F577" s="25">
        <f>'Cash Ratio'!G635</f>
        <v>0.1542758037977498</v>
      </c>
      <c r="G577" s="25">
        <f>DAR!G635</f>
        <v>0.74771831761115415</v>
      </c>
      <c r="H577" s="25">
        <f>DER!G635</f>
        <v>2.9638232571268639</v>
      </c>
      <c r="I577" s="25">
        <f>NPM!G635</f>
        <v>-0.32745394771173614</v>
      </c>
      <c r="J577" s="25">
        <f>ROA!G635</f>
        <v>-0.14769152221392745</v>
      </c>
      <c r="K577" s="25">
        <f>ROE!G635</f>
        <v>-0.58542309063203446</v>
      </c>
      <c r="L577" s="25">
        <f>KM!E635</f>
        <v>0.8367</v>
      </c>
      <c r="M577" s="24">
        <f>KI!E635</f>
        <v>2</v>
      </c>
      <c r="N577" s="108">
        <f>IO!E635</f>
        <v>0</v>
      </c>
      <c r="O577" s="24">
        <f>'BoC Size'!E635</f>
        <v>4</v>
      </c>
      <c r="P577" s="24">
        <f>'TMT E DK'!E635</f>
        <v>10</v>
      </c>
      <c r="Q577" s="24">
        <f>Data!R635</f>
        <v>4</v>
      </c>
      <c r="R577" s="24">
        <f>Data!S635</f>
        <v>5</v>
      </c>
      <c r="S577" s="24">
        <f>'TMT E DK'!E635</f>
        <v>10</v>
      </c>
      <c r="T577" s="24">
        <f>'TMT E DD'!E635</f>
        <v>9</v>
      </c>
      <c r="U577" s="24">
        <f>TA!E635</f>
        <v>1657001000000</v>
      </c>
      <c r="V577" s="109">
        <f>PR!F635</f>
        <v>0</v>
      </c>
      <c r="W577" s="109">
        <f>'Z Score'!I635</f>
        <v>-0.40337839265033631</v>
      </c>
      <c r="X577" s="109">
        <f>'Z Score'!L635</f>
        <v>-4.3223462025671671</v>
      </c>
      <c r="Y577" s="109">
        <f>'Z Score'!O635</f>
        <v>-1.0497671878290959</v>
      </c>
      <c r="Z577" s="109">
        <f>'Z Score'!R635</f>
        <v>0.35427213733988722</v>
      </c>
      <c r="AA577" s="109">
        <f>'Z Score'!S635</f>
        <v>-5.4212196457067119</v>
      </c>
    </row>
    <row r="578" spans="1:27" ht="15" customHeight="1" x14ac:dyDescent="0.3">
      <c r="A578" s="22"/>
      <c r="B578" s="23"/>
      <c r="C578" s="4"/>
      <c r="D578" s="23">
        <v>2021</v>
      </c>
      <c r="E578" s="25">
        <f>'Current Ratio'!G636</f>
        <v>0.7131679922009424</v>
      </c>
      <c r="F578" s="25">
        <f>'Cash Ratio'!G636</f>
        <v>0.18552341592057625</v>
      </c>
      <c r="G578" s="25">
        <f>DAR!G636</f>
        <v>0.85375968249447198</v>
      </c>
      <c r="H578" s="25">
        <f>DER!G636</f>
        <v>5.8380595519576808</v>
      </c>
      <c r="I578" s="25">
        <f>NPM!G636</f>
        <v>-0.36031634178859312</v>
      </c>
      <c r="J578" s="25">
        <f>ROA!G636</f>
        <v>-0.1720095106314771</v>
      </c>
      <c r="K578" s="25">
        <f>ROE!G636</f>
        <v>-1.1762112772011382</v>
      </c>
      <c r="L578" s="25">
        <f>KM!E636</f>
        <v>0.84</v>
      </c>
      <c r="M578" s="24">
        <f>KI!E636</f>
        <v>0</v>
      </c>
      <c r="N578" s="108">
        <f>IO!E636</f>
        <v>0</v>
      </c>
      <c r="O578" s="24">
        <f>'BoC Size'!E636</f>
        <v>2</v>
      </c>
      <c r="P578" s="24">
        <f>'TMT E DK'!E636</f>
        <v>4</v>
      </c>
      <c r="Q578" s="24">
        <f>Data!R636</f>
        <v>2</v>
      </c>
      <c r="R578" s="24">
        <f>Data!S636</f>
        <v>5</v>
      </c>
      <c r="S578" s="24">
        <f>'TMT E DK'!E636</f>
        <v>4</v>
      </c>
      <c r="T578" s="24">
        <f>'TMT E DD'!E636</f>
        <v>11</v>
      </c>
      <c r="U578" s="24">
        <f>TA!E636</f>
        <v>1706301000000</v>
      </c>
      <c r="V578" s="109">
        <f>PR!F636</f>
        <v>8.9923557282530306E-2</v>
      </c>
      <c r="W578" s="109">
        <f>'Z Score'!I636</f>
        <v>-0.26469121216010538</v>
      </c>
      <c r="X578" s="109">
        <f>'Z Score'!L636</f>
        <v>-4.7531452305308379</v>
      </c>
      <c r="Y578" s="109">
        <f>'Z Score'!O636</f>
        <v>-1.1496222530491396</v>
      </c>
      <c r="Z578" s="109">
        <f>'Z Score'!R636</f>
        <v>0.17985428046000365</v>
      </c>
      <c r="AA578" s="109">
        <f>'Z Score'!S636</f>
        <v>-5.9876044152800798</v>
      </c>
    </row>
    <row r="579" spans="1:27" ht="15" customHeight="1" x14ac:dyDescent="0.3">
      <c r="A579" s="22"/>
      <c r="B579" s="23"/>
      <c r="C579" s="4"/>
      <c r="D579" s="23">
        <v>2022</v>
      </c>
      <c r="E579" s="25">
        <f>'Current Ratio'!G637</f>
        <v>0.54180901074515297</v>
      </c>
      <c r="F579" s="25">
        <f>'Cash Ratio'!G637</f>
        <v>0.13992057930390095</v>
      </c>
      <c r="G579" s="25">
        <f>DAR!G637</f>
        <v>0.82554579742325473</v>
      </c>
      <c r="H579" s="25">
        <f>DER!G637</f>
        <v>4.7321634287375991</v>
      </c>
      <c r="I579" s="25">
        <f>NPM!G637</f>
        <v>-1.9808769587946235E-3</v>
      </c>
      <c r="J579" s="25">
        <f>ROA!G637</f>
        <v>-9.2437761825692134E-4</v>
      </c>
      <c r="K579" s="25">
        <f>ROE!G637</f>
        <v>-5.2986835777158901E-3</v>
      </c>
      <c r="L579" s="25">
        <f>KM!E637</f>
        <v>0.84</v>
      </c>
      <c r="M579" s="24">
        <f>KI!E637</f>
        <v>2</v>
      </c>
      <c r="N579" s="108">
        <f>IO!E637</f>
        <v>0</v>
      </c>
      <c r="O579" s="24">
        <f>'BoC Size'!E637</f>
        <v>4</v>
      </c>
      <c r="P579" s="24">
        <f>'TMT E DK'!E637</f>
        <v>8</v>
      </c>
      <c r="Q579" s="24">
        <f>Data!R637</f>
        <v>4</v>
      </c>
      <c r="R579" s="24">
        <f>Data!S637</f>
        <v>5</v>
      </c>
      <c r="S579" s="24">
        <f>'TMT E DK'!E637</f>
        <v>8</v>
      </c>
      <c r="T579" s="24">
        <f>'TMT E DD'!E637</f>
        <v>11</v>
      </c>
      <c r="U579" s="24">
        <f>TA!E637</f>
        <v>2050028000000</v>
      </c>
      <c r="V579" s="109">
        <f>PR!F637</f>
        <v>0.1744311666883552</v>
      </c>
      <c r="W579" s="109">
        <f>'Z Score'!I637</f>
        <v>-0.40171291318947838</v>
      </c>
      <c r="X579" s="109">
        <f>'Z Score'!L637</f>
        <v>-3.9499496982480236</v>
      </c>
      <c r="Y579" s="109">
        <f>'Z Score'!O637</f>
        <v>1.2397411157311022E-2</v>
      </c>
      <c r="Z579" s="109">
        <f>'Z Score'!R637</f>
        <v>0.22188582786966612</v>
      </c>
      <c r="AA579" s="109">
        <f>'Z Score'!S637</f>
        <v>-4.1173793724105243</v>
      </c>
    </row>
    <row r="580" spans="1:27" ht="15" customHeight="1" x14ac:dyDescent="0.3">
      <c r="A580" s="22"/>
      <c r="B580" s="23"/>
      <c r="C580" s="4"/>
      <c r="D580" s="23">
        <v>2023</v>
      </c>
      <c r="E580" s="25">
        <f>'Current Ratio'!G638</f>
        <v>0.90966386554621848</v>
      </c>
      <c r="F580" s="25">
        <f>'Cash Ratio'!G638</f>
        <v>0.46733787854764547</v>
      </c>
      <c r="G580" s="25">
        <f>DAR!G638</f>
        <v>0.88660577967391674</v>
      </c>
      <c r="H580" s="25">
        <f>DER!G638</f>
        <v>7.8187916202813481</v>
      </c>
      <c r="I580" s="25">
        <f>NPM!G638</f>
        <v>-0.12359541773192927</v>
      </c>
      <c r="J580" s="25">
        <f>ROA!G638</f>
        <v>-5.0773894610050579E-2</v>
      </c>
      <c r="K580" s="25">
        <f>ROE!G638</f>
        <v>-0.44776439631616233</v>
      </c>
      <c r="L580" s="25">
        <f>KM!E638</f>
        <v>0.84</v>
      </c>
      <c r="M580" s="24">
        <f>KI!E638</f>
        <v>2</v>
      </c>
      <c r="N580" s="108">
        <f>IO!E638</f>
        <v>0</v>
      </c>
      <c r="O580" s="24">
        <f>'BoC Size'!E638</f>
        <v>5</v>
      </c>
      <c r="P580" s="24">
        <f>'TMT E DK'!E638</f>
        <v>13</v>
      </c>
      <c r="Q580" s="24">
        <f>Data!R638</f>
        <v>5</v>
      </c>
      <c r="R580" s="24">
        <f>Data!S638</f>
        <v>4</v>
      </c>
      <c r="S580" s="24">
        <f>'TMT E DK'!E638</f>
        <v>13</v>
      </c>
      <c r="T580" s="24">
        <f>'TMT E DD'!E638</f>
        <v>8</v>
      </c>
      <c r="U580" s="24">
        <f>TA!E638</f>
        <v>2178462000000</v>
      </c>
      <c r="V580" s="109">
        <f>PR!F638</f>
        <v>-6.4515960432636077E-2</v>
      </c>
      <c r="W580" s="109">
        <f>'Z Score'!I638</f>
        <v>-7.5490249543026217E-2</v>
      </c>
      <c r="X580" s="109">
        <f>'Z Score'!L638</f>
        <v>-3.9106002032626686</v>
      </c>
      <c r="Y580" s="109">
        <f>'Z Score'!O638</f>
        <v>-0.40259933843234358</v>
      </c>
      <c r="Z580" s="109">
        <f>'Z Score'!R638</f>
        <v>0.13429185109325337</v>
      </c>
      <c r="AA580" s="109">
        <f>'Z Score'!S638</f>
        <v>-4.2543979401447842</v>
      </c>
    </row>
    <row r="581" spans="1:27" ht="15" customHeight="1" x14ac:dyDescent="0.3">
      <c r="A581" s="22"/>
      <c r="B581" s="23"/>
      <c r="C581" s="4"/>
      <c r="D581" s="23">
        <v>2024</v>
      </c>
      <c r="E581" s="25">
        <f>'Current Ratio'!G639</f>
        <v>0.80682149046793761</v>
      </c>
      <c r="F581" s="25">
        <f>'Cash Ratio'!G639</f>
        <v>0.15859041016753322</v>
      </c>
      <c r="G581" s="25">
        <f>DAR!G639</f>
        <v>0.87658063944553677</v>
      </c>
      <c r="H581" s="25">
        <f>DER!G639</f>
        <v>7.1024564987817591</v>
      </c>
      <c r="I581" s="25">
        <f>NPM!G639</f>
        <v>-0.11424151806793063</v>
      </c>
      <c r="J581" s="25">
        <f>ROA!G639</f>
        <v>-4.1428427828113658E-2</v>
      </c>
      <c r="K581" s="25">
        <f>ROE!G639</f>
        <v>-0.33567203429021059</v>
      </c>
      <c r="L581" s="25">
        <f>KM!E639</f>
        <v>0.84</v>
      </c>
      <c r="M581" s="24">
        <f>KI!E639</f>
        <v>2</v>
      </c>
      <c r="N581" s="108">
        <f>IO!E639</f>
        <v>0</v>
      </c>
      <c r="O581" s="24">
        <f>'BoC Size'!E639</f>
        <v>4</v>
      </c>
      <c r="P581" s="24">
        <f>'TMT E DK'!E639</f>
        <v>10</v>
      </c>
      <c r="Q581" s="24">
        <f>Data!R639</f>
        <v>4</v>
      </c>
      <c r="R581" s="24">
        <f>Data!S639</f>
        <v>4</v>
      </c>
      <c r="S581" s="24">
        <f>'TMT E DK'!E639</f>
        <v>10</v>
      </c>
      <c r="T581" s="24">
        <f>'TMT E DD'!E639</f>
        <v>8</v>
      </c>
      <c r="U581" s="24">
        <f>TA!E639</f>
        <v>2347784000000</v>
      </c>
      <c r="V581" s="109">
        <f>PR!F639</f>
        <v>-4.8640784510038795E-2</v>
      </c>
      <c r="W581" s="109">
        <f>'Z Score'!I639</f>
        <v>-0.11679159581971765</v>
      </c>
      <c r="X581" s="109">
        <f>'Z Score'!L639</f>
        <v>-3.7307273241490697</v>
      </c>
      <c r="Y581" s="109">
        <f>'Z Score'!O639</f>
        <v>-0.22417612523128191</v>
      </c>
      <c r="Z581" s="109">
        <f>'Z Score'!R639</f>
        <v>0.14783617473476962</v>
      </c>
      <c r="AA581" s="109">
        <f>'Z Score'!S639</f>
        <v>-3.9238588704652999</v>
      </c>
    </row>
    <row r="582" spans="1:27" ht="15" customHeight="1" x14ac:dyDescent="0.3">
      <c r="A582" s="22" t="s">
        <v>154</v>
      </c>
      <c r="B582" s="23">
        <v>59</v>
      </c>
      <c r="C582" s="2" t="s">
        <v>59</v>
      </c>
      <c r="D582" s="23">
        <v>2015</v>
      </c>
      <c r="E582" s="25">
        <f>'Current Ratio'!G641</f>
        <v>0</v>
      </c>
      <c r="F582" s="25">
        <f>'Cash Ratio'!G641</f>
        <v>0</v>
      </c>
      <c r="G582" s="25">
        <f>DAR!G641</f>
        <v>0</v>
      </c>
      <c r="H582" s="25">
        <f>DER!G641</f>
        <v>0</v>
      </c>
      <c r="I582" s="25">
        <f>NPM!G641</f>
        <v>0</v>
      </c>
      <c r="J582" s="25">
        <f>ROA!G641</f>
        <v>0</v>
      </c>
      <c r="K582" s="25">
        <f>ROE!G641</f>
        <v>0</v>
      </c>
      <c r="L582" s="25">
        <f>KM!E641</f>
        <v>0</v>
      </c>
      <c r="M582" s="24">
        <f>KI!E641</f>
        <v>0</v>
      </c>
      <c r="N582" s="108">
        <f>IO!E641</f>
        <v>0</v>
      </c>
      <c r="O582" s="24">
        <f>'BoC Size'!E641</f>
        <v>0</v>
      </c>
      <c r="P582" s="24">
        <f>'TMT E DK'!E641</f>
        <v>0</v>
      </c>
      <c r="Q582" s="24">
        <f>Data!R641</f>
        <v>0</v>
      </c>
      <c r="R582" s="24">
        <f>Data!S641</f>
        <v>0</v>
      </c>
      <c r="S582" s="24">
        <f>'TMT E DK'!E641</f>
        <v>0</v>
      </c>
      <c r="T582" s="24">
        <f>'TMT E DD'!E641</f>
        <v>0</v>
      </c>
      <c r="U582" s="24">
        <f>TA!E641</f>
        <v>0</v>
      </c>
      <c r="V582" s="109">
        <f>PR!F641</f>
        <v>0</v>
      </c>
      <c r="W582" s="109">
        <f>'Z Score'!I641</f>
        <v>0</v>
      </c>
      <c r="X582" s="109">
        <f>'Z Score'!L641</f>
        <v>0</v>
      </c>
      <c r="Y582" s="109">
        <f>'Z Score'!O641</f>
        <v>0</v>
      </c>
      <c r="Z582" s="109">
        <f>'Z Score'!R641</f>
        <v>0</v>
      </c>
      <c r="AA582" s="109">
        <f>'Z Score'!S641</f>
        <v>0</v>
      </c>
    </row>
    <row r="583" spans="1:27" ht="15" customHeight="1" x14ac:dyDescent="0.3">
      <c r="A583" s="22"/>
      <c r="B583" s="23"/>
      <c r="C583" s="2"/>
      <c r="D583" s="23">
        <v>2016</v>
      </c>
      <c r="E583" s="25">
        <f>'Current Ratio'!G642</f>
        <v>0</v>
      </c>
      <c r="F583" s="25">
        <f>'Cash Ratio'!G642</f>
        <v>0</v>
      </c>
      <c r="G583" s="25">
        <f>DAR!G642</f>
        <v>0</v>
      </c>
      <c r="H583" s="25">
        <f>DER!G642</f>
        <v>0</v>
      </c>
      <c r="I583" s="25">
        <f>NPM!G642</f>
        <v>0</v>
      </c>
      <c r="J583" s="25">
        <f>ROA!G642</f>
        <v>0</v>
      </c>
      <c r="K583" s="25">
        <f>ROE!G642</f>
        <v>0</v>
      </c>
      <c r="L583" s="25">
        <f>KM!E642</f>
        <v>0</v>
      </c>
      <c r="M583" s="24">
        <f>KI!E642</f>
        <v>0</v>
      </c>
      <c r="N583" s="108">
        <f>IO!E642</f>
        <v>0</v>
      </c>
      <c r="O583" s="24">
        <f>'BoC Size'!E642</f>
        <v>0</v>
      </c>
      <c r="P583" s="24">
        <f>'TMT E DK'!E642</f>
        <v>0</v>
      </c>
      <c r="Q583" s="24">
        <f>Data!R642</f>
        <v>0</v>
      </c>
      <c r="R583" s="24">
        <f>Data!S642</f>
        <v>0</v>
      </c>
      <c r="S583" s="24">
        <f>'TMT E DK'!E642</f>
        <v>0</v>
      </c>
      <c r="T583" s="24">
        <f>'TMT E DD'!E642</f>
        <v>0</v>
      </c>
      <c r="U583" s="24">
        <f>TA!E642</f>
        <v>0</v>
      </c>
      <c r="V583" s="109">
        <f>PR!F642</f>
        <v>0</v>
      </c>
      <c r="W583" s="109">
        <f>'Z Score'!I642</f>
        <v>0</v>
      </c>
      <c r="X583" s="109">
        <f>'Z Score'!L642</f>
        <v>0</v>
      </c>
      <c r="Y583" s="109">
        <f>'Z Score'!O642</f>
        <v>0</v>
      </c>
      <c r="Z583" s="109">
        <f>'Z Score'!R642</f>
        <v>0</v>
      </c>
      <c r="AA583" s="109">
        <f>'Z Score'!S642</f>
        <v>0</v>
      </c>
    </row>
    <row r="584" spans="1:27" ht="15" customHeight="1" x14ac:dyDescent="0.3">
      <c r="A584" s="22"/>
      <c r="B584" s="23"/>
      <c r="C584" s="2"/>
      <c r="D584" s="23">
        <v>2017</v>
      </c>
      <c r="E584" s="25">
        <f>'Current Ratio'!G643</f>
        <v>0</v>
      </c>
      <c r="F584" s="25">
        <f>'Cash Ratio'!G643</f>
        <v>0</v>
      </c>
      <c r="G584" s="25">
        <f>DAR!G643</f>
        <v>0</v>
      </c>
      <c r="H584" s="25">
        <f>DER!G643</f>
        <v>0</v>
      </c>
      <c r="I584" s="25">
        <f>NPM!G643</f>
        <v>0</v>
      </c>
      <c r="J584" s="25">
        <f>ROA!G643</f>
        <v>0</v>
      </c>
      <c r="K584" s="25">
        <f>ROE!G643</f>
        <v>0</v>
      </c>
      <c r="L584" s="25">
        <f>KM!E643</f>
        <v>0</v>
      </c>
      <c r="M584" s="24">
        <f>KI!E643</f>
        <v>0</v>
      </c>
      <c r="N584" s="108">
        <f>IO!E643</f>
        <v>0</v>
      </c>
      <c r="O584" s="24">
        <f>'BoC Size'!E643</f>
        <v>0</v>
      </c>
      <c r="P584" s="24">
        <f>'TMT E DK'!E643</f>
        <v>0</v>
      </c>
      <c r="Q584" s="24">
        <f>Data!R643</f>
        <v>0</v>
      </c>
      <c r="R584" s="24">
        <f>Data!S643</f>
        <v>0</v>
      </c>
      <c r="S584" s="24">
        <f>'TMT E DK'!E643</f>
        <v>0</v>
      </c>
      <c r="T584" s="24">
        <f>'TMT E DD'!E643</f>
        <v>0</v>
      </c>
      <c r="U584" s="24">
        <f>TA!E643</f>
        <v>0</v>
      </c>
      <c r="V584" s="109">
        <f>PR!F643</f>
        <v>0</v>
      </c>
      <c r="W584" s="109">
        <f>'Z Score'!I643</f>
        <v>0</v>
      </c>
      <c r="X584" s="109">
        <f>'Z Score'!L643</f>
        <v>0</v>
      </c>
      <c r="Y584" s="109">
        <f>'Z Score'!O643</f>
        <v>0</v>
      </c>
      <c r="Z584" s="109">
        <f>'Z Score'!R643</f>
        <v>0</v>
      </c>
      <c r="AA584" s="109">
        <f>'Z Score'!S643</f>
        <v>0</v>
      </c>
    </row>
    <row r="585" spans="1:27" ht="15" customHeight="1" x14ac:dyDescent="0.3">
      <c r="A585" s="22"/>
      <c r="B585" s="23"/>
      <c r="C585" s="2"/>
      <c r="D585" s="23">
        <v>2018</v>
      </c>
      <c r="E585" s="25">
        <f>'Current Ratio'!G644</f>
        <v>0</v>
      </c>
      <c r="F585" s="25">
        <f>'Cash Ratio'!G644</f>
        <v>0</v>
      </c>
      <c r="G585" s="25">
        <f>DAR!G644</f>
        <v>0</v>
      </c>
      <c r="H585" s="25">
        <f>DER!G644</f>
        <v>0</v>
      </c>
      <c r="I585" s="25">
        <f>NPM!G644</f>
        <v>0</v>
      </c>
      <c r="J585" s="25">
        <f>ROA!G644</f>
        <v>0</v>
      </c>
      <c r="K585" s="25">
        <f>ROE!G644</f>
        <v>0</v>
      </c>
      <c r="L585" s="25">
        <f>KM!E644</f>
        <v>0</v>
      </c>
      <c r="M585" s="24">
        <f>KI!E644</f>
        <v>0</v>
      </c>
      <c r="N585" s="108">
        <f>IO!E644</f>
        <v>0</v>
      </c>
      <c r="O585" s="24">
        <f>'BoC Size'!E644</f>
        <v>0</v>
      </c>
      <c r="P585" s="24">
        <f>'TMT E DK'!E644</f>
        <v>0</v>
      </c>
      <c r="Q585" s="24">
        <f>Data!R644</f>
        <v>0</v>
      </c>
      <c r="R585" s="24">
        <f>Data!S644</f>
        <v>0</v>
      </c>
      <c r="S585" s="24">
        <f>'TMT E DK'!E644</f>
        <v>0</v>
      </c>
      <c r="T585" s="24">
        <f>'TMT E DD'!E644</f>
        <v>0</v>
      </c>
      <c r="U585" s="24">
        <f>TA!E644</f>
        <v>0</v>
      </c>
      <c r="V585" s="109">
        <f>PR!F644</f>
        <v>0</v>
      </c>
      <c r="W585" s="109">
        <f>'Z Score'!I644</f>
        <v>0</v>
      </c>
      <c r="X585" s="109">
        <f>'Z Score'!L644</f>
        <v>0</v>
      </c>
      <c r="Y585" s="109">
        <f>'Z Score'!O644</f>
        <v>0</v>
      </c>
      <c r="Z585" s="109">
        <f>'Z Score'!R644</f>
        <v>0</v>
      </c>
      <c r="AA585" s="109">
        <f>'Z Score'!S644</f>
        <v>0</v>
      </c>
    </row>
    <row r="586" spans="1:27" ht="15" customHeight="1" x14ac:dyDescent="0.3">
      <c r="A586" s="22"/>
      <c r="B586" s="23"/>
      <c r="C586" s="2"/>
      <c r="D586" s="23">
        <v>2019</v>
      </c>
      <c r="E586" s="25">
        <f>'Current Ratio'!G645</f>
        <v>0.26895299002953388</v>
      </c>
      <c r="F586" s="25">
        <f>'Cash Ratio'!G645</f>
        <v>0.39507028179335152</v>
      </c>
      <c r="G586" s="25">
        <f>DAR!G645</f>
        <v>0.68424952220353108</v>
      </c>
      <c r="H586" s="25">
        <f>DER!G645</f>
        <v>2.1670577570577572</v>
      </c>
      <c r="I586" s="25">
        <f>NPM!G645</f>
        <v>0.29934931014084959</v>
      </c>
      <c r="J586" s="25">
        <f>ROA!G645</f>
        <v>6.1249541012805844E-2</v>
      </c>
      <c r="K586" s="25">
        <f>ROE!G645</f>
        <v>0.19398083398083399</v>
      </c>
      <c r="L586" s="25">
        <f>KM!E645</f>
        <v>0</v>
      </c>
      <c r="M586" s="24">
        <f>KI!E645</f>
        <v>0</v>
      </c>
      <c r="N586" s="108">
        <f>IO!E645</f>
        <v>0</v>
      </c>
      <c r="O586" s="24">
        <f>'BoC Size'!E645</f>
        <v>0</v>
      </c>
      <c r="P586" s="24">
        <f>'TMT E DK'!E645</f>
        <v>0</v>
      </c>
      <c r="Q586" s="24">
        <f>Data!R645</f>
        <v>0</v>
      </c>
      <c r="R586" s="24">
        <f>Data!S645</f>
        <v>0</v>
      </c>
      <c r="S586" s="24">
        <f>'TMT E DK'!E645</f>
        <v>0</v>
      </c>
      <c r="T586" s="24">
        <f>'TMT E DD'!E645</f>
        <v>0</v>
      </c>
      <c r="U586" s="24">
        <f>TA!E645</f>
        <v>1222801000000</v>
      </c>
      <c r="V586" s="109">
        <f>PR!F645</f>
        <v>0</v>
      </c>
      <c r="W586" s="109">
        <f>'Z Score'!I645</f>
        <v>-0.88306819507017087</v>
      </c>
      <c r="X586" s="109">
        <f>'Z Score'!L645</f>
        <v>0.20528012325799536</v>
      </c>
      <c r="Y586" s="109">
        <f>'Z Score'!O645</f>
        <v>0.47259784707405378</v>
      </c>
      <c r="Z586" s="109">
        <f>'Z Score'!R645</f>
        <v>0.48452792574647341</v>
      </c>
      <c r="AA586" s="109">
        <f>'Z Score'!S645</f>
        <v>0.2793377010083517</v>
      </c>
    </row>
    <row r="587" spans="1:27" ht="15" customHeight="1" x14ac:dyDescent="0.3">
      <c r="A587" s="22"/>
      <c r="B587" s="23"/>
      <c r="C587" s="2"/>
      <c r="D587" s="23">
        <v>2020</v>
      </c>
      <c r="E587" s="25">
        <f>'Current Ratio'!G646</f>
        <v>3.2900263980338016</v>
      </c>
      <c r="F587" s="25">
        <f>'Cash Ratio'!G646</f>
        <v>9.8249233850168399E-2</v>
      </c>
      <c r="G587" s="25">
        <f>DAR!G646</f>
        <v>0.6628567218642063</v>
      </c>
      <c r="H587" s="25">
        <f>DER!G646</f>
        <v>1.9660979911253709</v>
      </c>
      <c r="I587" s="25">
        <f>NPM!G646</f>
        <v>0.51112712030912311</v>
      </c>
      <c r="J587" s="25">
        <f>ROA!G646</f>
        <v>6.7644649767927639E-2</v>
      </c>
      <c r="K587" s="25">
        <f>ROE!G646</f>
        <v>0.20064065978702947</v>
      </c>
      <c r="L587" s="25">
        <f>KM!E646</f>
        <v>0.99990000000000001</v>
      </c>
      <c r="M587" s="24">
        <f>KI!E646</f>
        <v>2</v>
      </c>
      <c r="N587" s="108">
        <f>IO!E646</f>
        <v>0</v>
      </c>
      <c r="O587" s="24">
        <f>'BoC Size'!E646</f>
        <v>3</v>
      </c>
      <c r="P587" s="24">
        <f>'TMT E DK'!E646</f>
        <v>0</v>
      </c>
      <c r="Q587" s="24">
        <f>Data!R646</f>
        <v>3</v>
      </c>
      <c r="R587" s="24">
        <f>Data!S646</f>
        <v>3</v>
      </c>
      <c r="S587" s="24">
        <f>'TMT E DK'!E646</f>
        <v>0</v>
      </c>
      <c r="T587" s="24">
        <f>'TMT E DD'!E646</f>
        <v>0</v>
      </c>
      <c r="U587" s="24">
        <f>TA!E646</f>
        <v>1153735000000</v>
      </c>
      <c r="V587" s="109">
        <f>PR!F646</f>
        <v>-0.38971846072679017</v>
      </c>
      <c r="W587" s="109">
        <f>'Z Score'!I646</f>
        <v>2.1456354535486919</v>
      </c>
      <c r="X587" s="109">
        <f>'Z Score'!L646</f>
        <v>0.22086063090744407</v>
      </c>
      <c r="Y587" s="109">
        <f>'Z Score'!O646</f>
        <v>0.5499725326873155</v>
      </c>
      <c r="Z587" s="109">
        <f>'Z Score'!R646</f>
        <v>0.5340527301993695</v>
      </c>
      <c r="AA587" s="109">
        <f>'Z Score'!S646</f>
        <v>3.4505213473428209</v>
      </c>
    </row>
    <row r="588" spans="1:27" ht="15" customHeight="1" x14ac:dyDescent="0.3">
      <c r="A588" s="22"/>
      <c r="B588" s="23"/>
      <c r="C588" s="2"/>
      <c r="D588" s="23">
        <v>2021</v>
      </c>
      <c r="E588" s="25">
        <f>'Current Ratio'!G647</f>
        <v>2.8036544956349965</v>
      </c>
      <c r="F588" s="25">
        <f>'Cash Ratio'!G647</f>
        <v>0.12844367977229762</v>
      </c>
      <c r="G588" s="25">
        <f>DAR!G647</f>
        <v>0.66404566583199753</v>
      </c>
      <c r="H588" s="25">
        <f>DER!G647</f>
        <v>1.9766001626865632</v>
      </c>
      <c r="I588" s="25">
        <f>NPM!G647</f>
        <v>0.47416441796467979</v>
      </c>
      <c r="J588" s="25">
        <f>ROA!G647</f>
        <v>6.1980296220240899E-2</v>
      </c>
      <c r="K588" s="25">
        <f>ROE!G647</f>
        <v>0.18449072088859089</v>
      </c>
      <c r="L588" s="25">
        <f>KM!E647</f>
        <v>0.99990000000000001</v>
      </c>
      <c r="M588" s="24">
        <f>KI!E647</f>
        <v>2</v>
      </c>
      <c r="N588" s="108">
        <f>IO!E647</f>
        <v>0</v>
      </c>
      <c r="O588" s="24">
        <f>'BoC Size'!E647</f>
        <v>3</v>
      </c>
      <c r="P588" s="24">
        <f>'TMT E DK'!E647</f>
        <v>0</v>
      </c>
      <c r="Q588" s="24">
        <f>Data!R647</f>
        <v>3</v>
      </c>
      <c r="R588" s="24">
        <f>Data!S647</f>
        <v>3</v>
      </c>
      <c r="S588" s="24">
        <f>'TMT E DK'!E647</f>
        <v>0</v>
      </c>
      <c r="T588" s="24">
        <f>'TMT E DD'!E647</f>
        <v>0</v>
      </c>
      <c r="U588" s="24">
        <f>TA!E647</f>
        <v>1145364000000</v>
      </c>
      <c r="V588" s="109">
        <f>PR!F647</f>
        <v>-1.9477372453991747E-2</v>
      </c>
      <c r="W588" s="109">
        <f>'Z Score'!I647</f>
        <v>1.9453640240133268</v>
      </c>
      <c r="X588" s="109">
        <f>'Z Score'!L647</f>
        <v>0.21707830872980116</v>
      </c>
      <c r="Y588" s="109">
        <f>'Z Score'!O647</f>
        <v>0.53288799019351052</v>
      </c>
      <c r="Z588" s="109">
        <f>'Z Score'!R647</f>
        <v>0.53121517432886212</v>
      </c>
      <c r="AA588" s="109">
        <f>'Z Score'!S647</f>
        <v>3.2265454972655001</v>
      </c>
    </row>
    <row r="589" spans="1:27" ht="15" customHeight="1" x14ac:dyDescent="0.3">
      <c r="A589" s="22"/>
      <c r="B589" s="23"/>
      <c r="C589" s="2"/>
      <c r="D589" s="23">
        <v>2022</v>
      </c>
      <c r="E589" s="25">
        <f>'Current Ratio'!G648</f>
        <v>3.2581465194706682</v>
      </c>
      <c r="F589" s="25">
        <f>'Cash Ratio'!G648</f>
        <v>0.24450321350595036</v>
      </c>
      <c r="G589" s="25">
        <f>DAR!G648</f>
        <v>0.67385654604334577</v>
      </c>
      <c r="H589" s="25">
        <f>DER!G648</f>
        <v>2.0661354317198839</v>
      </c>
      <c r="I589" s="25">
        <f>NPM!G648</f>
        <v>0.48951457667604775</v>
      </c>
      <c r="J589" s="25">
        <f>ROA!G648</f>
        <v>6.4163490579156823E-2</v>
      </c>
      <c r="K589" s="25">
        <f>ROE!G648</f>
        <v>0.19673395188757767</v>
      </c>
      <c r="L589" s="25">
        <f>KM!E648</f>
        <v>0.99990000000000001</v>
      </c>
      <c r="M589" s="24">
        <f>KI!E648</f>
        <v>2</v>
      </c>
      <c r="N589" s="108">
        <f>IO!E648</f>
        <v>0</v>
      </c>
      <c r="O589" s="24">
        <f>'BoC Size'!E648</f>
        <v>3</v>
      </c>
      <c r="P589" s="24">
        <f>'TMT E DK'!E648</f>
        <v>0</v>
      </c>
      <c r="Q589" s="24">
        <f>Data!R648</f>
        <v>3</v>
      </c>
      <c r="R589" s="24">
        <f>Data!S648</f>
        <v>4</v>
      </c>
      <c r="S589" s="24">
        <f>'TMT E DK'!E648</f>
        <v>0</v>
      </c>
      <c r="T589" s="24">
        <f>'TMT E DD'!E648</f>
        <v>0</v>
      </c>
      <c r="U589" s="24">
        <f>TA!E648</f>
        <v>1200901000000</v>
      </c>
      <c r="V589" s="109">
        <f>PR!F648</f>
        <v>5.1383953618851695E-2</v>
      </c>
      <c r="W589" s="109">
        <f>'Z Score'!I648</f>
        <v>2.4067843727334726</v>
      </c>
      <c r="X589" s="109">
        <f>'Z Score'!L648</f>
        <v>0.23451403571151994</v>
      </c>
      <c r="Y589" s="109">
        <f>'Z Score'!O648</f>
        <v>0.55528227555810172</v>
      </c>
      <c r="Z589" s="109">
        <f>'Z Score'!R648</f>
        <v>0.50819514726871673</v>
      </c>
      <c r="AA589" s="109">
        <f>'Z Score'!S648</f>
        <v>3.7047758312718111</v>
      </c>
    </row>
    <row r="590" spans="1:27" ht="15" customHeight="1" x14ac:dyDescent="0.3">
      <c r="A590" s="22"/>
      <c r="B590" s="23"/>
      <c r="C590" s="2"/>
      <c r="D590" s="23">
        <v>2023</v>
      </c>
      <c r="E590" s="25">
        <f>'Current Ratio'!G649</f>
        <v>3.5579959420067926</v>
      </c>
      <c r="F590" s="25">
        <f>'Cash Ratio'!G649</f>
        <v>0.25787945244436666</v>
      </c>
      <c r="G590" s="25">
        <f>DAR!G649</f>
        <v>0.63636149167257139</v>
      </c>
      <c r="H590" s="25">
        <f>DER!G649</f>
        <v>1.7499837808694796</v>
      </c>
      <c r="I590" s="25">
        <f>NPM!G649</f>
        <v>0.66758848447130148</v>
      </c>
      <c r="J590" s="25">
        <f>ROA!G649</f>
        <v>0.10820654203250597</v>
      </c>
      <c r="K590" s="25">
        <f>ROE!G649</f>
        <v>0.29756623557336304</v>
      </c>
      <c r="L590" s="25">
        <f>KM!E649</f>
        <v>0.99990000000000001</v>
      </c>
      <c r="M590" s="24">
        <f>KI!E649</f>
        <v>3</v>
      </c>
      <c r="N590" s="108">
        <f>IO!E649</f>
        <v>0</v>
      </c>
      <c r="O590" s="24">
        <f>'BoC Size'!E649</f>
        <v>4</v>
      </c>
      <c r="P590" s="24">
        <f>'TMT E DK'!E649</f>
        <v>0</v>
      </c>
      <c r="Q590" s="24">
        <f>Data!R649</f>
        <v>4</v>
      </c>
      <c r="R590" s="24">
        <f>Data!S649</f>
        <v>4</v>
      </c>
      <c r="S590" s="24">
        <f>'TMT E DK'!E649</f>
        <v>0</v>
      </c>
      <c r="T590" s="24">
        <f>'TMT E DD'!E649</f>
        <v>0</v>
      </c>
      <c r="U590" s="24">
        <f>TA!E649</f>
        <v>1229251000000</v>
      </c>
      <c r="V590" s="109">
        <f>PR!F649</f>
        <v>0.26577260512423051</v>
      </c>
      <c r="W590" s="109">
        <f>'Z Score'!I649</f>
        <v>2.4960639608997672</v>
      </c>
      <c r="X590" s="109">
        <f>'Z Score'!L649</f>
        <v>0.3715402468657743</v>
      </c>
      <c r="Y590" s="109">
        <f>'Z Score'!O649</f>
        <v>0.88811622687311209</v>
      </c>
      <c r="Z590" s="109">
        <f>'Z Score'!R649</f>
        <v>0.60000556089628865</v>
      </c>
      <c r="AA590" s="109">
        <f>'Z Score'!S649</f>
        <v>4.3557259955349421</v>
      </c>
    </row>
    <row r="591" spans="1:27" ht="15" customHeight="1" x14ac:dyDescent="0.3">
      <c r="A591" s="22"/>
      <c r="B591" s="23"/>
      <c r="C591" s="2"/>
      <c r="D591" s="23">
        <v>2024</v>
      </c>
      <c r="E591" s="25">
        <f>'Current Ratio'!G650</f>
        <v>3.7194586822769327</v>
      </c>
      <c r="F591" s="25">
        <f>'Cash Ratio'!G650</f>
        <v>0.43950088227880008</v>
      </c>
      <c r="G591" s="25">
        <f>DAR!G650</f>
        <v>0.58955452791406882</v>
      </c>
      <c r="H591" s="25">
        <f>DER!G650</f>
        <v>1.4363772242823993</v>
      </c>
      <c r="I591" s="25">
        <f>NPM!G650</f>
        <v>0.68817081993020512</v>
      </c>
      <c r="J591" s="25">
        <f>ROA!G650</f>
        <v>0.10355983288121064</v>
      </c>
      <c r="K591" s="25">
        <f>ROE!G650</f>
        <v>0.25231081818227313</v>
      </c>
      <c r="L591" s="25">
        <f>KM!E650</f>
        <v>0.99990000000000001</v>
      </c>
      <c r="M591" s="24">
        <f>KI!E650</f>
        <v>3</v>
      </c>
      <c r="N591" s="108">
        <f>IO!E650</f>
        <v>0</v>
      </c>
      <c r="O591" s="24">
        <f>'BoC Size'!E650</f>
        <v>4</v>
      </c>
      <c r="P591" s="24">
        <f>'TMT E DK'!E650</f>
        <v>0</v>
      </c>
      <c r="Q591" s="24">
        <f>Data!R650</f>
        <v>4</v>
      </c>
      <c r="R591" s="24">
        <f>Data!S650</f>
        <v>4</v>
      </c>
      <c r="S591" s="24">
        <f>'TMT E DK'!E650</f>
        <v>0</v>
      </c>
      <c r="T591" s="24">
        <f>'TMT E DD'!E650</f>
        <v>0</v>
      </c>
      <c r="U591" s="24">
        <f>TA!E650</f>
        <v>1460518000000</v>
      </c>
      <c r="V591" s="109">
        <f>PR!F650</f>
        <v>0.10310473590170846</v>
      </c>
      <c r="W591" s="109">
        <f>'Z Score'!I650</f>
        <v>2.6165880324651938</v>
      </c>
      <c r="X591" s="109">
        <f>'Z Score'!L650</f>
        <v>0.65977077995615252</v>
      </c>
      <c r="Y591" s="109">
        <f>'Z Score'!O650</f>
        <v>0.87567813611335155</v>
      </c>
      <c r="Z591" s="109">
        <f>'Z Score'!R650</f>
        <v>0.73100574295486354</v>
      </c>
      <c r="AA591" s="109">
        <f>'Z Score'!S650</f>
        <v>4.8830426914895613</v>
      </c>
    </row>
    <row r="592" spans="1:27" ht="15" customHeight="1" x14ac:dyDescent="0.3">
      <c r="A592" s="22"/>
      <c r="B592" s="23">
        <v>60</v>
      </c>
      <c r="C592" s="2" t="s">
        <v>63</v>
      </c>
      <c r="D592" s="23">
        <v>2015</v>
      </c>
      <c r="E592" s="25">
        <f>'Current Ratio'!G652</f>
        <v>0</v>
      </c>
      <c r="F592" s="25">
        <f>'Cash Ratio'!G652</f>
        <v>0</v>
      </c>
      <c r="G592" s="25">
        <f>DAR!G652</f>
        <v>0</v>
      </c>
      <c r="H592" s="25">
        <f>DER!G652</f>
        <v>0</v>
      </c>
      <c r="I592" s="25">
        <f>NPM!G652</f>
        <v>0</v>
      </c>
      <c r="J592" s="25">
        <f>ROA!G652</f>
        <v>0</v>
      </c>
      <c r="K592" s="25">
        <f>ROE!G652</f>
        <v>0</v>
      </c>
      <c r="L592" s="25">
        <f>KM!E652</f>
        <v>0</v>
      </c>
      <c r="M592" s="24">
        <f>KI!E652</f>
        <v>0</v>
      </c>
      <c r="N592" s="108">
        <f>IO!E652</f>
        <v>0</v>
      </c>
      <c r="O592" s="24">
        <f>'BoC Size'!E652</f>
        <v>0</v>
      </c>
      <c r="P592" s="24">
        <f>'TMT E DK'!E652</f>
        <v>0</v>
      </c>
      <c r="Q592" s="24">
        <f>Data!R652</f>
        <v>0</v>
      </c>
      <c r="R592" s="24">
        <f>Data!S652</f>
        <v>0</v>
      </c>
      <c r="S592" s="24">
        <f>'TMT E DK'!E652</f>
        <v>0</v>
      </c>
      <c r="T592" s="24">
        <f>'TMT E DD'!E652</f>
        <v>0</v>
      </c>
      <c r="U592" s="24">
        <f>TA!E652</f>
        <v>0</v>
      </c>
      <c r="V592" s="109">
        <f>PR!F652</f>
        <v>0</v>
      </c>
      <c r="W592" s="109">
        <f>'Z Score'!I652</f>
        <v>0</v>
      </c>
      <c r="X592" s="109">
        <f>'Z Score'!L652</f>
        <v>0</v>
      </c>
      <c r="Y592" s="109">
        <f>'Z Score'!O652</f>
        <v>0</v>
      </c>
      <c r="Z592" s="109">
        <f>'Z Score'!R652</f>
        <v>0</v>
      </c>
      <c r="AA592" s="109">
        <f>'Z Score'!S652</f>
        <v>0</v>
      </c>
    </row>
    <row r="593" spans="1:27" ht="15" customHeight="1" x14ac:dyDescent="0.3">
      <c r="A593" s="22"/>
      <c r="B593" s="23"/>
      <c r="C593" s="2"/>
      <c r="D593" s="23">
        <v>2016</v>
      </c>
      <c r="E593" s="25">
        <f>'Current Ratio'!G653</f>
        <v>0</v>
      </c>
      <c r="F593" s="25">
        <f>'Cash Ratio'!G653</f>
        <v>0</v>
      </c>
      <c r="G593" s="25">
        <f>DAR!G653</f>
        <v>0</v>
      </c>
      <c r="H593" s="25">
        <f>DER!G653</f>
        <v>0</v>
      </c>
      <c r="I593" s="25">
        <f>NPM!G653</f>
        <v>0</v>
      </c>
      <c r="J593" s="25">
        <f>ROA!G653</f>
        <v>0</v>
      </c>
      <c r="K593" s="25">
        <f>ROE!G653</f>
        <v>0</v>
      </c>
      <c r="L593" s="25">
        <f>KM!E653</f>
        <v>0</v>
      </c>
      <c r="M593" s="24">
        <f>KI!E653</f>
        <v>0</v>
      </c>
      <c r="N593" s="108">
        <f>IO!E653</f>
        <v>0</v>
      </c>
      <c r="O593" s="24">
        <f>'BoC Size'!E653</f>
        <v>0</v>
      </c>
      <c r="P593" s="24">
        <f>'TMT E DK'!E653</f>
        <v>0</v>
      </c>
      <c r="Q593" s="24">
        <f>Data!R653</f>
        <v>0</v>
      </c>
      <c r="R593" s="24">
        <f>Data!S653</f>
        <v>0</v>
      </c>
      <c r="S593" s="24">
        <f>'TMT E DK'!E653</f>
        <v>0</v>
      </c>
      <c r="T593" s="24">
        <f>'TMT E DD'!E653</f>
        <v>0</v>
      </c>
      <c r="U593" s="24">
        <f>TA!E653</f>
        <v>0</v>
      </c>
      <c r="V593" s="109">
        <f>PR!F653</f>
        <v>0</v>
      </c>
      <c r="W593" s="109">
        <f>'Z Score'!I653</f>
        <v>0</v>
      </c>
      <c r="X593" s="109">
        <f>'Z Score'!L653</f>
        <v>0</v>
      </c>
      <c r="Y593" s="109">
        <f>'Z Score'!O653</f>
        <v>0</v>
      </c>
      <c r="Z593" s="109">
        <f>'Z Score'!R653</f>
        <v>0</v>
      </c>
      <c r="AA593" s="109">
        <f>'Z Score'!S653</f>
        <v>0</v>
      </c>
    </row>
    <row r="594" spans="1:27" ht="15" customHeight="1" x14ac:dyDescent="0.3">
      <c r="A594" s="22"/>
      <c r="B594" s="23"/>
      <c r="C594" s="2"/>
      <c r="D594" s="23">
        <v>2017</v>
      </c>
      <c r="E594" s="25">
        <f>'Current Ratio'!G654</f>
        <v>0</v>
      </c>
      <c r="F594" s="25">
        <f>'Cash Ratio'!G654</f>
        <v>0</v>
      </c>
      <c r="G594" s="25">
        <f>DAR!G654</f>
        <v>0</v>
      </c>
      <c r="H594" s="25">
        <f>DER!G654</f>
        <v>0</v>
      </c>
      <c r="I594" s="25">
        <f>NPM!G654</f>
        <v>0</v>
      </c>
      <c r="J594" s="25">
        <f>ROA!G654</f>
        <v>0</v>
      </c>
      <c r="K594" s="25">
        <f>ROE!G654</f>
        <v>0</v>
      </c>
      <c r="L594" s="25">
        <f>KM!E654</f>
        <v>0</v>
      </c>
      <c r="M594" s="24">
        <f>KI!E654</f>
        <v>0</v>
      </c>
      <c r="N594" s="108">
        <f>IO!E654</f>
        <v>0</v>
      </c>
      <c r="O594" s="24">
        <f>'BoC Size'!E654</f>
        <v>0</v>
      </c>
      <c r="P594" s="24">
        <f>'TMT E DK'!E654</f>
        <v>0</v>
      </c>
      <c r="Q594" s="24">
        <f>Data!R654</f>
        <v>0</v>
      </c>
      <c r="R594" s="24">
        <f>Data!S654</f>
        <v>0</v>
      </c>
      <c r="S594" s="24">
        <f>'TMT E DK'!E654</f>
        <v>0</v>
      </c>
      <c r="T594" s="24">
        <f>'TMT E DD'!E654</f>
        <v>0</v>
      </c>
      <c r="U594" s="24">
        <f>TA!E654</f>
        <v>0</v>
      </c>
      <c r="V594" s="109">
        <f>PR!F654</f>
        <v>0</v>
      </c>
      <c r="W594" s="109">
        <f>'Z Score'!I654</f>
        <v>0</v>
      </c>
      <c r="X594" s="109">
        <f>'Z Score'!L654</f>
        <v>0</v>
      </c>
      <c r="Y594" s="109">
        <f>'Z Score'!O654</f>
        <v>0</v>
      </c>
      <c r="Z594" s="109">
        <f>'Z Score'!R654</f>
        <v>0</v>
      </c>
      <c r="AA594" s="109">
        <f>'Z Score'!S654</f>
        <v>0</v>
      </c>
    </row>
    <row r="595" spans="1:27" ht="15" customHeight="1" x14ac:dyDescent="0.3">
      <c r="A595" s="22"/>
      <c r="B595" s="23"/>
      <c r="C595" s="2"/>
      <c r="D595" s="23">
        <v>2018</v>
      </c>
      <c r="E595" s="25">
        <f>'Current Ratio'!G655</f>
        <v>0</v>
      </c>
      <c r="F595" s="25">
        <f>'Cash Ratio'!G655</f>
        <v>0</v>
      </c>
      <c r="G595" s="25">
        <f>DAR!G655</f>
        <v>0</v>
      </c>
      <c r="H595" s="25">
        <f>DER!G655</f>
        <v>0</v>
      </c>
      <c r="I595" s="25">
        <f>NPM!G655</f>
        <v>0</v>
      </c>
      <c r="J595" s="25">
        <f>ROA!G655</f>
        <v>0</v>
      </c>
      <c r="K595" s="25">
        <f>ROE!G655</f>
        <v>0</v>
      </c>
      <c r="L595" s="25">
        <f>KM!E655</f>
        <v>0</v>
      </c>
      <c r="M595" s="24">
        <f>KI!E655</f>
        <v>0</v>
      </c>
      <c r="N595" s="108">
        <f>IO!E655</f>
        <v>0</v>
      </c>
      <c r="O595" s="24">
        <f>'BoC Size'!E655</f>
        <v>0</v>
      </c>
      <c r="P595" s="24">
        <f>'TMT E DK'!E655</f>
        <v>0</v>
      </c>
      <c r="Q595" s="24">
        <f>Data!R655</f>
        <v>0</v>
      </c>
      <c r="R595" s="24">
        <f>Data!S655</f>
        <v>0</v>
      </c>
      <c r="S595" s="24">
        <f>'TMT E DK'!E655</f>
        <v>0</v>
      </c>
      <c r="T595" s="24">
        <f>'TMT E DD'!E655</f>
        <v>0</v>
      </c>
      <c r="U595" s="24">
        <f>TA!E655</f>
        <v>0</v>
      </c>
      <c r="V595" s="109">
        <f>PR!F655</f>
        <v>0</v>
      </c>
      <c r="W595" s="109">
        <f>'Z Score'!I655</f>
        <v>0</v>
      </c>
      <c r="X595" s="109">
        <f>'Z Score'!L655</f>
        <v>0</v>
      </c>
      <c r="Y595" s="109">
        <f>'Z Score'!O655</f>
        <v>0</v>
      </c>
      <c r="Z595" s="109">
        <f>'Z Score'!R655</f>
        <v>0</v>
      </c>
      <c r="AA595" s="109">
        <f>'Z Score'!S655</f>
        <v>0</v>
      </c>
    </row>
    <row r="596" spans="1:27" ht="15" customHeight="1" x14ac:dyDescent="0.3">
      <c r="A596" s="22"/>
      <c r="B596" s="23"/>
      <c r="C596" s="2"/>
      <c r="D596" s="23">
        <v>2019</v>
      </c>
      <c r="E596" s="25">
        <f>'Current Ratio'!G656</f>
        <v>0</v>
      </c>
      <c r="F596" s="25">
        <f>'Cash Ratio'!G656</f>
        <v>0</v>
      </c>
      <c r="G596" s="25">
        <f>DAR!G656</f>
        <v>0</v>
      </c>
      <c r="H596" s="25">
        <f>DER!G656</f>
        <v>0</v>
      </c>
      <c r="I596" s="25">
        <f>NPM!G656</f>
        <v>0</v>
      </c>
      <c r="J596" s="25">
        <f>ROA!G656</f>
        <v>0</v>
      </c>
      <c r="K596" s="25">
        <f>ROE!G656</f>
        <v>0</v>
      </c>
      <c r="L596" s="25">
        <f>KM!E656</f>
        <v>0</v>
      </c>
      <c r="M596" s="24">
        <f>KI!E656</f>
        <v>0</v>
      </c>
      <c r="N596" s="108">
        <f>IO!E656</f>
        <v>0</v>
      </c>
      <c r="O596" s="24">
        <f>'BoC Size'!E656</f>
        <v>0</v>
      </c>
      <c r="P596" s="24">
        <f>'TMT E DK'!E656</f>
        <v>0</v>
      </c>
      <c r="Q596" s="24">
        <f>Data!R656</f>
        <v>0</v>
      </c>
      <c r="R596" s="24">
        <f>Data!S656</f>
        <v>0</v>
      </c>
      <c r="S596" s="24">
        <f>'TMT E DK'!E656</f>
        <v>0</v>
      </c>
      <c r="T596" s="24">
        <f>'TMT E DD'!E656</f>
        <v>0</v>
      </c>
      <c r="U596" s="24">
        <f>TA!E656</f>
        <v>0</v>
      </c>
      <c r="V596" s="109">
        <f>PR!F656</f>
        <v>0</v>
      </c>
      <c r="W596" s="109">
        <f>'Z Score'!I656</f>
        <v>0</v>
      </c>
      <c r="X596" s="109">
        <f>'Z Score'!L656</f>
        <v>0</v>
      </c>
      <c r="Y596" s="109">
        <f>'Z Score'!O656</f>
        <v>0</v>
      </c>
      <c r="Z596" s="109">
        <f>'Z Score'!R656</f>
        <v>0</v>
      </c>
      <c r="AA596" s="109">
        <f>'Z Score'!S656</f>
        <v>0</v>
      </c>
    </row>
    <row r="597" spans="1:27" ht="15" customHeight="1" x14ac:dyDescent="0.3">
      <c r="A597" s="22"/>
      <c r="B597" s="23"/>
      <c r="C597" s="2"/>
      <c r="D597" s="23">
        <v>2020</v>
      </c>
      <c r="E597" s="25">
        <f>'Current Ratio'!G657</f>
        <v>1.598297231825772</v>
      </c>
      <c r="F597" s="25">
        <f>'Cash Ratio'!G657</f>
        <v>0.4191537900703215</v>
      </c>
      <c r="G597" s="25">
        <f>DAR!G657</f>
        <v>0.46931802202952894</v>
      </c>
      <c r="H597" s="25">
        <f>DER!G657</f>
        <v>0.88436774096678183</v>
      </c>
      <c r="I597" s="25">
        <f>NPM!G657</f>
        <v>0.10357912809357045</v>
      </c>
      <c r="J597" s="25">
        <f>ROA!G657</f>
        <v>2.4883993438012654E-2</v>
      </c>
      <c r="K597" s="25">
        <f>ROE!G657</f>
        <v>4.6890594501020129E-2</v>
      </c>
      <c r="L597" s="25">
        <f>KM!E657</f>
        <v>0</v>
      </c>
      <c r="M597" s="24">
        <f>KI!E657</f>
        <v>0</v>
      </c>
      <c r="N597" s="108">
        <f>IO!E657</f>
        <v>0</v>
      </c>
      <c r="O597" s="24">
        <f>'BoC Size'!E657</f>
        <v>0</v>
      </c>
      <c r="P597" s="24">
        <f>'TMT E DK'!E657</f>
        <v>0</v>
      </c>
      <c r="Q597" s="24">
        <f>Data!R657</f>
        <v>0</v>
      </c>
      <c r="R597" s="24">
        <f>Data!S657</f>
        <v>0</v>
      </c>
      <c r="S597" s="24">
        <f>'TMT E DK'!E657</f>
        <v>0</v>
      </c>
      <c r="T597" s="24">
        <f>'TMT E DD'!E657</f>
        <v>0</v>
      </c>
      <c r="U597" s="24">
        <f>TA!E657</f>
        <v>426700000000</v>
      </c>
      <c r="V597" s="109">
        <f>PR!F657</f>
        <v>0</v>
      </c>
      <c r="W597" s="109">
        <f>'Z Score'!I657</f>
        <v>0.78218814155144123</v>
      </c>
      <c r="X597" s="109">
        <f>'Z Score'!L657</f>
        <v>0.82224274666041719</v>
      </c>
      <c r="Y597" s="109">
        <f>'Z Score'!O657</f>
        <v>0.12788000937426763</v>
      </c>
      <c r="Z597" s="109">
        <f>'Z Score'!R657</f>
        <v>1.187288897322454</v>
      </c>
      <c r="AA597" s="109">
        <f>'Z Score'!S657</f>
        <v>2.9195997949085801</v>
      </c>
    </row>
    <row r="598" spans="1:27" ht="15" customHeight="1" x14ac:dyDescent="0.3">
      <c r="A598" s="22"/>
      <c r="B598" s="23"/>
      <c r="C598" s="2"/>
      <c r="D598" s="23">
        <v>2021</v>
      </c>
      <c r="E598" s="25">
        <f>'Current Ratio'!G658</f>
        <v>4.4111592863742981</v>
      </c>
      <c r="F598" s="25">
        <f>'Cash Ratio'!G658</f>
        <v>0.23556755988343167</v>
      </c>
      <c r="G598" s="25">
        <f>DAR!G658</f>
        <v>0.68153973904343146</v>
      </c>
      <c r="H598" s="25">
        <f>DER!G658</f>
        <v>2.1365246335374573</v>
      </c>
      <c r="I598" s="25">
        <f>NPM!G658</f>
        <v>0.11568608933799225</v>
      </c>
      <c r="J598" s="25">
        <f>ROA!G658</f>
        <v>1.8760081948802416E-2</v>
      </c>
      <c r="K598" s="25">
        <f>ROE!G658</f>
        <v>5.8810036912966476E-2</v>
      </c>
      <c r="L598" s="25">
        <f>KM!E658</f>
        <v>0.65</v>
      </c>
      <c r="M598" s="24">
        <f>KI!E658</f>
        <v>2</v>
      </c>
      <c r="N598" s="108">
        <f>IO!E658</f>
        <v>0</v>
      </c>
      <c r="O598" s="24">
        <f>'BoC Size'!E658</f>
        <v>4</v>
      </c>
      <c r="P598" s="24">
        <f>'TMT E DK'!E658</f>
        <v>0</v>
      </c>
      <c r="Q598" s="24">
        <f>Data!R658</f>
        <v>4</v>
      </c>
      <c r="R598" s="24">
        <f>Data!S658</f>
        <v>3</v>
      </c>
      <c r="S598" s="24">
        <f>'TMT E DK'!E658</f>
        <v>0</v>
      </c>
      <c r="T598" s="24">
        <f>'TMT E DD'!E658</f>
        <v>0</v>
      </c>
      <c r="U598" s="24">
        <f>TA!E658</f>
        <v>587684000000</v>
      </c>
      <c r="V598" s="109">
        <f>PR!F658</f>
        <v>-7.0333915384690429E-2</v>
      </c>
      <c r="W598" s="109">
        <f>'Z Score'!I658</f>
        <v>2.6785219267497498</v>
      </c>
      <c r="X598" s="109">
        <f>'Z Score'!L658</f>
        <v>0.38648443721455744</v>
      </c>
      <c r="Y598" s="109">
        <f>'Z Score'!O658</f>
        <v>0.17490542536465176</v>
      </c>
      <c r="Z598" s="109">
        <f>'Z Score'!R658</f>
        <v>0.49145232566848929</v>
      </c>
      <c r="AA598" s="109">
        <f>'Z Score'!S658</f>
        <v>3.7313641149974481</v>
      </c>
    </row>
    <row r="599" spans="1:27" ht="15" customHeight="1" x14ac:dyDescent="0.3">
      <c r="A599" s="22"/>
      <c r="B599" s="23"/>
      <c r="C599" s="2"/>
      <c r="D599" s="23">
        <v>2022</v>
      </c>
      <c r="E599" s="25">
        <f>'Current Ratio'!G659</f>
        <v>3.7978737988708451</v>
      </c>
      <c r="F599" s="25">
        <f>'Cash Ratio'!G659</f>
        <v>0.27958423171354863</v>
      </c>
      <c r="G599" s="25">
        <f>DAR!G659</f>
        <v>0.65569776922094636</v>
      </c>
      <c r="H599" s="25">
        <f>DER!G659</f>
        <v>1.9044249807423468</v>
      </c>
      <c r="I599" s="25">
        <f>NPM!G659</f>
        <v>0.20896655839699896</v>
      </c>
      <c r="J599" s="25">
        <f>ROA!G659</f>
        <v>3.739084309892636E-2</v>
      </c>
      <c r="K599" s="25">
        <f>ROE!G659</f>
        <v>0.10859889874753929</v>
      </c>
      <c r="L599" s="25">
        <f>KM!E659</f>
        <v>0.65300000000000002</v>
      </c>
      <c r="M599" s="24">
        <f>KI!E659</f>
        <v>2</v>
      </c>
      <c r="N599" s="108">
        <f>IO!E659</f>
        <v>0</v>
      </c>
      <c r="O599" s="24">
        <f>'BoC Size'!E659</f>
        <v>4</v>
      </c>
      <c r="P599" s="24">
        <f>'TMT E DK'!E659</f>
        <v>0</v>
      </c>
      <c r="Q599" s="24">
        <f>Data!R659</f>
        <v>4</v>
      </c>
      <c r="R599" s="24">
        <f>Data!S659</f>
        <v>3</v>
      </c>
      <c r="S599" s="24">
        <f>'TMT E DK'!E659</f>
        <v>0</v>
      </c>
      <c r="T599" s="24">
        <f>'TMT E DD'!E659</f>
        <v>0</v>
      </c>
      <c r="U599" s="24">
        <f>TA!E659</f>
        <v>610818000000</v>
      </c>
      <c r="V599" s="109">
        <f>PR!F659</f>
        <v>0.14684001217196041</v>
      </c>
      <c r="W599" s="109">
        <f>'Z Score'!I659</f>
        <v>2.4109867096254529</v>
      </c>
      <c r="X599" s="109">
        <f>'Z Score'!L659</f>
        <v>0.48464652318693946</v>
      </c>
      <c r="Y599" s="109">
        <f>'Z Score'!O659</f>
        <v>0.30474543972181561</v>
      </c>
      <c r="Z599" s="109">
        <f>'Z Score'!R659</f>
        <v>0.55134752516778529</v>
      </c>
      <c r="AA599" s="109">
        <f>'Z Score'!S659</f>
        <v>3.7517261977019931</v>
      </c>
    </row>
    <row r="600" spans="1:27" ht="15" customHeight="1" x14ac:dyDescent="0.3">
      <c r="A600" s="22"/>
      <c r="B600" s="23"/>
      <c r="C600" s="2"/>
      <c r="D600" s="23">
        <v>2023</v>
      </c>
      <c r="E600" s="25">
        <f>'Current Ratio'!G660</f>
        <v>2.2739861161856045</v>
      </c>
      <c r="F600" s="25">
        <f>'Cash Ratio'!G660</f>
        <v>0.14520460358056267</v>
      </c>
      <c r="G600" s="25">
        <f>DAR!G660</f>
        <v>0.6338895406870757</v>
      </c>
      <c r="H600" s="25">
        <f>DER!G660</f>
        <v>1.7314160919540229</v>
      </c>
      <c r="I600" s="25">
        <f>NPM!G660</f>
        <v>6.6146178179945558E-2</v>
      </c>
      <c r="J600" s="25">
        <f>ROA!G660</f>
        <v>1.2107735787760296E-2</v>
      </c>
      <c r="K600" s="25">
        <f>ROE!G660</f>
        <v>3.3071264367816093E-2</v>
      </c>
      <c r="L600" s="25">
        <f>KM!E660</f>
        <v>0.65</v>
      </c>
      <c r="M600" s="24">
        <f>KI!E660</f>
        <v>2</v>
      </c>
      <c r="N600" s="108">
        <f>IO!E660</f>
        <v>0</v>
      </c>
      <c r="O600" s="24">
        <f>'BoC Size'!E660</f>
        <v>4</v>
      </c>
      <c r="P600" s="24">
        <f>'TMT E DK'!E660</f>
        <v>0</v>
      </c>
      <c r="Q600" s="24">
        <f>Data!R660</f>
        <v>4</v>
      </c>
      <c r="R600" s="24">
        <f>Data!S660</f>
        <v>3</v>
      </c>
      <c r="S600" s="24">
        <f>'TMT E DK'!E660</f>
        <v>0</v>
      </c>
      <c r="T600" s="24">
        <f>'TMT E DD'!E660</f>
        <v>0</v>
      </c>
      <c r="U600" s="24">
        <f>TA!E660</f>
        <v>594083000000</v>
      </c>
      <c r="V600" s="109">
        <f>PR!F660</f>
        <v>-5.0414017109657351E-3</v>
      </c>
      <c r="W600" s="109">
        <f>'Z Score'!I660</f>
        <v>1.5401258073366852</v>
      </c>
      <c r="X600" s="109">
        <f>'Z Score'!L660</f>
        <v>0.54203372256065219</v>
      </c>
      <c r="Y600" s="109">
        <f>'Z Score'!O660</f>
        <v>0.13414368026016565</v>
      </c>
      <c r="Z600" s="109">
        <f>'Z Score'!R660</f>
        <v>0.60644001455190488</v>
      </c>
      <c r="AA600" s="109">
        <f>'Z Score'!S660</f>
        <v>2.8227432247094075</v>
      </c>
    </row>
    <row r="601" spans="1:27" ht="15" customHeight="1" x14ac:dyDescent="0.3">
      <c r="A601" s="22"/>
      <c r="B601" s="23"/>
      <c r="C601" s="2"/>
      <c r="D601" s="23">
        <v>2024</v>
      </c>
      <c r="E601" s="25">
        <f>'Current Ratio'!G661</f>
        <v>2.709921607481184</v>
      </c>
      <c r="F601" s="25">
        <f>'Cash Ratio'!G661</f>
        <v>0.20242999426396205</v>
      </c>
      <c r="G601" s="25">
        <f>DAR!G661</f>
        <v>0.61591073451951872</v>
      </c>
      <c r="H601" s="25">
        <f>DER!G661</f>
        <v>1.6035614370764504</v>
      </c>
      <c r="I601" s="25">
        <f>NPM!G661</f>
        <v>0.24459174564585667</v>
      </c>
      <c r="J601" s="25">
        <f>ROA!G661</f>
        <v>3.7705354816231045E-2</v>
      </c>
      <c r="K601" s="25">
        <f>ROE!G661</f>
        <v>9.8168207770823968E-2</v>
      </c>
      <c r="L601" s="25">
        <f>KM!E661</f>
        <v>0.65</v>
      </c>
      <c r="M601" s="24">
        <f>KI!E661</f>
        <v>2</v>
      </c>
      <c r="N601" s="108">
        <f>IO!E661</f>
        <v>0</v>
      </c>
      <c r="O601" s="24">
        <f>'BoC Size'!E661</f>
        <v>4</v>
      </c>
      <c r="P601" s="24">
        <f>'TMT E DK'!E661</f>
        <v>0</v>
      </c>
      <c r="Q601" s="24">
        <f>Data!R661</f>
        <v>4</v>
      </c>
      <c r="R601" s="24">
        <f>Data!S661</f>
        <v>4</v>
      </c>
      <c r="S601" s="24">
        <f>'TMT E DK'!E661</f>
        <v>0</v>
      </c>
      <c r="T601" s="24">
        <f>'TMT E DD'!E661</f>
        <v>0</v>
      </c>
      <c r="U601" s="24">
        <f>TA!E661</f>
        <v>683086000000</v>
      </c>
      <c r="V601" s="109">
        <f>PR!F661</f>
        <v>-3.1652321047598027E-2</v>
      </c>
      <c r="W601" s="109">
        <f>'Z Score'!I661</f>
        <v>1.8894550905742469</v>
      </c>
      <c r="X601" s="109">
        <f>'Z Score'!L661</f>
        <v>0.58384355703381408</v>
      </c>
      <c r="Y601" s="109">
        <f>'Z Score'!O661</f>
        <v>8.2705603686797857E-2</v>
      </c>
      <c r="Z601" s="109">
        <f>'Z Score'!R661</f>
        <v>0.65479249857387334</v>
      </c>
      <c r="AA601" s="109">
        <f>'Z Score'!S661</f>
        <v>3.2107967498687322</v>
      </c>
    </row>
    <row r="602" spans="1:27" ht="15" customHeight="1" x14ac:dyDescent="0.3">
      <c r="A602" s="22"/>
      <c r="B602" s="23">
        <v>61</v>
      </c>
      <c r="C602" s="2" t="s">
        <v>61</v>
      </c>
      <c r="D602" s="23">
        <v>2015</v>
      </c>
      <c r="E602" s="25">
        <f>'Current Ratio'!G663</f>
        <v>4.7370243789567912</v>
      </c>
      <c r="F602" s="25">
        <f>'Cash Ratio'!G663</f>
        <v>0.19410990444905529</v>
      </c>
      <c r="G602" s="25">
        <f>DAR!G663</f>
        <v>0.78860853461788716</v>
      </c>
      <c r="H602" s="25">
        <f>DER!G663</f>
        <v>3.7305599504331566</v>
      </c>
      <c r="I602" s="25">
        <f>NPM!G663</f>
        <v>8.663575572229669E-2</v>
      </c>
      <c r="J602" s="25">
        <f>ROA!G663</f>
        <v>2.0950402070154937E-2</v>
      </c>
      <c r="K602" s="25">
        <f>ROE!G663</f>
        <v>9.9107132978546855E-2</v>
      </c>
      <c r="L602" s="25">
        <f>KM!E663</f>
        <v>0.97750000000000004</v>
      </c>
      <c r="M602" s="24">
        <f>KI!E663</f>
        <v>3</v>
      </c>
      <c r="N602" s="108">
        <f>IO!E663</f>
        <v>0</v>
      </c>
      <c r="O602" s="24">
        <f>'BoC Size'!E663</f>
        <v>5</v>
      </c>
      <c r="P602" s="24">
        <f>'TMT E DK'!E663</f>
        <v>0</v>
      </c>
      <c r="Q602" s="24">
        <f>Data!R663</f>
        <v>5</v>
      </c>
      <c r="R602" s="24">
        <f>Data!S663</f>
        <v>4</v>
      </c>
      <c r="S602" s="24">
        <f>'TMT E DK'!E663</f>
        <v>0</v>
      </c>
      <c r="T602" s="24">
        <f>'TMT E DD'!E663</f>
        <v>0</v>
      </c>
      <c r="U602" s="24">
        <f>TA!E663</f>
        <v>2137811000000</v>
      </c>
      <c r="V602" s="109">
        <f>PR!F663</f>
        <v>0.17950010837449662</v>
      </c>
      <c r="W602" s="109">
        <f>'Z Score'!I663</f>
        <v>3.0231078799762932</v>
      </c>
      <c r="X602" s="109">
        <f>'Z Score'!L663</f>
        <v>0.40678728849276197</v>
      </c>
      <c r="Y602" s="109">
        <f>'Z Score'!O663</f>
        <v>0.11759153638932533</v>
      </c>
      <c r="Z602" s="109">
        <f>'Z Score'!R663</f>
        <v>0.28145908763055372</v>
      </c>
      <c r="AA602" s="109">
        <f>'Z Score'!S663</f>
        <v>3.8289457924889345</v>
      </c>
    </row>
    <row r="603" spans="1:27" ht="15" customHeight="1" x14ac:dyDescent="0.3">
      <c r="A603" s="22"/>
      <c r="B603" s="23"/>
      <c r="C603" s="2"/>
      <c r="D603" s="23">
        <v>2016</v>
      </c>
      <c r="E603" s="25">
        <f>'Current Ratio'!G664</f>
        <v>3.4012834850231406</v>
      </c>
      <c r="F603" s="25">
        <f>'Cash Ratio'!G664</f>
        <v>8.2204979096054911E-2</v>
      </c>
      <c r="G603" s="25">
        <f>DAR!G664</f>
        <v>0.79083473813079674</v>
      </c>
      <c r="H603" s="25">
        <f>DER!G664</f>
        <v>3.7809086033861949</v>
      </c>
      <c r="I603" s="25">
        <f>NPM!G664</f>
        <v>-0.12216830772844917</v>
      </c>
      <c r="J603" s="25">
        <f>ROA!G664</f>
        <v>-3.2222207978394965E-2</v>
      </c>
      <c r="K603" s="25">
        <f>ROE!G664</f>
        <v>-0.15405143134400776</v>
      </c>
      <c r="L603" s="25">
        <f>KM!E664</f>
        <v>0.97750000000000004</v>
      </c>
      <c r="M603" s="24">
        <f>KI!E664</f>
        <v>3</v>
      </c>
      <c r="N603" s="108">
        <f>IO!E664</f>
        <v>0</v>
      </c>
      <c r="O603" s="24">
        <f>'BoC Size'!E664</f>
        <v>5</v>
      </c>
      <c r="P603" s="24">
        <f>'TMT E DK'!E664</f>
        <v>0</v>
      </c>
      <c r="Q603" s="24">
        <f>Data!R664</f>
        <v>5</v>
      </c>
      <c r="R603" s="24">
        <f>Data!S664</f>
        <v>3</v>
      </c>
      <c r="S603" s="24">
        <f>'TMT E DK'!E664</f>
        <v>0</v>
      </c>
      <c r="T603" s="24">
        <f>'TMT E DD'!E664</f>
        <v>0</v>
      </c>
      <c r="U603" s="24">
        <f>TA!E664</f>
        <v>1872156000000</v>
      </c>
      <c r="V603" s="109">
        <f>PR!F664</f>
        <v>-4.4844081560016173E-2</v>
      </c>
      <c r="W603" s="109">
        <f>'Z Score'!I664</f>
        <v>2.445249989851273</v>
      </c>
      <c r="X603" s="109">
        <f>'Z Score'!L664</f>
        <v>0.3493864613846282</v>
      </c>
      <c r="Y603" s="109">
        <f>'Z Score'!O664</f>
        <v>-0.16709222949369604</v>
      </c>
      <c r="Z603" s="109">
        <f>'Z Score'!R664</f>
        <v>0.27771102402729769</v>
      </c>
      <c r="AA603" s="109">
        <f>'Z Score'!S664</f>
        <v>2.9052552457695029</v>
      </c>
    </row>
    <row r="604" spans="1:27" ht="15" customHeight="1" x14ac:dyDescent="0.3">
      <c r="A604" s="22"/>
      <c r="B604" s="23"/>
      <c r="C604" s="2"/>
      <c r="D604" s="23">
        <v>2017</v>
      </c>
      <c r="E604" s="25">
        <f>'Current Ratio'!G665</f>
        <v>1.8938343738515091</v>
      </c>
      <c r="F604" s="25">
        <f>'Cash Ratio'!G665</f>
        <v>4.6515493069844635E-2</v>
      </c>
      <c r="G604" s="25">
        <f>DAR!G665</f>
        <v>0.5914088656959704</v>
      </c>
      <c r="H604" s="25">
        <f>DER!G665</f>
        <v>1.4474344057987014</v>
      </c>
      <c r="I604" s="25">
        <f>NPM!G665</f>
        <v>-5.8415788978939578E-2</v>
      </c>
      <c r="J604" s="25">
        <f>ROA!G665</f>
        <v>-1.23990834064558E-2</v>
      </c>
      <c r="K604" s="25">
        <f>ROE!G665</f>
        <v>-3.034594332932769E-2</v>
      </c>
      <c r="L604" s="25">
        <f>KM!E665</f>
        <v>0.97750000000000004</v>
      </c>
      <c r="M604" s="24">
        <f>KI!E665</f>
        <v>3</v>
      </c>
      <c r="N604" s="108">
        <f>IO!E665</f>
        <v>0</v>
      </c>
      <c r="O604" s="24">
        <f>'BoC Size'!E665</f>
        <v>4</v>
      </c>
      <c r="P604" s="24">
        <f>'TMT E DK'!E665</f>
        <v>0</v>
      </c>
      <c r="Q604" s="24">
        <f>Data!R665</f>
        <v>4</v>
      </c>
      <c r="R604" s="24">
        <f>Data!S665</f>
        <v>3</v>
      </c>
      <c r="S604" s="24">
        <f>'TMT E DK'!E665</f>
        <v>0</v>
      </c>
      <c r="T604" s="24">
        <f>'TMT E DD'!E665</f>
        <v>0</v>
      </c>
      <c r="U604" s="24">
        <f>TA!E665</f>
        <v>2305493000000</v>
      </c>
      <c r="V604" s="109">
        <f>PR!F665</f>
        <v>-8.9755481119351294E-3</v>
      </c>
      <c r="W604" s="109">
        <f>'Z Score'!I665</f>
        <v>1.0864736002234663</v>
      </c>
      <c r="X604" s="109">
        <f>'Z Score'!L665</f>
        <v>0.22113769159134294</v>
      </c>
      <c r="Y604" s="109">
        <f>'Z Score'!O665</f>
        <v>-0.11320122854417687</v>
      </c>
      <c r="Z604" s="109">
        <f>'Z Score'!R665</f>
        <v>0.72542147388061073</v>
      </c>
      <c r="AA604" s="109">
        <f>'Z Score'!S665</f>
        <v>1.9198315371512433</v>
      </c>
    </row>
    <row r="605" spans="1:27" ht="15" customHeight="1" x14ac:dyDescent="0.3">
      <c r="A605" s="22"/>
      <c r="B605" s="23"/>
      <c r="C605" s="2"/>
      <c r="D605" s="23">
        <v>2018</v>
      </c>
      <c r="E605" s="25">
        <f>'Current Ratio'!G666</f>
        <v>2.8750050718169278</v>
      </c>
      <c r="F605" s="25">
        <f>'Cash Ratio'!G666</f>
        <v>4.7413880548567718E-2</v>
      </c>
      <c r="G605" s="25">
        <f>DAR!G666</f>
        <v>0.63891403921464063</v>
      </c>
      <c r="H605" s="25">
        <f>DER!G666</f>
        <v>1.7867762686066326</v>
      </c>
      <c r="I605" s="25">
        <f>NPM!G666</f>
        <v>-5.4938194986967281E-2</v>
      </c>
      <c r="J605" s="25">
        <f>ROA!G666</f>
        <v>-1.1802114404986862E-2</v>
      </c>
      <c r="K605" s="25">
        <f>ROE!G666</f>
        <v>-3.3005594874910352E-2</v>
      </c>
      <c r="L605" s="25">
        <f>KM!E666</f>
        <v>0.97750000000000004</v>
      </c>
      <c r="M605" s="24">
        <f>KI!E666</f>
        <v>3</v>
      </c>
      <c r="N605" s="108">
        <f>IO!E666</f>
        <v>0</v>
      </c>
      <c r="O605" s="24">
        <f>'BoC Size'!E666</f>
        <v>5</v>
      </c>
      <c r="P605" s="24">
        <f>'TMT E DK'!E666</f>
        <v>0</v>
      </c>
      <c r="Q605" s="24">
        <f>Data!R666</f>
        <v>5</v>
      </c>
      <c r="R605" s="24">
        <f>Data!S666</f>
        <v>3</v>
      </c>
      <c r="S605" s="24">
        <f>'TMT E DK'!E666</f>
        <v>0</v>
      </c>
      <c r="T605" s="24">
        <f>'TMT E DD'!E666</f>
        <v>0</v>
      </c>
      <c r="U605" s="24">
        <f>TA!E666</f>
        <v>2550221000000</v>
      </c>
      <c r="V605" s="109">
        <f>PR!F666</f>
        <v>0.11954127278003245</v>
      </c>
      <c r="W605" s="109">
        <f>'Z Score'!I666</f>
        <v>1.9019316051432404</v>
      </c>
      <c r="X605" s="109">
        <f>'Z Score'!L666</f>
        <v>0.20566772056225713</v>
      </c>
      <c r="Y605" s="109">
        <f>'Z Score'!O666</f>
        <v>-4.4142621364971893E-2</v>
      </c>
      <c r="Z605" s="109">
        <f>'Z Score'!R666</f>
        <v>0.58765051811372726</v>
      </c>
      <c r="AA605" s="109">
        <f>'Z Score'!S666</f>
        <v>2.6511072224542529</v>
      </c>
    </row>
    <row r="606" spans="1:27" ht="15" customHeight="1" x14ac:dyDescent="0.3">
      <c r="A606" s="22"/>
      <c r="B606" s="23"/>
      <c r="C606" s="2"/>
      <c r="D606" s="23">
        <v>2019</v>
      </c>
      <c r="E606" s="25">
        <f>'Current Ratio'!G667</f>
        <v>1.5481815078883494</v>
      </c>
      <c r="F606" s="25">
        <f>'Cash Ratio'!G667</f>
        <v>4.6455931432038834E-2</v>
      </c>
      <c r="G606" s="25">
        <f>DAR!G667</f>
        <v>0.61314491794840487</v>
      </c>
      <c r="H606" s="25">
        <f>DER!G667</f>
        <v>1.6016406265150585</v>
      </c>
      <c r="I606" s="25">
        <f>NPM!G667</f>
        <v>2.5013255058053314E-2</v>
      </c>
      <c r="J606" s="25">
        <f>ROA!G667</f>
        <v>6.7129373761637108E-3</v>
      </c>
      <c r="K606" s="25">
        <f>ROE!G667</f>
        <v>1.7535354057717129E-2</v>
      </c>
      <c r="L606" s="25">
        <f>KM!E667</f>
        <v>0.97750000000000004</v>
      </c>
      <c r="M606" s="24">
        <f>KI!E667</f>
        <v>3</v>
      </c>
      <c r="N606" s="108">
        <f>IO!E667</f>
        <v>0</v>
      </c>
      <c r="O606" s="24">
        <f>'BoC Size'!E667</f>
        <v>4</v>
      </c>
      <c r="P606" s="24">
        <f>'TMT E DK'!E667</f>
        <v>0</v>
      </c>
      <c r="Q606" s="24">
        <f>Data!R667</f>
        <v>4</v>
      </c>
      <c r="R606" s="24">
        <f>Data!S667</f>
        <v>4</v>
      </c>
      <c r="S606" s="24">
        <f>'TMT E DK'!E667</f>
        <v>0</v>
      </c>
      <c r="T606" s="24">
        <f>'TMT E DD'!E667</f>
        <v>0</v>
      </c>
      <c r="U606" s="24">
        <f>TA!E667</f>
        <v>2424572000000</v>
      </c>
      <c r="V606" s="109">
        <f>PR!F667</f>
        <v>0.18772040624110162</v>
      </c>
      <c r="W606" s="109">
        <f>'Z Score'!I667</f>
        <v>0.78216849819267065</v>
      </c>
      <c r="X606" s="109">
        <f>'Z Score'!L667</f>
        <v>0.20392244074418081</v>
      </c>
      <c r="Y606" s="109">
        <f>'Z Score'!O667</f>
        <v>-2.9528873549640927E-2</v>
      </c>
      <c r="Z606" s="109">
        <f>'Z Score'!R667</f>
        <v>0.65557777607368162</v>
      </c>
      <c r="AA606" s="109">
        <f>'Z Score'!S667</f>
        <v>1.6121398414608921</v>
      </c>
    </row>
    <row r="607" spans="1:27" ht="15" customHeight="1" x14ac:dyDescent="0.3">
      <c r="A607" s="22"/>
      <c r="B607" s="23"/>
      <c r="C607" s="2"/>
      <c r="D607" s="23">
        <v>2020</v>
      </c>
      <c r="E607" s="25">
        <f>'Current Ratio'!G668</f>
        <v>1.7916718902552531</v>
      </c>
      <c r="F607" s="25">
        <f>'Cash Ratio'!G668</f>
        <v>0.12877190583104445</v>
      </c>
      <c r="G607" s="25">
        <f>DAR!G668</f>
        <v>0.62416250743703316</v>
      </c>
      <c r="H607" s="25">
        <f>DER!G668</f>
        <v>1.6803347159330435</v>
      </c>
      <c r="I607" s="25">
        <f>NPM!G668</f>
        <v>-6.069900365430865E-2</v>
      </c>
      <c r="J607" s="25">
        <f>ROA!G668</f>
        <v>-1.2044275137171944E-2</v>
      </c>
      <c r="K607" s="25">
        <f>ROE!G668</f>
        <v>-3.2424910820650236E-2</v>
      </c>
      <c r="L607" s="25">
        <f>KM!E668</f>
        <v>0.97750000000000004</v>
      </c>
      <c r="M607" s="24">
        <f>KI!E668</f>
        <v>3</v>
      </c>
      <c r="N607" s="108">
        <f>IO!E668</f>
        <v>0</v>
      </c>
      <c r="O607" s="24">
        <f>'BoC Size'!E668</f>
        <v>4</v>
      </c>
      <c r="P607" s="24">
        <f>'TMT E DK'!E668</f>
        <v>0</v>
      </c>
      <c r="Q607" s="24">
        <f>Data!R668</f>
        <v>4</v>
      </c>
      <c r="R607" s="24">
        <f>Data!S668</f>
        <v>4</v>
      </c>
      <c r="S607" s="24">
        <f>'TMT E DK'!E668</f>
        <v>0</v>
      </c>
      <c r="T607" s="24">
        <f>'TMT E DD'!E668</f>
        <v>0</v>
      </c>
      <c r="U607" s="24">
        <f>TA!E668</f>
        <v>2420320000000</v>
      </c>
      <c r="V607" s="109">
        <f>PR!F668</f>
        <v>-0.26193531531669983</v>
      </c>
      <c r="W607" s="109">
        <f>'Z Score'!I668</f>
        <v>1.1296398492761288</v>
      </c>
      <c r="X607" s="109">
        <f>'Z Score'!L668</f>
        <v>0.14115550009916042</v>
      </c>
      <c r="Y607" s="109">
        <f>'Z Score'!O668</f>
        <v>-0.14810087922258214</v>
      </c>
      <c r="Z607" s="109">
        <f>'Z Score'!R668</f>
        <v>0.62487550250782276</v>
      </c>
      <c r="AA607" s="109">
        <f>'Z Score'!S668</f>
        <v>1.7475699726605298</v>
      </c>
    </row>
    <row r="608" spans="1:27" ht="15" customHeight="1" x14ac:dyDescent="0.3">
      <c r="A608" s="22"/>
      <c r="B608" s="23"/>
      <c r="C608" s="2"/>
      <c r="D608" s="23">
        <v>2021</v>
      </c>
      <c r="E608" s="25">
        <f>'Current Ratio'!G669</f>
        <v>1.8072230691855531</v>
      </c>
      <c r="F608" s="25">
        <f>'Cash Ratio'!G669</f>
        <v>0.10165459089051646</v>
      </c>
      <c r="G608" s="25">
        <f>DAR!G669</f>
        <v>0.60294711261318301</v>
      </c>
      <c r="H608" s="25">
        <f>DER!G669</f>
        <v>1.5400859401454912</v>
      </c>
      <c r="I608" s="25">
        <f>NPM!G669</f>
        <v>-0.16338711717824572</v>
      </c>
      <c r="J608" s="25">
        <f>ROA!G669</f>
        <v>-1.9483912435079912E-2</v>
      </c>
      <c r="K608" s="25">
        <f>ROE!G669</f>
        <v>-4.976705082845833E-2</v>
      </c>
      <c r="L608" s="25">
        <f>KM!E669</f>
        <v>0.97750000000000004</v>
      </c>
      <c r="M608" s="24">
        <f>KI!E669</f>
        <v>3</v>
      </c>
      <c r="N608" s="108">
        <f>IO!E669</f>
        <v>0</v>
      </c>
      <c r="O608" s="24">
        <f>'BoC Size'!E669</f>
        <v>5</v>
      </c>
      <c r="P608" s="24">
        <f>'TMT E DK'!E669</f>
        <v>0</v>
      </c>
      <c r="Q608" s="24">
        <f>Data!R669</f>
        <v>5</v>
      </c>
      <c r="R608" s="24">
        <f>Data!S669</f>
        <v>3</v>
      </c>
      <c r="S608" s="24">
        <f>'TMT E DK'!E669</f>
        <v>0</v>
      </c>
      <c r="T608" s="24">
        <f>'TMT E DD'!E669</f>
        <v>0</v>
      </c>
      <c r="U608" s="24">
        <f>TA!E669</f>
        <v>2187497000000</v>
      </c>
      <c r="V608" s="109">
        <f>PR!F669</f>
        <v>-0.45683230783646189</v>
      </c>
      <c r="W608" s="109">
        <f>'Z Score'!I669</f>
        <v>1.2321811092769497</v>
      </c>
      <c r="X608" s="109">
        <f>'Z Score'!L669</f>
        <v>0.11694586095432359</v>
      </c>
      <c r="Y608" s="109">
        <f>'Z Score'!O669</f>
        <v>-7.7647978488656219E-2</v>
      </c>
      <c r="Z608" s="109">
        <f>'Z Score'!R669</f>
        <v>0.68178013488052958</v>
      </c>
      <c r="AA608" s="109">
        <f>'Z Score'!S669</f>
        <v>1.9532591266231467</v>
      </c>
    </row>
    <row r="609" spans="1:27" ht="15" customHeight="1" x14ac:dyDescent="0.3">
      <c r="A609" s="22"/>
      <c r="B609" s="23"/>
      <c r="C609" s="2"/>
      <c r="D609" s="23">
        <v>2022</v>
      </c>
      <c r="E609" s="25">
        <f>'Current Ratio'!G670</f>
        <v>1.7791711253537728</v>
      </c>
      <c r="F609" s="25">
        <f>'Cash Ratio'!G670</f>
        <v>0.19013802511645375</v>
      </c>
      <c r="G609" s="25">
        <f>DAR!G670</f>
        <v>0.58238853070050089</v>
      </c>
      <c r="H609" s="25">
        <f>DER!G670</f>
        <v>1.4155662473395305</v>
      </c>
      <c r="I609" s="25">
        <f>NPM!G670</f>
        <v>-8.6460859179906632E-2</v>
      </c>
      <c r="J609" s="25">
        <f>ROA!G670</f>
        <v>-1.059502855104201E-2</v>
      </c>
      <c r="K609" s="25">
        <f>ROE!G670</f>
        <v>-2.5752507159462888E-2</v>
      </c>
      <c r="L609" s="25">
        <f>KM!E670</f>
        <v>0.97750000000000004</v>
      </c>
      <c r="M609" s="24">
        <f>KI!E670</f>
        <v>2</v>
      </c>
      <c r="N609" s="108">
        <f>IO!E670</f>
        <v>0</v>
      </c>
      <c r="O609" s="24">
        <f>'BoC Size'!E670</f>
        <v>4</v>
      </c>
      <c r="P609" s="24">
        <f>'TMT E DK'!E670</f>
        <v>0</v>
      </c>
      <c r="Q609" s="24">
        <f>Data!R670</f>
        <v>4</v>
      </c>
      <c r="R609" s="24">
        <f>Data!S670</f>
        <v>4</v>
      </c>
      <c r="S609" s="24">
        <f>'TMT E DK'!E670</f>
        <v>0</v>
      </c>
      <c r="T609" s="24">
        <f>'TMT E DD'!E670</f>
        <v>0</v>
      </c>
      <c r="U609" s="24">
        <f>TA!E670</f>
        <v>2029348000000</v>
      </c>
      <c r="V609" s="109">
        <f>PR!F670</f>
        <v>-4.6691891021586371E-2</v>
      </c>
      <c r="W609" s="109">
        <f>'Z Score'!I670</f>
        <v>1.1133278274598541</v>
      </c>
      <c r="X609" s="109">
        <f>'Z Score'!L670</f>
        <v>0.13497041414286756</v>
      </c>
      <c r="Y609" s="109">
        <f>'Z Score'!O670</f>
        <v>1.504041692208532E-2</v>
      </c>
      <c r="Z609" s="109">
        <f>'Z Score'!R670</f>
        <v>0.74175263925189683</v>
      </c>
      <c r="AA609" s="109">
        <f>'Z Score'!S670</f>
        <v>2.0050912977767039</v>
      </c>
    </row>
    <row r="610" spans="1:27" ht="15" customHeight="1" x14ac:dyDescent="0.3">
      <c r="A610" s="22"/>
      <c r="B610" s="23"/>
      <c r="C610" s="2"/>
      <c r="D610" s="23">
        <v>2023</v>
      </c>
      <c r="E610" s="25">
        <f>'Current Ratio'!G671</f>
        <v>1.7286168485613782</v>
      </c>
      <c r="F610" s="25">
        <f>'Cash Ratio'!G671</f>
        <v>0.13571299720393254</v>
      </c>
      <c r="G610" s="25">
        <f>DAR!G671</f>
        <v>0.57845595971815156</v>
      </c>
      <c r="H610" s="25">
        <f>DER!G671</f>
        <v>1.3925235176313471</v>
      </c>
      <c r="I610" s="25">
        <f>NPM!G671</f>
        <v>6.6310736543523027E-2</v>
      </c>
      <c r="J610" s="25">
        <f>ROA!G671</f>
        <v>9.4568601862782663E-3</v>
      </c>
      <c r="K610" s="25">
        <f>ROE!G671</f>
        <v>2.2765605559255536E-2</v>
      </c>
      <c r="L610" s="25">
        <f>KM!E671</f>
        <v>0.97750000000000004</v>
      </c>
      <c r="M610" s="24">
        <f>KI!E671</f>
        <v>1</v>
      </c>
      <c r="N610" s="108">
        <f>IO!E671</f>
        <v>0</v>
      </c>
      <c r="O610" s="24">
        <f>'BoC Size'!E671</f>
        <v>3</v>
      </c>
      <c r="P610" s="24">
        <f>'TMT E DK'!E671</f>
        <v>0</v>
      </c>
      <c r="Q610" s="24">
        <f>Data!R671</f>
        <v>3</v>
      </c>
      <c r="R610" s="24">
        <f>Data!S671</f>
        <v>4</v>
      </c>
      <c r="S610" s="24">
        <f>'TMT E DK'!E671</f>
        <v>0</v>
      </c>
      <c r="T610" s="24">
        <f>'TMT E DD'!E671</f>
        <v>0</v>
      </c>
      <c r="U610" s="24">
        <f>TA!E671</f>
        <v>2056708000000</v>
      </c>
      <c r="V610" s="109">
        <f>PR!F671</f>
        <v>0.17949645929089308</v>
      </c>
      <c r="W610" s="109">
        <f>'Z Score'!I671</f>
        <v>1.0306339645686213</v>
      </c>
      <c r="X610" s="109">
        <f>'Z Score'!L671</f>
        <v>0.15977694451521557</v>
      </c>
      <c r="Y610" s="109">
        <f>'Z Score'!O671</f>
        <v>5.4127041855236611E-2</v>
      </c>
      <c r="Z610" s="109">
        <f>'Z Score'!R671</f>
        <v>0.75402676271207814</v>
      </c>
      <c r="AA610" s="109">
        <f>'Z Score'!S671</f>
        <v>1.9985647136511515</v>
      </c>
    </row>
    <row r="611" spans="1:27" ht="15" customHeight="1" x14ac:dyDescent="0.3">
      <c r="A611" s="22"/>
      <c r="B611" s="23"/>
      <c r="C611" s="2"/>
      <c r="D611" s="23">
        <v>2024</v>
      </c>
      <c r="E611" s="25">
        <f>'Current Ratio'!G672</f>
        <v>2.079033461029935</v>
      </c>
      <c r="F611" s="25">
        <f>'Cash Ratio'!G672</f>
        <v>0.26868551604117935</v>
      </c>
      <c r="G611" s="25">
        <f>DAR!G672</f>
        <v>0.55701122155820493</v>
      </c>
      <c r="H611" s="25">
        <f>DER!G672</f>
        <v>1.2759781878386651</v>
      </c>
      <c r="I611" s="25">
        <f>NPM!G672</f>
        <v>7.8849783134125745E-2</v>
      </c>
      <c r="J611" s="25">
        <f>ROA!G672</f>
        <v>1.1919777370691812E-2</v>
      </c>
      <c r="K611" s="25">
        <f>ROE!G672</f>
        <v>2.7305331275639954E-2</v>
      </c>
      <c r="L611" s="25">
        <f>KM!E672</f>
        <v>0.97750000000000004</v>
      </c>
      <c r="M611" s="24">
        <f>KI!E672</f>
        <v>2</v>
      </c>
      <c r="N611" s="108">
        <f>IO!E672</f>
        <v>0</v>
      </c>
      <c r="O611" s="24">
        <f>'BoC Size'!E672</f>
        <v>3</v>
      </c>
      <c r="P611" s="24">
        <f>'TMT E DK'!E672</f>
        <v>0</v>
      </c>
      <c r="Q611" s="24">
        <f>Data!R672</f>
        <v>3</v>
      </c>
      <c r="R611" s="24">
        <f>Data!S672</f>
        <v>4</v>
      </c>
      <c r="S611" s="24">
        <f>'TMT E DK'!E672</f>
        <v>0</v>
      </c>
      <c r="T611" s="24">
        <f>'TMT E DD'!E672</f>
        <v>0</v>
      </c>
      <c r="U611" s="24">
        <f>TA!E672</f>
        <v>1997940000000</v>
      </c>
      <c r="V611" s="109">
        <f>PR!F672</f>
        <v>2.9708573688445226E-2</v>
      </c>
      <c r="W611" s="109">
        <f>'Z Score'!I672</f>
        <v>1.2540515931409351</v>
      </c>
      <c r="X611" s="109">
        <f>'Z Score'!L672</f>
        <v>0.1833486891498243</v>
      </c>
      <c r="Y611" s="109">
        <f>'Z Score'!O672</f>
        <v>9.1476140424637378E-2</v>
      </c>
      <c r="Z611" s="109">
        <f>'Z Score'!R672</f>
        <v>0.82289807929911263</v>
      </c>
      <c r="AA611" s="109">
        <f>'Z Score'!S672</f>
        <v>2.3517745020145093</v>
      </c>
    </row>
    <row r="612" spans="1:27" ht="15" customHeight="1" x14ac:dyDescent="0.3">
      <c r="A612" s="22"/>
      <c r="B612" s="23">
        <v>62</v>
      </c>
      <c r="C612" s="2" t="s">
        <v>62</v>
      </c>
      <c r="D612" s="23">
        <v>2015</v>
      </c>
      <c r="E612" s="25">
        <f>'Current Ratio'!G674</f>
        <v>0</v>
      </c>
      <c r="F612" s="25">
        <f>'Cash Ratio'!G674</f>
        <v>0</v>
      </c>
      <c r="G612" s="25">
        <f>DAR!G674</f>
        <v>0</v>
      </c>
      <c r="H612" s="25">
        <f>DER!G674</f>
        <v>0</v>
      </c>
      <c r="I612" s="25">
        <f>NPM!G674</f>
        <v>0</v>
      </c>
      <c r="J612" s="25">
        <f>ROA!G674</f>
        <v>0</v>
      </c>
      <c r="K612" s="25">
        <f>ROE!G674</f>
        <v>0</v>
      </c>
      <c r="L612" s="25">
        <f>KM!E674</f>
        <v>0</v>
      </c>
      <c r="M612" s="24">
        <f>KI!E674</f>
        <v>0</v>
      </c>
      <c r="N612" s="108">
        <f>IO!E674</f>
        <v>0</v>
      </c>
      <c r="O612" s="24">
        <f>'BoC Size'!E674</f>
        <v>0</v>
      </c>
      <c r="P612" s="24">
        <f>'TMT E DK'!E674</f>
        <v>0</v>
      </c>
      <c r="Q612" s="24">
        <f>Data!R674</f>
        <v>0</v>
      </c>
      <c r="R612" s="24">
        <f>Data!S674</f>
        <v>0</v>
      </c>
      <c r="S612" s="24">
        <f>'TMT E DK'!E674</f>
        <v>0</v>
      </c>
      <c r="T612" s="24">
        <f>'TMT E DD'!E674</f>
        <v>0</v>
      </c>
      <c r="U612" s="24">
        <f>TA!E674</f>
        <v>0</v>
      </c>
      <c r="V612" s="109">
        <f>PR!F674</f>
        <v>0</v>
      </c>
      <c r="W612" s="109">
        <f>'Z Score'!I674</f>
        <v>0</v>
      </c>
      <c r="X612" s="109">
        <f>'Z Score'!L674</f>
        <v>0</v>
      </c>
      <c r="Y612" s="109">
        <f>'Z Score'!O674</f>
        <v>0</v>
      </c>
      <c r="Z612" s="109">
        <f>'Z Score'!R674</f>
        <v>0</v>
      </c>
      <c r="AA612" s="109">
        <f>'Z Score'!S674</f>
        <v>0</v>
      </c>
    </row>
    <row r="613" spans="1:27" ht="15" customHeight="1" x14ac:dyDescent="0.3">
      <c r="A613" s="22"/>
      <c r="B613" s="23"/>
      <c r="C613" s="2"/>
      <c r="D613" s="23">
        <v>2016</v>
      </c>
      <c r="E613" s="25">
        <f>'Current Ratio'!G675</f>
        <v>0</v>
      </c>
      <c r="F613" s="25">
        <f>'Cash Ratio'!G675</f>
        <v>0</v>
      </c>
      <c r="G613" s="25">
        <f>DAR!G675</f>
        <v>0</v>
      </c>
      <c r="H613" s="25">
        <f>DER!G675</f>
        <v>0</v>
      </c>
      <c r="I613" s="25">
        <f>NPM!G675</f>
        <v>0</v>
      </c>
      <c r="J613" s="25">
        <f>ROA!G675</f>
        <v>0</v>
      </c>
      <c r="K613" s="25">
        <f>ROE!G675</f>
        <v>0</v>
      </c>
      <c r="L613" s="25">
        <f>KM!E675</f>
        <v>0</v>
      </c>
      <c r="M613" s="24">
        <f>KI!E675</f>
        <v>0</v>
      </c>
      <c r="N613" s="108">
        <f>IO!E675</f>
        <v>0</v>
      </c>
      <c r="O613" s="24">
        <f>'BoC Size'!E675</f>
        <v>0</v>
      </c>
      <c r="P613" s="24">
        <f>'TMT E DK'!E675</f>
        <v>0</v>
      </c>
      <c r="Q613" s="24">
        <f>Data!R675</f>
        <v>0</v>
      </c>
      <c r="R613" s="24">
        <f>Data!S675</f>
        <v>0</v>
      </c>
      <c r="S613" s="24">
        <f>'TMT E DK'!E675</f>
        <v>0</v>
      </c>
      <c r="T613" s="24">
        <f>'TMT E DD'!E675</f>
        <v>0</v>
      </c>
      <c r="U613" s="24">
        <f>TA!E675</f>
        <v>0</v>
      </c>
      <c r="V613" s="109">
        <f>PR!F675</f>
        <v>0</v>
      </c>
      <c r="W613" s="109">
        <f>'Z Score'!I675</f>
        <v>0</v>
      </c>
      <c r="X613" s="109">
        <f>'Z Score'!L675</f>
        <v>0</v>
      </c>
      <c r="Y613" s="109">
        <f>'Z Score'!O675</f>
        <v>0</v>
      </c>
      <c r="Z613" s="109">
        <f>'Z Score'!R675</f>
        <v>0</v>
      </c>
      <c r="AA613" s="109">
        <f>'Z Score'!S675</f>
        <v>0</v>
      </c>
    </row>
    <row r="614" spans="1:27" ht="15" customHeight="1" x14ac:dyDescent="0.3">
      <c r="A614" s="22"/>
      <c r="B614" s="23"/>
      <c r="C614" s="2"/>
      <c r="D614" s="23">
        <v>2017</v>
      </c>
      <c r="E614" s="25">
        <f>'Current Ratio'!G676</f>
        <v>0</v>
      </c>
      <c r="F614" s="25">
        <f>'Cash Ratio'!G676</f>
        <v>0</v>
      </c>
      <c r="G614" s="25">
        <f>DAR!G676</f>
        <v>0</v>
      </c>
      <c r="H614" s="25">
        <f>DER!G676</f>
        <v>0</v>
      </c>
      <c r="I614" s="25">
        <f>NPM!G676</f>
        <v>0</v>
      </c>
      <c r="J614" s="25">
        <f>ROA!G676</f>
        <v>0</v>
      </c>
      <c r="K614" s="25">
        <f>ROE!G676</f>
        <v>0</v>
      </c>
      <c r="L614" s="25">
        <f>KM!E676</f>
        <v>0</v>
      </c>
      <c r="M614" s="24">
        <f>KI!E676</f>
        <v>0</v>
      </c>
      <c r="N614" s="108">
        <f>IO!E676</f>
        <v>0</v>
      </c>
      <c r="O614" s="24">
        <f>'BoC Size'!E676</f>
        <v>0</v>
      </c>
      <c r="P614" s="24">
        <f>'TMT E DK'!E676</f>
        <v>0</v>
      </c>
      <c r="Q614" s="24">
        <f>Data!R676</f>
        <v>0</v>
      </c>
      <c r="R614" s="24">
        <f>Data!S676</f>
        <v>0</v>
      </c>
      <c r="S614" s="24">
        <f>'TMT E DK'!E676</f>
        <v>0</v>
      </c>
      <c r="T614" s="24">
        <f>'TMT E DD'!E676</f>
        <v>0</v>
      </c>
      <c r="U614" s="24">
        <f>TA!E676</f>
        <v>0</v>
      </c>
      <c r="V614" s="109">
        <f>PR!F676</f>
        <v>0</v>
      </c>
      <c r="W614" s="109">
        <f>'Z Score'!I676</f>
        <v>0</v>
      </c>
      <c r="X614" s="109">
        <f>'Z Score'!L676</f>
        <v>0</v>
      </c>
      <c r="Y614" s="109">
        <f>'Z Score'!O676</f>
        <v>0</v>
      </c>
      <c r="Z614" s="109">
        <f>'Z Score'!R676</f>
        <v>0</v>
      </c>
      <c r="AA614" s="109">
        <f>'Z Score'!S676</f>
        <v>0</v>
      </c>
    </row>
    <row r="615" spans="1:27" ht="15" customHeight="1" x14ac:dyDescent="0.3">
      <c r="A615" s="22"/>
      <c r="B615" s="23"/>
      <c r="C615" s="2"/>
      <c r="D615" s="23">
        <v>2018</v>
      </c>
      <c r="E615" s="25">
        <f>'Current Ratio'!G677</f>
        <v>0.9237570000266172</v>
      </c>
      <c r="F615" s="25">
        <f>'Cash Ratio'!G677</f>
        <v>7.0102643073485363E-2</v>
      </c>
      <c r="G615" s="25">
        <f>DAR!G677</f>
        <v>0.54796632187986616</v>
      </c>
      <c r="H615" s="25">
        <f>DER!G677</f>
        <v>1.2122245496368458</v>
      </c>
      <c r="I615" s="25">
        <f>NPM!G677</f>
        <v>9.3740259093535075E-2</v>
      </c>
      <c r="J615" s="25">
        <f>ROA!G677</f>
        <v>1.7425228581553338E-2</v>
      </c>
      <c r="K615" s="25">
        <f>ROE!G677</f>
        <v>3.854851845114593E-2</v>
      </c>
      <c r="L615" s="25">
        <f>KM!E677</f>
        <v>0</v>
      </c>
      <c r="M615" s="24">
        <f>KI!E677</f>
        <v>0</v>
      </c>
      <c r="N615" s="108">
        <f>IO!E677</f>
        <v>0</v>
      </c>
      <c r="O615" s="24">
        <f>'BoC Size'!E677</f>
        <v>0</v>
      </c>
      <c r="P615" s="24">
        <f>'TMT E DK'!E677</f>
        <v>0</v>
      </c>
      <c r="Q615" s="24">
        <f>Data!R677</f>
        <v>0</v>
      </c>
      <c r="R615" s="24">
        <f>Data!S677</f>
        <v>0</v>
      </c>
      <c r="S615" s="24">
        <f>'TMT E DK'!E677</f>
        <v>0</v>
      </c>
      <c r="T615" s="24">
        <f>'TMT E DD'!E677</f>
        <v>0</v>
      </c>
      <c r="U615" s="24">
        <f>TA!E677</f>
        <v>341369410000</v>
      </c>
      <c r="V615" s="109">
        <f>PR!F677</f>
        <v>0</v>
      </c>
      <c r="W615" s="109">
        <f>'Z Score'!I677</f>
        <v>-0.15577783375493398</v>
      </c>
      <c r="X615" s="109">
        <f>'Z Score'!L677</f>
        <v>0.90198369150885538</v>
      </c>
      <c r="Y615" s="109">
        <f>'Z Score'!O677</f>
        <v>0.21535140128695188</v>
      </c>
      <c r="Z615" s="109">
        <f>'Z Score'!R677</f>
        <v>0.86617615549409188</v>
      </c>
      <c r="AA615" s="109">
        <f>'Z Score'!S677</f>
        <v>1.8277334145349653</v>
      </c>
    </row>
    <row r="616" spans="1:27" ht="15" customHeight="1" x14ac:dyDescent="0.3">
      <c r="A616" s="22"/>
      <c r="B616" s="23"/>
      <c r="C616" s="2"/>
      <c r="D616" s="23">
        <v>2019</v>
      </c>
      <c r="E616" s="25">
        <f>'Current Ratio'!G678</f>
        <v>1.1244989061579698</v>
      </c>
      <c r="F616" s="25">
        <f>'Cash Ratio'!G678</f>
        <v>0.11711753843472407</v>
      </c>
      <c r="G616" s="25">
        <f>DAR!G678</f>
        <v>0.54488357043680358</v>
      </c>
      <c r="H616" s="25">
        <f>DER!G678</f>
        <v>1.1972400191106054</v>
      </c>
      <c r="I616" s="25">
        <f>NPM!G678</f>
        <v>0.18409602664695249</v>
      </c>
      <c r="J616" s="25">
        <f>ROA!G678</f>
        <v>3.7633840016754447E-2</v>
      </c>
      <c r="K616" s="25">
        <f>ROE!G678</f>
        <v>8.2690581594789175E-2</v>
      </c>
      <c r="L616" s="25">
        <f>KM!E678</f>
        <v>0.5</v>
      </c>
      <c r="M616" s="24">
        <f>KI!E678</f>
        <v>2</v>
      </c>
      <c r="N616" s="108">
        <f>IO!E678</f>
        <v>0</v>
      </c>
      <c r="O616" s="24">
        <f>'BoC Size'!E678</f>
        <v>4</v>
      </c>
      <c r="P616" s="24">
        <f>'TMT E DK'!E678</f>
        <v>0</v>
      </c>
      <c r="Q616" s="24">
        <f>Data!R678</f>
        <v>4</v>
      </c>
      <c r="R616" s="24">
        <f>Data!S678</f>
        <v>4</v>
      </c>
      <c r="S616" s="24">
        <f>'TMT E DK'!E678</f>
        <v>0</v>
      </c>
      <c r="T616" s="24">
        <f>'TMT E DD'!E678</f>
        <v>0</v>
      </c>
      <c r="U616" s="24">
        <f>TA!E678</f>
        <v>369621330000</v>
      </c>
      <c r="V616" s="109">
        <f>PR!F678</f>
        <v>0.19073250355912433</v>
      </c>
      <c r="W616" s="109">
        <f>'Z Score'!I678</f>
        <v>0.23529305302808118</v>
      </c>
      <c r="X616" s="109">
        <f>'Z Score'!L678</f>
        <v>0.42922135202532813</v>
      </c>
      <c r="Y616" s="109">
        <f>'Z Score'!O678</f>
        <v>0.17241386799836469</v>
      </c>
      <c r="Z616" s="109">
        <f>'Z Score'!R678</f>
        <v>0.87701712542152932</v>
      </c>
      <c r="AA616" s="109">
        <f>'Z Score'!S678</f>
        <v>1.7139453984733033</v>
      </c>
    </row>
    <row r="617" spans="1:27" ht="15" customHeight="1" x14ac:dyDescent="0.3">
      <c r="A617" s="22"/>
      <c r="B617" s="23"/>
      <c r="C617" s="2"/>
      <c r="D617" s="23">
        <v>2020</v>
      </c>
      <c r="E617" s="25">
        <f>'Current Ratio'!G679</f>
        <v>1.4937679240496879</v>
      </c>
      <c r="F617" s="25">
        <f>'Cash Ratio'!G679</f>
        <v>0.11599047073691796</v>
      </c>
      <c r="G617" s="25">
        <f>DAR!G679</f>
        <v>0.51970674602319378</v>
      </c>
      <c r="H617" s="25">
        <f>DER!G679</f>
        <v>1.0820613067538336</v>
      </c>
      <c r="I617" s="25">
        <f>NPM!G679</f>
        <v>0.23219113635634286</v>
      </c>
      <c r="J617" s="25">
        <f>ROA!G679</f>
        <v>4.6630458309105005E-2</v>
      </c>
      <c r="K617" s="25">
        <f>ROE!G679</f>
        <v>9.7087472961585319E-2</v>
      </c>
      <c r="L617" s="25">
        <f>KM!E679</f>
        <v>0.5</v>
      </c>
      <c r="M617" s="24">
        <f>KI!E679</f>
        <v>2</v>
      </c>
      <c r="N617" s="108">
        <f>IO!E679</f>
        <v>0</v>
      </c>
      <c r="O617" s="24">
        <f>'BoC Size'!E679</f>
        <v>4</v>
      </c>
      <c r="P617" s="24">
        <f>'TMT E DK'!E679</f>
        <v>0</v>
      </c>
      <c r="Q617" s="24">
        <f>Data!R679</f>
        <v>4</v>
      </c>
      <c r="R617" s="24">
        <f>Data!S679</f>
        <v>3</v>
      </c>
      <c r="S617" s="24">
        <f>'TMT E DK'!E679</f>
        <v>0</v>
      </c>
      <c r="T617" s="24">
        <f>'TMT E DD'!E679</f>
        <v>0</v>
      </c>
      <c r="U617" s="24">
        <f>TA!E679</f>
        <v>387906760000</v>
      </c>
      <c r="V617" s="109">
        <f>PR!F679</f>
        <v>3.1003763109142872E-2</v>
      </c>
      <c r="W617" s="109">
        <f>'Z Score'!I679</f>
        <v>0.812095921195083</v>
      </c>
      <c r="X617" s="109">
        <f>'Z Score'!L679</f>
        <v>0.52255082432695943</v>
      </c>
      <c r="Y617" s="109">
        <f>'Z Score'!O679</f>
        <v>0.25344664578673493</v>
      </c>
      <c r="Z617" s="109">
        <f>'Z Score'!R679</f>
        <v>0.97037015689063211</v>
      </c>
      <c r="AA617" s="109">
        <f>'Z Score'!S679</f>
        <v>2.5584635481994096</v>
      </c>
    </row>
    <row r="618" spans="1:27" ht="15" customHeight="1" x14ac:dyDescent="0.3">
      <c r="A618" s="22"/>
      <c r="B618" s="23"/>
      <c r="C618" s="2"/>
      <c r="D618" s="23">
        <v>2021</v>
      </c>
      <c r="E618" s="25">
        <f>'Current Ratio'!G680</f>
        <v>2.4187204588833477</v>
      </c>
      <c r="F618" s="25">
        <f>'Cash Ratio'!G680</f>
        <v>0.2799888123796937</v>
      </c>
      <c r="G618" s="25">
        <f>DAR!G680</f>
        <v>0.582787447759751</v>
      </c>
      <c r="H618" s="25">
        <f>DER!G680</f>
        <v>1.3968598131346657</v>
      </c>
      <c r="I618" s="25">
        <f>NPM!G680</f>
        <v>0.22594870503499959</v>
      </c>
      <c r="J618" s="25">
        <f>ROA!G680</f>
        <v>4.1800903934684192E-2</v>
      </c>
      <c r="K618" s="25">
        <f>ROE!G680</f>
        <v>0.10019090679374726</v>
      </c>
      <c r="L618" s="25">
        <f>KM!E680</f>
        <v>0.5</v>
      </c>
      <c r="M618" s="24">
        <f>KI!E680</f>
        <v>2</v>
      </c>
      <c r="N618" s="108">
        <f>IO!E680</f>
        <v>0</v>
      </c>
      <c r="O618" s="24">
        <f>'BoC Size'!E680</f>
        <v>4</v>
      </c>
      <c r="P618" s="24">
        <f>'TMT E DK'!E680</f>
        <v>0</v>
      </c>
      <c r="Q618" s="24">
        <f>Data!R680</f>
        <v>4</v>
      </c>
      <c r="R618" s="24">
        <f>Data!S680</f>
        <v>3</v>
      </c>
      <c r="S618" s="24">
        <f>'TMT E DK'!E680</f>
        <v>0</v>
      </c>
      <c r="T618" s="24">
        <f>'TMT E DD'!E680</f>
        <v>0</v>
      </c>
      <c r="U618" s="24">
        <f>TA!E680</f>
        <v>496279220000</v>
      </c>
      <c r="V618" s="109">
        <f>PR!F680</f>
        <v>0.17855678572574693</v>
      </c>
      <c r="W618" s="109">
        <f>'Z Score'!I680</f>
        <v>1.9645562721727499</v>
      </c>
      <c r="X618" s="109">
        <f>'Z Score'!L680</f>
        <v>0.55606196689033238</v>
      </c>
      <c r="Y618" s="109">
        <f>'Z Score'!O680</f>
        <v>0.34312960514445878</v>
      </c>
      <c r="Z618" s="109">
        <f>'Z Score'!R680</f>
        <v>0.75168602470115864</v>
      </c>
      <c r="AA618" s="109">
        <f>'Z Score'!S680</f>
        <v>3.6154338689086996</v>
      </c>
    </row>
    <row r="619" spans="1:27" ht="15" customHeight="1" x14ac:dyDescent="0.3">
      <c r="A619" s="22"/>
      <c r="B619" s="23"/>
      <c r="C619" s="2"/>
      <c r="D619" s="23">
        <v>2022</v>
      </c>
      <c r="E619" s="25">
        <f>'Current Ratio'!G681</f>
        <v>2.0738632311289389</v>
      </c>
      <c r="F619" s="25">
        <f>'Cash Ratio'!G681</f>
        <v>0.26407328103488947</v>
      </c>
      <c r="G619" s="25">
        <f>DAR!G681</f>
        <v>0.57327197284593001</v>
      </c>
      <c r="H619" s="25">
        <f>DER!G681</f>
        <v>1.3434129852430583</v>
      </c>
      <c r="I619" s="25">
        <f>NPM!G681</f>
        <v>0.14257077690691555</v>
      </c>
      <c r="J619" s="25">
        <f>ROA!G681</f>
        <v>3.0176476942466866E-2</v>
      </c>
      <c r="K619" s="25">
        <f>ROE!G681</f>
        <v>7.0715947915864594E-2</v>
      </c>
      <c r="L619" s="25">
        <f>KM!E681</f>
        <v>0.5</v>
      </c>
      <c r="M619" s="24">
        <f>KI!E681</f>
        <v>2</v>
      </c>
      <c r="N619" s="108">
        <f>IO!E681</f>
        <v>0</v>
      </c>
      <c r="O619" s="24">
        <f>'BoC Size'!E681</f>
        <v>4</v>
      </c>
      <c r="P619" s="24">
        <f>'TMT E DK'!E681</f>
        <v>0</v>
      </c>
      <c r="Q619" s="24">
        <f>Data!R681</f>
        <v>4</v>
      </c>
      <c r="R619" s="24">
        <f>Data!S681</f>
        <v>3</v>
      </c>
      <c r="S619" s="24">
        <f>'TMT E DK'!E681</f>
        <v>0</v>
      </c>
      <c r="T619" s="24">
        <f>'TMT E DD'!E681</f>
        <v>0</v>
      </c>
      <c r="U619" s="24">
        <f>TA!E681</f>
        <v>516469170000</v>
      </c>
      <c r="V619" s="109">
        <f>PR!F681</f>
        <v>0.19064012184830564</v>
      </c>
      <c r="W619" s="109">
        <f>'Z Score'!I681</f>
        <v>1.6542655492872889</v>
      </c>
      <c r="X619" s="109">
        <f>'Z Score'!L681</f>
        <v>0.71217395144806028</v>
      </c>
      <c r="Y619" s="109">
        <f>'Z Score'!O681</f>
        <v>0.45271744836192251</v>
      </c>
      <c r="Z619" s="109">
        <f>'Z Score'!R681</f>
        <v>0.7815913732663734</v>
      </c>
      <c r="AA619" s="109">
        <f>'Z Score'!S681</f>
        <v>3.6007483223636449</v>
      </c>
    </row>
    <row r="620" spans="1:27" ht="15" customHeight="1" x14ac:dyDescent="0.3">
      <c r="A620" s="22"/>
      <c r="B620" s="23"/>
      <c r="C620" s="2"/>
      <c r="D620" s="23">
        <v>2023</v>
      </c>
      <c r="E620" s="25">
        <f>'Current Ratio'!G682</f>
        <v>2.3194466475527746</v>
      </c>
      <c r="F620" s="25">
        <f>'Cash Ratio'!G682</f>
        <v>0.17070216918421297</v>
      </c>
      <c r="G620" s="25">
        <f>DAR!G682</f>
        <v>0.59173566117259058</v>
      </c>
      <c r="H620" s="25">
        <f>DER!G682</f>
        <v>1.4487977592475165</v>
      </c>
      <c r="I620" s="25">
        <f>NPM!G682</f>
        <v>0.18422729164756133</v>
      </c>
      <c r="J620" s="25">
        <f>ROA!G682</f>
        <v>4.3303769303802815E-2</v>
      </c>
      <c r="K620" s="25">
        <f>ROE!G682</f>
        <v>0.10602437549563554</v>
      </c>
      <c r="L620" s="25">
        <f>KM!E682</f>
        <v>0.5</v>
      </c>
      <c r="M620" s="24">
        <f>KI!E682</f>
        <v>2</v>
      </c>
      <c r="N620" s="108">
        <f>IO!E682</f>
        <v>0</v>
      </c>
      <c r="O620" s="24">
        <f>'BoC Size'!E682</f>
        <v>4</v>
      </c>
      <c r="P620" s="24">
        <f>'TMT E DK'!E682</f>
        <v>0</v>
      </c>
      <c r="Q620" s="24">
        <f>Data!R682</f>
        <v>4</v>
      </c>
      <c r="R620" s="24">
        <f>Data!S682</f>
        <v>3</v>
      </c>
      <c r="S620" s="24">
        <f>'TMT E DK'!E682</f>
        <v>0</v>
      </c>
      <c r="T620" s="24">
        <f>'TMT E DD'!E682</f>
        <v>0</v>
      </c>
      <c r="U620" s="24">
        <f>TA!E682</f>
        <v>595658540000</v>
      </c>
      <c r="V620" s="109">
        <f>PR!F682</f>
        <v>0.28081582448335174</v>
      </c>
      <c r="W620" s="109">
        <f>'Z Score'!I682</f>
        <v>1.9365777366341468</v>
      </c>
      <c r="X620" s="109">
        <f>'Z Score'!L682</f>
        <v>0.74581502415796797</v>
      </c>
      <c r="Y620" s="109">
        <f>'Z Score'!O682</f>
        <v>0.35275156400846697</v>
      </c>
      <c r="Z620" s="109">
        <f>'Z Score'!R682</f>
        <v>0.72473883487047497</v>
      </c>
      <c r="AA620" s="109">
        <f>'Z Score'!S682</f>
        <v>3.7598831596710567</v>
      </c>
    </row>
    <row r="621" spans="1:27" ht="15" customHeight="1" x14ac:dyDescent="0.3">
      <c r="A621" s="22"/>
      <c r="B621" s="23"/>
      <c r="C621" s="2"/>
      <c r="D621" s="23">
        <v>2024</v>
      </c>
      <c r="E621" s="25">
        <f>'Current Ratio'!G683</f>
        <v>2.3338441631641311</v>
      </c>
      <c r="F621" s="25">
        <f>'Cash Ratio'!G683</f>
        <v>0.15627235234046163</v>
      </c>
      <c r="G621" s="25">
        <f>DAR!G683</f>
        <v>0.63242179210109684</v>
      </c>
      <c r="H621" s="25">
        <f>DER!G683</f>
        <v>1.7205094820937668</v>
      </c>
      <c r="I621" s="25">
        <f>NPM!G683</f>
        <v>7.8579840736778414E-2</v>
      </c>
      <c r="J621" s="25">
        <f>ROA!G683</f>
        <v>1.8725615327413805E-2</v>
      </c>
      <c r="K621" s="25">
        <f>ROE!G683</f>
        <v>5.0943214056269628E-2</v>
      </c>
      <c r="L621" s="25">
        <f>KM!E683</f>
        <v>0.5</v>
      </c>
      <c r="M621" s="24">
        <f>KI!E683</f>
        <v>2</v>
      </c>
      <c r="N621" s="108">
        <f>IO!E683</f>
        <v>0</v>
      </c>
      <c r="O621" s="24">
        <f>'BoC Size'!E683</f>
        <v>4</v>
      </c>
      <c r="P621" s="24">
        <f>'TMT E DK'!E683</f>
        <v>0</v>
      </c>
      <c r="Q621" s="24">
        <f>Data!R683</f>
        <v>4</v>
      </c>
      <c r="R621" s="24">
        <f>Data!S683</f>
        <v>3</v>
      </c>
      <c r="S621" s="24">
        <f>'TMT E DK'!E683</f>
        <v>0</v>
      </c>
      <c r="T621" s="24">
        <f>'TMT E DD'!E683</f>
        <v>0</v>
      </c>
      <c r="U621" s="24">
        <f>TA!E683</f>
        <v>697102860000</v>
      </c>
      <c r="V621" s="109">
        <f>PR!F683</f>
        <v>0.18645893774045941</v>
      </c>
      <c r="W621" s="109">
        <f>'Z Score'!I683</f>
        <v>2.0710696082928139</v>
      </c>
      <c r="X621" s="109">
        <f>'Z Score'!L683</f>
        <v>0.73076502741647054</v>
      </c>
      <c r="Y621" s="109">
        <f>'Z Score'!O683</f>
        <v>0.22141118629179057</v>
      </c>
      <c r="Z621" s="109">
        <f>'Z Score'!R683</f>
        <v>0.61028434363651807</v>
      </c>
      <c r="AA621" s="109">
        <f>'Z Score'!S683</f>
        <v>3.6335301656375933</v>
      </c>
    </row>
    <row r="622" spans="1:27" ht="15" customHeight="1" x14ac:dyDescent="0.3">
      <c r="A622" s="22"/>
      <c r="B622" s="23">
        <v>63</v>
      </c>
      <c r="C622" s="2" t="s">
        <v>60</v>
      </c>
      <c r="D622" s="23">
        <v>2015</v>
      </c>
      <c r="E622" s="25">
        <f>'Current Ratio'!G685</f>
        <v>1.0314385962900923</v>
      </c>
      <c r="F622" s="25">
        <f>'Cash Ratio'!G685</f>
        <v>5.4323371763479726E-2</v>
      </c>
      <c r="G622" s="25">
        <f>DAR!G685</f>
        <v>0.71764677852808823</v>
      </c>
      <c r="H622" s="25">
        <f>DER!G685</f>
        <v>2.5416631508115408</v>
      </c>
      <c r="I622" s="25">
        <f>NPM!G685</f>
        <v>0.10681073562100819</v>
      </c>
      <c r="J622" s="25">
        <f>ROA!G685</f>
        <v>2.0657245818036966E-2</v>
      </c>
      <c r="K622" s="25">
        <f>ROE!G685</f>
        <v>7.3161006310997326E-2</v>
      </c>
      <c r="L622" s="25">
        <f>KM!E685</f>
        <v>0.99990000000000001</v>
      </c>
      <c r="M622" s="24">
        <f>KI!E685</f>
        <v>0</v>
      </c>
      <c r="N622" s="108">
        <f>IO!E685</f>
        <v>0</v>
      </c>
      <c r="O622" s="24">
        <f>'BoC Size'!E685</f>
        <v>4</v>
      </c>
      <c r="P622" s="24">
        <f>'TMT E DK'!E685</f>
        <v>6</v>
      </c>
      <c r="Q622" s="24">
        <f>Data!R685</f>
        <v>4</v>
      </c>
      <c r="R622" s="24">
        <f>Data!S685</f>
        <v>4</v>
      </c>
      <c r="S622" s="24">
        <f>'TMT E DK'!E685</f>
        <v>6</v>
      </c>
      <c r="T622" s="24">
        <f>'TMT E DD'!E685</f>
        <v>10</v>
      </c>
      <c r="U622" s="24">
        <f>TA!E685</f>
        <v>2091538245349</v>
      </c>
      <c r="V622" s="109">
        <f>PR!F685</f>
        <v>35.812785118589709</v>
      </c>
      <c r="W622" s="109">
        <f>'Z Score'!I685</f>
        <v>0.14401962031169893</v>
      </c>
      <c r="X622" s="109">
        <f>'Z Score'!L685</f>
        <v>0.11384491228749589</v>
      </c>
      <c r="Y622" s="109">
        <f>'Z Score'!O685</f>
        <v>0.12389935146479673</v>
      </c>
      <c r="Z622" s="109">
        <f>'Z Score'!R685</f>
        <v>0.41311532555552849</v>
      </c>
      <c r="AA622" s="109">
        <f>'Z Score'!S685</f>
        <v>0.79487920961952008</v>
      </c>
    </row>
    <row r="623" spans="1:27" ht="15" customHeight="1" x14ac:dyDescent="0.3">
      <c r="A623" s="22"/>
      <c r="B623" s="23"/>
      <c r="C623" s="2"/>
      <c r="D623" s="23">
        <v>2016</v>
      </c>
      <c r="E623" s="25">
        <f>'Current Ratio'!G686</f>
        <v>1.4930066760660285</v>
      </c>
      <c r="F623" s="25">
        <f>'Cash Ratio'!G686</f>
        <v>6.0528151615165622E-2</v>
      </c>
      <c r="G623" s="25">
        <f>DAR!G686</f>
        <v>0.67407748262739298</v>
      </c>
      <c r="H623" s="25">
        <f>DER!G686</f>
        <v>2.0682139057509858</v>
      </c>
      <c r="I623" s="25">
        <f>NPM!G686</f>
        <v>6.2434215445828861E-2</v>
      </c>
      <c r="J623" s="25">
        <f>ROA!G686</f>
        <v>7.967031975703049E-3</v>
      </c>
      <c r="K623" s="25">
        <f>ROE!G686</f>
        <v>2.4444558295414847E-2</v>
      </c>
      <c r="L623" s="25">
        <f>KM!E686</f>
        <v>0.99990000000000001</v>
      </c>
      <c r="M623" s="24">
        <f>KI!E686</f>
        <v>1</v>
      </c>
      <c r="N623" s="108">
        <f>IO!E686</f>
        <v>0</v>
      </c>
      <c r="O623" s="24">
        <f>'BoC Size'!E686</f>
        <v>4</v>
      </c>
      <c r="P623" s="24">
        <f>'TMT E DK'!E686</f>
        <v>6</v>
      </c>
      <c r="Q623" s="24">
        <f>Data!R686</f>
        <v>4</v>
      </c>
      <c r="R623" s="24">
        <f>Data!S686</f>
        <v>4</v>
      </c>
      <c r="S623" s="24">
        <f>'TMT E DK'!E686</f>
        <v>6</v>
      </c>
      <c r="T623" s="24">
        <f>'TMT E DD'!E686</f>
        <v>11</v>
      </c>
      <c r="U623" s="24">
        <f>TA!E686</f>
        <v>1847306963482</v>
      </c>
      <c r="V623" s="109">
        <f>PR!F686</f>
        <v>-0.41724011760556168</v>
      </c>
      <c r="W623" s="109">
        <f>'Z Score'!I686</f>
        <v>2.0986673028055285</v>
      </c>
      <c r="X623" s="109">
        <f>'Z Score'!L686</f>
        <v>0.15105650283472177</v>
      </c>
      <c r="Y623" s="109">
        <f>'Z Score'!O686</f>
        <v>3.7983320826800795E-2</v>
      </c>
      <c r="Z623" s="109">
        <f>'Z Score'!R686</f>
        <v>0.50768443103506566</v>
      </c>
      <c r="AA623" s="109">
        <f>'Z Score'!S686</f>
        <v>2.7953915575021169</v>
      </c>
    </row>
    <row r="624" spans="1:27" ht="15" customHeight="1" x14ac:dyDescent="0.3">
      <c r="A624" s="22"/>
      <c r="B624" s="23"/>
      <c r="C624" s="2"/>
      <c r="D624" s="23">
        <v>2017</v>
      </c>
      <c r="E624" s="25">
        <f>'Current Ratio'!G687</f>
        <v>1.6738914465458137</v>
      </c>
      <c r="F624" s="25">
        <f>'Cash Ratio'!G687</f>
        <v>0.14897850811301636</v>
      </c>
      <c r="G624" s="25">
        <f>DAR!G687</f>
        <v>0.72135329726192721</v>
      </c>
      <c r="H624" s="25">
        <f>DER!G687</f>
        <v>2.5887738493715369</v>
      </c>
      <c r="I624" s="25">
        <f>NPM!G687</f>
        <v>-0.72242670105538365</v>
      </c>
      <c r="J624" s="25">
        <f>ROA!G687</f>
        <v>-0.11071265426118933</v>
      </c>
      <c r="K624" s="25">
        <f>ROE!G687</f>
        <v>-0.39732267840706847</v>
      </c>
      <c r="L624" s="25">
        <f>KM!E687</f>
        <v>0.99990000000000001</v>
      </c>
      <c r="M624" s="24">
        <f>KI!E687</f>
        <v>1</v>
      </c>
      <c r="N624" s="108">
        <f>IO!E687</f>
        <v>0</v>
      </c>
      <c r="O624" s="24">
        <f>'BoC Size'!E687</f>
        <v>4</v>
      </c>
      <c r="P624" s="24">
        <f>'TMT E DK'!E687</f>
        <v>6</v>
      </c>
      <c r="Q624" s="24">
        <f>Data!R687</f>
        <v>4</v>
      </c>
      <c r="R624" s="24">
        <f>Data!S687</f>
        <v>4</v>
      </c>
      <c r="S624" s="24">
        <f>'TMT E DK'!E687</f>
        <v>6</v>
      </c>
      <c r="T624" s="24">
        <f>'TMT E DD'!E687</f>
        <v>11</v>
      </c>
      <c r="U624" s="24">
        <f>TA!E687</f>
        <v>1558769299360</v>
      </c>
      <c r="V624" s="109">
        <f>PR!F687</f>
        <v>1.3380045514107014E-2</v>
      </c>
      <c r="W624" s="109">
        <f>'Z Score'!I687</f>
        <v>2.5211757501923295</v>
      </c>
      <c r="X624" s="109">
        <f>'Z Score'!L687</f>
        <v>-0.23254612893381302</v>
      </c>
      <c r="Y624" s="109">
        <f>'Z Score'!O687</f>
        <v>-0.82495823321989548</v>
      </c>
      <c r="Z624" s="109">
        <f>'Z Score'!R687</f>
        <v>0.40559742221395784</v>
      </c>
      <c r="AA624" s="109">
        <f>'Z Score'!S687</f>
        <v>1.8692688102525787</v>
      </c>
    </row>
    <row r="625" spans="1:27" ht="15" customHeight="1" x14ac:dyDescent="0.3">
      <c r="A625" s="22"/>
      <c r="B625" s="23"/>
      <c r="C625" s="2"/>
      <c r="D625" s="23">
        <v>2018</v>
      </c>
      <c r="E625" s="25">
        <f>'Current Ratio'!G688</f>
        <v>1.8813673773323014</v>
      </c>
      <c r="F625" s="25">
        <f>'Cash Ratio'!G688</f>
        <v>7.282570494633718E-2</v>
      </c>
      <c r="G625" s="25">
        <f>DAR!G688</f>
        <v>0.70819141309699318</v>
      </c>
      <c r="H625" s="25">
        <f>DER!G688</f>
        <v>2.4269039530779342</v>
      </c>
      <c r="I625" s="25">
        <f>NPM!G688</f>
        <v>2.1069975002536576E-2</v>
      </c>
      <c r="J625" s="25">
        <f>ROA!G688</f>
        <v>2.4034479368011908E-3</v>
      </c>
      <c r="K625" s="25">
        <f>ROE!G688</f>
        <v>8.2363852356410073E-3</v>
      </c>
      <c r="L625" s="25">
        <f>KM!E688</f>
        <v>0.99990000000000001</v>
      </c>
      <c r="M625" s="24">
        <f>KI!E688</f>
        <v>1</v>
      </c>
      <c r="N625" s="108">
        <f>IO!E688</f>
        <v>0</v>
      </c>
      <c r="O625" s="24">
        <f>'BoC Size'!E688</f>
        <v>4</v>
      </c>
      <c r="P625" s="24">
        <f>'TMT E DK'!E688</f>
        <v>8</v>
      </c>
      <c r="Q625" s="24">
        <f>Data!R688</f>
        <v>4</v>
      </c>
      <c r="R625" s="24">
        <f>Data!S688</f>
        <v>3</v>
      </c>
      <c r="S625" s="24">
        <f>'TMT E DK'!E688</f>
        <v>8</v>
      </c>
      <c r="T625" s="24">
        <f>'TMT E DD'!E688</f>
        <v>9</v>
      </c>
      <c r="U625" s="24">
        <f>TA!E688</f>
        <v>1504014425963</v>
      </c>
      <c r="V625" s="109">
        <f>PR!F688</f>
        <v>-0.28181325857955769</v>
      </c>
      <c r="W625" s="109">
        <f>'Z Score'!I688</f>
        <v>2.9368830563815513</v>
      </c>
      <c r="X625" s="109">
        <f>'Z Score'!L688</f>
        <v>-0.20927074127392908</v>
      </c>
      <c r="Y625" s="109">
        <f>'Z Score'!O688</f>
        <v>7.3200463412781392E-4</v>
      </c>
      <c r="Z625" s="109">
        <f>'Z Score'!R688</f>
        <v>0.43265000193696657</v>
      </c>
      <c r="AA625" s="109">
        <f>'Z Score'!S688</f>
        <v>3.1609943216787171</v>
      </c>
    </row>
    <row r="626" spans="1:27" ht="15" customHeight="1" x14ac:dyDescent="0.3">
      <c r="A626" s="22"/>
      <c r="B626" s="23"/>
      <c r="C626" s="2"/>
      <c r="D626" s="23">
        <v>2019</v>
      </c>
      <c r="E626" s="25">
        <f>'Current Ratio'!G689</f>
        <v>1.8881401030175224</v>
      </c>
      <c r="F626" s="25">
        <f>'Cash Ratio'!G689</f>
        <v>0.22451074995469514</v>
      </c>
      <c r="G626" s="25">
        <f>DAR!G689</f>
        <v>0.75237331459833523</v>
      </c>
      <c r="H626" s="25">
        <f>DER!G689</f>
        <v>3.0383369763963124</v>
      </c>
      <c r="I626" s="25">
        <f>NPM!G689</f>
        <v>3.7184487282231525E-2</v>
      </c>
      <c r="J626" s="25">
        <f>ROA!G689</f>
        <v>3.7283871255172334E-3</v>
      </c>
      <c r="K626" s="25">
        <f>ROE!G689</f>
        <v>1.5056483591296204E-2</v>
      </c>
      <c r="L626" s="25">
        <f>KM!E689</f>
        <v>0.99990000000000001</v>
      </c>
      <c r="M626" s="24">
        <f>KI!E689</f>
        <v>0</v>
      </c>
      <c r="N626" s="108">
        <f>IO!E689</f>
        <v>0</v>
      </c>
      <c r="O626" s="24">
        <f>'BoC Size'!E689</f>
        <v>2</v>
      </c>
      <c r="P626" s="24">
        <f>'TMT E DK'!E689</f>
        <v>6</v>
      </c>
      <c r="Q626" s="24">
        <f>Data!R689</f>
        <v>2</v>
      </c>
      <c r="R626" s="24">
        <f>Data!S689</f>
        <v>2</v>
      </c>
      <c r="S626" s="24">
        <f>'TMT E DK'!E689</f>
        <v>6</v>
      </c>
      <c r="T626" s="24">
        <f>'TMT E DD'!E689</f>
        <v>6</v>
      </c>
      <c r="U626" s="24">
        <f>TA!E689</f>
        <v>1814324020621</v>
      </c>
      <c r="V626" s="109">
        <f>PR!F689</f>
        <v>6.035515485689541E-2</v>
      </c>
      <c r="W626" s="109">
        <f>'Z Score'!I689</f>
        <v>2.980911046822901</v>
      </c>
      <c r="X626" s="109">
        <f>'Z Score'!L689</f>
        <v>-0.16912740839243912</v>
      </c>
      <c r="Y626" s="109">
        <f>'Z Score'!O689</f>
        <v>4.1984874552235374E-2</v>
      </c>
      <c r="Z626" s="109">
        <f>'Z Score'!R689</f>
        <v>0.34558378749857299</v>
      </c>
      <c r="AA626" s="109">
        <f>'Z Score'!S689</f>
        <v>3.1993523004812703</v>
      </c>
    </row>
    <row r="627" spans="1:27" ht="15" customHeight="1" x14ac:dyDescent="0.3">
      <c r="A627" s="22"/>
      <c r="B627" s="23"/>
      <c r="C627" s="2"/>
      <c r="D627" s="23">
        <v>2020</v>
      </c>
      <c r="E627" s="25">
        <f>'Current Ratio'!G690</f>
        <v>2.0276656100908155</v>
      </c>
      <c r="F627" s="25">
        <f>'Cash Ratio'!G690</f>
        <v>4.175896472310571E-2</v>
      </c>
      <c r="G627" s="25">
        <f>DAR!G690</f>
        <v>0.73014099741349581</v>
      </c>
      <c r="H627" s="25">
        <f>DER!G690</f>
        <v>2.7056388351522451</v>
      </c>
      <c r="I627" s="25">
        <f>NPM!G690</f>
        <v>1.6464930670884878E-2</v>
      </c>
      <c r="J627" s="25">
        <f>ROA!G690</f>
        <v>1.23849762563561E-3</v>
      </c>
      <c r="K627" s="25">
        <f>ROE!G690</f>
        <v>4.5894248987991635E-3</v>
      </c>
      <c r="L627" s="25">
        <f>KM!E690</f>
        <v>0.99990000000000001</v>
      </c>
      <c r="M627" s="24">
        <f>KI!E690</f>
        <v>1</v>
      </c>
      <c r="N627" s="108">
        <f>IO!E690</f>
        <v>0</v>
      </c>
      <c r="O627" s="24">
        <f>'BoC Size'!E690</f>
        <v>3</v>
      </c>
      <c r="P627" s="24">
        <f>'TMT E DK'!E690</f>
        <v>9</v>
      </c>
      <c r="Q627" s="24">
        <f>Data!R690</f>
        <v>3</v>
      </c>
      <c r="R627" s="24">
        <f>Data!S690</f>
        <v>3</v>
      </c>
      <c r="S627" s="24">
        <f>'TMT E DK'!E690</f>
        <v>9</v>
      </c>
      <c r="T627" s="24">
        <f>'TMT E DD'!E690</f>
        <v>7</v>
      </c>
      <c r="U627" s="24">
        <f>TA!E690</f>
        <v>1696979239602</v>
      </c>
      <c r="V627" s="109">
        <f>PR!F690</f>
        <v>-0.29832217986482951</v>
      </c>
      <c r="W627" s="109">
        <f>'Z Score'!I690</f>
        <v>3.2137487466451455</v>
      </c>
      <c r="X627" s="109">
        <f>'Z Score'!L690</f>
        <v>-0.17334924822184211</v>
      </c>
      <c r="Y627" s="109">
        <f>'Z Score'!O690</f>
        <v>1.4777897095666064E-2</v>
      </c>
      <c r="Z627" s="109">
        <f>'Z Score'!R690</f>
        <v>0.38807840365024809</v>
      </c>
      <c r="AA627" s="109">
        <f>'Z Score'!S690</f>
        <v>3.4432557991692176</v>
      </c>
    </row>
    <row r="628" spans="1:27" ht="15" customHeight="1" x14ac:dyDescent="0.3">
      <c r="A628" s="22"/>
      <c r="B628" s="23"/>
      <c r="C628" s="2"/>
      <c r="D628" s="23">
        <v>2021</v>
      </c>
      <c r="E628" s="25">
        <f>'Current Ratio'!G691</f>
        <v>2.0769963612013886</v>
      </c>
      <c r="F628" s="25">
        <f>'Cash Ratio'!G691</f>
        <v>0.12712176077406506</v>
      </c>
      <c r="G628" s="25">
        <f>DAR!G691</f>
        <v>0.71911382604500451</v>
      </c>
      <c r="H628" s="25">
        <f>DER!G691</f>
        <v>2.5601609930441902</v>
      </c>
      <c r="I628" s="25">
        <f>NPM!G691</f>
        <v>9.6346254086790775E-2</v>
      </c>
      <c r="J628" s="25">
        <f>ROA!G691</f>
        <v>9.893747667833637E-3</v>
      </c>
      <c r="K628" s="25">
        <f>ROE!G691</f>
        <v>3.5223334522043244E-2</v>
      </c>
      <c r="L628" s="25">
        <f>KM!E691</f>
        <v>0.99990000000000001</v>
      </c>
      <c r="M628" s="24">
        <f>KI!E691</f>
        <v>1</v>
      </c>
      <c r="N628" s="108">
        <f>IO!E691</f>
        <v>0</v>
      </c>
      <c r="O628" s="24">
        <f>'BoC Size'!E691</f>
        <v>3</v>
      </c>
      <c r="P628" s="24">
        <f>'TMT E DK'!E691</f>
        <v>9</v>
      </c>
      <c r="Q628" s="24">
        <f>Data!R691</f>
        <v>3</v>
      </c>
      <c r="R628" s="24">
        <f>Data!S691</f>
        <v>4</v>
      </c>
      <c r="S628" s="24">
        <f>'TMT E DK'!E691</f>
        <v>9</v>
      </c>
      <c r="T628" s="24">
        <f>'TMT E DD'!E691</f>
        <v>10</v>
      </c>
      <c r="U628" s="24">
        <f>TA!E691</f>
        <v>1696009882944</v>
      </c>
      <c r="V628" s="109">
        <f>PR!F691</f>
        <v>0.36440270932209634</v>
      </c>
      <c r="W628" s="109">
        <f>'Z Score'!I691</f>
        <v>3.2771079700849111</v>
      </c>
      <c r="X628" s="109">
        <f>'Z Score'!L691</f>
        <v>-0.14414685850068965</v>
      </c>
      <c r="Y628" s="109">
        <f>'Z Score'!O691</f>
        <v>5.185087169892609E-2</v>
      </c>
      <c r="Z628" s="109">
        <f>'Z Score'!R691</f>
        <v>0.41013045775355128</v>
      </c>
      <c r="AA628" s="109">
        <f>'Z Score'!S691</f>
        <v>3.5949424410366984</v>
      </c>
    </row>
    <row r="629" spans="1:27" ht="15" customHeight="1" x14ac:dyDescent="0.3">
      <c r="A629" s="22"/>
      <c r="B629" s="23"/>
      <c r="C629" s="2"/>
      <c r="D629" s="23">
        <v>2022</v>
      </c>
      <c r="E629" s="25">
        <f>'Current Ratio'!G692</f>
        <v>1.9578949221989086</v>
      </c>
      <c r="F629" s="25">
        <f>'Cash Ratio'!G692</f>
        <v>4.1194623898332255E-2</v>
      </c>
      <c r="G629" s="25">
        <f>DAR!G692</f>
        <v>0.72776308953373181</v>
      </c>
      <c r="H629" s="25">
        <f>DER!G692</f>
        <v>2.6732711897415768</v>
      </c>
      <c r="I629" s="25">
        <f>NPM!G692</f>
        <v>7.96584863661704E-2</v>
      </c>
      <c r="J629" s="25">
        <f>ROA!G692</f>
        <v>7.5173327931558481E-3</v>
      </c>
      <c r="K629" s="25">
        <f>ROE!G692</f>
        <v>2.7613201972798953E-2</v>
      </c>
      <c r="L629" s="25">
        <f>KM!E692</f>
        <v>0.99990000000000001</v>
      </c>
      <c r="M629" s="24">
        <f>KI!E692</f>
        <v>1</v>
      </c>
      <c r="N629" s="108">
        <f>IO!E692</f>
        <v>0</v>
      </c>
      <c r="O629" s="24">
        <f>'BoC Size'!E692</f>
        <v>3</v>
      </c>
      <c r="P629" s="24">
        <f>'TMT E DK'!E692</f>
        <v>7</v>
      </c>
      <c r="Q629" s="24">
        <f>Data!R692</f>
        <v>3</v>
      </c>
      <c r="R629" s="24">
        <f>Data!S692</f>
        <v>4</v>
      </c>
      <c r="S629" s="24">
        <f>'TMT E DK'!E692</f>
        <v>7</v>
      </c>
      <c r="T629" s="24">
        <f>'TMT E DD'!E692</f>
        <v>12</v>
      </c>
      <c r="U629" s="24">
        <f>TA!E692</f>
        <v>1806935158886</v>
      </c>
      <c r="V629" s="109">
        <f>PR!F692</f>
        <v>-2.0916073148776988E-2</v>
      </c>
      <c r="W629" s="109">
        <f>'Z Score'!I692</f>
        <v>3.0905988859732005</v>
      </c>
      <c r="X629" s="109">
        <f>'Z Score'!L692</f>
        <v>-0.10451867342452607</v>
      </c>
      <c r="Y629" s="109">
        <f>'Z Score'!O692</f>
        <v>2.0065430328221015E-2</v>
      </c>
      <c r="Z629" s="109">
        <f>'Z Score'!R692</f>
        <v>0.39277721019448936</v>
      </c>
      <c r="AA629" s="109">
        <f>'Z Score'!S692</f>
        <v>3.3989228530713849</v>
      </c>
    </row>
    <row r="630" spans="1:27" ht="15" customHeight="1" x14ac:dyDescent="0.3">
      <c r="A630" s="22"/>
      <c r="B630" s="23"/>
      <c r="C630" s="2"/>
      <c r="D630" s="23">
        <v>2023</v>
      </c>
      <c r="E630" s="25">
        <f>'Current Ratio'!G693</f>
        <v>1.6242313631381708</v>
      </c>
      <c r="F630" s="25">
        <f>'Cash Ratio'!G693</f>
        <v>3.5016659228792324E-2</v>
      </c>
      <c r="G630" s="25">
        <f>DAR!G693</f>
        <v>0.79117588710589248</v>
      </c>
      <c r="H630" s="25">
        <f>DER!G693</f>
        <v>3.7887190140110376</v>
      </c>
      <c r="I630" s="25">
        <f>NPM!G693</f>
        <v>6.1025082648351568E-2</v>
      </c>
      <c r="J630" s="25">
        <f>ROA!G693</f>
        <v>3.4189243955922892E-3</v>
      </c>
      <c r="K630" s="25">
        <f>ROE!G693</f>
        <v>1.6372268260638992E-2</v>
      </c>
      <c r="L630" s="25">
        <f>KM!E693</f>
        <v>0.99990000000000001</v>
      </c>
      <c r="M630" s="24">
        <f>KI!E693</f>
        <v>1</v>
      </c>
      <c r="N630" s="108">
        <f>IO!E693</f>
        <v>0</v>
      </c>
      <c r="O630" s="24">
        <f>'BoC Size'!E693</f>
        <v>3</v>
      </c>
      <c r="P630" s="24">
        <f>'TMT E DK'!E693</f>
        <v>7</v>
      </c>
      <c r="Q630" s="24">
        <f>Data!R693</f>
        <v>3</v>
      </c>
      <c r="R630" s="24">
        <f>Data!S693</f>
        <v>3</v>
      </c>
      <c r="S630" s="24">
        <f>'TMT E DK'!E693</f>
        <v>7</v>
      </c>
      <c r="T630" s="24">
        <f>'TMT E DD'!E693</f>
        <v>9</v>
      </c>
      <c r="U630" s="24">
        <f>TA!E693</f>
        <v>2234736630576</v>
      </c>
      <c r="V630" s="109">
        <f>PR!F693</f>
        <v>-0.26576822857591414</v>
      </c>
      <c r="W630" s="109">
        <f>'Z Score'!I693</f>
        <v>2.4477449085545704</v>
      </c>
      <c r="X630" s="109">
        <f>'Z Score'!L693</f>
        <v>-0.12694561430620097</v>
      </c>
      <c r="Y630" s="109">
        <f>'Z Score'!O693</f>
        <v>4.9145784117787528E-3</v>
      </c>
      <c r="Z630" s="109">
        <f>'Z Score'!R693</f>
        <v>0.2771385252157792</v>
      </c>
      <c r="AA630" s="109">
        <f>'Z Score'!S693</f>
        <v>2.6028523978759273</v>
      </c>
    </row>
    <row r="631" spans="1:27" ht="15" customHeight="1" x14ac:dyDescent="0.3">
      <c r="A631" s="22"/>
      <c r="B631" s="23"/>
      <c r="C631" s="2"/>
      <c r="D631" s="23">
        <v>2024</v>
      </c>
      <c r="E631" s="25">
        <f>'Current Ratio'!G694</f>
        <v>16.244</v>
      </c>
      <c r="F631" s="25">
        <f>'Cash Ratio'!G694</f>
        <v>0.14561204013377926</v>
      </c>
      <c r="G631" s="25">
        <f>DAR!G694</f>
        <v>0.69544039292170745</v>
      </c>
      <c r="H631" s="25">
        <f>DER!G694</f>
        <v>4.8195839996506953</v>
      </c>
      <c r="I631" s="25">
        <f>NPM!G694</f>
        <v>-0.94680683807267807</v>
      </c>
      <c r="J631" s="25">
        <f>ROA!G694</f>
        <v>-3.5570235385241178E-2</v>
      </c>
      <c r="K631" s="25">
        <f>ROE!G694</f>
        <v>-0.24651104403971161</v>
      </c>
      <c r="L631" s="25">
        <f>KM!E694</f>
        <v>0.99990000000000001</v>
      </c>
      <c r="M631" s="24">
        <f>KI!E694</f>
        <v>1</v>
      </c>
      <c r="N631" s="108">
        <f>IO!E694</f>
        <v>0</v>
      </c>
      <c r="O631" s="24">
        <f>'BoC Size'!E694</f>
        <v>3</v>
      </c>
      <c r="P631" s="24">
        <f>'TMT E DK'!E694</f>
        <v>7</v>
      </c>
      <c r="Q631" s="24">
        <f>Data!R694</f>
        <v>3</v>
      </c>
      <c r="R631" s="24">
        <f>Data!S694</f>
        <v>3</v>
      </c>
      <c r="S631" s="24">
        <f>'TMT E DK'!E694</f>
        <v>7</v>
      </c>
      <c r="T631" s="24">
        <f>'TMT E DD'!E694</f>
        <v>9</v>
      </c>
      <c r="U631" s="24">
        <f>TA!E694</f>
        <v>2539539000000</v>
      </c>
      <c r="V631" s="109">
        <f>PR!F694</f>
        <v>-0.23796876794916511</v>
      </c>
      <c r="W631" s="109">
        <f>'Z Score'!I694</f>
        <v>5.8869328960886209</v>
      </c>
      <c r="X631" s="109">
        <f>'Z Score'!L694</f>
        <v>-0.11595896735588623</v>
      </c>
      <c r="Y631" s="109">
        <f>'Z Score'!O694</f>
        <v>-0.21831527690655667</v>
      </c>
      <c r="Z631" s="109">
        <f>'Z Score'!R694</f>
        <v>0.21786112661924761</v>
      </c>
      <c r="AA631" s="109">
        <f>'Z Score'!S694</f>
        <v>5.7705197784454256</v>
      </c>
    </row>
    <row r="632" spans="1:27" ht="15" customHeight="1" x14ac:dyDescent="0.3">
      <c r="A632" s="22"/>
      <c r="B632" s="23">
        <v>64</v>
      </c>
      <c r="C632" s="1" t="s">
        <v>131</v>
      </c>
      <c r="D632" s="23">
        <v>2015</v>
      </c>
      <c r="E632" s="25">
        <f>'Current Ratio'!G696</f>
        <v>0</v>
      </c>
      <c r="F632" s="25">
        <f>'Cash Ratio'!G696</f>
        <v>0</v>
      </c>
      <c r="G632" s="25">
        <f>DAR!G696</f>
        <v>0</v>
      </c>
      <c r="H632" s="25">
        <f>DER!G696</f>
        <v>0</v>
      </c>
      <c r="I632" s="25">
        <f>NPM!G696</f>
        <v>0</v>
      </c>
      <c r="J632" s="25">
        <f>ROA!G696</f>
        <v>0</v>
      </c>
      <c r="K632" s="25">
        <f>ROE!G696</f>
        <v>0</v>
      </c>
      <c r="L632" s="25">
        <f>KM!E696</f>
        <v>0</v>
      </c>
      <c r="M632" s="24">
        <f>KI!E696</f>
        <v>0</v>
      </c>
      <c r="N632" s="108">
        <f>IO!E696</f>
        <v>0</v>
      </c>
      <c r="O632" s="24">
        <f>'BoC Size'!E696</f>
        <v>0</v>
      </c>
      <c r="P632" s="24">
        <f>'TMT E DK'!E696</f>
        <v>0</v>
      </c>
      <c r="Q632" s="24">
        <f>Data!R696</f>
        <v>0</v>
      </c>
      <c r="R632" s="24">
        <f>Data!S696</f>
        <v>0</v>
      </c>
      <c r="S632" s="24">
        <f>'TMT E DK'!E696</f>
        <v>0</v>
      </c>
      <c r="T632" s="24">
        <f>'TMT E DD'!E696</f>
        <v>0</v>
      </c>
      <c r="U632" s="24">
        <f>TA!E696</f>
        <v>0</v>
      </c>
      <c r="V632" s="109">
        <f>PR!F696</f>
        <v>0</v>
      </c>
      <c r="W632" s="109">
        <f>'Z Score'!I696</f>
        <v>0</v>
      </c>
      <c r="X632" s="109">
        <f>'Z Score'!L696</f>
        <v>0</v>
      </c>
      <c r="Y632" s="109">
        <f>'Z Score'!O696</f>
        <v>0</v>
      </c>
      <c r="Z632" s="109">
        <f>'Z Score'!R696</f>
        <v>0</v>
      </c>
      <c r="AA632" s="109">
        <f>'Z Score'!S696</f>
        <v>0</v>
      </c>
    </row>
    <row r="633" spans="1:27" ht="15" customHeight="1" x14ac:dyDescent="0.3">
      <c r="A633" s="22"/>
      <c r="B633" s="23"/>
      <c r="C633" s="1"/>
      <c r="D633" s="23">
        <v>2016</v>
      </c>
      <c r="E633" s="25">
        <f>'Current Ratio'!G697</f>
        <v>0</v>
      </c>
      <c r="F633" s="25">
        <f>'Cash Ratio'!G697</f>
        <v>0</v>
      </c>
      <c r="G633" s="25">
        <f>DAR!G697</f>
        <v>0</v>
      </c>
      <c r="H633" s="25">
        <f>DER!G697</f>
        <v>0</v>
      </c>
      <c r="I633" s="25">
        <f>NPM!G697</f>
        <v>0</v>
      </c>
      <c r="J633" s="25">
        <f>ROA!G697</f>
        <v>0</v>
      </c>
      <c r="K633" s="25">
        <f>ROE!G697</f>
        <v>0</v>
      </c>
      <c r="L633" s="25">
        <f>KM!E697</f>
        <v>0</v>
      </c>
      <c r="M633" s="24">
        <f>KI!E697</f>
        <v>0</v>
      </c>
      <c r="N633" s="108">
        <f>IO!E697</f>
        <v>0</v>
      </c>
      <c r="O633" s="24">
        <f>'BoC Size'!E697</f>
        <v>0</v>
      </c>
      <c r="P633" s="24">
        <f>'TMT E DK'!E697</f>
        <v>0</v>
      </c>
      <c r="Q633" s="24">
        <f>Data!R697</f>
        <v>0</v>
      </c>
      <c r="R633" s="24">
        <f>Data!S697</f>
        <v>0</v>
      </c>
      <c r="S633" s="24">
        <f>'TMT E DK'!E697</f>
        <v>0</v>
      </c>
      <c r="T633" s="24">
        <f>'TMT E DD'!E697</f>
        <v>0</v>
      </c>
      <c r="U633" s="24">
        <f>TA!E697</f>
        <v>0</v>
      </c>
      <c r="V633" s="109">
        <f>PR!F697</f>
        <v>0</v>
      </c>
      <c r="W633" s="109">
        <f>'Z Score'!I697</f>
        <v>0</v>
      </c>
      <c r="X633" s="109">
        <f>'Z Score'!L697</f>
        <v>0</v>
      </c>
      <c r="Y633" s="109">
        <f>'Z Score'!O697</f>
        <v>0</v>
      </c>
      <c r="Z633" s="109">
        <f>'Z Score'!R697</f>
        <v>0</v>
      </c>
      <c r="AA633" s="109">
        <f>'Z Score'!S697</f>
        <v>0</v>
      </c>
    </row>
    <row r="634" spans="1:27" ht="15" customHeight="1" x14ac:dyDescent="0.3">
      <c r="A634" s="22"/>
      <c r="B634" s="23"/>
      <c r="C634" s="1"/>
      <c r="D634" s="23">
        <v>2017</v>
      </c>
      <c r="E634" s="25">
        <f>'Current Ratio'!G698</f>
        <v>335.18652662078955</v>
      </c>
      <c r="F634" s="25">
        <f>'Cash Ratio'!G698</f>
        <v>289.76819992756248</v>
      </c>
      <c r="G634" s="25">
        <f>DAR!G698</f>
        <v>0.10219415012418032</v>
      </c>
      <c r="H634" s="25">
        <f>DER!G698</f>
        <v>0.1138265585352505</v>
      </c>
      <c r="I634" s="25">
        <f>NPM!G698</f>
        <v>0.13902439024390245</v>
      </c>
      <c r="J634" s="25">
        <f>ROA!G698</f>
        <v>5.0922865259885291E-4</v>
      </c>
      <c r="K634" s="25">
        <f>ROE!G698</f>
        <v>5.6719239763172301E-4</v>
      </c>
      <c r="L634" s="25">
        <f>KM!E698</f>
        <v>0.99</v>
      </c>
      <c r="M634" s="24">
        <f>KI!E698</f>
        <v>2</v>
      </c>
      <c r="N634" s="108">
        <f>IO!E698</f>
        <v>0</v>
      </c>
      <c r="O634" s="24">
        <f>'BoC Size'!E698</f>
        <v>3</v>
      </c>
      <c r="P634" s="24">
        <f>'TMT E DK'!E698</f>
        <v>0</v>
      </c>
      <c r="Q634" s="24">
        <f>Data!R698</f>
        <v>3</v>
      </c>
      <c r="R634" s="24">
        <f>Data!S698</f>
        <v>3</v>
      </c>
      <c r="S634" s="24">
        <f>'TMT E DK'!E698</f>
        <v>0</v>
      </c>
      <c r="T634" s="24">
        <f>'TMT E DD'!E698</f>
        <v>0</v>
      </c>
      <c r="U634" s="24">
        <f>TA!E698</f>
        <v>111934000000</v>
      </c>
      <c r="V634" s="109">
        <f>PR!F698</f>
        <v>0</v>
      </c>
      <c r="W634" s="109">
        <f>'Z Score'!I698</f>
        <v>1.0815015705683706</v>
      </c>
      <c r="X634" s="109">
        <f>'Z Score'!L698</f>
        <v>1.6600854074722603E-3</v>
      </c>
      <c r="Y634" s="109">
        <f>'Z Score'!O698</f>
        <v>4.8028302392481284E-4</v>
      </c>
      <c r="Z634" s="109">
        <f>'Z Score'!R698</f>
        <v>9.224560713349069</v>
      </c>
      <c r="AA634" s="109">
        <f>'Z Score'!S698</f>
        <v>10.308202652348836</v>
      </c>
    </row>
    <row r="635" spans="1:27" ht="15" customHeight="1" x14ac:dyDescent="0.3">
      <c r="A635" s="22"/>
      <c r="B635" s="23"/>
      <c r="C635" s="1"/>
      <c r="D635" s="23">
        <v>2018</v>
      </c>
      <c r="E635" s="25">
        <f>'Current Ratio'!G699</f>
        <v>4.470103867705344</v>
      </c>
      <c r="F635" s="25">
        <f>'Cash Ratio'!G699</f>
        <v>1.4797389640563072</v>
      </c>
      <c r="G635" s="25">
        <f>DAR!G699</f>
        <v>0.46300391350827325</v>
      </c>
      <c r="H635" s="25">
        <f>DER!G699</f>
        <v>1.1488040574872853</v>
      </c>
      <c r="I635" s="25">
        <f>NPM!G699</f>
        <v>0.13106502642643192</v>
      </c>
      <c r="J635" s="25">
        <f>ROA!G699</f>
        <v>5.3765178230898866E-2</v>
      </c>
      <c r="K635" s="25">
        <f>ROE!G699</f>
        <v>0.13340201475873706</v>
      </c>
      <c r="L635" s="25">
        <f>KM!E699</f>
        <v>0.99470000000000003</v>
      </c>
      <c r="M635" s="24">
        <f>KI!E699</f>
        <v>2</v>
      </c>
      <c r="N635" s="108">
        <f>IO!E699</f>
        <v>0</v>
      </c>
      <c r="O635" s="24">
        <f>'BoC Size'!E699</f>
        <v>3</v>
      </c>
      <c r="P635" s="24">
        <f>'TMT E DK'!E699</f>
        <v>0</v>
      </c>
      <c r="Q635" s="24">
        <f>Data!R699</f>
        <v>3</v>
      </c>
      <c r="R635" s="24">
        <f>Data!S699</f>
        <v>3</v>
      </c>
      <c r="S635" s="24">
        <f>'TMT E DK'!E699</f>
        <v>0</v>
      </c>
      <c r="T635" s="24">
        <f>'TMT E DD'!E699</f>
        <v>0</v>
      </c>
      <c r="U635" s="24">
        <f>TA!E699</f>
        <v>532259000000</v>
      </c>
      <c r="V635" s="109">
        <f>PR!F699</f>
        <v>531.54146341463411</v>
      </c>
      <c r="W635" s="109">
        <f>'Z Score'!I699</f>
        <v>1.2517463866275629</v>
      </c>
      <c r="X635" s="109">
        <f>'Z Score'!L699</f>
        <v>0.17562972162048926</v>
      </c>
      <c r="Y635" s="109">
        <f>'Z Score'!O699</f>
        <v>0.4363349421991925</v>
      </c>
      <c r="Z635" s="109">
        <f>'Z Score'!R699</f>
        <v>0.91399398631704531</v>
      </c>
      <c r="AA635" s="109">
        <f>'Z Score'!S699</f>
        <v>2.7777050367642899</v>
      </c>
    </row>
    <row r="636" spans="1:27" ht="15" customHeight="1" x14ac:dyDescent="0.3">
      <c r="A636" s="22"/>
      <c r="B636" s="23"/>
      <c r="C636" s="1"/>
      <c r="D636" s="23">
        <v>2019</v>
      </c>
      <c r="E636" s="25">
        <f>'Current Ratio'!G700</f>
        <v>5.2846813973917159</v>
      </c>
      <c r="F636" s="25">
        <f>'Cash Ratio'!G700</f>
        <v>1.9718899925670654</v>
      </c>
      <c r="G636" s="25">
        <f>DAR!G700</f>
        <v>0.48180994173562286</v>
      </c>
      <c r="H636" s="25">
        <f>DER!G700</f>
        <v>1.281771224935601</v>
      </c>
      <c r="I636" s="25">
        <f>NPM!G700</f>
        <v>9.1285536553209659E-2</v>
      </c>
      <c r="J636" s="25">
        <f>ROA!G700</f>
        <v>3.2884922838164167E-2</v>
      </c>
      <c r="K636" s="25">
        <f>ROE!G700</f>
        <v>8.7484595432684817E-2</v>
      </c>
      <c r="L636" s="25">
        <f>KM!E700</f>
        <v>0.99470000000000003</v>
      </c>
      <c r="M636" s="24">
        <f>KI!E700</f>
        <v>2</v>
      </c>
      <c r="N636" s="108">
        <f>IO!E700</f>
        <v>0</v>
      </c>
      <c r="O636" s="24">
        <f>'BoC Size'!E700</f>
        <v>3</v>
      </c>
      <c r="P636" s="24">
        <f>'TMT E DK'!E700</f>
        <v>0</v>
      </c>
      <c r="Q636" s="24">
        <f>Data!R700</f>
        <v>3</v>
      </c>
      <c r="R636" s="24">
        <f>Data!S700</f>
        <v>3</v>
      </c>
      <c r="S636" s="24">
        <f>'TMT E DK'!E700</f>
        <v>0</v>
      </c>
      <c r="T636" s="24">
        <f>'TMT E DD'!E700</f>
        <v>0</v>
      </c>
      <c r="U636" s="24">
        <f>TA!E700</f>
        <v>597964000000</v>
      </c>
      <c r="V636" s="109">
        <f>PR!F700</f>
        <v>-1.3419314653158806E-2</v>
      </c>
      <c r="W636" s="109">
        <f>'Z Score'!I700</f>
        <v>1.3912644908389131</v>
      </c>
      <c r="X636" s="109">
        <f>'Z Score'!L700</f>
        <v>0.20113993484557596</v>
      </c>
      <c r="Y636" s="109">
        <f>'Z Score'!O700</f>
        <v>0.25279060277876259</v>
      </c>
      <c r="Z636" s="109">
        <f>'Z Score'!R700</f>
        <v>0.8191789451762379</v>
      </c>
      <c r="AA636" s="109">
        <f>'Z Score'!S700</f>
        <v>2.6643739736394894</v>
      </c>
    </row>
    <row r="637" spans="1:27" ht="15" customHeight="1" x14ac:dyDescent="0.3">
      <c r="A637" s="22"/>
      <c r="B637" s="23"/>
      <c r="C637" s="1"/>
      <c r="D637" s="23">
        <v>2020</v>
      </c>
      <c r="E637" s="25">
        <f>'Current Ratio'!G701</f>
        <v>5.2704770477047704</v>
      </c>
      <c r="F637" s="25">
        <f>'Cash Ratio'!G701</f>
        <v>1.7268789378937894</v>
      </c>
      <c r="G637" s="25">
        <f>DAR!G701</f>
        <v>0.50569033567025212</v>
      </c>
      <c r="H637" s="25">
        <f>DER!G701</f>
        <v>1.5383631873326309</v>
      </c>
      <c r="I637" s="25">
        <f>NPM!G701</f>
        <v>0.10458378935170283</v>
      </c>
      <c r="J637" s="25">
        <f>ROA!G701</f>
        <v>3.5583593105062775E-2</v>
      </c>
      <c r="K637" s="25">
        <f>ROE!G701</f>
        <v>0.10824903274708159</v>
      </c>
      <c r="L637" s="25">
        <f>KM!E701</f>
        <v>0.99470000000000003</v>
      </c>
      <c r="M637" s="24">
        <f>KI!E701</f>
        <v>2</v>
      </c>
      <c r="N637" s="108">
        <f>IO!E701</f>
        <v>0</v>
      </c>
      <c r="O637" s="24">
        <f>'BoC Size'!E701</f>
        <v>4</v>
      </c>
      <c r="P637" s="24">
        <f>'TMT E DK'!E701</f>
        <v>0</v>
      </c>
      <c r="Q637" s="24">
        <f>Data!R701</f>
        <v>4</v>
      </c>
      <c r="R637" s="24">
        <f>Data!S701</f>
        <v>3</v>
      </c>
      <c r="S637" s="24">
        <f>'TMT E DK'!E701</f>
        <v>0</v>
      </c>
      <c r="T637" s="24">
        <f>'TMT E DD'!E701</f>
        <v>0</v>
      </c>
      <c r="U637" s="24">
        <f>TA!E701</f>
        <v>730449000000</v>
      </c>
      <c r="V637" s="109">
        <f>PR!F701</f>
        <v>0.15373331105045215</v>
      </c>
      <c r="W637" s="109">
        <f>'Z Score'!I701</f>
        <v>1.3634975747793481</v>
      </c>
      <c r="X637" s="109">
        <f>'Z Score'!L701</f>
        <v>0.2237930916463709</v>
      </c>
      <c r="Y637" s="109">
        <f>'Z Score'!O701</f>
        <v>0.26807358213920479</v>
      </c>
      <c r="Z637" s="109">
        <f>'Z Score'!R701</f>
        <v>0.68254363380899408</v>
      </c>
      <c r="AA637" s="109">
        <f>'Z Score'!S701</f>
        <v>2.5379078823739176</v>
      </c>
    </row>
    <row r="638" spans="1:27" ht="15" customHeight="1" x14ac:dyDescent="0.3">
      <c r="A638" s="22"/>
      <c r="B638" s="23"/>
      <c r="C638" s="1"/>
      <c r="D638" s="23">
        <v>2021</v>
      </c>
      <c r="E638" s="25">
        <f>'Current Ratio'!G702</f>
        <v>5.8005472166108367</v>
      </c>
      <c r="F638" s="25">
        <f>'Cash Ratio'!G702</f>
        <v>2.2674968675684659</v>
      </c>
      <c r="G638" s="25">
        <f>DAR!G702</f>
        <v>0.5583740471161952</v>
      </c>
      <c r="H638" s="25">
        <f>DER!G702</f>
        <v>1.9008261912659781</v>
      </c>
      <c r="I638" s="25">
        <f>NPM!G702</f>
        <v>9.8599933793809449E-2</v>
      </c>
      <c r="J638" s="25">
        <f>ROA!G702</f>
        <v>4.0160483308104386E-2</v>
      </c>
      <c r="K638" s="25">
        <f>ROE!G702</f>
        <v>0.13671498329874798</v>
      </c>
      <c r="L638" s="25">
        <f>KM!E702</f>
        <v>0.99470000000000003</v>
      </c>
      <c r="M638" s="24">
        <f>KI!E702</f>
        <v>2</v>
      </c>
      <c r="N638" s="108">
        <f>IO!E702</f>
        <v>0</v>
      </c>
      <c r="O638" s="24">
        <f>'BoC Size'!E702</f>
        <v>4</v>
      </c>
      <c r="P638" s="24">
        <f>'TMT E DK'!E702</f>
        <v>0</v>
      </c>
      <c r="Q638" s="24">
        <f>Data!R702</f>
        <v>4</v>
      </c>
      <c r="R638" s="24">
        <f>Data!S702</f>
        <v>3</v>
      </c>
      <c r="S638" s="24">
        <f>'TMT E DK'!E702</f>
        <v>0</v>
      </c>
      <c r="T638" s="24">
        <f>'TMT E DD'!E702</f>
        <v>0</v>
      </c>
      <c r="U638" s="24">
        <f>TA!E702</f>
        <v>882584000000</v>
      </c>
      <c r="V638" s="109">
        <f>PR!F702</f>
        <v>0.44644868988604908</v>
      </c>
      <c r="W638" s="109">
        <f>'Z Score'!I702</f>
        <v>1.3953817427009778</v>
      </c>
      <c r="X638" s="109">
        <f>'Z Score'!L702</f>
        <v>0.2576761645350471</v>
      </c>
      <c r="Y638" s="109">
        <f>'Z Score'!O702</f>
        <v>0.31774009046164442</v>
      </c>
      <c r="Z638" s="109">
        <f>'Z Score'!R702</f>
        <v>0.5523913784566935</v>
      </c>
      <c r="AA638" s="109">
        <f>'Z Score'!S702</f>
        <v>2.5231893761543631</v>
      </c>
    </row>
    <row r="639" spans="1:27" ht="15" customHeight="1" x14ac:dyDescent="0.3">
      <c r="A639" s="22"/>
      <c r="B639" s="23"/>
      <c r="C639" s="1"/>
      <c r="D639" s="23">
        <v>2022</v>
      </c>
      <c r="E639" s="25">
        <f>'Current Ratio'!G703</f>
        <v>1.9938719152216551</v>
      </c>
      <c r="F639" s="25">
        <f>'Cash Ratio'!G703</f>
        <v>0.91851989188028771</v>
      </c>
      <c r="G639" s="25">
        <f>DAR!G703</f>
        <v>0.56876746806362399</v>
      </c>
      <c r="H639" s="25">
        <f>DER!G703</f>
        <v>1.9593073273022998</v>
      </c>
      <c r="I639" s="25">
        <f>NPM!G703</f>
        <v>0</v>
      </c>
      <c r="J639" s="25">
        <f>ROA!G703</f>
        <v>0</v>
      </c>
      <c r="K639" s="25">
        <f>ROE!G703</f>
        <v>0</v>
      </c>
      <c r="L639" s="25">
        <f>KM!E703</f>
        <v>0.94499999999999995</v>
      </c>
      <c r="M639" s="24">
        <f>KI!E703</f>
        <v>2</v>
      </c>
      <c r="N639" s="108">
        <f>IO!E703</f>
        <v>0</v>
      </c>
      <c r="O639" s="24">
        <f>'BoC Size'!E703</f>
        <v>4</v>
      </c>
      <c r="P639" s="24">
        <f>'TMT E DK'!E703</f>
        <v>0</v>
      </c>
      <c r="Q639" s="24">
        <f>Data!R703</f>
        <v>4</v>
      </c>
      <c r="R639" s="24">
        <f>Data!S703</f>
        <v>3</v>
      </c>
      <c r="S639" s="24">
        <f>'TMT E DK'!E703</f>
        <v>0</v>
      </c>
      <c r="T639" s="24">
        <f>'TMT E DD'!E703</f>
        <v>0</v>
      </c>
      <c r="U639" s="24">
        <f>TA!E703</f>
        <v>1025085000000</v>
      </c>
      <c r="V639" s="109">
        <f>PR!F703</f>
        <v>0.21238834659775288</v>
      </c>
      <c r="W639" s="109">
        <f>'Z Score'!I703</f>
        <v>0.65179234892716209</v>
      </c>
      <c r="X639" s="109">
        <f>'Z Score'!L703</f>
        <v>0.3027700532150992</v>
      </c>
      <c r="Y639" s="109">
        <f>'Z Score'!O703</f>
        <v>0.39819090124233597</v>
      </c>
      <c r="Z639" s="109">
        <f>'Z Score'!R703</f>
        <v>0.53590367645167103</v>
      </c>
      <c r="AA639" s="109">
        <f>'Z Score'!S703</f>
        <v>1.8886569798362682</v>
      </c>
    </row>
    <row r="640" spans="1:27" ht="15" customHeight="1" x14ac:dyDescent="0.3">
      <c r="A640" s="22"/>
      <c r="B640" s="23"/>
      <c r="C640" s="1"/>
      <c r="D640" s="23">
        <v>2023</v>
      </c>
      <c r="E640" s="25">
        <f>'Current Ratio'!G704</f>
        <v>1.9487166975700205</v>
      </c>
      <c r="F640" s="25">
        <f>'Cash Ratio'!G704</f>
        <v>1.2939494486191081</v>
      </c>
      <c r="G640" s="25">
        <f>DAR!G704</f>
        <v>0.59960635733632694</v>
      </c>
      <c r="H640" s="25">
        <f>DER!G704</f>
        <v>2.4331412505449594</v>
      </c>
      <c r="I640" s="25">
        <f>NPM!G704</f>
        <v>0</v>
      </c>
      <c r="J640" s="25">
        <f>ROA!G704</f>
        <v>0</v>
      </c>
      <c r="K640" s="25">
        <f>ROE!G704</f>
        <v>0</v>
      </c>
      <c r="L640" s="25">
        <f>KM!E704</f>
        <v>0.94499999999999995</v>
      </c>
      <c r="M640" s="24">
        <f>KI!E704</f>
        <v>2</v>
      </c>
      <c r="N640" s="108">
        <f>IO!E704</f>
        <v>0</v>
      </c>
      <c r="O640" s="24">
        <f>'BoC Size'!E704</f>
        <v>3</v>
      </c>
      <c r="P640" s="24">
        <f>'TMT E DK'!E704</f>
        <v>0</v>
      </c>
      <c r="Q640" s="24">
        <f>Data!R704</f>
        <v>3</v>
      </c>
      <c r="R640" s="24">
        <f>Data!S704</f>
        <v>3</v>
      </c>
      <c r="S640" s="24">
        <f>'TMT E DK'!E704</f>
        <v>0</v>
      </c>
      <c r="T640" s="24">
        <f>'TMT E DD'!E704</f>
        <v>0</v>
      </c>
      <c r="U640" s="24">
        <f>TA!E704</f>
        <v>1368246000000</v>
      </c>
      <c r="V640" s="109">
        <f>PR!F704</f>
        <v>0.13604293387604885</v>
      </c>
      <c r="W640" s="109">
        <f>'Z Score'!I704</f>
        <v>0.46609337794519401</v>
      </c>
      <c r="X640" s="109">
        <f>'Z Score'!L704</f>
        <v>0.32011113498596011</v>
      </c>
      <c r="Y640" s="109">
        <f>'Z Score'!O704</f>
        <v>0.40848093106064259</v>
      </c>
      <c r="Z640" s="109">
        <f>'Z Score'!R704</f>
        <v>0.43154091434881875</v>
      </c>
      <c r="AA640" s="109">
        <f>'Z Score'!S704</f>
        <v>1.6262263583406154</v>
      </c>
    </row>
    <row r="641" spans="1:27" ht="15" customHeight="1" x14ac:dyDescent="0.3">
      <c r="A641" s="22"/>
      <c r="B641" s="23"/>
      <c r="C641" s="1"/>
      <c r="D641" s="23">
        <v>2024</v>
      </c>
      <c r="E641" s="25">
        <f>'Current Ratio'!G705</f>
        <v>1.2571052215606724</v>
      </c>
      <c r="F641" s="25">
        <f>'Cash Ratio'!G705</f>
        <v>0.87752779387744351</v>
      </c>
      <c r="G641" s="25">
        <f>DAR!G705</f>
        <v>0.94521970823227197</v>
      </c>
      <c r="H641" s="25">
        <f>DER!G705</f>
        <v>4.5724936487091394</v>
      </c>
      <c r="I641" s="25">
        <f>NPM!G705</f>
        <v>0</v>
      </c>
      <c r="J641" s="25">
        <f>ROA!G705</f>
        <v>0</v>
      </c>
      <c r="K641" s="25">
        <f>ROE!G705</f>
        <v>0</v>
      </c>
      <c r="L641" s="25">
        <f>KM!E705</f>
        <v>0.94499999999999995</v>
      </c>
      <c r="M641" s="24">
        <f>KI!E705</f>
        <v>2</v>
      </c>
      <c r="N641" s="108">
        <f>IO!E705</f>
        <v>0</v>
      </c>
      <c r="O641" s="24">
        <f>'BoC Size'!E705</f>
        <v>3</v>
      </c>
      <c r="P641" s="24">
        <f>'TMT E DK'!E705</f>
        <v>0</v>
      </c>
      <c r="Q641" s="24">
        <f>Data!R705</f>
        <v>3</v>
      </c>
      <c r="R641" s="24">
        <f>Data!S705</f>
        <v>3</v>
      </c>
      <c r="S641" s="24">
        <f>'TMT E DK'!E705</f>
        <v>0</v>
      </c>
      <c r="T641" s="24">
        <f>'TMT E DD'!E705</f>
        <v>0</v>
      </c>
      <c r="U641" s="24">
        <f>TA!E705</f>
        <v>1631846000000</v>
      </c>
      <c r="V641" s="109">
        <f>PR!F705</f>
        <v>-1.0752840191870739E-2</v>
      </c>
      <c r="W641" s="109">
        <f>'Z Score'!I705</f>
        <v>9.8079647221612817E-2</v>
      </c>
      <c r="X641" s="109">
        <f>'Z Score'!L705</f>
        <v>0.27209185180464335</v>
      </c>
      <c r="Y641" s="109">
        <f>'Z Score'!O705</f>
        <v>0.41371021530217922</v>
      </c>
      <c r="Z641" s="109">
        <f>'Z Score'!R705</f>
        <v>0.22963399857240382</v>
      </c>
      <c r="AA641" s="109">
        <f>'Z Score'!S705</f>
        <v>1.0135157129008392</v>
      </c>
    </row>
    <row r="642" spans="1:27" ht="15" customHeight="1" x14ac:dyDescent="0.3">
      <c r="A642" s="22"/>
      <c r="B642" s="23">
        <v>65</v>
      </c>
      <c r="C642" s="2" t="s">
        <v>64</v>
      </c>
      <c r="D642" s="23">
        <v>2015</v>
      </c>
      <c r="E642" s="25">
        <f>'Current Ratio'!G707</f>
        <v>0</v>
      </c>
      <c r="F642" s="25">
        <f>'Cash Ratio'!G707</f>
        <v>0</v>
      </c>
      <c r="G642" s="25">
        <f>DAR!G707</f>
        <v>0</v>
      </c>
      <c r="H642" s="25">
        <f>DER!G707</f>
        <v>0</v>
      </c>
      <c r="I642" s="25">
        <f>NPM!G707</f>
        <v>0</v>
      </c>
      <c r="J642" s="25">
        <f>ROA!G707</f>
        <v>0</v>
      </c>
      <c r="K642" s="25">
        <f>ROE!G707</f>
        <v>0</v>
      </c>
      <c r="L642" s="25">
        <f>KM!E707</f>
        <v>0</v>
      </c>
      <c r="M642" s="24">
        <f>KI!E707</f>
        <v>0</v>
      </c>
      <c r="N642" s="108">
        <f>IO!E707</f>
        <v>0</v>
      </c>
      <c r="O642" s="24">
        <f>'BoC Size'!E707</f>
        <v>0</v>
      </c>
      <c r="P642" s="24">
        <f>'TMT E DK'!E707</f>
        <v>0</v>
      </c>
      <c r="Q642" s="24">
        <f>Data!R707</f>
        <v>0</v>
      </c>
      <c r="R642" s="24">
        <f>Data!S707</f>
        <v>0</v>
      </c>
      <c r="S642" s="24">
        <f>'TMT E DK'!E707</f>
        <v>0</v>
      </c>
      <c r="T642" s="24">
        <f>'TMT E DD'!E707</f>
        <v>0</v>
      </c>
      <c r="U642" s="24">
        <f>TA!E707</f>
        <v>0</v>
      </c>
      <c r="V642" s="109">
        <f>PR!F707</f>
        <v>0</v>
      </c>
      <c r="W642" s="109">
        <f>'Z Score'!I707</f>
        <v>0</v>
      </c>
      <c r="X642" s="109">
        <f>'Z Score'!L707</f>
        <v>0</v>
      </c>
      <c r="Y642" s="109">
        <f>'Z Score'!O707</f>
        <v>0</v>
      </c>
      <c r="Z642" s="109">
        <f>'Z Score'!R707</f>
        <v>0</v>
      </c>
      <c r="AA642" s="109">
        <f>'Z Score'!S707</f>
        <v>0</v>
      </c>
    </row>
    <row r="643" spans="1:27" ht="15" customHeight="1" x14ac:dyDescent="0.3">
      <c r="A643" s="22"/>
      <c r="B643" s="23"/>
      <c r="C643" s="2"/>
      <c r="D643" s="23">
        <v>2016</v>
      </c>
      <c r="E643" s="25">
        <f>'Current Ratio'!G708</f>
        <v>0</v>
      </c>
      <c r="F643" s="25">
        <f>'Cash Ratio'!G708</f>
        <v>0</v>
      </c>
      <c r="G643" s="25">
        <f>DAR!G708</f>
        <v>0</v>
      </c>
      <c r="H643" s="25">
        <f>DER!G708</f>
        <v>0</v>
      </c>
      <c r="I643" s="25">
        <f>NPM!G708</f>
        <v>0</v>
      </c>
      <c r="J643" s="25">
        <f>ROA!G708</f>
        <v>0</v>
      </c>
      <c r="K643" s="25">
        <f>ROE!G708</f>
        <v>0</v>
      </c>
      <c r="L643" s="25">
        <f>KM!E708</f>
        <v>0</v>
      </c>
      <c r="M643" s="24">
        <f>KI!E708</f>
        <v>0</v>
      </c>
      <c r="N643" s="108">
        <f>IO!E708</f>
        <v>0</v>
      </c>
      <c r="O643" s="24">
        <f>'BoC Size'!E708</f>
        <v>0</v>
      </c>
      <c r="P643" s="24">
        <f>'TMT E DK'!E708</f>
        <v>0</v>
      </c>
      <c r="Q643" s="24">
        <f>Data!R708</f>
        <v>0</v>
      </c>
      <c r="R643" s="24">
        <f>Data!S708</f>
        <v>0</v>
      </c>
      <c r="S643" s="24">
        <f>'TMT E DK'!E708</f>
        <v>0</v>
      </c>
      <c r="T643" s="24">
        <f>'TMT E DD'!E708</f>
        <v>0</v>
      </c>
      <c r="U643" s="24">
        <f>TA!E708</f>
        <v>0</v>
      </c>
      <c r="V643" s="109">
        <f>PR!F708</f>
        <v>0</v>
      </c>
      <c r="W643" s="109">
        <f>'Z Score'!I708</f>
        <v>0</v>
      </c>
      <c r="X643" s="109">
        <f>'Z Score'!L708</f>
        <v>0</v>
      </c>
      <c r="Y643" s="109">
        <f>'Z Score'!O708</f>
        <v>0</v>
      </c>
      <c r="Z643" s="109">
        <f>'Z Score'!R708</f>
        <v>0</v>
      </c>
      <c r="AA643" s="109">
        <f>'Z Score'!S708</f>
        <v>0</v>
      </c>
    </row>
    <row r="644" spans="1:27" ht="15" customHeight="1" x14ac:dyDescent="0.3">
      <c r="A644" s="22"/>
      <c r="B644" s="23"/>
      <c r="C644" s="2"/>
      <c r="D644" s="23">
        <v>2017</v>
      </c>
      <c r="E644" s="25">
        <f>'Current Ratio'!G709</f>
        <v>0</v>
      </c>
      <c r="F644" s="25">
        <f>'Cash Ratio'!G709</f>
        <v>0</v>
      </c>
      <c r="G644" s="25">
        <f>DAR!G709</f>
        <v>0</v>
      </c>
      <c r="H644" s="25">
        <f>DER!G709</f>
        <v>0</v>
      </c>
      <c r="I644" s="25">
        <f>NPM!G709</f>
        <v>0</v>
      </c>
      <c r="J644" s="25">
        <f>ROA!G709</f>
        <v>0</v>
      </c>
      <c r="K644" s="25">
        <f>ROE!G709</f>
        <v>0</v>
      </c>
      <c r="L644" s="25">
        <f>KM!E709</f>
        <v>0</v>
      </c>
      <c r="M644" s="24">
        <f>KI!E709</f>
        <v>0</v>
      </c>
      <c r="N644" s="108">
        <f>IO!E709</f>
        <v>0</v>
      </c>
      <c r="O644" s="24">
        <f>'BoC Size'!E709</f>
        <v>0</v>
      </c>
      <c r="P644" s="24">
        <f>'TMT E DK'!E709</f>
        <v>0</v>
      </c>
      <c r="Q644" s="24">
        <f>Data!R709</f>
        <v>0</v>
      </c>
      <c r="R644" s="24">
        <f>Data!S709</f>
        <v>0</v>
      </c>
      <c r="S644" s="24">
        <f>'TMT E DK'!E709</f>
        <v>0</v>
      </c>
      <c r="T644" s="24">
        <f>'TMT E DD'!E709</f>
        <v>0</v>
      </c>
      <c r="U644" s="24">
        <f>TA!E709</f>
        <v>0</v>
      </c>
      <c r="V644" s="109">
        <f>PR!F709</f>
        <v>0</v>
      </c>
      <c r="W644" s="109">
        <f>'Z Score'!I709</f>
        <v>0</v>
      </c>
      <c r="X644" s="109">
        <f>'Z Score'!L709</f>
        <v>0</v>
      </c>
      <c r="Y644" s="109">
        <f>'Z Score'!O709</f>
        <v>0</v>
      </c>
      <c r="Z644" s="109">
        <f>'Z Score'!R709</f>
        <v>0</v>
      </c>
      <c r="AA644" s="109">
        <f>'Z Score'!S709</f>
        <v>0</v>
      </c>
    </row>
    <row r="645" spans="1:27" ht="15" customHeight="1" x14ac:dyDescent="0.3">
      <c r="A645" s="22"/>
      <c r="B645" s="23"/>
      <c r="C645" s="2"/>
      <c r="D645" s="23">
        <v>2018</v>
      </c>
      <c r="E645" s="25">
        <f>'Current Ratio'!G710</f>
        <v>0</v>
      </c>
      <c r="F645" s="25">
        <f>'Cash Ratio'!G710</f>
        <v>0</v>
      </c>
      <c r="G645" s="25">
        <f>DAR!G710</f>
        <v>0</v>
      </c>
      <c r="H645" s="25">
        <f>DER!G710</f>
        <v>0</v>
      </c>
      <c r="I645" s="25">
        <f>NPM!G710</f>
        <v>0</v>
      </c>
      <c r="J645" s="25">
        <f>ROA!G710</f>
        <v>0</v>
      </c>
      <c r="K645" s="25">
        <f>ROE!G710</f>
        <v>0</v>
      </c>
      <c r="L645" s="25">
        <f>KM!E710</f>
        <v>0</v>
      </c>
      <c r="M645" s="24">
        <f>KI!E710</f>
        <v>0</v>
      </c>
      <c r="N645" s="108">
        <f>IO!E710</f>
        <v>0</v>
      </c>
      <c r="O645" s="24">
        <f>'BoC Size'!E710</f>
        <v>0</v>
      </c>
      <c r="P645" s="24">
        <f>'TMT E DK'!E710</f>
        <v>0</v>
      </c>
      <c r="Q645" s="24">
        <f>Data!R710</f>
        <v>0</v>
      </c>
      <c r="R645" s="24">
        <f>Data!S710</f>
        <v>0</v>
      </c>
      <c r="S645" s="24">
        <f>'TMT E DK'!E710</f>
        <v>0</v>
      </c>
      <c r="T645" s="24">
        <f>'TMT E DD'!E710</f>
        <v>0</v>
      </c>
      <c r="U645" s="24">
        <f>TA!E710</f>
        <v>0</v>
      </c>
      <c r="V645" s="109">
        <f>PR!F710</f>
        <v>0</v>
      </c>
      <c r="W645" s="109">
        <f>'Z Score'!I710</f>
        <v>0</v>
      </c>
      <c r="X645" s="109">
        <f>'Z Score'!L710</f>
        <v>0</v>
      </c>
      <c r="Y645" s="109">
        <f>'Z Score'!O710</f>
        <v>0</v>
      </c>
      <c r="Z645" s="109">
        <f>'Z Score'!R710</f>
        <v>0</v>
      </c>
      <c r="AA645" s="109">
        <f>'Z Score'!S710</f>
        <v>0</v>
      </c>
    </row>
    <row r="646" spans="1:27" ht="15" customHeight="1" x14ac:dyDescent="0.3">
      <c r="A646" s="22"/>
      <c r="B646" s="23"/>
      <c r="C646" s="2"/>
      <c r="D646" s="23">
        <v>2019</v>
      </c>
      <c r="E646" s="25">
        <f>'Current Ratio'!G711</f>
        <v>0</v>
      </c>
      <c r="F646" s="25">
        <f>'Cash Ratio'!G711</f>
        <v>0</v>
      </c>
      <c r="G646" s="25">
        <f>DAR!G711</f>
        <v>0</v>
      </c>
      <c r="H646" s="25">
        <f>DER!G711</f>
        <v>0</v>
      </c>
      <c r="I646" s="25">
        <f>NPM!G711</f>
        <v>0</v>
      </c>
      <c r="J646" s="25">
        <f>ROA!G711</f>
        <v>0</v>
      </c>
      <c r="K646" s="25">
        <f>ROE!G711</f>
        <v>0</v>
      </c>
      <c r="L646" s="25">
        <f>KM!E711</f>
        <v>0</v>
      </c>
      <c r="M646" s="24">
        <f>KI!E711</f>
        <v>0</v>
      </c>
      <c r="N646" s="108">
        <f>IO!E711</f>
        <v>0</v>
      </c>
      <c r="O646" s="24">
        <f>'BoC Size'!E711</f>
        <v>0</v>
      </c>
      <c r="P646" s="24">
        <f>'TMT E DK'!E711</f>
        <v>0</v>
      </c>
      <c r="Q646" s="24">
        <f>Data!R711</f>
        <v>0</v>
      </c>
      <c r="R646" s="24">
        <f>Data!S711</f>
        <v>0</v>
      </c>
      <c r="S646" s="24">
        <f>'TMT E DK'!E711</f>
        <v>0</v>
      </c>
      <c r="T646" s="24">
        <f>'TMT E DD'!E711</f>
        <v>0</v>
      </c>
      <c r="U646" s="24">
        <f>TA!E711</f>
        <v>0</v>
      </c>
      <c r="V646" s="109">
        <f>PR!F711</f>
        <v>0</v>
      </c>
      <c r="W646" s="109">
        <f>'Z Score'!I711</f>
        <v>0</v>
      </c>
      <c r="X646" s="109">
        <f>'Z Score'!L711</f>
        <v>0</v>
      </c>
      <c r="Y646" s="109">
        <f>'Z Score'!O711</f>
        <v>0</v>
      </c>
      <c r="Z646" s="109">
        <f>'Z Score'!R711</f>
        <v>0</v>
      </c>
      <c r="AA646" s="109">
        <f>'Z Score'!S711</f>
        <v>0</v>
      </c>
    </row>
    <row r="647" spans="1:27" ht="15" customHeight="1" x14ac:dyDescent="0.3">
      <c r="A647" s="22"/>
      <c r="B647" s="23"/>
      <c r="C647" s="2"/>
      <c r="D647" s="23">
        <v>2020</v>
      </c>
      <c r="E647" s="25">
        <f>'Current Ratio'!G712</f>
        <v>0</v>
      </c>
      <c r="F647" s="25">
        <f>'Cash Ratio'!G712</f>
        <v>0</v>
      </c>
      <c r="G647" s="25">
        <f>DAR!G712</f>
        <v>0</v>
      </c>
      <c r="H647" s="25">
        <f>DER!G712</f>
        <v>0</v>
      </c>
      <c r="I647" s="25">
        <f>NPM!G712</f>
        <v>0</v>
      </c>
      <c r="J647" s="25">
        <f>ROA!G712</f>
        <v>0</v>
      </c>
      <c r="K647" s="25">
        <f>ROE!G712</f>
        <v>0</v>
      </c>
      <c r="L647" s="25">
        <f>KM!E712</f>
        <v>0</v>
      </c>
      <c r="M647" s="24">
        <f>KI!E712</f>
        <v>0</v>
      </c>
      <c r="N647" s="108">
        <f>IO!E712</f>
        <v>0</v>
      </c>
      <c r="O647" s="24">
        <f>'BoC Size'!E712</f>
        <v>0</v>
      </c>
      <c r="P647" s="24">
        <f>'TMT E DK'!E712</f>
        <v>0</v>
      </c>
      <c r="Q647" s="24">
        <f>Data!R712</f>
        <v>0</v>
      </c>
      <c r="R647" s="24">
        <f>Data!S712</f>
        <v>0</v>
      </c>
      <c r="S647" s="24">
        <f>'TMT E DK'!E712</f>
        <v>0</v>
      </c>
      <c r="T647" s="24">
        <f>'TMT E DD'!E712</f>
        <v>0</v>
      </c>
      <c r="U647" s="24">
        <f>TA!E712</f>
        <v>0</v>
      </c>
      <c r="V647" s="109">
        <f>PR!F712</f>
        <v>0</v>
      </c>
      <c r="W647" s="109">
        <f>'Z Score'!I712</f>
        <v>0</v>
      </c>
      <c r="X647" s="109">
        <f>'Z Score'!L712</f>
        <v>0</v>
      </c>
      <c r="Y647" s="109">
        <f>'Z Score'!O712</f>
        <v>0</v>
      </c>
      <c r="Z647" s="109">
        <f>'Z Score'!R712</f>
        <v>0</v>
      </c>
      <c r="AA647" s="109">
        <f>'Z Score'!S712</f>
        <v>0</v>
      </c>
    </row>
    <row r="648" spans="1:27" ht="15" customHeight="1" x14ac:dyDescent="0.3">
      <c r="A648" s="22"/>
      <c r="B648" s="23"/>
      <c r="C648" s="2"/>
      <c r="D648" s="23">
        <v>2021</v>
      </c>
      <c r="E648" s="25">
        <f>'Current Ratio'!G713</f>
        <v>0</v>
      </c>
      <c r="F648" s="25">
        <f>'Cash Ratio'!G713</f>
        <v>0</v>
      </c>
      <c r="G648" s="25">
        <f>DAR!G713</f>
        <v>0</v>
      </c>
      <c r="H648" s="25">
        <f>DER!G713</f>
        <v>0</v>
      </c>
      <c r="I648" s="25">
        <f>NPM!G713</f>
        <v>0</v>
      </c>
      <c r="J648" s="25">
        <f>ROA!G713</f>
        <v>0</v>
      </c>
      <c r="K648" s="25">
        <f>ROE!G713</f>
        <v>0</v>
      </c>
      <c r="L648" s="25">
        <f>KM!E713</f>
        <v>0</v>
      </c>
      <c r="M648" s="24">
        <f>KI!E713</f>
        <v>0</v>
      </c>
      <c r="N648" s="108">
        <f>IO!E713</f>
        <v>0</v>
      </c>
      <c r="O648" s="24">
        <f>'BoC Size'!E713</f>
        <v>0</v>
      </c>
      <c r="P648" s="24">
        <f>'TMT E DK'!E713</f>
        <v>0</v>
      </c>
      <c r="Q648" s="24">
        <f>Data!R713</f>
        <v>0</v>
      </c>
      <c r="R648" s="24">
        <f>Data!S713</f>
        <v>0</v>
      </c>
      <c r="S648" s="24">
        <f>'TMT E DK'!E713</f>
        <v>0</v>
      </c>
      <c r="T648" s="24">
        <f>'TMT E DD'!E713</f>
        <v>0</v>
      </c>
      <c r="U648" s="24">
        <f>TA!E713</f>
        <v>0</v>
      </c>
      <c r="V648" s="109">
        <f>PR!F713</f>
        <v>0</v>
      </c>
      <c r="W648" s="109">
        <f>'Z Score'!I713</f>
        <v>0</v>
      </c>
      <c r="X648" s="109">
        <f>'Z Score'!L713</f>
        <v>0</v>
      </c>
      <c r="Y648" s="109">
        <f>'Z Score'!O713</f>
        <v>0</v>
      </c>
      <c r="Z648" s="109">
        <f>'Z Score'!R713</f>
        <v>0</v>
      </c>
      <c r="AA648" s="109">
        <f>'Z Score'!S713</f>
        <v>0</v>
      </c>
    </row>
    <row r="649" spans="1:27" ht="15" customHeight="1" x14ac:dyDescent="0.3">
      <c r="A649" s="22"/>
      <c r="B649" s="23"/>
      <c r="C649" s="2"/>
      <c r="D649" s="23">
        <v>2022</v>
      </c>
      <c r="E649" s="25">
        <f>'Current Ratio'!G714</f>
        <v>7.9252906855808289</v>
      </c>
      <c r="F649" s="25">
        <f>'Cash Ratio'!G714</f>
        <v>5.1468496862639129E-2</v>
      </c>
      <c r="G649" s="25">
        <f>DAR!G714</f>
        <v>0.56815003505833361</v>
      </c>
      <c r="H649" s="25">
        <f>DER!G714</f>
        <v>1.3154355797942781</v>
      </c>
      <c r="I649" s="25">
        <f>NPM!G714</f>
        <v>0.20784605844392287</v>
      </c>
      <c r="J649" s="25">
        <f>ROA!G714</f>
        <v>5.3462960424047579E-2</v>
      </c>
      <c r="K649" s="25">
        <f>ROE!G714</f>
        <v>0.12378258559062638</v>
      </c>
      <c r="L649" s="25">
        <f>KM!E714</f>
        <v>0</v>
      </c>
      <c r="M649" s="24">
        <f>KI!E714</f>
        <v>0</v>
      </c>
      <c r="N649" s="108">
        <f>IO!E714</f>
        <v>0</v>
      </c>
      <c r="O649" s="24">
        <f>'BoC Size'!E714</f>
        <v>0</v>
      </c>
      <c r="P649" s="24">
        <f>'TMT E DK'!E714</f>
        <v>0</v>
      </c>
      <c r="Q649" s="24">
        <f>Data!R714</f>
        <v>0</v>
      </c>
      <c r="R649" s="24">
        <f>Data!S714</f>
        <v>0</v>
      </c>
      <c r="S649" s="24">
        <f>'TMT E DK'!E714</f>
        <v>0</v>
      </c>
      <c r="T649" s="24">
        <f>'TMT E DD'!E714</f>
        <v>0</v>
      </c>
      <c r="U649" s="24">
        <f>TA!E714</f>
        <v>16603575802000</v>
      </c>
      <c r="V649" s="109">
        <f>PR!F714</f>
        <v>0</v>
      </c>
      <c r="W649" s="109">
        <f>'Z Score'!I714</f>
        <v>4.8708460322009861</v>
      </c>
      <c r="X649" s="109">
        <f>'Z Score'!L714</f>
        <v>1.3582622069773354</v>
      </c>
      <c r="Y649" s="109">
        <f>'Z Score'!O714</f>
        <v>0.55277192521953344</v>
      </c>
      <c r="Z649" s="109">
        <f>'Z Score'!R714</f>
        <v>0.79821468730852663</v>
      </c>
      <c r="AA649" s="109">
        <f>'Z Score'!S714</f>
        <v>7.5800948517063818</v>
      </c>
    </row>
    <row r="650" spans="1:27" ht="15" customHeight="1" x14ac:dyDescent="0.3">
      <c r="A650" s="22"/>
      <c r="B650" s="23"/>
      <c r="C650" s="2"/>
      <c r="D650" s="23">
        <v>2023</v>
      </c>
      <c r="E650" s="25">
        <f>'Current Ratio'!G715</f>
        <v>9.6267102062945646</v>
      </c>
      <c r="F650" s="25">
        <f>'Cash Ratio'!G715</f>
        <v>5.7456369952058488E-2</v>
      </c>
      <c r="G650" s="25">
        <f>DAR!G715</f>
        <v>0.57819548242291996</v>
      </c>
      <c r="H650" s="25">
        <f>DER!G715</f>
        <v>1.3707664530104546</v>
      </c>
      <c r="I650" s="25">
        <f>NPM!G715</f>
        <v>0.24230693532696485</v>
      </c>
      <c r="J650" s="25">
        <f>ROA!G715</f>
        <v>6.6630074856390303E-2</v>
      </c>
      <c r="K650" s="25">
        <f>ROE!G715</f>
        <v>0.1579643462311055</v>
      </c>
      <c r="L650" s="25">
        <f>KM!E715</f>
        <v>0.95699999999999996</v>
      </c>
      <c r="M650" s="24">
        <f>KI!E715</f>
        <v>2</v>
      </c>
      <c r="N650" s="108">
        <f>IO!E715</f>
        <v>0</v>
      </c>
      <c r="O650" s="24">
        <f>'BoC Size'!E715</f>
        <v>4</v>
      </c>
      <c r="P650" s="24">
        <f>'TMT E DK'!E715</f>
        <v>0</v>
      </c>
      <c r="Q650" s="24">
        <f>Data!R715</f>
        <v>4</v>
      </c>
      <c r="R650" s="24">
        <f>Data!S715</f>
        <v>7</v>
      </c>
      <c r="S650" s="24">
        <f>'TMT E DK'!E715</f>
        <v>0</v>
      </c>
      <c r="T650" s="24">
        <f>'TMT E DD'!E715</f>
        <v>0</v>
      </c>
      <c r="U650" s="24">
        <f>TA!E715</f>
        <v>18377880959000</v>
      </c>
      <c r="V650" s="109">
        <f>PR!F715</f>
        <v>0.18327871089415282</v>
      </c>
      <c r="W650" s="109">
        <f>'Z Score'!I715</f>
        <v>4.95549134397677</v>
      </c>
      <c r="X650" s="109">
        <f>'Z Score'!L715</f>
        <v>1.3614264552076751</v>
      </c>
      <c r="Y650" s="109">
        <f>'Z Score'!O715</f>
        <v>0.57220858261627394</v>
      </c>
      <c r="Z650" s="109">
        <f>'Z Score'!R715</f>
        <v>0.76599481822305138</v>
      </c>
      <c r="AA650" s="109">
        <f>'Z Score'!S715</f>
        <v>7.6551212000237703</v>
      </c>
    </row>
    <row r="651" spans="1:27" ht="15" customHeight="1" x14ac:dyDescent="0.3">
      <c r="A651" s="22"/>
      <c r="B651" s="23"/>
      <c r="C651" s="2"/>
      <c r="D651" s="23">
        <v>2024</v>
      </c>
      <c r="E651" s="25">
        <f>'Current Ratio'!G716</f>
        <v>9.414802293970892</v>
      </c>
      <c r="F651" s="25">
        <f>'Cash Ratio'!G716</f>
        <v>4.2566310619787481E-2</v>
      </c>
      <c r="G651" s="25">
        <f>DAR!G716</f>
        <v>0.58574720211238296</v>
      </c>
      <c r="H651" s="25">
        <f>DER!G716</f>
        <v>1.413984902695312</v>
      </c>
      <c r="I651" s="25">
        <f>NPM!G716</f>
        <v>0.22053178969679973</v>
      </c>
      <c r="J651" s="25">
        <f>ROA!G716</f>
        <v>6.5891986367145744E-2</v>
      </c>
      <c r="K651" s="25">
        <f>ROE!G716</f>
        <v>0.15906226029889514</v>
      </c>
      <c r="L651" s="25">
        <f>KM!E716</f>
        <v>0.95699999999999996</v>
      </c>
      <c r="M651" s="24">
        <f>KI!E716</f>
        <v>2</v>
      </c>
      <c r="N651" s="108">
        <f>IO!E716</f>
        <v>0</v>
      </c>
      <c r="O651" s="24">
        <f>'BoC Size'!E716</f>
        <v>4</v>
      </c>
      <c r="P651" s="24">
        <f>'TMT E DK'!E716</f>
        <v>0</v>
      </c>
      <c r="Q651" s="24">
        <f>Data!R716</f>
        <v>4</v>
      </c>
      <c r="R651" s="24">
        <f>Data!S716</f>
        <v>6</v>
      </c>
      <c r="S651" s="24">
        <f>'TMT E DK'!E716</f>
        <v>0</v>
      </c>
      <c r="T651" s="24">
        <f>'TMT E DD'!E716</f>
        <v>0</v>
      </c>
      <c r="U651" s="24">
        <f>TA!E716</f>
        <v>20178714079000</v>
      </c>
      <c r="V651" s="109">
        <f>PR!F716</f>
        <v>0.19303997039154358</v>
      </c>
      <c r="W651" s="109">
        <f>'Z Score'!I716</f>
        <v>4.9818661712154979</v>
      </c>
      <c r="X651" s="109">
        <f>'Z Score'!L716</f>
        <v>1.3681525776150028</v>
      </c>
      <c r="Y651" s="109">
        <f>'Z Score'!O716</f>
        <v>0.56718617570536423</v>
      </c>
      <c r="Z651" s="109">
        <f>'Z Score'!R716</f>
        <v>0.742582185989758</v>
      </c>
      <c r="AA651" s="109">
        <f>'Z Score'!S716</f>
        <v>7.659787110525623</v>
      </c>
    </row>
    <row r="652" spans="1:27" ht="15" customHeight="1" x14ac:dyDescent="0.3">
      <c r="A652" s="22"/>
      <c r="B652" s="23">
        <v>66</v>
      </c>
      <c r="C652" s="2" t="s">
        <v>67</v>
      </c>
      <c r="D652" s="23">
        <v>2015</v>
      </c>
      <c r="E652" s="25">
        <f>'Current Ratio'!G718</f>
        <v>1.6176698388110489</v>
      </c>
      <c r="F652" s="25">
        <f>'Cash Ratio'!G718</f>
        <v>0.30134663795653804</v>
      </c>
      <c r="G652" s="25">
        <f>DAR!G718</f>
        <v>0.70865113895178733</v>
      </c>
      <c r="H652" s="25">
        <f>DER!G718</f>
        <v>2.5506818426329771</v>
      </c>
      <c r="I652" s="25">
        <f>NPM!G718</f>
        <v>0.14798223153003542</v>
      </c>
      <c r="J652" s="25">
        <f>ROA!G718</f>
        <v>8.7169782402470836E-2</v>
      </c>
      <c r="K652" s="25">
        <f>ROE!G718</f>
        <v>0.31375435525176926</v>
      </c>
      <c r="L652" s="25">
        <f>KM!E718</f>
        <v>0.42459999999999998</v>
      </c>
      <c r="M652" s="24">
        <f>KI!E718</f>
        <v>2</v>
      </c>
      <c r="N652" s="108">
        <f>IO!E718</f>
        <v>0</v>
      </c>
      <c r="O652" s="24">
        <f>'BoC Size'!E718</f>
        <v>4</v>
      </c>
      <c r="P652" s="24">
        <f>'TMT E DK'!E718</f>
        <v>8</v>
      </c>
      <c r="Q652" s="24">
        <f>Data!R718</f>
        <v>4</v>
      </c>
      <c r="R652" s="24">
        <f>Data!S718</f>
        <v>5</v>
      </c>
      <c r="S652" s="24">
        <f>'TMT E DK'!E718</f>
        <v>8</v>
      </c>
      <c r="T652" s="24">
        <f>'TMT E DD'!E718</f>
        <v>11</v>
      </c>
      <c r="U652" s="24">
        <f>TA!E718</f>
        <v>2075168653798</v>
      </c>
      <c r="V652" s="109">
        <f>PR!F718</f>
        <v>0</v>
      </c>
      <c r="W652" s="109">
        <f>'Z Score'!I718</f>
        <v>0.61512625379327623</v>
      </c>
      <c r="X652" s="109">
        <f>'Z Score'!L718</f>
        <v>0.28724845751869388</v>
      </c>
      <c r="Y652" s="109">
        <f>'Z Score'!O718</f>
        <v>0.71147046765367972</v>
      </c>
      <c r="Z652" s="109">
        <f>'Z Score'!R718</f>
        <v>0.41165463385120693</v>
      </c>
      <c r="AA652" s="109">
        <f>'Z Score'!S718</f>
        <v>2.0254998128168569</v>
      </c>
    </row>
    <row r="653" spans="1:27" ht="15" customHeight="1" x14ac:dyDescent="0.3">
      <c r="A653" s="22"/>
      <c r="B653" s="23"/>
      <c r="C653" s="2"/>
      <c r="D653" s="23">
        <v>2016</v>
      </c>
      <c r="E653" s="25">
        <f>'Current Ratio'!G719</f>
        <v>2.4407455885024825</v>
      </c>
      <c r="F653" s="25">
        <f>'Cash Ratio'!G719</f>
        <v>0.34650139232386457</v>
      </c>
      <c r="G653" s="25">
        <f>DAR!G719</f>
        <v>0.68536250467997606</v>
      </c>
      <c r="H653" s="25">
        <f>DER!G719</f>
        <v>2.2996830324438418</v>
      </c>
      <c r="I653" s="25">
        <f>NPM!G719</f>
        <v>0.13567509294237268</v>
      </c>
      <c r="J653" s="25">
        <f>ROA!G719</f>
        <v>8.6130150459610408E-2</v>
      </c>
      <c r="K653" s="25">
        <f>ROE!G719</f>
        <v>0.28900332924732897</v>
      </c>
      <c r="L653" s="25">
        <f>KM!E719</f>
        <v>0.42459999999999998</v>
      </c>
      <c r="M653" s="24">
        <f>KI!E719</f>
        <v>3</v>
      </c>
      <c r="N653" s="108">
        <f>IO!E719</f>
        <v>0</v>
      </c>
      <c r="O653" s="24">
        <f>'BoC Size'!E719</f>
        <v>5</v>
      </c>
      <c r="P653" s="24">
        <f>'TMT E DK'!E719</f>
        <v>11</v>
      </c>
      <c r="Q653" s="24">
        <f>Data!R719</f>
        <v>5</v>
      </c>
      <c r="R653" s="24">
        <f>Data!S719</f>
        <v>5</v>
      </c>
      <c r="S653" s="24">
        <f>'TMT E DK'!E719</f>
        <v>11</v>
      </c>
      <c r="T653" s="24">
        <f>'TMT E DD'!E719</f>
        <v>11</v>
      </c>
      <c r="U653" s="24">
        <f>TA!E719</f>
        <v>2313046000000</v>
      </c>
      <c r="V653" s="109">
        <f>PR!F719</f>
        <v>0.20123937532211486</v>
      </c>
      <c r="W653" s="109">
        <f>'Z Score'!I719</f>
        <v>1.1019871805402919</v>
      </c>
      <c r="X653" s="109">
        <f>'Z Score'!L719</f>
        <v>0.28145939164201661</v>
      </c>
      <c r="Y653" s="109">
        <f>'Z Score'!O719</f>
        <v>0.70682651361019189</v>
      </c>
      <c r="Z653" s="109">
        <f>'Z Score'!R719</f>
        <v>0.45658466196716657</v>
      </c>
      <c r="AA653" s="109">
        <f>'Z Score'!S719</f>
        <v>2.5468577477596668</v>
      </c>
    </row>
    <row r="654" spans="1:27" ht="15" customHeight="1" x14ac:dyDescent="0.3">
      <c r="A654" s="22"/>
      <c r="B654" s="23"/>
      <c r="C654" s="2"/>
      <c r="D654" s="23">
        <v>2017</v>
      </c>
      <c r="E654" s="25">
        <f>'Current Ratio'!G720</f>
        <v>1.6923421981815607</v>
      </c>
      <c r="F654" s="25">
        <f>'Cash Ratio'!G720</f>
        <v>0.37023551570541913</v>
      </c>
      <c r="G654" s="25">
        <f>DAR!G720</f>
        <v>0.68032711937359358</v>
      </c>
      <c r="H654" s="25">
        <f>DER!G720</f>
        <v>2.2502821538605287</v>
      </c>
      <c r="I654" s="25">
        <f>NPM!G720</f>
        <v>0.10116076194327986</v>
      </c>
      <c r="J654" s="25">
        <f>ROA!G720</f>
        <v>6.396349382283785E-2</v>
      </c>
      <c r="K654" s="25">
        <f>ROE!G720</f>
        <v>0.21156867711025271</v>
      </c>
      <c r="L654" s="25">
        <f>KM!E720</f>
        <v>0.42459999999999998</v>
      </c>
      <c r="M654" s="24">
        <f>KI!E720</f>
        <v>3</v>
      </c>
      <c r="N654" s="108">
        <f>IO!E720</f>
        <v>0</v>
      </c>
      <c r="O654" s="24">
        <f>'BoC Size'!E720</f>
        <v>5</v>
      </c>
      <c r="P654" s="24">
        <f>'TMT E DK'!E720</f>
        <v>11</v>
      </c>
      <c r="Q654" s="24">
        <f>Data!R720</f>
        <v>5</v>
      </c>
      <c r="R654" s="24">
        <f>Data!S720</f>
        <v>4</v>
      </c>
      <c r="S654" s="24">
        <f>'TMT E DK'!E720</f>
        <v>11</v>
      </c>
      <c r="T654" s="24">
        <f>'TMT E DD'!E720</f>
        <v>8</v>
      </c>
      <c r="U654" s="24">
        <f>TA!E720</f>
        <v>2690394000000</v>
      </c>
      <c r="V654" s="109">
        <f>PR!F720</f>
        <v>0.15850156260321729</v>
      </c>
      <c r="W654" s="109">
        <f>'Z Score'!I720</f>
        <v>0.64352953507924859</v>
      </c>
      <c r="X654" s="109">
        <f>'Z Score'!L720</f>
        <v>0.20317731157592531</v>
      </c>
      <c r="Y654" s="109">
        <f>'Z Score'!O720</f>
        <v>0.50563716689823124</v>
      </c>
      <c r="Z654" s="109">
        <f>'Z Score'!R720</f>
        <v>0.46660815320365312</v>
      </c>
      <c r="AA654" s="109">
        <f>'Z Score'!S720</f>
        <v>1.8189521667570583</v>
      </c>
    </row>
    <row r="655" spans="1:27" ht="15" customHeight="1" x14ac:dyDescent="0.3">
      <c r="A655" s="22"/>
      <c r="B655" s="23"/>
      <c r="C655" s="2"/>
      <c r="D655" s="23">
        <v>2018</v>
      </c>
      <c r="E655" s="25">
        <f>'Current Ratio'!G721</f>
        <v>1.7539977044540278</v>
      </c>
      <c r="F655" s="25">
        <f>'Cash Ratio'!G721</f>
        <v>0.24746765620298866</v>
      </c>
      <c r="G655" s="25">
        <f>DAR!G721</f>
        <v>0.66108106381819587</v>
      </c>
      <c r="H655" s="25">
        <f>DER!G721</f>
        <v>1.9505580634289972</v>
      </c>
      <c r="I655" s="25">
        <f>NPM!G721</f>
        <v>8.135687225383352E-2</v>
      </c>
      <c r="J655" s="25">
        <f>ROA!G721</f>
        <v>6.0183840588830924E-2</v>
      </c>
      <c r="K655" s="25">
        <f>ROE!G721</f>
        <v>0.17757591613750046</v>
      </c>
      <c r="L655" s="25">
        <f>KM!E721</f>
        <v>0.45669999999999999</v>
      </c>
      <c r="M655" s="24">
        <f>KI!E721</f>
        <v>3</v>
      </c>
      <c r="N655" s="108">
        <f>IO!E721</f>
        <v>0</v>
      </c>
      <c r="O655" s="24">
        <f>'BoC Size'!E721</f>
        <v>5</v>
      </c>
      <c r="P655" s="24">
        <f>'TMT E DK'!E721</f>
        <v>19</v>
      </c>
      <c r="Q655" s="24">
        <f>Data!R721</f>
        <v>5</v>
      </c>
      <c r="R655" s="24">
        <f>Data!S721</f>
        <v>6</v>
      </c>
      <c r="S655" s="24">
        <f>'TMT E DK'!E721</f>
        <v>19</v>
      </c>
      <c r="T655" s="24">
        <f>'TMT E DD'!E721</f>
        <v>11</v>
      </c>
      <c r="U655" s="24">
        <f>TA!E721</f>
        <v>2661545000000</v>
      </c>
      <c r="V655" s="109">
        <f>PR!F721</f>
        <v>0.15740004843856178</v>
      </c>
      <c r="W655" s="109">
        <f>'Z Score'!I721</f>
        <v>0.66708514039777644</v>
      </c>
      <c r="X655" s="109">
        <f>'Z Score'!L721</f>
        <v>0.73778009389283283</v>
      </c>
      <c r="Y655" s="109">
        <f>'Z Score'!O721</f>
        <v>0.52072491729427839</v>
      </c>
      <c r="Z655" s="109">
        <f>'Z Score'!R721</f>
        <v>0.53830748219519553</v>
      </c>
      <c r="AA655" s="109">
        <f>'Z Score'!S721</f>
        <v>2.4638976337800829</v>
      </c>
    </row>
    <row r="656" spans="1:27" ht="15" customHeight="1" x14ac:dyDescent="0.3">
      <c r="A656" s="22"/>
      <c r="B656" s="23"/>
      <c r="C656" s="2"/>
      <c r="D656" s="23">
        <v>2019</v>
      </c>
      <c r="E656" s="25">
        <f>'Current Ratio'!G722</f>
        <v>4.0338897726586254</v>
      </c>
      <c r="F656" s="25">
        <f>'Cash Ratio'!G722</f>
        <v>0.36267493606653106</v>
      </c>
      <c r="G656" s="25">
        <f>DAR!G722</f>
        <v>0.71189488075125773</v>
      </c>
      <c r="H656" s="25">
        <f>DER!G722</f>
        <v>2.4709553325799343</v>
      </c>
      <c r="I656" s="25">
        <f>NPM!G722</f>
        <v>4.1578238399659517E-2</v>
      </c>
      <c r="J656" s="25">
        <f>ROA!G722</f>
        <v>2.6281456564871915E-2</v>
      </c>
      <c r="K656" s="25">
        <f>ROE!G722</f>
        <v>9.1221761811810104E-2</v>
      </c>
      <c r="L656" s="25">
        <f>KM!E722</f>
        <v>0.43030000000000002</v>
      </c>
      <c r="M656" s="24">
        <f>KI!E722</f>
        <v>3</v>
      </c>
      <c r="N656" s="108">
        <f>IO!E722</f>
        <v>0</v>
      </c>
      <c r="O656" s="24">
        <f>'BoC Size'!E722</f>
        <v>5</v>
      </c>
      <c r="P656" s="24">
        <f>'TMT E DK'!E722</f>
        <v>11</v>
      </c>
      <c r="Q656" s="24">
        <f>Data!R722</f>
        <v>5</v>
      </c>
      <c r="R656" s="24">
        <f>Data!S722</f>
        <v>5</v>
      </c>
      <c r="S656" s="24">
        <f>'TMT E DK'!E722</f>
        <v>11</v>
      </c>
      <c r="T656" s="24">
        <f>'TMT E DD'!E722</f>
        <v>9</v>
      </c>
      <c r="U656" s="24">
        <f>TA!E722</f>
        <v>3040661000000</v>
      </c>
      <c r="V656" s="109">
        <f>PR!F722</f>
        <v>-2.3815558177462223E-2</v>
      </c>
      <c r="W656" s="109">
        <f>'Z Score'!I722</f>
        <v>1.625253456403065</v>
      </c>
      <c r="X656" s="109">
        <f>'Z Score'!L722</f>
        <v>0.60607272563432746</v>
      </c>
      <c r="Y656" s="109">
        <f>'Z Score'!O722</f>
        <v>0.14186946851358964</v>
      </c>
      <c r="Z656" s="109">
        <f>'Z Score'!R722</f>
        <v>0.42493685990822461</v>
      </c>
      <c r="AA656" s="109">
        <f>'Z Score'!S722</f>
        <v>2.7981325104592063</v>
      </c>
    </row>
    <row r="657" spans="1:27" ht="15" customHeight="1" x14ac:dyDescent="0.3">
      <c r="A657" s="22"/>
      <c r="B657" s="23"/>
      <c r="C657" s="2"/>
      <c r="D657" s="23">
        <v>2020</v>
      </c>
      <c r="E657" s="25">
        <f>'Current Ratio'!G723</f>
        <v>4.7921628954686453</v>
      </c>
      <c r="F657" s="25">
        <f>'Cash Ratio'!G723</f>
        <v>0.32358484984236197</v>
      </c>
      <c r="G657" s="25">
        <f>DAR!G723</f>
        <v>0.69732783622936756</v>
      </c>
      <c r="H657" s="25">
        <f>DER!G723</f>
        <v>2.3039047514055784</v>
      </c>
      <c r="I657" s="25">
        <f>NPM!G723</f>
        <v>4.3492502526836001E-2</v>
      </c>
      <c r="J657" s="25">
        <f>ROA!G723</f>
        <v>2.5341911769612795E-2</v>
      </c>
      <c r="K657" s="25">
        <f>ROE!G723</f>
        <v>8.3727262705324657E-2</v>
      </c>
      <c r="L657" s="25">
        <f>KM!E723</f>
        <v>0.43219999999999997</v>
      </c>
      <c r="M657" s="24">
        <f>KI!E723</f>
        <v>3</v>
      </c>
      <c r="N657" s="108">
        <f>IO!E723</f>
        <v>0</v>
      </c>
      <c r="O657" s="24">
        <f>'BoC Size'!E723</f>
        <v>5</v>
      </c>
      <c r="P657" s="24">
        <f>'TMT E DK'!E723</f>
        <v>14</v>
      </c>
      <c r="Q657" s="24">
        <f>Data!R723</f>
        <v>5</v>
      </c>
      <c r="R657" s="24">
        <f>Data!S723</f>
        <v>5</v>
      </c>
      <c r="S657" s="24">
        <f>'TMT E DK'!E723</f>
        <v>14</v>
      </c>
      <c r="T657" s="24">
        <f>'TMT E DD'!E723</f>
        <v>5</v>
      </c>
      <c r="U657" s="24">
        <f>TA!E723</f>
        <v>2996972000000</v>
      </c>
      <c r="V657" s="109">
        <f>PR!F723</f>
        <v>-9.1434351149407053E-2</v>
      </c>
      <c r="W657" s="109">
        <f>'Z Score'!I723</f>
        <v>1.9640652765524669</v>
      </c>
      <c r="X657" s="109">
        <f>'Z Score'!L723</f>
        <v>0.64325937646397757</v>
      </c>
      <c r="Y657" s="109">
        <f>'Z Score'!O723</f>
        <v>0.1597007112512229</v>
      </c>
      <c r="Z657" s="109">
        <f>'Z Score'!R723</f>
        <v>0.45574800753347572</v>
      </c>
      <c r="AA657" s="109">
        <f>'Z Score'!S723</f>
        <v>3.2227733718011433</v>
      </c>
    </row>
    <row r="658" spans="1:27" ht="15" customHeight="1" x14ac:dyDescent="0.3">
      <c r="A658" s="22"/>
      <c r="B658" s="23"/>
      <c r="C658" s="2"/>
      <c r="D658" s="23">
        <v>2021</v>
      </c>
      <c r="E658" s="25">
        <f>'Current Ratio'!G724</f>
        <v>5.1000407302697779</v>
      </c>
      <c r="F658" s="25">
        <f>'Cash Ratio'!G724</f>
        <v>0.34591179900011182</v>
      </c>
      <c r="G658" s="25">
        <f>DAR!G724</f>
        <v>0.69190908481637692</v>
      </c>
      <c r="H658" s="25">
        <f>DER!G724</f>
        <v>2.2457951556409808</v>
      </c>
      <c r="I658" s="25">
        <f>NPM!G724</f>
        <v>3.0428008766958559E-2</v>
      </c>
      <c r="J658" s="25">
        <f>ROA!G724</f>
        <v>2.4249855195026156E-2</v>
      </c>
      <c r="K658" s="25">
        <f>ROE!G724</f>
        <v>7.8710062517011167E-2</v>
      </c>
      <c r="L658" s="25">
        <f>KM!E724</f>
        <v>0.43219999999999997</v>
      </c>
      <c r="M658" s="24">
        <f>KI!E724</f>
        <v>3</v>
      </c>
      <c r="N658" s="108">
        <f>IO!E724</f>
        <v>0</v>
      </c>
      <c r="O658" s="24">
        <f>'BoC Size'!E724</f>
        <v>5</v>
      </c>
      <c r="P658" s="24">
        <f>'TMT E DK'!E724</f>
        <v>14</v>
      </c>
      <c r="Q658" s="24">
        <f>Data!R724</f>
        <v>5</v>
      </c>
      <c r="R658" s="24">
        <f>Data!S724</f>
        <v>5</v>
      </c>
      <c r="S658" s="24">
        <f>'TMT E DK'!E724</f>
        <v>14</v>
      </c>
      <c r="T658" s="24">
        <f>'TMT E DD'!E724</f>
        <v>5</v>
      </c>
      <c r="U658" s="24">
        <f>TA!E724</f>
        <v>3088637000000</v>
      </c>
      <c r="V658" s="109">
        <f>PR!F724</f>
        <v>0.40959653658829898</v>
      </c>
      <c r="W658" s="109">
        <f>'Z Score'!I724</f>
        <v>2.1807607692325126</v>
      </c>
      <c r="X658" s="109">
        <f>'Z Score'!L724</f>
        <v>0.65259381403512295</v>
      </c>
      <c r="Y658" s="109">
        <f>'Z Score'!O724</f>
        <v>0.16341810319568145</v>
      </c>
      <c r="Z658" s="109">
        <f>'Z Score'!R724</f>
        <v>0.46754041541260499</v>
      </c>
      <c r="AA658" s="109">
        <f>'Z Score'!S724</f>
        <v>3.4643131018759217</v>
      </c>
    </row>
    <row r="659" spans="1:27" ht="15" customHeight="1" x14ac:dyDescent="0.3">
      <c r="A659" s="22"/>
      <c r="B659" s="23"/>
      <c r="C659" s="2"/>
      <c r="D659" s="23">
        <v>2022</v>
      </c>
      <c r="E659" s="25">
        <f>'Current Ratio'!G725</f>
        <v>2.4200856283048062</v>
      </c>
      <c r="F659" s="25">
        <f>'Cash Ratio'!G725</f>
        <v>0.55979266938171046</v>
      </c>
      <c r="G659" s="25">
        <f>DAR!G725</f>
        <v>0.71753309216117245</v>
      </c>
      <c r="H659" s="25">
        <f>DER!G725</f>
        <v>2.5402377136885312</v>
      </c>
      <c r="I659" s="25">
        <f>NPM!G725</f>
        <v>2.8516575771385777E-2</v>
      </c>
      <c r="J659" s="25">
        <f>ROA!G725</f>
        <v>2.6684986962563106E-2</v>
      </c>
      <c r="K659" s="25">
        <f>ROE!G725</f>
        <v>9.4471197234152676E-2</v>
      </c>
      <c r="L659" s="25">
        <f>KM!E725</f>
        <v>0.4456</v>
      </c>
      <c r="M659" s="24">
        <f>KI!E725</f>
        <v>3</v>
      </c>
      <c r="N659" s="108">
        <f>IO!E725</f>
        <v>0</v>
      </c>
      <c r="O659" s="24">
        <f>'BoC Size'!E725</f>
        <v>4</v>
      </c>
      <c r="P659" s="24">
        <f>'TMT E DK'!E725</f>
        <v>11</v>
      </c>
      <c r="Q659" s="24">
        <f>Data!R725</f>
        <v>4</v>
      </c>
      <c r="R659" s="24">
        <f>Data!S725</f>
        <v>5</v>
      </c>
      <c r="S659" s="24">
        <f>'TMT E DK'!E725</f>
        <v>11</v>
      </c>
      <c r="T659" s="24">
        <f>'TMT E DD'!E725</f>
        <v>5</v>
      </c>
      <c r="U659" s="24">
        <f>TA!E725</f>
        <v>3550161000000</v>
      </c>
      <c r="V659" s="109">
        <f>PR!F725</f>
        <v>0.34963142617453075</v>
      </c>
      <c r="W659" s="109">
        <f>'Z Score'!I725</f>
        <v>1.3820683399992282</v>
      </c>
      <c r="X659" s="109">
        <f>'Z Score'!L725</f>
        <v>0.60732055813806751</v>
      </c>
      <c r="Y659" s="109">
        <f>'Z Score'!O725</f>
        <v>0.18042854957845572</v>
      </c>
      <c r="Z659" s="109">
        <f>'Z Score'!R725</f>
        <v>0.4133471424118636</v>
      </c>
      <c r="AA659" s="109">
        <f>'Z Score'!S725</f>
        <v>2.5831645901276148</v>
      </c>
    </row>
    <row r="660" spans="1:27" ht="15" customHeight="1" x14ac:dyDescent="0.3">
      <c r="A660" s="22"/>
      <c r="B660" s="23"/>
      <c r="C660" s="2"/>
      <c r="D660" s="23">
        <v>2023</v>
      </c>
      <c r="E660" s="25">
        <f>'Current Ratio'!G726</f>
        <v>4.5144908154638381</v>
      </c>
      <c r="F660" s="25">
        <f>'Cash Ratio'!G726</f>
        <v>0.73170394281761586</v>
      </c>
      <c r="G660" s="25">
        <f>DAR!G726</f>
        <v>0.72013069475602831</v>
      </c>
      <c r="H660" s="25">
        <f>DER!G726</f>
        <v>2.5730963748534892</v>
      </c>
      <c r="I660" s="25">
        <f>NPM!G726</f>
        <v>3.6817435607132749E-2</v>
      </c>
      <c r="J660" s="25">
        <f>ROA!G726</f>
        <v>3.3677201040276404E-2</v>
      </c>
      <c r="K660" s="25">
        <f>ROE!G726</f>
        <v>0.12033188495222377</v>
      </c>
      <c r="L660" s="25">
        <f>KM!E726</f>
        <v>0.45679999999999998</v>
      </c>
      <c r="M660" s="24">
        <f>KI!E726</f>
        <v>3</v>
      </c>
      <c r="N660" s="108">
        <f>IO!E726</f>
        <v>0</v>
      </c>
      <c r="O660" s="24">
        <f>'BoC Size'!E726</f>
        <v>5</v>
      </c>
      <c r="P660" s="24">
        <f>'TMT E DK'!E726</f>
        <v>16</v>
      </c>
      <c r="Q660" s="24">
        <f>Data!R726</f>
        <v>5</v>
      </c>
      <c r="R660" s="24">
        <f>Data!S726</f>
        <v>5</v>
      </c>
      <c r="S660" s="24">
        <f>'TMT E DK'!E726</f>
        <v>16</v>
      </c>
      <c r="T660" s="24">
        <f>'TMT E DD'!E726</f>
        <v>5</v>
      </c>
      <c r="U660" s="24">
        <f>TA!E726</f>
        <v>3862435000000</v>
      </c>
      <c r="V660" s="109">
        <f>PR!F726</f>
        <v>6.3471776307907735E-2</v>
      </c>
      <c r="W660" s="109">
        <f>'Z Score'!I726</f>
        <v>1.9415820745203478</v>
      </c>
      <c r="X660" s="109">
        <f>'Z Score'!L726</f>
        <v>0.60431077804545574</v>
      </c>
      <c r="Y660" s="109">
        <f>'Z Score'!O726</f>
        <v>0.19083555321966583</v>
      </c>
      <c r="Z660" s="109">
        <f>'Z Score'!R726</f>
        <v>0.40806866398845498</v>
      </c>
      <c r="AA660" s="109">
        <f>'Z Score'!S726</f>
        <v>3.1447970697739245</v>
      </c>
    </row>
    <row r="661" spans="1:27" ht="15" customHeight="1" x14ac:dyDescent="0.3">
      <c r="A661" s="22"/>
      <c r="B661" s="23"/>
      <c r="C661" s="2"/>
      <c r="D661" s="23">
        <v>2024</v>
      </c>
      <c r="E661" s="25">
        <f>'Current Ratio'!G727</f>
        <v>0</v>
      </c>
      <c r="F661" s="25">
        <f>'Cash Ratio'!G727</f>
        <v>0</v>
      </c>
      <c r="G661" s="25">
        <f>DAR!G727</f>
        <v>0</v>
      </c>
      <c r="H661" s="25">
        <f>DER!G727</f>
        <v>0</v>
      </c>
      <c r="I661" s="25">
        <f>NPM!G727</f>
        <v>0</v>
      </c>
      <c r="J661" s="25">
        <f>ROA!G727</f>
        <v>0</v>
      </c>
      <c r="K661" s="25">
        <f>ROE!G727</f>
        <v>0</v>
      </c>
      <c r="L661" s="25">
        <f>KM!E727</f>
        <v>0</v>
      </c>
      <c r="M661" s="24">
        <f>KI!E727</f>
        <v>0</v>
      </c>
      <c r="N661" s="108">
        <f>IO!E727</f>
        <v>0</v>
      </c>
      <c r="O661" s="24">
        <f>'BoC Size'!E727</f>
        <v>0</v>
      </c>
      <c r="P661" s="24">
        <f>'TMT E DK'!E727</f>
        <v>0</v>
      </c>
      <c r="Q661" s="24">
        <f>Data!R727</f>
        <v>0</v>
      </c>
      <c r="R661" s="24">
        <f>Data!S727</f>
        <v>0</v>
      </c>
      <c r="S661" s="24">
        <f>'TMT E DK'!E727</f>
        <v>0</v>
      </c>
      <c r="T661" s="24">
        <f>'TMT E DD'!E727</f>
        <v>0</v>
      </c>
      <c r="U661" s="24">
        <f>TA!E727</f>
        <v>0</v>
      </c>
      <c r="V661" s="109">
        <f>PR!F727</f>
        <v>-1</v>
      </c>
      <c r="W661" s="109">
        <f>'Z Score'!I727</f>
        <v>0</v>
      </c>
      <c r="X661" s="109">
        <f>'Z Score'!L727</f>
        <v>0</v>
      </c>
      <c r="Y661" s="109">
        <f>'Z Score'!O727</f>
        <v>0</v>
      </c>
      <c r="Z661" s="109">
        <f>'Z Score'!R727</f>
        <v>0</v>
      </c>
      <c r="AA661" s="109">
        <f>'Z Score'!S727</f>
        <v>0</v>
      </c>
    </row>
    <row r="662" spans="1:27" ht="15" customHeight="1" x14ac:dyDescent="0.3">
      <c r="A662" s="22"/>
      <c r="B662" s="23">
        <v>67</v>
      </c>
      <c r="C662" s="2" t="s">
        <v>68</v>
      </c>
      <c r="D662" s="23">
        <v>2015</v>
      </c>
      <c r="E662" s="25">
        <f>'Current Ratio'!G729</f>
        <v>1.1678587460721233</v>
      </c>
      <c r="F662" s="25">
        <f>'Cash Ratio'!G729</f>
        <v>0.14852611102798144</v>
      </c>
      <c r="G662" s="25">
        <f>DAR!G729</f>
        <v>0.41454008233367268</v>
      </c>
      <c r="H662" s="25">
        <f>DER!G729</f>
        <v>0.70805886077743863</v>
      </c>
      <c r="I662" s="25">
        <f>NPM!G729</f>
        <v>9.992816510377231E-2</v>
      </c>
      <c r="J662" s="25">
        <f>ROA!G729</f>
        <v>2.9840967990677234E-2</v>
      </c>
      <c r="K662" s="25">
        <f>ROE!G729</f>
        <v>4.8644255214584771E-2</v>
      </c>
      <c r="L662" s="25">
        <f>KM!E729</f>
        <v>0</v>
      </c>
      <c r="M662" s="24">
        <f>KI!E729</f>
        <v>0</v>
      </c>
      <c r="N662" s="108">
        <f>IO!E729</f>
        <v>0</v>
      </c>
      <c r="O662" s="24">
        <f>'BoC Size'!E729</f>
        <v>0</v>
      </c>
      <c r="P662" s="24">
        <f>'TMT E DK'!E729</f>
        <v>0</v>
      </c>
      <c r="Q662" s="24">
        <f>Data!R729</f>
        <v>0</v>
      </c>
      <c r="R662" s="24">
        <f>Data!S729</f>
        <v>0</v>
      </c>
      <c r="S662" s="24">
        <f>'TMT E DK'!E729</f>
        <v>0</v>
      </c>
      <c r="T662" s="24">
        <f>'TMT E DD'!E729</f>
        <v>0</v>
      </c>
      <c r="U662" s="24">
        <f>TA!E729</f>
        <v>180728000000</v>
      </c>
      <c r="V662" s="109">
        <f>PR!F729</f>
        <v>0.31254778043932524</v>
      </c>
      <c r="W662" s="109">
        <f>'Z Score'!I729</f>
        <v>0.20359346642468237</v>
      </c>
      <c r="X662" s="109">
        <f>'Z Score'!L729</f>
        <v>0.55997653932982161</v>
      </c>
      <c r="Y662" s="109">
        <f>'Z Score'!O729</f>
        <v>0.22120136337479526</v>
      </c>
      <c r="Z662" s="109">
        <f>'Z Score'!R729</f>
        <v>1.4829275617667079</v>
      </c>
      <c r="AA662" s="109">
        <f>'Z Score'!S729</f>
        <v>2.4676989308960069</v>
      </c>
    </row>
    <row r="663" spans="1:27" ht="15" customHeight="1" x14ac:dyDescent="0.3">
      <c r="A663" s="22"/>
      <c r="B663" s="23"/>
      <c r="C663" s="2"/>
      <c r="D663" s="23">
        <v>2016</v>
      </c>
      <c r="E663" s="25">
        <f>'Current Ratio'!G730</f>
        <v>1.6209425254543723</v>
      </c>
      <c r="F663" s="25">
        <f>'Cash Ratio'!G730</f>
        <v>0.25121324578932341</v>
      </c>
      <c r="G663" s="25">
        <f>DAR!G730</f>
        <v>0.3513082600402363</v>
      </c>
      <c r="H663" s="25">
        <f>DER!G730</f>
        <v>0.54156909711670809</v>
      </c>
      <c r="I663" s="25">
        <f>NPM!G730</f>
        <v>0.14552774374234204</v>
      </c>
      <c r="J663" s="25">
        <f>ROA!G730</f>
        <v>0</v>
      </c>
      <c r="K663" s="25">
        <f>ROE!G730</f>
        <v>7.430777755930143E-2</v>
      </c>
      <c r="L663" s="25">
        <f>KM!E730</f>
        <v>0.58109999999999995</v>
      </c>
      <c r="M663" s="24">
        <f>KI!E730</f>
        <v>2</v>
      </c>
      <c r="N663" s="108">
        <f>IO!E730</f>
        <v>0.04</v>
      </c>
      <c r="O663" s="24">
        <f>'BoC Size'!E730</f>
        <v>4</v>
      </c>
      <c r="P663" s="24">
        <f>'TMT E DK'!E730</f>
        <v>16</v>
      </c>
      <c r="Q663" s="24">
        <f>Data!R730</f>
        <v>4</v>
      </c>
      <c r="R663" s="24">
        <f>Data!S730</f>
        <v>4</v>
      </c>
      <c r="S663" s="24">
        <f>'TMT E DK'!E730</f>
        <v>16</v>
      </c>
      <c r="T663" s="24">
        <f>'TMT E DD'!E730</f>
        <v>8</v>
      </c>
      <c r="U663" s="24">
        <f>TA!E730</f>
        <v>172481000000</v>
      </c>
      <c r="V663" s="109">
        <f>PR!F730</f>
        <v>0.10916962742928146</v>
      </c>
      <c r="W663" s="109">
        <f>'Z Score'!I730</f>
        <v>0.49636982160353887</v>
      </c>
      <c r="X663" s="109">
        <f>'Z Score'!L730</f>
        <v>0.64589131556519264</v>
      </c>
      <c r="Y663" s="109">
        <f>'Z Score'!O730</f>
        <v>0.29294635351140125</v>
      </c>
      <c r="Z663" s="109">
        <f>'Z Score'!R730</f>
        <v>1.9388107733438955</v>
      </c>
      <c r="AA663" s="109">
        <f>'Z Score'!S730</f>
        <v>3.3740182640240279</v>
      </c>
    </row>
    <row r="664" spans="1:27" ht="15" customHeight="1" x14ac:dyDescent="0.3">
      <c r="A664" s="22"/>
      <c r="B664" s="23"/>
      <c r="C664" s="2"/>
      <c r="D664" s="23">
        <v>2017</v>
      </c>
      <c r="E664" s="25">
        <f>'Current Ratio'!G731</f>
        <v>3.2297286839797268</v>
      </c>
      <c r="F664" s="25">
        <f>'Cash Ratio'!G731</f>
        <v>0.35582897067458047</v>
      </c>
      <c r="G664" s="25">
        <f>DAR!G731</f>
        <v>0.34991366338321794</v>
      </c>
      <c r="H664" s="25">
        <f>DER!G731</f>
        <v>0.53825721857847286</v>
      </c>
      <c r="I664" s="25">
        <f>NPM!G731</f>
        <v>7.1171147759465078E-2</v>
      </c>
      <c r="J664" s="25">
        <f>ROA!G731</f>
        <v>2.4081373797167273E-2</v>
      </c>
      <c r="K664" s="25">
        <f>ROE!G731</f>
        <v>3.7043347076779046E-2</v>
      </c>
      <c r="L664" s="25">
        <f>KM!E731</f>
        <v>0.58109999999999995</v>
      </c>
      <c r="M664" s="24">
        <f>KI!E731</f>
        <v>2</v>
      </c>
      <c r="N664" s="108">
        <f>IO!E731</f>
        <v>0.04</v>
      </c>
      <c r="O664" s="24">
        <f>'BoC Size'!E731</f>
        <v>4</v>
      </c>
      <c r="P664" s="24">
        <f>'TMT E DK'!E731</f>
        <v>16</v>
      </c>
      <c r="Q664" s="24">
        <f>Data!R731</f>
        <v>4</v>
      </c>
      <c r="R664" s="24">
        <f>Data!S731</f>
        <v>5</v>
      </c>
      <c r="S664" s="24">
        <f>'TMT E DK'!E731</f>
        <v>16</v>
      </c>
      <c r="T664" s="24">
        <f>'TMT E DD'!E731</f>
        <v>11</v>
      </c>
      <c r="U664" s="24">
        <f>TA!E731</f>
        <v>171728990000</v>
      </c>
      <c r="V664" s="109">
        <f>PR!F731</f>
        <v>1.7083668825485735E-2</v>
      </c>
      <c r="W664" s="109">
        <f>'Z Score'!I731</f>
        <v>1.3868298975030362</v>
      </c>
      <c r="X664" s="109">
        <f>'Z Score'!L731</f>
        <v>0.66369058479875753</v>
      </c>
      <c r="Y664" s="109">
        <f>'Z Score'!O731</f>
        <v>0.23939979382630736</v>
      </c>
      <c r="Z664" s="109">
        <f>'Z Score'!R731</f>
        <v>1.9507402107361054</v>
      </c>
      <c r="AA664" s="109">
        <f>'Z Score'!S731</f>
        <v>4.2406604868642068</v>
      </c>
    </row>
    <row r="665" spans="1:27" ht="15" customHeight="1" x14ac:dyDescent="0.3">
      <c r="A665" s="22"/>
      <c r="B665" s="23"/>
      <c r="C665" s="2"/>
      <c r="D665" s="23">
        <v>2018</v>
      </c>
      <c r="E665" s="25">
        <f>'Current Ratio'!G732</f>
        <v>2.8454675478481191</v>
      </c>
      <c r="F665" s="25">
        <f>'Cash Ratio'!G732</f>
        <v>0.39856445815370811</v>
      </c>
      <c r="G665" s="25">
        <f>DAR!G732</f>
        <v>0.34317213670885038</v>
      </c>
      <c r="H665" s="25">
        <f>DER!G732</f>
        <v>0.52246890835191895</v>
      </c>
      <c r="I665" s="25">
        <f>NPM!G732</f>
        <v>7.3581463769985908E-2</v>
      </c>
      <c r="J665" s="25">
        <f>ROA!G732</f>
        <v>2.5583680970234803E-2</v>
      </c>
      <c r="K665" s="25">
        <f>ROE!G732</f>
        <v>3.8950358838377143E-2</v>
      </c>
      <c r="L665" s="25">
        <f>KM!E732</f>
        <v>0</v>
      </c>
      <c r="M665" s="24">
        <f>KI!E732</f>
        <v>0</v>
      </c>
      <c r="N665" s="108">
        <f>IO!E732</f>
        <v>0</v>
      </c>
      <c r="O665" s="24">
        <f>'BoC Size'!E732</f>
        <v>0</v>
      </c>
      <c r="P665" s="24">
        <f>'TMT E DK'!E732</f>
        <v>0</v>
      </c>
      <c r="Q665" s="24">
        <f>Data!R732</f>
        <v>0</v>
      </c>
      <c r="R665" s="24">
        <f>Data!S732</f>
        <v>0</v>
      </c>
      <c r="S665" s="24">
        <f>'TMT E DK'!E732</f>
        <v>0</v>
      </c>
      <c r="T665" s="24">
        <f>'TMT E DD'!E732</f>
        <v>0</v>
      </c>
      <c r="U665" s="24">
        <f>TA!E732</f>
        <v>171191550000</v>
      </c>
      <c r="V665" s="109">
        <f>PR!F732</f>
        <v>2.4368055685825164E-2</v>
      </c>
      <c r="W665" s="109">
        <f>'Z Score'!I732</f>
        <v>1.2593338584760754</v>
      </c>
      <c r="X665" s="109">
        <f>'Z Score'!L732</f>
        <v>0.69575185457459787</v>
      </c>
      <c r="Y665" s="109">
        <f>'Z Score'!O732</f>
        <v>0.23754723875097805</v>
      </c>
      <c r="Z665" s="109">
        <f>'Z Score'!R732</f>
        <v>2.0096889656307595</v>
      </c>
      <c r="AA665" s="109">
        <f>'Z Score'!S732</f>
        <v>4.2023219174324105</v>
      </c>
    </row>
    <row r="666" spans="1:27" ht="15" customHeight="1" x14ac:dyDescent="0.3">
      <c r="A666" s="22"/>
      <c r="B666" s="23"/>
      <c r="C666" s="2"/>
      <c r="D666" s="23">
        <v>2019</v>
      </c>
      <c r="E666" s="25">
        <f>'Current Ratio'!G733</f>
        <v>2.7006078874792152</v>
      </c>
      <c r="F666" s="25">
        <f>'Cash Ratio'!G733</f>
        <v>0.20143516566553685</v>
      </c>
      <c r="G666" s="25">
        <f>DAR!G733</f>
        <v>0.38713306248474821</v>
      </c>
      <c r="H666" s="25">
        <f>DER!G733</f>
        <v>0.63167560964396663</v>
      </c>
      <c r="I666" s="25">
        <f>NPM!G733</f>
        <v>7.4436172362750505E-2</v>
      </c>
      <c r="J666" s="25">
        <f>ROA!G733</f>
        <v>2.9254910215148432E-2</v>
      </c>
      <c r="K666" s="25">
        <f>ROE!G733</f>
        <v>4.77345260222031E-2</v>
      </c>
      <c r="L666" s="25">
        <f>KM!E733</f>
        <v>0.58109999999999995</v>
      </c>
      <c r="M666" s="24">
        <f>KI!E733</f>
        <v>2</v>
      </c>
      <c r="N666" s="108">
        <f>IO!E733</f>
        <v>0.04</v>
      </c>
      <c r="O666" s="24">
        <f>'BoC Size'!E733</f>
        <v>4</v>
      </c>
      <c r="P666" s="24">
        <f>'TMT E DK'!E733</f>
        <v>11</v>
      </c>
      <c r="Q666" s="24">
        <f>Data!R733</f>
        <v>4</v>
      </c>
      <c r="R666" s="24">
        <f>Data!S733</f>
        <v>5</v>
      </c>
      <c r="S666" s="24">
        <f>'TMT E DK'!E733</f>
        <v>11</v>
      </c>
      <c r="T666" s="24">
        <f>'TMT E DD'!E733</f>
        <v>11</v>
      </c>
      <c r="U666" s="24">
        <f>TA!E733</f>
        <v>186330430000</v>
      </c>
      <c r="V666" s="109">
        <f>PR!F733</f>
        <v>0.23032993559347548</v>
      </c>
      <c r="W666" s="109">
        <f>'Z Score'!I733</f>
        <v>1.3121106885225347</v>
      </c>
      <c r="X666" s="109">
        <f>'Z Score'!L733</f>
        <v>0.69075536722584707</v>
      </c>
      <c r="Y666" s="109">
        <f>'Z Score'!O733</f>
        <v>0.29583511828958908</v>
      </c>
      <c r="Z666" s="109">
        <f>'Z Score'!R733</f>
        <v>1.6622455956338331</v>
      </c>
      <c r="AA666" s="109">
        <f>'Z Score'!S733</f>
        <v>3.9609467696718044</v>
      </c>
    </row>
    <row r="667" spans="1:27" ht="15" customHeight="1" x14ac:dyDescent="0.3">
      <c r="A667" s="22"/>
      <c r="B667" s="23"/>
      <c r="C667" s="2"/>
      <c r="D667" s="23">
        <v>2020</v>
      </c>
      <c r="E667" s="25">
        <f>'Current Ratio'!G734</f>
        <v>3.0417073916175039</v>
      </c>
      <c r="F667" s="25">
        <f>'Cash Ratio'!G734</f>
        <v>0.20387195853017367</v>
      </c>
      <c r="G667" s="25">
        <f>DAR!G734</f>
        <v>0.43557137739965102</v>
      </c>
      <c r="H667" s="25">
        <f>DER!G734</f>
        <v>0.77170320561163841</v>
      </c>
      <c r="I667" s="25">
        <f>NPM!G734</f>
        <v>0.11500801499480712</v>
      </c>
      <c r="J667" s="25">
        <f>ROA!G734</f>
        <v>4.0111619403607607E-2</v>
      </c>
      <c r="K667" s="25">
        <f>ROE!G734</f>
        <v>7.10658846796456E-2</v>
      </c>
      <c r="L667" s="25">
        <f>KM!E734</f>
        <v>0.58109999999999995</v>
      </c>
      <c r="M667" s="24">
        <f>KI!E734</f>
        <v>2</v>
      </c>
      <c r="N667" s="108">
        <f>IO!E734</f>
        <v>0.04</v>
      </c>
      <c r="O667" s="24">
        <f>'BoC Size'!E734</f>
        <v>4</v>
      </c>
      <c r="P667" s="24">
        <f>'TMT E DK'!E734</f>
        <v>11</v>
      </c>
      <c r="Q667" s="24">
        <f>Data!R734</f>
        <v>4</v>
      </c>
      <c r="R667" s="24">
        <f>Data!S734</f>
        <v>5</v>
      </c>
      <c r="S667" s="24">
        <f>'TMT E DK'!E734</f>
        <v>11</v>
      </c>
      <c r="T667" s="24">
        <f>'TMT E DD'!E734</f>
        <v>11</v>
      </c>
      <c r="U667" s="24">
        <f>TA!E734</f>
        <v>211221340000</v>
      </c>
      <c r="V667" s="109">
        <f>PR!F734</f>
        <v>5.9614974956166463E-3</v>
      </c>
      <c r="W667" s="109">
        <f>'Z Score'!I734</f>
        <v>1.4253377693750071</v>
      </c>
      <c r="X667" s="109">
        <f>'Z Score'!L734</f>
        <v>0.67187908286160858</v>
      </c>
      <c r="Y667" s="109">
        <f>'Z Score'!O734</f>
        <v>0.28685392489224809</v>
      </c>
      <c r="Z667" s="109">
        <f>'Z Score'!R734</f>
        <v>1.3606267181017973</v>
      </c>
      <c r="AA667" s="109">
        <f>'Z Score'!S734</f>
        <v>3.7446974952306613</v>
      </c>
    </row>
    <row r="668" spans="1:27" ht="15" customHeight="1" x14ac:dyDescent="0.3">
      <c r="A668" s="22"/>
      <c r="B668" s="23"/>
      <c r="C668" s="2"/>
      <c r="D668" s="23">
        <v>2021</v>
      </c>
      <c r="E668" s="25">
        <f>'Current Ratio'!G735</f>
        <v>2.5236219223620018</v>
      </c>
      <c r="F668" s="25">
        <f>'Cash Ratio'!G735</f>
        <v>0.2416480047030263</v>
      </c>
      <c r="G668" s="25">
        <f>DAR!G735</f>
        <v>0.39032380819161738</v>
      </c>
      <c r="H668" s="25">
        <f>DER!G735</f>
        <v>0.64021494267943091</v>
      </c>
      <c r="I668" s="25">
        <f>NPM!G735</f>
        <v>0.12694457204341444</v>
      </c>
      <c r="J668" s="25">
        <f>ROA!G735</f>
        <v>3.9240423756226515E-2</v>
      </c>
      <c r="K668" s="25">
        <f>ROE!G735</f>
        <v>6.4362729402035662E-2</v>
      </c>
      <c r="L668" s="25">
        <f>KM!E735</f>
        <v>0.58109999999999995</v>
      </c>
      <c r="M668" s="24">
        <f>KI!E735</f>
        <v>2</v>
      </c>
      <c r="N668" s="108">
        <f>IO!E735</f>
        <v>0.04</v>
      </c>
      <c r="O668" s="24">
        <f>'BoC Size'!E735</f>
        <v>4</v>
      </c>
      <c r="P668" s="24">
        <f>'TMT E DK'!E735</f>
        <v>11</v>
      </c>
      <c r="Q668" s="24">
        <f>Data!R735</f>
        <v>4</v>
      </c>
      <c r="R668" s="24">
        <f>Data!S735</f>
        <v>5</v>
      </c>
      <c r="S668" s="24">
        <f>'TMT E DK'!E735</f>
        <v>11</v>
      </c>
      <c r="T668" s="24">
        <f>'TMT E DD'!E735</f>
        <v>15</v>
      </c>
      <c r="U668" s="24">
        <f>TA!E735</f>
        <v>208178180000</v>
      </c>
      <c r="V668" s="109">
        <f>PR!F735</f>
        <v>-0.12647592576278194</v>
      </c>
      <c r="W668" s="109">
        <f>'Z Score'!I735</f>
        <v>1.1352022003458764</v>
      </c>
      <c r="X668" s="109">
        <f>'Z Score'!L735</f>
        <v>0.70592567578408072</v>
      </c>
      <c r="Y668" s="109">
        <f>'Z Score'!O735</f>
        <v>0.29114917615285135</v>
      </c>
      <c r="Z668" s="109">
        <f>'Z Score'!R735</f>
        <v>1.6400741844692575</v>
      </c>
      <c r="AA668" s="109">
        <f>'Z Score'!S735</f>
        <v>3.772351236752066</v>
      </c>
    </row>
    <row r="669" spans="1:27" ht="15" customHeight="1" x14ac:dyDescent="0.3">
      <c r="A669" s="22"/>
      <c r="B669" s="23"/>
      <c r="C669" s="2"/>
      <c r="D669" s="23">
        <v>2022</v>
      </c>
      <c r="E669" s="25">
        <f>'Current Ratio'!G736</f>
        <v>2.7352334664963043</v>
      </c>
      <c r="F669" s="25">
        <f>'Cash Ratio'!G736</f>
        <v>0.35175939798770511</v>
      </c>
      <c r="G669" s="25">
        <f>DAR!G736</f>
        <v>0.43718555778929974</v>
      </c>
      <c r="H669" s="25">
        <f>DER!G736</f>
        <v>0.77678454033990652</v>
      </c>
      <c r="I669" s="25">
        <f>NPM!G736</f>
        <v>7.8283381883824346E-2</v>
      </c>
      <c r="J669" s="25">
        <f>ROA!G736</f>
        <v>3.1614296731162353E-2</v>
      </c>
      <c r="K669" s="25">
        <f>ROE!G736</f>
        <v>5.6171793685647703E-2</v>
      </c>
      <c r="L669" s="25">
        <f>KM!E736</f>
        <v>0.58109999999999995</v>
      </c>
      <c r="M669" s="24">
        <f>KI!E736</f>
        <v>2</v>
      </c>
      <c r="N669" s="108">
        <f>IO!E736</f>
        <v>0.04</v>
      </c>
      <c r="O669" s="24">
        <f>'BoC Size'!E736</f>
        <v>4</v>
      </c>
      <c r="P669" s="24">
        <f>'TMT E DK'!E736</f>
        <v>11</v>
      </c>
      <c r="Q669" s="24">
        <f>Data!R736</f>
        <v>4</v>
      </c>
      <c r="R669" s="24">
        <f>Data!S736</f>
        <v>5</v>
      </c>
      <c r="S669" s="24">
        <f>'TMT E DK'!E736</f>
        <v>11</v>
      </c>
      <c r="T669" s="24">
        <f>'TMT E DD'!E736</f>
        <v>13</v>
      </c>
      <c r="U669" s="24">
        <f>TA!E736</f>
        <v>217432640000</v>
      </c>
      <c r="V669" s="109">
        <f>PR!F736</f>
        <v>0.36453262828254823</v>
      </c>
      <c r="W669" s="109">
        <f>'Z Score'!I736</f>
        <v>1.4242358534578798</v>
      </c>
      <c r="X669" s="109">
        <f>'Z Score'!L736</f>
        <v>0.71205283990480917</v>
      </c>
      <c r="Y669" s="109">
        <f>'Z Score'!O736</f>
        <v>0.28644320558311759</v>
      </c>
      <c r="Z669" s="109">
        <f>'Z Score'!R736</f>
        <v>1.3517261807766405</v>
      </c>
      <c r="AA669" s="109">
        <f>'Z Score'!S736</f>
        <v>3.774458079722447</v>
      </c>
    </row>
    <row r="670" spans="1:27" ht="15" customHeight="1" x14ac:dyDescent="0.3">
      <c r="A670" s="22"/>
      <c r="B670" s="23"/>
      <c r="C670" s="2"/>
      <c r="D670" s="23">
        <v>2023</v>
      </c>
      <c r="E670" s="25">
        <f>'Current Ratio'!G737</f>
        <v>6.2787208040960207</v>
      </c>
      <c r="F670" s="25">
        <f>'Cash Ratio'!G737</f>
        <v>0.23811252754377327</v>
      </c>
      <c r="G670" s="25">
        <f>DAR!G737</f>
        <v>0.68736079501484504</v>
      </c>
      <c r="H670" s="25">
        <f>DER!G737</f>
        <v>2.1985751756485019</v>
      </c>
      <c r="I670" s="25">
        <f>NPM!G737</f>
        <v>5.5094687223083222E-2</v>
      </c>
      <c r="J670" s="25">
        <f>ROA!G737</f>
        <v>1.1826703530242462E-2</v>
      </c>
      <c r="K670" s="25">
        <f>ROE!G737</f>
        <v>3.7828600321588045E-2</v>
      </c>
      <c r="L670" s="25">
        <f>KM!E737</f>
        <v>0.58530000000000004</v>
      </c>
      <c r="M670" s="24">
        <f>KI!E737</f>
        <v>2</v>
      </c>
      <c r="N670" s="108">
        <f>IO!E737</f>
        <v>0.04</v>
      </c>
      <c r="O670" s="24">
        <f>'BoC Size'!E737</f>
        <v>4</v>
      </c>
      <c r="P670" s="24">
        <f>'TMT E DK'!E737</f>
        <v>11</v>
      </c>
      <c r="Q670" s="24">
        <f>Data!R737</f>
        <v>4</v>
      </c>
      <c r="R670" s="24">
        <f>Data!S737</f>
        <v>5</v>
      </c>
      <c r="S670" s="24">
        <f>'TMT E DK'!E737</f>
        <v>11</v>
      </c>
      <c r="T670" s="24">
        <f>'TMT E DD'!E737</f>
        <v>13</v>
      </c>
      <c r="U670" s="24">
        <f>TA!E737</f>
        <v>408529730000</v>
      </c>
      <c r="V670" s="109">
        <f>PR!F737</f>
        <v>-1.2909848690788055E-3</v>
      </c>
      <c r="W670" s="109">
        <f>'Z Score'!I737</f>
        <v>3.4201570867314848</v>
      </c>
      <c r="X670" s="109">
        <f>'Z Score'!L737</f>
        <v>0.35968278147100818</v>
      </c>
      <c r="Y670" s="109">
        <f>'Z Score'!O737</f>
        <v>8.9206648436577676E-2</v>
      </c>
      <c r="Z670" s="109">
        <f>'Z Score'!R737</f>
        <v>0.47758203204959188</v>
      </c>
      <c r="AA670" s="109">
        <f>'Z Score'!S737</f>
        <v>4.3466285486886624</v>
      </c>
    </row>
    <row r="671" spans="1:27" ht="15" customHeight="1" x14ac:dyDescent="0.3">
      <c r="A671" s="22"/>
      <c r="B671" s="23"/>
      <c r="C671" s="2"/>
      <c r="D671" s="23">
        <v>2024</v>
      </c>
      <c r="E671" s="25">
        <f>'Current Ratio'!G738</f>
        <v>3.6136043171302275</v>
      </c>
      <c r="F671" s="25">
        <f>'Cash Ratio'!G738</f>
        <v>0.25529713926316261</v>
      </c>
      <c r="G671" s="25">
        <f>DAR!G738</f>
        <v>0.57965726980447529</v>
      </c>
      <c r="H671" s="25">
        <f>DER!G738</f>
        <v>1.379011050184797</v>
      </c>
      <c r="I671" s="25">
        <f>NPM!G738</f>
        <v>7.0525517334573254E-2</v>
      </c>
      <c r="J671" s="25">
        <f>ROA!G738</f>
        <v>1.3738527156596956E-2</v>
      </c>
      <c r="K671" s="25">
        <f>ROE!G738</f>
        <v>3.2684107918808075E-2</v>
      </c>
      <c r="L671" s="25">
        <f>KM!E738</f>
        <v>0.58899999999999997</v>
      </c>
      <c r="M671" s="24">
        <f>KI!E738</f>
        <v>2</v>
      </c>
      <c r="N671" s="108">
        <f>IO!E738</f>
        <v>0.04</v>
      </c>
      <c r="O671" s="24">
        <f>'BoC Size'!E738</f>
        <v>3</v>
      </c>
      <c r="P671" s="24">
        <f>'TMT E DK'!E738</f>
        <v>8</v>
      </c>
      <c r="Q671" s="24">
        <f>Data!R738</f>
        <v>3</v>
      </c>
      <c r="R671" s="24">
        <f>Data!S738</f>
        <v>5</v>
      </c>
      <c r="S671" s="24">
        <f>'TMT E DK'!E738</f>
        <v>8</v>
      </c>
      <c r="T671" s="24">
        <f>'TMT E DD'!E738</f>
        <v>9</v>
      </c>
      <c r="U671" s="24">
        <f>TA!E738</f>
        <v>308465380000</v>
      </c>
      <c r="V671" s="109">
        <f>PR!F738</f>
        <v>-0.31479161376110559</v>
      </c>
      <c r="W671" s="109">
        <f>'Z Score'!I738</f>
        <v>2.3781388653728337</v>
      </c>
      <c r="X671" s="109">
        <f>'Z Score'!L738</f>
        <v>0.49612316493993586</v>
      </c>
      <c r="Y671" s="109">
        <f>'Z Score'!O738</f>
        <v>9.979611974607977E-2</v>
      </c>
      <c r="Z671" s="109">
        <f>'Z Score'!R738</f>
        <v>0.76141521843446636</v>
      </c>
      <c r="AA671" s="109">
        <f>'Z Score'!S738</f>
        <v>3.7354733684933157</v>
      </c>
    </row>
    <row r="672" spans="1:27" ht="15" customHeight="1" x14ac:dyDescent="0.3">
      <c r="A672" s="22"/>
      <c r="B672" s="23">
        <v>68</v>
      </c>
      <c r="C672" s="2" t="s">
        <v>69</v>
      </c>
      <c r="D672" s="23">
        <v>2015</v>
      </c>
      <c r="E672" s="25">
        <f>'Current Ratio'!G740</f>
        <v>0.94723667723059202</v>
      </c>
      <c r="F672" s="25">
        <f>'Cash Ratio'!G740</f>
        <v>0.67799420507751129</v>
      </c>
      <c r="G672" s="25">
        <f>DAR!G740</f>
        <v>0.57089664024578479</v>
      </c>
      <c r="H672" s="25">
        <f>DER!G740</f>
        <v>1.3295718398240559</v>
      </c>
      <c r="I672" s="25">
        <f>NPM!G740</f>
        <v>0.19476588259723893</v>
      </c>
      <c r="J672" s="25">
        <f>ROA!G740</f>
        <v>9.4340487689885177E-2</v>
      </c>
      <c r="K672" s="25">
        <f>ROE!G740</f>
        <v>0.21971132240984576</v>
      </c>
      <c r="L672" s="25">
        <f>KM!E740</f>
        <v>0.2</v>
      </c>
      <c r="M672" s="24">
        <f>KI!E740</f>
        <v>2</v>
      </c>
      <c r="N672" s="108">
        <f>IO!E740</f>
        <v>0</v>
      </c>
      <c r="O672" s="24">
        <f>'BoC Size'!E740</f>
        <v>4</v>
      </c>
      <c r="P672" s="24">
        <f>'TMT E DK'!E740</f>
        <v>9</v>
      </c>
      <c r="Q672" s="24">
        <f>Data!R740</f>
        <v>4</v>
      </c>
      <c r="R672" s="24">
        <f>Data!S740</f>
        <v>4</v>
      </c>
      <c r="S672" s="24">
        <f>'TMT E DK'!E740</f>
        <v>9</v>
      </c>
      <c r="T672" s="24">
        <f>'TMT E DD'!E740</f>
        <v>4</v>
      </c>
      <c r="U672" s="24">
        <f>TA!E740</f>
        <v>2846759759000</v>
      </c>
      <c r="V672" s="109">
        <f>PR!F740</f>
        <v>6.6449301310448947E-2</v>
      </c>
      <c r="W672" s="109">
        <f>'Z Score'!I740</f>
        <v>-0.19208338649274828</v>
      </c>
      <c r="X672" s="109">
        <f>'Z Score'!L740</f>
        <v>0.85064644900370734</v>
      </c>
      <c r="Y672" s="109">
        <f>'Z Score'!O740</f>
        <v>0.6585447450397236</v>
      </c>
      <c r="Z672" s="109">
        <f>'Z Score'!R740</f>
        <v>0.78972791732633862</v>
      </c>
      <c r="AA672" s="109">
        <f>'Z Score'!S740</f>
        <v>2.1068357248770213</v>
      </c>
    </row>
    <row r="673" spans="1:27" ht="15" customHeight="1" x14ac:dyDescent="0.3">
      <c r="A673" s="22"/>
      <c r="B673" s="23"/>
      <c r="C673" s="2"/>
      <c r="D673" s="23">
        <v>2016</v>
      </c>
      <c r="E673" s="25">
        <f>'Current Ratio'!G741</f>
        <v>0.77327801153213593</v>
      </c>
      <c r="F673" s="25">
        <f>'Cash Ratio'!G741</f>
        <v>0.56389678819013855</v>
      </c>
      <c r="G673" s="25">
        <f>DAR!G741</f>
        <v>0.56227999960226582</v>
      </c>
      <c r="H673" s="25">
        <f>DER!G741</f>
        <v>1.2840198821660109</v>
      </c>
      <c r="I673" s="25">
        <f>NPM!G741</f>
        <v>0.13161686623933708</v>
      </c>
      <c r="J673" s="25">
        <f>ROA!G741</f>
        <v>6.1653013291666545E-2</v>
      </c>
      <c r="K673" s="25">
        <f>ROE!G741</f>
        <v>0.14079052236953546</v>
      </c>
      <c r="L673" s="25">
        <f>KM!E741</f>
        <v>0.2</v>
      </c>
      <c r="M673" s="24">
        <f>KI!E741</f>
        <v>2</v>
      </c>
      <c r="N673" s="108">
        <f>IO!E741</f>
        <v>0</v>
      </c>
      <c r="O673" s="24">
        <f>'BoC Size'!E741</f>
        <v>4</v>
      </c>
      <c r="P673" s="24">
        <f>'TMT E DK'!E741</f>
        <v>9</v>
      </c>
      <c r="Q673" s="24">
        <f>Data!R741</f>
        <v>4</v>
      </c>
      <c r="R673" s="24">
        <f>Data!S741</f>
        <v>4</v>
      </c>
      <c r="S673" s="24">
        <f>'TMT E DK'!E741</f>
        <v>9</v>
      </c>
      <c r="T673" s="24">
        <f>'TMT E DD'!E741</f>
        <v>4</v>
      </c>
      <c r="U673" s="24">
        <f>TA!E741</f>
        <v>2813838947000</v>
      </c>
      <c r="V673" s="109">
        <f>PR!F741</f>
        <v>-4.4114340814519121E-2</v>
      </c>
      <c r="W673" s="109">
        <f>'Z Score'!I741</f>
        <v>-0.80848406430135322</v>
      </c>
      <c r="X673" s="109">
        <f>'Z Score'!L741</f>
        <v>0.9690448489197061</v>
      </c>
      <c r="Y673" s="109">
        <f>'Z Score'!O741</f>
        <v>0.47096698578747759</v>
      </c>
      <c r="Z673" s="109">
        <f>'Z Score'!R741</f>
        <v>0.81774434694013987</v>
      </c>
      <c r="AA673" s="109">
        <f>'Z Score'!S741</f>
        <v>1.4492721173459704</v>
      </c>
    </row>
    <row r="674" spans="1:27" ht="15" customHeight="1" x14ac:dyDescent="0.3">
      <c r="A674" s="22"/>
      <c r="B674" s="23"/>
      <c r="C674" s="2"/>
      <c r="D674" s="23">
        <v>2017</v>
      </c>
      <c r="E674" s="25">
        <f>'Current Ratio'!G742</f>
        <v>0.52407710099060012</v>
      </c>
      <c r="F674" s="25">
        <f>'Cash Ratio'!G742</f>
        <v>0.32650576639565398</v>
      </c>
      <c r="G674" s="25">
        <f>DAR!G742</f>
        <v>0.53646469280001874</v>
      </c>
      <c r="H674" s="25">
        <f>DER!G742</f>
        <v>1.1571427216763022</v>
      </c>
      <c r="I674" s="25">
        <f>NPM!G742</f>
        <v>0.12894026072800757</v>
      </c>
      <c r="J674" s="25">
        <f>ROA!G742</f>
        <v>5.4210821259621331E-2</v>
      </c>
      <c r="K674" s="25">
        <f>ROE!G742</f>
        <v>0.11693156716289227</v>
      </c>
      <c r="L674" s="25">
        <f>KM!E742</f>
        <v>0.62329999999999997</v>
      </c>
      <c r="M674" s="24">
        <f>KI!E742</f>
        <v>2</v>
      </c>
      <c r="N674" s="108">
        <f>IO!E742</f>
        <v>0</v>
      </c>
      <c r="O674" s="24">
        <f>'BoC Size'!E742</f>
        <v>5</v>
      </c>
      <c r="P674" s="24">
        <f>'TMT E DK'!E742</f>
        <v>12</v>
      </c>
      <c r="Q674" s="24">
        <f>Data!R742</f>
        <v>5</v>
      </c>
      <c r="R674" s="24">
        <f>Data!S742</f>
        <v>4</v>
      </c>
      <c r="S674" s="24">
        <f>'TMT E DK'!E742</f>
        <v>12</v>
      </c>
      <c r="T674" s="24">
        <f>'TMT E DD'!E742</f>
        <v>4</v>
      </c>
      <c r="U674" s="24">
        <f>TA!E742</f>
        <v>2966605878000</v>
      </c>
      <c r="V674" s="109">
        <f>PR!F742</f>
        <v>-5.3729507975927099E-2</v>
      </c>
      <c r="W674" s="109">
        <f>'Z Score'!I742</f>
        <v>-1.6293395644920243</v>
      </c>
      <c r="X674" s="109">
        <f>'Z Score'!L742</f>
        <v>1.0347877386899722</v>
      </c>
      <c r="Y674" s="109">
        <f>'Z Score'!O742</f>
        <v>0.37380511267226718</v>
      </c>
      <c r="Z674" s="109">
        <f>'Z Score'!R742</f>
        <v>0.90740751363748018</v>
      </c>
      <c r="AA674" s="109">
        <f>'Z Score'!S742</f>
        <v>0.68666080050769529</v>
      </c>
    </row>
    <row r="675" spans="1:27" ht="15" customHeight="1" x14ac:dyDescent="0.3">
      <c r="A675" s="22"/>
      <c r="B675" s="23"/>
      <c r="C675" s="2"/>
      <c r="D675" s="23">
        <v>2018</v>
      </c>
      <c r="E675" s="25">
        <f>'Current Ratio'!G743</f>
        <v>0.67606226959727067</v>
      </c>
      <c r="F675" s="25">
        <f>'Cash Ratio'!G743</f>
        <v>0.49054638184724153</v>
      </c>
      <c r="G675" s="25">
        <f>DAR!G743</f>
        <v>0.53834318782944102</v>
      </c>
      <c r="H675" s="25">
        <f>DER!G743</f>
        <v>1.1660907856047753</v>
      </c>
      <c r="I675" s="25">
        <f>NPM!G743</f>
        <v>5.6771649601706387E-2</v>
      </c>
      <c r="J675" s="25">
        <f>ROA!G743</f>
        <v>2.3910093822826856E-2</v>
      </c>
      <c r="K675" s="25">
        <f>ROE!G743</f>
        <v>5.1791014951186633E-2</v>
      </c>
      <c r="L675" s="25">
        <f>KM!E743</f>
        <v>0.62329999999999997</v>
      </c>
      <c r="M675" s="24">
        <f>KI!E743</f>
        <v>2</v>
      </c>
      <c r="N675" s="108">
        <f>IO!E743</f>
        <v>0</v>
      </c>
      <c r="O675" s="24">
        <f>'BoC Size'!E743</f>
        <v>4</v>
      </c>
      <c r="P675" s="24">
        <f>'TMT E DK'!E743</f>
        <v>11</v>
      </c>
      <c r="Q675" s="24">
        <f>Data!R743</f>
        <v>4</v>
      </c>
      <c r="R675" s="24">
        <f>Data!S743</f>
        <v>3</v>
      </c>
      <c r="S675" s="24">
        <f>'TMT E DK'!E743</f>
        <v>11</v>
      </c>
      <c r="T675" s="24">
        <f>'TMT E DD'!E743</f>
        <v>7</v>
      </c>
      <c r="U675" s="24">
        <f>TA!E743</f>
        <v>2890427512000</v>
      </c>
      <c r="V675" s="109">
        <f>PR!F743</f>
        <v>-2.3989356888856894E-2</v>
      </c>
      <c r="W675" s="109">
        <f>'Z Score'!I743</f>
        <v>-1.0656661687629272</v>
      </c>
      <c r="X675" s="109">
        <f>'Z Score'!L743</f>
        <v>1.0781915218083489</v>
      </c>
      <c r="Y675" s="109">
        <f>'Z Score'!O743</f>
        <v>0.11817421355903562</v>
      </c>
      <c r="Z675" s="109">
        <f>'Z Score'!R743</f>
        <v>0.90044447050101117</v>
      </c>
      <c r="AA675" s="109">
        <f>'Z Score'!S743</f>
        <v>1.0311440371054685</v>
      </c>
    </row>
    <row r="676" spans="1:27" ht="15" customHeight="1" x14ac:dyDescent="0.3">
      <c r="A676" s="22"/>
      <c r="B676" s="23"/>
      <c r="C676" s="2"/>
      <c r="D676" s="23">
        <v>2019</v>
      </c>
      <c r="E676" s="25">
        <f>'Current Ratio'!G744</f>
        <v>0.97715692358767292</v>
      </c>
      <c r="F676" s="25">
        <f>'Cash Ratio'!G744</f>
        <v>0.85498806793246551</v>
      </c>
      <c r="G676" s="25">
        <f>DAR!G744</f>
        <v>0.51400241312402994</v>
      </c>
      <c r="H676" s="25">
        <f>DER!G744</f>
        <v>1.0576245925815855</v>
      </c>
      <c r="I676" s="25">
        <f>NPM!G744</f>
        <v>7.9973159444467437E-2</v>
      </c>
      <c r="J676" s="25">
        <f>ROA!G744</f>
        <v>3.3928708553114084E-2</v>
      </c>
      <c r="K676" s="25">
        <f>ROE!G744</f>
        <v>6.9812583840239251E-2</v>
      </c>
      <c r="L676" s="25">
        <f>KM!E744</f>
        <v>0.62329999999999997</v>
      </c>
      <c r="M676" s="24">
        <f>KI!E744</f>
        <v>3</v>
      </c>
      <c r="N676" s="108">
        <f>IO!E744</f>
        <v>0</v>
      </c>
      <c r="O676" s="24">
        <f>'BoC Size'!E744</f>
        <v>4</v>
      </c>
      <c r="P676" s="24">
        <f>'TMT E DK'!E744</f>
        <v>11</v>
      </c>
      <c r="Q676" s="24">
        <f>Data!R744</f>
        <v>4</v>
      </c>
      <c r="R676" s="24">
        <f>Data!S744</f>
        <v>3</v>
      </c>
      <c r="S676" s="24">
        <f>'TMT E DK'!E744</f>
        <v>11</v>
      </c>
      <c r="T676" s="24">
        <f>'TMT E DD'!E744</f>
        <v>5</v>
      </c>
      <c r="U676" s="24">
        <f>TA!E744</f>
        <v>2579654391000</v>
      </c>
      <c r="V676" s="109">
        <f>PR!F744</f>
        <v>-0.10097296508674794</v>
      </c>
      <c r="W676" s="109">
        <f>'Z Score'!I744</f>
        <v>-6.9751920190459338E-2</v>
      </c>
      <c r="X676" s="109">
        <f>'Z Score'!L744</f>
        <v>1.171198720224224</v>
      </c>
      <c r="Y676" s="109">
        <f>'Z Score'!O744</f>
        <v>0.20820094596927732</v>
      </c>
      <c r="Z676" s="109">
        <f>'Z Score'!R744</f>
        <v>0.99279083274437263</v>
      </c>
      <c r="AA676" s="109">
        <f>'Z Score'!S744</f>
        <v>2.3024385787474149</v>
      </c>
    </row>
    <row r="677" spans="1:27" ht="15" customHeight="1" x14ac:dyDescent="0.3">
      <c r="A677" s="22"/>
      <c r="B677" s="23"/>
      <c r="C677" s="2"/>
      <c r="D677" s="23">
        <v>2020</v>
      </c>
      <c r="E677" s="25">
        <f>'Current Ratio'!G745</f>
        <v>0.7762374026899409</v>
      </c>
      <c r="F677" s="25">
        <f>'Cash Ratio'!G745</f>
        <v>0.64840588098499097</v>
      </c>
      <c r="G677" s="25">
        <f>DAR!G745</f>
        <v>0.44012984230481311</v>
      </c>
      <c r="H677" s="25">
        <f>DER!G745</f>
        <v>0.78612841969768887</v>
      </c>
      <c r="I677" s="25">
        <f>NPM!G745</f>
        <v>0.15296376378869056</v>
      </c>
      <c r="J677" s="25">
        <f>ROA!G745</f>
        <v>5.5771777594504163E-2</v>
      </c>
      <c r="K677" s="25">
        <f>ROE!G745</f>
        <v>9.9615556978602693E-2</v>
      </c>
      <c r="L677" s="25">
        <f>KM!E745</f>
        <v>0.62329999999999997</v>
      </c>
      <c r="M677" s="24">
        <f>KI!E745</f>
        <v>3</v>
      </c>
      <c r="N677" s="108">
        <f>IO!E745</f>
        <v>0</v>
      </c>
      <c r="O677" s="24">
        <f>'BoC Size'!E745</f>
        <v>4</v>
      </c>
      <c r="P677" s="24">
        <f>'TMT E DK'!E745</f>
        <v>11</v>
      </c>
      <c r="Q677" s="24">
        <f>Data!R745</f>
        <v>4</v>
      </c>
      <c r="R677" s="24">
        <f>Data!S745</f>
        <v>4</v>
      </c>
      <c r="S677" s="24">
        <f>'TMT E DK'!E745</f>
        <v>11</v>
      </c>
      <c r="T677" s="24">
        <f>'TMT E DD'!E745</f>
        <v>8</v>
      </c>
      <c r="U677" s="24">
        <f>TA!E745</f>
        <v>2477781648000</v>
      </c>
      <c r="V677" s="109">
        <f>PR!F745</f>
        <v>-0.17452417903563022</v>
      </c>
      <c r="W677" s="109">
        <f>'Z Score'!I745</f>
        <v>-0.57110968887118008</v>
      </c>
      <c r="X677" s="109">
        <f>'Z Score'!L745</f>
        <v>1.3531734076916531</v>
      </c>
      <c r="Y677" s="109">
        <f>'Z Score'!O745</f>
        <v>0.43630919032458659</v>
      </c>
      <c r="Z677" s="109">
        <f>'Z Score'!R745</f>
        <v>1.3356596373958656</v>
      </c>
      <c r="AA677" s="109">
        <f>'Z Score'!S745</f>
        <v>2.5540325465409253</v>
      </c>
    </row>
    <row r="678" spans="1:27" ht="15" customHeight="1" x14ac:dyDescent="0.3">
      <c r="A678" s="22"/>
      <c r="B678" s="23"/>
      <c r="C678" s="2"/>
      <c r="D678" s="23">
        <v>2021</v>
      </c>
      <c r="E678" s="25">
        <f>'Current Ratio'!G746</f>
        <v>0.6548628288215349</v>
      </c>
      <c r="F678" s="25">
        <f>'Cash Ratio'!G746</f>
        <v>0.44649100247685092</v>
      </c>
      <c r="G678" s="25">
        <f>DAR!G746</f>
        <v>0.39416291668120923</v>
      </c>
      <c r="H678" s="25">
        <f>DER!G746</f>
        <v>0.65060876518481647</v>
      </c>
      <c r="I678" s="25">
        <f>NPM!G746</f>
        <v>0.20240826040417731</v>
      </c>
      <c r="J678" s="25">
        <f>ROA!G746</f>
        <v>6.304405770726082E-2</v>
      </c>
      <c r="K678" s="25">
        <f>ROE!G746</f>
        <v>0.10406107424442211</v>
      </c>
      <c r="L678" s="25">
        <f>KM!E746</f>
        <v>0.62329999999999997</v>
      </c>
      <c r="M678" s="24">
        <f>KI!E746</f>
        <v>3</v>
      </c>
      <c r="N678" s="108">
        <f>IO!E746</f>
        <v>0</v>
      </c>
      <c r="O678" s="24">
        <f>'BoC Size'!E746</f>
        <v>4</v>
      </c>
      <c r="P678" s="24">
        <f>'TMT E DK'!E746</f>
        <v>11</v>
      </c>
      <c r="Q678" s="24">
        <f>Data!R746</f>
        <v>4</v>
      </c>
      <c r="R678" s="24">
        <f>Data!S746</f>
        <v>4</v>
      </c>
      <c r="S678" s="24">
        <f>'TMT E DK'!E746</f>
        <v>11</v>
      </c>
      <c r="T678" s="24">
        <f>'TMT E DD'!E746</f>
        <v>8</v>
      </c>
      <c r="U678" s="24">
        <f>TA!E746</f>
        <v>2495890568000</v>
      </c>
      <c r="V678" s="109">
        <f>PR!F746</f>
        <v>-0.13949676414292064</v>
      </c>
      <c r="W678" s="109">
        <f>'Z Score'!I746</f>
        <v>-0.78251116278908905</v>
      </c>
      <c r="X678" s="109">
        <f>'Z Score'!L746</f>
        <v>1.4945019837744744</v>
      </c>
      <c r="Y678" s="109">
        <f>'Z Score'!O746</f>
        <v>0.47036672495650861</v>
      </c>
      <c r="Z678" s="109">
        <f>'Z Score'!R746</f>
        <v>1.6138731234303763</v>
      </c>
      <c r="AA678" s="109">
        <f>'Z Score'!S746</f>
        <v>2.7962306693722701</v>
      </c>
    </row>
    <row r="679" spans="1:27" ht="15" customHeight="1" x14ac:dyDescent="0.3">
      <c r="A679" s="22"/>
      <c r="B679" s="23"/>
      <c r="C679" s="2"/>
      <c r="D679" s="23">
        <v>2022</v>
      </c>
      <c r="E679" s="25">
        <f>'Current Ratio'!G747</f>
        <v>0.7576719416691734</v>
      </c>
      <c r="F679" s="25">
        <f>'Cash Ratio'!G747</f>
        <v>0.5404150589516441</v>
      </c>
      <c r="G679" s="25">
        <f>DAR!G747</f>
        <v>0.3910098825522656</v>
      </c>
      <c r="H679" s="25">
        <f>DER!G747</f>
        <v>0.6420627713812177</v>
      </c>
      <c r="I679" s="25">
        <f>NPM!G747</f>
        <v>0.12347146729075496</v>
      </c>
      <c r="J679" s="25">
        <f>ROA!G747</f>
        <v>3.686665612310551E-2</v>
      </c>
      <c r="K679" s="25">
        <f>ROE!G747</f>
        <v>6.0537363525064967E-2</v>
      </c>
      <c r="L679" s="25">
        <f>KM!E747</f>
        <v>0.62329999999999997</v>
      </c>
      <c r="M679" s="24">
        <f>KI!E747</f>
        <v>3</v>
      </c>
      <c r="N679" s="108">
        <f>IO!E747</f>
        <v>0</v>
      </c>
      <c r="O679" s="24">
        <f>'BoC Size'!E747</f>
        <v>4</v>
      </c>
      <c r="P679" s="24">
        <f>'TMT E DK'!E747</f>
        <v>11</v>
      </c>
      <c r="Q679" s="24">
        <f>Data!R747</f>
        <v>4</v>
      </c>
      <c r="R679" s="24">
        <f>Data!S747</f>
        <v>4</v>
      </c>
      <c r="S679" s="24">
        <f>'TMT E DK'!E747</f>
        <v>11</v>
      </c>
      <c r="T679" s="24">
        <f>'TMT E DD'!E747</f>
        <v>8</v>
      </c>
      <c r="U679" s="24">
        <f>TA!E747</f>
        <v>2472105924000</v>
      </c>
      <c r="V679" s="109">
        <f>PR!F747</f>
        <v>-5.0504854161542739E-2</v>
      </c>
      <c r="W679" s="109">
        <f>'Z Score'!I747</f>
        <v>-0.53016359206782915</v>
      </c>
      <c r="X679" s="109">
        <f>'Z Score'!L747</f>
        <v>1.5623474027887163</v>
      </c>
      <c r="Y679" s="109">
        <f>'Z Score'!O747</f>
        <v>0.28811878628870596</v>
      </c>
      <c r="Z679" s="109">
        <f>'Z Score'!R747</f>
        <v>1.6353541223722099</v>
      </c>
      <c r="AA679" s="109">
        <f>'Z Score'!S747</f>
        <v>2.9556567193818033</v>
      </c>
    </row>
    <row r="680" spans="1:27" ht="15" customHeight="1" x14ac:dyDescent="0.3">
      <c r="A680" s="22"/>
      <c r="B680" s="23"/>
      <c r="C680" s="2"/>
      <c r="D680" s="23">
        <v>2023</v>
      </c>
      <c r="E680" s="25">
        <f>'Current Ratio'!G748</f>
        <v>0.99571317741820486</v>
      </c>
      <c r="F680" s="25">
        <f>'Cash Ratio'!G748</f>
        <v>0.72759889533362399</v>
      </c>
      <c r="G680" s="25">
        <f>DAR!G748</f>
        <v>0.41869437706959239</v>
      </c>
      <c r="H680" s="25">
        <f>DER!G748</f>
        <v>0.7202654860947687</v>
      </c>
      <c r="I680" s="25">
        <f>NPM!G748</f>
        <v>9.8896542798072182E-2</v>
      </c>
      <c r="J680" s="25">
        <f>ROA!G748</f>
        <v>3.1742273474155133E-2</v>
      </c>
      <c r="K680" s="25">
        <f>ROE!G748</f>
        <v>5.4605137507770567E-2</v>
      </c>
      <c r="L680" s="25">
        <f>KM!E748</f>
        <v>0.94769999999999999</v>
      </c>
      <c r="M680" s="24">
        <f>KI!E748</f>
        <v>2</v>
      </c>
      <c r="N680" s="108">
        <f>IO!E748</f>
        <v>0</v>
      </c>
      <c r="O680" s="24">
        <f>'BoC Size'!E748</f>
        <v>4</v>
      </c>
      <c r="P680" s="24">
        <f>'TMT E DK'!E748</f>
        <v>12</v>
      </c>
      <c r="Q680" s="24">
        <f>Data!R748</f>
        <v>4</v>
      </c>
      <c r="R680" s="24">
        <f>Data!S748</f>
        <v>3</v>
      </c>
      <c r="S680" s="24">
        <f>'TMT E DK'!E748</f>
        <v>12</v>
      </c>
      <c r="T680" s="24">
        <f>'TMT E DD'!E748</f>
        <v>5</v>
      </c>
      <c r="U680" s="24">
        <f>TA!E748</f>
        <v>2664450707000</v>
      </c>
      <c r="V680" s="109">
        <f>PR!F748</f>
        <v>0.15859165205188613</v>
      </c>
      <c r="W680" s="109">
        <f>'Z Score'!I748</f>
        <v>-1.0482601223067024E-2</v>
      </c>
      <c r="X680" s="109">
        <f>'Z Score'!L748</f>
        <v>1.5530493094612914</v>
      </c>
      <c r="Y680" s="109">
        <f>'Z Score'!O748</f>
        <v>0.17296047401788167</v>
      </c>
      <c r="Z680" s="109">
        <f>'Z Score'!R748</f>
        <v>1.4577957992864961</v>
      </c>
      <c r="AA680" s="109">
        <f>'Z Score'!S748</f>
        <v>3.1733229815426021</v>
      </c>
    </row>
    <row r="681" spans="1:27" ht="15" customHeight="1" x14ac:dyDescent="0.3">
      <c r="A681" s="22"/>
      <c r="B681" s="23"/>
      <c r="C681" s="2"/>
      <c r="D681" s="23">
        <v>2024</v>
      </c>
      <c r="E681" s="25">
        <f>'Current Ratio'!G749</f>
        <v>0.69253280780012494</v>
      </c>
      <c r="F681" s="25">
        <f>'Cash Ratio'!G749</f>
        <v>0.40392301475836501</v>
      </c>
      <c r="G681" s="25">
        <f>DAR!G749</f>
        <v>0.43345543488456806</v>
      </c>
      <c r="H681" s="25">
        <f>DER!G749</f>
        <v>0.76508621134906241</v>
      </c>
      <c r="I681" s="25">
        <f>NPM!G749</f>
        <v>8.7385604394971006E-2</v>
      </c>
      <c r="J681" s="25">
        <f>ROA!G749</f>
        <v>2.9089023055715493E-2</v>
      </c>
      <c r="K681" s="25">
        <f>ROE!G749</f>
        <v>5.1344633497258388E-2</v>
      </c>
      <c r="L681" s="25">
        <f>KM!E749</f>
        <v>0.86760000000000004</v>
      </c>
      <c r="M681" s="24">
        <f>KI!E749</f>
        <v>2</v>
      </c>
      <c r="N681" s="108">
        <f>IO!E749</f>
        <v>0</v>
      </c>
      <c r="O681" s="24">
        <f>'BoC Size'!E749</f>
        <v>4</v>
      </c>
      <c r="P681" s="24">
        <f>'TMT E DK'!E749</f>
        <v>10</v>
      </c>
      <c r="Q681" s="24">
        <f>Data!R749</f>
        <v>4</v>
      </c>
      <c r="R681" s="24">
        <f>Data!S749</f>
        <v>4</v>
      </c>
      <c r="S681" s="24">
        <f>'TMT E DK'!E749</f>
        <v>10</v>
      </c>
      <c r="T681" s="24">
        <f>'TMT E DD'!E749</f>
        <v>6</v>
      </c>
      <c r="U681" s="24">
        <f>TA!E749</f>
        <v>2751906616000</v>
      </c>
      <c r="V681" s="109">
        <f>PR!F749</f>
        <v>7.1169811824050022E-2</v>
      </c>
      <c r="W681" s="109">
        <f>'Z Score'!I749</f>
        <v>-0.76732296192132121</v>
      </c>
      <c r="X681" s="109">
        <f>'Z Score'!L749</f>
        <v>1.5985316708290511</v>
      </c>
      <c r="Y681" s="109">
        <f>'Z Score'!O749</f>
        <v>0.16476924695180134</v>
      </c>
      <c r="Z681" s="109">
        <f>'Z Score'!R749</f>
        <v>1.3723943582103699</v>
      </c>
      <c r="AA681" s="109">
        <f>'Z Score'!S749</f>
        <v>2.3683723140699011</v>
      </c>
    </row>
    <row r="682" spans="1:27" ht="15" customHeight="1" x14ac:dyDescent="0.3">
      <c r="A682" s="22"/>
      <c r="B682" s="23">
        <v>69</v>
      </c>
      <c r="C682" s="2" t="s">
        <v>70</v>
      </c>
      <c r="D682" s="23">
        <v>2015</v>
      </c>
      <c r="E682" s="25">
        <f>'Current Ratio'!G751</f>
        <v>0</v>
      </c>
      <c r="F682" s="25">
        <f>'Cash Ratio'!G751</f>
        <v>0</v>
      </c>
      <c r="G682" s="25">
        <f>DAR!G751</f>
        <v>0</v>
      </c>
      <c r="H682" s="25">
        <f>DER!G751</f>
        <v>0</v>
      </c>
      <c r="I682" s="25">
        <f>NPM!G751</f>
        <v>0</v>
      </c>
      <c r="J682" s="25">
        <f>ROA!G751</f>
        <v>0</v>
      </c>
      <c r="K682" s="25">
        <f>ROE!G751</f>
        <v>0</v>
      </c>
      <c r="L682" s="25">
        <f>KM!E751</f>
        <v>0</v>
      </c>
      <c r="M682" s="24">
        <f>KI!E751</f>
        <v>0</v>
      </c>
      <c r="N682" s="108">
        <f>IO!E751</f>
        <v>0</v>
      </c>
      <c r="O682" s="24">
        <f>'BoC Size'!E751</f>
        <v>0</v>
      </c>
      <c r="P682" s="24">
        <f>'TMT E DK'!E751</f>
        <v>0</v>
      </c>
      <c r="Q682" s="24">
        <f>Data!R751</f>
        <v>0</v>
      </c>
      <c r="R682" s="24">
        <f>Data!S751</f>
        <v>0</v>
      </c>
      <c r="S682" s="24">
        <f>'TMT E DK'!E751</f>
        <v>0</v>
      </c>
      <c r="T682" s="24">
        <f>'TMT E DD'!E751</f>
        <v>0</v>
      </c>
      <c r="U682" s="24">
        <f>TA!E751</f>
        <v>0</v>
      </c>
      <c r="V682" s="109">
        <f>PR!F751</f>
        <v>0</v>
      </c>
      <c r="W682" s="109">
        <f>'Z Score'!I751</f>
        <v>0</v>
      </c>
      <c r="X682" s="109">
        <f>'Z Score'!L751</f>
        <v>0</v>
      </c>
      <c r="Y682" s="109">
        <f>'Z Score'!O751</f>
        <v>0</v>
      </c>
      <c r="Z682" s="109">
        <f>'Z Score'!R751</f>
        <v>0</v>
      </c>
      <c r="AA682" s="109">
        <f>'Z Score'!S751</f>
        <v>0</v>
      </c>
    </row>
    <row r="683" spans="1:27" ht="15" customHeight="1" x14ac:dyDescent="0.3">
      <c r="A683" s="22"/>
      <c r="B683" s="23"/>
      <c r="C683" s="2"/>
      <c r="D683" s="23">
        <v>2016</v>
      </c>
      <c r="E683" s="25">
        <f>'Current Ratio'!G752</f>
        <v>0</v>
      </c>
      <c r="F683" s="25">
        <f>'Cash Ratio'!G752</f>
        <v>0</v>
      </c>
      <c r="G683" s="25">
        <f>DAR!G752</f>
        <v>0</v>
      </c>
      <c r="H683" s="25">
        <f>DER!G752</f>
        <v>0</v>
      </c>
      <c r="I683" s="25">
        <f>NPM!G752</f>
        <v>0</v>
      </c>
      <c r="J683" s="25">
        <f>ROA!G752</f>
        <v>0</v>
      </c>
      <c r="K683" s="25">
        <f>ROE!G752</f>
        <v>0</v>
      </c>
      <c r="L683" s="25">
        <f>KM!E752</f>
        <v>0</v>
      </c>
      <c r="M683" s="24">
        <f>KI!E752</f>
        <v>0</v>
      </c>
      <c r="N683" s="108">
        <f>IO!E752</f>
        <v>0</v>
      </c>
      <c r="O683" s="24">
        <f>'BoC Size'!E752</f>
        <v>0</v>
      </c>
      <c r="P683" s="24">
        <f>'TMT E DK'!E752</f>
        <v>0</v>
      </c>
      <c r="Q683" s="24">
        <f>Data!R752</f>
        <v>0</v>
      </c>
      <c r="R683" s="24">
        <f>Data!S752</f>
        <v>0</v>
      </c>
      <c r="S683" s="24">
        <f>'TMT E DK'!E752</f>
        <v>0</v>
      </c>
      <c r="T683" s="24">
        <f>'TMT E DD'!E752</f>
        <v>0</v>
      </c>
      <c r="U683" s="24">
        <f>TA!E752</f>
        <v>0</v>
      </c>
      <c r="V683" s="109">
        <f>PR!F752</f>
        <v>0</v>
      </c>
      <c r="W683" s="109">
        <f>'Z Score'!I752</f>
        <v>0</v>
      </c>
      <c r="X683" s="109">
        <f>'Z Score'!L752</f>
        <v>0</v>
      </c>
      <c r="Y683" s="109">
        <f>'Z Score'!O752</f>
        <v>0</v>
      </c>
      <c r="Z683" s="109">
        <f>'Z Score'!R752</f>
        <v>0</v>
      </c>
      <c r="AA683" s="109">
        <f>'Z Score'!S752</f>
        <v>0</v>
      </c>
    </row>
    <row r="684" spans="1:27" ht="15" customHeight="1" x14ac:dyDescent="0.3">
      <c r="A684" s="22"/>
      <c r="B684" s="23"/>
      <c r="C684" s="2"/>
      <c r="D684" s="23">
        <v>2017</v>
      </c>
      <c r="E684" s="25">
        <f>'Current Ratio'!G753</f>
        <v>1.7519582457487686</v>
      </c>
      <c r="F684" s="25">
        <f>'Cash Ratio'!G753</f>
        <v>0.14459957460769449</v>
      </c>
      <c r="G684" s="25">
        <f>DAR!G753</f>
        <v>0.61135130565639362</v>
      </c>
      <c r="H684" s="25">
        <f>DER!G753</f>
        <v>1.5730177781477241</v>
      </c>
      <c r="I684" s="25">
        <f>NPM!G753</f>
        <v>0.31797417394418032</v>
      </c>
      <c r="J684" s="25">
        <f>ROA!G753</f>
        <v>6.5455103022827213E-2</v>
      </c>
      <c r="K684" s="25">
        <f>ROE!G753</f>
        <v>0.16841714374822528</v>
      </c>
      <c r="L684" s="25">
        <f>KM!E753</f>
        <v>0</v>
      </c>
      <c r="M684" s="24">
        <f>KI!E753</f>
        <v>0</v>
      </c>
      <c r="N684" s="108">
        <f>IO!E753</f>
        <v>0</v>
      </c>
      <c r="O684" s="24">
        <f>'BoC Size'!E753</f>
        <v>0</v>
      </c>
      <c r="P684" s="24">
        <f>'TMT E DK'!E753</f>
        <v>0</v>
      </c>
      <c r="Q684" s="24">
        <f>Data!R753</f>
        <v>0</v>
      </c>
      <c r="R684" s="24">
        <f>Data!S753</f>
        <v>0</v>
      </c>
      <c r="S684" s="24">
        <f>'TMT E DK'!E753</f>
        <v>0</v>
      </c>
      <c r="T684" s="24">
        <f>'TMT E DD'!E753</f>
        <v>0</v>
      </c>
      <c r="U684" s="24">
        <f>TA!E753</f>
        <v>390722630000</v>
      </c>
      <c r="V684" s="109">
        <f>PR!F753</f>
        <v>0</v>
      </c>
      <c r="W684" s="109">
        <f>'Z Score'!I753</f>
        <v>0.66841521004299143</v>
      </c>
      <c r="X684" s="109">
        <f>'Z Score'!L753</f>
        <v>0.61373634130175669</v>
      </c>
      <c r="Y684" s="109">
        <f>'Z Score'!O753</f>
        <v>0.49464178105066497</v>
      </c>
      <c r="Z684" s="109">
        <f>'Z Score'!R753</f>
        <v>0.66750675967337558</v>
      </c>
      <c r="AA684" s="109">
        <f>'Z Score'!S753</f>
        <v>2.4443000920687887</v>
      </c>
    </row>
    <row r="685" spans="1:27" ht="15" customHeight="1" x14ac:dyDescent="0.3">
      <c r="A685" s="22"/>
      <c r="B685" s="23"/>
      <c r="C685" s="2"/>
      <c r="D685" s="23">
        <v>2018</v>
      </c>
      <c r="E685" s="25">
        <f>'Current Ratio'!G754</f>
        <v>2.0730480530379443</v>
      </c>
      <c r="F685" s="25">
        <f>'Cash Ratio'!G754</f>
        <v>0.1322647251947035</v>
      </c>
      <c r="G685" s="25">
        <f>DAR!G754</f>
        <v>0.6315594177075029</v>
      </c>
      <c r="H685" s="25">
        <f>DER!G754</f>
        <v>1.7141419444987211</v>
      </c>
      <c r="I685" s="25">
        <f>NPM!G754</f>
        <v>0.32323485814643854</v>
      </c>
      <c r="J685" s="25">
        <f>ROA!G754</f>
        <v>6.7760311068816942E-2</v>
      </c>
      <c r="K685" s="25">
        <f>ROE!G754</f>
        <v>0.18391110657007659</v>
      </c>
      <c r="L685" s="25">
        <f>KM!E754</f>
        <v>0.75370000000000004</v>
      </c>
      <c r="M685" s="24">
        <f>KI!E754</f>
        <v>2</v>
      </c>
      <c r="N685" s="108">
        <f>IO!E754</f>
        <v>0</v>
      </c>
      <c r="O685" s="24">
        <f>'BoC Size'!E754</f>
        <v>3</v>
      </c>
      <c r="P685" s="24">
        <f>'TMT E DK'!E754</f>
        <v>3</v>
      </c>
      <c r="Q685" s="24">
        <f>Data!R754</f>
        <v>3</v>
      </c>
      <c r="R685" s="24">
        <f>Data!S754</f>
        <v>3</v>
      </c>
      <c r="S685" s="24">
        <f>'TMT E DK'!E754</f>
        <v>3</v>
      </c>
      <c r="T685" s="24">
        <f>'TMT E DD'!E754</f>
        <v>9</v>
      </c>
      <c r="U685" s="24">
        <f>TA!E754</f>
        <v>445745740000</v>
      </c>
      <c r="V685" s="109">
        <f>PR!F754</f>
        <v>0.16178074459408384</v>
      </c>
      <c r="W685" s="109">
        <f>'Z Score'!I754</f>
        <v>0.86485129212900602</v>
      </c>
      <c r="X685" s="109">
        <f>'Z Score'!L754</f>
        <v>0.60442147803812996</v>
      </c>
      <c r="Y685" s="109">
        <f>'Z Score'!O754</f>
        <v>0.50870893707251141</v>
      </c>
      <c r="Z685" s="109">
        <f>'Z Score'!R754</f>
        <v>0.61255137205516497</v>
      </c>
      <c r="AA685" s="109">
        <f>'Z Score'!S754</f>
        <v>2.5905330792948122</v>
      </c>
    </row>
    <row r="686" spans="1:27" ht="15" customHeight="1" x14ac:dyDescent="0.3">
      <c r="A686" s="22"/>
      <c r="B686" s="23"/>
      <c r="C686" s="2"/>
      <c r="D686" s="23">
        <v>2019</v>
      </c>
      <c r="E686" s="25">
        <f>'Current Ratio'!G755</f>
        <v>2.8180534283050842</v>
      </c>
      <c r="F686" s="25">
        <f>'Cash Ratio'!G755</f>
        <v>0.64330535405477685</v>
      </c>
      <c r="G686" s="25">
        <f>DAR!G755</f>
        <v>0.67149637674406859</v>
      </c>
      <c r="H686" s="25">
        <f>DER!G755</f>
        <v>2.0441064548652395</v>
      </c>
      <c r="I686" s="25">
        <f>NPM!G755</f>
        <v>0.35722962729946889</v>
      </c>
      <c r="J686" s="25">
        <f>ROA!G755</f>
        <v>6.8941506619770068E-2</v>
      </c>
      <c r="K686" s="25">
        <f>ROE!G755</f>
        <v>0.20986528530937668</v>
      </c>
      <c r="L686" s="25">
        <f>KM!E755</f>
        <v>0.75370000000000004</v>
      </c>
      <c r="M686" s="24">
        <f>KI!E755</f>
        <v>2</v>
      </c>
      <c r="N686" s="108">
        <f>IO!E755</f>
        <v>0</v>
      </c>
      <c r="O686" s="24">
        <f>'BoC Size'!E755</f>
        <v>3</v>
      </c>
      <c r="P686" s="24">
        <f>'TMT E DK'!E755</f>
        <v>5</v>
      </c>
      <c r="Q686" s="24">
        <f>Data!R755</f>
        <v>3</v>
      </c>
      <c r="R686" s="24">
        <f>Data!S755</f>
        <v>4</v>
      </c>
      <c r="S686" s="24">
        <f>'TMT E DK'!E755</f>
        <v>5</v>
      </c>
      <c r="T686" s="24">
        <f>'TMT E DD'!E755</f>
        <v>12</v>
      </c>
      <c r="U686" s="24">
        <f>TA!E755</f>
        <v>541929699999.99994</v>
      </c>
      <c r="V686" s="109">
        <f>PR!F755</f>
        <v>0.11926223284503655</v>
      </c>
      <c r="W686" s="109">
        <f>'Z Score'!I755</f>
        <v>1.1175947227103442</v>
      </c>
      <c r="X686" s="109">
        <f>'Z Score'!L755</f>
        <v>0.55048931992470607</v>
      </c>
      <c r="Y686" s="109">
        <f>'Z Score'!O755</f>
        <v>0.54765519291524345</v>
      </c>
      <c r="Z686" s="109">
        <f>'Z Score'!R755</f>
        <v>0.51367187726493557</v>
      </c>
      <c r="AA686" s="109">
        <f>'Z Score'!S755</f>
        <v>2.729411112815229</v>
      </c>
    </row>
    <row r="687" spans="1:27" ht="15" customHeight="1" x14ac:dyDescent="0.3">
      <c r="A687" s="22"/>
      <c r="B687" s="23"/>
      <c r="C687" s="2"/>
      <c r="D687" s="23">
        <v>2020</v>
      </c>
      <c r="E687" s="25">
        <f>'Current Ratio'!G756</f>
        <v>2.9809487932168621</v>
      </c>
      <c r="F687" s="25">
        <f>'Cash Ratio'!G756</f>
        <v>0.26913263458044401</v>
      </c>
      <c r="G687" s="25">
        <f>DAR!G756</f>
        <v>0.70892341016436711</v>
      </c>
      <c r="H687" s="25">
        <f>DER!G756</f>
        <v>2.435522032091769</v>
      </c>
      <c r="I687" s="25">
        <f>NPM!G756</f>
        <v>0.39932921191636417</v>
      </c>
      <c r="J687" s="25">
        <f>ROA!G756</f>
        <v>6.4743300576653201E-2</v>
      </c>
      <c r="K687" s="25">
        <f>ROE!G756</f>
        <v>0.22242703897762231</v>
      </c>
      <c r="L687" s="25">
        <f>KM!E756</f>
        <v>0.75370000000000004</v>
      </c>
      <c r="M687" s="24">
        <f>KI!E756</f>
        <v>2</v>
      </c>
      <c r="N687" s="108">
        <f>IO!E756</f>
        <v>0</v>
      </c>
      <c r="O687" s="24">
        <f>'BoC Size'!E756</f>
        <v>3</v>
      </c>
      <c r="P687" s="24">
        <f>'TMT E DK'!E756</f>
        <v>5</v>
      </c>
      <c r="Q687" s="24">
        <f>Data!R756</f>
        <v>3</v>
      </c>
      <c r="R687" s="24">
        <f>Data!S756</f>
        <v>4</v>
      </c>
      <c r="S687" s="24">
        <f>'TMT E DK'!E756</f>
        <v>5</v>
      </c>
      <c r="T687" s="24">
        <f>'TMT E DD'!E756</f>
        <v>14</v>
      </c>
      <c r="U687" s="24">
        <f>TA!E756</f>
        <v>651096710000</v>
      </c>
      <c r="V687" s="109">
        <f>PR!F756</f>
        <v>9.3295846075957117E-3</v>
      </c>
      <c r="W687" s="109">
        <f>'Z Score'!I756</f>
        <v>1.3775114471089867</v>
      </c>
      <c r="X687" s="109">
        <f>'Z Score'!L756</f>
        <v>0.47763342007979115</v>
      </c>
      <c r="Y687" s="109">
        <f>'Z Score'!O756</f>
        <v>0.48723621165279729</v>
      </c>
      <c r="Z687" s="109">
        <f>'Z Score'!R756</f>
        <v>0.43111907269350319</v>
      </c>
      <c r="AA687" s="109">
        <f>'Z Score'!S756</f>
        <v>2.7735001515350781</v>
      </c>
    </row>
    <row r="688" spans="1:27" ht="15" customHeight="1" x14ac:dyDescent="0.3">
      <c r="A688" s="22"/>
      <c r="B688" s="23"/>
      <c r="C688" s="2"/>
      <c r="D688" s="23">
        <v>2021</v>
      </c>
      <c r="E688" s="25">
        <f>'Current Ratio'!G757</f>
        <v>2.3611799223148502</v>
      </c>
      <c r="F688" s="25">
        <f>'Cash Ratio'!G757</f>
        <v>0.25374048678305755</v>
      </c>
      <c r="G688" s="25">
        <f>DAR!G757</f>
        <v>0.70683667690829655</v>
      </c>
      <c r="H688" s="25">
        <f>DER!G757</f>
        <v>2.4110678970820412</v>
      </c>
      <c r="I688" s="25">
        <f>NPM!G757</f>
        <v>0.35200915306264824</v>
      </c>
      <c r="J688" s="25">
        <f>ROA!G757</f>
        <v>4.9363094762724789E-2</v>
      </c>
      <c r="K688" s="25">
        <f>ROE!G757</f>
        <v>0.16838086784574918</v>
      </c>
      <c r="L688" s="25">
        <f>KM!E757</f>
        <v>0.75370000000000004</v>
      </c>
      <c r="M688" s="24">
        <f>KI!E757</f>
        <v>2</v>
      </c>
      <c r="N688" s="108">
        <f>IO!E757</f>
        <v>0</v>
      </c>
      <c r="O688" s="24">
        <f>'BoC Size'!E757</f>
        <v>3</v>
      </c>
      <c r="P688" s="24">
        <f>'TMT E DK'!E757</f>
        <v>7</v>
      </c>
      <c r="Q688" s="24">
        <f>Data!R757</f>
        <v>3</v>
      </c>
      <c r="R688" s="24">
        <f>Data!S757</f>
        <v>5</v>
      </c>
      <c r="S688" s="24">
        <f>'TMT E DK'!E757</f>
        <v>7</v>
      </c>
      <c r="T688" s="24">
        <f>'TMT E DD'!E757</f>
        <v>13</v>
      </c>
      <c r="U688" s="24">
        <f>TA!E757</f>
        <v>638850140000</v>
      </c>
      <c r="V688" s="109">
        <f>PR!F757</f>
        <v>-0.1513313452517184</v>
      </c>
      <c r="W688" s="109">
        <f>'Z Score'!I757</f>
        <v>1.2699199170559776</v>
      </c>
      <c r="X688" s="109">
        <f>'Z Score'!L757</f>
        <v>0.4302556089288796</v>
      </c>
      <c r="Y688" s="109">
        <f>'Z Score'!O757</f>
        <v>0.35048981471617119</v>
      </c>
      <c r="Z688" s="109">
        <f>'Z Score'!R757</f>
        <v>0.43549167622809243</v>
      </c>
      <c r="AA688" s="109">
        <f>'Z Score'!S757</f>
        <v>2.4861570169291207</v>
      </c>
    </row>
    <row r="689" spans="1:27" ht="15" customHeight="1" x14ac:dyDescent="0.3">
      <c r="A689" s="22"/>
      <c r="B689" s="23"/>
      <c r="C689" s="2"/>
      <c r="D689" s="23">
        <v>2022</v>
      </c>
      <c r="E689" s="25">
        <f>'Current Ratio'!G758</f>
        <v>3.2457192807771755</v>
      </c>
      <c r="F689" s="25">
        <f>'Cash Ratio'!G758</f>
        <v>0.53304169410415081</v>
      </c>
      <c r="G689" s="25">
        <f>DAR!G758</f>
        <v>0.71393133946421494</v>
      </c>
      <c r="H689" s="25">
        <f>DER!G758</f>
        <v>2.4956642860741036</v>
      </c>
      <c r="I689" s="25">
        <f>NPM!G758</f>
        <v>0.30597185862006371</v>
      </c>
      <c r="J689" s="25">
        <f>ROA!G758</f>
        <v>5.9759504424913935E-2</v>
      </c>
      <c r="K689" s="25">
        <f>ROE!G758</f>
        <v>0.20889916537165901</v>
      </c>
      <c r="L689" s="25">
        <f>KM!E758</f>
        <v>0.75370000000000004</v>
      </c>
      <c r="M689" s="24">
        <f>KI!E758</f>
        <v>2</v>
      </c>
      <c r="N689" s="108">
        <f>IO!E758</f>
        <v>0</v>
      </c>
      <c r="O689" s="24">
        <f>'BoC Size'!E758</f>
        <v>3</v>
      </c>
      <c r="P689" s="24">
        <f>'TMT E DK'!E758</f>
        <v>7</v>
      </c>
      <c r="Q689" s="24">
        <f>Data!R758</f>
        <v>3</v>
      </c>
      <c r="R689" s="24">
        <f>Data!S758</f>
        <v>5</v>
      </c>
      <c r="S689" s="24">
        <f>'TMT E DK'!E758</f>
        <v>7</v>
      </c>
      <c r="T689" s="24">
        <f>'TMT E DD'!E758</f>
        <v>9</v>
      </c>
      <c r="U689" s="24">
        <f>TA!E758</f>
        <v>717529210000</v>
      </c>
      <c r="V689" s="109">
        <f>PR!F758</f>
        <v>0.5642914469094461</v>
      </c>
      <c r="W689" s="109">
        <f>'Z Score'!I758</f>
        <v>1.523412997778864</v>
      </c>
      <c r="X689" s="109">
        <f>'Z Score'!L758</f>
        <v>0.430429696374312</v>
      </c>
      <c r="Y689" s="109">
        <f>'Z Score'!O758</f>
        <v>0.43582600351559203</v>
      </c>
      <c r="Z689" s="109">
        <f>'Z Score'!R758</f>
        <v>0.42072966538770368</v>
      </c>
      <c r="AA689" s="109">
        <f>'Z Score'!S758</f>
        <v>2.8103983630564717</v>
      </c>
    </row>
    <row r="690" spans="1:27" ht="15" customHeight="1" x14ac:dyDescent="0.3">
      <c r="A690" s="22"/>
      <c r="B690" s="23"/>
      <c r="C690" s="2"/>
      <c r="D690" s="23">
        <v>2023</v>
      </c>
      <c r="E690" s="25">
        <f>'Current Ratio'!G759</f>
        <v>3.7143990752143923</v>
      </c>
      <c r="F690" s="25">
        <f>'Cash Ratio'!G759</f>
        <v>0.54433078269792912</v>
      </c>
      <c r="G690" s="25">
        <f>DAR!G759</f>
        <v>0.69929954353259938</v>
      </c>
      <c r="H690" s="25">
        <f>DER!G759</f>
        <v>2.3255686131903546</v>
      </c>
      <c r="I690" s="25">
        <f>NPM!G759</f>
        <v>0.29482559662991775</v>
      </c>
      <c r="J690" s="25">
        <f>ROA!G759</f>
        <v>4.9098162356188517E-2</v>
      </c>
      <c r="K690" s="25">
        <f>ROE!G759</f>
        <v>0.16327930769706472</v>
      </c>
      <c r="L690" s="25">
        <f>KM!E759</f>
        <v>0.67589999999999995</v>
      </c>
      <c r="M690" s="24">
        <f>KI!E759</f>
        <v>2</v>
      </c>
      <c r="N690" s="108">
        <f>IO!E759</f>
        <v>0</v>
      </c>
      <c r="O690" s="24">
        <f>'BoC Size'!E759</f>
        <v>3</v>
      </c>
      <c r="P690" s="24">
        <f>'TMT E DK'!E759</f>
        <v>5</v>
      </c>
      <c r="Q690" s="24">
        <f>Data!R759</f>
        <v>3</v>
      </c>
      <c r="R690" s="24">
        <f>Data!S759</f>
        <v>4</v>
      </c>
      <c r="S690" s="24">
        <f>'TMT E DK'!E759</f>
        <v>5</v>
      </c>
      <c r="T690" s="24">
        <f>'TMT E DD'!E759</f>
        <v>13</v>
      </c>
      <c r="U690" s="24">
        <f>TA!E759</f>
        <v>862563240000</v>
      </c>
      <c r="V690" s="109">
        <f>PR!F759</f>
        <v>2.5004823714637033E-2</v>
      </c>
      <c r="W690" s="109">
        <f>'Z Score'!I759</f>
        <v>1.6938418252092444</v>
      </c>
      <c r="X690" s="109">
        <f>'Z Score'!L759</f>
        <v>0.36204613843733935</v>
      </c>
      <c r="Y690" s="109">
        <f>'Z Score'!O759</f>
        <v>0.42563571895319807</v>
      </c>
      <c r="Z690" s="109">
        <f>'Z Score'!R759</f>
        <v>0.45150248160579831</v>
      </c>
      <c r="AA690" s="109">
        <f>'Z Score'!S759</f>
        <v>2.9330261642055802</v>
      </c>
    </row>
    <row r="691" spans="1:27" ht="15" customHeight="1" x14ac:dyDescent="0.3">
      <c r="A691" s="22"/>
      <c r="B691" s="23"/>
      <c r="C691" s="2"/>
      <c r="D691" s="23">
        <v>2024</v>
      </c>
      <c r="E691" s="25">
        <f>'Current Ratio'!G760</f>
        <v>2.8147917236484363</v>
      </c>
      <c r="F691" s="25">
        <f>'Cash Ratio'!G760</f>
        <v>0.81307589210483355</v>
      </c>
      <c r="G691" s="25">
        <f>DAR!G760</f>
        <v>0.70029555679932387</v>
      </c>
      <c r="H691" s="25">
        <f>DER!G760</f>
        <v>2.3366205362875458</v>
      </c>
      <c r="I691" s="25">
        <f>NPM!G760</f>
        <v>0.26830251062967098</v>
      </c>
      <c r="J691" s="25">
        <f>ROA!G760</f>
        <v>5.3392430698617342E-2</v>
      </c>
      <c r="K691" s="25">
        <f>ROE!G760</f>
        <v>0.17815028075131623</v>
      </c>
      <c r="L691" s="25">
        <f>KM!E760</f>
        <v>0.67589999999999995</v>
      </c>
      <c r="M691" s="24">
        <f>KI!E760</f>
        <v>2</v>
      </c>
      <c r="N691" s="108">
        <f>IO!E760</f>
        <v>0</v>
      </c>
      <c r="O691" s="24">
        <f>'BoC Size'!E760</f>
        <v>3</v>
      </c>
      <c r="P691" s="24">
        <f>'TMT E DK'!E760</f>
        <v>5</v>
      </c>
      <c r="Q691" s="24">
        <f>Data!R760</f>
        <v>3</v>
      </c>
      <c r="R691" s="24">
        <f>Data!S760</f>
        <v>4</v>
      </c>
      <c r="S691" s="24">
        <f>'TMT E DK'!E760</f>
        <v>5</v>
      </c>
      <c r="T691" s="24">
        <f>'TMT E DD'!E760</f>
        <v>11</v>
      </c>
      <c r="U691" s="24">
        <f>TA!E760</f>
        <v>914639760000</v>
      </c>
      <c r="V691" s="109">
        <f>PR!F760</f>
        <v>0.26710917374452436</v>
      </c>
      <c r="W691" s="109">
        <f>'Z Score'!I760</f>
        <v>1.2396843294894595</v>
      </c>
      <c r="X691" s="109">
        <f>'Z Score'!L760</f>
        <v>0.36482604561166243</v>
      </c>
      <c r="Y691" s="109">
        <f>'Z Score'!O760</f>
        <v>0.42955743625227927</v>
      </c>
      <c r="Z691" s="109">
        <f>'Z Score'!R760</f>
        <v>0.44936693129824762</v>
      </c>
      <c r="AA691" s="109">
        <f>'Z Score'!S760</f>
        <v>2.483434742651649</v>
      </c>
    </row>
    <row r="692" spans="1:27" ht="15" customHeight="1" x14ac:dyDescent="0.3">
      <c r="A692" s="22"/>
      <c r="B692" s="23">
        <v>70</v>
      </c>
      <c r="C692" s="2" t="s">
        <v>71</v>
      </c>
      <c r="D692" s="23">
        <v>2015</v>
      </c>
      <c r="E692" s="25">
        <f>'Current Ratio'!G762</f>
        <v>1.8507458883727157</v>
      </c>
      <c r="F692" s="25">
        <f>'Cash Ratio'!G762</f>
        <v>9.1670891293418377E-2</v>
      </c>
      <c r="G692" s="25">
        <f>DAR!G762</f>
        <v>0.67468803564894952</v>
      </c>
      <c r="H692" s="25">
        <f>DER!G762</f>
        <v>2.0739724005996925</v>
      </c>
      <c r="I692" s="25">
        <f>NPM!G762</f>
        <v>0.15994745647502123</v>
      </c>
      <c r="J692" s="25">
        <f>ROA!G762</f>
        <v>5.7083204063706504E-2</v>
      </c>
      <c r="K692" s="25">
        <f>ROE!G762</f>
        <v>0.175472193829634</v>
      </c>
      <c r="L692" s="25">
        <f>KM!E762</f>
        <v>0.35460000000000003</v>
      </c>
      <c r="M692" s="24">
        <f>KI!E762</f>
        <v>2</v>
      </c>
      <c r="N692" s="108">
        <f>IO!E762</f>
        <v>6.7999999999999996E-3</v>
      </c>
      <c r="O692" s="24">
        <f>'BoC Size'!E762</f>
        <v>4</v>
      </c>
      <c r="P692" s="24">
        <f>'TMT E DK'!E762</f>
        <v>10</v>
      </c>
      <c r="Q692" s="24">
        <f>Data!R762</f>
        <v>4</v>
      </c>
      <c r="R692" s="24">
        <f>Data!S762</f>
        <v>4</v>
      </c>
      <c r="S692" s="24">
        <f>'TMT E DK'!E762</f>
        <v>10</v>
      </c>
      <c r="T692" s="24">
        <f>'TMT E DD'!E762</f>
        <v>10</v>
      </c>
      <c r="U692" s="24">
        <f>TA!E762</f>
        <v>494002999000</v>
      </c>
      <c r="V692" s="109">
        <f>PR!F762</f>
        <v>0.33623094632944622</v>
      </c>
      <c r="W692" s="109">
        <f>'Z Score'!I762</f>
        <v>0.86063061556433995</v>
      </c>
      <c r="X692" s="109">
        <f>'Z Score'!L762</f>
        <v>0.4925107819031681</v>
      </c>
      <c r="Y692" s="109">
        <f>'Z Score'!O762</f>
        <v>0.41450601930455078</v>
      </c>
      <c r="Z692" s="109">
        <f>'Z Score'!R762</f>
        <v>0.50627481816845343</v>
      </c>
      <c r="AA692" s="109">
        <f>'Z Score'!S762</f>
        <v>2.2739222349405122</v>
      </c>
    </row>
    <row r="693" spans="1:27" ht="15" customHeight="1" x14ac:dyDescent="0.3">
      <c r="A693" s="22"/>
      <c r="B693" s="23"/>
      <c r="C693" s="2"/>
      <c r="D693" s="23">
        <v>2016</v>
      </c>
      <c r="E693" s="25">
        <f>'Current Ratio'!G763</f>
        <v>4.3256644689743293</v>
      </c>
      <c r="F693" s="25">
        <f>'Cash Ratio'!G763</f>
        <v>0.35814234911022391</v>
      </c>
      <c r="G693" s="25">
        <f>DAR!G763</f>
        <v>0.66980032642400056</v>
      </c>
      <c r="H693" s="25">
        <f>DER!G763</f>
        <v>2.0284705892352677</v>
      </c>
      <c r="I693" s="25">
        <f>NPM!G763</f>
        <v>7.5663671851891628E-2</v>
      </c>
      <c r="J693" s="25">
        <f>ROA!G763</f>
        <v>2.910213928409006E-2</v>
      </c>
      <c r="K693" s="25">
        <f>ROE!G763</f>
        <v>8.8134972905695053E-2</v>
      </c>
      <c r="L693" s="25">
        <f>KM!E763</f>
        <v>0.35460000000000003</v>
      </c>
      <c r="M693" s="24">
        <f>KI!E763</f>
        <v>3</v>
      </c>
      <c r="N693" s="108">
        <f>IO!E763</f>
        <v>6.7999999999999996E-3</v>
      </c>
      <c r="O693" s="24">
        <f>'BoC Size'!E763</f>
        <v>6</v>
      </c>
      <c r="P693" s="24">
        <f>'TMT E DK'!E763</f>
        <v>14</v>
      </c>
      <c r="Q693" s="24">
        <f>Data!R763</f>
        <v>6</v>
      </c>
      <c r="R693" s="24">
        <f>Data!S763</f>
        <v>3</v>
      </c>
      <c r="S693" s="24">
        <f>'TMT E DK'!E763</f>
        <v>14</v>
      </c>
      <c r="T693" s="24">
        <f>'TMT E DD'!E763</f>
        <v>7</v>
      </c>
      <c r="U693" s="24">
        <f>TA!E763</f>
        <v>525898830000</v>
      </c>
      <c r="V693" s="109">
        <f>PR!F763</f>
        <v>0.14730561005757351</v>
      </c>
      <c r="W693" s="109">
        <f>'Z Score'!I763</f>
        <v>2.4233187503383489</v>
      </c>
      <c r="X693" s="109">
        <f>'Z Score'!L763</f>
        <v>0.54191867987232445</v>
      </c>
      <c r="Y693" s="109">
        <f>'Z Score'!O763</f>
        <v>0.23933911455935356</v>
      </c>
      <c r="Z693" s="109">
        <f>'Z Score'!R763</f>
        <v>0.51763136501567386</v>
      </c>
      <c r="AA693" s="109">
        <f>'Z Score'!S763</f>
        <v>3.722207909785701</v>
      </c>
    </row>
    <row r="694" spans="1:27" ht="15" customHeight="1" x14ac:dyDescent="0.3">
      <c r="A694" s="22"/>
      <c r="B694" s="23"/>
      <c r="C694" s="2"/>
      <c r="D694" s="23">
        <v>2017</v>
      </c>
      <c r="E694" s="25">
        <f>'Current Ratio'!G764</f>
        <v>2.7792419955151653</v>
      </c>
      <c r="F694" s="25">
        <f>'Cash Ratio'!G764</f>
        <v>0.182977313493841</v>
      </c>
      <c r="G694" s="25">
        <f>DAR!G764</f>
        <v>0.63755901158467665</v>
      </c>
      <c r="H694" s="25">
        <f>DER!G764</f>
        <v>1.7590698402303602</v>
      </c>
      <c r="I694" s="25">
        <f>NPM!G764</f>
        <v>5.9773659731403993E-2</v>
      </c>
      <c r="J694" s="25">
        <f>ROA!G764</f>
        <v>1.8303572336325586E-2</v>
      </c>
      <c r="K694" s="25">
        <f>ROE!G764</f>
        <v>5.0500834401630675E-2</v>
      </c>
      <c r="L694" s="25">
        <f>KM!E764</f>
        <v>0.35460000000000003</v>
      </c>
      <c r="M694" s="24">
        <f>KI!E764</f>
        <v>3</v>
      </c>
      <c r="N694" s="108">
        <f>IO!E764</f>
        <v>6.7999999999999996E-3</v>
      </c>
      <c r="O694" s="24">
        <f>'BoC Size'!E764</f>
        <v>6</v>
      </c>
      <c r="P694" s="24">
        <f>'TMT E DK'!E764</f>
        <v>14</v>
      </c>
      <c r="Q694" s="24">
        <f>Data!R764</f>
        <v>6</v>
      </c>
      <c r="R694" s="24">
        <f>Data!S764</f>
        <v>3</v>
      </c>
      <c r="S694" s="24">
        <f>'TMT E DK'!E764</f>
        <v>14</v>
      </c>
      <c r="T694" s="24">
        <f>'TMT E DD'!E764</f>
        <v>7</v>
      </c>
      <c r="U694" s="24">
        <f>TA!E764</f>
        <v>738183659000</v>
      </c>
      <c r="V694" s="109">
        <f>PR!F764</f>
        <v>0.11750823885604501</v>
      </c>
      <c r="W694" s="109">
        <f>'Z Score'!I764</f>
        <v>1.8837626815578155</v>
      </c>
      <c r="X694" s="109">
        <f>'Z Score'!L764</f>
        <v>0.42118160529478743</v>
      </c>
      <c r="Y694" s="109">
        <f>'Z Score'!O764</f>
        <v>0.12680992625440926</v>
      </c>
      <c r="Z694" s="109">
        <f>'Z Score'!R764</f>
        <v>0.59690637403145774</v>
      </c>
      <c r="AA694" s="109">
        <f>'Z Score'!S764</f>
        <v>3.0286605871384698</v>
      </c>
    </row>
    <row r="695" spans="1:27" ht="15" customHeight="1" x14ac:dyDescent="0.3">
      <c r="A695" s="22"/>
      <c r="B695" s="23"/>
      <c r="C695" s="2"/>
      <c r="D695" s="23">
        <v>2018</v>
      </c>
      <c r="E695" s="25">
        <f>'Current Ratio'!G765</f>
        <v>3.3601730315706191</v>
      </c>
      <c r="F695" s="25">
        <f>'Cash Ratio'!G765</f>
        <v>0.18312726336948867</v>
      </c>
      <c r="G695" s="25">
        <f>DAR!G765</f>
        <v>0.67824970578161592</v>
      </c>
      <c r="H695" s="25">
        <f>DER!G765</f>
        <v>2.1080002659492902</v>
      </c>
      <c r="I695" s="25">
        <f>NPM!G765</f>
        <v>5.2610661154953837E-2</v>
      </c>
      <c r="J695" s="25">
        <f>ROA!G765</f>
        <v>1.5937050983792191E-2</v>
      </c>
      <c r="K695" s="25">
        <f>ROE!G765</f>
        <v>4.9532358696073531E-2</v>
      </c>
      <c r="L695" s="25">
        <f>KM!E765</f>
        <v>0.35460000000000003</v>
      </c>
      <c r="M695" s="24">
        <f>KI!E765</f>
        <v>4</v>
      </c>
      <c r="N695" s="108">
        <f>IO!E765</f>
        <v>6.7999999999999996E-3</v>
      </c>
      <c r="O695" s="24">
        <f>'BoC Size'!E765</f>
        <v>7</v>
      </c>
      <c r="P695" s="24">
        <f>'TMT E DK'!E765</f>
        <v>20</v>
      </c>
      <c r="Q695" s="24">
        <f>Data!R765</f>
        <v>7</v>
      </c>
      <c r="R695" s="24">
        <f>Data!S765</f>
        <v>3</v>
      </c>
      <c r="S695" s="24">
        <f>'TMT E DK'!E765</f>
        <v>20</v>
      </c>
      <c r="T695" s="24">
        <f>'TMT E DD'!E765</f>
        <v>7</v>
      </c>
      <c r="U695" s="24">
        <f>TA!E765</f>
        <v>874472888000</v>
      </c>
      <c r="V695" s="109">
        <f>PR!F765</f>
        <v>0.17189880551582215</v>
      </c>
      <c r="W695" s="109">
        <f>'Z Score'!I765</f>
        <v>2.3180479411272494</v>
      </c>
      <c r="X695" s="109">
        <f>'Z Score'!L765</f>
        <v>0.4210245693746425</v>
      </c>
      <c r="Y695" s="109">
        <f>'Z Score'!O765</f>
        <v>0.11691976014698353</v>
      </c>
      <c r="Z695" s="109">
        <f>'Z Score'!R765</f>
        <v>0.49810240395162203</v>
      </c>
      <c r="AA695" s="109">
        <f>'Z Score'!S765</f>
        <v>3.3540946746004976</v>
      </c>
    </row>
    <row r="696" spans="1:27" ht="15" customHeight="1" x14ac:dyDescent="0.3">
      <c r="A696" s="22"/>
      <c r="B696" s="23"/>
      <c r="C696" s="2"/>
      <c r="D696" s="23">
        <v>2019</v>
      </c>
      <c r="E696" s="25">
        <f>'Current Ratio'!G766</f>
        <v>5.3742192808517624</v>
      </c>
      <c r="F696" s="25">
        <f>'Cash Ratio'!G766</f>
        <v>0.30607874942037638</v>
      </c>
      <c r="G696" s="25">
        <f>DAR!G766</f>
        <v>0.66008338097213137</v>
      </c>
      <c r="H696" s="25">
        <f>DER!G766</f>
        <v>1.9418979362053888</v>
      </c>
      <c r="I696" s="25">
        <f>NPM!G766</f>
        <v>3.1933479850117193E-2</v>
      </c>
      <c r="J696" s="25">
        <f>ROA!G766</f>
        <v>9.3397874524493198E-3</v>
      </c>
      <c r="K696" s="25">
        <f>ROE!G766</f>
        <v>2.747670143095764E-2</v>
      </c>
      <c r="L696" s="25">
        <f>KM!E766</f>
        <v>0.35460000000000003</v>
      </c>
      <c r="M696" s="24">
        <f>KI!E766</f>
        <v>3</v>
      </c>
      <c r="N696" s="108">
        <f>IO!E766</f>
        <v>6.7999999999999996E-3</v>
      </c>
      <c r="O696" s="24">
        <f>'BoC Size'!E766</f>
        <v>5</v>
      </c>
      <c r="P696" s="24">
        <f>'TMT E DK'!E766</f>
        <v>13</v>
      </c>
      <c r="Q696" s="24">
        <f>Data!R766</f>
        <v>5</v>
      </c>
      <c r="R696" s="24">
        <f>Data!S766</f>
        <v>4</v>
      </c>
      <c r="S696" s="24">
        <f>'TMT E DK'!E766</f>
        <v>13</v>
      </c>
      <c r="T696" s="24">
        <f>'TMT E DD'!E766</f>
        <v>13</v>
      </c>
      <c r="U696" s="24">
        <f>TA!E766</f>
        <v>857520585000</v>
      </c>
      <c r="V696" s="109">
        <f>PR!F766</f>
        <v>-5.3207631755938269E-2</v>
      </c>
      <c r="W696" s="109">
        <f>'Z Score'!I766</f>
        <v>2.7819426787054913</v>
      </c>
      <c r="X696" s="109">
        <f>'Z Score'!L766</f>
        <v>0.46710087693113511</v>
      </c>
      <c r="Y696" s="109">
        <f>'Z Score'!O766</f>
        <v>6.2243965373729192E-2</v>
      </c>
      <c r="Z696" s="109">
        <f>'Z Score'!R766</f>
        <v>0.54070812910578459</v>
      </c>
      <c r="AA696" s="109">
        <f>'Z Score'!S766</f>
        <v>3.8519956501161401</v>
      </c>
    </row>
    <row r="697" spans="1:27" ht="15" customHeight="1" x14ac:dyDescent="0.3">
      <c r="A697" s="22"/>
      <c r="B697" s="23"/>
      <c r="C697" s="2"/>
      <c r="D697" s="23">
        <v>2020</v>
      </c>
      <c r="E697" s="25">
        <f>'Current Ratio'!G767</f>
        <v>4.1893893727036824</v>
      </c>
      <c r="F697" s="25">
        <f>'Cash Ratio'!G767</f>
        <v>0.26291953581630162</v>
      </c>
      <c r="G697" s="25">
        <f>DAR!G767</f>
        <v>0.64007476162414423</v>
      </c>
      <c r="H697" s="25">
        <f>DER!G767</f>
        <v>1.778354761984597</v>
      </c>
      <c r="I697" s="25">
        <f>NPM!G767</f>
        <v>0.10225209285977899</v>
      </c>
      <c r="J697" s="25">
        <f>ROA!G767</f>
        <v>2.7149736950497366E-2</v>
      </c>
      <c r="K697" s="25">
        <f>ROE!G767</f>
        <v>7.5431600943043534E-2</v>
      </c>
      <c r="L697" s="25">
        <f>KM!E767</f>
        <v>0.35460000000000003</v>
      </c>
      <c r="M697" s="24">
        <f>KI!E767</f>
        <v>3</v>
      </c>
      <c r="N697" s="108">
        <f>IO!E767</f>
        <v>6.7999999999999996E-3</v>
      </c>
      <c r="O697" s="24">
        <f>'BoC Size'!E767</f>
        <v>5</v>
      </c>
      <c r="P697" s="24">
        <f>'TMT E DK'!E767</f>
        <v>13</v>
      </c>
      <c r="Q697" s="24">
        <f>Data!R767</f>
        <v>5</v>
      </c>
      <c r="R697" s="24">
        <f>Data!S767</f>
        <v>4</v>
      </c>
      <c r="S697" s="24">
        <f>'TMT E DK'!E767</f>
        <v>13</v>
      </c>
      <c r="T697" s="24">
        <f>'TMT E DD'!E767</f>
        <v>13</v>
      </c>
      <c r="U697" s="24">
        <f>TA!E767</f>
        <v>871769183000</v>
      </c>
      <c r="V697" s="109">
        <f>PR!F767</f>
        <v>-7.7089402619377384E-2</v>
      </c>
      <c r="W697" s="109">
        <f>'Z Score'!I767</f>
        <v>2.4473585232480048</v>
      </c>
      <c r="X697" s="109">
        <f>'Z Score'!L767</f>
        <v>0.55760231015186046</v>
      </c>
      <c r="Y697" s="109">
        <f>'Z Score'!O767</f>
        <v>0.14358901402001037</v>
      </c>
      <c r="Z697" s="109">
        <f>'Z Score'!R767</f>
        <v>0.59043337271368046</v>
      </c>
      <c r="AA697" s="109">
        <f>'Z Score'!S767</f>
        <v>3.738983220133556</v>
      </c>
    </row>
    <row r="698" spans="1:27" ht="15" customHeight="1" x14ac:dyDescent="0.3">
      <c r="A698" s="22"/>
      <c r="B698" s="23"/>
      <c r="C698" s="2"/>
      <c r="D698" s="23">
        <v>2021</v>
      </c>
      <c r="E698" s="25">
        <f>'Current Ratio'!G768</f>
        <v>3.5477426214316514</v>
      </c>
      <c r="F698" s="25">
        <f>'Cash Ratio'!G768</f>
        <v>0.1521875102497959</v>
      </c>
      <c r="G698" s="25">
        <f>DAR!G768</f>
        <v>0.52261074455345413</v>
      </c>
      <c r="H698" s="25">
        <f>DER!G768</f>
        <v>1.4024586077883134</v>
      </c>
      <c r="I698" s="25">
        <f>NPM!G768</f>
        <v>8.0182443629366121E-2</v>
      </c>
      <c r="J698" s="25">
        <f>ROA!G768</f>
        <v>1.7251420539297443E-2</v>
      </c>
      <c r="K698" s="25">
        <f>ROE!G768</f>
        <v>4.6295265614155645E-2</v>
      </c>
      <c r="L698" s="25">
        <f>KM!E768</f>
        <v>0.35460000000000003</v>
      </c>
      <c r="M698" s="24">
        <f>KI!E768</f>
        <v>3</v>
      </c>
      <c r="N698" s="108">
        <f>IO!E768</f>
        <v>6.7999999999999996E-3</v>
      </c>
      <c r="O698" s="24">
        <f>'BoC Size'!E768</f>
        <v>5</v>
      </c>
      <c r="P698" s="24">
        <f>'TMT E DK'!E768</f>
        <v>13</v>
      </c>
      <c r="Q698" s="24">
        <f>Data!R768</f>
        <v>5</v>
      </c>
      <c r="R698" s="24">
        <f>Data!S768</f>
        <v>4</v>
      </c>
      <c r="S698" s="24">
        <f>'TMT E DK'!E768</f>
        <v>13</v>
      </c>
      <c r="T698" s="24">
        <f>'TMT E DD'!E768</f>
        <v>16</v>
      </c>
      <c r="U698" s="24">
        <f>TA!E768</f>
        <v>954657152000</v>
      </c>
      <c r="V698" s="109">
        <f>PR!F768</f>
        <v>-0.1126436285827616</v>
      </c>
      <c r="W698" s="109">
        <f>'Z Score'!I768</f>
        <v>2.2076351277154624</v>
      </c>
      <c r="X698" s="109">
        <f>'Z Score'!L768</f>
        <v>0.57064216792250033</v>
      </c>
      <c r="Y698" s="109">
        <f>'Z Score'!O768</f>
        <v>8.6687948889948713E-2</v>
      </c>
      <c r="Z698" s="109">
        <f>'Z Score'!R768</f>
        <v>0.7486851976728619</v>
      </c>
      <c r="AA698" s="109">
        <f>'Z Score'!S768</f>
        <v>3.6136504422007736</v>
      </c>
    </row>
    <row r="699" spans="1:27" ht="15" customHeight="1" x14ac:dyDescent="0.3">
      <c r="A699" s="22"/>
      <c r="B699" s="23"/>
      <c r="C699" s="2"/>
      <c r="D699" s="23">
        <v>2022</v>
      </c>
      <c r="E699" s="25">
        <f>'Current Ratio'!G769</f>
        <v>5.5430853115141394</v>
      </c>
      <c r="F699" s="25">
        <f>'Cash Ratio'!G769</f>
        <v>0.2991773817631152</v>
      </c>
      <c r="G699" s="25">
        <f>DAR!G769</f>
        <v>0.62694734538847741</v>
      </c>
      <c r="H699" s="25">
        <f>DER!G769</f>
        <v>1.6805867419475873</v>
      </c>
      <c r="I699" s="25">
        <f>NPM!G769</f>
        <v>2.3032523684388195E-2</v>
      </c>
      <c r="J699" s="25">
        <f>ROA!G769</f>
        <v>5.2006093729435781E-3</v>
      </c>
      <c r="K699" s="25">
        <f>ROE!G769</f>
        <v>1.394068453516091E-2</v>
      </c>
      <c r="L699" s="25">
        <f>KM!E769</f>
        <v>0.35460000000000003</v>
      </c>
      <c r="M699" s="24">
        <f>KI!E769</f>
        <v>3</v>
      </c>
      <c r="N699" s="108">
        <f>IO!E769</f>
        <v>6.7999999999999996E-3</v>
      </c>
      <c r="O699" s="24">
        <f>'BoC Size'!E769</f>
        <v>5</v>
      </c>
      <c r="P699" s="24">
        <f>'TMT E DK'!E769</f>
        <v>13</v>
      </c>
      <c r="Q699" s="24">
        <f>Data!R769</f>
        <v>5</v>
      </c>
      <c r="R699" s="24">
        <f>Data!S769</f>
        <v>5</v>
      </c>
      <c r="S699" s="24">
        <f>'TMT E DK'!E769</f>
        <v>13</v>
      </c>
      <c r="T699" s="24">
        <f>'TMT E DD'!E769</f>
        <v>17</v>
      </c>
      <c r="U699" s="24">
        <f>TA!E769</f>
        <v>989810930000</v>
      </c>
      <c r="V699" s="109">
        <f>PR!F769</f>
        <v>8.8107861671088777E-2</v>
      </c>
      <c r="W699" s="109">
        <f>'Z Score'!I769</f>
        <v>2.7409073003467439</v>
      </c>
      <c r="X699" s="109">
        <f>'Z Score'!L769</f>
        <v>0.58845348680883935</v>
      </c>
      <c r="Y699" s="109">
        <f>'Z Score'!O769</f>
        <v>4.0585826224408331E-2</v>
      </c>
      <c r="Z699" s="109">
        <f>'Z Score'!R769</f>
        <v>0.62478179423406788</v>
      </c>
      <c r="AA699" s="109">
        <f>'Z Score'!S769</f>
        <v>3.9947284076140597</v>
      </c>
    </row>
    <row r="700" spans="1:27" ht="15" customHeight="1" x14ac:dyDescent="0.3">
      <c r="A700" s="22"/>
      <c r="B700" s="23"/>
      <c r="C700" s="2"/>
      <c r="D700" s="23">
        <v>2023</v>
      </c>
      <c r="E700" s="25">
        <f>'Current Ratio'!G770</f>
        <v>5.1188382048953081</v>
      </c>
      <c r="F700" s="25">
        <f>'Cash Ratio'!G770</f>
        <v>0.17477503809457226</v>
      </c>
      <c r="G700" s="25">
        <f>DAR!G770</f>
        <v>0.60046844795112764</v>
      </c>
      <c r="H700" s="25">
        <f>DER!G770</f>
        <v>1.5029312325192172</v>
      </c>
      <c r="I700" s="25">
        <f>NPM!G770</f>
        <v>3.1228365340865278E-2</v>
      </c>
      <c r="J700" s="25">
        <f>ROA!G770</f>
        <v>6.0048664085295125E-3</v>
      </c>
      <c r="K700" s="25">
        <f>ROE!G770</f>
        <v>1.5029767681014017E-2</v>
      </c>
      <c r="L700" s="25">
        <f>KM!E770</f>
        <v>0.35460000000000003</v>
      </c>
      <c r="M700" s="24">
        <f>KI!E770</f>
        <v>3</v>
      </c>
      <c r="N700" s="108">
        <f>IO!E770</f>
        <v>6.7999999999999996E-3</v>
      </c>
      <c r="O700" s="24">
        <f>'BoC Size'!E770</f>
        <v>5</v>
      </c>
      <c r="P700" s="24">
        <f>'TMT E DK'!E770</f>
        <v>13</v>
      </c>
      <c r="Q700" s="24">
        <f>Data!R770</f>
        <v>5</v>
      </c>
      <c r="R700" s="24">
        <f>Data!S770</f>
        <v>4</v>
      </c>
      <c r="S700" s="24">
        <f>'TMT E DK'!E770</f>
        <v>13</v>
      </c>
      <c r="T700" s="24">
        <f>'TMT E DD'!E770</f>
        <v>16</v>
      </c>
      <c r="U700" s="24">
        <f>TA!E770</f>
        <v>970378457000</v>
      </c>
      <c r="V700" s="109">
        <f>PR!F770</f>
        <v>-0.16510801527501945</v>
      </c>
      <c r="W700" s="109">
        <f>'Z Score'!I770</f>
        <v>2.5795711919437219</v>
      </c>
      <c r="X700" s="109">
        <f>'Z Score'!L770</f>
        <v>0.64318411322686642</v>
      </c>
      <c r="Y700" s="109">
        <f>'Z Score'!O770</f>
        <v>4.7215966254700148E-2</v>
      </c>
      <c r="Z700" s="109">
        <f>'Z Score'!R770</f>
        <v>0.69863475938282771</v>
      </c>
      <c r="AA700" s="109">
        <f>'Z Score'!S770</f>
        <v>3.9686060308081164</v>
      </c>
    </row>
    <row r="701" spans="1:27" ht="15" customHeight="1" x14ac:dyDescent="0.3">
      <c r="A701" s="22"/>
      <c r="B701" s="23"/>
      <c r="C701" s="2"/>
      <c r="D701" s="23">
        <v>2024</v>
      </c>
      <c r="E701" s="25">
        <f>'Current Ratio'!G771</f>
        <v>3.2760747225062765</v>
      </c>
      <c r="F701" s="25">
        <f>'Cash Ratio'!G771</f>
        <v>9.020807791086867E-2</v>
      </c>
      <c r="G701" s="25">
        <f>DAR!G771</f>
        <v>0.53266951082778702</v>
      </c>
      <c r="H701" s="25">
        <f>DER!G771</f>
        <v>1.139813308075212</v>
      </c>
      <c r="I701" s="25">
        <f>NPM!G771</f>
        <v>5.9794244237588584E-2</v>
      </c>
      <c r="J701" s="25">
        <f>ROA!G771</f>
        <v>1.0956301893874022E-2</v>
      </c>
      <c r="K701" s="25">
        <f>ROE!G771</f>
        <v>2.3444440599801279E-2</v>
      </c>
      <c r="L701" s="25">
        <f>KM!E771</f>
        <v>0.35460000000000003</v>
      </c>
      <c r="M701" s="24">
        <f>KI!E771</f>
        <v>2</v>
      </c>
      <c r="N701" s="108">
        <f>IO!E771</f>
        <v>6.7999999999999996E-3</v>
      </c>
      <c r="O701" s="24">
        <f>'BoC Size'!E771</f>
        <v>4</v>
      </c>
      <c r="P701" s="24">
        <f>'TMT E DK'!E771</f>
        <v>13</v>
      </c>
      <c r="Q701" s="24">
        <f>Data!R771</f>
        <v>4</v>
      </c>
      <c r="R701" s="24">
        <f>Data!S771</f>
        <v>4</v>
      </c>
      <c r="S701" s="24">
        <f>'TMT E DK'!E771</f>
        <v>13</v>
      </c>
      <c r="T701" s="24">
        <f>'TMT E DD'!E771</f>
        <v>16</v>
      </c>
      <c r="U701" s="24">
        <f>TA!E771</f>
        <v>903498744000</v>
      </c>
      <c r="V701" s="109">
        <f>PR!F771</f>
        <v>-0.11276857096363273</v>
      </c>
      <c r="W701" s="109">
        <f>'Z Score'!I771</f>
        <v>1.8297405565845477</v>
      </c>
      <c r="X701" s="109">
        <f>'Z Score'!L771</f>
        <v>0.7584758729006047</v>
      </c>
      <c r="Y701" s="109">
        <f>'Z Score'!O771</f>
        <v>1.5942859573028913E-2</v>
      </c>
      <c r="Z701" s="109">
        <f>'Z Score'!R771</f>
        <v>0.92120349232728438</v>
      </c>
      <c r="AA701" s="109">
        <f>'Z Score'!S771</f>
        <v>3.525362781385466</v>
      </c>
    </row>
    <row r="702" spans="1:27" ht="15" customHeight="1" x14ac:dyDescent="0.3">
      <c r="A702" s="22"/>
      <c r="B702" s="23">
        <v>71</v>
      </c>
      <c r="C702" s="2" t="s">
        <v>73</v>
      </c>
      <c r="D702" s="23">
        <v>2015</v>
      </c>
      <c r="E702" s="25">
        <f>'Current Ratio'!G773</f>
        <v>2.3118228705710013</v>
      </c>
      <c r="F702" s="25">
        <f>'Cash Ratio'!G773</f>
        <v>0.10429700613422041</v>
      </c>
      <c r="G702" s="25">
        <f>DAR!G773</f>
        <v>0.63108111198928574</v>
      </c>
      <c r="H702" s="25">
        <f>DER!G773</f>
        <v>1.7106229377200053</v>
      </c>
      <c r="I702" s="25">
        <f>NPM!G773</f>
        <v>0.19176423092450545</v>
      </c>
      <c r="J702" s="25">
        <f>ROA!G773</f>
        <v>6.3978266449466706E-2</v>
      </c>
      <c r="K702" s="25">
        <f>ROE!G773</f>
        <v>0.17342095655348666</v>
      </c>
      <c r="L702" s="25">
        <f>KM!E773</f>
        <v>0.22220000000000001</v>
      </c>
      <c r="M702" s="24">
        <f>KI!E773</f>
        <v>2</v>
      </c>
      <c r="N702" s="108">
        <f>IO!E773</f>
        <v>0.32219999999999999</v>
      </c>
      <c r="O702" s="24">
        <f>'BoC Size'!E773</f>
        <v>4</v>
      </c>
      <c r="P702" s="24">
        <f>'TMT E DK'!E773</f>
        <v>0</v>
      </c>
      <c r="Q702" s="24">
        <f>Data!R773</f>
        <v>4</v>
      </c>
      <c r="R702" s="24">
        <f>Data!S773</f>
        <v>3</v>
      </c>
      <c r="S702" s="24">
        <f>'TMT E DK'!E773</f>
        <v>0</v>
      </c>
      <c r="T702" s="24">
        <f>'TMT E DD'!E773</f>
        <v>0</v>
      </c>
      <c r="U702" s="24">
        <f>TA!E773</f>
        <v>393493000000</v>
      </c>
      <c r="V702" s="109">
        <f>PR!F773</f>
        <v>1.8677157533715103E-2</v>
      </c>
      <c r="W702" s="109">
        <f>'Z Score'!I773</f>
        <v>1.4332062832121537</v>
      </c>
      <c r="X702" s="109">
        <f>'Z Score'!L773</f>
        <v>0.79106322094675119</v>
      </c>
      <c r="Y702" s="109">
        <f>'Z Score'!O773</f>
        <v>0.50593021985143316</v>
      </c>
      <c r="Z702" s="109">
        <f>'Z Score'!R773</f>
        <v>0.61381148168133826</v>
      </c>
      <c r="AA702" s="109">
        <f>'Z Score'!S773</f>
        <v>3.3440112056916762</v>
      </c>
    </row>
    <row r="703" spans="1:27" ht="15" customHeight="1" x14ac:dyDescent="0.3">
      <c r="A703" s="22"/>
      <c r="B703" s="23"/>
      <c r="C703" s="2"/>
      <c r="D703" s="23">
        <v>2016</v>
      </c>
      <c r="E703" s="25">
        <f>'Current Ratio'!G774</f>
        <v>1.8635571945081741</v>
      </c>
      <c r="F703" s="25">
        <f>'Cash Ratio'!G774</f>
        <v>0.11184250039038571</v>
      </c>
      <c r="G703" s="25">
        <f>DAR!G774</f>
        <v>0.62535652782262408</v>
      </c>
      <c r="H703" s="25">
        <f>DER!G774</f>
        <v>1.6692043883432388</v>
      </c>
      <c r="I703" s="25">
        <f>NPM!G774</f>
        <v>0.28150169974468564</v>
      </c>
      <c r="J703" s="25">
        <f>ROA!G774</f>
        <v>8.9497452732034591E-2</v>
      </c>
      <c r="K703" s="25">
        <f>ROE!G774</f>
        <v>0.23888699357788831</v>
      </c>
      <c r="L703" s="25">
        <f>KM!E774</f>
        <v>0.22220000000000001</v>
      </c>
      <c r="M703" s="24">
        <f>KI!E774</f>
        <v>2</v>
      </c>
      <c r="N703" s="108">
        <f>IO!E774</f>
        <v>0.32219999999999999</v>
      </c>
      <c r="O703" s="24">
        <f>'BoC Size'!E774</f>
        <v>4</v>
      </c>
      <c r="P703" s="24">
        <f>'TMT E DK'!E774</f>
        <v>0</v>
      </c>
      <c r="Q703" s="24">
        <f>Data!R774</f>
        <v>4</v>
      </c>
      <c r="R703" s="24">
        <f>Data!S774</f>
        <v>3</v>
      </c>
      <c r="S703" s="24">
        <f>'TMT E DK'!E774</f>
        <v>0</v>
      </c>
      <c r="T703" s="24">
        <f>'TMT E DD'!E774</f>
        <v>0</v>
      </c>
      <c r="U703" s="24">
        <f>TA!E774</f>
        <v>445968000000</v>
      </c>
      <c r="V703" s="109">
        <f>PR!F774</f>
        <v>8.0019195466213694E-2</v>
      </c>
      <c r="W703" s="109">
        <f>'Z Score'!I774</f>
        <v>1.057500807232806</v>
      </c>
      <c r="X703" s="109">
        <f>'Z Score'!L774</f>
        <v>0.85349415204678369</v>
      </c>
      <c r="Y703" s="109">
        <f>'Z Score'!O774</f>
        <v>0.72486277042298997</v>
      </c>
      <c r="Z703" s="109">
        <f>'Z Score'!R774</f>
        <v>0.62904219958478103</v>
      </c>
      <c r="AA703" s="109">
        <f>'Z Score'!S774</f>
        <v>3.2648999292873606</v>
      </c>
    </row>
    <row r="704" spans="1:27" ht="15" customHeight="1" x14ac:dyDescent="0.3">
      <c r="A704" s="22"/>
      <c r="B704" s="23"/>
      <c r="C704" s="2"/>
      <c r="D704" s="23">
        <v>2017</v>
      </c>
      <c r="E704" s="25">
        <f>'Current Ratio'!G775</f>
        <v>1.5892288038727895</v>
      </c>
      <c r="F704" s="25">
        <f>'Cash Ratio'!G775</f>
        <v>0.13043770591003834</v>
      </c>
      <c r="G704" s="25">
        <f>DAR!G775</f>
        <v>0.56104826746427894</v>
      </c>
      <c r="H704" s="25">
        <f>DER!G775</f>
        <v>1.2781548080998222</v>
      </c>
      <c r="I704" s="25">
        <f>NPM!G775</f>
        <v>0.25811345915715278</v>
      </c>
      <c r="J704" s="25">
        <f>ROA!G775</f>
        <v>9.1656962276094336E-2</v>
      </c>
      <c r="K704" s="25">
        <f>ROE!G775</f>
        <v>0.20880874930510834</v>
      </c>
      <c r="L704" s="25">
        <f>KM!E775</f>
        <v>0.25319999999999998</v>
      </c>
      <c r="M704" s="24">
        <f>KI!E775</f>
        <v>2</v>
      </c>
      <c r="N704" s="108">
        <f>IO!E775</f>
        <v>0.36709999999999998</v>
      </c>
      <c r="O704" s="24">
        <f>'BoC Size'!E775</f>
        <v>4</v>
      </c>
      <c r="P704" s="24">
        <f>'TMT E DK'!E775</f>
        <v>0</v>
      </c>
      <c r="Q704" s="24">
        <f>Data!R775</f>
        <v>4</v>
      </c>
      <c r="R704" s="24">
        <f>Data!S775</f>
        <v>3</v>
      </c>
      <c r="S704" s="24">
        <f>'TMT E DK'!E775</f>
        <v>0</v>
      </c>
      <c r="T704" s="24">
        <f>'TMT E DD'!E775</f>
        <v>0</v>
      </c>
      <c r="U704" s="24">
        <f>TA!E775</f>
        <v>413902000000</v>
      </c>
      <c r="V704" s="109">
        <f>PR!F775</f>
        <v>3.6618566007927442E-2</v>
      </c>
      <c r="W704" s="109">
        <f>'Z Score'!I775</f>
        <v>0.69447859638271858</v>
      </c>
      <c r="X704" s="109">
        <f>'Z Score'!L775</f>
        <v>1.0339009717276069</v>
      </c>
      <c r="Y704" s="109">
        <f>'Z Score'!O775</f>
        <v>0.77631130074268784</v>
      </c>
      <c r="Z704" s="109">
        <f>'Z Score'!R775</f>
        <v>0.82149673368673548</v>
      </c>
      <c r="AA704" s="109">
        <f>'Z Score'!S775</f>
        <v>3.3261876025397488</v>
      </c>
    </row>
    <row r="705" spans="1:27" ht="15" customHeight="1" x14ac:dyDescent="0.3">
      <c r="A705" s="22"/>
      <c r="B705" s="23"/>
      <c r="C705" s="2"/>
      <c r="D705" s="23">
        <v>2018</v>
      </c>
      <c r="E705" s="25">
        <f>'Current Ratio'!G776</f>
        <v>1.4857977711334602</v>
      </c>
      <c r="F705" s="25">
        <f>'Cash Ratio'!G776</f>
        <v>0.12201005708072846</v>
      </c>
      <c r="G705" s="25">
        <f>DAR!G776</f>
        <v>0.56652916629401229</v>
      </c>
      <c r="H705" s="25">
        <f>DER!G776</f>
        <v>1.3069602894626924</v>
      </c>
      <c r="I705" s="25">
        <f>NPM!G776</f>
        <v>0.26447063035875273</v>
      </c>
      <c r="J705" s="25">
        <f>ROA!G776</f>
        <v>9.0231074793367699E-2</v>
      </c>
      <c r="K705" s="25">
        <f>ROE!G776</f>
        <v>0.2081595064238374</v>
      </c>
      <c r="L705" s="25">
        <f>KM!E776</f>
        <v>0.25319999999999998</v>
      </c>
      <c r="M705" s="24">
        <f>KI!E776</f>
        <v>2</v>
      </c>
      <c r="N705" s="108">
        <f>IO!E776</f>
        <v>0.36709999999999998</v>
      </c>
      <c r="O705" s="24">
        <f>'BoC Size'!E776</f>
        <v>4</v>
      </c>
      <c r="P705" s="24">
        <f>'TMT E DK'!E776</f>
        <v>0</v>
      </c>
      <c r="Q705" s="24">
        <f>Data!R776</f>
        <v>4</v>
      </c>
      <c r="R705" s="24">
        <f>Data!S776</f>
        <v>3</v>
      </c>
      <c r="S705" s="24">
        <f>'TMT E DK'!E776</f>
        <v>0</v>
      </c>
      <c r="T705" s="24">
        <f>'TMT E DD'!E776</f>
        <v>0</v>
      </c>
      <c r="U705" s="24">
        <f>TA!E776</f>
        <v>458423000000</v>
      </c>
      <c r="V705" s="109">
        <f>PR!F776</f>
        <v>6.4125243233681226E-2</v>
      </c>
      <c r="W705" s="109">
        <f>'Z Score'!I776</f>
        <v>0.61381004007216033</v>
      </c>
      <c r="X705" s="109">
        <f>'Z Score'!L776</f>
        <v>1.0527835208966392</v>
      </c>
      <c r="Y705" s="109">
        <f>'Z Score'!O776</f>
        <v>0.72598451648368423</v>
      </c>
      <c r="Z705" s="109">
        <f>'Z Score'!R776</f>
        <v>0.80339089753956339</v>
      </c>
      <c r="AA705" s="109">
        <f>'Z Score'!S776</f>
        <v>3.1959689749920472</v>
      </c>
    </row>
    <row r="706" spans="1:27" ht="15" customHeight="1" x14ac:dyDescent="0.3">
      <c r="A706" s="22"/>
      <c r="B706" s="23"/>
      <c r="C706" s="2"/>
      <c r="D706" s="23">
        <v>2019</v>
      </c>
      <c r="E706" s="25">
        <f>'Current Ratio'!G777</f>
        <v>1.4446935008270803</v>
      </c>
      <c r="F706" s="25">
        <f>'Cash Ratio'!G777</f>
        <v>8.9947977848632316E-2</v>
      </c>
      <c r="G706" s="25">
        <f>DAR!G777</f>
        <v>0.56029554309407714</v>
      </c>
      <c r="H706" s="25">
        <f>DER!G777</f>
        <v>1.2742548643621219</v>
      </c>
      <c r="I706" s="25">
        <f>NPM!G777</f>
        <v>0.24262544318606985</v>
      </c>
      <c r="J706" s="25">
        <f>ROA!G777</f>
        <v>8.5900096509874915E-2</v>
      </c>
      <c r="K706" s="25">
        <f>ROE!G777</f>
        <v>0.19535871233675875</v>
      </c>
      <c r="L706" s="25">
        <f>KM!E777</f>
        <v>0.25319999999999998</v>
      </c>
      <c r="M706" s="24">
        <f>KI!E777</f>
        <v>2</v>
      </c>
      <c r="N706" s="108">
        <f>IO!E777</f>
        <v>0.36709999999999998</v>
      </c>
      <c r="O706" s="24">
        <f>'BoC Size'!E777</f>
        <v>4</v>
      </c>
      <c r="P706" s="24">
        <f>'TMT E DK'!E777</f>
        <v>0</v>
      </c>
      <c r="Q706" s="24">
        <f>Data!R777</f>
        <v>4</v>
      </c>
      <c r="R706" s="24">
        <f>Data!S777</f>
        <v>3</v>
      </c>
      <c r="S706" s="24">
        <f>'TMT E DK'!E777</f>
        <v>0</v>
      </c>
      <c r="T706" s="24">
        <f>'TMT E DD'!E777</f>
        <v>0</v>
      </c>
      <c r="U706" s="24">
        <f>TA!E777</f>
        <v>475599000000</v>
      </c>
      <c r="V706" s="109">
        <f>PR!F777</f>
        <v>7.6596996221300104E-2</v>
      </c>
      <c r="W706" s="109">
        <f>'Z Score'!I777</f>
        <v>0.51171142075572063</v>
      </c>
      <c r="X706" s="109">
        <f>'Z Score'!L777</f>
        <v>1.0832873912686949</v>
      </c>
      <c r="Y706" s="109">
        <f>'Z Score'!O777</f>
        <v>0.68175080267199883</v>
      </c>
      <c r="Z706" s="109">
        <f>'Z Score'!R777</f>
        <v>0.82401098035095099</v>
      </c>
      <c r="AA706" s="109">
        <f>'Z Score'!S777</f>
        <v>3.1007605950473653</v>
      </c>
    </row>
    <row r="707" spans="1:27" ht="15" customHeight="1" x14ac:dyDescent="0.3">
      <c r="A707" s="22"/>
      <c r="B707" s="23"/>
      <c r="C707" s="2"/>
      <c r="D707" s="23">
        <v>2020</v>
      </c>
      <c r="E707" s="25">
        <f>'Current Ratio'!G778</f>
        <v>1.8664690889692372</v>
      </c>
      <c r="F707" s="25">
        <f>'Cash Ratio'!G778</f>
        <v>0.13478750518641455</v>
      </c>
      <c r="G707" s="25">
        <f>DAR!G778</f>
        <v>0.50952012856241991</v>
      </c>
      <c r="H707" s="25">
        <f>DER!G778</f>
        <v>1.083767821214547</v>
      </c>
      <c r="I707" s="25">
        <f>NPM!G778</f>
        <v>0.3180718068167343</v>
      </c>
      <c r="J707" s="25">
        <f>ROA!G778</f>
        <v>0.10666815842470351</v>
      </c>
      <c r="K707" s="25">
        <f>ROE!G778</f>
        <v>0.22688704757371872</v>
      </c>
      <c r="L707" s="25">
        <f>KM!E778</f>
        <v>0.25319999999999998</v>
      </c>
      <c r="M707" s="24">
        <f>KI!E778</f>
        <v>2</v>
      </c>
      <c r="N707" s="108">
        <f>IO!E778</f>
        <v>0.36709999999999998</v>
      </c>
      <c r="O707" s="24">
        <f>'BoC Size'!E778</f>
        <v>4</v>
      </c>
      <c r="P707" s="24">
        <f>'TMT E DK'!E778</f>
        <v>0</v>
      </c>
      <c r="Q707" s="24">
        <f>Data!R778</f>
        <v>4</v>
      </c>
      <c r="R707" s="24">
        <f>Data!S778</f>
        <v>3</v>
      </c>
      <c r="S707" s="24">
        <f>'TMT E DK'!E778</f>
        <v>0</v>
      </c>
      <c r="T707" s="24">
        <f>'TMT E DD'!E778</f>
        <v>0</v>
      </c>
      <c r="U707" s="24">
        <f>TA!E778</f>
        <v>491590000000</v>
      </c>
      <c r="V707" s="109">
        <f>PR!F778</f>
        <v>-2.0928478528117446E-2</v>
      </c>
      <c r="W707" s="109">
        <f>'Z Score'!I778</f>
        <v>0.97535946622185155</v>
      </c>
      <c r="X707" s="109">
        <f>'Z Score'!L778</f>
        <v>1.1902557822575723</v>
      </c>
      <c r="Y707" s="109">
        <f>'Z Score'!O778</f>
        <v>0.86530645456579658</v>
      </c>
      <c r="Z707" s="109">
        <f>'Z Score'!R778</f>
        <v>0.96884219982034148</v>
      </c>
      <c r="AA707" s="109">
        <f>'Z Score'!S778</f>
        <v>3.999763902865562</v>
      </c>
    </row>
    <row r="708" spans="1:27" ht="15" customHeight="1" x14ac:dyDescent="0.3">
      <c r="A708" s="22"/>
      <c r="B708" s="23"/>
      <c r="C708" s="2"/>
      <c r="D708" s="23">
        <v>2021</v>
      </c>
      <c r="E708" s="25">
        <f>'Current Ratio'!G779</f>
        <v>2.768011546998189</v>
      </c>
      <c r="F708" s="25">
        <f>'Cash Ratio'!G779</f>
        <v>0.12625444246245182</v>
      </c>
      <c r="G708" s="25">
        <f>DAR!G779</f>
        <v>0.57779082715974239</v>
      </c>
      <c r="H708" s="25">
        <f>DER!G779</f>
        <v>1.3684942543357503</v>
      </c>
      <c r="I708" s="25">
        <f>NPM!G779</f>
        <v>0.24533269799379323</v>
      </c>
      <c r="J708" s="25">
        <f>ROA!G779</f>
        <v>7.1897121537089881E-2</v>
      </c>
      <c r="K708" s="25">
        <f>ROE!G779</f>
        <v>0.17028791926387651</v>
      </c>
      <c r="L708" s="25">
        <f>KM!E779</f>
        <v>0.25319999999999998</v>
      </c>
      <c r="M708" s="24">
        <f>KI!E779</f>
        <v>2</v>
      </c>
      <c r="N708" s="108">
        <f>IO!E779</f>
        <v>0.36709999999999998</v>
      </c>
      <c r="O708" s="24">
        <f>'BoC Size'!E779</f>
        <v>4</v>
      </c>
      <c r="P708" s="24">
        <f>'TMT E DK'!E779</f>
        <v>0</v>
      </c>
      <c r="Q708" s="24">
        <f>Data!R779</f>
        <v>4</v>
      </c>
      <c r="R708" s="24">
        <f>Data!S779</f>
        <v>3</v>
      </c>
      <c r="S708" s="24">
        <f>'TMT E DK'!E779</f>
        <v>0</v>
      </c>
      <c r="T708" s="24">
        <f>'TMT E DD'!E779</f>
        <v>0</v>
      </c>
      <c r="U708" s="24">
        <f>TA!E779</f>
        <v>558562000000</v>
      </c>
      <c r="V708" s="109">
        <f>PR!F779</f>
        <v>-7.0787764089312684E-3</v>
      </c>
      <c r="W708" s="109">
        <f>'Z Score'!I779</f>
        <v>1.5249103232944596</v>
      </c>
      <c r="X708" s="109">
        <f>'Z Score'!L779</f>
        <v>1.0724063577543763</v>
      </c>
      <c r="Y708" s="109">
        <f>'Z Score'!O779</f>
        <v>0.58560374676401183</v>
      </c>
      <c r="Z708" s="109">
        <f>'Z Score'!R779</f>
        <v>0.76726664848852921</v>
      </c>
      <c r="AA708" s="109">
        <f>'Z Score'!S779</f>
        <v>3.9501870763013773</v>
      </c>
    </row>
    <row r="709" spans="1:27" ht="15" customHeight="1" x14ac:dyDescent="0.3">
      <c r="A709" s="22"/>
      <c r="B709" s="23"/>
      <c r="C709" s="2"/>
      <c r="D709" s="23">
        <v>2022</v>
      </c>
      <c r="E709" s="25">
        <f>'Current Ratio'!G780</f>
        <v>6.3133032617811731</v>
      </c>
      <c r="F709" s="25">
        <f>'Cash Ratio'!G780</f>
        <v>0.24543826642790761</v>
      </c>
      <c r="G709" s="25">
        <f>DAR!G780</f>
        <v>0.59316242826520671</v>
      </c>
      <c r="H709" s="25">
        <f>DER!G780</f>
        <v>1.4579834053573439</v>
      </c>
      <c r="I709" s="25">
        <f>NPM!G780</f>
        <v>0.28939900768717958</v>
      </c>
      <c r="J709" s="25">
        <f>ROA!G780</f>
        <v>7.7487003622083814E-2</v>
      </c>
      <c r="K709" s="25">
        <f>ROE!G780</f>
        <v>0.1904617690339464</v>
      </c>
      <c r="L709" s="25">
        <f>KM!E780</f>
        <v>0.25319999999999998</v>
      </c>
      <c r="M709" s="24">
        <f>KI!E780</f>
        <v>2</v>
      </c>
      <c r="N709" s="108">
        <f>IO!E780</f>
        <v>0.36709999999999998</v>
      </c>
      <c r="O709" s="24">
        <f>'BoC Size'!E780</f>
        <v>4</v>
      </c>
      <c r="P709" s="24">
        <f>'TMT E DK'!E780</f>
        <v>0</v>
      </c>
      <c r="Q709" s="24">
        <f>Data!R780</f>
        <v>4</v>
      </c>
      <c r="R709" s="24">
        <f>Data!S780</f>
        <v>3</v>
      </c>
      <c r="S709" s="24">
        <f>'TMT E DK'!E780</f>
        <v>0</v>
      </c>
      <c r="T709" s="24">
        <f>'TMT E DD'!E780</f>
        <v>0</v>
      </c>
      <c r="U709" s="24">
        <f>TA!E780</f>
        <v>633061000000</v>
      </c>
      <c r="V709" s="109">
        <f>PR!F780</f>
        <v>3.5499596803753392E-2</v>
      </c>
      <c r="W709" s="109">
        <f>'Z Score'!I780</f>
        <v>2.4290075048060138</v>
      </c>
      <c r="X709" s="109">
        <f>'Z Score'!L780</f>
        <v>1.053362598548955</v>
      </c>
      <c r="Y709" s="109">
        <f>'Z Score'!O780</f>
        <v>0.66116093077918237</v>
      </c>
      <c r="Z709" s="109">
        <f>'Z Score'!R780</f>
        <v>0.72017280590559996</v>
      </c>
      <c r="AA709" s="109">
        <f>'Z Score'!S780</f>
        <v>4.8637038400397508</v>
      </c>
    </row>
    <row r="710" spans="1:27" ht="15" customHeight="1" x14ac:dyDescent="0.3">
      <c r="A710" s="22"/>
      <c r="B710" s="23"/>
      <c r="C710" s="2"/>
      <c r="D710" s="23">
        <v>2023</v>
      </c>
      <c r="E710" s="25">
        <f>'Current Ratio'!G781</f>
        <v>8.5877414149563815</v>
      </c>
      <c r="F710" s="25">
        <f>'Cash Ratio'!G781</f>
        <v>0.17989511371085673</v>
      </c>
      <c r="G710" s="25">
        <f>DAR!G781</f>
        <v>0.65894017672975003</v>
      </c>
      <c r="H710" s="25">
        <f>DER!G781</f>
        <v>1.9320369383045659</v>
      </c>
      <c r="I710" s="25">
        <f>NPM!G781</f>
        <v>0.12808328677402045</v>
      </c>
      <c r="J710" s="25">
        <f>ROA!G781</f>
        <v>3.2139496017611902E-2</v>
      </c>
      <c r="K710" s="25">
        <f>ROE!G781</f>
        <v>9.4234189502130583E-2</v>
      </c>
      <c r="L710" s="25">
        <f>KM!E781</f>
        <v>0.25319999999999998</v>
      </c>
      <c r="M710" s="24">
        <f>KI!E781</f>
        <v>2</v>
      </c>
      <c r="N710" s="108">
        <f>IO!E781</f>
        <v>0.36709999999999998</v>
      </c>
      <c r="O710" s="24">
        <f>'BoC Size'!E781</f>
        <v>4</v>
      </c>
      <c r="P710" s="24">
        <f>'TMT E DK'!E781</f>
        <v>0</v>
      </c>
      <c r="Q710" s="24">
        <f>Data!R781</f>
        <v>4</v>
      </c>
      <c r="R710" s="24">
        <f>Data!S781</f>
        <v>3</v>
      </c>
      <c r="S710" s="24">
        <f>'TMT E DK'!E781</f>
        <v>0</v>
      </c>
      <c r="T710" s="24">
        <f>'TMT E DD'!E781</f>
        <v>0</v>
      </c>
      <c r="U710" s="24">
        <f>TA!E781</f>
        <v>720422000000</v>
      </c>
      <c r="V710" s="109">
        <f>PR!F781</f>
        <v>6.6488498728636075E-2</v>
      </c>
      <c r="W710" s="109">
        <f>'Z Score'!I781</f>
        <v>2.7403371912573462</v>
      </c>
      <c r="X710" s="109">
        <f>'Z Score'!L781</f>
        <v>0.87066583197070602</v>
      </c>
      <c r="Y710" s="109">
        <f>'Z Score'!O781</f>
        <v>0.26027544966700072</v>
      </c>
      <c r="Z710" s="109">
        <f>'Z Score'!R781</f>
        <v>0.54346787019580167</v>
      </c>
      <c r="AA710" s="109">
        <f>'Z Score'!S781</f>
        <v>4.4147463430908545</v>
      </c>
    </row>
    <row r="711" spans="1:27" ht="15" customHeight="1" x14ac:dyDescent="0.3">
      <c r="A711" s="22"/>
      <c r="B711" s="23"/>
      <c r="C711" s="2"/>
      <c r="D711" s="23">
        <v>2024</v>
      </c>
      <c r="E711" s="25">
        <f>'Current Ratio'!G782</f>
        <v>7.044453709252938</v>
      </c>
      <c r="F711" s="25">
        <f>'Cash Ratio'!G782</f>
        <v>0.28923574015686476</v>
      </c>
      <c r="G711" s="25">
        <f>DAR!G782</f>
        <v>0.55719461916815527</v>
      </c>
      <c r="H711" s="25">
        <f>DER!G782</f>
        <v>1.2583284740610452</v>
      </c>
      <c r="I711" s="25">
        <f>NPM!G782</f>
        <v>0.44509856635740658</v>
      </c>
      <c r="J711" s="25">
        <f>ROA!G782</f>
        <v>0.11446401914388674</v>
      </c>
      <c r="K711" s="25">
        <f>ROE!G782</f>
        <v>0.258497353688108</v>
      </c>
      <c r="L711" s="25">
        <f>KM!E782</f>
        <v>0.25319999999999998</v>
      </c>
      <c r="M711" s="24">
        <f>KI!E782</f>
        <v>2</v>
      </c>
      <c r="N711" s="108">
        <f>IO!E782</f>
        <v>0.36709999999999998</v>
      </c>
      <c r="O711" s="24">
        <f>'BoC Size'!E782</f>
        <v>4</v>
      </c>
      <c r="P711" s="24">
        <f>'TMT E DK'!E782</f>
        <v>0</v>
      </c>
      <c r="Q711" s="24">
        <f>Data!R782</f>
        <v>4</v>
      </c>
      <c r="R711" s="24">
        <f>Data!S782</f>
        <v>3</v>
      </c>
      <c r="S711" s="24">
        <f>'TMT E DK'!E782</f>
        <v>0</v>
      </c>
      <c r="T711" s="24">
        <f>'TMT E DD'!E782</f>
        <v>0</v>
      </c>
      <c r="U711" s="24">
        <f>TA!E782</f>
        <v>708738000000</v>
      </c>
      <c r="V711" s="109">
        <f>PR!F782</f>
        <v>8.24238132907016E-3</v>
      </c>
      <c r="W711" s="109">
        <f>'Z Score'!I782</f>
        <v>2.1470699750824704</v>
      </c>
      <c r="X711" s="109">
        <f>'Z Score'!L782</f>
        <v>1.1970002737259748</v>
      </c>
      <c r="Y711" s="109">
        <f>'Z Score'!O782</f>
        <v>0.31733159503229685</v>
      </c>
      <c r="Z711" s="109">
        <f>'Z Score'!R782</f>
        <v>0.8344403084286095</v>
      </c>
      <c r="AA711" s="109">
        <f>'Z Score'!S782</f>
        <v>4.4958421522693515</v>
      </c>
    </row>
    <row r="712" spans="1:27" ht="15" customHeight="1" x14ac:dyDescent="0.3">
      <c r="A712" s="22"/>
      <c r="B712" s="23">
        <v>72</v>
      </c>
      <c r="C712" s="2" t="s">
        <v>75</v>
      </c>
      <c r="D712" s="23">
        <v>2015</v>
      </c>
      <c r="E712" s="25">
        <f>'Current Ratio'!G784</f>
        <v>2.7788752946458639</v>
      </c>
      <c r="F712" s="25">
        <f>'Cash Ratio'!G784</f>
        <v>0.45841284094735663</v>
      </c>
      <c r="G712" s="25">
        <f>DAR!G784</f>
        <v>0.68494847877070664</v>
      </c>
      <c r="H712" s="25">
        <f>DER!G784</f>
        <v>2.1740840231404679</v>
      </c>
      <c r="I712" s="25">
        <f>NPM!G784</f>
        <v>8.0241216703118873E-2</v>
      </c>
      <c r="J712" s="25">
        <f>ROA!G784</f>
        <v>1.6838580964205745E-2</v>
      </c>
      <c r="K712" s="25">
        <f>ROE!G784</f>
        <v>5.344707081084267E-2</v>
      </c>
      <c r="L712" s="25">
        <f>KM!E784</f>
        <v>0.6</v>
      </c>
      <c r="M712" s="24">
        <f>KI!E784</f>
        <v>2</v>
      </c>
      <c r="N712" s="108">
        <f>IO!E784</f>
        <v>0</v>
      </c>
      <c r="O712" s="24">
        <f>'BoC Size'!E784</f>
        <v>4</v>
      </c>
      <c r="P712" s="24">
        <f>'TMT E DK'!E784</f>
        <v>0</v>
      </c>
      <c r="Q712" s="24">
        <f>Data!R784</f>
        <v>4</v>
      </c>
      <c r="R712" s="24">
        <f>Data!S784</f>
        <v>3</v>
      </c>
      <c r="S712" s="24">
        <f>'TMT E DK'!E784</f>
        <v>0</v>
      </c>
      <c r="T712" s="24">
        <f>'TMT E DD'!E784</f>
        <v>0</v>
      </c>
      <c r="U712" s="24">
        <f>TA!E784</f>
        <v>376932000000</v>
      </c>
      <c r="V712" s="109">
        <f>PR!F784</f>
        <v>8.3145313235986809</v>
      </c>
      <c r="W712" s="109">
        <f>'Z Score'!I784</f>
        <v>2.2065068500419169</v>
      </c>
      <c r="X712" s="109">
        <f>'Z Score'!L784</f>
        <v>-9.6087888531618433E-3</v>
      </c>
      <c r="Y712" s="109">
        <f>'Z Score'!O784</f>
        <v>7.270319314889688E-2</v>
      </c>
      <c r="Z712" s="109">
        <f>'Z Score'!R784</f>
        <v>0.48296201472621714</v>
      </c>
      <c r="AA712" s="109">
        <f>'Z Score'!S784</f>
        <v>2.7525632690638693</v>
      </c>
    </row>
    <row r="713" spans="1:27" ht="15" customHeight="1" x14ac:dyDescent="0.3">
      <c r="A713" s="22"/>
      <c r="B713" s="23"/>
      <c r="C713" s="2"/>
      <c r="D713" s="23">
        <v>2016</v>
      </c>
      <c r="E713" s="25">
        <f>'Current Ratio'!G785</f>
        <v>3.5699416327588045</v>
      </c>
      <c r="F713" s="25">
        <f>'Cash Ratio'!G785</f>
        <v>0.54424785504198481</v>
      </c>
      <c r="G713" s="25">
        <f>DAR!G785</f>
        <v>0.71227683909488526</v>
      </c>
      <c r="H713" s="25">
        <f>DER!G785</f>
        <v>2.4755630963257063</v>
      </c>
      <c r="I713" s="25">
        <f>NPM!G785</f>
        <v>7.0099750181605566E-2</v>
      </c>
      <c r="J713" s="25">
        <f>ROA!G785</f>
        <v>3.1278596119525111E-2</v>
      </c>
      <c r="K713" s="25">
        <f>ROE!G785</f>
        <v>0.10871073437789791</v>
      </c>
      <c r="L713" s="25">
        <f>KM!E785</f>
        <v>0.6</v>
      </c>
      <c r="M713" s="24">
        <f>KI!E785</f>
        <v>2</v>
      </c>
      <c r="N713" s="108">
        <f>IO!E785</f>
        <v>0</v>
      </c>
      <c r="O713" s="24">
        <f>'BoC Size'!E785</f>
        <v>4</v>
      </c>
      <c r="P713" s="24">
        <f>'TMT E DK'!E785</f>
        <v>0</v>
      </c>
      <c r="Q713" s="24">
        <f>Data!R785</f>
        <v>4</v>
      </c>
      <c r="R713" s="24">
        <f>Data!S785</f>
        <v>3</v>
      </c>
      <c r="S713" s="24">
        <f>'TMT E DK'!E785</f>
        <v>0</v>
      </c>
      <c r="T713" s="24">
        <f>'TMT E DD'!E785</f>
        <v>0</v>
      </c>
      <c r="U713" s="24">
        <f>TA!E785</f>
        <v>505969000000</v>
      </c>
      <c r="V713" s="109">
        <f>PR!F785</f>
        <v>1.8541953754156184</v>
      </c>
      <c r="W713" s="109">
        <f>'Z Score'!I785</f>
        <v>2.1864160057236708</v>
      </c>
      <c r="X713" s="109">
        <f>'Z Score'!L785</f>
        <v>9.5235202156653861E-2</v>
      </c>
      <c r="Y713" s="109">
        <f>'Z Score'!O785</f>
        <v>0.23718006439129669</v>
      </c>
      <c r="Z713" s="109">
        <f>'Z Score'!R785</f>
        <v>0.42414592524764838</v>
      </c>
      <c r="AA713" s="109">
        <f>'Z Score'!S785</f>
        <v>2.9429771975192698</v>
      </c>
    </row>
    <row r="714" spans="1:27" ht="15" customHeight="1" x14ac:dyDescent="0.3">
      <c r="A714" s="22"/>
      <c r="B714" s="23"/>
      <c r="C714" s="2"/>
      <c r="D714" s="23">
        <v>2017</v>
      </c>
      <c r="E714" s="25">
        <f>'Current Ratio'!G786</f>
        <v>2.5571904562188359</v>
      </c>
      <c r="F714" s="25">
        <f>'Cash Ratio'!G786</f>
        <v>0.44430658464979728</v>
      </c>
      <c r="G714" s="25">
        <f>DAR!G786</f>
        <v>0.77634037404131895</v>
      </c>
      <c r="H714" s="25">
        <f>DER!G786</f>
        <v>3.4710796403850743</v>
      </c>
      <c r="I714" s="25">
        <f>NPM!G786</f>
        <v>9.0707198548111712E-2</v>
      </c>
      <c r="J714" s="25">
        <f>ROA!G786</f>
        <v>3.8624329209235878E-2</v>
      </c>
      <c r="K714" s="25">
        <f>ROE!G786</f>
        <v>0.17269245195094507</v>
      </c>
      <c r="L714" s="25">
        <f>KM!E786</f>
        <v>0.6</v>
      </c>
      <c r="M714" s="24">
        <f>KI!E786</f>
        <v>2</v>
      </c>
      <c r="N714" s="108">
        <f>IO!E786</f>
        <v>0</v>
      </c>
      <c r="O714" s="24">
        <f>'BoC Size'!E786</f>
        <v>4</v>
      </c>
      <c r="P714" s="24">
        <f>'TMT E DK'!E786</f>
        <v>0</v>
      </c>
      <c r="Q714" s="24">
        <f>Data!R786</f>
        <v>4</v>
      </c>
      <c r="R714" s="24">
        <f>Data!S786</f>
        <v>3</v>
      </c>
      <c r="S714" s="24">
        <f>'TMT E DK'!E786</f>
        <v>0</v>
      </c>
      <c r="T714" s="24">
        <f>'TMT E DD'!E786</f>
        <v>0</v>
      </c>
      <c r="U714" s="24">
        <f>TA!E786</f>
        <v>786758000000</v>
      </c>
      <c r="V714" s="109">
        <f>PR!F786</f>
        <v>0.48390354529508689</v>
      </c>
      <c r="W714" s="109">
        <f>'Z Score'!I786</f>
        <v>2.228968196065372</v>
      </c>
      <c r="X714" s="109">
        <f>'Z Score'!L786</f>
        <v>0.15688862394789757</v>
      </c>
      <c r="Y714" s="109">
        <f>'Z Score'!O786</f>
        <v>0.12887235973450539</v>
      </c>
      <c r="Z714" s="109">
        <f>'Z Score'!R786</f>
        <v>0.30249954157880266</v>
      </c>
      <c r="AA714" s="109">
        <f>'Z Score'!S786</f>
        <v>2.8172287213265776</v>
      </c>
    </row>
    <row r="715" spans="1:27" ht="15" customHeight="1" x14ac:dyDescent="0.3">
      <c r="A715" s="22"/>
      <c r="B715" s="23"/>
      <c r="C715" s="2"/>
      <c r="D715" s="23">
        <v>2018</v>
      </c>
      <c r="E715" s="25">
        <f>'Current Ratio'!G787</f>
        <v>2.396557419598405</v>
      </c>
      <c r="F715" s="25">
        <f>'Cash Ratio'!G787</f>
        <v>0.31548728596934161</v>
      </c>
      <c r="G715" s="25">
        <f>DAR!G787</f>
        <v>0.79491517454277805</v>
      </c>
      <c r="H715" s="25">
        <f>DER!G787</f>
        <v>3.8760311630593414</v>
      </c>
      <c r="I715" s="25">
        <f>NPM!G787</f>
        <v>0.10674544187179294</v>
      </c>
      <c r="J715" s="25">
        <f>ROA!G787</f>
        <v>4.5972667051264196E-2</v>
      </c>
      <c r="K715" s="25">
        <f>ROE!G787</f>
        <v>0.22416415719091562</v>
      </c>
      <c r="L715" s="25">
        <f>KM!E787</f>
        <v>0.6</v>
      </c>
      <c r="M715" s="24">
        <f>KI!E787</f>
        <v>2</v>
      </c>
      <c r="N715" s="108">
        <f>IO!E787</f>
        <v>0</v>
      </c>
      <c r="O715" s="24">
        <f>'BoC Size'!E787</f>
        <v>4</v>
      </c>
      <c r="P715" s="24">
        <f>'TMT E DK'!E787</f>
        <v>0</v>
      </c>
      <c r="Q715" s="24">
        <f>Data!R787</f>
        <v>4</v>
      </c>
      <c r="R715" s="24">
        <f>Data!S787</f>
        <v>3</v>
      </c>
      <c r="S715" s="24">
        <f>'TMT E DK'!E787</f>
        <v>0</v>
      </c>
      <c r="T715" s="24">
        <f>'TMT E DD'!E787</f>
        <v>0</v>
      </c>
      <c r="U715" s="24">
        <f>TA!E787</f>
        <v>1105918000000</v>
      </c>
      <c r="V715" s="109">
        <f>PR!F787</f>
        <v>0.42171623703031536</v>
      </c>
      <c r="W715" s="109">
        <f>'Z Score'!I787</f>
        <v>2.1065033754763012</v>
      </c>
      <c r="X715" s="109">
        <f>'Z Score'!L787</f>
        <v>0.27745659262259953</v>
      </c>
      <c r="Y715" s="109">
        <f>'Z Score'!O787</f>
        <v>0.50128476071462802</v>
      </c>
      <c r="Z715" s="109">
        <f>'Z Score'!R787</f>
        <v>0.27089565481492101</v>
      </c>
      <c r="AA715" s="109">
        <f>'Z Score'!S787</f>
        <v>3.1561403836284496</v>
      </c>
    </row>
    <row r="716" spans="1:27" ht="15" customHeight="1" x14ac:dyDescent="0.3">
      <c r="A716" s="22"/>
      <c r="B716" s="23"/>
      <c r="C716" s="2"/>
      <c r="D716" s="23">
        <v>2019</v>
      </c>
      <c r="E716" s="25">
        <f>'Current Ratio'!G788</f>
        <v>1.6899105000226391</v>
      </c>
      <c r="F716" s="25">
        <f>'Cash Ratio'!G788</f>
        <v>0.13112274929441417</v>
      </c>
      <c r="G716" s="25">
        <f>DAR!G788</f>
        <v>0.73084025262664731</v>
      </c>
      <c r="H716" s="25">
        <f>DER!G788</f>
        <v>2.7152657845710322</v>
      </c>
      <c r="I716" s="25">
        <f>NPM!G788</f>
        <v>0.13409561132584197</v>
      </c>
      <c r="J716" s="25">
        <f>ROA!G788</f>
        <v>6.1619379999597379E-2</v>
      </c>
      <c r="K716" s="25">
        <f>ROE!G788</f>
        <v>0.22893237417898474</v>
      </c>
      <c r="L716" s="25">
        <f>KM!E788</f>
        <v>0.6</v>
      </c>
      <c r="M716" s="24">
        <f>KI!E788</f>
        <v>2</v>
      </c>
      <c r="N716" s="108">
        <f>IO!E788</f>
        <v>0</v>
      </c>
      <c r="O716" s="24">
        <f>'BoC Size'!E788</f>
        <v>4</v>
      </c>
      <c r="P716" s="24">
        <f>'TMT E DK'!E788</f>
        <v>0</v>
      </c>
      <c r="Q716" s="24">
        <f>Data!R788</f>
        <v>4</v>
      </c>
      <c r="R716" s="24">
        <f>Data!S788</f>
        <v>6</v>
      </c>
      <c r="S716" s="24">
        <f>'TMT E DK'!E788</f>
        <v>0</v>
      </c>
      <c r="T716" s="24">
        <f>'TMT E DD'!E788</f>
        <v>0</v>
      </c>
      <c r="U716" s="24">
        <f>TA!E788</f>
        <v>1092838000000</v>
      </c>
      <c r="V716" s="109">
        <f>PR!F788</f>
        <v>5.4351112342848507E-2</v>
      </c>
      <c r="W716" s="109">
        <f>'Z Score'!I788</f>
        <v>1.3719635664206407</v>
      </c>
      <c r="X716" s="109">
        <f>'Z Score'!L788</f>
        <v>0.39007073326513164</v>
      </c>
      <c r="Y716" s="109">
        <f>'Z Score'!O788</f>
        <v>0.41877401774096434</v>
      </c>
      <c r="Z716" s="109">
        <f>'Z Score'!R788</f>
        <v>0.3867024753033092</v>
      </c>
      <c r="AA716" s="109">
        <f>'Z Score'!S788</f>
        <v>2.567510792730046</v>
      </c>
    </row>
    <row r="717" spans="1:27" ht="15" customHeight="1" x14ac:dyDescent="0.3">
      <c r="A717" s="22"/>
      <c r="B717" s="23"/>
      <c r="C717" s="2"/>
      <c r="D717" s="23">
        <v>2020</v>
      </c>
      <c r="E717" s="25">
        <f>'Current Ratio'!G789</f>
        <v>2.0740155261466771</v>
      </c>
      <c r="F717" s="25">
        <f>'Cash Ratio'!G789</f>
        <v>0.15520648263016637</v>
      </c>
      <c r="G717" s="25">
        <f>DAR!G789</f>
        <v>0.71657500571423238</v>
      </c>
      <c r="H717" s="25">
        <f>DER!G789</f>
        <v>2.5282703366370529</v>
      </c>
      <c r="I717" s="25">
        <f>NPM!G789</f>
        <v>2.5863177866629505E-2</v>
      </c>
      <c r="J717" s="25">
        <f>ROA!G789</f>
        <v>9.0037643963671483E-3</v>
      </c>
      <c r="K717" s="25">
        <f>ROE!G789</f>
        <v>3.1767714837771029E-2</v>
      </c>
      <c r="L717" s="25">
        <f>KM!E789</f>
        <v>0.6</v>
      </c>
      <c r="M717" s="24">
        <f>KI!E789</f>
        <v>2</v>
      </c>
      <c r="N717" s="108">
        <f>IO!E789</f>
        <v>0</v>
      </c>
      <c r="O717" s="24">
        <f>'BoC Size'!E789</f>
        <v>4</v>
      </c>
      <c r="P717" s="24">
        <f>'TMT E DK'!E789</f>
        <v>0</v>
      </c>
      <c r="Q717" s="24">
        <f>Data!R789</f>
        <v>4</v>
      </c>
      <c r="R717" s="24">
        <f>Data!S789</f>
        <v>6</v>
      </c>
      <c r="S717" s="24">
        <f>'TMT E DK'!E789</f>
        <v>0</v>
      </c>
      <c r="T717" s="24">
        <f>'TMT E DD'!E789</f>
        <v>0</v>
      </c>
      <c r="U717" s="24">
        <f>TA!E789</f>
        <v>1071885000000</v>
      </c>
      <c r="V717" s="109">
        <f>PR!F789</f>
        <v>-0.25692631511871267</v>
      </c>
      <c r="W717" s="109">
        <f>'Z Score'!I789</f>
        <v>1.9127083222547192</v>
      </c>
      <c r="X717" s="109">
        <f>'Z Score'!L789</f>
        <v>0.39977909943697315</v>
      </c>
      <c r="Y717" s="109">
        <f>'Z Score'!O789</f>
        <v>4.7584209126911936E-3</v>
      </c>
      <c r="Z717" s="109">
        <f>'Z Score'!R789</f>
        <v>0.41530368995138567</v>
      </c>
      <c r="AA717" s="109">
        <f>'Z Score'!S789</f>
        <v>2.7325495325557689</v>
      </c>
    </row>
    <row r="718" spans="1:27" ht="15" customHeight="1" x14ac:dyDescent="0.3">
      <c r="A718" s="22"/>
      <c r="B718" s="23"/>
      <c r="C718" s="2"/>
      <c r="D718" s="23">
        <v>2021</v>
      </c>
      <c r="E718" s="25">
        <f>'Current Ratio'!G790</f>
        <v>1.8870372977620145</v>
      </c>
      <c r="F718" s="25">
        <f>'Cash Ratio'!G790</f>
        <v>0.15667396585656643</v>
      </c>
      <c r="G718" s="25">
        <f>DAR!G790</f>
        <v>0.68775072048196262</v>
      </c>
      <c r="H718" s="25">
        <f>DER!G790</f>
        <v>2.202575823895506</v>
      </c>
      <c r="I718" s="25">
        <f>NPM!G790</f>
        <v>2.8564054470512176E-2</v>
      </c>
      <c r="J718" s="25">
        <f>ROA!G790</f>
        <v>1.0117521831689621E-2</v>
      </c>
      <c r="K718" s="25">
        <f>ROE!G790</f>
        <v>3.2402160144009602E-2</v>
      </c>
      <c r="L718" s="25">
        <f>KM!E790</f>
        <v>0.6</v>
      </c>
      <c r="M718" s="24">
        <f>KI!E790</f>
        <v>2</v>
      </c>
      <c r="N718" s="108">
        <f>IO!E790</f>
        <v>0</v>
      </c>
      <c r="O718" s="24">
        <f>'BoC Size'!E790</f>
        <v>4</v>
      </c>
      <c r="P718" s="24">
        <f>'TMT E DK'!E790</f>
        <v>0</v>
      </c>
      <c r="Q718" s="24">
        <f>Data!R790</f>
        <v>4</v>
      </c>
      <c r="R718" s="24">
        <f>Data!S790</f>
        <v>6</v>
      </c>
      <c r="S718" s="24">
        <f>'TMT E DK'!E790</f>
        <v>0</v>
      </c>
      <c r="T718" s="24">
        <f>'TMT E DD'!E790</f>
        <v>0</v>
      </c>
      <c r="U718" s="24">
        <f>TA!E790</f>
        <v>1104816000000</v>
      </c>
      <c r="V718" s="109">
        <f>PR!F790</f>
        <v>4.8706171145579867E-2</v>
      </c>
      <c r="W718" s="109">
        <f>'Z Score'!I790</f>
        <v>1.7582362311914381</v>
      </c>
      <c r="X718" s="109">
        <f>'Z Score'!L790</f>
        <v>0.43564099361341613</v>
      </c>
      <c r="Y718" s="109">
        <f>'Z Score'!O790</f>
        <v>0.11379067645653212</v>
      </c>
      <c r="Z718" s="109">
        <f>'Z Score'!R790</f>
        <v>0.47671457600172668</v>
      </c>
      <c r="AA718" s="109">
        <f>'Z Score'!S790</f>
        <v>2.7843824772631129</v>
      </c>
    </row>
    <row r="719" spans="1:27" ht="15" customHeight="1" x14ac:dyDescent="0.3">
      <c r="A719" s="22"/>
      <c r="B719" s="23"/>
      <c r="C719" s="2"/>
      <c r="D719" s="23">
        <v>2022</v>
      </c>
      <c r="E719" s="25">
        <f>'Current Ratio'!G791</f>
        <v>2.0194588763905434</v>
      </c>
      <c r="F719" s="25">
        <f>'Cash Ratio'!G791</f>
        <v>9.0348940529172792E-2</v>
      </c>
      <c r="G719" s="25">
        <f>DAR!G791</f>
        <v>0.63958174566948556</v>
      </c>
      <c r="H719" s="25">
        <f>DER!G791</f>
        <v>1.7745542518580921</v>
      </c>
      <c r="I719" s="25">
        <f>NPM!G791</f>
        <v>3.5667670851895032E-2</v>
      </c>
      <c r="J719" s="25">
        <f>ROA!G791</f>
        <v>1.5857827886085724E-2</v>
      </c>
      <c r="K719" s="25">
        <f>ROE!G791</f>
        <v>4.3998403786572965E-2</v>
      </c>
      <c r="L719" s="25">
        <f>KM!E791</f>
        <v>0.6</v>
      </c>
      <c r="M719" s="24">
        <f>KI!E791</f>
        <v>2</v>
      </c>
      <c r="N719" s="108">
        <f>IO!E791</f>
        <v>0</v>
      </c>
      <c r="O719" s="24">
        <f>'BoC Size'!E791</f>
        <v>4</v>
      </c>
      <c r="P719" s="24">
        <f>'TMT E DK'!E791</f>
        <v>0</v>
      </c>
      <c r="Q719" s="24">
        <f>Data!R791</f>
        <v>4</v>
      </c>
      <c r="R719" s="24">
        <f>Data!S791</f>
        <v>6</v>
      </c>
      <c r="S719" s="24">
        <f>'TMT E DK'!E791</f>
        <v>0</v>
      </c>
      <c r="T719" s="24">
        <f>'TMT E DD'!E791</f>
        <v>0</v>
      </c>
      <c r="U719" s="24">
        <f>TA!E791</f>
        <v>1001209000000</v>
      </c>
      <c r="V719" s="109">
        <f>PR!F791</f>
        <v>0.1374948572947198</v>
      </c>
      <c r="W719" s="109">
        <f>'Z Score'!I791</f>
        <v>1.7214800106671035</v>
      </c>
      <c r="X719" s="109">
        <f>'Z Score'!L791</f>
        <v>0.54298439187022884</v>
      </c>
      <c r="Y719" s="109">
        <f>'Z Score'!O791</f>
        <v>0.1256129339628389</v>
      </c>
      <c r="Z719" s="109">
        <f>'Z Score'!R791</f>
        <v>0.59169788632867715</v>
      </c>
      <c r="AA719" s="109">
        <f>'Z Score'!S791</f>
        <v>2.9817752228288485</v>
      </c>
    </row>
    <row r="720" spans="1:27" ht="15" customHeight="1" x14ac:dyDescent="0.3">
      <c r="A720" s="22"/>
      <c r="B720" s="23"/>
      <c r="C720" s="2"/>
      <c r="D720" s="23">
        <v>2023</v>
      </c>
      <c r="E720" s="25">
        <f>'Current Ratio'!G792</f>
        <v>1.7243634819758262</v>
      </c>
      <c r="F720" s="25">
        <f>'Cash Ratio'!G792</f>
        <v>0.1123243687890568</v>
      </c>
      <c r="G720" s="25">
        <f>DAR!G792</f>
        <v>0.64917580444028566</v>
      </c>
      <c r="H720" s="25">
        <f>DER!G792</f>
        <v>1.8504305365956106</v>
      </c>
      <c r="I720" s="25">
        <f>NPM!G792</f>
        <v>4.0646338770805777E-2</v>
      </c>
      <c r="J720" s="25">
        <f>ROA!G792</f>
        <v>1.8480621411585709E-2</v>
      </c>
      <c r="K720" s="25">
        <f>ROE!G792</f>
        <v>5.2677727606846581E-2</v>
      </c>
      <c r="L720" s="25">
        <f>KM!E792</f>
        <v>0.6</v>
      </c>
      <c r="M720" s="24">
        <f>KI!E792</f>
        <v>2</v>
      </c>
      <c r="N720" s="108">
        <f>IO!E792</f>
        <v>0</v>
      </c>
      <c r="O720" s="24">
        <f>'BoC Size'!E792</f>
        <v>4</v>
      </c>
      <c r="P720" s="24">
        <f>'TMT E DK'!E792</f>
        <v>0</v>
      </c>
      <c r="Q720" s="24">
        <f>Data!R792</f>
        <v>4</v>
      </c>
      <c r="R720" s="24">
        <f>Data!S792</f>
        <v>6</v>
      </c>
      <c r="S720" s="24">
        <f>'TMT E DK'!E792</f>
        <v>0</v>
      </c>
      <c r="T720" s="24">
        <f>'TMT E DD'!E792</f>
        <v>0</v>
      </c>
      <c r="U720" s="24">
        <f>TA!E792</f>
        <v>1085786000000</v>
      </c>
      <c r="V720" s="109">
        <f>PR!F792</f>
        <v>0.10903609450573644</v>
      </c>
      <c r="W720" s="109">
        <f>'Z Score'!I792</f>
        <v>1.3194119651570382</v>
      </c>
      <c r="X720" s="109">
        <f>'Z Score'!L792</f>
        <v>0.55888193437749245</v>
      </c>
      <c r="Y720" s="109">
        <f>'Z Score'!O792</f>
        <v>0.11520944274470291</v>
      </c>
      <c r="Z720" s="109">
        <f>'Z Score'!R792</f>
        <v>0.56743551256550895</v>
      </c>
      <c r="AA720" s="109">
        <f>'Z Score'!S792</f>
        <v>2.5609388548447423</v>
      </c>
    </row>
    <row r="721" spans="1:27" ht="15" customHeight="1" x14ac:dyDescent="0.3">
      <c r="A721" s="22"/>
      <c r="B721" s="23"/>
      <c r="C721" s="2"/>
      <c r="D721" s="23">
        <v>2024</v>
      </c>
      <c r="E721" s="25">
        <f>'Current Ratio'!G793</f>
        <v>2.0831501802851711</v>
      </c>
      <c r="F721" s="25">
        <f>'Cash Ratio'!G793</f>
        <v>0.19769970200151737</v>
      </c>
      <c r="G721" s="25">
        <f>DAR!G793</f>
        <v>0.60006153540767204</v>
      </c>
      <c r="H721" s="25">
        <f>DER!G793</f>
        <v>1.5003846554727789</v>
      </c>
      <c r="I721" s="25">
        <f>NPM!G793</f>
        <v>4.3594800591075705E-2</v>
      </c>
      <c r="J721" s="25">
        <f>ROA!G793</f>
        <v>2.1872859907696888E-2</v>
      </c>
      <c r="K721" s="25">
        <f>ROE!G793</f>
        <v>5.4690563284511044E-2</v>
      </c>
      <c r="L721" s="25">
        <f>KM!E793</f>
        <v>0.6</v>
      </c>
      <c r="M721" s="24">
        <f>KI!E793</f>
        <v>2</v>
      </c>
      <c r="N721" s="108">
        <f>IO!E793</f>
        <v>0</v>
      </c>
      <c r="O721" s="24">
        <f>'BoC Size'!E793</f>
        <v>3</v>
      </c>
      <c r="P721" s="24">
        <f>'TMT E DK'!E793</f>
        <v>0</v>
      </c>
      <c r="Q721" s="24">
        <f>Data!R793</f>
        <v>3</v>
      </c>
      <c r="R721" s="24">
        <f>Data!S793</f>
        <v>6</v>
      </c>
      <c r="S721" s="24">
        <f>'TMT E DK'!E793</f>
        <v>0</v>
      </c>
      <c r="T721" s="24">
        <f>'TMT E DD'!E793</f>
        <v>0</v>
      </c>
      <c r="U721" s="24">
        <f>TA!E793</f>
        <v>1007550000000</v>
      </c>
      <c r="V721" s="109">
        <f>PR!F793</f>
        <v>2.3995640839178971E-2</v>
      </c>
      <c r="W721" s="109">
        <f>'Z Score'!I793</f>
        <v>1.803295201230708</v>
      </c>
      <c r="X721" s="109">
        <f>'Z Score'!L793</f>
        <v>0.67380451590491786</v>
      </c>
      <c r="Y721" s="109">
        <f>'Z Score'!O793</f>
        <v>0.19319291350305196</v>
      </c>
      <c r="Z721" s="109">
        <f>'Z Score'!R793</f>
        <v>0.69982054013285</v>
      </c>
      <c r="AA721" s="109">
        <f>'Z Score'!S793</f>
        <v>3.3701131707715279</v>
      </c>
    </row>
    <row r="722" spans="1:27" ht="15" customHeight="1" x14ac:dyDescent="0.3">
      <c r="A722" s="22"/>
      <c r="B722" s="23">
        <v>73</v>
      </c>
      <c r="C722" s="2" t="s">
        <v>96</v>
      </c>
      <c r="D722" s="23">
        <v>2015</v>
      </c>
      <c r="E722" s="25">
        <f>'Current Ratio'!G795</f>
        <v>0</v>
      </c>
      <c r="F722" s="25">
        <f>'Cash Ratio'!G795</f>
        <v>0</v>
      </c>
      <c r="G722" s="25">
        <f>DAR!G795</f>
        <v>0</v>
      </c>
      <c r="H722" s="25">
        <f>DER!G795</f>
        <v>0</v>
      </c>
      <c r="I722" s="25">
        <f>NPM!G795</f>
        <v>0</v>
      </c>
      <c r="J722" s="25">
        <f>ROA!G795</f>
        <v>0</v>
      </c>
      <c r="K722" s="25">
        <f>ROE!G795</f>
        <v>0</v>
      </c>
      <c r="L722" s="25">
        <f>KM!E795</f>
        <v>0</v>
      </c>
      <c r="M722" s="24">
        <f>KI!E795</f>
        <v>0</v>
      </c>
      <c r="N722" s="108">
        <f>IO!E795</f>
        <v>0</v>
      </c>
      <c r="O722" s="24">
        <f>'BoC Size'!E795</f>
        <v>0</v>
      </c>
      <c r="P722" s="24">
        <f>'TMT E DK'!E795</f>
        <v>0</v>
      </c>
      <c r="Q722" s="24">
        <f>Data!R795</f>
        <v>0</v>
      </c>
      <c r="R722" s="24">
        <f>Data!S795</f>
        <v>0</v>
      </c>
      <c r="S722" s="24">
        <f>'TMT E DK'!E795</f>
        <v>0</v>
      </c>
      <c r="T722" s="24">
        <f>'TMT E DD'!E795</f>
        <v>0</v>
      </c>
      <c r="U722" s="24">
        <f>TA!E795</f>
        <v>0</v>
      </c>
      <c r="V722" s="109">
        <f>PR!F795</f>
        <v>0</v>
      </c>
      <c r="W722" s="109">
        <f>'Z Score'!I795</f>
        <v>0</v>
      </c>
      <c r="X722" s="109">
        <f>'Z Score'!L795</f>
        <v>0</v>
      </c>
      <c r="Y722" s="109">
        <f>'Z Score'!O795</f>
        <v>0</v>
      </c>
      <c r="Z722" s="109">
        <f>'Z Score'!R795</f>
        <v>0</v>
      </c>
      <c r="AA722" s="109">
        <f>'Z Score'!S795</f>
        <v>0</v>
      </c>
    </row>
    <row r="723" spans="1:27" ht="15" customHeight="1" x14ac:dyDescent="0.3">
      <c r="A723" s="22"/>
      <c r="B723" s="23"/>
      <c r="C723" s="2"/>
      <c r="D723" s="23">
        <v>2016</v>
      </c>
      <c r="E723" s="25">
        <f>'Current Ratio'!G796</f>
        <v>0</v>
      </c>
      <c r="F723" s="25">
        <f>'Cash Ratio'!G796</f>
        <v>0</v>
      </c>
      <c r="G723" s="25">
        <f>DAR!G796</f>
        <v>0</v>
      </c>
      <c r="H723" s="25">
        <f>DER!G796</f>
        <v>0</v>
      </c>
      <c r="I723" s="25">
        <f>NPM!G796</f>
        <v>0</v>
      </c>
      <c r="J723" s="25">
        <f>ROA!G796</f>
        <v>0</v>
      </c>
      <c r="K723" s="25">
        <f>ROE!G796</f>
        <v>0</v>
      </c>
      <c r="L723" s="25">
        <f>KM!E796</f>
        <v>0</v>
      </c>
      <c r="M723" s="24">
        <f>KI!E796</f>
        <v>0</v>
      </c>
      <c r="N723" s="108">
        <f>IO!E796</f>
        <v>0</v>
      </c>
      <c r="O723" s="24">
        <f>'BoC Size'!E796</f>
        <v>0</v>
      </c>
      <c r="P723" s="24">
        <f>'TMT E DK'!E796</f>
        <v>0</v>
      </c>
      <c r="Q723" s="24">
        <f>Data!R796</f>
        <v>0</v>
      </c>
      <c r="R723" s="24">
        <f>Data!S796</f>
        <v>0</v>
      </c>
      <c r="S723" s="24">
        <f>'TMT E DK'!E796</f>
        <v>0</v>
      </c>
      <c r="T723" s="24">
        <f>'TMT E DD'!E796</f>
        <v>0</v>
      </c>
      <c r="U723" s="24">
        <f>TA!E796</f>
        <v>0</v>
      </c>
      <c r="V723" s="109">
        <f>PR!F796</f>
        <v>0</v>
      </c>
      <c r="W723" s="109">
        <f>'Z Score'!I796</f>
        <v>0</v>
      </c>
      <c r="X723" s="109">
        <f>'Z Score'!L796</f>
        <v>0</v>
      </c>
      <c r="Y723" s="109">
        <f>'Z Score'!O796</f>
        <v>0</v>
      </c>
      <c r="Z723" s="109">
        <f>'Z Score'!R796</f>
        <v>0</v>
      </c>
      <c r="AA723" s="109">
        <f>'Z Score'!S796</f>
        <v>0</v>
      </c>
    </row>
    <row r="724" spans="1:27" ht="15" customHeight="1" x14ac:dyDescent="0.3">
      <c r="A724" s="22"/>
      <c r="B724" s="23"/>
      <c r="C724" s="2"/>
      <c r="D724" s="23">
        <v>2017</v>
      </c>
      <c r="E724" s="25">
        <f>'Current Ratio'!G797</f>
        <v>0</v>
      </c>
      <c r="F724" s="25">
        <f>'Cash Ratio'!G797</f>
        <v>0</v>
      </c>
      <c r="G724" s="25">
        <f>DAR!G797</f>
        <v>0</v>
      </c>
      <c r="H724" s="25">
        <f>DER!G797</f>
        <v>0</v>
      </c>
      <c r="I724" s="25">
        <f>NPM!G797</f>
        <v>0</v>
      </c>
      <c r="J724" s="25">
        <f>ROA!G797</f>
        <v>0</v>
      </c>
      <c r="K724" s="25">
        <f>ROE!G797</f>
        <v>0</v>
      </c>
      <c r="L724" s="25">
        <f>KM!E797</f>
        <v>0</v>
      </c>
      <c r="M724" s="24">
        <f>KI!E797</f>
        <v>0</v>
      </c>
      <c r="N724" s="108">
        <f>IO!E797</f>
        <v>0</v>
      </c>
      <c r="O724" s="24">
        <f>'BoC Size'!E797</f>
        <v>0</v>
      </c>
      <c r="P724" s="24">
        <f>'TMT E DK'!E797</f>
        <v>0</v>
      </c>
      <c r="Q724" s="24">
        <f>Data!R797</f>
        <v>0</v>
      </c>
      <c r="R724" s="24">
        <f>Data!S797</f>
        <v>0</v>
      </c>
      <c r="S724" s="24">
        <f>'TMT E DK'!E797</f>
        <v>0</v>
      </c>
      <c r="T724" s="24">
        <f>'TMT E DD'!E797</f>
        <v>0</v>
      </c>
      <c r="U724" s="24">
        <f>TA!E797</f>
        <v>0</v>
      </c>
      <c r="V724" s="109">
        <f>PR!F797</f>
        <v>0</v>
      </c>
      <c r="W724" s="109">
        <f>'Z Score'!I797</f>
        <v>0</v>
      </c>
      <c r="X724" s="109">
        <f>'Z Score'!L797</f>
        <v>0</v>
      </c>
      <c r="Y724" s="109">
        <f>'Z Score'!O797</f>
        <v>0</v>
      </c>
      <c r="Z724" s="109">
        <f>'Z Score'!R797</f>
        <v>0</v>
      </c>
      <c r="AA724" s="109">
        <f>'Z Score'!S797</f>
        <v>0</v>
      </c>
    </row>
    <row r="725" spans="1:27" ht="15" customHeight="1" x14ac:dyDescent="0.3">
      <c r="A725" s="22"/>
      <c r="B725" s="23"/>
      <c r="C725" s="2"/>
      <c r="D725" s="23">
        <v>2018</v>
      </c>
      <c r="E725" s="25">
        <f>'Current Ratio'!G798</f>
        <v>0</v>
      </c>
      <c r="F725" s="25">
        <f>'Cash Ratio'!G798</f>
        <v>0</v>
      </c>
      <c r="G725" s="25">
        <f>DAR!G798</f>
        <v>0</v>
      </c>
      <c r="H725" s="25">
        <f>DER!G798</f>
        <v>0</v>
      </c>
      <c r="I725" s="25">
        <f>NPM!G798</f>
        <v>0</v>
      </c>
      <c r="J725" s="25">
        <f>ROA!G798</f>
        <v>0</v>
      </c>
      <c r="K725" s="25">
        <f>ROE!G798</f>
        <v>0</v>
      </c>
      <c r="L725" s="25">
        <f>KM!E798</f>
        <v>0</v>
      </c>
      <c r="M725" s="24">
        <f>KI!E798</f>
        <v>0</v>
      </c>
      <c r="N725" s="108">
        <f>IO!E798</f>
        <v>0</v>
      </c>
      <c r="O725" s="24">
        <f>'BoC Size'!E798</f>
        <v>0</v>
      </c>
      <c r="P725" s="24">
        <f>'TMT E DK'!E798</f>
        <v>0</v>
      </c>
      <c r="Q725" s="24">
        <f>Data!R798</f>
        <v>0</v>
      </c>
      <c r="R725" s="24">
        <f>Data!S798</f>
        <v>0</v>
      </c>
      <c r="S725" s="24">
        <f>'TMT E DK'!E798</f>
        <v>0</v>
      </c>
      <c r="T725" s="24">
        <f>'TMT E DD'!E798</f>
        <v>0</v>
      </c>
      <c r="U725" s="24">
        <f>TA!E798</f>
        <v>0</v>
      </c>
      <c r="V725" s="109">
        <f>PR!F798</f>
        <v>0</v>
      </c>
      <c r="W725" s="109">
        <f>'Z Score'!I798</f>
        <v>0</v>
      </c>
      <c r="X725" s="109">
        <f>'Z Score'!L798</f>
        <v>0</v>
      </c>
      <c r="Y725" s="109">
        <f>'Z Score'!O798</f>
        <v>0</v>
      </c>
      <c r="Z725" s="109">
        <f>'Z Score'!R798</f>
        <v>0</v>
      </c>
      <c r="AA725" s="109">
        <f>'Z Score'!S798</f>
        <v>0</v>
      </c>
    </row>
    <row r="726" spans="1:27" ht="15" customHeight="1" x14ac:dyDescent="0.3">
      <c r="A726" s="22"/>
      <c r="B726" s="23"/>
      <c r="C726" s="2"/>
      <c r="D726" s="23">
        <v>2019</v>
      </c>
      <c r="E726" s="25">
        <f>'Current Ratio'!G799</f>
        <v>78.169491525423723</v>
      </c>
      <c r="F726" s="25">
        <f>'Cash Ratio'!G799</f>
        <v>70.220338983050851</v>
      </c>
      <c r="G726" s="25">
        <f>DAR!G799</f>
        <v>2.9461111333040389E-4</v>
      </c>
      <c r="H726" s="25">
        <f>DER!G799</f>
        <v>2.9469793461701758E-4</v>
      </c>
      <c r="I726" s="25">
        <f>NPM!G799</f>
        <v>0</v>
      </c>
      <c r="J726" s="25">
        <f>ROA!G799</f>
        <v>0</v>
      </c>
      <c r="K726" s="25">
        <f>ROE!G799</f>
        <v>0</v>
      </c>
      <c r="L726" s="25">
        <f>KM!E799</f>
        <v>0</v>
      </c>
      <c r="M726" s="24">
        <f>KI!E799</f>
        <v>0</v>
      </c>
      <c r="N726" s="108">
        <f>IO!E799</f>
        <v>0</v>
      </c>
      <c r="O726" s="24">
        <f>'BoC Size'!E799</f>
        <v>0</v>
      </c>
      <c r="P726" s="24">
        <f>'TMT E DK'!E799</f>
        <v>0</v>
      </c>
      <c r="Q726" s="24">
        <f>Data!R799</f>
        <v>0</v>
      </c>
      <c r="R726" s="24">
        <f>Data!S799</f>
        <v>0</v>
      </c>
      <c r="S726" s="24">
        <f>'TMT E DK'!E799</f>
        <v>0</v>
      </c>
      <c r="T726" s="24">
        <f>'TMT E DD'!E799</f>
        <v>0</v>
      </c>
      <c r="U726" s="24">
        <f>TA!E799</f>
        <v>200264000000</v>
      </c>
      <c r="V726" s="109">
        <f>PR!F799</f>
        <v>0</v>
      </c>
      <c r="W726" s="109">
        <f>'Z Score'!I799</f>
        <v>0.1491415331762074</v>
      </c>
      <c r="X726" s="109">
        <f>'Z Score'!L799</f>
        <v>3.337095034554388E-3</v>
      </c>
      <c r="Y726" s="109">
        <f>'Z Score'!O799</f>
        <v>0</v>
      </c>
      <c r="Z726" s="109">
        <f>'Z Score'!R799</f>
        <v>3562.9703389830506</v>
      </c>
      <c r="AA726" s="109">
        <f>'Z Score'!S799</f>
        <v>3563.1228176112613</v>
      </c>
    </row>
    <row r="727" spans="1:27" ht="15" customHeight="1" x14ac:dyDescent="0.3">
      <c r="A727" s="22"/>
      <c r="B727" s="23"/>
      <c r="C727" s="2"/>
      <c r="D727" s="23">
        <v>2020</v>
      </c>
      <c r="E727" s="25">
        <f>'Current Ratio'!G800</f>
        <v>1.7739107113385046</v>
      </c>
      <c r="F727" s="25">
        <f>'Cash Ratio'!G800</f>
        <v>0.20056940089123618</v>
      </c>
      <c r="G727" s="25">
        <f>DAR!G800</f>
        <v>0.43761169421098933</v>
      </c>
      <c r="H727" s="25">
        <f>DER!G800</f>
        <v>0.77813085675214344</v>
      </c>
      <c r="I727" s="25">
        <f>NPM!G800</f>
        <v>0.41356204770838917</v>
      </c>
      <c r="J727" s="25">
        <f>ROA!G800</f>
        <v>8.5371723867012656E-3</v>
      </c>
      <c r="K727" s="25">
        <f>ROE!G800</f>
        <v>1.5180209650205863E-2</v>
      </c>
      <c r="L727" s="25">
        <f>KM!E800</f>
        <v>0.98</v>
      </c>
      <c r="M727" s="24">
        <f>KI!E800</f>
        <v>1</v>
      </c>
      <c r="N727" s="108">
        <f>IO!E800</f>
        <v>0</v>
      </c>
      <c r="O727" s="24">
        <f>'BoC Size'!E800</f>
        <v>3</v>
      </c>
      <c r="P727" s="24">
        <f>'TMT E DK'!E800</f>
        <v>7</v>
      </c>
      <c r="Q727" s="24">
        <f>Data!R800</f>
        <v>3</v>
      </c>
      <c r="R727" s="24">
        <f>Data!S800</f>
        <v>4</v>
      </c>
      <c r="S727" s="24">
        <f>'TMT E DK'!E800</f>
        <v>7</v>
      </c>
      <c r="T727" s="24">
        <f>'TMT E DD'!E800</f>
        <v>0</v>
      </c>
      <c r="U727" s="24">
        <f>TA!E800</f>
        <v>361478000000</v>
      </c>
      <c r="V727" s="109">
        <f>PR!F800</f>
        <v>0</v>
      </c>
      <c r="W727" s="109">
        <f>'Z Score'!I800</f>
        <v>1.3615505231300382</v>
      </c>
      <c r="X727" s="109">
        <f>'Z Score'!L800</f>
        <v>2.9806239937146938E-2</v>
      </c>
      <c r="Y727" s="109">
        <f>'Z Score'!O800</f>
        <v>1.8664704352685361E-2</v>
      </c>
      <c r="Z727" s="109">
        <f>'Z Score'!R800</f>
        <v>1.3493874338599252</v>
      </c>
      <c r="AA727" s="109">
        <f>'Z Score'!S800</f>
        <v>2.7594089012797958</v>
      </c>
    </row>
    <row r="728" spans="1:27" ht="15" customHeight="1" x14ac:dyDescent="0.3">
      <c r="A728" s="22"/>
      <c r="B728" s="23"/>
      <c r="C728" s="2"/>
      <c r="D728" s="23">
        <v>2021</v>
      </c>
      <c r="E728" s="25">
        <f>'Current Ratio'!G801</f>
        <v>2.8185313341022682</v>
      </c>
      <c r="F728" s="25">
        <f>'Cash Ratio'!G801</f>
        <v>0.10650951557093426</v>
      </c>
      <c r="G728" s="25">
        <f>DAR!G801</f>
        <v>0.53846545615589014</v>
      </c>
      <c r="H728" s="25">
        <f>DER!G801</f>
        <v>1.1666850582212649</v>
      </c>
      <c r="I728" s="25">
        <f>NPM!G801</f>
        <v>0.1130369751226272</v>
      </c>
      <c r="J728" s="25">
        <f>ROA!G801</f>
        <v>1.1379539415411869E-2</v>
      </c>
      <c r="K728" s="25">
        <f>ROE!G801</f>
        <v>2.4655878020812844E-2</v>
      </c>
      <c r="L728" s="25">
        <f>KM!E801</f>
        <v>0.98</v>
      </c>
      <c r="M728" s="24">
        <f>KI!E801</f>
        <v>1</v>
      </c>
      <c r="N728" s="108">
        <f>IO!E801</f>
        <v>0</v>
      </c>
      <c r="O728" s="24">
        <f>'BoC Size'!E801</f>
        <v>3</v>
      </c>
      <c r="P728" s="24">
        <f>'TMT E DK'!E801</f>
        <v>7</v>
      </c>
      <c r="Q728" s="24">
        <f>Data!R801</f>
        <v>3</v>
      </c>
      <c r="R728" s="24">
        <f>Data!S801</f>
        <v>4</v>
      </c>
      <c r="S728" s="24">
        <f>'TMT E DK'!E801</f>
        <v>7</v>
      </c>
      <c r="T728" s="24">
        <f>'TMT E DD'!E801</f>
        <v>0</v>
      </c>
      <c r="U728" s="24">
        <f>TA!E801</f>
        <v>451600000000</v>
      </c>
      <c r="V728" s="109">
        <f>PR!F801</f>
        <v>5.0926025194317877</v>
      </c>
      <c r="W728" s="109">
        <f>'Z Score'!I801</f>
        <v>2.1986749335695301</v>
      </c>
      <c r="X728" s="109">
        <f>'Z Score'!L801</f>
        <v>7.5508414526129317E-2</v>
      </c>
      <c r="Y728" s="109">
        <f>'Z Score'!O801</f>
        <v>0.1098621789193977</v>
      </c>
      <c r="Z728" s="109">
        <f>'Z Score'!R801</f>
        <v>0.89998581245296527</v>
      </c>
      <c r="AA728" s="109">
        <f>'Z Score'!S801</f>
        <v>3.2840313394680223</v>
      </c>
    </row>
    <row r="729" spans="1:27" ht="15" customHeight="1" x14ac:dyDescent="0.3">
      <c r="A729" s="22"/>
      <c r="B729" s="23"/>
      <c r="C729" s="2"/>
      <c r="D729" s="23">
        <v>2022</v>
      </c>
      <c r="E729" s="25">
        <f>'Current Ratio'!G802</f>
        <v>2.6881298885085387</v>
      </c>
      <c r="F729" s="25">
        <f>'Cash Ratio'!G802</f>
        <v>0.11138628062190434</v>
      </c>
      <c r="G729" s="25">
        <f>DAR!G802</f>
        <v>0.57598590478714906</v>
      </c>
      <c r="H729" s="25">
        <f>DER!G802</f>
        <v>1.3584121643362108</v>
      </c>
      <c r="I729" s="25">
        <f>NPM!G802</f>
        <v>0.11311656274405286</v>
      </c>
      <c r="J729" s="25">
        <f>ROA!G802</f>
        <v>1.7784681590856822E-2</v>
      </c>
      <c r="K729" s="25">
        <f>ROE!G802</f>
        <v>4.1943609402723001E-2</v>
      </c>
      <c r="L729" s="25">
        <f>KM!E802</f>
        <v>0.98</v>
      </c>
      <c r="M729" s="24">
        <f>KI!E802</f>
        <v>1</v>
      </c>
      <c r="N729" s="108">
        <f>IO!E802</f>
        <v>0</v>
      </c>
      <c r="O729" s="24">
        <f>'BoC Size'!E802</f>
        <v>3</v>
      </c>
      <c r="P729" s="24">
        <f>'TMT E DK'!E802</f>
        <v>7</v>
      </c>
      <c r="Q729" s="24">
        <f>Data!R802</f>
        <v>3</v>
      </c>
      <c r="R729" s="24">
        <f>Data!S802</f>
        <v>3</v>
      </c>
      <c r="S729" s="24">
        <f>'TMT E DK'!E802</f>
        <v>7</v>
      </c>
      <c r="T729" s="24">
        <f>'TMT E DD'!E802</f>
        <v>3</v>
      </c>
      <c r="U729" s="24">
        <f>TA!E802</f>
        <v>513082000000</v>
      </c>
      <c r="V729" s="109">
        <f>PR!F802</f>
        <v>0.77438796383872599</v>
      </c>
      <c r="W729" s="109">
        <f>'Z Score'!I802</f>
        <v>2.257251043692821</v>
      </c>
      <c r="X729" s="109">
        <f>'Z Score'!L802</f>
        <v>0.11856751942184679</v>
      </c>
      <c r="Y729" s="109">
        <f>'Z Score'!O802</f>
        <v>0.1231017264296935</v>
      </c>
      <c r="Z729" s="109">
        <f>'Z Score'!R802</f>
        <v>0.77296127608889853</v>
      </c>
      <c r="AA729" s="109">
        <f>'Z Score'!S802</f>
        <v>3.2718815656332598</v>
      </c>
    </row>
    <row r="730" spans="1:27" ht="15" customHeight="1" x14ac:dyDescent="0.3">
      <c r="A730" s="22"/>
      <c r="B730" s="23"/>
      <c r="C730" s="2"/>
      <c r="D730" s="23">
        <v>2023</v>
      </c>
      <c r="E730" s="25">
        <f>'Current Ratio'!G803</f>
        <v>3.846230888072026</v>
      </c>
      <c r="F730" s="25">
        <f>'Cash Ratio'!G803</f>
        <v>7.4806882957753978E-2</v>
      </c>
      <c r="G730" s="25">
        <f>DAR!G803</f>
        <v>0.63225832285551831</v>
      </c>
      <c r="H730" s="25">
        <f>DER!G803</f>
        <v>1.7193001559274197</v>
      </c>
      <c r="I730" s="25">
        <f>NPM!G803</f>
        <v>0.11794093157662731</v>
      </c>
      <c r="J730" s="25">
        <f>ROA!G803</f>
        <v>1.9284518727926515E-2</v>
      </c>
      <c r="K730" s="25">
        <f>ROE!G803</f>
        <v>5.2440394783835817E-2</v>
      </c>
      <c r="L730" s="25">
        <f>KM!E803</f>
        <v>0.98</v>
      </c>
      <c r="M730" s="24">
        <f>KI!E803</f>
        <v>1</v>
      </c>
      <c r="N730" s="108">
        <f>IO!E803</f>
        <v>0</v>
      </c>
      <c r="O730" s="24">
        <f>'BoC Size'!E803</f>
        <v>3</v>
      </c>
      <c r="P730" s="24">
        <f>'TMT E DK'!E803</f>
        <v>7</v>
      </c>
      <c r="Q730" s="24">
        <f>Data!R803</f>
        <v>3</v>
      </c>
      <c r="R730" s="24">
        <f>Data!S803</f>
        <v>3</v>
      </c>
      <c r="S730" s="24">
        <f>'TMT E DK'!E803</f>
        <v>7</v>
      </c>
      <c r="T730" s="24">
        <f>'TMT E DD'!E803</f>
        <v>3</v>
      </c>
      <c r="U730" s="24">
        <f>TA!E803</f>
        <v>624335000000</v>
      </c>
      <c r="V730" s="109">
        <f>PR!F803</f>
        <v>0.26547992413442584</v>
      </c>
      <c r="W730" s="109">
        <f>'Z Score'!I803</f>
        <v>2.806814418541328</v>
      </c>
      <c r="X730" s="109">
        <f>'Z Score'!L803</f>
        <v>0.14577017146243601</v>
      </c>
      <c r="Y730" s="109">
        <f>'Z Score'!O803</f>
        <v>7.3815755964346058E-2</v>
      </c>
      <c r="Z730" s="109">
        <f>'Z Score'!R803</f>
        <v>0.61071360715000478</v>
      </c>
      <c r="AA730" s="109">
        <f>'Z Score'!S803</f>
        <v>3.6371139531181145</v>
      </c>
    </row>
    <row r="731" spans="1:27" ht="15" customHeight="1" x14ac:dyDescent="0.3">
      <c r="A731" s="22"/>
      <c r="B731" s="23"/>
      <c r="C731" s="2"/>
      <c r="D731" s="23">
        <v>2024</v>
      </c>
      <c r="E731" s="25">
        <f>'Current Ratio'!G804</f>
        <v>3.6430833326974583</v>
      </c>
      <c r="F731" s="25">
        <f>'Cash Ratio'!G804</f>
        <v>4.065530739471817E-2</v>
      </c>
      <c r="G731" s="25">
        <f>DAR!G804</f>
        <v>0.65564051449466076</v>
      </c>
      <c r="H731" s="25">
        <f>DER!G804</f>
        <v>1.903942078239907</v>
      </c>
      <c r="I731" s="25">
        <f>NPM!G804</f>
        <v>0.13170982540996121</v>
      </c>
      <c r="J731" s="25">
        <f>ROA!G804</f>
        <v>2.2948712923402562E-2</v>
      </c>
      <c r="K731" s="25">
        <f>ROE!G804</f>
        <v>6.6641733099716646E-2</v>
      </c>
      <c r="L731" s="25">
        <f>KM!E804</f>
        <v>0.98</v>
      </c>
      <c r="M731" s="24">
        <f>KI!E804</f>
        <v>1</v>
      </c>
      <c r="N731" s="108">
        <f>IO!E804</f>
        <v>0</v>
      </c>
      <c r="O731" s="24">
        <f>'BoC Size'!E804</f>
        <v>3</v>
      </c>
      <c r="P731" s="24">
        <f>'TMT E DK'!E804</f>
        <v>7</v>
      </c>
      <c r="Q731" s="24">
        <f>Data!R804</f>
        <v>3</v>
      </c>
      <c r="R731" s="24">
        <f>Data!S804</f>
        <v>4</v>
      </c>
      <c r="S731" s="24">
        <f>'TMT E DK'!E804</f>
        <v>7</v>
      </c>
      <c r="T731" s="24">
        <f>'TMT E DD'!E804</f>
        <v>4</v>
      </c>
      <c r="U731" s="24">
        <f>TA!E804</f>
        <v>714332000000</v>
      </c>
      <c r="V731" s="109">
        <f>PR!F804</f>
        <v>0.21920948229416662</v>
      </c>
      <c r="W731" s="109">
        <f>'Z Score'!I804</f>
        <v>3.1809845282025719</v>
      </c>
      <c r="X731" s="109">
        <f>'Z Score'!L804</f>
        <v>0.20992583280603413</v>
      </c>
      <c r="Y731" s="109">
        <f>'Z Score'!O804</f>
        <v>0.17472346191966762</v>
      </c>
      <c r="Z731" s="109">
        <f>'Z Score'!R804</f>
        <v>0.5514873650834321</v>
      </c>
      <c r="AA731" s="109">
        <f>'Z Score'!S804</f>
        <v>4.1171211880117058</v>
      </c>
    </row>
    <row r="732" spans="1:27" ht="15" customHeight="1" x14ac:dyDescent="0.3">
      <c r="A732" s="22"/>
      <c r="B732" s="23">
        <v>74</v>
      </c>
      <c r="C732" s="2" t="s">
        <v>76</v>
      </c>
      <c r="D732" s="23">
        <v>2015</v>
      </c>
      <c r="E732" s="25">
        <f>'Current Ratio'!G806</f>
        <v>2.9201420555947162</v>
      </c>
      <c r="F732" s="25">
        <f>'Cash Ratio'!G806</f>
        <v>0.22570042267752979</v>
      </c>
      <c r="G732" s="25">
        <f>DAR!G806</f>
        <v>0.53796204865206221</v>
      </c>
      <c r="H732" s="25">
        <f>DER!G806</f>
        <v>1.1643244854003982</v>
      </c>
      <c r="I732" s="25">
        <f>NPM!G806</f>
        <v>0.11648953891881572</v>
      </c>
      <c r="J732" s="25">
        <f>ROA!G806</f>
        <v>1.6865116034049128E-2</v>
      </c>
      <c r="K732" s="25">
        <f>ROE!G806</f>
        <v>3.6501585189446212E-2</v>
      </c>
      <c r="L732" s="25">
        <f>KM!E806</f>
        <v>0.33</v>
      </c>
      <c r="M732" s="24">
        <f>KI!E806</f>
        <v>3</v>
      </c>
      <c r="N732" s="108">
        <f>IO!E806</f>
        <v>0.33</v>
      </c>
      <c r="O732" s="24">
        <f>'BoC Size'!E806</f>
        <v>5</v>
      </c>
      <c r="P732" s="24">
        <f>'TMT E DK'!E806</f>
        <v>0</v>
      </c>
      <c r="Q732" s="24">
        <f>Data!R806</f>
        <v>5</v>
      </c>
      <c r="R732" s="24">
        <f>Data!S806</f>
        <v>4</v>
      </c>
      <c r="S732" s="24">
        <f>'TMT E DK'!E806</f>
        <v>0</v>
      </c>
      <c r="T732" s="24">
        <f>'TMT E DD'!E806</f>
        <v>0</v>
      </c>
      <c r="U732" s="24">
        <f>TA!E806</f>
        <v>9225611000000</v>
      </c>
      <c r="V732" s="109">
        <f>PR!F806</f>
        <v>7.6367091331218204E-2</v>
      </c>
      <c r="W732" s="109">
        <f>'Z Score'!I806</f>
        <v>1.9776283045101293</v>
      </c>
      <c r="X732" s="109">
        <f>'Z Score'!L806</f>
        <v>0.74891216202374022</v>
      </c>
      <c r="Y732" s="109">
        <f>'Z Score'!O806</f>
        <v>0.16289366633819702</v>
      </c>
      <c r="Z732" s="109">
        <f>'Z Score'!R806</f>
        <v>0.9018104601990885</v>
      </c>
      <c r="AA732" s="109">
        <f>'Z Score'!S806</f>
        <v>3.7912445930711547</v>
      </c>
    </row>
    <row r="733" spans="1:27" ht="15" customHeight="1" x14ac:dyDescent="0.3">
      <c r="A733" s="22"/>
      <c r="B733" s="23"/>
      <c r="C733" s="2"/>
      <c r="D733" s="23">
        <v>2016</v>
      </c>
      <c r="E733" s="25">
        <f>'Current Ratio'!G807</f>
        <v>2.4969737373028544</v>
      </c>
      <c r="F733" s="25">
        <f>'Cash Ratio'!G807</f>
        <v>0.22485219557551622</v>
      </c>
      <c r="G733" s="25">
        <f>DAR!G807</f>
        <v>0.49887528303964834</v>
      </c>
      <c r="H733" s="25">
        <f>DER!G807</f>
        <v>1.0046924878001542</v>
      </c>
      <c r="I733" s="25">
        <f>NPM!G807</f>
        <v>1.1246645602151859</v>
      </c>
      <c r="J733" s="25">
        <f>ROA!G807</f>
        <v>0.16332884621945581</v>
      </c>
      <c r="K733" s="25">
        <f>ROE!G807</f>
        <v>0.32893043695795277</v>
      </c>
      <c r="L733" s="25">
        <f>KM!E807</f>
        <v>0.33</v>
      </c>
      <c r="M733" s="24">
        <f>KI!E807</f>
        <v>3</v>
      </c>
      <c r="N733" s="108">
        <f>IO!E807</f>
        <v>0.33</v>
      </c>
      <c r="O733" s="24">
        <f>'BoC Size'!E807</f>
        <v>5</v>
      </c>
      <c r="P733" s="24">
        <f>'TMT E DK'!E807</f>
        <v>0</v>
      </c>
      <c r="Q733" s="24">
        <f>Data!R807</f>
        <v>5</v>
      </c>
      <c r="R733" s="24">
        <f>Data!S807</f>
        <v>4</v>
      </c>
      <c r="S733" s="24">
        <f>'TMT E DK'!E807</f>
        <v>0</v>
      </c>
      <c r="T733" s="24">
        <f>'TMT E DD'!E807</f>
        <v>0</v>
      </c>
      <c r="U733" s="24">
        <f>TA!E807</f>
        <v>8734642000000</v>
      </c>
      <c r="V733" s="109">
        <f>PR!F807</f>
        <v>-5.0297791736700445E-2</v>
      </c>
      <c r="W733" s="109">
        <f>'Z Score'!I807</f>
        <v>1.6021213004494059</v>
      </c>
      <c r="X733" s="109">
        <f>'Z Score'!L807</f>
        <v>0.97316089428736741</v>
      </c>
      <c r="Y733" s="109">
        <f>'Z Score'!O807</f>
        <v>0.41822578189237747</v>
      </c>
      <c r="Z733" s="109">
        <f>'Z Score'!R807</f>
        <v>1.0450959002381415</v>
      </c>
      <c r="AA733" s="109">
        <f>'Z Score'!S807</f>
        <v>4.0386038768672927</v>
      </c>
    </row>
    <row r="734" spans="1:27" ht="15" customHeight="1" x14ac:dyDescent="0.3">
      <c r="A734" s="22"/>
      <c r="B734" s="23"/>
      <c r="C734" s="2"/>
      <c r="D734" s="23">
        <v>2017</v>
      </c>
      <c r="E734" s="25">
        <f>'Current Ratio'!G808</f>
        <v>1.9644104539613976</v>
      </c>
      <c r="F734" s="25">
        <f>'Cash Ratio'!G808</f>
        <v>0.16770675994047171</v>
      </c>
      <c r="G734" s="25">
        <f>DAR!G808</f>
        <v>0.55254756555642526</v>
      </c>
      <c r="H734" s="25">
        <f>DER!G808</f>
        <v>1.2348744202130459</v>
      </c>
      <c r="I734" s="25">
        <f>NPM!G808</f>
        <v>-0.33487806321614177</v>
      </c>
      <c r="J734" s="25">
        <f>ROA!G808</f>
        <v>-4.2505004377884605E-2</v>
      </c>
      <c r="K734" s="25">
        <f>ROE!G808</f>
        <v>-9.4993347015177823E-2</v>
      </c>
      <c r="L734" s="25">
        <f>KM!E808</f>
        <v>0.33</v>
      </c>
      <c r="M734" s="24">
        <f>KI!E808</f>
        <v>3</v>
      </c>
      <c r="N734" s="108">
        <f>IO!E808</f>
        <v>0.33</v>
      </c>
      <c r="O734" s="24">
        <f>'BoC Size'!E808</f>
        <v>4</v>
      </c>
      <c r="P734" s="24">
        <f>'TMT E DK'!E808</f>
        <v>0</v>
      </c>
      <c r="Q734" s="24">
        <f>Data!R808</f>
        <v>4</v>
      </c>
      <c r="R734" s="24">
        <f>Data!S808</f>
        <v>4</v>
      </c>
      <c r="S734" s="24">
        <f>'TMT E DK'!E808</f>
        <v>0</v>
      </c>
      <c r="T734" s="24">
        <f>'TMT E DD'!E808</f>
        <v>0</v>
      </c>
      <c r="U734" s="24">
        <f>TA!E808</f>
        <v>8918691000000</v>
      </c>
      <c r="V734" s="109">
        <f>PR!F808</f>
        <v>-0.10757959895434235</v>
      </c>
      <c r="W734" s="109">
        <f>'Z Score'!I808</f>
        <v>1.4027860725301502</v>
      </c>
      <c r="X734" s="109">
        <f>'Z Score'!L808</f>
        <v>1.0921626929333015</v>
      </c>
      <c r="Y734" s="109">
        <f>'Z Score'!O808</f>
        <v>0.28298516901190995</v>
      </c>
      <c r="Z734" s="109">
        <f>'Z Score'!R808</f>
        <v>0.85028888995761165</v>
      </c>
      <c r="AA734" s="109">
        <f>'Z Score'!S808</f>
        <v>3.6282228244329731</v>
      </c>
    </row>
    <row r="735" spans="1:27" ht="15" customHeight="1" x14ac:dyDescent="0.3">
      <c r="A735" s="22"/>
      <c r="B735" s="23"/>
      <c r="C735" s="2"/>
      <c r="D735" s="23">
        <v>2018</v>
      </c>
      <c r="E735" s="25">
        <f>'Current Ratio'!G809</f>
        <v>2.1309137297658878</v>
      </c>
      <c r="F735" s="25">
        <f>'Cash Ratio'!G809</f>
        <v>0.24168438910666801</v>
      </c>
      <c r="G735" s="25">
        <f>DAR!G809</f>
        <v>0.52190527994640579</v>
      </c>
      <c r="H735" s="25">
        <f>DER!G809</f>
        <v>1.0916357325341315</v>
      </c>
      <c r="I735" s="25">
        <f>NPM!G809</f>
        <v>0.52848663416068409</v>
      </c>
      <c r="J735" s="25">
        <f>ROA!G809</f>
        <v>7.3442192306026652E-2</v>
      </c>
      <c r="K735" s="25">
        <f>ROE!G809</f>
        <v>0.15361431370292861</v>
      </c>
      <c r="L735" s="25">
        <f>KM!E809</f>
        <v>0.33</v>
      </c>
      <c r="M735" s="24">
        <f>KI!E809</f>
        <v>3</v>
      </c>
      <c r="N735" s="108">
        <f>IO!E809</f>
        <v>0.33</v>
      </c>
      <c r="O735" s="24">
        <f>'BoC Size'!E809</f>
        <v>5</v>
      </c>
      <c r="P735" s="24">
        <f>'TMT E DK'!E809</f>
        <v>0</v>
      </c>
      <c r="Q735" s="24">
        <f>Data!R809</f>
        <v>5</v>
      </c>
      <c r="R735" s="24">
        <f>Data!S809</f>
        <v>4</v>
      </c>
      <c r="S735" s="24">
        <f>'TMT E DK'!E809</f>
        <v>0</v>
      </c>
      <c r="T735" s="24">
        <f>'TMT E DD'!E809</f>
        <v>0</v>
      </c>
      <c r="U735" s="24">
        <f>TA!E809</f>
        <v>9398031000000</v>
      </c>
      <c r="V735" s="109">
        <f>PR!F809</f>
        <v>0.15370297900833996</v>
      </c>
      <c r="W735" s="109">
        <f>'Z Score'!I809</f>
        <v>1.4350053878307061</v>
      </c>
      <c r="X735" s="109">
        <f>'Z Score'!L809</f>
        <v>1.0760975442621969</v>
      </c>
      <c r="Y735" s="109">
        <f>'Z Score'!O809</f>
        <v>0.23063152696559522</v>
      </c>
      <c r="Z735" s="109">
        <f>'Z Score'!R809</f>
        <v>0.96185931690099791</v>
      </c>
      <c r="AA735" s="109">
        <f>'Z Score'!S809</f>
        <v>3.7035937759594963</v>
      </c>
    </row>
    <row r="736" spans="1:27" ht="15" customHeight="1" x14ac:dyDescent="0.3">
      <c r="A736" s="22"/>
      <c r="B736" s="23"/>
      <c r="C736" s="2"/>
      <c r="D736" s="23">
        <v>2019</v>
      </c>
      <c r="E736" s="25">
        <f>'Current Ratio'!G810</f>
        <v>2.5406502415815293</v>
      </c>
      <c r="F736" s="25">
        <f>'Cash Ratio'!G810</f>
        <v>0.20431896138383801</v>
      </c>
      <c r="G736" s="25">
        <f>DAR!G810</f>
        <v>0.48740622624030477</v>
      </c>
      <c r="H736" s="25">
        <f>DER!G810</f>
        <v>0.95086255665056429</v>
      </c>
      <c r="I736" s="25">
        <f>NPM!G810</f>
        <v>0.77807904780074855</v>
      </c>
      <c r="J736" s="25">
        <f>ROA!G810</f>
        <v>0.1016704583325147</v>
      </c>
      <c r="K736" s="25">
        <f>ROE!G810</f>
        <v>0.1983450902784043</v>
      </c>
      <c r="L736" s="25">
        <f>KM!E810</f>
        <v>0.33</v>
      </c>
      <c r="M736" s="24">
        <f>KI!E810</f>
        <v>2</v>
      </c>
      <c r="N736" s="108">
        <f>IO!E810</f>
        <v>0.33</v>
      </c>
      <c r="O736" s="24">
        <f>'BoC Size'!E810</f>
        <v>4</v>
      </c>
      <c r="P736" s="24">
        <f>'TMT E DK'!E810</f>
        <v>0</v>
      </c>
      <c r="Q736" s="24">
        <f>Data!R810</f>
        <v>4</v>
      </c>
      <c r="R736" s="24">
        <f>Data!S810</f>
        <v>5</v>
      </c>
      <c r="S736" s="24">
        <f>'TMT E DK'!E810</f>
        <v>0</v>
      </c>
      <c r="T736" s="24">
        <f>'TMT E DD'!E810</f>
        <v>0</v>
      </c>
      <c r="U736" s="24">
        <f>TA!E810</f>
        <v>10790332000000</v>
      </c>
      <c r="V736" s="109">
        <f>PR!F810</f>
        <v>7.9586314409624381E-2</v>
      </c>
      <c r="W736" s="109">
        <f>'Z Score'!I810</f>
        <v>1.5237085791243494</v>
      </c>
      <c r="X736" s="109">
        <f>'Z Score'!L810</f>
        <v>0.99572019841465487</v>
      </c>
      <c r="Y736" s="109">
        <f>'Z Score'!O810</f>
        <v>0.17492948317067539</v>
      </c>
      <c r="Z736" s="109">
        <f>'Z Score'!R810</f>
        <v>1.1042605397131733</v>
      </c>
      <c r="AA736" s="109">
        <f>'Z Score'!S810</f>
        <v>3.7986188004228532</v>
      </c>
    </row>
    <row r="737" spans="1:27" ht="15" customHeight="1" x14ac:dyDescent="0.3">
      <c r="A737" s="22"/>
      <c r="B737" s="23"/>
      <c r="C737" s="2"/>
      <c r="D737" s="23">
        <v>2020</v>
      </c>
      <c r="E737" s="25">
        <f>'Current Ratio'!G811</f>
        <v>2.8101832698033147</v>
      </c>
      <c r="F737" s="25">
        <f>'Cash Ratio'!G811</f>
        <v>0.26564686329284642</v>
      </c>
      <c r="G737" s="25">
        <f>DAR!G811</f>
        <v>0.45692610429191205</v>
      </c>
      <c r="H737" s="25">
        <f>DER!G811</f>
        <v>0.84137018434489874</v>
      </c>
      <c r="I737" s="25">
        <f>NPM!G811</f>
        <v>0.23182820418057792</v>
      </c>
      <c r="J737" s="25">
        <f>ROA!G811</f>
        <v>2.7959461151592334E-2</v>
      </c>
      <c r="K737" s="25">
        <f>ROE!G811</f>
        <v>5.1483722996641397E-2</v>
      </c>
      <c r="L737" s="25">
        <f>KM!E811</f>
        <v>0.33</v>
      </c>
      <c r="M737" s="24">
        <f>KI!E811</f>
        <v>2</v>
      </c>
      <c r="N737" s="108">
        <f>IO!E811</f>
        <v>0.33</v>
      </c>
      <c r="O737" s="24">
        <f>'BoC Size'!E811</f>
        <v>4</v>
      </c>
      <c r="P737" s="24">
        <f>'TMT E DK'!E811</f>
        <v>0</v>
      </c>
      <c r="Q737" s="24">
        <f>Data!R811</f>
        <v>4</v>
      </c>
      <c r="R737" s="24">
        <f>Data!S811</f>
        <v>5</v>
      </c>
      <c r="S737" s="24">
        <f>'TMT E DK'!E811</f>
        <v>0</v>
      </c>
      <c r="T737" s="24">
        <f>'TMT E DD'!E811</f>
        <v>0</v>
      </c>
      <c r="U737" s="24">
        <f>TA!E811</f>
        <v>10589546000000</v>
      </c>
      <c r="V737" s="109">
        <f>PR!F811</f>
        <v>-9.4196489680181739E-2</v>
      </c>
      <c r="W737" s="109">
        <f>'Z Score'!I811</f>
        <v>1.5747660872335791</v>
      </c>
      <c r="X737" s="109">
        <f>'Z Score'!L811</f>
        <v>1.0963951617944716</v>
      </c>
      <c r="Y737" s="109">
        <f>'Z Score'!O811</f>
        <v>0.23680797647037935</v>
      </c>
      <c r="Z737" s="109">
        <f>'Z Score'!R811</f>
        <v>1.2479643556867219</v>
      </c>
      <c r="AA737" s="109">
        <f>'Z Score'!S811</f>
        <v>4.1559335811851525</v>
      </c>
    </row>
    <row r="738" spans="1:27" ht="15" customHeight="1" x14ac:dyDescent="0.3">
      <c r="A738" s="22"/>
      <c r="B738" s="23"/>
      <c r="C738" s="2"/>
      <c r="D738" s="23">
        <v>2021</v>
      </c>
      <c r="E738" s="25">
        <f>'Current Ratio'!G812</f>
        <v>2.9250955287193818</v>
      </c>
      <c r="F738" s="25">
        <f>'Cash Ratio'!G812</f>
        <v>0.24181129304287172</v>
      </c>
      <c r="G738" s="25">
        <f>DAR!G812</f>
        <v>0.43872001914127678</v>
      </c>
      <c r="H738" s="25">
        <f>DER!G812</f>
        <v>0.78856842673312966</v>
      </c>
      <c r="I738" s="25">
        <f>NPM!G812</f>
        <v>0.92774367516089917</v>
      </c>
      <c r="J738" s="25">
        <f>ROA!G812</f>
        <v>8.8144116986593135E-2</v>
      </c>
      <c r="K738" s="25">
        <f>ROE!G812</f>
        <v>0.15843286065210485</v>
      </c>
      <c r="L738" s="25">
        <f>KM!E812</f>
        <v>0.33</v>
      </c>
      <c r="M738" s="24">
        <f>KI!E812</f>
        <v>2</v>
      </c>
      <c r="N738" s="108">
        <f>IO!E812</f>
        <v>0.33</v>
      </c>
      <c r="O738" s="24">
        <f>'BoC Size'!E812</f>
        <v>4</v>
      </c>
      <c r="P738" s="24">
        <f>'TMT E DK'!E812</f>
        <v>0</v>
      </c>
      <c r="Q738" s="24">
        <f>Data!R812</f>
        <v>4</v>
      </c>
      <c r="R738" s="24">
        <f>Data!S812</f>
        <v>5</v>
      </c>
      <c r="S738" s="24">
        <f>'TMT E DK'!E812</f>
        <v>0</v>
      </c>
      <c r="T738" s="24">
        <f>'TMT E DD'!E812</f>
        <v>0</v>
      </c>
      <c r="U738" s="24">
        <f>TA!E812</f>
        <v>12170557000000</v>
      </c>
      <c r="V738" s="109">
        <f>PR!F812</f>
        <v>-9.4609535025024588E-2</v>
      </c>
      <c r="W738" s="109">
        <f>'Z Score'!I812</f>
        <v>1.6051391304440707</v>
      </c>
      <c r="X738" s="109">
        <f>'Z Score'!L812</f>
        <v>1.0215384012416193</v>
      </c>
      <c r="Y738" s="109">
        <f>'Z Score'!O812</f>
        <v>0.18490252500358034</v>
      </c>
      <c r="Z738" s="109">
        <f>'Z Score'!R812</f>
        <v>1.3315268078255751</v>
      </c>
      <c r="AA738" s="109">
        <f>'Z Score'!S812</f>
        <v>4.143106864514845</v>
      </c>
    </row>
    <row r="739" spans="1:27" ht="15" customHeight="1" x14ac:dyDescent="0.3">
      <c r="A739" s="22"/>
      <c r="B739" s="23"/>
      <c r="C739" s="2"/>
      <c r="D739" s="23">
        <v>2022</v>
      </c>
      <c r="E739" s="25">
        <f>'Current Ratio'!G813</f>
        <v>2.9011613356550523</v>
      </c>
      <c r="F739" s="25">
        <f>'Cash Ratio'!G813</f>
        <v>0.31742945291984725</v>
      </c>
      <c r="G739" s="25">
        <f>DAR!G813</f>
        <v>0.4757508010329049</v>
      </c>
      <c r="H739" s="25">
        <f>DER!G813</f>
        <v>0.90748993280768309</v>
      </c>
      <c r="I739" s="25">
        <f>NPM!G813</f>
        <v>0.12855156328567616</v>
      </c>
      <c r="J739" s="25">
        <f>ROA!G813</f>
        <v>1.198920046257545E-2</v>
      </c>
      <c r="K739" s="25">
        <f>ROE!G813</f>
        <v>2.2869280931484815E-2</v>
      </c>
      <c r="L739" s="25">
        <f>KM!E813</f>
        <v>0.33</v>
      </c>
      <c r="M739" s="24">
        <f>KI!E813</f>
        <v>2</v>
      </c>
      <c r="N739" s="108">
        <f>IO!E813</f>
        <v>0.33</v>
      </c>
      <c r="O739" s="24">
        <f>'BoC Size'!E813</f>
        <v>4</v>
      </c>
      <c r="P739" s="24">
        <f>'TMT E DK'!E813</f>
        <v>0</v>
      </c>
      <c r="Q739" s="24">
        <f>Data!R813</f>
        <v>4</v>
      </c>
      <c r="R739" s="24">
        <f>Data!S813</f>
        <v>5</v>
      </c>
      <c r="S739" s="24">
        <f>'TMT E DK'!E813</f>
        <v>0</v>
      </c>
      <c r="T739" s="24">
        <f>'TMT E DD'!E813</f>
        <v>0</v>
      </c>
      <c r="U739" s="24">
        <f>TA!E813</f>
        <v>13092783000000</v>
      </c>
      <c r="V739" s="109">
        <f>PR!F813</f>
        <v>5.6012467201815422E-2</v>
      </c>
      <c r="W739" s="109">
        <f>'Z Score'!I813</f>
        <v>1.8003121872561394</v>
      </c>
      <c r="X739" s="109">
        <f>'Z Score'!L813</f>
        <v>1.0215985478412037</v>
      </c>
      <c r="Y739" s="109">
        <f>'Z Score'!O813</f>
        <v>0.19936912114101335</v>
      </c>
      <c r="Z739" s="109">
        <f>'Z Score'!R813</f>
        <v>1.1570376287827293</v>
      </c>
      <c r="AA739" s="109">
        <f>'Z Score'!S813</f>
        <v>4.1783174850210862</v>
      </c>
    </row>
    <row r="740" spans="1:27" ht="15" customHeight="1" x14ac:dyDescent="0.3">
      <c r="A740" s="22"/>
      <c r="B740" s="23"/>
      <c r="C740" s="2"/>
      <c r="D740" s="23">
        <v>2023</v>
      </c>
      <c r="E740" s="25">
        <f>'Current Ratio'!G814</f>
        <v>3.2163357261941372</v>
      </c>
      <c r="F740" s="25">
        <f>'Cash Ratio'!G814</f>
        <v>0.33113892216053481</v>
      </c>
      <c r="G740" s="25">
        <f>DAR!G814</f>
        <v>0.50217312673477477</v>
      </c>
      <c r="H740" s="25">
        <f>DER!G814</f>
        <v>1.0087304516950693</v>
      </c>
      <c r="I740" s="25">
        <f>NPM!G814</f>
        <v>0.23185122696615471</v>
      </c>
      <c r="J740" s="25">
        <f>ROA!G814</f>
        <v>2.315475765826961E-2</v>
      </c>
      <c r="K740" s="25">
        <f>ROE!G814</f>
        <v>4.651166680978578E-2</v>
      </c>
      <c r="L740" s="25">
        <f>KM!E814</f>
        <v>0.33</v>
      </c>
      <c r="M740" s="24">
        <f>KI!E814</f>
        <v>2</v>
      </c>
      <c r="N740" s="108">
        <f>IO!E814</f>
        <v>0.33</v>
      </c>
      <c r="O740" s="24">
        <f>'BoC Size'!E814</f>
        <v>4</v>
      </c>
      <c r="P740" s="24">
        <f>'TMT E DK'!E814</f>
        <v>0</v>
      </c>
      <c r="Q740" s="24">
        <f>Data!R814</f>
        <v>4</v>
      </c>
      <c r="R740" s="24">
        <f>Data!S814</f>
        <v>5</v>
      </c>
      <c r="S740" s="24">
        <f>'TMT E DK'!E814</f>
        <v>0</v>
      </c>
      <c r="T740" s="24">
        <f>'TMT E DD'!E814</f>
        <v>0</v>
      </c>
      <c r="U740" s="24">
        <f>TA!E814</f>
        <v>14409652000000</v>
      </c>
      <c r="V740" s="109">
        <f>PR!F814</f>
        <v>0.17852691301648865</v>
      </c>
      <c r="W740" s="109">
        <f>'Z Score'!I814</f>
        <v>1.994760711778466</v>
      </c>
      <c r="X740" s="109">
        <f>'Z Score'!L814</f>
        <v>1.0153973336760664</v>
      </c>
      <c r="Y740" s="109">
        <f>'Z Score'!O814</f>
        <v>0.21237158537902232</v>
      </c>
      <c r="Z740" s="109">
        <f>'Z Score'!R814</f>
        <v>1.0409123648796181</v>
      </c>
      <c r="AA740" s="109">
        <f>'Z Score'!S814</f>
        <v>4.2634419957131726</v>
      </c>
    </row>
    <row r="741" spans="1:27" ht="15" customHeight="1" x14ac:dyDescent="0.3">
      <c r="A741" s="22"/>
      <c r="B741" s="23"/>
      <c r="C741" s="2"/>
      <c r="D741" s="23">
        <v>2024</v>
      </c>
      <c r="E741" s="25">
        <f>'Current Ratio'!G815</f>
        <v>3.1609970340469542</v>
      </c>
      <c r="F741" s="25">
        <f>'Cash Ratio'!G815</f>
        <v>0.35154698825919967</v>
      </c>
      <c r="G741" s="25">
        <f>DAR!G815</f>
        <v>0.47001010675972532</v>
      </c>
      <c r="H741" s="25">
        <f>DER!G815</f>
        <v>0.88682843343701823</v>
      </c>
      <c r="I741" s="25">
        <f>NPM!G815</f>
        <v>9.4501032166023319E-2</v>
      </c>
      <c r="J741" s="25">
        <f>ROA!G815</f>
        <v>9.1219430021314083E-3</v>
      </c>
      <c r="K741" s="25">
        <f>ROE!G815</f>
        <v>1.7211541424613376E-2</v>
      </c>
      <c r="L741" s="25">
        <f>KM!E815</f>
        <v>0.33</v>
      </c>
      <c r="M741" s="24">
        <f>KI!E815</f>
        <v>2</v>
      </c>
      <c r="N741" s="108">
        <f>IO!E815</f>
        <v>0.33</v>
      </c>
      <c r="O741" s="24">
        <f>'BoC Size'!E815</f>
        <v>4</v>
      </c>
      <c r="P741" s="24">
        <f>'TMT E DK'!E815</f>
        <v>0</v>
      </c>
      <c r="Q741" s="24">
        <f>Data!R815</f>
        <v>4</v>
      </c>
      <c r="R741" s="24">
        <f>Data!S815</f>
        <v>5</v>
      </c>
      <c r="S741" s="24">
        <f>'TMT E DK'!E815</f>
        <v>0</v>
      </c>
      <c r="T741" s="24">
        <f>'TMT E DD'!E815</f>
        <v>0</v>
      </c>
      <c r="U741" s="24">
        <f>TA!E815</f>
        <v>16164429000000</v>
      </c>
      <c r="V741" s="109">
        <f>PR!F815</f>
        <v>8.4243522588768646E-2</v>
      </c>
      <c r="W741" s="109">
        <f>'Z Score'!I815</f>
        <v>1.9249274218099506</v>
      </c>
      <c r="X741" s="109">
        <f>'Z Score'!L815</f>
        <v>1.0292317668629063</v>
      </c>
      <c r="Y741" s="109">
        <f>'Z Score'!O815</f>
        <v>0.26691211424789579</v>
      </c>
      <c r="Z741" s="109">
        <f>'Z Score'!R815</f>
        <v>1.1839945139451487</v>
      </c>
      <c r="AA741" s="109">
        <f>'Z Score'!S815</f>
        <v>4.4050658168659007</v>
      </c>
    </row>
    <row r="742" spans="1:27" ht="15" customHeight="1" x14ac:dyDescent="0.3">
      <c r="A742" s="22"/>
      <c r="B742" s="23">
        <v>75</v>
      </c>
      <c r="C742" s="1" t="s">
        <v>130</v>
      </c>
      <c r="D742" s="23">
        <v>2015</v>
      </c>
      <c r="E742" s="25">
        <f>'Current Ratio'!G817</f>
        <v>0</v>
      </c>
      <c r="F742" s="25">
        <f>'Cash Ratio'!G817</f>
        <v>0</v>
      </c>
      <c r="G742" s="25">
        <f>DAR!G817</f>
        <v>0</v>
      </c>
      <c r="H742" s="25">
        <f>DER!G817</f>
        <v>0</v>
      </c>
      <c r="I742" s="25">
        <f>NPM!G817</f>
        <v>0</v>
      </c>
      <c r="J742" s="25">
        <f>ROA!G817</f>
        <v>0</v>
      </c>
      <c r="K742" s="25">
        <f>ROE!G817</f>
        <v>0</v>
      </c>
      <c r="L742" s="25">
        <f>KM!E817</f>
        <v>0</v>
      </c>
      <c r="M742" s="24">
        <f>KI!E817</f>
        <v>0</v>
      </c>
      <c r="N742" s="108">
        <f>IO!E817</f>
        <v>0</v>
      </c>
      <c r="O742" s="24">
        <f>'BoC Size'!E817</f>
        <v>0</v>
      </c>
      <c r="P742" s="24">
        <f>'TMT E DK'!E817</f>
        <v>0</v>
      </c>
      <c r="Q742" s="24">
        <f>Data!R817</f>
        <v>0</v>
      </c>
      <c r="R742" s="24">
        <f>Data!S817</f>
        <v>0</v>
      </c>
      <c r="S742" s="24">
        <f>'TMT E DK'!E817</f>
        <v>0</v>
      </c>
      <c r="T742" s="24">
        <f>'TMT E DD'!E817</f>
        <v>0</v>
      </c>
      <c r="U742" s="24">
        <f>TA!E817</f>
        <v>0</v>
      </c>
      <c r="V742" s="109">
        <f>PR!F817</f>
        <v>0</v>
      </c>
      <c r="W742" s="109">
        <f>'Z Score'!I817</f>
        <v>0</v>
      </c>
      <c r="X742" s="109">
        <f>'Z Score'!L817</f>
        <v>0</v>
      </c>
      <c r="Y742" s="109">
        <f>'Z Score'!O817</f>
        <v>0</v>
      </c>
      <c r="Z742" s="109">
        <f>'Z Score'!R817</f>
        <v>0</v>
      </c>
      <c r="AA742" s="109">
        <f>'Z Score'!S817</f>
        <v>0</v>
      </c>
    </row>
    <row r="743" spans="1:27" ht="15" customHeight="1" x14ac:dyDescent="0.3">
      <c r="A743" s="22"/>
      <c r="B743" s="23"/>
      <c r="C743" s="1"/>
      <c r="D743" s="23">
        <v>2016</v>
      </c>
      <c r="E743" s="25">
        <f>'Current Ratio'!G818</f>
        <v>0</v>
      </c>
      <c r="F743" s="25">
        <f>'Cash Ratio'!G818</f>
        <v>0</v>
      </c>
      <c r="G743" s="25">
        <f>DAR!G818</f>
        <v>0</v>
      </c>
      <c r="H743" s="25">
        <f>DER!G818</f>
        <v>0</v>
      </c>
      <c r="I743" s="25">
        <f>NPM!G818</f>
        <v>0</v>
      </c>
      <c r="J743" s="25">
        <f>ROA!G818</f>
        <v>0</v>
      </c>
      <c r="K743" s="25">
        <f>ROE!G818</f>
        <v>0</v>
      </c>
      <c r="L743" s="25">
        <f>KM!E818</f>
        <v>0</v>
      </c>
      <c r="M743" s="24">
        <f>KI!E818</f>
        <v>0</v>
      </c>
      <c r="N743" s="108">
        <f>IO!E818</f>
        <v>0</v>
      </c>
      <c r="O743" s="24">
        <f>'BoC Size'!E818</f>
        <v>0</v>
      </c>
      <c r="P743" s="24">
        <f>'TMT E DK'!E818</f>
        <v>0</v>
      </c>
      <c r="Q743" s="24">
        <f>Data!R818</f>
        <v>0</v>
      </c>
      <c r="R743" s="24">
        <f>Data!S818</f>
        <v>0</v>
      </c>
      <c r="S743" s="24">
        <f>'TMT E DK'!E818</f>
        <v>0</v>
      </c>
      <c r="T743" s="24">
        <f>'TMT E DD'!E818</f>
        <v>0</v>
      </c>
      <c r="U743" s="24">
        <f>TA!E818</f>
        <v>0</v>
      </c>
      <c r="V743" s="109">
        <f>PR!F818</f>
        <v>0</v>
      </c>
      <c r="W743" s="109">
        <f>'Z Score'!I818</f>
        <v>0</v>
      </c>
      <c r="X743" s="109">
        <f>'Z Score'!L818</f>
        <v>0</v>
      </c>
      <c r="Y743" s="109">
        <f>'Z Score'!O818</f>
        <v>0</v>
      </c>
      <c r="Z743" s="109">
        <f>'Z Score'!R818</f>
        <v>0</v>
      </c>
      <c r="AA743" s="109">
        <f>'Z Score'!S818</f>
        <v>0</v>
      </c>
    </row>
    <row r="744" spans="1:27" ht="15" customHeight="1" x14ac:dyDescent="0.3">
      <c r="A744" s="22"/>
      <c r="B744" s="23"/>
      <c r="C744" s="1"/>
      <c r="D744" s="23">
        <v>2017</v>
      </c>
      <c r="E744" s="25">
        <f>'Current Ratio'!G819</f>
        <v>0</v>
      </c>
      <c r="F744" s="25">
        <f>'Cash Ratio'!G819</f>
        <v>0</v>
      </c>
      <c r="G744" s="25">
        <f>DAR!G819</f>
        <v>0</v>
      </c>
      <c r="H744" s="25">
        <f>DER!G819</f>
        <v>0</v>
      </c>
      <c r="I744" s="25">
        <f>NPM!G819</f>
        <v>0</v>
      </c>
      <c r="J744" s="25">
        <f>ROA!G819</f>
        <v>0</v>
      </c>
      <c r="K744" s="25">
        <f>ROE!G819</f>
        <v>0</v>
      </c>
      <c r="L744" s="25">
        <f>KM!E819</f>
        <v>0</v>
      </c>
      <c r="M744" s="24">
        <f>KI!E819</f>
        <v>0</v>
      </c>
      <c r="N744" s="108">
        <f>IO!E819</f>
        <v>0</v>
      </c>
      <c r="O744" s="24">
        <f>'BoC Size'!E819</f>
        <v>0</v>
      </c>
      <c r="P744" s="24">
        <f>'TMT E DK'!E819</f>
        <v>0</v>
      </c>
      <c r="Q744" s="24">
        <f>Data!R819</f>
        <v>0</v>
      </c>
      <c r="R744" s="24">
        <f>Data!S819</f>
        <v>0</v>
      </c>
      <c r="S744" s="24">
        <f>'TMT E DK'!E819</f>
        <v>0</v>
      </c>
      <c r="T744" s="24">
        <f>'TMT E DD'!E819</f>
        <v>0</v>
      </c>
      <c r="U744" s="24">
        <f>TA!E819</f>
        <v>0</v>
      </c>
      <c r="V744" s="109">
        <f>PR!F819</f>
        <v>0</v>
      </c>
      <c r="W744" s="109">
        <f>'Z Score'!I819</f>
        <v>0</v>
      </c>
      <c r="X744" s="109">
        <f>'Z Score'!L819</f>
        <v>0</v>
      </c>
      <c r="Y744" s="109">
        <f>'Z Score'!O819</f>
        <v>0</v>
      </c>
      <c r="Z744" s="109">
        <f>'Z Score'!R819</f>
        <v>0</v>
      </c>
      <c r="AA744" s="109">
        <f>'Z Score'!S819</f>
        <v>0</v>
      </c>
    </row>
    <row r="745" spans="1:27" ht="15" customHeight="1" x14ac:dyDescent="0.3">
      <c r="A745" s="22"/>
      <c r="B745" s="23"/>
      <c r="C745" s="1"/>
      <c r="D745" s="23">
        <v>2018</v>
      </c>
      <c r="E745" s="25">
        <f>'Current Ratio'!G820</f>
        <v>0</v>
      </c>
      <c r="F745" s="25">
        <f>'Cash Ratio'!G820</f>
        <v>0</v>
      </c>
      <c r="G745" s="25">
        <f>DAR!G820</f>
        <v>0</v>
      </c>
      <c r="H745" s="25">
        <f>DER!G820</f>
        <v>0</v>
      </c>
      <c r="I745" s="25">
        <f>NPM!G820</f>
        <v>0</v>
      </c>
      <c r="J745" s="25">
        <f>ROA!G820</f>
        <v>0</v>
      </c>
      <c r="K745" s="25">
        <f>ROE!G820</f>
        <v>0</v>
      </c>
      <c r="L745" s="25">
        <f>KM!E820</f>
        <v>0</v>
      </c>
      <c r="M745" s="24">
        <f>KI!E820</f>
        <v>0</v>
      </c>
      <c r="N745" s="108">
        <f>IO!E820</f>
        <v>0</v>
      </c>
      <c r="O745" s="24">
        <f>'BoC Size'!E820</f>
        <v>0</v>
      </c>
      <c r="P745" s="24">
        <f>'TMT E DK'!E820</f>
        <v>0</v>
      </c>
      <c r="Q745" s="24">
        <f>Data!R820</f>
        <v>0</v>
      </c>
      <c r="R745" s="24">
        <f>Data!S820</f>
        <v>0</v>
      </c>
      <c r="S745" s="24">
        <f>'TMT E DK'!E820</f>
        <v>0</v>
      </c>
      <c r="T745" s="24">
        <f>'TMT E DD'!E820</f>
        <v>0</v>
      </c>
      <c r="U745" s="24">
        <f>TA!E820</f>
        <v>0</v>
      </c>
      <c r="V745" s="109">
        <f>PR!F820</f>
        <v>0</v>
      </c>
      <c r="W745" s="109">
        <f>'Z Score'!I820</f>
        <v>0</v>
      </c>
      <c r="X745" s="109">
        <f>'Z Score'!L820</f>
        <v>0</v>
      </c>
      <c r="Y745" s="109">
        <f>'Z Score'!O820</f>
        <v>0</v>
      </c>
      <c r="Z745" s="109">
        <f>'Z Score'!R820</f>
        <v>0</v>
      </c>
      <c r="AA745" s="109">
        <f>'Z Score'!S820</f>
        <v>0</v>
      </c>
    </row>
    <row r="746" spans="1:27" ht="15" customHeight="1" x14ac:dyDescent="0.3">
      <c r="A746" s="22"/>
      <c r="B746" s="23"/>
      <c r="C746" s="1"/>
      <c r="D746" s="23">
        <v>2019</v>
      </c>
      <c r="E746" s="25">
        <f>'Current Ratio'!G821</f>
        <v>0</v>
      </c>
      <c r="F746" s="25">
        <f>'Cash Ratio'!G821</f>
        <v>0</v>
      </c>
      <c r="G746" s="25">
        <f>DAR!G821</f>
        <v>0</v>
      </c>
      <c r="H746" s="25">
        <f>DER!G821</f>
        <v>0</v>
      </c>
      <c r="I746" s="25">
        <f>NPM!G821</f>
        <v>0</v>
      </c>
      <c r="J746" s="25">
        <f>ROA!G821</f>
        <v>0</v>
      </c>
      <c r="K746" s="25">
        <f>ROE!G821</f>
        <v>0</v>
      </c>
      <c r="L746" s="25">
        <f>KM!E821</f>
        <v>0</v>
      </c>
      <c r="M746" s="24">
        <f>KI!E821</f>
        <v>0</v>
      </c>
      <c r="N746" s="108">
        <f>IO!E821</f>
        <v>0</v>
      </c>
      <c r="O746" s="24">
        <f>'BoC Size'!E821</f>
        <v>0</v>
      </c>
      <c r="P746" s="24">
        <f>'TMT E DK'!E821</f>
        <v>0</v>
      </c>
      <c r="Q746" s="24">
        <f>Data!R821</f>
        <v>0</v>
      </c>
      <c r="R746" s="24">
        <f>Data!S821</f>
        <v>0</v>
      </c>
      <c r="S746" s="24">
        <f>'TMT E DK'!E821</f>
        <v>0</v>
      </c>
      <c r="T746" s="24">
        <f>'TMT E DD'!E821</f>
        <v>0</v>
      </c>
      <c r="U746" s="24">
        <f>TA!E821</f>
        <v>0</v>
      </c>
      <c r="V746" s="109">
        <f>PR!F821</f>
        <v>0</v>
      </c>
      <c r="W746" s="109">
        <f>'Z Score'!I821</f>
        <v>0</v>
      </c>
      <c r="X746" s="109">
        <f>'Z Score'!L821</f>
        <v>0</v>
      </c>
      <c r="Y746" s="109">
        <f>'Z Score'!O821</f>
        <v>0</v>
      </c>
      <c r="Z746" s="109">
        <f>'Z Score'!R821</f>
        <v>0</v>
      </c>
      <c r="AA746" s="109">
        <f>'Z Score'!S821</f>
        <v>0</v>
      </c>
    </row>
    <row r="747" spans="1:27" ht="15" customHeight="1" x14ac:dyDescent="0.3">
      <c r="A747" s="22"/>
      <c r="B747" s="23"/>
      <c r="C747" s="1"/>
      <c r="D747" s="23">
        <v>2020</v>
      </c>
      <c r="E747" s="25">
        <f>'Current Ratio'!G822</f>
        <v>0</v>
      </c>
      <c r="F747" s="25">
        <f>'Cash Ratio'!G822</f>
        <v>0</v>
      </c>
      <c r="G747" s="25">
        <f>DAR!G822</f>
        <v>0</v>
      </c>
      <c r="H747" s="25">
        <f>DER!G822</f>
        <v>0</v>
      </c>
      <c r="I747" s="25">
        <f>NPM!G822</f>
        <v>0</v>
      </c>
      <c r="J747" s="25">
        <f>ROA!G822</f>
        <v>0</v>
      </c>
      <c r="K747" s="25">
        <f>ROE!G822</f>
        <v>0</v>
      </c>
      <c r="L747" s="25">
        <f>KM!E822</f>
        <v>0</v>
      </c>
      <c r="M747" s="24">
        <f>KI!E822</f>
        <v>0</v>
      </c>
      <c r="N747" s="108">
        <f>IO!E822</f>
        <v>0</v>
      </c>
      <c r="O747" s="24">
        <f>'BoC Size'!E822</f>
        <v>0</v>
      </c>
      <c r="P747" s="24">
        <f>'TMT E DK'!E822</f>
        <v>0</v>
      </c>
      <c r="Q747" s="24">
        <f>Data!R822</f>
        <v>0</v>
      </c>
      <c r="R747" s="24">
        <f>Data!S822</f>
        <v>0</v>
      </c>
      <c r="S747" s="24">
        <f>'TMT E DK'!E822</f>
        <v>0</v>
      </c>
      <c r="T747" s="24">
        <f>'TMT E DD'!E822</f>
        <v>0</v>
      </c>
      <c r="U747" s="24">
        <f>TA!E822</f>
        <v>0</v>
      </c>
      <c r="V747" s="109">
        <f>PR!F822</f>
        <v>0</v>
      </c>
      <c r="W747" s="109">
        <f>'Z Score'!I822</f>
        <v>0</v>
      </c>
      <c r="X747" s="109">
        <f>'Z Score'!L822</f>
        <v>0</v>
      </c>
      <c r="Y747" s="109">
        <f>'Z Score'!O822</f>
        <v>0</v>
      </c>
      <c r="Z747" s="109">
        <f>'Z Score'!R822</f>
        <v>0</v>
      </c>
      <c r="AA747" s="109">
        <f>'Z Score'!S822</f>
        <v>0</v>
      </c>
    </row>
    <row r="748" spans="1:27" ht="15" customHeight="1" x14ac:dyDescent="0.3">
      <c r="A748" s="22"/>
      <c r="B748" s="23"/>
      <c r="C748" s="1"/>
      <c r="D748" s="23">
        <v>2021</v>
      </c>
      <c r="E748" s="25">
        <f>'Current Ratio'!G823</f>
        <v>0</v>
      </c>
      <c r="F748" s="25">
        <f>'Cash Ratio'!G823</f>
        <v>0</v>
      </c>
      <c r="G748" s="25">
        <f>DAR!G823</f>
        <v>0</v>
      </c>
      <c r="H748" s="25">
        <f>DER!G823</f>
        <v>0</v>
      </c>
      <c r="I748" s="25">
        <f>NPM!G823</f>
        <v>0</v>
      </c>
      <c r="J748" s="25">
        <f>ROA!G823</f>
        <v>0</v>
      </c>
      <c r="K748" s="25">
        <f>ROE!G823</f>
        <v>0</v>
      </c>
      <c r="L748" s="25">
        <f>KM!E823</f>
        <v>0</v>
      </c>
      <c r="M748" s="24">
        <f>KI!E823</f>
        <v>0</v>
      </c>
      <c r="N748" s="108">
        <f>IO!E823</f>
        <v>0</v>
      </c>
      <c r="O748" s="24">
        <f>'BoC Size'!E823</f>
        <v>0</v>
      </c>
      <c r="P748" s="24">
        <f>'TMT E DK'!E823</f>
        <v>0</v>
      </c>
      <c r="Q748" s="24">
        <f>Data!R823</f>
        <v>0</v>
      </c>
      <c r="R748" s="24">
        <f>Data!S823</f>
        <v>0</v>
      </c>
      <c r="S748" s="24">
        <f>'TMT E DK'!E823</f>
        <v>0</v>
      </c>
      <c r="T748" s="24">
        <f>'TMT E DD'!E823</f>
        <v>0</v>
      </c>
      <c r="U748" s="24">
        <f>TA!E823</f>
        <v>0</v>
      </c>
      <c r="V748" s="109">
        <f>PR!F823</f>
        <v>0</v>
      </c>
      <c r="W748" s="109">
        <f>'Z Score'!I823</f>
        <v>0</v>
      </c>
      <c r="X748" s="109">
        <f>'Z Score'!L823</f>
        <v>0</v>
      </c>
      <c r="Y748" s="109">
        <f>'Z Score'!O823</f>
        <v>0</v>
      </c>
      <c r="Z748" s="109">
        <f>'Z Score'!R823</f>
        <v>0</v>
      </c>
      <c r="AA748" s="109">
        <f>'Z Score'!S823</f>
        <v>0</v>
      </c>
    </row>
    <row r="749" spans="1:27" ht="15" customHeight="1" x14ac:dyDescent="0.3">
      <c r="A749" s="22"/>
      <c r="B749" s="23"/>
      <c r="C749" s="1"/>
      <c r="D749" s="23">
        <v>2022</v>
      </c>
      <c r="E749" s="25">
        <f>'Current Ratio'!G824</f>
        <v>0</v>
      </c>
      <c r="F749" s="25">
        <f>'Cash Ratio'!G824</f>
        <v>0</v>
      </c>
      <c r="G749" s="25">
        <f>DAR!G824</f>
        <v>0</v>
      </c>
      <c r="H749" s="25">
        <f>DER!G824</f>
        <v>0</v>
      </c>
      <c r="I749" s="25">
        <f>NPM!G824</f>
        <v>0</v>
      </c>
      <c r="J749" s="25">
        <f>ROA!G824</f>
        <v>0</v>
      </c>
      <c r="K749" s="25">
        <f>ROE!G824</f>
        <v>0</v>
      </c>
      <c r="L749" s="25">
        <f>KM!E824</f>
        <v>0</v>
      </c>
      <c r="M749" s="24">
        <f>KI!E824</f>
        <v>0</v>
      </c>
      <c r="N749" s="108">
        <f>IO!E824</f>
        <v>0</v>
      </c>
      <c r="O749" s="24">
        <f>'BoC Size'!E824</f>
        <v>0</v>
      </c>
      <c r="P749" s="24">
        <f>'TMT E DK'!E824</f>
        <v>0</v>
      </c>
      <c r="Q749" s="24">
        <f>Data!R824</f>
        <v>0</v>
      </c>
      <c r="R749" s="24">
        <f>Data!S824</f>
        <v>0</v>
      </c>
      <c r="S749" s="24">
        <f>'TMT E DK'!E824</f>
        <v>0</v>
      </c>
      <c r="T749" s="24">
        <f>'TMT E DD'!E824</f>
        <v>0</v>
      </c>
      <c r="U749" s="24">
        <f>TA!E824</f>
        <v>0</v>
      </c>
      <c r="V749" s="109">
        <f>PR!F824</f>
        <v>0</v>
      </c>
      <c r="W749" s="109">
        <f>'Z Score'!I824</f>
        <v>0</v>
      </c>
      <c r="X749" s="109">
        <f>'Z Score'!L824</f>
        <v>0</v>
      </c>
      <c r="Y749" s="109">
        <f>'Z Score'!O824</f>
        <v>0</v>
      </c>
      <c r="Z749" s="109">
        <f>'Z Score'!R824</f>
        <v>0</v>
      </c>
      <c r="AA749" s="109">
        <f>'Z Score'!S824</f>
        <v>0</v>
      </c>
    </row>
    <row r="750" spans="1:27" ht="15" customHeight="1" x14ac:dyDescent="0.3">
      <c r="A750" s="22"/>
      <c r="B750" s="23"/>
      <c r="C750" s="1"/>
      <c r="D750" s="23">
        <v>2023</v>
      </c>
      <c r="E750" s="25">
        <f>'Current Ratio'!G825</f>
        <v>0</v>
      </c>
      <c r="F750" s="25">
        <f>'Cash Ratio'!G825</f>
        <v>0</v>
      </c>
      <c r="G750" s="25">
        <f>DAR!G825</f>
        <v>0</v>
      </c>
      <c r="H750" s="25">
        <f>DER!G825</f>
        <v>0</v>
      </c>
      <c r="I750" s="25">
        <f>NPM!G825</f>
        <v>0</v>
      </c>
      <c r="J750" s="25">
        <f>ROA!G825</f>
        <v>0</v>
      </c>
      <c r="K750" s="25">
        <f>ROE!G825</f>
        <v>0</v>
      </c>
      <c r="L750" s="25">
        <f>KM!E825</f>
        <v>0</v>
      </c>
      <c r="M750" s="24">
        <f>KI!E825</f>
        <v>0</v>
      </c>
      <c r="N750" s="108">
        <f>IO!E825</f>
        <v>0</v>
      </c>
      <c r="O750" s="24">
        <f>'BoC Size'!E825</f>
        <v>0</v>
      </c>
      <c r="P750" s="24">
        <f>'TMT E DK'!E825</f>
        <v>0</v>
      </c>
      <c r="Q750" s="24">
        <f>Data!R825</f>
        <v>0</v>
      </c>
      <c r="R750" s="24">
        <f>Data!S825</f>
        <v>0</v>
      </c>
      <c r="S750" s="24">
        <f>'TMT E DK'!E825</f>
        <v>0</v>
      </c>
      <c r="T750" s="24">
        <f>'TMT E DD'!E825</f>
        <v>0</v>
      </c>
      <c r="U750" s="24">
        <f>TA!E825</f>
        <v>0</v>
      </c>
      <c r="V750" s="109">
        <f>PR!F825</f>
        <v>0</v>
      </c>
      <c r="W750" s="109">
        <f>'Z Score'!I825</f>
        <v>0</v>
      </c>
      <c r="X750" s="109">
        <f>'Z Score'!L825</f>
        <v>0</v>
      </c>
      <c r="Y750" s="109">
        <f>'Z Score'!O825</f>
        <v>0</v>
      </c>
      <c r="Z750" s="109">
        <f>'Z Score'!R825</f>
        <v>0</v>
      </c>
      <c r="AA750" s="109">
        <f>'Z Score'!S825</f>
        <v>0</v>
      </c>
    </row>
    <row r="751" spans="1:27" ht="15" customHeight="1" x14ac:dyDescent="0.3">
      <c r="A751" s="22"/>
      <c r="B751" s="23"/>
      <c r="C751" s="1"/>
      <c r="D751" s="23">
        <v>2024</v>
      </c>
      <c r="E751" s="25">
        <f>'Current Ratio'!G826</f>
        <v>0</v>
      </c>
      <c r="F751" s="25">
        <f>'Cash Ratio'!G826</f>
        <v>0</v>
      </c>
      <c r="G751" s="25">
        <f>DAR!G826</f>
        <v>0</v>
      </c>
      <c r="H751" s="25">
        <f>DER!G826</f>
        <v>0</v>
      </c>
      <c r="I751" s="25">
        <f>NPM!G826</f>
        <v>0</v>
      </c>
      <c r="J751" s="25">
        <f>ROA!G826</f>
        <v>0</v>
      </c>
      <c r="K751" s="25">
        <f>ROE!G826</f>
        <v>0</v>
      </c>
      <c r="L751" s="25">
        <f>KM!E826</f>
        <v>0</v>
      </c>
      <c r="M751" s="24">
        <f>KI!E826</f>
        <v>0</v>
      </c>
      <c r="N751" s="108">
        <f>IO!E826</f>
        <v>0</v>
      </c>
      <c r="O751" s="24">
        <f>'BoC Size'!E826</f>
        <v>0</v>
      </c>
      <c r="P751" s="24">
        <f>'TMT E DK'!E826</f>
        <v>0</v>
      </c>
      <c r="Q751" s="24">
        <f>Data!R826</f>
        <v>0</v>
      </c>
      <c r="R751" s="24">
        <f>Data!S826</f>
        <v>0</v>
      </c>
      <c r="S751" s="24">
        <f>'TMT E DK'!E826</f>
        <v>0</v>
      </c>
      <c r="T751" s="24">
        <f>'TMT E DD'!E826</f>
        <v>0</v>
      </c>
      <c r="U751" s="24">
        <f>TA!E826</f>
        <v>0</v>
      </c>
      <c r="V751" s="109">
        <f>PR!F826</f>
        <v>0</v>
      </c>
      <c r="W751" s="109">
        <f>'Z Score'!I826</f>
        <v>0</v>
      </c>
      <c r="X751" s="109">
        <f>'Z Score'!L826</f>
        <v>0</v>
      </c>
      <c r="Y751" s="109">
        <f>'Z Score'!O826</f>
        <v>0</v>
      </c>
      <c r="Z751" s="109">
        <f>'Z Score'!R826</f>
        <v>0</v>
      </c>
      <c r="AA751" s="109">
        <f>'Z Score'!S826</f>
        <v>0</v>
      </c>
    </row>
    <row r="752" spans="1:27" ht="15" customHeight="1" x14ac:dyDescent="0.3">
      <c r="A752" s="22"/>
      <c r="B752" s="23">
        <v>76</v>
      </c>
      <c r="C752" s="2" t="s">
        <v>79</v>
      </c>
      <c r="D752" s="23">
        <v>2015</v>
      </c>
      <c r="E752" s="25">
        <f>'Current Ratio'!G828</f>
        <v>0</v>
      </c>
      <c r="F752" s="25">
        <f>'Cash Ratio'!G828</f>
        <v>0</v>
      </c>
      <c r="G752" s="25">
        <f>DAR!G828</f>
        <v>0</v>
      </c>
      <c r="H752" s="25">
        <f>DER!G828</f>
        <v>0</v>
      </c>
      <c r="I752" s="25">
        <f>NPM!G828</f>
        <v>0</v>
      </c>
      <c r="J752" s="25">
        <f>ROA!G828</f>
        <v>0</v>
      </c>
      <c r="K752" s="25">
        <f>ROE!G828</f>
        <v>0</v>
      </c>
      <c r="L752" s="25">
        <f>KM!E828</f>
        <v>0</v>
      </c>
      <c r="M752" s="24">
        <f>KI!E828</f>
        <v>0</v>
      </c>
      <c r="N752" s="108">
        <f>IO!E828</f>
        <v>0</v>
      </c>
      <c r="O752" s="24">
        <f>'BoC Size'!E828</f>
        <v>0</v>
      </c>
      <c r="P752" s="24">
        <f>'TMT E DK'!E828</f>
        <v>0</v>
      </c>
      <c r="Q752" s="24">
        <f>Data!R828</f>
        <v>0</v>
      </c>
      <c r="R752" s="24">
        <f>Data!S828</f>
        <v>0</v>
      </c>
      <c r="S752" s="24">
        <f>'TMT E DK'!E828</f>
        <v>0</v>
      </c>
      <c r="T752" s="24">
        <f>'TMT E DD'!E828</f>
        <v>0</v>
      </c>
      <c r="U752" s="24">
        <f>TA!E828</f>
        <v>0</v>
      </c>
      <c r="V752" s="109">
        <f>PR!F828</f>
        <v>0</v>
      </c>
      <c r="W752" s="109">
        <f>'Z Score'!I828</f>
        <v>0</v>
      </c>
      <c r="X752" s="109">
        <f>'Z Score'!L828</f>
        <v>0</v>
      </c>
      <c r="Y752" s="109">
        <f>'Z Score'!O828</f>
        <v>0</v>
      </c>
      <c r="Z752" s="109">
        <f>'Z Score'!R828</f>
        <v>0</v>
      </c>
      <c r="AA752" s="109">
        <f>'Z Score'!S828</f>
        <v>0</v>
      </c>
    </row>
    <row r="753" spans="1:27" ht="15" customHeight="1" x14ac:dyDescent="0.3">
      <c r="A753" s="22"/>
      <c r="B753" s="23"/>
      <c r="C753" s="2"/>
      <c r="D753" s="23">
        <v>2016</v>
      </c>
      <c r="E753" s="25">
        <f>'Current Ratio'!G829</f>
        <v>0</v>
      </c>
      <c r="F753" s="25">
        <f>'Cash Ratio'!G829</f>
        <v>0</v>
      </c>
      <c r="G753" s="25">
        <f>DAR!G829</f>
        <v>0</v>
      </c>
      <c r="H753" s="25">
        <f>DER!G829</f>
        <v>0</v>
      </c>
      <c r="I753" s="25">
        <f>NPM!G829</f>
        <v>0</v>
      </c>
      <c r="J753" s="25">
        <f>ROA!G829</f>
        <v>0</v>
      </c>
      <c r="K753" s="25">
        <f>ROE!G829</f>
        <v>0</v>
      </c>
      <c r="L753" s="25">
        <f>KM!E829</f>
        <v>0</v>
      </c>
      <c r="M753" s="24">
        <f>KI!E829</f>
        <v>0</v>
      </c>
      <c r="N753" s="108">
        <f>IO!E829</f>
        <v>0</v>
      </c>
      <c r="O753" s="24">
        <f>'BoC Size'!E829</f>
        <v>0</v>
      </c>
      <c r="P753" s="24">
        <f>'TMT E DK'!E829</f>
        <v>0</v>
      </c>
      <c r="Q753" s="24">
        <f>Data!R829</f>
        <v>0</v>
      </c>
      <c r="R753" s="24">
        <f>Data!S829</f>
        <v>0</v>
      </c>
      <c r="S753" s="24">
        <f>'TMT E DK'!E829</f>
        <v>0</v>
      </c>
      <c r="T753" s="24">
        <f>'TMT E DD'!E829</f>
        <v>0</v>
      </c>
      <c r="U753" s="24">
        <f>TA!E829</f>
        <v>0</v>
      </c>
      <c r="V753" s="109">
        <f>PR!F829</f>
        <v>0</v>
      </c>
      <c r="W753" s="109">
        <f>'Z Score'!I829</f>
        <v>0</v>
      </c>
      <c r="X753" s="109">
        <f>'Z Score'!L829</f>
        <v>0</v>
      </c>
      <c r="Y753" s="109">
        <f>'Z Score'!O829</f>
        <v>0</v>
      </c>
      <c r="Z753" s="109">
        <f>'Z Score'!R829</f>
        <v>0</v>
      </c>
      <c r="AA753" s="109">
        <f>'Z Score'!S829</f>
        <v>0</v>
      </c>
    </row>
    <row r="754" spans="1:27" ht="15" customHeight="1" x14ac:dyDescent="0.3">
      <c r="A754" s="22"/>
      <c r="B754" s="23"/>
      <c r="C754" s="2"/>
      <c r="D754" s="23">
        <v>2017</v>
      </c>
      <c r="E754" s="25">
        <f>'Current Ratio'!G830</f>
        <v>0</v>
      </c>
      <c r="F754" s="25">
        <f>'Cash Ratio'!G830</f>
        <v>0</v>
      </c>
      <c r="G754" s="25">
        <f>DAR!G830</f>
        <v>0</v>
      </c>
      <c r="H754" s="25">
        <f>DER!G830</f>
        <v>0</v>
      </c>
      <c r="I754" s="25">
        <f>NPM!G830</f>
        <v>0</v>
      </c>
      <c r="J754" s="25">
        <f>ROA!G830</f>
        <v>0</v>
      </c>
      <c r="K754" s="25">
        <f>ROE!G830</f>
        <v>0</v>
      </c>
      <c r="L754" s="25">
        <f>KM!E830</f>
        <v>0</v>
      </c>
      <c r="M754" s="24">
        <f>KI!E830</f>
        <v>0</v>
      </c>
      <c r="N754" s="108">
        <f>IO!E830</f>
        <v>0</v>
      </c>
      <c r="O754" s="24">
        <f>'BoC Size'!E830</f>
        <v>0</v>
      </c>
      <c r="P754" s="24">
        <f>'TMT E DK'!E830</f>
        <v>0</v>
      </c>
      <c r="Q754" s="24">
        <f>Data!R830</f>
        <v>0</v>
      </c>
      <c r="R754" s="24">
        <f>Data!S830</f>
        <v>0</v>
      </c>
      <c r="S754" s="24">
        <f>'TMT E DK'!E830</f>
        <v>0</v>
      </c>
      <c r="T754" s="24">
        <f>'TMT E DD'!E830</f>
        <v>0</v>
      </c>
      <c r="U754" s="24">
        <f>TA!E830</f>
        <v>0</v>
      </c>
      <c r="V754" s="109">
        <f>PR!F830</f>
        <v>0</v>
      </c>
      <c r="W754" s="109">
        <f>'Z Score'!I830</f>
        <v>0</v>
      </c>
      <c r="X754" s="109">
        <f>'Z Score'!L830</f>
        <v>0</v>
      </c>
      <c r="Y754" s="109">
        <f>'Z Score'!O830</f>
        <v>0</v>
      </c>
      <c r="Z754" s="109">
        <f>'Z Score'!R830</f>
        <v>0</v>
      </c>
      <c r="AA754" s="109">
        <f>'Z Score'!S830</f>
        <v>0</v>
      </c>
    </row>
    <row r="755" spans="1:27" ht="15" customHeight="1" x14ac:dyDescent="0.3">
      <c r="A755" s="22"/>
      <c r="B755" s="23"/>
      <c r="C755" s="2"/>
      <c r="D755" s="23">
        <v>2018</v>
      </c>
      <c r="E755" s="25">
        <f>'Current Ratio'!G831</f>
        <v>0</v>
      </c>
      <c r="F755" s="25">
        <f>'Cash Ratio'!G831</f>
        <v>0</v>
      </c>
      <c r="G755" s="25">
        <f>DAR!G831</f>
        <v>0</v>
      </c>
      <c r="H755" s="25">
        <f>DER!G831</f>
        <v>0</v>
      </c>
      <c r="I755" s="25">
        <f>NPM!G831</f>
        <v>0</v>
      </c>
      <c r="J755" s="25">
        <f>ROA!G831</f>
        <v>0</v>
      </c>
      <c r="K755" s="25">
        <f>ROE!G831</f>
        <v>0</v>
      </c>
      <c r="L755" s="25">
        <f>KM!E831</f>
        <v>0</v>
      </c>
      <c r="M755" s="24">
        <f>KI!E831</f>
        <v>0</v>
      </c>
      <c r="N755" s="108">
        <f>IO!E831</f>
        <v>0</v>
      </c>
      <c r="O755" s="24">
        <f>'BoC Size'!E831</f>
        <v>0</v>
      </c>
      <c r="P755" s="24">
        <f>'TMT E DK'!E831</f>
        <v>0</v>
      </c>
      <c r="Q755" s="24">
        <f>Data!R831</f>
        <v>0</v>
      </c>
      <c r="R755" s="24">
        <f>Data!S831</f>
        <v>0</v>
      </c>
      <c r="S755" s="24">
        <f>'TMT E DK'!E831</f>
        <v>0</v>
      </c>
      <c r="T755" s="24">
        <f>'TMT E DD'!E831</f>
        <v>0</v>
      </c>
      <c r="U755" s="24">
        <f>TA!E831</f>
        <v>0</v>
      </c>
      <c r="V755" s="109">
        <f>PR!F831</f>
        <v>0</v>
      </c>
      <c r="W755" s="109">
        <f>'Z Score'!I831</f>
        <v>0</v>
      </c>
      <c r="X755" s="109">
        <f>'Z Score'!L831</f>
        <v>0</v>
      </c>
      <c r="Y755" s="109">
        <f>'Z Score'!O831</f>
        <v>0</v>
      </c>
      <c r="Z755" s="109">
        <f>'Z Score'!R831</f>
        <v>0</v>
      </c>
      <c r="AA755" s="109">
        <f>'Z Score'!S831</f>
        <v>0</v>
      </c>
    </row>
    <row r="756" spans="1:27" ht="15" customHeight="1" x14ac:dyDescent="0.3">
      <c r="A756" s="22"/>
      <c r="B756" s="23"/>
      <c r="C756" s="2"/>
      <c r="D756" s="23">
        <v>2019</v>
      </c>
      <c r="E756" s="25">
        <f>'Current Ratio'!G832</f>
        <v>3.6479084800586614</v>
      </c>
      <c r="F756" s="25">
        <f>'Cash Ratio'!G832</f>
        <v>0.20585527614773946</v>
      </c>
      <c r="G756" s="25">
        <f>DAR!G832</f>
        <v>0.711492737563865</v>
      </c>
      <c r="H756" s="25">
        <f>DER!G832</f>
        <v>2.466117253188258</v>
      </c>
      <c r="I756" s="25">
        <f>NPM!G832</f>
        <v>0.12324636842499972</v>
      </c>
      <c r="J756" s="25">
        <f>ROA!G832</f>
        <v>2.1722526030659484E-2</v>
      </c>
      <c r="K756" s="25">
        <f>ROE!G832</f>
        <v>7.5292822257699885E-2</v>
      </c>
      <c r="L756" s="25">
        <f>KM!E832</f>
        <v>0</v>
      </c>
      <c r="M756" s="24">
        <f>KI!E832</f>
        <v>0</v>
      </c>
      <c r="N756" s="108">
        <f>IO!E832</f>
        <v>0</v>
      </c>
      <c r="O756" s="24">
        <f>'BoC Size'!E832</f>
        <v>0</v>
      </c>
      <c r="P756" s="24">
        <f>'TMT E DK'!E832</f>
        <v>0</v>
      </c>
      <c r="Q756" s="24">
        <f>Data!R832</f>
        <v>0</v>
      </c>
      <c r="R756" s="24">
        <f>Data!S832</f>
        <v>0</v>
      </c>
      <c r="S756" s="24">
        <f>'TMT E DK'!E832</f>
        <v>0</v>
      </c>
      <c r="T756" s="24">
        <f>'TMT E DD'!E832</f>
        <v>0</v>
      </c>
      <c r="U756" s="24">
        <f>TA!E832</f>
        <v>1158038755000</v>
      </c>
      <c r="V756" s="109">
        <f>PR!F832</f>
        <v>0</v>
      </c>
      <c r="W756" s="109">
        <f>'Z Score'!I832</f>
        <v>3.07347612330988</v>
      </c>
      <c r="X756" s="109">
        <f>'Z Score'!L832</f>
        <v>0.84509740512095377</v>
      </c>
      <c r="Y756" s="109">
        <f>'Z Score'!O832</f>
        <v>0.19525095772809434</v>
      </c>
      <c r="Z756" s="109">
        <f>'Z Score'!R832</f>
        <v>0.42577050975274344</v>
      </c>
      <c r="AA756" s="109">
        <f>'Z Score'!S832</f>
        <v>4.5395949959116715</v>
      </c>
    </row>
    <row r="757" spans="1:27" ht="15" customHeight="1" x14ac:dyDescent="0.3">
      <c r="A757" s="22"/>
      <c r="B757" s="23"/>
      <c r="C757" s="2"/>
      <c r="D757" s="23">
        <v>2020</v>
      </c>
      <c r="E757" s="25">
        <f>'Current Ratio'!G833</f>
        <v>3.8152758409940604</v>
      </c>
      <c r="F757" s="25">
        <f>'Cash Ratio'!G833</f>
        <v>0.11536548756678906</v>
      </c>
      <c r="G757" s="25">
        <f>DAR!G833</f>
        <v>0.59098569096743236</v>
      </c>
      <c r="H757" s="25">
        <f>DER!G833</f>
        <v>1.4449022391546098</v>
      </c>
      <c r="I757" s="25">
        <f>NPM!G833</f>
        <v>0.1793915764581476</v>
      </c>
      <c r="J757" s="25">
        <f>ROA!G833</f>
        <v>3.7883586286263843E-2</v>
      </c>
      <c r="K757" s="25">
        <f>ROE!G833</f>
        <v>9.2621664938493331E-2</v>
      </c>
      <c r="L757" s="25">
        <f>KM!E833</f>
        <v>0.73329999999999995</v>
      </c>
      <c r="M757" s="24">
        <f>KI!E833</f>
        <v>2</v>
      </c>
      <c r="N757" s="108">
        <f>IO!E833</f>
        <v>0</v>
      </c>
      <c r="O757" s="24">
        <f>'BoC Size'!E833</f>
        <v>4</v>
      </c>
      <c r="P757" s="24">
        <f>'TMT E DK'!E833</f>
        <v>11</v>
      </c>
      <c r="Q757" s="24">
        <f>Data!R833</f>
        <v>4</v>
      </c>
      <c r="R757" s="24">
        <f>Data!S833</f>
        <v>5</v>
      </c>
      <c r="S757" s="24">
        <f>'TMT E DK'!E833</f>
        <v>11</v>
      </c>
      <c r="T757" s="24">
        <f>'TMT E DD'!E833</f>
        <v>7</v>
      </c>
      <c r="U757" s="24">
        <f>TA!E833</f>
        <v>859876511000</v>
      </c>
      <c r="V757" s="109">
        <f>PR!F833</f>
        <v>-0.11033637234562685</v>
      </c>
      <c r="W757" s="109">
        <f>'Z Score'!I833</f>
        <v>2.656586128888919</v>
      </c>
      <c r="X757" s="109">
        <f>'Z Score'!L833</f>
        <v>1.182980132038983</v>
      </c>
      <c r="Y757" s="109">
        <f>'Z Score'!O833</f>
        <v>0.24274373714111139</v>
      </c>
      <c r="Z757" s="109">
        <f>'Z Score'!R833</f>
        <v>0.72669276269814564</v>
      </c>
      <c r="AA757" s="109">
        <f>'Z Score'!S833</f>
        <v>4.809002760767159</v>
      </c>
    </row>
    <row r="758" spans="1:27" ht="15" customHeight="1" x14ac:dyDescent="0.3">
      <c r="A758" s="22"/>
      <c r="B758" s="23"/>
      <c r="C758" s="2"/>
      <c r="D758" s="23">
        <v>2021</v>
      </c>
      <c r="E758" s="25">
        <f>'Current Ratio'!G834</f>
        <v>3.6281104572436407</v>
      </c>
      <c r="F758" s="25">
        <f>'Cash Ratio'!G834</f>
        <v>9.6317639485881679E-2</v>
      </c>
      <c r="G758" s="25">
        <f>DAR!G834</f>
        <v>0.5625075035062489</v>
      </c>
      <c r="H758" s="25">
        <f>DER!G834</f>
        <v>1.2857534883784765</v>
      </c>
      <c r="I758" s="25">
        <f>NPM!G834</f>
        <v>0.15357680039941077</v>
      </c>
      <c r="J758" s="25">
        <f>ROA!G834</f>
        <v>3.2186266771115496E-2</v>
      </c>
      <c r="K758" s="25">
        <f>ROE!G834</f>
        <v>7.3569871549957477E-2</v>
      </c>
      <c r="L758" s="25">
        <f>KM!E834</f>
        <v>0.73329999999999995</v>
      </c>
      <c r="M758" s="24">
        <f>KI!E834</f>
        <v>2</v>
      </c>
      <c r="N758" s="108">
        <f>IO!E834</f>
        <v>0</v>
      </c>
      <c r="O758" s="24">
        <f>'BoC Size'!E834</f>
        <v>4</v>
      </c>
      <c r="P758" s="24">
        <f>'TMT E DK'!E834</f>
        <v>11</v>
      </c>
      <c r="Q758" s="24">
        <f>Data!R834</f>
        <v>4</v>
      </c>
      <c r="R758" s="24">
        <f>Data!S834</f>
        <v>5</v>
      </c>
      <c r="S758" s="24">
        <f>'TMT E DK'!E834</f>
        <v>11</v>
      </c>
      <c r="T758" s="24">
        <f>'TMT E DD'!E834</f>
        <v>7</v>
      </c>
      <c r="U758" s="24">
        <f>TA!E834</f>
        <v>822740369000</v>
      </c>
      <c r="V758" s="109">
        <f>PR!F834</f>
        <v>-5.0439426731477784E-2</v>
      </c>
      <c r="W758" s="109">
        <f>'Z Score'!I834</f>
        <v>2.4456985512035812</v>
      </c>
      <c r="X758" s="109">
        <f>'Z Score'!L834</f>
        <v>1.2444769667792974</v>
      </c>
      <c r="Y758" s="109">
        <f>'Z Score'!O834</f>
        <v>0.18653134099464616</v>
      </c>
      <c r="Z758" s="109">
        <f>'Z Score'!R834</f>
        <v>0.81664176647438369</v>
      </c>
      <c r="AA758" s="109">
        <f>'Z Score'!S834</f>
        <v>4.6933486254519092</v>
      </c>
    </row>
    <row r="759" spans="1:27" ht="15" customHeight="1" x14ac:dyDescent="0.3">
      <c r="A759" s="22"/>
      <c r="B759" s="23"/>
      <c r="C759" s="2"/>
      <c r="D759" s="23">
        <v>2022</v>
      </c>
      <c r="E759" s="25">
        <f>'Current Ratio'!G835</f>
        <v>2.3485008473558295</v>
      </c>
      <c r="F759" s="25">
        <f>'Cash Ratio'!G835</f>
        <v>6.2966026747605597E-2</v>
      </c>
      <c r="G759" s="25">
        <f>DAR!G835</f>
        <v>0.92674037072238391</v>
      </c>
      <c r="H759" s="25">
        <f>DER!G835</f>
        <v>2.2563387332702556</v>
      </c>
      <c r="I759" s="25">
        <f>NPM!G835</f>
        <v>9.1661471310600456E-2</v>
      </c>
      <c r="J759" s="25">
        <f>ROA!G835</f>
        <v>1.9408829113224658E-2</v>
      </c>
      <c r="K759" s="25">
        <f>ROE!G835</f>
        <v>4.7254759023237655E-2</v>
      </c>
      <c r="L759" s="25">
        <f>KM!E835</f>
        <v>0.73329999999999995</v>
      </c>
      <c r="M759" s="24">
        <f>KI!E835</f>
        <v>2</v>
      </c>
      <c r="N759" s="108">
        <f>IO!E835</f>
        <v>0</v>
      </c>
      <c r="O759" s="24">
        <f>'BoC Size'!E835</f>
        <v>4</v>
      </c>
      <c r="P759" s="24">
        <f>'TMT E DK'!E835</f>
        <v>11</v>
      </c>
      <c r="Q759" s="24">
        <f>Data!R835</f>
        <v>4</v>
      </c>
      <c r="R759" s="24">
        <f>Data!S835</f>
        <v>5</v>
      </c>
      <c r="S759" s="24">
        <f>'TMT E DK'!E835</f>
        <v>11</v>
      </c>
      <c r="T759" s="24">
        <f>'TMT E DD'!E835</f>
        <v>7</v>
      </c>
      <c r="U759" s="24">
        <f>TA!E835</f>
        <v>888973513000</v>
      </c>
      <c r="V759" s="109">
        <f>PR!F835</f>
        <v>9.1675428149568028E-2</v>
      </c>
      <c r="W759" s="109">
        <f>'Z Score'!I835</f>
        <v>2.0404642149107537</v>
      </c>
      <c r="X759" s="109">
        <f>'Z Score'!L835</f>
        <v>1.1905748612107412</v>
      </c>
      <c r="Y759" s="109">
        <f>'Z Score'!O835</f>
        <v>0.18992366050393225</v>
      </c>
      <c r="Z759" s="109">
        <f>'Z Score'!R835</f>
        <v>0.46535565982070792</v>
      </c>
      <c r="AA759" s="109">
        <f>'Z Score'!S835</f>
        <v>3.8863183964461352</v>
      </c>
    </row>
    <row r="760" spans="1:27" ht="15" customHeight="1" x14ac:dyDescent="0.3">
      <c r="A760" s="22"/>
      <c r="B760" s="23"/>
      <c r="C760" s="2"/>
      <c r="D760" s="23">
        <v>2023</v>
      </c>
      <c r="E760" s="25">
        <f>'Current Ratio'!G836</f>
        <v>3.4968699267953585</v>
      </c>
      <c r="F760" s="25">
        <f>'Cash Ratio'!G836</f>
        <v>8.6918025042337491E-2</v>
      </c>
      <c r="G760" s="25">
        <f>DAR!G836</f>
        <v>0.62182436269163255</v>
      </c>
      <c r="H760" s="25">
        <f>DER!G836</f>
        <v>1.6442739863345348</v>
      </c>
      <c r="I760" s="25">
        <f>NPM!G836</f>
        <v>9.2762333712614109E-2</v>
      </c>
      <c r="J760" s="25">
        <f>ROA!G836</f>
        <v>1.9604623624836382E-2</v>
      </c>
      <c r="K760" s="25">
        <f>ROE!G836</f>
        <v>5.1839996263034295E-2</v>
      </c>
      <c r="L760" s="25">
        <f>KM!E836</f>
        <v>0.73329999999999995</v>
      </c>
      <c r="M760" s="24">
        <f>KI!E836</f>
        <v>1</v>
      </c>
      <c r="N760" s="108">
        <f>IO!E836</f>
        <v>0</v>
      </c>
      <c r="O760" s="24">
        <f>'BoC Size'!E836</f>
        <v>3</v>
      </c>
      <c r="P760" s="24">
        <f>'TMT E DK'!E836</f>
        <v>7</v>
      </c>
      <c r="Q760" s="24">
        <f>Data!R836</f>
        <v>3</v>
      </c>
      <c r="R760" s="24">
        <f>Data!S836</f>
        <v>4</v>
      </c>
      <c r="S760" s="24">
        <f>'TMT E DK'!E836</f>
        <v>7</v>
      </c>
      <c r="T760" s="24">
        <f>'TMT E DD'!E836</f>
        <v>5</v>
      </c>
      <c r="U760" s="24">
        <f>TA!E836</f>
        <v>982940217000</v>
      </c>
      <c r="V760" s="109">
        <f>PR!F836</f>
        <v>0.10360234339325755</v>
      </c>
      <c r="W760" s="109">
        <f>'Z Score'!I836</f>
        <v>2.6253251885816367</v>
      </c>
      <c r="X760" s="109">
        <f>'Z Score'!L836</f>
        <v>1.1045052677094807</v>
      </c>
      <c r="Y760" s="109">
        <f>'Z Score'!O836</f>
        <v>0.18017476609159841</v>
      </c>
      <c r="Z760" s="109">
        <f>'Z Score'!R836</f>
        <v>0.63857970674382059</v>
      </c>
      <c r="AA760" s="109">
        <f>'Z Score'!S836</f>
        <v>4.5485849291265366</v>
      </c>
    </row>
    <row r="761" spans="1:27" ht="15" customHeight="1" x14ac:dyDescent="0.3">
      <c r="A761" s="22"/>
      <c r="B761" s="23"/>
      <c r="C761" s="2"/>
      <c r="D761" s="23">
        <v>2024</v>
      </c>
      <c r="E761" s="25">
        <f>'Current Ratio'!G837</f>
        <v>3.8474065162850892</v>
      </c>
      <c r="F761" s="25">
        <f>'Cash Ratio'!G837</f>
        <v>9.1491130775426643E-2</v>
      </c>
      <c r="G761" s="25">
        <f>DAR!G837</f>
        <v>0.6319153011670805</v>
      </c>
      <c r="H761" s="25">
        <f>DER!G837</f>
        <v>1.7167660138296559</v>
      </c>
      <c r="I761" s="25">
        <f>NPM!G837</f>
        <v>0.17464667322363051</v>
      </c>
      <c r="J761" s="25">
        <f>ROA!G837</f>
        <v>3.889546934002041E-2</v>
      </c>
      <c r="K761" s="25">
        <f>ROE!G837</f>
        <v>0.10566988919492085</v>
      </c>
      <c r="L761" s="25">
        <f>KM!E837</f>
        <v>0.73329999999999995</v>
      </c>
      <c r="M761" s="24">
        <f>KI!E837</f>
        <v>2</v>
      </c>
      <c r="N761" s="108">
        <f>IO!E837</f>
        <v>0</v>
      </c>
      <c r="O761" s="24">
        <f>'BoC Size'!E837</f>
        <v>4</v>
      </c>
      <c r="P761" s="24">
        <f>'TMT E DK'!E837</f>
        <v>8</v>
      </c>
      <c r="Q761" s="24">
        <f>Data!R837</f>
        <v>4</v>
      </c>
      <c r="R761" s="24">
        <f>Data!S837</f>
        <v>4</v>
      </c>
      <c r="S761" s="24">
        <f>'TMT E DK'!E837</f>
        <v>8</v>
      </c>
      <c r="T761" s="24">
        <f>'TMT E DD'!E837</f>
        <v>6</v>
      </c>
      <c r="U761" s="24">
        <f>TA!E837</f>
        <v>1082550737000</v>
      </c>
      <c r="V761" s="109">
        <f>PR!F837</f>
        <v>0.16057446643940884</v>
      </c>
      <c r="W761" s="109">
        <f>'Z Score'!I837</f>
        <v>2.6265684132271758</v>
      </c>
      <c r="X761" s="109">
        <f>'Z Score'!L837</f>
        <v>1.0473404641726274</v>
      </c>
      <c r="Y761" s="109">
        <f>'Z Score'!O837</f>
        <v>2.0686799278212487</v>
      </c>
      <c r="Z761" s="109">
        <f>'Z Score'!R837</f>
        <v>0.61161508996658476</v>
      </c>
      <c r="AA761" s="109">
        <f>'Z Score'!S837</f>
        <v>6.354203895187637</v>
      </c>
    </row>
    <row r="762" spans="1:27" ht="15" customHeight="1" x14ac:dyDescent="0.3">
      <c r="A762" s="22"/>
      <c r="B762" s="23">
        <v>77</v>
      </c>
      <c r="C762" s="2" t="s">
        <v>119</v>
      </c>
      <c r="D762" s="23">
        <v>2015</v>
      </c>
      <c r="E762" s="25">
        <f>'Current Ratio'!G839</f>
        <v>0</v>
      </c>
      <c r="F762" s="25">
        <f>'Cash Ratio'!G839</f>
        <v>0</v>
      </c>
      <c r="G762" s="25">
        <f>DAR!G839</f>
        <v>0</v>
      </c>
      <c r="H762" s="25">
        <f>DER!G839</f>
        <v>0</v>
      </c>
      <c r="I762" s="25">
        <f>NPM!G839</f>
        <v>0</v>
      </c>
      <c r="J762" s="25">
        <f>ROA!G839</f>
        <v>0</v>
      </c>
      <c r="K762" s="25">
        <f>ROE!G839</f>
        <v>0</v>
      </c>
      <c r="L762" s="25">
        <f>KM!E839</f>
        <v>0</v>
      </c>
      <c r="M762" s="24">
        <f>KI!E839</f>
        <v>0</v>
      </c>
      <c r="N762" s="108">
        <f>IO!E839</f>
        <v>0</v>
      </c>
      <c r="O762" s="24">
        <f>'BoC Size'!E839</f>
        <v>0</v>
      </c>
      <c r="P762" s="24">
        <f>'TMT E DK'!E839</f>
        <v>0</v>
      </c>
      <c r="Q762" s="24">
        <f>Data!R839</f>
        <v>0</v>
      </c>
      <c r="R762" s="24">
        <f>Data!S839</f>
        <v>0</v>
      </c>
      <c r="S762" s="24">
        <f>'TMT E DK'!E839</f>
        <v>0</v>
      </c>
      <c r="T762" s="24">
        <f>'TMT E DD'!E839</f>
        <v>0</v>
      </c>
      <c r="U762" s="24">
        <f>TA!E839</f>
        <v>0</v>
      </c>
      <c r="V762" s="109">
        <f>PR!F839</f>
        <v>0</v>
      </c>
      <c r="W762" s="109">
        <f>'Z Score'!I839</f>
        <v>0</v>
      </c>
      <c r="X762" s="109">
        <f>'Z Score'!L839</f>
        <v>0</v>
      </c>
      <c r="Y762" s="109">
        <f>'Z Score'!O839</f>
        <v>0</v>
      </c>
      <c r="Z762" s="109">
        <f>'Z Score'!R839</f>
        <v>0</v>
      </c>
      <c r="AA762" s="109">
        <f>'Z Score'!S839</f>
        <v>0</v>
      </c>
    </row>
    <row r="763" spans="1:27" ht="15" customHeight="1" x14ac:dyDescent="0.3">
      <c r="A763" s="22"/>
      <c r="B763" s="23"/>
      <c r="C763" s="2"/>
      <c r="D763" s="23">
        <v>2016</v>
      </c>
      <c r="E763" s="25">
        <f>'Current Ratio'!G840</f>
        <v>0</v>
      </c>
      <c r="F763" s="25">
        <f>'Cash Ratio'!G840</f>
        <v>0</v>
      </c>
      <c r="G763" s="25">
        <f>DAR!G840</f>
        <v>0</v>
      </c>
      <c r="H763" s="25">
        <f>DER!G840</f>
        <v>0</v>
      </c>
      <c r="I763" s="25">
        <f>NPM!G840</f>
        <v>0</v>
      </c>
      <c r="J763" s="25">
        <f>ROA!G840</f>
        <v>0</v>
      </c>
      <c r="K763" s="25">
        <f>ROE!G840</f>
        <v>0</v>
      </c>
      <c r="L763" s="25">
        <f>KM!E840</f>
        <v>0</v>
      </c>
      <c r="M763" s="24">
        <f>KI!E840</f>
        <v>0</v>
      </c>
      <c r="N763" s="108">
        <f>IO!E840</f>
        <v>0</v>
      </c>
      <c r="O763" s="24">
        <f>'BoC Size'!E840</f>
        <v>0</v>
      </c>
      <c r="P763" s="24">
        <f>'TMT E DK'!E840</f>
        <v>0</v>
      </c>
      <c r="Q763" s="24">
        <f>Data!R840</f>
        <v>0</v>
      </c>
      <c r="R763" s="24">
        <f>Data!S840</f>
        <v>0</v>
      </c>
      <c r="S763" s="24">
        <f>'TMT E DK'!E840</f>
        <v>0</v>
      </c>
      <c r="T763" s="24">
        <f>'TMT E DD'!E840</f>
        <v>0</v>
      </c>
      <c r="U763" s="24">
        <f>TA!E840</f>
        <v>0</v>
      </c>
      <c r="V763" s="109">
        <f>PR!F840</f>
        <v>0</v>
      </c>
      <c r="W763" s="109">
        <f>'Z Score'!I840</f>
        <v>0</v>
      </c>
      <c r="X763" s="109">
        <f>'Z Score'!L840</f>
        <v>0</v>
      </c>
      <c r="Y763" s="109">
        <f>'Z Score'!O840</f>
        <v>0</v>
      </c>
      <c r="Z763" s="109">
        <f>'Z Score'!R840</f>
        <v>0</v>
      </c>
      <c r="AA763" s="109">
        <f>'Z Score'!S840</f>
        <v>0</v>
      </c>
    </row>
    <row r="764" spans="1:27" ht="15" customHeight="1" x14ac:dyDescent="0.3">
      <c r="A764" s="22"/>
      <c r="B764" s="23"/>
      <c r="C764" s="2"/>
      <c r="D764" s="23">
        <v>2017</v>
      </c>
      <c r="E764" s="25">
        <f>'Current Ratio'!G841</f>
        <v>0</v>
      </c>
      <c r="F764" s="25">
        <f>'Cash Ratio'!G841</f>
        <v>0</v>
      </c>
      <c r="G764" s="25">
        <f>DAR!G841</f>
        <v>0</v>
      </c>
      <c r="H764" s="25">
        <f>DER!G841</f>
        <v>0</v>
      </c>
      <c r="I764" s="25">
        <f>NPM!G841</f>
        <v>0</v>
      </c>
      <c r="J764" s="25">
        <f>ROA!G841</f>
        <v>0</v>
      </c>
      <c r="K764" s="25">
        <f>ROE!G841</f>
        <v>0</v>
      </c>
      <c r="L764" s="25">
        <f>KM!E841</f>
        <v>0</v>
      </c>
      <c r="M764" s="24">
        <f>KI!E841</f>
        <v>0</v>
      </c>
      <c r="N764" s="108">
        <f>IO!E841</f>
        <v>0</v>
      </c>
      <c r="O764" s="24">
        <f>'BoC Size'!E841</f>
        <v>0</v>
      </c>
      <c r="P764" s="24">
        <f>'TMT E DK'!E841</f>
        <v>0</v>
      </c>
      <c r="Q764" s="24">
        <f>Data!R841</f>
        <v>0</v>
      </c>
      <c r="R764" s="24">
        <f>Data!S841</f>
        <v>0</v>
      </c>
      <c r="S764" s="24">
        <f>'TMT E DK'!E841</f>
        <v>0</v>
      </c>
      <c r="T764" s="24">
        <f>'TMT E DD'!E841</f>
        <v>0</v>
      </c>
      <c r="U764" s="24">
        <f>TA!E841</f>
        <v>0</v>
      </c>
      <c r="V764" s="109">
        <f>PR!F841</f>
        <v>0</v>
      </c>
      <c r="W764" s="109">
        <f>'Z Score'!I841</f>
        <v>0</v>
      </c>
      <c r="X764" s="109">
        <f>'Z Score'!L841</f>
        <v>0</v>
      </c>
      <c r="Y764" s="109">
        <f>'Z Score'!O841</f>
        <v>0</v>
      </c>
      <c r="Z764" s="109">
        <f>'Z Score'!R841</f>
        <v>0</v>
      </c>
      <c r="AA764" s="109">
        <f>'Z Score'!S841</f>
        <v>0</v>
      </c>
    </row>
    <row r="765" spans="1:27" ht="15" customHeight="1" x14ac:dyDescent="0.3">
      <c r="A765" s="22"/>
      <c r="B765" s="23"/>
      <c r="C765" s="2"/>
      <c r="D765" s="23">
        <v>2018</v>
      </c>
      <c r="E765" s="25">
        <f>'Current Ratio'!G842</f>
        <v>2.5020381520698476</v>
      </c>
      <c r="F765" s="25">
        <f>'Cash Ratio'!G842</f>
        <v>0.26021442188454347</v>
      </c>
      <c r="G765" s="25">
        <f>DAR!G842</f>
        <v>0.67728431249795151</v>
      </c>
      <c r="H765" s="25">
        <f>DER!G842</f>
        <v>2.0987027861595733</v>
      </c>
      <c r="I765" s="25">
        <f>NPM!G842</f>
        <v>0.10443260698563404</v>
      </c>
      <c r="J765" s="25">
        <f>ROA!G842</f>
        <v>1.4114189191135097E-2</v>
      </c>
      <c r="K765" s="25">
        <f>ROE!G842</f>
        <v>4.3735677370953657E-2</v>
      </c>
      <c r="L765" s="25">
        <f>KM!E842</f>
        <v>0</v>
      </c>
      <c r="M765" s="24">
        <f>KI!E842</f>
        <v>0</v>
      </c>
      <c r="N765" s="108">
        <f>IO!E842</f>
        <v>0</v>
      </c>
      <c r="O765" s="24">
        <f>'BoC Size'!E842</f>
        <v>0</v>
      </c>
      <c r="P765" s="24">
        <f>'TMT E DK'!E842</f>
        <v>0</v>
      </c>
      <c r="Q765" s="24">
        <f>Data!R842</f>
        <v>0</v>
      </c>
      <c r="R765" s="24">
        <f>Data!S842</f>
        <v>0</v>
      </c>
      <c r="S765" s="24">
        <f>'TMT E DK'!E842</f>
        <v>0</v>
      </c>
      <c r="T765" s="24">
        <f>'TMT E DD'!E842</f>
        <v>0</v>
      </c>
      <c r="U765" s="24">
        <f>TA!E842</f>
        <v>364590550000</v>
      </c>
      <c r="V765" s="109">
        <f>PR!F842</f>
        <v>0</v>
      </c>
      <c r="W765" s="109">
        <f>'Z Score'!I842</f>
        <v>2.569916382089442</v>
      </c>
      <c r="X765" s="109">
        <f>'Z Score'!L842</f>
        <v>-0.67487227356825341</v>
      </c>
      <c r="Y765" s="109">
        <f>'Z Score'!O842</f>
        <v>-9.2663202598092572E-3</v>
      </c>
      <c r="Z765" s="109">
        <f>'Z Score'!R842</f>
        <v>0.50030905134566495</v>
      </c>
      <c r="AA765" s="109">
        <f>'Z Score'!S842</f>
        <v>2.386086839607044</v>
      </c>
    </row>
    <row r="766" spans="1:27" ht="15" customHeight="1" x14ac:dyDescent="0.3">
      <c r="A766" s="22"/>
      <c r="B766" s="23"/>
      <c r="C766" s="2"/>
      <c r="D766" s="23">
        <v>2019</v>
      </c>
      <c r="E766" s="25">
        <f>'Current Ratio'!G843</f>
        <v>2.5701399170253687</v>
      </c>
      <c r="F766" s="25">
        <f>'Cash Ratio'!G843</f>
        <v>0.32975006195601014</v>
      </c>
      <c r="G766" s="25">
        <f>DAR!G843</f>
        <v>0.53607399136800193</v>
      </c>
      <c r="H766" s="25">
        <f>DER!G843</f>
        <v>1.1555161413535537</v>
      </c>
      <c r="I766" s="25">
        <f>NPM!G843</f>
        <v>3.3329554920147338E-2</v>
      </c>
      <c r="J766" s="25">
        <f>ROA!G843</f>
        <v>4.2845122392898231E-3</v>
      </c>
      <c r="K766" s="25">
        <f>ROE!G843</f>
        <v>9.2353352896160732E-3</v>
      </c>
      <c r="L766" s="25">
        <f>KM!E843</f>
        <v>0.55810000000000004</v>
      </c>
      <c r="M766" s="24">
        <f>KI!E843</f>
        <v>0</v>
      </c>
      <c r="N766" s="108">
        <f>IO!E843</f>
        <v>5.67E-2</v>
      </c>
      <c r="O766" s="24">
        <f>'BoC Size'!E843</f>
        <v>4</v>
      </c>
      <c r="P766" s="24">
        <f>'TMT E DK'!E843</f>
        <v>4</v>
      </c>
      <c r="Q766" s="24">
        <f>Data!R843</f>
        <v>4</v>
      </c>
      <c r="R766" s="24">
        <f>Data!S843</f>
        <v>3</v>
      </c>
      <c r="S766" s="24">
        <f>'TMT E DK'!E843</f>
        <v>4</v>
      </c>
      <c r="T766" s="24">
        <f>'TMT E DD'!E843</f>
        <v>9</v>
      </c>
      <c r="U766" s="24">
        <f>TA!E843</f>
        <v>255980130000</v>
      </c>
      <c r="V766" s="109">
        <f>PR!F843</f>
        <v>-0.33219001827301714</v>
      </c>
      <c r="W766" s="109">
        <f>'Z Score'!I843</f>
        <v>2.2536266576628425</v>
      </c>
      <c r="X766" s="109">
        <f>'Z Score'!L843</f>
        <v>-0.90795436739562552</v>
      </c>
      <c r="Y766" s="109">
        <f>'Z Score'!O843</f>
        <v>0.19592945749343904</v>
      </c>
      <c r="Z766" s="109">
        <f>'Z Score'!R843</f>
        <v>0.9086848399798606</v>
      </c>
      <c r="AA766" s="109">
        <f>'Z Score'!S843</f>
        <v>2.4502865877405169</v>
      </c>
    </row>
    <row r="767" spans="1:27" ht="15" customHeight="1" x14ac:dyDescent="0.3">
      <c r="A767" s="22"/>
      <c r="B767" s="23"/>
      <c r="C767" s="2"/>
      <c r="D767" s="23">
        <v>2020</v>
      </c>
      <c r="E767" s="25">
        <f>'Current Ratio'!G844</f>
        <v>4.7545773468095094</v>
      </c>
      <c r="F767" s="25">
        <f>'Cash Ratio'!G844</f>
        <v>0.21052472596797078</v>
      </c>
      <c r="G767" s="25">
        <f>DAR!G844</f>
        <v>0.66040331067845637</v>
      </c>
      <c r="H767" s="25">
        <f>DER!G844</f>
        <v>1.9446694607000727</v>
      </c>
      <c r="I767" s="25">
        <f>NPM!G844</f>
        <v>-0.37275969028225775</v>
      </c>
      <c r="J767" s="25">
        <f>ROA!G844</f>
        <v>-3.8340874898825122E-2</v>
      </c>
      <c r="K767" s="25">
        <f>ROE!G844</f>
        <v>-0.11290120341109233</v>
      </c>
      <c r="L767" s="25">
        <f>KM!E844</f>
        <v>0.55810000000000004</v>
      </c>
      <c r="M767" s="24">
        <f>KI!E844</f>
        <v>0</v>
      </c>
      <c r="N767" s="108">
        <f>IO!E844</f>
        <v>5.67E-2</v>
      </c>
      <c r="O767" s="24">
        <f>'BoC Size'!E844</f>
        <v>4</v>
      </c>
      <c r="P767" s="24">
        <f>'TMT E DK'!E844</f>
        <v>4</v>
      </c>
      <c r="Q767" s="24">
        <f>Data!R844</f>
        <v>4</v>
      </c>
      <c r="R767" s="24">
        <f>Data!S844</f>
        <v>2</v>
      </c>
      <c r="S767" s="24">
        <f>'TMT E DK'!E844</f>
        <v>4</v>
      </c>
      <c r="T767" s="24">
        <f>'TMT E DD'!E844</f>
        <v>6</v>
      </c>
      <c r="U767" s="24">
        <f>TA!E844</f>
        <v>314220790000</v>
      </c>
      <c r="V767" s="109">
        <f>PR!F844</f>
        <v>-1.7822764868537167E-2</v>
      </c>
      <c r="W767" s="109">
        <f>'Z Score'!I844</f>
        <v>3.3734273636063361</v>
      </c>
      <c r="X767" s="109">
        <f>'Z Score'!L844</f>
        <v>-0.89181805697834304</v>
      </c>
      <c r="Y767" s="109">
        <f>'Z Score'!O844</f>
        <v>-0.24159581802337138</v>
      </c>
      <c r="Z767" s="109">
        <f>'Z Score'!R844</f>
        <v>0.539937517001992</v>
      </c>
      <c r="AA767" s="109">
        <f>'Z Score'!S844</f>
        <v>2.7799510056066135</v>
      </c>
    </row>
    <row r="768" spans="1:27" ht="15" customHeight="1" x14ac:dyDescent="0.3">
      <c r="A768" s="22"/>
      <c r="B768" s="23"/>
      <c r="C768" s="2"/>
      <c r="D768" s="23">
        <v>2021</v>
      </c>
      <c r="E768" s="25">
        <f>'Current Ratio'!G845</f>
        <v>3.6964747098628612</v>
      </c>
      <c r="F768" s="25">
        <f>'Cash Ratio'!G845</f>
        <v>0.12228165378169432</v>
      </c>
      <c r="G768" s="25">
        <f>DAR!G845</f>
        <v>0.63635563617178281</v>
      </c>
      <c r="H768" s="25">
        <f>DER!G845</f>
        <v>1.7499394998801419</v>
      </c>
      <c r="I768" s="25">
        <f>NPM!G845</f>
        <v>-0.43776815300837807</v>
      </c>
      <c r="J768" s="25">
        <f>ROA!G845</f>
        <v>-7.9515575584468576E-2</v>
      </c>
      <c r="K768" s="25">
        <f>ROE!G845</f>
        <v>-0.21866302215543512</v>
      </c>
      <c r="L768" s="25">
        <f>KM!E845</f>
        <v>0.55810000000000004</v>
      </c>
      <c r="M768" s="24">
        <f>KI!E845</f>
        <v>0</v>
      </c>
      <c r="N768" s="108">
        <f>IO!E845</f>
        <v>5.67E-2</v>
      </c>
      <c r="O768" s="24">
        <f>'BoC Size'!E845</f>
        <v>3</v>
      </c>
      <c r="P768" s="24">
        <f>'TMT E DK'!E845</f>
        <v>3</v>
      </c>
      <c r="Q768" s="24">
        <f>Data!R845</f>
        <v>3</v>
      </c>
      <c r="R768" s="24">
        <f>Data!S845</f>
        <v>2</v>
      </c>
      <c r="S768" s="24">
        <f>'TMT E DK'!E845</f>
        <v>3</v>
      </c>
      <c r="T768" s="24">
        <f>'TMT E DD'!E845</f>
        <v>6</v>
      </c>
      <c r="U768" s="24">
        <f>TA!E845</f>
        <v>240789680000</v>
      </c>
      <c r="V768" s="109">
        <f>PR!F845</f>
        <v>0.35324963837900974</v>
      </c>
      <c r="W768" s="109">
        <f>'Z Score'!I845</f>
        <v>2.6089445361611845</v>
      </c>
      <c r="X768" s="109">
        <f>'Z Score'!L845</f>
        <v>-1.4244755389848933</v>
      </c>
      <c r="Y768" s="109">
        <f>'Z Score'!O845</f>
        <v>-0.79660893108043496</v>
      </c>
      <c r="Z768" s="109">
        <f>'Z Score'!R845</f>
        <v>0.60002074361537494</v>
      </c>
      <c r="AA768" s="109">
        <f>'Z Score'!S845</f>
        <v>0.98788080971123116</v>
      </c>
    </row>
    <row r="769" spans="1:27" ht="15" customHeight="1" x14ac:dyDescent="0.3">
      <c r="A769" s="22"/>
      <c r="B769" s="23"/>
      <c r="C769" s="2"/>
      <c r="D769" s="23">
        <v>2022</v>
      </c>
      <c r="E769" s="25">
        <f>'Current Ratio'!G846</f>
        <v>2.8972936462078409</v>
      </c>
      <c r="F769" s="25">
        <f>'Cash Ratio'!G846</f>
        <v>0.85875037450778979</v>
      </c>
      <c r="G769" s="25">
        <f>DAR!G846</f>
        <v>0.52779394879512997</v>
      </c>
      <c r="H769" s="25">
        <f>DER!G846</f>
        <v>1.117719579087187</v>
      </c>
      <c r="I769" s="25">
        <f>NPM!G846</f>
        <v>-2.195171971163576</v>
      </c>
      <c r="J769" s="25">
        <f>ROA!G846</f>
        <v>-0.24936137711366085</v>
      </c>
      <c r="K769" s="25">
        <f>ROE!G846</f>
        <v>-0.52807747058174315</v>
      </c>
      <c r="L769" s="25">
        <f>KM!E846</f>
        <v>0.38919999999999999</v>
      </c>
      <c r="M769" s="24">
        <f>KI!E846</f>
        <v>2</v>
      </c>
      <c r="N769" s="108">
        <f>IO!E846</f>
        <v>3.9600000000000003E-2</v>
      </c>
      <c r="O769" s="24">
        <f>'BoC Size'!E846</f>
        <v>3</v>
      </c>
      <c r="P769" s="24">
        <f>'TMT E DK'!E846</f>
        <v>3</v>
      </c>
      <c r="Q769" s="24">
        <f>Data!R846</f>
        <v>3</v>
      </c>
      <c r="R769" s="24">
        <f>Data!S846</f>
        <v>3</v>
      </c>
      <c r="S769" s="24">
        <f>'TMT E DK'!E846</f>
        <v>3</v>
      </c>
      <c r="T769" s="24">
        <f>'TMT E DD'!E846</f>
        <v>10</v>
      </c>
      <c r="U769" s="24">
        <f>TA!E846</f>
        <v>218360480000</v>
      </c>
      <c r="V769" s="109">
        <f>PR!F846</f>
        <v>-0.43286197469447274</v>
      </c>
      <c r="W769" s="109">
        <f>'Z Score'!I846</f>
        <v>2.1307452630622539</v>
      </c>
      <c r="X769" s="109">
        <f>'Z Score'!L846</f>
        <v>-2.4202729633127751</v>
      </c>
      <c r="Y769" s="109">
        <f>'Z Score'!O846</f>
        <v>-1.9979873867285876</v>
      </c>
      <c r="Z769" s="109">
        <f>'Z Score'!R846</f>
        <v>0.93941272895792727</v>
      </c>
      <c r="AA769" s="109">
        <f>'Z Score'!S846</f>
        <v>-1.3481023580211815</v>
      </c>
    </row>
    <row r="770" spans="1:27" ht="15" customHeight="1" x14ac:dyDescent="0.3">
      <c r="A770" s="22"/>
      <c r="B770" s="23"/>
      <c r="C770" s="2"/>
      <c r="D770" s="23">
        <v>2023</v>
      </c>
      <c r="E770" s="25">
        <f>'Current Ratio'!G847</f>
        <v>0.69195955705344248</v>
      </c>
      <c r="F770" s="25">
        <f>'Cash Ratio'!G847</f>
        <v>0.18868025464077462</v>
      </c>
      <c r="G770" s="25">
        <f>DAR!G847</f>
        <v>0.58310137273094953</v>
      </c>
      <c r="H770" s="25">
        <f>DER!G847</f>
        <v>1.3986513477012041</v>
      </c>
      <c r="I770" s="25">
        <f>NPM!G847</f>
        <v>-0.32159558679398503</v>
      </c>
      <c r="J770" s="25">
        <f>ROA!G847</f>
        <v>-9.1075266259050422E-2</v>
      </c>
      <c r="K770" s="25">
        <f>ROE!G847</f>
        <v>-0.2184569439424778</v>
      </c>
      <c r="L770" s="25">
        <f>KM!E847</f>
        <v>0.38969999999999999</v>
      </c>
      <c r="M770" s="24">
        <f>KI!E847</f>
        <v>0</v>
      </c>
      <c r="N770" s="108">
        <f>IO!E847</f>
        <v>0.40639999999999998</v>
      </c>
      <c r="O770" s="24">
        <f>'BoC Size'!E847</f>
        <v>3</v>
      </c>
      <c r="P770" s="24">
        <f>'TMT E DK'!E847</f>
        <v>3</v>
      </c>
      <c r="Q770" s="24">
        <f>Data!R847</f>
        <v>3</v>
      </c>
      <c r="R770" s="24">
        <f>Data!S847</f>
        <v>3</v>
      </c>
      <c r="S770" s="24">
        <f>'TMT E DK'!E847</f>
        <v>3</v>
      </c>
      <c r="T770" s="24">
        <f>'TMT E DD'!E847</f>
        <v>10</v>
      </c>
      <c r="U770" s="24">
        <f>TA!E847</f>
        <v>252198000000</v>
      </c>
      <c r="V770" s="109">
        <f>PR!F847</f>
        <v>1.8793690238236724</v>
      </c>
      <c r="W770" s="109">
        <f>'Z Score'!I847</f>
        <v>-0.74889158518307042</v>
      </c>
      <c r="X770" s="109">
        <f>'Z Score'!L847</f>
        <v>-2.4065247147082847</v>
      </c>
      <c r="Y770" s="109">
        <f>'Z Score'!O847</f>
        <v>-1.0246349296980943</v>
      </c>
      <c r="Z770" s="109">
        <f>'Z Score'!R847</f>
        <v>0.75072318896754331</v>
      </c>
      <c r="AA770" s="109">
        <f>'Z Score'!S847</f>
        <v>-3.4293280406219062</v>
      </c>
    </row>
    <row r="771" spans="1:27" ht="15" customHeight="1" x14ac:dyDescent="0.3">
      <c r="A771" s="22"/>
      <c r="B771" s="23"/>
      <c r="C771" s="2"/>
      <c r="D771" s="23">
        <v>2024</v>
      </c>
      <c r="E771" s="25">
        <f>'Current Ratio'!G848</f>
        <v>0.11541121947845334</v>
      </c>
      <c r="F771" s="25">
        <f>'Cash Ratio'!G848</f>
        <v>4.3983306817919808E-2</v>
      </c>
      <c r="G771" s="25">
        <f>DAR!G848</f>
        <v>0.34586395694859917</v>
      </c>
      <c r="H771" s="25">
        <f>DER!G848</f>
        <v>0.52873398526584758</v>
      </c>
      <c r="I771" s="25">
        <f>NPM!G848</f>
        <v>7.5493359541473515E-2</v>
      </c>
      <c r="J771" s="25">
        <f>ROA!G848</f>
        <v>6.7795021595994778E-2</v>
      </c>
      <c r="K771" s="25">
        <f>ROE!G848</f>
        <v>0.1036405535456293</v>
      </c>
      <c r="L771" s="25">
        <f>KM!E848</f>
        <v>0.48089999999999999</v>
      </c>
      <c r="M771" s="24">
        <f>KI!E848</f>
        <v>2</v>
      </c>
      <c r="N771" s="108">
        <f>IO!E848</f>
        <v>0.49509999999999998</v>
      </c>
      <c r="O771" s="24">
        <f>'BoC Size'!E848</f>
        <v>3</v>
      </c>
      <c r="P771" s="24">
        <f>'TMT E DK'!E848</f>
        <v>3</v>
      </c>
      <c r="Q771" s="24">
        <f>Data!R848</f>
        <v>3</v>
      </c>
      <c r="R771" s="24">
        <f>Data!S848</f>
        <v>3</v>
      </c>
      <c r="S771" s="24">
        <f>'TMT E DK'!E848</f>
        <v>3</v>
      </c>
      <c r="T771" s="24">
        <f>'TMT E DD'!E848</f>
        <v>10</v>
      </c>
      <c r="U771" s="24">
        <f>TA!E848</f>
        <v>256066000000</v>
      </c>
      <c r="V771" s="109">
        <f>PR!F848</f>
        <v>2.2196522080031365</v>
      </c>
      <c r="W771" s="109">
        <f>'Z Score'!I848</f>
        <v>-9.8286254325056817</v>
      </c>
      <c r="X771" s="109">
        <f>'Z Score'!L848</f>
        <v>-2.1606446775440706</v>
      </c>
      <c r="Y771" s="109">
        <f>'Z Score'!O848</f>
        <v>0.37638046441151884</v>
      </c>
      <c r="Z771" s="109">
        <f>'Z Score'!R848</f>
        <v>1.9858757508694278</v>
      </c>
      <c r="AA771" s="109">
        <f>'Z Score'!S848</f>
        <v>-9.6270138947688064</v>
      </c>
    </row>
    <row r="772" spans="1:27" ht="15" customHeight="1" x14ac:dyDescent="0.3">
      <c r="A772" s="22"/>
      <c r="B772" s="23">
        <v>78</v>
      </c>
      <c r="C772" s="2" t="s">
        <v>80</v>
      </c>
      <c r="D772" s="23">
        <v>2015</v>
      </c>
      <c r="E772" s="25">
        <f>'Current Ratio'!G850</f>
        <v>2.5531588940186287</v>
      </c>
      <c r="F772" s="25">
        <f>'Cash Ratio'!G850</f>
        <v>0.5976221972676018</v>
      </c>
      <c r="G772" s="25">
        <f>DAR!G850</f>
        <v>0.29369181227350133</v>
      </c>
      <c r="H772" s="25">
        <f>DER!G850</f>
        <v>0.4158125551663952</v>
      </c>
      <c r="I772" s="25">
        <f>NPM!G850</f>
        <v>5.2102569286838138E-2</v>
      </c>
      <c r="J772" s="25">
        <f>ROA!G850</f>
        <v>1.3390397306206676E-2</v>
      </c>
      <c r="K772" s="25">
        <f>ROE!G850</f>
        <v>1.8958292624793691E-2</v>
      </c>
      <c r="L772" s="25">
        <f>KM!E850</f>
        <v>0</v>
      </c>
      <c r="M772" s="24">
        <f>KI!E850</f>
        <v>0</v>
      </c>
      <c r="N772" s="108">
        <f>IO!E850</f>
        <v>0</v>
      </c>
      <c r="O772" s="24">
        <f>'BoC Size'!E850</f>
        <v>0</v>
      </c>
      <c r="P772" s="24">
        <f>'TMT E DK'!E850</f>
        <v>0</v>
      </c>
      <c r="Q772" s="24">
        <f>Data!R850</f>
        <v>0</v>
      </c>
      <c r="R772" s="24">
        <f>Data!S850</f>
        <v>0</v>
      </c>
      <c r="S772" s="24">
        <f>'TMT E DK'!E850</f>
        <v>0</v>
      </c>
      <c r="T772" s="24">
        <f>'TMT E DD'!E850</f>
        <v>0</v>
      </c>
      <c r="U772" s="24">
        <f>TA!E850</f>
        <v>158115174000</v>
      </c>
      <c r="V772" s="109">
        <f>PR!F850</f>
        <v>0.41940511987065282</v>
      </c>
      <c r="W772" s="109">
        <f>'Z Score'!I850</f>
        <v>0.71177782443574955</v>
      </c>
      <c r="X772" s="109">
        <f>'Z Score'!L850</f>
        <v>0.24077649195136705</v>
      </c>
      <c r="Y772" s="109">
        <f>'Z Score'!O850</f>
        <v>0.11529737582301872</v>
      </c>
      <c r="Z772" s="109">
        <f>'Z Score'!R850</f>
        <v>2.5251762770362305</v>
      </c>
      <c r="AA772" s="109">
        <f>'Z Score'!S850</f>
        <v>3.593027969246366</v>
      </c>
    </row>
    <row r="773" spans="1:27" ht="15" customHeight="1" x14ac:dyDescent="0.3">
      <c r="A773" s="22"/>
      <c r="B773" s="23"/>
      <c r="C773" s="2"/>
      <c r="D773" s="23">
        <v>2016</v>
      </c>
      <c r="E773" s="25">
        <f>'Current Ratio'!G851</f>
        <v>1.9096875736143051</v>
      </c>
      <c r="F773" s="25">
        <f>'Cash Ratio'!G851</f>
        <v>0.28393524116084606</v>
      </c>
      <c r="G773" s="25">
        <f>DAR!G851</f>
        <v>0.34189375762384988</v>
      </c>
      <c r="H773" s="25">
        <f>DER!G851</f>
        <v>0.47376807237301793</v>
      </c>
      <c r="I773" s="25">
        <f>NPM!G851</f>
        <v>3.6618288559821598E-2</v>
      </c>
      <c r="J773" s="25">
        <f>ROA!G851</f>
        <v>1.3234408328057572E-2</v>
      </c>
      <c r="K773" s="25">
        <f>ROE!G851</f>
        <v>1.8339147711142253E-2</v>
      </c>
      <c r="L773" s="25">
        <f>KM!E851</f>
        <v>0</v>
      </c>
      <c r="M773" s="24">
        <f>KI!E851</f>
        <v>0</v>
      </c>
      <c r="N773" s="108">
        <f>IO!E851</f>
        <v>0</v>
      </c>
      <c r="O773" s="24">
        <f>'BoC Size'!E851</f>
        <v>0</v>
      </c>
      <c r="P773" s="24">
        <f>'TMT E DK'!E851</f>
        <v>0</v>
      </c>
      <c r="Q773" s="24">
        <f>Data!R851</f>
        <v>0</v>
      </c>
      <c r="R773" s="24">
        <f>Data!S851</f>
        <v>0</v>
      </c>
      <c r="S773" s="24">
        <f>'TMT E DK'!E851</f>
        <v>0</v>
      </c>
      <c r="T773" s="24">
        <f>'TMT E DD'!E851</f>
        <v>0</v>
      </c>
      <c r="U773" s="24">
        <f>TA!E851</f>
        <v>157375377000</v>
      </c>
      <c r="V773" s="109">
        <f>PR!F851</f>
        <v>0.39970140058084869</v>
      </c>
      <c r="W773" s="109">
        <f>'Z Score'!I851</f>
        <v>0.61893275617061749</v>
      </c>
      <c r="X773" s="109">
        <f>'Z Score'!L851</f>
        <v>0.2810919695525177</v>
      </c>
      <c r="Y773" s="109">
        <f>'Z Score'!O851</f>
        <v>0.16101448652923639</v>
      </c>
      <c r="Z773" s="109">
        <f>'Z Score'!R851</f>
        <v>2.216274293750403</v>
      </c>
      <c r="AA773" s="109">
        <f>'Z Score'!S851</f>
        <v>3.2773135060027743</v>
      </c>
    </row>
    <row r="774" spans="1:27" ht="15" customHeight="1" x14ac:dyDescent="0.3">
      <c r="A774" s="22"/>
      <c r="B774" s="23"/>
      <c r="C774" s="2"/>
      <c r="D774" s="23">
        <v>2017</v>
      </c>
      <c r="E774" s="25">
        <f>'Current Ratio'!G852</f>
        <v>2.3861692689740677</v>
      </c>
      <c r="F774" s="25">
        <f>'Cash Ratio'!G852</f>
        <v>0.81031538880051313</v>
      </c>
      <c r="G774" s="25">
        <f>DAR!G852</f>
        <v>0.30442640224305217</v>
      </c>
      <c r="H774" s="25">
        <f>DER!G852</f>
        <v>0.43766238860237328</v>
      </c>
      <c r="I774" s="25">
        <f>NPM!G852</f>
        <v>2.2832067126682697E-2</v>
      </c>
      <c r="J774" s="25">
        <f>ROA!G852</f>
        <v>8.1303575594271899E-3</v>
      </c>
      <c r="K774" s="25">
        <f>ROE!G852</f>
        <v>1.1688709269077457E-2</v>
      </c>
      <c r="L774" s="25">
        <f>KM!E852</f>
        <v>0</v>
      </c>
      <c r="M774" s="24">
        <f>KI!E852</f>
        <v>0</v>
      </c>
      <c r="N774" s="108">
        <f>IO!E852</f>
        <v>0</v>
      </c>
      <c r="O774" s="24">
        <f>'BoC Size'!E852</f>
        <v>0</v>
      </c>
      <c r="P774" s="24">
        <f>'TMT E DK'!E852</f>
        <v>0</v>
      </c>
      <c r="Q774" s="24">
        <f>Data!R852</f>
        <v>0</v>
      </c>
      <c r="R774" s="24">
        <f>Data!S852</f>
        <v>0</v>
      </c>
      <c r="S774" s="24">
        <f>'TMT E DK'!E852</f>
        <v>0</v>
      </c>
      <c r="T774" s="24">
        <f>'TMT E DD'!E852</f>
        <v>0</v>
      </c>
      <c r="U774" s="24">
        <f>TA!E852</f>
        <v>165304046000</v>
      </c>
      <c r="V774" s="109">
        <f>PR!F852</f>
        <v>3.4914866615153951E-2</v>
      </c>
      <c r="W774" s="109">
        <f>'Z Score'!I852</f>
        <v>0.66377241365283934</v>
      </c>
      <c r="X774" s="109">
        <f>'Z Score'!L852</f>
        <v>0.29544639094919672</v>
      </c>
      <c r="Y774" s="109">
        <f>'Z Score'!O852</f>
        <v>9.9193797107664267E-2</v>
      </c>
      <c r="Z774" s="109">
        <f>'Z Score'!R852</f>
        <v>2.3991095130496811</v>
      </c>
      <c r="AA774" s="109">
        <f>'Z Score'!S852</f>
        <v>3.4575221147593815</v>
      </c>
    </row>
    <row r="775" spans="1:27" ht="15" customHeight="1" x14ac:dyDescent="0.3">
      <c r="A775" s="22"/>
      <c r="B775" s="23"/>
      <c r="C775" s="2"/>
      <c r="D775" s="23">
        <v>2018</v>
      </c>
      <c r="E775" s="25">
        <f>'Current Ratio'!G853</f>
        <v>3.0996690210529909</v>
      </c>
      <c r="F775" s="25">
        <f>'Cash Ratio'!G853</f>
        <v>0.78438598287098649</v>
      </c>
      <c r="G775" s="25">
        <f>DAR!G853</f>
        <v>0.44258259592804144</v>
      </c>
      <c r="H775" s="25">
        <f>DER!G853</f>
        <v>0.79398775979177572</v>
      </c>
      <c r="I775" s="25">
        <f>NPM!G853</f>
        <v>9.7483876828049779E-2</v>
      </c>
      <c r="J775" s="25">
        <f>ROA!G853</f>
        <v>2.3379124350277315E-2</v>
      </c>
      <c r="K775" s="25">
        <f>ROE!G853</f>
        <v>4.1941862919047355E-2</v>
      </c>
      <c r="L775" s="25">
        <f>KM!E853</f>
        <v>0.78</v>
      </c>
      <c r="M775" s="24">
        <f>KI!E853</f>
        <v>2</v>
      </c>
      <c r="N775" s="108">
        <f>IO!E853</f>
        <v>0</v>
      </c>
      <c r="O775" s="24">
        <f>'BoC Size'!E853</f>
        <v>3</v>
      </c>
      <c r="P775" s="24">
        <f>'TMT E DK'!E853</f>
        <v>0</v>
      </c>
      <c r="Q775" s="24">
        <f>Data!R853</f>
        <v>3</v>
      </c>
      <c r="R775" s="24">
        <f>Data!S853</f>
        <v>3</v>
      </c>
      <c r="S775" s="24">
        <f>'TMT E DK'!E853</f>
        <v>0</v>
      </c>
      <c r="T775" s="24">
        <f>'TMT E DD'!E853</f>
        <v>0</v>
      </c>
      <c r="U775" s="24">
        <f>TA!E853</f>
        <v>229521000000</v>
      </c>
      <c r="V775" s="109">
        <f>PR!F853</f>
        <v>-6.4874328589281424E-2</v>
      </c>
      <c r="W775" s="109">
        <f>'Z Score'!I853</f>
        <v>1.7587480012722148</v>
      </c>
      <c r="X775" s="109">
        <f>'Z Score'!L853</f>
        <v>0.28899847944196827</v>
      </c>
      <c r="Y775" s="109">
        <f>'Z Score'!O853</f>
        <v>0.20597330963179838</v>
      </c>
      <c r="Z775" s="109">
        <f>'Z Score'!R853</f>
        <v>1.3224385225728967</v>
      </c>
      <c r="AA775" s="109">
        <f>'Z Score'!S853</f>
        <v>3.5761583129188788</v>
      </c>
    </row>
    <row r="776" spans="1:27" ht="15" customHeight="1" x14ac:dyDescent="0.3">
      <c r="A776" s="22"/>
      <c r="B776" s="23"/>
      <c r="C776" s="2"/>
      <c r="D776" s="23">
        <v>2019</v>
      </c>
      <c r="E776" s="25">
        <f>'Current Ratio'!G854</f>
        <v>4.2501264724759658</v>
      </c>
      <c r="F776" s="25">
        <f>'Cash Ratio'!G854</f>
        <v>1.6105485541997935</v>
      </c>
      <c r="G776" s="25">
        <f>DAR!G854</f>
        <v>0.38230909010226921</v>
      </c>
      <c r="H776" s="25">
        <f>DER!G854</f>
        <v>0.61893267972094168</v>
      </c>
      <c r="I776" s="25">
        <f>NPM!G854</f>
        <v>5.6813657076554752E-2</v>
      </c>
      <c r="J776" s="25">
        <f>ROA!G854</f>
        <v>2.5286112695481752E-2</v>
      </c>
      <c r="K776" s="25">
        <f>ROE!G854</f>
        <v>4.0936514185821997E-2</v>
      </c>
      <c r="L776" s="25">
        <f>KM!E854</f>
        <v>0.78</v>
      </c>
      <c r="M776" s="24">
        <f>KI!E854</f>
        <v>2</v>
      </c>
      <c r="N776" s="108">
        <f>IO!E854</f>
        <v>0</v>
      </c>
      <c r="O776" s="24">
        <f>'BoC Size'!E854</f>
        <v>3</v>
      </c>
      <c r="P776" s="24">
        <f>'TMT E DK'!E854</f>
        <v>0</v>
      </c>
      <c r="Q776" s="24">
        <f>Data!R854</f>
        <v>3</v>
      </c>
      <c r="R776" s="24">
        <f>Data!S854</f>
        <v>3</v>
      </c>
      <c r="S776" s="24">
        <f>'TMT E DK'!E854</f>
        <v>0</v>
      </c>
      <c r="T776" s="24">
        <f>'TMT E DD'!E854</f>
        <v>0</v>
      </c>
      <c r="U776" s="24">
        <f>TA!E854</f>
        <v>211559644000</v>
      </c>
      <c r="V776" s="109">
        <f>PR!F854</f>
        <v>0.71058348623853207</v>
      </c>
      <c r="W776" s="109">
        <f>'Z Score'!I854</f>
        <v>1.7273663175572369</v>
      </c>
      <c r="X776" s="109">
        <f>'Z Score'!L854</f>
        <v>0.35946603965735541</v>
      </c>
      <c r="Y776" s="109">
        <f>'Z Score'!O854</f>
        <v>0.24397570266283866</v>
      </c>
      <c r="Z776" s="109">
        <f>'Z Score'!R854</f>
        <v>1.6964688315915293</v>
      </c>
      <c r="AA776" s="109">
        <f>'Z Score'!S854</f>
        <v>4.0272768914689605</v>
      </c>
    </row>
    <row r="777" spans="1:27" ht="15" customHeight="1" x14ac:dyDescent="0.3">
      <c r="A777" s="22"/>
      <c r="B777" s="23"/>
      <c r="C777" s="2"/>
      <c r="D777" s="23">
        <v>2020</v>
      </c>
      <c r="E777" s="25">
        <f>'Current Ratio'!G855</f>
        <v>3.8872234028231594</v>
      </c>
      <c r="F777" s="25">
        <f>'Cash Ratio'!G855</f>
        <v>1.6565684318270635</v>
      </c>
      <c r="G777" s="25">
        <f>DAR!G855</f>
        <v>0.36505965078562463</v>
      </c>
      <c r="H777" s="25">
        <f>DER!G855</f>
        <v>0.57495109774850561</v>
      </c>
      <c r="I777" s="25">
        <f>NPM!G855</f>
        <v>1.1531100502391065E-2</v>
      </c>
      <c r="J777" s="25">
        <f>ROA!G855</f>
        <v>5.8794738594260968E-3</v>
      </c>
      <c r="K777" s="25">
        <f>ROE!G855</f>
        <v>9.2598838090867733E-3</v>
      </c>
      <c r="L777" s="25">
        <f>KM!E855</f>
        <v>0.78</v>
      </c>
      <c r="M777" s="24">
        <f>KI!E855</f>
        <v>2</v>
      </c>
      <c r="N777" s="108">
        <f>IO!E855</f>
        <v>0</v>
      </c>
      <c r="O777" s="24">
        <f>'BoC Size'!E855</f>
        <v>3</v>
      </c>
      <c r="P777" s="24">
        <f>'TMT E DK'!E855</f>
        <v>0</v>
      </c>
      <c r="Q777" s="24">
        <f>Data!R855</f>
        <v>3</v>
      </c>
      <c r="R777" s="24">
        <f>Data!S855</f>
        <v>3</v>
      </c>
      <c r="S777" s="24">
        <f>'TMT E DK'!E855</f>
        <v>0</v>
      </c>
      <c r="T777" s="24">
        <f>'TMT E DD'!E855</f>
        <v>0</v>
      </c>
      <c r="U777" s="24">
        <f>TA!E855</f>
        <v>207903297000</v>
      </c>
      <c r="V777" s="109">
        <f>PR!F855</f>
        <v>0.12581474362086931</v>
      </c>
      <c r="W777" s="109">
        <f>'Z Score'!I855</f>
        <v>1.6714772064437247</v>
      </c>
      <c r="X777" s="109">
        <f>'Z Score'!L855</f>
        <v>0.34600540894741072</v>
      </c>
      <c r="Y777" s="109">
        <f>'Z Score'!O855</f>
        <v>0.11740332602806199</v>
      </c>
      <c r="Z777" s="109">
        <f>'Z Score'!R855</f>
        <v>1.8262422736677506</v>
      </c>
      <c r="AA777" s="109">
        <f>'Z Score'!S855</f>
        <v>3.9611282150869478</v>
      </c>
    </row>
    <row r="778" spans="1:27" ht="15" customHeight="1" x14ac:dyDescent="0.3">
      <c r="A778" s="22"/>
      <c r="B778" s="23"/>
      <c r="C778" s="2"/>
      <c r="D778" s="23">
        <v>2021</v>
      </c>
      <c r="E778" s="25">
        <f>'Current Ratio'!G856</f>
        <v>2.0443718421152606</v>
      </c>
      <c r="F778" s="25">
        <f>'Cash Ratio'!G856</f>
        <v>1.2575314363864301</v>
      </c>
      <c r="G778" s="25">
        <f>DAR!G856</f>
        <v>0.42390191233108482</v>
      </c>
      <c r="H778" s="25">
        <f>DER!G856</f>
        <v>0.75425079965538067</v>
      </c>
      <c r="I778" s="25">
        <f>NPM!G856</f>
        <v>-0.5081544923541379</v>
      </c>
      <c r="J778" s="25">
        <f>ROA!G856</f>
        <v>-0.17237137959438101</v>
      </c>
      <c r="K778" s="25">
        <f>ROE!G856</f>
        <v>-0.30670126063318842</v>
      </c>
      <c r="L778" s="25">
        <f>KM!E856</f>
        <v>0.78</v>
      </c>
      <c r="M778" s="24">
        <f>KI!E856</f>
        <v>2</v>
      </c>
      <c r="N778" s="108">
        <f>IO!E856</f>
        <v>0</v>
      </c>
      <c r="O778" s="24">
        <f>'BoC Size'!E856</f>
        <v>3</v>
      </c>
      <c r="P778" s="24">
        <f>'TMT E DK'!E856</f>
        <v>0</v>
      </c>
      <c r="Q778" s="24">
        <f>Data!R856</f>
        <v>3</v>
      </c>
      <c r="R778" s="24">
        <f>Data!S856</f>
        <v>3</v>
      </c>
      <c r="S778" s="24">
        <f>'TMT E DK'!E856</f>
        <v>0</v>
      </c>
      <c r="T778" s="24">
        <f>'TMT E DD'!E856</f>
        <v>0</v>
      </c>
      <c r="U778" s="24">
        <f>TA!E856</f>
        <v>179676000000</v>
      </c>
      <c r="V778" s="109">
        <f>PR!F856</f>
        <v>-0.42504960607436204</v>
      </c>
      <c r="W778" s="109">
        <f>'Z Score'!I856</f>
        <v>1.0037008838130856</v>
      </c>
      <c r="X778" s="109">
        <f>'Z Score'!L856</f>
        <v>1.8760658073421047E-2</v>
      </c>
      <c r="Y778" s="109">
        <f>'Z Score'!O856</f>
        <v>-1.4736605890603085</v>
      </c>
      <c r="Z778" s="109">
        <f>'Z Score'!R856</f>
        <v>1.3921098929954705</v>
      </c>
      <c r="AA778" s="109">
        <f>'Z Score'!S856</f>
        <v>0.94091084582166862</v>
      </c>
    </row>
    <row r="779" spans="1:27" ht="15" customHeight="1" x14ac:dyDescent="0.3">
      <c r="A779" s="22"/>
      <c r="B779" s="23"/>
      <c r="C779" s="2"/>
      <c r="D779" s="23">
        <v>2022</v>
      </c>
      <c r="E779" s="25">
        <f>'Current Ratio'!G857</f>
        <v>2.429381624750655</v>
      </c>
      <c r="F779" s="25">
        <f>'Cash Ratio'!G857</f>
        <v>1.7639730903117299</v>
      </c>
      <c r="G779" s="25">
        <f>DAR!G857</f>
        <v>0.5732680133656225</v>
      </c>
      <c r="H779" s="25">
        <f>DER!G857</f>
        <v>1.3433912416244449</v>
      </c>
      <c r="I779" s="25">
        <f>NPM!G857</f>
        <v>9.2212847742523946E-2</v>
      </c>
      <c r="J779" s="25">
        <f>ROA!G857</f>
        <v>4.1991937607316232E-2</v>
      </c>
      <c r="K779" s="25">
        <f>ROE!G857</f>
        <v>9.8403538807825E-2</v>
      </c>
      <c r="L779" s="25">
        <f>KM!E857</f>
        <v>0.78</v>
      </c>
      <c r="M779" s="24">
        <f>KI!E857</f>
        <v>2</v>
      </c>
      <c r="N779" s="108">
        <f>IO!E857</f>
        <v>0</v>
      </c>
      <c r="O779" s="24">
        <f>'BoC Size'!E857</f>
        <v>3</v>
      </c>
      <c r="P779" s="24">
        <f>'TMT E DK'!E857</f>
        <v>0</v>
      </c>
      <c r="Q779" s="24">
        <f>Data!R857</f>
        <v>3</v>
      </c>
      <c r="R779" s="24">
        <f>Data!S857</f>
        <v>3</v>
      </c>
      <c r="S779" s="24">
        <f>'TMT E DK'!E857</f>
        <v>0</v>
      </c>
      <c r="T779" s="24">
        <f>'TMT E DD'!E857</f>
        <v>0</v>
      </c>
      <c r="U779" s="24">
        <f>TA!E857</f>
        <v>269647000000</v>
      </c>
      <c r="V779" s="109">
        <f>PR!F857</f>
        <v>1.0147010566384458</v>
      </c>
      <c r="W779" s="109">
        <f>'Z Score'!I857</f>
        <v>1.7781410510778908</v>
      </c>
      <c r="X779" s="109">
        <f>'Z Score'!L857</f>
        <v>2.8773915526595879E-2</v>
      </c>
      <c r="Y779" s="109">
        <f>'Z Score'!O857</f>
        <v>0.33364865917291864</v>
      </c>
      <c r="Z779" s="109">
        <f>'Z Score'!R857</f>
        <v>0.78160402380644323</v>
      </c>
      <c r="AA779" s="109">
        <f>'Z Score'!S857</f>
        <v>2.9221676495838484</v>
      </c>
    </row>
    <row r="780" spans="1:27" ht="15" customHeight="1" x14ac:dyDescent="0.3">
      <c r="A780" s="22"/>
      <c r="B780" s="23"/>
      <c r="C780" s="2"/>
      <c r="D780" s="23">
        <v>2023</v>
      </c>
      <c r="E780" s="25">
        <f>'Current Ratio'!G858</f>
        <v>2.2098755832037327</v>
      </c>
      <c r="F780" s="25">
        <f>'Cash Ratio'!G858</f>
        <v>1.5646811819595645</v>
      </c>
      <c r="G780" s="25">
        <f>DAR!G858</f>
        <v>0.6935718561020412</v>
      </c>
      <c r="H780" s="25">
        <f>DER!G858</f>
        <v>2.2634078165255023</v>
      </c>
      <c r="I780" s="25">
        <f>NPM!G858</f>
        <v>1.6324420610748829E-2</v>
      </c>
      <c r="J780" s="25">
        <f>ROA!G858</f>
        <v>6.7619863367113162E-3</v>
      </c>
      <c r="K780" s="25">
        <f>ROE!G858</f>
        <v>2.2067119066462356E-2</v>
      </c>
      <c r="L780" s="25">
        <f>KM!E858</f>
        <v>0.78</v>
      </c>
      <c r="M780" s="24">
        <f>KI!E858</f>
        <v>2</v>
      </c>
      <c r="N780" s="108">
        <f>IO!E858</f>
        <v>0</v>
      </c>
      <c r="O780" s="24">
        <f>'BoC Size'!E858</f>
        <v>3</v>
      </c>
      <c r="P780" s="24">
        <f>'TMT E DK'!E858</f>
        <v>0</v>
      </c>
      <c r="Q780" s="24">
        <f>Data!R858</f>
        <v>3</v>
      </c>
      <c r="R780" s="24">
        <f>Data!S858</f>
        <v>3</v>
      </c>
      <c r="S780" s="24">
        <f>'TMT E DK'!E858</f>
        <v>0</v>
      </c>
      <c r="T780" s="24">
        <f>'TMT E DD'!E858</f>
        <v>0</v>
      </c>
      <c r="U780" s="24">
        <f>TA!E858</f>
        <v>387608000000</v>
      </c>
      <c r="V780" s="109">
        <f>PR!F858</f>
        <v>0.30755260929050754</v>
      </c>
      <c r="W780" s="109">
        <f>'Z Score'!I858</f>
        <v>1.3166271077996325</v>
      </c>
      <c r="X780" s="109">
        <f>'Z Score'!L858</f>
        <v>0.12553600544880394</v>
      </c>
      <c r="Y780" s="109">
        <f>'Z Score'!O858</f>
        <v>3.1657550927741432E-2</v>
      </c>
      <c r="Z780" s="109">
        <f>'Z Score'!R858</f>
        <v>0.46390225938683349</v>
      </c>
      <c r="AA780" s="109">
        <f>'Z Score'!S858</f>
        <v>1.9377229235630113</v>
      </c>
    </row>
    <row r="781" spans="1:27" ht="15" customHeight="1" x14ac:dyDescent="0.3">
      <c r="A781" s="22"/>
      <c r="B781" s="23"/>
      <c r="C781" s="2"/>
      <c r="D781" s="23">
        <v>2024</v>
      </c>
      <c r="E781" s="25">
        <f>'Current Ratio'!G859</f>
        <v>2.123734980538162</v>
      </c>
      <c r="F781" s="25">
        <f>'Cash Ratio'!G859</f>
        <v>1.7690302927737349</v>
      </c>
      <c r="G781" s="25">
        <f>DAR!G859</f>
        <v>0.71752383034770706</v>
      </c>
      <c r="H781" s="25">
        <f>DER!G859</f>
        <v>2.5401216365646886</v>
      </c>
      <c r="I781" s="25">
        <f>NPM!G859</f>
        <v>0.14207280301600866</v>
      </c>
      <c r="J781" s="25">
        <f>ROA!G859</f>
        <v>6.6638207340076805E-2</v>
      </c>
      <c r="K781" s="25">
        <f>ROE!G859</f>
        <v>0.23590735962648973</v>
      </c>
      <c r="L781" s="25">
        <f>KM!E859</f>
        <v>0.78</v>
      </c>
      <c r="M781" s="24">
        <f>KI!E859</f>
        <v>2</v>
      </c>
      <c r="N781" s="108">
        <f>IO!E859</f>
        <v>0</v>
      </c>
      <c r="O781" s="24">
        <f>'BoC Size'!E859</f>
        <v>3</v>
      </c>
      <c r="P781" s="24">
        <f>'TMT E DK'!E859</f>
        <v>0</v>
      </c>
      <c r="Q781" s="24">
        <f>Data!R859</f>
        <v>3</v>
      </c>
      <c r="R781" s="24">
        <f>Data!S859</f>
        <v>3</v>
      </c>
      <c r="S781" s="24">
        <f>'TMT E DK'!E859</f>
        <v>0</v>
      </c>
      <c r="T781" s="24">
        <f>'TMT E DD'!E859</f>
        <v>0</v>
      </c>
      <c r="U781" s="24">
        <f>TA!E859</f>
        <v>576261000000</v>
      </c>
      <c r="V781" s="109">
        <f>PR!F859</f>
        <v>0.68345821110259908</v>
      </c>
      <c r="W781" s="109">
        <f>'Z Score'!I859</f>
        <v>1.5117935796453341</v>
      </c>
      <c r="X781" s="109">
        <f>'Z Score'!L859</f>
        <v>0.30167930850777686</v>
      </c>
      <c r="Y781" s="109">
        <f>'Z Score'!O859</f>
        <v>0.55077876170693485</v>
      </c>
      <c r="Z781" s="109">
        <f>'Z Score'!R859</f>
        <v>0.41336603132913002</v>
      </c>
      <c r="AA781" s="109">
        <f>'Z Score'!S859</f>
        <v>2.777617681189176</v>
      </c>
    </row>
    <row r="782" spans="1:27" ht="15" customHeight="1" x14ac:dyDescent="0.3">
      <c r="A782" s="22"/>
      <c r="B782" s="23">
        <v>79</v>
      </c>
      <c r="C782" s="2" t="s">
        <v>97</v>
      </c>
      <c r="D782" s="23">
        <v>2015</v>
      </c>
      <c r="E782" s="25">
        <f>'Current Ratio'!G861</f>
        <v>2.1061940870270637</v>
      </c>
      <c r="F782" s="25">
        <f>'Cash Ratio'!G861</f>
        <v>0.81007517971021026</v>
      </c>
      <c r="G782" s="25">
        <f>DAR!G861</f>
        <v>0.83180965557416042</v>
      </c>
      <c r="H782" s="25">
        <f>DER!G861</f>
        <v>4.9456445220666723</v>
      </c>
      <c r="I782" s="25">
        <f>NPM!G861</f>
        <v>0.17169128772816036</v>
      </c>
      <c r="J782" s="25">
        <f>ROA!G861</f>
        <v>2.1191234002347258E-2</v>
      </c>
      <c r="K782" s="25">
        <f>ROE!G861</f>
        <v>0.12599554436188898</v>
      </c>
      <c r="L782" s="25">
        <f>KM!E861</f>
        <v>0.99990000000000001</v>
      </c>
      <c r="M782" s="24">
        <f>KI!E861</f>
        <v>1</v>
      </c>
      <c r="N782" s="108">
        <f>IO!E861</f>
        <v>0</v>
      </c>
      <c r="O782" s="24">
        <f>'BoC Size'!E861</f>
        <v>3</v>
      </c>
      <c r="P782" s="24">
        <f>'TMT E DK'!E861</f>
        <v>3</v>
      </c>
      <c r="Q782" s="24">
        <f>Data!R861</f>
        <v>3</v>
      </c>
      <c r="R782" s="24">
        <f>Data!S861</f>
        <v>3</v>
      </c>
      <c r="S782" s="24">
        <f>'TMT E DK'!E861</f>
        <v>3</v>
      </c>
      <c r="T782" s="24">
        <f>'TMT E DD'!E861</f>
        <v>3</v>
      </c>
      <c r="U782" s="24">
        <f>TA!E861</f>
        <v>726345620000</v>
      </c>
      <c r="V782" s="109">
        <f>PR!F861</f>
        <v>-0.10557323841490589</v>
      </c>
      <c r="W782" s="109">
        <f>'Z Score'!I861</f>
        <v>1.4187300508537519</v>
      </c>
      <c r="X782" s="109">
        <f>'Z Score'!L861</f>
        <v>0.1074778235738518</v>
      </c>
      <c r="Y782" s="109">
        <f>'Z Score'!O861</f>
        <v>0.18544813858724721</v>
      </c>
      <c r="Z782" s="109">
        <f>'Z Score'!R861</f>
        <v>0.21230802078779998</v>
      </c>
      <c r="AA782" s="109">
        <f>'Z Score'!S861</f>
        <v>1.9239640338026511</v>
      </c>
    </row>
    <row r="783" spans="1:27" ht="15" customHeight="1" x14ac:dyDescent="0.3">
      <c r="A783" s="22"/>
      <c r="B783" s="23"/>
      <c r="C783" s="2"/>
      <c r="D783" s="23">
        <v>2016</v>
      </c>
      <c r="E783" s="25">
        <f>'Current Ratio'!G862</f>
        <v>1.9011982323837295</v>
      </c>
      <c r="F783" s="25">
        <f>'Cash Ratio'!G862</f>
        <v>0.37576300815539948</v>
      </c>
      <c r="G783" s="25">
        <f>DAR!G862</f>
        <v>0.82980832103890534</v>
      </c>
      <c r="H783" s="25">
        <f>DER!G862</f>
        <v>4.8757279210377673</v>
      </c>
      <c r="I783" s="25">
        <f>NPM!G862</f>
        <v>0.11336945327734935</v>
      </c>
      <c r="J783" s="25">
        <f>ROA!G862</f>
        <v>2.9204831831490391E-2</v>
      </c>
      <c r="K783" s="25">
        <f>ROE!G862</f>
        <v>0.17159964582150064</v>
      </c>
      <c r="L783" s="25">
        <f>KM!E862</f>
        <v>0.99990000000000001</v>
      </c>
      <c r="M783" s="24">
        <f>KI!E862</f>
        <v>1</v>
      </c>
      <c r="N783" s="108">
        <f>IO!E862</f>
        <v>0</v>
      </c>
      <c r="O783" s="24">
        <f>'BoC Size'!E862</f>
        <v>3</v>
      </c>
      <c r="P783" s="24">
        <f>'TMT E DK'!E862</f>
        <v>3</v>
      </c>
      <c r="Q783" s="24">
        <f>Data!R862</f>
        <v>3</v>
      </c>
      <c r="R783" s="24">
        <f>Data!S862</f>
        <v>3</v>
      </c>
      <c r="S783" s="24">
        <f>'TMT E DK'!E862</f>
        <v>3</v>
      </c>
      <c r="T783" s="24">
        <f>'TMT E DD'!E862</f>
        <v>3</v>
      </c>
      <c r="U783" s="24">
        <f>TA!E862</f>
        <v>865785160000</v>
      </c>
      <c r="V783" s="109">
        <f>PR!F862</f>
        <v>1.4878115734475135</v>
      </c>
      <c r="W783" s="109">
        <f>'Z Score'!I862</f>
        <v>1.3495972788445576</v>
      </c>
      <c r="X783" s="109">
        <f>'Z Score'!L862</f>
        <v>0.17621795642697316</v>
      </c>
      <c r="Y783" s="109">
        <f>'Z Score'!O862</f>
        <v>0.30448734787738796</v>
      </c>
      <c r="Z783" s="109">
        <f>'Z Score'!R862</f>
        <v>0.21535245957213181</v>
      </c>
      <c r="AA783" s="109">
        <f>'Z Score'!S862</f>
        <v>2.0456550427210507</v>
      </c>
    </row>
    <row r="784" spans="1:27" ht="15" customHeight="1" x14ac:dyDescent="0.3">
      <c r="A784" s="22"/>
      <c r="B784" s="23"/>
      <c r="C784" s="2"/>
      <c r="D784" s="23">
        <v>2017</v>
      </c>
      <c r="E784" s="25">
        <f>'Current Ratio'!G863</f>
        <v>2.1468967420450165</v>
      </c>
      <c r="F784" s="25">
        <f>'Cash Ratio'!G863</f>
        <v>0.40000644867306695</v>
      </c>
      <c r="G784" s="25">
        <f>DAR!G863</f>
        <v>0.78600192441130523</v>
      </c>
      <c r="H784" s="25">
        <f>DER!G863</f>
        <v>3.6729390329783138</v>
      </c>
      <c r="I784" s="25">
        <f>NPM!G863</f>
        <v>5.1589978501760366E-3</v>
      </c>
      <c r="J784" s="25">
        <f>ROA!G863</f>
        <v>1.2282145948356487E-3</v>
      </c>
      <c r="K784" s="25">
        <f>ROE!G863</f>
        <v>5.7393718592028097E-3</v>
      </c>
      <c r="L784" s="25">
        <f>KM!E863</f>
        <v>0.75</v>
      </c>
      <c r="M784" s="24">
        <f>KI!E863</f>
        <v>1</v>
      </c>
      <c r="N784" s="108">
        <f>IO!E863</f>
        <v>0</v>
      </c>
      <c r="O784" s="24">
        <f>'BoC Size'!E863</f>
        <v>3</v>
      </c>
      <c r="P784" s="24">
        <f>'TMT E DK'!E863</f>
        <v>3</v>
      </c>
      <c r="Q784" s="24">
        <f>Data!R863</f>
        <v>3</v>
      </c>
      <c r="R784" s="24">
        <f>Data!S863</f>
        <v>3</v>
      </c>
      <c r="S784" s="24">
        <f>'TMT E DK'!E863</f>
        <v>3</v>
      </c>
      <c r="T784" s="24">
        <f>'TMT E DD'!E863</f>
        <v>3</v>
      </c>
      <c r="U784" s="24">
        <f>TA!E863</f>
        <v>927525210000</v>
      </c>
      <c r="V784" s="109">
        <f>PR!F863</f>
        <v>-9.9301524354060335E-3</v>
      </c>
      <c r="W784" s="109">
        <f>'Z Score'!I863</f>
        <v>1.3685509533482114</v>
      </c>
      <c r="X784" s="109">
        <f>'Z Score'!L863</f>
        <v>0.16915875289254939</v>
      </c>
      <c r="Y784" s="109">
        <f>'Z Score'!O863</f>
        <v>1.0177099984161078E-2</v>
      </c>
      <c r="Z784" s="109">
        <f>'Z Score'!R863</f>
        <v>0.28587460629548644</v>
      </c>
      <c r="AA784" s="109">
        <f>'Z Score'!S863</f>
        <v>1.8337614125204083</v>
      </c>
    </row>
    <row r="785" spans="1:27" ht="15" customHeight="1" x14ac:dyDescent="0.3">
      <c r="A785" s="22"/>
      <c r="B785" s="23"/>
      <c r="C785" s="2"/>
      <c r="D785" s="23">
        <v>2018</v>
      </c>
      <c r="E785" s="25">
        <f>'Current Ratio'!G864</f>
        <v>9.1439924728069908</v>
      </c>
      <c r="F785" s="25">
        <f>'Cash Ratio'!G864</f>
        <v>0.63429707932795298</v>
      </c>
      <c r="G785" s="25">
        <f>DAR!G864</f>
        <v>0.78771654013364345</v>
      </c>
      <c r="H785" s="25">
        <f>DER!G864</f>
        <v>37.606924340332398</v>
      </c>
      <c r="I785" s="25">
        <f>NPM!G864</f>
        <v>-1.4067312469837132</v>
      </c>
      <c r="J785" s="25">
        <f>ROA!G864</f>
        <v>-0.16991025988499284</v>
      </c>
      <c r="K785" s="25">
        <f>ROE!G864</f>
        <v>-8.1118041358596464</v>
      </c>
      <c r="L785" s="25">
        <f>KM!E864</f>
        <v>0.75</v>
      </c>
      <c r="M785" s="24">
        <f>KI!E864</f>
        <v>4</v>
      </c>
      <c r="N785" s="108">
        <f>IO!E864</f>
        <v>0</v>
      </c>
      <c r="O785" s="24">
        <f>'BoC Size'!E864</f>
        <v>7</v>
      </c>
      <c r="P785" s="24">
        <f>'TMT E DK'!E864</f>
        <v>0</v>
      </c>
      <c r="Q785" s="24">
        <f>Data!R864</f>
        <v>7</v>
      </c>
      <c r="R785" s="24">
        <f>Data!S864</f>
        <v>6</v>
      </c>
      <c r="S785" s="24">
        <f>'TMT E DK'!E864</f>
        <v>0</v>
      </c>
      <c r="T785" s="24">
        <f>'TMT E DD'!E864</f>
        <v>0</v>
      </c>
      <c r="U785" s="24">
        <f>TA!E864</f>
        <v>1045273900000</v>
      </c>
      <c r="V785" s="109">
        <f>PR!F864</f>
        <v>-0.42825293110056928</v>
      </c>
      <c r="W785" s="109">
        <f>'Z Score'!I864</f>
        <v>4.5390656347585061</v>
      </c>
      <c r="X785" s="109">
        <f>'Z Score'!L864</f>
        <v>-0.40018083968230717</v>
      </c>
      <c r="Y785" s="109">
        <f>'Z Score'!O864</f>
        <v>-1.2369343484038011</v>
      </c>
      <c r="Z785" s="109">
        <f>'Z Score'!R864</f>
        <v>2.7920390152031228E-2</v>
      </c>
      <c r="AA785" s="109">
        <f>'Z Score'!S864</f>
        <v>2.9298708368244286</v>
      </c>
    </row>
    <row r="786" spans="1:27" ht="15" customHeight="1" x14ac:dyDescent="0.3">
      <c r="A786" s="22"/>
      <c r="B786" s="23"/>
      <c r="C786" s="2"/>
      <c r="D786" s="23">
        <v>2019</v>
      </c>
      <c r="E786" s="25">
        <f>'Current Ratio'!G865</f>
        <v>8.448176141661877</v>
      </c>
      <c r="F786" s="25">
        <f>'Cash Ratio'!G865</f>
        <v>0.22666954660801714</v>
      </c>
      <c r="G786" s="25">
        <f>DAR!G865</f>
        <v>0.6777905034399363</v>
      </c>
      <c r="H786" s="25">
        <f>DER!G865</f>
        <v>3.7544607112544508</v>
      </c>
      <c r="I786" s="25">
        <f>NPM!G865</f>
        <v>-0.17991154689634378</v>
      </c>
      <c r="J786" s="25">
        <f>ROA!G865</f>
        <v>-4.3430295905621426E-2</v>
      </c>
      <c r="K786" s="25">
        <f>ROE!G865</f>
        <v>-0.24057188589727754</v>
      </c>
      <c r="L786" s="25">
        <f>KM!E865</f>
        <v>0.8</v>
      </c>
      <c r="M786" s="24">
        <f>KI!E865</f>
        <v>3</v>
      </c>
      <c r="N786" s="108">
        <f>IO!E865</f>
        <v>0</v>
      </c>
      <c r="O786" s="24">
        <f>'BoC Size'!E865</f>
        <v>6</v>
      </c>
      <c r="P786" s="24">
        <f>'TMT E DK'!E865</f>
        <v>0</v>
      </c>
      <c r="Q786" s="24">
        <f>Data!R865</f>
        <v>6</v>
      </c>
      <c r="R786" s="24">
        <f>Data!S865</f>
        <v>5</v>
      </c>
      <c r="S786" s="24">
        <f>'TMT E DK'!E865</f>
        <v>0</v>
      </c>
      <c r="T786" s="24">
        <f>'TMT E DD'!E865</f>
        <v>0</v>
      </c>
      <c r="U786" s="24">
        <f>TA!E865</f>
        <v>617588470000</v>
      </c>
      <c r="V786" s="109">
        <f>PR!F865</f>
        <v>0.18084896653988064</v>
      </c>
      <c r="W786" s="109">
        <f>'Z Score'!I865</f>
        <v>4.4575915350233144</v>
      </c>
      <c r="X786" s="109">
        <f>'Z Score'!L865</f>
        <v>-0.81226459198631085</v>
      </c>
      <c r="Y786" s="109">
        <f>'Z Score'!O865</f>
        <v>-0.2257238565350807</v>
      </c>
      <c r="Z786" s="109">
        <f>'Z Score'!R865</f>
        <v>0.27966732927914201</v>
      </c>
      <c r="AA786" s="109">
        <f>'Z Score'!S865</f>
        <v>3.699270415781065</v>
      </c>
    </row>
    <row r="787" spans="1:27" ht="15" customHeight="1" x14ac:dyDescent="0.3">
      <c r="A787" s="22"/>
      <c r="B787" s="23"/>
      <c r="C787" s="2"/>
      <c r="D787" s="23">
        <v>2020</v>
      </c>
      <c r="E787" s="25">
        <f>'Current Ratio'!G866</f>
        <v>3.8191570914781661</v>
      </c>
      <c r="F787" s="25">
        <f>'Cash Ratio'!G866</f>
        <v>0.31178527074464646</v>
      </c>
      <c r="G787" s="25">
        <f>DAR!G866</f>
        <v>0.79179788986210364</v>
      </c>
      <c r="H787" s="25">
        <f>DER!G866</f>
        <v>6.4869579945799458</v>
      </c>
      <c r="I787" s="25">
        <f>NPM!G866</f>
        <v>3.6050411228871683E-2</v>
      </c>
      <c r="J787" s="25">
        <f>ROA!G866</f>
        <v>1.267815425448653E-2</v>
      </c>
      <c r="K787" s="25">
        <f>ROE!G866</f>
        <v>0.10386824106336301</v>
      </c>
      <c r="L787" s="25">
        <f>KM!E866</f>
        <v>0.79869999999999997</v>
      </c>
      <c r="M787" s="24">
        <f>KI!E866</f>
        <v>3</v>
      </c>
      <c r="N787" s="108">
        <f>IO!E866</f>
        <v>0</v>
      </c>
      <c r="O787" s="24">
        <f>'BoC Size'!E866</f>
        <v>6</v>
      </c>
      <c r="P787" s="24">
        <f>'TMT E DK'!E866</f>
        <v>0</v>
      </c>
      <c r="Q787" s="24">
        <f>Data!R866</f>
        <v>6</v>
      </c>
      <c r="R787" s="24">
        <f>Data!S866</f>
        <v>5</v>
      </c>
      <c r="S787" s="24">
        <f>'TMT E DK'!E866</f>
        <v>0</v>
      </c>
      <c r="T787" s="24">
        <f>'TMT E DD'!E866</f>
        <v>0</v>
      </c>
      <c r="U787" s="24">
        <f>TA!E866</f>
        <v>1015763000000</v>
      </c>
      <c r="V787" s="109">
        <f>PR!F866</f>
        <v>1.3961018119571666</v>
      </c>
      <c r="W787" s="109">
        <f>'Z Score'!I866</f>
        <v>2.5362085418744331</v>
      </c>
      <c r="X787" s="109">
        <f>'Z Score'!L866</f>
        <v>-0.45692692094514165</v>
      </c>
      <c r="Y787" s="109">
        <f>'Z Score'!O866</f>
        <v>5.5744026903913606E-2</v>
      </c>
      <c r="Z787" s="109">
        <f>'Z Score'!R866</f>
        <v>0.16186323402699812</v>
      </c>
      <c r="AA787" s="109">
        <f>'Z Score'!S866</f>
        <v>2.2968888818602031</v>
      </c>
    </row>
    <row r="788" spans="1:27" ht="15" customHeight="1" x14ac:dyDescent="0.3">
      <c r="A788" s="22"/>
      <c r="B788" s="23"/>
      <c r="C788" s="2"/>
      <c r="D788" s="23">
        <v>2021</v>
      </c>
      <c r="E788" s="25">
        <f>'Current Ratio'!G867</f>
        <v>2.2050256523418104</v>
      </c>
      <c r="F788" s="25">
        <f>'Cash Ratio'!G867</f>
        <v>0.65218479870656187</v>
      </c>
      <c r="G788" s="25">
        <f>DAR!G867</f>
        <v>0.96160745388216651</v>
      </c>
      <c r="H788" s="25">
        <f>DER!G867</f>
        <v>-33.625625786416087</v>
      </c>
      <c r="I788" s="25">
        <f>NPM!G867</f>
        <v>-0.42001676568137913</v>
      </c>
      <c r="J788" s="25">
        <f>ROA!G867</f>
        <v>-0.12351885098743268</v>
      </c>
      <c r="K788" s="25">
        <f>ROE!G867</f>
        <v>4.3192246941343395</v>
      </c>
      <c r="L788" s="25">
        <f>KM!E867</f>
        <v>0.79869999999999997</v>
      </c>
      <c r="M788" s="24">
        <f>KI!E867</f>
        <v>2</v>
      </c>
      <c r="N788" s="108">
        <f>IO!E867</f>
        <v>0</v>
      </c>
      <c r="O788" s="24">
        <f>'BoC Size'!E867</f>
        <v>5</v>
      </c>
      <c r="P788" s="24">
        <f>'TMT E DK'!E867</f>
        <v>0</v>
      </c>
      <c r="Q788" s="24">
        <f>Data!R867</f>
        <v>5</v>
      </c>
      <c r="R788" s="24">
        <f>Data!S867</f>
        <v>4</v>
      </c>
      <c r="S788" s="24">
        <f>'TMT E DK'!E867</f>
        <v>0</v>
      </c>
      <c r="T788" s="24">
        <f>'TMT E DD'!E867</f>
        <v>0</v>
      </c>
      <c r="U788" s="24">
        <f>TA!E867</f>
        <v>1306165000000</v>
      </c>
      <c r="V788" s="109">
        <f>PR!F867</f>
        <v>7.5292115267256779E-2</v>
      </c>
      <c r="W788" s="109">
        <f>'Z Score'!I867</f>
        <v>2.8523405235938797</v>
      </c>
      <c r="X788" s="109">
        <f>'Z Score'!L867</f>
        <v>-0.75528102498535787</v>
      </c>
      <c r="Y788" s="109">
        <f>'Z Score'!O867</f>
        <v>-0.85919729896299457</v>
      </c>
      <c r="Z788" s="109">
        <f>'Z Score'!R867</f>
        <v>-3.1226184656589318E-2</v>
      </c>
      <c r="AA788" s="109">
        <f>'Z Score'!S867</f>
        <v>1.2066360149889379</v>
      </c>
    </row>
    <row r="789" spans="1:27" ht="15" customHeight="1" x14ac:dyDescent="0.3">
      <c r="A789" s="22"/>
      <c r="B789" s="23"/>
      <c r="C789" s="2"/>
      <c r="D789" s="23">
        <v>2022</v>
      </c>
      <c r="E789" s="25">
        <f>'Current Ratio'!G868</f>
        <v>2.3132451933653044</v>
      </c>
      <c r="F789" s="25">
        <f>'Cash Ratio'!G868</f>
        <v>0.49058471556161731</v>
      </c>
      <c r="G789" s="25">
        <f>DAR!G868</f>
        <v>0.81570691468656564</v>
      </c>
      <c r="H789" s="25">
        <f>DER!G868</f>
        <v>7.2944875241629079</v>
      </c>
      <c r="I789" s="25">
        <f>NPM!G868</f>
        <v>-0.28241808616687647</v>
      </c>
      <c r="J789" s="25">
        <f>ROA!G868</f>
        <v>-6.4290269415204188E-2</v>
      </c>
      <c r="K789" s="25">
        <f>ROE!G868</f>
        <v>-0.57491797572229508</v>
      </c>
      <c r="L789" s="25">
        <f>KM!E868</f>
        <v>0.79869999999999997</v>
      </c>
      <c r="M789" s="24">
        <f>KI!E868</f>
        <v>3</v>
      </c>
      <c r="N789" s="108">
        <f>IO!E868</f>
        <v>0</v>
      </c>
      <c r="O789" s="24">
        <f>'BoC Size'!E868</f>
        <v>6</v>
      </c>
      <c r="P789" s="24">
        <f>'TMT E DK'!E868</f>
        <v>0</v>
      </c>
      <c r="Q789" s="24">
        <f>Data!R868</f>
        <v>6</v>
      </c>
      <c r="R789" s="24">
        <f>Data!S868</f>
        <v>3</v>
      </c>
      <c r="S789" s="24">
        <f>'TMT E DK'!E868</f>
        <v>0</v>
      </c>
      <c r="T789" s="24">
        <f>'TMT E DD'!E868</f>
        <v>0</v>
      </c>
      <c r="U789" s="24">
        <f>TA!E868</f>
        <v>1207430000000</v>
      </c>
      <c r="V789" s="109">
        <f>PR!F868</f>
        <v>-0.28443342931078469</v>
      </c>
      <c r="W789" s="109">
        <f>'Z Score'!I868</f>
        <v>2.5947051174809301</v>
      </c>
      <c r="X789" s="109">
        <f>'Z Score'!L868</f>
        <v>-1.0357627191638439</v>
      </c>
      <c r="Y789" s="109">
        <f>'Z Score'!O868</f>
        <v>-0.41874010087541302</v>
      </c>
      <c r="Z789" s="109">
        <f>'Z Score'!R868</f>
        <v>0.14394431363709745</v>
      </c>
      <c r="AA789" s="109">
        <f>'Z Score'!S868</f>
        <v>1.2841466110787707</v>
      </c>
    </row>
    <row r="790" spans="1:27" ht="15" customHeight="1" x14ac:dyDescent="0.3">
      <c r="A790" s="22"/>
      <c r="B790" s="23"/>
      <c r="C790" s="2"/>
      <c r="D790" s="23">
        <v>2023</v>
      </c>
      <c r="E790" s="25">
        <f>'Current Ratio'!G869</f>
        <v>2.0205114087221259</v>
      </c>
      <c r="F790" s="25">
        <f>'Cash Ratio'!G869</f>
        <v>0.55396025975287855</v>
      </c>
      <c r="G790" s="25">
        <f>DAR!G869</f>
        <v>0.77628628304050862</v>
      </c>
      <c r="H790" s="25">
        <f>DER!G869</f>
        <v>5.8856631394701253</v>
      </c>
      <c r="I790" s="25">
        <f>NPM!G869</f>
        <v>-7.660191479078185E-2</v>
      </c>
      <c r="J790" s="25">
        <f>ROA!G869</f>
        <v>-3.1266822602021703E-2</v>
      </c>
      <c r="K790" s="25">
        <f>ROE!G869</f>
        <v>-0.23705943193571485</v>
      </c>
      <c r="L790" s="25">
        <f>KM!E869</f>
        <v>0.79869999999999997</v>
      </c>
      <c r="M790" s="24">
        <f>KI!E869</f>
        <v>3</v>
      </c>
      <c r="N790" s="108">
        <f>IO!E869</f>
        <v>0</v>
      </c>
      <c r="O790" s="24">
        <f>'BoC Size'!E869</f>
        <v>6</v>
      </c>
      <c r="P790" s="24">
        <f>'TMT E DK'!E869</f>
        <v>0</v>
      </c>
      <c r="Q790" s="24">
        <f>Data!R869</f>
        <v>6</v>
      </c>
      <c r="R790" s="24">
        <f>Data!S869</f>
        <v>3</v>
      </c>
      <c r="S790" s="24">
        <f>'TMT E DK'!E869</f>
        <v>0</v>
      </c>
      <c r="T790" s="24">
        <f>'TMT E DD'!E869</f>
        <v>0</v>
      </c>
      <c r="U790" s="24">
        <f>TA!E869</f>
        <v>952959000000</v>
      </c>
      <c r="V790" s="109">
        <f>PR!F869</f>
        <v>0.41515378626365229</v>
      </c>
      <c r="W790" s="109">
        <f>'Z Score'!I869</f>
        <v>2.1690096635846872</v>
      </c>
      <c r="X790" s="109">
        <f>'Z Score'!L869</f>
        <v>-1.3455655909645641</v>
      </c>
      <c r="Y790" s="109">
        <f>'Z Score'!O869</f>
        <v>-0.15105489323255247</v>
      </c>
      <c r="Z790" s="109">
        <f>'Z Score'!R869</f>
        <v>0.17839960852644543</v>
      </c>
      <c r="AA790" s="109">
        <f>'Z Score'!S869</f>
        <v>0.85078878791401602</v>
      </c>
    </row>
    <row r="791" spans="1:27" ht="15" customHeight="1" x14ac:dyDescent="0.3">
      <c r="A791" s="22"/>
      <c r="B791" s="23"/>
      <c r="C791" s="2"/>
      <c r="D791" s="23">
        <v>2024</v>
      </c>
      <c r="E791" s="25">
        <f>'Current Ratio'!G870</f>
        <v>3.5232768627017466</v>
      </c>
      <c r="F791" s="25">
        <f>'Cash Ratio'!G870</f>
        <v>0.72155510722971483</v>
      </c>
      <c r="G791" s="25">
        <f>DAR!G870</f>
        <v>0.72629708486808175</v>
      </c>
      <c r="H791" s="25">
        <f>DER!G870</f>
        <v>5.7902068765624435</v>
      </c>
      <c r="I791" s="25">
        <f>NPM!G870</f>
        <v>-4.5511117992449057E-2</v>
      </c>
      <c r="J791" s="25">
        <f>ROA!G870</f>
        <v>-1.7366042314745173E-2</v>
      </c>
      <c r="K791" s="25">
        <f>ROE!G870</f>
        <v>-0.13844607079453644</v>
      </c>
      <c r="L791" s="25">
        <f>KM!E870</f>
        <v>0.79869999999999997</v>
      </c>
      <c r="M791" s="24">
        <f>KI!E870</f>
        <v>3</v>
      </c>
      <c r="N791" s="108">
        <f>IO!E870</f>
        <v>0</v>
      </c>
      <c r="O791" s="24">
        <f>'BoC Size'!E870</f>
        <v>5</v>
      </c>
      <c r="P791" s="24">
        <f>'TMT E DK'!E870</f>
        <v>0</v>
      </c>
      <c r="Q791" s="24">
        <f>Data!R870</f>
        <v>5</v>
      </c>
      <c r="R791" s="24">
        <f>Data!S870</f>
        <v>5</v>
      </c>
      <c r="S791" s="24">
        <f>'TMT E DK'!E870</f>
        <v>0</v>
      </c>
      <c r="T791" s="24">
        <f>'TMT E DD'!E870</f>
        <v>0</v>
      </c>
      <c r="U791" s="24">
        <f>TA!E870</f>
        <v>880166000000</v>
      </c>
      <c r="V791" s="109">
        <f>PR!F870</f>
        <v>-0.13656509980152812</v>
      </c>
      <c r="W791" s="109">
        <f>'Z Score'!I870</f>
        <v>2.7219536314740629</v>
      </c>
      <c r="X791" s="109">
        <f>'Z Score'!L870</f>
        <v>-1.5056803830186576</v>
      </c>
      <c r="Y791" s="109">
        <f>'Z Score'!O870</f>
        <v>-0.13494727131018466</v>
      </c>
      <c r="Z791" s="109">
        <f>'Z Score'!R870</f>
        <v>0.18134067096120213</v>
      </c>
      <c r="AA791" s="109">
        <f>'Z Score'!S870</f>
        <v>1.2626666481064228</v>
      </c>
    </row>
    <row r="792" spans="1:27" ht="15" customHeight="1" x14ac:dyDescent="0.3">
      <c r="A792" s="22"/>
      <c r="B792" s="23">
        <v>80</v>
      </c>
      <c r="C792" s="2" t="s">
        <v>81</v>
      </c>
      <c r="D792" s="23">
        <v>2015</v>
      </c>
      <c r="E792" s="25">
        <f>'Current Ratio'!G872</f>
        <v>2.6208185425422696</v>
      </c>
      <c r="F792" s="25">
        <f>'Cash Ratio'!G872</f>
        <v>0.25538752851460911</v>
      </c>
      <c r="G792" s="25">
        <f>DAR!G872</f>
        <v>0.87179584317258008</v>
      </c>
      <c r="H792" s="25">
        <f>DER!G872</f>
        <v>6.800059099067548</v>
      </c>
      <c r="I792" s="25">
        <f>NPM!G872</f>
        <v>9.6810739365384785E-2</v>
      </c>
      <c r="J792" s="25">
        <f>ROA!G872</f>
        <v>1.5107189911141605E-2</v>
      </c>
      <c r="K792" s="25">
        <f>ROE!G872</f>
        <v>0.11783697412774154</v>
      </c>
      <c r="L792" s="25">
        <f>KM!E872</f>
        <v>0.8</v>
      </c>
      <c r="M792" s="24">
        <f>KI!E872</f>
        <v>2</v>
      </c>
      <c r="N792" s="108">
        <f>IO!E872</f>
        <v>0</v>
      </c>
      <c r="O792" s="24">
        <f>'BoC Size'!E872</f>
        <v>3</v>
      </c>
      <c r="P792" s="24">
        <f>'TMT E DK'!E872</f>
        <v>0</v>
      </c>
      <c r="Q792" s="24">
        <f>Data!R872</f>
        <v>3</v>
      </c>
      <c r="R792" s="24">
        <f>Data!S872</f>
        <v>3</v>
      </c>
      <c r="S792" s="24">
        <f>'TMT E DK'!E872</f>
        <v>0</v>
      </c>
      <c r="T792" s="24">
        <f>'TMT E DD'!E872</f>
        <v>0</v>
      </c>
      <c r="U792" s="24">
        <f>TA!E872</f>
        <v>1425414000000</v>
      </c>
      <c r="V792" s="109">
        <f>PR!F872</f>
        <v>7.7057912066627932E-2</v>
      </c>
      <c r="W792" s="109">
        <f>'Z Score'!I872</f>
        <v>3.1751119043309521</v>
      </c>
      <c r="X792" s="109">
        <f>'Z Score'!L872</f>
        <v>0.23225270693286301</v>
      </c>
      <c r="Y792" s="109">
        <f>'Z Score'!O872</f>
        <v>0.12818036023218515</v>
      </c>
      <c r="Z792" s="109">
        <f>'Z Score'!R872</f>
        <v>0.15441042271882319</v>
      </c>
      <c r="AA792" s="109">
        <f>'Z Score'!S872</f>
        <v>3.6899553942148229</v>
      </c>
    </row>
    <row r="793" spans="1:27" ht="15" customHeight="1" x14ac:dyDescent="0.3">
      <c r="A793" s="22"/>
      <c r="B793" s="23"/>
      <c r="C793" s="2"/>
      <c r="D793" s="23">
        <v>2016</v>
      </c>
      <c r="E793" s="25">
        <f>'Current Ratio'!G873</f>
        <v>3.3818483078069708</v>
      </c>
      <c r="F793" s="25">
        <f>'Cash Ratio'!G873</f>
        <v>0.27131140725045194</v>
      </c>
      <c r="G793" s="25">
        <f>DAR!G873</f>
        <v>0.86027449498490882</v>
      </c>
      <c r="H793" s="25">
        <f>DER!G873</f>
        <v>6.1568895019702659</v>
      </c>
      <c r="I793" s="25">
        <f>NPM!G873</f>
        <v>9.2997940304979404E-2</v>
      </c>
      <c r="J793" s="25">
        <f>ROA!G873</f>
        <v>1.4223529582440721E-2</v>
      </c>
      <c r="K793" s="25">
        <f>ROE!G873</f>
        <v>0.10179622954953352</v>
      </c>
      <c r="L793" s="25">
        <f>KM!E873</f>
        <v>0.8</v>
      </c>
      <c r="M793" s="24">
        <f>KI!E873</f>
        <v>2</v>
      </c>
      <c r="N793" s="108">
        <f>IO!E873</f>
        <v>0</v>
      </c>
      <c r="O793" s="24">
        <f>'BoC Size'!E873</f>
        <v>3</v>
      </c>
      <c r="P793" s="24">
        <f>'TMT E DK'!E873</f>
        <v>0</v>
      </c>
      <c r="Q793" s="24">
        <f>Data!R873</f>
        <v>3</v>
      </c>
      <c r="R793" s="24">
        <f>Data!S873</f>
        <v>3</v>
      </c>
      <c r="S793" s="24">
        <f>'TMT E DK'!E873</f>
        <v>0</v>
      </c>
      <c r="T793" s="24">
        <f>'TMT E DD'!E873</f>
        <v>0</v>
      </c>
      <c r="U793" s="24">
        <f>TA!E873</f>
        <v>1447531000000</v>
      </c>
      <c r="V793" s="109">
        <f>PR!F873</f>
        <v>-4.6845356375374266E-3</v>
      </c>
      <c r="W793" s="109">
        <f>'Z Score'!I873</f>
        <v>3.5048411674775872</v>
      </c>
      <c r="X793" s="109">
        <f>'Z Score'!L873</f>
        <v>0.27196037943228851</v>
      </c>
      <c r="Y793" s="109">
        <f>'Z Score'!O873</f>
        <v>0.12220156943098283</v>
      </c>
      <c r="Z793" s="109">
        <f>'Z Score'!R873</f>
        <v>0.17054066012781124</v>
      </c>
      <c r="AA793" s="109">
        <f>'Z Score'!S873</f>
        <v>4.0695437764686702</v>
      </c>
    </row>
    <row r="794" spans="1:27" ht="15" customHeight="1" x14ac:dyDescent="0.3">
      <c r="A794" s="22"/>
      <c r="B794" s="23"/>
      <c r="C794" s="2"/>
      <c r="D794" s="23">
        <v>2017</v>
      </c>
      <c r="E794" s="25">
        <f>'Current Ratio'!G874</f>
        <v>3.1376844850065191</v>
      </c>
      <c r="F794" s="25">
        <f>'Cash Ratio'!G874</f>
        <v>0.15415123859191657</v>
      </c>
      <c r="G794" s="25">
        <f>DAR!G874</f>
        <v>0.85389939513991431</v>
      </c>
      <c r="H794" s="25">
        <f>DER!G874</f>
        <v>6.2102226777754792</v>
      </c>
      <c r="I794" s="25">
        <f>NPM!G874</f>
        <v>4.8307813477263775E-2</v>
      </c>
      <c r="J794" s="25">
        <f>ROA!G874</f>
        <v>6.7409962736067397E-3</v>
      </c>
      <c r="K794" s="25">
        <f>ROE!G874</f>
        <v>4.9025784732278872E-2</v>
      </c>
      <c r="L794" s="25">
        <f>KM!E874</f>
        <v>0.8</v>
      </c>
      <c r="M794" s="24">
        <f>KI!E874</f>
        <v>2</v>
      </c>
      <c r="N794" s="108">
        <f>IO!E874</f>
        <v>0</v>
      </c>
      <c r="O794" s="24">
        <f>'BoC Size'!E874</f>
        <v>3</v>
      </c>
      <c r="P794" s="24">
        <f>'TMT E DK'!E874</f>
        <v>0</v>
      </c>
      <c r="Q794" s="24">
        <f>Data!R874</f>
        <v>3</v>
      </c>
      <c r="R794" s="24">
        <f>Data!S874</f>
        <v>3</v>
      </c>
      <c r="S794" s="24">
        <f>'TMT E DK'!E874</f>
        <v>0</v>
      </c>
      <c r="T794" s="24">
        <f>'TMT E DD'!E874</f>
        <v>0</v>
      </c>
      <c r="U794" s="24">
        <f>TA!E874</f>
        <v>1546804000000</v>
      </c>
      <c r="V794" s="109">
        <f>PR!F874</f>
        <v>-2.505510587555106E-2</v>
      </c>
      <c r="W794" s="109">
        <f>'Z Score'!I874</f>
        <v>3.4767825270687167</v>
      </c>
      <c r="X794" s="109">
        <f>'Z Score'!L874</f>
        <v>0.27542587166829152</v>
      </c>
      <c r="Y794" s="109">
        <f>'Z Score'!O874</f>
        <v>5.3193345763264122E-2</v>
      </c>
      <c r="Z794" s="109">
        <f>'Z Score'!R874</f>
        <v>0.16907606288541546</v>
      </c>
      <c r="AA794" s="109">
        <f>'Z Score'!S874</f>
        <v>3.9744778073856879</v>
      </c>
    </row>
    <row r="795" spans="1:27" ht="15" customHeight="1" x14ac:dyDescent="0.3">
      <c r="A795" s="22"/>
      <c r="B795" s="23"/>
      <c r="C795" s="2"/>
      <c r="D795" s="23">
        <v>2018</v>
      </c>
      <c r="E795" s="25">
        <f>'Current Ratio'!G875</f>
        <v>3.9313416449726781</v>
      </c>
      <c r="F795" s="25">
        <f>'Cash Ratio'!G875</f>
        <v>0.26629682921216857</v>
      </c>
      <c r="G795" s="25">
        <f>DAR!G875</f>
        <v>0.84630454010511469</v>
      </c>
      <c r="H795" s="25">
        <f>DER!G875</f>
        <v>6.5310257144592851</v>
      </c>
      <c r="I795" s="25">
        <f>NPM!G875</f>
        <v>6.6070286589628047E-2</v>
      </c>
      <c r="J795" s="25">
        <f>ROA!G875</f>
        <v>9.9919086344822626E-3</v>
      </c>
      <c r="K795" s="25">
        <f>ROE!G875</f>
        <v>7.7108663768040472E-2</v>
      </c>
      <c r="L795" s="25">
        <f>KM!E875</f>
        <v>0.8</v>
      </c>
      <c r="M795" s="24">
        <f>KI!E875</f>
        <v>2</v>
      </c>
      <c r="N795" s="108">
        <f>IO!E875</f>
        <v>0</v>
      </c>
      <c r="O795" s="24">
        <f>'BoC Size'!E875</f>
        <v>3</v>
      </c>
      <c r="P795" s="24">
        <f>'TMT E DK'!E875</f>
        <v>0</v>
      </c>
      <c r="Q795" s="24">
        <f>Data!R875</f>
        <v>3</v>
      </c>
      <c r="R795" s="24">
        <f>Data!S875</f>
        <v>4</v>
      </c>
      <c r="S795" s="24">
        <f>'TMT E DK'!E875</f>
        <v>0</v>
      </c>
      <c r="T795" s="24">
        <f>'TMT E DD'!E875</f>
        <v>0</v>
      </c>
      <c r="U795" s="24">
        <f>TA!E875</f>
        <v>1778439000000</v>
      </c>
      <c r="V795" s="109">
        <f>PR!F875</f>
        <v>0.24606083068868864</v>
      </c>
      <c r="W795" s="109">
        <f>'Z Score'!I875</f>
        <v>3.9001044848881512</v>
      </c>
      <c r="X795" s="109">
        <f>'Z Score'!L875</f>
        <v>0.2721263085211244</v>
      </c>
      <c r="Y795" s="109">
        <f>'Z Score'!O875</f>
        <v>9.1653590592648951E-2</v>
      </c>
      <c r="Z795" s="109">
        <f>'Z Score'!R875</f>
        <v>0.16077107117728312</v>
      </c>
      <c r="AA795" s="109">
        <f>'Z Score'!S875</f>
        <v>4.4246554551792077</v>
      </c>
    </row>
    <row r="796" spans="1:27" ht="15" customHeight="1" x14ac:dyDescent="0.3">
      <c r="A796" s="22"/>
      <c r="B796" s="23"/>
      <c r="C796" s="2"/>
      <c r="D796" s="23">
        <v>2019</v>
      </c>
      <c r="E796" s="25">
        <f>'Current Ratio'!G876</f>
        <v>3.9780635847079875</v>
      </c>
      <c r="F796" s="25">
        <f>'Cash Ratio'!G876</f>
        <v>0.37692716042794266</v>
      </c>
      <c r="G796" s="25">
        <f>DAR!G876</f>
        <v>0.83177837046462944</v>
      </c>
      <c r="H796" s="25">
        <f>DER!G876</f>
        <v>5.5142617387365309</v>
      </c>
      <c r="I796" s="25">
        <f>NPM!G876</f>
        <v>0.11944669813640163</v>
      </c>
      <c r="J796" s="25">
        <f>ROA!G876</f>
        <v>2.1768546698732991E-2</v>
      </c>
      <c r="K796" s="25">
        <f>ROE!G876</f>
        <v>0.14431424094578238</v>
      </c>
      <c r="L796" s="25">
        <f>KM!E876</f>
        <v>0.8</v>
      </c>
      <c r="M796" s="24">
        <f>KI!E876</f>
        <v>2</v>
      </c>
      <c r="N796" s="108">
        <f>IO!E876</f>
        <v>0</v>
      </c>
      <c r="O796" s="24">
        <f>'BoC Size'!E876</f>
        <v>3</v>
      </c>
      <c r="P796" s="24">
        <f>'TMT E DK'!E876</f>
        <v>0</v>
      </c>
      <c r="Q796" s="24">
        <f>Data!R876</f>
        <v>3</v>
      </c>
      <c r="R796" s="24">
        <f>Data!S876</f>
        <v>3</v>
      </c>
      <c r="S796" s="24">
        <f>'TMT E DK'!E876</f>
        <v>0</v>
      </c>
      <c r="T796" s="24">
        <f>'TMT E DD'!E876</f>
        <v>0</v>
      </c>
      <c r="U796" s="24">
        <f>TA!E876</f>
        <v>1785466000000</v>
      </c>
      <c r="V796" s="109">
        <f>PR!F876</f>
        <v>0.20983357872663186</v>
      </c>
      <c r="W796" s="109">
        <f>'Z Score'!I876</f>
        <v>3.8955752279796982</v>
      </c>
      <c r="X796" s="109">
        <f>'Z Score'!L876</f>
        <v>0.34202259802202895</v>
      </c>
      <c r="Y796" s="109">
        <f>'Z Score'!O876</f>
        <v>0.18745223935936051</v>
      </c>
      <c r="Z796" s="109">
        <f>'Z Score'!R876</f>
        <v>0.19041533567838656</v>
      </c>
      <c r="AA796" s="109">
        <f>'Z Score'!S876</f>
        <v>4.615465401039474</v>
      </c>
    </row>
    <row r="797" spans="1:27" ht="15" customHeight="1" x14ac:dyDescent="0.3">
      <c r="A797" s="22"/>
      <c r="B797" s="23"/>
      <c r="C797" s="2"/>
      <c r="D797" s="23">
        <v>2020</v>
      </c>
      <c r="E797" s="25">
        <f>'Current Ratio'!G877</f>
        <v>3.5526489477097551</v>
      </c>
      <c r="F797" s="25">
        <f>'Cash Ratio'!G877</f>
        <v>0.15700273761901756</v>
      </c>
      <c r="G797" s="25">
        <f>DAR!G877</f>
        <v>0.82323315021042354</v>
      </c>
      <c r="H797" s="25">
        <f>DER!G877</f>
        <v>4.7120343484857594</v>
      </c>
      <c r="I797" s="25">
        <f>NPM!G877</f>
        <v>4.8166017972127058E-2</v>
      </c>
      <c r="J797" s="25">
        <f>ROA!G877</f>
        <v>8.2964502660956511E-3</v>
      </c>
      <c r="K797" s="25">
        <f>ROE!G877</f>
        <v>4.748734743535786E-2</v>
      </c>
      <c r="L797" s="25">
        <f>KM!E877</f>
        <v>0.8</v>
      </c>
      <c r="M797" s="24">
        <f>KI!E877</f>
        <v>2</v>
      </c>
      <c r="N797" s="108">
        <f>IO!E877</f>
        <v>0</v>
      </c>
      <c r="O797" s="24">
        <f>'BoC Size'!E877</f>
        <v>2</v>
      </c>
      <c r="P797" s="24">
        <f>'TMT E DK'!E877</f>
        <v>0</v>
      </c>
      <c r="Q797" s="24">
        <f>Data!R877</f>
        <v>2</v>
      </c>
      <c r="R797" s="24">
        <f>Data!S877</f>
        <v>4</v>
      </c>
      <c r="S797" s="24">
        <f>'TMT E DK'!E877</f>
        <v>0</v>
      </c>
      <c r="T797" s="24">
        <f>'TMT E DD'!E877</f>
        <v>0</v>
      </c>
      <c r="U797" s="24">
        <f>TA!E877</f>
        <v>1618403000000</v>
      </c>
      <c r="V797" s="109">
        <f>PR!F877</f>
        <v>-0.14329485666519151</v>
      </c>
      <c r="W797" s="109">
        <f>'Z Score'!I877</f>
        <v>3.6056504591254463</v>
      </c>
      <c r="X797" s="109">
        <f>'Z Score'!L877</f>
        <v>0.40064850349387632</v>
      </c>
      <c r="Y797" s="109">
        <f>'Z Score'!O877</f>
        <v>7.5923734694016254E-2</v>
      </c>
      <c r="Z797" s="109">
        <f>'Z Score'!R877</f>
        <v>0.22283368972839171</v>
      </c>
      <c r="AA797" s="109">
        <f>'Z Score'!S877</f>
        <v>4.3050563870417307</v>
      </c>
    </row>
    <row r="798" spans="1:27" ht="15" customHeight="1" x14ac:dyDescent="0.3">
      <c r="A798" s="22"/>
      <c r="B798" s="23"/>
      <c r="C798" s="2"/>
      <c r="D798" s="23">
        <v>2021</v>
      </c>
      <c r="E798" s="25">
        <f>'Current Ratio'!G878</f>
        <v>3.5855368784834005</v>
      </c>
      <c r="F798" s="25">
        <f>'Cash Ratio'!G878</f>
        <v>0.22392266746062001</v>
      </c>
      <c r="G798" s="25">
        <f>DAR!G878</f>
        <v>0.81984662012010023</v>
      </c>
      <c r="H798" s="25">
        <f>DER!G878</f>
        <v>4.5508256390563169</v>
      </c>
      <c r="I798" s="25">
        <f>NPM!G878</f>
        <v>5.9417343210157396E-2</v>
      </c>
      <c r="J798" s="25">
        <f>ROA!G878</f>
        <v>1.005607966898437E-2</v>
      </c>
      <c r="K798" s="25">
        <f>ROE!G878</f>
        <v>5.5819544854991403E-2</v>
      </c>
      <c r="L798" s="25">
        <f>KM!E878</f>
        <v>0.8</v>
      </c>
      <c r="M798" s="24">
        <f>KI!E878</f>
        <v>2</v>
      </c>
      <c r="N798" s="108">
        <f>IO!E878</f>
        <v>0</v>
      </c>
      <c r="O798" s="24">
        <f>'BoC Size'!E878</f>
        <v>3</v>
      </c>
      <c r="P798" s="24">
        <f>'TMT E DK'!E878</f>
        <v>0</v>
      </c>
      <c r="Q798" s="24">
        <f>Data!R878</f>
        <v>3</v>
      </c>
      <c r="R798" s="24">
        <f>Data!S878</f>
        <v>4</v>
      </c>
      <c r="S798" s="24">
        <f>'TMT E DK'!E878</f>
        <v>0</v>
      </c>
      <c r="T798" s="24">
        <f>'TMT E DD'!E878</f>
        <v>0</v>
      </c>
      <c r="U798" s="24">
        <f>TA!E878</f>
        <v>1662278000000</v>
      </c>
      <c r="V798" s="109">
        <f>PR!F878</f>
        <v>9.2084730866500465E-3</v>
      </c>
      <c r="W798" s="109">
        <f>'Z Score'!I878</f>
        <v>3.6669792176759843</v>
      </c>
      <c r="X798" s="109">
        <f>'Z Score'!L878</f>
        <v>0.42066382398130753</v>
      </c>
      <c r="Y798" s="109">
        <f>'Z Score'!O878</f>
        <v>7.8746683767697098E-2</v>
      </c>
      <c r="Z798" s="109">
        <f>'Z Score'!R878</f>
        <v>0.23072736318188922</v>
      </c>
      <c r="AA798" s="109">
        <f>'Z Score'!S878</f>
        <v>4.397117088606878</v>
      </c>
    </row>
    <row r="799" spans="1:27" ht="15" customHeight="1" x14ac:dyDescent="0.3">
      <c r="A799" s="22"/>
      <c r="B799" s="23"/>
      <c r="C799" s="2"/>
      <c r="D799" s="23">
        <v>2022</v>
      </c>
      <c r="E799" s="25">
        <f>'Current Ratio'!G879</f>
        <v>3.1541046200840017</v>
      </c>
      <c r="F799" s="25">
        <f>'Cash Ratio'!G879</f>
        <v>0.15135547919053075</v>
      </c>
      <c r="G799" s="25">
        <f>DAR!G879</f>
        <v>0.84868411595075155</v>
      </c>
      <c r="H799" s="25">
        <f>DER!G879</f>
        <v>5.7555610439326532</v>
      </c>
      <c r="I799" s="25">
        <f>NPM!G879</f>
        <v>2.7797043870576747E-2</v>
      </c>
      <c r="J799" s="25">
        <f>ROA!G879</f>
        <v>3.9561336843507502E-3</v>
      </c>
      <c r="K799" s="25">
        <f>ROE!G879</f>
        <v>2.6829498149297578E-2</v>
      </c>
      <c r="L799" s="25">
        <f>KM!E879</f>
        <v>0.8</v>
      </c>
      <c r="M799" s="24">
        <f>KI!E879</f>
        <v>2</v>
      </c>
      <c r="N799" s="108">
        <f>IO!E879</f>
        <v>0</v>
      </c>
      <c r="O799" s="24">
        <f>'BoC Size'!E879</f>
        <v>2</v>
      </c>
      <c r="P799" s="24">
        <f>'TMT E DK'!E879</f>
        <v>0</v>
      </c>
      <c r="Q799" s="24">
        <f>Data!R879</f>
        <v>2</v>
      </c>
      <c r="R799" s="24">
        <f>Data!S879</f>
        <v>4</v>
      </c>
      <c r="S799" s="24">
        <f>'TMT E DK'!E879</f>
        <v>0</v>
      </c>
      <c r="T799" s="24">
        <f>'TMT E DD'!E879</f>
        <v>0</v>
      </c>
      <c r="U799" s="24">
        <f>TA!E879</f>
        <v>2086886000000</v>
      </c>
      <c r="V799" s="109">
        <f>PR!F879</f>
        <v>5.5727752264228742E-2</v>
      </c>
      <c r="W799" s="109">
        <f>'Z Score'!I879</f>
        <v>3.1921251472289334</v>
      </c>
      <c r="X799" s="109">
        <f>'Z Score'!L879</f>
        <v>0.3472847294964842</v>
      </c>
      <c r="Y799" s="109">
        <f>'Z Score'!O879</f>
        <v>2.8423900490970756E-2</v>
      </c>
      <c r="Z799" s="109">
        <f>'Z Score'!R879</f>
        <v>0.18243225846885594</v>
      </c>
      <c r="AA799" s="109">
        <f>'Z Score'!S879</f>
        <v>3.7502660356852444</v>
      </c>
    </row>
    <row r="800" spans="1:27" ht="15" customHeight="1" x14ac:dyDescent="0.3">
      <c r="A800" s="22"/>
      <c r="B800" s="23"/>
      <c r="C800" s="2"/>
      <c r="D800" s="23">
        <v>2023</v>
      </c>
      <c r="E800" s="25">
        <f>'Current Ratio'!G880</f>
        <v>3.2961678206622333</v>
      </c>
      <c r="F800" s="25">
        <f>'Cash Ratio'!G880</f>
        <v>3.4362103242613289E-2</v>
      </c>
      <c r="G800" s="25">
        <f>DAR!G880</f>
        <v>0.79809126746201309</v>
      </c>
      <c r="H800" s="25">
        <f>DER!G880</f>
        <v>3.9527327888696506</v>
      </c>
      <c r="I800" s="25">
        <f>NPM!G880</f>
        <v>5.961449676823638E-2</v>
      </c>
      <c r="J800" s="25">
        <f>ROA!G880</f>
        <v>1.1505113074211506E-2</v>
      </c>
      <c r="K800" s="25">
        <f>ROE!G880</f>
        <v>5.6981750762300235E-2</v>
      </c>
      <c r="L800" s="25">
        <f>KM!E880</f>
        <v>0.8</v>
      </c>
      <c r="M800" s="24">
        <f>KI!E880</f>
        <v>1</v>
      </c>
      <c r="N800" s="108">
        <f>IO!E880</f>
        <v>0</v>
      </c>
      <c r="O800" s="24">
        <f>'BoC Size'!E880</f>
        <v>1</v>
      </c>
      <c r="P800" s="24">
        <f>'TMT E DK'!E880</f>
        <v>0</v>
      </c>
      <c r="Q800" s="24">
        <f>Data!R880</f>
        <v>1</v>
      </c>
      <c r="R800" s="24">
        <f>Data!S880</f>
        <v>3</v>
      </c>
      <c r="S800" s="24">
        <f>'TMT E DK'!E880</f>
        <v>0</v>
      </c>
      <c r="T800" s="24">
        <f>'TMT E DD'!E880</f>
        <v>0</v>
      </c>
      <c r="U800" s="24">
        <f>TA!E880</f>
        <v>1616151000000</v>
      </c>
      <c r="V800" s="109">
        <f>PR!F880</f>
        <v>5.0146459715161108E-2</v>
      </c>
      <c r="W800" s="109">
        <f>'Z Score'!I880</f>
        <v>3.3988462711714433</v>
      </c>
      <c r="X800" s="109">
        <f>'Z Score'!L880</f>
        <v>0.48662451713979693</v>
      </c>
      <c r="Y800" s="109">
        <f>'Z Score'!O880</f>
        <v>9.0299879157331217E-2</v>
      </c>
      <c r="Z800" s="109">
        <f>'Z Score'!R880</f>
        <v>0.26563900371830218</v>
      </c>
      <c r="AA800" s="109">
        <f>'Z Score'!S880</f>
        <v>4.2414096711868732</v>
      </c>
    </row>
    <row r="801" spans="1:27" ht="15" customHeight="1" x14ac:dyDescent="0.3">
      <c r="A801" s="22"/>
      <c r="B801" s="23"/>
      <c r="C801" s="2"/>
      <c r="D801" s="23">
        <v>2024</v>
      </c>
      <c r="E801" s="25">
        <f>'Current Ratio'!G881</f>
        <v>1.7786533411422418</v>
      </c>
      <c r="F801" s="25">
        <f>'Cash Ratio'!G881</f>
        <v>1.8420207439874554E-2</v>
      </c>
      <c r="G801" s="25">
        <f>DAR!G881</f>
        <v>0.82916913106241352</v>
      </c>
      <c r="H801" s="25">
        <f>DER!G881</f>
        <v>5.0049618219568188</v>
      </c>
      <c r="I801" s="25">
        <f>NPM!G881</f>
        <v>-0.29553712536824567</v>
      </c>
      <c r="J801" s="25">
        <f>ROA!G881</f>
        <v>-3.8781026324758903E-2</v>
      </c>
      <c r="K801" s="25">
        <f>ROE!G881</f>
        <v>-0.23408680919298538</v>
      </c>
      <c r="L801" s="25">
        <f>KM!E881</f>
        <v>0.8</v>
      </c>
      <c r="M801" s="24">
        <f>KI!E881</f>
        <v>2</v>
      </c>
      <c r="N801" s="108">
        <f>IO!E881</f>
        <v>0</v>
      </c>
      <c r="O801" s="24">
        <f>'BoC Size'!E881</f>
        <v>3</v>
      </c>
      <c r="P801" s="24">
        <f>'TMT E DK'!E881</f>
        <v>0</v>
      </c>
      <c r="Q801" s="24">
        <f>Data!R881</f>
        <v>3</v>
      </c>
      <c r="R801" s="24">
        <f>Data!S881</f>
        <v>4</v>
      </c>
      <c r="S801" s="24">
        <f>'TMT E DK'!E881</f>
        <v>0</v>
      </c>
      <c r="T801" s="24">
        <f>'TMT E DD'!E881</f>
        <v>0</v>
      </c>
      <c r="U801" s="24">
        <f>TA!E881</f>
        <v>1596064000000</v>
      </c>
      <c r="V801" s="109">
        <f>PR!F881</f>
        <v>-0.32851454293628807</v>
      </c>
      <c r="W801" s="109">
        <f>'Z Score'!I881</f>
        <v>1.6939780860917859</v>
      </c>
      <c r="X801" s="109">
        <f>'Z Score'!L881</f>
        <v>0.36406571415682576</v>
      </c>
      <c r="Y801" s="109">
        <f>'Z Score'!O881</f>
        <v>-0.36945886881729051</v>
      </c>
      <c r="Z801" s="109">
        <f>'Z Score'!R881</f>
        <v>0.20979181007807879</v>
      </c>
      <c r="AA801" s="109">
        <f>'Z Score'!S881</f>
        <v>1.8983767415094004</v>
      </c>
    </row>
    <row r="802" spans="1:27" ht="15" customHeight="1" x14ac:dyDescent="0.3">
      <c r="A802" s="22"/>
      <c r="B802" s="23">
        <v>81</v>
      </c>
      <c r="C802" s="2" t="s">
        <v>82</v>
      </c>
      <c r="D802" s="23">
        <v>2015</v>
      </c>
      <c r="E802" s="25">
        <f>'Current Ratio'!G883</f>
        <v>0</v>
      </c>
      <c r="F802" s="25">
        <f>'Cash Ratio'!G883</f>
        <v>0</v>
      </c>
      <c r="G802" s="25">
        <f>DAR!G883</f>
        <v>0</v>
      </c>
      <c r="H802" s="25">
        <f>DER!G883</f>
        <v>0</v>
      </c>
      <c r="I802" s="25">
        <f>NPM!G883</f>
        <v>0</v>
      </c>
      <c r="J802" s="25">
        <f>ROA!G883</f>
        <v>0</v>
      </c>
      <c r="K802" s="25">
        <f>ROE!G883</f>
        <v>0</v>
      </c>
      <c r="L802" s="25">
        <f>KM!E883</f>
        <v>0</v>
      </c>
      <c r="M802" s="24">
        <f>KI!E883</f>
        <v>0</v>
      </c>
      <c r="N802" s="108">
        <f>IO!E883</f>
        <v>0</v>
      </c>
      <c r="O802" s="24">
        <f>'BoC Size'!E883</f>
        <v>0</v>
      </c>
      <c r="P802" s="24">
        <f>'TMT E DK'!E883</f>
        <v>0</v>
      </c>
      <c r="Q802" s="24">
        <f>Data!R883</f>
        <v>0</v>
      </c>
      <c r="R802" s="24">
        <f>Data!S883</f>
        <v>0</v>
      </c>
      <c r="S802" s="24">
        <f>'TMT E DK'!E883</f>
        <v>0</v>
      </c>
      <c r="T802" s="24">
        <f>'TMT E DD'!E883</f>
        <v>0</v>
      </c>
      <c r="U802" s="24">
        <f>TA!E883</f>
        <v>0</v>
      </c>
      <c r="V802" s="109">
        <f>PR!F883</f>
        <v>0</v>
      </c>
      <c r="W802" s="109">
        <f>'Z Score'!I883</f>
        <v>0</v>
      </c>
      <c r="X802" s="109">
        <f>'Z Score'!L883</f>
        <v>0</v>
      </c>
      <c r="Y802" s="109">
        <f>'Z Score'!O883</f>
        <v>0</v>
      </c>
      <c r="Z802" s="109">
        <f>'Z Score'!R883</f>
        <v>0</v>
      </c>
      <c r="AA802" s="109">
        <f>'Z Score'!S883</f>
        <v>0</v>
      </c>
    </row>
    <row r="803" spans="1:27" ht="15" customHeight="1" x14ac:dyDescent="0.3">
      <c r="A803" s="22"/>
      <c r="B803" s="23"/>
      <c r="C803" s="2"/>
      <c r="D803" s="23">
        <v>2016</v>
      </c>
      <c r="E803" s="25">
        <f>'Current Ratio'!G884</f>
        <v>0</v>
      </c>
      <c r="F803" s="25">
        <f>'Cash Ratio'!G884</f>
        <v>0</v>
      </c>
      <c r="G803" s="25">
        <f>DAR!G884</f>
        <v>0</v>
      </c>
      <c r="H803" s="25">
        <f>DER!G884</f>
        <v>0</v>
      </c>
      <c r="I803" s="25">
        <f>NPM!G884</f>
        <v>0</v>
      </c>
      <c r="J803" s="25">
        <f>ROA!G884</f>
        <v>0</v>
      </c>
      <c r="K803" s="25">
        <f>ROE!G884</f>
        <v>0</v>
      </c>
      <c r="L803" s="25">
        <f>KM!E884</f>
        <v>0</v>
      </c>
      <c r="M803" s="24">
        <f>KI!E884</f>
        <v>0</v>
      </c>
      <c r="N803" s="108">
        <f>IO!E884</f>
        <v>0</v>
      </c>
      <c r="O803" s="24">
        <f>'BoC Size'!E884</f>
        <v>0</v>
      </c>
      <c r="P803" s="24">
        <f>'TMT E DK'!E884</f>
        <v>0</v>
      </c>
      <c r="Q803" s="24">
        <f>Data!R884</f>
        <v>0</v>
      </c>
      <c r="R803" s="24">
        <f>Data!S884</f>
        <v>0</v>
      </c>
      <c r="S803" s="24">
        <f>'TMT E DK'!E884</f>
        <v>0</v>
      </c>
      <c r="T803" s="24">
        <f>'TMT E DD'!E884</f>
        <v>0</v>
      </c>
      <c r="U803" s="24">
        <f>TA!E884</f>
        <v>0</v>
      </c>
      <c r="V803" s="109">
        <f>PR!F884</f>
        <v>0</v>
      </c>
      <c r="W803" s="109">
        <f>'Z Score'!I884</f>
        <v>0</v>
      </c>
      <c r="X803" s="109">
        <f>'Z Score'!L884</f>
        <v>0</v>
      </c>
      <c r="Y803" s="109">
        <f>'Z Score'!O884</f>
        <v>0</v>
      </c>
      <c r="Z803" s="109">
        <f>'Z Score'!R884</f>
        <v>0</v>
      </c>
      <c r="AA803" s="109">
        <f>'Z Score'!S884</f>
        <v>0</v>
      </c>
    </row>
    <row r="804" spans="1:27" ht="15" customHeight="1" x14ac:dyDescent="0.3">
      <c r="A804" s="22"/>
      <c r="B804" s="23"/>
      <c r="C804" s="2"/>
      <c r="D804" s="23">
        <v>2017</v>
      </c>
      <c r="E804" s="25">
        <f>'Current Ratio'!G885</f>
        <v>0</v>
      </c>
      <c r="F804" s="25">
        <f>'Cash Ratio'!G885</f>
        <v>0</v>
      </c>
      <c r="G804" s="25">
        <f>DAR!G885</f>
        <v>0</v>
      </c>
      <c r="H804" s="25">
        <f>DER!G885</f>
        <v>0</v>
      </c>
      <c r="I804" s="25">
        <f>NPM!G885</f>
        <v>0</v>
      </c>
      <c r="J804" s="25">
        <f>ROA!G885</f>
        <v>0</v>
      </c>
      <c r="K804" s="25">
        <f>ROE!G885</f>
        <v>0</v>
      </c>
      <c r="L804" s="25">
        <f>KM!E885</f>
        <v>0</v>
      </c>
      <c r="M804" s="24">
        <f>KI!E885</f>
        <v>0</v>
      </c>
      <c r="N804" s="108">
        <f>IO!E885</f>
        <v>0</v>
      </c>
      <c r="O804" s="24">
        <f>'BoC Size'!E885</f>
        <v>0</v>
      </c>
      <c r="P804" s="24">
        <f>'TMT E DK'!E885</f>
        <v>0</v>
      </c>
      <c r="Q804" s="24">
        <f>Data!R885</f>
        <v>0</v>
      </c>
      <c r="R804" s="24">
        <f>Data!S885</f>
        <v>0</v>
      </c>
      <c r="S804" s="24">
        <f>'TMT E DK'!E885</f>
        <v>0</v>
      </c>
      <c r="T804" s="24">
        <f>'TMT E DD'!E885</f>
        <v>0</v>
      </c>
      <c r="U804" s="24">
        <f>TA!E885</f>
        <v>0</v>
      </c>
      <c r="V804" s="109">
        <f>PR!F885</f>
        <v>0</v>
      </c>
      <c r="W804" s="109">
        <f>'Z Score'!I885</f>
        <v>0</v>
      </c>
      <c r="X804" s="109">
        <f>'Z Score'!L885</f>
        <v>0</v>
      </c>
      <c r="Y804" s="109">
        <f>'Z Score'!O885</f>
        <v>0</v>
      </c>
      <c r="Z804" s="109">
        <f>'Z Score'!R885</f>
        <v>0</v>
      </c>
      <c r="AA804" s="109">
        <f>'Z Score'!S885</f>
        <v>0</v>
      </c>
    </row>
    <row r="805" spans="1:27" ht="15" customHeight="1" x14ac:dyDescent="0.3">
      <c r="A805" s="22"/>
      <c r="B805" s="23"/>
      <c r="C805" s="2"/>
      <c r="D805" s="23">
        <v>2018</v>
      </c>
      <c r="E805" s="25">
        <f>'Current Ratio'!G886</f>
        <v>3.8573676184392709</v>
      </c>
      <c r="F805" s="25">
        <f>'Cash Ratio'!G886</f>
        <v>8.3630970660648701E-2</v>
      </c>
      <c r="G805" s="25">
        <f>DAR!G886</f>
        <v>0.58013218247355247</v>
      </c>
      <c r="H805" s="25">
        <f>DER!G886</f>
        <v>1.3817019506073718</v>
      </c>
      <c r="I805" s="25">
        <f>NPM!G886</f>
        <v>-0.17796944925216385</v>
      </c>
      <c r="J805" s="25">
        <f>ROA!G886</f>
        <v>-3.9280009898150836E-2</v>
      </c>
      <c r="K805" s="25">
        <f>ROE!G886</f>
        <v>-9.3553276194302717E-2</v>
      </c>
      <c r="L805" s="25">
        <f>KM!E886</f>
        <v>0</v>
      </c>
      <c r="M805" s="24">
        <f>KI!E886</f>
        <v>0</v>
      </c>
      <c r="N805" s="108">
        <f>IO!E886</f>
        <v>0</v>
      </c>
      <c r="O805" s="24">
        <f>'BoC Size'!E886</f>
        <v>0</v>
      </c>
      <c r="P805" s="24">
        <f>'TMT E DK'!E886</f>
        <v>0</v>
      </c>
      <c r="Q805" s="24">
        <f>Data!R886</f>
        <v>0</v>
      </c>
      <c r="R805" s="24">
        <f>Data!S886</f>
        <v>0</v>
      </c>
      <c r="S805" s="24">
        <f>'TMT E DK'!E886</f>
        <v>0</v>
      </c>
      <c r="T805" s="24">
        <f>'TMT E DD'!E886</f>
        <v>0</v>
      </c>
      <c r="U805" s="24">
        <f>TA!E886</f>
        <v>628464862000</v>
      </c>
      <c r="V805" s="109">
        <f>PR!F886</f>
        <v>0</v>
      </c>
      <c r="W805" s="109">
        <f>'Z Score'!I886</f>
        <v>3.3992158514026838</v>
      </c>
      <c r="X805" s="109">
        <f>'Z Score'!L886</f>
        <v>0.19500385754263536</v>
      </c>
      <c r="Y805" s="109">
        <f>'Z Score'!O886</f>
        <v>-0.28550730869659985</v>
      </c>
      <c r="Z805" s="109">
        <f>'Z Score'!R886</f>
        <v>0.75993234252758968</v>
      </c>
      <c r="AA805" s="109">
        <f>'Z Score'!S886</f>
        <v>4.0686447427763088</v>
      </c>
    </row>
    <row r="806" spans="1:27" ht="15" customHeight="1" x14ac:dyDescent="0.3">
      <c r="A806" s="22"/>
      <c r="B806" s="23"/>
      <c r="C806" s="2"/>
      <c r="D806" s="23">
        <v>2019</v>
      </c>
      <c r="E806" s="25">
        <f>'Current Ratio'!G887</f>
        <v>2.7009302619816125</v>
      </c>
      <c r="F806" s="25">
        <f>'Cash Ratio'!G887</f>
        <v>2.9373943557270254E-2</v>
      </c>
      <c r="G806" s="25">
        <f>DAR!G887</f>
        <v>0.74421919704469652</v>
      </c>
      <c r="H806" s="25">
        <f>DER!G887</f>
        <v>2.9095975477672789</v>
      </c>
      <c r="I806" s="25">
        <f>NPM!G887</f>
        <v>-1.0714271200113836</v>
      </c>
      <c r="J806" s="25">
        <f>ROA!G887</f>
        <v>-0.19742383986662293</v>
      </c>
      <c r="K806" s="25">
        <f>ROE!G887</f>
        <v>-0.77184776021334889</v>
      </c>
      <c r="L806" s="25">
        <f>KM!E887</f>
        <v>0.62150000000000005</v>
      </c>
      <c r="M806" s="24">
        <f>KI!E887</f>
        <v>3</v>
      </c>
      <c r="N806" s="108">
        <f>IO!E887</f>
        <v>0</v>
      </c>
      <c r="O806" s="24">
        <f>'BoC Size'!E887</f>
        <v>4</v>
      </c>
      <c r="P806" s="24">
        <f>'TMT E DK'!E887</f>
        <v>8</v>
      </c>
      <c r="Q806" s="24">
        <f>Data!R887</f>
        <v>4</v>
      </c>
      <c r="R806" s="24">
        <f>Data!S887</f>
        <v>3</v>
      </c>
      <c r="S806" s="24">
        <f>'TMT E DK'!E887</f>
        <v>8</v>
      </c>
      <c r="T806" s="24">
        <f>'TMT E DD'!E887</f>
        <v>6</v>
      </c>
      <c r="U806" s="24">
        <f>TA!E887</f>
        <v>582236244000</v>
      </c>
      <c r="V806" s="109">
        <f>PR!F887</f>
        <v>-0.22655566446078546</v>
      </c>
      <c r="W806" s="109">
        <f>'Z Score'!I887</f>
        <v>3.0491058105960165</v>
      </c>
      <c r="X806" s="109">
        <f>'Z Score'!L887</f>
        <v>-0.43594454295085067</v>
      </c>
      <c r="Y806" s="109">
        <f>'Z Score'!O887</f>
        <v>-1.3267668837187676</v>
      </c>
      <c r="Z806" s="109">
        <f>'Z Score'!R887</f>
        <v>0.36087465113714184</v>
      </c>
      <c r="AA806" s="109">
        <f>'Z Score'!S887</f>
        <v>1.6472690350635402</v>
      </c>
    </row>
    <row r="807" spans="1:27" ht="15" customHeight="1" x14ac:dyDescent="0.3">
      <c r="A807" s="22"/>
      <c r="B807" s="23"/>
      <c r="C807" s="2"/>
      <c r="D807" s="23">
        <v>2020</v>
      </c>
      <c r="E807" s="25">
        <f>'Current Ratio'!G888</f>
        <v>4.0729376868718452</v>
      </c>
      <c r="F807" s="25">
        <f>'Cash Ratio'!G888</f>
        <v>0.13350383919393102</v>
      </c>
      <c r="G807" s="25">
        <f>DAR!G888</f>
        <v>0.81727373970146111</v>
      </c>
      <c r="H807" s="25">
        <f>DER!G888</f>
        <v>4.4726671380796379</v>
      </c>
      <c r="I807" s="25">
        <f>NPM!G888</f>
        <v>9.2274341888077732E-2</v>
      </c>
      <c r="J807" s="25">
        <f>ROA!G888</f>
        <v>2.1601422654387182E-2</v>
      </c>
      <c r="K807" s="25">
        <f>ROE!G888</f>
        <v>0.11821739589643376</v>
      </c>
      <c r="L807" s="25">
        <f>KM!E888</f>
        <v>0.62150000000000005</v>
      </c>
      <c r="M807" s="24">
        <f>KI!E888</f>
        <v>3</v>
      </c>
      <c r="N807" s="108">
        <f>IO!E888</f>
        <v>0</v>
      </c>
      <c r="O807" s="24">
        <f>'BoC Size'!E888</f>
        <v>4</v>
      </c>
      <c r="P807" s="24">
        <f>'TMT E DK'!E888</f>
        <v>8</v>
      </c>
      <c r="Q807" s="24">
        <f>Data!R888</f>
        <v>4</v>
      </c>
      <c r="R807" s="24">
        <f>Data!S888</f>
        <v>6</v>
      </c>
      <c r="S807" s="24">
        <f>'TMT E DK'!E888</f>
        <v>8</v>
      </c>
      <c r="T807" s="24">
        <f>'TMT E DD'!E888</f>
        <v>8</v>
      </c>
      <c r="U807" s="24">
        <f>TA!E888</f>
        <v>577744818000</v>
      </c>
      <c r="V807" s="109">
        <f>PR!F888</f>
        <v>0.26066954285000454</v>
      </c>
      <c r="W807" s="109">
        <f>'Z Score'!I888</f>
        <v>3.50521153773464</v>
      </c>
      <c r="X807" s="109">
        <f>'Z Score'!L888</f>
        <v>-0.71673491776779552</v>
      </c>
      <c r="Y807" s="109">
        <f>'Z Score'!O888</f>
        <v>0.11395569398252915</v>
      </c>
      <c r="Z807" s="109">
        <f>'Z Score'!R888</f>
        <v>0.23475925383770518</v>
      </c>
      <c r="AA807" s="109">
        <f>'Z Score'!S888</f>
        <v>3.1371915677870783</v>
      </c>
    </row>
    <row r="808" spans="1:27" ht="15" customHeight="1" x14ac:dyDescent="0.3">
      <c r="A808" s="22"/>
      <c r="B808" s="23"/>
      <c r="C808" s="2"/>
      <c r="D808" s="23">
        <v>2021</v>
      </c>
      <c r="E808" s="25">
        <f>'Current Ratio'!G889</f>
        <v>5.6901261597967148</v>
      </c>
      <c r="F808" s="25">
        <f>'Cash Ratio'!G889</f>
        <v>7.0328691968409143E-2</v>
      </c>
      <c r="G808" s="25">
        <f>DAR!G889</f>
        <v>0.81686080094887692</v>
      </c>
      <c r="H808" s="25">
        <f>DER!G889</f>
        <v>4.4603274732071494</v>
      </c>
      <c r="I808" s="25">
        <f>NPM!G889</f>
        <v>8.4310186773973103E-2</v>
      </c>
      <c r="J808" s="25">
        <f>ROA!G889</f>
        <v>2.4841771660538674E-2</v>
      </c>
      <c r="K808" s="25">
        <f>ROE!G889</f>
        <v>0.13564420828117812</v>
      </c>
      <c r="L808" s="25">
        <f>KM!E889</f>
        <v>0.62150000000000005</v>
      </c>
      <c r="M808" s="24">
        <f>KI!E889</f>
        <v>3</v>
      </c>
      <c r="N808" s="108">
        <f>IO!E889</f>
        <v>0</v>
      </c>
      <c r="O808" s="24">
        <f>'BoC Size'!E889</f>
        <v>4</v>
      </c>
      <c r="P808" s="24">
        <f>'TMT E DK'!E889</f>
        <v>8</v>
      </c>
      <c r="Q808" s="24">
        <f>Data!R889</f>
        <v>4</v>
      </c>
      <c r="R808" s="24">
        <f>Data!S889</f>
        <v>6</v>
      </c>
      <c r="S808" s="24">
        <f>'TMT E DK'!E889</f>
        <v>8</v>
      </c>
      <c r="T808" s="24">
        <f>'TMT E DD'!E889</f>
        <v>8</v>
      </c>
      <c r="U808" s="24">
        <f>TA!E889</f>
        <v>666903763000</v>
      </c>
      <c r="V808" s="109">
        <f>PR!F889</f>
        <v>0.45287491450003603</v>
      </c>
      <c r="W808" s="109">
        <f>'Z Score'!I889</f>
        <v>3.6184835108810147</v>
      </c>
      <c r="X808" s="109">
        <f>'Z Score'!L889</f>
        <v>-0.54555817097706194</v>
      </c>
      <c r="Y808" s="109">
        <f>'Z Score'!O889</f>
        <v>0.18520019009099517</v>
      </c>
      <c r="Z808" s="109">
        <f>'Z Score'!R889</f>
        <v>0.23540872420405695</v>
      </c>
      <c r="AA808" s="109">
        <f>'Z Score'!S889</f>
        <v>3.4935342541990044</v>
      </c>
    </row>
    <row r="809" spans="1:27" ht="15" customHeight="1" x14ac:dyDescent="0.3">
      <c r="A809" s="22"/>
      <c r="B809" s="23"/>
      <c r="C809" s="2"/>
      <c r="D809" s="23">
        <v>2022</v>
      </c>
      <c r="E809" s="25">
        <f>'Current Ratio'!G890</f>
        <v>12.22959107457603</v>
      </c>
      <c r="F809" s="25">
        <f>'Cash Ratio'!G890</f>
        <v>0.22208383492913086</v>
      </c>
      <c r="G809" s="25">
        <f>DAR!G890</f>
        <v>0.77491493737468442</v>
      </c>
      <c r="H809" s="25">
        <f>DER!G890</f>
        <v>3.4427648300439846</v>
      </c>
      <c r="I809" s="25">
        <f>NPM!G890</f>
        <v>-3.6765499005672456E-2</v>
      </c>
      <c r="J809" s="25">
        <f>ROA!G890</f>
        <v>-9.3027678029399836E-3</v>
      </c>
      <c r="K809" s="25">
        <f>ROE!G890</f>
        <v>-4.1330009616967305E-2</v>
      </c>
      <c r="L809" s="25">
        <f>KM!E890</f>
        <v>0.62580000000000002</v>
      </c>
      <c r="M809" s="24">
        <f>KI!E890</f>
        <v>3</v>
      </c>
      <c r="N809" s="108">
        <f>IO!E890</f>
        <v>0</v>
      </c>
      <c r="O809" s="24">
        <f>'BoC Size'!E890</f>
        <v>4</v>
      </c>
      <c r="P809" s="24">
        <f>'TMT E DK'!E890</f>
        <v>8</v>
      </c>
      <c r="Q809" s="24">
        <f>Data!R890</f>
        <v>4</v>
      </c>
      <c r="R809" s="24">
        <f>Data!S890</f>
        <v>6</v>
      </c>
      <c r="S809" s="24">
        <f>'TMT E DK'!E890</f>
        <v>8</v>
      </c>
      <c r="T809" s="24">
        <f>'TMT E DD'!E890</f>
        <v>8</v>
      </c>
      <c r="U809" s="24">
        <f>TA!E890</f>
        <v>933279448000</v>
      </c>
      <c r="V809" s="109">
        <f>PR!F890</f>
        <v>0.20175997714825616</v>
      </c>
      <c r="W809" s="109">
        <f>'Z Score'!I890</f>
        <v>4.6197140581199214</v>
      </c>
      <c r="X809" s="109">
        <f>'Z Score'!L890</f>
        <v>-0.41593649851807296</v>
      </c>
      <c r="Y809" s="109">
        <f>'Z Score'!O890</f>
        <v>-5.0767611031760335E-2</v>
      </c>
      <c r="Z809" s="109">
        <f>'Z Score'!R890</f>
        <v>0.30498743069435424</v>
      </c>
      <c r="AA809" s="109">
        <f>'Z Score'!S890</f>
        <v>4.4579973792644418</v>
      </c>
    </row>
    <row r="810" spans="1:27" ht="15" customHeight="1" x14ac:dyDescent="0.3">
      <c r="A810" s="22"/>
      <c r="B810" s="23"/>
      <c r="C810" s="2"/>
      <c r="D810" s="23">
        <v>2023</v>
      </c>
      <c r="E810" s="25">
        <f>'Current Ratio'!G891</f>
        <v>18.251035208739619</v>
      </c>
      <c r="F810" s="25">
        <f>'Cash Ratio'!G891</f>
        <v>0.32499032354416857</v>
      </c>
      <c r="G810" s="25">
        <f>DAR!G891</f>
        <v>0.78337913386090063</v>
      </c>
      <c r="H810" s="25">
        <f>DER!G891</f>
        <v>3.6180348570839334</v>
      </c>
      <c r="I810" s="25">
        <f>NPM!G891</f>
        <v>2.2326678383933578E-2</v>
      </c>
      <c r="J810" s="25">
        <f>ROA!G891</f>
        <v>5.9263053162386782E-3</v>
      </c>
      <c r="K810" s="25">
        <f>ROE!G891</f>
        <v>2.7370628449341104E-2</v>
      </c>
      <c r="L810" s="25">
        <f>KM!E891</f>
        <v>0.62580000000000002</v>
      </c>
      <c r="M810" s="24">
        <f>KI!E891</f>
        <v>2</v>
      </c>
      <c r="N810" s="108">
        <f>IO!E891</f>
        <v>0</v>
      </c>
      <c r="O810" s="24">
        <f>'BoC Size'!E891</f>
        <v>3</v>
      </c>
      <c r="P810" s="24">
        <f>'TMT E DK'!E891</f>
        <v>5</v>
      </c>
      <c r="Q810" s="24">
        <f>Data!R891</f>
        <v>3</v>
      </c>
      <c r="R810" s="24">
        <f>Data!S891</f>
        <v>5</v>
      </c>
      <c r="S810" s="24">
        <f>'TMT E DK'!E891</f>
        <v>5</v>
      </c>
      <c r="T810" s="24">
        <f>'TMT E DD'!E891</f>
        <v>9</v>
      </c>
      <c r="U810" s="24">
        <f>TA!E891</f>
        <v>997499063000</v>
      </c>
      <c r="V810" s="109">
        <f>PR!F891</f>
        <v>0.1212152177611542</v>
      </c>
      <c r="W810" s="109">
        <f>'Z Score'!I891</f>
        <v>4.4678711944614626</v>
      </c>
      <c r="X810" s="109">
        <f>'Z Score'!L891</f>
        <v>-0.37288688929826092</v>
      </c>
      <c r="Y810" s="109">
        <f>'Z Score'!O891</f>
        <v>9.8323629202246177E-3</v>
      </c>
      <c r="Z810" s="109">
        <f>'Z Score'!R891</f>
        <v>0.29021279271098011</v>
      </c>
      <c r="AA810" s="109">
        <f>'Z Score'!S891</f>
        <v>4.3950294607944063</v>
      </c>
    </row>
    <row r="811" spans="1:27" ht="15" customHeight="1" x14ac:dyDescent="0.3">
      <c r="A811" s="22"/>
      <c r="B811" s="23"/>
      <c r="C811" s="2"/>
      <c r="D811" s="23">
        <v>2024</v>
      </c>
      <c r="E811" s="25">
        <f>'Current Ratio'!G892</f>
        <v>8.2321053743134645</v>
      </c>
      <c r="F811" s="25">
        <f>'Cash Ratio'!G892</f>
        <v>0.14360398307062636</v>
      </c>
      <c r="G811" s="25">
        <f>DAR!G892</f>
        <v>0.79151730631710815</v>
      </c>
      <c r="H811" s="25">
        <f>DER!G892</f>
        <v>3.7965612029218527</v>
      </c>
      <c r="I811" s="25">
        <f>NPM!G892</f>
        <v>2.6196906578079372E-2</v>
      </c>
      <c r="J811" s="25">
        <f>ROA!G892</f>
        <v>6.7093830692509064E-3</v>
      </c>
      <c r="K811" s="25">
        <f>ROE!G892</f>
        <v>3.2181966525509642E-2</v>
      </c>
      <c r="L811" s="25">
        <f>KM!E892</f>
        <v>0.62580000000000002</v>
      </c>
      <c r="M811" s="24">
        <f>KI!E892</f>
        <v>2</v>
      </c>
      <c r="N811" s="108">
        <f>IO!E892</f>
        <v>0</v>
      </c>
      <c r="O811" s="24">
        <f>'BoC Size'!E892</f>
        <v>3</v>
      </c>
      <c r="P811" s="24">
        <f>'TMT E DK'!E892</f>
        <v>5</v>
      </c>
      <c r="Q811" s="24">
        <f>Data!R892</f>
        <v>3</v>
      </c>
      <c r="R811" s="24">
        <f>Data!S892</f>
        <v>5</v>
      </c>
      <c r="S811" s="24">
        <f>'TMT E DK'!E892</f>
        <v>5</v>
      </c>
      <c r="T811" s="24">
        <f>'TMT E DD'!E892</f>
        <v>9</v>
      </c>
      <c r="U811" s="24">
        <f>TA!E892</f>
        <v>1071029173000</v>
      </c>
      <c r="V811" s="109">
        <f>PR!F892</f>
        <v>3.6004103164738843E-2</v>
      </c>
      <c r="W811" s="109">
        <f>'Z Score'!I892</f>
        <v>4.1870510820903659</v>
      </c>
      <c r="X811" s="109">
        <f>'Z Score'!L892</f>
        <v>-0.3261706254569034</v>
      </c>
      <c r="Y811" s="109">
        <f>'Z Score'!O892</f>
        <v>3.6533900538300274E-2</v>
      </c>
      <c r="Z811" s="109">
        <f>'Z Score'!R892</f>
        <v>0.27656606699555236</v>
      </c>
      <c r="AA811" s="109">
        <f>'Z Score'!S892</f>
        <v>4.1739804241673149</v>
      </c>
    </row>
    <row r="812" spans="1:27" ht="15" customHeight="1" x14ac:dyDescent="0.3">
      <c r="A812" s="22"/>
      <c r="B812" s="23">
        <v>82</v>
      </c>
      <c r="C812" s="2" t="s">
        <v>83</v>
      </c>
      <c r="D812" s="23">
        <v>2015</v>
      </c>
      <c r="E812" s="25">
        <f>'Current Ratio'!G894</f>
        <v>0</v>
      </c>
      <c r="F812" s="25">
        <f>'Cash Ratio'!G894</f>
        <v>0</v>
      </c>
      <c r="G812" s="25">
        <f>DAR!G894</f>
        <v>0</v>
      </c>
      <c r="H812" s="25">
        <f>DER!G894</f>
        <v>0</v>
      </c>
      <c r="I812" s="25">
        <f>NPM!G894</f>
        <v>0</v>
      </c>
      <c r="J812" s="25">
        <f>ROA!G894</f>
        <v>0</v>
      </c>
      <c r="K812" s="25">
        <f>ROE!G894</f>
        <v>0</v>
      </c>
      <c r="L812" s="25">
        <f>KM!E894</f>
        <v>0</v>
      </c>
      <c r="M812" s="24">
        <f>KI!E894</f>
        <v>0</v>
      </c>
      <c r="N812" s="108">
        <f>IO!E894</f>
        <v>0</v>
      </c>
      <c r="O812" s="24">
        <f>'BoC Size'!E894</f>
        <v>0</v>
      </c>
      <c r="P812" s="24">
        <f>'TMT E DK'!E894</f>
        <v>0</v>
      </c>
      <c r="Q812" s="24">
        <f>Data!R894</f>
        <v>0</v>
      </c>
      <c r="R812" s="24">
        <f>Data!S894</f>
        <v>0</v>
      </c>
      <c r="S812" s="24">
        <f>'TMT E DK'!E894</f>
        <v>0</v>
      </c>
      <c r="T812" s="24">
        <f>'TMT E DD'!E894</f>
        <v>0</v>
      </c>
      <c r="U812" s="24">
        <f>TA!E894</f>
        <v>0</v>
      </c>
      <c r="V812" s="109">
        <f>PR!F894</f>
        <v>0</v>
      </c>
      <c r="W812" s="109">
        <f>'Z Score'!I894</f>
        <v>0</v>
      </c>
      <c r="X812" s="109">
        <f>'Z Score'!L894</f>
        <v>0</v>
      </c>
      <c r="Y812" s="109">
        <f>'Z Score'!O894</f>
        <v>0</v>
      </c>
      <c r="Z812" s="109">
        <f>'Z Score'!R894</f>
        <v>0</v>
      </c>
      <c r="AA812" s="109">
        <f>'Z Score'!S894</f>
        <v>0</v>
      </c>
    </row>
    <row r="813" spans="1:27" ht="15" customHeight="1" x14ac:dyDescent="0.3">
      <c r="A813" s="22"/>
      <c r="B813" s="23"/>
      <c r="C813" s="2"/>
      <c r="D813" s="23">
        <v>2016</v>
      </c>
      <c r="E813" s="25">
        <f>'Current Ratio'!G895</f>
        <v>0</v>
      </c>
      <c r="F813" s="25">
        <f>'Cash Ratio'!G895</f>
        <v>0</v>
      </c>
      <c r="G813" s="25">
        <f>DAR!G895</f>
        <v>0</v>
      </c>
      <c r="H813" s="25">
        <f>DER!G895</f>
        <v>0</v>
      </c>
      <c r="I813" s="25">
        <f>NPM!G895</f>
        <v>0</v>
      </c>
      <c r="J813" s="25">
        <f>ROA!G895</f>
        <v>0</v>
      </c>
      <c r="K813" s="25">
        <f>ROE!G895</f>
        <v>0</v>
      </c>
      <c r="L813" s="25">
        <f>KM!E895</f>
        <v>0</v>
      </c>
      <c r="M813" s="24">
        <f>KI!E895</f>
        <v>0</v>
      </c>
      <c r="N813" s="108">
        <f>IO!E895</f>
        <v>0</v>
      </c>
      <c r="O813" s="24">
        <f>'BoC Size'!E895</f>
        <v>0</v>
      </c>
      <c r="P813" s="24">
        <f>'TMT E DK'!E895</f>
        <v>0</v>
      </c>
      <c r="Q813" s="24">
        <f>Data!R895</f>
        <v>0</v>
      </c>
      <c r="R813" s="24">
        <f>Data!S895</f>
        <v>0</v>
      </c>
      <c r="S813" s="24">
        <f>'TMT E DK'!E895</f>
        <v>0</v>
      </c>
      <c r="T813" s="24">
        <f>'TMT E DD'!E895</f>
        <v>0</v>
      </c>
      <c r="U813" s="24">
        <f>TA!E895</f>
        <v>0</v>
      </c>
      <c r="V813" s="109">
        <f>PR!F895</f>
        <v>0</v>
      </c>
      <c r="W813" s="109">
        <f>'Z Score'!I895</f>
        <v>0</v>
      </c>
      <c r="X813" s="109">
        <f>'Z Score'!L895</f>
        <v>0</v>
      </c>
      <c r="Y813" s="109">
        <f>'Z Score'!O895</f>
        <v>0</v>
      </c>
      <c r="Z813" s="109">
        <f>'Z Score'!R895</f>
        <v>0</v>
      </c>
      <c r="AA813" s="109">
        <f>'Z Score'!S895</f>
        <v>0</v>
      </c>
    </row>
    <row r="814" spans="1:27" ht="15" customHeight="1" x14ac:dyDescent="0.3">
      <c r="A814" s="22"/>
      <c r="B814" s="23"/>
      <c r="C814" s="2"/>
      <c r="D814" s="23">
        <v>2017</v>
      </c>
      <c r="E814" s="25">
        <f>'Current Ratio'!G896</f>
        <v>0</v>
      </c>
      <c r="F814" s="25">
        <f>'Cash Ratio'!G896</f>
        <v>0</v>
      </c>
      <c r="G814" s="25">
        <f>DAR!G896</f>
        <v>0</v>
      </c>
      <c r="H814" s="25">
        <f>DER!G896</f>
        <v>0</v>
      </c>
      <c r="I814" s="25">
        <f>NPM!G896</f>
        <v>0</v>
      </c>
      <c r="J814" s="25">
        <f>ROA!G896</f>
        <v>0</v>
      </c>
      <c r="K814" s="25">
        <f>ROE!G896</f>
        <v>0</v>
      </c>
      <c r="L814" s="25">
        <f>KM!E896</f>
        <v>0</v>
      </c>
      <c r="M814" s="24">
        <f>KI!E896</f>
        <v>0</v>
      </c>
      <c r="N814" s="108">
        <f>IO!E896</f>
        <v>0</v>
      </c>
      <c r="O814" s="24">
        <f>'BoC Size'!E896</f>
        <v>0</v>
      </c>
      <c r="P814" s="24">
        <f>'TMT E DK'!E896</f>
        <v>0</v>
      </c>
      <c r="Q814" s="24">
        <f>Data!R896</f>
        <v>0</v>
      </c>
      <c r="R814" s="24">
        <f>Data!S896</f>
        <v>0</v>
      </c>
      <c r="S814" s="24">
        <f>'TMT E DK'!E896</f>
        <v>0</v>
      </c>
      <c r="T814" s="24">
        <f>'TMT E DD'!E896</f>
        <v>0</v>
      </c>
      <c r="U814" s="24">
        <f>TA!E896</f>
        <v>0</v>
      </c>
      <c r="V814" s="109">
        <f>PR!F896</f>
        <v>0</v>
      </c>
      <c r="W814" s="109">
        <f>'Z Score'!I896</f>
        <v>0</v>
      </c>
      <c r="X814" s="109">
        <f>'Z Score'!L896</f>
        <v>0</v>
      </c>
      <c r="Y814" s="109">
        <f>'Z Score'!O896</f>
        <v>0</v>
      </c>
      <c r="Z814" s="109">
        <f>'Z Score'!R896</f>
        <v>0</v>
      </c>
      <c r="AA814" s="109">
        <f>'Z Score'!S896</f>
        <v>0</v>
      </c>
    </row>
    <row r="815" spans="1:27" ht="15" customHeight="1" x14ac:dyDescent="0.3">
      <c r="A815" s="22"/>
      <c r="B815" s="23"/>
      <c r="C815" s="2"/>
      <c r="D815" s="23">
        <v>2018</v>
      </c>
      <c r="E815" s="25">
        <f>'Current Ratio'!G897</f>
        <v>0</v>
      </c>
      <c r="F815" s="25">
        <f>'Cash Ratio'!G897</f>
        <v>0</v>
      </c>
      <c r="G815" s="25">
        <f>DAR!G897</f>
        <v>0</v>
      </c>
      <c r="H815" s="25">
        <f>DER!G897</f>
        <v>0</v>
      </c>
      <c r="I815" s="25">
        <f>NPM!G897</f>
        <v>0</v>
      </c>
      <c r="J815" s="25">
        <f>ROA!G897</f>
        <v>0</v>
      </c>
      <c r="K815" s="25">
        <f>ROE!G897</f>
        <v>0</v>
      </c>
      <c r="L815" s="25">
        <f>KM!E897</f>
        <v>0</v>
      </c>
      <c r="M815" s="24">
        <f>KI!E897</f>
        <v>0</v>
      </c>
      <c r="N815" s="108">
        <f>IO!E897</f>
        <v>0</v>
      </c>
      <c r="O815" s="24">
        <f>'BoC Size'!E897</f>
        <v>0</v>
      </c>
      <c r="P815" s="24">
        <f>'TMT E DK'!E897</f>
        <v>0</v>
      </c>
      <c r="Q815" s="24">
        <f>Data!R897</f>
        <v>0</v>
      </c>
      <c r="R815" s="24">
        <f>Data!S897</f>
        <v>0</v>
      </c>
      <c r="S815" s="24">
        <f>'TMT E DK'!E897</f>
        <v>0</v>
      </c>
      <c r="T815" s="24">
        <f>'TMT E DD'!E897</f>
        <v>0</v>
      </c>
      <c r="U815" s="24">
        <f>TA!E897</f>
        <v>0</v>
      </c>
      <c r="V815" s="109">
        <f>PR!F897</f>
        <v>0</v>
      </c>
      <c r="W815" s="109">
        <f>'Z Score'!I897</f>
        <v>0</v>
      </c>
      <c r="X815" s="109">
        <f>'Z Score'!L897</f>
        <v>0</v>
      </c>
      <c r="Y815" s="109">
        <f>'Z Score'!O897</f>
        <v>0</v>
      </c>
      <c r="Z815" s="109">
        <f>'Z Score'!R897</f>
        <v>0</v>
      </c>
      <c r="AA815" s="109">
        <f>'Z Score'!S897</f>
        <v>0</v>
      </c>
    </row>
    <row r="816" spans="1:27" ht="15" customHeight="1" x14ac:dyDescent="0.3">
      <c r="A816" s="22"/>
      <c r="B816" s="23"/>
      <c r="C816" s="2"/>
      <c r="D816" s="23">
        <v>2019</v>
      </c>
      <c r="E816" s="25">
        <f>'Current Ratio'!G898</f>
        <v>0</v>
      </c>
      <c r="F816" s="25">
        <f>'Cash Ratio'!G898</f>
        <v>0</v>
      </c>
      <c r="G816" s="25">
        <f>DAR!G898</f>
        <v>0</v>
      </c>
      <c r="H816" s="25">
        <f>DER!G898</f>
        <v>0</v>
      </c>
      <c r="I816" s="25">
        <f>NPM!G898</f>
        <v>0</v>
      </c>
      <c r="J816" s="25">
        <f>ROA!G898</f>
        <v>0</v>
      </c>
      <c r="K816" s="25">
        <f>ROE!G898</f>
        <v>0</v>
      </c>
      <c r="L816" s="25">
        <f>KM!E898</f>
        <v>0</v>
      </c>
      <c r="M816" s="24">
        <f>KI!E898</f>
        <v>0</v>
      </c>
      <c r="N816" s="108">
        <f>IO!E898</f>
        <v>0</v>
      </c>
      <c r="O816" s="24">
        <f>'BoC Size'!E898</f>
        <v>0</v>
      </c>
      <c r="P816" s="24">
        <f>'TMT E DK'!E898</f>
        <v>0</v>
      </c>
      <c r="Q816" s="24">
        <f>Data!R898</f>
        <v>0</v>
      </c>
      <c r="R816" s="24">
        <f>Data!S898</f>
        <v>0</v>
      </c>
      <c r="S816" s="24">
        <f>'TMT E DK'!E898</f>
        <v>0</v>
      </c>
      <c r="T816" s="24">
        <f>'TMT E DD'!E898</f>
        <v>0</v>
      </c>
      <c r="U816" s="24">
        <f>TA!E898</f>
        <v>0</v>
      </c>
      <c r="V816" s="109">
        <f>PR!F898</f>
        <v>0</v>
      </c>
      <c r="W816" s="109">
        <f>'Z Score'!I898</f>
        <v>0</v>
      </c>
      <c r="X816" s="109">
        <f>'Z Score'!L898</f>
        <v>0</v>
      </c>
      <c r="Y816" s="109">
        <f>'Z Score'!O898</f>
        <v>0</v>
      </c>
      <c r="Z816" s="109">
        <f>'Z Score'!R898</f>
        <v>0</v>
      </c>
      <c r="AA816" s="109">
        <f>'Z Score'!S898</f>
        <v>0</v>
      </c>
    </row>
    <row r="817" spans="1:27" ht="15" customHeight="1" x14ac:dyDescent="0.3">
      <c r="A817" s="22"/>
      <c r="B817" s="23"/>
      <c r="C817" s="2"/>
      <c r="D817" s="23">
        <v>2020</v>
      </c>
      <c r="E817" s="25">
        <f>'Current Ratio'!G899</f>
        <v>1.7411135157570188</v>
      </c>
      <c r="F817" s="25">
        <f>'Cash Ratio'!G899</f>
        <v>9.9656102694850437E-2</v>
      </c>
      <c r="G817" s="25">
        <f>DAR!G899</f>
        <v>0.42197823443896237</v>
      </c>
      <c r="H817" s="25">
        <f>DER!G899</f>
        <v>0.88866442727052064</v>
      </c>
      <c r="I817" s="25">
        <f>NPM!G899</f>
        <v>3.2410015266178477E-3</v>
      </c>
      <c r="J817" s="25">
        <f>ROA!G899</f>
        <v>1.4760723833177794E-3</v>
      </c>
      <c r="K817" s="25">
        <f>ROE!G899</f>
        <v>3.1085324125186943E-3</v>
      </c>
      <c r="L817" s="25">
        <f>KM!E899</f>
        <v>0</v>
      </c>
      <c r="M817" s="24">
        <f>KI!E899</f>
        <v>0</v>
      </c>
      <c r="N817" s="108">
        <f>IO!E899</f>
        <v>0</v>
      </c>
      <c r="O817" s="24">
        <f>'BoC Size'!E899</f>
        <v>0</v>
      </c>
      <c r="P817" s="24">
        <f>'TMT E DK'!E899</f>
        <v>0</v>
      </c>
      <c r="Q817" s="24">
        <f>Data!R899</f>
        <v>0</v>
      </c>
      <c r="R817" s="24">
        <f>Data!S899</f>
        <v>0</v>
      </c>
      <c r="S817" s="24">
        <f>'TMT E DK'!E899</f>
        <v>0</v>
      </c>
      <c r="T817" s="24">
        <f>'TMT E DD'!E899</f>
        <v>0</v>
      </c>
      <c r="U817" s="24">
        <f>TA!E899</f>
        <v>268957000000</v>
      </c>
      <c r="V817" s="109">
        <f>PR!F899</f>
        <v>0</v>
      </c>
      <c r="W817" s="109">
        <f>'Z Score'!I899</f>
        <v>1.2194526262562417</v>
      </c>
      <c r="X817" s="109">
        <f>'Z Score'!L899</f>
        <v>0.407153039333425</v>
      </c>
      <c r="Y817" s="109">
        <f>'Z Score'!O899</f>
        <v>5.7216581089170387E-3</v>
      </c>
      <c r="Z817" s="109">
        <f>'Z Score'!R899</f>
        <v>1.1815483637901563</v>
      </c>
      <c r="AA817" s="109">
        <f>'Z Score'!S899</f>
        <v>2.8138756874887401</v>
      </c>
    </row>
    <row r="818" spans="1:27" ht="15" customHeight="1" x14ac:dyDescent="0.3">
      <c r="A818" s="22"/>
      <c r="B818" s="23"/>
      <c r="C818" s="2"/>
      <c r="D818" s="23">
        <v>2021</v>
      </c>
      <c r="E818" s="25">
        <f>'Current Ratio'!G900</f>
        <v>1.5925949123576202</v>
      </c>
      <c r="F818" s="25">
        <f>'Cash Ratio'!G900</f>
        <v>0.33962652445844255</v>
      </c>
      <c r="G818" s="25">
        <f>DAR!G900</f>
        <v>0.48067697982309843</v>
      </c>
      <c r="H818" s="25">
        <f>DER!G900</f>
        <v>1.1167121677326548</v>
      </c>
      <c r="I818" s="25">
        <f>NPM!G900</f>
        <v>1.1000124686551862E-2</v>
      </c>
      <c r="J818" s="25">
        <f>ROA!G900</f>
        <v>5.2864081386716734E-3</v>
      </c>
      <c r="K818" s="25">
        <f>ROE!G900</f>
        <v>1.2281420870681587E-2</v>
      </c>
      <c r="L818" s="25">
        <f>KM!E900</f>
        <v>0.9919</v>
      </c>
      <c r="M818" s="24">
        <f>KI!E900</f>
        <v>1</v>
      </c>
      <c r="N818" s="108">
        <f>IO!E900</f>
        <v>0</v>
      </c>
      <c r="O818" s="24">
        <f>'BoC Size'!E900</f>
        <v>3</v>
      </c>
      <c r="P818" s="24">
        <f>'TMT E DK'!E900</f>
        <v>8</v>
      </c>
      <c r="Q818" s="24">
        <f>Data!R900</f>
        <v>3</v>
      </c>
      <c r="R818" s="24">
        <f>Data!S900</f>
        <v>3</v>
      </c>
      <c r="S818" s="24">
        <f>'TMT E DK'!E900</f>
        <v>8</v>
      </c>
      <c r="T818" s="24">
        <f>'TMT E DD'!E900</f>
        <v>0</v>
      </c>
      <c r="U818" s="24">
        <f>TA!E900</f>
        <v>300393000000</v>
      </c>
      <c r="V818" s="109">
        <f>PR!F900</f>
        <v>0.17853265084535444</v>
      </c>
      <c r="W818" s="109">
        <f>'Z Score'!I900</f>
        <v>1.4463127969027241</v>
      </c>
      <c r="X818" s="109">
        <f>'Z Score'!L900</f>
        <v>0.3876820698218667</v>
      </c>
      <c r="Y818" s="109">
        <f>'Z Score'!O900</f>
        <v>1.5279184268608123E-2</v>
      </c>
      <c r="Z818" s="109">
        <f>'Z Score'!R900</f>
        <v>0.94026019447060782</v>
      </c>
      <c r="AA818" s="109">
        <f>'Z Score'!S900</f>
        <v>2.7895342454638068</v>
      </c>
    </row>
    <row r="819" spans="1:27" ht="15" customHeight="1" x14ac:dyDescent="0.3">
      <c r="A819" s="22"/>
      <c r="B819" s="23"/>
      <c r="C819" s="2"/>
      <c r="D819" s="23">
        <v>2022</v>
      </c>
      <c r="E819" s="25">
        <f>'Current Ratio'!G901</f>
        <v>2.4651520985752793</v>
      </c>
      <c r="F819" s="25">
        <f>'Cash Ratio'!G901</f>
        <v>0.83467737499312389</v>
      </c>
      <c r="G819" s="25">
        <f>DAR!G901</f>
        <v>0.50095967573689382</v>
      </c>
      <c r="H819" s="25">
        <f>DER!G901</f>
        <v>1.1942831970328898</v>
      </c>
      <c r="I819" s="25">
        <f>NPM!G901</f>
        <v>1.6342746098873359E-2</v>
      </c>
      <c r="J819" s="25">
        <f>ROA!G901</f>
        <v>1.9199475456740084E-2</v>
      </c>
      <c r="K819" s="25">
        <f>ROE!G901</f>
        <v>4.5771370512210197E-2</v>
      </c>
      <c r="L819" s="25">
        <f>KM!E901</f>
        <v>0.99229999999999996</v>
      </c>
      <c r="M819" s="24">
        <f>KI!E901</f>
        <v>2</v>
      </c>
      <c r="N819" s="108">
        <f>IO!E901</f>
        <v>0</v>
      </c>
      <c r="O819" s="24">
        <f>'BoC Size'!E901</f>
        <v>3</v>
      </c>
      <c r="P819" s="24">
        <f>'TMT E DK'!E901</f>
        <v>8</v>
      </c>
      <c r="Q819" s="24">
        <f>Data!R901</f>
        <v>3</v>
      </c>
      <c r="R819" s="24">
        <f>Data!S901</f>
        <v>5</v>
      </c>
      <c r="S819" s="24">
        <f>'TMT E DK'!E901</f>
        <v>8</v>
      </c>
      <c r="T819" s="24">
        <f>'TMT E DD'!E901</f>
        <v>0</v>
      </c>
      <c r="U819" s="24">
        <f>TA!E901</f>
        <v>335530000000</v>
      </c>
      <c r="V819" s="109">
        <f>PR!F901</f>
        <v>1.7305038722101385</v>
      </c>
      <c r="W819" s="109">
        <f>'Z Score'!I901</f>
        <v>2.6037254492891839</v>
      </c>
      <c r="X819" s="109">
        <f>'Z Score'!L901</f>
        <v>0.38081751259201857</v>
      </c>
      <c r="Y819" s="109">
        <f>'Z Score'!O901</f>
        <v>8.0332369683783864E-2</v>
      </c>
      <c r="Z819" s="109">
        <f>'Z Score'!R901</f>
        <v>0.8791884559781542</v>
      </c>
      <c r="AA819" s="109">
        <f>'Z Score'!S901</f>
        <v>3.9440637875431408</v>
      </c>
    </row>
    <row r="820" spans="1:27" ht="15" customHeight="1" x14ac:dyDescent="0.3">
      <c r="A820" s="22"/>
      <c r="B820" s="23"/>
      <c r="C820" s="2"/>
      <c r="D820" s="23">
        <v>2023</v>
      </c>
      <c r="E820" s="25">
        <f>'Current Ratio'!G902</f>
        <v>5.9153883029721959</v>
      </c>
      <c r="F820" s="25">
        <f>'Cash Ratio'!G902</f>
        <v>4.8376228427612658</v>
      </c>
      <c r="G820" s="25">
        <f>DAR!G902</f>
        <v>0.61297049887134947</v>
      </c>
      <c r="H820" s="25">
        <f>DER!G902</f>
        <v>1.8303373079502054</v>
      </c>
      <c r="I820" s="25">
        <f>NPM!G902</f>
        <v>8.8920300977918074E-2</v>
      </c>
      <c r="J820" s="25">
        <f>ROA!G902</f>
        <v>6.0066469315545698E-2</v>
      </c>
      <c r="K820" s="25">
        <f>ROE!G902</f>
        <v>0.17935920235561645</v>
      </c>
      <c r="L820" s="25">
        <f>KM!E902</f>
        <v>0.99229999999999996</v>
      </c>
      <c r="M820" s="24">
        <f>KI!E902</f>
        <v>2</v>
      </c>
      <c r="N820" s="108">
        <f>IO!E902</f>
        <v>0</v>
      </c>
      <c r="O820" s="24">
        <f>'BoC Size'!E902</f>
        <v>3</v>
      </c>
      <c r="P820" s="24">
        <f>'TMT E DK'!E902</f>
        <v>8</v>
      </c>
      <c r="Q820" s="24">
        <f>Data!R902</f>
        <v>3</v>
      </c>
      <c r="R820" s="24">
        <f>Data!S902</f>
        <v>6</v>
      </c>
      <c r="S820" s="24">
        <f>'TMT E DK'!E902</f>
        <v>8</v>
      </c>
      <c r="T820" s="24">
        <f>'TMT E DD'!E902</f>
        <v>0</v>
      </c>
      <c r="U820" s="24">
        <f>TA!E902</f>
        <v>512116000000</v>
      </c>
      <c r="V820" s="109">
        <f>PR!F902</f>
        <v>-0.12238540163021557</v>
      </c>
      <c r="W820" s="109">
        <f>'Z Score'!I902</f>
        <v>4.2029827617180473</v>
      </c>
      <c r="X820" s="109">
        <f>'Z Score'!L902</f>
        <v>0.44018491904177959</v>
      </c>
      <c r="Y820" s="109">
        <f>'Z Score'!O902</f>
        <v>0.31529606573510688</v>
      </c>
      <c r="Z820" s="109">
        <f>'Z Score'!R902</f>
        <v>0.57366475317923493</v>
      </c>
      <c r="AA820" s="109">
        <f>'Z Score'!S902</f>
        <v>5.5321284996741689</v>
      </c>
    </row>
    <row r="821" spans="1:27" ht="15" customHeight="1" x14ac:dyDescent="0.3">
      <c r="A821" s="22"/>
      <c r="B821" s="23"/>
      <c r="C821" s="2"/>
      <c r="D821" s="23">
        <v>2024</v>
      </c>
      <c r="E821" s="25">
        <f>'Current Ratio'!G903</f>
        <v>7.1995281265655047</v>
      </c>
      <c r="F821" s="25">
        <f>'Cash Ratio'!G903</f>
        <v>6.0145763643121475</v>
      </c>
      <c r="G821" s="25">
        <f>DAR!G903</f>
        <v>0.5296691405228463</v>
      </c>
      <c r="H821" s="25">
        <f>DER!G903</f>
        <v>1.1261628486628679</v>
      </c>
      <c r="I821" s="25">
        <f>NPM!G903</f>
        <v>6.1586520257478225E-2</v>
      </c>
      <c r="J821" s="25">
        <f>ROA!G903</f>
        <v>5.2802250818356433E-2</v>
      </c>
      <c r="K821" s="25">
        <f>ROE!G903</f>
        <v>0.11226618401576796</v>
      </c>
      <c r="L821" s="25">
        <f>KM!E903</f>
        <v>0.99519999999999997</v>
      </c>
      <c r="M821" s="24">
        <f>KI!E903</f>
        <v>2</v>
      </c>
      <c r="N821" s="108">
        <f>IO!E903</f>
        <v>0</v>
      </c>
      <c r="O821" s="24">
        <f>'BoC Size'!E903</f>
        <v>3</v>
      </c>
      <c r="P821" s="24">
        <f>'TMT E DK'!E903</f>
        <v>8</v>
      </c>
      <c r="Q821" s="24">
        <f>Data!R903</f>
        <v>3</v>
      </c>
      <c r="R821" s="24">
        <f>Data!S903</f>
        <v>6</v>
      </c>
      <c r="S821" s="24">
        <f>'TMT E DK'!E903</f>
        <v>8</v>
      </c>
      <c r="T821" s="24">
        <f>'TMT E DD'!E903</f>
        <v>0</v>
      </c>
      <c r="U821" s="24">
        <f>TA!E903</f>
        <v>554465000000</v>
      </c>
      <c r="V821" s="109">
        <f>PR!F903</f>
        <v>0.37417290331532438</v>
      </c>
      <c r="W821" s="109">
        <f>'Z Score'!I903</f>
        <v>4.5388482230618701</v>
      </c>
      <c r="X821" s="109">
        <f>'Z Score'!L903</f>
        <v>0.57869975562028253</v>
      </c>
      <c r="Y821" s="109">
        <f>'Z Score'!O903</f>
        <v>0.38778483763628002</v>
      </c>
      <c r="Z821" s="109">
        <f>'Z Score'!R903</f>
        <v>0.93236959578865652</v>
      </c>
      <c r="AA821" s="109">
        <f>'Z Score'!S903</f>
        <v>6.4377024121070887</v>
      </c>
    </row>
    <row r="822" spans="1:27" ht="15" customHeight="1" x14ac:dyDescent="0.3">
      <c r="A822" s="22"/>
      <c r="B822" s="23">
        <v>83</v>
      </c>
      <c r="C822" s="2" t="s">
        <v>98</v>
      </c>
      <c r="D822" s="23">
        <v>2015</v>
      </c>
      <c r="E822" s="25">
        <f>'Current Ratio'!G905</f>
        <v>4.1726401742533525</v>
      </c>
      <c r="F822" s="25">
        <f>'Cash Ratio'!G905</f>
        <v>0.53559544944551696</v>
      </c>
      <c r="G822" s="25">
        <f>DAR!G905</f>
        <v>0.7940191579469531</v>
      </c>
      <c r="H822" s="25">
        <f>DER!G905</f>
        <v>3.8548220715855246</v>
      </c>
      <c r="I822" s="25">
        <f>NPM!G905</f>
        <v>0.58358309398648733</v>
      </c>
      <c r="J822" s="25">
        <f>ROA!G905</f>
        <v>0.10000663512117083</v>
      </c>
      <c r="K822" s="25">
        <f>ROE!G905</f>
        <v>0.48551446210299681</v>
      </c>
      <c r="L822" s="25">
        <f>KM!E905</f>
        <v>1</v>
      </c>
      <c r="M822" s="24">
        <f>KI!E905</f>
        <v>1</v>
      </c>
      <c r="N822" s="108">
        <f>IO!E905</f>
        <v>0</v>
      </c>
      <c r="O822" s="24">
        <f>'BoC Size'!E905</f>
        <v>5</v>
      </c>
      <c r="P822" s="24">
        <f>'TMT E DK'!E905</f>
        <v>21</v>
      </c>
      <c r="Q822" s="24">
        <f>Data!R905</f>
        <v>5</v>
      </c>
      <c r="R822" s="24">
        <f>Data!S905</f>
        <v>5</v>
      </c>
      <c r="S822" s="24">
        <f>'TMT E DK'!E905</f>
        <v>21</v>
      </c>
      <c r="T822" s="24">
        <f>'TMT E DD'!E905</f>
        <v>15</v>
      </c>
      <c r="U822" s="24">
        <f>TA!E905</f>
        <v>11393914000000</v>
      </c>
      <c r="V822" s="109">
        <f>PR!F905</f>
        <v>0.14862558672948645</v>
      </c>
      <c r="W822" s="109">
        <f>'Z Score'!I905</f>
        <v>3.8861234725836966</v>
      </c>
      <c r="X822" s="109">
        <f>'Z Score'!L905</f>
        <v>0.11002139563279133</v>
      </c>
      <c r="Y822" s="109">
        <f>'Z Score'!O905</f>
        <v>0.28483484077552279</v>
      </c>
      <c r="Z822" s="109">
        <f>'Z Score'!R905</f>
        <v>0.27238611289992049</v>
      </c>
      <c r="AA822" s="109">
        <f>'Z Score'!S905</f>
        <v>4.5533658218919308</v>
      </c>
    </row>
    <row r="823" spans="1:27" ht="15" customHeight="1" x14ac:dyDescent="0.3">
      <c r="A823" s="22"/>
      <c r="B823" s="23"/>
      <c r="C823" s="2"/>
      <c r="D823" s="23">
        <v>2016</v>
      </c>
      <c r="E823" s="25">
        <f>'Current Ratio'!G906</f>
        <v>3.4949175687628387</v>
      </c>
      <c r="F823" s="25">
        <f>'Cash Ratio'!G906</f>
        <v>0.36454190638516476</v>
      </c>
      <c r="G823" s="25">
        <f>DAR!G906</f>
        <v>0.77639976310962344</v>
      </c>
      <c r="H823" s="25">
        <f>DER!G906</f>
        <v>3.4722684619233188</v>
      </c>
      <c r="I823" s="25">
        <f>NPM!G906</f>
        <v>0.16001565167340581</v>
      </c>
      <c r="J823" s="25">
        <f>ROA!G906</f>
        <v>3.034098037903785E-2</v>
      </c>
      <c r="K823" s="25">
        <f>ROE!G906</f>
        <v>0.13569302088915272</v>
      </c>
      <c r="L823" s="25">
        <f>KM!E906</f>
        <v>1</v>
      </c>
      <c r="M823" s="24">
        <f>KI!E906</f>
        <v>1</v>
      </c>
      <c r="N823" s="108">
        <f>IO!E906</f>
        <v>0</v>
      </c>
      <c r="O823" s="24">
        <f>'BoC Size'!E906</f>
        <v>4</v>
      </c>
      <c r="P823" s="24">
        <f>'TMT E DK'!E906</f>
        <v>15</v>
      </c>
      <c r="Q823" s="24">
        <f>Data!R906</f>
        <v>4</v>
      </c>
      <c r="R823" s="24">
        <f>Data!S906</f>
        <v>4</v>
      </c>
      <c r="S823" s="24">
        <f>'TMT E DK'!E906</f>
        <v>15</v>
      </c>
      <c r="T823" s="24">
        <f>'TMT E DD'!E906</f>
        <v>12</v>
      </c>
      <c r="U823" s="24">
        <f>TA!E906</f>
        <v>12076472000000</v>
      </c>
      <c r="V823" s="109">
        <f>PR!F906</f>
        <v>0.17275737809699795</v>
      </c>
      <c r="W823" s="109">
        <f>'Z Score'!I906</f>
        <v>3.7355588751416806</v>
      </c>
      <c r="X823" s="109">
        <f>'Z Score'!L906</f>
        <v>9.9420444977639161E-2</v>
      </c>
      <c r="Y823" s="109">
        <f>'Z Score'!O906</f>
        <v>0.26442856489875516</v>
      </c>
      <c r="Z823" s="109">
        <f>'Z Score'!R906</f>
        <v>0.30239597298257176</v>
      </c>
      <c r="AA823" s="109">
        <f>'Z Score'!S906</f>
        <v>4.4018038580006467</v>
      </c>
    </row>
    <row r="824" spans="1:27" ht="15" customHeight="1" x14ac:dyDescent="0.3">
      <c r="A824" s="22"/>
      <c r="B824" s="23"/>
      <c r="C824" s="2"/>
      <c r="D824" s="23">
        <v>2017</v>
      </c>
      <c r="E824" s="25">
        <f>'Current Ratio'!G907</f>
        <v>2.6585685303062312</v>
      </c>
      <c r="F824" s="25">
        <f>'Cash Ratio'!G907</f>
        <v>0.46557295590214531</v>
      </c>
      <c r="G824" s="25">
        <f>DAR!G907</f>
        <v>0.73949837594848367</v>
      </c>
      <c r="H824" s="25">
        <f>DER!G907</f>
        <v>2.8688397532914012</v>
      </c>
      <c r="I824" s="25">
        <f>NPM!G907</f>
        <v>0.13593943843072939</v>
      </c>
      <c r="J824" s="25">
        <f>ROA!G907</f>
        <v>2.676818159893439E-2</v>
      </c>
      <c r="K824" s="25">
        <f>ROE!G907</f>
        <v>0.11907106323351989</v>
      </c>
      <c r="L824" s="25">
        <f>KM!E907</f>
        <v>1</v>
      </c>
      <c r="M824" s="24">
        <f>KI!E907</f>
        <v>1</v>
      </c>
      <c r="N824" s="108">
        <f>IO!E907</f>
        <v>0</v>
      </c>
      <c r="O824" s="24">
        <f>'BoC Size'!E907</f>
        <v>4</v>
      </c>
      <c r="P824" s="24">
        <f>'TMT E DK'!E907</f>
        <v>15</v>
      </c>
      <c r="Q824" s="24">
        <f>Data!R907</f>
        <v>4</v>
      </c>
      <c r="R824" s="24">
        <f>Data!S907</f>
        <v>5</v>
      </c>
      <c r="S824" s="24">
        <f>'TMT E DK'!E907</f>
        <v>15</v>
      </c>
      <c r="T824" s="24">
        <f>'TMT E DD'!E907</f>
        <v>15</v>
      </c>
      <c r="U824" s="24">
        <f>TA!E907</f>
        <v>11752706000000</v>
      </c>
      <c r="V824" s="109">
        <f>PR!F907</f>
        <v>0.15883697236195718</v>
      </c>
      <c r="W824" s="109">
        <f>'Z Score'!I907</f>
        <v>3.483952839456717</v>
      </c>
      <c r="X824" s="109">
        <f>'Z Score'!L907</f>
        <v>0.26650646583008203</v>
      </c>
      <c r="Y824" s="109">
        <f>'Z Score'!O907</f>
        <v>0.26143758211938595</v>
      </c>
      <c r="Z824" s="109">
        <f>'Z Score'!R907</f>
        <v>0.36600162096727146</v>
      </c>
      <c r="AA824" s="109">
        <f>'Z Score'!S907</f>
        <v>4.3778985083734563</v>
      </c>
    </row>
    <row r="825" spans="1:27" ht="15" customHeight="1" x14ac:dyDescent="0.3">
      <c r="A825" s="22"/>
      <c r="B825" s="23"/>
      <c r="C825" s="2"/>
      <c r="D825" s="23">
        <v>2018</v>
      </c>
      <c r="E825" s="25">
        <f>'Current Ratio'!G908</f>
        <v>2.8884581896272428</v>
      </c>
      <c r="F825" s="25">
        <f>'Cash Ratio'!G908</f>
        <v>0.38343849991434692</v>
      </c>
      <c r="G825" s="25">
        <f>DAR!G908</f>
        <v>0.76377512364711686</v>
      </c>
      <c r="H825" s="25">
        <f>DER!G908</f>
        <v>3.2489258125692873</v>
      </c>
      <c r="I825" s="25">
        <f>NPM!G908</f>
        <v>8.0466776766071502E-2</v>
      </c>
      <c r="J825" s="25">
        <f>ROA!G908</f>
        <v>0</v>
      </c>
      <c r="K825" s="25">
        <f>ROE!G908</f>
        <v>6.3627375964969438E-2</v>
      </c>
      <c r="L825" s="25">
        <f>KM!E908</f>
        <v>1</v>
      </c>
      <c r="M825" s="24">
        <f>KI!E908</f>
        <v>1</v>
      </c>
      <c r="N825" s="108">
        <f>IO!E908</f>
        <v>0</v>
      </c>
      <c r="O825" s="24">
        <f>'BoC Size'!E908</f>
        <v>4</v>
      </c>
      <c r="P825" s="24">
        <f>'TMT E DK'!E908</f>
        <v>17</v>
      </c>
      <c r="Q825" s="24">
        <f>Data!R908</f>
        <v>4</v>
      </c>
      <c r="R825" s="24">
        <f>Data!S908</f>
        <v>5</v>
      </c>
      <c r="S825" s="24">
        <f>'TMT E DK'!E908</f>
        <v>17</v>
      </c>
      <c r="T825" s="24">
        <f>'TMT E DD'!E908</f>
        <v>21</v>
      </c>
      <c r="U825" s="24">
        <f>TA!E908</f>
        <v>13475850000000</v>
      </c>
      <c r="V825" s="109">
        <f>PR!F908</f>
        <v>-5.5983198445562272E-2</v>
      </c>
      <c r="W825" s="109">
        <f>'Z Score'!I908</f>
        <v>3.5042516857934753</v>
      </c>
      <c r="X825" s="109">
        <f>'Z Score'!L908</f>
        <v>0.27647120441382173</v>
      </c>
      <c r="Y825" s="109">
        <f>'Z Score'!O908</f>
        <v>0.11926437293380381</v>
      </c>
      <c r="Z825" s="109">
        <f>'Z Score'!R908</f>
        <v>0.32318374151167467</v>
      </c>
      <c r="AA825" s="109">
        <f>'Z Score'!S908</f>
        <v>4.2231710046527757</v>
      </c>
    </row>
    <row r="826" spans="1:27" ht="15" customHeight="1" x14ac:dyDescent="0.3">
      <c r="A826" s="22"/>
      <c r="B826" s="23"/>
      <c r="C826" s="2"/>
      <c r="D826" s="23">
        <v>2019</v>
      </c>
      <c r="E826" s="25">
        <f>'Current Ratio'!G909</f>
        <v>2.9372561421402135</v>
      </c>
      <c r="F826" s="25">
        <f>'Cash Ratio'!G909</f>
        <v>0.38912698083912484</v>
      </c>
      <c r="G826" s="25">
        <f>DAR!G909</f>
        <v>0.74089307438913321</v>
      </c>
      <c r="H826" s="25">
        <f>DER!G909</f>
        <v>2.8770911027421264</v>
      </c>
      <c r="I826" s="25">
        <f>NPM!G909</f>
        <v>4.0048481640435854E-2</v>
      </c>
      <c r="J826" s="25">
        <f>ROA!G909</f>
        <v>8.3959408690202336E-3</v>
      </c>
      <c r="K826" s="25">
        <f>ROE!G909</f>
        <v>3.2603742170654856E-2</v>
      </c>
      <c r="L826" s="25">
        <f>KM!E909</f>
        <v>1</v>
      </c>
      <c r="M826" s="24">
        <f>KI!E909</f>
        <v>0</v>
      </c>
      <c r="N826" s="108">
        <f>IO!E909</f>
        <v>0</v>
      </c>
      <c r="O826" s="24">
        <f>'BoC Size'!E909</f>
        <v>5</v>
      </c>
      <c r="P826" s="24">
        <f>'TMT E DK'!E909</f>
        <v>21</v>
      </c>
      <c r="Q826" s="24">
        <f>Data!R909</f>
        <v>5</v>
      </c>
      <c r="R826" s="24">
        <f>Data!S909</f>
        <v>5</v>
      </c>
      <c r="S826" s="24">
        <f>'TMT E DK'!E909</f>
        <v>21</v>
      </c>
      <c r="T826" s="24">
        <f>'TMT E DD'!E909</f>
        <v>21</v>
      </c>
      <c r="U826" s="24">
        <f>TA!E909</f>
        <v>12688036000000</v>
      </c>
      <c r="V826" s="109">
        <f>PR!F909</f>
        <v>6.1862851590553165E-2</v>
      </c>
      <c r="W826" s="109">
        <f>'Z Score'!I909</f>
        <v>3.4332154795273278</v>
      </c>
      <c r="X826" s="109">
        <f>'Z Score'!L909</f>
        <v>0.30964182478675184</v>
      </c>
      <c r="Y826" s="109">
        <f>'Z Score'!O909</f>
        <v>7.628354144014092E-2</v>
      </c>
      <c r="Z826" s="109">
        <f>'Z Score'!R909</f>
        <v>0.36495194712439094</v>
      </c>
      <c r="AA826" s="109">
        <f>'Z Score'!S909</f>
        <v>4.1840927928786114</v>
      </c>
    </row>
    <row r="827" spans="1:27" ht="15" customHeight="1" x14ac:dyDescent="0.3">
      <c r="A827" s="22"/>
      <c r="B827" s="23"/>
      <c r="C827" s="2"/>
      <c r="D827" s="23">
        <v>2020</v>
      </c>
      <c r="E827" s="25">
        <f>'Current Ratio'!G910</f>
        <v>3.5441176230275699</v>
      </c>
      <c r="F827" s="25">
        <f>'Cash Ratio'!G910</f>
        <v>0.68913610661817459</v>
      </c>
      <c r="G827" s="25">
        <f>DAR!G910</f>
        <v>0.93252569218478654</v>
      </c>
      <c r="H827" s="25">
        <f>DER!G910</f>
        <v>14.064714770702267</v>
      </c>
      <c r="I827" s="25">
        <f>NPM!G910</f>
        <v>-0.10490829048080824</v>
      </c>
      <c r="J827" s="25">
        <f>ROA!G910</f>
        <v>-1.8177783105611561E-2</v>
      </c>
      <c r="K827" s="25">
        <f>ROE!G910</f>
        <v>-0.27416438676893329</v>
      </c>
      <c r="L827" s="25">
        <f>KM!E910</f>
        <v>1</v>
      </c>
      <c r="M827" s="24">
        <f>KI!E910</f>
        <v>2</v>
      </c>
      <c r="N827" s="108">
        <f>IO!E910</f>
        <v>0</v>
      </c>
      <c r="O827" s="24">
        <f>'BoC Size'!E910</f>
        <v>5</v>
      </c>
      <c r="P827" s="24">
        <f>'TMT E DK'!E910</f>
        <v>18</v>
      </c>
      <c r="Q827" s="24">
        <f>Data!R910</f>
        <v>5</v>
      </c>
      <c r="R827" s="24">
        <f>Data!S910</f>
        <v>6</v>
      </c>
      <c r="S827" s="24">
        <f>'TMT E DK'!E910</f>
        <v>18</v>
      </c>
      <c r="T827" s="24">
        <f>'TMT E DD'!E910</f>
        <v>18</v>
      </c>
      <c r="U827" s="24">
        <f>TA!E910</f>
        <v>13914348000000</v>
      </c>
      <c r="V827" s="109">
        <f>PR!F910</f>
        <v>-9.3607611497246598E-2</v>
      </c>
      <c r="W827" s="109">
        <f>'Z Score'!I910</f>
        <v>3.6699726756869953</v>
      </c>
      <c r="X827" s="109">
        <f>'Z Score'!L910</f>
        <v>-0.2758571871279919</v>
      </c>
      <c r="Y827" s="109">
        <f>'Z Score'!O910</f>
        <v>-4.4107288390372298E-2</v>
      </c>
      <c r="Z827" s="109">
        <f>'Z Score'!R910</f>
        <v>7.465490890630927E-2</v>
      </c>
      <c r="AA827" s="109">
        <f>'Z Score'!S910</f>
        <v>3.42466310907494</v>
      </c>
    </row>
    <row r="828" spans="1:27" ht="15" customHeight="1" x14ac:dyDescent="0.3">
      <c r="A828" s="22"/>
      <c r="B828" s="23"/>
      <c r="C828" s="2"/>
      <c r="D828" s="23">
        <v>2021</v>
      </c>
      <c r="E828" s="25">
        <f>'Current Ratio'!G911</f>
        <v>3.7599697533319714</v>
      </c>
      <c r="F828" s="25">
        <f>'Cash Ratio'!G911</f>
        <v>0.40567268374671639</v>
      </c>
      <c r="G828" s="25">
        <f>DAR!G911</f>
        <v>0.931927875042738</v>
      </c>
      <c r="H828" s="25">
        <f>DER!G911</f>
        <v>13.973011115513575</v>
      </c>
      <c r="I828" s="25">
        <f>NPM!G911</f>
        <v>4.0163713481756527E-3</v>
      </c>
      <c r="J828" s="25">
        <f>ROA!G911</f>
        <v>6.6789471586734428E-4</v>
      </c>
      <c r="K828" s="25">
        <f>ROE!G911</f>
        <v>1.0014187297894911E-2</v>
      </c>
      <c r="L828" s="25">
        <f>KM!E911</f>
        <v>1</v>
      </c>
      <c r="M828" s="24">
        <f>KI!E911</f>
        <v>2</v>
      </c>
      <c r="N828" s="108">
        <f>IO!E911</f>
        <v>0</v>
      </c>
      <c r="O828" s="24">
        <f>'BoC Size'!E911</f>
        <v>5</v>
      </c>
      <c r="P828" s="24">
        <f>'TMT E DK'!E911</f>
        <v>18</v>
      </c>
      <c r="Q828" s="24">
        <f>Data!R911</f>
        <v>5</v>
      </c>
      <c r="R828" s="24">
        <f>Data!S911</f>
        <v>6</v>
      </c>
      <c r="S828" s="24">
        <f>'TMT E DK'!E911</f>
        <v>18</v>
      </c>
      <c r="T828" s="24">
        <f>'TMT E DD'!E911</f>
        <v>18</v>
      </c>
      <c r="U828" s="24">
        <f>TA!E911</f>
        <v>14077069000000</v>
      </c>
      <c r="V828" s="109">
        <f>PR!F911</f>
        <v>-2.9059943209862205E-2</v>
      </c>
      <c r="W828" s="109">
        <f>'Z Score'!I911</f>
        <v>3.5888956372949505</v>
      </c>
      <c r="X828" s="109">
        <f>'Z Score'!L911</f>
        <v>-0.26856020241145367</v>
      </c>
      <c r="Y828" s="109">
        <f>'Z Score'!O911</f>
        <v>8.161344382129547E-2</v>
      </c>
      <c r="Z828" s="109">
        <f>'Z Score'!R911</f>
        <v>7.5144862572551346E-2</v>
      </c>
      <c r="AA828" s="109">
        <f>'Z Score'!S911</f>
        <v>3.4770937412773439</v>
      </c>
    </row>
    <row r="829" spans="1:27" ht="15" customHeight="1" x14ac:dyDescent="0.3">
      <c r="A829" s="22"/>
      <c r="B829" s="23"/>
      <c r="C829" s="2"/>
      <c r="D829" s="23">
        <v>2022</v>
      </c>
      <c r="E829" s="25">
        <f>'Current Ratio'!G912</f>
        <v>3.2776630557107076</v>
      </c>
      <c r="F829" s="25">
        <f>'Cash Ratio'!G912</f>
        <v>0.33138461056609175</v>
      </c>
      <c r="G829" s="25">
        <f>DAR!G912</f>
        <v>0.99340437157774752</v>
      </c>
      <c r="H829" s="25">
        <f>DER!G912</f>
        <v>4.6213555243114239</v>
      </c>
      <c r="I829" s="25">
        <f>NPM!G912</f>
        <v>0.15460736077682741</v>
      </c>
      <c r="J829" s="25">
        <f>ROA!G912</f>
        <v>1.8372264106295926E-2</v>
      </c>
      <c r="K829" s="25">
        <f>ROE!G912</f>
        <v>8.546848257461509E-2</v>
      </c>
      <c r="L829" s="25">
        <f>KM!E912</f>
        <v>1</v>
      </c>
      <c r="M829" s="24">
        <f>KI!E912</f>
        <v>3</v>
      </c>
      <c r="N829" s="108">
        <f>IO!E912</f>
        <v>0</v>
      </c>
      <c r="O829" s="24">
        <f>'BoC Size'!E912</f>
        <v>5</v>
      </c>
      <c r="P829" s="24">
        <f>'TMT E DK'!E912</f>
        <v>18</v>
      </c>
      <c r="Q829" s="24">
        <f>Data!R912</f>
        <v>5</v>
      </c>
      <c r="R829" s="24">
        <f>Data!S912</f>
        <v>6</v>
      </c>
      <c r="S829" s="24">
        <f>'TMT E DK'!E912</f>
        <v>18</v>
      </c>
      <c r="T829" s="24">
        <f>'TMT E DD'!E912</f>
        <v>18</v>
      </c>
      <c r="U829" s="24">
        <f>TA!E912</f>
        <v>12576512000000</v>
      </c>
      <c r="V829" s="109">
        <f>PR!F912</f>
        <v>-0.36158021700024651</v>
      </c>
      <c r="W829" s="109">
        <f>'Z Score'!I912</f>
        <v>3.8690641220713657</v>
      </c>
      <c r="X829" s="109">
        <f>'Z Score'!L912</f>
        <v>-0.28761070796099902</v>
      </c>
      <c r="Y829" s="109">
        <f>'Z Score'!O912</f>
        <v>0.15293789565819202</v>
      </c>
      <c r="Z829" s="109">
        <f>'Z Score'!R912</f>
        <v>0.2272060642113114</v>
      </c>
      <c r="AA829" s="109">
        <f>'Z Score'!S912</f>
        <v>3.9615973739798704</v>
      </c>
    </row>
    <row r="830" spans="1:27" ht="15" customHeight="1" x14ac:dyDescent="0.3">
      <c r="A830" s="22"/>
      <c r="B830" s="23"/>
      <c r="C830" s="2"/>
      <c r="D830" s="23">
        <v>2023</v>
      </c>
      <c r="E830" s="25">
        <f>'Current Ratio'!G913</f>
        <v>2.73202799428321</v>
      </c>
      <c r="F830" s="25">
        <f>'Cash Ratio'!G913</f>
        <v>0.14328057640485645</v>
      </c>
      <c r="G830" s="25">
        <f>DAR!G913</f>
        <v>0.99083771194964254</v>
      </c>
      <c r="H830" s="25">
        <f>DER!G913</f>
        <v>4.2009292493799775</v>
      </c>
      <c r="I830" s="25">
        <f>NPM!G913</f>
        <v>8.0882110171796556E-2</v>
      </c>
      <c r="J830" s="25">
        <f>ROA!G913</f>
        <v>8.4649454964596041E-3</v>
      </c>
      <c r="K830" s="25">
        <f>ROE!G913</f>
        <v>3.5889466762940254E-2</v>
      </c>
      <c r="L830" s="25">
        <f>KM!E913</f>
        <v>1</v>
      </c>
      <c r="M830" s="24">
        <f>KI!E913</f>
        <v>2</v>
      </c>
      <c r="N830" s="108">
        <f>IO!E913</f>
        <v>0</v>
      </c>
      <c r="O830" s="24">
        <f>'BoC Size'!E913</f>
        <v>3</v>
      </c>
      <c r="P830" s="24">
        <f>'TMT E DK'!E913</f>
        <v>12</v>
      </c>
      <c r="Q830" s="24">
        <f>Data!R913</f>
        <v>3</v>
      </c>
      <c r="R830" s="24">
        <f>Data!S913</f>
        <v>6</v>
      </c>
      <c r="S830" s="24">
        <f>'TMT E DK'!E913</f>
        <v>12</v>
      </c>
      <c r="T830" s="24">
        <f>'TMT E DD'!E913</f>
        <v>16</v>
      </c>
      <c r="U830" s="24">
        <f>TA!E913</f>
        <v>12154715000000</v>
      </c>
      <c r="V830" s="109">
        <f>PR!F913</f>
        <v>-0.14881541449953797</v>
      </c>
      <c r="W830" s="109">
        <f>'Z Score'!I913</f>
        <v>3.5129896241911056</v>
      </c>
      <c r="X830" s="109">
        <f>'Z Score'!L913</f>
        <v>-0.26418098490997116</v>
      </c>
      <c r="Y830" s="109">
        <f>'Z Score'!O913</f>
        <v>6.0269115318623258E-2</v>
      </c>
      <c r="Z830" s="109">
        <f>'Z Score'!R913</f>
        <v>0.2499446997720734</v>
      </c>
      <c r="AA830" s="109">
        <f>'Z Score'!S913</f>
        <v>3.5590224543718314</v>
      </c>
    </row>
    <row r="831" spans="1:27" ht="15" customHeight="1" x14ac:dyDescent="0.3">
      <c r="A831" s="22"/>
      <c r="B831" s="23"/>
      <c r="C831" s="2"/>
      <c r="D831" s="23">
        <v>2024</v>
      </c>
      <c r="E831" s="25">
        <f>'Current Ratio'!G914</f>
        <v>2.7007070259557433</v>
      </c>
      <c r="F831" s="25">
        <f>'Cash Ratio'!G914</f>
        <v>0.20031536975334049</v>
      </c>
      <c r="G831" s="25">
        <f>DAR!G914</f>
        <v>0.78395358730994802</v>
      </c>
      <c r="H831" s="25">
        <f>DER!G914</f>
        <v>3.9318328726558085</v>
      </c>
      <c r="I831" s="25">
        <f>NPM!G914</f>
        <v>0.10287918110965291</v>
      </c>
      <c r="J831" s="25">
        <f>ROA!G914</f>
        <v>1.048467882224427E-2</v>
      </c>
      <c r="K831" s="25">
        <f>ROE!G914</f>
        <v>5.2584751852458415E-2</v>
      </c>
      <c r="L831" s="25">
        <f>KM!E914</f>
        <v>1</v>
      </c>
      <c r="M831" s="24">
        <f>KI!E914</f>
        <v>0</v>
      </c>
      <c r="N831" s="108">
        <f>IO!E914</f>
        <v>0</v>
      </c>
      <c r="O831" s="24">
        <f>'BoC Size'!E914</f>
        <v>2</v>
      </c>
      <c r="P831" s="24">
        <f>'TMT E DK'!E914</f>
        <v>6</v>
      </c>
      <c r="Q831" s="24">
        <f>Data!R914</f>
        <v>2</v>
      </c>
      <c r="R831" s="24">
        <f>Data!S914</f>
        <v>5</v>
      </c>
      <c r="S831" s="24">
        <f>'TMT E DK'!E914</f>
        <v>6</v>
      </c>
      <c r="T831" s="24">
        <f>'TMT E DD'!E914</f>
        <v>13</v>
      </c>
      <c r="U831" s="24">
        <f>TA!E914</f>
        <v>15005896000000</v>
      </c>
      <c r="V831" s="109">
        <f>PR!F914</f>
        <v>0.20218994627721712</v>
      </c>
      <c r="W831" s="109">
        <f>'Z Score'!I914</f>
        <v>2.8360703659414939</v>
      </c>
      <c r="X831" s="109">
        <f>'Z Score'!L914</f>
        <v>-0.17980482338408849</v>
      </c>
      <c r="Y831" s="109">
        <f>'Z Score'!O914</f>
        <v>4.7813718021236448E-2</v>
      </c>
      <c r="Z831" s="109">
        <f>'Z Score'!R914</f>
        <v>0.26705102531246794</v>
      </c>
      <c r="AA831" s="109">
        <f>'Z Score'!S914</f>
        <v>2.9711302858911099</v>
      </c>
    </row>
    <row r="832" spans="1:27" ht="15" customHeight="1" x14ac:dyDescent="0.3">
      <c r="A832" s="22"/>
      <c r="B832" s="23">
        <v>84</v>
      </c>
      <c r="C832" s="2" t="s">
        <v>84</v>
      </c>
      <c r="D832" s="23">
        <v>2015</v>
      </c>
      <c r="E832" s="25">
        <f>'Current Ratio'!G916</f>
        <v>0.78610702610552741</v>
      </c>
      <c r="F832" s="25">
        <f>'Cash Ratio'!G916</f>
        <v>7.8068359576241822E-2</v>
      </c>
      <c r="G832" s="25">
        <f>DAR!G916</f>
        <v>0.57389581191695105</v>
      </c>
      <c r="H832" s="25">
        <f>DER!G916</f>
        <v>2.3468438658131587</v>
      </c>
      <c r="I832" s="25">
        <f>NPM!G916</f>
        <v>0.11599332220367278</v>
      </c>
      <c r="J832" s="25">
        <f>ROA!G916</f>
        <v>1.1462595236666866</v>
      </c>
      <c r="K832" s="25">
        <f>ROE!G916</f>
        <v>0.11495283245896905</v>
      </c>
      <c r="L832" s="25">
        <f>KM!E916</f>
        <v>0.90329999999999999</v>
      </c>
      <c r="M832" s="24">
        <f>KI!E916</f>
        <v>2</v>
      </c>
      <c r="N832" s="108">
        <f>IO!E916</f>
        <v>0</v>
      </c>
      <c r="O832" s="24">
        <f>'BoC Size'!E916</f>
        <v>3</v>
      </c>
      <c r="P832" s="24">
        <f>'TMT E DK'!E916</f>
        <v>9</v>
      </c>
      <c r="Q832" s="24">
        <f>Data!R916</f>
        <v>3</v>
      </c>
      <c r="R832" s="24">
        <f>Data!S916</f>
        <v>4</v>
      </c>
      <c r="S832" s="24">
        <f>'TMT E DK'!E916</f>
        <v>9</v>
      </c>
      <c r="T832" s="24">
        <f>'TMT E DD'!E916</f>
        <v>6</v>
      </c>
      <c r="U832" s="24">
        <f>TA!E916</f>
        <v>390083000000</v>
      </c>
      <c r="V832" s="109">
        <f>PR!F916</f>
        <v>6.414935882941955E-2</v>
      </c>
      <c r="W832" s="109">
        <f>'Z Score'!I916</f>
        <v>-0.76802936810883826</v>
      </c>
      <c r="X832" s="109">
        <f>'Z Score'!L916</f>
        <v>0.46257078621729214</v>
      </c>
      <c r="Y832" s="109">
        <f>'Z Score'!O916</f>
        <v>0.38047779575116064</v>
      </c>
      <c r="Z832" s="109">
        <f>'Z Score'!R916</f>
        <v>0.77960038773021478</v>
      </c>
      <c r="AA832" s="109">
        <f>'Z Score'!S916</f>
        <v>0.8546196015898293</v>
      </c>
    </row>
    <row r="833" spans="1:27" ht="15" customHeight="1" x14ac:dyDescent="0.3">
      <c r="A833" s="22"/>
      <c r="B833" s="23"/>
      <c r="C833" s="2"/>
      <c r="D833" s="23">
        <v>2016</v>
      </c>
      <c r="E833" s="25">
        <f>'Current Ratio'!G917</f>
        <v>0.72793233262267532</v>
      </c>
      <c r="F833" s="25">
        <f>'Cash Ratio'!G917</f>
        <v>5.037276978589076E-2</v>
      </c>
      <c r="G833" s="25">
        <f>DAR!G917</f>
        <v>0.57023667073333506</v>
      </c>
      <c r="H833" s="25">
        <f>DER!G917</f>
        <v>1.3268620933907262</v>
      </c>
      <c r="I833" s="25">
        <f>NPM!G917</f>
        <v>0.14973322100533559</v>
      </c>
      <c r="J833" s="25">
        <f>ROA!G917</f>
        <v>5.6185589944011106E-2</v>
      </c>
      <c r="K833" s="25">
        <f>ROE!G917</f>
        <v>0.13073611943551464</v>
      </c>
      <c r="L833" s="25">
        <f>KM!E917</f>
        <v>0.87609999999999999</v>
      </c>
      <c r="M833" s="24">
        <f>KI!E917</f>
        <v>2</v>
      </c>
      <c r="N833" s="108">
        <f>IO!E917</f>
        <v>0</v>
      </c>
      <c r="O833" s="24">
        <f>'BoC Size'!E917</f>
        <v>3</v>
      </c>
      <c r="P833" s="24">
        <f>'TMT E DK'!E917</f>
        <v>9</v>
      </c>
      <c r="Q833" s="24">
        <f>Data!R917</f>
        <v>3</v>
      </c>
      <c r="R833" s="24">
        <f>Data!S917</f>
        <v>4</v>
      </c>
      <c r="S833" s="24">
        <f>'TMT E DK'!E917</f>
        <v>9</v>
      </c>
      <c r="T833" s="24">
        <f>'TMT E DD'!E917</f>
        <v>6</v>
      </c>
      <c r="U833" s="24">
        <f>TA!E917</f>
        <v>427049000000</v>
      </c>
      <c r="V833" s="109">
        <f>PR!F917</f>
        <v>-2.7196843223554409E-2</v>
      </c>
      <c r="W833" s="109">
        <f>'Z Score'!I917</f>
        <v>-0.96250425595189293</v>
      </c>
      <c r="X833" s="109">
        <f>'Z Score'!L917</f>
        <v>0.55246461178927941</v>
      </c>
      <c r="Y833" s="109">
        <f>'Z Score'!O917</f>
        <v>0.4444289999508253</v>
      </c>
      <c r="Z833" s="109">
        <f>'Z Score'!R917</f>
        <v>0.79134071674078821</v>
      </c>
      <c r="AA833" s="109">
        <f>'Z Score'!S917</f>
        <v>0.82573007252899999</v>
      </c>
    </row>
    <row r="834" spans="1:27" ht="15" customHeight="1" x14ac:dyDescent="0.3">
      <c r="A834" s="22"/>
      <c r="B834" s="23"/>
      <c r="C834" s="2"/>
      <c r="D834" s="23">
        <v>2017</v>
      </c>
      <c r="E834" s="25">
        <f>'Current Ratio'!G918</f>
        <v>0.85163577316568917</v>
      </c>
      <c r="F834" s="25">
        <f>'Cash Ratio'!G918</f>
        <v>6.4419382603217418E-2</v>
      </c>
      <c r="G834" s="25">
        <f>DAR!G918</f>
        <v>0.5260250880952595</v>
      </c>
      <c r="H834" s="25">
        <f>DER!G918</f>
        <v>1.1098163107016514</v>
      </c>
      <c r="I834" s="25">
        <f>NPM!G918</f>
        <v>0.24824187848923521</v>
      </c>
      <c r="J834" s="25">
        <f>ROA!G918</f>
        <v>7.9839411084311418E-2</v>
      </c>
      <c r="K834" s="25">
        <f>ROE!G918</f>
        <v>0.16844649174249446</v>
      </c>
      <c r="L834" s="25">
        <f>KM!E918</f>
        <v>0.77439999999999998</v>
      </c>
      <c r="M834" s="24">
        <f>KI!E918</f>
        <v>2</v>
      </c>
      <c r="N834" s="108">
        <f>IO!E918</f>
        <v>0</v>
      </c>
      <c r="O834" s="24">
        <f>'BoC Size'!E918</f>
        <v>3</v>
      </c>
      <c r="P834" s="24">
        <f>'TMT E DK'!E918</f>
        <v>9</v>
      </c>
      <c r="Q834" s="24">
        <f>Data!R918</f>
        <v>3</v>
      </c>
      <c r="R834" s="24">
        <f>Data!S918</f>
        <v>4</v>
      </c>
      <c r="S834" s="24">
        <f>'TMT E DK'!E918</f>
        <v>9</v>
      </c>
      <c r="T834" s="24">
        <f>'TMT E DD'!E918</f>
        <v>6</v>
      </c>
      <c r="U834" s="24">
        <f>TA!E918</f>
        <v>446108000000</v>
      </c>
      <c r="V834" s="109">
        <f>PR!F918</f>
        <v>-0.10463977035164904</v>
      </c>
      <c r="W834" s="109">
        <f>'Z Score'!I918</f>
        <v>-0.49174854519533379</v>
      </c>
      <c r="X834" s="109">
        <f>'Z Score'!L918</f>
        <v>0.63279111784590281</v>
      </c>
      <c r="Y834" s="109">
        <f>'Z Score'!O918</f>
        <v>0.40114411756794316</v>
      </c>
      <c r="Z834" s="109">
        <f>'Z Score'!R918</f>
        <v>0.94610251252855149</v>
      </c>
      <c r="AA834" s="109">
        <f>'Z Score'!S918</f>
        <v>1.4882892027470636</v>
      </c>
    </row>
    <row r="835" spans="1:27" ht="15" customHeight="1" x14ac:dyDescent="0.3">
      <c r="A835" s="22"/>
      <c r="B835" s="23"/>
      <c r="C835" s="2"/>
      <c r="D835" s="23">
        <v>2018</v>
      </c>
      <c r="E835" s="25">
        <f>'Current Ratio'!G919</f>
        <v>0.88536666147909604</v>
      </c>
      <c r="F835" s="25">
        <f>'Cash Ratio'!G919</f>
        <v>4.6592364694192714E-2</v>
      </c>
      <c r="G835" s="25">
        <f>DAR!G919</f>
        <v>0.54095297415135468</v>
      </c>
      <c r="H835" s="25">
        <f>DER!G919</f>
        <v>1.1784260515603799</v>
      </c>
      <c r="I835" s="25">
        <f>NPM!G919</f>
        <v>0.1326000409340895</v>
      </c>
      <c r="J835" s="25">
        <f>ROA!G919</f>
        <v>4.1978183216669213E-2</v>
      </c>
      <c r="K835" s="25">
        <f>ROE!G919</f>
        <v>9.1446367916366914E-2</v>
      </c>
      <c r="L835" s="25">
        <f>KM!E919</f>
        <v>0.77390000000000003</v>
      </c>
      <c r="M835" s="24">
        <f>KI!E919</f>
        <v>2</v>
      </c>
      <c r="N835" s="108">
        <f>IO!E919</f>
        <v>0</v>
      </c>
      <c r="O835" s="24">
        <f>'BoC Size'!E919</f>
        <v>3</v>
      </c>
      <c r="P835" s="24">
        <f>'TMT E DK'!E919</f>
        <v>9</v>
      </c>
      <c r="Q835" s="24">
        <f>Data!R919</f>
        <v>3</v>
      </c>
      <c r="R835" s="24">
        <f>Data!S919</f>
        <v>4</v>
      </c>
      <c r="S835" s="24">
        <f>'TMT E DK'!E919</f>
        <v>9</v>
      </c>
      <c r="T835" s="24">
        <f>'TMT E DD'!E919</f>
        <v>6</v>
      </c>
      <c r="U835" s="24">
        <f>TA!E919</f>
        <v>478439000000</v>
      </c>
      <c r="V835" s="109">
        <f>PR!F919</f>
        <v>5.5660489137631816E-2</v>
      </c>
      <c r="W835" s="109">
        <f>'Z Score'!I919</f>
        <v>-0.39388327456582761</v>
      </c>
      <c r="X835" s="109">
        <f>'Z Score'!L919</f>
        <v>0.68449649798615908</v>
      </c>
      <c r="Y835" s="109">
        <f>'Z Score'!O919</f>
        <v>0.41597679118968145</v>
      </c>
      <c r="Z835" s="109">
        <f>'Z Score'!R919</f>
        <v>0.89101899827288433</v>
      </c>
      <c r="AA835" s="109">
        <f>'Z Score'!S919</f>
        <v>1.5976090128828973</v>
      </c>
    </row>
    <row r="836" spans="1:27" ht="15" customHeight="1" x14ac:dyDescent="0.3">
      <c r="A836" s="22"/>
      <c r="B836" s="23"/>
      <c r="C836" s="2"/>
      <c r="D836" s="23">
        <v>2019</v>
      </c>
      <c r="E836" s="25">
        <f>'Current Ratio'!G920</f>
        <v>0.92514702503042634</v>
      </c>
      <c r="F836" s="25">
        <f>'Cash Ratio'!G920</f>
        <v>3.9069082614875274E-2</v>
      </c>
      <c r="G836" s="25">
        <f>DAR!G920</f>
        <v>0.53232738401054347</v>
      </c>
      <c r="H836" s="25">
        <f>DER!G920</f>
        <v>1.138247923463076</v>
      </c>
      <c r="I836" s="25">
        <f>NPM!G920</f>
        <v>2.2228927781130559E-2</v>
      </c>
      <c r="J836" s="25">
        <f>ROA!G920</f>
        <v>6.4176737328835972E-3</v>
      </c>
      <c r="K836" s="25">
        <f>ROE!G920</f>
        <v>1.372257753280188E-2</v>
      </c>
      <c r="L836" s="25">
        <f>KM!E920</f>
        <v>0.77390000000000003</v>
      </c>
      <c r="M836" s="24">
        <f>KI!E920</f>
        <v>2</v>
      </c>
      <c r="N836" s="108">
        <f>IO!E920</f>
        <v>0</v>
      </c>
      <c r="O836" s="24">
        <f>'BoC Size'!E920</f>
        <v>4</v>
      </c>
      <c r="P836" s="24">
        <f>'TMT E DK'!E920</f>
        <v>8</v>
      </c>
      <c r="Q836" s="24">
        <f>Data!R920</f>
        <v>4</v>
      </c>
      <c r="R836" s="24">
        <f>Data!S920</f>
        <v>4</v>
      </c>
      <c r="S836" s="24">
        <f>'TMT E DK'!E920</f>
        <v>8</v>
      </c>
      <c r="T836" s="24">
        <f>'TMT E DD'!E920</f>
        <v>6</v>
      </c>
      <c r="U836" s="24">
        <f>TA!E920</f>
        <v>447670000000</v>
      </c>
      <c r="V836" s="109">
        <f>PR!F920</f>
        <v>-0.146682688181272</v>
      </c>
      <c r="W836" s="109">
        <f>'Z Score'!I920</f>
        <v>-0.25775772332298341</v>
      </c>
      <c r="X836" s="109">
        <f>'Z Score'!L920</f>
        <v>0.6447979538499341</v>
      </c>
      <c r="Y836" s="109">
        <f>'Z Score'!O920</f>
        <v>3.8998726740679515E-2</v>
      </c>
      <c r="Z836" s="109">
        <f>'Z Score'!R920</f>
        <v>0.92247038483972355</v>
      </c>
      <c r="AA836" s="109">
        <f>'Z Score'!S920</f>
        <v>1.3485093421073537</v>
      </c>
    </row>
    <row r="837" spans="1:27" ht="15" customHeight="1" x14ac:dyDescent="0.3">
      <c r="A837" s="22"/>
      <c r="B837" s="23"/>
      <c r="C837" s="2"/>
      <c r="D837" s="23">
        <v>2020</v>
      </c>
      <c r="E837" s="25">
        <f>'Current Ratio'!G921</f>
        <v>1.1257039765672696</v>
      </c>
      <c r="F837" s="25">
        <f>'Cash Ratio'!G921</f>
        <v>7.0092400139937852E-2</v>
      </c>
      <c r="G837" s="25">
        <f>DAR!G921</f>
        <v>0.42713060880786519</v>
      </c>
      <c r="H837" s="25">
        <f>DER!G921</f>
        <v>0.74559858734817575</v>
      </c>
      <c r="I837" s="25">
        <f>NPM!G921</f>
        <v>1.9203072491598655E-3</v>
      </c>
      <c r="J837" s="25">
        <f>ROA!G921</f>
        <v>4.7024857558425651E-4</v>
      </c>
      <c r="K837" s="25">
        <f>ROE!G921</f>
        <v>8.2086524924236996E-4</v>
      </c>
      <c r="L837" s="25">
        <f>KM!E921</f>
        <v>0.77390000000000003</v>
      </c>
      <c r="M837" s="24">
        <f>KI!E921</f>
        <v>2</v>
      </c>
      <c r="N837" s="108">
        <f>IO!E921</f>
        <v>0</v>
      </c>
      <c r="O837" s="24">
        <f>'BoC Size'!E921</f>
        <v>4</v>
      </c>
      <c r="P837" s="24">
        <f>'TMT E DK'!E921</f>
        <v>8</v>
      </c>
      <c r="Q837" s="24">
        <f>Data!R921</f>
        <v>4</v>
      </c>
      <c r="R837" s="24">
        <f>Data!S921</f>
        <v>4</v>
      </c>
      <c r="S837" s="24">
        <f>'TMT E DK'!E921</f>
        <v>8</v>
      </c>
      <c r="T837" s="24">
        <f>'TMT E DD'!E921</f>
        <v>4</v>
      </c>
      <c r="U837" s="24">
        <f>TA!E921</f>
        <v>365764000000</v>
      </c>
      <c r="V837" s="109">
        <f>PR!F921</f>
        <v>-0.30698822400693254</v>
      </c>
      <c r="W837" s="109">
        <f>'Z Score'!I921</f>
        <v>0.32866001027985259</v>
      </c>
      <c r="X837" s="109">
        <f>'Z Score'!L921</f>
        <v>0.73778797257247841</v>
      </c>
      <c r="Y837" s="109">
        <f>'Z Score'!O921</f>
        <v>-0.11769425093776315</v>
      </c>
      <c r="Z837" s="109">
        <f>'Z Score'!R921</f>
        <v>1.4082644707448682</v>
      </c>
      <c r="AA837" s="109">
        <f>'Z Score'!S921</f>
        <v>2.357018202659436</v>
      </c>
    </row>
    <row r="838" spans="1:27" ht="15" customHeight="1" x14ac:dyDescent="0.3">
      <c r="A838" s="22"/>
      <c r="B838" s="23"/>
      <c r="C838" s="2"/>
      <c r="D838" s="23">
        <v>2021</v>
      </c>
      <c r="E838" s="25">
        <f>'Current Ratio'!G922</f>
        <v>1.1417692404785167</v>
      </c>
      <c r="F838" s="25">
        <f>'Cash Ratio'!G922</f>
        <v>3.881053335265601E-2</v>
      </c>
      <c r="G838" s="25">
        <f>DAR!G922</f>
        <v>0.41564302114986779</v>
      </c>
      <c r="H838" s="25">
        <f>DER!G922</f>
        <v>0.71128271962756195</v>
      </c>
      <c r="I838" s="25">
        <f>NPM!G922</f>
        <v>7.8168317369891605E-3</v>
      </c>
      <c r="J838" s="25">
        <f>ROA!G922</f>
        <v>1.3621242317922448E-3</v>
      </c>
      <c r="K838" s="25">
        <f>ROE!G922</f>
        <v>2.3309796598520362E-3</v>
      </c>
      <c r="L838" s="25">
        <f>KM!E922</f>
        <v>0.77390000000000003</v>
      </c>
      <c r="M838" s="24">
        <f>KI!E922</f>
        <v>2</v>
      </c>
      <c r="N838" s="108">
        <f>IO!E922</f>
        <v>0</v>
      </c>
      <c r="O838" s="24">
        <f>'BoC Size'!E922</f>
        <v>4</v>
      </c>
      <c r="P838" s="24">
        <f>'TMT E DK'!E922</f>
        <v>8</v>
      </c>
      <c r="Q838" s="24">
        <f>Data!R922</f>
        <v>4</v>
      </c>
      <c r="R838" s="24">
        <f>Data!S922</f>
        <v>5</v>
      </c>
      <c r="S838" s="24">
        <f>'TMT E DK'!E922</f>
        <v>8</v>
      </c>
      <c r="T838" s="24">
        <f>'TMT E DD'!E922</f>
        <v>7</v>
      </c>
      <c r="U838" s="24">
        <f>TA!E922</f>
        <v>527852000000</v>
      </c>
      <c r="V838" s="109">
        <f>PR!F922</f>
        <v>2.6928959796358114E-2</v>
      </c>
      <c r="W838" s="109">
        <f>'Z Score'!I922</f>
        <v>0.3768832172654456</v>
      </c>
      <c r="X838" s="109">
        <f>'Z Score'!L922</f>
        <v>0.50101967975872019</v>
      </c>
      <c r="Y838" s="109">
        <f>'Z Score'!O922</f>
        <v>1.437311973810841E-2</v>
      </c>
      <c r="Z838" s="109">
        <f>'Z Score'!R922</f>
        <v>1.4762062552985897</v>
      </c>
      <c r="AA838" s="109">
        <f>'Z Score'!S922</f>
        <v>2.3684822720608638</v>
      </c>
    </row>
    <row r="839" spans="1:27" ht="15" customHeight="1" x14ac:dyDescent="0.3">
      <c r="A839" s="22"/>
      <c r="B839" s="23"/>
      <c r="C839" s="2"/>
      <c r="D839" s="23">
        <v>2022</v>
      </c>
      <c r="E839" s="25">
        <f>'Current Ratio'!G923</f>
        <v>1.1799194567277322</v>
      </c>
      <c r="F839" s="25">
        <f>'Cash Ratio'!G923</f>
        <v>5.5190190416027435E-2</v>
      </c>
      <c r="G839" s="25">
        <f>DAR!G923</f>
        <v>0.36308292854967217</v>
      </c>
      <c r="H839" s="25">
        <f>DER!G923</f>
        <v>0.57006311311909696</v>
      </c>
      <c r="I839" s="25">
        <f>NPM!G923</f>
        <v>0.12521340162185232</v>
      </c>
      <c r="J839" s="25">
        <f>ROA!G923</f>
        <v>1.8812420846759326E-2</v>
      </c>
      <c r="K839" s="25">
        <f>ROE!G923</f>
        <v>2.9536688039969543E-2</v>
      </c>
      <c r="L839" s="25">
        <f>KM!E923</f>
        <v>0.77390000000000003</v>
      </c>
      <c r="M839" s="24">
        <f>KI!E923</f>
        <v>2</v>
      </c>
      <c r="N839" s="108">
        <f>IO!E923</f>
        <v>0</v>
      </c>
      <c r="O839" s="24">
        <f>'BoC Size'!E923</f>
        <v>4</v>
      </c>
      <c r="P839" s="24">
        <f>'TMT E DK'!E923</f>
        <v>8</v>
      </c>
      <c r="Q839" s="24">
        <f>Data!R923</f>
        <v>4</v>
      </c>
      <c r="R839" s="24">
        <f>Data!S923</f>
        <v>5</v>
      </c>
      <c r="S839" s="24">
        <f>'TMT E DK'!E923</f>
        <v>8</v>
      </c>
      <c r="T839" s="24">
        <f>'TMT E DD'!E923</f>
        <v>7</v>
      </c>
      <c r="U839" s="24">
        <f>TA!E923</f>
        <v>499032000000</v>
      </c>
      <c r="V839" s="109">
        <f>PR!F923</f>
        <v>-0.18487513725660734</v>
      </c>
      <c r="W839" s="109">
        <f>'Z Score'!I923</f>
        <v>0.41932669648439375</v>
      </c>
      <c r="X839" s="109">
        <f>'Z Score'!L923</f>
        <v>0.53370421135317969</v>
      </c>
      <c r="Y839" s="109">
        <f>'Z Score'!O923</f>
        <v>1.3843120280863753E-2</v>
      </c>
      <c r="Z839" s="109">
        <f>'Z Score'!R923</f>
        <v>1.8419013190573432</v>
      </c>
      <c r="AA839" s="109">
        <f>'Z Score'!S923</f>
        <v>2.8087753471757804</v>
      </c>
    </row>
    <row r="840" spans="1:27" ht="15" customHeight="1" x14ac:dyDescent="0.3">
      <c r="A840" s="22"/>
      <c r="B840" s="23"/>
      <c r="C840" s="2"/>
      <c r="D840" s="23">
        <v>2023</v>
      </c>
      <c r="E840" s="25">
        <f>'Current Ratio'!G924</f>
        <v>1.1989859985261606</v>
      </c>
      <c r="F840" s="25">
        <f>'Cash Ratio'!G924</f>
        <v>5.870596904937362E-2</v>
      </c>
      <c r="G840" s="25">
        <f>DAR!G924</f>
        <v>0.34959085504378185</v>
      </c>
      <c r="H840" s="25">
        <f>DER!G924</f>
        <v>0.53749375720618797</v>
      </c>
      <c r="I840" s="25">
        <f>NPM!G924</f>
        <v>6.8237137633846964E-2</v>
      </c>
      <c r="J840" s="25">
        <f>ROA!G924</f>
        <v>1.3097450889571967E-2</v>
      </c>
      <c r="K840" s="25">
        <f>ROE!G924</f>
        <v>2.0137248978031531E-2</v>
      </c>
      <c r="L840" s="25">
        <f>KM!E924</f>
        <v>0.77390000000000003</v>
      </c>
      <c r="M840" s="24">
        <f>KI!E924</f>
        <v>2</v>
      </c>
      <c r="N840" s="108">
        <f>IO!E924</f>
        <v>0</v>
      </c>
      <c r="O840" s="24">
        <f>'BoC Size'!E924</f>
        <v>4</v>
      </c>
      <c r="P840" s="24">
        <f>'TMT E DK'!E924</f>
        <v>8</v>
      </c>
      <c r="Q840" s="24">
        <f>Data!R924</f>
        <v>4</v>
      </c>
      <c r="R840" s="24">
        <f>Data!S924</f>
        <v>4</v>
      </c>
      <c r="S840" s="24">
        <f>'TMT E DK'!E924</f>
        <v>8</v>
      </c>
      <c r="T840" s="24">
        <f>'TMT E DD'!E924</f>
        <v>6</v>
      </c>
      <c r="U840" s="24">
        <f>TA!E924</f>
        <v>498723000000</v>
      </c>
      <c r="V840" s="109">
        <f>PR!F924</f>
        <v>0.27674189073836963</v>
      </c>
      <c r="W840" s="109">
        <f>'Z Score'!I924</f>
        <v>0.44397326772577161</v>
      </c>
      <c r="X840" s="109">
        <f>'Z Score'!L924</f>
        <v>0.560312397864145</v>
      </c>
      <c r="Y840" s="109">
        <f>'Z Score'!O924</f>
        <v>6.4919724977592769E-2</v>
      </c>
      <c r="Z840" s="109">
        <f>'Z Score'!R924</f>
        <v>1.9535110611474689</v>
      </c>
      <c r="AA840" s="109">
        <f>'Z Score'!S924</f>
        <v>3.0227164517149783</v>
      </c>
    </row>
    <row r="841" spans="1:27" ht="15" customHeight="1" x14ac:dyDescent="0.3">
      <c r="A841" s="22"/>
      <c r="B841" s="23"/>
      <c r="C841" s="2"/>
      <c r="D841" s="23">
        <v>2024</v>
      </c>
      <c r="E841" s="25">
        <f>'Current Ratio'!G925</f>
        <v>1.0409273239668402</v>
      </c>
      <c r="F841" s="25">
        <f>'Cash Ratio'!G925</f>
        <v>3.583403616316623E-2</v>
      </c>
      <c r="G841" s="25">
        <f>DAR!G925</f>
        <v>0.4295843665749392</v>
      </c>
      <c r="H841" s="25">
        <f>DER!G925</f>
        <v>0.75310993375053881</v>
      </c>
      <c r="I841" s="25">
        <f>NPM!G925</f>
        <v>2.6079963235294119E-2</v>
      </c>
      <c r="J841" s="25">
        <f>ROA!G925</f>
        <v>4.750295585573331E-3</v>
      </c>
      <c r="K841" s="25">
        <f>ROE!G925</f>
        <v>8.327804901909831E-3</v>
      </c>
      <c r="L841" s="25">
        <f>KM!E925</f>
        <v>0.77390000000000003</v>
      </c>
      <c r="M841" s="24">
        <f>KI!E925</f>
        <v>2</v>
      </c>
      <c r="N841" s="108">
        <f>IO!E925</f>
        <v>0</v>
      </c>
      <c r="O841" s="24">
        <f>'BoC Size'!E925</f>
        <v>4</v>
      </c>
      <c r="P841" s="24">
        <f>'TMT E DK'!E925</f>
        <v>10</v>
      </c>
      <c r="Q841" s="24">
        <f>Data!R925</f>
        <v>4</v>
      </c>
      <c r="R841" s="24">
        <f>Data!S925</f>
        <v>4</v>
      </c>
      <c r="S841" s="24">
        <f>'TMT E DK'!E925</f>
        <v>10</v>
      </c>
      <c r="T841" s="24">
        <f>'TMT E DD'!E925</f>
        <v>10</v>
      </c>
      <c r="U841" s="24">
        <f>TA!E925</f>
        <v>573438000000</v>
      </c>
      <c r="V841" s="109">
        <f>PR!F925</f>
        <v>9.1125620266388097E-2</v>
      </c>
      <c r="W841" s="109">
        <f>'Z Score'!I925</f>
        <v>0.11380285226999257</v>
      </c>
      <c r="X841" s="109">
        <f>'Z Score'!L925</f>
        <v>0.51442506426152435</v>
      </c>
      <c r="Y841" s="109">
        <f>'Z Score'!O925</f>
        <v>4.8715013654484003E-2</v>
      </c>
      <c r="Z841" s="109">
        <f>'Z Score'!R925</f>
        <v>1.394218762685719</v>
      </c>
      <c r="AA841" s="109">
        <f>'Z Score'!S925</f>
        <v>2.07116169287172</v>
      </c>
    </row>
    <row r="842" spans="1:27" ht="15" customHeight="1" x14ac:dyDescent="0.3">
      <c r="A842" s="22"/>
      <c r="B842" s="23">
        <v>85</v>
      </c>
      <c r="C842" s="2" t="s">
        <v>99</v>
      </c>
      <c r="D842" s="23">
        <v>2015</v>
      </c>
      <c r="E842" s="25">
        <f>'Current Ratio'!G927</f>
        <v>0.66303195986026342</v>
      </c>
      <c r="F842" s="25">
        <f>'Cash Ratio'!G927</f>
        <v>9.3073180721686549E-2</v>
      </c>
      <c r="G842" s="25">
        <f>DAR!G927</f>
        <v>0.5489404396261558</v>
      </c>
      <c r="H842" s="25">
        <f>DER!G927</f>
        <v>1.2170021164637028</v>
      </c>
      <c r="I842" s="25">
        <f>NPM!G927</f>
        <v>0.14070518814020652</v>
      </c>
      <c r="J842" s="25">
        <f>ROA!G927</f>
        <v>6.5039213690120612E-2</v>
      </c>
      <c r="K842" s="25">
        <f>ROE!G927</f>
        <v>0.14419207440413243</v>
      </c>
      <c r="L842" s="25">
        <f>KM!E927</f>
        <v>0.93799999999999994</v>
      </c>
      <c r="M842" s="24">
        <f>KI!E927</f>
        <v>1</v>
      </c>
      <c r="N842" s="108">
        <f>IO!E927</f>
        <v>0</v>
      </c>
      <c r="O842" s="24">
        <f>'BoC Size'!E927</f>
        <v>4</v>
      </c>
      <c r="P842" s="24">
        <f>'TMT E DK'!E927</f>
        <v>8</v>
      </c>
      <c r="Q842" s="24">
        <f>Data!R927</f>
        <v>4</v>
      </c>
      <c r="R842" s="24">
        <f>Data!S927</f>
        <v>4</v>
      </c>
      <c r="S842" s="24">
        <f>'TMT E DK'!E927</f>
        <v>8</v>
      </c>
      <c r="T842" s="24">
        <f>'TMT E DD'!E927</f>
        <v>10</v>
      </c>
      <c r="U842" s="24">
        <f>TA!E927</f>
        <v>1561827000000</v>
      </c>
      <c r="V842" s="109">
        <f>PR!F927</f>
        <v>0.14985084040640215</v>
      </c>
      <c r="W842" s="109">
        <f>'Z Score'!I927</f>
        <v>-1.1886927809546126</v>
      </c>
      <c r="X842" s="109">
        <f>'Z Score'!L927</f>
        <v>1.2835741090402457</v>
      </c>
      <c r="Y842" s="109">
        <f>'Z Score'!O927</f>
        <v>0.55209495033700917</v>
      </c>
      <c r="Z842" s="109">
        <f>'Z Score'!R927</f>
        <v>0.86277582084329629</v>
      </c>
      <c r="AA842" s="109">
        <f>'Z Score'!S927</f>
        <v>1.5097520992659386</v>
      </c>
    </row>
    <row r="843" spans="1:27" ht="15" customHeight="1" x14ac:dyDescent="0.3">
      <c r="A843" s="22"/>
      <c r="B843" s="23"/>
      <c r="C843" s="2"/>
      <c r="D843" s="23">
        <v>2016</v>
      </c>
      <c r="E843" s="25">
        <f>'Current Ratio'!G928</f>
        <v>0.71963513651025035</v>
      </c>
      <c r="F843" s="25">
        <f>'Cash Ratio'!G928</f>
        <v>8.4992036803456947E-2</v>
      </c>
      <c r="G843" s="25">
        <f>DAR!G928</f>
        <v>0.53692537581249444</v>
      </c>
      <c r="H843" s="25">
        <f>DER!G928</f>
        <v>1.1594791590114979</v>
      </c>
      <c r="I843" s="25">
        <f>NPM!G928</f>
        <v>9.7869857017799822E-2</v>
      </c>
      <c r="J843" s="25">
        <f>ROA!G928</f>
        <v>3.839273836520405E-2</v>
      </c>
      <c r="K843" s="25">
        <f>ROE!G928</f>
        <v>8.290831835703931E-2</v>
      </c>
      <c r="L843" s="25">
        <f>KM!E928</f>
        <v>0.93799999999999994</v>
      </c>
      <c r="M843" s="24">
        <f>KI!E928</f>
        <v>1</v>
      </c>
      <c r="N843" s="108">
        <f>IO!E928</f>
        <v>0</v>
      </c>
      <c r="O843" s="24">
        <f>'BoC Size'!E928</f>
        <v>4</v>
      </c>
      <c r="P843" s="24">
        <f>'TMT E DK'!E928</f>
        <v>8</v>
      </c>
      <c r="Q843" s="24">
        <f>Data!R928</f>
        <v>4</v>
      </c>
      <c r="R843" s="24">
        <f>Data!S928</f>
        <v>4</v>
      </c>
      <c r="S843" s="24">
        <f>'TMT E DK'!E928</f>
        <v>8</v>
      </c>
      <c r="T843" s="24">
        <f>'TMT E DD'!E928</f>
        <v>10</v>
      </c>
      <c r="U843" s="24">
        <f>TA!E928</f>
        <v>1616165000000</v>
      </c>
      <c r="V843" s="109">
        <f>PR!F928</f>
        <v>-0.12181152042773934</v>
      </c>
      <c r="W843" s="109">
        <f>'Z Score'!I928</f>
        <v>-0.96176585930273206</v>
      </c>
      <c r="X843" s="109">
        <f>'Z Score'!L928</f>
        <v>1.3335286310494285</v>
      </c>
      <c r="Y843" s="109">
        <f>'Z Score'!O928</f>
        <v>0.29614461394721453</v>
      </c>
      <c r="Z843" s="109">
        <f>'Z Score'!R928</f>
        <v>0.90557901954457465</v>
      </c>
      <c r="AA843" s="109">
        <f>'Z Score'!S928</f>
        <v>1.5734864052384858</v>
      </c>
    </row>
    <row r="844" spans="1:27" ht="15" customHeight="1" x14ac:dyDescent="0.3">
      <c r="A844" s="22"/>
      <c r="B844" s="23"/>
      <c r="C844" s="2"/>
      <c r="D844" s="23">
        <v>2017</v>
      </c>
      <c r="E844" s="25">
        <f>'Current Ratio'!G929</f>
        <v>4.4445449429168677</v>
      </c>
      <c r="F844" s="25">
        <f>'Cash Ratio'!G929</f>
        <v>0.37097413839125692</v>
      </c>
      <c r="G844" s="25">
        <f>DAR!G929</f>
        <v>0.56904182335616094</v>
      </c>
      <c r="H844" s="25">
        <f>DER!G929</f>
        <v>1.3204107827531479</v>
      </c>
      <c r="I844" s="25">
        <f>NPM!G929</f>
        <v>0.21155615207130038</v>
      </c>
      <c r="J844" s="25">
        <f>ROA!G929</f>
        <v>5.6901545845271483E-2</v>
      </c>
      <c r="K844" s="25">
        <f>ROE!G929</f>
        <v>0.13203496053469052</v>
      </c>
      <c r="L844" s="25">
        <f>KM!E929</f>
        <v>0.93799999999999994</v>
      </c>
      <c r="M844" s="24">
        <f>KI!E929</f>
        <v>1</v>
      </c>
      <c r="N844" s="108">
        <f>IO!E929</f>
        <v>0</v>
      </c>
      <c r="O844" s="24">
        <f>'BoC Size'!E929</f>
        <v>3</v>
      </c>
      <c r="P844" s="24">
        <f>'TMT E DK'!E929</f>
        <v>7</v>
      </c>
      <c r="Q844" s="24">
        <f>Data!R929</f>
        <v>3</v>
      </c>
      <c r="R844" s="24">
        <f>Data!S929</f>
        <v>4</v>
      </c>
      <c r="S844" s="24">
        <f>'TMT E DK'!E929</f>
        <v>7</v>
      </c>
      <c r="T844" s="24">
        <f>'TMT E DD'!E929</f>
        <v>10</v>
      </c>
      <c r="U844" s="24">
        <f>TA!E929</f>
        <v>1972319000000</v>
      </c>
      <c r="V844" s="109">
        <f>PR!F929</f>
        <v>-0.16326153991750725</v>
      </c>
      <c r="W844" s="109">
        <f>'Z Score'!I929</f>
        <v>1.7099772602707777</v>
      </c>
      <c r="X844" s="109">
        <f>'Z Score'!L929</f>
        <v>1.2490061496137288</v>
      </c>
      <c r="Y844" s="109">
        <f>'Z Score'!O929</f>
        <v>0.47188439598259713</v>
      </c>
      <c r="Z844" s="109">
        <f>'Z Score'!R929</f>
        <v>0.79520707776308619</v>
      </c>
      <c r="AA844" s="109">
        <f>'Z Score'!S929</f>
        <v>4.22607488363019</v>
      </c>
    </row>
    <row r="845" spans="1:27" ht="15" customHeight="1" x14ac:dyDescent="0.3">
      <c r="A845" s="22"/>
      <c r="B845" s="23"/>
      <c r="C845" s="2"/>
      <c r="D845" s="23">
        <v>2018</v>
      </c>
      <c r="E845" s="25">
        <f>'Current Ratio'!G930</f>
        <v>3.0639866993082725</v>
      </c>
      <c r="F845" s="25">
        <f>'Cash Ratio'!G930</f>
        <v>0</v>
      </c>
      <c r="G845" s="25">
        <f>DAR!G930</f>
        <v>0.57476345968944365</v>
      </c>
      <c r="H845" s="25">
        <f>DER!G930</f>
        <v>1.3516338155861036</v>
      </c>
      <c r="I845" s="25">
        <f>NPM!G930</f>
        <v>0.11933771898770806</v>
      </c>
      <c r="J845" s="25">
        <f>ROA!G930</f>
        <v>3.6013117129838221E-2</v>
      </c>
      <c r="K845" s="25">
        <f>ROE!G930</f>
        <v>8.4689703384507833E-2</v>
      </c>
      <c r="L845" s="25">
        <f>KM!E930</f>
        <v>0.93799999999999994</v>
      </c>
      <c r="M845" s="24">
        <f>KI!E930</f>
        <v>1</v>
      </c>
      <c r="N845" s="108">
        <f>IO!E930</f>
        <v>0</v>
      </c>
      <c r="O845" s="24">
        <f>'BoC Size'!E930</f>
        <v>3</v>
      </c>
      <c r="P845" s="24">
        <f>'TMT E DK'!E930</f>
        <v>7</v>
      </c>
      <c r="Q845" s="24">
        <f>Data!R930</f>
        <v>3</v>
      </c>
      <c r="R845" s="24">
        <f>Data!S930</f>
        <v>4</v>
      </c>
      <c r="S845" s="24">
        <f>'TMT E DK'!E930</f>
        <v>7</v>
      </c>
      <c r="T845" s="24">
        <f>'TMT E DD'!E930</f>
        <v>12</v>
      </c>
      <c r="U845" s="24">
        <f>TA!E930</f>
        <v>2152910000000</v>
      </c>
      <c r="V845" s="109">
        <f>PR!F930</f>
        <v>0.22471007826755743</v>
      </c>
      <c r="W845" s="109">
        <f>'Z Score'!I930</f>
        <v>1.6492523328889734</v>
      </c>
      <c r="X845" s="109">
        <f>'Z Score'!L930</f>
        <v>1.2679159091648047</v>
      </c>
      <c r="Y845" s="109">
        <f>'Z Score'!O930</f>
        <v>0.37283669080453896</v>
      </c>
      <c r="Z845" s="109">
        <f>'Z Score'!R930</f>
        <v>0.77683762265498857</v>
      </c>
      <c r="AA845" s="109">
        <f>'Z Score'!S930</f>
        <v>4.0668425555133059</v>
      </c>
    </row>
    <row r="846" spans="1:27" ht="15" customHeight="1" x14ac:dyDescent="0.3">
      <c r="A846" s="22"/>
      <c r="B846" s="23"/>
      <c r="C846" s="2"/>
      <c r="D846" s="23">
        <v>2019</v>
      </c>
      <c r="E846" s="25">
        <f>'Current Ratio'!G931</f>
        <v>3.4295363824125196</v>
      </c>
      <c r="F846" s="25">
        <f>'Cash Ratio'!G931</f>
        <v>0.31899898717083053</v>
      </c>
      <c r="G846" s="25">
        <f>DAR!G931</f>
        <v>0.65873392908542372</v>
      </c>
      <c r="H846" s="25">
        <f>DER!G931</f>
        <v>1.9302649317585225</v>
      </c>
      <c r="I846" s="25">
        <f>NPM!G931</f>
        <v>0.1918652362914112</v>
      </c>
      <c r="J846" s="25">
        <f>ROA!G931</f>
        <v>4.2994693666513865E-2</v>
      </c>
      <c r="K846" s="25">
        <f>ROE!G931</f>
        <v>0.12598584310268582</v>
      </c>
      <c r="L846" s="25">
        <f>KM!E931</f>
        <v>0.93799999999999994</v>
      </c>
      <c r="M846" s="24">
        <f>KI!E931</f>
        <v>1</v>
      </c>
      <c r="N846" s="108">
        <f>IO!E931</f>
        <v>0</v>
      </c>
      <c r="O846" s="24">
        <f>'BoC Size'!E931</f>
        <v>3</v>
      </c>
      <c r="P846" s="24">
        <f>'TMT E DK'!E931</f>
        <v>7</v>
      </c>
      <c r="Q846" s="24">
        <f>Data!R931</f>
        <v>3</v>
      </c>
      <c r="R846" s="24">
        <f>Data!S931</f>
        <v>4</v>
      </c>
      <c r="S846" s="24">
        <f>'TMT E DK'!E931</f>
        <v>7</v>
      </c>
      <c r="T846" s="24">
        <f>'TMT E DD'!E931</f>
        <v>12</v>
      </c>
      <c r="U846" s="24">
        <f>TA!E931</f>
        <v>3001696000000</v>
      </c>
      <c r="V846" s="109">
        <f>PR!F931</f>
        <v>3.5324321911546053E-2</v>
      </c>
      <c r="W846" s="109">
        <f>'Z Score'!I931</f>
        <v>2.1388705585109213</v>
      </c>
      <c r="X846" s="109">
        <f>'Z Score'!L931</f>
        <v>1.0173229267720647</v>
      </c>
      <c r="Y846" s="109">
        <f>'Z Score'!O931</f>
        <v>0.33197520335170516</v>
      </c>
      <c r="Z846" s="109">
        <f>'Z Score'!R931</f>
        <v>0.543966780271671</v>
      </c>
      <c r="AA846" s="109">
        <f>'Z Score'!S931</f>
        <v>4.0321354689063629</v>
      </c>
    </row>
    <row r="847" spans="1:27" ht="15" customHeight="1" x14ac:dyDescent="0.3">
      <c r="A847" s="22"/>
      <c r="B847" s="23"/>
      <c r="C847" s="2"/>
      <c r="D847" s="23">
        <v>2020</v>
      </c>
      <c r="E847" s="25">
        <f>'Current Ratio'!G932</f>
        <v>4.1693759375783985</v>
      </c>
      <c r="F847" s="25">
        <f>'Cash Ratio'!G932</f>
        <v>0.50679920334635487</v>
      </c>
      <c r="G847" s="25">
        <f>DAR!G932</f>
        <v>0.67396176194422419</v>
      </c>
      <c r="H847" s="25">
        <f>DER!G932</f>
        <v>2.0671249052355902</v>
      </c>
      <c r="I847" s="25">
        <f>NPM!G932</f>
        <v>0.11850310097001243</v>
      </c>
      <c r="J847" s="25">
        <f>ROA!G932</f>
        <v>2.1049685983434211E-2</v>
      </c>
      <c r="K847" s="25">
        <f>ROE!G932</f>
        <v>6.4562016127179586E-2</v>
      </c>
      <c r="L847" s="25">
        <f>KM!E932</f>
        <v>0.93799999999999994</v>
      </c>
      <c r="M847" s="24">
        <f>KI!E932</f>
        <v>2</v>
      </c>
      <c r="N847" s="108">
        <f>IO!E932</f>
        <v>0</v>
      </c>
      <c r="O847" s="24">
        <f>'BoC Size'!E932</f>
        <v>4</v>
      </c>
      <c r="P847" s="24">
        <f>'TMT E DK'!E932</f>
        <v>12</v>
      </c>
      <c r="Q847" s="24">
        <f>Data!R932</f>
        <v>4</v>
      </c>
      <c r="R847" s="24">
        <f>Data!S932</f>
        <v>4</v>
      </c>
      <c r="S847" s="24">
        <f>'TMT E DK'!E932</f>
        <v>12</v>
      </c>
      <c r="T847" s="24">
        <f>'TMT E DD'!E932</f>
        <v>12</v>
      </c>
      <c r="U847" s="24">
        <f>TA!E932</f>
        <v>3337722000000</v>
      </c>
      <c r="V847" s="109">
        <f>PR!F932</f>
        <v>-0.11858427340465387</v>
      </c>
      <c r="W847" s="109">
        <f>'Z Score'!I932</f>
        <v>2.4333101918014739</v>
      </c>
      <c r="X847" s="109">
        <f>'Z Score'!L932</f>
        <v>0.96163652335335281</v>
      </c>
      <c r="Y847" s="109">
        <f>'Z Score'!O932</f>
        <v>0.14625975440734729</v>
      </c>
      <c r="Z847" s="109">
        <f>'Z Score'!R932</f>
        <v>0.50795188880002951</v>
      </c>
      <c r="AA847" s="109">
        <f>'Z Score'!S932</f>
        <v>4.0491583583622042</v>
      </c>
    </row>
    <row r="848" spans="1:27" ht="15" customHeight="1" x14ac:dyDescent="0.3">
      <c r="A848" s="22"/>
      <c r="B848" s="23"/>
      <c r="C848" s="2"/>
      <c r="D848" s="23">
        <v>2021</v>
      </c>
      <c r="E848" s="25">
        <f>'Current Ratio'!G933</f>
        <v>4.2787481640492597</v>
      </c>
      <c r="F848" s="25">
        <f>'Cash Ratio'!G933</f>
        <v>0.33521071065416336</v>
      </c>
      <c r="G848" s="25">
        <f>DAR!G933</f>
        <v>0.65724033025983497</v>
      </c>
      <c r="H848" s="25">
        <f>DER!G933</f>
        <v>1.9174961008629388</v>
      </c>
      <c r="I848" s="25">
        <f>NPM!G933</f>
        <v>6.3535507216579634E-2</v>
      </c>
      <c r="J848" s="25">
        <f>ROA!G933</f>
        <v>1.1607654777745323E-2</v>
      </c>
      <c r="K848" s="25">
        <f>ROE!G933</f>
        <v>3.3865287554235048E-2</v>
      </c>
      <c r="L848" s="25">
        <f>KM!E933</f>
        <v>0.93799999999999994</v>
      </c>
      <c r="M848" s="24">
        <f>KI!E933</f>
        <v>2</v>
      </c>
      <c r="N848" s="108">
        <f>IO!E933</f>
        <v>0</v>
      </c>
      <c r="O848" s="24">
        <f>'BoC Size'!E933</f>
        <v>4</v>
      </c>
      <c r="P848" s="24">
        <f>'TMT E DK'!E933</f>
        <v>12</v>
      </c>
      <c r="Q848" s="24">
        <f>Data!R933</f>
        <v>4</v>
      </c>
      <c r="R848" s="24">
        <f>Data!S933</f>
        <v>4</v>
      </c>
      <c r="S848" s="24">
        <f>'TMT E DK'!E933</f>
        <v>12</v>
      </c>
      <c r="T848" s="24">
        <f>'TMT E DD'!E933</f>
        <v>10</v>
      </c>
      <c r="U848" s="24">
        <f>TA!E933</f>
        <v>3327804000000</v>
      </c>
      <c r="V848" s="109">
        <f>PR!F933</f>
        <v>2.5462193803457368E-2</v>
      </c>
      <c r="W848" s="109">
        <f>'Z Score'!I933</f>
        <v>2.2882659195072788</v>
      </c>
      <c r="X848" s="109">
        <f>'Z Score'!L933</f>
        <v>1.043186010954972</v>
      </c>
      <c r="Y848" s="109">
        <f>'Z Score'!O933</f>
        <v>0.1441896457844272</v>
      </c>
      <c r="Z848" s="109">
        <f>'Z Score'!R933</f>
        <v>0.54758911870927096</v>
      </c>
      <c r="AA848" s="109">
        <f>'Z Score'!S933</f>
        <v>4.0232306949559486</v>
      </c>
    </row>
    <row r="849" spans="1:27" ht="15" customHeight="1" x14ac:dyDescent="0.3">
      <c r="A849" s="22"/>
      <c r="B849" s="23"/>
      <c r="C849" s="2"/>
      <c r="D849" s="23">
        <v>2022</v>
      </c>
      <c r="E849" s="25">
        <f>'Current Ratio'!G934</f>
        <v>4.3675631787731986</v>
      </c>
      <c r="F849" s="25">
        <f>'Cash Ratio'!G934</f>
        <v>0.75336644366945749</v>
      </c>
      <c r="G849" s="25">
        <f>DAR!G934</f>
        <v>0.66580828706261164</v>
      </c>
      <c r="H849" s="25">
        <f>DER!G934</f>
        <v>1.9922944264849334</v>
      </c>
      <c r="I849" s="25">
        <f>NPM!G934</f>
        <v>0.10237745269592403</v>
      </c>
      <c r="J849" s="25">
        <f>ROA!G934</f>
        <v>1.952855322148252E-2</v>
      </c>
      <c r="K849" s="25">
        <f>ROE!G934</f>
        <v>5.8435180961956538E-2</v>
      </c>
      <c r="L849" s="25">
        <f>KM!E934</f>
        <v>0.93799999999999994</v>
      </c>
      <c r="M849" s="24">
        <f>KI!E934</f>
        <v>2</v>
      </c>
      <c r="N849" s="108">
        <f>IO!E934</f>
        <v>0</v>
      </c>
      <c r="O849" s="24">
        <f>'BoC Size'!E934</f>
        <v>4</v>
      </c>
      <c r="P849" s="24">
        <f>'TMT E DK'!E934</f>
        <v>12</v>
      </c>
      <c r="Q849" s="24">
        <f>Data!R934</f>
        <v>4</v>
      </c>
      <c r="R849" s="24">
        <f>Data!S934</f>
        <v>4</v>
      </c>
      <c r="S849" s="24">
        <f>'TMT E DK'!E934</f>
        <v>12</v>
      </c>
      <c r="T849" s="24">
        <f>'TMT E DD'!E934</f>
        <v>10</v>
      </c>
      <c r="U849" s="24">
        <f>TA!E934</f>
        <v>3595146000000</v>
      </c>
      <c r="V849" s="109">
        <f>PR!F934</f>
        <v>0.1279674328714174</v>
      </c>
      <c r="W849" s="109">
        <f>'Z Score'!I934</f>
        <v>2.7169431227549588</v>
      </c>
      <c r="X849" s="109">
        <f>'Z Score'!L934</f>
        <v>1.0418591289477535</v>
      </c>
      <c r="Y849" s="109">
        <f>'Z Score'!O934</f>
        <v>0.19958243698586928</v>
      </c>
      <c r="Z849" s="109">
        <f>'Z Score'!R934</f>
        <v>0.52703053627096041</v>
      </c>
      <c r="AA849" s="109">
        <f>'Z Score'!S934</f>
        <v>4.4854152249595423</v>
      </c>
    </row>
    <row r="850" spans="1:27" ht="15" customHeight="1" x14ac:dyDescent="0.3">
      <c r="A850" s="22"/>
      <c r="B850" s="23"/>
      <c r="C850" s="2"/>
      <c r="D850" s="23">
        <v>2023</v>
      </c>
      <c r="E850" s="25">
        <f>'Current Ratio'!G935</f>
        <v>2.9063265920667614</v>
      </c>
      <c r="F850" s="25">
        <f>'Cash Ratio'!G935</f>
        <v>0.67942920526578598</v>
      </c>
      <c r="G850" s="25">
        <f>DAR!G935</f>
        <v>0.67959527455805302</v>
      </c>
      <c r="H850" s="25">
        <f>DER!G935</f>
        <v>2.1210525956527642</v>
      </c>
      <c r="I850" s="25">
        <f>NPM!G935</f>
        <v>0.15294843509086195</v>
      </c>
      <c r="J850" s="25">
        <f>ROA!G935</f>
        <v>3.0542253551930628E-2</v>
      </c>
      <c r="K850" s="25">
        <f>ROE!G935</f>
        <v>9.5323979725337946E-2</v>
      </c>
      <c r="L850" s="25">
        <f>KM!E935</f>
        <v>0.93799999999999994</v>
      </c>
      <c r="M850" s="24">
        <f>KI!E935</f>
        <v>2</v>
      </c>
      <c r="N850" s="108">
        <f>IO!E935</f>
        <v>0</v>
      </c>
      <c r="O850" s="24">
        <f>'BoC Size'!E935</f>
        <v>3</v>
      </c>
      <c r="P850" s="24">
        <f>'TMT E DK'!E935</f>
        <v>9</v>
      </c>
      <c r="Q850" s="24">
        <f>Data!R935</f>
        <v>3</v>
      </c>
      <c r="R850" s="24">
        <f>Data!S935</f>
        <v>4</v>
      </c>
      <c r="S850" s="24">
        <f>'TMT E DK'!E935</f>
        <v>9</v>
      </c>
      <c r="T850" s="24">
        <f>'TMT E DD'!E935</f>
        <v>10</v>
      </c>
      <c r="U850" s="24">
        <f>TA!E935</f>
        <v>4115086000000</v>
      </c>
      <c r="V850" s="109">
        <f>PR!F935</f>
        <v>0.19826444786635869</v>
      </c>
      <c r="W850" s="109">
        <f>'Z Score'!I935</f>
        <v>2.3917770272601837</v>
      </c>
      <c r="X850" s="109">
        <f>'Z Score'!L935</f>
        <v>1.0015231613628488</v>
      </c>
      <c r="Y850" s="109">
        <f>'Z Score'!O935</f>
        <v>0.24721408009455939</v>
      </c>
      <c r="Z850" s="109">
        <f>'Z Score'!R935</f>
        <v>0.49503722922856491</v>
      </c>
      <c r="AA850" s="109">
        <f>'Z Score'!S935</f>
        <v>4.1355514979461567</v>
      </c>
    </row>
    <row r="851" spans="1:27" ht="15" customHeight="1" x14ac:dyDescent="0.3">
      <c r="A851" s="22"/>
      <c r="B851" s="23"/>
      <c r="C851" s="2"/>
      <c r="D851" s="23">
        <v>2024</v>
      </c>
      <c r="E851" s="25">
        <f>'Current Ratio'!G936</f>
        <v>2.0397426613936389</v>
      </c>
      <c r="F851" s="25">
        <f>'Cash Ratio'!G936</f>
        <v>0.40598920168946884</v>
      </c>
      <c r="G851" s="25">
        <f>DAR!G936</f>
        <v>0.66912875666808003</v>
      </c>
      <c r="H851" s="25">
        <f>DER!G936</f>
        <v>2.0223236988801427</v>
      </c>
      <c r="I851" s="25">
        <f>NPM!G936</f>
        <v>0.15271211346792743</v>
      </c>
      <c r="J851" s="25">
        <f>ROA!G936</f>
        <v>2.8767638819196664E-2</v>
      </c>
      <c r="K851" s="25">
        <f>ROE!G936</f>
        <v>8.6945116564082436E-2</v>
      </c>
      <c r="L851" s="25">
        <f>KM!E936</f>
        <v>0.93799999999999994</v>
      </c>
      <c r="M851" s="24">
        <f>KI!E936</f>
        <v>2</v>
      </c>
      <c r="N851" s="108">
        <f>IO!E936</f>
        <v>0</v>
      </c>
      <c r="O851" s="24">
        <f>'BoC Size'!E936</f>
        <v>4</v>
      </c>
      <c r="P851" s="24">
        <f>'TMT E DK'!E936</f>
        <v>12</v>
      </c>
      <c r="Q851" s="24">
        <f>Data!R936</f>
        <v>4</v>
      </c>
      <c r="R851" s="24">
        <f>Data!S936</f>
        <v>4</v>
      </c>
      <c r="S851" s="24">
        <f>'TMT E DK'!E936</f>
        <v>12</v>
      </c>
      <c r="T851" s="24" t="str">
        <f>'TMT E DD'!E936</f>
        <v xml:space="preserve"> </v>
      </c>
      <c r="U851" s="24">
        <f>TA!E936</f>
        <v>4320584000000</v>
      </c>
      <c r="V851" s="109">
        <f>PR!F936</f>
        <v>-9.5370682489981633E-3</v>
      </c>
      <c r="W851" s="109">
        <f>'Z Score'!I936</f>
        <v>1.643812484608562</v>
      </c>
      <c r="X851" s="109">
        <f>'Z Score'!L936</f>
        <v>1.0666832539304871</v>
      </c>
      <c r="Y851" s="109">
        <f>'Z Score'!O936</f>
        <v>0.29212028744262347</v>
      </c>
      <c r="Z851" s="109">
        <f>'Z Score'!R936</f>
        <v>0.51920471514102084</v>
      </c>
      <c r="AA851" s="109">
        <f>'Z Score'!S936</f>
        <v>3.5218207411226938</v>
      </c>
    </row>
    <row r="852" spans="1:27" ht="15" customHeight="1" x14ac:dyDescent="0.3">
      <c r="A852" s="22"/>
      <c r="B852" s="23">
        <v>86</v>
      </c>
      <c r="C852" s="1" t="s">
        <v>132</v>
      </c>
      <c r="D852" s="23">
        <v>2015</v>
      </c>
      <c r="E852" s="25">
        <f>'Current Ratio'!G938</f>
        <v>0</v>
      </c>
      <c r="F852" s="25">
        <f>'Cash Ratio'!G938</f>
        <v>0</v>
      </c>
      <c r="G852" s="25">
        <f>DAR!G938</f>
        <v>0</v>
      </c>
      <c r="H852" s="25">
        <f>DER!G938</f>
        <v>0</v>
      </c>
      <c r="I852" s="25">
        <f>NPM!G938</f>
        <v>0</v>
      </c>
      <c r="J852" s="25">
        <f>ROA!G938</f>
        <v>0</v>
      </c>
      <c r="K852" s="25">
        <f>ROE!G938</f>
        <v>0</v>
      </c>
      <c r="L852" s="25">
        <f>KM!E938</f>
        <v>0</v>
      </c>
      <c r="M852" s="24">
        <f>KI!E938</f>
        <v>0</v>
      </c>
      <c r="N852" s="108">
        <f>IO!E938</f>
        <v>0</v>
      </c>
      <c r="O852" s="24">
        <f>'BoC Size'!E938</f>
        <v>0</v>
      </c>
      <c r="P852" s="24">
        <f>'TMT E DK'!E938</f>
        <v>0</v>
      </c>
      <c r="Q852" s="24">
        <f>Data!R938</f>
        <v>0</v>
      </c>
      <c r="R852" s="24">
        <f>Data!S938</f>
        <v>0</v>
      </c>
      <c r="S852" s="24">
        <f>'TMT E DK'!E938</f>
        <v>0</v>
      </c>
      <c r="T852" s="24">
        <f>'TMT E DD'!E938</f>
        <v>0</v>
      </c>
      <c r="U852" s="24">
        <f>TA!E938</f>
        <v>0</v>
      </c>
      <c r="V852" s="109">
        <f>PR!F938</f>
        <v>0</v>
      </c>
      <c r="W852" s="109">
        <f>'Z Score'!I938</f>
        <v>0</v>
      </c>
      <c r="X852" s="109">
        <f>'Z Score'!L938</f>
        <v>0</v>
      </c>
      <c r="Y852" s="109">
        <f>'Z Score'!O938</f>
        <v>0</v>
      </c>
      <c r="Z852" s="109">
        <f>'Z Score'!R938</f>
        <v>0</v>
      </c>
      <c r="AA852" s="109">
        <f>'Z Score'!S938</f>
        <v>0</v>
      </c>
    </row>
    <row r="853" spans="1:27" ht="15" customHeight="1" x14ac:dyDescent="0.3">
      <c r="A853" s="22"/>
      <c r="B853" s="23"/>
      <c r="C853" s="1"/>
      <c r="D853" s="23">
        <v>2016</v>
      </c>
      <c r="E853" s="25">
        <f>'Current Ratio'!G939</f>
        <v>0.84804461920665997</v>
      </c>
      <c r="F853" s="25">
        <f>'Cash Ratio'!G939</f>
        <v>0.25071979730507887</v>
      </c>
      <c r="G853" s="25">
        <f>DAR!G939</f>
        <v>0.55443564730996842</v>
      </c>
      <c r="H853" s="25">
        <f>DER!G939</f>
        <v>1.6406712283387213</v>
      </c>
      <c r="I853" s="25">
        <f>NPM!G939</f>
        <v>0.18031323081284104</v>
      </c>
      <c r="J853" s="25">
        <f>ROA!G939</f>
        <v>4.9110399962941371E-2</v>
      </c>
      <c r="K853" s="25">
        <f>ROE!G939</f>
        <v>0.1453261900138221</v>
      </c>
      <c r="L853" s="25">
        <f>KM!E939</f>
        <v>0.95499999999999996</v>
      </c>
      <c r="M853" s="24">
        <f>KI!E939</f>
        <v>0</v>
      </c>
      <c r="N853" s="108">
        <f>IO!E939</f>
        <v>0</v>
      </c>
      <c r="O853" s="24">
        <f>'BoC Size'!E939</f>
        <v>3</v>
      </c>
      <c r="P853" s="24">
        <f>'TMT E DK'!E939</f>
        <v>3</v>
      </c>
      <c r="Q853" s="24">
        <f>Data!R939</f>
        <v>3</v>
      </c>
      <c r="R853" s="24">
        <f>Data!S939</f>
        <v>3</v>
      </c>
      <c r="S853" s="24">
        <f>'TMT E DK'!E939</f>
        <v>3</v>
      </c>
      <c r="T853" s="24">
        <f>'TMT E DD'!E939</f>
        <v>9</v>
      </c>
      <c r="U853" s="24">
        <f>TA!E939</f>
        <v>259049000000</v>
      </c>
      <c r="V853" s="109">
        <f>PR!F939</f>
        <v>0</v>
      </c>
      <c r="W853" s="109">
        <f>'Z Score'!I939</f>
        <v>-0.23388687082366652</v>
      </c>
      <c r="X853" s="109">
        <f>'Z Score'!L939</f>
        <v>0.16009990387918885</v>
      </c>
      <c r="Y853" s="109">
        <f>'Z Score'!O939</f>
        <v>0.451322182289837</v>
      </c>
      <c r="Z853" s="109">
        <f>'Z Score'!R939</f>
        <v>0.63998196705331911</v>
      </c>
      <c r="AA853" s="109">
        <f>'Z Score'!S939</f>
        <v>1.0175171823986784</v>
      </c>
    </row>
    <row r="854" spans="1:27" ht="15" customHeight="1" x14ac:dyDescent="0.3">
      <c r="A854" s="22"/>
      <c r="B854" s="23"/>
      <c r="C854" s="1"/>
      <c r="D854" s="23">
        <v>2017</v>
      </c>
      <c r="E854" s="25">
        <f>'Current Ratio'!G940</f>
        <v>1.1109925293489862</v>
      </c>
      <c r="F854" s="25">
        <f>'Cash Ratio'!G940</f>
        <v>0.2014727854855923</v>
      </c>
      <c r="G854" s="25">
        <f>DAR!G940</f>
        <v>0.51450928624841663</v>
      </c>
      <c r="H854" s="25">
        <f>DER!G940</f>
        <v>1.417503179625172</v>
      </c>
      <c r="I854" s="25">
        <f>NPM!G940</f>
        <v>6.2512492504497308E-2</v>
      </c>
      <c r="J854" s="25">
        <f>ROA!G940</f>
        <v>1.4318525188090405E-2</v>
      </c>
      <c r="K854" s="25">
        <f>ROE!G940</f>
        <v>3.9448374449478123E-2</v>
      </c>
      <c r="L854" s="25">
        <f>KM!E940</f>
        <v>0.96499999999999997</v>
      </c>
      <c r="M854" s="24">
        <f>KI!E940</f>
        <v>2</v>
      </c>
      <c r="N854" s="108">
        <f>IO!E940</f>
        <v>0</v>
      </c>
      <c r="O854" s="24">
        <f>'BoC Size'!E940</f>
        <v>3</v>
      </c>
      <c r="P854" s="24">
        <f>'TMT E DK'!E940</f>
        <v>3</v>
      </c>
      <c r="Q854" s="24">
        <f>Data!R940</f>
        <v>3</v>
      </c>
      <c r="R854" s="24">
        <f>Data!S940</f>
        <v>3</v>
      </c>
      <c r="S854" s="24">
        <f>'TMT E DK'!E940</f>
        <v>3</v>
      </c>
      <c r="T854" s="24">
        <f>'TMT E DD'!E940</f>
        <v>9</v>
      </c>
      <c r="U854" s="24">
        <f>TA!E940</f>
        <v>262108000000</v>
      </c>
      <c r="V854" s="109">
        <f>PR!F940</f>
        <v>-0.14908936290836936</v>
      </c>
      <c r="W854" s="109">
        <f>'Z Score'!I940</f>
        <v>0.13014482579699971</v>
      </c>
      <c r="X854" s="109">
        <f>'Z Score'!L940</f>
        <v>1.3532131793001358E-2</v>
      </c>
      <c r="Y854" s="109">
        <f>'Z Score'!O940</f>
        <v>3.2611900437987396E-2</v>
      </c>
      <c r="Z854" s="109">
        <f>'Z Score'!R940</f>
        <v>0.74073907917275339</v>
      </c>
      <c r="AA854" s="109">
        <f>'Z Score'!S940</f>
        <v>0.91702793720074183</v>
      </c>
    </row>
    <row r="855" spans="1:27" ht="15" customHeight="1" x14ac:dyDescent="0.3">
      <c r="A855" s="22"/>
      <c r="B855" s="23"/>
      <c r="C855" s="1"/>
      <c r="D855" s="23">
        <v>2018</v>
      </c>
      <c r="E855" s="25">
        <f>'Current Ratio'!G941</f>
        <v>0.90216827172596736</v>
      </c>
      <c r="F855" s="25">
        <f>'Cash Ratio'!G941</f>
        <v>6.500490167810391E-2</v>
      </c>
      <c r="G855" s="25">
        <f>DAR!G941</f>
        <v>0.56426109595350449</v>
      </c>
      <c r="H855" s="25">
        <f>DER!G941</f>
        <v>1.5014748649771499</v>
      </c>
      <c r="I855" s="25">
        <f>NPM!G941</f>
        <v>2.3850570404905031E-2</v>
      </c>
      <c r="J855" s="25">
        <f>ROA!G941</f>
        <v>6.2100649109864672E-3</v>
      </c>
      <c r="K855" s="25">
        <f>ROE!G941</f>
        <v>1.6524719567926879E-2</v>
      </c>
      <c r="L855" s="25">
        <f>KM!E941</f>
        <v>0.96499999999999997</v>
      </c>
      <c r="M855" s="24">
        <f>KI!E941</f>
        <v>0</v>
      </c>
      <c r="N855" s="108">
        <f>IO!E941</f>
        <v>0</v>
      </c>
      <c r="O855" s="24">
        <f>'BoC Size'!E941</f>
        <v>2</v>
      </c>
      <c r="P855" s="24">
        <f>'TMT E DK'!E941</f>
        <v>2</v>
      </c>
      <c r="Q855" s="24">
        <f>Data!R941</f>
        <v>2</v>
      </c>
      <c r="R855" s="24">
        <f>Data!S941</f>
        <v>1</v>
      </c>
      <c r="S855" s="24">
        <f>'TMT E DK'!E941</f>
        <v>2</v>
      </c>
      <c r="T855" s="24">
        <f>'TMT E DD'!E941</f>
        <v>6</v>
      </c>
      <c r="U855" s="24">
        <f>TA!E941</f>
        <v>256197000000</v>
      </c>
      <c r="V855" s="109">
        <f>PR!F941</f>
        <v>0.11111666333533213</v>
      </c>
      <c r="W855" s="109">
        <f>'Z Score'!I941</f>
        <v>-0.17375753814447475</v>
      </c>
      <c r="X855" s="109">
        <f>'Z Score'!L941</f>
        <v>2.0244811609815883E-2</v>
      </c>
      <c r="Y855" s="109">
        <f>'Z Score'!O941</f>
        <v>3.6328294242321341E-2</v>
      </c>
      <c r="Z855" s="109">
        <f>'Z Score'!R941</f>
        <v>0.69931240574978215</v>
      </c>
      <c r="AA855" s="109">
        <f>'Z Score'!S941</f>
        <v>0.5821279734574446</v>
      </c>
    </row>
    <row r="856" spans="1:27" ht="15" customHeight="1" x14ac:dyDescent="0.3">
      <c r="A856" s="22"/>
      <c r="B856" s="23"/>
      <c r="C856" s="1"/>
      <c r="D856" s="23">
        <v>2019</v>
      </c>
      <c r="E856" s="25">
        <f>'Current Ratio'!G942</f>
        <v>1.4036596167556006</v>
      </c>
      <c r="F856" s="25">
        <f>'Cash Ratio'!G942</f>
        <v>0.10112553738469182</v>
      </c>
      <c r="G856" s="25">
        <f>DAR!G942</f>
        <v>0.58610552529597426</v>
      </c>
      <c r="H856" s="25">
        <f>DER!G942</f>
        <v>1.6908381916497786</v>
      </c>
      <c r="I856" s="25">
        <f>NPM!G942</f>
        <v>0.10501680725566055</v>
      </c>
      <c r="J856" s="25">
        <f>ROA!G942</f>
        <v>2.7563223289075921E-2</v>
      </c>
      <c r="K856" s="25">
        <f>ROE!G942</f>
        <v>7.9516313378218739E-2</v>
      </c>
      <c r="L856" s="25">
        <f>KM!E942</f>
        <v>0.96499999999999997</v>
      </c>
      <c r="M856" s="24">
        <f>KI!E942</f>
        <v>1</v>
      </c>
      <c r="N856" s="108">
        <f>IO!E942</f>
        <v>0</v>
      </c>
      <c r="O856" s="24">
        <f>'BoC Size'!E942</f>
        <v>2</v>
      </c>
      <c r="P856" s="24">
        <f>'TMT E DK'!E942</f>
        <v>4</v>
      </c>
      <c r="Q856" s="24">
        <f>Data!R942</f>
        <v>2</v>
      </c>
      <c r="R856" s="24">
        <f>Data!S942</f>
        <v>2</v>
      </c>
      <c r="S856" s="24">
        <f>'TMT E DK'!E942</f>
        <v>4</v>
      </c>
      <c r="T856" s="24">
        <f>'TMT E DD'!E942</f>
        <v>9</v>
      </c>
      <c r="U856" s="24">
        <f>TA!E942</f>
        <v>300364000000</v>
      </c>
      <c r="V856" s="109">
        <f>PR!F942</f>
        <v>0.18181000494700705</v>
      </c>
      <c r="W856" s="109">
        <f>'Z Score'!I942</f>
        <v>0.81616705064521711</v>
      </c>
      <c r="X856" s="109">
        <f>'Z Score'!L942</f>
        <v>0.25702168036116174</v>
      </c>
      <c r="Y856" s="109">
        <f>'Z Score'!O942</f>
        <v>0.19106417546709992</v>
      </c>
      <c r="Z856" s="109">
        <f>'Z Score'!R942</f>
        <v>0.62099377999943195</v>
      </c>
      <c r="AA856" s="109">
        <f>'Z Score'!S942</f>
        <v>1.8852466864729105</v>
      </c>
    </row>
    <row r="857" spans="1:27" ht="15" customHeight="1" x14ac:dyDescent="0.3">
      <c r="A857" s="22"/>
      <c r="B857" s="23"/>
      <c r="C857" s="1"/>
      <c r="D857" s="23">
        <v>2020</v>
      </c>
      <c r="E857" s="25">
        <f>'Current Ratio'!G943</f>
        <v>2.7721520231100283</v>
      </c>
      <c r="F857" s="25">
        <f>'Cash Ratio'!G943</f>
        <v>6.0015328079863227E-2</v>
      </c>
      <c r="G857" s="25">
        <f>DAR!G943</f>
        <v>0.8957183963999048</v>
      </c>
      <c r="H857" s="25">
        <f>DER!G943</f>
        <v>12.979590557105684</v>
      </c>
      <c r="I857" s="25">
        <f>NPM!G943</f>
        <v>8.4819697557192715E-5</v>
      </c>
      <c r="J857" s="25">
        <f>ROA!G943</f>
        <v>1.5144631228229593E-5</v>
      </c>
      <c r="K857" s="25">
        <f>ROE!G943</f>
        <v>2.194563752076998E-4</v>
      </c>
      <c r="L857" s="25">
        <f>KM!E943</f>
        <v>0.96499999999999997</v>
      </c>
      <c r="M857" s="24">
        <f>KI!E943</f>
        <v>2</v>
      </c>
      <c r="N857" s="108">
        <f>IO!E943</f>
        <v>0</v>
      </c>
      <c r="O857" s="24">
        <f>'BoC Size'!E943</f>
        <v>4</v>
      </c>
      <c r="P857" s="24">
        <f>'TMT E DK'!E943</f>
        <v>0</v>
      </c>
      <c r="Q857" s="24">
        <f>Data!R943</f>
        <v>4</v>
      </c>
      <c r="R857" s="24">
        <f>Data!S943</f>
        <v>4</v>
      </c>
      <c r="S857" s="24">
        <f>'TMT E DK'!E943</f>
        <v>0</v>
      </c>
      <c r="T857" s="24">
        <f>'TMT E DD'!E943</f>
        <v>0</v>
      </c>
      <c r="U857" s="24">
        <f>TA!E943</f>
        <v>462210000000</v>
      </c>
      <c r="V857" s="109">
        <f>PR!F943</f>
        <v>4.6844675588253948E-2</v>
      </c>
      <c r="W857" s="109">
        <f>'Z Score'!I943</f>
        <v>2.5597781095173189</v>
      </c>
      <c r="X857" s="109">
        <f>'Z Score'!L943</f>
        <v>-0.41651911468812874</v>
      </c>
      <c r="Y857" s="109">
        <f>'Z Score'!O943</f>
        <v>5.207814629713766E-2</v>
      </c>
      <c r="Z857" s="109">
        <f>'Z Score'!R943</f>
        <v>8.0896234390473665E-2</v>
      </c>
      <c r="AA857" s="109">
        <f>'Z Score'!S943</f>
        <v>2.2762333755168016</v>
      </c>
    </row>
    <row r="858" spans="1:27" ht="15" customHeight="1" x14ac:dyDescent="0.3">
      <c r="A858" s="22"/>
      <c r="B858" s="23"/>
      <c r="C858" s="1"/>
      <c r="D858" s="23">
        <v>2021</v>
      </c>
      <c r="E858" s="25">
        <f>'Current Ratio'!G944</f>
        <v>2.6585197934595524</v>
      </c>
      <c r="F858" s="25">
        <f>'Cash Ratio'!G944</f>
        <v>0.10363412835013523</v>
      </c>
      <c r="G858" s="25">
        <f>DAR!G944</f>
        <v>1.0081559624500418</v>
      </c>
      <c r="H858" s="25">
        <f>DER!G944</f>
        <v>11.538481995638531</v>
      </c>
      <c r="I858" s="25">
        <f>NPM!G944</f>
        <v>5.9857005390751915E-2</v>
      </c>
      <c r="J858" s="25">
        <f>ROA!G944</f>
        <v>1.3442234408402268E-2</v>
      </c>
      <c r="K858" s="25">
        <f>ROE!G944</f>
        <v>0.15384819956385298</v>
      </c>
      <c r="L858" s="25">
        <f>KM!E944</f>
        <v>0.96499999999999997</v>
      </c>
      <c r="M858" s="24">
        <f>KI!E944</f>
        <v>2</v>
      </c>
      <c r="N858" s="108">
        <f>IO!E944</f>
        <v>0</v>
      </c>
      <c r="O858" s="24">
        <f>'BoC Size'!E944</f>
        <v>3</v>
      </c>
      <c r="P858" s="24">
        <f>'TMT E DK'!E944</f>
        <v>0</v>
      </c>
      <c r="Q858" s="24">
        <f>Data!R944</f>
        <v>3</v>
      </c>
      <c r="R858" s="24">
        <f>Data!S944</f>
        <v>3</v>
      </c>
      <c r="S858" s="24">
        <f>'TMT E DK'!E944</f>
        <v>0</v>
      </c>
      <c r="T858" s="24">
        <f>'TMT E DD'!E944</f>
        <v>0</v>
      </c>
      <c r="U858" s="24">
        <f>TA!E944</f>
        <v>430360000000</v>
      </c>
      <c r="V858" s="109">
        <f>PR!F944</f>
        <v>0.17108132997285769</v>
      </c>
      <c r="W858" s="109">
        <f>'Z Score'!I944</f>
        <v>2.5704359141184123</v>
      </c>
      <c r="X858" s="109">
        <f>'Z Score'!L944</f>
        <v>-0.40047792545775629</v>
      </c>
      <c r="Y858" s="109">
        <f>'Z Score'!O944</f>
        <v>0.11522186076772935</v>
      </c>
      <c r="Z858" s="109">
        <f>'Z Score'!R944</f>
        <v>9.0999838661350169E-2</v>
      </c>
      <c r="AA858" s="109">
        <f>'Z Score'!S944</f>
        <v>2.3761796880897359</v>
      </c>
    </row>
    <row r="859" spans="1:27" ht="15" customHeight="1" x14ac:dyDescent="0.3">
      <c r="A859" s="22"/>
      <c r="B859" s="23"/>
      <c r="C859" s="1"/>
      <c r="D859" s="23">
        <v>2022</v>
      </c>
      <c r="E859" s="25">
        <f>'Current Ratio'!G945</f>
        <v>2.764787885414389</v>
      </c>
      <c r="F859" s="25">
        <f>'Cash Ratio'!G945</f>
        <v>4.0873970406006266E-2</v>
      </c>
      <c r="G859" s="25">
        <f>DAR!G945</f>
        <v>0.88395218691338628</v>
      </c>
      <c r="H859" s="25">
        <f>DER!G945</f>
        <v>9.6376499952001531</v>
      </c>
      <c r="I859" s="25">
        <f>NPM!G945</f>
        <v>0.13588820783894731</v>
      </c>
      <c r="J859" s="25">
        <f>ROA!G945</f>
        <v>2.5531892413511354E-2</v>
      </c>
      <c r="K859" s="25">
        <f>ROE!G945</f>
        <v>0.27837189209945284</v>
      </c>
      <c r="L859" s="25">
        <f>KM!E945</f>
        <v>0.96499999999999997</v>
      </c>
      <c r="M859" s="24">
        <f>KI!E945</f>
        <v>2</v>
      </c>
      <c r="N859" s="108">
        <f>IO!E945</f>
        <v>0</v>
      </c>
      <c r="O859" s="24">
        <f>'BoC Size'!E945</f>
        <v>3</v>
      </c>
      <c r="P859" s="24">
        <f>'TMT E DK'!E945</f>
        <v>0</v>
      </c>
      <c r="Q859" s="24">
        <f>Data!R945</f>
        <v>3</v>
      </c>
      <c r="R859" s="24">
        <f>Data!S945</f>
        <v>4</v>
      </c>
      <c r="S859" s="24">
        <f>'TMT E DK'!E945</f>
        <v>0</v>
      </c>
      <c r="T859" s="24">
        <f>'TMT E DD'!E945</f>
        <v>0</v>
      </c>
      <c r="U859" s="24">
        <f>TA!E945</f>
        <v>567878000000</v>
      </c>
      <c r="V859" s="109">
        <f>PR!F945</f>
        <v>0.10399702008339627</v>
      </c>
      <c r="W859" s="109">
        <f>'Z Score'!I945</f>
        <v>2.237452128802313</v>
      </c>
      <c r="X859" s="109">
        <f>'Z Score'!L945</f>
        <v>0.22026375383445035</v>
      </c>
      <c r="Y859" s="109">
        <f>'Z Score'!O945</f>
        <v>0.22341700153906296</v>
      </c>
      <c r="Z859" s="109">
        <f>'Z Score'!R945</f>
        <v>0.10894772071230356</v>
      </c>
      <c r="AA859" s="109">
        <f>'Z Score'!S945</f>
        <v>2.7900806048881304</v>
      </c>
    </row>
    <row r="860" spans="1:27" ht="15" customHeight="1" x14ac:dyDescent="0.3">
      <c r="A860" s="22"/>
      <c r="B860" s="23"/>
      <c r="C860" s="1"/>
      <c r="D860" s="23">
        <v>2023</v>
      </c>
      <c r="E860" s="25">
        <f>'Current Ratio'!G946</f>
        <v>2.7003972462734058</v>
      </c>
      <c r="F860" s="25">
        <f>'Cash Ratio'!G946</f>
        <v>1.9939448869005148E-2</v>
      </c>
      <c r="G860" s="25">
        <f>DAR!G946</f>
        <v>0.85419651467144231</v>
      </c>
      <c r="H860" s="25">
        <f>DER!G946</f>
        <v>8.0213612328390553</v>
      </c>
      <c r="I860" s="25">
        <f>NPM!G946</f>
        <v>9.5801654231248159E-2</v>
      </c>
      <c r="J860" s="25">
        <f>ROA!G946</f>
        <v>1.6295288607246178E-2</v>
      </c>
      <c r="K860" s="25">
        <f>ROE!G946</f>
        <v>0.15302145825584967</v>
      </c>
      <c r="L860" s="25">
        <f>KM!E946</f>
        <v>0.96499999999999997</v>
      </c>
      <c r="M860" s="24">
        <f>KI!E946</f>
        <v>2</v>
      </c>
      <c r="N860" s="108">
        <f>IO!E946</f>
        <v>0</v>
      </c>
      <c r="O860" s="24">
        <f>'BoC Size'!E946</f>
        <v>3</v>
      </c>
      <c r="P860" s="24">
        <f>'TMT E DK'!E946</f>
        <v>7</v>
      </c>
      <c r="Q860" s="24">
        <f>Data!R946</f>
        <v>3</v>
      </c>
      <c r="R860" s="24">
        <f>Data!S946</f>
        <v>3</v>
      </c>
      <c r="S860" s="24">
        <f>'TMT E DK'!E946</f>
        <v>7</v>
      </c>
      <c r="T860" s="24">
        <f>'TMT E DD'!E946</f>
        <v>7</v>
      </c>
      <c r="U860" s="24">
        <f>TA!E946</f>
        <v>580720000000</v>
      </c>
      <c r="V860" s="109">
        <f>PR!F946</f>
        <v>-7.4237567714483865E-2</v>
      </c>
      <c r="W860" s="109">
        <f>'Z Score'!I946</f>
        <v>1.992162832346053</v>
      </c>
      <c r="X860" s="109">
        <f>'Z Score'!L946</f>
        <v>-0.1622702162832346</v>
      </c>
      <c r="Y860" s="109">
        <f>'Z Score'!O946</f>
        <v>0.14588621022179363</v>
      </c>
      <c r="Z860" s="109">
        <f>'Z Score'!R946</f>
        <v>0.13090047555785819</v>
      </c>
      <c r="AA860" s="109">
        <f>'Z Score'!S946</f>
        <v>2.1066793018424703</v>
      </c>
    </row>
    <row r="861" spans="1:27" ht="15" customHeight="1" x14ac:dyDescent="0.3">
      <c r="A861" s="22"/>
      <c r="B861" s="23"/>
      <c r="C861" s="1"/>
      <c r="D861" s="23">
        <v>2024</v>
      </c>
      <c r="E861" s="25">
        <f>'Current Ratio'!G947</f>
        <v>2.3599171936733945</v>
      </c>
      <c r="F861" s="25">
        <f>'Cash Ratio'!G947</f>
        <v>1.1505787606821423E-2</v>
      </c>
      <c r="G861" s="25">
        <f>DAR!G947</f>
        <v>0.86158447025082008</v>
      </c>
      <c r="H861" s="25">
        <f>DER!G947</f>
        <v>7.2551452953315856</v>
      </c>
      <c r="I861" s="25">
        <f>NPM!G947</f>
        <v>7.9068745881836155E-2</v>
      </c>
      <c r="J861" s="25">
        <f>ROA!G947</f>
        <v>1.6095406682243223E-2</v>
      </c>
      <c r="K861" s="25">
        <f>ROE!G947</f>
        <v>0.13553460873445256</v>
      </c>
      <c r="L861" s="25">
        <f>KM!E947</f>
        <v>0.96499999999999997</v>
      </c>
      <c r="M861" s="24">
        <f>KI!E947</f>
        <v>2</v>
      </c>
      <c r="N861" s="108">
        <f>IO!E947</f>
        <v>0</v>
      </c>
      <c r="O861" s="24">
        <f>'BoC Size'!E947</f>
        <v>3</v>
      </c>
      <c r="P861" s="24">
        <f>'TMT E DK'!E947</f>
        <v>7</v>
      </c>
      <c r="Q861" s="24">
        <f>Data!R947</f>
        <v>3</v>
      </c>
      <c r="R861" s="24">
        <f>Data!S947</f>
        <v>3</v>
      </c>
      <c r="S861" s="24">
        <f>'TMT E DK'!E947</f>
        <v>7</v>
      </c>
      <c r="T861" s="24">
        <f>'TMT E DD'!E947</f>
        <v>7</v>
      </c>
      <c r="U861" s="24">
        <f>TA!E947</f>
        <v>603899000000</v>
      </c>
      <c r="V861" s="109">
        <f>PR!F947</f>
        <v>0.24453060935237961</v>
      </c>
      <c r="W861" s="109">
        <f>'Z Score'!I947</f>
        <v>2.3405736389694303</v>
      </c>
      <c r="X861" s="109">
        <f>'Z Score'!L947</f>
        <v>-0.10357089513312655</v>
      </c>
      <c r="Y861" s="109">
        <f>'Z Score'!O947</f>
        <v>0.13911836250763787</v>
      </c>
      <c r="Z861" s="109">
        <f>'Z Score'!R947</f>
        <v>0.14472487555495761</v>
      </c>
      <c r="AA861" s="109">
        <f>'Z Score'!S947</f>
        <v>2.5208459818988991</v>
      </c>
    </row>
    <row r="862" spans="1:27" ht="15" customHeight="1" x14ac:dyDescent="0.3">
      <c r="A862" s="22"/>
      <c r="B862" s="23">
        <v>87</v>
      </c>
      <c r="C862" s="4" t="s">
        <v>129</v>
      </c>
      <c r="D862" s="23">
        <v>2015</v>
      </c>
      <c r="E862" s="25">
        <f>'Current Ratio'!G949</f>
        <v>0</v>
      </c>
      <c r="F862" s="25">
        <f>'Cash Ratio'!G949</f>
        <v>0</v>
      </c>
      <c r="G862" s="25">
        <f>DAR!G949</f>
        <v>0</v>
      </c>
      <c r="H862" s="25">
        <f>DER!G949</f>
        <v>0</v>
      </c>
      <c r="I862" s="25">
        <f>NPM!G949</f>
        <v>0</v>
      </c>
      <c r="J862" s="25">
        <f>ROA!G949</f>
        <v>0</v>
      </c>
      <c r="K862" s="25">
        <f>ROE!G949</f>
        <v>0</v>
      </c>
      <c r="L862" s="25">
        <f>KM!E949</f>
        <v>0</v>
      </c>
      <c r="M862" s="24">
        <f>KI!E949</f>
        <v>0</v>
      </c>
      <c r="N862" s="108">
        <f>IO!E949</f>
        <v>0</v>
      </c>
      <c r="O862" s="24">
        <f>'BoC Size'!E949</f>
        <v>0</v>
      </c>
      <c r="P862" s="24">
        <f>'TMT E DK'!E949</f>
        <v>0</v>
      </c>
      <c r="Q862" s="24">
        <f>Data!R949</f>
        <v>0</v>
      </c>
      <c r="R862" s="24">
        <f>Data!S949</f>
        <v>0</v>
      </c>
      <c r="S862" s="24">
        <f>'TMT E DK'!E949</f>
        <v>0</v>
      </c>
      <c r="T862" s="24">
        <f>'TMT E DD'!E949</f>
        <v>0</v>
      </c>
      <c r="U862" s="24">
        <f>TA!E949</f>
        <v>0</v>
      </c>
      <c r="V862" s="109">
        <f>PR!F949</f>
        <v>0</v>
      </c>
      <c r="W862" s="109">
        <f>'Z Score'!I949</f>
        <v>0</v>
      </c>
      <c r="X862" s="109">
        <f>'Z Score'!L949</f>
        <v>0</v>
      </c>
      <c r="Y862" s="109">
        <f>'Z Score'!O949</f>
        <v>0</v>
      </c>
      <c r="Z862" s="109">
        <f>'Z Score'!R949</f>
        <v>0</v>
      </c>
      <c r="AA862" s="109">
        <f>'Z Score'!S949</f>
        <v>0</v>
      </c>
    </row>
    <row r="863" spans="1:27" ht="15" customHeight="1" x14ac:dyDescent="0.3">
      <c r="A863" s="22"/>
      <c r="B863" s="23"/>
      <c r="C863" s="4"/>
      <c r="D863" s="23">
        <v>2016</v>
      </c>
      <c r="E863" s="25">
        <f>'Current Ratio'!G950</f>
        <v>0</v>
      </c>
      <c r="F863" s="25">
        <f>'Cash Ratio'!G950</f>
        <v>0</v>
      </c>
      <c r="G863" s="25">
        <f>DAR!G950</f>
        <v>0</v>
      </c>
      <c r="H863" s="25">
        <f>DER!G950</f>
        <v>0</v>
      </c>
      <c r="I863" s="25">
        <f>NPM!G950</f>
        <v>0</v>
      </c>
      <c r="J863" s="25">
        <f>ROA!G950</f>
        <v>0</v>
      </c>
      <c r="K863" s="25">
        <f>ROE!G950</f>
        <v>0</v>
      </c>
      <c r="L863" s="25">
        <f>KM!E950</f>
        <v>0</v>
      </c>
      <c r="M863" s="24">
        <f>KI!E950</f>
        <v>0</v>
      </c>
      <c r="N863" s="108">
        <f>IO!E950</f>
        <v>0</v>
      </c>
      <c r="O863" s="24">
        <f>'BoC Size'!E950</f>
        <v>0</v>
      </c>
      <c r="P863" s="24">
        <f>'TMT E DK'!E950</f>
        <v>0</v>
      </c>
      <c r="Q863" s="24">
        <f>Data!R950</f>
        <v>0</v>
      </c>
      <c r="R863" s="24">
        <f>Data!S950</f>
        <v>0</v>
      </c>
      <c r="S863" s="24">
        <f>'TMT E DK'!E950</f>
        <v>0</v>
      </c>
      <c r="T863" s="24">
        <f>'TMT E DD'!E950</f>
        <v>0</v>
      </c>
      <c r="U863" s="24">
        <f>TA!E950</f>
        <v>0</v>
      </c>
      <c r="V863" s="109">
        <f>PR!F950</f>
        <v>0</v>
      </c>
      <c r="W863" s="109">
        <f>'Z Score'!I950</f>
        <v>0</v>
      </c>
      <c r="X863" s="109">
        <f>'Z Score'!L950</f>
        <v>0</v>
      </c>
      <c r="Y863" s="109">
        <f>'Z Score'!O950</f>
        <v>0</v>
      </c>
      <c r="Z863" s="109">
        <f>'Z Score'!R950</f>
        <v>0</v>
      </c>
      <c r="AA863" s="109">
        <f>'Z Score'!S950</f>
        <v>0</v>
      </c>
    </row>
    <row r="864" spans="1:27" ht="15" customHeight="1" x14ac:dyDescent="0.3">
      <c r="A864" s="22"/>
      <c r="B864" s="23"/>
      <c r="C864" s="4"/>
      <c r="D864" s="23">
        <v>2017</v>
      </c>
      <c r="E864" s="25">
        <f>'Current Ratio'!G951</f>
        <v>0</v>
      </c>
      <c r="F864" s="25">
        <f>'Cash Ratio'!G951</f>
        <v>0</v>
      </c>
      <c r="G864" s="25">
        <f>DAR!G951</f>
        <v>0</v>
      </c>
      <c r="H864" s="25">
        <f>DER!G951</f>
        <v>0</v>
      </c>
      <c r="I864" s="25">
        <f>NPM!G951</f>
        <v>0</v>
      </c>
      <c r="J864" s="25">
        <f>ROA!G951</f>
        <v>0</v>
      </c>
      <c r="K864" s="25">
        <f>ROE!G951</f>
        <v>0</v>
      </c>
      <c r="L864" s="25">
        <f>KM!E951</f>
        <v>0</v>
      </c>
      <c r="M864" s="24">
        <f>KI!E951</f>
        <v>0</v>
      </c>
      <c r="N864" s="108">
        <f>IO!E951</f>
        <v>0</v>
      </c>
      <c r="O864" s="24">
        <f>'BoC Size'!E951</f>
        <v>0</v>
      </c>
      <c r="P864" s="24">
        <f>'TMT E DK'!E951</f>
        <v>0</v>
      </c>
      <c r="Q864" s="24">
        <f>Data!R951</f>
        <v>0</v>
      </c>
      <c r="R864" s="24">
        <f>Data!S951</f>
        <v>0</v>
      </c>
      <c r="S864" s="24">
        <f>'TMT E DK'!E951</f>
        <v>0</v>
      </c>
      <c r="T864" s="24">
        <f>'TMT E DD'!E951</f>
        <v>0</v>
      </c>
      <c r="U864" s="24">
        <f>TA!E951</f>
        <v>0</v>
      </c>
      <c r="V864" s="109">
        <f>PR!F951</f>
        <v>0</v>
      </c>
      <c r="W864" s="109">
        <f>'Z Score'!I951</f>
        <v>0</v>
      </c>
      <c r="X864" s="109">
        <f>'Z Score'!L951</f>
        <v>0</v>
      </c>
      <c r="Y864" s="109">
        <f>'Z Score'!O951</f>
        <v>0</v>
      </c>
      <c r="Z864" s="109">
        <f>'Z Score'!R951</f>
        <v>0</v>
      </c>
      <c r="AA864" s="109">
        <f>'Z Score'!S951</f>
        <v>0</v>
      </c>
    </row>
    <row r="865" spans="1:27" ht="15" customHeight="1" x14ac:dyDescent="0.3">
      <c r="A865" s="22"/>
      <c r="B865" s="23"/>
      <c r="C865" s="4"/>
      <c r="D865" s="23">
        <v>2018</v>
      </c>
      <c r="E865" s="25">
        <f>'Current Ratio'!G952</f>
        <v>0</v>
      </c>
      <c r="F865" s="25">
        <f>'Cash Ratio'!G952</f>
        <v>0</v>
      </c>
      <c r="G865" s="25">
        <f>DAR!G952</f>
        <v>0</v>
      </c>
      <c r="H865" s="25">
        <f>DER!G952</f>
        <v>0</v>
      </c>
      <c r="I865" s="25">
        <f>NPM!G952</f>
        <v>0</v>
      </c>
      <c r="J865" s="25">
        <f>ROA!G952</f>
        <v>0</v>
      </c>
      <c r="K865" s="25">
        <f>ROE!G952</f>
        <v>0</v>
      </c>
      <c r="L865" s="25">
        <f>KM!E952</f>
        <v>0</v>
      </c>
      <c r="M865" s="24">
        <f>KI!E952</f>
        <v>0</v>
      </c>
      <c r="N865" s="108">
        <f>IO!E952</f>
        <v>0</v>
      </c>
      <c r="O865" s="24">
        <f>'BoC Size'!E952</f>
        <v>0</v>
      </c>
      <c r="P865" s="24">
        <f>'TMT E DK'!E952</f>
        <v>0</v>
      </c>
      <c r="Q865" s="24">
        <f>Data!R952</f>
        <v>0</v>
      </c>
      <c r="R865" s="24">
        <f>Data!S952</f>
        <v>0</v>
      </c>
      <c r="S865" s="24">
        <f>'TMT E DK'!E952</f>
        <v>0</v>
      </c>
      <c r="T865" s="24">
        <f>'TMT E DD'!E952</f>
        <v>0</v>
      </c>
      <c r="U865" s="24">
        <f>TA!E952</f>
        <v>0</v>
      </c>
      <c r="V865" s="109">
        <f>PR!F952</f>
        <v>0</v>
      </c>
      <c r="W865" s="109">
        <f>'Z Score'!I952</f>
        <v>0</v>
      </c>
      <c r="X865" s="109">
        <f>'Z Score'!L952</f>
        <v>0</v>
      </c>
      <c r="Y865" s="109">
        <f>'Z Score'!O952</f>
        <v>0</v>
      </c>
      <c r="Z865" s="109">
        <f>'Z Score'!R952</f>
        <v>0</v>
      </c>
      <c r="AA865" s="109">
        <f>'Z Score'!S952</f>
        <v>0</v>
      </c>
    </row>
    <row r="866" spans="1:27" ht="15" customHeight="1" x14ac:dyDescent="0.3">
      <c r="A866" s="22"/>
      <c r="B866" s="23"/>
      <c r="C866" s="4"/>
      <c r="D866" s="23">
        <v>2019</v>
      </c>
      <c r="E866" s="25">
        <f>'Current Ratio'!G953</f>
        <v>0</v>
      </c>
      <c r="F866" s="25">
        <f>'Cash Ratio'!G953</f>
        <v>0</v>
      </c>
      <c r="G866" s="25">
        <f>DAR!G953</f>
        <v>0</v>
      </c>
      <c r="H866" s="25">
        <f>DER!G953</f>
        <v>0</v>
      </c>
      <c r="I866" s="25">
        <f>NPM!G953</f>
        <v>0</v>
      </c>
      <c r="J866" s="25">
        <f>ROA!G953</f>
        <v>0</v>
      </c>
      <c r="K866" s="25">
        <f>ROE!G953</f>
        <v>0</v>
      </c>
      <c r="L866" s="25">
        <f>KM!E953</f>
        <v>0</v>
      </c>
      <c r="M866" s="24">
        <f>KI!E953</f>
        <v>0</v>
      </c>
      <c r="N866" s="108">
        <f>IO!E953</f>
        <v>0</v>
      </c>
      <c r="O866" s="24">
        <f>'BoC Size'!E953</f>
        <v>0</v>
      </c>
      <c r="P866" s="24">
        <f>'TMT E DK'!E953</f>
        <v>0</v>
      </c>
      <c r="Q866" s="24">
        <f>Data!R953</f>
        <v>0</v>
      </c>
      <c r="R866" s="24">
        <f>Data!S953</f>
        <v>0</v>
      </c>
      <c r="S866" s="24">
        <f>'TMT E DK'!E953</f>
        <v>0</v>
      </c>
      <c r="T866" s="24">
        <f>'TMT E DD'!E953</f>
        <v>0</v>
      </c>
      <c r="U866" s="24">
        <f>TA!E953</f>
        <v>0</v>
      </c>
      <c r="V866" s="109">
        <f>PR!F953</f>
        <v>0</v>
      </c>
      <c r="W866" s="109">
        <f>'Z Score'!I953</f>
        <v>0</v>
      </c>
      <c r="X866" s="109">
        <f>'Z Score'!L953</f>
        <v>0</v>
      </c>
      <c r="Y866" s="109">
        <f>'Z Score'!O953</f>
        <v>0</v>
      </c>
      <c r="Z866" s="109">
        <f>'Z Score'!R953</f>
        <v>0</v>
      </c>
      <c r="AA866" s="109">
        <f>'Z Score'!S953</f>
        <v>0</v>
      </c>
    </row>
    <row r="867" spans="1:27" ht="15" customHeight="1" x14ac:dyDescent="0.3">
      <c r="A867" s="22"/>
      <c r="B867" s="23"/>
      <c r="C867" s="4"/>
      <c r="D867" s="23">
        <v>2020</v>
      </c>
      <c r="E867" s="25">
        <f>'Current Ratio'!G954</f>
        <v>0</v>
      </c>
      <c r="F867" s="25">
        <f>'Cash Ratio'!G954</f>
        <v>0</v>
      </c>
      <c r="G867" s="25">
        <f>DAR!G954</f>
        <v>0</v>
      </c>
      <c r="H867" s="25">
        <f>DER!G954</f>
        <v>0</v>
      </c>
      <c r="I867" s="25">
        <f>NPM!G954</f>
        <v>0</v>
      </c>
      <c r="J867" s="25">
        <f>ROA!G954</f>
        <v>0</v>
      </c>
      <c r="K867" s="25">
        <f>ROE!G954</f>
        <v>0</v>
      </c>
      <c r="L867" s="25">
        <f>KM!E954</f>
        <v>0</v>
      </c>
      <c r="M867" s="24">
        <f>KI!E954</f>
        <v>0</v>
      </c>
      <c r="N867" s="108">
        <f>IO!E954</f>
        <v>0</v>
      </c>
      <c r="O867" s="24">
        <f>'BoC Size'!E954</f>
        <v>0</v>
      </c>
      <c r="P867" s="24">
        <f>'TMT E DK'!E954</f>
        <v>0</v>
      </c>
      <c r="Q867" s="24">
        <f>Data!R954</f>
        <v>0</v>
      </c>
      <c r="R867" s="24">
        <f>Data!S954</f>
        <v>0</v>
      </c>
      <c r="S867" s="24">
        <f>'TMT E DK'!E954</f>
        <v>0</v>
      </c>
      <c r="T867" s="24">
        <f>'TMT E DD'!E954</f>
        <v>0</v>
      </c>
      <c r="U867" s="24">
        <f>TA!E954</f>
        <v>0</v>
      </c>
      <c r="V867" s="109">
        <f>PR!F954</f>
        <v>0</v>
      </c>
      <c r="W867" s="109">
        <f>'Z Score'!I954</f>
        <v>0</v>
      </c>
      <c r="X867" s="109">
        <f>'Z Score'!L954</f>
        <v>0</v>
      </c>
      <c r="Y867" s="109">
        <f>'Z Score'!O954</f>
        <v>0</v>
      </c>
      <c r="Z867" s="109">
        <f>'Z Score'!R954</f>
        <v>0</v>
      </c>
      <c r="AA867" s="109">
        <f>'Z Score'!S954</f>
        <v>0</v>
      </c>
    </row>
    <row r="868" spans="1:27" ht="15" customHeight="1" x14ac:dyDescent="0.3">
      <c r="A868" s="22"/>
      <c r="B868" s="23"/>
      <c r="C868" s="4"/>
      <c r="D868" s="23">
        <v>2021</v>
      </c>
      <c r="E868" s="25">
        <f>'Current Ratio'!G955</f>
        <v>0</v>
      </c>
      <c r="F868" s="25">
        <f>'Cash Ratio'!G955</f>
        <v>0</v>
      </c>
      <c r="G868" s="25">
        <f>DAR!G955</f>
        <v>0</v>
      </c>
      <c r="H868" s="25">
        <f>DER!G955</f>
        <v>0</v>
      </c>
      <c r="I868" s="25">
        <f>NPM!G955</f>
        <v>0</v>
      </c>
      <c r="J868" s="25">
        <f>ROA!G955</f>
        <v>0</v>
      </c>
      <c r="K868" s="25">
        <f>ROE!G955</f>
        <v>0</v>
      </c>
      <c r="L868" s="25">
        <f>KM!E955</f>
        <v>0</v>
      </c>
      <c r="M868" s="24">
        <f>KI!E955</f>
        <v>0</v>
      </c>
      <c r="N868" s="108">
        <f>IO!E955</f>
        <v>0</v>
      </c>
      <c r="O868" s="24">
        <f>'BoC Size'!E955</f>
        <v>0</v>
      </c>
      <c r="P868" s="24">
        <f>'TMT E DK'!E955</f>
        <v>0</v>
      </c>
      <c r="Q868" s="24">
        <f>Data!R955</f>
        <v>0</v>
      </c>
      <c r="R868" s="24">
        <f>Data!S955</f>
        <v>0</v>
      </c>
      <c r="S868" s="24">
        <f>'TMT E DK'!E955</f>
        <v>0</v>
      </c>
      <c r="T868" s="24">
        <f>'TMT E DD'!E955</f>
        <v>0</v>
      </c>
      <c r="U868" s="24">
        <f>TA!E955</f>
        <v>0</v>
      </c>
      <c r="V868" s="109">
        <f>PR!F955</f>
        <v>0</v>
      </c>
      <c r="W868" s="109">
        <f>'Z Score'!I955</f>
        <v>0</v>
      </c>
      <c r="X868" s="109">
        <f>'Z Score'!L955</f>
        <v>0</v>
      </c>
      <c r="Y868" s="109">
        <f>'Z Score'!O955</f>
        <v>0</v>
      </c>
      <c r="Z868" s="109">
        <f>'Z Score'!R955</f>
        <v>0</v>
      </c>
      <c r="AA868" s="109">
        <f>'Z Score'!S955</f>
        <v>0</v>
      </c>
    </row>
    <row r="869" spans="1:27" ht="15" customHeight="1" x14ac:dyDescent="0.3">
      <c r="A869" s="22"/>
      <c r="B869" s="23"/>
      <c r="C869" s="4"/>
      <c r="D869" s="23">
        <v>2022</v>
      </c>
      <c r="E869" s="25">
        <f>'Current Ratio'!G956</f>
        <v>0</v>
      </c>
      <c r="F869" s="25">
        <f>'Cash Ratio'!G956</f>
        <v>0</v>
      </c>
      <c r="G869" s="25">
        <f>DAR!G956</f>
        <v>0</v>
      </c>
      <c r="H869" s="25">
        <f>DER!G956</f>
        <v>0</v>
      </c>
      <c r="I869" s="25">
        <f>NPM!G956</f>
        <v>0</v>
      </c>
      <c r="J869" s="25">
        <f>ROA!G956</f>
        <v>0</v>
      </c>
      <c r="K869" s="25">
        <f>ROE!G956</f>
        <v>0</v>
      </c>
      <c r="L869" s="25">
        <f>KM!E956</f>
        <v>0</v>
      </c>
      <c r="M869" s="24">
        <f>KI!E956</f>
        <v>0</v>
      </c>
      <c r="N869" s="108">
        <f>IO!E956</f>
        <v>0</v>
      </c>
      <c r="O869" s="24">
        <f>'BoC Size'!E956</f>
        <v>0</v>
      </c>
      <c r="P869" s="24">
        <f>'TMT E DK'!E956</f>
        <v>0</v>
      </c>
      <c r="Q869" s="24">
        <f>Data!R956</f>
        <v>0</v>
      </c>
      <c r="R869" s="24">
        <f>Data!S956</f>
        <v>0</v>
      </c>
      <c r="S869" s="24">
        <f>'TMT E DK'!E956</f>
        <v>0</v>
      </c>
      <c r="T869" s="24">
        <f>'TMT E DD'!E956</f>
        <v>0</v>
      </c>
      <c r="U869" s="24">
        <f>TA!E956</f>
        <v>0</v>
      </c>
      <c r="V869" s="109">
        <f>PR!F956</f>
        <v>0</v>
      </c>
      <c r="W869" s="109">
        <f>'Z Score'!I956</f>
        <v>0</v>
      </c>
      <c r="X869" s="109">
        <f>'Z Score'!L956</f>
        <v>0</v>
      </c>
      <c r="Y869" s="109">
        <f>'Z Score'!O956</f>
        <v>0</v>
      </c>
      <c r="Z869" s="109">
        <f>'Z Score'!R956</f>
        <v>0</v>
      </c>
      <c r="AA869" s="109">
        <f>'Z Score'!S956</f>
        <v>0</v>
      </c>
    </row>
    <row r="870" spans="1:27" ht="15" customHeight="1" x14ac:dyDescent="0.3">
      <c r="A870" s="22"/>
      <c r="B870" s="23"/>
      <c r="C870" s="4"/>
      <c r="D870" s="23">
        <v>2023</v>
      </c>
      <c r="E870" s="25">
        <f>'Current Ratio'!G957</f>
        <v>0</v>
      </c>
      <c r="F870" s="25">
        <f>'Cash Ratio'!G957</f>
        <v>0</v>
      </c>
      <c r="G870" s="25">
        <f>DAR!G957</f>
        <v>0</v>
      </c>
      <c r="H870" s="25">
        <f>DER!G957</f>
        <v>0</v>
      </c>
      <c r="I870" s="25">
        <f>NPM!G957</f>
        <v>0</v>
      </c>
      <c r="J870" s="25">
        <f>ROA!G957</f>
        <v>0</v>
      </c>
      <c r="K870" s="25">
        <f>ROE!G957</f>
        <v>0</v>
      </c>
      <c r="L870" s="25">
        <f>KM!E957</f>
        <v>0</v>
      </c>
      <c r="M870" s="24">
        <f>KI!E957</f>
        <v>0</v>
      </c>
      <c r="N870" s="108">
        <f>IO!E957</f>
        <v>0</v>
      </c>
      <c r="O870" s="24">
        <f>'BoC Size'!E957</f>
        <v>0</v>
      </c>
      <c r="P870" s="24">
        <f>'TMT E DK'!E957</f>
        <v>0</v>
      </c>
      <c r="Q870" s="24">
        <f>Data!R957</f>
        <v>0</v>
      </c>
      <c r="R870" s="24">
        <f>Data!S957</f>
        <v>0</v>
      </c>
      <c r="S870" s="24">
        <f>'TMT E DK'!E957</f>
        <v>0</v>
      </c>
      <c r="T870" s="24">
        <f>'TMT E DD'!E957</f>
        <v>0</v>
      </c>
      <c r="U870" s="24">
        <f>TA!E957</f>
        <v>0</v>
      </c>
      <c r="V870" s="109">
        <f>PR!F957</f>
        <v>0</v>
      </c>
      <c r="W870" s="109">
        <f>'Z Score'!I957</f>
        <v>0</v>
      </c>
      <c r="X870" s="109">
        <f>'Z Score'!L957</f>
        <v>0</v>
      </c>
      <c r="Y870" s="109">
        <f>'Z Score'!O957</f>
        <v>0</v>
      </c>
      <c r="Z870" s="109">
        <f>'Z Score'!R957</f>
        <v>0</v>
      </c>
      <c r="AA870" s="109">
        <f>'Z Score'!S957</f>
        <v>0</v>
      </c>
    </row>
    <row r="871" spans="1:27" ht="15" customHeight="1" x14ac:dyDescent="0.3">
      <c r="A871" s="22"/>
      <c r="B871" s="23"/>
      <c r="C871" s="4"/>
      <c r="D871" s="23">
        <v>2024</v>
      </c>
      <c r="E871" s="25">
        <f>'Current Ratio'!G958</f>
        <v>0</v>
      </c>
      <c r="F871" s="25">
        <f>'Cash Ratio'!G958</f>
        <v>0</v>
      </c>
      <c r="G871" s="25">
        <f>DAR!G958</f>
        <v>0</v>
      </c>
      <c r="H871" s="25">
        <f>DER!G958</f>
        <v>0</v>
      </c>
      <c r="I871" s="25">
        <f>NPM!G958</f>
        <v>0</v>
      </c>
      <c r="J871" s="25">
        <f>ROA!G958</f>
        <v>0</v>
      </c>
      <c r="K871" s="25">
        <f>ROE!G958</f>
        <v>0</v>
      </c>
      <c r="L871" s="25">
        <f>KM!E958</f>
        <v>0</v>
      </c>
      <c r="M871" s="24">
        <f>KI!E958</f>
        <v>0</v>
      </c>
      <c r="N871" s="108">
        <f>IO!E958</f>
        <v>0</v>
      </c>
      <c r="O871" s="24">
        <f>'BoC Size'!E958</f>
        <v>0</v>
      </c>
      <c r="P871" s="24">
        <f>'TMT E DK'!E958</f>
        <v>0</v>
      </c>
      <c r="Q871" s="24">
        <f>Data!R958</f>
        <v>0</v>
      </c>
      <c r="R871" s="24">
        <f>Data!S958</f>
        <v>0</v>
      </c>
      <c r="S871" s="24">
        <f>'TMT E DK'!E958</f>
        <v>0</v>
      </c>
      <c r="T871" s="24">
        <f>'TMT E DD'!E958</f>
        <v>0</v>
      </c>
      <c r="U871" s="24">
        <f>TA!E958</f>
        <v>0</v>
      </c>
      <c r="V871" s="109">
        <f>PR!F958</f>
        <v>0</v>
      </c>
      <c r="W871" s="109">
        <f>'Z Score'!I958</f>
        <v>0</v>
      </c>
      <c r="X871" s="109">
        <f>'Z Score'!L958</f>
        <v>0</v>
      </c>
      <c r="Y871" s="109">
        <f>'Z Score'!O958</f>
        <v>0</v>
      </c>
      <c r="Z871" s="109">
        <f>'Z Score'!R958</f>
        <v>0</v>
      </c>
      <c r="AA871" s="109">
        <f>'Z Score'!S958</f>
        <v>0</v>
      </c>
    </row>
    <row r="872" spans="1:27" ht="15" customHeight="1" x14ac:dyDescent="0.3">
      <c r="A872" s="22"/>
      <c r="B872" s="23">
        <v>88</v>
      </c>
      <c r="C872" s="2" t="s">
        <v>100</v>
      </c>
      <c r="D872" s="23">
        <v>2015</v>
      </c>
      <c r="E872" s="25">
        <f>'Current Ratio'!G960</f>
        <v>0</v>
      </c>
      <c r="F872" s="25">
        <f>'Cash Ratio'!G960</f>
        <v>0</v>
      </c>
      <c r="G872" s="25">
        <f>DAR!G960</f>
        <v>0</v>
      </c>
      <c r="H872" s="25">
        <f>DER!G960</f>
        <v>0</v>
      </c>
      <c r="I872" s="25">
        <f>NPM!G960</f>
        <v>0</v>
      </c>
      <c r="J872" s="25">
        <f>ROA!G960</f>
        <v>0</v>
      </c>
      <c r="K872" s="25">
        <f>ROE!G960</f>
        <v>0</v>
      </c>
      <c r="L872" s="25">
        <f>KM!E960</f>
        <v>0</v>
      </c>
      <c r="M872" s="24">
        <f>KI!E960</f>
        <v>0</v>
      </c>
      <c r="N872" s="108">
        <f>IO!E960</f>
        <v>0</v>
      </c>
      <c r="O872" s="24">
        <f>'BoC Size'!E960</f>
        <v>0</v>
      </c>
      <c r="P872" s="24">
        <f>'TMT E DK'!E960</f>
        <v>0</v>
      </c>
      <c r="Q872" s="24">
        <f>Data!R960</f>
        <v>0</v>
      </c>
      <c r="R872" s="24">
        <f>Data!S960</f>
        <v>0</v>
      </c>
      <c r="S872" s="24">
        <f>'TMT E DK'!E960</f>
        <v>0</v>
      </c>
      <c r="T872" s="24">
        <f>'TMT E DD'!E960</f>
        <v>0</v>
      </c>
      <c r="U872" s="24">
        <f>TA!E960</f>
        <v>0</v>
      </c>
      <c r="V872" s="109">
        <f>PR!F960</f>
        <v>0</v>
      </c>
      <c r="W872" s="109">
        <f>'Z Score'!I960</f>
        <v>0</v>
      </c>
      <c r="X872" s="109">
        <f>'Z Score'!L960</f>
        <v>0</v>
      </c>
      <c r="Y872" s="109">
        <f>'Z Score'!O960</f>
        <v>0</v>
      </c>
      <c r="Z872" s="109">
        <f>'Z Score'!R960</f>
        <v>0</v>
      </c>
      <c r="AA872" s="109">
        <f>'Z Score'!S960</f>
        <v>0</v>
      </c>
    </row>
    <row r="873" spans="1:27" ht="15" customHeight="1" x14ac:dyDescent="0.3">
      <c r="A873" s="22"/>
      <c r="B873" s="23"/>
      <c r="C873" s="2"/>
      <c r="D873" s="23">
        <v>2016</v>
      </c>
      <c r="E873" s="25">
        <f>'Current Ratio'!G961</f>
        <v>0</v>
      </c>
      <c r="F873" s="25">
        <f>'Cash Ratio'!G961</f>
        <v>0</v>
      </c>
      <c r="G873" s="25">
        <f>DAR!G961</f>
        <v>0</v>
      </c>
      <c r="H873" s="25">
        <f>DER!G961</f>
        <v>0</v>
      </c>
      <c r="I873" s="25">
        <f>NPM!G961</f>
        <v>0</v>
      </c>
      <c r="J873" s="25">
        <f>ROA!G961</f>
        <v>0</v>
      </c>
      <c r="K873" s="25">
        <f>ROE!G961</f>
        <v>0</v>
      </c>
      <c r="L873" s="25">
        <f>KM!E961</f>
        <v>0</v>
      </c>
      <c r="M873" s="24">
        <f>KI!E961</f>
        <v>0</v>
      </c>
      <c r="N873" s="108">
        <f>IO!E961</f>
        <v>0</v>
      </c>
      <c r="O873" s="24">
        <f>'BoC Size'!E961</f>
        <v>0</v>
      </c>
      <c r="P873" s="24">
        <f>'TMT E DK'!E961</f>
        <v>0</v>
      </c>
      <c r="Q873" s="24">
        <f>Data!R961</f>
        <v>0</v>
      </c>
      <c r="R873" s="24">
        <f>Data!S961</f>
        <v>0</v>
      </c>
      <c r="S873" s="24">
        <f>'TMT E DK'!E961</f>
        <v>0</v>
      </c>
      <c r="T873" s="24">
        <f>'TMT E DD'!E961</f>
        <v>0</v>
      </c>
      <c r="U873" s="24">
        <f>TA!E961</f>
        <v>0</v>
      </c>
      <c r="V873" s="109">
        <f>PR!F961</f>
        <v>0</v>
      </c>
      <c r="W873" s="109">
        <f>'Z Score'!I961</f>
        <v>0</v>
      </c>
      <c r="X873" s="109">
        <f>'Z Score'!L961</f>
        <v>0</v>
      </c>
      <c r="Y873" s="109">
        <f>'Z Score'!O961</f>
        <v>0</v>
      </c>
      <c r="Z873" s="109">
        <f>'Z Score'!R961</f>
        <v>0</v>
      </c>
      <c r="AA873" s="109">
        <f>'Z Score'!S961</f>
        <v>0</v>
      </c>
    </row>
    <row r="874" spans="1:27" ht="15" customHeight="1" x14ac:dyDescent="0.3">
      <c r="A874" s="22"/>
      <c r="B874" s="23"/>
      <c r="C874" s="2"/>
      <c r="D874" s="23">
        <v>2017</v>
      </c>
      <c r="E874" s="25">
        <f>'Current Ratio'!G962</f>
        <v>0</v>
      </c>
      <c r="F874" s="25">
        <f>'Cash Ratio'!G962</f>
        <v>0</v>
      </c>
      <c r="G874" s="25">
        <f>DAR!G962</f>
        <v>0</v>
      </c>
      <c r="H874" s="25">
        <f>DER!G962</f>
        <v>0</v>
      </c>
      <c r="I874" s="25">
        <f>NPM!G962</f>
        <v>0</v>
      </c>
      <c r="J874" s="25">
        <f>ROA!G962</f>
        <v>0</v>
      </c>
      <c r="K874" s="25">
        <f>ROE!G962</f>
        <v>0</v>
      </c>
      <c r="L874" s="25">
        <f>KM!E962</f>
        <v>0</v>
      </c>
      <c r="M874" s="24">
        <f>KI!E962</f>
        <v>0</v>
      </c>
      <c r="N874" s="108">
        <f>IO!E962</f>
        <v>0</v>
      </c>
      <c r="O874" s="24">
        <f>'BoC Size'!E962</f>
        <v>0</v>
      </c>
      <c r="P874" s="24">
        <f>'TMT E DK'!E962</f>
        <v>0</v>
      </c>
      <c r="Q874" s="24">
        <f>Data!R962</f>
        <v>0</v>
      </c>
      <c r="R874" s="24">
        <f>Data!S962</f>
        <v>0</v>
      </c>
      <c r="S874" s="24">
        <f>'TMT E DK'!E962</f>
        <v>0</v>
      </c>
      <c r="T874" s="24">
        <f>'TMT E DD'!E962</f>
        <v>0</v>
      </c>
      <c r="U874" s="24">
        <f>TA!E962</f>
        <v>0</v>
      </c>
      <c r="V874" s="109">
        <f>PR!F962</f>
        <v>0</v>
      </c>
      <c r="W874" s="109">
        <f>'Z Score'!I962</f>
        <v>0</v>
      </c>
      <c r="X874" s="109">
        <f>'Z Score'!L962</f>
        <v>0</v>
      </c>
      <c r="Y874" s="109">
        <f>'Z Score'!O962</f>
        <v>0</v>
      </c>
      <c r="Z874" s="109">
        <f>'Z Score'!R962</f>
        <v>0</v>
      </c>
      <c r="AA874" s="109">
        <f>'Z Score'!S962</f>
        <v>0</v>
      </c>
    </row>
    <row r="875" spans="1:27" ht="15" customHeight="1" x14ac:dyDescent="0.3">
      <c r="A875" s="22"/>
      <c r="B875" s="23"/>
      <c r="C875" s="2"/>
      <c r="D875" s="23">
        <v>2018</v>
      </c>
      <c r="E875" s="25">
        <f>'Current Ratio'!G963</f>
        <v>0</v>
      </c>
      <c r="F875" s="25">
        <f>'Cash Ratio'!G963</f>
        <v>0</v>
      </c>
      <c r="G875" s="25">
        <f>DAR!G963</f>
        <v>0</v>
      </c>
      <c r="H875" s="25">
        <f>DER!G963</f>
        <v>0</v>
      </c>
      <c r="I875" s="25">
        <f>NPM!G963</f>
        <v>0</v>
      </c>
      <c r="J875" s="25">
        <f>ROA!G963</f>
        <v>0</v>
      </c>
      <c r="K875" s="25">
        <f>ROE!G963</f>
        <v>0</v>
      </c>
      <c r="L875" s="25">
        <f>KM!E963</f>
        <v>0</v>
      </c>
      <c r="M875" s="24">
        <f>KI!E963</f>
        <v>0</v>
      </c>
      <c r="N875" s="108">
        <f>IO!E963</f>
        <v>0</v>
      </c>
      <c r="O875" s="24">
        <f>'BoC Size'!E963</f>
        <v>0</v>
      </c>
      <c r="P875" s="24">
        <f>'TMT E DK'!E963</f>
        <v>0</v>
      </c>
      <c r="Q875" s="24">
        <f>Data!R963</f>
        <v>0</v>
      </c>
      <c r="R875" s="24">
        <f>Data!S963</f>
        <v>0</v>
      </c>
      <c r="S875" s="24">
        <f>'TMT E DK'!E963</f>
        <v>0</v>
      </c>
      <c r="T875" s="24">
        <f>'TMT E DD'!E963</f>
        <v>0</v>
      </c>
      <c r="U875" s="24">
        <f>TA!E963</f>
        <v>0</v>
      </c>
      <c r="V875" s="109">
        <f>PR!F963</f>
        <v>0</v>
      </c>
      <c r="W875" s="109">
        <f>'Z Score'!I963</f>
        <v>0</v>
      </c>
      <c r="X875" s="109">
        <f>'Z Score'!L963</f>
        <v>0</v>
      </c>
      <c r="Y875" s="109">
        <f>'Z Score'!O963</f>
        <v>0</v>
      </c>
      <c r="Z875" s="109">
        <f>'Z Score'!R963</f>
        <v>0</v>
      </c>
      <c r="AA875" s="109">
        <f>'Z Score'!S963</f>
        <v>0</v>
      </c>
    </row>
    <row r="876" spans="1:27" ht="15" customHeight="1" x14ac:dyDescent="0.3">
      <c r="A876" s="22"/>
      <c r="B876" s="23"/>
      <c r="C876" s="2"/>
      <c r="D876" s="23">
        <v>2019</v>
      </c>
      <c r="E876" s="25">
        <f>'Current Ratio'!G964</f>
        <v>0</v>
      </c>
      <c r="F876" s="25">
        <f>'Cash Ratio'!G964</f>
        <v>0</v>
      </c>
      <c r="G876" s="25">
        <f>DAR!G964</f>
        <v>0</v>
      </c>
      <c r="H876" s="25">
        <f>DER!G964</f>
        <v>0</v>
      </c>
      <c r="I876" s="25">
        <f>NPM!G964</f>
        <v>0</v>
      </c>
      <c r="J876" s="25">
        <f>ROA!G964</f>
        <v>0</v>
      </c>
      <c r="K876" s="25">
        <f>ROE!G964</f>
        <v>0</v>
      </c>
      <c r="L876" s="25">
        <f>KM!E964</f>
        <v>0</v>
      </c>
      <c r="M876" s="24">
        <f>KI!E964</f>
        <v>0</v>
      </c>
      <c r="N876" s="108">
        <f>IO!E964</f>
        <v>0</v>
      </c>
      <c r="O876" s="24">
        <f>'BoC Size'!E964</f>
        <v>0</v>
      </c>
      <c r="P876" s="24">
        <f>'TMT E DK'!E964</f>
        <v>0</v>
      </c>
      <c r="Q876" s="24">
        <f>Data!R964</f>
        <v>0</v>
      </c>
      <c r="R876" s="24">
        <f>Data!S964</f>
        <v>0</v>
      </c>
      <c r="S876" s="24">
        <f>'TMT E DK'!E964</f>
        <v>0</v>
      </c>
      <c r="T876" s="24">
        <f>'TMT E DD'!E964</f>
        <v>0</v>
      </c>
      <c r="U876" s="24">
        <f>TA!E964</f>
        <v>0</v>
      </c>
      <c r="V876" s="109">
        <f>PR!F964</f>
        <v>0</v>
      </c>
      <c r="W876" s="109">
        <f>'Z Score'!I964</f>
        <v>0</v>
      </c>
      <c r="X876" s="109">
        <f>'Z Score'!L964</f>
        <v>0</v>
      </c>
      <c r="Y876" s="109">
        <f>'Z Score'!O964</f>
        <v>0</v>
      </c>
      <c r="Z876" s="109">
        <f>'Z Score'!R964</f>
        <v>0</v>
      </c>
      <c r="AA876" s="109">
        <f>'Z Score'!S964</f>
        <v>0</v>
      </c>
    </row>
    <row r="877" spans="1:27" ht="15" customHeight="1" x14ac:dyDescent="0.3">
      <c r="A877" s="22"/>
      <c r="B877" s="23"/>
      <c r="C877" s="2"/>
      <c r="D877" s="23">
        <v>2020</v>
      </c>
      <c r="E877" s="25">
        <f>'Current Ratio'!G965</f>
        <v>0</v>
      </c>
      <c r="F877" s="25">
        <f>'Cash Ratio'!G965</f>
        <v>0</v>
      </c>
      <c r="G877" s="25">
        <f>DAR!G965</f>
        <v>0</v>
      </c>
      <c r="H877" s="25">
        <f>DER!G965</f>
        <v>0</v>
      </c>
      <c r="I877" s="25">
        <f>NPM!G965</f>
        <v>0</v>
      </c>
      <c r="J877" s="25">
        <f>ROA!G965</f>
        <v>0</v>
      </c>
      <c r="K877" s="25">
        <f>ROE!G965</f>
        <v>0</v>
      </c>
      <c r="L877" s="25">
        <f>KM!E965</f>
        <v>0</v>
      </c>
      <c r="M877" s="24">
        <f>KI!E965</f>
        <v>0</v>
      </c>
      <c r="N877" s="108">
        <f>IO!E965</f>
        <v>0</v>
      </c>
      <c r="O877" s="24">
        <f>'BoC Size'!E965</f>
        <v>0</v>
      </c>
      <c r="P877" s="24">
        <f>'TMT E DK'!E965</f>
        <v>0</v>
      </c>
      <c r="Q877" s="24">
        <f>Data!R965</f>
        <v>0</v>
      </c>
      <c r="R877" s="24">
        <f>Data!S965</f>
        <v>0</v>
      </c>
      <c r="S877" s="24">
        <f>'TMT E DK'!E965</f>
        <v>0</v>
      </c>
      <c r="T877" s="24">
        <f>'TMT E DD'!E965</f>
        <v>0</v>
      </c>
      <c r="U877" s="24">
        <f>TA!E965</f>
        <v>0</v>
      </c>
      <c r="V877" s="109">
        <f>PR!F965</f>
        <v>0</v>
      </c>
      <c r="W877" s="109">
        <f>'Z Score'!I965</f>
        <v>0</v>
      </c>
      <c r="X877" s="109">
        <f>'Z Score'!L965</f>
        <v>0</v>
      </c>
      <c r="Y877" s="109">
        <f>'Z Score'!O965</f>
        <v>0</v>
      </c>
      <c r="Z877" s="109">
        <f>'Z Score'!R965</f>
        <v>0</v>
      </c>
      <c r="AA877" s="109">
        <f>'Z Score'!S965</f>
        <v>0</v>
      </c>
    </row>
    <row r="878" spans="1:27" ht="15" customHeight="1" x14ac:dyDescent="0.3">
      <c r="A878" s="22"/>
      <c r="B878" s="23"/>
      <c r="C878" s="2"/>
      <c r="D878" s="23">
        <v>2021</v>
      </c>
      <c r="E878" s="25">
        <f>'Current Ratio'!G966</f>
        <v>0</v>
      </c>
      <c r="F878" s="25">
        <f>'Cash Ratio'!G966</f>
        <v>0</v>
      </c>
      <c r="G878" s="25">
        <f>DAR!G966</f>
        <v>0</v>
      </c>
      <c r="H878" s="25">
        <f>DER!G966</f>
        <v>0</v>
      </c>
      <c r="I878" s="25">
        <f>NPM!G966</f>
        <v>0</v>
      </c>
      <c r="J878" s="25">
        <f>ROA!G966</f>
        <v>0</v>
      </c>
      <c r="K878" s="25">
        <f>ROE!G966</f>
        <v>0</v>
      </c>
      <c r="L878" s="25">
        <f>KM!E966</f>
        <v>0</v>
      </c>
      <c r="M878" s="24">
        <f>KI!E966</f>
        <v>0</v>
      </c>
      <c r="N878" s="108">
        <f>IO!E966</f>
        <v>0</v>
      </c>
      <c r="O878" s="24">
        <f>'BoC Size'!E966</f>
        <v>0</v>
      </c>
      <c r="P878" s="24">
        <f>'TMT E DK'!E966</f>
        <v>0</v>
      </c>
      <c r="Q878" s="24">
        <f>Data!R966</f>
        <v>0</v>
      </c>
      <c r="R878" s="24">
        <f>Data!S966</f>
        <v>0</v>
      </c>
      <c r="S878" s="24">
        <f>'TMT E DK'!E966</f>
        <v>0</v>
      </c>
      <c r="T878" s="24">
        <f>'TMT E DD'!E966</f>
        <v>0</v>
      </c>
      <c r="U878" s="24">
        <f>TA!E966</f>
        <v>0</v>
      </c>
      <c r="V878" s="109">
        <f>PR!F966</f>
        <v>0</v>
      </c>
      <c r="W878" s="109">
        <f>'Z Score'!I966</f>
        <v>0</v>
      </c>
      <c r="X878" s="109">
        <f>'Z Score'!L966</f>
        <v>0</v>
      </c>
      <c r="Y878" s="109">
        <f>'Z Score'!O966</f>
        <v>0</v>
      </c>
      <c r="Z878" s="109">
        <f>'Z Score'!R966</f>
        <v>0</v>
      </c>
      <c r="AA878" s="109">
        <f>'Z Score'!S966</f>
        <v>0</v>
      </c>
    </row>
    <row r="879" spans="1:27" ht="15" customHeight="1" x14ac:dyDescent="0.3">
      <c r="A879" s="22"/>
      <c r="B879" s="23"/>
      <c r="C879" s="2"/>
      <c r="D879" s="23">
        <v>2022</v>
      </c>
      <c r="E879" s="25">
        <f>'Current Ratio'!G967</f>
        <v>0</v>
      </c>
      <c r="F879" s="25">
        <f>'Cash Ratio'!G967</f>
        <v>0</v>
      </c>
      <c r="G879" s="25">
        <f>DAR!G967</f>
        <v>0</v>
      </c>
      <c r="H879" s="25">
        <f>DER!G967</f>
        <v>0</v>
      </c>
      <c r="I879" s="25">
        <f>NPM!G967</f>
        <v>0</v>
      </c>
      <c r="J879" s="25">
        <f>ROA!G967</f>
        <v>0</v>
      </c>
      <c r="K879" s="25">
        <f>ROE!G967</f>
        <v>0</v>
      </c>
      <c r="L879" s="25">
        <f>KM!E967</f>
        <v>0</v>
      </c>
      <c r="M879" s="24">
        <f>KI!E967</f>
        <v>0</v>
      </c>
      <c r="N879" s="108">
        <f>IO!E967</f>
        <v>0</v>
      </c>
      <c r="O879" s="24">
        <f>'BoC Size'!E967</f>
        <v>0</v>
      </c>
      <c r="P879" s="24">
        <f>'TMT E DK'!E967</f>
        <v>0</v>
      </c>
      <c r="Q879" s="24">
        <f>Data!R967</f>
        <v>0</v>
      </c>
      <c r="R879" s="24">
        <f>Data!S967</f>
        <v>0</v>
      </c>
      <c r="S879" s="24">
        <f>'TMT E DK'!E967</f>
        <v>0</v>
      </c>
      <c r="T879" s="24">
        <f>'TMT E DD'!E967</f>
        <v>0</v>
      </c>
      <c r="U879" s="24">
        <f>TA!E967</f>
        <v>0</v>
      </c>
      <c r="V879" s="109">
        <f>PR!F967</f>
        <v>0</v>
      </c>
      <c r="W879" s="109">
        <f>'Z Score'!I967</f>
        <v>0</v>
      </c>
      <c r="X879" s="109">
        <f>'Z Score'!L967</f>
        <v>0</v>
      </c>
      <c r="Y879" s="109">
        <f>'Z Score'!O967</f>
        <v>0</v>
      </c>
      <c r="Z879" s="109">
        <f>'Z Score'!R967</f>
        <v>0</v>
      </c>
      <c r="AA879" s="109">
        <f>'Z Score'!S967</f>
        <v>0</v>
      </c>
    </row>
    <row r="880" spans="1:27" ht="15" customHeight="1" x14ac:dyDescent="0.3">
      <c r="A880" s="22"/>
      <c r="B880" s="23"/>
      <c r="C880" s="2"/>
      <c r="D880" s="23">
        <v>2023</v>
      </c>
      <c r="E880" s="25">
        <f>'Current Ratio'!G968</f>
        <v>0</v>
      </c>
      <c r="F880" s="25">
        <f>'Cash Ratio'!G968</f>
        <v>0</v>
      </c>
      <c r="G880" s="25">
        <f>DAR!G968</f>
        <v>0</v>
      </c>
      <c r="H880" s="25">
        <f>DER!G968</f>
        <v>0</v>
      </c>
      <c r="I880" s="25">
        <f>NPM!G968</f>
        <v>0</v>
      </c>
      <c r="J880" s="25">
        <f>ROA!G968</f>
        <v>0</v>
      </c>
      <c r="K880" s="25">
        <f>ROE!G968</f>
        <v>0</v>
      </c>
      <c r="L880" s="25">
        <f>KM!E968</f>
        <v>0</v>
      </c>
      <c r="M880" s="24">
        <f>KI!E968</f>
        <v>0</v>
      </c>
      <c r="N880" s="108">
        <f>IO!E968</f>
        <v>0</v>
      </c>
      <c r="O880" s="24">
        <f>'BoC Size'!E968</f>
        <v>0</v>
      </c>
      <c r="P880" s="24">
        <f>'TMT E DK'!E968</f>
        <v>0</v>
      </c>
      <c r="Q880" s="24">
        <f>Data!R968</f>
        <v>0</v>
      </c>
      <c r="R880" s="24">
        <f>Data!S968</f>
        <v>0</v>
      </c>
      <c r="S880" s="24">
        <f>'TMT E DK'!E968</f>
        <v>0</v>
      </c>
      <c r="T880" s="24">
        <f>'TMT E DD'!E968</f>
        <v>0</v>
      </c>
      <c r="U880" s="24">
        <f>TA!E968</f>
        <v>0</v>
      </c>
      <c r="V880" s="109">
        <f>PR!F968</f>
        <v>0</v>
      </c>
      <c r="W880" s="109">
        <f>'Z Score'!I968</f>
        <v>0</v>
      </c>
      <c r="X880" s="109">
        <f>'Z Score'!L968</f>
        <v>0</v>
      </c>
      <c r="Y880" s="109">
        <f>'Z Score'!O968</f>
        <v>0</v>
      </c>
      <c r="Z880" s="109">
        <f>'Z Score'!R968</f>
        <v>0</v>
      </c>
      <c r="AA880" s="109">
        <f>'Z Score'!S968</f>
        <v>0</v>
      </c>
    </row>
    <row r="881" spans="1:27" ht="15" customHeight="1" x14ac:dyDescent="0.3">
      <c r="A881" s="22"/>
      <c r="B881" s="23"/>
      <c r="C881" s="2"/>
      <c r="D881" s="23">
        <v>2024</v>
      </c>
      <c r="E881" s="25">
        <f>'Current Ratio'!G969</f>
        <v>0</v>
      </c>
      <c r="F881" s="25">
        <f>'Cash Ratio'!G969</f>
        <v>0</v>
      </c>
      <c r="G881" s="25">
        <f>DAR!G969</f>
        <v>0</v>
      </c>
      <c r="H881" s="25">
        <f>DER!G969</f>
        <v>0</v>
      </c>
      <c r="I881" s="25">
        <f>NPM!G969</f>
        <v>0</v>
      </c>
      <c r="J881" s="25">
        <f>ROA!G969</f>
        <v>0</v>
      </c>
      <c r="K881" s="25">
        <f>ROE!G969</f>
        <v>0</v>
      </c>
      <c r="L881" s="25">
        <f>KM!E969</f>
        <v>0</v>
      </c>
      <c r="M881" s="24">
        <f>KI!E969</f>
        <v>0</v>
      </c>
      <c r="N881" s="108">
        <f>IO!E969</f>
        <v>0</v>
      </c>
      <c r="O881" s="24">
        <f>'BoC Size'!E969</f>
        <v>0</v>
      </c>
      <c r="P881" s="24">
        <f>'TMT E DK'!E969</f>
        <v>0</v>
      </c>
      <c r="Q881" s="24">
        <f>Data!R969</f>
        <v>0</v>
      </c>
      <c r="R881" s="24">
        <f>Data!S969</f>
        <v>0</v>
      </c>
      <c r="S881" s="24">
        <f>'TMT E DK'!E969</f>
        <v>0</v>
      </c>
      <c r="T881" s="24">
        <f>'TMT E DD'!E969</f>
        <v>0</v>
      </c>
      <c r="U881" s="24">
        <f>TA!E969</f>
        <v>0</v>
      </c>
      <c r="V881" s="109">
        <f>PR!F969</f>
        <v>0</v>
      </c>
      <c r="W881" s="109">
        <f>'Z Score'!I969</f>
        <v>0</v>
      </c>
      <c r="X881" s="109">
        <f>'Z Score'!L969</f>
        <v>0</v>
      </c>
      <c r="Y881" s="109">
        <f>'Z Score'!O969</f>
        <v>0</v>
      </c>
      <c r="Z881" s="109">
        <f>'Z Score'!R969</f>
        <v>0</v>
      </c>
      <c r="AA881" s="109">
        <f>'Z Score'!S969</f>
        <v>0</v>
      </c>
    </row>
    <row r="882" spans="1:27" ht="15" customHeight="1" x14ac:dyDescent="0.3">
      <c r="A882" s="22"/>
      <c r="B882" s="23">
        <v>89</v>
      </c>
      <c r="C882" s="2" t="s">
        <v>101</v>
      </c>
      <c r="D882" s="23">
        <v>2015</v>
      </c>
      <c r="E882" s="25">
        <f>'Current Ratio'!G971</f>
        <v>1.0788947382288836</v>
      </c>
      <c r="F882" s="25">
        <f>'Cash Ratio'!G971</f>
        <v>0</v>
      </c>
      <c r="G882" s="25">
        <f>DAR!G971</f>
        <v>0.59712138693270578</v>
      </c>
      <c r="H882" s="25">
        <f>DER!G971</f>
        <v>1.482137218420593</v>
      </c>
      <c r="I882" s="25">
        <f>NPM!G971</f>
        <v>5.0455084824974739E-2</v>
      </c>
      <c r="J882" s="25">
        <f>ROA!G971</f>
        <v>1.640381084947885E-2</v>
      </c>
      <c r="K882" s="25">
        <f>ROE!G971</f>
        <v>4.0716509433422976E-2</v>
      </c>
      <c r="L882" s="25">
        <f>KM!E971</f>
        <v>0.52600000000000002</v>
      </c>
      <c r="M882" s="24">
        <f>KI!E971</f>
        <v>2</v>
      </c>
      <c r="N882" s="108">
        <f>IO!E971</f>
        <v>0</v>
      </c>
      <c r="O882" s="24">
        <f>'BoC Size'!E971</f>
        <v>3</v>
      </c>
      <c r="P882" s="24">
        <f>'TMT E DK'!E971</f>
        <v>10</v>
      </c>
      <c r="Q882" s="24">
        <f>Data!R971</f>
        <v>3</v>
      </c>
      <c r="R882" s="24">
        <f>Data!S971</f>
        <v>4</v>
      </c>
      <c r="S882" s="24">
        <f>'TMT E DK'!E971</f>
        <v>10</v>
      </c>
      <c r="T882" s="24">
        <f>'TMT E DD'!E971</f>
        <v>8</v>
      </c>
      <c r="U882" s="24">
        <f>TA!E971</f>
        <v>559080454850</v>
      </c>
      <c r="V882" s="109">
        <f>PR!F971</f>
        <v>-0.10007474561750505</v>
      </c>
      <c r="W882" s="109">
        <f>'Z Score'!I971</f>
        <v>0.12930410183034499</v>
      </c>
      <c r="X882" s="109">
        <f>'Z Score'!L971</f>
        <v>0.26285149232470972</v>
      </c>
      <c r="Y882" s="109">
        <f>'Z Score'!O971</f>
        <v>0.1136040482973432</v>
      </c>
      <c r="Z882" s="109">
        <f>'Z Score'!R971</f>
        <v>0.7084364301430266</v>
      </c>
      <c r="AA882" s="109">
        <f>'Z Score'!S971</f>
        <v>1.2141960725954246</v>
      </c>
    </row>
    <row r="883" spans="1:27" ht="15" customHeight="1" x14ac:dyDescent="0.3">
      <c r="A883" s="22"/>
      <c r="B883" s="23"/>
      <c r="C883" s="2"/>
      <c r="D883" s="23">
        <v>2016</v>
      </c>
      <c r="E883" s="25">
        <f>'Current Ratio'!G972</f>
        <v>1.3144216028225142</v>
      </c>
      <c r="F883" s="25">
        <f>'Cash Ratio'!G972</f>
        <v>3.3802262147386929E-2</v>
      </c>
      <c r="G883" s="25">
        <f>DAR!G972</f>
        <v>0.5634549093140222</v>
      </c>
      <c r="H883" s="25">
        <f>DER!G972</f>
        <v>1.2907141125527746</v>
      </c>
      <c r="I883" s="25">
        <f>NPM!G972</f>
        <v>0.28325491551151932</v>
      </c>
      <c r="J883" s="25">
        <f>ROA!G972</f>
        <v>6.7603500216291815E-2</v>
      </c>
      <c r="K883" s="25">
        <f>ROE!G972</f>
        <v>0.15486029200342422</v>
      </c>
      <c r="L883" s="25">
        <f>KM!E972</f>
        <v>0.63200000000000001</v>
      </c>
      <c r="M883" s="24">
        <f>KI!E972</f>
        <v>3</v>
      </c>
      <c r="N883" s="108">
        <f>IO!E972</f>
        <v>0</v>
      </c>
      <c r="O883" s="24">
        <f>'BoC Size'!E972</f>
        <v>4</v>
      </c>
      <c r="P883" s="24">
        <f>'TMT E DK'!E972</f>
        <v>11</v>
      </c>
      <c r="Q883" s="24">
        <f>Data!R972</f>
        <v>4</v>
      </c>
      <c r="R883" s="24">
        <f>Data!S972</f>
        <v>4</v>
      </c>
      <c r="S883" s="24">
        <f>'TMT E DK'!E972</f>
        <v>11</v>
      </c>
      <c r="T883" s="24">
        <f>'TMT E DD'!E972</f>
        <v>8</v>
      </c>
      <c r="U883" s="24">
        <f>TA!E972</f>
        <v>617651155745</v>
      </c>
      <c r="V883" s="109">
        <f>PR!F972</f>
        <v>-0.18899998248367567</v>
      </c>
      <c r="W883" s="109">
        <f>'Z Score'!I972</f>
        <v>0.4899995899842044</v>
      </c>
      <c r="X883" s="109">
        <f>'Z Score'!L972</f>
        <v>0.46644075905283722</v>
      </c>
      <c r="Y883" s="109">
        <f>'Z Score'!O972</f>
        <v>0.48326548513185769</v>
      </c>
      <c r="Z883" s="109">
        <f>'Z Score'!R972</f>
        <v>0.8135031528580019</v>
      </c>
      <c r="AA883" s="109">
        <f>'Z Score'!S972</f>
        <v>2.253208987026901</v>
      </c>
    </row>
    <row r="884" spans="1:27" ht="15" customHeight="1" x14ac:dyDescent="0.3">
      <c r="A884" s="22"/>
      <c r="B884" s="23"/>
      <c r="C884" s="2"/>
      <c r="D884" s="23">
        <v>2017</v>
      </c>
      <c r="E884" s="25">
        <f>'Current Ratio'!G973</f>
        <v>1.7262603374582466</v>
      </c>
      <c r="F884" s="25">
        <f>'Cash Ratio'!G973</f>
        <v>1.9712066200830405E-2</v>
      </c>
      <c r="G884" s="25">
        <f>DAR!G973</f>
        <v>0.47003673816117308</v>
      </c>
      <c r="H884" s="25">
        <f>DER!G973</f>
        <v>0.88692324922726662</v>
      </c>
      <c r="I884" s="25">
        <f>NPM!G973</f>
        <v>0.42376328270518626</v>
      </c>
      <c r="J884" s="25">
        <f>ROA!G973</f>
        <v>6.1437866889065093E-2</v>
      </c>
      <c r="K884" s="25">
        <f>ROE!G973</f>
        <v>0.11592853941590701</v>
      </c>
      <c r="L884" s="25">
        <f>KM!E973</f>
        <v>0.63500000000000001</v>
      </c>
      <c r="M884" s="24">
        <f>KI!E973</f>
        <v>3</v>
      </c>
      <c r="N884" s="108">
        <f>IO!E973</f>
        <v>0</v>
      </c>
      <c r="O884" s="24">
        <f>'BoC Size'!E973</f>
        <v>4</v>
      </c>
      <c r="P884" s="24">
        <f>'TMT E DK'!E973</f>
        <v>11</v>
      </c>
      <c r="Q884" s="24">
        <f>Data!R973</f>
        <v>4</v>
      </c>
      <c r="R884" s="24">
        <f>Data!S973</f>
        <v>3</v>
      </c>
      <c r="S884" s="24">
        <f>'TMT E DK'!E973</f>
        <v>11</v>
      </c>
      <c r="T884" s="24">
        <f>'TMT E DD'!E973</f>
        <v>5</v>
      </c>
      <c r="U884" s="24">
        <f>TA!E973</f>
        <v>858490283480</v>
      </c>
      <c r="V884" s="109">
        <f>PR!F973</f>
        <v>-0.15566809003613896</v>
      </c>
      <c r="W884" s="109">
        <f>'Z Score'!I973</f>
        <v>0.86238181865666697</v>
      </c>
      <c r="X884" s="109">
        <f>'Z Score'!L973</f>
        <v>0.55076825742046431</v>
      </c>
      <c r="Y884" s="109">
        <f>'Z Score'!O973</f>
        <v>0.41223710972911054</v>
      </c>
      <c r="Z884" s="109">
        <f>'Z Score'!R973</f>
        <v>1.1838679399991083</v>
      </c>
      <c r="AA884" s="109">
        <f>'Z Score'!S973</f>
        <v>3.0092551258053497</v>
      </c>
    </row>
    <row r="885" spans="1:27" ht="15" customHeight="1" x14ac:dyDescent="0.3">
      <c r="A885" s="22"/>
      <c r="B885" s="23"/>
      <c r="C885" s="2"/>
      <c r="D885" s="23">
        <v>2018</v>
      </c>
      <c r="E885" s="25">
        <f>'Current Ratio'!G974</f>
        <v>1.744756590005752</v>
      </c>
      <c r="F885" s="25">
        <f>'Cash Ratio'!G974</f>
        <v>3.1153695938862802E-2</v>
      </c>
      <c r="G885" s="25">
        <f>DAR!G974</f>
        <v>0.46426207671793551</v>
      </c>
      <c r="H885" s="25">
        <f>DER!G974</f>
        <v>0.8665843065089549</v>
      </c>
      <c r="I885" s="25">
        <f>NPM!G974</f>
        <v>0.51536136823812084</v>
      </c>
      <c r="J885" s="25">
        <f>ROA!G974</f>
        <v>7.2072188226241701E-2</v>
      </c>
      <c r="K885" s="25">
        <f>ROE!G974</f>
        <v>0.13452881547886222</v>
      </c>
      <c r="L885" s="25">
        <f>KM!E974</f>
        <v>0.77659999999999996</v>
      </c>
      <c r="M885" s="24">
        <f>KI!E974</f>
        <v>3</v>
      </c>
      <c r="N885" s="108">
        <f>IO!E974</f>
        <v>0</v>
      </c>
      <c r="O885" s="24">
        <f>'BoC Size'!E974</f>
        <v>4</v>
      </c>
      <c r="P885" s="24">
        <f>'TMT E DK'!E974</f>
        <v>11</v>
      </c>
      <c r="Q885" s="24">
        <f>Data!R974</f>
        <v>4</v>
      </c>
      <c r="R885" s="24">
        <f>Data!S974</f>
        <v>3</v>
      </c>
      <c r="S885" s="24">
        <f>'TMT E DK'!E974</f>
        <v>11</v>
      </c>
      <c r="T885" s="24">
        <f>'TMT E DD'!E974</f>
        <v>5</v>
      </c>
      <c r="U885" s="24">
        <f>TA!E974</f>
        <v>969866560976</v>
      </c>
      <c r="V885" s="109">
        <f>PR!F974</f>
        <v>8.9731851800267978E-2</v>
      </c>
      <c r="W885" s="109">
        <f>'Z Score'!I974</f>
        <v>0.94646733277576645</v>
      </c>
      <c r="X885" s="109">
        <f>'Z Score'!L974</f>
        <v>0.7185830849214585</v>
      </c>
      <c r="Y885" s="109">
        <f>'Z Score'!O974</f>
        <v>0.50280947336571535</v>
      </c>
      <c r="Z885" s="109">
        <f>'Z Score'!R974</f>
        <v>1.2116536061331846</v>
      </c>
      <c r="AA885" s="109">
        <f>'Z Score'!S974</f>
        <v>3.3795134971961249</v>
      </c>
    </row>
    <row r="886" spans="1:27" ht="15" customHeight="1" x14ac:dyDescent="0.3">
      <c r="A886" s="22"/>
      <c r="B886" s="23"/>
      <c r="C886" s="2"/>
      <c r="D886" s="23">
        <v>2019</v>
      </c>
      <c r="E886" s="25">
        <f>'Current Ratio'!G975</f>
        <v>1.934191220923634</v>
      </c>
      <c r="F886" s="25">
        <f>'Cash Ratio'!G975</f>
        <v>6.0855295109005413E-2</v>
      </c>
      <c r="G886" s="25">
        <f>DAR!G975</f>
        <v>0.45649108683806339</v>
      </c>
      <c r="H886" s="25">
        <f>DER!G975</f>
        <v>0.83989622945162901</v>
      </c>
      <c r="I886" s="25">
        <f>NPM!G975</f>
        <v>5.3709363614883314E-2</v>
      </c>
      <c r="J886" s="25">
        <f>ROA!G975</f>
        <v>9.6429560691817431E-3</v>
      </c>
      <c r="K886" s="25">
        <f>ROE!G975</f>
        <v>1.7742038512455191E-2</v>
      </c>
      <c r="L886" s="25">
        <f>KM!E975</f>
        <v>0.72629999999999995</v>
      </c>
      <c r="M886" s="24">
        <f>KI!E975</f>
        <v>2</v>
      </c>
      <c r="N886" s="108">
        <f>IO!E975</f>
        <v>0</v>
      </c>
      <c r="O886" s="24">
        <f>'BoC Size'!E975</f>
        <v>3</v>
      </c>
      <c r="P886" s="24">
        <f>'TMT E DK'!E975</f>
        <v>10</v>
      </c>
      <c r="Q886" s="24">
        <f>Data!R975</f>
        <v>3</v>
      </c>
      <c r="R886" s="24">
        <f>Data!S975</f>
        <v>3</v>
      </c>
      <c r="S886" s="24">
        <f>'TMT E DK'!E975</f>
        <v>10</v>
      </c>
      <c r="T886" s="24">
        <f>'TMT E DD'!E975</f>
        <v>8</v>
      </c>
      <c r="U886" s="24">
        <f>TA!E975</f>
        <v>975687462693</v>
      </c>
      <c r="V886" s="109">
        <f>PR!F975</f>
        <v>0.2915257590895724</v>
      </c>
      <c r="W886" s="109">
        <f>'Z Score'!I975</f>
        <v>1.0659577583107767</v>
      </c>
      <c r="X886" s="109">
        <f>'Z Score'!L975</f>
        <v>0.74960001504275475</v>
      </c>
      <c r="Y886" s="109">
        <f>'Z Score'!O975</f>
        <v>7.5857770484858977E-2</v>
      </c>
      <c r="Z886" s="109">
        <f>'Z Score'!R975</f>
        <v>1.2501544395377848</v>
      </c>
      <c r="AA886" s="109">
        <f>'Z Score'!S975</f>
        <v>3.1415699833761757</v>
      </c>
    </row>
    <row r="887" spans="1:27" ht="15" customHeight="1" x14ac:dyDescent="0.3">
      <c r="A887" s="22"/>
      <c r="B887" s="23"/>
      <c r="C887" s="2"/>
      <c r="D887" s="23">
        <v>2020</v>
      </c>
      <c r="E887" s="25">
        <f>'Current Ratio'!G976</f>
        <v>4.1737821750879931</v>
      </c>
      <c r="F887" s="25">
        <f>'Cash Ratio'!G976</f>
        <v>0.21437121897134498</v>
      </c>
      <c r="G887" s="25">
        <f>DAR!G976</f>
        <v>0.55251865413486112</v>
      </c>
      <c r="H887" s="25">
        <f>DER!G976</f>
        <v>1.2347300267157464</v>
      </c>
      <c r="I887" s="25">
        <f>NPM!G976</f>
        <v>-0.47705820465898097</v>
      </c>
      <c r="J887" s="25">
        <f>ROA!G976</f>
        <v>-8.9331313067208359E-2</v>
      </c>
      <c r="K887" s="25">
        <f>ROE!G976</f>
        <v>-0.19963136763723521</v>
      </c>
      <c r="L887" s="25">
        <f>KM!E976</f>
        <v>0.69910000000000005</v>
      </c>
      <c r="M887" s="24">
        <f>KI!E976</f>
        <v>2</v>
      </c>
      <c r="N887" s="108">
        <f>IO!E976</f>
        <v>0</v>
      </c>
      <c r="O887" s="24">
        <f>'BoC Size'!E976</f>
        <v>3</v>
      </c>
      <c r="P887" s="24">
        <f>'TMT E DK'!E976</f>
        <v>10</v>
      </c>
      <c r="Q887" s="24">
        <f>Data!R976</f>
        <v>3</v>
      </c>
      <c r="R887" s="24">
        <f>Data!S976</f>
        <v>3</v>
      </c>
      <c r="S887" s="24">
        <f>'TMT E DK'!E976</f>
        <v>10</v>
      </c>
      <c r="T887" s="24">
        <f>'TMT E DD'!E976</f>
        <v>8</v>
      </c>
      <c r="U887" s="24">
        <f>TA!E976</f>
        <v>990991744064</v>
      </c>
      <c r="V887" s="109">
        <f>PR!F976</f>
        <v>5.9330504749482947E-2</v>
      </c>
      <c r="W887" s="109">
        <f>'Z Score'!I976</f>
        <v>2.719935163812953</v>
      </c>
      <c r="X887" s="109">
        <f>'Z Score'!L976</f>
        <v>0.45187149459584214</v>
      </c>
      <c r="Y887" s="109">
        <f>'Z Score'!O976</f>
        <v>-0.67799428417127994</v>
      </c>
      <c r="Z887" s="109">
        <f>'Z Score'!R976</f>
        <v>0.8503883256106527</v>
      </c>
      <c r="AA887" s="109">
        <f>'Z Score'!S976</f>
        <v>3.3442006998481681</v>
      </c>
    </row>
    <row r="888" spans="1:27" ht="15" customHeight="1" x14ac:dyDescent="0.3">
      <c r="A888" s="22"/>
      <c r="B888" s="23"/>
      <c r="C888" s="2"/>
      <c r="D888" s="23">
        <v>2021</v>
      </c>
      <c r="E888" s="25">
        <f>'Current Ratio'!G977</f>
        <v>5.2436761015107081</v>
      </c>
      <c r="F888" s="25">
        <f>'Cash Ratio'!G977</f>
        <v>0.3218291667471439</v>
      </c>
      <c r="G888" s="25">
        <f>DAR!G977</f>
        <v>0.52819803949787758</v>
      </c>
      <c r="H888" s="25">
        <f>DER!G977</f>
        <v>1.1195333714504596</v>
      </c>
      <c r="I888" s="25">
        <f>NPM!G977</f>
        <v>9.5577818283262173E-2</v>
      </c>
      <c r="J888" s="25">
        <f>ROA!G977</f>
        <v>1.9927628752809488E-2</v>
      </c>
      <c r="K888" s="25">
        <f>ROE!G977</f>
        <v>4.2237274155455411E-2</v>
      </c>
      <c r="L888" s="25">
        <f>KM!E977</f>
        <v>0.69910000000000005</v>
      </c>
      <c r="M888" s="24">
        <f>KI!E977</f>
        <v>2</v>
      </c>
      <c r="N888" s="108">
        <f>IO!E977</f>
        <v>0</v>
      </c>
      <c r="O888" s="24">
        <f>'BoC Size'!E977</f>
        <v>3</v>
      </c>
      <c r="P888" s="24">
        <f>'TMT E DK'!E977</f>
        <v>10</v>
      </c>
      <c r="Q888" s="24">
        <f>Data!R977</f>
        <v>3</v>
      </c>
      <c r="R888" s="24">
        <f>Data!S977</f>
        <v>3</v>
      </c>
      <c r="S888" s="24">
        <f>'TMT E DK'!E977</f>
        <v>10</v>
      </c>
      <c r="T888" s="24">
        <f>'TMT E DD'!E977</f>
        <v>8</v>
      </c>
      <c r="U888" s="24">
        <f>TA!E977</f>
        <v>981089572950</v>
      </c>
      <c r="V888" s="109">
        <f>PR!F977</f>
        <v>0.10231263739181452</v>
      </c>
      <c r="W888" s="109">
        <f>'Z Score'!I977</f>
        <v>2.40580290200056</v>
      </c>
      <c r="X888" s="109">
        <f>'Z Score'!L977</f>
        <v>0.52136584594298641</v>
      </c>
      <c r="Y888" s="109">
        <f>'Z Score'!O977</f>
        <v>8.4304054553656138E-2</v>
      </c>
      <c r="Z888" s="109">
        <f>'Z Score'!R977</f>
        <v>0.93789075589558113</v>
      </c>
      <c r="AA888" s="109">
        <f>'Z Score'!S977</f>
        <v>3.9493635583927835</v>
      </c>
    </row>
    <row r="889" spans="1:27" ht="15" customHeight="1" x14ac:dyDescent="0.3">
      <c r="A889" s="22"/>
      <c r="B889" s="23"/>
      <c r="C889" s="2"/>
      <c r="D889" s="23">
        <v>2022</v>
      </c>
      <c r="E889" s="25">
        <f>'Current Ratio'!G978</f>
        <v>3.7976192402605351</v>
      </c>
      <c r="F889" s="25">
        <f>'Cash Ratio'!G978</f>
        <v>0.54946253694455915</v>
      </c>
      <c r="G889" s="25">
        <f>DAR!G978</f>
        <v>0.64554519884471517</v>
      </c>
      <c r="H889" s="25">
        <f>DER!G978</f>
        <v>1.8212341791976607</v>
      </c>
      <c r="I889" s="25">
        <f>NPM!G978</f>
        <v>-0.25469950694419136</v>
      </c>
      <c r="J889" s="25">
        <f>ROA!G978</f>
        <v>-8.1179309067806474E-2</v>
      </c>
      <c r="K889" s="25">
        <f>ROE!G978</f>
        <v>-0.22902584138574622</v>
      </c>
      <c r="L889" s="25">
        <f>KM!E978</f>
        <v>0.69910000000000005</v>
      </c>
      <c r="M889" s="24">
        <f>KI!E978</f>
        <v>2</v>
      </c>
      <c r="N889" s="108">
        <f>IO!E978</f>
        <v>0</v>
      </c>
      <c r="O889" s="24">
        <f>'BoC Size'!E978</f>
        <v>3</v>
      </c>
      <c r="P889" s="24">
        <f>'TMT E DK'!E978</f>
        <v>10</v>
      </c>
      <c r="Q889" s="24">
        <f>Data!R978</f>
        <v>3</v>
      </c>
      <c r="R889" s="24">
        <f>Data!S978</f>
        <v>3</v>
      </c>
      <c r="S889" s="24">
        <f>'TMT E DK'!E978</f>
        <v>10</v>
      </c>
      <c r="T889" s="24">
        <f>'TMT E DD'!E978</f>
        <v>8</v>
      </c>
      <c r="U889" s="24">
        <f>TA!E978</f>
        <v>1063470852516</v>
      </c>
      <c r="V889" s="109">
        <f>PR!F978</f>
        <v>0.65705020462857966</v>
      </c>
      <c r="W889" s="109">
        <f>'Z Score'!I978</f>
        <v>2.8116754656311871</v>
      </c>
      <c r="X889" s="109">
        <f>'Z Score'!L978</f>
        <v>0.22209791553438596</v>
      </c>
      <c r="Y889" s="109">
        <f>'Z Score'!O978</f>
        <v>-0.54873986638194228</v>
      </c>
      <c r="Z889" s="109">
        <f>'Z Score'!R978</f>
        <v>0.57653211871005761</v>
      </c>
      <c r="AA889" s="109">
        <f>'Z Score'!S978</f>
        <v>3.061565633493688</v>
      </c>
    </row>
    <row r="890" spans="1:27" ht="15" customHeight="1" x14ac:dyDescent="0.3">
      <c r="A890" s="22"/>
      <c r="B890" s="23"/>
      <c r="C890" s="2"/>
      <c r="D890" s="23">
        <v>2023</v>
      </c>
      <c r="E890" s="25">
        <f>'Current Ratio'!G979</f>
        <v>6.6828495542237283</v>
      </c>
      <c r="F890" s="25">
        <f>'Cash Ratio'!G979</f>
        <v>0.20482949828868385</v>
      </c>
      <c r="G890" s="25">
        <f>DAR!G979</f>
        <v>0.59894200969711453</v>
      </c>
      <c r="H890" s="25">
        <f>DER!G979</f>
        <v>1.4934050042109466</v>
      </c>
      <c r="I890" s="25">
        <f>NPM!G979</f>
        <v>1.979947590876022E-2</v>
      </c>
      <c r="J890" s="25">
        <f>ROA!G979</f>
        <v>7.8756200824743675E-3</v>
      </c>
      <c r="K890" s="25">
        <f>ROE!G979</f>
        <v>1.9637110524905816E-2</v>
      </c>
      <c r="L890" s="25">
        <f>KM!E979</f>
        <v>0.69030000000000002</v>
      </c>
      <c r="M890" s="24">
        <f>KI!E979</f>
        <v>2</v>
      </c>
      <c r="N890" s="108">
        <f>IO!E979</f>
        <v>0</v>
      </c>
      <c r="O890" s="24">
        <f>'BoC Size'!E979</f>
        <v>3</v>
      </c>
      <c r="P890" s="24">
        <f>'TMT E DK'!E979</f>
        <v>10</v>
      </c>
      <c r="Q890" s="24">
        <f>Data!R979</f>
        <v>3</v>
      </c>
      <c r="R890" s="24">
        <f>Data!S979</f>
        <v>3</v>
      </c>
      <c r="S890" s="24">
        <f>'TMT E DK'!E979</f>
        <v>10</v>
      </c>
      <c r="T890" s="24">
        <f>'TMT E DD'!E979</f>
        <v>8</v>
      </c>
      <c r="U890" s="24">
        <f>TA!E979</f>
        <v>961063073477</v>
      </c>
      <c r="V890" s="109">
        <f>PR!F979</f>
        <v>0.12782084250433379</v>
      </c>
      <c r="W890" s="109">
        <f>'Z Score'!I979</f>
        <v>2.9100688131320358</v>
      </c>
      <c r="X890" s="109">
        <f>'Z Score'!L979</f>
        <v>0.2715598660574548</v>
      </c>
      <c r="Y890" s="109">
        <f>'Z Score'!O979</f>
        <v>8.6351435045356653E-2</v>
      </c>
      <c r="Z890" s="109">
        <f>'Z Score'!R979</f>
        <v>0.70309125591471866</v>
      </c>
      <c r="AA890" s="109">
        <f>'Z Score'!S979</f>
        <v>3.9710713701495663</v>
      </c>
    </row>
    <row r="891" spans="1:27" ht="15" customHeight="1" x14ac:dyDescent="0.3">
      <c r="A891" s="22"/>
      <c r="B891" s="23"/>
      <c r="C891" s="2"/>
      <c r="D891" s="23">
        <v>2024</v>
      </c>
      <c r="E891" s="25">
        <f>'Current Ratio'!G980</f>
        <v>7.9720252589135407</v>
      </c>
      <c r="F891" s="25">
        <f>'Cash Ratio'!G980</f>
        <v>0.23176183986842444</v>
      </c>
      <c r="G891" s="25">
        <f>DAR!G980</f>
        <v>0.647299487684871</v>
      </c>
      <c r="H891" s="25">
        <f>DER!G980</f>
        <v>1.8352666499858248</v>
      </c>
      <c r="I891" s="25">
        <f>NPM!G980</f>
        <v>1.8924892841702363E-2</v>
      </c>
      <c r="J891" s="25">
        <f>ROA!G980</f>
        <v>6.3843309862422889E-3</v>
      </c>
      <c r="K891" s="25">
        <f>ROE!G980</f>
        <v>1.8101280727763871E-2</v>
      </c>
      <c r="L891" s="25">
        <f>KM!E980</f>
        <v>0.69030000000000002</v>
      </c>
      <c r="M891" s="24">
        <f>KI!E980</f>
        <v>2</v>
      </c>
      <c r="N891" s="108">
        <f>IO!E980</f>
        <v>0</v>
      </c>
      <c r="O891" s="24">
        <f>'BoC Size'!E980</f>
        <v>3</v>
      </c>
      <c r="P891" s="24">
        <f>'TMT E DK'!E980</f>
        <v>10</v>
      </c>
      <c r="Q891" s="24">
        <f>Data!R980</f>
        <v>3</v>
      </c>
      <c r="R891" s="24">
        <f>Data!S980</f>
        <v>3</v>
      </c>
      <c r="S891" s="24">
        <f>'TMT E DK'!E980</f>
        <v>10</v>
      </c>
      <c r="T891" s="24">
        <f>'TMT E DD'!E980</f>
        <v>8</v>
      </c>
      <c r="U891" s="24">
        <f>TA!E980</f>
        <v>1108514523644</v>
      </c>
      <c r="V891" s="109">
        <f>PR!F980</f>
        <v>-2.1771303343309539E-2</v>
      </c>
      <c r="W891" s="109">
        <f>'Z Score'!I980</f>
        <v>3.3316799441939997</v>
      </c>
      <c r="X891" s="109">
        <f>'Z Score'!L980</f>
        <v>0.25193811773817582</v>
      </c>
      <c r="Y891" s="109">
        <f>'Z Score'!O980</f>
        <v>5.9022736074545196E-2</v>
      </c>
      <c r="Z891" s="109">
        <f>'Z Score'!R980</f>
        <v>0.57212394722484061</v>
      </c>
      <c r="AA891" s="109">
        <f>'Z Score'!S980</f>
        <v>4.2147647452315606</v>
      </c>
    </row>
    <row r="892" spans="1:27" ht="15" customHeight="1" x14ac:dyDescent="0.3">
      <c r="A892" s="22"/>
      <c r="B892" s="23">
        <v>90</v>
      </c>
      <c r="C892" s="2" t="s">
        <v>93</v>
      </c>
      <c r="D892" s="23">
        <v>2015</v>
      </c>
      <c r="E892" s="25">
        <f>'Current Ratio'!G982</f>
        <v>2.1084136830667237</v>
      </c>
      <c r="F892" s="25">
        <f>'Cash Ratio'!G982</f>
        <v>9.3049805372543093E-2</v>
      </c>
      <c r="G892" s="25">
        <f>DAR!G982</f>
        <v>0.61824495607181307</v>
      </c>
      <c r="H892" s="25">
        <f>DER!G982</f>
        <v>1.619480779376717</v>
      </c>
      <c r="I892" s="25">
        <f>NPM!G982</f>
        <v>0.36987129943882524</v>
      </c>
      <c r="J892" s="25">
        <f>ROA!G982</f>
        <v>7.64454630690697E-2</v>
      </c>
      <c r="K892" s="25">
        <f>ROE!G982</f>
        <v>0.20024742117998071</v>
      </c>
      <c r="L892" s="25">
        <f>KM!E982</f>
        <v>0.56899999999999995</v>
      </c>
      <c r="M892" s="24">
        <f>KI!E982</f>
        <v>1</v>
      </c>
      <c r="N892" s="108">
        <f>IO!E982</f>
        <v>0.125</v>
      </c>
      <c r="O892" s="24">
        <f>'BoC Size'!E982</f>
        <v>3</v>
      </c>
      <c r="P892" s="24">
        <f>'TMT E DK'!E982</f>
        <v>0</v>
      </c>
      <c r="Q892" s="24">
        <f>Data!R982</f>
        <v>3</v>
      </c>
      <c r="R892" s="24">
        <f>Data!S982</f>
        <v>3</v>
      </c>
      <c r="S892" s="24">
        <f>'TMT E DK'!E982</f>
        <v>0</v>
      </c>
      <c r="T892" s="24">
        <f>'TMT E DD'!E982</f>
        <v>0</v>
      </c>
      <c r="U892" s="24">
        <f>TA!E982</f>
        <v>431955000000</v>
      </c>
      <c r="V892" s="109">
        <f>PR!F982</f>
        <v>0.7978734116036007</v>
      </c>
      <c r="W892" s="109">
        <f>'Z Score'!I982</f>
        <v>1.2238256299846049</v>
      </c>
      <c r="X892" s="109">
        <f>'Z Score'!L982</f>
        <v>0.41441784445138963</v>
      </c>
      <c r="Y892" s="109">
        <f>'Z Score'!O982</f>
        <v>0.61041691842900303</v>
      </c>
      <c r="Z892" s="109">
        <f>'Z Score'!R982</f>
        <v>0.64835595048192507</v>
      </c>
      <c r="AA892" s="109">
        <f>'Z Score'!S982</f>
        <v>2.8970163433469227</v>
      </c>
    </row>
    <row r="893" spans="1:27" ht="15" customHeight="1" x14ac:dyDescent="0.3">
      <c r="A893" s="22"/>
      <c r="B893" s="23"/>
      <c r="C893" s="2"/>
      <c r="D893" s="23">
        <v>2016</v>
      </c>
      <c r="E893" s="25">
        <f>'Current Ratio'!G983</f>
        <v>2.9836182078801237</v>
      </c>
      <c r="F893" s="25">
        <f>'Cash Ratio'!G983</f>
        <v>7.8512147821583014E-2</v>
      </c>
      <c r="G893" s="25">
        <f>DAR!G983</f>
        <v>0.65313762456234847</v>
      </c>
      <c r="H893" s="25">
        <f>DER!G983</f>
        <v>1.8829878096125476</v>
      </c>
      <c r="I893" s="25">
        <f>NPM!G983</f>
        <v>0.31148694665153237</v>
      </c>
      <c r="J893" s="25">
        <f>ROA!G983</f>
        <v>6.928864799353622E-2</v>
      </c>
      <c r="K893" s="25">
        <f>ROE!G983</f>
        <v>0.19975832750989983</v>
      </c>
      <c r="L893" s="25">
        <f>KM!E983</f>
        <v>0.56899999999999995</v>
      </c>
      <c r="M893" s="24">
        <f>KI!E983</f>
        <v>1</v>
      </c>
      <c r="N893" s="108">
        <f>IO!E983</f>
        <v>0.125</v>
      </c>
      <c r="O893" s="24">
        <f>'BoC Size'!E983</f>
        <v>3</v>
      </c>
      <c r="P893" s="24">
        <f>'TMT E DK'!E983</f>
        <v>0</v>
      </c>
      <c r="Q893" s="24">
        <f>Data!R983</f>
        <v>3</v>
      </c>
      <c r="R893" s="24">
        <f>Data!S983</f>
        <v>3</v>
      </c>
      <c r="S893" s="24">
        <f>'TMT E DK'!E983</f>
        <v>0</v>
      </c>
      <c r="T893" s="24">
        <f>'TMT E DD'!E983</f>
        <v>0</v>
      </c>
      <c r="U893" s="24">
        <f>TA!E983</f>
        <v>594080000000</v>
      </c>
      <c r="V893" s="109">
        <f>PR!F983</f>
        <v>0.48022446990826306</v>
      </c>
      <c r="W893" s="109">
        <f>'Z Score'!I983</f>
        <v>1.8184212227309453</v>
      </c>
      <c r="X893" s="109">
        <f>'Z Score'!L983</f>
        <v>0.52378511311607856</v>
      </c>
      <c r="Y893" s="109">
        <f>'Z Score'!O983</f>
        <v>0.55144088338270936</v>
      </c>
      <c r="Z893" s="109">
        <f>'Z Score'!R983</f>
        <v>0.55762442785864497</v>
      </c>
      <c r="AA893" s="109">
        <f>'Z Score'!S983</f>
        <v>3.4512716470883786</v>
      </c>
    </row>
    <row r="894" spans="1:27" ht="15" customHeight="1" x14ac:dyDescent="0.3">
      <c r="A894" s="22"/>
      <c r="B894" s="23"/>
      <c r="C894" s="2"/>
      <c r="D894" s="23">
        <v>2017</v>
      </c>
      <c r="E894" s="25">
        <f>'Current Ratio'!G984</f>
        <v>3.0826293632860478</v>
      </c>
      <c r="F894" s="25">
        <f>'Cash Ratio'!G984</f>
        <v>0.14073150379253119</v>
      </c>
      <c r="G894" s="25">
        <f>DAR!G984</f>
        <v>0.65140414204660124</v>
      </c>
      <c r="H894" s="25">
        <f>DER!G984</f>
        <v>1.8686514116116739</v>
      </c>
      <c r="I894" s="25">
        <f>NPM!G984</f>
        <v>0.31642448052255406</v>
      </c>
      <c r="J894" s="25">
        <f>ROA!G984</f>
        <v>8.5389156697296451E-2</v>
      </c>
      <c r="K894" s="25">
        <f>ROE!G984</f>
        <v>0.2449517248960299</v>
      </c>
      <c r="L894" s="25">
        <f>KM!E984</f>
        <v>0.56899999999999995</v>
      </c>
      <c r="M894" s="24">
        <f>KI!E984</f>
        <v>2</v>
      </c>
      <c r="N894" s="108">
        <f>IO!E984</f>
        <v>0.125</v>
      </c>
      <c r="O894" s="24">
        <f>'BoC Size'!E984</f>
        <v>4</v>
      </c>
      <c r="P894" s="24">
        <f>'TMT E DK'!E984</f>
        <v>0</v>
      </c>
      <c r="Q894" s="24">
        <f>Data!R984</f>
        <v>4</v>
      </c>
      <c r="R894" s="24">
        <f>Data!S984</f>
        <v>3</v>
      </c>
      <c r="S894" s="24">
        <f>'TMT E DK'!E984</f>
        <v>0</v>
      </c>
      <c r="T894" s="24">
        <f>'TMT E DD'!E984</f>
        <v>0</v>
      </c>
      <c r="U894" s="24">
        <f>TA!E984</f>
        <v>782898000000</v>
      </c>
      <c r="V894" s="109">
        <f>PR!F984</f>
        <v>0.5987135830495649</v>
      </c>
      <c r="W894" s="109">
        <f>'Z Score'!I984</f>
        <v>1.8612298409243604</v>
      </c>
      <c r="X894" s="109">
        <f>'Z Score'!L984</f>
        <v>0.67624040424167631</v>
      </c>
      <c r="Y894" s="109">
        <f>'Z Score'!O984</f>
        <v>0.71158020585057058</v>
      </c>
      <c r="Z894" s="109">
        <f>'Z Score'!R984</f>
        <v>0.56190255361453223</v>
      </c>
      <c r="AA894" s="109">
        <f>'Z Score'!S984</f>
        <v>3.8109530046311395</v>
      </c>
    </row>
    <row r="895" spans="1:27" ht="15" customHeight="1" x14ac:dyDescent="0.3">
      <c r="A895" s="22"/>
      <c r="B895" s="23"/>
      <c r="C895" s="2"/>
      <c r="D895" s="23">
        <v>2018</v>
      </c>
      <c r="E895" s="25">
        <f>'Current Ratio'!G985</f>
        <v>4.4472413871621468</v>
      </c>
      <c r="F895" s="25">
        <f>'Cash Ratio'!G985</f>
        <v>0.42324156932395202</v>
      </c>
      <c r="G895" s="25">
        <f>DAR!G985</f>
        <v>0.67320849118821502</v>
      </c>
      <c r="H895" s="25">
        <f>DER!G985</f>
        <v>2.0600550290795598</v>
      </c>
      <c r="I895" s="25">
        <f>NPM!G985</f>
        <v>0.24597553633108343</v>
      </c>
      <c r="J895" s="25">
        <f>ROA!G985</f>
        <v>6.049353010112779E-2</v>
      </c>
      <c r="K895" s="25">
        <f>ROE!G985</f>
        <v>0.18511353101273181</v>
      </c>
      <c r="L895" s="25">
        <f>KM!E985</f>
        <v>0.56899999999999995</v>
      </c>
      <c r="M895" s="24">
        <f>KI!E985</f>
        <v>2</v>
      </c>
      <c r="N895" s="108">
        <f>IO!E985</f>
        <v>0.125</v>
      </c>
      <c r="O895" s="24">
        <f>'BoC Size'!E985</f>
        <v>3</v>
      </c>
      <c r="P895" s="24">
        <f>'TMT E DK'!E985</f>
        <v>0</v>
      </c>
      <c r="Q895" s="24">
        <f>Data!R985</f>
        <v>3</v>
      </c>
      <c r="R895" s="24">
        <f>Data!S985</f>
        <v>2</v>
      </c>
      <c r="S895" s="24">
        <f>'TMT E DK'!E985</f>
        <v>0</v>
      </c>
      <c r="T895" s="24">
        <f>'TMT E DD'!E985</f>
        <v>0</v>
      </c>
      <c r="U895" s="24">
        <f>TA!E985</f>
        <v>1026523000000</v>
      </c>
      <c r="V895" s="109">
        <f>PR!F985</f>
        <v>0.19494485729161737</v>
      </c>
      <c r="W895" s="109">
        <f>'Z Score'!I985</f>
        <v>1.9349489490250096</v>
      </c>
      <c r="X895" s="109">
        <f>'Z Score'!L985</f>
        <v>0.71525306300979119</v>
      </c>
      <c r="Y895" s="109">
        <f>'Z Score'!O985</f>
        <v>0.4895506871253737</v>
      </c>
      <c r="Z895" s="109">
        <f>'Z Score'!R985</f>
        <v>0.50969512230415714</v>
      </c>
      <c r="AA895" s="109">
        <f>'Z Score'!S985</f>
        <v>3.649447821464332</v>
      </c>
    </row>
    <row r="896" spans="1:27" ht="15" customHeight="1" x14ac:dyDescent="0.3">
      <c r="A896" s="22"/>
      <c r="B896" s="23"/>
      <c r="C896" s="2"/>
      <c r="D896" s="23">
        <v>2019</v>
      </c>
      <c r="E896" s="25">
        <f>'Current Ratio'!G986</f>
        <v>3.5304168698438603</v>
      </c>
      <c r="F896" s="25">
        <f>'Cash Ratio'!G986</f>
        <v>0.18127718013275348</v>
      </c>
      <c r="G896" s="25">
        <f>DAR!G986</f>
        <v>0.62890121729334403</v>
      </c>
      <c r="H896" s="25">
        <f>DER!G986</f>
        <v>1.6947002970647689</v>
      </c>
      <c r="I896" s="25">
        <f>NPM!G986</f>
        <v>0.27335663903407259</v>
      </c>
      <c r="J896" s="25">
        <f>ROA!G986</f>
        <v>7.1170756349103456E-2</v>
      </c>
      <c r="K896" s="25">
        <f>ROE!G986</f>
        <v>0.19178385827625338</v>
      </c>
      <c r="L896" s="25">
        <f>KM!E986</f>
        <v>0.56899999999999995</v>
      </c>
      <c r="M896" s="24">
        <f>KI!E986</f>
        <v>2</v>
      </c>
      <c r="N896" s="108">
        <f>IO!E986</f>
        <v>0.125</v>
      </c>
      <c r="O896" s="24">
        <f>'BoC Size'!E986</f>
        <v>3</v>
      </c>
      <c r="P896" s="24">
        <f>'TMT E DK'!E986</f>
        <v>0</v>
      </c>
      <c r="Q896" s="24">
        <f>Data!R986</f>
        <v>3</v>
      </c>
      <c r="R896" s="24">
        <f>Data!S986</f>
        <v>3</v>
      </c>
      <c r="S896" s="24">
        <f>'TMT E DK'!E986</f>
        <v>0</v>
      </c>
      <c r="T896" s="24">
        <f>'TMT E DD'!E986</f>
        <v>0</v>
      </c>
      <c r="U896" s="24">
        <f>TA!E986</f>
        <v>1118465000000</v>
      </c>
      <c r="V896" s="109">
        <f>PR!F986</f>
        <v>0.15347624932661533</v>
      </c>
      <c r="W896" s="109">
        <f>'Z Score'!I986</f>
        <v>1.4913631092613537</v>
      </c>
      <c r="X896" s="109">
        <f>'Z Score'!L986</f>
        <v>0.88454422802680455</v>
      </c>
      <c r="Y896" s="109">
        <f>'Z Score'!O986</f>
        <v>0.55211469290500814</v>
      </c>
      <c r="Z896" s="109">
        <f>'Z Score'!R986</f>
        <v>0.61957857788696113</v>
      </c>
      <c r="AA896" s="109">
        <f>'Z Score'!S986</f>
        <v>3.5476006080801272</v>
      </c>
    </row>
    <row r="897" spans="1:27" ht="15" customHeight="1" x14ac:dyDescent="0.3">
      <c r="A897" s="22"/>
      <c r="B897" s="23"/>
      <c r="C897" s="2"/>
      <c r="D897" s="23">
        <v>2020</v>
      </c>
      <c r="E897" s="25">
        <f>'Current Ratio'!G987</f>
        <v>7.6070846054117354</v>
      </c>
      <c r="F897" s="25">
        <f>'Cash Ratio'!G987</f>
        <v>0.33756011877378611</v>
      </c>
      <c r="G897" s="25">
        <f>DAR!G987</f>
        <v>0.69260254817112754</v>
      </c>
      <c r="H897" s="25">
        <f>DER!G987</f>
        <v>2.2531174024067648</v>
      </c>
      <c r="I897" s="25">
        <f>NPM!G987</f>
        <v>0.33132114309661592</v>
      </c>
      <c r="J897" s="25">
        <f>ROA!G987</f>
        <v>6.3173139914395077E-2</v>
      </c>
      <c r="K897" s="25">
        <f>ROE!G987</f>
        <v>0.20550964082019602</v>
      </c>
      <c r="L897" s="25">
        <f>KM!E987</f>
        <v>0.88</v>
      </c>
      <c r="M897" s="24">
        <f>KI!E987</f>
        <v>2</v>
      </c>
      <c r="N897" s="108">
        <f>IO!E987</f>
        <v>8.2500000000000004E-2</v>
      </c>
      <c r="O897" s="24">
        <f>'BoC Size'!E987</f>
        <v>3</v>
      </c>
      <c r="P897" s="24">
        <f>'TMT E DK'!E987</f>
        <v>0</v>
      </c>
      <c r="Q897" s="24">
        <f>Data!R987</f>
        <v>3</v>
      </c>
      <c r="R897" s="24">
        <f>Data!S987</f>
        <v>3</v>
      </c>
      <c r="S897" s="24">
        <f>'TMT E DK'!E987</f>
        <v>0</v>
      </c>
      <c r="T897" s="24">
        <f>'TMT E DD'!E987</f>
        <v>0</v>
      </c>
      <c r="U897" s="24">
        <f>TA!E987</f>
        <v>1702005000000</v>
      </c>
      <c r="V897" s="109">
        <f>PR!F987</f>
        <v>0.11442229105569329</v>
      </c>
      <c r="W897" s="109">
        <f>'Z Score'!I987</f>
        <v>3.0445325366259204</v>
      </c>
      <c r="X897" s="109">
        <f>'Z Score'!L987</f>
        <v>0.77924305745282763</v>
      </c>
      <c r="Y897" s="109">
        <f>'Z Score'!O987</f>
        <v>0.47386126362731013</v>
      </c>
      <c r="Z897" s="109">
        <f>'Z Score'!R987</f>
        <v>0.46602098891003069</v>
      </c>
      <c r="AA897" s="109">
        <f>'Z Score'!S987</f>
        <v>4.7636578466160886</v>
      </c>
    </row>
    <row r="898" spans="1:27" ht="15" customHeight="1" x14ac:dyDescent="0.3">
      <c r="A898" s="22"/>
      <c r="B898" s="23"/>
      <c r="C898" s="2"/>
      <c r="D898" s="23">
        <v>2021</v>
      </c>
      <c r="E898" s="25">
        <f>'Current Ratio'!G988</f>
        <v>7.5682951603918873</v>
      </c>
      <c r="F898" s="25">
        <f>'Cash Ratio'!G988</f>
        <v>0.23981781840820474</v>
      </c>
      <c r="G898" s="25">
        <f>DAR!G988</f>
        <v>0.70014115410401734</v>
      </c>
      <c r="H898" s="25">
        <f>DER!G988</f>
        <v>2.3349024505579785</v>
      </c>
      <c r="I898" s="25">
        <f>NPM!G988</f>
        <v>0.28243419002587689</v>
      </c>
      <c r="J898" s="25">
        <f>ROA!G988</f>
        <v>4.1198520376931357E-2</v>
      </c>
      <c r="K898" s="25">
        <f>ROE!G988</f>
        <v>0.13739304656439119</v>
      </c>
      <c r="L898" s="25">
        <f>KM!E988</f>
        <v>0.88</v>
      </c>
      <c r="M898" s="24">
        <f>KI!E988</f>
        <v>1</v>
      </c>
      <c r="N898" s="108">
        <f>IO!E988</f>
        <v>8.2500000000000004E-2</v>
      </c>
      <c r="O898" s="24">
        <f>'BoC Size'!E988</f>
        <v>2</v>
      </c>
      <c r="P898" s="24">
        <f>'TMT E DK'!E988</f>
        <v>0</v>
      </c>
      <c r="Q898" s="24">
        <f>Data!R988</f>
        <v>2</v>
      </c>
      <c r="R898" s="24">
        <f>Data!S988</f>
        <v>4</v>
      </c>
      <c r="S898" s="24">
        <f>'TMT E DK'!E988</f>
        <v>0</v>
      </c>
      <c r="T898" s="24">
        <f>'TMT E DD'!E988</f>
        <v>0</v>
      </c>
      <c r="U898" s="24">
        <f>TA!E988</f>
        <v>2024029000000</v>
      </c>
      <c r="V898" s="109">
        <f>PR!F988</f>
        <v>-9.0218844947337937E-2</v>
      </c>
      <c r="W898" s="109">
        <f>'Z Score'!I988</f>
        <v>3.248479068234694</v>
      </c>
      <c r="X898" s="109">
        <f>'Z Score'!L988</f>
        <v>0.79820536168207068</v>
      </c>
      <c r="Y898" s="109">
        <f>'Z Score'!O988</f>
        <v>0.34101851307466446</v>
      </c>
      <c r="Z898" s="109">
        <f>'Z Score'!R988</f>
        <v>0.44969758790097564</v>
      </c>
      <c r="AA898" s="109">
        <f>'Z Score'!S988</f>
        <v>4.8374005308924044</v>
      </c>
    </row>
    <row r="899" spans="1:27" ht="15" customHeight="1" x14ac:dyDescent="0.3">
      <c r="A899" s="22"/>
      <c r="B899" s="23"/>
      <c r="C899" s="2"/>
      <c r="D899" s="23">
        <v>2022</v>
      </c>
      <c r="E899" s="25">
        <f>'Current Ratio'!G989</f>
        <v>10.664566147265505</v>
      </c>
      <c r="F899" s="25">
        <f>'Cash Ratio'!G989</f>
        <v>0.39461121295447604</v>
      </c>
      <c r="G899" s="25">
        <f>DAR!G989</f>
        <v>0.66829636837587569</v>
      </c>
      <c r="H899" s="25">
        <f>DER!G989</f>
        <v>2.0147393777502178</v>
      </c>
      <c r="I899" s="25">
        <f>NPM!G989</f>
        <v>0.22445600507950764</v>
      </c>
      <c r="J899" s="25">
        <f>ROA!G989</f>
        <v>3.1637276657687487E-2</v>
      </c>
      <c r="K899" s="25">
        <f>ROE!G989</f>
        <v>9.5378143744708252E-2</v>
      </c>
      <c r="L899" s="25">
        <f>KM!E989</f>
        <v>0.96</v>
      </c>
      <c r="M899" s="24">
        <f>KI!E989</f>
        <v>2</v>
      </c>
      <c r="N899" s="108">
        <f>IO!E989</f>
        <v>2.75E-2</v>
      </c>
      <c r="O899" s="24">
        <f>'BoC Size'!E989</f>
        <v>3</v>
      </c>
      <c r="P899" s="24">
        <f>'TMT E DK'!E989</f>
        <v>0</v>
      </c>
      <c r="Q899" s="24">
        <f>Data!R989</f>
        <v>3</v>
      </c>
      <c r="R899" s="24">
        <f>Data!S989</f>
        <v>4</v>
      </c>
      <c r="S899" s="24">
        <f>'TMT E DK'!E989</f>
        <v>0</v>
      </c>
      <c r="T899" s="24">
        <f>'TMT E DD'!E989</f>
        <v>0</v>
      </c>
      <c r="U899" s="24">
        <f>TA!E989</f>
        <v>2022456000000</v>
      </c>
      <c r="V899" s="109">
        <f>PR!F989</f>
        <v>-3.4469794475078239E-2</v>
      </c>
      <c r="W899" s="109">
        <f>'Z Score'!I989</f>
        <v>3.2832435810717269</v>
      </c>
      <c r="X899" s="109">
        <f>'Z Score'!L989</f>
        <v>0.90042433556032864</v>
      </c>
      <c r="Y899" s="109">
        <f>'Z Score'!O989</f>
        <v>0.23419335698774166</v>
      </c>
      <c r="Z899" s="109">
        <f>'Z Score'!R989</f>
        <v>0.52115921870375848</v>
      </c>
      <c r="AA899" s="109">
        <f>'Z Score'!S989</f>
        <v>4.9390204923235554</v>
      </c>
    </row>
    <row r="900" spans="1:27" ht="15" customHeight="1" x14ac:dyDescent="0.3">
      <c r="A900" s="22"/>
      <c r="B900" s="23"/>
      <c r="C900" s="2"/>
      <c r="D900" s="23">
        <v>2023</v>
      </c>
      <c r="E900" s="25">
        <f>'Current Ratio'!G990</f>
        <v>6.5501217973813564</v>
      </c>
      <c r="F900" s="25">
        <f>'Cash Ratio'!G990</f>
        <v>0.22134499108269173</v>
      </c>
      <c r="G900" s="25">
        <f>DAR!G990</f>
        <v>0.66611334332945216</v>
      </c>
      <c r="H900" s="25">
        <f>DER!G990</f>
        <v>1.9950283427669844</v>
      </c>
      <c r="I900" s="25">
        <f>NPM!G990</f>
        <v>0.16399096248166886</v>
      </c>
      <c r="J900" s="25">
        <f>ROA!G990</f>
        <v>2.175272729303427E-2</v>
      </c>
      <c r="K900" s="25">
        <f>ROE!G990</f>
        <v>6.5150034775118576E-2</v>
      </c>
      <c r="L900" s="25">
        <f>KM!E990</f>
        <v>0.995</v>
      </c>
      <c r="M900" s="24">
        <f>KI!E990</f>
        <v>2</v>
      </c>
      <c r="N900" s="108">
        <f>IO!E990</f>
        <v>5.0000000000000001E-3</v>
      </c>
      <c r="O900" s="24">
        <f>'BoC Size'!E990</f>
        <v>3</v>
      </c>
      <c r="P900" s="24">
        <f>'TMT E DK'!E990</f>
        <v>0</v>
      </c>
      <c r="Q900" s="24">
        <f>Data!R990</f>
        <v>3</v>
      </c>
      <c r="R900" s="24">
        <f>Data!S990</f>
        <v>4</v>
      </c>
      <c r="S900" s="24">
        <f>'TMT E DK'!E990</f>
        <v>0</v>
      </c>
      <c r="T900" s="24">
        <f>'TMT E DD'!E990</f>
        <v>0</v>
      </c>
      <c r="U900" s="24">
        <f>TA!E990</f>
        <v>2148834000000</v>
      </c>
      <c r="V900" s="109">
        <f>PR!F990</f>
        <v>-1.1576225939866769E-4</v>
      </c>
      <c r="W900" s="109">
        <f>'Z Score'!I990</f>
        <v>3.1161155491769024</v>
      </c>
      <c r="X900" s="109">
        <f>'Z Score'!L990</f>
        <v>0.91992048711068408</v>
      </c>
      <c r="Y900" s="109">
        <f>'Z Score'!O990</f>
        <v>0.15960685655569484</v>
      </c>
      <c r="Z900" s="109">
        <f>'Z Score'!R990</f>
        <v>0.52630831226373109</v>
      </c>
      <c r="AA900" s="109">
        <f>'Z Score'!S990</f>
        <v>4.7219512051070129</v>
      </c>
    </row>
    <row r="901" spans="1:27" ht="15" customHeight="1" x14ac:dyDescent="0.3">
      <c r="A901" s="22"/>
      <c r="B901" s="23"/>
      <c r="C901" s="2"/>
      <c r="D901" s="23">
        <v>2024</v>
      </c>
      <c r="E901" s="25">
        <f>'Current Ratio'!G991</f>
        <v>5.972849931845289</v>
      </c>
      <c r="F901" s="25">
        <f>'Cash Ratio'!G991</f>
        <v>0.13301882773896745</v>
      </c>
      <c r="G901" s="25">
        <f>DAR!G991</f>
        <v>0.64580830900613329</v>
      </c>
      <c r="H901" s="25">
        <f>DER!G991</f>
        <v>1.8233299239572403</v>
      </c>
      <c r="I901" s="25">
        <f>NPM!G991</f>
        <v>0.12551854613295146</v>
      </c>
      <c r="J901" s="25">
        <f>ROA!G991</f>
        <v>1.7909724490651934E-2</v>
      </c>
      <c r="K901" s="25">
        <f>ROE!G991</f>
        <v>5.0565061084287453E-2</v>
      </c>
      <c r="L901" s="25">
        <f>KM!E991</f>
        <v>0.99990000000000001</v>
      </c>
      <c r="M901" s="24">
        <f>KI!E991</f>
        <v>1</v>
      </c>
      <c r="N901" s="108">
        <f>IO!E991</f>
        <v>1E-4</v>
      </c>
      <c r="O901" s="24">
        <f>'BoC Size'!E991</f>
        <v>2</v>
      </c>
      <c r="P901" s="24">
        <f>'TMT E DK'!E991</f>
        <v>0</v>
      </c>
      <c r="Q901" s="24">
        <f>Data!R991</f>
        <v>2</v>
      </c>
      <c r="R901" s="24">
        <f>Data!S991</f>
        <v>3</v>
      </c>
      <c r="S901" s="24">
        <f>'TMT E DK'!E991</f>
        <v>0</v>
      </c>
      <c r="T901" s="24">
        <f>'TMT E DD'!E991</f>
        <v>0</v>
      </c>
      <c r="U901" s="24">
        <f>TA!E991</f>
        <v>2133757000000</v>
      </c>
      <c r="V901" s="109">
        <f>PR!F991</f>
        <v>6.8142747882708729E-2</v>
      </c>
      <c r="W901" s="109">
        <f>'Z Score'!I991</f>
        <v>2.8712983530926905</v>
      </c>
      <c r="X901" s="109">
        <f>'Z Score'!L991</f>
        <v>0.98483684880705724</v>
      </c>
      <c r="Y901" s="109">
        <f>'Z Score'!O991</f>
        <v>0.12792759437930373</v>
      </c>
      <c r="Z901" s="109">
        <f>'Z Score'!R991</f>
        <v>0.57586944973795318</v>
      </c>
      <c r="AA901" s="109">
        <f>'Z Score'!S991</f>
        <v>4.5599322460170049</v>
      </c>
    </row>
    <row r="902" spans="1:27" ht="15" customHeight="1" x14ac:dyDescent="0.3">
      <c r="A902" s="22"/>
      <c r="B902" s="23">
        <v>91</v>
      </c>
      <c r="C902" s="2" t="s">
        <v>88</v>
      </c>
      <c r="D902" s="23">
        <v>2015</v>
      </c>
      <c r="E902" s="25">
        <f>'Current Ratio'!G993</f>
        <v>4.5619848420159519</v>
      </c>
      <c r="F902" s="25">
        <f>'Cash Ratio'!G993</f>
        <v>5.0741446779812197E-2</v>
      </c>
      <c r="G902" s="25">
        <f>DAR!G993</f>
        <v>0.75180854626092541</v>
      </c>
      <c r="H902" s="25">
        <f>DER!G993</f>
        <v>3.0291475993017354</v>
      </c>
      <c r="I902" s="25">
        <f>NPM!G993</f>
        <v>0.32612945703166552</v>
      </c>
      <c r="J902" s="25">
        <f>ROA!G993</f>
        <v>6.076073066225663E-2</v>
      </c>
      <c r="K902" s="25">
        <f>ROE!G993</f>
        <v>0.24481395207965065</v>
      </c>
      <c r="L902" s="25">
        <f>KM!E993</f>
        <v>0.8</v>
      </c>
      <c r="M902" s="24">
        <f>KI!E993</f>
        <v>2</v>
      </c>
      <c r="N902" s="108">
        <f>IO!E993</f>
        <v>0</v>
      </c>
      <c r="O902" s="24">
        <f>'BoC Size'!E993</f>
        <v>4</v>
      </c>
      <c r="P902" s="24">
        <f>'TMT E DK'!E993</f>
        <v>0</v>
      </c>
      <c r="Q902" s="24">
        <f>Data!R993</f>
        <v>4</v>
      </c>
      <c r="R902" s="24">
        <f>Data!S993</f>
        <v>4</v>
      </c>
      <c r="S902" s="24">
        <f>'TMT E DK'!E993</f>
        <v>0</v>
      </c>
      <c r="T902" s="24">
        <f>'TMT E DD'!E993</f>
        <v>0</v>
      </c>
      <c r="U902" s="24">
        <f>TA!E993</f>
        <v>2926660000000</v>
      </c>
      <c r="V902" s="109">
        <f>PR!F993</f>
        <v>7.9730251835200723E-3</v>
      </c>
      <c r="W902" s="109">
        <f>'Z Score'!I993</f>
        <v>2.9359533666363702</v>
      </c>
      <c r="X902" s="109">
        <f>'Z Score'!L993</f>
        <v>0.64675242768206753</v>
      </c>
      <c r="Y902" s="109">
        <f>'Z Score'!O993</f>
        <v>0.55979947106941019</v>
      </c>
      <c r="Z902" s="109">
        <f>'Z Score'!R993</f>
        <v>0.34663216815253278</v>
      </c>
      <c r="AA902" s="109">
        <f>'Z Score'!S993</f>
        <v>4.48913743354038</v>
      </c>
    </row>
    <row r="903" spans="1:27" ht="15" customHeight="1" x14ac:dyDescent="0.3">
      <c r="A903" s="22"/>
      <c r="B903" s="23"/>
      <c r="C903" s="2"/>
      <c r="D903" s="23">
        <v>2016</v>
      </c>
      <c r="E903" s="25">
        <f>'Current Ratio'!G994</f>
        <v>3.6712877961381194</v>
      </c>
      <c r="F903" s="25">
        <f>'Cash Ratio'!G994</f>
        <v>7.4349035712490644E-2</v>
      </c>
      <c r="G903" s="25">
        <f>DAR!G994</f>
        <v>0.68608471027519735</v>
      </c>
      <c r="H903" s="25">
        <f>DER!G994</f>
        <v>2.1855727730772889</v>
      </c>
      <c r="I903" s="25">
        <f>NPM!G994</f>
        <v>0.3200646186199958</v>
      </c>
      <c r="J903" s="25">
        <f>ROA!G994</f>
        <v>6.1648637700950748E-2</v>
      </c>
      <c r="K903" s="25">
        <f>ROE!G994</f>
        <v>0.19638622175745477</v>
      </c>
      <c r="L903" s="25">
        <f>KM!E994</f>
        <v>0.8</v>
      </c>
      <c r="M903" s="24">
        <f>KI!E994</f>
        <v>3</v>
      </c>
      <c r="N903" s="108">
        <f>IO!E994</f>
        <v>0</v>
      </c>
      <c r="O903" s="24">
        <f>'BoC Size'!E994</f>
        <v>4</v>
      </c>
      <c r="P903" s="24">
        <f>'TMT E DK'!E994</f>
        <v>0</v>
      </c>
      <c r="Q903" s="24">
        <f>Data!R994</f>
        <v>4</v>
      </c>
      <c r="R903" s="24">
        <f>Data!S994</f>
        <v>5</v>
      </c>
      <c r="S903" s="24">
        <f>'TMT E DK'!E994</f>
        <v>0</v>
      </c>
      <c r="T903" s="24">
        <f>'TMT E DD'!E994</f>
        <v>0</v>
      </c>
      <c r="U903" s="24">
        <f>TA!E994</f>
        <v>2513178000000</v>
      </c>
      <c r="V903" s="109">
        <f>PR!F994</f>
        <v>-0.11222311475951011</v>
      </c>
      <c r="W903" s="109">
        <f>'Z Score'!I994</f>
        <v>2.3583709231896823</v>
      </c>
      <c r="X903" s="109">
        <f>'Z Score'!L994</f>
        <v>0.82267466132522238</v>
      </c>
      <c r="Y903" s="109">
        <f>'Z Score'!O994</f>
        <v>0.51679904885368244</v>
      </c>
      <c r="Z903" s="109">
        <f>'Z Score'!R994</f>
        <v>0.48042326155152404</v>
      </c>
      <c r="AA903" s="109">
        <f>'Z Score'!S994</f>
        <v>4.1782678949201113</v>
      </c>
    </row>
    <row r="904" spans="1:27" ht="15" customHeight="1" x14ac:dyDescent="0.3">
      <c r="A904" s="22"/>
      <c r="B904" s="23"/>
      <c r="C904" s="2"/>
      <c r="D904" s="23">
        <v>2017</v>
      </c>
      <c r="E904" s="25">
        <f>'Current Ratio'!G995</f>
        <v>3.9872852012304123</v>
      </c>
      <c r="F904" s="25">
        <f>'Cash Ratio'!G995</f>
        <v>8.7288422205401575E-2</v>
      </c>
      <c r="G904" s="25">
        <f>DAR!G995</f>
        <v>0.66908534761407146</v>
      </c>
      <c r="H904" s="25">
        <f>DER!G995</f>
        <v>2.0219272334721281</v>
      </c>
      <c r="I904" s="25">
        <f>NPM!G995</f>
        <v>0.26715373905874734</v>
      </c>
      <c r="J904" s="25">
        <f>ROA!G995</f>
        <v>4.9866648033244955E-2</v>
      </c>
      <c r="K904" s="25">
        <f>ROE!G995</f>
        <v>0.15069338173363228</v>
      </c>
      <c r="L904" s="25">
        <f>KM!E995</f>
        <v>0.8</v>
      </c>
      <c r="M904" s="24">
        <f>KI!E995</f>
        <v>3</v>
      </c>
      <c r="N904" s="108">
        <f>IO!E995</f>
        <v>0</v>
      </c>
      <c r="O904" s="24">
        <f>'BoC Size'!E995</f>
        <v>4</v>
      </c>
      <c r="P904" s="24">
        <f>'TMT E DK'!E995</f>
        <v>0</v>
      </c>
      <c r="Q904" s="24">
        <f>Data!R995</f>
        <v>4</v>
      </c>
      <c r="R904" s="24">
        <f>Data!S995</f>
        <v>5</v>
      </c>
      <c r="S904" s="24">
        <f>'TMT E DK'!E995</f>
        <v>0</v>
      </c>
      <c r="T904" s="24">
        <f>'TMT E DD'!E995</f>
        <v>0</v>
      </c>
      <c r="U904" s="24">
        <f>TA!E995</f>
        <v>2547394000000</v>
      </c>
      <c r="V904" s="109">
        <f>PR!F995</f>
        <v>-1.7718475182359611E-2</v>
      </c>
      <c r="W904" s="109">
        <f>'Z Score'!I995</f>
        <v>2.8660139420914077</v>
      </c>
      <c r="X904" s="109">
        <f>'Z Score'!L995</f>
        <v>0.89961827656028082</v>
      </c>
      <c r="Y904" s="109">
        <f>'Z Score'!O995</f>
        <v>0.35407629915121097</v>
      </c>
      <c r="Z904" s="109">
        <f>'Z Score'!R995</f>
        <v>0.51930652232073715</v>
      </c>
      <c r="AA904" s="109">
        <f>'Z Score'!S995</f>
        <v>4.6390150401236365</v>
      </c>
    </row>
    <row r="905" spans="1:27" ht="15" customHeight="1" x14ac:dyDescent="0.3">
      <c r="A905" s="22"/>
      <c r="B905" s="23"/>
      <c r="C905" s="2"/>
      <c r="D905" s="23">
        <v>2018</v>
      </c>
      <c r="E905" s="25">
        <f>'Current Ratio'!G996</f>
        <v>2.3172493145609927</v>
      </c>
      <c r="F905" s="25">
        <f>'Cash Ratio'!G996</f>
        <v>2.6988901172103671E-2</v>
      </c>
      <c r="G905" s="25">
        <f>DAR!G996</f>
        <v>0.74063347450720041</v>
      </c>
      <c r="H905" s="25">
        <f>DER!G996</f>
        <v>2.8555476582800647</v>
      </c>
      <c r="I905" s="25">
        <f>NPM!G996</f>
        <v>0.15832604040947146</v>
      </c>
      <c r="J905" s="25">
        <f>ROA!G996</f>
        <v>2.4610783944708055E-2</v>
      </c>
      <c r="K905" s="25">
        <f>ROE!G996</f>
        <v>9.488805040645576E-2</v>
      </c>
      <c r="L905" s="25">
        <f>KM!E996</f>
        <v>0.8</v>
      </c>
      <c r="M905" s="24">
        <f>KI!E996</f>
        <v>3</v>
      </c>
      <c r="N905" s="108">
        <f>IO!E996</f>
        <v>0</v>
      </c>
      <c r="O905" s="24">
        <f>'BoC Size'!E996</f>
        <v>4</v>
      </c>
      <c r="P905" s="24">
        <f>'TMT E DK'!E996</f>
        <v>0</v>
      </c>
      <c r="Q905" s="24">
        <f>Data!R996</f>
        <v>4</v>
      </c>
      <c r="R905" s="24">
        <f>Data!S996</f>
        <v>5</v>
      </c>
      <c r="S905" s="24">
        <f>'TMT E DK'!E996</f>
        <v>0</v>
      </c>
      <c r="T905" s="24">
        <f>'TMT E DD'!E996</f>
        <v>0</v>
      </c>
      <c r="U905" s="24">
        <f>TA!E996</f>
        <v>3374090000000</v>
      </c>
      <c r="V905" s="109">
        <f>PR!F996</f>
        <v>0.10302338199851102</v>
      </c>
      <c r="W905" s="109">
        <f>'Z Score'!I996</f>
        <v>2.1568020295842731</v>
      </c>
      <c r="X905" s="109">
        <f>'Z Score'!L996</f>
        <v>0.71026877172808067</v>
      </c>
      <c r="Y905" s="109">
        <f>'Z Score'!O996</f>
        <v>0.29181628231612078</v>
      </c>
      <c r="Z905" s="109">
        <f>'Z Score'!R996</f>
        <v>0.36770529707510796</v>
      </c>
      <c r="AA905" s="109">
        <f>'Z Score'!S996</f>
        <v>3.5265923807035828</v>
      </c>
    </row>
    <row r="906" spans="1:27" ht="15" customHeight="1" x14ac:dyDescent="0.3">
      <c r="A906" s="22"/>
      <c r="B906" s="23"/>
      <c r="C906" s="2"/>
      <c r="D906" s="23">
        <v>2019</v>
      </c>
      <c r="E906" s="25">
        <f>'Current Ratio'!G997</f>
        <v>2.4879095430361913</v>
      </c>
      <c r="F906" s="25">
        <f>'Cash Ratio'!G997</f>
        <v>3.5549807583117786E-2</v>
      </c>
      <c r="G906" s="25">
        <f>DAR!G997</f>
        <v>0.72602705432446202</v>
      </c>
      <c r="H906" s="25">
        <f>DER!G997</f>
        <v>2.6499954312433633</v>
      </c>
      <c r="I906" s="25">
        <f>NPM!G997</f>
        <v>0.24386725176276614</v>
      </c>
      <c r="J906" s="25">
        <f>ROA!G997</f>
        <v>3.8474863534212124E-2</v>
      </c>
      <c r="K906" s="25">
        <f>ROE!G997</f>
        <v>0.14043307611758615</v>
      </c>
      <c r="L906" s="25">
        <f>KM!E997</f>
        <v>0.8</v>
      </c>
      <c r="M906" s="24">
        <f>KI!E997</f>
        <v>2</v>
      </c>
      <c r="N906" s="108">
        <f>IO!E997</f>
        <v>0</v>
      </c>
      <c r="O906" s="24">
        <f>'BoC Size'!E997</f>
        <v>4</v>
      </c>
      <c r="P906" s="24">
        <f>'TMT E DK'!E997</f>
        <v>0</v>
      </c>
      <c r="Q906" s="24">
        <f>Data!R997</f>
        <v>4</v>
      </c>
      <c r="R906" s="24">
        <f>Data!S997</f>
        <v>5</v>
      </c>
      <c r="S906" s="24">
        <f>'TMT E DK'!E997</f>
        <v>0</v>
      </c>
      <c r="T906" s="24">
        <f>'TMT E DD'!E997</f>
        <v>0</v>
      </c>
      <c r="U906" s="24">
        <f>TA!E997</f>
        <v>3475230000000</v>
      </c>
      <c r="V906" s="109">
        <f>PR!F997</f>
        <v>4.5387726152138971E-2</v>
      </c>
      <c r="W906" s="109">
        <f>'Z Score'!I997</f>
        <v>2.1369517643436549</v>
      </c>
      <c r="X906" s="109">
        <f>'Z Score'!L997</f>
        <v>0.76182236571392392</v>
      </c>
      <c r="Y906" s="109">
        <f>'Z Score'!O997</f>
        <v>0.27501254305470429</v>
      </c>
      <c r="Z906" s="109">
        <f>'Z Score'!R997</f>
        <v>0.39622709821327717</v>
      </c>
      <c r="AA906" s="109">
        <f>'Z Score'!S997</f>
        <v>3.5700137713255602</v>
      </c>
    </row>
    <row r="907" spans="1:27" ht="15" customHeight="1" x14ac:dyDescent="0.3">
      <c r="A907" s="22"/>
      <c r="B907" s="23"/>
      <c r="C907" s="2"/>
      <c r="D907" s="23">
        <v>2020</v>
      </c>
      <c r="E907" s="25">
        <f>'Current Ratio'!G998</f>
        <v>3.992409654765364</v>
      </c>
      <c r="F907" s="25">
        <f>'Cash Ratio'!G998</f>
        <v>4.6560826220329192E-2</v>
      </c>
      <c r="G907" s="25">
        <f>DAR!G998</f>
        <v>0.80333612288640244</v>
      </c>
      <c r="H907" s="25">
        <f>DER!G998</f>
        <v>4.0848178866237701</v>
      </c>
      <c r="I907" s="25">
        <f>NPM!G998</f>
        <v>0.18513778414445659</v>
      </c>
      <c r="J907" s="25">
        <f>ROA!G998</f>
        <v>1.8944337711948013E-2</v>
      </c>
      <c r="K907" s="25">
        <f>ROE!G998</f>
        <v>9.6328507247954484E-2</v>
      </c>
      <c r="L907" s="25">
        <f>KM!E998</f>
        <v>0.8</v>
      </c>
      <c r="M907" s="24">
        <f>KI!E998</f>
        <v>2</v>
      </c>
      <c r="N907" s="108">
        <f>IO!E998</f>
        <v>0</v>
      </c>
      <c r="O907" s="24">
        <f>'BoC Size'!E998</f>
        <v>4</v>
      </c>
      <c r="P907" s="24">
        <f>'TMT E DK'!E998</f>
        <v>0</v>
      </c>
      <c r="Q907" s="24">
        <f>Data!R998</f>
        <v>4</v>
      </c>
      <c r="R907" s="24">
        <f>Data!S998</f>
        <v>5</v>
      </c>
      <c r="S907" s="24">
        <f>'TMT E DK'!E998</f>
        <v>0</v>
      </c>
      <c r="T907" s="24">
        <f>'TMT E DD'!E998</f>
        <v>0</v>
      </c>
      <c r="U907" s="24">
        <f>TA!E998</f>
        <v>5184821000000</v>
      </c>
      <c r="V907" s="109">
        <f>PR!F998</f>
        <v>-3.2366319767420652E-2</v>
      </c>
      <c r="W907" s="109">
        <f>'Z Score'!I998</f>
        <v>3.3484686472300589</v>
      </c>
      <c r="X907" s="109">
        <f>'Z Score'!L998</f>
        <v>0.55309805680851853</v>
      </c>
      <c r="Y907" s="109">
        <f>'Z Score'!O998</f>
        <v>0.11566964414007735</v>
      </c>
      <c r="Z907" s="109">
        <f>'Z Score'!R998</f>
        <v>0.25704940321534331</v>
      </c>
      <c r="AA907" s="109">
        <f>'Z Score'!S998</f>
        <v>4.2742857513939985</v>
      </c>
    </row>
    <row r="908" spans="1:27" ht="15" customHeight="1" x14ac:dyDescent="0.3">
      <c r="A908" s="22"/>
      <c r="B908" s="23"/>
      <c r="C908" s="2"/>
      <c r="D908" s="23">
        <v>2021</v>
      </c>
      <c r="E908" s="25">
        <f>'Current Ratio'!G999</f>
        <v>3.5691058349940303</v>
      </c>
      <c r="F908" s="25">
        <f>'Cash Ratio'!G999</f>
        <v>8.7363912288641501E-2</v>
      </c>
      <c r="G908" s="25">
        <f>DAR!G999</f>
        <v>0.78437819066479053</v>
      </c>
      <c r="H908" s="25">
        <f>DER!G999</f>
        <v>3.6377497855301941</v>
      </c>
      <c r="I908" s="25">
        <f>NPM!G999</f>
        <v>0.24559235741662377</v>
      </c>
      <c r="J908" s="25">
        <f>ROA!G999</f>
        <v>2.9537815803327077E-2</v>
      </c>
      <c r="K908" s="25">
        <f>ROE!G999</f>
        <v>0.13698899890691052</v>
      </c>
      <c r="L908" s="25">
        <f>KM!E999</f>
        <v>0.8</v>
      </c>
      <c r="M908" s="24">
        <f>KI!E999</f>
        <v>2</v>
      </c>
      <c r="N908" s="108">
        <f>IO!E999</f>
        <v>0</v>
      </c>
      <c r="O908" s="24">
        <f>'BoC Size'!E999</f>
        <v>4</v>
      </c>
      <c r="P908" s="24">
        <f>'TMT E DK'!E999</f>
        <v>0</v>
      </c>
      <c r="Q908" s="24">
        <f>Data!R999</f>
        <v>4</v>
      </c>
      <c r="R908" s="24">
        <f>Data!S999</f>
        <v>5</v>
      </c>
      <c r="S908" s="24">
        <f>'TMT E DK'!E999</f>
        <v>0</v>
      </c>
      <c r="T908" s="24">
        <f>'TMT E DD'!E999</f>
        <v>0</v>
      </c>
      <c r="U908" s="24">
        <f>TA!E999</f>
        <v>5087106000000</v>
      </c>
      <c r="V908" s="109">
        <f>PR!F999</f>
        <v>0.15323067063746371</v>
      </c>
      <c r="W908" s="109">
        <f>'Z Score'!I999</f>
        <v>2.9940366408720398</v>
      </c>
      <c r="X908" s="109">
        <f>'Z Score'!L999</f>
        <v>0.61321007661330418</v>
      </c>
      <c r="Y908" s="109">
        <f>'Z Score'!O999</f>
        <v>0.26081167563640306</v>
      </c>
      <c r="Z908" s="109">
        <f>'Z Score'!R999</f>
        <v>0.28863997303403449</v>
      </c>
      <c r="AA908" s="109">
        <f>'Z Score'!S999</f>
        <v>4.1566983661557817</v>
      </c>
    </row>
    <row r="909" spans="1:27" ht="15" customHeight="1" x14ac:dyDescent="0.3">
      <c r="A909" s="22"/>
      <c r="B909" s="23"/>
      <c r="C909" s="2"/>
      <c r="D909" s="23">
        <v>2022</v>
      </c>
      <c r="E909" s="25">
        <f>'Current Ratio'!G1000</f>
        <v>2.5201755663147107</v>
      </c>
      <c r="F909" s="25">
        <f>'Cash Ratio'!G1000</f>
        <v>2.7033452699751378E-2</v>
      </c>
      <c r="G909" s="25">
        <f>DAR!G1000</f>
        <v>0.77183150320831206</v>
      </c>
      <c r="H909" s="25">
        <f>DER!G1000</f>
        <v>3.3827259856691554</v>
      </c>
      <c r="I909" s="25">
        <f>NPM!G1000</f>
        <v>0.20019046424914397</v>
      </c>
      <c r="J909" s="25">
        <f>ROA!G1000</f>
        <v>2.8805756168282008E-2</v>
      </c>
      <c r="K909" s="25">
        <f>ROE!G1000</f>
        <v>0.12624773609557913</v>
      </c>
      <c r="L909" s="25">
        <f>KM!E1000</f>
        <v>0.8</v>
      </c>
      <c r="M909" s="24">
        <f>KI!E1000</f>
        <v>2</v>
      </c>
      <c r="N909" s="108">
        <f>IO!E1000</f>
        <v>0</v>
      </c>
      <c r="O909" s="24">
        <f>'BoC Size'!E1000</f>
        <v>4</v>
      </c>
      <c r="P909" s="24">
        <f>'TMT E DK'!E1000</f>
        <v>0</v>
      </c>
      <c r="Q909" s="24">
        <f>Data!R1000</f>
        <v>4</v>
      </c>
      <c r="R909" s="24">
        <f>Data!S1000</f>
        <v>5</v>
      </c>
      <c r="S909" s="24">
        <f>'TMT E DK'!E1000</f>
        <v>0</v>
      </c>
      <c r="T909" s="24">
        <f>'TMT E DD'!E1000</f>
        <v>0</v>
      </c>
      <c r="U909" s="24">
        <f>TA!E1000</f>
        <v>4655875000000</v>
      </c>
      <c r="V909" s="109">
        <f>PR!F1000</f>
        <v>9.4971683542131452E-2</v>
      </c>
      <c r="W909" s="109">
        <f>'Z Score'!I1000</f>
        <v>2.3243185867318172</v>
      </c>
      <c r="X909" s="109">
        <f>'Z Score'!L1000</f>
        <v>0.64580261282787865</v>
      </c>
      <c r="Y909" s="109">
        <f>'Z Score'!O1000</f>
        <v>0.29047460251832363</v>
      </c>
      <c r="Z909" s="109">
        <f>'Z Score'!R1000</f>
        <v>0.31040054809295875</v>
      </c>
      <c r="AA909" s="109">
        <f>'Z Score'!S1000</f>
        <v>3.5709963501709781</v>
      </c>
    </row>
    <row r="910" spans="1:27" ht="15" customHeight="1" x14ac:dyDescent="0.3">
      <c r="A910" s="22"/>
      <c r="B910" s="23"/>
      <c r="C910" s="2"/>
      <c r="D910" s="23">
        <v>2023</v>
      </c>
      <c r="E910" s="25">
        <f>'Current Ratio'!G1001</f>
        <v>2.3451189396688665</v>
      </c>
      <c r="F910" s="25">
        <f>'Cash Ratio'!G1001</f>
        <v>2.222332870207679E-2</v>
      </c>
      <c r="G910" s="25">
        <f>DAR!G1001</f>
        <v>0.7138524517798811</v>
      </c>
      <c r="H910" s="25">
        <f>DER!G1001</f>
        <v>2.4947005704579741</v>
      </c>
      <c r="I910" s="25">
        <f>NPM!G1001</f>
        <v>0.28686815205411365</v>
      </c>
      <c r="J910" s="25">
        <f>ROA!G1001</f>
        <v>4.9344132037860519E-2</v>
      </c>
      <c r="K910" s="25">
        <f>ROE!G1001</f>
        <v>0.17244296638146475</v>
      </c>
      <c r="L910" s="25">
        <f>KM!E1001</f>
        <v>0.8</v>
      </c>
      <c r="M910" s="24">
        <f>KI!E1001</f>
        <v>2</v>
      </c>
      <c r="N910" s="108">
        <f>IO!E1001</f>
        <v>0</v>
      </c>
      <c r="O910" s="24">
        <f>'BoC Size'!E1001</f>
        <v>4</v>
      </c>
      <c r="P910" s="24">
        <f>'TMT E DK'!E1001</f>
        <v>0</v>
      </c>
      <c r="Q910" s="24">
        <f>Data!R1001</f>
        <v>4</v>
      </c>
      <c r="R910" s="24">
        <f>Data!S1001</f>
        <v>5</v>
      </c>
      <c r="S910" s="24">
        <f>'TMT E DK'!E1001</f>
        <v>0</v>
      </c>
      <c r="T910" s="24">
        <f>'TMT E DD'!E1001</f>
        <v>0</v>
      </c>
      <c r="U910" s="24">
        <f>TA!E1001</f>
        <v>4304220000000</v>
      </c>
      <c r="V910" s="109">
        <f>PR!F1001</f>
        <v>0.10512253299539363</v>
      </c>
      <c r="W910" s="109">
        <f>'Z Score'!I1001</f>
        <v>2.1410035360646065</v>
      </c>
      <c r="X910" s="109">
        <f>'Z Score'!L1001</f>
        <v>0.82680553503306053</v>
      </c>
      <c r="Y910" s="109">
        <f>'Z Score'!O1001</f>
        <v>0.3895839524931346</v>
      </c>
      <c r="Z910" s="109">
        <f>'Z Score'!R1001</f>
        <v>0.42089219541375356</v>
      </c>
      <c r="AA910" s="109">
        <f>'Z Score'!S1001</f>
        <v>3.7782852190045553</v>
      </c>
    </row>
    <row r="911" spans="1:27" ht="15" customHeight="1" x14ac:dyDescent="0.3">
      <c r="A911" s="22"/>
      <c r="B911" s="23"/>
      <c r="C911" s="2"/>
      <c r="D911" s="23">
        <v>2024</v>
      </c>
      <c r="E911" s="25">
        <f>'Current Ratio'!G1002</f>
        <v>2.3043493818729068</v>
      </c>
      <c r="F911" s="25">
        <f>'Cash Ratio'!G1002</f>
        <v>8.152407280936004E-3</v>
      </c>
      <c r="G911" s="25">
        <f>DAR!G1002</f>
        <v>0.72698360068540224</v>
      </c>
      <c r="H911" s="25">
        <f>DER!G1002</f>
        <v>2.6627836368455533</v>
      </c>
      <c r="I911" s="25">
        <f>NPM!G1002</f>
        <v>0.12391086656712269</v>
      </c>
      <c r="J911" s="25">
        <f>ROA!G1002</f>
        <v>2.524589291073313E-2</v>
      </c>
      <c r="K911" s="25">
        <f>ROE!G1002</f>
        <v>9.2470243450988462E-2</v>
      </c>
      <c r="L911" s="25">
        <f>KM!E1002</f>
        <v>0.8</v>
      </c>
      <c r="M911" s="24">
        <f>KI!E1002</f>
        <v>2</v>
      </c>
      <c r="N911" s="108">
        <f>IO!E1002</f>
        <v>0</v>
      </c>
      <c r="O911" s="24">
        <f>'BoC Size'!E1002</f>
        <v>4</v>
      </c>
      <c r="P911" s="24">
        <f>'TMT E DK'!E1002</f>
        <v>0</v>
      </c>
      <c r="Q911" s="24">
        <f>Data!R1002</f>
        <v>4</v>
      </c>
      <c r="R911" s="24">
        <f>Data!S1002</f>
        <v>5</v>
      </c>
      <c r="S911" s="24">
        <f>'TMT E DK'!E1002</f>
        <v>0</v>
      </c>
      <c r="T911" s="24">
        <f>'TMT E DD'!E1002</f>
        <v>0</v>
      </c>
      <c r="U911" s="24">
        <f>TA!E1002</f>
        <v>4131880000000</v>
      </c>
      <c r="V911" s="109">
        <f>PR!F1002</f>
        <v>0.13705481598340286</v>
      </c>
      <c r="W911" s="109">
        <f>'Z Score'!I1002</f>
        <v>2.0255382053689845</v>
      </c>
      <c r="X911" s="109">
        <f>'Z Score'!L1002</f>
        <v>0.77957526840082481</v>
      </c>
      <c r="Y911" s="109">
        <f>'Z Score'!O1002</f>
        <v>0.21674255786712102</v>
      </c>
      <c r="Z911" s="109">
        <f>'Z Score'!R1002</f>
        <v>0.39432418972045163</v>
      </c>
      <c r="AA911" s="109">
        <f>'Z Score'!S1002</f>
        <v>3.416180221357382</v>
      </c>
    </row>
    <row r="912" spans="1:27" ht="15" customHeight="1" x14ac:dyDescent="0.3">
      <c r="A912" s="22"/>
      <c r="B912" s="23">
        <v>92</v>
      </c>
      <c r="C912" s="2" t="s">
        <v>94</v>
      </c>
      <c r="D912" s="23">
        <v>2015</v>
      </c>
      <c r="E912" s="25">
        <f>'Current Ratio'!G1004</f>
        <v>2.2398242951155543</v>
      </c>
      <c r="F912" s="25">
        <f>'Cash Ratio'!G1004</f>
        <v>9.9500718565433188E-2</v>
      </c>
      <c r="G912" s="25">
        <f>DAR!G1004</f>
        <v>0.4259380585526597</v>
      </c>
      <c r="H912" s="25">
        <f>DER!G1004</f>
        <v>0.74197229915429219</v>
      </c>
      <c r="I912" s="25">
        <f>NPM!G1004</f>
        <v>0.25591903738692251</v>
      </c>
      <c r="J912" s="25">
        <f>ROA!G1004</f>
        <v>7.373064336430149E-2</v>
      </c>
      <c r="K912" s="25">
        <f>ROE!G1004</f>
        <v>0.12843673833943742</v>
      </c>
      <c r="L912" s="25">
        <f>KM!E1004</f>
        <v>0.55610000000000004</v>
      </c>
      <c r="M912" s="24">
        <f>KI!E1004</f>
        <v>2</v>
      </c>
      <c r="N912" s="108">
        <f>IO!E1004</f>
        <v>0</v>
      </c>
      <c r="O912" s="24">
        <f>'BoC Size'!E1004</f>
        <v>4</v>
      </c>
      <c r="P912" s="24">
        <f>'TMT E DK'!E1004</f>
        <v>0</v>
      </c>
      <c r="Q912" s="24">
        <f>Data!R1004</f>
        <v>4</v>
      </c>
      <c r="R912" s="24">
        <f>Data!S1004</f>
        <v>6</v>
      </c>
      <c r="S912" s="24">
        <f>'TMT E DK'!E1004</f>
        <v>0</v>
      </c>
      <c r="T912" s="24">
        <f>'TMT E DD'!E1004</f>
        <v>0</v>
      </c>
      <c r="U912" s="24">
        <f>TA!E1004</f>
        <v>2627811764000</v>
      </c>
      <c r="V912" s="109">
        <f>PR!F1004</f>
        <v>3.8414504484744531E-2</v>
      </c>
      <c r="W912" s="109">
        <f>'Z Score'!I1004</f>
        <v>0.572455140770882</v>
      </c>
      <c r="X912" s="109">
        <f>'Z Score'!L1004</f>
        <v>0.97831705498065491</v>
      </c>
      <c r="Y912" s="109">
        <f>'Z Score'!O1004</f>
        <v>0.54200899860192575</v>
      </c>
      <c r="Z912" s="109">
        <f>'Z Score'!R1004</f>
        <v>1.4151471708536842</v>
      </c>
      <c r="AA912" s="109">
        <f>'Z Score'!S1004</f>
        <v>3.5079283652071469</v>
      </c>
    </row>
    <row r="913" spans="1:27" ht="15" customHeight="1" x14ac:dyDescent="0.3">
      <c r="A913" s="22"/>
      <c r="B913" s="23"/>
      <c r="C913" s="2"/>
      <c r="D913" s="23">
        <v>2016</v>
      </c>
      <c r="E913" s="25">
        <f>'Current Ratio'!G1005</f>
        <v>3.5877112224517176</v>
      </c>
      <c r="F913" s="25">
        <f>'Cash Ratio'!G1005</f>
        <v>0.19664080259449199</v>
      </c>
      <c r="G913" s="25">
        <f>DAR!G1005</f>
        <v>0.48674065081111989</v>
      </c>
      <c r="H913" s="25">
        <f>DER!G1005</f>
        <v>0.94833275142543705</v>
      </c>
      <c r="I913" s="25">
        <f>NPM!G1005</f>
        <v>0.17419045150914184</v>
      </c>
      <c r="J913" s="25">
        <f>ROA!G1005</f>
        <v>3.791958436321799E-2</v>
      </c>
      <c r="K913" s="25">
        <f>ROE!G1005</f>
        <v>7.3879968135297486E-2</v>
      </c>
      <c r="L913" s="25">
        <f>KM!E1005</f>
        <v>0.8</v>
      </c>
      <c r="M913" s="24">
        <f>KI!E1005</f>
        <v>2</v>
      </c>
      <c r="N913" s="108">
        <f>IO!E1005</f>
        <v>0</v>
      </c>
      <c r="O913" s="24">
        <f>'BoC Size'!E1005</f>
        <v>4</v>
      </c>
      <c r="P913" s="24">
        <f>'TMT E DK'!E1005</f>
        <v>0</v>
      </c>
      <c r="Q913" s="24">
        <f>Data!R1005</f>
        <v>4</v>
      </c>
      <c r="R913" s="24">
        <f>Data!S1005</f>
        <v>6</v>
      </c>
      <c r="S913" s="24">
        <f>'TMT E DK'!E1005</f>
        <v>0</v>
      </c>
      <c r="T913" s="24">
        <f>'TMT E DD'!E1005</f>
        <v>0</v>
      </c>
      <c r="U913" s="24">
        <f>TA!E1005</f>
        <v>3436388457000</v>
      </c>
      <c r="V913" s="109">
        <f>PR!F1005</f>
        <v>-1.1897967675928803E-2</v>
      </c>
      <c r="W913" s="109">
        <f>'Z Score'!I1005</f>
        <v>1.3271980110367365</v>
      </c>
      <c r="X913" s="109">
        <f>'Z Score'!L1005</f>
        <v>0.87171492463781131</v>
      </c>
      <c r="Y913" s="109">
        <f>'Z Score'!O1005</f>
        <v>0.27152072077862877</v>
      </c>
      <c r="Z913" s="109">
        <f>'Z Score'!R1005</f>
        <v>1.107206303295702</v>
      </c>
      <c r="AA913" s="109">
        <f>'Z Score'!S1005</f>
        <v>3.5776399597488782</v>
      </c>
    </row>
    <row r="914" spans="1:27" ht="15" customHeight="1" x14ac:dyDescent="0.3">
      <c r="A914" s="22"/>
      <c r="B914" s="23"/>
      <c r="C914" s="2"/>
      <c r="D914" s="23">
        <v>2017</v>
      </c>
      <c r="E914" s="25">
        <f>'Current Ratio'!G1006</f>
        <v>3.8204865079517494</v>
      </c>
      <c r="F914" s="25">
        <f>'Cash Ratio'!G1006</f>
        <v>0.17530802565609716</v>
      </c>
      <c r="G914" s="25">
        <f>DAR!G1006</f>
        <v>0.52301825703450466</v>
      </c>
      <c r="H914" s="25">
        <f>DER!G1006</f>
        <v>1.0965163022441713</v>
      </c>
      <c r="I914" s="25">
        <f>NPM!G1006</f>
        <v>0.16024953343468404</v>
      </c>
      <c r="J914" s="25">
        <f>ROA!G1006</f>
        <v>3.1693117554199041E-2</v>
      </c>
      <c r="K914" s="25">
        <f>ROE!G1006</f>
        <v>6.6445137621319206E-2</v>
      </c>
      <c r="L914" s="25">
        <f>KM!E1006</f>
        <v>0.8</v>
      </c>
      <c r="M914" s="24">
        <f>KI!E1006</f>
        <v>2</v>
      </c>
      <c r="N914" s="108">
        <f>IO!E1006</f>
        <v>0</v>
      </c>
      <c r="O914" s="24">
        <f>'BoC Size'!E1006</f>
        <v>4</v>
      </c>
      <c r="P914" s="24">
        <f>'TMT E DK'!E1006</f>
        <v>0</v>
      </c>
      <c r="Q914" s="24">
        <f>Data!R1006</f>
        <v>4</v>
      </c>
      <c r="R914" s="24">
        <f>Data!S1006</f>
        <v>7</v>
      </c>
      <c r="S914" s="24">
        <f>'TMT E DK'!E1006</f>
        <v>0</v>
      </c>
      <c r="T914" s="24">
        <f>'TMT E DD'!E1006</f>
        <v>0</v>
      </c>
      <c r="U914" s="24">
        <f>TA!E1006</f>
        <v>3886960940000</v>
      </c>
      <c r="V914" s="109">
        <f>PR!F1006</f>
        <v>2.7630271677526509E-2</v>
      </c>
      <c r="W914" s="109">
        <f>'Z Score'!I1006</f>
        <v>1.6676764978862895</v>
      </c>
      <c r="X914" s="109">
        <f>'Z Score'!L1006</f>
        <v>0.84042772043394898</v>
      </c>
      <c r="Y914" s="109">
        <f>'Z Score'!O1006</f>
        <v>0.23462989917259111</v>
      </c>
      <c r="Z914" s="109">
        <f>'Z Score'!R1006</f>
        <v>0.95757810244228081</v>
      </c>
      <c r="AA914" s="109">
        <f>'Z Score'!S1006</f>
        <v>3.7003122199351104</v>
      </c>
    </row>
    <row r="915" spans="1:27" ht="15" customHeight="1" x14ac:dyDescent="0.3">
      <c r="A915" s="22"/>
      <c r="B915" s="23"/>
      <c r="C915" s="2"/>
      <c r="D915" s="23">
        <v>2018</v>
      </c>
      <c r="E915" s="25">
        <f>'Current Ratio'!G1007</f>
        <v>4.8751644103193765</v>
      </c>
      <c r="F915" s="25">
        <f>'Cash Ratio'!G1007</f>
        <v>0.18479027641067997</v>
      </c>
      <c r="G915" s="25">
        <f>DAR!G1007</f>
        <v>0.57336599295930502</v>
      </c>
      <c r="H915" s="25">
        <f>DER!G1007</f>
        <v>1.3439294184174444</v>
      </c>
      <c r="I915" s="25">
        <f>NPM!G1007</f>
        <v>3.8783780215397641E-2</v>
      </c>
      <c r="J915" s="25">
        <f>ROA!G1007</f>
        <v>6.5986210619616379E-3</v>
      </c>
      <c r="K915" s="25">
        <f>ROE!G1007</f>
        <v>1.5466702028120841E-2</v>
      </c>
      <c r="L915" s="25">
        <f>KM!E1007</f>
        <v>0.8</v>
      </c>
      <c r="M915" s="24">
        <f>KI!E1007</f>
        <v>2</v>
      </c>
      <c r="N915" s="108">
        <f>IO!E1007</f>
        <v>0</v>
      </c>
      <c r="O915" s="24">
        <f>'BoC Size'!E1007</f>
        <v>4</v>
      </c>
      <c r="P915" s="24">
        <f>'TMT E DK'!E1007</f>
        <v>0</v>
      </c>
      <c r="Q915" s="24">
        <f>Data!R1007</f>
        <v>4</v>
      </c>
      <c r="R915" s="24">
        <f>Data!S1007</f>
        <v>8</v>
      </c>
      <c r="S915" s="24">
        <f>'TMT E DK'!E1007</f>
        <v>0</v>
      </c>
      <c r="T915" s="24">
        <f>'TMT E DD'!E1007</f>
        <v>0</v>
      </c>
      <c r="U915" s="24">
        <f>TA!E1007</f>
        <v>4280729979000</v>
      </c>
      <c r="V915" s="109">
        <f>PR!F1007</f>
        <v>-5.2580058007953935E-2</v>
      </c>
      <c r="W915" s="109">
        <f>'Z Score'!I1007</f>
        <v>2.1377498399975581</v>
      </c>
      <c r="X915" s="109">
        <f>'Z Score'!L1007</f>
        <v>0.78463128522407555</v>
      </c>
      <c r="Y915" s="109">
        <f>'Z Score'!O1007</f>
        <v>8.5293886872372618E-2</v>
      </c>
      <c r="Z915" s="109">
        <f>'Z Score'!R1007</f>
        <v>0.78129103032541436</v>
      </c>
      <c r="AA915" s="109">
        <f>'Z Score'!S1007</f>
        <v>3.7889660424194203</v>
      </c>
    </row>
    <row r="916" spans="1:27" ht="15" customHeight="1" x14ac:dyDescent="0.3">
      <c r="A916" s="22"/>
      <c r="B916" s="23"/>
      <c r="C916" s="2"/>
      <c r="D916" s="23">
        <v>2019</v>
      </c>
      <c r="E916" s="25">
        <f>'Current Ratio'!G1008</f>
        <v>4.3614932305718126</v>
      </c>
      <c r="F916" s="25">
        <f>'Cash Ratio'!G1008</f>
        <v>0.10848854641860591</v>
      </c>
      <c r="G916" s="25">
        <f>DAR!G1008</f>
        <v>0.5782903626975654</v>
      </c>
      <c r="H916" s="25">
        <f>DER!G1008</f>
        <v>1.3712998507616196</v>
      </c>
      <c r="I916" s="25">
        <f>NPM!G1008</f>
        <v>9.3718351710841322E-2</v>
      </c>
      <c r="J916" s="25">
        <f>ROA!G1008</f>
        <v>1.5791257179547234E-2</v>
      </c>
      <c r="K916" s="25">
        <f>ROE!G1008</f>
        <v>3.7445805793198707E-2</v>
      </c>
      <c r="L916" s="25">
        <f>KM!E1008</f>
        <v>0.8</v>
      </c>
      <c r="M916" s="24">
        <f>KI!E1008</f>
        <v>2</v>
      </c>
      <c r="N916" s="108">
        <f>IO!E1008</f>
        <v>0</v>
      </c>
      <c r="O916" s="24">
        <f>'BoC Size'!E1008</f>
        <v>4</v>
      </c>
      <c r="P916" s="24">
        <f>'TMT E DK'!E1008</f>
        <v>9</v>
      </c>
      <c r="Q916" s="24">
        <f>Data!R1008</f>
        <v>4</v>
      </c>
      <c r="R916" s="24">
        <f>Data!S1008</f>
        <v>6</v>
      </c>
      <c r="S916" s="24">
        <f>'TMT E DK'!E1008</f>
        <v>9</v>
      </c>
      <c r="T916" s="24">
        <f>'TMT E DD'!E1008</f>
        <v>14</v>
      </c>
      <c r="U916" s="24">
        <f>TA!E1008</f>
        <v>4626630367000</v>
      </c>
      <c r="V916" s="109">
        <f>PR!F1008</f>
        <v>7.0375063610973218E-2</v>
      </c>
      <c r="W916" s="109">
        <f>'Z Score'!I1008</f>
        <v>1.8875882983283934</v>
      </c>
      <c r="X916" s="109">
        <f>'Z Score'!L1008</f>
        <v>0.77744945897900808</v>
      </c>
      <c r="Y916" s="109">
        <f>'Z Score'!O1008</f>
        <v>0.11464786957336806</v>
      </c>
      <c r="Z916" s="109">
        <f>'Z Score'!R1008</f>
        <v>0.76569686740418608</v>
      </c>
      <c r="AA916" s="109">
        <f>'Z Score'!S1008</f>
        <v>3.5453824942849557</v>
      </c>
    </row>
    <row r="917" spans="1:27" ht="15" customHeight="1" x14ac:dyDescent="0.3">
      <c r="A917" s="22"/>
      <c r="B917" s="23"/>
      <c r="C917" s="2"/>
      <c r="D917" s="23">
        <v>2020</v>
      </c>
      <c r="E917" s="25">
        <f>'Current Ratio'!G1009</f>
        <v>5.5078956277195417</v>
      </c>
      <c r="F917" s="25">
        <f>'Cash Ratio'!G1009</f>
        <v>1.9810705118785239</v>
      </c>
      <c r="G917" s="25">
        <f>DAR!G1009</f>
        <v>0.57645776311083541</v>
      </c>
      <c r="H917" s="25">
        <f>DER!G1009</f>
        <v>1.3610396151864466</v>
      </c>
      <c r="I917" s="25">
        <f>NPM!G1009</f>
        <v>0.13969476478492376</v>
      </c>
      <c r="J917" s="25">
        <f>ROA!G1009</f>
        <v>2.2640979891140802E-2</v>
      </c>
      <c r="K917" s="25">
        <f>ROE!G1009</f>
        <v>5.3456250449623155E-2</v>
      </c>
      <c r="L917" s="25">
        <f>KM!E1009</f>
        <v>0.8</v>
      </c>
      <c r="M917" s="24">
        <f>KI!E1009</f>
        <v>2</v>
      </c>
      <c r="N917" s="108">
        <f>IO!E1009</f>
        <v>0</v>
      </c>
      <c r="O917" s="24">
        <f>'BoC Size'!E1009</f>
        <v>4</v>
      </c>
      <c r="P917" s="24">
        <f>'TMT E DK'!E1009</f>
        <v>9</v>
      </c>
      <c r="Q917" s="24">
        <f>Data!R1009</f>
        <v>4</v>
      </c>
      <c r="R917" s="24">
        <f>Data!S1009</f>
        <v>6</v>
      </c>
      <c r="S917" s="24">
        <f>'TMT E DK'!E1009</f>
        <v>9</v>
      </c>
      <c r="T917" s="24">
        <f>'TMT E DD'!E1009</f>
        <v>14</v>
      </c>
      <c r="U917" s="24">
        <f>TA!E1009</f>
        <v>4737130041000</v>
      </c>
      <c r="V917" s="109">
        <f>PR!F1009</f>
        <v>-1.5142205841742293E-2</v>
      </c>
      <c r="W917" s="109">
        <f>'Z Score'!I1009</f>
        <v>3.1586975999251443</v>
      </c>
      <c r="X917" s="109">
        <f>'Z Score'!L1009</f>
        <v>0.72986493054983448</v>
      </c>
      <c r="Y917" s="109">
        <f>'Z Score'!O1009</f>
        <v>0.17569856506288803</v>
      </c>
      <c r="Z917" s="109">
        <f>'Z Score'!R1009</f>
        <v>0.77146909486257842</v>
      </c>
      <c r="AA917" s="109">
        <f>'Z Score'!S1009</f>
        <v>4.8357301904004455</v>
      </c>
    </row>
    <row r="918" spans="1:27" ht="15" customHeight="1" x14ac:dyDescent="0.3">
      <c r="A918" s="22"/>
      <c r="B918" s="23"/>
      <c r="C918" s="2"/>
      <c r="D918" s="23">
        <v>2021</v>
      </c>
      <c r="E918" s="25">
        <f>'Current Ratio'!G1010</f>
        <v>4.0474924339509792</v>
      </c>
      <c r="F918" s="25">
        <f>'Cash Ratio'!G1010</f>
        <v>0.21307074869521869</v>
      </c>
      <c r="G918" s="25">
        <f>DAR!G1010</f>
        <v>0.60029339497645928</v>
      </c>
      <c r="H918" s="25">
        <f>DER!G1010</f>
        <v>1.5018350645997078</v>
      </c>
      <c r="I918" s="25">
        <f>NPM!G1010</f>
        <v>0.18980546872677159</v>
      </c>
      <c r="J918" s="25">
        <f>ROA!G1010</f>
        <v>3.2117841707773036E-2</v>
      </c>
      <c r="K918" s="25">
        <f>ROE!G1010</f>
        <v>8.0353542583769547E-2</v>
      </c>
      <c r="L918" s="25">
        <f>KM!E1010</f>
        <v>0.8</v>
      </c>
      <c r="M918" s="24">
        <f>KI!E1010</f>
        <v>2</v>
      </c>
      <c r="N918" s="108">
        <f>IO!E1010</f>
        <v>0</v>
      </c>
      <c r="O918" s="24">
        <f>'BoC Size'!E1010</f>
        <v>4</v>
      </c>
      <c r="P918" s="24">
        <f>'TMT E DK'!E1010</f>
        <v>9</v>
      </c>
      <c r="Q918" s="24">
        <f>Data!R1010</f>
        <v>4</v>
      </c>
      <c r="R918" s="24">
        <f>Data!S1010</f>
        <v>6</v>
      </c>
      <c r="S918" s="24">
        <f>'TMT E DK'!E1010</f>
        <v>9</v>
      </c>
      <c r="T918" s="24">
        <f>'TMT E DD'!E1010</f>
        <v>14</v>
      </c>
      <c r="U918" s="24">
        <f>TA!E1010</f>
        <v>4652817906000</v>
      </c>
      <c r="V918" s="109">
        <f>PR!F1010</f>
        <v>2.5470787434537283E-2</v>
      </c>
      <c r="W918" s="109">
        <f>'Z Score'!I1010</f>
        <v>2.0977855943799746</v>
      </c>
      <c r="X918" s="109">
        <f>'Z Score'!L1010</f>
        <v>0.67257767223697573</v>
      </c>
      <c r="Y918" s="109">
        <f>'Z Score'!O1010</f>
        <v>0.23277461663035476</v>
      </c>
      <c r="Z918" s="109">
        <f>'Z Score'!R1010</f>
        <v>0.69914468289489717</v>
      </c>
      <c r="AA918" s="109">
        <f>'Z Score'!S1010</f>
        <v>3.7022825661422023</v>
      </c>
    </row>
    <row r="919" spans="1:27" ht="15" customHeight="1" x14ac:dyDescent="0.3">
      <c r="A919" s="22"/>
      <c r="B919" s="23"/>
      <c r="C919" s="2"/>
      <c r="D919" s="23">
        <v>2022</v>
      </c>
      <c r="E919" s="25">
        <f>'Current Ratio'!G1011</f>
        <v>4.1139915718791151</v>
      </c>
      <c r="F919" s="25">
        <f>'Cash Ratio'!G1011</f>
        <v>0.1580123232803172</v>
      </c>
      <c r="G919" s="25">
        <f>DAR!G1011</f>
        <v>0.63867564534288912</v>
      </c>
      <c r="H919" s="25">
        <f>DER!G1011</f>
        <v>1.7675964465472549</v>
      </c>
      <c r="I919" s="25">
        <f>NPM!G1011</f>
        <v>0.19325091650448456</v>
      </c>
      <c r="J919" s="25">
        <f>ROA!G1011</f>
        <v>3.6077340742870063E-2</v>
      </c>
      <c r="K919" s="25">
        <f>ROE!G1011</f>
        <v>9.98475200408417E-2</v>
      </c>
      <c r="L919" s="25">
        <f>KM!E1011</f>
        <v>0.8</v>
      </c>
      <c r="M919" s="24">
        <f>KI!E1011</f>
        <v>2</v>
      </c>
      <c r="N919" s="108">
        <f>IO!E1011</f>
        <v>0</v>
      </c>
      <c r="O919" s="24">
        <f>'BoC Size'!E1011</f>
        <v>4</v>
      </c>
      <c r="P919" s="24">
        <f>'TMT E DK'!E1011</f>
        <v>9</v>
      </c>
      <c r="Q919" s="24">
        <f>Data!R1011</f>
        <v>4</v>
      </c>
      <c r="R919" s="24">
        <f>Data!S1011</f>
        <v>6</v>
      </c>
      <c r="S919" s="24">
        <f>'TMT E DK'!E1011</f>
        <v>9</v>
      </c>
      <c r="T919" s="24">
        <f>'TMT E DD'!E1011</f>
        <v>14</v>
      </c>
      <c r="U919" s="24">
        <f>TA!E1011</f>
        <v>4705846343000</v>
      </c>
      <c r="V919" s="109">
        <f>PR!F1011</f>
        <v>0.11582737020333954</v>
      </c>
      <c r="W919" s="109">
        <f>'Z Score'!I1011</f>
        <v>2.1264128464043219</v>
      </c>
      <c r="X919" s="109">
        <f>'Z Score'!L1011</f>
        <v>0.60990049028891546</v>
      </c>
      <c r="Y919" s="109">
        <f>'Z Score'!O1011</f>
        <v>0.27533824696324127</v>
      </c>
      <c r="Z919" s="109">
        <f>'Z Score'!R1011</f>
        <v>0.59402699187986252</v>
      </c>
      <c r="AA919" s="109">
        <f>'Z Score'!S1011</f>
        <v>3.605678575536341</v>
      </c>
    </row>
    <row r="920" spans="1:27" ht="15" customHeight="1" x14ac:dyDescent="0.3">
      <c r="A920" s="22"/>
      <c r="B920" s="23"/>
      <c r="C920" s="2"/>
      <c r="D920" s="23">
        <v>2023</v>
      </c>
      <c r="E920" s="25">
        <f>'Current Ratio'!G1012</f>
        <v>4.3454947451852801</v>
      </c>
      <c r="F920" s="25">
        <f>'Cash Ratio'!G1012</f>
        <v>0.18592381552538312</v>
      </c>
      <c r="G920" s="25">
        <f>DAR!G1012</f>
        <v>0.66660350209476527</v>
      </c>
      <c r="H920" s="25">
        <f>DER!G1012</f>
        <v>1.9994316265560836</v>
      </c>
      <c r="I920" s="25">
        <f>NPM!G1012</f>
        <v>0.16019699042385166</v>
      </c>
      <c r="J920" s="25">
        <f>ROA!G1012</f>
        <v>2.894328655571354E-2</v>
      </c>
      <c r="K920" s="25">
        <f>ROE!G1012</f>
        <v>8.6813409071682696E-2</v>
      </c>
      <c r="L920" s="25">
        <f>KM!E1012</f>
        <v>0.8</v>
      </c>
      <c r="M920" s="24">
        <f>KI!E1012</f>
        <v>2</v>
      </c>
      <c r="N920" s="108">
        <f>IO!E1012</f>
        <v>0</v>
      </c>
      <c r="O920" s="24">
        <f>'BoC Size'!E1012</f>
        <v>4</v>
      </c>
      <c r="P920" s="24">
        <f>'TMT E DK'!E1012</f>
        <v>9</v>
      </c>
      <c r="Q920" s="24">
        <f>Data!R1012</f>
        <v>4</v>
      </c>
      <c r="R920" s="24">
        <f>Data!S1012</f>
        <v>6</v>
      </c>
      <c r="S920" s="24">
        <f>'TMT E DK'!E1012</f>
        <v>9</v>
      </c>
      <c r="T920" s="24">
        <f>'TMT E DD'!E1012</f>
        <v>14</v>
      </c>
      <c r="U920" s="24">
        <f>TA!E1012</f>
        <v>5116000794000</v>
      </c>
      <c r="V920" s="109">
        <f>PR!F1012</f>
        <v>5.2139672041281601E-2</v>
      </c>
      <c r="W920" s="109">
        <f>'Z Score'!I1012</f>
        <v>2.2421151773105059</v>
      </c>
      <c r="X920" s="109">
        <f>'Z Score'!L1012</f>
        <v>0.59181496317805304</v>
      </c>
      <c r="Y920" s="109">
        <f>'Z Score'!O1012</f>
        <v>0.20722583992624768</v>
      </c>
      <c r="Z920" s="109">
        <f>'Z Score'!R1012</f>
        <v>0.52514924044117983</v>
      </c>
      <c r="AA920" s="109">
        <f>'Z Score'!S1012</f>
        <v>3.5663052208559867</v>
      </c>
    </row>
    <row r="921" spans="1:27" ht="15" customHeight="1" x14ac:dyDescent="0.3">
      <c r="A921" s="22"/>
      <c r="B921" s="23"/>
      <c r="C921" s="2"/>
      <c r="D921" s="23">
        <v>2024</v>
      </c>
      <c r="E921" s="25">
        <f>'Current Ratio'!G1013</f>
        <v>4.0495062481086652</v>
      </c>
      <c r="F921" s="25">
        <f>'Cash Ratio'!G1013</f>
        <v>0.14644888856684096</v>
      </c>
      <c r="G921" s="25">
        <f>DAR!G1013</f>
        <v>0.66128264058271535</v>
      </c>
      <c r="H921" s="25">
        <f>DER!G1013</f>
        <v>1.9523139933552822</v>
      </c>
      <c r="I921" s="25">
        <f>NPM!G1013</f>
        <v>0.21996265269581883</v>
      </c>
      <c r="J921" s="25">
        <f>ROA!G1013</f>
        <v>4.2596864280938632E-2</v>
      </c>
      <c r="K921" s="25">
        <f>ROE!G1013</f>
        <v>0.1257593184896709</v>
      </c>
      <c r="L921" s="25">
        <f>KM!E1013</f>
        <v>0.8</v>
      </c>
      <c r="M921" s="24">
        <f>KI!E1013</f>
        <v>2</v>
      </c>
      <c r="N921" s="108">
        <f>IO!E1013</f>
        <v>0</v>
      </c>
      <c r="O921" s="24">
        <f>'BoC Size'!E1013</f>
        <v>4</v>
      </c>
      <c r="P921" s="24">
        <f>'TMT E DK'!E1013</f>
        <v>9</v>
      </c>
      <c r="Q921" s="24">
        <f>Data!R1013</f>
        <v>4</v>
      </c>
      <c r="R921" s="24">
        <f>Data!S1013</f>
        <v>6</v>
      </c>
      <c r="S921" s="24">
        <f>'TMT E DK'!E1013</f>
        <v>9</v>
      </c>
      <c r="T921" s="24">
        <f>'TMT E DD'!E1013</f>
        <v>14</v>
      </c>
      <c r="U921" s="24">
        <f>TA!E1013</f>
        <v>5366438278000</v>
      </c>
      <c r="V921" s="109">
        <f>PR!F1013</f>
        <v>0.12432204365614928</v>
      </c>
      <c r="W921" s="109">
        <f>'Z Score'!I1013</f>
        <v>2.2050408196644873</v>
      </c>
      <c r="X921" s="109">
        <f>'Z Score'!L1013</f>
        <v>0.61278717214755218</v>
      </c>
      <c r="Y921" s="109">
        <f>'Z Score'!O1013</f>
        <v>0.31012081280477177</v>
      </c>
      <c r="Z921" s="109">
        <f>'Z Score'!R1013</f>
        <v>0.53782332328390015</v>
      </c>
      <c r="AA921" s="109">
        <f>'Z Score'!S1013</f>
        <v>3.6657721279007114</v>
      </c>
    </row>
    <row r="922" spans="1:27" ht="15" customHeight="1" x14ac:dyDescent="0.3">
      <c r="A922" s="22"/>
      <c r="B922" s="23">
        <v>93</v>
      </c>
      <c r="C922" s="2" t="s">
        <v>102</v>
      </c>
      <c r="D922" s="23">
        <v>2015</v>
      </c>
      <c r="E922" s="25">
        <f>'Current Ratio'!G1015</f>
        <v>2.6956372753140396</v>
      </c>
      <c r="F922" s="25">
        <f>'Cash Ratio'!G1015</f>
        <v>0.11702321465750573</v>
      </c>
      <c r="G922" s="25">
        <f>DAR!G1015</f>
        <v>0.82153293364471869</v>
      </c>
      <c r="H922" s="25">
        <f>DER!G1015</f>
        <v>5.2433236621833315</v>
      </c>
      <c r="I922" s="25">
        <f>NPM!G1015</f>
        <v>4.8446347750197884E-2</v>
      </c>
      <c r="J922" s="25">
        <f>ROA!G1015</f>
        <v>3.4667758839044003E-3</v>
      </c>
      <c r="K922" s="25">
        <f>ROE!G1015</f>
        <v>2.2126231681204291E-2</v>
      </c>
      <c r="L922" s="25">
        <f>KM!E1015</f>
        <v>0.63590000000000002</v>
      </c>
      <c r="M922" s="24">
        <f>KI!E1015</f>
        <v>1</v>
      </c>
      <c r="N922" s="108">
        <f>IO!E1015</f>
        <v>0</v>
      </c>
      <c r="O922" s="24">
        <f>'BoC Size'!E1015</f>
        <v>3</v>
      </c>
      <c r="P922" s="24">
        <f>'TMT E DK'!E1015</f>
        <v>7</v>
      </c>
      <c r="Q922" s="24">
        <f>Data!R1015</f>
        <v>3</v>
      </c>
      <c r="R922" s="24">
        <f>Data!S1015</f>
        <v>3</v>
      </c>
      <c r="S922" s="24">
        <f>'TMT E DK'!E1015</f>
        <v>7</v>
      </c>
      <c r="T922" s="24">
        <f>'TMT E DD'!E1015</f>
        <v>7</v>
      </c>
      <c r="U922" s="24">
        <f>TA!E1015</f>
        <v>688536000000</v>
      </c>
      <c r="V922" s="109">
        <f>PR!F1015</f>
        <v>-0.21762258638211382</v>
      </c>
      <c r="W922" s="109">
        <f>'Z Score'!I1015</f>
        <v>3.7244655907606861</v>
      </c>
      <c r="X922" s="109">
        <f>'Z Score'!L1015</f>
        <v>3.3071763858389391E-2</v>
      </c>
      <c r="Y922" s="109">
        <f>'Z Score'!O1015</f>
        <v>2.9425912370594998E-2</v>
      </c>
      <c r="Z922" s="109">
        <f>'Z Score'!R1015</f>
        <v>0.20025466052629254</v>
      </c>
      <c r="AA922" s="109">
        <f>'Z Score'!S1015</f>
        <v>3.9872179275159629</v>
      </c>
    </row>
    <row r="923" spans="1:27" ht="15" customHeight="1" x14ac:dyDescent="0.3">
      <c r="A923" s="22"/>
      <c r="B923" s="23"/>
      <c r="C923" s="2"/>
      <c r="D923" s="23">
        <v>2016</v>
      </c>
      <c r="E923" s="25">
        <f>'Current Ratio'!G1016</f>
        <v>2.5133260977970724</v>
      </c>
      <c r="F923" s="25">
        <f>'Cash Ratio'!G1016</f>
        <v>8.2314980493385356E-2</v>
      </c>
      <c r="G923" s="25">
        <f>DAR!G1016</f>
        <v>0.62616891106705863</v>
      </c>
      <c r="H923" s="25">
        <f>DER!G1016</f>
        <v>1.675004914263249</v>
      </c>
      <c r="I923" s="25">
        <f>NPM!G1016</f>
        <v>0.20040530312278731</v>
      </c>
      <c r="J923" s="25">
        <f>ROA!G1016</f>
        <v>1.4026932804702987E-2</v>
      </c>
      <c r="K923" s="25">
        <f>ROE!G1016</f>
        <v>3.7522114184620869E-2</v>
      </c>
      <c r="L923" s="25">
        <f>KM!E1016</f>
        <v>0.67779999999999996</v>
      </c>
      <c r="M923" s="24">
        <f>KI!E1016</f>
        <v>2</v>
      </c>
      <c r="N923" s="108">
        <f>IO!E1016</f>
        <v>0</v>
      </c>
      <c r="O923" s="24">
        <f>'BoC Size'!E1016</f>
        <v>3</v>
      </c>
      <c r="P923" s="24">
        <f>'TMT E DK'!E1016</f>
        <v>3</v>
      </c>
      <c r="Q923" s="24">
        <f>Data!R1016</f>
        <v>3</v>
      </c>
      <c r="R923" s="24">
        <f>Data!S1016</f>
        <v>3</v>
      </c>
      <c r="S923" s="24">
        <f>'TMT E DK'!E1016</f>
        <v>3</v>
      </c>
      <c r="T923" s="24">
        <f>'TMT E DD'!E1016</f>
        <v>7</v>
      </c>
      <c r="U923" s="24">
        <f>TA!E1016</f>
        <v>585160000000</v>
      </c>
      <c r="V923" s="109">
        <f>PR!F1016</f>
        <v>-0.1687402325911794</v>
      </c>
      <c r="W923" s="109">
        <f>'Z Score'!I1016</f>
        <v>2.891821450543441</v>
      </c>
      <c r="X923" s="109">
        <f>'Z Score'!L1016</f>
        <v>8.852518969170825E-2</v>
      </c>
      <c r="Y923" s="109">
        <f>'Z Score'!O1016</f>
        <v>0.11582801285118599</v>
      </c>
      <c r="Z923" s="109">
        <f>'Z Score'!R1016</f>
        <v>0.62686383249319744</v>
      </c>
      <c r="AA923" s="109">
        <f>'Z Score'!S1016</f>
        <v>3.7230384855795329</v>
      </c>
    </row>
    <row r="924" spans="1:27" ht="15" customHeight="1" x14ac:dyDescent="0.3">
      <c r="A924" s="22"/>
      <c r="B924" s="23"/>
      <c r="C924" s="2"/>
      <c r="D924" s="23">
        <v>2017</v>
      </c>
      <c r="E924" s="25">
        <f>'Current Ratio'!G1017</f>
        <v>3.488747734225274</v>
      </c>
      <c r="F924" s="25">
        <f>'Cash Ratio'!G1017</f>
        <v>5.462789356961447E-2</v>
      </c>
      <c r="G924" s="25">
        <f>DAR!G1017</f>
        <v>0.71825115311184629</v>
      </c>
      <c r="H924" s="25">
        <f>DER!G1017</f>
        <v>2.5492603112479513</v>
      </c>
      <c r="I924" s="25">
        <f>NPM!G1017</f>
        <v>0.16407497396737244</v>
      </c>
      <c r="J924" s="25">
        <f>ROA!G1017</f>
        <v>1.1766345811584138E-2</v>
      </c>
      <c r="K924" s="25">
        <f>ROE!G1017</f>
        <v>4.1761824197474144E-2</v>
      </c>
      <c r="L924" s="25">
        <f>KM!E1017</f>
        <v>0.67779999999999996</v>
      </c>
      <c r="M924" s="24">
        <f>KI!E1017</f>
        <v>2</v>
      </c>
      <c r="N924" s="108">
        <f>IO!E1017</f>
        <v>0</v>
      </c>
      <c r="O924" s="24">
        <f>'BoC Size'!E1017</f>
        <v>4</v>
      </c>
      <c r="P924" s="24">
        <f>'TMT E DK'!E1017</f>
        <v>0</v>
      </c>
      <c r="Q924" s="24">
        <f>Data!R1017</f>
        <v>4</v>
      </c>
      <c r="R924" s="24">
        <f>Data!S1017</f>
        <v>4</v>
      </c>
      <c r="S924" s="24">
        <f>'TMT E DK'!E1017</f>
        <v>0</v>
      </c>
      <c r="T924" s="24">
        <f>'TMT E DD'!E1017</f>
        <v>0</v>
      </c>
      <c r="U924" s="24">
        <f>TA!E1017</f>
        <v>803478000000</v>
      </c>
      <c r="V924" s="109">
        <f>PR!F1017</f>
        <v>0.40684132138584367</v>
      </c>
      <c r="W924" s="109">
        <f>'Z Score'!I1017</f>
        <v>3.9122755819076565</v>
      </c>
      <c r="X924" s="109">
        <f>'Z Score'!L1017</f>
        <v>0.16231065442986614</v>
      </c>
      <c r="Y924" s="109">
        <f>'Z Score'!O1017</f>
        <v>0.10640221636435596</v>
      </c>
      <c r="Z924" s="109">
        <f>'Z Score'!R1017</f>
        <v>0.41188418278319666</v>
      </c>
      <c r="AA924" s="109">
        <f>'Z Score'!S1017</f>
        <v>4.5928726354850751</v>
      </c>
    </row>
    <row r="925" spans="1:27" ht="15" customHeight="1" x14ac:dyDescent="0.3">
      <c r="A925" s="22"/>
      <c r="B925" s="23"/>
      <c r="C925" s="2"/>
      <c r="D925" s="23">
        <v>2018</v>
      </c>
      <c r="E925" s="25">
        <f>'Current Ratio'!G1018</f>
        <v>4.1847903273592584</v>
      </c>
      <c r="F925" s="25">
        <f>'Cash Ratio'!G1018</f>
        <v>0.1161817335321034</v>
      </c>
      <c r="G925" s="25">
        <f>DAR!G1018</f>
        <v>0.77444380009447622</v>
      </c>
      <c r="H925" s="25">
        <f>DER!G1018</f>
        <v>3.4334848717031892</v>
      </c>
      <c r="I925" s="25">
        <f>NPM!G1018</f>
        <v>0.18192017316931525</v>
      </c>
      <c r="J925" s="25">
        <f>ROA!G1018</f>
        <v>1.3233390812764274E-2</v>
      </c>
      <c r="K925" s="25">
        <f>ROE!G1018</f>
        <v>5.8670037969726377E-2</v>
      </c>
      <c r="L925" s="25">
        <f>KM!E1018</f>
        <v>0.70399999999999996</v>
      </c>
      <c r="M925" s="24">
        <f>KI!E1018</f>
        <v>1</v>
      </c>
      <c r="N925" s="108">
        <f>IO!E1018</f>
        <v>0</v>
      </c>
      <c r="O925" s="24">
        <f>'BoC Size'!E1018</f>
        <v>3</v>
      </c>
      <c r="P925" s="24">
        <f>'TMT E DK'!E1018</f>
        <v>3</v>
      </c>
      <c r="Q925" s="24">
        <f>Data!R1018</f>
        <v>3</v>
      </c>
      <c r="R925" s="24">
        <f>Data!S1018</f>
        <v>4</v>
      </c>
      <c r="S925" s="24">
        <f>'TMT E DK'!E1018</f>
        <v>3</v>
      </c>
      <c r="T925" s="24">
        <f>'TMT E DD'!E1018</f>
        <v>6</v>
      </c>
      <c r="U925" s="24">
        <f>TA!E1018</f>
        <v>1041532000000</v>
      </c>
      <c r="V925" s="109">
        <f>PR!F1018</f>
        <v>0.3148906629642485</v>
      </c>
      <c r="W925" s="109">
        <f>'Z Score'!I1018</f>
        <v>4.2653932092340892</v>
      </c>
      <c r="X925" s="109">
        <f>'Z Score'!L1018</f>
        <v>0.15060330359508875</v>
      </c>
      <c r="Y925" s="109">
        <f>'Z Score'!O1018</f>
        <v>0.11160083415583967</v>
      </c>
      <c r="Z925" s="109">
        <f>'Z Score'!R1018</f>
        <v>0.30581174498641228</v>
      </c>
      <c r="AA925" s="109">
        <f>'Z Score'!S1018</f>
        <v>4.8334090919714301</v>
      </c>
    </row>
    <row r="926" spans="1:27" ht="15" customHeight="1" x14ac:dyDescent="0.3">
      <c r="A926" s="22"/>
      <c r="B926" s="23"/>
      <c r="C926" s="2"/>
      <c r="D926" s="23">
        <v>2019</v>
      </c>
      <c r="E926" s="25">
        <f>'Current Ratio'!G1019</f>
        <v>5.0348706233242906</v>
      </c>
      <c r="F926" s="25">
        <f>'Cash Ratio'!G1019</f>
        <v>9.2946022982670448E-2</v>
      </c>
      <c r="G926" s="25">
        <f>DAR!G1019</f>
        <v>0.85032255951796176</v>
      </c>
      <c r="H926" s="25">
        <f>DER!G1019</f>
        <v>5.681033539720393</v>
      </c>
      <c r="I926" s="25">
        <f>NPM!G1019</f>
        <v>0.1897196834938355</v>
      </c>
      <c r="J926" s="25">
        <f>ROA!G1019</f>
        <v>1.7725218587287553E-2</v>
      </c>
      <c r="K926" s="25">
        <f>ROE!G1019</f>
        <v>0.11842277988054346</v>
      </c>
      <c r="L926" s="25">
        <f>KM!E1019</f>
        <v>0.79800000000000004</v>
      </c>
      <c r="M926" s="24">
        <f>KI!E1019</f>
        <v>2</v>
      </c>
      <c r="N926" s="108">
        <f>IO!E1019</f>
        <v>0</v>
      </c>
      <c r="O926" s="24">
        <f>'BoC Size'!E1019</f>
        <v>4</v>
      </c>
      <c r="P926" s="24">
        <f>'TMT E DK'!E1019</f>
        <v>0</v>
      </c>
      <c r="Q926" s="24">
        <f>Data!R1019</f>
        <v>4</v>
      </c>
      <c r="R926" s="24">
        <f>Data!S1019</f>
        <v>5</v>
      </c>
      <c r="S926" s="24">
        <f>'TMT E DK'!E1019</f>
        <v>0</v>
      </c>
      <c r="T926" s="24">
        <f>'TMT E DD'!E1019</f>
        <v>0</v>
      </c>
      <c r="U926" s="24">
        <f>TA!E1019</f>
        <v>1221480000000</v>
      </c>
      <c r="V926" s="109">
        <f>PR!F1019</f>
        <v>0.50626946834908404</v>
      </c>
      <c r="W926" s="109">
        <f>'Z Score'!I1019</f>
        <v>4.0976638176638174</v>
      </c>
      <c r="X926" s="109">
        <f>'Z Score'!L1019</f>
        <v>-0.25485530667714573</v>
      </c>
      <c r="Y926" s="109">
        <f>'Z Score'!O1019</f>
        <v>0.16659161017781707</v>
      </c>
      <c r="Z926" s="109">
        <f>'Z Score'!R1019</f>
        <v>0.18482552385206982</v>
      </c>
      <c r="AA926" s="109">
        <f>'Z Score'!S1019</f>
        <v>4.1942256450165587</v>
      </c>
    </row>
    <row r="927" spans="1:27" ht="15" customHeight="1" x14ac:dyDescent="0.3">
      <c r="A927" s="22"/>
      <c r="B927" s="23"/>
      <c r="C927" s="2"/>
      <c r="D927" s="23">
        <v>2020</v>
      </c>
      <c r="E927" s="25">
        <f>'Current Ratio'!G1020</f>
        <v>7.6703697082684235</v>
      </c>
      <c r="F927" s="25">
        <f>'Cash Ratio'!G1020</f>
        <v>0.25004469188140049</v>
      </c>
      <c r="G927" s="25">
        <f>DAR!G1020</f>
        <v>0.8051266888314329</v>
      </c>
      <c r="H927" s="25">
        <f>DER!G1020</f>
        <v>4.2068254705313084</v>
      </c>
      <c r="I927" s="25">
        <f>NPM!G1020</f>
        <v>0.2581733627049897</v>
      </c>
      <c r="J927" s="25">
        <f>ROA!G1020</f>
        <v>2.4529635477357804E-2</v>
      </c>
      <c r="K927" s="25">
        <f>ROE!G1020</f>
        <v>0.12816851899267026</v>
      </c>
      <c r="L927" s="25">
        <f>KM!E1020</f>
        <v>0.79800000000000004</v>
      </c>
      <c r="M927" s="24">
        <f>KI!E1020</f>
        <v>2</v>
      </c>
      <c r="N927" s="108">
        <f>IO!E1020</f>
        <v>0</v>
      </c>
      <c r="O927" s="24">
        <f>'BoC Size'!E1020</f>
        <v>4</v>
      </c>
      <c r="P927" s="24">
        <f>'TMT E DK'!E1020</f>
        <v>0</v>
      </c>
      <c r="Q927" s="24">
        <f>Data!R1020</f>
        <v>4</v>
      </c>
      <c r="R927" s="24">
        <f>Data!S1020</f>
        <v>5</v>
      </c>
      <c r="S927" s="24">
        <f>'TMT E DK'!E1020</f>
        <v>0</v>
      </c>
      <c r="T927" s="24">
        <f>'TMT E DD'!E1020</f>
        <v>0</v>
      </c>
      <c r="U927" s="24">
        <f>TA!E1020</f>
        <v>1204013000000</v>
      </c>
      <c r="V927" s="109">
        <f>PR!F1020</f>
        <v>2.4097230132929083E-3</v>
      </c>
      <c r="W927" s="109">
        <f>'Z Score'!I1020</f>
        <v>4.2692661956307774</v>
      </c>
      <c r="X927" s="109">
        <f>'Z Score'!L1020</f>
        <v>-0.17748396404357758</v>
      </c>
      <c r="Y927" s="109">
        <f>'Z Score'!O1020</f>
        <v>0.17099536300687782</v>
      </c>
      <c r="Z927" s="109">
        <f>'Z Score'!R1020</f>
        <v>0.24959438116822766</v>
      </c>
      <c r="AA927" s="109">
        <f>'Z Score'!S1020</f>
        <v>4.5123719757623046</v>
      </c>
    </row>
    <row r="928" spans="1:27" ht="15" customHeight="1" x14ac:dyDescent="0.3">
      <c r="A928" s="22"/>
      <c r="B928" s="23"/>
      <c r="C928" s="2"/>
      <c r="D928" s="23">
        <v>2021</v>
      </c>
      <c r="E928" s="25">
        <f>'Current Ratio'!G1021</f>
        <v>9.27537308070041</v>
      </c>
      <c r="F928" s="25">
        <f>'Cash Ratio'!G1021</f>
        <v>0.25483667489081052</v>
      </c>
      <c r="G928" s="25">
        <f>DAR!G1021</f>
        <v>0.8369485392081295</v>
      </c>
      <c r="H928" s="25">
        <f>DER!G1021</f>
        <v>5.1330330629571321</v>
      </c>
      <c r="I928" s="25">
        <f>NPM!G1021</f>
        <v>0.18247382765348497</v>
      </c>
      <c r="J928" s="25">
        <f>ROA!G1021</f>
        <v>1.5621120878463832E-2</v>
      </c>
      <c r="K928" s="25">
        <f>ROE!G1021</f>
        <v>9.5804850828068638E-2</v>
      </c>
      <c r="L928" s="25">
        <f>KM!E1021</f>
        <v>0.79800000000000004</v>
      </c>
      <c r="M928" s="24">
        <f>KI!E1021</f>
        <v>2</v>
      </c>
      <c r="N928" s="108">
        <f>IO!E1021</f>
        <v>0</v>
      </c>
      <c r="O928" s="24">
        <f>'BoC Size'!E1021</f>
        <v>3</v>
      </c>
      <c r="P928" s="24">
        <f>'TMT E DK'!E1021</f>
        <v>0</v>
      </c>
      <c r="Q928" s="24">
        <f>Data!R1021</f>
        <v>3</v>
      </c>
      <c r="R928" s="24">
        <f>Data!S1021</f>
        <v>5</v>
      </c>
      <c r="S928" s="24">
        <f>'TMT E DK'!E1021</f>
        <v>0</v>
      </c>
      <c r="T928" s="24">
        <f>'TMT E DD'!E1021</f>
        <v>0</v>
      </c>
      <c r="U928" s="24">
        <f>TA!E1021</f>
        <v>1538686000000</v>
      </c>
      <c r="V928" s="109">
        <f>PR!F1021</f>
        <v>0.15146508619182489</v>
      </c>
      <c r="W928" s="109">
        <f>'Z Score'!I1021</f>
        <v>4.4186331454240824</v>
      </c>
      <c r="X928" s="109">
        <f>'Z Score'!L1021</f>
        <v>-8.8817640506250128E-2</v>
      </c>
      <c r="Y928" s="109">
        <f>'Z Score'!O1021</f>
        <v>0.12512057690782916</v>
      </c>
      <c r="Z928" s="109">
        <f>'Z Score'!R1021</f>
        <v>0.2045574199740488</v>
      </c>
      <c r="AA928" s="109">
        <f>'Z Score'!S1021</f>
        <v>4.6594935017997097</v>
      </c>
    </row>
    <row r="929" spans="1:27" ht="15" customHeight="1" x14ac:dyDescent="0.3">
      <c r="A929" s="22"/>
      <c r="B929" s="23"/>
      <c r="C929" s="2"/>
      <c r="D929" s="23">
        <v>2022</v>
      </c>
      <c r="E929" s="25">
        <f>'Current Ratio'!G1022</f>
        <v>7.2142351783998944</v>
      </c>
      <c r="F929" s="25">
        <f>'Cash Ratio'!G1022</f>
        <v>0.23249794364139406</v>
      </c>
      <c r="G929" s="25">
        <f>DAR!G1022</f>
        <v>0.82363862099494389</v>
      </c>
      <c r="H929" s="25">
        <f>DER!G1022</f>
        <v>4.6701756679467277</v>
      </c>
      <c r="I929" s="25">
        <f>NPM!G1022</f>
        <v>0.30878163370707895</v>
      </c>
      <c r="J929" s="25">
        <f>ROA!G1022</f>
        <v>3.2048518328095854E-2</v>
      </c>
      <c r="K929" s="25">
        <f>ROE!G1022</f>
        <v>0.18172072881771387</v>
      </c>
      <c r="L929" s="25">
        <f>KM!E1022</f>
        <v>0.79800000000000004</v>
      </c>
      <c r="M929" s="24">
        <f>KI!E1022</f>
        <v>2</v>
      </c>
      <c r="N929" s="108">
        <f>IO!E1022</f>
        <v>0</v>
      </c>
      <c r="O929" s="24">
        <f>'BoC Size'!E1022</f>
        <v>3</v>
      </c>
      <c r="P929" s="24">
        <f>'TMT E DK'!E1022</f>
        <v>0</v>
      </c>
      <c r="Q929" s="24">
        <f>Data!R1022</f>
        <v>3</v>
      </c>
      <c r="R929" s="24">
        <f>Data!S1022</f>
        <v>6</v>
      </c>
      <c r="S929" s="24">
        <f>'TMT E DK'!E1022</f>
        <v>0</v>
      </c>
      <c r="T929" s="24">
        <f>'TMT E DD'!E1022</f>
        <v>0</v>
      </c>
      <c r="U929" s="24">
        <f>TA!E1022</f>
        <v>1734932000000</v>
      </c>
      <c r="V929" s="109">
        <f>PR!F1022</f>
        <v>0.36702777798865804</v>
      </c>
      <c r="W929" s="109">
        <f>'Z Score'!I1022</f>
        <v>4.0849454387837678</v>
      </c>
      <c r="X929" s="109">
        <f>'Z Score'!L1022</f>
        <v>2.5708973031796058E-2</v>
      </c>
      <c r="Y929" s="109">
        <f>'Z Score'!O1022</f>
        <v>0.21060182185814774</v>
      </c>
      <c r="Z929" s="109">
        <f>'Z Score'!R1022</f>
        <v>0.22483094312844965</v>
      </c>
      <c r="AA929" s="109">
        <f>'Z Score'!S1022</f>
        <v>4.5460871768021613</v>
      </c>
    </row>
    <row r="930" spans="1:27" ht="15" customHeight="1" x14ac:dyDescent="0.3">
      <c r="A930" s="22"/>
      <c r="B930" s="23"/>
      <c r="C930" s="2"/>
      <c r="D930" s="23">
        <v>2023</v>
      </c>
      <c r="E930" s="25">
        <f>'Current Ratio'!G1023</f>
        <v>10.310908907401226</v>
      </c>
      <c r="F930" s="25">
        <f>'Cash Ratio'!G1023</f>
        <v>0.42095292811502838</v>
      </c>
      <c r="G930" s="25">
        <f>DAR!G1023</f>
        <v>0.78725349309094461</v>
      </c>
      <c r="H930" s="25">
        <f>DER!G1023</f>
        <v>3.9088310905747825</v>
      </c>
      <c r="I930" s="25">
        <f>NPM!G1023</f>
        <v>0.19470893059114097</v>
      </c>
      <c r="J930" s="25">
        <f>ROA!G1023</f>
        <v>3.8270031043396102E-2</v>
      </c>
      <c r="K930" s="25">
        <f>ROE!G1023</f>
        <v>0.19001641592260018</v>
      </c>
      <c r="L930" s="25">
        <f>KM!E1023</f>
        <v>0.79820000000000002</v>
      </c>
      <c r="M930" s="24">
        <f>KI!E1023</f>
        <v>2</v>
      </c>
      <c r="N930" s="108">
        <f>IO!E1023</f>
        <v>0</v>
      </c>
      <c r="O930" s="24">
        <f>'BoC Size'!E1023</f>
        <v>4</v>
      </c>
      <c r="P930" s="24">
        <f>'TMT E DK'!E1023</f>
        <v>0</v>
      </c>
      <c r="Q930" s="24">
        <f>Data!R1023</f>
        <v>4</v>
      </c>
      <c r="R930" s="24">
        <f>Data!S1023</f>
        <v>4</v>
      </c>
      <c r="S930" s="24">
        <f>'TMT E DK'!E1023</f>
        <v>0</v>
      </c>
      <c r="T930" s="24">
        <f>'TMT E DD'!E1023</f>
        <v>0</v>
      </c>
      <c r="U930" s="24">
        <f>TA!E1023</f>
        <v>1763338000000</v>
      </c>
      <c r="V930" s="109">
        <f>PR!F1023</f>
        <v>0.92472885393932325</v>
      </c>
      <c r="W930" s="109">
        <f>'Z Score'!I1023</f>
        <v>4.4615557992852191</v>
      </c>
      <c r="X930" s="109">
        <f>'Z Score'!L1023</f>
        <v>0.11984073388085552</v>
      </c>
      <c r="Y930" s="109">
        <f>'Z Score'!O1023</f>
        <v>0.26574544415194368</v>
      </c>
      <c r="Z930" s="109">
        <f>'Z Score'!R1023</f>
        <v>0.26862250521180758</v>
      </c>
      <c r="AA930" s="109">
        <f>'Z Score'!S1023</f>
        <v>5.1157644825298254</v>
      </c>
    </row>
    <row r="931" spans="1:27" ht="15" customHeight="1" x14ac:dyDescent="0.3">
      <c r="A931" s="22"/>
      <c r="B931" s="23"/>
      <c r="C931" s="2"/>
      <c r="D931" s="23">
        <v>2024</v>
      </c>
      <c r="E931" s="25">
        <f>'Current Ratio'!G1024</f>
        <v>5.4322674267187301</v>
      </c>
      <c r="F931" s="25">
        <f>'Cash Ratio'!G1024</f>
        <v>3.64576432111164E-2</v>
      </c>
      <c r="G931" s="25">
        <f>DAR!G1024</f>
        <v>0.93635072566380662</v>
      </c>
      <c r="H931" s="25">
        <f>DER!G1024</f>
        <v>14.711098208567677</v>
      </c>
      <c r="I931" s="25">
        <f>NPM!G1024</f>
        <v>0.16371662368461215</v>
      </c>
      <c r="J931" s="25">
        <f>ROA!G1024</f>
        <v>1.3270740230375102E-2</v>
      </c>
      <c r="K931" s="25">
        <f>ROE!G1024</f>
        <v>0.20849790305981325</v>
      </c>
      <c r="L931" s="25">
        <f>KM!E1024</f>
        <v>0.79820000000000002</v>
      </c>
      <c r="M931" s="24">
        <f>KI!E1024</f>
        <v>2</v>
      </c>
      <c r="N931" s="108">
        <f>IO!E1024</f>
        <v>0</v>
      </c>
      <c r="O931" s="24">
        <f>'BoC Size'!E1024</f>
        <v>3</v>
      </c>
      <c r="P931" s="24">
        <f>'TMT E DK'!E1024</f>
        <v>0</v>
      </c>
      <c r="Q931" s="24">
        <f>Data!R1024</f>
        <v>3</v>
      </c>
      <c r="R931" s="24">
        <f>Data!S1024</f>
        <v>5</v>
      </c>
      <c r="S931" s="24">
        <f>'TMT E DK'!E1024</f>
        <v>0</v>
      </c>
      <c r="T931" s="24">
        <f>'TMT E DD'!E1024</f>
        <v>0</v>
      </c>
      <c r="U931" s="24">
        <f>TA!E1024</f>
        <v>6304848000000</v>
      </c>
      <c r="V931" s="109">
        <f>PR!F1024</f>
        <v>0.47458047688294902</v>
      </c>
      <c r="W931" s="109">
        <f>'Z Score'!I1024</f>
        <v>5.0465657919112399</v>
      </c>
      <c r="X931" s="109">
        <f>'Z Score'!L1024</f>
        <v>5.8620401316574165E-2</v>
      </c>
      <c r="Y931" s="109">
        <f>'Z Score'!O1024</f>
        <v>8.9179374348120691E-2</v>
      </c>
      <c r="Z931" s="109">
        <f>'Z Score'!R1024</f>
        <v>7.1374684956455853E-2</v>
      </c>
      <c r="AA931" s="109">
        <f>'Z Score'!S1024</f>
        <v>5.2657402525323906</v>
      </c>
    </row>
    <row r="932" spans="1:27" ht="15" customHeight="1" x14ac:dyDescent="0.3">
      <c r="A932" s="22"/>
      <c r="B932" s="23">
        <v>94</v>
      </c>
      <c r="C932" s="2" t="s">
        <v>114</v>
      </c>
      <c r="D932" s="23">
        <v>2015</v>
      </c>
      <c r="E932" s="25">
        <f>'Current Ratio'!G1026</f>
        <v>1.8698198870461353</v>
      </c>
      <c r="F932" s="25">
        <f>'Cash Ratio'!G1026</f>
        <v>1.2732931414397133</v>
      </c>
      <c r="G932" s="25">
        <f>DAR!G1026</f>
        <v>0.78562189810547345</v>
      </c>
      <c r="H932" s="25">
        <f>DER!G1026</f>
        <v>3.6646555369353795</v>
      </c>
      <c r="I932" s="25">
        <f>NPM!G1026</f>
        <v>0.14740973803238311</v>
      </c>
      <c r="J932" s="25">
        <f>ROA!G1026</f>
        <v>4.5992365475445968E-2</v>
      </c>
      <c r="K932" s="25">
        <f>ROE!G1026</f>
        <v>0.21453854227179461</v>
      </c>
      <c r="L932" s="25">
        <f>KM!E1026</f>
        <v>0.6</v>
      </c>
      <c r="M932" s="24">
        <f>KI!E1026</f>
        <v>2</v>
      </c>
      <c r="N932" s="108">
        <f>IO!E1026</f>
        <v>0</v>
      </c>
      <c r="O932" s="24">
        <f>'BoC Size'!E1026</f>
        <v>3</v>
      </c>
      <c r="P932" s="24">
        <f>'TMT E DK'!E1026</f>
        <v>0</v>
      </c>
      <c r="Q932" s="24">
        <f>Data!R1026</f>
        <v>3</v>
      </c>
      <c r="R932" s="24">
        <f>Data!S1026</f>
        <v>5</v>
      </c>
      <c r="S932" s="24">
        <f>'TMT E DK'!E1026</f>
        <v>0</v>
      </c>
      <c r="T932" s="24">
        <f>'TMT E DD'!E1026</f>
        <v>0</v>
      </c>
      <c r="U932" s="24">
        <f>TA!E1026</f>
        <v>1609399500000</v>
      </c>
      <c r="V932" s="109">
        <f>PR!F1026</f>
        <v>0.22472822307792983</v>
      </c>
      <c r="W932" s="109">
        <f>'Z Score'!I1026</f>
        <v>2.4421376594189321</v>
      </c>
      <c r="X932" s="109">
        <f>'Z Score'!L1026</f>
        <v>0.62663533261940241</v>
      </c>
      <c r="Y932" s="109">
        <f>'Z Score'!O1026</f>
        <v>0.33705102853579855</v>
      </c>
      <c r="Z932" s="109">
        <f>'Z Score'!R1026</f>
        <v>0.28652079013081749</v>
      </c>
      <c r="AA932" s="109">
        <f>'Z Score'!S1026</f>
        <v>3.6923448107049506</v>
      </c>
    </row>
    <row r="933" spans="1:27" ht="15" customHeight="1" x14ac:dyDescent="0.3">
      <c r="A933" s="22"/>
      <c r="B933" s="23"/>
      <c r="C933" s="2"/>
      <c r="D933" s="23">
        <v>2016</v>
      </c>
      <c r="E933" s="25">
        <f>'Current Ratio'!G1027</f>
        <v>1.1158943048166186</v>
      </c>
      <c r="F933" s="25">
        <f>'Cash Ratio'!G1027</f>
        <v>0.46663547868678423</v>
      </c>
      <c r="G933" s="25">
        <f>DAR!G1027</f>
        <v>0.75762912708196029</v>
      </c>
      <c r="H933" s="25">
        <f>DER!G1027</f>
        <v>3.1259083154689167</v>
      </c>
      <c r="I933" s="25">
        <f>NPM!G1027</f>
        <v>0.10523826222876601</v>
      </c>
      <c r="J933" s="25">
        <f>ROA!G1027</f>
        <v>3.264989879981877E-2</v>
      </c>
      <c r="K933" s="25">
        <f>ROE!G1027</f>
        <v>0.13471048895739088</v>
      </c>
      <c r="L933" s="25">
        <f>KM!E1027</f>
        <v>0.6</v>
      </c>
      <c r="M933" s="24">
        <f>KI!E1027</f>
        <v>2</v>
      </c>
      <c r="N933" s="108">
        <f>IO!E1027</f>
        <v>0</v>
      </c>
      <c r="O933" s="24">
        <f>'BoC Size'!E1027</f>
        <v>3</v>
      </c>
      <c r="P933" s="24">
        <f>'TMT E DK'!E1027</f>
        <v>0</v>
      </c>
      <c r="Q933" s="24">
        <f>Data!R1027</f>
        <v>3</v>
      </c>
      <c r="R933" s="24">
        <f>Data!S1027</f>
        <v>5</v>
      </c>
      <c r="S933" s="24">
        <f>'TMT E DK'!E1027</f>
        <v>0</v>
      </c>
      <c r="T933" s="24">
        <f>'TMT E DD'!E1027</f>
        <v>0</v>
      </c>
      <c r="U933" s="24">
        <f>TA!E1027</f>
        <v>1527605960000</v>
      </c>
      <c r="V933" s="109">
        <f>PR!F1027</f>
        <v>-5.6164993555561572E-2</v>
      </c>
      <c r="W933" s="109">
        <f>'Z Score'!I1027</f>
        <v>0.29921547988723474</v>
      </c>
      <c r="X933" s="109">
        <f>'Z Score'!L1027</f>
        <v>0.7186275543203563</v>
      </c>
      <c r="Y933" s="109">
        <f>'Z Score'!O1027</f>
        <v>0.22661479534944989</v>
      </c>
      <c r="Z933" s="109">
        <f>'Z Score'!R1027</f>
        <v>0.33590236629908637</v>
      </c>
      <c r="AA933" s="109">
        <f>'Z Score'!S1027</f>
        <v>1.5803601958561273</v>
      </c>
    </row>
    <row r="934" spans="1:27" ht="15" customHeight="1" x14ac:dyDescent="0.3">
      <c r="A934" s="22"/>
      <c r="B934" s="23"/>
      <c r="C934" s="2"/>
      <c r="D934" s="23">
        <v>2017</v>
      </c>
      <c r="E934" s="25">
        <f>'Current Ratio'!G1028</f>
        <v>0.86608516094450017</v>
      </c>
      <c r="F934" s="25">
        <f>'Cash Ratio'!G1028</f>
        <v>0.25581937181544911</v>
      </c>
      <c r="G934" s="25">
        <f>DAR!G1028</f>
        <v>0.7513159931635417</v>
      </c>
      <c r="H934" s="25">
        <f>DER!G1028</f>
        <v>3.0211673147828453</v>
      </c>
      <c r="I934" s="25">
        <f>NPM!G1028</f>
        <v>0.10117952931867291</v>
      </c>
      <c r="J934" s="25">
        <f>ROA!G1028</f>
        <v>2.9170894536912677E-2</v>
      </c>
      <c r="K934" s="25">
        <f>ROE!G1028</f>
        <v>0.11730104765481073</v>
      </c>
      <c r="L934" s="25">
        <f>KM!E1028</f>
        <v>0.6</v>
      </c>
      <c r="M934" s="24">
        <f>KI!E1028</f>
        <v>2</v>
      </c>
      <c r="N934" s="108">
        <f>IO!E1028</f>
        <v>0</v>
      </c>
      <c r="O934" s="24">
        <f>'BoC Size'!E1028</f>
        <v>3</v>
      </c>
      <c r="P934" s="24">
        <f>'TMT E DK'!E1028</f>
        <v>0</v>
      </c>
      <c r="Q934" s="24">
        <f>Data!R1028</f>
        <v>3</v>
      </c>
      <c r="R934" s="24">
        <f>Data!S1028</f>
        <v>5</v>
      </c>
      <c r="S934" s="24">
        <f>'TMT E DK'!E1028</f>
        <v>0</v>
      </c>
      <c r="T934" s="24">
        <f>'TMT E DD'!E1028</f>
        <v>0</v>
      </c>
      <c r="U934" s="24">
        <f>TA!E1028</f>
        <v>1595563000000</v>
      </c>
      <c r="V934" s="109">
        <f>PR!F1028</f>
        <v>-2.9374864696864005E-2</v>
      </c>
      <c r="W934" s="109">
        <f>'Z Score'!I1028</f>
        <v>-0.36155664176218671</v>
      </c>
      <c r="X934" s="109">
        <f>'Z Score'!L1028</f>
        <v>0.73150653405725741</v>
      </c>
      <c r="Y934" s="109">
        <f>'Z Score'!O1028</f>
        <v>0.18103904389861133</v>
      </c>
      <c r="Z934" s="109">
        <f>'Z Score'!R1028</f>
        <v>0.34754778223048255</v>
      </c>
      <c r="AA934" s="109">
        <f>'Z Score'!S1028</f>
        <v>0.8985367184241646</v>
      </c>
    </row>
    <row r="935" spans="1:27" ht="15" customHeight="1" x14ac:dyDescent="0.3">
      <c r="A935" s="22"/>
      <c r="B935" s="23"/>
      <c r="C935" s="2"/>
      <c r="D935" s="23">
        <v>2018</v>
      </c>
      <c r="E935" s="25">
        <f>'Current Ratio'!G1029</f>
        <v>0.78818300354751802</v>
      </c>
      <c r="F935" s="25">
        <f>'Cash Ratio'!G1029</f>
        <v>0.23026435588424113</v>
      </c>
      <c r="G935" s="25">
        <f>DAR!G1029</f>
        <v>0.75630745732151983</v>
      </c>
      <c r="H935" s="25">
        <f>DER!G1029</f>
        <v>3.1035313966064475</v>
      </c>
      <c r="I935" s="25">
        <f>NPM!G1029</f>
        <v>0.10791333807352879</v>
      </c>
      <c r="J935" s="25">
        <f>ROA!G1029</f>
        <v>2.9630607920712485E-2</v>
      </c>
      <c r="K935" s="25">
        <f>ROE!G1029</f>
        <v>0.12159012990317937</v>
      </c>
      <c r="L935" s="25">
        <f>KM!E1029</f>
        <v>0.6</v>
      </c>
      <c r="M935" s="24">
        <f>KI!E1029</f>
        <v>2</v>
      </c>
      <c r="N935" s="108">
        <f>IO!E1029</f>
        <v>0</v>
      </c>
      <c r="O935" s="24">
        <f>'BoC Size'!E1029</f>
        <v>3</v>
      </c>
      <c r="P935" s="24">
        <f>'TMT E DK'!E1029</f>
        <v>0</v>
      </c>
      <c r="Q935" s="24">
        <f>Data!R1029</f>
        <v>3</v>
      </c>
      <c r="R935" s="24">
        <f>Data!S1029</f>
        <v>5</v>
      </c>
      <c r="S935" s="24">
        <f>'TMT E DK'!E1029</f>
        <v>0</v>
      </c>
      <c r="T935" s="24">
        <f>'TMT E DD'!E1029</f>
        <v>0</v>
      </c>
      <c r="U935" s="24">
        <f>TA!E1029</f>
        <v>1741510000000</v>
      </c>
      <c r="V935" s="109">
        <f>PR!F1029</f>
        <v>3.9490102475142064E-2</v>
      </c>
      <c r="W935" s="109">
        <f>'Z Score'!I1029</f>
        <v>-0.60029211431458906</v>
      </c>
      <c r="X935" s="109">
        <f>'Z Score'!L1029</f>
        <v>0.7319898134377637</v>
      </c>
      <c r="Y935" s="109">
        <f>'Z Score'!O1029</f>
        <v>0.21205211569270344</v>
      </c>
      <c r="Z935" s="109">
        <f>'Z Score'!R1029</f>
        <v>0.33832427187561925</v>
      </c>
      <c r="AA935" s="109">
        <f>'Z Score'!S1029</f>
        <v>0.68207408669149738</v>
      </c>
    </row>
    <row r="936" spans="1:27" ht="15" customHeight="1" x14ac:dyDescent="0.3">
      <c r="A936" s="22"/>
      <c r="B936" s="23"/>
      <c r="C936" s="2"/>
      <c r="D936" s="23">
        <v>2019</v>
      </c>
      <c r="E936" s="25">
        <f>'Current Ratio'!G1030</f>
        <v>0.73511525512984244</v>
      </c>
      <c r="F936" s="25">
        <f>'Cash Ratio'!G1030</f>
        <v>0.17463781686184451</v>
      </c>
      <c r="G936" s="25">
        <f>DAR!G1030</f>
        <v>0.74093647881606728</v>
      </c>
      <c r="H936" s="25">
        <f>DER!G1030</f>
        <v>2.8600571606143235</v>
      </c>
      <c r="I936" s="25">
        <f>NPM!G1030</f>
        <v>0.12054220004934076</v>
      </c>
      <c r="J936" s="25">
        <f>ROA!G1030</f>
        <v>3.490308886525418E-2</v>
      </c>
      <c r="K936" s="25">
        <f>ROE!G1030</f>
        <v>0.13472791810188245</v>
      </c>
      <c r="L936" s="25">
        <f>KM!E1030</f>
        <v>0.6</v>
      </c>
      <c r="M936" s="24">
        <f>KI!E1030</f>
        <v>2</v>
      </c>
      <c r="N936" s="108">
        <f>IO!E1030</f>
        <v>0</v>
      </c>
      <c r="O936" s="24">
        <f>'BoC Size'!E1030</f>
        <v>3</v>
      </c>
      <c r="P936" s="24">
        <f>'TMT E DK'!E1030</f>
        <v>0</v>
      </c>
      <c r="Q936" s="24">
        <f>Data!R1030</f>
        <v>3</v>
      </c>
      <c r="R936" s="24">
        <f>Data!S1030</f>
        <v>5</v>
      </c>
      <c r="S936" s="24">
        <f>'TMT E DK'!E1030</f>
        <v>0</v>
      </c>
      <c r="T936" s="24">
        <f>'TMT E DD'!E1030</f>
        <v>0</v>
      </c>
      <c r="U936" s="24">
        <f>TA!E1030</f>
        <v>1763884000000</v>
      </c>
      <c r="V936" s="109">
        <f>PR!F1030</f>
        <v>6.8078966079718931E-2</v>
      </c>
      <c r="W936" s="109">
        <f>'Z Score'!I1030</f>
        <v>-0.69964174514877397</v>
      </c>
      <c r="X936" s="109">
        <f>'Z Score'!L1030</f>
        <v>0.78270835270346573</v>
      </c>
      <c r="Y936" s="109">
        <f>'Z Score'!O1030</f>
        <v>0.24322361334418818</v>
      </c>
      <c r="Z936" s="109">
        <f>'Z Score'!R1030</f>
        <v>0.36712552967803841</v>
      </c>
      <c r="AA936" s="109">
        <f>'Z Score'!S1030</f>
        <v>0.69341575057691829</v>
      </c>
    </row>
    <row r="937" spans="1:27" ht="15" customHeight="1" x14ac:dyDescent="0.3">
      <c r="A937" s="22"/>
      <c r="B937" s="23"/>
      <c r="C937" s="2"/>
      <c r="D937" s="23">
        <v>2020</v>
      </c>
      <c r="E937" s="25">
        <f>'Current Ratio'!G1031</f>
        <v>0.51009614942264347</v>
      </c>
      <c r="F937" s="25">
        <f>'Cash Ratio'!G1031</f>
        <v>2.1235681096747481E-2</v>
      </c>
      <c r="G937" s="25">
        <f>DAR!G1031</f>
        <v>0.68015019002112487</v>
      </c>
      <c r="H937" s="25">
        <f>DER!G1031</f>
        <v>2.1264673881345946</v>
      </c>
      <c r="I937" s="25">
        <f>NPM!G1031</f>
        <v>0.16046111116641615</v>
      </c>
      <c r="J937" s="25">
        <f>ROA!G1031</f>
        <v>5.1843475083689063E-2</v>
      </c>
      <c r="K937" s="25">
        <f>ROE!G1031</f>
        <v>0.16208693413672226</v>
      </c>
      <c r="L937" s="25">
        <f>KM!E1031</f>
        <v>0.6</v>
      </c>
      <c r="M937" s="24">
        <f>KI!E1031</f>
        <v>2</v>
      </c>
      <c r="N937" s="108">
        <f>IO!E1031</f>
        <v>0</v>
      </c>
      <c r="O937" s="24">
        <f>'BoC Size'!E1031</f>
        <v>3</v>
      </c>
      <c r="P937" s="24">
        <f>'TMT E DK'!E1031</f>
        <v>0</v>
      </c>
      <c r="Q937" s="24">
        <f>Data!R1031</f>
        <v>3</v>
      </c>
      <c r="R937" s="24">
        <f>Data!S1031</f>
        <v>6</v>
      </c>
      <c r="S937" s="24">
        <f>'TMT E DK'!E1031</f>
        <v>0</v>
      </c>
      <c r="T937" s="24">
        <f>'TMT E DD'!E1031</f>
        <v>0</v>
      </c>
      <c r="U937" s="24">
        <f>TA!E1031</f>
        <v>1554564000000</v>
      </c>
      <c r="V937" s="109">
        <f>PR!F1031</f>
        <v>-1.6582017253599722E-2</v>
      </c>
      <c r="W937" s="109">
        <f>'Z Score'!I1031</f>
        <v>-1.123429180143114</v>
      </c>
      <c r="X937" s="109">
        <f>'Z Score'!L1031</f>
        <v>0.97220752571138913</v>
      </c>
      <c r="Y937" s="109">
        <f>'Z Score'!O1031</f>
        <v>0.3924110940430886</v>
      </c>
      <c r="Z937" s="109">
        <f>'Z Score'!R1031</f>
        <v>0.49377667668870001</v>
      </c>
      <c r="AA937" s="109">
        <f>'Z Score'!S1031</f>
        <v>0.73496611630006381</v>
      </c>
    </row>
    <row r="938" spans="1:27" ht="15" customHeight="1" x14ac:dyDescent="0.3">
      <c r="A938" s="22"/>
      <c r="B938" s="23"/>
      <c r="C938" s="2"/>
      <c r="D938" s="23">
        <v>2021</v>
      </c>
      <c r="E938" s="25">
        <f>'Current Ratio'!G1032</f>
        <v>0.6102759331761517</v>
      </c>
      <c r="F938" s="25">
        <f>'Cash Ratio'!G1032</f>
        <v>2.0516536523112198E-2</v>
      </c>
      <c r="G938" s="25">
        <f>DAR!G1032</f>
        <v>0.66842452529889496</v>
      </c>
      <c r="H938" s="25">
        <f>DER!G1032</f>
        <v>2.0159046018148312</v>
      </c>
      <c r="I938" s="25">
        <f>NPM!G1032</f>
        <v>0.19825770670067627</v>
      </c>
      <c r="J938" s="25">
        <f>ROA!G1032</f>
        <v>5.7635525656239445E-2</v>
      </c>
      <c r="K938" s="25">
        <f>ROE!G1032</f>
        <v>0.17382324705466931</v>
      </c>
      <c r="L938" s="25">
        <f>KM!E1032</f>
        <v>0.6</v>
      </c>
      <c r="M938" s="24">
        <f>KI!E1032</f>
        <v>2</v>
      </c>
      <c r="N938" s="108">
        <f>IO!E1032</f>
        <v>0</v>
      </c>
      <c r="O938" s="24">
        <f>'BoC Size'!E1032</f>
        <v>3</v>
      </c>
      <c r="P938" s="24">
        <f>'TMT E DK'!E1032</f>
        <v>0</v>
      </c>
      <c r="Q938" s="24">
        <f>Data!R1032</f>
        <v>3</v>
      </c>
      <c r="R938" s="24">
        <f>Data!S1032</f>
        <v>6</v>
      </c>
      <c r="S938" s="24">
        <f>'TMT E DK'!E1032</f>
        <v>0</v>
      </c>
      <c r="T938" s="24">
        <f>'TMT E DD'!E1032</f>
        <v>0</v>
      </c>
      <c r="U938" s="24">
        <f>TA!E1032</f>
        <v>1639874000000</v>
      </c>
      <c r="V938" s="109">
        <f>PR!F1032</f>
        <v>-5.0843678138034705E-2</v>
      </c>
      <c r="W938" s="109">
        <f>'Z Score'!I1032</f>
        <v>-0.86489844951502359</v>
      </c>
      <c r="X938" s="109">
        <f>'Z Score'!L1032</f>
        <v>1.0139597676406844</v>
      </c>
      <c r="Y938" s="109">
        <f>'Z Score'!O1032</f>
        <v>0.44031265816763965</v>
      </c>
      <c r="Z938" s="109">
        <f>'Z Score'!R1032</f>
        <v>0.5208579806081749</v>
      </c>
      <c r="AA938" s="109">
        <f>'Z Score'!S1032</f>
        <v>1.1102319569014754</v>
      </c>
    </row>
    <row r="939" spans="1:27" ht="15" customHeight="1" x14ac:dyDescent="0.3">
      <c r="A939" s="22"/>
      <c r="B939" s="23"/>
      <c r="C939" s="2"/>
      <c r="D939" s="23">
        <v>2022</v>
      </c>
      <c r="E939" s="25">
        <f>'Current Ratio'!G1033</f>
        <v>0.63123511408699484</v>
      </c>
      <c r="F939" s="25">
        <f>'Cash Ratio'!G1033</f>
        <v>3.5474290265310522E-2</v>
      </c>
      <c r="G939" s="25">
        <f>DAR!G1033</f>
        <v>0.66427077510761656</v>
      </c>
      <c r="H939" s="25">
        <f>DER!G1033</f>
        <v>1.9785908579169591</v>
      </c>
      <c r="I939" s="25">
        <f>NPM!G1033</f>
        <v>0.21287068823614574</v>
      </c>
      <c r="J939" s="25">
        <f>ROA!G1033</f>
        <v>5.5348034231049267E-2</v>
      </c>
      <c r="K939" s="25">
        <f>ROE!G1033</f>
        <v>0.16485914876427826</v>
      </c>
      <c r="L939" s="25">
        <f>KM!E1033</f>
        <v>0.6</v>
      </c>
      <c r="M939" s="24">
        <f>KI!E1033</f>
        <v>2</v>
      </c>
      <c r="N939" s="108">
        <f>IO!E1033</f>
        <v>0</v>
      </c>
      <c r="O939" s="24">
        <f>'BoC Size'!E1033</f>
        <v>3</v>
      </c>
      <c r="P939" s="24">
        <f>'TMT E DK'!E1033</f>
        <v>0</v>
      </c>
      <c r="Q939" s="24">
        <f>Data!R1033</f>
        <v>3</v>
      </c>
      <c r="R939" s="24">
        <f>Data!S1033</f>
        <v>6</v>
      </c>
      <c r="S939" s="24">
        <f>'TMT E DK'!E1033</f>
        <v>0</v>
      </c>
      <c r="T939" s="24">
        <f>'TMT E DD'!E1033</f>
        <v>0</v>
      </c>
      <c r="U939" s="24">
        <f>TA!E1033</f>
        <v>1939292000000</v>
      </c>
      <c r="V939" s="109">
        <f>PR!F1033</f>
        <v>5.7691178198050044E-2</v>
      </c>
      <c r="W939" s="109">
        <f>'Z Score'!I1033</f>
        <v>-0.82698353832223304</v>
      </c>
      <c r="X939" s="109">
        <f>'Z Score'!L1033</f>
        <v>1.0383881643403881</v>
      </c>
      <c r="Y939" s="109">
        <f>'Z Score'!O1033</f>
        <v>0.43661987983243372</v>
      </c>
      <c r="Z939" s="109">
        <f>'Z Score'!R1033</f>
        <v>0.53068070935364053</v>
      </c>
      <c r="AA939" s="109">
        <f>'Z Score'!S1033</f>
        <v>1.1787052152042292</v>
      </c>
    </row>
    <row r="940" spans="1:27" ht="15" customHeight="1" x14ac:dyDescent="0.3">
      <c r="A940" s="22"/>
      <c r="B940" s="23"/>
      <c r="C940" s="2"/>
      <c r="D940" s="23">
        <v>2023</v>
      </c>
      <c r="E940" s="25">
        <f>'Current Ratio'!G1034</f>
        <v>0.6957898836396007</v>
      </c>
      <c r="F940" s="25">
        <f>'Cash Ratio'!G1034</f>
        <v>9.2800862635382883E-2</v>
      </c>
      <c r="G940" s="25">
        <f>DAR!G1034</f>
        <v>0.67694789085290097</v>
      </c>
      <c r="H940" s="25">
        <f>DER!G1034</f>
        <v>2.0954758433248872</v>
      </c>
      <c r="I940" s="25">
        <f>NPM!G1034</f>
        <v>0.18246559124850362</v>
      </c>
      <c r="J940" s="25">
        <f>ROA!G1034</f>
        <v>5.046468779738944E-2</v>
      </c>
      <c r="K940" s="25">
        <f>ROE!G1034</f>
        <v>0.15621222201775123</v>
      </c>
      <c r="L940" s="25">
        <f>KM!E1034</f>
        <v>0.6</v>
      </c>
      <c r="M940" s="24">
        <f>KI!E1034</f>
        <v>2</v>
      </c>
      <c r="N940" s="108">
        <f>IO!E1034</f>
        <v>0</v>
      </c>
      <c r="O940" s="24">
        <f>'BoC Size'!E1034</f>
        <v>3</v>
      </c>
      <c r="P940" s="24">
        <f>'TMT E DK'!E1034</f>
        <v>12</v>
      </c>
      <c r="Q940" s="24">
        <f>Data!R1034</f>
        <v>3</v>
      </c>
      <c r="R940" s="24">
        <f>Data!S1034</f>
        <v>6</v>
      </c>
      <c r="S940" s="24">
        <f>'TMT E DK'!E1034</f>
        <v>12</v>
      </c>
      <c r="T940" s="24">
        <f>'TMT E DD'!E1034</f>
        <v>8</v>
      </c>
      <c r="U940" s="24">
        <f>TA!E1034</f>
        <v>2186737000000</v>
      </c>
      <c r="V940" s="109">
        <f>PR!F1034</f>
        <v>0.19942645335173759</v>
      </c>
      <c r="W940" s="109">
        <f>'Z Score'!I1034</f>
        <v>-0.68891884117751701</v>
      </c>
      <c r="X940" s="109">
        <f>'Z Score'!L1034</f>
        <v>0.60557273234046882</v>
      </c>
      <c r="Y940" s="109">
        <f>'Z Score'!O1034</f>
        <v>0.38397725926803267</v>
      </c>
      <c r="Z940" s="109">
        <f>'Z Score'!R1034</f>
        <v>0.50107950580521476</v>
      </c>
      <c r="AA940" s="109">
        <f>'Z Score'!S1034</f>
        <v>0.8017106562361993</v>
      </c>
    </row>
    <row r="941" spans="1:27" ht="15" customHeight="1" x14ac:dyDescent="0.3">
      <c r="A941" s="22"/>
      <c r="B941" s="23"/>
      <c r="C941" s="2"/>
      <c r="D941" s="23">
        <v>2024</v>
      </c>
      <c r="E941" s="25">
        <f>'Current Ratio'!G1035</f>
        <v>0.67046694038837185</v>
      </c>
      <c r="F941" s="25">
        <f>'Cash Ratio'!G1035</f>
        <v>6.8671350622732261E-2</v>
      </c>
      <c r="G941" s="25">
        <f>DAR!G1035</f>
        <v>0.66064457157238465</v>
      </c>
      <c r="H941" s="25">
        <f>DER!G1035</f>
        <v>1.9467629400638875</v>
      </c>
      <c r="I941" s="25">
        <f>NPM!G1035</f>
        <v>0.2010645474515543</v>
      </c>
      <c r="J941" s="25">
        <f>ROA!G1035</f>
        <v>5.6909148186970411E-2</v>
      </c>
      <c r="K941" s="25">
        <f>ROE!G1035</f>
        <v>0.16769776882796839</v>
      </c>
      <c r="L941" s="25">
        <f>KM!E1035</f>
        <v>0.6</v>
      </c>
      <c r="M941" s="24">
        <f>KI!E1035</f>
        <v>2</v>
      </c>
      <c r="N941" s="108">
        <f>IO!E1035</f>
        <v>0</v>
      </c>
      <c r="O941" s="24">
        <f>'BoC Size'!E1035</f>
        <v>3</v>
      </c>
      <c r="P941" s="24">
        <f>'TMT E DK'!E1035</f>
        <v>12</v>
      </c>
      <c r="Q941" s="24">
        <f>Data!R1035</f>
        <v>3</v>
      </c>
      <c r="R941" s="24">
        <f>Data!S1035</f>
        <v>6</v>
      </c>
      <c r="S941" s="24">
        <f>'TMT E DK'!E1035</f>
        <v>12</v>
      </c>
      <c r="T941" s="24">
        <f>'TMT E DD'!E1035</f>
        <v>8</v>
      </c>
      <c r="U941" s="24">
        <f>TA!E1035</f>
        <v>2288683000000</v>
      </c>
      <c r="V941" s="109">
        <f>PR!F1035</f>
        <v>7.109764082620687E-2</v>
      </c>
      <c r="W941" s="109">
        <f>'Z Score'!I1035</f>
        <v>-0.71613650295825149</v>
      </c>
      <c r="X941" s="109">
        <f>'Z Score'!L1035</f>
        <v>0.39374830852503379</v>
      </c>
      <c r="Y941" s="109">
        <f>'Z Score'!O1035</f>
        <v>0.42593788654872689</v>
      </c>
      <c r="Z941" s="109">
        <f>'Z Score'!R1035</f>
        <v>0.53935688747266874</v>
      </c>
      <c r="AA941" s="109">
        <f>'Z Score'!S1035</f>
        <v>0.64290657958817787</v>
      </c>
    </row>
    <row r="942" spans="1:27" ht="15" customHeight="1" x14ac:dyDescent="0.3">
      <c r="A942" s="22"/>
      <c r="B942" s="23">
        <v>95</v>
      </c>
      <c r="C942" s="2" t="s">
        <v>115</v>
      </c>
      <c r="D942" s="23">
        <v>2015</v>
      </c>
      <c r="E942" s="25">
        <f>'Current Ratio'!G1037</f>
        <v>0</v>
      </c>
      <c r="F942" s="25">
        <f>'Cash Ratio'!G1037</f>
        <v>0</v>
      </c>
      <c r="G942" s="25">
        <f>DAR!G1037</f>
        <v>0</v>
      </c>
      <c r="H942" s="25">
        <f>DER!G1037</f>
        <v>0</v>
      </c>
      <c r="I942" s="25">
        <f>NPM!G1037</f>
        <v>0</v>
      </c>
      <c r="J942" s="25">
        <f>ROA!G1037</f>
        <v>0</v>
      </c>
      <c r="K942" s="25">
        <f>ROE!G1037</f>
        <v>0</v>
      </c>
      <c r="L942" s="25">
        <f>KM!E1037</f>
        <v>0</v>
      </c>
      <c r="M942" s="24">
        <f>KI!E1037</f>
        <v>0</v>
      </c>
      <c r="N942" s="108">
        <f>IO!E1037</f>
        <v>0</v>
      </c>
      <c r="O942" s="24">
        <f>'BoC Size'!E1037</f>
        <v>0</v>
      </c>
      <c r="P942" s="24">
        <f>'TMT E DK'!E1037</f>
        <v>0</v>
      </c>
      <c r="Q942" s="24">
        <f>Data!R1037</f>
        <v>0</v>
      </c>
      <c r="R942" s="24">
        <f>Data!S1037</f>
        <v>0</v>
      </c>
      <c r="S942" s="24">
        <f>'TMT E DK'!E1037</f>
        <v>0</v>
      </c>
      <c r="T942" s="24">
        <f>'TMT E DD'!E1037</f>
        <v>0</v>
      </c>
      <c r="U942" s="24">
        <f>TA!E1037</f>
        <v>0</v>
      </c>
      <c r="V942" s="109">
        <f>PR!F1037</f>
        <v>0</v>
      </c>
      <c r="W942" s="109">
        <f>'Z Score'!I1037</f>
        <v>0</v>
      </c>
      <c r="X942" s="109">
        <f>'Z Score'!L1037</f>
        <v>0</v>
      </c>
      <c r="Y942" s="109">
        <f>'Z Score'!O1037</f>
        <v>0</v>
      </c>
      <c r="Z942" s="109">
        <f>'Z Score'!R1037</f>
        <v>0</v>
      </c>
      <c r="AA942" s="109">
        <f>'Z Score'!S1037</f>
        <v>0</v>
      </c>
    </row>
    <row r="943" spans="1:27" ht="15" customHeight="1" x14ac:dyDescent="0.3">
      <c r="A943" s="22"/>
      <c r="B943" s="23"/>
      <c r="C943" s="2"/>
      <c r="D943" s="23">
        <v>2016</v>
      </c>
      <c r="E943" s="25">
        <f>'Current Ratio'!G1038</f>
        <v>0</v>
      </c>
      <c r="F943" s="25">
        <f>'Cash Ratio'!G1038</f>
        <v>0</v>
      </c>
      <c r="G943" s="25">
        <f>DAR!G1038</f>
        <v>0</v>
      </c>
      <c r="H943" s="25">
        <f>DER!G1038</f>
        <v>0</v>
      </c>
      <c r="I943" s="25">
        <f>NPM!G1038</f>
        <v>0</v>
      </c>
      <c r="J943" s="25">
        <f>ROA!G1038</f>
        <v>0</v>
      </c>
      <c r="K943" s="25">
        <f>ROE!G1038</f>
        <v>0</v>
      </c>
      <c r="L943" s="25">
        <f>KM!E1038</f>
        <v>0</v>
      </c>
      <c r="M943" s="24">
        <f>KI!E1038</f>
        <v>0</v>
      </c>
      <c r="N943" s="108">
        <f>IO!E1038</f>
        <v>0</v>
      </c>
      <c r="O943" s="24">
        <f>'BoC Size'!E1038</f>
        <v>0</v>
      </c>
      <c r="P943" s="24">
        <f>'TMT E DK'!E1038</f>
        <v>0</v>
      </c>
      <c r="Q943" s="24">
        <f>Data!R1038</f>
        <v>0</v>
      </c>
      <c r="R943" s="24">
        <f>Data!S1038</f>
        <v>0</v>
      </c>
      <c r="S943" s="24">
        <f>'TMT E DK'!E1038</f>
        <v>0</v>
      </c>
      <c r="T943" s="24">
        <f>'TMT E DD'!E1038</f>
        <v>0</v>
      </c>
      <c r="U943" s="24">
        <f>TA!E1038</f>
        <v>0</v>
      </c>
      <c r="V943" s="109">
        <f>PR!F1038</f>
        <v>0</v>
      </c>
      <c r="W943" s="109">
        <f>'Z Score'!I1038</f>
        <v>0</v>
      </c>
      <c r="X943" s="109">
        <f>'Z Score'!L1038</f>
        <v>0</v>
      </c>
      <c r="Y943" s="109">
        <f>'Z Score'!O1038</f>
        <v>0</v>
      </c>
      <c r="Z943" s="109">
        <f>'Z Score'!R1038</f>
        <v>0</v>
      </c>
      <c r="AA943" s="109">
        <f>'Z Score'!S1038</f>
        <v>0</v>
      </c>
    </row>
    <row r="944" spans="1:27" ht="15" customHeight="1" x14ac:dyDescent="0.3">
      <c r="A944" s="22"/>
      <c r="B944" s="23"/>
      <c r="C944" s="2"/>
      <c r="D944" s="23">
        <v>2017</v>
      </c>
      <c r="E944" s="25">
        <f>'Current Ratio'!G1039</f>
        <v>0</v>
      </c>
      <c r="F944" s="25">
        <f>'Cash Ratio'!G1039</f>
        <v>0</v>
      </c>
      <c r="G944" s="25">
        <f>DAR!G1039</f>
        <v>0</v>
      </c>
      <c r="H944" s="25">
        <f>DER!G1039</f>
        <v>0</v>
      </c>
      <c r="I944" s="25">
        <f>NPM!G1039</f>
        <v>0</v>
      </c>
      <c r="J944" s="25">
        <f>ROA!G1039</f>
        <v>0</v>
      </c>
      <c r="K944" s="25">
        <f>ROE!G1039</f>
        <v>0</v>
      </c>
      <c r="L944" s="25">
        <f>KM!E1039</f>
        <v>0</v>
      </c>
      <c r="M944" s="24">
        <f>KI!E1039</f>
        <v>0</v>
      </c>
      <c r="N944" s="108">
        <f>IO!E1039</f>
        <v>0</v>
      </c>
      <c r="O944" s="24">
        <f>'BoC Size'!E1039</f>
        <v>0</v>
      </c>
      <c r="P944" s="24">
        <f>'TMT E DK'!E1039</f>
        <v>0</v>
      </c>
      <c r="Q944" s="24">
        <f>Data!R1039</f>
        <v>0</v>
      </c>
      <c r="R944" s="24">
        <f>Data!S1039</f>
        <v>0</v>
      </c>
      <c r="S944" s="24">
        <f>'TMT E DK'!E1039</f>
        <v>0</v>
      </c>
      <c r="T944" s="24">
        <f>'TMT E DD'!E1039</f>
        <v>0</v>
      </c>
      <c r="U944" s="24">
        <f>TA!E1039</f>
        <v>0</v>
      </c>
      <c r="V944" s="109">
        <f>PR!F1039</f>
        <v>0</v>
      </c>
      <c r="W944" s="109">
        <f>'Z Score'!I1039</f>
        <v>0</v>
      </c>
      <c r="X944" s="109">
        <f>'Z Score'!L1039</f>
        <v>0</v>
      </c>
      <c r="Y944" s="109">
        <f>'Z Score'!O1039</f>
        <v>0</v>
      </c>
      <c r="Z944" s="109">
        <f>'Z Score'!R1039</f>
        <v>0</v>
      </c>
      <c r="AA944" s="109">
        <f>'Z Score'!S1039</f>
        <v>0</v>
      </c>
    </row>
    <row r="945" spans="1:27" ht="15" customHeight="1" x14ac:dyDescent="0.3">
      <c r="A945" s="22"/>
      <c r="B945" s="23"/>
      <c r="C945" s="2"/>
      <c r="D945" s="23">
        <v>2018</v>
      </c>
      <c r="E945" s="25">
        <f>'Current Ratio'!G1040</f>
        <v>0</v>
      </c>
      <c r="F945" s="25">
        <f>'Cash Ratio'!G1040</f>
        <v>0</v>
      </c>
      <c r="G945" s="25">
        <f>DAR!G1040</f>
        <v>0</v>
      </c>
      <c r="H945" s="25">
        <f>DER!G1040</f>
        <v>0</v>
      </c>
      <c r="I945" s="25">
        <f>NPM!G1040</f>
        <v>0</v>
      </c>
      <c r="J945" s="25">
        <f>ROA!G1040</f>
        <v>0</v>
      </c>
      <c r="K945" s="25">
        <f>ROE!G1040</f>
        <v>0</v>
      </c>
      <c r="L945" s="25">
        <f>KM!E1040</f>
        <v>0</v>
      </c>
      <c r="M945" s="24">
        <f>KI!E1040</f>
        <v>0</v>
      </c>
      <c r="N945" s="108">
        <f>IO!E1040</f>
        <v>0</v>
      </c>
      <c r="O945" s="24">
        <f>'BoC Size'!E1040</f>
        <v>0</v>
      </c>
      <c r="P945" s="24">
        <f>'TMT E DK'!E1040</f>
        <v>0</v>
      </c>
      <c r="Q945" s="24">
        <f>Data!R1040</f>
        <v>0</v>
      </c>
      <c r="R945" s="24">
        <f>Data!S1040</f>
        <v>0</v>
      </c>
      <c r="S945" s="24">
        <f>'TMT E DK'!E1040</f>
        <v>0</v>
      </c>
      <c r="T945" s="24">
        <f>'TMT E DD'!E1040</f>
        <v>0</v>
      </c>
      <c r="U945" s="24">
        <f>TA!E1040</f>
        <v>0</v>
      </c>
      <c r="V945" s="109">
        <f>PR!F1040</f>
        <v>0</v>
      </c>
      <c r="W945" s="109">
        <f>'Z Score'!I1040</f>
        <v>0</v>
      </c>
      <c r="X945" s="109">
        <f>'Z Score'!L1040</f>
        <v>0</v>
      </c>
      <c r="Y945" s="109">
        <f>'Z Score'!O1040</f>
        <v>0</v>
      </c>
      <c r="Z945" s="109">
        <f>'Z Score'!R1040</f>
        <v>0</v>
      </c>
      <c r="AA945" s="109">
        <f>'Z Score'!S1040</f>
        <v>0</v>
      </c>
    </row>
    <row r="946" spans="1:27" ht="15" customHeight="1" x14ac:dyDescent="0.3">
      <c r="A946" s="22"/>
      <c r="B946" s="23"/>
      <c r="C946" s="2"/>
      <c r="D946" s="23">
        <v>2019</v>
      </c>
      <c r="E946" s="25">
        <f>'Current Ratio'!G1041</f>
        <v>1.7114112592219275</v>
      </c>
      <c r="F946" s="25">
        <f>'Cash Ratio'!G1041</f>
        <v>0.13673396853177078</v>
      </c>
      <c r="G946" s="25">
        <f>DAR!G1041</f>
        <v>0.43310717579924896</v>
      </c>
      <c r="H946" s="25">
        <f>DER!G1041</f>
        <v>0.76400186650779467</v>
      </c>
      <c r="I946" s="25">
        <f>NPM!G1041</f>
        <v>0.13027117094823848</v>
      </c>
      <c r="J946" s="25">
        <f>ROA!G1041</f>
        <v>2.6535481369128186E-2</v>
      </c>
      <c r="K946" s="25">
        <f>ROE!G1041</f>
        <v>4.6808638663824932E-2</v>
      </c>
      <c r="L946" s="25">
        <f>KM!E1041</f>
        <v>0.22600000000000001</v>
      </c>
      <c r="M946" s="24">
        <f>KI!E1041</f>
        <v>1</v>
      </c>
      <c r="N946" s="108">
        <f>IO!E1041</f>
        <v>0</v>
      </c>
      <c r="O946" s="24">
        <f>'BoC Size'!E1041</f>
        <v>2</v>
      </c>
      <c r="P946" s="24">
        <f>'TMT E DK'!E1041</f>
        <v>0</v>
      </c>
      <c r="Q946" s="24">
        <f>Data!R1041</f>
        <v>2</v>
      </c>
      <c r="R946" s="24">
        <f>Data!S1041</f>
        <v>3</v>
      </c>
      <c r="S946" s="24">
        <f>'TMT E DK'!E1041</f>
        <v>0</v>
      </c>
      <c r="T946" s="24">
        <f>'TMT E DD'!E1041</f>
        <v>0</v>
      </c>
      <c r="U946" s="24">
        <f>TA!E1041</f>
        <v>196174651501</v>
      </c>
      <c r="V946" s="109">
        <f>PR!F1041</f>
        <v>0</v>
      </c>
      <c r="W946" s="109">
        <f>'Z Score'!I1041</f>
        <v>1.0152447524152464</v>
      </c>
      <c r="X946" s="109">
        <f>'Z Score'!L1041</f>
        <v>-0.94217230447980582</v>
      </c>
      <c r="Y946" s="109">
        <f>'Z Score'!O1041</f>
        <v>0.24055048376318611</v>
      </c>
      <c r="Z946" s="109">
        <f>'Z Score'!R1041</f>
        <v>1.3743421921198766</v>
      </c>
      <c r="AA946" s="109">
        <f>'Z Score'!S1041</f>
        <v>1.6879651238185032</v>
      </c>
    </row>
    <row r="947" spans="1:27" ht="15" customHeight="1" x14ac:dyDescent="0.3">
      <c r="A947" s="22"/>
      <c r="B947" s="23"/>
      <c r="C947" s="2"/>
      <c r="D947" s="23">
        <v>2020</v>
      </c>
      <c r="E947" s="25">
        <f>'Current Ratio'!G1042</f>
        <v>1.0099373234176598</v>
      </c>
      <c r="F947" s="25">
        <f>'Cash Ratio'!G1042</f>
        <v>6.7888805897444227E-2</v>
      </c>
      <c r="G947" s="25">
        <f>DAR!G1042</f>
        <v>0.44222104293495673</v>
      </c>
      <c r="H947" s="25">
        <f>DER!G1042</f>
        <v>0.79282489476093454</v>
      </c>
      <c r="I947" s="25">
        <f>NPM!G1042</f>
        <v>6.4924680973550385E-3</v>
      </c>
      <c r="J947" s="25">
        <f>ROA!G1042</f>
        <v>1.0163008651073375E-3</v>
      </c>
      <c r="K947" s="25">
        <f>ROE!G1042</f>
        <v>1.8220494915315089E-3</v>
      </c>
      <c r="L947" s="25">
        <f>KM!E1042</f>
        <v>0.22600000000000001</v>
      </c>
      <c r="M947" s="24">
        <f>KI!E1042</f>
        <v>1</v>
      </c>
      <c r="N947" s="108">
        <f>IO!E1042</f>
        <v>0</v>
      </c>
      <c r="O947" s="24">
        <f>'BoC Size'!E1042</f>
        <v>2</v>
      </c>
      <c r="P947" s="24">
        <f>'TMT E DK'!E1042</f>
        <v>0</v>
      </c>
      <c r="Q947" s="24">
        <f>Data!R1042</f>
        <v>2</v>
      </c>
      <c r="R947" s="24">
        <f>Data!S1042</f>
        <v>3</v>
      </c>
      <c r="S947" s="24">
        <f>'TMT E DK'!E1042</f>
        <v>0</v>
      </c>
      <c r="T947" s="24">
        <f>'TMT E DD'!E1042</f>
        <v>0</v>
      </c>
      <c r="U947" s="24">
        <f>TA!E1042</f>
        <v>199744000000</v>
      </c>
      <c r="V947" s="109">
        <f>PR!F1042</f>
        <v>-0.21753545070368854</v>
      </c>
      <c r="W947" s="109">
        <f>'Z Score'!I1042</f>
        <v>2.0099327138737584E-2</v>
      </c>
      <c r="X947" s="109">
        <f>'Z Score'!L1042</f>
        <v>-0.91504706023710336</v>
      </c>
      <c r="Y947" s="109">
        <f>'Z Score'!O1042</f>
        <v>0.12606055751361742</v>
      </c>
      <c r="Z947" s="109">
        <f>'Z Score'!R1042</f>
        <v>1.3243781911220296</v>
      </c>
      <c r="AA947" s="109">
        <f>'Z Score'!S1042</f>
        <v>0.55549101553728131</v>
      </c>
    </row>
    <row r="948" spans="1:27" ht="15" customHeight="1" x14ac:dyDescent="0.3">
      <c r="A948" s="22"/>
      <c r="B948" s="23"/>
      <c r="C948" s="2"/>
      <c r="D948" s="23">
        <v>2021</v>
      </c>
      <c r="E948" s="25">
        <f>'Current Ratio'!G1043</f>
        <v>1.5492131157114077</v>
      </c>
      <c r="F948" s="25">
        <f>'Cash Ratio'!G1043</f>
        <v>0.10771117404887734</v>
      </c>
      <c r="G948" s="25">
        <f>DAR!G1043</f>
        <v>0.33380845759660221</v>
      </c>
      <c r="H948" s="25">
        <f>DER!G1043</f>
        <v>0.50106979201857194</v>
      </c>
      <c r="I948" s="25">
        <f>NPM!G1043</f>
        <v>0.14679734751876411</v>
      </c>
      <c r="J948" s="25">
        <f>ROA!G1043</f>
        <v>2.3250311619962143E-2</v>
      </c>
      <c r="K948" s="25">
        <f>ROE!G1043</f>
        <v>3.4900340427743565E-2</v>
      </c>
      <c r="L948" s="25">
        <f>KM!E1043</f>
        <v>0.22600000000000001</v>
      </c>
      <c r="M948" s="24">
        <f>KI!E1043</f>
        <v>1</v>
      </c>
      <c r="N948" s="108">
        <f>IO!E1043</f>
        <v>0</v>
      </c>
      <c r="O948" s="24">
        <f>'BoC Size'!E1043</f>
        <v>2</v>
      </c>
      <c r="P948" s="24">
        <f>'TMT E DK'!E1043</f>
        <v>0</v>
      </c>
      <c r="Q948" s="24">
        <f>Data!R1043</f>
        <v>2</v>
      </c>
      <c r="R948" s="24">
        <f>Data!S1043</f>
        <v>3</v>
      </c>
      <c r="S948" s="24">
        <f>'TMT E DK'!E1043</f>
        <v>0</v>
      </c>
      <c r="T948" s="24">
        <f>'TMT E DD'!E1043</f>
        <v>0</v>
      </c>
      <c r="U948" s="24">
        <f>TA!E1043</f>
        <v>173288000000</v>
      </c>
      <c r="V948" s="109">
        <f>PR!F1043</f>
        <v>-0.12220552019701282</v>
      </c>
      <c r="W948" s="109">
        <f>'Z Score'!I1043</f>
        <v>0.71207238816305807</v>
      </c>
      <c r="X948" s="109">
        <f>'Z Score'!L1043</f>
        <v>-1.0461881953741747</v>
      </c>
      <c r="Y948" s="109">
        <f>'Z Score'!O1043</f>
        <v>1.1323576935506209E-2</v>
      </c>
      <c r="Z948" s="109">
        <f>'Z Score'!R1043</f>
        <v>2.0955164664188781</v>
      </c>
      <c r="AA948" s="109">
        <f>'Z Score'!S1043</f>
        <v>1.7727242361432678</v>
      </c>
    </row>
    <row r="949" spans="1:27" ht="15" customHeight="1" x14ac:dyDescent="0.3">
      <c r="A949" s="22"/>
      <c r="B949" s="23"/>
      <c r="C949" s="2"/>
      <c r="D949" s="23">
        <v>2022</v>
      </c>
      <c r="E949" s="25">
        <f>'Current Ratio'!G1044</f>
        <v>1.4467557699393696</v>
      </c>
      <c r="F949" s="25">
        <f>'Cash Ratio'!G1044</f>
        <v>0.14383814022041336</v>
      </c>
      <c r="G949" s="25">
        <f>DAR!G1044</f>
        <v>0.37315185090068609</v>
      </c>
      <c r="H949" s="25">
        <f>DER!G1044</f>
        <v>0.5952826875804752</v>
      </c>
      <c r="I949" s="25">
        <f>NPM!G1044</f>
        <v>-0.86746745403301573</v>
      </c>
      <c r="J949" s="25">
        <f>ROA!G1044</f>
        <v>-7.9043915324503791E-2</v>
      </c>
      <c r="K949" s="25">
        <f>ROE!G1044</f>
        <v>-0.12609738967575793</v>
      </c>
      <c r="L949" s="25">
        <f>KM!E1044</f>
        <v>0.22600000000000001</v>
      </c>
      <c r="M949" s="24">
        <f>KI!E1044</f>
        <v>1</v>
      </c>
      <c r="N949" s="108">
        <f>IO!E1044</f>
        <v>0</v>
      </c>
      <c r="O949" s="24">
        <f>'BoC Size'!E1044</f>
        <v>2</v>
      </c>
      <c r="P949" s="24">
        <f>'TMT E DK'!E1044</f>
        <v>0</v>
      </c>
      <c r="Q949" s="24">
        <f>Data!R1044</f>
        <v>2</v>
      </c>
      <c r="R949" s="24">
        <f>Data!S1044</f>
        <v>3</v>
      </c>
      <c r="S949" s="24">
        <f>'TMT E DK'!E1044</f>
        <v>0</v>
      </c>
      <c r="T949" s="24">
        <f>'TMT E DD'!E1044</f>
        <v>0</v>
      </c>
      <c r="U949" s="24">
        <f>TA!E1044</f>
        <v>163542000000</v>
      </c>
      <c r="V949" s="109">
        <f>PR!F1044</f>
        <v>-0.45704292064417401</v>
      </c>
      <c r="W949" s="109">
        <f>'Z Score'!I1044</f>
        <v>0.534974012791821</v>
      </c>
      <c r="X949" s="109">
        <f>'Z Score'!L1044</f>
        <v>-1.3610941531838916</v>
      </c>
      <c r="Y949" s="109">
        <f>'Z Score'!O1044</f>
        <v>-0.67297795061818977</v>
      </c>
      <c r="Z949" s="109">
        <f>'Z Score'!R1044</f>
        <v>1.7638678596008259</v>
      </c>
      <c r="AA949" s="109">
        <f>'Z Score'!S1044</f>
        <v>0.26476976859056567</v>
      </c>
    </row>
    <row r="950" spans="1:27" ht="15" customHeight="1" x14ac:dyDescent="0.3">
      <c r="A950" s="22"/>
      <c r="B950" s="23"/>
      <c r="C950" s="2"/>
      <c r="D950" s="23">
        <v>2023</v>
      </c>
      <c r="E950" s="25">
        <f>'Current Ratio'!G1045</f>
        <v>1.2223282235857853</v>
      </c>
      <c r="F950" s="25">
        <f>'Cash Ratio'!G1045</f>
        <v>7.5670518852583427E-2</v>
      </c>
      <c r="G950" s="25">
        <f>DAR!G1045</f>
        <v>0.4448487932216888</v>
      </c>
      <c r="H950" s="25">
        <f>DER!G1045</f>
        <v>0.8013110442527247</v>
      </c>
      <c r="I950" s="25">
        <f>NPM!G1045</f>
        <v>-4.4052500360579401E-2</v>
      </c>
      <c r="J950" s="25">
        <f>ROA!G1045</f>
        <v>-1.1824436431210318E-2</v>
      </c>
      <c r="K950" s="25">
        <f>ROE!G1045</f>
        <v>-2.129948793560342E-2</v>
      </c>
      <c r="L950" s="25">
        <f>KM!E1045</f>
        <v>0.22600000000000001</v>
      </c>
      <c r="M950" s="24">
        <f>KI!E1045</f>
        <v>1</v>
      </c>
      <c r="N950" s="108">
        <f>IO!E1045</f>
        <v>0</v>
      </c>
      <c r="O950" s="24">
        <f>'BoC Size'!E1045</f>
        <v>2</v>
      </c>
      <c r="P950" s="24">
        <f>'TMT E DK'!E1045</f>
        <v>0</v>
      </c>
      <c r="Q950" s="24">
        <f>Data!R1045</f>
        <v>2</v>
      </c>
      <c r="R950" s="24">
        <f>Data!S1045</f>
        <v>3</v>
      </c>
      <c r="S950" s="24">
        <f>'TMT E DK'!E1045</f>
        <v>0</v>
      </c>
      <c r="T950" s="24">
        <f>'TMT E DD'!E1045</f>
        <v>0</v>
      </c>
      <c r="U950" s="24">
        <f>TA!E1045</f>
        <v>180812000000</v>
      </c>
      <c r="V950" s="109">
        <f>PR!F1045</f>
        <v>2.2568111662864045</v>
      </c>
      <c r="W950" s="109">
        <f>'Z Score'!I1045</f>
        <v>0.37202309581222487</v>
      </c>
      <c r="X950" s="109">
        <f>'Z Score'!L1045</f>
        <v>-1.3277307922040573</v>
      </c>
      <c r="Y950" s="109">
        <f>'Z Score'!O1045</f>
        <v>-0.20028582173749529</v>
      </c>
      <c r="Z950" s="109">
        <f>'Z Score'!R1045</f>
        <v>1.3103525872143622</v>
      </c>
      <c r="AA950" s="109">
        <f>'Z Score'!S1045</f>
        <v>0.15435906908503449</v>
      </c>
    </row>
    <row r="951" spans="1:27" ht="15" customHeight="1" x14ac:dyDescent="0.3">
      <c r="A951" s="22"/>
      <c r="B951" s="23"/>
      <c r="C951" s="2"/>
      <c r="D951" s="23">
        <v>2024</v>
      </c>
      <c r="E951" s="25">
        <f>'Current Ratio'!G1046</f>
        <v>1.595068299478138</v>
      </c>
      <c r="F951" s="25">
        <f>'Cash Ratio'!G1046</f>
        <v>0.35174751023972389</v>
      </c>
      <c r="G951" s="25">
        <f>DAR!G1046</f>
        <v>0.40996254145089728</v>
      </c>
      <c r="H951" s="25">
        <f>DER!G1046</f>
        <v>0.69481261425959784</v>
      </c>
      <c r="I951" s="25">
        <f>NPM!G1046</f>
        <v>-4.2557390800202306E-3</v>
      </c>
      <c r="J951" s="25">
        <f>ROA!G1046</f>
        <v>-1.4536782272710036E-3</v>
      </c>
      <c r="K951" s="25">
        <f>ROE!G1046</f>
        <v>-2.4637225776965267E-3</v>
      </c>
      <c r="L951" s="25">
        <f>KM!E1046</f>
        <v>0.64339999999999997</v>
      </c>
      <c r="M951" s="24">
        <f>KI!E1046</f>
        <v>2</v>
      </c>
      <c r="N951" s="108">
        <f>IO!E1046</f>
        <v>0</v>
      </c>
      <c r="O951" s="24">
        <f>'BoC Size'!E1046</f>
        <v>3</v>
      </c>
      <c r="P951" s="24">
        <f>'TMT E DK'!E1046</f>
        <v>0</v>
      </c>
      <c r="Q951" s="24">
        <f>Data!R1046</f>
        <v>3</v>
      </c>
      <c r="R951" s="24">
        <f>Data!S1046</f>
        <v>3</v>
      </c>
      <c r="S951" s="24">
        <f>'TMT E DK'!E1046</f>
        <v>0</v>
      </c>
      <c r="T951" s="24">
        <f>'TMT E DD'!E1046</f>
        <v>0</v>
      </c>
      <c r="U951" s="24">
        <f>TA!E1046</f>
        <v>237329000000</v>
      </c>
      <c r="V951" s="109">
        <f>PR!F1046</f>
        <v>0.67034801063194116</v>
      </c>
      <c r="W951" s="109">
        <f>'Z Score'!I1046</f>
        <v>0.79111174782685634</v>
      </c>
      <c r="X951" s="109">
        <f>'Z Score'!L1046</f>
        <v>-1.0213830589603461</v>
      </c>
      <c r="Y951" s="109">
        <f>'Z Score'!O1046</f>
        <v>-3.8791719511732659E-2</v>
      </c>
      <c r="Z951" s="109">
        <f>'Z Score'!R1046</f>
        <v>1.5111988159842131</v>
      </c>
      <c r="AA951" s="109">
        <f>'Z Score'!S1046</f>
        <v>1.2421357853389907</v>
      </c>
    </row>
    <row r="952" spans="1:27" ht="15" customHeight="1" x14ac:dyDescent="0.3">
      <c r="A952" s="22"/>
      <c r="B952" s="23">
        <v>96</v>
      </c>
      <c r="C952" s="2" t="s">
        <v>116</v>
      </c>
      <c r="D952" s="23">
        <v>2015</v>
      </c>
      <c r="E952" s="25">
        <f>'Current Ratio'!G1048</f>
        <v>5.7478090034363678</v>
      </c>
      <c r="F952" s="25">
        <f>'Cash Ratio'!G1048</f>
        <v>0.25737280367514759</v>
      </c>
      <c r="G952" s="25">
        <f>DAR!G1048</f>
        <v>0.80703553939657224</v>
      </c>
      <c r="H952" s="25">
        <f>DER!G1048</f>
        <v>4.182301429355725</v>
      </c>
      <c r="I952" s="25">
        <f>NPM!G1048</f>
        <v>0.20344950299785161</v>
      </c>
      <c r="J952" s="25">
        <f>ROA!G1048</f>
        <v>4.4528455391553153E-2</v>
      </c>
      <c r="K952" s="25">
        <f>ROE!G1048</f>
        <v>0.23075987802264855</v>
      </c>
      <c r="L952" s="25">
        <f>KM!E1048</f>
        <v>0</v>
      </c>
      <c r="M952" s="24">
        <f>KI!E1048</f>
        <v>0</v>
      </c>
      <c r="N952" s="108">
        <f>IO!E1048</f>
        <v>0</v>
      </c>
      <c r="O952" s="24">
        <f>'BoC Size'!E1048</f>
        <v>0</v>
      </c>
      <c r="P952" s="24">
        <f>'TMT E DK'!E1048</f>
        <v>0</v>
      </c>
      <c r="Q952" s="24">
        <f>Data!R1048</f>
        <v>0</v>
      </c>
      <c r="R952" s="24">
        <f>Data!S1048</f>
        <v>0</v>
      </c>
      <c r="S952" s="24">
        <f>'TMT E DK'!E1048</f>
        <v>0</v>
      </c>
      <c r="T952" s="24">
        <f>'TMT E DD'!E1048</f>
        <v>0</v>
      </c>
      <c r="U952" s="24">
        <f>TA!E1048</f>
        <v>1422094069358</v>
      </c>
      <c r="V952" s="109">
        <f>PR!F1048</f>
        <v>0</v>
      </c>
      <c r="W952" s="109">
        <f>'Z Score'!I1048</f>
        <v>3.0974387325119186</v>
      </c>
      <c r="X952" s="109">
        <f>'Z Score'!L1048</f>
        <v>0.36946973022230489</v>
      </c>
      <c r="Y952" s="109">
        <f>'Z Score'!O1048</f>
        <v>0.37557333736460774</v>
      </c>
      <c r="Z952" s="109">
        <f>'Z Score'!R1048</f>
        <v>0.25105794446808927</v>
      </c>
      <c r="AA952" s="109">
        <f>'Z Score'!S1048</f>
        <v>4.0935397445669199</v>
      </c>
    </row>
    <row r="953" spans="1:27" ht="15" customHeight="1" x14ac:dyDescent="0.3">
      <c r="A953" s="22"/>
      <c r="B953" s="23"/>
      <c r="C953" s="2"/>
      <c r="D953" s="23">
        <v>2016</v>
      </c>
      <c r="E953" s="25">
        <f>'Current Ratio'!G1049</f>
        <v>8.0175048797792599</v>
      </c>
      <c r="F953" s="25">
        <f>'Cash Ratio'!G1049</f>
        <v>0</v>
      </c>
      <c r="G953" s="25">
        <f>DAR!G1049</f>
        <v>0.78357718277360744</v>
      </c>
      <c r="H953" s="25">
        <f>DER!G1049</f>
        <v>3.6205965548666863</v>
      </c>
      <c r="I953" s="25">
        <f>NPM!G1049</f>
        <v>0.18943543450975478</v>
      </c>
      <c r="J953" s="25">
        <f>ROA!G1049</f>
        <v>4.4146492237611391E-2</v>
      </c>
      <c r="K953" s="25">
        <f>ROE!G1049</f>
        <v>0.20398327212537659</v>
      </c>
      <c r="L953" s="25">
        <f>KM!E1049</f>
        <v>0.25559999999999999</v>
      </c>
      <c r="M953" s="24">
        <f>KI!E1049</f>
        <v>0</v>
      </c>
      <c r="N953" s="108">
        <f>IO!E1049</f>
        <v>0.46860000000000002</v>
      </c>
      <c r="O953" s="24">
        <f>'BoC Size'!E1049</f>
        <v>4</v>
      </c>
      <c r="P953" s="24">
        <f>'TMT E DK'!E1049</f>
        <v>21</v>
      </c>
      <c r="Q953" s="24">
        <f>Data!R1049</f>
        <v>4</v>
      </c>
      <c r="R953" s="24">
        <f>Data!S1049</f>
        <v>5</v>
      </c>
      <c r="S953" s="24">
        <f>'TMT E DK'!E1049</f>
        <v>21</v>
      </c>
      <c r="T953" s="24">
        <f>'TMT E DD'!E1049</f>
        <v>9</v>
      </c>
      <c r="U953" s="24">
        <f>TA!E1049</f>
        <v>1434654843880</v>
      </c>
      <c r="V953" s="109">
        <f>PR!F1049</f>
        <v>7.4170174165802766E-2</v>
      </c>
      <c r="W953" s="109">
        <f>'Z Score'!I1049</f>
        <v>4.6578091987668477</v>
      </c>
      <c r="X953" s="109">
        <f>'Z Score'!L1049</f>
        <v>0.46811553795320671</v>
      </c>
      <c r="Y953" s="109">
        <f>'Z Score'!O1049</f>
        <v>0.36455759652555625</v>
      </c>
      <c r="Z953" s="109">
        <f>'Z Score'!R1049</f>
        <v>0.2900074570829011</v>
      </c>
      <c r="AA953" s="109">
        <f>'Z Score'!S1049</f>
        <v>5.7804897903285122</v>
      </c>
    </row>
    <row r="954" spans="1:27" ht="15" customHeight="1" x14ac:dyDescent="0.3">
      <c r="A954" s="22"/>
      <c r="B954" s="23"/>
      <c r="C954" s="2"/>
      <c r="D954" s="23">
        <v>2017</v>
      </c>
      <c r="E954" s="25">
        <f>'Current Ratio'!G1050</f>
        <v>4.4735295456068149</v>
      </c>
      <c r="F954" s="25">
        <f>'Cash Ratio'!G1050</f>
        <v>0</v>
      </c>
      <c r="G954" s="25">
        <f>DAR!G1050</f>
        <v>0.74882644155032452</v>
      </c>
      <c r="H954" s="25">
        <f>DER!G1050</f>
        <v>2.9813107962968859</v>
      </c>
      <c r="I954" s="25">
        <f>NPM!G1050</f>
        <v>0.18541859574603292</v>
      </c>
      <c r="J954" s="25">
        <f>ROA!G1050</f>
        <v>4.2585494456494323E-2</v>
      </c>
      <c r="K954" s="25">
        <f>ROE!G1050</f>
        <v>0.16954608884528202</v>
      </c>
      <c r="L954" s="25">
        <f>KM!E1050</f>
        <v>0.27689999999999998</v>
      </c>
      <c r="M954" s="24">
        <f>KI!E1050</f>
        <v>3</v>
      </c>
      <c r="N954" s="108">
        <f>IO!E1050</f>
        <v>0.46860000000000002</v>
      </c>
      <c r="O954" s="24">
        <f>'BoC Size'!E1050</f>
        <v>4</v>
      </c>
      <c r="P954" s="24">
        <f>'TMT E DK'!E1050</f>
        <v>21</v>
      </c>
      <c r="Q954" s="24">
        <f>Data!R1050</f>
        <v>4</v>
      </c>
      <c r="R954" s="24">
        <f>Data!S1050</f>
        <v>5</v>
      </c>
      <c r="S954" s="24">
        <f>'TMT E DK'!E1050</f>
        <v>21</v>
      </c>
      <c r="T954" s="24">
        <f>'TMT E DD'!E1050</f>
        <v>9</v>
      </c>
      <c r="U954" s="24">
        <f>TA!E1050</f>
        <v>1418524795003</v>
      </c>
      <c r="V954" s="109">
        <f>PR!F1050</f>
        <v>-2.554244741015484E-2</v>
      </c>
      <c r="W954" s="109">
        <f>'Z Score'!I1050</f>
        <v>2.830682738553377</v>
      </c>
      <c r="X954" s="109">
        <f>'Z Score'!L1050</f>
        <v>0.5613727076948668</v>
      </c>
      <c r="Y954" s="109">
        <f>'Z Score'!O1050</f>
        <v>0.34982233761489556</v>
      </c>
      <c r="Z954" s="109">
        <f>'Z Score'!R1050</f>
        <v>0.35219407560735194</v>
      </c>
      <c r="AA954" s="109">
        <f>'Z Score'!S1050</f>
        <v>4.0940718594704917</v>
      </c>
    </row>
    <row r="955" spans="1:27" ht="15" customHeight="1" x14ac:dyDescent="0.3">
      <c r="A955" s="22"/>
      <c r="B955" s="23"/>
      <c r="C955" s="2"/>
      <c r="D955" s="23">
        <v>2018</v>
      </c>
      <c r="E955" s="25">
        <f>'Current Ratio'!G1051</f>
        <v>4.8974858496804696</v>
      </c>
      <c r="F955" s="25">
        <f>'Cash Ratio'!G1051</f>
        <v>0.28761373973998233</v>
      </c>
      <c r="G955" s="25">
        <f>DAR!G1051</f>
        <v>0.72545101512163934</v>
      </c>
      <c r="H955" s="25">
        <f>DER!G1051</f>
        <v>2.6423372697700978</v>
      </c>
      <c r="I955" s="25">
        <f>NPM!G1051</f>
        <v>0.2012701029813804</v>
      </c>
      <c r="J955" s="25">
        <f>ROA!G1051</f>
        <v>4.8000690907042634E-2</v>
      </c>
      <c r="K955" s="25">
        <f>ROE!G1051</f>
        <v>0.174834705465436</v>
      </c>
      <c r="L955" s="25">
        <f>KM!E1051</f>
        <v>0.27689999999999998</v>
      </c>
      <c r="M955" s="24">
        <f>KI!E1051</f>
        <v>3</v>
      </c>
      <c r="N955" s="108">
        <f>IO!E1051</f>
        <v>0.46860000000000002</v>
      </c>
      <c r="O955" s="24">
        <f>'BoC Size'!E1051</f>
        <v>4</v>
      </c>
      <c r="P955" s="24">
        <f>'TMT E DK'!E1051</f>
        <v>21</v>
      </c>
      <c r="Q955" s="24">
        <f>Data!R1051</f>
        <v>4</v>
      </c>
      <c r="R955" s="24">
        <f>Data!S1051</f>
        <v>5</v>
      </c>
      <c r="S955" s="24">
        <f>'TMT E DK'!E1051</f>
        <v>21</v>
      </c>
      <c r="T955" s="24">
        <f>'TMT E DD'!E1051</f>
        <v>7</v>
      </c>
      <c r="U955" s="24">
        <f>TA!E1051</f>
        <v>1478007061719</v>
      </c>
      <c r="V955" s="109">
        <f>PR!F1051</f>
        <v>8.1930567191825163E-2</v>
      </c>
      <c r="W955" s="109">
        <f>'Z Score'!I1051</f>
        <v>2.861860752131983</v>
      </c>
      <c r="X955" s="109">
        <f>'Z Score'!L1051</f>
        <v>0.66231267964414486</v>
      </c>
      <c r="Y955" s="109">
        <f>'Z Score'!O1051</f>
        <v>0.40101069476229878</v>
      </c>
      <c r="Z955" s="109">
        <f>'Z Score'!R1051</f>
        <v>0.39737546452249739</v>
      </c>
      <c r="AA955" s="109">
        <f>'Z Score'!S1051</f>
        <v>4.3225595910609238</v>
      </c>
    </row>
    <row r="956" spans="1:27" ht="15" customHeight="1" x14ac:dyDescent="0.3">
      <c r="A956" s="22"/>
      <c r="B956" s="23"/>
      <c r="C956" s="2"/>
      <c r="D956" s="23">
        <v>2019</v>
      </c>
      <c r="E956" s="25">
        <f>'Current Ratio'!G1052</f>
        <v>5.0296584741378529</v>
      </c>
      <c r="F956" s="25">
        <f>'Cash Ratio'!G1052</f>
        <v>0.20566690206062696</v>
      </c>
      <c r="G956" s="25">
        <f>DAR!G1052</f>
        <v>0.71363775487738434</v>
      </c>
      <c r="H956" s="25">
        <f>DER!G1052</f>
        <v>2.4920804576448838</v>
      </c>
      <c r="I956" s="25">
        <f>NPM!G1052</f>
        <v>0.17109082966921224</v>
      </c>
      <c r="J956" s="25">
        <f>ROA!G1052</f>
        <v>3.9750715994779424E-2</v>
      </c>
      <c r="K956" s="25">
        <f>ROE!G1052</f>
        <v>0.13881269850276115</v>
      </c>
      <c r="L956" s="25">
        <f>KM!E1052</f>
        <v>0.27689999999999998</v>
      </c>
      <c r="M956" s="24">
        <f>KI!E1052</f>
        <v>3</v>
      </c>
      <c r="N956" s="108">
        <f>IO!E1052</f>
        <v>0.46860000000000002</v>
      </c>
      <c r="O956" s="24">
        <f>'BoC Size'!E1052</f>
        <v>4</v>
      </c>
      <c r="P956" s="24">
        <f>'TMT E DK'!E1052</f>
        <v>21</v>
      </c>
      <c r="Q956" s="24">
        <f>Data!R1052</f>
        <v>4</v>
      </c>
      <c r="R956" s="24">
        <f>Data!S1052</f>
        <v>5</v>
      </c>
      <c r="S956" s="24">
        <f>'TMT E DK'!E1052</f>
        <v>21</v>
      </c>
      <c r="T956" s="24">
        <f>'TMT E DD'!E1052</f>
        <v>7</v>
      </c>
      <c r="U956" s="24">
        <f>TA!E1052</f>
        <v>1548001829554</v>
      </c>
      <c r="V956" s="109">
        <f>PR!F1052</f>
        <v>2.0340121426353656E-2</v>
      </c>
      <c r="W956" s="109">
        <f>'Z Score'!I1052</f>
        <v>2.9863572422844973</v>
      </c>
      <c r="X956" s="109">
        <f>'Z Score'!L1052</f>
        <v>0.60829438811715042</v>
      </c>
      <c r="Y956" s="109">
        <f>'Z Score'!O1052</f>
        <v>0.32562528660717982</v>
      </c>
      <c r="Z956" s="109">
        <f>'Z Score'!R1052</f>
        <v>0.42133471123652733</v>
      </c>
      <c r="AA956" s="109">
        <f>'Z Score'!S1052</f>
        <v>4.3416116282453547</v>
      </c>
    </row>
    <row r="957" spans="1:27" ht="15" customHeight="1" x14ac:dyDescent="0.3">
      <c r="A957" s="22"/>
      <c r="B957" s="23"/>
      <c r="C957" s="2"/>
      <c r="D957" s="23">
        <v>2020</v>
      </c>
      <c r="E957" s="25">
        <f>'Current Ratio'!G1053</f>
        <v>6.0472026286501679</v>
      </c>
      <c r="F957" s="25">
        <f>'Cash Ratio'!G1053</f>
        <v>0.46267319085171849</v>
      </c>
      <c r="G957" s="25">
        <f>DAR!G1053</f>
        <v>0.66820948164233607</v>
      </c>
      <c r="H957" s="25">
        <f>DER!G1053</f>
        <v>2.0139499011301427</v>
      </c>
      <c r="I957" s="25">
        <f>NPM!G1053</f>
        <v>0.22496162825616348</v>
      </c>
      <c r="J957" s="25">
        <f>ROA!G1053</f>
        <v>5.0296819427617455E-2</v>
      </c>
      <c r="K957" s="25">
        <f>ROE!G1053</f>
        <v>0.15159209394102829</v>
      </c>
      <c r="L957" s="25">
        <f>KM!E1053</f>
        <v>0.31</v>
      </c>
      <c r="M957" s="24">
        <f>KI!E1053</f>
        <v>2</v>
      </c>
      <c r="N957" s="108">
        <f>IO!E1053</f>
        <v>0.50170000000000003</v>
      </c>
      <c r="O957" s="24">
        <f>'BoC Size'!E1053</f>
        <v>3</v>
      </c>
      <c r="P957" s="24">
        <f>'TMT E DK'!E1053</f>
        <v>15</v>
      </c>
      <c r="Q957" s="24">
        <f>Data!R1053</f>
        <v>3</v>
      </c>
      <c r="R957" s="24">
        <f>Data!S1053</f>
        <v>5</v>
      </c>
      <c r="S957" s="24">
        <f>'TMT E DK'!E1053</f>
        <v>15</v>
      </c>
      <c r="T957" s="24">
        <f>'TMT E DD'!E1053</f>
        <v>7</v>
      </c>
      <c r="U957" s="24">
        <f>TA!E1053</f>
        <v>1516562973028</v>
      </c>
      <c r="V957" s="109">
        <f>PR!F1053</f>
        <v>-5.7236344593606568E-2</v>
      </c>
      <c r="W957" s="109">
        <f>'Z Score'!I1053</f>
        <v>3.6935968883300565</v>
      </c>
      <c r="X957" s="109">
        <f>'Z Score'!L1053</f>
        <v>0.73952869312201863</v>
      </c>
      <c r="Y957" s="109">
        <f>'Z Score'!O1053</f>
        <v>0.34043612303399401</v>
      </c>
      <c r="Z957" s="109">
        <f>'Z Score'!R1053</f>
        <v>0.52136351525466684</v>
      </c>
      <c r="AA957" s="109">
        <f>'Z Score'!S1053</f>
        <v>5.2949252197407359</v>
      </c>
    </row>
    <row r="958" spans="1:27" ht="15" customHeight="1" x14ac:dyDescent="0.3">
      <c r="A958" s="22"/>
      <c r="B958" s="23"/>
      <c r="C958" s="2"/>
      <c r="D958" s="23">
        <v>2021</v>
      </c>
      <c r="E958" s="25">
        <f>'Current Ratio'!G1054</f>
        <v>3.2776339622540149</v>
      </c>
      <c r="F958" s="25">
        <f>'Cash Ratio'!G1054</f>
        <v>0.28531835565096941</v>
      </c>
      <c r="G958" s="25">
        <f>DAR!G1054</f>
        <v>0.61092559285611869</v>
      </c>
      <c r="H958" s="25">
        <f>DER!G1054</f>
        <v>1.5702024642042209</v>
      </c>
      <c r="I958" s="25">
        <f>NPM!G1054</f>
        <v>0.1783660497694099</v>
      </c>
      <c r="J958" s="25">
        <f>ROA!G1054</f>
        <v>4.2421814343542009E-2</v>
      </c>
      <c r="K958" s="25">
        <f>ROE!G1054</f>
        <v>0.10903265176178564</v>
      </c>
      <c r="L958" s="25">
        <f>KM!E1054</f>
        <v>0.31509999999999999</v>
      </c>
      <c r="M958" s="24">
        <f>KI!E1054</f>
        <v>2</v>
      </c>
      <c r="N958" s="108">
        <f>IO!E1054</f>
        <v>0.50680000000000003</v>
      </c>
      <c r="O958" s="24">
        <f>'BoC Size'!E1054</f>
        <v>3</v>
      </c>
      <c r="P958" s="24">
        <f>'TMT E DK'!E1054</f>
        <v>15</v>
      </c>
      <c r="Q958" s="24">
        <f>Data!R1054</f>
        <v>3</v>
      </c>
      <c r="R958" s="24">
        <f>Data!S1054</f>
        <v>5</v>
      </c>
      <c r="S958" s="24">
        <f>'TMT E DK'!E1054</f>
        <v>15</v>
      </c>
      <c r="T958" s="24">
        <f>'TMT E DD'!E1054</f>
        <v>7</v>
      </c>
      <c r="U958" s="24">
        <f>TA!E1054</f>
        <v>1411160148272</v>
      </c>
      <c r="V958" s="109">
        <f>PR!F1054</f>
        <v>-1.01695187893922E-2</v>
      </c>
      <c r="W958" s="109">
        <f>'Z Score'!I1054</f>
        <v>2.3587378316578871</v>
      </c>
      <c r="X958" s="109">
        <f>'Z Score'!L1054</f>
        <v>0.90701604091284993</v>
      </c>
      <c r="Y958" s="109">
        <f>'Z Score'!O1054</f>
        <v>0.37033378330289213</v>
      </c>
      <c r="Z958" s="109">
        <f>'Z Score'!R1054</f>
        <v>0.66870357418025084</v>
      </c>
      <c r="AA958" s="109">
        <f>'Z Score'!S1054</f>
        <v>4.3047912300538798</v>
      </c>
    </row>
    <row r="959" spans="1:27" ht="15" customHeight="1" x14ac:dyDescent="0.3">
      <c r="A959" s="22"/>
      <c r="B959" s="23"/>
      <c r="C959" s="2"/>
      <c r="D959" s="23">
        <v>2022</v>
      </c>
      <c r="E959" s="25">
        <f>'Current Ratio'!G1055</f>
        <v>3.7610095975731852</v>
      </c>
      <c r="F959" s="25">
        <f>'Cash Ratio'!G1055</f>
        <v>0.27085620759311685</v>
      </c>
      <c r="G959" s="25">
        <f>DAR!G1055</f>
        <v>0.62260197781729665</v>
      </c>
      <c r="H959" s="25">
        <f>DER!G1055</f>
        <v>1.649722418301087</v>
      </c>
      <c r="I959" s="25">
        <f>NPM!G1055</f>
        <v>0.18742476848597112</v>
      </c>
      <c r="J959" s="25">
        <f>ROA!G1055</f>
        <v>5.0274242092802977E-2</v>
      </c>
      <c r="K959" s="25">
        <f>ROE!G1055</f>
        <v>0.13321278633639622</v>
      </c>
      <c r="L959" s="25">
        <f>KM!E1055</f>
        <v>0.31509999999999999</v>
      </c>
      <c r="M959" s="24">
        <f>KI!E1055</f>
        <v>2</v>
      </c>
      <c r="N959" s="108">
        <f>IO!E1055</f>
        <v>0.50680000000000003</v>
      </c>
      <c r="O959" s="24">
        <f>'BoC Size'!E1055</f>
        <v>3</v>
      </c>
      <c r="P959" s="24">
        <f>'TMT E DK'!E1055</f>
        <v>15</v>
      </c>
      <c r="Q959" s="24">
        <f>Data!R1055</f>
        <v>3</v>
      </c>
      <c r="R959" s="24">
        <f>Data!S1055</f>
        <v>5</v>
      </c>
      <c r="S959" s="24">
        <f>'TMT E DK'!E1055</f>
        <v>15</v>
      </c>
      <c r="T959" s="24">
        <f>'TMT E DD'!E1055</f>
        <v>7</v>
      </c>
      <c r="U959" s="24">
        <f>TA!E1055</f>
        <v>1627241657686</v>
      </c>
      <c r="V959" s="109">
        <f>PR!F1055</f>
        <v>0.30052065691008384</v>
      </c>
      <c r="W959" s="109">
        <f>'Z Score'!I1055</f>
        <v>2.47756643209381</v>
      </c>
      <c r="X959" s="109">
        <f>'Z Score'!L1055</f>
        <v>0.91158892827642857</v>
      </c>
      <c r="Y959" s="109">
        <f>'Z Score'!O1055</f>
        <v>0.37205140729671765</v>
      </c>
      <c r="Z959" s="109">
        <f>'Z Score'!R1055</f>
        <v>0.63647071067950234</v>
      </c>
      <c r="AA959" s="109">
        <f>'Z Score'!S1055</f>
        <v>4.3976774783464583</v>
      </c>
    </row>
    <row r="960" spans="1:27" ht="15" customHeight="1" x14ac:dyDescent="0.3">
      <c r="A960" s="22"/>
      <c r="B960" s="23"/>
      <c r="C960" s="2"/>
      <c r="D960" s="23">
        <v>2023</v>
      </c>
      <c r="E960" s="25">
        <f>'Current Ratio'!G1056</f>
        <v>3.2297782334471821</v>
      </c>
      <c r="F960" s="25">
        <f>'Cash Ratio'!G1056</f>
        <v>0.16916439863214738</v>
      </c>
      <c r="G960" s="25">
        <f>DAR!G1056</f>
        <v>0.6334069813058697</v>
      </c>
      <c r="H960" s="25">
        <f>DER!G1056</f>
        <v>1.7278206321609133</v>
      </c>
      <c r="I960" s="25">
        <f>NPM!G1056</f>
        <v>0.1610724153057515</v>
      </c>
      <c r="J960" s="25">
        <f>ROA!G1056</f>
        <v>4.5463544554117684E-2</v>
      </c>
      <c r="K960" s="25">
        <f>ROE!G1056</f>
        <v>0.12401639484588914</v>
      </c>
      <c r="L960" s="25">
        <f>KM!E1056</f>
        <v>0.31509999999999999</v>
      </c>
      <c r="M960" s="24">
        <f>KI!E1056</f>
        <v>2</v>
      </c>
      <c r="N960" s="108">
        <f>IO!E1056</f>
        <v>0.50680000000000003</v>
      </c>
      <c r="O960" s="24">
        <f>'BoC Size'!E1056</f>
        <v>4</v>
      </c>
      <c r="P960" s="24">
        <f>'TMT E DK'!E1056</f>
        <v>18</v>
      </c>
      <c r="Q960" s="24">
        <f>Data!R1056</f>
        <v>4</v>
      </c>
      <c r="R960" s="24">
        <f>Data!S1056</f>
        <v>5</v>
      </c>
      <c r="S960" s="24">
        <f>'TMT E DK'!E1056</f>
        <v>18</v>
      </c>
      <c r="T960" s="24">
        <f>'TMT E DD'!E1056</f>
        <v>9</v>
      </c>
      <c r="U960" s="24">
        <f>TA!E1056</f>
        <v>1850769013354</v>
      </c>
      <c r="V960" s="109">
        <f>PR!F1056</f>
        <v>0.19680594600123832</v>
      </c>
      <c r="W960" s="109">
        <f>'Z Score'!I1056</f>
        <v>2.4753765347041696</v>
      </c>
      <c r="X960" s="109">
        <f>'Z Score'!L1056</f>
        <v>0.91651941728841346</v>
      </c>
      <c r="Y960" s="109">
        <f>'Z Score'!O1056</f>
        <v>0.38571286860529347</v>
      </c>
      <c r="Z960" s="109">
        <f>'Z Score'!R1056</f>
        <v>0.60770196885935368</v>
      </c>
      <c r="AA960" s="109">
        <f>'Z Score'!S1056</f>
        <v>4.3853107894572307</v>
      </c>
    </row>
    <row r="961" spans="1:27" ht="15" customHeight="1" x14ac:dyDescent="0.3">
      <c r="A961" s="22"/>
      <c r="B961" s="23"/>
      <c r="C961" s="2"/>
      <c r="D961" s="23">
        <v>2024</v>
      </c>
      <c r="E961" s="25">
        <f>'Current Ratio'!G1057</f>
        <v>2.8716616838128401</v>
      </c>
      <c r="F961" s="25">
        <f>'Cash Ratio'!G1057</f>
        <v>0.23723392439863034</v>
      </c>
      <c r="G961" s="25">
        <f>DAR!G1057</f>
        <v>0.60629013532228915</v>
      </c>
      <c r="H961" s="25">
        <f>DER!G1057</f>
        <v>1.5399414383954937</v>
      </c>
      <c r="I961" s="25">
        <f>NPM!G1057</f>
        <v>7.0837257395675909E-2</v>
      </c>
      <c r="J961" s="25">
        <f>ROA!G1057</f>
        <v>1.7041265972060619E-2</v>
      </c>
      <c r="K961" s="25">
        <f>ROE!G1057</f>
        <v>4.328381760515583E-2</v>
      </c>
      <c r="L961" s="25">
        <f>KM!E1057</f>
        <v>0.31509999999999999</v>
      </c>
      <c r="M961" s="24">
        <f>KI!E1057</f>
        <v>2</v>
      </c>
      <c r="N961" s="108">
        <f>IO!E1057</f>
        <v>0.50680000000000003</v>
      </c>
      <c r="O961" s="24">
        <f>'BoC Size'!E1057</f>
        <v>4</v>
      </c>
      <c r="P961" s="24">
        <f>'TMT E DK'!E1057</f>
        <v>18</v>
      </c>
      <c r="Q961" s="24">
        <f>Data!R1057</f>
        <v>4</v>
      </c>
      <c r="R961" s="24">
        <f>Data!S1057</f>
        <v>5</v>
      </c>
      <c r="S961" s="24">
        <f>'TMT E DK'!E1057</f>
        <v>18</v>
      </c>
      <c r="T961" s="24">
        <f>'TMT E DD'!E1057</f>
        <v>9</v>
      </c>
      <c r="U961" s="24">
        <f>TA!E1057</f>
        <v>1748726624469</v>
      </c>
      <c r="V961" s="109">
        <f>PR!F1057</f>
        <v>-0.19468145958966515</v>
      </c>
      <c r="W961" s="109">
        <f>'Z Score'!I1057</f>
        <v>2.4426520051297831</v>
      </c>
      <c r="X961" s="109">
        <f>'Z Score'!L1057</f>
        <v>0.99389695763866981</v>
      </c>
      <c r="Y961" s="109">
        <f>'Z Score'!O1057</f>
        <v>0.16107611974038047</v>
      </c>
      <c r="Z961" s="109">
        <f>'Z Score'!R1057</f>
        <v>0.68184411031501502</v>
      </c>
      <c r="AA961" s="109">
        <f>'Z Score'!S1057</f>
        <v>4.2794691928238482</v>
      </c>
    </row>
    <row r="962" spans="1:27" ht="15" customHeight="1" x14ac:dyDescent="0.3">
      <c r="A962" s="22"/>
      <c r="B962" s="23">
        <v>97</v>
      </c>
      <c r="C962" s="2" t="s">
        <v>117</v>
      </c>
      <c r="D962" s="23">
        <v>2015</v>
      </c>
      <c r="E962" s="25">
        <f>'Current Ratio'!G1059</f>
        <v>0</v>
      </c>
      <c r="F962" s="25">
        <f>'Cash Ratio'!G1059</f>
        <v>0</v>
      </c>
      <c r="G962" s="25">
        <f>DAR!G1059</f>
        <v>0</v>
      </c>
      <c r="H962" s="25">
        <f>DER!G1059</f>
        <v>0</v>
      </c>
      <c r="I962" s="25">
        <f>NPM!G1059</f>
        <v>0</v>
      </c>
      <c r="J962" s="25">
        <f>ROA!G1059</f>
        <v>0</v>
      </c>
      <c r="K962" s="25">
        <f>ROE!G1059</f>
        <v>0</v>
      </c>
      <c r="L962" s="25">
        <f>KM!E1059</f>
        <v>0</v>
      </c>
      <c r="M962" s="24">
        <f>KI!E1059</f>
        <v>0</v>
      </c>
      <c r="N962" s="108">
        <f>IO!E1059</f>
        <v>0</v>
      </c>
      <c r="O962" s="24">
        <f>'BoC Size'!E1059</f>
        <v>0</v>
      </c>
      <c r="P962" s="24">
        <f>'TMT E DK'!E1059</f>
        <v>0</v>
      </c>
      <c r="Q962" s="24">
        <f>Data!R1059</f>
        <v>0</v>
      </c>
      <c r="R962" s="24">
        <f>Data!S1059</f>
        <v>0</v>
      </c>
      <c r="S962" s="24">
        <f>'TMT E DK'!E1059</f>
        <v>0</v>
      </c>
      <c r="T962" s="24">
        <f>'TMT E DD'!E1059</f>
        <v>0</v>
      </c>
      <c r="U962" s="24">
        <f>TA!E1059</f>
        <v>0</v>
      </c>
      <c r="V962" s="109">
        <f>PR!F1059</f>
        <v>0</v>
      </c>
      <c r="W962" s="109">
        <f>'Z Score'!I1059</f>
        <v>0</v>
      </c>
      <c r="X962" s="109">
        <f>'Z Score'!L1059</f>
        <v>0</v>
      </c>
      <c r="Y962" s="109">
        <f>'Z Score'!O1059</f>
        <v>0</v>
      </c>
      <c r="Z962" s="109">
        <f>'Z Score'!R1059</f>
        <v>0</v>
      </c>
      <c r="AA962" s="109">
        <f>'Z Score'!S1059</f>
        <v>0</v>
      </c>
    </row>
    <row r="963" spans="1:27" ht="15" customHeight="1" x14ac:dyDescent="0.3">
      <c r="A963" s="22"/>
      <c r="B963" s="23"/>
      <c r="C963" s="2"/>
      <c r="D963" s="23">
        <v>2016</v>
      </c>
      <c r="E963" s="25">
        <f>'Current Ratio'!G1060</f>
        <v>0</v>
      </c>
      <c r="F963" s="25">
        <f>'Cash Ratio'!G1060</f>
        <v>0</v>
      </c>
      <c r="G963" s="25">
        <f>DAR!G1060</f>
        <v>0</v>
      </c>
      <c r="H963" s="25">
        <f>DER!G1060</f>
        <v>0</v>
      </c>
      <c r="I963" s="25">
        <f>NPM!G1060</f>
        <v>0</v>
      </c>
      <c r="J963" s="25">
        <f>ROA!G1060</f>
        <v>0</v>
      </c>
      <c r="K963" s="25">
        <f>ROE!G1060</f>
        <v>0</v>
      </c>
      <c r="L963" s="25">
        <f>KM!E1060</f>
        <v>0</v>
      </c>
      <c r="M963" s="24">
        <f>KI!E1060</f>
        <v>0</v>
      </c>
      <c r="N963" s="108">
        <f>IO!E1060</f>
        <v>0</v>
      </c>
      <c r="O963" s="24">
        <f>'BoC Size'!E1060</f>
        <v>0</v>
      </c>
      <c r="P963" s="24">
        <f>'TMT E DK'!E1060</f>
        <v>0</v>
      </c>
      <c r="Q963" s="24">
        <f>Data!R1060</f>
        <v>0</v>
      </c>
      <c r="R963" s="24">
        <f>Data!S1060</f>
        <v>0</v>
      </c>
      <c r="S963" s="24">
        <f>'TMT E DK'!E1060</f>
        <v>0</v>
      </c>
      <c r="T963" s="24">
        <f>'TMT E DD'!E1060</f>
        <v>0</v>
      </c>
      <c r="U963" s="24">
        <f>TA!E1060</f>
        <v>0</v>
      </c>
      <c r="V963" s="109">
        <f>PR!F1060</f>
        <v>0</v>
      </c>
      <c r="W963" s="109">
        <f>'Z Score'!I1060</f>
        <v>0</v>
      </c>
      <c r="X963" s="109">
        <f>'Z Score'!L1060</f>
        <v>0</v>
      </c>
      <c r="Y963" s="109">
        <f>'Z Score'!O1060</f>
        <v>0</v>
      </c>
      <c r="Z963" s="109">
        <f>'Z Score'!R1060</f>
        <v>0</v>
      </c>
      <c r="AA963" s="109">
        <f>'Z Score'!S1060</f>
        <v>0</v>
      </c>
    </row>
    <row r="964" spans="1:27" ht="15" customHeight="1" x14ac:dyDescent="0.3">
      <c r="A964" s="22"/>
      <c r="B964" s="23"/>
      <c r="C964" s="2"/>
      <c r="D964" s="23">
        <v>2017</v>
      </c>
      <c r="E964" s="25">
        <f>'Current Ratio'!G1061</f>
        <v>4.9998900645870554</v>
      </c>
      <c r="F964" s="25">
        <f>'Cash Ratio'!G1061</f>
        <v>0.13596262195959874</v>
      </c>
      <c r="G964" s="25">
        <f>DAR!G1061</f>
        <v>0.51936992736700305</v>
      </c>
      <c r="H964" s="25">
        <f>DER!G1061</f>
        <v>1.0806022280748702</v>
      </c>
      <c r="I964" s="25">
        <f>NPM!G1061</f>
        <v>6.363149603855138E-2</v>
      </c>
      <c r="J964" s="25">
        <f>ROA!G1061</f>
        <v>3.7004695534841953E-2</v>
      </c>
      <c r="K964" s="25">
        <f>ROE!G1061</f>
        <v>7.6992051979024367E-2</v>
      </c>
      <c r="L964" s="25">
        <f>KM!E1061</f>
        <v>0</v>
      </c>
      <c r="M964" s="24">
        <f>KI!E1061</f>
        <v>0</v>
      </c>
      <c r="N964" s="108">
        <f>IO!E1061</f>
        <v>0</v>
      </c>
      <c r="O964" s="24">
        <f>'BoC Size'!E1061</f>
        <v>0</v>
      </c>
      <c r="P964" s="24">
        <f>'TMT E DK'!E1061</f>
        <v>0</v>
      </c>
      <c r="Q964" s="24">
        <f>Data!R1061</f>
        <v>0</v>
      </c>
      <c r="R964" s="24">
        <f>Data!S1061</f>
        <v>0</v>
      </c>
      <c r="S964" s="24">
        <f>'TMT E DK'!E1061</f>
        <v>0</v>
      </c>
      <c r="T964" s="24">
        <f>'TMT E DD'!E1061</f>
        <v>0</v>
      </c>
      <c r="U964" s="24">
        <f>TA!E1061</f>
        <v>443187000000</v>
      </c>
      <c r="V964" s="109">
        <f>PR!F1061</f>
        <v>0</v>
      </c>
      <c r="W964" s="109">
        <f>'Z Score'!I1061</f>
        <v>2.1542061477435031</v>
      </c>
      <c r="X964" s="109">
        <f>'Z Score'!L1061</f>
        <v>1.1823878407985793</v>
      </c>
      <c r="Y964" s="109">
        <f>'Z Score'!O1061</f>
        <v>0.40324215286098192</v>
      </c>
      <c r="Z964" s="109">
        <f>'Z Score'!R1061</f>
        <v>0.97168039517243188</v>
      </c>
      <c r="AA964" s="109">
        <f>'Z Score'!S1061</f>
        <v>4.7115165365754965</v>
      </c>
    </row>
    <row r="965" spans="1:27" ht="15" customHeight="1" x14ac:dyDescent="0.3">
      <c r="A965" s="22"/>
      <c r="B965" s="23"/>
      <c r="C965" s="2"/>
      <c r="D965" s="23">
        <v>2018</v>
      </c>
      <c r="E965" s="25">
        <f>'Current Ratio'!G1062</f>
        <v>4.3605823068309073</v>
      </c>
      <c r="F965" s="25">
        <f>'Cash Ratio'!G1062</f>
        <v>0.18577441402479053</v>
      </c>
      <c r="G965" s="25">
        <f>DAR!G1062</f>
        <v>0.5303113876386315</v>
      </c>
      <c r="H965" s="25">
        <f>DER!G1062</f>
        <v>1.1290701406884889</v>
      </c>
      <c r="I965" s="25">
        <f>NPM!G1062</f>
        <v>0.11511072302160225</v>
      </c>
      <c r="J965" s="25">
        <f>ROA!G1062</f>
        <v>7.8045479951754773E-2</v>
      </c>
      <c r="K965" s="25">
        <f>ROE!G1062</f>
        <v>0.16616430098098317</v>
      </c>
      <c r="L965" s="25">
        <f>KM!E1062</f>
        <v>0.95</v>
      </c>
      <c r="M965" s="24">
        <f>KI!E1062</f>
        <v>3</v>
      </c>
      <c r="N965" s="108">
        <f>IO!E1062</f>
        <v>0</v>
      </c>
      <c r="O965" s="24">
        <f>'BoC Size'!E1062</f>
        <v>4</v>
      </c>
      <c r="P965" s="24">
        <f>'TMT E DK'!E1062</f>
        <v>0</v>
      </c>
      <c r="Q965" s="24">
        <f>Data!R1062</f>
        <v>4</v>
      </c>
      <c r="R965" s="24">
        <f>Data!S1062</f>
        <v>4</v>
      </c>
      <c r="S965" s="24">
        <f>'TMT E DK'!E1062</f>
        <v>0</v>
      </c>
      <c r="T965" s="24">
        <f>'TMT E DD'!E1062</f>
        <v>0</v>
      </c>
      <c r="U965" s="24">
        <f>TA!E1062</f>
        <v>543888000000</v>
      </c>
      <c r="V965" s="109">
        <f>PR!F1062</f>
        <v>0.43076970830391026</v>
      </c>
      <c r="W965" s="109">
        <f>'Z Score'!I1062</f>
        <v>2.0993669284852761</v>
      </c>
      <c r="X965" s="109">
        <f>'Z Score'!L1062</f>
        <v>1.2179026932015413</v>
      </c>
      <c r="Y965" s="109">
        <f>'Z Score'!O1062</f>
        <v>0.68529697290618663</v>
      </c>
      <c r="Z965" s="109">
        <f>'Z Score'!R1062</f>
        <v>0.92996879658842702</v>
      </c>
      <c r="AA965" s="109">
        <f>'Z Score'!S1062</f>
        <v>4.9325353911814309</v>
      </c>
    </row>
    <row r="966" spans="1:27" ht="15" customHeight="1" x14ac:dyDescent="0.3">
      <c r="A966" s="22"/>
      <c r="B966" s="23"/>
      <c r="C966" s="2"/>
      <c r="D966" s="23">
        <v>2019</v>
      </c>
      <c r="E966" s="25">
        <f>'Current Ratio'!G1063</f>
        <v>3.6981545198623711</v>
      </c>
      <c r="F966" s="25">
        <f>'Cash Ratio'!G1063</f>
        <v>0.90381607757272442</v>
      </c>
      <c r="G966" s="25">
        <f>DAR!G1063</f>
        <v>0.52539499011184587</v>
      </c>
      <c r="H966" s="25">
        <f>DER!G1063</f>
        <v>1.1070191108037382</v>
      </c>
      <c r="I966" s="25">
        <f>NPM!G1063</f>
        <v>5.7007276848605536E-2</v>
      </c>
      <c r="J966" s="25">
        <f>ROA!G1063</f>
        <v>5.326243111692433E-2</v>
      </c>
      <c r="K966" s="25">
        <f>ROE!G1063</f>
        <v>0.11222514535540395</v>
      </c>
      <c r="L966" s="25">
        <f>KM!E1063</f>
        <v>0.95</v>
      </c>
      <c r="M966" s="24">
        <f>KI!E1063</f>
        <v>2</v>
      </c>
      <c r="N966" s="108">
        <f>IO!E1063</f>
        <v>0</v>
      </c>
      <c r="O966" s="24">
        <f>'BoC Size'!E1063</f>
        <v>4</v>
      </c>
      <c r="P966" s="24">
        <f>'TMT E DK'!E1063</f>
        <v>0</v>
      </c>
      <c r="Q966" s="24">
        <f>Data!R1063</f>
        <v>4</v>
      </c>
      <c r="R966" s="24">
        <f>Data!S1063</f>
        <v>3</v>
      </c>
      <c r="S966" s="24">
        <f>'TMT E DK'!E1063</f>
        <v>0</v>
      </c>
      <c r="T966" s="24">
        <f>'TMT E DD'!E1063</f>
        <v>0</v>
      </c>
      <c r="U966" s="24">
        <f>TA!E1063</f>
        <v>606281000000</v>
      </c>
      <c r="V966" s="109">
        <f>PR!F1063</f>
        <v>0.53611311483411883</v>
      </c>
      <c r="W966" s="109">
        <f>'Z Score'!I1063</f>
        <v>1.6800098964011736</v>
      </c>
      <c r="X966" s="109">
        <f>'Z Score'!L1063</f>
        <v>1.2661649631111644</v>
      </c>
      <c r="Y966" s="109">
        <f>'Z Score'!O1063</f>
        <v>0.48426970332238684</v>
      </c>
      <c r="Z966" s="109">
        <f>'Z Score'!R1063</f>
        <v>0.94849311069043796</v>
      </c>
      <c r="AA966" s="109">
        <f>'Z Score'!S1063</f>
        <v>4.3789376735251624</v>
      </c>
    </row>
    <row r="967" spans="1:27" ht="15" customHeight="1" x14ac:dyDescent="0.3">
      <c r="A967" s="22"/>
      <c r="B967" s="23"/>
      <c r="C967" s="2"/>
      <c r="D967" s="23">
        <v>2020</v>
      </c>
      <c r="E967" s="25">
        <f>'Current Ratio'!G1064</f>
        <v>5.4095631165693581</v>
      </c>
      <c r="F967" s="25">
        <f>'Cash Ratio'!G1064</f>
        <v>0.90185222468290716</v>
      </c>
      <c r="G967" s="25">
        <f>DAR!G1064</f>
        <v>0.46639123909422264</v>
      </c>
      <c r="H967" s="25">
        <f>DER!G1064</f>
        <v>0.87403490118748106</v>
      </c>
      <c r="I967" s="25">
        <f>NPM!G1064</f>
        <v>5.5902134178239096E-2</v>
      </c>
      <c r="J967" s="25">
        <f>ROA!G1064</f>
        <v>5.9042105783979018E-2</v>
      </c>
      <c r="K967" s="25">
        <f>ROE!G1064</f>
        <v>0.11064714936546105</v>
      </c>
      <c r="L967" s="25">
        <f>KM!E1064</f>
        <v>0.95</v>
      </c>
      <c r="M967" s="24">
        <f>KI!E1064</f>
        <v>2</v>
      </c>
      <c r="N967" s="108">
        <f>IO!E1064</f>
        <v>0</v>
      </c>
      <c r="O967" s="24">
        <f>'BoC Size'!E1064</f>
        <v>4</v>
      </c>
      <c r="P967" s="24">
        <f>'TMT E DK'!E1064</f>
        <v>0</v>
      </c>
      <c r="Q967" s="24">
        <f>Data!R1064</f>
        <v>4</v>
      </c>
      <c r="R967" s="24">
        <f>Data!S1064</f>
        <v>3</v>
      </c>
      <c r="S967" s="24">
        <f>'TMT E DK'!E1064</f>
        <v>0</v>
      </c>
      <c r="T967" s="24">
        <f>'TMT E DD'!E1064</f>
        <v>0</v>
      </c>
      <c r="U967" s="24">
        <f>TA!E1064</f>
        <v>606330000000</v>
      </c>
      <c r="V967" s="109">
        <f>PR!F1064</f>
        <v>0.13051898300656364</v>
      </c>
      <c r="W967" s="109">
        <f>'Z Score'!I1064</f>
        <v>2.3696516418451998</v>
      </c>
      <c r="X967" s="109">
        <f>'Z Score'!L1064</f>
        <v>1.4585452806227632</v>
      </c>
      <c r="Y967" s="109">
        <f>'Z Score'!O1064</f>
        <v>0.45103676215922023</v>
      </c>
      <c r="Z967" s="109">
        <f>'Z Score'!R1064</f>
        <v>1.2013250255492651</v>
      </c>
      <c r="AA967" s="109">
        <f>'Z Score'!S1064</f>
        <v>5.4805587101764477</v>
      </c>
    </row>
    <row r="968" spans="1:27" ht="15" customHeight="1" x14ac:dyDescent="0.3">
      <c r="A968" s="22"/>
      <c r="B968" s="23"/>
      <c r="C968" s="2"/>
      <c r="D968" s="23">
        <v>2021</v>
      </c>
      <c r="E968" s="25">
        <f>'Current Ratio'!G1065</f>
        <v>2.8078260182514914</v>
      </c>
      <c r="F968" s="25">
        <f>'Cash Ratio'!G1065</f>
        <v>0.26561450638012091</v>
      </c>
      <c r="G968" s="25">
        <f>DAR!G1065</f>
        <v>0.49346209458042767</v>
      </c>
      <c r="H968" s="25">
        <f>DER!G1065</f>
        <v>0.97418853683972861</v>
      </c>
      <c r="I968" s="25">
        <f>NPM!G1065</f>
        <v>6.4609420936867099E-2</v>
      </c>
      <c r="J968" s="25">
        <f>ROA!G1065</f>
        <v>6.058931007534521E-2</v>
      </c>
      <c r="K968" s="25">
        <f>ROE!G1065</f>
        <v>0.11961488426100139</v>
      </c>
      <c r="L968" s="25">
        <f>KM!E1065</f>
        <v>0.95</v>
      </c>
      <c r="M968" s="24">
        <f>KI!E1065</f>
        <v>2</v>
      </c>
      <c r="N968" s="108">
        <f>IO!E1065</f>
        <v>0</v>
      </c>
      <c r="O968" s="24">
        <f>'BoC Size'!E1065</f>
        <v>4</v>
      </c>
      <c r="P968" s="24">
        <f>'TMT E DK'!E1065</f>
        <v>0</v>
      </c>
      <c r="Q968" s="24">
        <f>Data!R1065</f>
        <v>4</v>
      </c>
      <c r="R968" s="24">
        <f>Data!S1065</f>
        <v>3</v>
      </c>
      <c r="S968" s="24">
        <f>'TMT E DK'!E1065</f>
        <v>0</v>
      </c>
      <c r="T968" s="24">
        <f>'TMT E DD'!E1065</f>
        <v>0</v>
      </c>
      <c r="U968" s="24">
        <f>TA!E1065</f>
        <v>734486000000</v>
      </c>
      <c r="V968" s="109">
        <f>PR!F1065</f>
        <v>7.5576175031660545E-2</v>
      </c>
      <c r="W968" s="109">
        <f>'Z Score'!I1065</f>
        <v>1.6348599701015403</v>
      </c>
      <c r="X968" s="109">
        <f>'Z Score'!L1065</f>
        <v>1.4193276386479796</v>
      </c>
      <c r="Y968" s="109">
        <f>'Z Score'!O1065</f>
        <v>0.53128811168626766</v>
      </c>
      <c r="Z968" s="109">
        <f>'Z Score'!R1065</f>
        <v>1.0778201141703063</v>
      </c>
      <c r="AA968" s="109">
        <f>'Z Score'!S1065</f>
        <v>4.6632958346060942</v>
      </c>
    </row>
    <row r="969" spans="1:27" ht="15" customHeight="1" x14ac:dyDescent="0.3">
      <c r="A969" s="22"/>
      <c r="B969" s="23"/>
      <c r="C969" s="2"/>
      <c r="D969" s="23">
        <v>2022</v>
      </c>
      <c r="E969" s="25">
        <f>'Current Ratio'!G1066</f>
        <v>4.7123399336020864</v>
      </c>
      <c r="F969" s="25">
        <f>'Cash Ratio'!G1066</f>
        <v>0.1381017310884515</v>
      </c>
      <c r="G969" s="25">
        <f>DAR!G1066</f>
        <v>0.45671849717484791</v>
      </c>
      <c r="H969" s="25">
        <f>DER!G1066</f>
        <v>0.8406663852898314</v>
      </c>
      <c r="I969" s="25">
        <f>NPM!G1066</f>
        <v>5.2078516664791066E-3</v>
      </c>
      <c r="J969" s="25">
        <f>ROA!G1066</f>
        <v>6.740561915392536E-3</v>
      </c>
      <c r="K969" s="25">
        <f>ROE!G1066</f>
        <v>1.2407125735627881E-2</v>
      </c>
      <c r="L969" s="25">
        <f>KM!E1066</f>
        <v>0.95</v>
      </c>
      <c r="M969" s="24">
        <f>KI!E1066</f>
        <v>2</v>
      </c>
      <c r="N969" s="108">
        <f>IO!E1066</f>
        <v>0</v>
      </c>
      <c r="O969" s="24">
        <f>'BoC Size'!E1066</f>
        <v>4</v>
      </c>
      <c r="P969" s="24">
        <f>'TMT E DK'!E1066</f>
        <v>0</v>
      </c>
      <c r="Q969" s="24">
        <f>Data!R1066</f>
        <v>4</v>
      </c>
      <c r="R969" s="24">
        <f>Data!S1066</f>
        <v>3</v>
      </c>
      <c r="S969" s="24">
        <f>'TMT E DK'!E1066</f>
        <v>0</v>
      </c>
      <c r="T969" s="24">
        <f>'TMT E DD'!E1066</f>
        <v>0</v>
      </c>
      <c r="U969" s="24">
        <f>TA!E1066</f>
        <v>693414000000</v>
      </c>
      <c r="V969" s="109">
        <f>PR!F1066</f>
        <v>0.3030060178430134</v>
      </c>
      <c r="W969" s="109">
        <f>'Z Score'!I1066</f>
        <v>2.3696409936920797</v>
      </c>
      <c r="X969" s="109">
        <f>'Z Score'!L1066</f>
        <v>1.5253755764954269</v>
      </c>
      <c r="Y969" s="109">
        <f>'Z Score'!O1066</f>
        <v>0.14498974638527631</v>
      </c>
      <c r="Z969" s="109">
        <f>'Z Score'!R1066</f>
        <v>1.2490091412873585</v>
      </c>
      <c r="AA969" s="109">
        <f>'Z Score'!S1066</f>
        <v>5.2890154578601418</v>
      </c>
    </row>
    <row r="970" spans="1:27" ht="15" customHeight="1" x14ac:dyDescent="0.3">
      <c r="A970" s="22"/>
      <c r="B970" s="23"/>
      <c r="C970" s="2"/>
      <c r="D970" s="23">
        <v>2023</v>
      </c>
      <c r="E970" s="25">
        <f>'Current Ratio'!G1067</f>
        <v>2.0597125351624217</v>
      </c>
      <c r="F970" s="25">
        <f>'Cash Ratio'!G1067</f>
        <v>0.29246657161573736</v>
      </c>
      <c r="G970" s="25">
        <f>DAR!G1067</f>
        <v>0.53138886021459442</v>
      </c>
      <c r="H970" s="25">
        <f>DER!G1067</f>
        <v>1.1339654888655382</v>
      </c>
      <c r="I970" s="25">
        <f>NPM!G1067</f>
        <v>1.3374841570417953E-2</v>
      </c>
      <c r="J970" s="25">
        <f>ROA!G1067</f>
        <v>1.687828295951941E-2</v>
      </c>
      <c r="K970" s="25">
        <f>ROE!G1067</f>
        <v>3.6017673346921721E-2</v>
      </c>
      <c r="L970" s="25">
        <f>KM!E1067</f>
        <v>0.95</v>
      </c>
      <c r="M970" s="24">
        <f>KI!E1067</f>
        <v>2</v>
      </c>
      <c r="N970" s="108">
        <f>IO!E1067</f>
        <v>0</v>
      </c>
      <c r="O970" s="24">
        <f>'BoC Size'!E1067</f>
        <v>4</v>
      </c>
      <c r="P970" s="24">
        <f>'TMT E DK'!E1067</f>
        <v>0</v>
      </c>
      <c r="Q970" s="24">
        <f>Data!R1067</f>
        <v>4</v>
      </c>
      <c r="R970" s="24">
        <f>Data!S1067</f>
        <v>2</v>
      </c>
      <c r="S970" s="24">
        <f>'TMT E DK'!E1067</f>
        <v>0</v>
      </c>
      <c r="T970" s="24">
        <f>'TMT E DD'!E1067</f>
        <v>0</v>
      </c>
      <c r="U970" s="24">
        <f>TA!E1067</f>
        <v>842799000000</v>
      </c>
      <c r="V970" s="109">
        <f>PR!F1067</f>
        <v>0.18504140988600443</v>
      </c>
      <c r="W970" s="109">
        <f>'Z Score'!I1067</f>
        <v>1.0702666709381476</v>
      </c>
      <c r="X970" s="109">
        <f>'Z Score'!L1067</f>
        <v>1.3255041118938204</v>
      </c>
      <c r="Y970" s="109">
        <f>'Z Score'!O1067</f>
        <v>0.14945399792833167</v>
      </c>
      <c r="Z970" s="109">
        <f>'Z Score'!R1067</f>
        <v>0.92595410557905033</v>
      </c>
      <c r="AA970" s="109">
        <f>'Z Score'!S1067</f>
        <v>3.47117888633935</v>
      </c>
    </row>
    <row r="971" spans="1:27" ht="15" customHeight="1" x14ac:dyDescent="0.3">
      <c r="A971" s="22"/>
      <c r="B971" s="23"/>
      <c r="C971" s="2"/>
      <c r="D971" s="23">
        <v>2024</v>
      </c>
      <c r="E971" s="25">
        <f>'Current Ratio'!G1068</f>
        <v>1.8904155177331938</v>
      </c>
      <c r="F971" s="25">
        <f>'Cash Ratio'!G1068</f>
        <v>0.19735394395468561</v>
      </c>
      <c r="G971" s="25">
        <f>DAR!G1068</f>
        <v>0.5959615530065594</v>
      </c>
      <c r="H971" s="25">
        <f>DER!G1068</f>
        <v>1.4750119881938728</v>
      </c>
      <c r="I971" s="25">
        <f>NPM!G1068</f>
        <v>-3.6700521386274095E-3</v>
      </c>
      <c r="J971" s="25">
        <f>ROA!G1068</f>
        <v>-5.1576245916535174E-3</v>
      </c>
      <c r="K971" s="25">
        <f>ROE!G1068</f>
        <v>-1.2765182694945983E-2</v>
      </c>
      <c r="L971" s="25">
        <f>KM!E1068</f>
        <v>0.95</v>
      </c>
      <c r="M971" s="24">
        <f>KI!E1068</f>
        <v>2</v>
      </c>
      <c r="N971" s="108">
        <f>IO!E1068</f>
        <v>0</v>
      </c>
      <c r="O971" s="24">
        <f>'BoC Size'!E1068</f>
        <v>4</v>
      </c>
      <c r="P971" s="24">
        <f>'TMT E DK'!E1068</f>
        <v>0</v>
      </c>
      <c r="Q971" s="24">
        <f>Data!R1068</f>
        <v>4</v>
      </c>
      <c r="R971" s="24">
        <f>Data!S1068</f>
        <v>2</v>
      </c>
      <c r="S971" s="24">
        <f>'TMT E DK'!E1068</f>
        <v>0</v>
      </c>
      <c r="T971" s="24">
        <f>'TMT E DD'!E1068</f>
        <v>0</v>
      </c>
      <c r="U971" s="24">
        <f>TA!E1068</f>
        <v>965173000000</v>
      </c>
      <c r="V971" s="109">
        <f>PR!F1068</f>
        <v>0.27531958584532762</v>
      </c>
      <c r="W971" s="109">
        <f>'Z Score'!I1068</f>
        <v>0.89106893790025199</v>
      </c>
      <c r="X971" s="109">
        <f>'Z Score'!L1068</f>
        <v>1.1406266026919527</v>
      </c>
      <c r="Y971" s="109">
        <f>'Z Score'!O1068</f>
        <v>-2.2426155725450255E-2</v>
      </c>
      <c r="Z971" s="109">
        <f>'Z Score'!R1068</f>
        <v>0.71185862108531561</v>
      </c>
      <c r="AA971" s="109">
        <f>'Z Score'!S1068</f>
        <v>2.7211280059520702</v>
      </c>
    </row>
    <row r="972" spans="1:27" ht="15" customHeight="1" x14ac:dyDescent="0.3">
      <c r="A972" s="22"/>
      <c r="B972" s="23">
        <v>98</v>
      </c>
      <c r="C972" s="2" t="s">
        <v>103</v>
      </c>
      <c r="D972" s="23">
        <v>2015</v>
      </c>
      <c r="E972" s="25">
        <f>'Current Ratio'!G1070</f>
        <v>0</v>
      </c>
      <c r="F972" s="25">
        <f>'Cash Ratio'!G1070</f>
        <v>0</v>
      </c>
      <c r="G972" s="25">
        <f>DAR!G1070</f>
        <v>0</v>
      </c>
      <c r="H972" s="25">
        <f>DER!G1070</f>
        <v>0</v>
      </c>
      <c r="I972" s="25">
        <f>NPM!G1070</f>
        <v>0</v>
      </c>
      <c r="J972" s="25">
        <f>ROA!G1070</f>
        <v>0</v>
      </c>
      <c r="K972" s="25">
        <f>ROE!G1070</f>
        <v>0</v>
      </c>
      <c r="L972" s="25">
        <f>KM!E1070</f>
        <v>0</v>
      </c>
      <c r="M972" s="24">
        <f>KI!E1070</f>
        <v>0</v>
      </c>
      <c r="N972" s="108">
        <f>IO!E1070</f>
        <v>0</v>
      </c>
      <c r="O972" s="24">
        <f>'BoC Size'!E1070</f>
        <v>0</v>
      </c>
      <c r="P972" s="24">
        <f>'TMT E DK'!E1070</f>
        <v>0</v>
      </c>
      <c r="Q972" s="24">
        <f>Data!R1070</f>
        <v>0</v>
      </c>
      <c r="R972" s="24">
        <f>Data!S1070</f>
        <v>0</v>
      </c>
      <c r="S972" s="24">
        <f>'TMT E DK'!E1070</f>
        <v>0</v>
      </c>
      <c r="T972" s="24">
        <f>'TMT E DD'!E1070</f>
        <v>0</v>
      </c>
      <c r="U972" s="24">
        <f>TA!E1070</f>
        <v>0</v>
      </c>
      <c r="V972" s="109">
        <f>PR!F1070</f>
        <v>0</v>
      </c>
      <c r="W972" s="109">
        <f>'Z Score'!I1070</f>
        <v>0</v>
      </c>
      <c r="X972" s="109">
        <f>'Z Score'!L1070</f>
        <v>0</v>
      </c>
      <c r="Y972" s="109">
        <f>'Z Score'!O1070</f>
        <v>0</v>
      </c>
      <c r="Z972" s="109">
        <f>'Z Score'!R1070</f>
        <v>0</v>
      </c>
      <c r="AA972" s="109">
        <f>'Z Score'!S1070</f>
        <v>0</v>
      </c>
    </row>
    <row r="973" spans="1:27" ht="15" customHeight="1" x14ac:dyDescent="0.3">
      <c r="A973" s="22"/>
      <c r="B973" s="23"/>
      <c r="C973" s="2"/>
      <c r="D973" s="23">
        <v>2016</v>
      </c>
      <c r="E973" s="25">
        <f>'Current Ratio'!G1071</f>
        <v>0</v>
      </c>
      <c r="F973" s="25">
        <f>'Cash Ratio'!G1071</f>
        <v>0</v>
      </c>
      <c r="G973" s="25">
        <f>DAR!G1071</f>
        <v>0</v>
      </c>
      <c r="H973" s="25">
        <f>DER!G1071</f>
        <v>0</v>
      </c>
      <c r="I973" s="25">
        <f>NPM!G1071</f>
        <v>0</v>
      </c>
      <c r="J973" s="25">
        <f>ROA!G1071</f>
        <v>0</v>
      </c>
      <c r="K973" s="25">
        <f>ROE!G1071</f>
        <v>0</v>
      </c>
      <c r="L973" s="25">
        <f>KM!E1071</f>
        <v>0</v>
      </c>
      <c r="M973" s="24">
        <f>KI!E1071</f>
        <v>0</v>
      </c>
      <c r="N973" s="108">
        <f>IO!E1071</f>
        <v>0</v>
      </c>
      <c r="O973" s="24">
        <f>'BoC Size'!E1071</f>
        <v>0</v>
      </c>
      <c r="P973" s="24">
        <f>'TMT E DK'!E1071</f>
        <v>0</v>
      </c>
      <c r="Q973" s="24">
        <f>Data!R1071</f>
        <v>0</v>
      </c>
      <c r="R973" s="24">
        <f>Data!S1071</f>
        <v>0</v>
      </c>
      <c r="S973" s="24">
        <f>'TMT E DK'!E1071</f>
        <v>0</v>
      </c>
      <c r="T973" s="24">
        <f>'TMT E DD'!E1071</f>
        <v>0</v>
      </c>
      <c r="U973" s="24">
        <f>TA!E1071</f>
        <v>0</v>
      </c>
      <c r="V973" s="109">
        <f>PR!F1071</f>
        <v>0</v>
      </c>
      <c r="W973" s="109">
        <f>'Z Score'!I1071</f>
        <v>0</v>
      </c>
      <c r="X973" s="109">
        <f>'Z Score'!L1071</f>
        <v>0</v>
      </c>
      <c r="Y973" s="109">
        <f>'Z Score'!O1071</f>
        <v>0</v>
      </c>
      <c r="Z973" s="109">
        <f>'Z Score'!R1071</f>
        <v>0</v>
      </c>
      <c r="AA973" s="109">
        <f>'Z Score'!S1071</f>
        <v>0</v>
      </c>
    </row>
    <row r="974" spans="1:27" ht="15" customHeight="1" x14ac:dyDescent="0.3">
      <c r="A974" s="22"/>
      <c r="B974" s="23"/>
      <c r="C974" s="2"/>
      <c r="D974" s="23">
        <v>2017</v>
      </c>
      <c r="E974" s="25">
        <f>'Current Ratio'!G1072</f>
        <v>2.0904591090806774</v>
      </c>
      <c r="F974" s="25">
        <f>'Cash Ratio'!G1072</f>
        <v>0.31258343193497556</v>
      </c>
      <c r="G974" s="25">
        <f>DAR!G1072</f>
        <v>0.6444338648815322</v>
      </c>
      <c r="H974" s="25">
        <f>DER!G1072</f>
        <v>1.8124163164943119</v>
      </c>
      <c r="I974" s="25">
        <f>NPM!G1072</f>
        <v>9.1399194511769376E-3</v>
      </c>
      <c r="J974" s="25">
        <f>ROA!G1072</f>
        <v>3.1451571140309834E-3</v>
      </c>
      <c r="K974" s="25">
        <f>ROE!G1072</f>
        <v>8.8454911854388991E-3</v>
      </c>
      <c r="L974" s="25">
        <f>KM!E1072</f>
        <v>0</v>
      </c>
      <c r="M974" s="24">
        <f>KI!E1072</f>
        <v>0</v>
      </c>
      <c r="N974" s="108">
        <f>IO!E1072</f>
        <v>0</v>
      </c>
      <c r="O974" s="24">
        <f>'BoC Size'!E1072</f>
        <v>0</v>
      </c>
      <c r="P974" s="24">
        <f>'TMT E DK'!E1072</f>
        <v>0</v>
      </c>
      <c r="Q974" s="24">
        <f>Data!R1072</f>
        <v>0</v>
      </c>
      <c r="R974" s="24">
        <f>Data!S1072</f>
        <v>0</v>
      </c>
      <c r="S974" s="24">
        <f>'TMT E DK'!E1072</f>
        <v>0</v>
      </c>
      <c r="T974" s="24">
        <f>'TMT E DD'!E1072</f>
        <v>0</v>
      </c>
      <c r="U974" s="24">
        <f>TA!E1072</f>
        <v>438728480000</v>
      </c>
      <c r="V974" s="109">
        <f>PR!F1072</f>
        <v>0</v>
      </c>
      <c r="W974" s="109">
        <f>'Z Score'!I1072</f>
        <v>1.167311284646942</v>
      </c>
      <c r="X974" s="109">
        <f>'Z Score'!L1072</f>
        <v>0.1910859413548899</v>
      </c>
      <c r="Y974" s="109">
        <f>'Z Score'!O1072</f>
        <v>2.1201165695921995E-2</v>
      </c>
      <c r="Z974" s="109">
        <f>'Z Score'!R1072</f>
        <v>0.5793370929428483</v>
      </c>
      <c r="AA974" s="109">
        <f>'Z Score'!S1072</f>
        <v>1.9589354846406022</v>
      </c>
    </row>
    <row r="975" spans="1:27" ht="15" customHeight="1" x14ac:dyDescent="0.3">
      <c r="A975" s="22"/>
      <c r="B975" s="23"/>
      <c r="C975" s="2"/>
      <c r="D975" s="23">
        <v>2018</v>
      </c>
      <c r="E975" s="25">
        <f>'Current Ratio'!G1073</f>
        <v>1.8558522198350447</v>
      </c>
      <c r="F975" s="25">
        <f>'Cash Ratio'!G1073</f>
        <v>0.18232767039419617</v>
      </c>
      <c r="G975" s="25">
        <f>DAR!G1073</f>
        <v>0.66135351764156103</v>
      </c>
      <c r="H975" s="25">
        <f>DER!G1073</f>
        <v>1.952931898290188</v>
      </c>
      <c r="I975" s="25">
        <f>NPM!G1073</f>
        <v>1.2001874020000147E-2</v>
      </c>
      <c r="J975" s="25">
        <f>ROA!G1073</f>
        <v>3.5509852803240695E-3</v>
      </c>
      <c r="K975" s="25">
        <f>ROE!G1073</f>
        <v>1.048581770462787E-2</v>
      </c>
      <c r="L975" s="25">
        <f>KM!E1073</f>
        <v>0.35</v>
      </c>
      <c r="M975" s="24">
        <f>KI!E1073</f>
        <v>2</v>
      </c>
      <c r="N975" s="108">
        <f>IO!E1073</f>
        <v>0</v>
      </c>
      <c r="O975" s="24">
        <f>'BoC Size'!E1073</f>
        <v>3</v>
      </c>
      <c r="P975" s="24">
        <f>'TMT E DK'!E1073</f>
        <v>0</v>
      </c>
      <c r="Q975" s="24">
        <f>Data!R1073</f>
        <v>3</v>
      </c>
      <c r="R975" s="24">
        <f>Data!S1073</f>
        <v>3</v>
      </c>
      <c r="S975" s="24">
        <f>'TMT E DK'!E1073</f>
        <v>0</v>
      </c>
      <c r="T975" s="24">
        <f>'TMT E DD'!E1073</f>
        <v>0</v>
      </c>
      <c r="U975" s="24">
        <f>TA!E1073</f>
        <v>465529950000</v>
      </c>
      <c r="V975" s="109">
        <f>PR!F1073</f>
        <v>-8.7670683377338243E-2</v>
      </c>
      <c r="W975" s="109">
        <f>'Z Score'!I1073</f>
        <v>1.0879935832270298</v>
      </c>
      <c r="X975" s="109">
        <f>'Z Score'!L1073</f>
        <v>0.1883307937545157</v>
      </c>
      <c r="Y975" s="109">
        <f>'Z Score'!O1073</f>
        <v>2.1675405416987672E-2</v>
      </c>
      <c r="Z975" s="109">
        <f>'Z Score'!R1073</f>
        <v>0.53765315673285163</v>
      </c>
      <c r="AA975" s="109">
        <f>'Z Score'!S1073</f>
        <v>1.8356529391313847</v>
      </c>
    </row>
    <row r="976" spans="1:27" ht="15" customHeight="1" x14ac:dyDescent="0.3">
      <c r="A976" s="22"/>
      <c r="B976" s="23"/>
      <c r="C976" s="2"/>
      <c r="D976" s="23">
        <v>2019</v>
      </c>
      <c r="E976" s="25">
        <f>'Current Ratio'!G1074</f>
        <v>3.1744800066107062</v>
      </c>
      <c r="F976" s="25">
        <f>'Cash Ratio'!G1074</f>
        <v>0.13111353385217903</v>
      </c>
      <c r="G976" s="25">
        <f>DAR!G1074</f>
        <v>0.69471728793753118</v>
      </c>
      <c r="H976" s="25">
        <f>DER!G1074</f>
        <v>2.2756522413079643</v>
      </c>
      <c r="I976" s="25">
        <f>NPM!G1074</f>
        <v>2.5376827227866713E-2</v>
      </c>
      <c r="J976" s="25">
        <f>ROA!G1074</f>
        <v>8.2995862527004676E-3</v>
      </c>
      <c r="K976" s="25">
        <f>ROE!G1074</f>
        <v>2.7186558310587056E-2</v>
      </c>
      <c r="L976" s="25">
        <f>KM!E1074</f>
        <v>0.35</v>
      </c>
      <c r="M976" s="24">
        <f>KI!E1074</f>
        <v>2</v>
      </c>
      <c r="N976" s="108">
        <f>IO!E1074</f>
        <v>0</v>
      </c>
      <c r="O976" s="24">
        <f>'BoC Size'!E1074</f>
        <v>3</v>
      </c>
      <c r="P976" s="24">
        <f>'TMT E DK'!E1074</f>
        <v>0</v>
      </c>
      <c r="Q976" s="24">
        <f>Data!R1074</f>
        <v>3</v>
      </c>
      <c r="R976" s="24">
        <f>Data!S1074</f>
        <v>3</v>
      </c>
      <c r="S976" s="24">
        <f>'TMT E DK'!E1074</f>
        <v>0</v>
      </c>
      <c r="T976" s="24">
        <f>'TMT E DD'!E1074</f>
        <v>0</v>
      </c>
      <c r="U976" s="24">
        <f>TA!E1074</f>
        <v>530838510000</v>
      </c>
      <c r="V976" s="109">
        <f>PR!F1074</f>
        <v>0.26047462250062603</v>
      </c>
      <c r="W976" s="109">
        <f>'Z Score'!I1074</f>
        <v>1.8145675286444456</v>
      </c>
      <c r="X976" s="109">
        <f>'Z Score'!L1074</f>
        <v>0.19104959246457082</v>
      </c>
      <c r="Y976" s="109">
        <f>'Z Score'!O1074</f>
        <v>3.9829188730109273E-2</v>
      </c>
      <c r="Z976" s="109">
        <f>'Z Score'!R1074</f>
        <v>0.46140617662938577</v>
      </c>
      <c r="AA976" s="109">
        <f>'Z Score'!S1074</f>
        <v>2.506852486468512</v>
      </c>
    </row>
    <row r="977" spans="1:27" ht="15" customHeight="1" x14ac:dyDescent="0.3">
      <c r="A977" s="22"/>
      <c r="B977" s="23"/>
      <c r="C977" s="2"/>
      <c r="D977" s="23">
        <v>2020</v>
      </c>
      <c r="E977" s="25">
        <f>'Current Ratio'!G1075</f>
        <v>2.0919446885236916</v>
      </c>
      <c r="F977" s="25">
        <f>'Cash Ratio'!G1075</f>
        <v>9.2654345655649978E-2</v>
      </c>
      <c r="G977" s="25">
        <f>DAR!G1075</f>
        <v>0.67367330641716783</v>
      </c>
      <c r="H977" s="25">
        <f>DER!G1075</f>
        <v>2.0644137291397153</v>
      </c>
      <c r="I977" s="25">
        <f>NPM!G1075</f>
        <v>0.11191722842280417</v>
      </c>
      <c r="J977" s="25">
        <f>ROA!G1075</f>
        <v>2.4523789587870316E-2</v>
      </c>
      <c r="K977" s="25">
        <f>ROE!G1075</f>
        <v>7.5151037503603399E-2</v>
      </c>
      <c r="L977" s="25">
        <f>KM!E1075</f>
        <v>0.39960000000000001</v>
      </c>
      <c r="M977" s="24">
        <f>KI!E1075</f>
        <v>1</v>
      </c>
      <c r="N977" s="108">
        <f>IO!E1075</f>
        <v>0.39960000000000001</v>
      </c>
      <c r="O977" s="24">
        <f>'BoC Size'!E1075</f>
        <v>2</v>
      </c>
      <c r="P977" s="24">
        <f>'TMT E DK'!E1075</f>
        <v>0</v>
      </c>
      <c r="Q977" s="24">
        <f>Data!R1075</f>
        <v>2</v>
      </c>
      <c r="R977" s="24">
        <f>Data!S1075</f>
        <v>3</v>
      </c>
      <c r="S977" s="24">
        <f>'TMT E DK'!E1075</f>
        <v>0</v>
      </c>
      <c r="T977" s="24">
        <f>'TMT E DD'!E1075</f>
        <v>0</v>
      </c>
      <c r="U977" s="24">
        <f>TA!E1075</f>
        <v>602525150000</v>
      </c>
      <c r="V977" s="109">
        <f>PR!F1075</f>
        <v>-0.23952617066307122</v>
      </c>
      <c r="W977" s="109">
        <f>'Z Score'!I1075</f>
        <v>1.1837346527360728</v>
      </c>
      <c r="X977" s="109">
        <f>'Z Score'!L1075</f>
        <v>0.24717992601636629</v>
      </c>
      <c r="Y977" s="109">
        <f>'Z Score'!O1075</f>
        <v>0.20049590826208663</v>
      </c>
      <c r="Z977" s="109">
        <f>'Z Score'!R1075</f>
        <v>0.50861897747480933</v>
      </c>
      <c r="AA977" s="109">
        <f>'Z Score'!S1075</f>
        <v>2.1400294644893352</v>
      </c>
    </row>
    <row r="978" spans="1:27" ht="15" customHeight="1" x14ac:dyDescent="0.3">
      <c r="A978" s="22"/>
      <c r="B978" s="23"/>
      <c r="C978" s="2"/>
      <c r="D978" s="23">
        <v>2021</v>
      </c>
      <c r="E978" s="25">
        <f>'Current Ratio'!G1076</f>
        <v>1.6480698677727297</v>
      </c>
      <c r="F978" s="25">
        <f>'Cash Ratio'!G1076</f>
        <v>0.13856527677338254</v>
      </c>
      <c r="G978" s="25">
        <f>DAR!G1076</f>
        <v>0.65914647852651498</v>
      </c>
      <c r="H978" s="25">
        <f>DER!G1076</f>
        <v>1.9338115554067705</v>
      </c>
      <c r="I978" s="25">
        <f>NPM!G1076</f>
        <v>8.1043632244970701E-2</v>
      </c>
      <c r="J978" s="25">
        <f>ROA!G1076</f>
        <v>1.9794793546836168E-2</v>
      </c>
      <c r="K978" s="25">
        <f>ROE!G1076</f>
        <v>5.807419404459932E-2</v>
      </c>
      <c r="L978" s="25">
        <f>KM!E1076</f>
        <v>0.39960000000000001</v>
      </c>
      <c r="M978" s="24">
        <f>KI!E1076</f>
        <v>1</v>
      </c>
      <c r="N978" s="108">
        <f>IO!E1076</f>
        <v>0.39960000000000001</v>
      </c>
      <c r="O978" s="24">
        <f>'BoC Size'!E1076</f>
        <v>2</v>
      </c>
      <c r="P978" s="24">
        <f>'TMT E DK'!E1076</f>
        <v>0</v>
      </c>
      <c r="Q978" s="24">
        <f>Data!R1076</f>
        <v>2</v>
      </c>
      <c r="R978" s="24">
        <f>Data!S1076</f>
        <v>3</v>
      </c>
      <c r="S978" s="24">
        <f>'TMT E DK'!E1076</f>
        <v>0</v>
      </c>
      <c r="T978" s="24">
        <f>'TMT E DD'!E1076</f>
        <v>0</v>
      </c>
      <c r="U978" s="24">
        <f>TA!E1076</f>
        <v>612411540000</v>
      </c>
      <c r="V978" s="109">
        <f>PR!F1076</f>
        <v>0.13294709687563835</v>
      </c>
      <c r="W978" s="109">
        <f>'Z Score'!I1076</f>
        <v>0.73176406571306574</v>
      </c>
      <c r="X978" s="109">
        <f>'Z Score'!L1076</f>
        <v>6.6719774418359259E-2</v>
      </c>
      <c r="Y978" s="109">
        <f>'Z Score'!O1076</f>
        <v>0.17488514341189584</v>
      </c>
      <c r="Z978" s="109">
        <f>'Z Score'!R1076</f>
        <v>0.54296914146794217</v>
      </c>
      <c r="AA978" s="109">
        <f>'Z Score'!S1076</f>
        <v>1.5163381250112631</v>
      </c>
    </row>
    <row r="979" spans="1:27" ht="15" customHeight="1" x14ac:dyDescent="0.3">
      <c r="A979" s="22"/>
      <c r="B979" s="23"/>
      <c r="C979" s="2"/>
      <c r="D979" s="23">
        <v>2022</v>
      </c>
      <c r="E979" s="25">
        <f>'Current Ratio'!G1077</f>
        <v>2.1521748407105696</v>
      </c>
      <c r="F979" s="25">
        <f>'Cash Ratio'!G1077</f>
        <v>0.28002606229610633</v>
      </c>
      <c r="G979" s="25">
        <f>DAR!G1077</f>
        <v>0.70439411847255085</v>
      </c>
      <c r="H979" s="25">
        <f>DER!G1077</f>
        <v>2.382882623420139</v>
      </c>
      <c r="I979" s="25">
        <f>NPM!G1077</f>
        <v>7.3905265834821141E-2</v>
      </c>
      <c r="J979" s="25">
        <f>ROA!G1077</f>
        <v>2.3677655022170164E-2</v>
      </c>
      <c r="K979" s="25">
        <f>ROE!G1077</f>
        <v>8.0098727737836037E-2</v>
      </c>
      <c r="L979" s="25">
        <f>KM!E1077</f>
        <v>0.39960000000000001</v>
      </c>
      <c r="M979" s="24">
        <f>KI!E1077</f>
        <v>1</v>
      </c>
      <c r="N979" s="108">
        <f>IO!E1077</f>
        <v>0.39960000000000001</v>
      </c>
      <c r="O979" s="24">
        <f>'BoC Size'!E1077</f>
        <v>2</v>
      </c>
      <c r="P979" s="24">
        <f>'TMT E DK'!E1077</f>
        <v>0</v>
      </c>
      <c r="Q979" s="24">
        <f>Data!R1077</f>
        <v>2</v>
      </c>
      <c r="R979" s="24">
        <f>Data!S1077</f>
        <v>3</v>
      </c>
      <c r="S979" s="24">
        <f>'TMT E DK'!E1077</f>
        <v>0</v>
      </c>
      <c r="T979" s="24">
        <f>'TMT E DD'!E1077</f>
        <v>0</v>
      </c>
      <c r="U979" s="24">
        <f>TA!E1077</f>
        <v>767599240000</v>
      </c>
      <c r="V979" s="109">
        <f>PR!F1077</f>
        <v>0.64407791755966315</v>
      </c>
      <c r="W979" s="109">
        <f>'Z Score'!I1077</f>
        <v>1.0475953488437535</v>
      </c>
      <c r="X979" s="109">
        <f>'Z Score'!L1077</f>
        <v>0.12893202343452032</v>
      </c>
      <c r="Y979" s="109">
        <f>'Z Score'!O1077</f>
        <v>0.17696860877558973</v>
      </c>
      <c r="Z979" s="109">
        <f>'Z Score'!R1077</f>
        <v>0.44064277009706021</v>
      </c>
      <c r="AA979" s="109">
        <f>'Z Score'!S1077</f>
        <v>1.7941387511509239</v>
      </c>
    </row>
    <row r="980" spans="1:27" ht="15" customHeight="1" x14ac:dyDescent="0.3">
      <c r="A980" s="22"/>
      <c r="B980" s="23"/>
      <c r="C980" s="2"/>
      <c r="D980" s="23">
        <v>2023</v>
      </c>
      <c r="E980" s="25">
        <f>'Current Ratio'!G1078</f>
        <v>3.1763533302211071</v>
      </c>
      <c r="F980" s="25">
        <f>'Cash Ratio'!G1078</f>
        <v>0.42663113449184731</v>
      </c>
      <c r="G980" s="25">
        <f>DAR!G1078</f>
        <v>0.71884038256091443</v>
      </c>
      <c r="H980" s="25">
        <f>DER!G1078</f>
        <v>2.5566985369677218</v>
      </c>
      <c r="I980" s="25">
        <f>NPM!G1078</f>
        <v>7.6093033916027855E-2</v>
      </c>
      <c r="J980" s="25">
        <f>ROA!G1078</f>
        <v>3.3113872494387277E-2</v>
      </c>
      <c r="K980" s="25">
        <f>ROE!G1078</f>
        <v>0.1177760618541229</v>
      </c>
      <c r="L980" s="25">
        <f>KM!E1078</f>
        <v>0.39960000000000001</v>
      </c>
      <c r="M980" s="24">
        <f>KI!E1078</f>
        <v>2</v>
      </c>
      <c r="N980" s="108">
        <f>IO!E1078</f>
        <v>0.39960000000000001</v>
      </c>
      <c r="O980" s="24">
        <f>'BoC Size'!E1078</f>
        <v>3</v>
      </c>
      <c r="P980" s="24">
        <f>'TMT E DK'!E1078</f>
        <v>0</v>
      </c>
      <c r="Q980" s="24">
        <f>Data!R1078</f>
        <v>3</v>
      </c>
      <c r="R980" s="24">
        <f>Data!S1078</f>
        <v>3</v>
      </c>
      <c r="S980" s="24">
        <f>'TMT E DK'!E1078</f>
        <v>0</v>
      </c>
      <c r="T980" s="24">
        <f>'TMT E DD'!E1078</f>
        <v>0</v>
      </c>
      <c r="U980" s="24">
        <f>TA!E1078</f>
        <v>914778240000</v>
      </c>
      <c r="V980" s="109">
        <f>PR!F1078</f>
        <v>0.61876220558480555</v>
      </c>
      <c r="W980" s="109">
        <f>'Z Score'!I1078</f>
        <v>1.6789267956351908</v>
      </c>
      <c r="X980" s="109">
        <f>'Z Score'!L1078</f>
        <v>0.21675759537087369</v>
      </c>
      <c r="Y980" s="109">
        <f>'Z Score'!O1078</f>
        <v>0.30036168765885818</v>
      </c>
      <c r="Z980" s="109">
        <f>'Z Score'!R1078</f>
        <v>0.41068588447870502</v>
      </c>
      <c r="AA980" s="109">
        <f>'Z Score'!S1078</f>
        <v>2.6067319631436274</v>
      </c>
    </row>
    <row r="981" spans="1:27" ht="15" customHeight="1" x14ac:dyDescent="0.3">
      <c r="A981" s="22"/>
      <c r="B981" s="23"/>
      <c r="C981" s="2"/>
      <c r="D981" s="23">
        <v>2024</v>
      </c>
      <c r="E981" s="25">
        <f>'Current Ratio'!G1079</f>
        <v>3.5974063390137085</v>
      </c>
      <c r="F981" s="25">
        <f>'Cash Ratio'!G1079</f>
        <v>0.76084465443814275</v>
      </c>
      <c r="G981" s="25">
        <f>DAR!G1079</f>
        <v>0.67081497312099292</v>
      </c>
      <c r="H981" s="25">
        <f>DER!G1079</f>
        <v>2.0378052412680141</v>
      </c>
      <c r="I981" s="25">
        <f>NPM!G1079</f>
        <v>9.0508377224350955E-2</v>
      </c>
      <c r="J981" s="25">
        <f>ROA!G1079</f>
        <v>4.2140172166177756E-2</v>
      </c>
      <c r="K981" s="25">
        <f>ROE!G1079</f>
        <v>0.12801363587435127</v>
      </c>
      <c r="L981" s="25">
        <f>KM!E1079</f>
        <v>0.41689999999999999</v>
      </c>
      <c r="M981" s="24">
        <f>KI!E1079</f>
        <v>2</v>
      </c>
      <c r="N981" s="108">
        <f>IO!E1079</f>
        <v>0.41689999999999999</v>
      </c>
      <c r="O981" s="24">
        <f>'BoC Size'!E1079</f>
        <v>3</v>
      </c>
      <c r="P981" s="24">
        <f>'TMT E DK'!E1079</f>
        <v>0</v>
      </c>
      <c r="Q981" s="24">
        <f>Data!R1079</f>
        <v>3</v>
      </c>
      <c r="R981" s="24">
        <f>Data!S1079</f>
        <v>3</v>
      </c>
      <c r="S981" s="24">
        <f>'TMT E DK'!E1079</f>
        <v>0</v>
      </c>
      <c r="T981" s="24">
        <f>'TMT E DD'!E1079</f>
        <v>0</v>
      </c>
      <c r="U981" s="24">
        <f>TA!E1079</f>
        <v>896022680000</v>
      </c>
      <c r="V981" s="109">
        <f>PR!F1079</f>
        <v>4.7962235442136326E-2</v>
      </c>
      <c r="W981" s="109">
        <f>'Z Score'!I1079</f>
        <v>1.5748739538601857</v>
      </c>
      <c r="X981" s="109">
        <f>'Z Score'!L1079</f>
        <v>0.36002681494624666</v>
      </c>
      <c r="Y981" s="109">
        <f>'Z Score'!O1079</f>
        <v>0.36557134647529232</v>
      </c>
      <c r="Z981" s="109">
        <f>'Z Score'!R1079</f>
        <v>0.51526023131957532</v>
      </c>
      <c r="AA981" s="109">
        <f>'Z Score'!S1079</f>
        <v>2.8157323466013002</v>
      </c>
    </row>
    <row r="982" spans="1:27" ht="15" customHeight="1" x14ac:dyDescent="0.3">
      <c r="A982" s="22"/>
      <c r="B982" s="23">
        <v>99</v>
      </c>
      <c r="C982" s="2" t="s">
        <v>118</v>
      </c>
      <c r="D982" s="23">
        <v>2015</v>
      </c>
      <c r="E982" s="25">
        <f>'Current Ratio'!G1081</f>
        <v>0</v>
      </c>
      <c r="F982" s="25">
        <f>'Cash Ratio'!G1081</f>
        <v>0</v>
      </c>
      <c r="G982" s="25">
        <f>DAR!G1081</f>
        <v>0</v>
      </c>
      <c r="H982" s="25">
        <f>DER!G1081</f>
        <v>0</v>
      </c>
      <c r="I982" s="25">
        <f>NPM!G1081</f>
        <v>0</v>
      </c>
      <c r="J982" s="25">
        <f>ROA!G1081</f>
        <v>0</v>
      </c>
      <c r="K982" s="25">
        <f>ROE!G1081</f>
        <v>0</v>
      </c>
      <c r="L982" s="25">
        <f>KM!E1081</f>
        <v>0</v>
      </c>
      <c r="M982" s="24">
        <f>KI!E1081</f>
        <v>0</v>
      </c>
      <c r="N982" s="108">
        <f>IO!E1081</f>
        <v>0</v>
      </c>
      <c r="O982" s="24">
        <f>'BoC Size'!E1081</f>
        <v>0</v>
      </c>
      <c r="P982" s="24">
        <f>'TMT E DK'!E1081</f>
        <v>0</v>
      </c>
      <c r="Q982" s="24">
        <f>Data!R1081</f>
        <v>0</v>
      </c>
      <c r="R982" s="24">
        <f>Data!S1081</f>
        <v>0</v>
      </c>
      <c r="S982" s="24">
        <f>'TMT E DK'!E1081</f>
        <v>0</v>
      </c>
      <c r="T982" s="24">
        <f>'TMT E DD'!E1081</f>
        <v>0</v>
      </c>
      <c r="U982" s="24">
        <f>TA!E1081</f>
        <v>0</v>
      </c>
      <c r="V982" s="109">
        <f>PR!F1081</f>
        <v>0</v>
      </c>
      <c r="W982" s="109">
        <f>'Z Score'!I1081</f>
        <v>0</v>
      </c>
      <c r="X982" s="109">
        <f>'Z Score'!L1081</f>
        <v>0</v>
      </c>
      <c r="Y982" s="109">
        <f>'Z Score'!O1081</f>
        <v>0</v>
      </c>
      <c r="Z982" s="109">
        <f>'Z Score'!R1081</f>
        <v>0</v>
      </c>
      <c r="AA982" s="109">
        <f>'Z Score'!S1081</f>
        <v>0</v>
      </c>
    </row>
    <row r="983" spans="1:27" ht="15" customHeight="1" x14ac:dyDescent="0.3">
      <c r="A983" s="22"/>
      <c r="B983" s="23"/>
      <c r="C983" s="2"/>
      <c r="D983" s="23">
        <v>2016</v>
      </c>
      <c r="E983" s="25">
        <f>'Current Ratio'!G1082</f>
        <v>0</v>
      </c>
      <c r="F983" s="25">
        <f>'Cash Ratio'!G1082</f>
        <v>0</v>
      </c>
      <c r="G983" s="25">
        <f>DAR!G1082</f>
        <v>0</v>
      </c>
      <c r="H983" s="25">
        <f>DER!G1082</f>
        <v>0</v>
      </c>
      <c r="I983" s="25">
        <f>NPM!G1082</f>
        <v>0</v>
      </c>
      <c r="J983" s="25">
        <f>ROA!G1082</f>
        <v>0</v>
      </c>
      <c r="K983" s="25">
        <f>ROE!G1082</f>
        <v>0</v>
      </c>
      <c r="L983" s="25">
        <f>KM!E1082</f>
        <v>0</v>
      </c>
      <c r="M983" s="24">
        <f>KI!E1082</f>
        <v>0</v>
      </c>
      <c r="N983" s="108">
        <f>IO!E1082</f>
        <v>0</v>
      </c>
      <c r="O983" s="24">
        <f>'BoC Size'!E1082</f>
        <v>0</v>
      </c>
      <c r="P983" s="24">
        <f>'TMT E DK'!E1082</f>
        <v>0</v>
      </c>
      <c r="Q983" s="24">
        <f>Data!R1082</f>
        <v>0</v>
      </c>
      <c r="R983" s="24">
        <f>Data!S1082</f>
        <v>0</v>
      </c>
      <c r="S983" s="24">
        <f>'TMT E DK'!E1082</f>
        <v>0</v>
      </c>
      <c r="T983" s="24">
        <f>'TMT E DD'!E1082</f>
        <v>0</v>
      </c>
      <c r="U983" s="24">
        <f>TA!E1082</f>
        <v>0</v>
      </c>
      <c r="V983" s="109">
        <f>PR!F1082</f>
        <v>0</v>
      </c>
      <c r="W983" s="109">
        <f>'Z Score'!I1082</f>
        <v>0</v>
      </c>
      <c r="X983" s="109">
        <f>'Z Score'!L1082</f>
        <v>0</v>
      </c>
      <c r="Y983" s="109">
        <f>'Z Score'!O1082</f>
        <v>0</v>
      </c>
      <c r="Z983" s="109">
        <f>'Z Score'!R1082</f>
        <v>0</v>
      </c>
      <c r="AA983" s="109">
        <f>'Z Score'!S1082</f>
        <v>0</v>
      </c>
    </row>
    <row r="984" spans="1:27" ht="15" customHeight="1" x14ac:dyDescent="0.3">
      <c r="A984" s="22"/>
      <c r="B984" s="23"/>
      <c r="C984" s="2"/>
      <c r="D984" s="23">
        <v>2017</v>
      </c>
      <c r="E984" s="25">
        <f>'Current Ratio'!G1083</f>
        <v>0</v>
      </c>
      <c r="F984" s="25">
        <f>'Cash Ratio'!G1083</f>
        <v>0</v>
      </c>
      <c r="G984" s="25">
        <f>DAR!G1083</f>
        <v>0</v>
      </c>
      <c r="H984" s="25">
        <f>DER!G1083</f>
        <v>0</v>
      </c>
      <c r="I984" s="25">
        <f>NPM!G1083</f>
        <v>0</v>
      </c>
      <c r="J984" s="25">
        <f>ROA!G1083</f>
        <v>0</v>
      </c>
      <c r="K984" s="25">
        <f>ROE!G1083</f>
        <v>0</v>
      </c>
      <c r="L984" s="25">
        <f>KM!E1083</f>
        <v>0</v>
      </c>
      <c r="M984" s="24">
        <f>KI!E1083</f>
        <v>0</v>
      </c>
      <c r="N984" s="108">
        <f>IO!E1083</f>
        <v>0</v>
      </c>
      <c r="O984" s="24">
        <f>'BoC Size'!E1083</f>
        <v>0</v>
      </c>
      <c r="P984" s="24">
        <f>'TMT E DK'!E1083</f>
        <v>0</v>
      </c>
      <c r="Q984" s="24">
        <f>Data!R1083</f>
        <v>0</v>
      </c>
      <c r="R984" s="24">
        <f>Data!S1083</f>
        <v>0</v>
      </c>
      <c r="S984" s="24">
        <f>'TMT E DK'!E1083</f>
        <v>0</v>
      </c>
      <c r="T984" s="24">
        <f>'TMT E DD'!E1083</f>
        <v>0</v>
      </c>
      <c r="U984" s="24">
        <f>TA!E1083</f>
        <v>0</v>
      </c>
      <c r="V984" s="109">
        <f>PR!F1083</f>
        <v>0</v>
      </c>
      <c r="W984" s="109">
        <f>'Z Score'!I1083</f>
        <v>0</v>
      </c>
      <c r="X984" s="109">
        <f>'Z Score'!L1083</f>
        <v>0</v>
      </c>
      <c r="Y984" s="109">
        <f>'Z Score'!O1083</f>
        <v>0</v>
      </c>
      <c r="Z984" s="109">
        <f>'Z Score'!R1083</f>
        <v>0</v>
      </c>
      <c r="AA984" s="109">
        <f>'Z Score'!S1083</f>
        <v>0</v>
      </c>
    </row>
    <row r="985" spans="1:27" ht="15" customHeight="1" x14ac:dyDescent="0.3">
      <c r="A985" s="22"/>
      <c r="B985" s="23"/>
      <c r="C985" s="2"/>
      <c r="D985" s="23">
        <v>2018</v>
      </c>
      <c r="E985" s="25">
        <f>'Current Ratio'!G1084</f>
        <v>0</v>
      </c>
      <c r="F985" s="25">
        <f>'Cash Ratio'!G1084</f>
        <v>0</v>
      </c>
      <c r="G985" s="25">
        <f>DAR!G1084</f>
        <v>0</v>
      </c>
      <c r="H985" s="25">
        <f>DER!G1084</f>
        <v>0</v>
      </c>
      <c r="I985" s="25">
        <f>NPM!G1084</f>
        <v>0</v>
      </c>
      <c r="J985" s="25">
        <f>ROA!G1084</f>
        <v>0</v>
      </c>
      <c r="K985" s="25">
        <f>ROE!G1084</f>
        <v>0</v>
      </c>
      <c r="L985" s="25">
        <f>KM!E1084</f>
        <v>0</v>
      </c>
      <c r="M985" s="24">
        <f>KI!E1084</f>
        <v>0</v>
      </c>
      <c r="N985" s="108">
        <f>IO!E1084</f>
        <v>0</v>
      </c>
      <c r="O985" s="24">
        <f>'BoC Size'!E1084</f>
        <v>0</v>
      </c>
      <c r="P985" s="24">
        <f>'TMT E DK'!E1084</f>
        <v>0</v>
      </c>
      <c r="Q985" s="24">
        <f>Data!R1084</f>
        <v>0</v>
      </c>
      <c r="R985" s="24">
        <f>Data!S1084</f>
        <v>0</v>
      </c>
      <c r="S985" s="24">
        <f>'TMT E DK'!E1084</f>
        <v>0</v>
      </c>
      <c r="T985" s="24">
        <f>'TMT E DD'!E1084</f>
        <v>0</v>
      </c>
      <c r="U985" s="24">
        <f>TA!E1084</f>
        <v>0</v>
      </c>
      <c r="V985" s="109">
        <f>PR!F1084</f>
        <v>0</v>
      </c>
      <c r="W985" s="109">
        <f>'Z Score'!I1084</f>
        <v>0</v>
      </c>
      <c r="X985" s="109">
        <f>'Z Score'!L1084</f>
        <v>0</v>
      </c>
      <c r="Y985" s="109">
        <f>'Z Score'!O1084</f>
        <v>0</v>
      </c>
      <c r="Z985" s="109">
        <f>'Z Score'!R1084</f>
        <v>0</v>
      </c>
      <c r="AA985" s="109">
        <f>'Z Score'!S1084</f>
        <v>0</v>
      </c>
    </row>
    <row r="986" spans="1:27" ht="15" customHeight="1" x14ac:dyDescent="0.3">
      <c r="A986" s="22"/>
      <c r="B986" s="23"/>
      <c r="C986" s="2"/>
      <c r="D986" s="23">
        <v>2019</v>
      </c>
      <c r="E986" s="25">
        <f>'Current Ratio'!G1085</f>
        <v>0</v>
      </c>
      <c r="F986" s="25">
        <f>'Cash Ratio'!G1085</f>
        <v>0</v>
      </c>
      <c r="G986" s="25">
        <f>DAR!G1085</f>
        <v>0</v>
      </c>
      <c r="H986" s="25">
        <f>DER!G1085</f>
        <v>0</v>
      </c>
      <c r="I986" s="25">
        <f>NPM!G1085</f>
        <v>0</v>
      </c>
      <c r="J986" s="25">
        <f>ROA!G1085</f>
        <v>0</v>
      </c>
      <c r="K986" s="25">
        <f>ROE!G1085</f>
        <v>0</v>
      </c>
      <c r="L986" s="25">
        <f>KM!E1085</f>
        <v>0</v>
      </c>
      <c r="M986" s="24">
        <f>KI!E1085</f>
        <v>0</v>
      </c>
      <c r="N986" s="108">
        <f>IO!E1085</f>
        <v>0</v>
      </c>
      <c r="O986" s="24">
        <f>'BoC Size'!E1085</f>
        <v>0</v>
      </c>
      <c r="P986" s="24">
        <f>'TMT E DK'!E1085</f>
        <v>0</v>
      </c>
      <c r="Q986" s="24">
        <f>Data!R1085</f>
        <v>0</v>
      </c>
      <c r="R986" s="24">
        <f>Data!S1085</f>
        <v>0</v>
      </c>
      <c r="S986" s="24">
        <f>'TMT E DK'!E1085</f>
        <v>0</v>
      </c>
      <c r="T986" s="24">
        <f>'TMT E DD'!E1085</f>
        <v>0</v>
      </c>
      <c r="U986" s="24">
        <f>TA!E1085</f>
        <v>0</v>
      </c>
      <c r="V986" s="109">
        <f>PR!F1085</f>
        <v>0</v>
      </c>
      <c r="W986" s="109">
        <f>'Z Score'!I1085</f>
        <v>0</v>
      </c>
      <c r="X986" s="109">
        <f>'Z Score'!L1085</f>
        <v>0</v>
      </c>
      <c r="Y986" s="109">
        <f>'Z Score'!O1085</f>
        <v>0</v>
      </c>
      <c r="Z986" s="109">
        <f>'Z Score'!R1085</f>
        <v>0</v>
      </c>
      <c r="AA986" s="109">
        <f>'Z Score'!S1085</f>
        <v>0</v>
      </c>
    </row>
    <row r="987" spans="1:27" ht="15" customHeight="1" x14ac:dyDescent="0.3">
      <c r="A987" s="22"/>
      <c r="B987" s="23"/>
      <c r="C987" s="2"/>
      <c r="D987" s="23">
        <v>2020</v>
      </c>
      <c r="E987" s="25">
        <f>'Current Ratio'!G1086</f>
        <v>0</v>
      </c>
      <c r="F987" s="25">
        <f>'Cash Ratio'!G1086</f>
        <v>0</v>
      </c>
      <c r="G987" s="25">
        <f>DAR!G1086</f>
        <v>0</v>
      </c>
      <c r="H987" s="25">
        <f>DER!G1086</f>
        <v>0</v>
      </c>
      <c r="I987" s="25">
        <f>NPM!G1086</f>
        <v>0</v>
      </c>
      <c r="J987" s="25">
        <f>ROA!G1086</f>
        <v>0</v>
      </c>
      <c r="K987" s="25">
        <f>ROE!G1086</f>
        <v>0</v>
      </c>
      <c r="L987" s="25">
        <f>KM!E1086</f>
        <v>0</v>
      </c>
      <c r="M987" s="24">
        <f>KI!E1086</f>
        <v>0</v>
      </c>
      <c r="N987" s="108">
        <f>IO!E1086</f>
        <v>0</v>
      </c>
      <c r="O987" s="24">
        <f>'BoC Size'!E1086</f>
        <v>0</v>
      </c>
      <c r="P987" s="24">
        <f>'TMT E DK'!E1086</f>
        <v>0</v>
      </c>
      <c r="Q987" s="24">
        <f>Data!R1086</f>
        <v>0</v>
      </c>
      <c r="R987" s="24">
        <f>Data!S1086</f>
        <v>0</v>
      </c>
      <c r="S987" s="24">
        <f>'TMT E DK'!E1086</f>
        <v>0</v>
      </c>
      <c r="T987" s="24">
        <f>'TMT E DD'!E1086</f>
        <v>0</v>
      </c>
      <c r="U987" s="24">
        <f>TA!E1086</f>
        <v>0</v>
      </c>
      <c r="V987" s="109">
        <f>PR!F1086</f>
        <v>0</v>
      </c>
      <c r="W987" s="109">
        <f>'Z Score'!I1086</f>
        <v>0</v>
      </c>
      <c r="X987" s="109">
        <f>'Z Score'!L1086</f>
        <v>0</v>
      </c>
      <c r="Y987" s="109">
        <f>'Z Score'!O1086</f>
        <v>0</v>
      </c>
      <c r="Z987" s="109">
        <f>'Z Score'!R1086</f>
        <v>0</v>
      </c>
      <c r="AA987" s="109">
        <f>'Z Score'!S1086</f>
        <v>0</v>
      </c>
    </row>
    <row r="988" spans="1:27" ht="15" customHeight="1" x14ac:dyDescent="0.3">
      <c r="A988" s="22"/>
      <c r="B988" s="23"/>
      <c r="C988" s="2"/>
      <c r="D988" s="23">
        <v>2021</v>
      </c>
      <c r="E988" s="25">
        <f>'Current Ratio'!G1087</f>
        <v>3.5999514583678454</v>
      </c>
      <c r="F988" s="25">
        <f>'Cash Ratio'!G1087</f>
        <v>0.17365576277781417</v>
      </c>
      <c r="G988" s="25">
        <f>DAR!G1087</f>
        <v>0.75501005763297868</v>
      </c>
      <c r="H988" s="25">
        <f>DER!G1087</f>
        <v>3.0818002173407271</v>
      </c>
      <c r="I988" s="25">
        <f>NPM!G1087</f>
        <v>0.3606710264429912</v>
      </c>
      <c r="J988" s="25">
        <f>ROA!G1087</f>
        <v>2.2880032784708935E-2</v>
      </c>
      <c r="K988" s="25">
        <f>ROE!G1087</f>
        <v>9.3391722793387894E-2</v>
      </c>
      <c r="L988" s="25">
        <f>KM!E1087</f>
        <v>0</v>
      </c>
      <c r="M988" s="24">
        <f>KI!E1087</f>
        <v>0</v>
      </c>
      <c r="N988" s="108">
        <f>IO!E1087</f>
        <v>0</v>
      </c>
      <c r="O988" s="24">
        <f>'BoC Size'!E1087</f>
        <v>0</v>
      </c>
      <c r="P988" s="24">
        <f>'TMT E DK'!E1087</f>
        <v>0</v>
      </c>
      <c r="Q988" s="24">
        <f>Data!R1087</f>
        <v>0</v>
      </c>
      <c r="R988" s="24">
        <f>Data!S1087</f>
        <v>0</v>
      </c>
      <c r="S988" s="24">
        <f>'TMT E DK'!E1087</f>
        <v>0</v>
      </c>
      <c r="T988" s="24">
        <f>'TMT E DD'!E1087</f>
        <v>0</v>
      </c>
      <c r="U988" s="24">
        <f>TA!E1087</f>
        <v>1386012000000</v>
      </c>
      <c r="V988" s="109">
        <f>PR!F1087</f>
        <v>0</v>
      </c>
      <c r="W988" s="109">
        <f>'Z Score'!I1087</f>
        <v>3.1941717099130451</v>
      </c>
      <c r="X988" s="109">
        <f>'Z Score'!L1087</f>
        <v>0.74870685102293477</v>
      </c>
      <c r="Y988" s="109">
        <f>'Z Score'!O1087</f>
        <v>0.17860209002519459</v>
      </c>
      <c r="Z988" s="109">
        <f>'Z Score'!R1087</f>
        <v>0.34070995066190268</v>
      </c>
      <c r="AA988" s="109">
        <f>'Z Score'!S1087</f>
        <v>4.4621906016230772</v>
      </c>
    </row>
    <row r="989" spans="1:27" ht="15" customHeight="1" x14ac:dyDescent="0.3">
      <c r="A989" s="22"/>
      <c r="B989" s="23"/>
      <c r="C989" s="2"/>
      <c r="D989" s="23">
        <v>2022</v>
      </c>
      <c r="E989" s="25">
        <f>'Current Ratio'!G1088</f>
        <v>2.7764305838344621</v>
      </c>
      <c r="F989" s="25">
        <f>'Cash Ratio'!G1088</f>
        <v>0.2799730100857048</v>
      </c>
      <c r="G989" s="25">
        <f>DAR!G1088</f>
        <v>0.77871845280362673</v>
      </c>
      <c r="H989" s="25">
        <f>DER!G1088</f>
        <v>2.6061300256585214</v>
      </c>
      <c r="I989" s="25">
        <f>NPM!G1088</f>
        <v>0.54259493737115827</v>
      </c>
      <c r="J989" s="25">
        <f>ROA!G1088</f>
        <v>4.0196221313330831E-2</v>
      </c>
      <c r="K989" s="25">
        <f>ROE!G1088</f>
        <v>0.13452433149045134</v>
      </c>
      <c r="L989" s="25">
        <f>KM!E1088</f>
        <v>0.7</v>
      </c>
      <c r="M989" s="24">
        <f>KI!E1088</f>
        <v>2</v>
      </c>
      <c r="N989" s="108">
        <f>IO!E1088</f>
        <v>0</v>
      </c>
      <c r="O989" s="24">
        <f>'BoC Size'!E1088</f>
        <v>4</v>
      </c>
      <c r="P989" s="24">
        <f>'TMT E DK'!E1088</f>
        <v>0</v>
      </c>
      <c r="Q989" s="24">
        <f>Data!R1088</f>
        <v>4</v>
      </c>
      <c r="R989" s="24">
        <f>Data!S1088</f>
        <v>4</v>
      </c>
      <c r="S989" s="24">
        <f>'TMT E DK'!E1088</f>
        <v>0</v>
      </c>
      <c r="T989" s="24">
        <f>'TMT E DD'!E1088</f>
        <v>0</v>
      </c>
      <c r="U989" s="24">
        <f>TA!E1088</f>
        <v>1289972000000</v>
      </c>
      <c r="V989" s="109">
        <f>PR!F1088</f>
        <v>8.6869491043502986E-2</v>
      </c>
      <c r="W989" s="109">
        <f>'Z Score'!I1088</f>
        <v>3.0525664743110701</v>
      </c>
      <c r="X989" s="109">
        <f>'Z Score'!L1088</f>
        <v>0.93386875063954877</v>
      </c>
      <c r="Y989" s="109">
        <f>'Z Score'!O1088</f>
        <v>0.37223356786038764</v>
      </c>
      <c r="Z989" s="109">
        <f>'Z Score'!R1088</f>
        <v>0.40289624449366618</v>
      </c>
      <c r="AA989" s="109">
        <f>'Z Score'!S1088</f>
        <v>4.7615650373046723</v>
      </c>
    </row>
    <row r="990" spans="1:27" ht="15" customHeight="1" x14ac:dyDescent="0.3">
      <c r="A990" s="22"/>
      <c r="B990" s="23"/>
      <c r="C990" s="2"/>
      <c r="D990" s="23">
        <v>2023</v>
      </c>
      <c r="E990" s="25">
        <f>'Current Ratio'!G1089</f>
        <v>2.6937832356557703</v>
      </c>
      <c r="F990" s="25">
        <f>'Cash Ratio'!G1089</f>
        <v>6.1289343830344453E-3</v>
      </c>
      <c r="G990" s="25">
        <f>DAR!G1089</f>
        <v>0.70046084675347242</v>
      </c>
      <c r="H990" s="25">
        <f>DER!G1089</f>
        <v>2.3384617308341564</v>
      </c>
      <c r="I990" s="25">
        <f>NPM!G1089</f>
        <v>0.2731491291265839</v>
      </c>
      <c r="J990" s="25">
        <f>ROA!G1089</f>
        <v>1.9313314366103493E-2</v>
      </c>
      <c r="K990" s="25">
        <f>ROE!G1089</f>
        <v>6.4476760906806041E-2</v>
      </c>
      <c r="L990" s="25">
        <f>KM!E1089</f>
        <v>0.7</v>
      </c>
      <c r="M990" s="24">
        <f>KI!E1089</f>
        <v>2</v>
      </c>
      <c r="N990" s="108">
        <f>IO!E1089</f>
        <v>0</v>
      </c>
      <c r="O990" s="24">
        <f>'BoC Size'!E1089</f>
        <v>4</v>
      </c>
      <c r="P990" s="24">
        <f>'TMT E DK'!E1089</f>
        <v>0</v>
      </c>
      <c r="Q990" s="24">
        <f>Data!R1089</f>
        <v>4</v>
      </c>
      <c r="R990" s="24">
        <f>Data!S1089</f>
        <v>4</v>
      </c>
      <c r="S990" s="24">
        <f>'TMT E DK'!E1089</f>
        <v>0</v>
      </c>
      <c r="T990" s="24">
        <f>'TMT E DD'!E1089</f>
        <v>0</v>
      </c>
      <c r="U990" s="24">
        <f>TA!E1089</f>
        <v>1334934000000</v>
      </c>
      <c r="V990" s="109">
        <f>PR!F1089</f>
        <v>-1.2295553718489373E-2</v>
      </c>
      <c r="W990" s="109">
        <f>'Z Score'!I1089</f>
        <v>2.6061048111741854</v>
      </c>
      <c r="X990" s="109">
        <f>'Z Score'!L1089</f>
        <v>0.87667321380682495</v>
      </c>
      <c r="Y990" s="109">
        <f>'Z Score'!O1089</f>
        <v>0.16100607221031152</v>
      </c>
      <c r="Z990" s="109">
        <f>'Z Score'!R1089</f>
        <v>0.4490131209568492</v>
      </c>
      <c r="AA990" s="109">
        <f>'Z Score'!S1089</f>
        <v>4.0927972181481707</v>
      </c>
    </row>
    <row r="991" spans="1:27" ht="15" customHeight="1" x14ac:dyDescent="0.3">
      <c r="A991" s="22"/>
      <c r="B991" s="23"/>
      <c r="C991" s="2"/>
      <c r="D991" s="23">
        <v>2024</v>
      </c>
      <c r="E991" s="25">
        <f>'Current Ratio'!G1090</f>
        <v>2.2717078441259093</v>
      </c>
      <c r="F991" s="25">
        <f>'Cash Ratio'!G1090</f>
        <v>5.9641287906072177E-3</v>
      </c>
      <c r="G991" s="25">
        <f>DAR!G1090</f>
        <v>0.6834011206731021</v>
      </c>
      <c r="H991" s="25">
        <f>DER!G1090</f>
        <v>2.1585708772123282</v>
      </c>
      <c r="I991" s="25">
        <f>NPM!G1090</f>
        <v>0.37102247732366928</v>
      </c>
      <c r="J991" s="25">
        <f>ROA!G1090</f>
        <v>2.5764280435933689E-2</v>
      </c>
      <c r="K991" s="25">
        <f>ROE!G1090</f>
        <v>8.1378305857271502E-2</v>
      </c>
      <c r="L991" s="25">
        <f>KM!E1090</f>
        <v>0.7</v>
      </c>
      <c r="M991" s="24">
        <f>KI!E1090</f>
        <v>2</v>
      </c>
      <c r="N991" s="108">
        <f>IO!E1090</f>
        <v>0</v>
      </c>
      <c r="O991" s="24">
        <f>'BoC Size'!E1090</f>
        <v>4</v>
      </c>
      <c r="P991" s="24">
        <f>'TMT E DK'!E1090</f>
        <v>0</v>
      </c>
      <c r="Q991" s="24">
        <f>Data!R1090</f>
        <v>4</v>
      </c>
      <c r="R991" s="24">
        <f>Data!S1090</f>
        <v>4</v>
      </c>
      <c r="S991" s="24">
        <f>'TMT E DK'!E1090</f>
        <v>0</v>
      </c>
      <c r="T991" s="24">
        <f>'TMT E DD'!E1090</f>
        <v>0</v>
      </c>
      <c r="U991" s="24">
        <f>TA!E1090</f>
        <v>1374888000000</v>
      </c>
      <c r="V991" s="109">
        <f>PR!F1090</f>
        <v>1.1505699877103022E-2</v>
      </c>
      <c r="W991" s="109">
        <f>'Z Score'!I1090</f>
        <v>2.1059458515893659</v>
      </c>
      <c r="X991" s="109">
        <f>'Z Score'!L1090</f>
        <v>0.90670949197316442</v>
      </c>
      <c r="Y991" s="109">
        <f>'Z Score'!O1090</f>
        <v>0.21364498053659645</v>
      </c>
      <c r="Z991" s="109">
        <f>'Z Score'!R1090</f>
        <v>0.4864329501915709</v>
      </c>
      <c r="AA991" s="109">
        <f>'Z Score'!S1090</f>
        <v>3.7127332742906973</v>
      </c>
    </row>
    <row r="992" spans="1:27" ht="15" customHeight="1" x14ac:dyDescent="0.3">
      <c r="A992" s="22"/>
      <c r="B992" s="23">
        <v>100</v>
      </c>
      <c r="C992" s="2" t="s">
        <v>104</v>
      </c>
      <c r="D992" s="23">
        <v>2015</v>
      </c>
      <c r="E992" s="25">
        <f>'Current Ratio'!G1092</f>
        <v>1.0974936767072889</v>
      </c>
      <c r="F992" s="25">
        <f>'Cash Ratio'!G1092</f>
        <v>0.35962290181650952</v>
      </c>
      <c r="G992" s="25">
        <f>DAR!G1092</f>
        <v>7.6363934023656529E-2</v>
      </c>
      <c r="H992" s="25">
        <f>DER!G1092</f>
        <v>0</v>
      </c>
      <c r="I992" s="25">
        <f>NPM!G1092</f>
        <v>0.7577524516300026</v>
      </c>
      <c r="J992" s="25">
        <f>ROA!G1092</f>
        <v>4.6805549871076005E-2</v>
      </c>
      <c r="K992" s="25">
        <f>ROE!G1092</f>
        <v>0</v>
      </c>
      <c r="L992" s="25">
        <f>KM!E1092</f>
        <v>0.99</v>
      </c>
      <c r="M992" s="24">
        <f>KI!E1092</f>
        <v>2</v>
      </c>
      <c r="N992" s="108">
        <f>IO!E1092</f>
        <v>0</v>
      </c>
      <c r="O992" s="24">
        <f>'BoC Size'!E1092</f>
        <v>4</v>
      </c>
      <c r="P992" s="24">
        <f>'TMT E DK'!E1092</f>
        <v>0</v>
      </c>
      <c r="Q992" s="24">
        <f>Data!R1092</f>
        <v>4</v>
      </c>
      <c r="R992" s="24">
        <f>Data!S1092</f>
        <v>3</v>
      </c>
      <c r="S992" s="24">
        <f>'TMT E DK'!E1092</f>
        <v>0</v>
      </c>
      <c r="T992" s="24">
        <f>'TMT E DD'!E1092</f>
        <v>0</v>
      </c>
      <c r="U992" s="24">
        <f>TA!E1092</f>
        <v>122165000000</v>
      </c>
      <c r="V992" s="109">
        <f>PR!F1092</f>
        <v>227.66666666666666</v>
      </c>
      <c r="W992" s="109">
        <f>'Z Score'!I1092</f>
        <v>2.2767895878524944E-2</v>
      </c>
      <c r="X992" s="109">
        <f>'Z Score'!L1092</f>
        <v>0.34253149429050872</v>
      </c>
      <c r="Y992" s="109">
        <f>'Z Score'!O1092</f>
        <v>0.1980822657880735</v>
      </c>
      <c r="Z992" s="109">
        <f>'Z Score'!R1092</f>
        <v>12.699946403687427</v>
      </c>
      <c r="AA992" s="109">
        <f>'Z Score'!S1092</f>
        <v>13.263328059644534</v>
      </c>
    </row>
    <row r="993" spans="1:27" ht="15" customHeight="1" x14ac:dyDescent="0.3">
      <c r="A993" s="22"/>
      <c r="B993" s="23"/>
      <c r="C993" s="2"/>
      <c r="D993" s="23">
        <v>2016</v>
      </c>
      <c r="E993" s="25">
        <f>'Current Ratio'!G1093</f>
        <v>1.1064547206165702</v>
      </c>
      <c r="F993" s="25">
        <f>'Cash Ratio'!G1093</f>
        <v>0.47013487475915222</v>
      </c>
      <c r="G993" s="25">
        <f>DAR!G1093</f>
        <v>0.12279058339347963</v>
      </c>
      <c r="H993" s="25">
        <f>DER!G1093</f>
        <v>0</v>
      </c>
      <c r="I993" s="25">
        <f>NPM!G1093</f>
        <v>0.12337151350878726</v>
      </c>
      <c r="J993" s="25">
        <f>ROA!G1093</f>
        <v>1.0834011578801886E-2</v>
      </c>
      <c r="K993" s="25">
        <f>ROE!G1093</f>
        <v>0</v>
      </c>
      <c r="L993" s="25">
        <f>KM!E1093</f>
        <v>0.99</v>
      </c>
      <c r="M993" s="24">
        <f>KI!E1093</f>
        <v>2</v>
      </c>
      <c r="N993" s="108">
        <f>IO!E1093</f>
        <v>0</v>
      </c>
      <c r="O993" s="24">
        <f>'BoC Size'!E1093</f>
        <v>4</v>
      </c>
      <c r="P993" s="24">
        <f>'TMT E DK'!E1093</f>
        <v>0</v>
      </c>
      <c r="Q993" s="24">
        <f>Data!R1093</f>
        <v>4</v>
      </c>
      <c r="R993" s="24">
        <f>Data!S1093</f>
        <v>3</v>
      </c>
      <c r="S993" s="24">
        <f>'TMT E DK'!E1093</f>
        <v>0</v>
      </c>
      <c r="T993" s="24">
        <f>'TMT E DD'!E1093</f>
        <v>0</v>
      </c>
      <c r="U993" s="24">
        <f>TA!E1093</f>
        <v>130238000000</v>
      </c>
      <c r="V993" s="109">
        <f>PR!F1093</f>
        <v>0.51563742380068911</v>
      </c>
      <c r="W993" s="109">
        <f>'Z Score'!I1093</f>
        <v>3.3394861714706917E-2</v>
      </c>
      <c r="X993" s="109">
        <f>'Z Score'!L1093</f>
        <v>0.356593006649365</v>
      </c>
      <c r="Y993" s="109">
        <f>'Z Score'!O1093</f>
        <v>0.13915938512569295</v>
      </c>
      <c r="Z993" s="109">
        <f>'Z Score'!R1093</f>
        <v>7.501144322161081</v>
      </c>
      <c r="AA993" s="109">
        <f>'Z Score'!S1093</f>
        <v>8.0302915756508462</v>
      </c>
    </row>
    <row r="994" spans="1:27" ht="15" customHeight="1" x14ac:dyDescent="0.3">
      <c r="A994" s="22"/>
      <c r="B994" s="23"/>
      <c r="C994" s="2"/>
      <c r="D994" s="23">
        <v>2017</v>
      </c>
      <c r="E994" s="25">
        <f>'Current Ratio'!G1094</f>
        <v>0.87574626865671645</v>
      </c>
      <c r="F994" s="25">
        <f>'Cash Ratio'!G1094</f>
        <v>0.12723880597014925</v>
      </c>
      <c r="G994" s="25">
        <f>DAR!G1094</f>
        <v>0.10409330365946418</v>
      </c>
      <c r="H994" s="25">
        <f>DER!G1094</f>
        <v>0.11618766115338658</v>
      </c>
      <c r="I994" s="25">
        <f>NPM!G1094</f>
        <v>0.65637065637065639</v>
      </c>
      <c r="J994" s="25">
        <f>ROA!G1094</f>
        <v>5.0764853367890245E-2</v>
      </c>
      <c r="K994" s="25">
        <f>ROE!G1094</f>
        <v>5.6663102949500034E-2</v>
      </c>
      <c r="L994" s="25">
        <f>KM!E1094</f>
        <v>0.85</v>
      </c>
      <c r="M994" s="24">
        <f>KI!E1094</f>
        <v>2</v>
      </c>
      <c r="N994" s="108">
        <f>IO!E1094</f>
        <v>0</v>
      </c>
      <c r="O994" s="24">
        <f>'BoC Size'!E1094</f>
        <v>3</v>
      </c>
      <c r="P994" s="24">
        <f>'TMT E DK'!E1094</f>
        <v>0</v>
      </c>
      <c r="Q994" s="24">
        <f>Data!R1094</f>
        <v>3</v>
      </c>
      <c r="R994" s="24">
        <f>Data!S1094</f>
        <v>3</v>
      </c>
      <c r="S994" s="24">
        <f>'TMT E DK'!E1094</f>
        <v>0</v>
      </c>
      <c r="T994" s="24">
        <f>'TMT E DD'!E1094</f>
        <v>0</v>
      </c>
      <c r="U994" s="24">
        <f>TA!E1094</f>
        <v>177485000000</v>
      </c>
      <c r="V994" s="109">
        <f>PR!F1094</f>
        <v>0.20022733234239748</v>
      </c>
      <c r="W994" s="109">
        <f>'Z Score'!I1094</f>
        <v>-3.6923909062737695E-2</v>
      </c>
      <c r="X994" s="109">
        <f>'Z Score'!L1094</f>
        <v>0.16549342197932218</v>
      </c>
      <c r="Y994" s="109">
        <f>'Z Score'!O1094</f>
        <v>0.22740130151843818</v>
      </c>
      <c r="Z994" s="109">
        <f>'Z Score'!R1094</f>
        <v>9.0371041948579158</v>
      </c>
      <c r="AA994" s="109">
        <f>'Z Score'!S1094</f>
        <v>9.3930750092929394</v>
      </c>
    </row>
    <row r="995" spans="1:27" ht="15" customHeight="1" x14ac:dyDescent="0.3">
      <c r="A995" s="22"/>
      <c r="B995" s="23"/>
      <c r="C995" s="2"/>
      <c r="D995" s="23">
        <v>2018</v>
      </c>
      <c r="E995" s="25">
        <f>'Current Ratio'!G1095</f>
        <v>1.3975096845600443</v>
      </c>
      <c r="F995" s="25">
        <f>'Cash Ratio'!G1095</f>
        <v>8.6828998339789701E-2</v>
      </c>
      <c r="G995" s="25">
        <f>DAR!G1095</f>
        <v>0.13735669964245056</v>
      </c>
      <c r="H995" s="25">
        <f>DER!G1095</f>
        <v>0.1592276895740323</v>
      </c>
      <c r="I995" s="25">
        <f>NPM!G1095</f>
        <v>0.3434527284590817</v>
      </c>
      <c r="J995" s="25">
        <f>ROA!G1095</f>
        <v>3.207041959948051E-2</v>
      </c>
      <c r="K995" s="25">
        <f>ROE!G1095</f>
        <v>3.7176918415975556E-2</v>
      </c>
      <c r="L995" s="25">
        <f>KM!E1095</f>
        <v>0.69</v>
      </c>
      <c r="M995" s="24">
        <f>KI!E1095</f>
        <v>2</v>
      </c>
      <c r="N995" s="108">
        <f>IO!E1095</f>
        <v>0</v>
      </c>
      <c r="O995" s="24">
        <f>'BoC Size'!E1095</f>
        <v>3</v>
      </c>
      <c r="P995" s="24">
        <f>'TMT E DK'!E1095</f>
        <v>0</v>
      </c>
      <c r="Q995" s="24">
        <f>Data!R1095</f>
        <v>3</v>
      </c>
      <c r="R995" s="24">
        <f>Data!S1095</f>
        <v>3</v>
      </c>
      <c r="S995" s="24">
        <f>'TMT E DK'!E1095</f>
        <v>0</v>
      </c>
      <c r="T995" s="24">
        <f>'TMT E DD'!E1095</f>
        <v>0</v>
      </c>
      <c r="U995" s="24">
        <f>TA!E1095</f>
        <v>311845000000</v>
      </c>
      <c r="V995" s="109">
        <f>PR!F1095</f>
        <v>1.1212938005390836</v>
      </c>
      <c r="W995" s="109">
        <f>'Z Score'!I1095</f>
        <v>0.15110224630826211</v>
      </c>
      <c r="X995" s="109">
        <f>'Z Score'!L1095</f>
        <v>0.19873930959290673</v>
      </c>
      <c r="Y995" s="109">
        <f>'Z Score'!O1095</f>
        <v>0.13716044829963603</v>
      </c>
      <c r="Z995" s="109">
        <f>'Z Score'!R1095</f>
        <v>6.5943304384367565</v>
      </c>
      <c r="AA995" s="109">
        <f>'Z Score'!S1095</f>
        <v>7.081332442637561</v>
      </c>
    </row>
    <row r="996" spans="1:27" ht="15" customHeight="1" x14ac:dyDescent="0.3">
      <c r="A996" s="22"/>
      <c r="B996" s="23"/>
      <c r="C996" s="2"/>
      <c r="D996" s="23">
        <v>2019</v>
      </c>
      <c r="E996" s="25">
        <f>'Current Ratio'!G1096</f>
        <v>2.6567740020774595</v>
      </c>
      <c r="F996" s="25">
        <f>'Cash Ratio'!G1096</f>
        <v>0.25394470000494634</v>
      </c>
      <c r="G996" s="25">
        <f>DAR!G1096</f>
        <v>0.62785116609489722</v>
      </c>
      <c r="H996" s="25">
        <f>DER!G1096</f>
        <v>1.687096959317621</v>
      </c>
      <c r="I996" s="25">
        <f>NPM!G1096</f>
        <v>0.14922868299063263</v>
      </c>
      <c r="J996" s="25">
        <f>ROA!G1096</f>
        <v>6.9765612003111391E-2</v>
      </c>
      <c r="K996" s="25">
        <f>ROE!G1096</f>
        <v>0.18746696387849351</v>
      </c>
      <c r="L996" s="25">
        <f>KM!E1096</f>
        <v>0.68600000000000005</v>
      </c>
      <c r="M996" s="24">
        <f>KI!E1096</f>
        <v>2</v>
      </c>
      <c r="N996" s="108">
        <f>IO!E1096</f>
        <v>0</v>
      </c>
      <c r="O996" s="24">
        <f>'BoC Size'!E1096</f>
        <v>3</v>
      </c>
      <c r="P996" s="24">
        <f>'TMT E DK'!E1096</f>
        <v>0</v>
      </c>
      <c r="Q996" s="24">
        <f>Data!R1096</f>
        <v>3</v>
      </c>
      <c r="R996" s="24">
        <f>Data!S1096</f>
        <v>4</v>
      </c>
      <c r="S996" s="24">
        <f>'TMT E DK'!E1096</f>
        <v>0</v>
      </c>
      <c r="T996" s="24">
        <f>'TMT E DD'!E1096</f>
        <v>0</v>
      </c>
      <c r="U996" s="24">
        <f>TA!E1096</f>
        <v>889636000000</v>
      </c>
      <c r="V996" s="109">
        <f>PR!F1096</f>
        <v>13.283182801607198</v>
      </c>
      <c r="W996" s="109">
        <f>'Z Score'!I1096</f>
        <v>1.7288985607596814</v>
      </c>
      <c r="X996" s="109">
        <f>'Z Score'!L1096</f>
        <v>0.2970232319735262</v>
      </c>
      <c r="Y996" s="109">
        <f>'Z Score'!O1096</f>
        <v>0.46791092087100794</v>
      </c>
      <c r="Z996" s="109">
        <f>'Z Score'!R1096</f>
        <v>0.62237086861012003</v>
      </c>
      <c r="AA996" s="109">
        <f>'Z Score'!S1096</f>
        <v>3.116203582214335</v>
      </c>
    </row>
    <row r="997" spans="1:27" ht="15" customHeight="1" x14ac:dyDescent="0.3">
      <c r="A997" s="22"/>
      <c r="B997" s="23"/>
      <c r="C997" s="2"/>
      <c r="D997" s="23">
        <v>2020</v>
      </c>
      <c r="E997" s="25">
        <f>'Current Ratio'!G1097</f>
        <v>0.71376626204343807</v>
      </c>
      <c r="F997" s="25">
        <f>'Cash Ratio'!G1097</f>
        <v>7.6305045996407375E-2</v>
      </c>
      <c r="G997" s="25">
        <f>DAR!G1097</f>
        <v>0.59501360270202974</v>
      </c>
      <c r="H997" s="25">
        <f>DER!G1097</f>
        <v>1.4692187359178051</v>
      </c>
      <c r="I997" s="25">
        <f>NPM!G1097</f>
        <v>2.0474940115226197E-2</v>
      </c>
      <c r="J997" s="25">
        <f>ROA!G1097</f>
        <v>1.2512921589254452E-2</v>
      </c>
      <c r="K997" s="25">
        <f>ROE!G1097</f>
        <v>3.0897140429257491E-2</v>
      </c>
      <c r="L997" s="25">
        <f>KM!E1097</f>
        <v>0.68600000000000005</v>
      </c>
      <c r="M997" s="24">
        <f>KI!E1097</f>
        <v>2</v>
      </c>
      <c r="N997" s="108">
        <f>IO!E1097</f>
        <v>0</v>
      </c>
      <c r="O997" s="24">
        <f>'BoC Size'!E1097</f>
        <v>3</v>
      </c>
      <c r="P997" s="24">
        <f>'TMT E DK'!E1097</f>
        <v>0</v>
      </c>
      <c r="Q997" s="24">
        <f>Data!R1097</f>
        <v>3</v>
      </c>
      <c r="R997" s="24">
        <f>Data!S1097</f>
        <v>4</v>
      </c>
      <c r="S997" s="24">
        <f>'TMT E DK'!E1097</f>
        <v>0</v>
      </c>
      <c r="T997" s="24">
        <f>'TMT E DD'!E1097</f>
        <v>0</v>
      </c>
      <c r="U997" s="24">
        <f>TA!E1097</f>
        <v>767127000000</v>
      </c>
      <c r="V997" s="109">
        <f>PR!F1097</f>
        <v>0.12720238896689684</v>
      </c>
      <c r="W997" s="109">
        <f>'Z Score'!I1097</f>
        <v>-0.22483307196852673</v>
      </c>
      <c r="X997" s="109">
        <f>'Z Score'!L1097</f>
        <v>0.25855976911254586</v>
      </c>
      <c r="Y997" s="109">
        <f>'Z Score'!O1097</f>
        <v>0.18640313794195745</v>
      </c>
      <c r="Z997" s="109">
        <f>'Z Score'!R1097</f>
        <v>0.71466553912687236</v>
      </c>
      <c r="AA997" s="109">
        <f>'Z Score'!S1097</f>
        <v>0.93479537421284897</v>
      </c>
    </row>
    <row r="998" spans="1:27" ht="15" customHeight="1" x14ac:dyDescent="0.3">
      <c r="A998" s="22"/>
      <c r="B998" s="23"/>
      <c r="C998" s="2"/>
      <c r="D998" s="23">
        <v>2021</v>
      </c>
      <c r="E998" s="25">
        <f>'Current Ratio'!G1098</f>
        <v>0.73672800338409472</v>
      </c>
      <c r="F998" s="25">
        <f>'Cash Ratio'!G1098</f>
        <v>9.2666032148900165E-2</v>
      </c>
      <c r="G998" s="25">
        <f>DAR!G1098</f>
        <v>0.55046456098677454</v>
      </c>
      <c r="H998" s="25">
        <f>DER!G1098</f>
        <v>1.2245220914039752</v>
      </c>
      <c r="I998" s="25">
        <f>NPM!G1098</f>
        <v>0.18711992043194089</v>
      </c>
      <c r="J998" s="25">
        <f>ROA!G1098</f>
        <v>6.5172153558747475E-2</v>
      </c>
      <c r="K998" s="25">
        <f>ROE!G1098</f>
        <v>0.14497707469850338</v>
      </c>
      <c r="L998" s="25">
        <f>KM!E1098</f>
        <v>0.68600000000000005</v>
      </c>
      <c r="M998" s="24">
        <f>KI!E1098</f>
        <v>2</v>
      </c>
      <c r="N998" s="108">
        <f>IO!E1098</f>
        <v>0</v>
      </c>
      <c r="O998" s="24">
        <f>'BoC Size'!E1098</f>
        <v>3</v>
      </c>
      <c r="P998" s="24">
        <f>'TMT E DK'!E1098</f>
        <v>0</v>
      </c>
      <c r="Q998" s="24">
        <f>Data!R1098</f>
        <v>3</v>
      </c>
      <c r="R998" s="24">
        <f>Data!S1098</f>
        <v>4</v>
      </c>
      <c r="S998" s="24">
        <f>'TMT E DK'!E1098</f>
        <v>0</v>
      </c>
      <c r="T998" s="24">
        <f>'TMT E DD'!E1098</f>
        <v>0</v>
      </c>
      <c r="U998" s="24">
        <f>TA!E1098</f>
        <v>808290000000</v>
      </c>
      <c r="V998" s="109">
        <f>PR!F1098</f>
        <v>-0.39950983006162322</v>
      </c>
      <c r="W998" s="109">
        <f>'Z Score'!I1098</f>
        <v>-0.24245436662583975</v>
      </c>
      <c r="X998" s="109">
        <f>'Z Score'!L1098</f>
        <v>0.45633304878199654</v>
      </c>
      <c r="Y998" s="109">
        <f>'Z Score'!O1098</f>
        <v>0.6020555988568459</v>
      </c>
      <c r="Z998" s="109">
        <f>'Z Score'!R1098</f>
        <v>0.85747738433703802</v>
      </c>
      <c r="AA998" s="109">
        <f>'Z Score'!S1098</f>
        <v>1.6734116653500406</v>
      </c>
    </row>
    <row r="999" spans="1:27" ht="15" customHeight="1" x14ac:dyDescent="0.3">
      <c r="A999" s="22"/>
      <c r="B999" s="23"/>
      <c r="C999" s="2"/>
      <c r="D999" s="23">
        <v>2022</v>
      </c>
      <c r="E999" s="25">
        <f>'Current Ratio'!G1099</f>
        <v>1.3976431391905233</v>
      </c>
      <c r="F999" s="25">
        <f>'Cash Ratio'!G1099</f>
        <v>3.9455824284304046E-2</v>
      </c>
      <c r="G999" s="25">
        <f>DAR!G1099</f>
        <v>0.44532910550588317</v>
      </c>
      <c r="H999" s="25">
        <f>DER!G1099</f>
        <v>0.80287087338888052</v>
      </c>
      <c r="I999" s="25">
        <f>NPM!G1099</f>
        <v>0.2375605477929835</v>
      </c>
      <c r="J999" s="25">
        <f>ROA!G1099</f>
        <v>0.15982904682630411</v>
      </c>
      <c r="K999" s="25">
        <f>ROE!G1099</f>
        <v>0.28815113324465114</v>
      </c>
      <c r="L999" s="25">
        <f>KM!E1099</f>
        <v>0.68600000000000005</v>
      </c>
      <c r="M999" s="24">
        <f>KI!E1099</f>
        <v>2</v>
      </c>
      <c r="N999" s="108">
        <f>IO!E1099</f>
        <v>0</v>
      </c>
      <c r="O999" s="24">
        <f>'BoC Size'!E1099</f>
        <v>3</v>
      </c>
      <c r="P999" s="24">
        <f>'TMT E DK'!E1099</f>
        <v>0</v>
      </c>
      <c r="Q999" s="24">
        <f>Data!R1099</f>
        <v>3</v>
      </c>
      <c r="R999" s="24">
        <f>Data!S1099</f>
        <v>4</v>
      </c>
      <c r="S999" s="24">
        <f>'TMT E DK'!E1099</f>
        <v>0</v>
      </c>
      <c r="T999" s="24">
        <f>'TMT E DD'!E1099</f>
        <v>0</v>
      </c>
      <c r="U999" s="24">
        <f>TA!E1099</f>
        <v>920252000000</v>
      </c>
      <c r="V999" s="109">
        <f>PR!F1099</f>
        <v>1.1992718101733446</v>
      </c>
      <c r="W999" s="109">
        <f>'Z Score'!I1099</f>
        <v>0.27565840661036323</v>
      </c>
      <c r="X999" s="109">
        <f>'Z Score'!L1099</f>
        <v>0.91291846146490307</v>
      </c>
      <c r="Y999" s="109">
        <f>'Z Score'!O1099</f>
        <v>1.0588257998895956</v>
      </c>
      <c r="Z999" s="109">
        <f>'Z Score'!R1099</f>
        <v>1.3078068152703048</v>
      </c>
      <c r="AA999" s="109">
        <f>'Z Score'!S1099</f>
        <v>3.5552094832351666</v>
      </c>
    </row>
    <row r="1000" spans="1:27" ht="15" customHeight="1" x14ac:dyDescent="0.3">
      <c r="A1000" s="22"/>
      <c r="B1000" s="23"/>
      <c r="C1000" s="2"/>
      <c r="D1000" s="23">
        <v>2023</v>
      </c>
      <c r="E1000" s="25">
        <f>'Current Ratio'!G1100</f>
        <v>7.8453176146589518</v>
      </c>
      <c r="F1000" s="25">
        <f>'Cash Ratio'!G1100</f>
        <v>2.2306465834833129</v>
      </c>
      <c r="G1000" s="25">
        <f>DAR!G1100</f>
        <v>0.46370175641321931</v>
      </c>
      <c r="H1000" s="25">
        <f>DER!G1100</f>
        <v>0.86463411349618902</v>
      </c>
      <c r="I1000" s="25">
        <f>NPM!G1100</f>
        <v>0.12129762163142292</v>
      </c>
      <c r="J1000" s="25">
        <f>ROA!G1100</f>
        <v>0.18756627333161136</v>
      </c>
      <c r="K1000" s="25">
        <f>ROE!G1100</f>
        <v>0.34974247179547302</v>
      </c>
      <c r="L1000" s="25">
        <f>KM!E1100</f>
        <v>0.68600000000000005</v>
      </c>
      <c r="M1000" s="24">
        <f>KI!E1100</f>
        <v>2</v>
      </c>
      <c r="N1000" s="108">
        <f>IO!E1100</f>
        <v>0</v>
      </c>
      <c r="O1000" s="24">
        <f>'BoC Size'!E1100</f>
        <v>3</v>
      </c>
      <c r="P1000" s="24">
        <f>'TMT E DK'!E1100</f>
        <v>0</v>
      </c>
      <c r="Q1000" s="24">
        <f>Data!R1100</f>
        <v>3</v>
      </c>
      <c r="R1000" s="24">
        <f>Data!S1100</f>
        <v>4</v>
      </c>
      <c r="S1000" s="24">
        <f>'TMT E DK'!E1100</f>
        <v>0</v>
      </c>
      <c r="T1000" s="24">
        <f>'TMT E DD'!E1100</f>
        <v>0</v>
      </c>
      <c r="U1000" s="24">
        <f>TA!E1100</f>
        <v>1176944000000</v>
      </c>
      <c r="V1000" s="109">
        <f>PR!F1100</f>
        <v>1.9394772417825399</v>
      </c>
      <c r="W1000" s="109">
        <f>'Z Score'!I1100</f>
        <v>3.1587429138514662</v>
      </c>
      <c r="X1000" s="109">
        <f>'Z Score'!L1100</f>
        <v>1.0446234995037997</v>
      </c>
      <c r="Y1000" s="109">
        <f>'Z Score'!O1100</f>
        <v>1.1821995948830191</v>
      </c>
      <c r="Z1000" s="109">
        <f>'Z Score'!R1100</f>
        <v>1.2143865059340251</v>
      </c>
      <c r="AA1000" s="109">
        <f>'Z Score'!S1100</f>
        <v>6.5999525141723101</v>
      </c>
    </row>
    <row r="1001" spans="1:27" ht="15" customHeight="1" x14ac:dyDescent="0.3">
      <c r="A1001" s="22"/>
      <c r="B1001" s="23"/>
      <c r="C1001" s="2"/>
      <c r="D1001" s="23">
        <v>2024</v>
      </c>
      <c r="E1001" s="25">
        <f>'Current Ratio'!G1101</f>
        <v>11.031109088064181</v>
      </c>
      <c r="F1001" s="25">
        <f>'Cash Ratio'!G1101</f>
        <v>3.3718012546051979</v>
      </c>
      <c r="G1001" s="25">
        <f>DAR!G1101</f>
        <v>0.56150404052935121</v>
      </c>
      <c r="H1001" s="25">
        <f>DER!G1101</f>
        <v>1.2805227241026289</v>
      </c>
      <c r="I1001" s="25">
        <f>NPM!G1101</f>
        <v>3.8527921720170229E-2</v>
      </c>
      <c r="J1001" s="25">
        <f>ROA!G1101</f>
        <v>7.7192142245097559E-2</v>
      </c>
      <c r="K1001" s="25">
        <f>ROE!G1101</f>
        <v>0.17603843451210752</v>
      </c>
      <c r="L1001" s="25">
        <f>KM!E1101</f>
        <v>0.68600000000000005</v>
      </c>
      <c r="M1001" s="24">
        <f>KI!E1101</f>
        <v>2</v>
      </c>
      <c r="N1001" s="108">
        <f>IO!E1101</f>
        <v>0</v>
      </c>
      <c r="O1001" s="24">
        <f>'BoC Size'!E1101</f>
        <v>3</v>
      </c>
      <c r="P1001" s="24">
        <f>'TMT E DK'!E1101</f>
        <v>0</v>
      </c>
      <c r="Q1001" s="24">
        <f>Data!R1101</f>
        <v>3</v>
      </c>
      <c r="R1001" s="24">
        <f>Data!S1101</f>
        <v>4</v>
      </c>
      <c r="S1001" s="24">
        <f>'TMT E DK'!E1101</f>
        <v>0</v>
      </c>
      <c r="T1001" s="24">
        <f>'TMT E DD'!E1101</f>
        <v>0</v>
      </c>
      <c r="U1001" s="24">
        <f>TA!E1101</f>
        <v>1733065000000</v>
      </c>
      <c r="V1001" s="109">
        <f>PR!F1101</f>
        <v>0.90789337040405071</v>
      </c>
      <c r="W1001" s="109">
        <f>'Z Score'!I1101</f>
        <v>2.6693126455153151</v>
      </c>
      <c r="X1001" s="109">
        <f>'Z Score'!L1101</f>
        <v>0.96106011026707017</v>
      </c>
      <c r="Y1001" s="109">
        <f>'Z Score'!O1101</f>
        <v>0.47072745684668488</v>
      </c>
      <c r="Z1001" s="109">
        <f>'Z Score'!R1101</f>
        <v>0.81997763900349696</v>
      </c>
      <c r="AA1001" s="109">
        <f>'Z Score'!S1101</f>
        <v>4.9210778516325675</v>
      </c>
    </row>
    <row r="1002" spans="1:27" ht="15" customHeight="1" x14ac:dyDescent="0.3">
      <c r="A1002" s="22"/>
      <c r="B1002" s="23">
        <v>101</v>
      </c>
      <c r="C1002" s="2" t="s">
        <v>120</v>
      </c>
      <c r="D1002" s="23">
        <v>2015</v>
      </c>
      <c r="E1002" s="25">
        <f>'Current Ratio'!G1103</f>
        <v>3.1840986211932476</v>
      </c>
      <c r="F1002" s="25">
        <f>'Cash Ratio'!G1103</f>
        <v>0.14068696934553213</v>
      </c>
      <c r="G1002" s="25">
        <f>DAR!G1103</f>
        <v>0.56988596698376071</v>
      </c>
      <c r="H1002" s="25">
        <f>DER!G1103</f>
        <v>1.3249648308085873</v>
      </c>
      <c r="I1002" s="25">
        <f>NPM!G1103</f>
        <v>0.40360369676210173</v>
      </c>
      <c r="J1002" s="25">
        <f>ROA!G1103</f>
        <v>7.5653519762675384E-2</v>
      </c>
      <c r="K1002" s="25">
        <f>ROE!G1103</f>
        <v>0.17589177277510268</v>
      </c>
      <c r="L1002" s="25">
        <f>KM!E1103</f>
        <v>0.99990000000000001</v>
      </c>
      <c r="M1002" s="24">
        <f>KI!E1103</f>
        <v>2</v>
      </c>
      <c r="N1002" s="108">
        <f>IO!E1103</f>
        <v>0</v>
      </c>
      <c r="O1002" s="24">
        <f>'BoC Size'!E1103</f>
        <v>4</v>
      </c>
      <c r="P1002" s="24">
        <f>'TMT E DK'!E1103</f>
        <v>0</v>
      </c>
      <c r="Q1002" s="24">
        <f>Data!R1103</f>
        <v>4</v>
      </c>
      <c r="R1002" s="24">
        <f>Data!S1103</f>
        <v>6</v>
      </c>
      <c r="S1002" s="24">
        <f>'TMT E DK'!E1103</f>
        <v>0</v>
      </c>
      <c r="T1002" s="24">
        <f>'TMT E DD'!E1103</f>
        <v>0</v>
      </c>
      <c r="U1002" s="24">
        <f>TA!E1103</f>
        <v>6191014000000</v>
      </c>
      <c r="V1002" s="109">
        <f>PR!F1103</f>
        <v>0.22897043841459927</v>
      </c>
      <c r="W1002" s="109">
        <f>'Z Score'!I1103</f>
        <v>1.1314496268301122</v>
      </c>
      <c r="X1002" s="109">
        <f>'Z Score'!L1103</f>
        <v>1.3086361297196225</v>
      </c>
      <c r="Y1002" s="109">
        <f>'Z Score'!O1103</f>
        <v>0.53761940774160744</v>
      </c>
      <c r="Z1002" s="109">
        <f>'Z Score'!R1103</f>
        <v>0.79247386465285707</v>
      </c>
      <c r="AA1002" s="109">
        <f>'Z Score'!S1103</f>
        <v>3.7701790289441992</v>
      </c>
    </row>
    <row r="1003" spans="1:27" ht="15" customHeight="1" x14ac:dyDescent="0.3">
      <c r="A1003" s="22"/>
      <c r="B1003" s="23"/>
      <c r="C1003" s="2"/>
      <c r="D1003" s="23">
        <v>2016</v>
      </c>
      <c r="E1003" s="25">
        <f>'Current Ratio'!G1104</f>
        <v>2.5071610910151567</v>
      </c>
      <c r="F1003" s="25">
        <f>'Cash Ratio'!G1104</f>
        <v>9.9544168400075794E-2</v>
      </c>
      <c r="G1003" s="25">
        <f>DAR!G1104</f>
        <v>0.5424619457581491</v>
      </c>
      <c r="H1003" s="25">
        <f>DER!G1104</f>
        <v>1.1856105535462369</v>
      </c>
      <c r="I1003" s="25">
        <f>NPM!G1104</f>
        <v>0.40348542601739706</v>
      </c>
      <c r="J1003" s="25">
        <f>ROA!G1104</f>
        <v>8.1635564233085892E-2</v>
      </c>
      <c r="K1003" s="25">
        <f>ROE!G1104</f>
        <v>0.17842355073253421</v>
      </c>
      <c r="L1003" s="25">
        <f>KM!E1104</f>
        <v>0.99990000000000001</v>
      </c>
      <c r="M1003" s="24">
        <f>KI!E1104</f>
        <v>2</v>
      </c>
      <c r="N1003" s="108">
        <f>IO!E1104</f>
        <v>0</v>
      </c>
      <c r="O1003" s="24">
        <f>'BoC Size'!E1104</f>
        <v>4</v>
      </c>
      <c r="P1003" s="24">
        <f>'TMT E DK'!E1104</f>
        <v>0</v>
      </c>
      <c r="Q1003" s="24">
        <f>Data!R1104</f>
        <v>4</v>
      </c>
      <c r="R1003" s="24">
        <f>Data!S1104</f>
        <v>6</v>
      </c>
      <c r="S1003" s="24">
        <f>'TMT E DK'!E1104</f>
        <v>0</v>
      </c>
      <c r="T1003" s="24">
        <f>'TMT E DD'!E1104</f>
        <v>0</v>
      </c>
      <c r="U1003" s="24">
        <f>TA!E1104</f>
        <v>5916686000000</v>
      </c>
      <c r="V1003" s="109">
        <f>PR!F1104</f>
        <v>3.155949072578039E-2</v>
      </c>
      <c r="W1003" s="109">
        <f>'Z Score'!I1104</f>
        <v>0.78486909732914667</v>
      </c>
      <c r="X1003" s="109">
        <f>'Z Score'!L1104</f>
        <v>1.3975954512373987</v>
      </c>
      <c r="Y1003" s="109">
        <f>'Z Score'!O1104</f>
        <v>0.58701412243272666</v>
      </c>
      <c r="Z1003" s="109">
        <f>'Z Score'!R1104</f>
        <v>0.88561964707498853</v>
      </c>
      <c r="AA1003" s="109">
        <f>'Z Score'!S1104</f>
        <v>3.6550983180742604</v>
      </c>
    </row>
    <row r="1004" spans="1:27" ht="15" customHeight="1" x14ac:dyDescent="0.3">
      <c r="A1004" s="22"/>
      <c r="B1004" s="23"/>
      <c r="C1004" s="2"/>
      <c r="D1004" s="23">
        <v>2017</v>
      </c>
      <c r="E1004" s="25">
        <f>'Current Ratio'!G1105</f>
        <v>1.8343976036645773</v>
      </c>
      <c r="F1004" s="25">
        <f>'Cash Ratio'!G1105</f>
        <v>7.6833649558989858E-2</v>
      </c>
      <c r="G1004" s="25">
        <f>DAR!G1105</f>
        <v>0.89392213769931872</v>
      </c>
      <c r="H1004" s="25">
        <f>DER!G1105</f>
        <v>8.4270376335965995</v>
      </c>
      <c r="I1004" s="25">
        <f>NPM!G1105</f>
        <v>5.3758640302148344E-2</v>
      </c>
      <c r="J1004" s="25">
        <f>ROA!G1105</f>
        <v>1.8159528052071886E-2</v>
      </c>
      <c r="K1004" s="25">
        <f>ROE!G1105</f>
        <v>0.17119055435523484</v>
      </c>
      <c r="L1004" s="25">
        <f>KM!E1105</f>
        <v>0.99990000000000001</v>
      </c>
      <c r="M1004" s="24">
        <f>KI!E1105</f>
        <v>2</v>
      </c>
      <c r="N1004" s="108">
        <f>IO!E1105</f>
        <v>0</v>
      </c>
      <c r="O1004" s="24">
        <f>'BoC Size'!E1105</f>
        <v>4</v>
      </c>
      <c r="P1004" s="24">
        <f>'TMT E DK'!E1105</f>
        <v>0</v>
      </c>
      <c r="Q1004" s="24">
        <f>Data!R1105</f>
        <v>4</v>
      </c>
      <c r="R1004" s="24">
        <f>Data!S1105</f>
        <v>6</v>
      </c>
      <c r="S1004" s="24">
        <f>'TMT E DK'!E1105</f>
        <v>0</v>
      </c>
      <c r="T1004" s="24">
        <f>'TMT E DD'!E1105</f>
        <v>0</v>
      </c>
      <c r="U1004" s="24">
        <f>TA!E1105</f>
        <v>31271077000000</v>
      </c>
      <c r="V1004" s="109">
        <f>PR!F1105</f>
        <v>7.8240721945302774</v>
      </c>
      <c r="W1004" s="109">
        <f>'Z Score'!I1105</f>
        <v>0.28376256820319939</v>
      </c>
      <c r="X1004" s="109">
        <f>'Z Score'!L1105</f>
        <v>0.32242020126137644</v>
      </c>
      <c r="Y1004" s="109">
        <f>'Z Score'!O1105</f>
        <v>0.13784615605020575</v>
      </c>
      <c r="Z1004" s="109">
        <f>'Z Score'!R1105</f>
        <v>0.12459894516358858</v>
      </c>
      <c r="AA1004" s="109">
        <f>'Z Score'!S1105</f>
        <v>0.86862787067837022</v>
      </c>
    </row>
    <row r="1005" spans="1:27" ht="15" customHeight="1" x14ac:dyDescent="0.3">
      <c r="A1005" s="22"/>
      <c r="B1005" s="23"/>
      <c r="C1005" s="2"/>
      <c r="D1005" s="23">
        <v>2018</v>
      </c>
      <c r="E1005" s="25">
        <f>'Current Ratio'!G1106</f>
        <v>1.4040361415746201</v>
      </c>
      <c r="F1005" s="25">
        <f>'Cash Ratio'!G1106</f>
        <v>0</v>
      </c>
      <c r="G1005" s="25">
        <f>DAR!G1106</f>
        <v>0.90263769681043937</v>
      </c>
      <c r="H1005" s="25">
        <f>DER!G1106</f>
        <v>9.2709180490226863</v>
      </c>
      <c r="I1005" s="25">
        <f>NPM!G1106</f>
        <v>2.2563327702475475E-2</v>
      </c>
      <c r="J1005" s="25">
        <f>ROA!G1106</f>
        <v>1.424337708593853E-2</v>
      </c>
      <c r="K1005" s="25">
        <f>ROE!G1106</f>
        <v>0.14629256253275558</v>
      </c>
      <c r="L1005" s="25">
        <f>KM!E1106</f>
        <v>0.99990000000000001</v>
      </c>
      <c r="M1005" s="24">
        <f>KI!E1106</f>
        <v>2</v>
      </c>
      <c r="N1005" s="108">
        <f>IO!E1106</f>
        <v>0</v>
      </c>
      <c r="O1005" s="24">
        <f>'BoC Size'!E1106</f>
        <v>4</v>
      </c>
      <c r="P1005" s="24">
        <f>'TMT E DK'!E1106</f>
        <v>0</v>
      </c>
      <c r="Q1005" s="24">
        <f>Data!R1106</f>
        <v>4</v>
      </c>
      <c r="R1005" s="24">
        <f>Data!S1106</f>
        <v>6</v>
      </c>
      <c r="S1005" s="24">
        <f>'TMT E DK'!E1106</f>
        <v>0</v>
      </c>
      <c r="T1005" s="24">
        <f>'TMT E DD'!E1106</f>
        <v>0</v>
      </c>
      <c r="U1005" s="24">
        <f>TA!E1106</f>
        <v>39097329000000</v>
      </c>
      <c r="V1005" s="109">
        <f>PR!F1106</f>
        <v>1.3364569819548611</v>
      </c>
      <c r="W1005" s="109">
        <f>'Z Score'!I1106</f>
        <v>0.12916264024071822</v>
      </c>
      <c r="X1005" s="109">
        <f>'Z Score'!L1106</f>
        <v>0.29495068115778444</v>
      </c>
      <c r="Y1005" s="109">
        <f>'Z Score'!O1106</f>
        <v>9.5544130904696836E-2</v>
      </c>
      <c r="Z1005" s="109">
        <f>'Z Score'!R1106</f>
        <v>0.11325739203472822</v>
      </c>
      <c r="AA1005" s="109">
        <f>'Z Score'!S1106</f>
        <v>0.63291484433792766</v>
      </c>
    </row>
    <row r="1006" spans="1:27" ht="15" customHeight="1" x14ac:dyDescent="0.3">
      <c r="A1006" s="22"/>
      <c r="B1006" s="23"/>
      <c r="C1006" s="2"/>
      <c r="D1006" s="23">
        <v>2019</v>
      </c>
      <c r="E1006" s="25">
        <f>'Current Ratio'!G1107</f>
        <v>1.5466762602637791</v>
      </c>
      <c r="F1006" s="25">
        <f>'Cash Ratio'!G1107</f>
        <v>0.15145695767803641</v>
      </c>
      <c r="G1006" s="25">
        <f>DAR!G1107</f>
        <v>0.90183267730913608</v>
      </c>
      <c r="H1006" s="25">
        <f>DER!G1107</f>
        <v>9.1866912397325002</v>
      </c>
      <c r="I1006" s="25">
        <f>NPM!G1107</f>
        <v>2.6406349176480756E-2</v>
      </c>
      <c r="J1006" s="25">
        <f>ROA!G1107</f>
        <v>1.6999335810271091E-2</v>
      </c>
      <c r="K1006" s="25">
        <f>ROE!G1107</f>
        <v>0.17316698906437633</v>
      </c>
      <c r="L1006" s="25">
        <f>KM!E1107</f>
        <v>0.99990000000000001</v>
      </c>
      <c r="M1006" s="24">
        <f>KI!E1107</f>
        <v>2</v>
      </c>
      <c r="N1006" s="108">
        <f>IO!E1107</f>
        <v>0</v>
      </c>
      <c r="O1006" s="24">
        <f>'BoC Size'!E1107</f>
        <v>4</v>
      </c>
      <c r="P1006" s="24">
        <f>'TMT E DK'!E1107</f>
        <v>0</v>
      </c>
      <c r="Q1006" s="24">
        <f>Data!R1107</f>
        <v>4</v>
      </c>
      <c r="R1006" s="24">
        <f>Data!S1107</f>
        <v>6</v>
      </c>
      <c r="S1006" s="24">
        <f>'TMT E DK'!E1107</f>
        <v>0</v>
      </c>
      <c r="T1006" s="24">
        <f>'TMT E DD'!E1107</f>
        <v>0</v>
      </c>
      <c r="U1006" s="24">
        <f>TA!E1107</f>
        <v>44577624000000</v>
      </c>
      <c r="V1006" s="109">
        <f>PR!F1107</f>
        <v>0.16274263727383717</v>
      </c>
      <c r="W1006" s="109">
        <f>'Z Score'!I1107</f>
        <v>0.1438973992871401</v>
      </c>
      <c r="X1006" s="109">
        <f>'Z Score'!L1107</f>
        <v>0.30028364993163387</v>
      </c>
      <c r="Y1006" s="109">
        <f>'Z Score'!O1107</f>
        <v>0.11328552100488801</v>
      </c>
      <c r="Z1006" s="109">
        <f>'Z Score'!R1107</f>
        <v>0.11429577555178334</v>
      </c>
      <c r="AA1006" s="109">
        <f>'Z Score'!S1107</f>
        <v>0.67176234577544536</v>
      </c>
    </row>
    <row r="1007" spans="1:27" ht="15" customHeight="1" x14ac:dyDescent="0.3">
      <c r="A1007" s="22"/>
      <c r="B1007" s="23"/>
      <c r="C1007" s="2"/>
      <c r="D1007" s="23">
        <v>2020</v>
      </c>
      <c r="E1007" s="25">
        <f>'Current Ratio'!G1108</f>
        <v>1.4984089664639921</v>
      </c>
      <c r="F1007" s="25">
        <f>'Cash Ratio'!G1108</f>
        <v>0.26673154325841386</v>
      </c>
      <c r="G1007" s="25">
        <f>DAR!G1108</f>
        <v>0.88846412045685752</v>
      </c>
      <c r="H1007" s="25">
        <f>DER!G1108</f>
        <v>7.9657263827426101</v>
      </c>
      <c r="I1007" s="25">
        <f>NPM!G1108</f>
        <v>3.0467211290352906E-2</v>
      </c>
      <c r="J1007" s="25">
        <f>ROA!G1108</f>
        <v>1.9934700635112802E-2</v>
      </c>
      <c r="K1007" s="25">
        <f>ROE!G1108</f>
        <v>0.17872907540660188</v>
      </c>
      <c r="L1007" s="25">
        <f>KM!E1108</f>
        <v>0.99990000000000001</v>
      </c>
      <c r="M1007" s="24">
        <f>KI!E1108</f>
        <v>2</v>
      </c>
      <c r="N1007" s="108">
        <f>IO!E1108</f>
        <v>0</v>
      </c>
      <c r="O1007" s="24">
        <f>'BoC Size'!E1108</f>
        <v>4</v>
      </c>
      <c r="P1007" s="24">
        <f>'TMT E DK'!E1108</f>
        <v>0</v>
      </c>
      <c r="Q1007" s="24">
        <f>Data!R1108</f>
        <v>4</v>
      </c>
      <c r="R1007" s="24">
        <f>Data!S1108</f>
        <v>6</v>
      </c>
      <c r="S1007" s="24">
        <f>'TMT E DK'!E1108</f>
        <v>0</v>
      </c>
      <c r="T1007" s="24">
        <f>'TMT E DD'!E1108</f>
        <v>0</v>
      </c>
      <c r="U1007" s="24">
        <f>TA!E1108</f>
        <v>44790941000000</v>
      </c>
      <c r="V1007" s="109">
        <f>PR!F1108</f>
        <v>2.1237354848972542E-2</v>
      </c>
      <c r="W1007" s="109">
        <f>'Z Score'!I1108</f>
        <v>0.14064408961624628</v>
      </c>
      <c r="X1007" s="109">
        <f>'Z Score'!L1108</f>
        <v>0.3439793993164823</v>
      </c>
      <c r="Y1007" s="109">
        <f>'Z Score'!O1108</f>
        <v>0.13616978486788209</v>
      </c>
      <c r="Z1007" s="109">
        <f>'Z Score'!R1108</f>
        <v>0.13181472091167706</v>
      </c>
      <c r="AA1007" s="109">
        <f>'Z Score'!S1108</f>
        <v>0.75260799471228768</v>
      </c>
    </row>
    <row r="1008" spans="1:27" ht="15" customHeight="1" x14ac:dyDescent="0.3">
      <c r="A1008" s="22"/>
      <c r="B1008" s="23"/>
      <c r="C1008" s="2"/>
      <c r="D1008" s="23">
        <v>2021</v>
      </c>
      <c r="E1008" s="25">
        <f>'Current Ratio'!G1109</f>
        <v>2.4787379389396946</v>
      </c>
      <c r="F1008" s="25">
        <f>'Cash Ratio'!G1109</f>
        <v>0.2623251720845009</v>
      </c>
      <c r="G1008" s="25">
        <f>DAR!G1109</f>
        <v>0.90547886392842325</v>
      </c>
      <c r="H1008" s="25">
        <f>DER!G1109</f>
        <v>9.5796443161955125</v>
      </c>
      <c r="I1008" s="25">
        <f>NPM!G1109</f>
        <v>7.0489064140311867E-3</v>
      </c>
      <c r="J1008" s="25">
        <f>ROA!G1109</f>
        <v>3.9368103083004665E-3</v>
      </c>
      <c r="K1008" s="25">
        <f>ROE!G1109</f>
        <v>4.1650052802150936E-2</v>
      </c>
      <c r="L1008" s="25">
        <f>KM!E1109</f>
        <v>0.99990000000000001</v>
      </c>
      <c r="M1008" s="24">
        <f>KI!E1109</f>
        <v>2</v>
      </c>
      <c r="N1008" s="108">
        <f>IO!E1109</f>
        <v>0</v>
      </c>
      <c r="O1008" s="24">
        <f>'BoC Size'!E1109</f>
        <v>5</v>
      </c>
      <c r="P1008" s="24">
        <f>'TMT E DK'!E1109</f>
        <v>0</v>
      </c>
      <c r="Q1008" s="24">
        <f>Data!R1109</f>
        <v>5</v>
      </c>
      <c r="R1008" s="24">
        <f>Data!S1109</f>
        <v>7</v>
      </c>
      <c r="S1008" s="24">
        <f>'TMT E DK'!E1109</f>
        <v>0</v>
      </c>
      <c r="T1008" s="24">
        <f>'TMT E DD'!E1109</f>
        <v>0</v>
      </c>
      <c r="U1008" s="24">
        <f>TA!E1109</f>
        <v>47706642000000</v>
      </c>
      <c r="V1008" s="109">
        <f>PR!F1109</f>
        <v>-9.0852408282209959E-2</v>
      </c>
      <c r="W1008" s="109">
        <f>'Z Score'!I1109</f>
        <v>0.38263511567215314</v>
      </c>
      <c r="X1008" s="109">
        <f>'Z Score'!L1109</f>
        <v>0.28903584494586726</v>
      </c>
      <c r="Y1008" s="109">
        <f>'Z Score'!O1109</f>
        <v>3.0947982463322404E-2</v>
      </c>
      <c r="Z1008" s="109">
        <f>'Z Score'!R1109</f>
        <v>0.10960740976832009</v>
      </c>
      <c r="AA1008" s="109">
        <f>'Z Score'!S1109</f>
        <v>0.81222635284966294</v>
      </c>
    </row>
    <row r="1009" spans="1:27" ht="15" customHeight="1" x14ac:dyDescent="0.3">
      <c r="A1009" s="22"/>
      <c r="B1009" s="23"/>
      <c r="C1009" s="2"/>
      <c r="D1009" s="23">
        <v>2022</v>
      </c>
      <c r="E1009" s="25">
        <f>'Current Ratio'!G1110</f>
        <v>1.7780036715050265</v>
      </c>
      <c r="F1009" s="25">
        <f>'Cash Ratio'!G1110</f>
        <v>0.14473189027105221</v>
      </c>
      <c r="G1009" s="25">
        <f>DAR!G1110</f>
        <v>0.89145691018169892</v>
      </c>
      <c r="H1009" s="25">
        <f>DER!G1110</f>
        <v>8.2129159064375585</v>
      </c>
      <c r="I1009" s="25">
        <f>NPM!G1110</f>
        <v>1.679362027518564E-2</v>
      </c>
      <c r="J1009" s="25">
        <f>ROA!G1110</f>
        <v>7.8451665793101508E-3</v>
      </c>
      <c r="K1009" s="25">
        <f>ROE!G1110</f>
        <v>7.2276845523286185E-2</v>
      </c>
      <c r="L1009" s="25">
        <f>KM!E1110</f>
        <v>0.99990000000000001</v>
      </c>
      <c r="M1009" s="24">
        <f>KI!E1110</f>
        <v>2</v>
      </c>
      <c r="N1009" s="108">
        <f>IO!E1110</f>
        <v>0</v>
      </c>
      <c r="O1009" s="24">
        <f>'BoC Size'!E1110</f>
        <v>4</v>
      </c>
      <c r="P1009" s="24">
        <f>'TMT E DK'!E1110</f>
        <v>0</v>
      </c>
      <c r="Q1009" s="24">
        <f>Data!R1110</f>
        <v>4</v>
      </c>
      <c r="R1009" s="24">
        <f>Data!S1110</f>
        <v>6</v>
      </c>
      <c r="S1009" s="24">
        <f>'TMT E DK'!E1110</f>
        <v>0</v>
      </c>
      <c r="T1009" s="24">
        <f>'TMT E DD'!E1110</f>
        <v>0</v>
      </c>
      <c r="U1009" s="24">
        <f>TA!E1110</f>
        <v>45035755000000</v>
      </c>
      <c r="V1009" s="109">
        <f>PR!F1110</f>
        <v>-0.21038808055792246</v>
      </c>
      <c r="W1009" s="109">
        <f>'Z Score'!I1110</f>
        <v>0.33545443703563976</v>
      </c>
      <c r="X1009" s="109">
        <f>'Z Score'!L1110</f>
        <v>0.33126835688665596</v>
      </c>
      <c r="Y1009" s="109">
        <f>'Z Score'!O1110</f>
        <v>7.9061149524416771E-2</v>
      </c>
      <c r="Z1009" s="109">
        <f>'Z Score'!R1110</f>
        <v>0.12784740668986699</v>
      </c>
      <c r="AA1009" s="109">
        <f>'Z Score'!S1110</f>
        <v>0.87363135013657955</v>
      </c>
    </row>
    <row r="1010" spans="1:27" ht="15" customHeight="1" x14ac:dyDescent="0.3">
      <c r="A1010" s="22"/>
      <c r="B1010" s="23"/>
      <c r="C1010" s="2"/>
      <c r="D1010" s="23">
        <v>2023</v>
      </c>
      <c r="E1010" s="25">
        <f>'Current Ratio'!G1111</f>
        <v>2.0621617971986779</v>
      </c>
      <c r="F1010" s="25">
        <f>'Cash Ratio'!G1111</f>
        <v>0.26775035080131437</v>
      </c>
      <c r="G1010" s="25">
        <f>DAR!G1111</f>
        <v>0.86306570022639029</v>
      </c>
      <c r="H1010" s="25">
        <f>DER!G1111</f>
        <v>6.3027722174303777</v>
      </c>
      <c r="I1010" s="25">
        <f>NPM!G1111</f>
        <v>4.4047074616353418E-2</v>
      </c>
      <c r="J1010" s="25">
        <f>ROA!G1111</f>
        <v>1.6593889814814584E-2</v>
      </c>
      <c r="K1010" s="25">
        <f>ROE!G1111</f>
        <v>0.12118139751872888</v>
      </c>
      <c r="L1010" s="25">
        <f>KM!E1111</f>
        <v>0.99990000000000001</v>
      </c>
      <c r="M1010" s="24">
        <f>KI!E1111</f>
        <v>2</v>
      </c>
      <c r="N1010" s="108">
        <f>IO!E1111</f>
        <v>0</v>
      </c>
      <c r="O1010" s="24">
        <f>'BoC Size'!E1111</f>
        <v>4</v>
      </c>
      <c r="P1010" s="24">
        <f>'TMT E DK'!E1111</f>
        <v>0</v>
      </c>
      <c r="Q1010" s="24">
        <f>Data!R1111</f>
        <v>4</v>
      </c>
      <c r="R1010" s="24">
        <f>Data!S1111</f>
        <v>6</v>
      </c>
      <c r="S1010" s="24">
        <f>'TMT E DK'!E1111</f>
        <v>0</v>
      </c>
      <c r="T1010" s="24">
        <f>'TMT E DD'!E1111</f>
        <v>0</v>
      </c>
      <c r="U1010" s="24">
        <f>TA!E1111</f>
        <v>40386010000000</v>
      </c>
      <c r="V1010" s="109">
        <f>PR!F1111</f>
        <v>-0.27681935877158687</v>
      </c>
      <c r="W1010" s="109">
        <f>'Z Score'!I1111</f>
        <v>0.44078978834502341</v>
      </c>
      <c r="X1010" s="109">
        <f>'Z Score'!L1111</f>
        <v>0.41809679341930533</v>
      </c>
      <c r="Y1010" s="109">
        <f>'Z Score'!O1111</f>
        <v>0.11692025035402109</v>
      </c>
      <c r="Z1010" s="109">
        <f>'Z Score'!R1111</f>
        <v>0.16659335983874124</v>
      </c>
      <c r="AA1010" s="109">
        <f>'Z Score'!S1111</f>
        <v>1.142400191957091</v>
      </c>
    </row>
    <row r="1011" spans="1:27" ht="15" customHeight="1" x14ac:dyDescent="0.3">
      <c r="A1011" s="22"/>
      <c r="B1011" s="23"/>
      <c r="C1011" s="2"/>
      <c r="D1011" s="23">
        <v>2024</v>
      </c>
      <c r="E1011" s="25">
        <f>'Current Ratio'!G1112</f>
        <v>1.688608075987529</v>
      </c>
      <c r="F1011" s="25">
        <f>'Cash Ratio'!G1112</f>
        <v>0.15961304759896874</v>
      </c>
      <c r="G1011" s="25">
        <f>DAR!G1112</f>
        <v>0.84847339727356497</v>
      </c>
      <c r="H1011" s="25">
        <f>DER!G1112</f>
        <v>5.5995012229330596</v>
      </c>
      <c r="I1011" s="25">
        <f>NPM!G1112</f>
        <v>4.2900983235218439E-2</v>
      </c>
      <c r="J1011" s="25">
        <f>ROA!G1112</f>
        <v>1.5592400331426665E-2</v>
      </c>
      <c r="K1011" s="25">
        <f>ROE!G1112</f>
        <v>0.10290206505571213</v>
      </c>
      <c r="L1011" s="25">
        <f>KM!E1112</f>
        <v>0.99990000000000001</v>
      </c>
      <c r="M1011" s="24">
        <f>KI!E1112</f>
        <v>2</v>
      </c>
      <c r="N1011" s="108">
        <f>IO!E1112</f>
        <v>0</v>
      </c>
      <c r="O1011" s="24">
        <f>'BoC Size'!E1112</f>
        <v>3</v>
      </c>
      <c r="P1011" s="24">
        <f>'TMT E DK'!E1112</f>
        <v>0</v>
      </c>
      <c r="Q1011" s="24">
        <f>Data!R1112</f>
        <v>3</v>
      </c>
      <c r="R1011" s="24">
        <f>Data!S1112</f>
        <v>6</v>
      </c>
      <c r="S1011" s="24">
        <f>'TMT E DK'!E1112</f>
        <v>0</v>
      </c>
      <c r="T1011" s="24">
        <f>'TMT E DD'!E1112</f>
        <v>0</v>
      </c>
      <c r="U1011" s="24">
        <f>TA!E1112</f>
        <v>40268335000000</v>
      </c>
      <c r="V1011" s="109">
        <f>PR!F1112</f>
        <v>-3.8061463638936512E-2</v>
      </c>
      <c r="W1011" s="109">
        <f>'Z Score'!I1112</f>
        <v>0.29105237154702324</v>
      </c>
      <c r="X1011" s="109">
        <f>'Z Score'!L1112</f>
        <v>0.46924608876925256</v>
      </c>
      <c r="Y1011" s="109">
        <f>'Z Score'!O1112</f>
        <v>0.12907973274782777</v>
      </c>
      <c r="Z1011" s="109">
        <f>'Z Score'!R1112</f>
        <v>0.18751670161257727</v>
      </c>
      <c r="AA1011" s="109">
        <f>'Z Score'!S1112</f>
        <v>1.076894894676681</v>
      </c>
    </row>
    <row r="1012" spans="1:27" ht="15" customHeight="1" x14ac:dyDescent="0.3">
      <c r="A1012" s="22"/>
      <c r="B1012" s="23">
        <v>102</v>
      </c>
      <c r="C1012" s="1" t="s">
        <v>134</v>
      </c>
      <c r="D1012" s="23">
        <v>2015</v>
      </c>
      <c r="E1012" s="25">
        <f>'Current Ratio'!G1114</f>
        <v>9.6507462686567163</v>
      </c>
      <c r="F1012" s="25">
        <f>'Cash Ratio'!G1114</f>
        <v>5.2619402985074624</v>
      </c>
      <c r="G1012" s="25">
        <f>DAR!G1114</f>
        <v>6.8319846296627976E-2</v>
      </c>
      <c r="H1012" s="25">
        <f>DER!G1114</f>
        <v>7.3624368332397536E-2</v>
      </c>
      <c r="I1012" s="25">
        <f>NPM!G1114</f>
        <v>2.5392817059483725E-2</v>
      </c>
      <c r="J1012" s="25">
        <f>ROA!G1114</f>
        <v>2.9470667730432942E-3</v>
      </c>
      <c r="K1012" s="25">
        <f>ROE!G1114</f>
        <v>3.1758843346434587E-3</v>
      </c>
      <c r="L1012" s="25">
        <f>KM!E1114</f>
        <v>0</v>
      </c>
      <c r="M1012" s="24">
        <f>KI!E1114</f>
        <v>0</v>
      </c>
      <c r="N1012" s="108">
        <f>IO!E1114</f>
        <v>0</v>
      </c>
      <c r="O1012" s="24">
        <f>'BoC Size'!E1114</f>
        <v>0</v>
      </c>
      <c r="P1012" s="24">
        <f>'TMT E DK'!E1114</f>
        <v>0</v>
      </c>
      <c r="Q1012" s="24">
        <f>Data!R1114</f>
        <v>0</v>
      </c>
      <c r="R1012" s="24">
        <f>Data!S1114</f>
        <v>0</v>
      </c>
      <c r="S1012" s="24">
        <f>'TMT E DK'!E1114</f>
        <v>0</v>
      </c>
      <c r="T1012" s="24">
        <f>'TMT E DD'!E1114</f>
        <v>0</v>
      </c>
      <c r="U1012" s="24">
        <f>TA!E1114</f>
        <v>61417000000</v>
      </c>
      <c r="V1012" s="109">
        <f>PR!F1114</f>
        <v>0</v>
      </c>
      <c r="W1012" s="109">
        <f>'Z Score'!I1114</f>
        <v>1.2381510005373104</v>
      </c>
      <c r="X1012" s="109">
        <f>'Z Score'!L1114</f>
        <v>2.6004839051077062</v>
      </c>
      <c r="Y1012" s="109">
        <f>'Z Score'!O1114</f>
        <v>5.9631698064053926E-2</v>
      </c>
      <c r="Z1012" s="109">
        <f>'Z Score'!R1114</f>
        <v>14.261582459485224</v>
      </c>
      <c r="AA1012" s="109">
        <f>'Z Score'!S1114</f>
        <v>18.159849063194294</v>
      </c>
    </row>
    <row r="1013" spans="1:27" ht="15" customHeight="1" x14ac:dyDescent="0.3">
      <c r="A1013" s="22"/>
      <c r="B1013" s="23"/>
      <c r="C1013" s="1"/>
      <c r="D1013" s="23">
        <v>2016</v>
      </c>
      <c r="E1013" s="25">
        <f>'Current Ratio'!G1115</f>
        <v>9.5469940728196452</v>
      </c>
      <c r="F1013" s="25">
        <f>'Cash Ratio'!G1115</f>
        <v>3.0609652836579171</v>
      </c>
      <c r="G1013" s="25">
        <f>DAR!G1115</f>
        <v>7.802486591157079E-2</v>
      </c>
      <c r="H1013" s="25">
        <f>DER!G1115</f>
        <v>8.7085541776016739E-2</v>
      </c>
      <c r="I1013" s="25">
        <f>NPM!G1115</f>
        <v>2.9042224510813595E-2</v>
      </c>
      <c r="J1013" s="25">
        <f>ROA!G1115</f>
        <v>4.3338609783460632E-3</v>
      </c>
      <c r="K1013" s="25">
        <f>ROE!G1115</f>
        <v>4.8371327123964388E-3</v>
      </c>
      <c r="L1013" s="25">
        <f>KM!E1115</f>
        <v>0.6</v>
      </c>
      <c r="M1013" s="24">
        <f>KI!E1115</f>
        <v>2</v>
      </c>
      <c r="N1013" s="108">
        <f>IO!E1115</f>
        <v>0.9</v>
      </c>
      <c r="O1013" s="24">
        <f>'BoC Size'!E1115</f>
        <v>4</v>
      </c>
      <c r="P1013" s="24">
        <f>'TMT E DK'!E1115</f>
        <v>0</v>
      </c>
      <c r="Q1013" s="24">
        <f>Data!R1115</f>
        <v>4</v>
      </c>
      <c r="R1013" s="24">
        <f>Data!S1115</f>
        <v>3</v>
      </c>
      <c r="S1013" s="24">
        <f>'TMT E DK'!E1115</f>
        <v>0</v>
      </c>
      <c r="T1013" s="24">
        <f>'TMT E DD'!E1115</f>
        <v>0</v>
      </c>
      <c r="U1013" s="24">
        <f>TA!E1115</f>
        <v>65069000000</v>
      </c>
      <c r="V1013" s="109">
        <f>PR!F1115</f>
        <v>0.36223344556677889</v>
      </c>
      <c r="W1013" s="109">
        <f>'Z Score'!I1115</f>
        <v>1.0176372773517344</v>
      </c>
      <c r="X1013" s="109">
        <f>'Z Score'!L1115</f>
        <v>2.4686600378060213</v>
      </c>
      <c r="Y1013" s="109">
        <f>'Z Score'!O1115</f>
        <v>5.9589666354177867E-2</v>
      </c>
      <c r="Z1013" s="109">
        <f>'Z Score'!R1115</f>
        <v>12.057110498325782</v>
      </c>
      <c r="AA1013" s="109">
        <f>'Z Score'!S1115</f>
        <v>15.602997479837715</v>
      </c>
    </row>
    <row r="1014" spans="1:27" ht="15" customHeight="1" x14ac:dyDescent="0.3">
      <c r="A1014" s="22"/>
      <c r="B1014" s="23"/>
      <c r="C1014" s="1"/>
      <c r="D1014" s="23">
        <v>2017</v>
      </c>
      <c r="E1014" s="25">
        <f>'Current Ratio'!G1116</f>
        <v>122.53153153153153</v>
      </c>
      <c r="F1014" s="25">
        <f>'Cash Ratio'!G1116</f>
        <v>44.846846846846844</v>
      </c>
      <c r="G1014" s="25">
        <f>DAR!G1116</f>
        <v>9.3226163086025035E-2</v>
      </c>
      <c r="H1014" s="25">
        <f>DER!G1116</f>
        <v>0.10818683033392282</v>
      </c>
      <c r="I1014" s="25">
        <f>NPM!G1116</f>
        <v>-2.4030759371996156E-4</v>
      </c>
      <c r="J1014" s="25">
        <f>ROA!G1116</f>
        <v>-4.4820270714435116E-5</v>
      </c>
      <c r="K1014" s="25">
        <f>ROE!G1116</f>
        <v>-5.2012899199001353E-5</v>
      </c>
      <c r="L1014" s="25">
        <f>KM!E1116</f>
        <v>0.6</v>
      </c>
      <c r="M1014" s="24">
        <f>KI!E1116</f>
        <v>2</v>
      </c>
      <c r="N1014" s="108">
        <f>IO!E1116</f>
        <v>0.9</v>
      </c>
      <c r="O1014" s="24">
        <f>'BoC Size'!E1116</f>
        <v>4</v>
      </c>
      <c r="P1014" s="24">
        <f>'TMT E DK'!E1116</f>
        <v>0</v>
      </c>
      <c r="Q1014" s="24">
        <f>Data!R1116</f>
        <v>4</v>
      </c>
      <c r="R1014" s="24">
        <f>Data!S1116</f>
        <v>3</v>
      </c>
      <c r="S1014" s="24">
        <f>'TMT E DK'!E1116</f>
        <v>0</v>
      </c>
      <c r="T1014" s="24">
        <f>'TMT E DD'!E1116</f>
        <v>0</v>
      </c>
      <c r="U1014" s="24">
        <f>TA!E1116</f>
        <v>66934000000</v>
      </c>
      <c r="V1014" s="109">
        <f>PR!F1116</f>
        <v>0.28568486096807416</v>
      </c>
      <c r="W1014" s="109">
        <f>'Z Score'!I1116</f>
        <v>1.3221143215705022</v>
      </c>
      <c r="X1014" s="109">
        <f>'Z Score'!L1116</f>
        <v>2.3680709355484506</v>
      </c>
      <c r="Y1014" s="109">
        <f>'Z Score'!O1116</f>
        <v>1.9075507216063586E-2</v>
      </c>
      <c r="Z1014" s="109">
        <f>'Z Score'!R1116</f>
        <v>9.7054326923076921</v>
      </c>
      <c r="AA1014" s="109">
        <f>'Z Score'!S1116</f>
        <v>13.414693456642709</v>
      </c>
    </row>
    <row r="1015" spans="1:27" ht="15" customHeight="1" x14ac:dyDescent="0.3">
      <c r="A1015" s="22"/>
      <c r="B1015" s="23"/>
      <c r="C1015" s="1"/>
      <c r="D1015" s="23">
        <v>2018</v>
      </c>
      <c r="E1015" s="25">
        <f>'Current Ratio'!G1117</f>
        <v>8.1255332114564283</v>
      </c>
      <c r="F1015" s="25">
        <f>'Cash Ratio'!G1117</f>
        <v>2.2656916514320535</v>
      </c>
      <c r="G1015" s="25">
        <f>DAR!G1117</f>
        <v>8.3234589688642377E-2</v>
      </c>
      <c r="H1015" s="25">
        <f>DER!G1117</f>
        <v>9.7422429437714855E-2</v>
      </c>
      <c r="I1015" s="25">
        <f>NPM!G1117</f>
        <v>-3.5540803108808292E-2</v>
      </c>
      <c r="J1015" s="25">
        <f>ROA!G1117</f>
        <v>-5.5338459599142825E-3</v>
      </c>
      <c r="K1015" s="25">
        <f>ROE!G1117</f>
        <v>-6.4771235079746818E-3</v>
      </c>
      <c r="L1015" s="25">
        <f>KM!E1117</f>
        <v>0.6</v>
      </c>
      <c r="M1015" s="24">
        <f>KI!E1117</f>
        <v>2</v>
      </c>
      <c r="N1015" s="108">
        <f>IO!E1117</f>
        <v>0.9</v>
      </c>
      <c r="O1015" s="24">
        <f>'BoC Size'!E1117</f>
        <v>4</v>
      </c>
      <c r="P1015" s="24">
        <f>'TMT E DK'!E1117</f>
        <v>0</v>
      </c>
      <c r="Q1015" s="24">
        <f>Data!R1117</f>
        <v>4</v>
      </c>
      <c r="R1015" s="24">
        <f>Data!S1117</f>
        <v>3</v>
      </c>
      <c r="S1015" s="24">
        <f>'TMT E DK'!E1117</f>
        <v>0</v>
      </c>
      <c r="T1015" s="24">
        <f>'TMT E DD'!E1117</f>
        <v>0</v>
      </c>
      <c r="U1015" s="24">
        <f>TA!E1117</f>
        <v>79330000000</v>
      </c>
      <c r="V1015" s="109">
        <f>PR!F1117</f>
        <v>-1.0573534123678308E-2</v>
      </c>
      <c r="W1015" s="109">
        <f>'Z Score'!I1117</f>
        <v>0.96692398840287397</v>
      </c>
      <c r="X1015" s="109">
        <f>'Z Score'!L1117</f>
        <v>2.4043784192613131</v>
      </c>
      <c r="Y1015" s="109">
        <f>'Z Score'!O1117</f>
        <v>-3.3883776629270133E-3</v>
      </c>
      <c r="Z1015" s="109">
        <f>'Z Score'!R1117</f>
        <v>10.777805542935029</v>
      </c>
      <c r="AA1015" s="109">
        <f>'Z Score'!S1117</f>
        <v>14.14571957293629</v>
      </c>
    </row>
    <row r="1016" spans="1:27" ht="15" customHeight="1" x14ac:dyDescent="0.3">
      <c r="A1016" s="22"/>
      <c r="B1016" s="23"/>
      <c r="C1016" s="1"/>
      <c r="D1016" s="23">
        <v>2019</v>
      </c>
      <c r="E1016" s="25">
        <f>'Current Ratio'!G1118</f>
        <v>46.065693430656935</v>
      </c>
      <c r="F1016" s="25">
        <f>'Cash Ratio'!G1118</f>
        <v>20.459854014598541</v>
      </c>
      <c r="G1016" s="25">
        <f>DAR!G1118</f>
        <v>7.9065565635616397E-2</v>
      </c>
      <c r="H1016" s="25">
        <f>DER!G1118</f>
        <v>9.3279493222450729E-2</v>
      </c>
      <c r="I1016" s="25">
        <f>NPM!G1118</f>
        <v>-9.1182187665665312E-2</v>
      </c>
      <c r="J1016" s="25">
        <f>ROA!G1118</f>
        <v>-1.3130940414540736E-2</v>
      </c>
      <c r="K1016" s="25">
        <f>ROE!G1118</f>
        <v>-1.5491541198192654E-2</v>
      </c>
      <c r="L1016" s="25">
        <f>KM!E1118</f>
        <v>0.6</v>
      </c>
      <c r="M1016" s="24">
        <f>KI!E1118</f>
        <v>2</v>
      </c>
      <c r="N1016" s="108">
        <f>IO!E1118</f>
        <v>0.9</v>
      </c>
      <c r="O1016" s="24">
        <f>'BoC Size'!E1118</f>
        <v>4</v>
      </c>
      <c r="P1016" s="24">
        <f>'TMT E DK'!E1118</f>
        <v>0</v>
      </c>
      <c r="Q1016" s="24">
        <f>Data!R1118</f>
        <v>4</v>
      </c>
      <c r="R1016" s="24">
        <f>Data!S1118</f>
        <v>3</v>
      </c>
      <c r="S1016" s="24">
        <f>'TMT E DK'!E1118</f>
        <v>0</v>
      </c>
      <c r="T1016" s="24">
        <f>'TMT E DD'!E1118</f>
        <v>0</v>
      </c>
      <c r="U1016" s="24">
        <f>TA!E1118</f>
        <v>78593000000</v>
      </c>
      <c r="V1016" s="109">
        <f>PR!F1118</f>
        <v>-8.3711139896373063E-2</v>
      </c>
      <c r="W1016" s="109">
        <f>'Z Score'!I1118</f>
        <v>1.0306627816726681</v>
      </c>
      <c r="X1016" s="109">
        <f>'Z Score'!L1118</f>
        <v>2.3941979565610167</v>
      </c>
      <c r="Y1016" s="109">
        <f>'Z Score'!O1118</f>
        <v>-0.19383711017520644</v>
      </c>
      <c r="Z1016" s="109">
        <f>'Z Score'!R1118</f>
        <v>11.256493401995494</v>
      </c>
      <c r="AA1016" s="109">
        <f>'Z Score'!S1118</f>
        <v>14.487517030053972</v>
      </c>
    </row>
    <row r="1017" spans="1:27" ht="15" customHeight="1" x14ac:dyDescent="0.3">
      <c r="A1017" s="22"/>
      <c r="B1017" s="23"/>
      <c r="C1017" s="1"/>
      <c r="D1017" s="23">
        <v>2020</v>
      </c>
      <c r="E1017" s="25">
        <f>'Current Ratio'!G1119</f>
        <v>9.9771428571428569</v>
      </c>
      <c r="F1017" s="25">
        <f>'Cash Ratio'!G1119</f>
        <v>6.75</v>
      </c>
      <c r="G1017" s="25">
        <f>DAR!G1119</f>
        <v>9.8026324616602489E-2</v>
      </c>
      <c r="H1017" s="25">
        <f>DER!G1119</f>
        <v>0.10514953513140093</v>
      </c>
      <c r="I1017" s="25">
        <f>NPM!G1119</f>
        <v>-0.62182943878570007</v>
      </c>
      <c r="J1017" s="25">
        <f>ROA!G1119</f>
        <v>-8.354912720881244E-2</v>
      </c>
      <c r="K1017" s="25">
        <f>ROE!G1119</f>
        <v>-8.9620333323738519E-2</v>
      </c>
      <c r="L1017" s="25">
        <f>KM!E1119</f>
        <v>0.6</v>
      </c>
      <c r="M1017" s="24">
        <f>KI!E1119</f>
        <v>2</v>
      </c>
      <c r="N1017" s="108">
        <f>IO!E1119</f>
        <v>0.9</v>
      </c>
      <c r="O1017" s="24">
        <f>'BoC Size'!E1119</f>
        <v>4</v>
      </c>
      <c r="P1017" s="24">
        <f>'TMT E DK'!E1119</f>
        <v>0</v>
      </c>
      <c r="Q1017" s="24">
        <f>Data!R1119</f>
        <v>4</v>
      </c>
      <c r="R1017" s="24">
        <f>Data!S1119</f>
        <v>3</v>
      </c>
      <c r="S1017" s="24">
        <f>'TMT E DK'!E1119</f>
        <v>0</v>
      </c>
      <c r="T1017" s="24">
        <f>'TMT E DD'!E1119</f>
        <v>0</v>
      </c>
      <c r="U1017" s="24">
        <f>TA!E1119</f>
        <v>74531000000</v>
      </c>
      <c r="V1017" s="109">
        <f>PR!F1119</f>
        <v>-0.11521470224421276</v>
      </c>
      <c r="W1017" s="109">
        <f>'Z Score'!I1119</f>
        <v>0.55309924729307269</v>
      </c>
      <c r="X1017" s="109">
        <f>'Z Score'!L1119</f>
        <v>2.243259314915941</v>
      </c>
      <c r="Y1017" s="109">
        <f>'Z Score'!O1119</f>
        <v>-0.57894191678630369</v>
      </c>
      <c r="Z1017" s="109">
        <f>'Z Score'!R1119</f>
        <v>9.9857788119353952</v>
      </c>
      <c r="AA1017" s="109">
        <f>'Z Score'!S1119</f>
        <v>12.203195457358106</v>
      </c>
    </row>
    <row r="1018" spans="1:27" ht="15" customHeight="1" x14ac:dyDescent="0.3">
      <c r="A1018" s="22"/>
      <c r="B1018" s="23"/>
      <c r="C1018" s="1"/>
      <c r="D1018" s="23">
        <v>2021</v>
      </c>
      <c r="E1018" s="25">
        <f>'Current Ratio'!G1120</f>
        <v>8.4582074521651567</v>
      </c>
      <c r="F1018" s="25">
        <f>'Cash Ratio'!G1120</f>
        <v>6.9224572004028193</v>
      </c>
      <c r="G1018" s="25">
        <f>DAR!G1120</f>
        <v>0.10178958930532858</v>
      </c>
      <c r="H1018" s="25">
        <f>DER!G1120</f>
        <v>0.1284439336060309</v>
      </c>
      <c r="I1018" s="25">
        <f>NPM!G1120</f>
        <v>-9.980217606330366E-2</v>
      </c>
      <c r="J1018" s="25">
        <f>ROA!G1120</f>
        <v>-1.3515685696680687E-2</v>
      </c>
      <c r="K1018" s="25">
        <f>ROE!G1120</f>
        <v>-1.7054866299313749E-2</v>
      </c>
      <c r="L1018" s="25">
        <f>KM!E1120</f>
        <v>0.6</v>
      </c>
      <c r="M1018" s="24">
        <f>KI!E1120</f>
        <v>2</v>
      </c>
      <c r="N1018" s="108">
        <f>IO!E1120</f>
        <v>1</v>
      </c>
      <c r="O1018" s="24">
        <f>'BoC Size'!E1120</f>
        <v>4</v>
      </c>
      <c r="P1018" s="24">
        <f>'TMT E DK'!E1120</f>
        <v>0</v>
      </c>
      <c r="Q1018" s="24">
        <f>Data!R1120</f>
        <v>4</v>
      </c>
      <c r="R1018" s="24">
        <f>Data!S1120</f>
        <v>3</v>
      </c>
      <c r="S1018" s="24">
        <f>'TMT E DK'!E1120</f>
        <v>0</v>
      </c>
      <c r="T1018" s="24">
        <f>'TMT E DD'!E1120</f>
        <v>0</v>
      </c>
      <c r="U1018" s="24">
        <f>TA!E1120</f>
        <v>74654000000</v>
      </c>
      <c r="V1018" s="109">
        <f>PR!F1120</f>
        <v>9.586578789694428E-3</v>
      </c>
      <c r="W1018" s="109">
        <f>'Z Score'!I1120</f>
        <v>0.65078040024647033</v>
      </c>
      <c r="X1018" s="109">
        <f>'Z Score'!L1120</f>
        <v>2.1928384279475983</v>
      </c>
      <c r="Y1018" s="109">
        <f>'Z Score'!O1120</f>
        <v>-9.2175636938409189E-2</v>
      </c>
      <c r="Z1018" s="109">
        <f>'Z Score'!R1120</f>
        <v>8.1747729964469009</v>
      </c>
      <c r="AA1018" s="109">
        <f>'Z Score'!S1120</f>
        <v>10.926216187702561</v>
      </c>
    </row>
    <row r="1019" spans="1:27" ht="15" customHeight="1" x14ac:dyDescent="0.3">
      <c r="A1019" s="22"/>
      <c r="B1019" s="23"/>
      <c r="C1019" s="1"/>
      <c r="D1019" s="23">
        <v>2022</v>
      </c>
      <c r="E1019" s="25">
        <f>'Current Ratio'!G1121</f>
        <v>10.850450450450451</v>
      </c>
      <c r="F1019" s="25">
        <f>'Cash Ratio'!G1121</f>
        <v>7.9927927927927929</v>
      </c>
      <c r="G1019" s="25">
        <f>DAR!G1121</f>
        <v>9.3593238822246461E-2</v>
      </c>
      <c r="H1019" s="25">
        <f>DER!G1121</f>
        <v>0.10504413812095528</v>
      </c>
      <c r="I1019" s="25">
        <f>NPM!G1121</f>
        <v>-0.11034352228636321</v>
      </c>
      <c r="J1019" s="25">
        <f>ROA!G1121</f>
        <v>-1.589422028353326E-2</v>
      </c>
      <c r="K1019" s="25">
        <f>ROE!G1121</f>
        <v>-1.7838838486605571E-2</v>
      </c>
      <c r="L1019" s="25">
        <f>KM!E1121</f>
        <v>0.6</v>
      </c>
      <c r="M1019" s="24">
        <f>KI!E1121</f>
        <v>2</v>
      </c>
      <c r="N1019" s="108">
        <f>IO!E1121</f>
        <v>1</v>
      </c>
      <c r="O1019" s="24">
        <f>'BoC Size'!E1121</f>
        <v>4</v>
      </c>
      <c r="P1019" s="24">
        <f>'TMT E DK'!E1121</f>
        <v>0</v>
      </c>
      <c r="Q1019" s="24">
        <f>Data!R1121</f>
        <v>4</v>
      </c>
      <c r="R1019" s="24">
        <f>Data!S1121</f>
        <v>3</v>
      </c>
      <c r="S1019" s="24">
        <f>'TMT E DK'!E1121</f>
        <v>0</v>
      </c>
      <c r="T1019" s="24">
        <f>'TMT E DD'!E1121</f>
        <v>0</v>
      </c>
      <c r="U1019" s="24">
        <f>TA!E1121</f>
        <v>73360000000</v>
      </c>
      <c r="V1019" s="109">
        <f>PR!F1121</f>
        <v>4.5202769535113749E-2</v>
      </c>
      <c r="W1019" s="109">
        <f>'Z Score'!I1121</f>
        <v>0.48887022900763361</v>
      </c>
      <c r="X1019" s="109">
        <f>'Z Score'!L1121</f>
        <v>1.6264449291166847</v>
      </c>
      <c r="Y1019" s="109">
        <f>'Z Score'!O1121</f>
        <v>-0.12888549618320611</v>
      </c>
      <c r="Z1019" s="109">
        <f>'Z Score'!R1121</f>
        <v>9.9957981357413352</v>
      </c>
      <c r="AA1019" s="109">
        <f>'Z Score'!S1121</f>
        <v>11.982227797682448</v>
      </c>
    </row>
    <row r="1020" spans="1:27" ht="15" customHeight="1" x14ac:dyDescent="0.3">
      <c r="A1020" s="22"/>
      <c r="B1020" s="23"/>
      <c r="C1020" s="1"/>
      <c r="D1020" s="23">
        <v>2023</v>
      </c>
      <c r="E1020" s="25">
        <f>'Current Ratio'!G1122</f>
        <v>6.7377717391304346</v>
      </c>
      <c r="F1020" s="25">
        <f>'Cash Ratio'!G1122</f>
        <v>4.9524456521739131</v>
      </c>
      <c r="G1020" s="25">
        <f>DAR!G1122</f>
        <v>0.11000754676297773</v>
      </c>
      <c r="H1020" s="25">
        <f>DER!G1122</f>
        <v>0.14940151542882243</v>
      </c>
      <c r="I1020" s="25">
        <f>NPM!G1122</f>
        <v>-0.15414815580121913</v>
      </c>
      <c r="J1020" s="25">
        <f>ROA!G1122</f>
        <v>-2.0106732790685138E-2</v>
      </c>
      <c r="K1020" s="25">
        <f>ROE!G1122</f>
        <v>-2.7307002452505582E-2</v>
      </c>
      <c r="L1020" s="25">
        <f>KM!E1122</f>
        <v>0.6</v>
      </c>
      <c r="M1020" s="24">
        <f>KI!E1122</f>
        <v>2</v>
      </c>
      <c r="N1020" s="108">
        <f>IO!E1122</f>
        <v>1</v>
      </c>
      <c r="O1020" s="24">
        <f>'BoC Size'!E1122</f>
        <v>4</v>
      </c>
      <c r="P1020" s="24">
        <f>'TMT E DK'!E1122</f>
        <v>0</v>
      </c>
      <c r="Q1020" s="24">
        <f>Data!R1122</f>
        <v>4</v>
      </c>
      <c r="R1020" s="24">
        <f>Data!S1122</f>
        <v>3</v>
      </c>
      <c r="S1020" s="24">
        <f>'TMT E DK'!E1122</f>
        <v>0</v>
      </c>
      <c r="T1020" s="24">
        <f>'TMT E DD'!E1122</f>
        <v>0</v>
      </c>
      <c r="U1020" s="24">
        <f>TA!E1122</f>
        <v>74204000000</v>
      </c>
      <c r="V1020" s="109">
        <f>PR!F1122</f>
        <v>-8.4035203936784333E-2</v>
      </c>
      <c r="W1020" s="109">
        <f>'Z Score'!I1122</f>
        <v>0.37333405207266451</v>
      </c>
      <c r="X1020" s="109">
        <f>'Z Score'!L1122</f>
        <v>1.5423977144089267</v>
      </c>
      <c r="Y1020" s="109">
        <f>'Z Score'!O1122</f>
        <v>-0.17496415287585576</v>
      </c>
      <c r="Z1020" s="109">
        <f>'Z Score'!R1122</f>
        <v>7.0280411613377431</v>
      </c>
      <c r="AA1020" s="109">
        <f>'Z Score'!S1122</f>
        <v>8.7688087749434782</v>
      </c>
    </row>
    <row r="1021" spans="1:27" ht="15" customHeight="1" x14ac:dyDescent="0.3">
      <c r="A1021" s="22"/>
      <c r="B1021" s="23"/>
      <c r="C1021" s="1"/>
      <c r="D1021" s="23">
        <v>2024</v>
      </c>
      <c r="E1021" s="25">
        <f>'Current Ratio'!G1123</f>
        <v>47.333333333333336</v>
      </c>
      <c r="F1021" s="25">
        <f>'Cash Ratio'!G1123</f>
        <v>29.146341463414632</v>
      </c>
      <c r="G1021" s="25">
        <f>DAR!G1123</f>
        <v>3.9559561337299647E-2</v>
      </c>
      <c r="H1021" s="25">
        <f>DER!G1123</f>
        <v>5.1010476899295817E-2</v>
      </c>
      <c r="I1021" s="25">
        <f>NPM!G1123</f>
        <v>-0.26472269868496284</v>
      </c>
      <c r="J1021" s="25">
        <f>ROA!G1123</f>
        <v>-2.7409018928798708E-2</v>
      </c>
      <c r="K1021" s="25">
        <f>ROE!G1123</f>
        <v>-3.5342836968760137E-2</v>
      </c>
      <c r="L1021" s="25">
        <f>KM!E1123</f>
        <v>0.6</v>
      </c>
      <c r="M1021" s="24">
        <f>KI!E1123</f>
        <v>2</v>
      </c>
      <c r="N1021" s="108">
        <f>IO!E1123</f>
        <v>1</v>
      </c>
      <c r="O1021" s="24">
        <f>'BoC Size'!E1123</f>
        <v>3</v>
      </c>
      <c r="P1021" s="24">
        <f>'TMT E DK'!E1123</f>
        <v>3</v>
      </c>
      <c r="Q1021" s="24">
        <f>Data!R1123</f>
        <v>3</v>
      </c>
      <c r="R1021" s="24">
        <f>Data!S1123</f>
        <v>3</v>
      </c>
      <c r="S1021" s="24">
        <f>'TMT E DK'!E1123</f>
        <v>3</v>
      </c>
      <c r="T1021" s="24">
        <f>'TMT E DD'!E1123</f>
        <v>5</v>
      </c>
      <c r="U1021" s="24">
        <f>TA!E1123</f>
        <v>67569000000</v>
      </c>
      <c r="V1021" s="109">
        <f>PR!F1123</f>
        <v>-0.27719805765058375</v>
      </c>
      <c r="W1021" s="109">
        <f>'Z Score'!I1123</f>
        <v>0.55329278219301747</v>
      </c>
      <c r="X1021" s="109">
        <f>'Z Score'!L1123</f>
        <v>1.6044532255916173</v>
      </c>
      <c r="Y1021" s="109">
        <f>'Z Score'!O1123</f>
        <v>-0.28394086045375838</v>
      </c>
      <c r="Z1021" s="109">
        <f>'Z Score'!R1123</f>
        <v>20.584006734006735</v>
      </c>
      <c r="AA1021" s="109">
        <f>'Z Score'!S1123</f>
        <v>22.457811881337612</v>
      </c>
    </row>
    <row r="1022" spans="1:27" ht="15" customHeight="1" x14ac:dyDescent="0.3">
      <c r="A1022" s="22"/>
      <c r="B1022" s="23">
        <v>103</v>
      </c>
      <c r="C1022" s="2" t="s">
        <v>122</v>
      </c>
      <c r="D1022" s="23">
        <v>2015</v>
      </c>
      <c r="E1022" s="25">
        <f>'Current Ratio'!G1125</f>
        <v>3.550575029440505</v>
      </c>
      <c r="F1022" s="25">
        <f>'Cash Ratio'!G1125</f>
        <v>0.31111723584976575</v>
      </c>
      <c r="G1022" s="25">
        <f>DAR!G1125</f>
        <v>0.53144914215686279</v>
      </c>
      <c r="H1022" s="25">
        <f>DER!G1125</f>
        <v>1.1920252196844103</v>
      </c>
      <c r="I1022" s="25">
        <f>NPM!G1125</f>
        <v>0.11138405626409126</v>
      </c>
      <c r="J1022" s="25">
        <f>ROA!G1125</f>
        <v>1.2676164215686275E-2</v>
      </c>
      <c r="K1022" s="25">
        <f>ROE!G1125</f>
        <v>2.8432273637011778E-2</v>
      </c>
      <c r="L1022" s="25">
        <f>KM!E1125</f>
        <v>0.68979999999999997</v>
      </c>
      <c r="M1022" s="24">
        <f>KI!E1125</f>
        <v>2</v>
      </c>
      <c r="N1022" s="108">
        <f>IO!E1125</f>
        <v>0</v>
      </c>
      <c r="O1022" s="24">
        <f>'BoC Size'!E1125</f>
        <v>4</v>
      </c>
      <c r="P1022" s="24">
        <f>'TMT E DK'!E1125</f>
        <v>0</v>
      </c>
      <c r="Q1022" s="24">
        <f>Data!R1125</f>
        <v>4</v>
      </c>
      <c r="R1022" s="24">
        <f>Data!S1125</f>
        <v>3</v>
      </c>
      <c r="S1022" s="24">
        <f>'TMT E DK'!E1125</f>
        <v>0</v>
      </c>
      <c r="T1022" s="24">
        <f>'TMT E DD'!E1125</f>
        <v>0</v>
      </c>
      <c r="U1022" s="24">
        <f>TA!E1125</f>
        <v>261120000000</v>
      </c>
      <c r="V1022" s="109">
        <f>PR!F1125</f>
        <v>-6.1014914054600605E-2</v>
      </c>
      <c r="W1022" s="109">
        <f>'Z Score'!I1125</f>
        <v>2.557375</v>
      </c>
      <c r="X1022" s="109">
        <f>'Z Score'!L1125</f>
        <v>0.37171890318627449</v>
      </c>
      <c r="Y1022" s="109">
        <f>'Z Score'!O1125</f>
        <v>6.0580882352941172E-2</v>
      </c>
      <c r="Z1022" s="109">
        <f>'Z Score'!R1125</f>
        <v>0.88085384659729637</v>
      </c>
      <c r="AA1022" s="109">
        <f>'Z Score'!S1125</f>
        <v>3.8705286321365122</v>
      </c>
    </row>
    <row r="1023" spans="1:27" ht="15" customHeight="1" x14ac:dyDescent="0.3">
      <c r="A1023" s="22"/>
      <c r="B1023" s="23"/>
      <c r="C1023" s="2"/>
      <c r="D1023" s="23">
        <v>2016</v>
      </c>
      <c r="E1023" s="25">
        <f>'Current Ratio'!G1126</f>
        <v>3.7574259974259974</v>
      </c>
      <c r="F1023" s="25">
        <f>'Cash Ratio'!G1126</f>
        <v>0.55191763191763188</v>
      </c>
      <c r="G1023" s="25">
        <f>DAR!G1126</f>
        <v>0.33288281670829051</v>
      </c>
      <c r="H1023" s="25">
        <f>DER!G1126</f>
        <v>0.52818958818958817</v>
      </c>
      <c r="I1023" s="25">
        <f>NPM!G1126</f>
        <v>0.20228921489601806</v>
      </c>
      <c r="J1023" s="25">
        <f>ROA!G1126</f>
        <v>3.0723275059987266E-2</v>
      </c>
      <c r="K1023" s="25">
        <f>ROE!G1126</f>
        <v>4.8749028749028749E-2</v>
      </c>
      <c r="L1023" s="25">
        <f>KM!E1126</f>
        <v>0.63680000000000003</v>
      </c>
      <c r="M1023" s="24">
        <f>KI!E1126</f>
        <v>2</v>
      </c>
      <c r="N1023" s="108">
        <f>IO!E1126</f>
        <v>0</v>
      </c>
      <c r="O1023" s="24">
        <f>'BoC Size'!E1126</f>
        <v>4</v>
      </c>
      <c r="P1023" s="24">
        <f>'TMT E DK'!E1126</f>
        <v>0</v>
      </c>
      <c r="Q1023" s="24">
        <f>Data!R1126</f>
        <v>4</v>
      </c>
      <c r="R1023" s="24">
        <f>Data!S1126</f>
        <v>3</v>
      </c>
      <c r="S1023" s="24">
        <f>'TMT E DK'!E1126</f>
        <v>0</v>
      </c>
      <c r="T1023" s="24">
        <f>'TMT E DD'!E1126</f>
        <v>0</v>
      </c>
      <c r="U1023" s="24">
        <f>TA!E1126</f>
        <v>204210000000</v>
      </c>
      <c r="V1023" s="109">
        <f>PR!F1126</f>
        <v>4.3678702426220684E-2</v>
      </c>
      <c r="W1023" s="109">
        <f>'Z Score'!I1126</f>
        <v>1.7206467851721265</v>
      </c>
      <c r="X1023" s="109">
        <f>'Z Score'!L1126</f>
        <v>0.54299809020126333</v>
      </c>
      <c r="Y1023" s="109">
        <f>'Z Score'!O1126</f>
        <v>0.13735507565741148</v>
      </c>
      <c r="Z1023" s="109">
        <f>'Z Score'!R1126</f>
        <v>1.9879225631822059</v>
      </c>
      <c r="AA1023" s="109">
        <f>'Z Score'!S1126</f>
        <v>4.3889225142130073</v>
      </c>
    </row>
    <row r="1024" spans="1:27" ht="15" customHeight="1" x14ac:dyDescent="0.3">
      <c r="A1024" s="22"/>
      <c r="B1024" s="23"/>
      <c r="C1024" s="2"/>
      <c r="D1024" s="23">
        <v>2017</v>
      </c>
      <c r="E1024" s="25">
        <f>'Current Ratio'!G1127</f>
        <v>4.0632494004796165</v>
      </c>
      <c r="F1024" s="25">
        <f>'Cash Ratio'!G1127</f>
        <v>0.24835131894484413</v>
      </c>
      <c r="G1024" s="25">
        <f>DAR!G1127</f>
        <v>0.33050887152680192</v>
      </c>
      <c r="H1024" s="25">
        <f>DER!G1127</f>
        <v>0.52902234218023692</v>
      </c>
      <c r="I1024" s="25">
        <f>NPM!G1127</f>
        <v>0.1003107253830494</v>
      </c>
      <c r="J1024" s="25">
        <f>ROA!G1127</f>
        <v>2.1925880126655799E-2</v>
      </c>
      <c r="K1024" s="25">
        <f>ROE!G1127</f>
        <v>3.5095216674164043E-2</v>
      </c>
      <c r="L1024" s="25">
        <f>KM!E1127</f>
        <v>0.63680000000000003</v>
      </c>
      <c r="M1024" s="24">
        <f>KI!E1127</f>
        <v>1</v>
      </c>
      <c r="N1024" s="108">
        <f>IO!E1127</f>
        <v>0</v>
      </c>
      <c r="O1024" s="24">
        <f>'BoC Size'!E1127</f>
        <v>3</v>
      </c>
      <c r="P1024" s="24">
        <f>'TMT E DK'!E1127</f>
        <v>0</v>
      </c>
      <c r="Q1024" s="24">
        <f>Data!R1127</f>
        <v>3</v>
      </c>
      <c r="R1024" s="24">
        <f>Data!S1127</f>
        <v>2</v>
      </c>
      <c r="S1024" s="24">
        <f>'TMT E DK'!E1127</f>
        <v>0</v>
      </c>
      <c r="T1024" s="24">
        <f>'TMT E DD'!E1127</f>
        <v>0</v>
      </c>
      <c r="U1024" s="24">
        <f>TA!E1127</f>
        <v>213492000000</v>
      </c>
      <c r="V1024" s="109">
        <f>PR!F1127</f>
        <v>0.50459455102369821</v>
      </c>
      <c r="W1024" s="109">
        <f>'Z Score'!I1127</f>
        <v>1.8840042718228316</v>
      </c>
      <c r="X1024" s="109">
        <f>'Z Score'!L1127</f>
        <v>0.59650310081876601</v>
      </c>
      <c r="Y1024" s="109">
        <f>'Z Score'!O1127</f>
        <v>0.16562981282671013</v>
      </c>
      <c r="Z1024" s="109">
        <f>'Z Score'!R1127</f>
        <v>1.9847932994146908</v>
      </c>
      <c r="AA1024" s="109">
        <f>'Z Score'!S1127</f>
        <v>4.6309304848829989</v>
      </c>
    </row>
    <row r="1025" spans="1:27" ht="15" customHeight="1" x14ac:dyDescent="0.3">
      <c r="A1025" s="22"/>
      <c r="B1025" s="23"/>
      <c r="C1025" s="2"/>
      <c r="D1025" s="23">
        <v>2018</v>
      </c>
      <c r="E1025" s="25">
        <f>'Current Ratio'!G1128</f>
        <v>5.8266346379189127</v>
      </c>
      <c r="F1025" s="25">
        <f>'Cash Ratio'!G1128</f>
        <v>0.54015748031496058</v>
      </c>
      <c r="G1025" s="25">
        <f>DAR!G1128</f>
        <v>0.35526887573029464</v>
      </c>
      <c r="H1025" s="25">
        <f>DER!G1128</f>
        <v>0.70736141092981186</v>
      </c>
      <c r="I1025" s="25">
        <f>NPM!G1128</f>
        <v>0.12109468550652065</v>
      </c>
      <c r="J1025" s="25">
        <f>ROA!G1128</f>
        <v>2.4414118225433348E-2</v>
      </c>
      <c r="K1025" s="25">
        <f>ROE!G1128</f>
        <v>4.8609957962262175E-2</v>
      </c>
      <c r="L1025" s="25">
        <f>KM!E1128</f>
        <v>0</v>
      </c>
      <c r="M1025" s="24">
        <f>KI!E1128</f>
        <v>0</v>
      </c>
      <c r="N1025" s="108">
        <f>IO!E1128</f>
        <v>0</v>
      </c>
      <c r="O1025" s="24">
        <f>'BoC Size'!E1128</f>
        <v>0</v>
      </c>
      <c r="P1025" s="24">
        <f>'TMT E DK'!E1128</f>
        <v>0</v>
      </c>
      <c r="Q1025" s="24">
        <f>Data!R1128</f>
        <v>0</v>
      </c>
      <c r="R1025" s="24">
        <f>Data!S1128</f>
        <v>0</v>
      </c>
      <c r="S1025" s="24">
        <f>'TMT E DK'!E1128</f>
        <v>0</v>
      </c>
      <c r="T1025" s="24">
        <f>'TMT E DD'!E1128</f>
        <v>0</v>
      </c>
      <c r="U1025" s="24">
        <f>TA!E1128</f>
        <v>227819000000</v>
      </c>
      <c r="V1025" s="109">
        <f>PR!F1128</f>
        <v>-1.5729133183327977E-2</v>
      </c>
      <c r="W1025" s="109">
        <f>'Z Score'!I1128</f>
        <v>2.3721434998836797</v>
      </c>
      <c r="X1025" s="109">
        <f>'Z Score'!L1128</f>
        <v>0.60033087670475238</v>
      </c>
      <c r="Y1025" s="109">
        <f>'Z Score'!O1128</f>
        <v>0.10002466870629755</v>
      </c>
      <c r="Z1025" s="109">
        <f>'Z Score'!R1128</f>
        <v>1.8508676983630021</v>
      </c>
      <c r="AA1025" s="109">
        <f>'Z Score'!S1128</f>
        <v>4.9233667436577315</v>
      </c>
    </row>
    <row r="1026" spans="1:27" ht="15" customHeight="1" x14ac:dyDescent="0.3">
      <c r="A1026" s="22"/>
      <c r="B1026" s="23"/>
      <c r="C1026" s="2"/>
      <c r="D1026" s="23">
        <v>2019</v>
      </c>
      <c r="E1026" s="25">
        <f>'Current Ratio'!G1129</f>
        <v>5.5687754547922887</v>
      </c>
      <c r="F1026" s="25">
        <f>'Cash Ratio'!G1129</f>
        <v>0</v>
      </c>
      <c r="G1026" s="25">
        <f>DAR!G1129</f>
        <v>0</v>
      </c>
      <c r="H1026" s="25">
        <f>DER!G1129</f>
        <v>0</v>
      </c>
      <c r="I1026" s="25">
        <f>NPM!G1129</f>
        <v>0.10564918342732341</v>
      </c>
      <c r="J1026" s="25">
        <f>ROA!G1129</f>
        <v>2.7141439476097359E-2</v>
      </c>
      <c r="K1026" s="25">
        <f>ROE!G1129</f>
        <v>0</v>
      </c>
      <c r="L1026" s="25">
        <f>KM!E1129</f>
        <v>0.63680000000000003</v>
      </c>
      <c r="M1026" s="24">
        <f>KI!E1129</f>
        <v>2</v>
      </c>
      <c r="N1026" s="108">
        <f>IO!E1129</f>
        <v>0</v>
      </c>
      <c r="O1026" s="24">
        <f>'BoC Size'!E1129</f>
        <v>3</v>
      </c>
      <c r="P1026" s="24">
        <f>'TMT E DK'!E1129</f>
        <v>0</v>
      </c>
      <c r="Q1026" s="24">
        <f>Data!R1129</f>
        <v>3</v>
      </c>
      <c r="R1026" s="24">
        <f>Data!S1129</f>
        <v>3</v>
      </c>
      <c r="S1026" s="24">
        <f>'TMT E DK'!E1129</f>
        <v>0</v>
      </c>
      <c r="T1026" s="24">
        <f>'TMT E DD'!E1129</f>
        <v>0</v>
      </c>
      <c r="U1026" s="24">
        <f>TA!E1129</f>
        <v>238823000000</v>
      </c>
      <c r="V1026" s="109">
        <f>PR!F1129</f>
        <v>0.33578628812784395</v>
      </c>
      <c r="W1026" s="109">
        <f>'Z Score'!I1129</f>
        <v>2.3109961770851215</v>
      </c>
      <c r="X1026" s="109">
        <f>'Z Score'!L1129</f>
        <v>0.64640884671911825</v>
      </c>
      <c r="Y1026" s="109">
        <f>'Z Score'!O1129</f>
        <v>0.16657692098332239</v>
      </c>
      <c r="Z1026" s="109">
        <f>'Z Score'!R1129</f>
        <v>1.4843897105155861</v>
      </c>
      <c r="AA1026" s="109">
        <f>'Z Score'!S1129</f>
        <v>4.6083716553031486</v>
      </c>
    </row>
    <row r="1027" spans="1:27" ht="15" customHeight="1" x14ac:dyDescent="0.3">
      <c r="A1027" s="22"/>
      <c r="B1027" s="23"/>
      <c r="C1027" s="2"/>
      <c r="D1027" s="23">
        <v>2020</v>
      </c>
      <c r="E1027" s="25">
        <f>'Current Ratio'!G1130</f>
        <v>4.4934229843208646</v>
      </c>
      <c r="F1027" s="25">
        <f>'Cash Ratio'!G1130</f>
        <v>1.8867813729520231</v>
      </c>
      <c r="G1027" s="25">
        <f>DAR!G1130</f>
        <v>0.40115084808136231</v>
      </c>
      <c r="H1027" s="25">
        <f>DER!G1130</f>
        <v>0.66987335266283432</v>
      </c>
      <c r="I1027" s="25">
        <f>NPM!G1130</f>
        <v>2.6161797312296522E-2</v>
      </c>
      <c r="J1027" s="25">
        <f>ROA!G1130</f>
        <v>6.6080090997290147E-2</v>
      </c>
      <c r="K1027" s="25">
        <f>ROE!G1130</f>
        <v>0.11034575225836728</v>
      </c>
      <c r="L1027" s="25">
        <f>KM!E1130</f>
        <v>0.63680000000000003</v>
      </c>
      <c r="M1027" s="24">
        <f>KI!E1130</f>
        <v>2</v>
      </c>
      <c r="N1027" s="108">
        <f>IO!E1130</f>
        <v>0</v>
      </c>
      <c r="O1027" s="24">
        <f>'BoC Size'!E1130</f>
        <v>3</v>
      </c>
      <c r="P1027" s="24">
        <f>'TMT E DK'!E1130</f>
        <v>0</v>
      </c>
      <c r="Q1027" s="24">
        <f>Data!R1130</f>
        <v>3</v>
      </c>
      <c r="R1027" s="24">
        <f>Data!S1130</f>
        <v>3</v>
      </c>
      <c r="S1027" s="24">
        <f>'TMT E DK'!E1130</f>
        <v>0</v>
      </c>
      <c r="T1027" s="24">
        <f>'TMT E DD'!E1130</f>
        <v>0</v>
      </c>
      <c r="U1027" s="24">
        <f>TA!E1130</f>
        <v>298910000000</v>
      </c>
      <c r="V1027" s="109">
        <f>PR!F1130</f>
        <v>11.305538351207746</v>
      </c>
      <c r="W1027" s="109">
        <f>'Z Score'!I1130</f>
        <v>2.6111613529155933</v>
      </c>
      <c r="X1027" s="109">
        <f>'Z Score'!L1130</f>
        <v>0.75914342109665112</v>
      </c>
      <c r="Y1027" s="109">
        <f>'Z Score'!O1130</f>
        <v>0.49140463684721153</v>
      </c>
      <c r="Z1027" s="109">
        <f>'Z Score'!R1130</f>
        <v>1.5674604696934316</v>
      </c>
      <c r="AA1027" s="109">
        <f>'Z Score'!S1130</f>
        <v>5.4291698805528874</v>
      </c>
    </row>
    <row r="1028" spans="1:27" ht="15" customHeight="1" x14ac:dyDescent="0.3">
      <c r="A1028" s="22"/>
      <c r="B1028" s="23"/>
      <c r="C1028" s="2"/>
      <c r="D1028" s="23">
        <v>2021</v>
      </c>
      <c r="E1028" s="25">
        <f>'Current Ratio'!G1131</f>
        <v>2.7356131524761724</v>
      </c>
      <c r="F1028" s="25">
        <f>'Cash Ratio'!G1131</f>
        <v>0.64822008533401265</v>
      </c>
      <c r="G1028" s="25">
        <f>DAR!G1131</f>
        <v>0.13531469736660692</v>
      </c>
      <c r="H1028" s="25">
        <f>DER!G1131</f>
        <v>0.32944508549249973</v>
      </c>
      <c r="I1028" s="25">
        <f>NPM!G1131</f>
        <v>-2.3937174547002265E-2</v>
      </c>
      <c r="J1028" s="25">
        <f>ROA!G1131</f>
        <v>-5.444011673330576E-2</v>
      </c>
      <c r="K1028" s="25">
        <f>ROE!G1131</f>
        <v>-0.13254309591244448</v>
      </c>
      <c r="L1028" s="25">
        <f>KM!E1131</f>
        <v>0.63680000000000003</v>
      </c>
      <c r="M1028" s="24">
        <f>KI!E1131</f>
        <v>2</v>
      </c>
      <c r="N1028" s="108">
        <f>IO!E1131</f>
        <v>0</v>
      </c>
      <c r="O1028" s="24">
        <f>'BoC Size'!E1131</f>
        <v>3</v>
      </c>
      <c r="P1028" s="24">
        <f>'TMT E DK'!E1131</f>
        <v>0</v>
      </c>
      <c r="Q1028" s="24">
        <f>Data!R1131</f>
        <v>3</v>
      </c>
      <c r="R1028" s="24">
        <f>Data!S1131</f>
        <v>3</v>
      </c>
      <c r="S1028" s="24">
        <f>'TMT E DK'!E1131</f>
        <v>0</v>
      </c>
      <c r="T1028" s="24">
        <f>'TMT E DD'!E1131</f>
        <v>0</v>
      </c>
      <c r="U1028" s="24">
        <f>TA!E1131</f>
        <v>348144000000</v>
      </c>
      <c r="V1028" s="109">
        <f>PR!F1131</f>
        <v>4.8724890528931357E-2</v>
      </c>
      <c r="W1028" s="109">
        <f>'Z Score'!I1131</f>
        <v>1.5406420331816717</v>
      </c>
      <c r="X1028" s="109">
        <f>'Z Score'!L1131</f>
        <v>0.43240808401121367</v>
      </c>
      <c r="Y1028" s="109">
        <f>'Z Score'!O1131</f>
        <v>-0.41175789328553702</v>
      </c>
      <c r="Z1028" s="109">
        <f>'Z Score'!R1131</f>
        <v>3.1871776093740052</v>
      </c>
      <c r="AA1028" s="109">
        <f>'Z Score'!S1131</f>
        <v>4.7484698332813533</v>
      </c>
    </row>
    <row r="1029" spans="1:27" ht="15" customHeight="1" x14ac:dyDescent="0.3">
      <c r="A1029" s="22"/>
      <c r="B1029" s="23"/>
      <c r="C1029" s="2"/>
      <c r="D1029" s="23">
        <v>2022</v>
      </c>
      <c r="E1029" s="25">
        <f>'Current Ratio'!G1132</f>
        <v>1.784686867447709</v>
      </c>
      <c r="F1029" s="25">
        <f>'Cash Ratio'!G1132</f>
        <v>0.4542415506348525</v>
      </c>
      <c r="G1029" s="25">
        <f>DAR!G1132</f>
        <v>0.17993935062677457</v>
      </c>
      <c r="H1029" s="25">
        <f>DER!G1132</f>
        <v>0.42314405663376875</v>
      </c>
      <c r="I1029" s="25">
        <f>NPM!G1132</f>
        <v>5.4758293278701443E-2</v>
      </c>
      <c r="J1029" s="25">
        <f>ROA!G1132</f>
        <v>3.0680636073408367E-2</v>
      </c>
      <c r="K1029" s="25">
        <f>ROE!G1132</f>
        <v>7.2148358671883614E-2</v>
      </c>
      <c r="L1029" s="25">
        <f>KM!E1132</f>
        <v>0.63680000000000003</v>
      </c>
      <c r="M1029" s="24">
        <f>KI!E1132</f>
        <v>2</v>
      </c>
      <c r="N1029" s="108">
        <f>IO!E1132</f>
        <v>0</v>
      </c>
      <c r="O1029" s="24">
        <f>'BoC Size'!E1132</f>
        <v>3</v>
      </c>
      <c r="P1029" s="24">
        <f>'TMT E DK'!E1132</f>
        <v>0</v>
      </c>
      <c r="Q1029" s="24">
        <f>Data!R1132</f>
        <v>3</v>
      </c>
      <c r="R1029" s="24">
        <f>Data!S1132</f>
        <v>3</v>
      </c>
      <c r="S1029" s="24">
        <f>'TMT E DK'!E1132</f>
        <v>0</v>
      </c>
      <c r="T1029" s="24">
        <f>'TMT E DD'!E1132</f>
        <v>0</v>
      </c>
      <c r="U1029" s="24">
        <f>TA!E1132</f>
        <v>362411000000</v>
      </c>
      <c r="V1029" s="109">
        <f>PR!F1132</f>
        <v>-0.74354524799155319</v>
      </c>
      <c r="W1029" s="109">
        <f>'Z Score'!I1132</f>
        <v>0.92624605765277535</v>
      </c>
      <c r="X1029" s="109">
        <f>'Z Score'!L1132</f>
        <v>0.52527224615146884</v>
      </c>
      <c r="Y1029" s="109">
        <f>'Z Score'!O1132</f>
        <v>0.22393757363876921</v>
      </c>
      <c r="Z1029" s="109">
        <f>'Z Score'!R1132</f>
        <v>2.4814244310863032</v>
      </c>
      <c r="AA1029" s="109">
        <f>'Z Score'!S1132</f>
        <v>4.1568803085293169</v>
      </c>
    </row>
    <row r="1030" spans="1:27" ht="15" customHeight="1" x14ac:dyDescent="0.3">
      <c r="A1030" s="22"/>
      <c r="B1030" s="23"/>
      <c r="C1030" s="2"/>
      <c r="D1030" s="23">
        <v>2023</v>
      </c>
      <c r="E1030" s="25">
        <f>'Current Ratio'!G1133</f>
        <v>1.82682625815425</v>
      </c>
      <c r="F1030" s="25">
        <f>'Cash Ratio'!G1133</f>
        <v>0.34681763864673731</v>
      </c>
      <c r="G1030" s="25">
        <f>DAR!G1133</f>
        <v>0.59522558203795917</v>
      </c>
      <c r="H1030" s="25">
        <f>DER!G1133</f>
        <v>1.4705118595063447</v>
      </c>
      <c r="I1030" s="25">
        <f>NPM!G1133</f>
        <v>-5.132021538559575E-3</v>
      </c>
      <c r="J1030" s="25">
        <f>ROA!G1133</f>
        <v>-6.1088927056299341E-3</v>
      </c>
      <c r="K1030" s="25">
        <f>ROE!G1133</f>
        <v>-1.5092091877710554E-2</v>
      </c>
      <c r="L1030" s="25">
        <f>KM!E1133</f>
        <v>0.63680000000000003</v>
      </c>
      <c r="M1030" s="24">
        <f>KI!E1133</f>
        <v>2</v>
      </c>
      <c r="N1030" s="108">
        <f>IO!E1133</f>
        <v>0</v>
      </c>
      <c r="O1030" s="24">
        <f>'BoC Size'!E1133</f>
        <v>3</v>
      </c>
      <c r="P1030" s="24">
        <f>'TMT E DK'!E1133</f>
        <v>0</v>
      </c>
      <c r="Q1030" s="24">
        <f>Data!R1133</f>
        <v>3</v>
      </c>
      <c r="R1030" s="24">
        <f>Data!S1133</f>
        <v>3</v>
      </c>
      <c r="S1030" s="24">
        <f>'TMT E DK'!E1133</f>
        <v>0</v>
      </c>
      <c r="T1030" s="24">
        <f>'TMT E DD'!E1133</f>
        <v>0</v>
      </c>
      <c r="U1030" s="24">
        <f>TA!E1133</f>
        <v>369134000000</v>
      </c>
      <c r="V1030" s="109">
        <f>PR!F1133</f>
        <v>1.163925222598692</v>
      </c>
      <c r="W1030" s="109">
        <f>'Z Score'!I1133</f>
        <v>0.75007428196806569</v>
      </c>
      <c r="X1030" s="109">
        <f>'Z Score'!L1133</f>
        <v>0.52300915114836344</v>
      </c>
      <c r="Y1030" s="109">
        <f>'Z Score'!O1133</f>
        <v>7.0252211933877665E-2</v>
      </c>
      <c r="Z1030" s="109">
        <f>'Z Score'!R1133</f>
        <v>0.71403708389845166</v>
      </c>
      <c r="AA1030" s="109">
        <f>'Z Score'!S1133</f>
        <v>2.0573727289487587</v>
      </c>
    </row>
    <row r="1031" spans="1:27" ht="15" customHeight="1" x14ac:dyDescent="0.3">
      <c r="A1031" s="22"/>
      <c r="B1031" s="23"/>
      <c r="C1031" s="2"/>
      <c r="D1031" s="23">
        <v>2024</v>
      </c>
      <c r="E1031" s="25">
        <f>'Current Ratio'!G1134</f>
        <v>2.3340335612181478</v>
      </c>
      <c r="F1031" s="25">
        <f>'Cash Ratio'!G1134</f>
        <v>0.57236793039154754</v>
      </c>
      <c r="G1031" s="25">
        <f>DAR!G1134</f>
        <v>0.54325063689664599</v>
      </c>
      <c r="H1031" s="25">
        <f>DER!G1134</f>
        <v>1.1893845526254589</v>
      </c>
      <c r="I1031" s="25">
        <f>NPM!G1134</f>
        <v>4.8353818752534958E-2</v>
      </c>
      <c r="J1031" s="25">
        <f>ROA!G1134</f>
        <v>1.9099063330947692E-2</v>
      </c>
      <c r="K1031" s="25">
        <f>ROE!G1134</f>
        <v>4.1815194226392217E-2</v>
      </c>
      <c r="L1031" s="25">
        <f>KM!E1134</f>
        <v>0.85</v>
      </c>
      <c r="M1031" s="24">
        <f>KI!E1134</f>
        <v>2</v>
      </c>
      <c r="N1031" s="108">
        <f>IO!E1134</f>
        <v>0</v>
      </c>
      <c r="O1031" s="24">
        <f>'BoC Size'!E1134</f>
        <v>4</v>
      </c>
      <c r="P1031" s="24">
        <f>'TMT E DK'!E1134</f>
        <v>0</v>
      </c>
      <c r="Q1031" s="24">
        <f>Data!R1134</f>
        <v>4</v>
      </c>
      <c r="R1031" s="24">
        <f>Data!S1134</f>
        <v>4</v>
      </c>
      <c r="S1031" s="24">
        <f>'TMT E DK'!E1134</f>
        <v>0</v>
      </c>
      <c r="T1031" s="24">
        <f>'TMT E DD'!E1134</f>
        <v>0</v>
      </c>
      <c r="U1031" s="24">
        <f>TA!E1134</f>
        <v>574269000000</v>
      </c>
      <c r="V1031" s="109">
        <f>PR!F1134</f>
        <v>-0.48377552924683315</v>
      </c>
      <c r="W1031" s="109">
        <f>'Z Score'!I1134</f>
        <v>1.2259740295924033</v>
      </c>
      <c r="X1031" s="109">
        <f>'Z Score'!L1134</f>
        <v>0.37952126964889277</v>
      </c>
      <c r="Y1031" s="109">
        <f>'Z Score'!O1134</f>
        <v>0.11463115717547002</v>
      </c>
      <c r="Z1031" s="109">
        <f>'Z Score'!R1134</f>
        <v>0.88280951495647053</v>
      </c>
      <c r="AA1031" s="109">
        <f>'Z Score'!S1134</f>
        <v>2.6029359713732365</v>
      </c>
    </row>
    <row r="1032" spans="1:27" ht="15" customHeight="1" x14ac:dyDescent="0.3">
      <c r="A1032" s="22"/>
      <c r="B1032" s="23">
        <v>104</v>
      </c>
      <c r="C1032" s="2" t="s">
        <v>123</v>
      </c>
      <c r="D1032" s="23">
        <v>2015</v>
      </c>
      <c r="E1032" s="25">
        <f>'Current Ratio'!G1136</f>
        <v>0.86376203153798892</v>
      </c>
      <c r="F1032" s="25">
        <f>'Cash Ratio'!G1136</f>
        <v>2.4165472045873437E-2</v>
      </c>
      <c r="G1032" s="25">
        <f>DAR!G1136</f>
        <v>0.75932690136402103</v>
      </c>
      <c r="H1032" s="25">
        <f>DER!G1136</f>
        <v>3.1550136083655635</v>
      </c>
      <c r="I1032" s="25">
        <f>NPM!G1136</f>
        <v>0.32064286320074631</v>
      </c>
      <c r="J1032" s="25">
        <f>ROA!G1136</f>
        <v>0.13034132416746103</v>
      </c>
      <c r="K1032" s="25">
        <f>ROE!G1136</f>
        <v>0.54156997564818798</v>
      </c>
      <c r="L1032" s="25">
        <f>KM!E1136</f>
        <v>0.51</v>
      </c>
      <c r="M1032" s="24">
        <f>KI!E1136</f>
        <v>2</v>
      </c>
      <c r="N1032" s="108">
        <f>IO!E1136</f>
        <v>0</v>
      </c>
      <c r="O1032" s="24">
        <f>'BoC Size'!E1136</f>
        <v>4</v>
      </c>
      <c r="P1032" s="24">
        <f>'TMT E DK'!E1136</f>
        <v>0</v>
      </c>
      <c r="Q1032" s="24">
        <f>Data!R1136</f>
        <v>4</v>
      </c>
      <c r="R1032" s="24">
        <f>Data!S1136</f>
        <v>3</v>
      </c>
      <c r="S1032" s="24">
        <f>'TMT E DK'!E1136</f>
        <v>0</v>
      </c>
      <c r="T1032" s="24">
        <f>'TMT E DD'!E1136</f>
        <v>0</v>
      </c>
      <c r="U1032" s="24">
        <f>TA!E1136</f>
        <v>580123000000</v>
      </c>
      <c r="V1032" s="109">
        <f>PR!F1136</f>
        <v>0.20399869297063269</v>
      </c>
      <c r="W1032" s="109">
        <f>'Z Score'!I1136</f>
        <v>-3.0090446336380389E-2</v>
      </c>
      <c r="X1032" s="109">
        <f>'Z Score'!L1136</f>
        <v>0.22248716220525644</v>
      </c>
      <c r="Y1032" s="109">
        <f>'Z Score'!O1136</f>
        <v>1.0165320113148417</v>
      </c>
      <c r="Z1032" s="109">
        <f>'Z Score'!R1136</f>
        <v>0.3328036358435697</v>
      </c>
      <c r="AA1032" s="109">
        <f>'Z Score'!S1136</f>
        <v>1.5417323630272874</v>
      </c>
    </row>
    <row r="1033" spans="1:27" ht="15" customHeight="1" x14ac:dyDescent="0.3">
      <c r="A1033" s="22"/>
      <c r="B1033" s="23"/>
      <c r="C1033" s="2"/>
      <c r="D1033" s="23">
        <v>2016</v>
      </c>
      <c r="E1033" s="25">
        <f>'Current Ratio'!G1137</f>
        <v>0.48604431763271128</v>
      </c>
      <c r="F1033" s="25">
        <f>'Cash Ratio'!G1137</f>
        <v>3.5205596079063025E-3</v>
      </c>
      <c r="G1033" s="25">
        <f>DAR!G1137</f>
        <v>0.79213671798987084</v>
      </c>
      <c r="H1033" s="25">
        <f>DER!G1137</f>
        <v>3.8108544728513909</v>
      </c>
      <c r="I1033" s="25">
        <f>NPM!G1137</f>
        <v>0.28485287222053124</v>
      </c>
      <c r="J1033" s="25">
        <f>ROA!G1137</f>
        <v>0.11925971975154082</v>
      </c>
      <c r="K1033" s="25">
        <f>ROE!G1137</f>
        <v>0.57374115619770349</v>
      </c>
      <c r="L1033" s="25">
        <f>KM!E1137</f>
        <v>0.51</v>
      </c>
      <c r="M1033" s="24">
        <f>KI!E1137</f>
        <v>2</v>
      </c>
      <c r="N1033" s="108">
        <f>IO!E1137</f>
        <v>0</v>
      </c>
      <c r="O1033" s="24">
        <f>'BoC Size'!E1137</f>
        <v>4</v>
      </c>
      <c r="P1033" s="24">
        <f>'TMT E DK'!E1137</f>
        <v>0</v>
      </c>
      <c r="Q1033" s="24">
        <f>Data!R1137</f>
        <v>4</v>
      </c>
      <c r="R1033" s="24">
        <f>Data!S1137</f>
        <v>3</v>
      </c>
      <c r="S1033" s="24">
        <f>'TMT E DK'!E1137</f>
        <v>0</v>
      </c>
      <c r="T1033" s="24">
        <f>'TMT E DD'!E1137</f>
        <v>0</v>
      </c>
      <c r="U1033" s="24">
        <f>TA!E1137</f>
        <v>580699000000</v>
      </c>
      <c r="V1033" s="109">
        <f>PR!F1137</f>
        <v>3.0964294801119497E-2</v>
      </c>
      <c r="W1033" s="109">
        <f>'Z Score'!I1137</f>
        <v>-0.25232376842391668</v>
      </c>
      <c r="X1033" s="109">
        <f>'Z Score'!L1137</f>
        <v>0.11631488946941529</v>
      </c>
      <c r="Y1033" s="109">
        <f>'Z Score'!O1137</f>
        <v>0.93926250949286971</v>
      </c>
      <c r="Z1033" s="109">
        <f>'Z Score'!R1137</f>
        <v>0.2755287580463181</v>
      </c>
      <c r="AA1033" s="109">
        <f>'Z Score'!S1137</f>
        <v>1.0787823885846863</v>
      </c>
    </row>
    <row r="1034" spans="1:27" ht="15" customHeight="1" x14ac:dyDescent="0.3">
      <c r="A1034" s="22"/>
      <c r="B1034" s="23"/>
      <c r="C1034" s="2"/>
      <c r="D1034" s="23">
        <v>2017</v>
      </c>
      <c r="E1034" s="25">
        <f>'Current Ratio'!G1138</f>
        <v>8.0345848615262852E-2</v>
      </c>
      <c r="F1034" s="25">
        <f>'Cash Ratio'!G1138</f>
        <v>2.4627756930752543E-3</v>
      </c>
      <c r="G1034" s="25">
        <f>DAR!G1138</f>
        <v>0.75965602631800233</v>
      </c>
      <c r="H1034" s="25">
        <f>DER!G1138</f>
        <v>3.1607260160511812</v>
      </c>
      <c r="I1034" s="25">
        <f>NPM!G1138</f>
        <v>0.37002451219116261</v>
      </c>
      <c r="J1034" s="25">
        <f>ROA!G1138</f>
        <v>0.15646821195121491</v>
      </c>
      <c r="K1034" s="25">
        <f>ROE!G1138</f>
        <v>0.65102247736554997</v>
      </c>
      <c r="L1034" s="25">
        <f>KM!E1138</f>
        <v>0.51</v>
      </c>
      <c r="M1034" s="24">
        <f>KI!E1138</f>
        <v>2</v>
      </c>
      <c r="N1034" s="108">
        <f>IO!E1138</f>
        <v>0</v>
      </c>
      <c r="O1034" s="24">
        <f>'BoC Size'!E1138</f>
        <v>2</v>
      </c>
      <c r="P1034" s="24">
        <f>'TMT E DK'!E1138</f>
        <v>0</v>
      </c>
      <c r="Q1034" s="24">
        <f>Data!R1138</f>
        <v>2</v>
      </c>
      <c r="R1034" s="24">
        <f>Data!S1138</f>
        <v>3</v>
      </c>
      <c r="S1034" s="24">
        <f>'TMT E DK'!E1138</f>
        <v>0</v>
      </c>
      <c r="T1034" s="24">
        <f>'TMT E DD'!E1138</f>
        <v>0</v>
      </c>
      <c r="U1034" s="24">
        <f>TA!E1138</f>
        <v>582719000000</v>
      </c>
      <c r="V1034" s="109">
        <f>PR!F1138</f>
        <v>1.3515848010463882E-2</v>
      </c>
      <c r="W1034" s="109">
        <f>'Z Score'!I1138</f>
        <v>-2.9300640617518905</v>
      </c>
      <c r="X1034" s="109">
        <f>'Z Score'!L1138</f>
        <v>0.2244890247271841</v>
      </c>
      <c r="Y1034" s="109">
        <f>'Z Score'!O1138</f>
        <v>1.2804947839353102</v>
      </c>
      <c r="Z1034" s="109">
        <f>'Z Score'!R1138</f>
        <v>0.33220215693095928</v>
      </c>
      <c r="AA1034" s="109">
        <f>'Z Score'!S1138</f>
        <v>-1.092878096158437</v>
      </c>
    </row>
    <row r="1035" spans="1:27" ht="15" customHeight="1" x14ac:dyDescent="0.3">
      <c r="A1035" s="22"/>
      <c r="B1035" s="23"/>
      <c r="C1035" s="2"/>
      <c r="D1035" s="23">
        <v>2018</v>
      </c>
      <c r="E1035" s="25">
        <f>'Current Ratio'!G1139</f>
        <v>8.7517564322352123E-2</v>
      </c>
      <c r="F1035" s="25">
        <f>'Cash Ratio'!G1139</f>
        <v>1.8483335795487731E-3</v>
      </c>
      <c r="G1035" s="25">
        <f>DAR!G1139</f>
        <v>0.76816021550093871</v>
      </c>
      <c r="H1035" s="25">
        <f>DER!G1139</f>
        <v>3.3133235400503445</v>
      </c>
      <c r="I1035" s="25">
        <f>NPM!G1139</f>
        <v>0.29322246506187283</v>
      </c>
      <c r="J1035" s="25">
        <f>ROA!G1139</f>
        <v>0.1304181149486662</v>
      </c>
      <c r="K1035" s="25">
        <f>ROE!G1139</f>
        <v>0.56253552525707373</v>
      </c>
      <c r="L1035" s="25">
        <f>KM!E1139</f>
        <v>0.51</v>
      </c>
      <c r="M1035" s="24">
        <f>KI!E1139</f>
        <v>2</v>
      </c>
      <c r="N1035" s="108">
        <f>IO!E1139</f>
        <v>0</v>
      </c>
      <c r="O1035" s="24">
        <f>'BoC Size'!E1139</f>
        <v>2</v>
      </c>
      <c r="P1035" s="24">
        <f>'TMT E DK'!E1139</f>
        <v>0</v>
      </c>
      <c r="Q1035" s="24">
        <f>Data!R1139</f>
        <v>2</v>
      </c>
      <c r="R1035" s="24">
        <f>Data!S1139</f>
        <v>3</v>
      </c>
      <c r="S1035" s="24">
        <f>'TMT E DK'!E1139</f>
        <v>0</v>
      </c>
      <c r="T1035" s="24">
        <f>'TMT E DD'!E1139</f>
        <v>0</v>
      </c>
      <c r="U1035" s="24">
        <f>TA!E1139</f>
        <v>584313000000</v>
      </c>
      <c r="V1035" s="109">
        <f>PR!F1139</f>
        <v>5.470601603844031E-2</v>
      </c>
      <c r="W1035" s="109">
        <f>'Z Score'!I1139</f>
        <v>-2.9818426767845314</v>
      </c>
      <c r="X1035" s="109">
        <f>'Z Score'!L1139</f>
        <v>0.19720245827150859</v>
      </c>
      <c r="Y1035" s="109">
        <f>'Z Score'!O1139</f>
        <v>1.0641814233125055</v>
      </c>
      <c r="Z1035" s="109">
        <f>'Z Score'!R1139</f>
        <v>0.316902345125054</v>
      </c>
      <c r="AA1035" s="109">
        <f>'Z Score'!S1139</f>
        <v>-1.4035564500754631</v>
      </c>
    </row>
    <row r="1036" spans="1:27" ht="15" customHeight="1" x14ac:dyDescent="0.3">
      <c r="A1036" s="22"/>
      <c r="B1036" s="23"/>
      <c r="C1036" s="2"/>
      <c r="D1036" s="23">
        <v>2019</v>
      </c>
      <c r="E1036" s="25">
        <f>'Current Ratio'!G1140</f>
        <v>6.339018333211599E-2</v>
      </c>
      <c r="F1036" s="25">
        <f>'Cash Ratio'!G1140</f>
        <v>2.2779563216711709E-3</v>
      </c>
      <c r="G1036" s="25">
        <f>DAR!G1140</f>
        <v>0.7032558347147011</v>
      </c>
      <c r="H1036" s="25">
        <f>DER!G1140</f>
        <v>2.369906191882726</v>
      </c>
      <c r="I1036" s="25">
        <f>NPM!G1140</f>
        <v>0.31857203264746009</v>
      </c>
      <c r="J1036" s="25">
        <f>ROA!G1140</f>
        <v>0.16202885553767837</v>
      </c>
      <c r="K1036" s="25">
        <f>ROE!G1140</f>
        <v>0.54602204354009409</v>
      </c>
      <c r="L1036" s="25">
        <f>KM!E1140</f>
        <v>0.51</v>
      </c>
      <c r="M1036" s="24">
        <f>KI!E1140</f>
        <v>2</v>
      </c>
      <c r="N1036" s="108">
        <f>IO!E1140</f>
        <v>0</v>
      </c>
      <c r="O1036" s="24">
        <f>'BoC Size'!E1140</f>
        <v>4</v>
      </c>
      <c r="P1036" s="24">
        <f>'TMT E DK'!E1140</f>
        <v>0</v>
      </c>
      <c r="Q1036" s="24">
        <f>Data!R1140</f>
        <v>4</v>
      </c>
      <c r="R1036" s="24">
        <f>Data!S1140</f>
        <v>4</v>
      </c>
      <c r="S1036" s="24">
        <f>'TMT E DK'!E1140</f>
        <v>0</v>
      </c>
      <c r="T1036" s="24">
        <f>'TMT E DD'!E1140</f>
        <v>0</v>
      </c>
      <c r="U1036" s="24">
        <f>TA!E1140</f>
        <v>492869000000</v>
      </c>
      <c r="V1036" s="109">
        <f>PR!F1140</f>
        <v>-3.5438342670688912E-2</v>
      </c>
      <c r="W1036" s="109">
        <f>'Z Score'!I1140</f>
        <v>-2.7307767378350025</v>
      </c>
      <c r="X1036" s="109">
        <f>'Z Score'!L1140</f>
        <v>0.30599230221417856</v>
      </c>
      <c r="Y1036" s="109">
        <f>'Z Score'!O1140</f>
        <v>1.2951641105445868</v>
      </c>
      <c r="Z1036" s="109">
        <f>'Z Score'!R1140</f>
        <v>0.44305551147821925</v>
      </c>
      <c r="AA1036" s="109">
        <f>'Z Score'!S1140</f>
        <v>-0.68656481359801802</v>
      </c>
    </row>
    <row r="1037" spans="1:27" ht="15" customHeight="1" x14ac:dyDescent="0.3">
      <c r="A1037" s="22"/>
      <c r="B1037" s="23"/>
      <c r="C1037" s="2"/>
      <c r="D1037" s="23">
        <v>2020</v>
      </c>
      <c r="E1037" s="25">
        <f>'Current Ratio'!G1141</f>
        <v>4.5575624563049227E-2</v>
      </c>
      <c r="F1037" s="25">
        <f>'Cash Ratio'!G1141</f>
        <v>1.9911680634341895E-3</v>
      </c>
      <c r="G1037" s="25">
        <f>DAR!G1141</f>
        <v>0.5774891591237602</v>
      </c>
      <c r="H1037" s="25">
        <f>DER!G1141</f>
        <v>1.3668031758099104</v>
      </c>
      <c r="I1037" s="25">
        <f>NPM!G1141</f>
        <v>0.50375507680962173</v>
      </c>
      <c r="J1037" s="25">
        <f>ROA!G1141</f>
        <v>0.28151732873536744</v>
      </c>
      <c r="K1037" s="25">
        <f>ROE!G1141</f>
        <v>0.66629610769639025</v>
      </c>
      <c r="L1037" s="25">
        <f>KM!E1141</f>
        <v>0.51</v>
      </c>
      <c r="M1037" s="24">
        <f>KI!E1141</f>
        <v>2</v>
      </c>
      <c r="N1037" s="108">
        <f>IO!E1141</f>
        <v>0</v>
      </c>
      <c r="O1037" s="24">
        <f>'BoC Size'!E1141</f>
        <v>4</v>
      </c>
      <c r="P1037" s="24">
        <f>'TMT E DK'!E1141</f>
        <v>0</v>
      </c>
      <c r="Q1037" s="24">
        <f>Data!R1141</f>
        <v>4</v>
      </c>
      <c r="R1037" s="24">
        <f>Data!S1141</f>
        <v>4</v>
      </c>
      <c r="S1037" s="24">
        <f>'TMT E DK'!E1141</f>
        <v>0</v>
      </c>
      <c r="T1037" s="24">
        <f>'TMT E DD'!E1141</f>
        <v>0</v>
      </c>
      <c r="U1037" s="24">
        <f>TA!E1141</f>
        <v>330001000000</v>
      </c>
      <c r="V1037" s="109">
        <f>PR!F1141</f>
        <v>-0.26432714478334757</v>
      </c>
      <c r="W1037" s="109">
        <f>'Z Score'!I1141</f>
        <v>-2.143900897270008</v>
      </c>
      <c r="X1037" s="109">
        <f>'Z Score'!L1141</f>
        <v>0.38957869824636893</v>
      </c>
      <c r="Y1037" s="109">
        <f>'Z Score'!O1141</f>
        <v>2.3110620876906429</v>
      </c>
      <c r="Z1037" s="109">
        <f>'Z Score'!R1141</f>
        <v>0.76821594987721187</v>
      </c>
      <c r="AA1037" s="109">
        <f>'Z Score'!S1141</f>
        <v>1.3249558385442157</v>
      </c>
    </row>
    <row r="1038" spans="1:27" ht="15" customHeight="1" x14ac:dyDescent="0.3">
      <c r="A1038" s="22"/>
      <c r="B1038" s="23"/>
      <c r="C1038" s="2"/>
      <c r="D1038" s="23">
        <v>2021</v>
      </c>
      <c r="E1038" s="25">
        <f>'Current Ratio'!G1142</f>
        <v>8.1843109203624226E-2</v>
      </c>
      <c r="F1038" s="25">
        <f>'Cash Ratio'!G1142</f>
        <v>7.20274996026069E-3</v>
      </c>
      <c r="G1038" s="25">
        <f>DAR!G1142</f>
        <v>0.50675570547489091</v>
      </c>
      <c r="H1038" s="25">
        <f>DER!G1142</f>
        <v>1.0273929391576451</v>
      </c>
      <c r="I1038" s="25">
        <f>NPM!G1142</f>
        <v>0.3853799836166637</v>
      </c>
      <c r="J1038" s="25">
        <f>ROA!G1142</f>
        <v>0.1420036221285918</v>
      </c>
      <c r="K1038" s="25">
        <f>ROE!G1142</f>
        <v>0.2878971408383173</v>
      </c>
      <c r="L1038" s="25">
        <f>KM!E1142</f>
        <v>0.51</v>
      </c>
      <c r="M1038" s="24">
        <f>KI!E1142</f>
        <v>2</v>
      </c>
      <c r="N1038" s="108">
        <f>IO!E1142</f>
        <v>0</v>
      </c>
      <c r="O1038" s="24">
        <f>'BoC Size'!E1142</f>
        <v>3</v>
      </c>
      <c r="P1038" s="24">
        <f>'TMT E DK'!E1142</f>
        <v>0</v>
      </c>
      <c r="Q1038" s="24">
        <f>Data!R1142</f>
        <v>3</v>
      </c>
      <c r="R1038" s="24">
        <f>Data!S1142</f>
        <v>4</v>
      </c>
      <c r="S1038" s="24">
        <f>'TMT E DK'!E1142</f>
        <v>0</v>
      </c>
      <c r="T1038" s="24">
        <f>'TMT E DD'!E1142</f>
        <v>0</v>
      </c>
      <c r="U1038" s="24">
        <f>TA!E1142</f>
        <v>321358000000</v>
      </c>
      <c r="V1038" s="109">
        <f>PR!F1142</f>
        <v>-0.35790626677583953</v>
      </c>
      <c r="W1038" s="109">
        <f>'Z Score'!I1142</f>
        <v>-1.8865628986986476</v>
      </c>
      <c r="X1038" s="109">
        <f>'Z Score'!L1142</f>
        <v>0.59395751778390449</v>
      </c>
      <c r="Y1038" s="109">
        <f>'Z Score'!O1142</f>
        <v>1.1271167980881134</v>
      </c>
      <c r="Z1038" s="109">
        <f>'Z Score'!R1142</f>
        <v>1.0220042984341418</v>
      </c>
      <c r="AA1038" s="109">
        <f>'Z Score'!S1142</f>
        <v>0.85651571560751205</v>
      </c>
    </row>
    <row r="1039" spans="1:27" ht="15" customHeight="1" x14ac:dyDescent="0.3">
      <c r="A1039" s="22"/>
      <c r="B1039" s="23"/>
      <c r="C1039" s="2"/>
      <c r="D1039" s="23">
        <v>2022</v>
      </c>
      <c r="E1039" s="25">
        <f>'Current Ratio'!G1143</f>
        <v>4.2902790218859045E-2</v>
      </c>
      <c r="F1039" s="25">
        <f>'Cash Ratio'!G1143</f>
        <v>1.93858042434857E-3</v>
      </c>
      <c r="G1039" s="25">
        <f>DAR!G1143</f>
        <v>0.58234371040121646</v>
      </c>
      <c r="H1039" s="25">
        <f>DER!G1143</f>
        <v>1.3943132784152201</v>
      </c>
      <c r="I1039" s="25">
        <f>NPM!G1143</f>
        <v>0.31840668470778144</v>
      </c>
      <c r="J1039" s="25">
        <f>ROA!G1143</f>
        <v>8.5841842938584934E-2</v>
      </c>
      <c r="K1039" s="25">
        <f>ROE!G1143</f>
        <v>0.2055322643914877</v>
      </c>
      <c r="L1039" s="25">
        <f>KM!E1143</f>
        <v>0.51</v>
      </c>
      <c r="M1039" s="24">
        <f>KI!E1143</f>
        <v>2</v>
      </c>
      <c r="N1039" s="108">
        <f>IO!E1143</f>
        <v>0</v>
      </c>
      <c r="O1039" s="24">
        <f>'BoC Size'!E1143</f>
        <v>3</v>
      </c>
      <c r="P1039" s="24">
        <f>'TMT E DK'!E1143</f>
        <v>0</v>
      </c>
      <c r="Q1039" s="24">
        <f>Data!R1143</f>
        <v>3</v>
      </c>
      <c r="R1039" s="24">
        <f>Data!S1143</f>
        <v>4</v>
      </c>
      <c r="S1039" s="24">
        <f>'TMT E DK'!E1143</f>
        <v>0</v>
      </c>
      <c r="T1039" s="24">
        <f>'TMT E DD'!E1143</f>
        <v>0</v>
      </c>
      <c r="U1039" s="24">
        <f>TA!E1143</f>
        <v>390637000000</v>
      </c>
      <c r="V1039" s="109">
        <f>PR!F1143</f>
        <v>-0.11061285500747384</v>
      </c>
      <c r="W1039" s="109">
        <f>'Z Score'!I1143</f>
        <v>-2.404366611457696</v>
      </c>
      <c r="X1039" s="109">
        <f>'Z Score'!L1143</f>
        <v>0.52646600296438895</v>
      </c>
      <c r="Y1039" s="109">
        <f>'Z Score'!O1143</f>
        <v>0.66564017233390582</v>
      </c>
      <c r="Z1039" s="109">
        <f>'Z Score'!R1143</f>
        <v>0.75305888300327495</v>
      </c>
      <c r="AA1039" s="109">
        <f>'Z Score'!S1143</f>
        <v>-0.45920155315612643</v>
      </c>
    </row>
    <row r="1040" spans="1:27" ht="15" customHeight="1" x14ac:dyDescent="0.3">
      <c r="A1040" s="22"/>
      <c r="B1040" s="23"/>
      <c r="C1040" s="2"/>
      <c r="D1040" s="23">
        <v>2023</v>
      </c>
      <c r="E1040" s="25">
        <f>'Current Ratio'!G1144</f>
        <v>6.2014092546302677E-2</v>
      </c>
      <c r="F1040" s="25">
        <f>'Cash Ratio'!G1144</f>
        <v>1.4712539610683567E-3</v>
      </c>
      <c r="G1040" s="25">
        <f>DAR!G1144</f>
        <v>0.61477467739756275</v>
      </c>
      <c r="H1040" s="25">
        <f>DER!G1144</f>
        <v>1.5958833475545597</v>
      </c>
      <c r="I1040" s="25">
        <f>NPM!G1144</f>
        <v>0.29165242652084755</v>
      </c>
      <c r="J1040" s="25">
        <f>ROA!G1144</f>
        <v>8.2603163207895319E-2</v>
      </c>
      <c r="K1040" s="25">
        <f>ROE!G1144</f>
        <v>0.21442817582670695</v>
      </c>
      <c r="L1040" s="25">
        <f>KM!E1144</f>
        <v>0.51</v>
      </c>
      <c r="M1040" s="24">
        <f>KI!E1144</f>
        <v>2</v>
      </c>
      <c r="N1040" s="108">
        <f>IO!E1144</f>
        <v>0</v>
      </c>
      <c r="O1040" s="24">
        <f>'BoC Size'!E1144</f>
        <v>3</v>
      </c>
      <c r="P1040" s="24">
        <f>'TMT E DK'!E1144</f>
        <v>0</v>
      </c>
      <c r="Q1040" s="24">
        <f>Data!R1144</f>
        <v>3</v>
      </c>
      <c r="R1040" s="24">
        <f>Data!S1144</f>
        <v>4</v>
      </c>
      <c r="S1040" s="24">
        <f>'TMT E DK'!E1144</f>
        <v>0</v>
      </c>
      <c r="T1040" s="24">
        <f>'TMT E DD'!E1144</f>
        <v>0</v>
      </c>
      <c r="U1040" s="24">
        <f>TA!E1144</f>
        <v>495889000000</v>
      </c>
      <c r="V1040" s="109">
        <f>PR!F1144</f>
        <v>0.33359920239282154</v>
      </c>
      <c r="W1040" s="109">
        <f>'Z Score'!I1144</f>
        <v>-2.5217336944356497</v>
      </c>
      <c r="X1040" s="109">
        <f>'Z Score'!L1144</f>
        <v>0.59724603691551936</v>
      </c>
      <c r="Y1040" s="109">
        <f>'Z Score'!O1144</f>
        <v>0.63126578730320693</v>
      </c>
      <c r="Z1040" s="109">
        <f>'Z Score'!R1144</f>
        <v>0.65794282621531197</v>
      </c>
      <c r="AA1040" s="109">
        <f>'Z Score'!S1144</f>
        <v>-0.63527904400161139</v>
      </c>
    </row>
    <row r="1041" spans="1:27" ht="15" customHeight="1" x14ac:dyDescent="0.3">
      <c r="A1041" s="22"/>
      <c r="B1041" s="23"/>
      <c r="C1041" s="2"/>
      <c r="D1041" s="23">
        <v>2024</v>
      </c>
      <c r="E1041" s="25">
        <f>'Current Ratio'!G1145</f>
        <v>5.8188452956489403E-2</v>
      </c>
      <c r="F1041" s="25">
        <f>'Cash Ratio'!G1145</f>
        <v>2.2700508243461014E-3</v>
      </c>
      <c r="G1041" s="25">
        <f>DAR!G1145</f>
        <v>0.61006748159200697</v>
      </c>
      <c r="H1041" s="25">
        <f>DER!G1145</f>
        <v>1.5645463068399006</v>
      </c>
      <c r="I1041" s="25">
        <f>NPM!G1145</f>
        <v>0.31652482191418851</v>
      </c>
      <c r="J1041" s="25">
        <f>ROA!G1145</f>
        <v>9.0212894145999353E-2</v>
      </c>
      <c r="K1041" s="25">
        <f>ROE!G1145</f>
        <v>0.23135514451146152</v>
      </c>
      <c r="L1041" s="25">
        <f>KM!E1145</f>
        <v>0.51</v>
      </c>
      <c r="M1041" s="24">
        <f>KI!E1145</f>
        <v>2</v>
      </c>
      <c r="N1041" s="108">
        <f>IO!E1145</f>
        <v>0</v>
      </c>
      <c r="O1041" s="24">
        <f>'BoC Size'!E1145</f>
        <v>3</v>
      </c>
      <c r="P1041" s="24">
        <f>'TMT E DK'!E1145</f>
        <v>0</v>
      </c>
      <c r="Q1041" s="24">
        <f>Data!R1145</f>
        <v>3</v>
      </c>
      <c r="R1041" s="24">
        <f>Data!S1145</f>
        <v>4</v>
      </c>
      <c r="S1041" s="24">
        <f>'TMT E DK'!E1145</f>
        <v>0</v>
      </c>
      <c r="T1041" s="24">
        <f>'TMT E DD'!E1145</f>
        <v>0</v>
      </c>
      <c r="U1041" s="24">
        <f>TA!E1145</f>
        <v>637359000000</v>
      </c>
      <c r="V1041" s="109">
        <f>PR!F1145</f>
        <v>0.29338972431077692</v>
      </c>
      <c r="W1041" s="109">
        <f>'Z Score'!I1145</f>
        <v>-2.5023367991979399</v>
      </c>
      <c r="X1041" s="109">
        <f>'Z Score'!L1145</f>
        <v>0.75888107016610729</v>
      </c>
      <c r="Y1041" s="109">
        <f>'Z Score'!O1145</f>
        <v>0.69441655330826102</v>
      </c>
      <c r="Z1041" s="109">
        <f>'Z Score'!R1145</f>
        <v>0.67112107542589094</v>
      </c>
      <c r="AA1041" s="109">
        <f>'Z Score'!S1145</f>
        <v>-0.3779181002976808</v>
      </c>
    </row>
    <row r="1042" spans="1:27" ht="15" customHeight="1" x14ac:dyDescent="0.3">
      <c r="A1042" s="22"/>
      <c r="B1042" s="23">
        <v>105</v>
      </c>
      <c r="C1042" s="1" t="s">
        <v>135</v>
      </c>
      <c r="D1042" s="23">
        <v>2015</v>
      </c>
      <c r="E1042" s="25">
        <f>'Current Ratio'!G1147</f>
        <v>0</v>
      </c>
      <c r="F1042" s="25">
        <f>'Cash Ratio'!G1147</f>
        <v>0</v>
      </c>
      <c r="G1042" s="25">
        <f>DAR!G1147</f>
        <v>0</v>
      </c>
      <c r="H1042" s="25">
        <f>DER!G1147</f>
        <v>0</v>
      </c>
      <c r="I1042" s="25">
        <f>NPM!G1147</f>
        <v>0</v>
      </c>
      <c r="J1042" s="25">
        <f>ROA!G1147</f>
        <v>0</v>
      </c>
      <c r="K1042" s="25">
        <f>ROE!G1147</f>
        <v>0</v>
      </c>
      <c r="L1042" s="25">
        <f>KM!E1147</f>
        <v>0</v>
      </c>
      <c r="M1042" s="24">
        <f>KI!E1147</f>
        <v>0</v>
      </c>
      <c r="N1042" s="108">
        <f>IO!E1147</f>
        <v>0</v>
      </c>
      <c r="O1042" s="24">
        <f>'BoC Size'!E1147</f>
        <v>0</v>
      </c>
      <c r="P1042" s="24">
        <f>'TMT E DK'!E1147</f>
        <v>0</v>
      </c>
      <c r="Q1042" s="24">
        <f>Data!R1147</f>
        <v>0</v>
      </c>
      <c r="R1042" s="24">
        <f>Data!S1147</f>
        <v>0</v>
      </c>
      <c r="S1042" s="24">
        <f>'TMT E DK'!E1147</f>
        <v>0</v>
      </c>
      <c r="T1042" s="24">
        <f>'TMT E DD'!E1147</f>
        <v>0</v>
      </c>
      <c r="U1042" s="24">
        <f>TA!E1147</f>
        <v>0</v>
      </c>
      <c r="V1042" s="109">
        <f>PR!F1147</f>
        <v>0</v>
      </c>
      <c r="W1042" s="109">
        <f>'Z Score'!I1147</f>
        <v>0</v>
      </c>
      <c r="X1042" s="109">
        <f>'Z Score'!L1147</f>
        <v>0</v>
      </c>
      <c r="Y1042" s="109">
        <f>'Z Score'!O1147</f>
        <v>0</v>
      </c>
      <c r="Z1042" s="109">
        <f>'Z Score'!R1147</f>
        <v>0</v>
      </c>
      <c r="AA1042" s="109">
        <f>'Z Score'!S1147</f>
        <v>0</v>
      </c>
    </row>
    <row r="1043" spans="1:27" ht="15" customHeight="1" x14ac:dyDescent="0.3">
      <c r="A1043" s="22"/>
      <c r="B1043" s="23"/>
      <c r="C1043" s="1"/>
      <c r="D1043" s="23">
        <v>2016</v>
      </c>
      <c r="E1043" s="25">
        <f>'Current Ratio'!G1148</f>
        <v>2.6816005108013194</v>
      </c>
      <c r="F1043" s="25">
        <f>'Cash Ratio'!G1148</f>
        <v>0.57294881345110138</v>
      </c>
      <c r="G1043" s="25">
        <f>DAR!G1148</f>
        <v>0.52655550062175083</v>
      </c>
      <c r="H1043" s="25">
        <f>DER!G1148</f>
        <v>2.4059419496166483</v>
      </c>
      <c r="I1043" s="25">
        <f>NPM!G1148</f>
        <v>-0.52814132600850971</v>
      </c>
      <c r="J1043" s="25">
        <f>ROA!G1148</f>
        <v>-0.2203694548069576</v>
      </c>
      <c r="K1043" s="25">
        <f>ROE!G1148</f>
        <v>-1.0069140197152244</v>
      </c>
      <c r="L1043" s="25">
        <f>KM!E1148</f>
        <v>0</v>
      </c>
      <c r="M1043" s="24">
        <f>KI!E1148</f>
        <v>0</v>
      </c>
      <c r="N1043" s="108">
        <f>IO!E1148</f>
        <v>0</v>
      </c>
      <c r="O1043" s="24">
        <f>'BoC Size'!E1148</f>
        <v>0</v>
      </c>
      <c r="P1043" s="24">
        <f>'TMT E DK'!E1148</f>
        <v>0</v>
      </c>
      <c r="Q1043" s="24">
        <f>Data!R1148</f>
        <v>0</v>
      </c>
      <c r="R1043" s="24">
        <f>Data!S1148</f>
        <v>0</v>
      </c>
      <c r="S1043" s="24">
        <f>'TMT E DK'!E1148</f>
        <v>0</v>
      </c>
      <c r="T1043" s="24">
        <f>'TMT E DD'!E1148</f>
        <v>0</v>
      </c>
      <c r="U1043" s="24">
        <f>TA!E1148</f>
        <v>133494000000</v>
      </c>
      <c r="V1043" s="109">
        <f>PR!F1148</f>
        <v>0</v>
      </c>
      <c r="W1043" s="109">
        <f>'Z Score'!I1148</f>
        <v>0.77652269015835917</v>
      </c>
      <c r="X1043" s="109">
        <f>'Z Score'!L1148</f>
        <v>-0.50755719358173401</v>
      </c>
      <c r="Y1043" s="109">
        <f>'Z Score'!O1148</f>
        <v>-1.3168268236774687</v>
      </c>
      <c r="Z1043" s="109">
        <f>'Z Score'!R1148</f>
        <v>0.43641950719854322</v>
      </c>
      <c r="AA1043" s="109">
        <f>'Z Score'!S1148</f>
        <v>-0.61144181990230018</v>
      </c>
    </row>
    <row r="1044" spans="1:27" ht="15" customHeight="1" x14ac:dyDescent="0.3">
      <c r="A1044" s="22"/>
      <c r="B1044" s="23"/>
      <c r="C1044" s="1"/>
      <c r="D1044" s="23">
        <v>2017</v>
      </c>
      <c r="E1044" s="25">
        <f>'Current Ratio'!G1149</f>
        <v>1.1884371200864514</v>
      </c>
      <c r="F1044" s="25">
        <f>'Cash Ratio'!G1149</f>
        <v>0.24841280561934351</v>
      </c>
      <c r="G1044" s="25">
        <f>DAR!G1149</f>
        <v>0.54766279582537114</v>
      </c>
      <c r="H1044" s="25">
        <f>DER!G1149</f>
        <v>4.0737129840546693</v>
      </c>
      <c r="I1044" s="25">
        <f>NPM!G1149</f>
        <v>-0.14625074564019791</v>
      </c>
      <c r="J1044" s="25">
        <f>ROA!G1149</f>
        <v>-5.1055906707824977E-2</v>
      </c>
      <c r="K1044" s="25">
        <f>ROE!G1149</f>
        <v>-0.3797722095671982</v>
      </c>
      <c r="L1044" s="25">
        <f>KM!E1149</f>
        <v>0.95</v>
      </c>
      <c r="M1044" s="24">
        <f>KI!E1149</f>
        <v>0</v>
      </c>
      <c r="N1044" s="108">
        <f>IO!E1149</f>
        <v>0</v>
      </c>
      <c r="O1044" s="24">
        <f>'BoC Size'!E1149</f>
        <v>1</v>
      </c>
      <c r="P1044" s="24">
        <f>'TMT E DK'!E1149</f>
        <v>0</v>
      </c>
      <c r="Q1044" s="24">
        <f>Data!R1149</f>
        <v>1</v>
      </c>
      <c r="R1044" s="24">
        <f>Data!S1149</f>
        <v>1</v>
      </c>
      <c r="S1044" s="24">
        <f>'TMT E DK'!E1149</f>
        <v>0</v>
      </c>
      <c r="T1044" s="24">
        <f>'TMT E DD'!E1149</f>
        <v>0</v>
      </c>
      <c r="U1044" s="24">
        <f>TA!E1149</f>
        <v>81636000000</v>
      </c>
      <c r="V1044" s="109">
        <f>PR!F1149</f>
        <v>-0.48835748011705354</v>
      </c>
      <c r="W1044" s="109">
        <f>'Z Score'!I1149</f>
        <v>0.11209760399823607</v>
      </c>
      <c r="X1044" s="109">
        <f>'Z Score'!L1149</f>
        <v>-1.5584394139840265</v>
      </c>
      <c r="Y1044" s="109">
        <f>'Z Score'!O1149</f>
        <v>-0.20982507717183596</v>
      </c>
      <c r="Z1044" s="109">
        <f>'Z Score'!R1149</f>
        <v>0.25775011742602161</v>
      </c>
      <c r="AA1044" s="109">
        <f>'Z Score'!S1149</f>
        <v>-1.3984167697316048</v>
      </c>
    </row>
    <row r="1045" spans="1:27" ht="15" customHeight="1" x14ac:dyDescent="0.3">
      <c r="A1045" s="22"/>
      <c r="B1045" s="23"/>
      <c r="C1045" s="1"/>
      <c r="D1045" s="23">
        <v>2018</v>
      </c>
      <c r="E1045" s="25">
        <f>'Current Ratio'!G1150</f>
        <v>1.768985791278785</v>
      </c>
      <c r="F1045" s="25">
        <f>'Cash Ratio'!G1150</f>
        <v>0.35962763351298382</v>
      </c>
      <c r="G1045" s="25">
        <f>DAR!G1150</f>
        <v>0.31442313574356151</v>
      </c>
      <c r="H1045" s="25">
        <f>DER!G1150</f>
        <v>0.65670616794965986</v>
      </c>
      <c r="I1045" s="25">
        <f>NPM!G1150</f>
        <v>0.1250324703437527</v>
      </c>
      <c r="J1045" s="25">
        <f>ROA!G1150</f>
        <v>1.1041781366611611E-2</v>
      </c>
      <c r="K1045" s="25">
        <f>ROE!G1150</f>
        <v>2.3061935030504362E-2</v>
      </c>
      <c r="L1045" s="25">
        <f>KM!E1150</f>
        <v>0.95</v>
      </c>
      <c r="M1045" s="24">
        <f>KI!E1150</f>
        <v>2</v>
      </c>
      <c r="N1045" s="108">
        <f>IO!E1150</f>
        <v>0</v>
      </c>
      <c r="O1045" s="24">
        <f>'BoC Size'!E1150</f>
        <v>3</v>
      </c>
      <c r="P1045" s="24">
        <f>'TMT E DK'!E1150</f>
        <v>0</v>
      </c>
      <c r="Q1045" s="24">
        <f>Data!R1150</f>
        <v>3</v>
      </c>
      <c r="R1045" s="24">
        <f>Data!S1150</f>
        <v>2</v>
      </c>
      <c r="S1045" s="24">
        <f>'TMT E DK'!E1150</f>
        <v>0</v>
      </c>
      <c r="T1045" s="24">
        <f>'TMT E DD'!E1150</f>
        <v>0</v>
      </c>
      <c r="U1045" s="24">
        <f>TA!E1150</f>
        <v>130776000000</v>
      </c>
      <c r="V1045" s="109">
        <f>PR!F1150</f>
        <v>-0.59475771079687012</v>
      </c>
      <c r="W1045" s="109">
        <f>'Z Score'!I1150</f>
        <v>0.15745886095308007</v>
      </c>
      <c r="X1045" s="109">
        <f>'Z Score'!L1150</f>
        <v>-0.93684865724597777</v>
      </c>
      <c r="Y1045" s="109">
        <f>'Z Score'!O1150</f>
        <v>3.1447972104973389E-2</v>
      </c>
      <c r="Z1045" s="109">
        <f>'Z Score'!R1150</f>
        <v>1.5988885916486295</v>
      </c>
      <c r="AA1045" s="109">
        <f>'Z Score'!S1150</f>
        <v>0.85094676746070519</v>
      </c>
    </row>
    <row r="1046" spans="1:27" ht="15" customHeight="1" x14ac:dyDescent="0.3">
      <c r="A1046" s="22"/>
      <c r="B1046" s="23"/>
      <c r="C1046" s="1"/>
      <c r="D1046" s="23">
        <v>2019</v>
      </c>
      <c r="E1046" s="25">
        <f>'Current Ratio'!G1151</f>
        <v>0.96720359123316613</v>
      </c>
      <c r="F1046" s="25">
        <f>'Cash Ratio'!G1151</f>
        <v>0.12880908370742011</v>
      </c>
      <c r="G1046" s="25">
        <f>DAR!G1151</f>
        <v>0.36244128495318556</v>
      </c>
      <c r="H1046" s="25">
        <f>DER!G1151</f>
        <v>0.87735229926283176</v>
      </c>
      <c r="I1046" s="25">
        <f>NPM!G1151</f>
        <v>4.6720694389088172E-2</v>
      </c>
      <c r="J1046" s="25">
        <f>ROA!G1151</f>
        <v>6.6517449008543237E-3</v>
      </c>
      <c r="K1046" s="25">
        <f>ROE!G1151</f>
        <v>1.61017078493918E-2</v>
      </c>
      <c r="L1046" s="25">
        <f>KM!E1151</f>
        <v>0.95</v>
      </c>
      <c r="M1046" s="24">
        <f>KI!E1151</f>
        <v>2</v>
      </c>
      <c r="N1046" s="108">
        <f>IO!E1151</f>
        <v>2.5000000000000001E-2</v>
      </c>
      <c r="O1046" s="24">
        <f>'BoC Size'!E1151</f>
        <v>3</v>
      </c>
      <c r="P1046" s="24">
        <f>'TMT E DK'!E1151</f>
        <v>0</v>
      </c>
      <c r="Q1046" s="24">
        <f>Data!R1151</f>
        <v>3</v>
      </c>
      <c r="R1046" s="24">
        <f>Data!S1151</f>
        <v>3</v>
      </c>
      <c r="S1046" s="24">
        <f>'TMT E DK'!E1151</f>
        <v>0</v>
      </c>
      <c r="T1046" s="24">
        <f>'TMT E DD'!E1151</f>
        <v>0</v>
      </c>
      <c r="U1046" s="24">
        <f>TA!E1151</f>
        <v>158605000000</v>
      </c>
      <c r="V1046" s="109">
        <f>PR!F1151</f>
        <v>0.95523421941293618</v>
      </c>
      <c r="W1046" s="109">
        <f>'Z Score'!I1151</f>
        <v>-2.5684940575643894E-2</v>
      </c>
      <c r="X1046" s="109">
        <f>'Z Score'!L1151</f>
        <v>-0.75078351880457739</v>
      </c>
      <c r="Y1046" s="109">
        <f>'Z Score'!O1151</f>
        <v>2.5718230825005517E-2</v>
      </c>
      <c r="Z1046" s="109">
        <f>'Z Score'!R1151</f>
        <v>1.1967826389492913</v>
      </c>
      <c r="AA1046" s="109">
        <f>'Z Score'!S1151</f>
        <v>0.4460324103940756</v>
      </c>
    </row>
    <row r="1047" spans="1:27" ht="15" customHeight="1" x14ac:dyDescent="0.3">
      <c r="A1047" s="22"/>
      <c r="B1047" s="23"/>
      <c r="C1047" s="1"/>
      <c r="D1047" s="23">
        <v>2020</v>
      </c>
      <c r="E1047" s="25">
        <f>'Current Ratio'!G1152</f>
        <v>1.8350766236925322</v>
      </c>
      <c r="F1047" s="25">
        <f>'Cash Ratio'!G1152</f>
        <v>0.15859888105083922</v>
      </c>
      <c r="G1047" s="25">
        <f>DAR!G1152</f>
        <v>0.36558724583712415</v>
      </c>
      <c r="H1047" s="25">
        <f>DER!G1152</f>
        <v>1.0053529608564737</v>
      </c>
      <c r="I1047" s="25">
        <f>NPM!G1152</f>
        <v>0.11051563391894463</v>
      </c>
      <c r="J1047" s="25">
        <f>ROA!G1152</f>
        <v>1.8434081628335063E-2</v>
      </c>
      <c r="K1047" s="25">
        <f>ROE!G1152</f>
        <v>5.0693121154377643E-2</v>
      </c>
      <c r="L1047" s="25">
        <f>KM!E1152</f>
        <v>0.95</v>
      </c>
      <c r="M1047" s="24">
        <f>KI!E1152</f>
        <v>2</v>
      </c>
      <c r="N1047" s="108">
        <f>IO!E1152</f>
        <v>2.5000000000000001E-2</v>
      </c>
      <c r="O1047" s="24">
        <f>'BoC Size'!E1152</f>
        <v>3</v>
      </c>
      <c r="P1047" s="24">
        <f>'TMT E DK'!E1152</f>
        <v>0</v>
      </c>
      <c r="Q1047" s="24">
        <f>Data!R1152</f>
        <v>3</v>
      </c>
      <c r="R1047" s="24">
        <f>Data!S1152</f>
        <v>4</v>
      </c>
      <c r="S1047" s="24">
        <f>'TMT E DK'!E1152</f>
        <v>0</v>
      </c>
      <c r="T1047" s="24">
        <f>'TMT E DD'!E1152</f>
        <v>0</v>
      </c>
      <c r="U1047" s="24">
        <f>TA!E1152</f>
        <v>189052000000</v>
      </c>
      <c r="V1047" s="109">
        <f>PR!F1152</f>
        <v>0.39648376954076436</v>
      </c>
      <c r="W1047" s="109">
        <f>'Z Score'!I1152</f>
        <v>0.59561602098893429</v>
      </c>
      <c r="X1047" s="109">
        <f>'Z Score'!L1152</f>
        <v>-0.56761853881471769</v>
      </c>
      <c r="Y1047" s="109">
        <f>'Z Score'!O1152</f>
        <v>0.15274019846391468</v>
      </c>
      <c r="Z1047" s="109">
        <f>'Z Score'!R1152</f>
        <v>1.0444093178036606</v>
      </c>
      <c r="AA1047" s="109">
        <f>'Z Score'!S1152</f>
        <v>1.225146998441792</v>
      </c>
    </row>
    <row r="1048" spans="1:27" ht="15" customHeight="1" x14ac:dyDescent="0.3">
      <c r="A1048" s="22"/>
      <c r="B1048" s="23"/>
      <c r="C1048" s="1"/>
      <c r="D1048" s="23">
        <v>2021</v>
      </c>
      <c r="E1048" s="25">
        <f>'Current Ratio'!G1153</f>
        <v>2.8308692377819176</v>
      </c>
      <c r="F1048" s="25">
        <f>'Cash Ratio'!G1153</f>
        <v>7.8045106821514929E-2</v>
      </c>
      <c r="G1048" s="25">
        <f>DAR!G1153</f>
        <v>0.48395452381619108</v>
      </c>
      <c r="H1048" s="25">
        <f>DER!G1153</f>
        <v>1.4688301202600678</v>
      </c>
      <c r="I1048" s="25">
        <f>NPM!G1153</f>
        <v>4.949274675263108E-2</v>
      </c>
      <c r="J1048" s="25">
        <f>ROA!G1153</f>
        <v>1.2181120663101005E-2</v>
      </c>
      <c r="K1048" s="25">
        <f>ROE!G1153</f>
        <v>3.6970409507486153E-2</v>
      </c>
      <c r="L1048" s="25">
        <f>KM!E1153</f>
        <v>0.95</v>
      </c>
      <c r="M1048" s="24">
        <f>KI!E1153</f>
        <v>2</v>
      </c>
      <c r="N1048" s="108">
        <f>IO!E1153</f>
        <v>2.5000000000000001E-2</v>
      </c>
      <c r="O1048" s="24">
        <f>'BoC Size'!E1153</f>
        <v>3</v>
      </c>
      <c r="P1048" s="24">
        <f>'TMT E DK'!E1153</f>
        <v>0</v>
      </c>
      <c r="Q1048" s="24">
        <f>Data!R1153</f>
        <v>3</v>
      </c>
      <c r="R1048" s="24">
        <f>Data!S1153</f>
        <v>3</v>
      </c>
      <c r="S1048" s="24">
        <f>'TMT E DK'!E1153</f>
        <v>0</v>
      </c>
      <c r="T1048" s="24">
        <f>'TMT E DD'!E1153</f>
        <v>0</v>
      </c>
      <c r="U1048" s="24">
        <f>TA!E1153</f>
        <v>214266000000</v>
      </c>
      <c r="V1048" s="109">
        <f>PR!F1153</f>
        <v>0.67232193822540753</v>
      </c>
      <c r="W1048" s="109">
        <f>'Z Score'!I1153</f>
        <v>1.414190585533869</v>
      </c>
      <c r="X1048" s="109">
        <f>'Z Score'!L1153</f>
        <v>-0.42093080563411828</v>
      </c>
      <c r="Y1048" s="109">
        <f>'Z Score'!O1153</f>
        <v>8.2170759709893307E-2</v>
      </c>
      <c r="Z1048" s="109">
        <f>'Z Score'!R1153</f>
        <v>0.71485462172718062</v>
      </c>
      <c r="AA1048" s="109">
        <f>'Z Score'!S1153</f>
        <v>1.7902851613368247</v>
      </c>
    </row>
    <row r="1049" spans="1:27" ht="15" customHeight="1" x14ac:dyDescent="0.3">
      <c r="A1049" s="22"/>
      <c r="B1049" s="23"/>
      <c r="C1049" s="1"/>
      <c r="D1049" s="23">
        <v>2022</v>
      </c>
      <c r="E1049" s="25">
        <f>'Current Ratio'!G1154</f>
        <v>2.5357142857142856</v>
      </c>
      <c r="F1049" s="25">
        <f>'Cash Ratio'!G1154</f>
        <v>0.21081962756558381</v>
      </c>
      <c r="G1049" s="25">
        <f>DAR!G1154</f>
        <v>0.6266817971786578</v>
      </c>
      <c r="H1049" s="25">
        <f>DER!G1154</f>
        <v>2.3638647169642057</v>
      </c>
      <c r="I1049" s="25">
        <f>NPM!G1154</f>
        <v>0.10215643064000646</v>
      </c>
      <c r="J1049" s="25">
        <f>ROA!G1154</f>
        <v>3.0082085292598735E-2</v>
      </c>
      <c r="K1049" s="25">
        <f>ROE!G1154</f>
        <v>0.11347063271347832</v>
      </c>
      <c r="L1049" s="25">
        <f>KM!E1154</f>
        <v>0.95</v>
      </c>
      <c r="M1049" s="24">
        <f>KI!E1154</f>
        <v>2</v>
      </c>
      <c r="N1049" s="108">
        <f>IO!E1154</f>
        <v>2.5000000000000001E-2</v>
      </c>
      <c r="O1049" s="24">
        <f>'BoC Size'!E1154</f>
        <v>3</v>
      </c>
      <c r="P1049" s="24">
        <f>'TMT E DK'!E1154</f>
        <v>0</v>
      </c>
      <c r="Q1049" s="24">
        <f>Data!R1154</f>
        <v>3</v>
      </c>
      <c r="R1049" s="24">
        <f>Data!S1154</f>
        <v>3</v>
      </c>
      <c r="S1049" s="24">
        <f>'TMT E DK'!E1154</f>
        <v>0</v>
      </c>
      <c r="T1049" s="24">
        <f>'TMT E DD'!E1154</f>
        <v>0</v>
      </c>
      <c r="U1049" s="24">
        <f>TA!E1154</f>
        <v>294328000000</v>
      </c>
      <c r="V1049" s="109">
        <f>PR!F1154</f>
        <v>0.64351948421352045</v>
      </c>
      <c r="W1049" s="109">
        <f>'Z Score'!I1154</f>
        <v>1.0072642765893833</v>
      </c>
      <c r="X1049" s="109">
        <f>'Z Score'!L1154</f>
        <v>-0.20169538745888937</v>
      </c>
      <c r="Y1049" s="109">
        <f>'Z Score'!O1154</f>
        <v>0.24060014677502647</v>
      </c>
      <c r="Z1049" s="109">
        <f>'Z Score'!R1154</f>
        <v>0.44418785578747627</v>
      </c>
      <c r="AA1049" s="109">
        <f>'Z Score'!S1154</f>
        <v>1.4903568916929968</v>
      </c>
    </row>
    <row r="1050" spans="1:27" ht="15" customHeight="1" x14ac:dyDescent="0.3">
      <c r="A1050" s="22"/>
      <c r="B1050" s="23"/>
      <c r="C1050" s="1"/>
      <c r="D1050" s="23">
        <v>2023</v>
      </c>
      <c r="E1050" s="25">
        <f>'Current Ratio'!G1155</f>
        <v>2.7549197895693966</v>
      </c>
      <c r="F1050" s="25">
        <f>'Cash Ratio'!G1155</f>
        <v>0.16324608690004547</v>
      </c>
      <c r="G1050" s="25">
        <f>DAR!G1155</f>
        <v>0.71811505134387499</v>
      </c>
      <c r="H1050" s="25">
        <f>DER!G1155</f>
        <v>2.8786982248520712</v>
      </c>
      <c r="I1050" s="25">
        <f>NPM!G1155</f>
        <v>0.109464682527145</v>
      </c>
      <c r="J1050" s="25">
        <f>ROA!G1155</f>
        <v>2.8839137323015542E-2</v>
      </c>
      <c r="K1050" s="25">
        <f>ROE!G1155</f>
        <v>0.11560706499977755</v>
      </c>
      <c r="L1050" s="25">
        <f>KM!E1155</f>
        <v>0.95</v>
      </c>
      <c r="M1050" s="24">
        <f>KI!E1155</f>
        <v>2</v>
      </c>
      <c r="N1050" s="108">
        <f>IO!E1155</f>
        <v>2.5000000000000001E-2</v>
      </c>
      <c r="O1050" s="24">
        <f>'BoC Size'!E1155</f>
        <v>3</v>
      </c>
      <c r="P1050" s="24">
        <f>'TMT E DK'!E1155</f>
        <v>0</v>
      </c>
      <c r="Q1050" s="24">
        <f>Data!R1155</f>
        <v>3</v>
      </c>
      <c r="R1050" s="24">
        <f>Data!S1155</f>
        <v>3</v>
      </c>
      <c r="S1050" s="24">
        <f>'TMT E DK'!E1155</f>
        <v>0</v>
      </c>
      <c r="T1050" s="24">
        <f>'TMT E DD'!E1155</f>
        <v>0</v>
      </c>
      <c r="U1050" s="24">
        <f>TA!E1155</f>
        <v>360413000000</v>
      </c>
      <c r="V1050" s="109">
        <f>PR!F1155</f>
        <v>9.5556760623507292E-2</v>
      </c>
      <c r="W1050" s="109">
        <f>'Z Score'!I1155</f>
        <v>0.98361868190104118</v>
      </c>
      <c r="X1050" s="109">
        <f>'Z Score'!L1155</f>
        <v>-0.10116127886618961</v>
      </c>
      <c r="Y1050" s="109">
        <f>'Z Score'!O1155</f>
        <v>0.26802584812423524</v>
      </c>
      <c r="Z1050" s="109">
        <f>'Z Score'!R1155</f>
        <v>0.36474820143884895</v>
      </c>
      <c r="AA1050" s="109">
        <f>'Z Score'!S1155</f>
        <v>1.5152314525979358</v>
      </c>
    </row>
    <row r="1051" spans="1:27" ht="15" customHeight="1" x14ac:dyDescent="0.3">
      <c r="A1051" s="22"/>
      <c r="B1051" s="23"/>
      <c r="C1051" s="1"/>
      <c r="D1051" s="23">
        <v>2024</v>
      </c>
      <c r="E1051" s="25">
        <f>'Current Ratio'!G1156</f>
        <v>2.2819653179190751</v>
      </c>
      <c r="F1051" s="25">
        <f>'Cash Ratio'!G1156</f>
        <v>0.18878612716763005</v>
      </c>
      <c r="G1051" s="25">
        <f>DAR!G1156</f>
        <v>0.63260074764819452</v>
      </c>
      <c r="H1051" s="25">
        <f>DER!G1156</f>
        <v>2.3916568304653043</v>
      </c>
      <c r="I1051" s="25">
        <f>NPM!G1156</f>
        <v>4.520028078796122E-2</v>
      </c>
      <c r="J1051" s="25">
        <f>ROA!G1156</f>
        <v>1.1285927508250148E-2</v>
      </c>
      <c r="K1051" s="25">
        <f>ROE!G1156</f>
        <v>4.2668406121223419E-2</v>
      </c>
      <c r="L1051" s="25">
        <f>KM!E1156</f>
        <v>0.95</v>
      </c>
      <c r="M1051" s="24">
        <f>KI!E1156</f>
        <v>2</v>
      </c>
      <c r="N1051" s="108">
        <f>IO!E1156</f>
        <v>9.5200000000000007E-2</v>
      </c>
      <c r="O1051" s="24">
        <f>'BoC Size'!E1156</f>
        <v>3</v>
      </c>
      <c r="P1051" s="24">
        <f>'TMT E DK'!E1156</f>
        <v>0</v>
      </c>
      <c r="Q1051" s="24">
        <f>Data!R1156</f>
        <v>3</v>
      </c>
      <c r="R1051" s="24">
        <f>Data!S1156</f>
        <v>3</v>
      </c>
      <c r="S1051" s="24">
        <f>'TMT E DK'!E1156</f>
        <v>0</v>
      </c>
      <c r="T1051" s="24">
        <f>'TMT E DD'!E1156</f>
        <v>0</v>
      </c>
      <c r="U1051" s="24">
        <f>TA!E1156</f>
        <v>365145000000</v>
      </c>
      <c r="V1051" s="109">
        <f>PR!F1156</f>
        <v>-3.9819700272766524E-2</v>
      </c>
      <c r="W1051" s="109">
        <f>'Z Score'!I1156</f>
        <v>0.59765714989935503</v>
      </c>
      <c r="X1051" s="109">
        <f>'Z Score'!L1156</f>
        <v>-6.3058182365909432E-2</v>
      </c>
      <c r="Y1051" s="109">
        <f>'Z Score'!O1156</f>
        <v>0.10217705295156719</v>
      </c>
      <c r="Z1051" s="109">
        <f>'Z Score'!R1156</f>
        <v>0.43902619582581143</v>
      </c>
      <c r="AA1051" s="109">
        <f>'Z Score'!S1156</f>
        <v>1.0758022163108243</v>
      </c>
    </row>
    <row r="1052" spans="1:27" ht="15" customHeight="1" x14ac:dyDescent="0.3">
      <c r="A1052" s="22"/>
      <c r="B1052" s="23">
        <v>106</v>
      </c>
      <c r="C1052" s="2" t="s">
        <v>124</v>
      </c>
      <c r="D1052" s="23">
        <v>2015</v>
      </c>
      <c r="E1052" s="25">
        <f>'Current Ratio'!G1158</f>
        <v>3.2245341250927844</v>
      </c>
      <c r="F1052" s="25">
        <f>'Cash Ratio'!G1158</f>
        <v>0.10275813571902957</v>
      </c>
      <c r="G1052" s="25">
        <f>DAR!G1158</f>
        <v>0.73693415410459306</v>
      </c>
      <c r="H1052" s="25">
        <f>DER!G1158</f>
        <v>2.8013296503628706</v>
      </c>
      <c r="I1052" s="25">
        <f>NPM!G1158</f>
        <v>0.30410516008646332</v>
      </c>
      <c r="J1052" s="25">
        <f>ROA!G1158</f>
        <v>5.6848102979532293E-2</v>
      </c>
      <c r="K1052" s="25">
        <f>ROE!G1158</f>
        <v>0.21609837942297797</v>
      </c>
      <c r="L1052" s="25">
        <f>KM!E1158</f>
        <v>0.6</v>
      </c>
      <c r="M1052" s="24">
        <f>KI!E1158</f>
        <v>0</v>
      </c>
      <c r="N1052" s="108">
        <f>IO!E1158</f>
        <v>0</v>
      </c>
      <c r="O1052" s="24">
        <f>'BoC Size'!E1158</f>
        <v>4</v>
      </c>
      <c r="P1052" s="24">
        <f>'TMT E DK'!E1158</f>
        <v>0</v>
      </c>
      <c r="Q1052" s="24">
        <f>Data!R1158</f>
        <v>4</v>
      </c>
      <c r="R1052" s="24">
        <f>Data!S1158</f>
        <v>4</v>
      </c>
      <c r="S1052" s="24">
        <f>'TMT E DK'!E1158</f>
        <v>0</v>
      </c>
      <c r="T1052" s="24">
        <f>'TMT E DD'!E1158</f>
        <v>0</v>
      </c>
      <c r="U1052" s="24">
        <f>TA!E1158</f>
        <v>2895488000000</v>
      </c>
      <c r="V1052" s="109">
        <f>PR!F1158</f>
        <v>0.14837154732176766</v>
      </c>
      <c r="W1052" s="109">
        <f>'Z Score'!I1158</f>
        <v>2.5801217894876443</v>
      </c>
      <c r="X1052" s="109">
        <f>'Z Score'!L1158</f>
        <v>0.41163426683170501</v>
      </c>
      <c r="Y1052" s="109">
        <f>'Z Score'!O1158</f>
        <v>0.46258299809911141</v>
      </c>
      <c r="Z1052" s="109">
        <f>'Z Score'!R1158</f>
        <v>0.37482200635115837</v>
      </c>
      <c r="AA1052" s="109">
        <f>'Z Score'!S1158</f>
        <v>3.8291610607696192</v>
      </c>
    </row>
    <row r="1053" spans="1:27" ht="15" customHeight="1" x14ac:dyDescent="0.3">
      <c r="A1053" s="22"/>
      <c r="B1053" s="23"/>
      <c r="C1053" s="2"/>
      <c r="D1053" s="23">
        <v>2016</v>
      </c>
      <c r="E1053" s="25">
        <f>'Current Ratio'!G1159</f>
        <v>2.4540203623742753</v>
      </c>
      <c r="F1053" s="25">
        <f>'Cash Ratio'!G1159</f>
        <v>0.12575280714274711</v>
      </c>
      <c r="G1053" s="25">
        <f>DAR!G1159</f>
        <v>0.79046713086191212</v>
      </c>
      <c r="H1053" s="25">
        <f>DER!G1159</f>
        <v>2.3371609957824049</v>
      </c>
      <c r="I1053" s="25">
        <f>NPM!G1159</f>
        <v>0.169303033645093</v>
      </c>
      <c r="J1053" s="25">
        <f>ROA!G1159</f>
        <v>4.0052558798230761E-2</v>
      </c>
      <c r="K1053" s="25">
        <f>ROE!G1159</f>
        <v>0.11842273327979665</v>
      </c>
      <c r="L1053" s="25">
        <f>KM!E1159</f>
        <v>0.6</v>
      </c>
      <c r="M1053" s="24">
        <f>KI!E1159</f>
        <v>0</v>
      </c>
      <c r="N1053" s="108">
        <f>IO!E1159</f>
        <v>0</v>
      </c>
      <c r="O1053" s="24">
        <f>'BoC Size'!E1159</f>
        <v>4</v>
      </c>
      <c r="P1053" s="24">
        <f>'TMT E DK'!E1159</f>
        <v>0</v>
      </c>
      <c r="Q1053" s="24">
        <f>Data!R1159</f>
        <v>4</v>
      </c>
      <c r="R1053" s="24">
        <f>Data!S1159</f>
        <v>4</v>
      </c>
      <c r="S1053" s="24">
        <f>'TMT E DK'!E1159</f>
        <v>0</v>
      </c>
      <c r="T1053" s="24">
        <f>'TMT E DD'!E1159</f>
        <v>0</v>
      </c>
      <c r="U1053" s="24">
        <f>TA!E1159</f>
        <v>2337953000000</v>
      </c>
      <c r="V1053" s="109">
        <f>PR!F1159</f>
        <v>2.185046280045079E-2</v>
      </c>
      <c r="W1053" s="109">
        <f>'Z Score'!I1159</f>
        <v>2.3838784098739367</v>
      </c>
      <c r="X1053" s="109">
        <f>'Z Score'!L1159</f>
        <v>0.54411860289749192</v>
      </c>
      <c r="Y1053" s="109">
        <f>'Z Score'!O1159</f>
        <v>0.3175968036996466</v>
      </c>
      <c r="Z1053" s="109">
        <f>'Z Score'!R1159</f>
        <v>0.44926301692301451</v>
      </c>
      <c r="AA1053" s="109">
        <f>'Z Score'!S1159</f>
        <v>3.6948568333940894</v>
      </c>
    </row>
    <row r="1054" spans="1:27" ht="15" customHeight="1" x14ac:dyDescent="0.3">
      <c r="A1054" s="22"/>
      <c r="B1054" s="23"/>
      <c r="C1054" s="2"/>
      <c r="D1054" s="23">
        <v>2017</v>
      </c>
      <c r="E1054" s="25">
        <f>'Current Ratio'!G1160</f>
        <v>1.5659659595579705</v>
      </c>
      <c r="F1054" s="25">
        <f>'Cash Ratio'!G1160</f>
        <v>4.6094631468604215E-2</v>
      </c>
      <c r="G1054" s="25">
        <f>DAR!G1160</f>
        <v>0.66501978440114062</v>
      </c>
      <c r="H1054" s="25">
        <f>DER!G1160</f>
        <v>1.9852509295578982</v>
      </c>
      <c r="I1054" s="25">
        <f>NPM!G1160</f>
        <v>0.20043515471700651</v>
      </c>
      <c r="J1054" s="25">
        <f>ROA!G1160</f>
        <v>5.098691034421992E-2</v>
      </c>
      <c r="K1054" s="25">
        <f>ROE!G1160</f>
        <v>0.15220872150036774</v>
      </c>
      <c r="L1054" s="25">
        <f>KM!E1160</f>
        <v>0.6</v>
      </c>
      <c r="M1054" s="24">
        <f>KI!E1160</f>
        <v>0</v>
      </c>
      <c r="N1054" s="108">
        <f>IO!E1160</f>
        <v>0</v>
      </c>
      <c r="O1054" s="24">
        <f>'BoC Size'!E1160</f>
        <v>4</v>
      </c>
      <c r="P1054" s="24">
        <f>'TMT E DK'!E1160</f>
        <v>0</v>
      </c>
      <c r="Q1054" s="24">
        <f>Data!R1160</f>
        <v>4</v>
      </c>
      <c r="R1054" s="24">
        <f>Data!S1160</f>
        <v>4</v>
      </c>
      <c r="S1054" s="24">
        <f>'TMT E DK'!E1160</f>
        <v>0</v>
      </c>
      <c r="T1054" s="24">
        <f>'TMT E DD'!E1160</f>
        <v>0</v>
      </c>
      <c r="U1054" s="24">
        <f>TA!E1160</f>
        <v>2337953000000</v>
      </c>
      <c r="V1054" s="109">
        <f>PR!F1160</f>
        <v>7.5274318971175036E-2</v>
      </c>
      <c r="W1054" s="109">
        <f>'Z Score'!I1160</f>
        <v>0.99227185490897385</v>
      </c>
      <c r="X1054" s="109">
        <f>'Z Score'!L1160</f>
        <v>0.51095461713729906</v>
      </c>
      <c r="Y1054" s="109">
        <f>'Z Score'!O1160</f>
        <v>0.40439806959335795</v>
      </c>
      <c r="Z1054" s="109">
        <f>'Z Score'!R1160</f>
        <v>0.52890039458831939</v>
      </c>
      <c r="AA1054" s="109">
        <f>'Z Score'!S1160</f>
        <v>2.4365249362279502</v>
      </c>
    </row>
    <row r="1055" spans="1:27" ht="15" customHeight="1" x14ac:dyDescent="0.3">
      <c r="A1055" s="22"/>
      <c r="B1055" s="23"/>
      <c r="C1055" s="2"/>
      <c r="D1055" s="23">
        <v>2018</v>
      </c>
      <c r="E1055" s="25">
        <f>'Current Ratio'!G1161</f>
        <v>2.951066884366174</v>
      </c>
      <c r="F1055" s="25">
        <f>'Cash Ratio'!G1161</f>
        <v>9.8603094826949053E-2</v>
      </c>
      <c r="G1055" s="25">
        <f>DAR!G1161</f>
        <v>0.70973619400862109</v>
      </c>
      <c r="H1055" s="25">
        <f>DER!G1161</f>
        <v>2.4451418997437826</v>
      </c>
      <c r="I1055" s="25">
        <f>NPM!G1161</f>
        <v>0.19029513131425527</v>
      </c>
      <c r="J1055" s="25">
        <f>ROA!G1161</f>
        <v>4.4017900443514849E-2</v>
      </c>
      <c r="K1055" s="25">
        <f>ROE!G1161</f>
        <v>0.15164791315670342</v>
      </c>
      <c r="L1055" s="25">
        <f>KM!E1161</f>
        <v>0.6</v>
      </c>
      <c r="M1055" s="24">
        <f>KI!E1161</f>
        <v>2</v>
      </c>
      <c r="N1055" s="108">
        <f>IO!E1161</f>
        <v>0</v>
      </c>
      <c r="O1055" s="24">
        <f>'BoC Size'!E1161</f>
        <v>4</v>
      </c>
      <c r="P1055" s="24">
        <f>'TMT E DK'!E1161</f>
        <v>0</v>
      </c>
      <c r="Q1055" s="24">
        <f>Data!R1161</f>
        <v>4</v>
      </c>
      <c r="R1055" s="24">
        <f>Data!S1161</f>
        <v>3</v>
      </c>
      <c r="S1055" s="24">
        <f>'TMT E DK'!E1161</f>
        <v>0</v>
      </c>
      <c r="T1055" s="24">
        <f>'TMT E DD'!E1161</f>
        <v>0</v>
      </c>
      <c r="U1055" s="24">
        <f>TA!E1161</f>
        <v>2952776000000</v>
      </c>
      <c r="V1055" s="109">
        <f>PR!F1161</f>
        <v>0.1484486263537633</v>
      </c>
      <c r="W1055" s="109">
        <f>'Z Score'!I1161</f>
        <v>1.9353268111092745</v>
      </c>
      <c r="X1055" s="109">
        <f>'Z Score'!L1161</f>
        <v>0.53502943670633996</v>
      </c>
      <c r="Y1055" s="109">
        <f>'Z Score'!O1161</f>
        <v>0.3522270839372848</v>
      </c>
      <c r="Z1055" s="109">
        <f>'Z Score'!R1161</f>
        <v>0.42942293046879026</v>
      </c>
      <c r="AA1055" s="109">
        <f>'Z Score'!S1161</f>
        <v>3.2520062622216894</v>
      </c>
    </row>
    <row r="1056" spans="1:27" ht="15" customHeight="1" x14ac:dyDescent="0.3">
      <c r="A1056" s="22"/>
      <c r="B1056" s="23"/>
      <c r="C1056" s="2"/>
      <c r="D1056" s="23">
        <v>2019</v>
      </c>
      <c r="E1056" s="25">
        <f>'Current Ratio'!G1162</f>
        <v>3.4066868846057621</v>
      </c>
      <c r="F1056" s="25">
        <f>'Cash Ratio'!G1162</f>
        <v>9.6629901817510105E-2</v>
      </c>
      <c r="G1056" s="25">
        <f>DAR!G1162</f>
        <v>0.71001599833528461</v>
      </c>
      <c r="H1056" s="25">
        <f>DER!G1162</f>
        <v>2.4484661024721555</v>
      </c>
      <c r="I1056" s="25">
        <f>NPM!G1162</f>
        <v>0.19675015708291951</v>
      </c>
      <c r="J1056" s="25">
        <f>ROA!G1162</f>
        <v>4.5391842310306914E-2</v>
      </c>
      <c r="K1056" s="25">
        <f>ROE!G1162</f>
        <v>0.15653222953585477</v>
      </c>
      <c r="L1056" s="25">
        <f>KM!E1162</f>
        <v>0.6</v>
      </c>
      <c r="M1056" s="24">
        <f>KI!E1162</f>
        <v>2</v>
      </c>
      <c r="N1056" s="108">
        <f>IO!E1162</f>
        <v>0</v>
      </c>
      <c r="O1056" s="24">
        <f>'BoC Size'!E1162</f>
        <v>4</v>
      </c>
      <c r="P1056" s="24">
        <f>'TMT E DK'!E1162</f>
        <v>0</v>
      </c>
      <c r="Q1056" s="24">
        <f>Data!R1162</f>
        <v>4</v>
      </c>
      <c r="R1056" s="24">
        <f>Data!S1162</f>
        <v>5</v>
      </c>
      <c r="S1056" s="24">
        <f>'TMT E DK'!E1162</f>
        <v>0</v>
      </c>
      <c r="T1056" s="24">
        <f>'TMT E DD'!E1162</f>
        <v>0</v>
      </c>
      <c r="U1056" s="24">
        <f>TA!E1162</f>
        <v>3421606000000</v>
      </c>
      <c r="V1056" s="109">
        <f>PR!F1162</f>
        <v>0.15574113712962176</v>
      </c>
      <c r="W1056" s="109">
        <f>'Z Score'!I1162</f>
        <v>1.9733552022062151</v>
      </c>
      <c r="X1056" s="109">
        <f>'Z Score'!L1162</f>
        <v>0.5708096022744874</v>
      </c>
      <c r="Y1056" s="109">
        <f>'Z Score'!O1162</f>
        <v>0.37951553744060534</v>
      </c>
      <c r="Z1056" s="109">
        <f>'Z Score'!R1162</f>
        <v>0.42883991693405149</v>
      </c>
      <c r="AA1056" s="109">
        <f>'Z Score'!S1162</f>
        <v>3.3525202588553591</v>
      </c>
    </row>
    <row r="1057" spans="1:27" ht="15" customHeight="1" x14ac:dyDescent="0.3">
      <c r="A1057" s="22"/>
      <c r="B1057" s="23"/>
      <c r="C1057" s="2"/>
      <c r="D1057" s="23">
        <v>2020</v>
      </c>
      <c r="E1057" s="25">
        <f>'Current Ratio'!G1163</f>
        <v>3.482763263940182</v>
      </c>
      <c r="F1057" s="25">
        <f>'Cash Ratio'!G1163</f>
        <v>0.10199466531484346</v>
      </c>
      <c r="G1057" s="25">
        <f>DAR!G1163</f>
        <v>0.70488175205368098</v>
      </c>
      <c r="H1057" s="25">
        <f>DER!G1163</f>
        <v>2.38847227156857</v>
      </c>
      <c r="I1057" s="25">
        <f>NPM!G1163</f>
        <v>0.22788909079125189</v>
      </c>
      <c r="J1057" s="25">
        <f>ROA!G1163</f>
        <v>4.8322774163041329E-2</v>
      </c>
      <c r="K1057" s="25">
        <f>ROE!G1163</f>
        <v>0.16374038033673566</v>
      </c>
      <c r="L1057" s="25">
        <f>KM!E1163</f>
        <v>0.6</v>
      </c>
      <c r="M1057" s="24">
        <f>KI!E1163</f>
        <v>1</v>
      </c>
      <c r="N1057" s="108">
        <f>IO!E1163</f>
        <v>0</v>
      </c>
      <c r="O1057" s="24">
        <f>'BoC Size'!E1163</f>
        <v>3</v>
      </c>
      <c r="P1057" s="24">
        <f>'TMT E DK'!E1163</f>
        <v>0</v>
      </c>
      <c r="Q1057" s="24">
        <f>Data!R1163</f>
        <v>3</v>
      </c>
      <c r="R1057" s="24">
        <f>Data!S1163</f>
        <v>5</v>
      </c>
      <c r="S1057" s="24">
        <f>'TMT E DK'!E1163</f>
        <v>0</v>
      </c>
      <c r="T1057" s="24">
        <f>'TMT E DD'!E1163</f>
        <v>0</v>
      </c>
      <c r="U1057" s="24">
        <f>TA!E1163</f>
        <v>3929286000000</v>
      </c>
      <c r="V1057" s="109">
        <f>PR!F1163</f>
        <v>5.5478140138232969E-2</v>
      </c>
      <c r="W1057" s="109">
        <f>'Z Score'!I1163</f>
        <v>2.0932172613548619</v>
      </c>
      <c r="X1057" s="109">
        <f>'Z Score'!L1163</f>
        <v>0.60886294354750448</v>
      </c>
      <c r="Y1057" s="109">
        <f>'Z Score'!O1163</f>
        <v>0.41692777771839462</v>
      </c>
      <c r="Z1057" s="109">
        <f>'Z Score'!R1163</f>
        <v>0.4396115510733723</v>
      </c>
      <c r="AA1057" s="109">
        <f>'Z Score'!S1163</f>
        <v>3.5586195336941331</v>
      </c>
    </row>
    <row r="1058" spans="1:27" ht="15" customHeight="1" x14ac:dyDescent="0.3">
      <c r="A1058" s="22"/>
      <c r="B1058" s="23"/>
      <c r="C1058" s="2"/>
      <c r="D1058" s="23">
        <v>2021</v>
      </c>
      <c r="E1058" s="25">
        <f>'Current Ratio'!G1164</f>
        <v>4.37611389799285</v>
      </c>
      <c r="F1058" s="25">
        <f>'Cash Ratio'!G1164</f>
        <v>9.5132695052496385E-2</v>
      </c>
      <c r="G1058" s="25">
        <f>DAR!G1164</f>
        <v>0.69751758097203609</v>
      </c>
      <c r="H1058" s="25">
        <f>DER!G1164</f>
        <v>2.3059772637812443</v>
      </c>
      <c r="I1058" s="25">
        <f>NPM!G1164</f>
        <v>0.23508175143623053</v>
      </c>
      <c r="J1058" s="25">
        <f>ROA!G1164</f>
        <v>5.1462339532192668E-2</v>
      </c>
      <c r="K1058" s="25">
        <f>ROE!G1164</f>
        <v>0.1701333244344197</v>
      </c>
      <c r="L1058" s="25">
        <f>KM!E1164</f>
        <v>0.6</v>
      </c>
      <c r="M1058" s="24">
        <f>KI!E1164</f>
        <v>2</v>
      </c>
      <c r="N1058" s="108">
        <f>IO!E1164</f>
        <v>0</v>
      </c>
      <c r="O1058" s="24">
        <f>'BoC Size'!E1164</f>
        <v>4</v>
      </c>
      <c r="P1058" s="24">
        <f>'TMT E DK'!E1164</f>
        <v>0</v>
      </c>
      <c r="Q1058" s="24">
        <f>Data!R1164</f>
        <v>4</v>
      </c>
      <c r="R1058" s="24">
        <f>Data!S1164</f>
        <v>4</v>
      </c>
      <c r="S1058" s="24">
        <f>'TMT E DK'!E1164</f>
        <v>0</v>
      </c>
      <c r="T1058" s="24">
        <f>'TMT E DD'!E1164</f>
        <v>0</v>
      </c>
      <c r="U1058" s="24">
        <f>TA!E1164</f>
        <v>4358974000000</v>
      </c>
      <c r="V1058" s="109">
        <f>PR!F1164</f>
        <v>0.14528328608497981</v>
      </c>
      <c r="W1058" s="109">
        <f>'Z Score'!I1164</f>
        <v>2.5594747387802728</v>
      </c>
      <c r="X1058" s="109">
        <f>'Z Score'!L1164</f>
        <v>0.67237171866590628</v>
      </c>
      <c r="Y1058" s="109">
        <f>'Z Score'!O1164</f>
        <v>0.41109255526644572</v>
      </c>
      <c r="Z1058" s="109">
        <f>'Z Score'!R1164</f>
        <v>0.45533840098590317</v>
      </c>
      <c r="AA1058" s="109">
        <f>'Z Score'!S1164</f>
        <v>4.0982774136985283</v>
      </c>
    </row>
    <row r="1059" spans="1:27" ht="15" customHeight="1" x14ac:dyDescent="0.3">
      <c r="A1059" s="22"/>
      <c r="B1059" s="23"/>
      <c r="C1059" s="2"/>
      <c r="D1059" s="23">
        <v>2022</v>
      </c>
      <c r="E1059" s="25">
        <f>'Current Ratio'!G1165</f>
        <v>3.3903713118157106</v>
      </c>
      <c r="F1059" s="25">
        <f>'Cash Ratio'!G1165</f>
        <v>9.5108189920513855E-2</v>
      </c>
      <c r="G1059" s="25">
        <f>DAR!G1165</f>
        <v>0.68597237348482298</v>
      </c>
      <c r="H1059" s="25">
        <f>DER!G1165</f>
        <v>2.1844332012988352</v>
      </c>
      <c r="I1059" s="25">
        <f>NPM!G1165</f>
        <v>0.25147139080956155</v>
      </c>
      <c r="J1059" s="25">
        <f>ROA!G1165</f>
        <v>5.711668619786614E-2</v>
      </c>
      <c r="K1059" s="25">
        <f>ROE!G1165</f>
        <v>0.18188427187665185</v>
      </c>
      <c r="L1059" s="25">
        <f>KM!E1165</f>
        <v>0.6</v>
      </c>
      <c r="M1059" s="24">
        <f>KI!E1165</f>
        <v>2</v>
      </c>
      <c r="N1059" s="108">
        <f>IO!E1165</f>
        <v>0</v>
      </c>
      <c r="O1059" s="24">
        <f>'BoC Size'!E1165</f>
        <v>4</v>
      </c>
      <c r="P1059" s="24">
        <f>'TMT E DK'!E1165</f>
        <v>0</v>
      </c>
      <c r="Q1059" s="24">
        <f>Data!R1165</f>
        <v>4</v>
      </c>
      <c r="R1059" s="24">
        <f>Data!S1165</f>
        <v>4</v>
      </c>
      <c r="S1059" s="24">
        <f>'TMT E DK'!E1165</f>
        <v>0</v>
      </c>
      <c r="T1059" s="24">
        <f>'TMT E DD'!E1165</f>
        <v>0</v>
      </c>
      <c r="U1059" s="24">
        <f>TA!E1165</f>
        <v>4638732000000</v>
      </c>
      <c r="V1059" s="109">
        <f>PR!F1165</f>
        <v>0.10412645116397026</v>
      </c>
      <c r="W1059" s="109">
        <f>'Z Score'!I1165</f>
        <v>2.1251413705297049</v>
      </c>
      <c r="X1059" s="109">
        <f>'Z Score'!L1165</f>
        <v>0.75846992238396171</v>
      </c>
      <c r="Y1059" s="109">
        <f>'Z Score'!O1165</f>
        <v>0.45133658077250416</v>
      </c>
      <c r="Z1059" s="109">
        <f>'Z Score'!R1165</f>
        <v>0.48067388802536232</v>
      </c>
      <c r="AA1059" s="109">
        <f>'Z Score'!S1165</f>
        <v>3.8156217617115336</v>
      </c>
    </row>
    <row r="1060" spans="1:27" ht="15" customHeight="1" x14ac:dyDescent="0.3">
      <c r="A1060" s="22"/>
      <c r="B1060" s="23"/>
      <c r="C1060" s="2"/>
      <c r="D1060" s="23">
        <v>2023</v>
      </c>
      <c r="E1060" s="25">
        <f>'Current Ratio'!G1166</f>
        <v>4.9503092375961701</v>
      </c>
      <c r="F1060" s="25">
        <f>'Cash Ratio'!G1166</f>
        <v>6.4433678003618211E-2</v>
      </c>
      <c r="G1060" s="25">
        <f>DAR!G1166</f>
        <v>0.75372741761994866</v>
      </c>
      <c r="H1060" s="25">
        <f>DER!G1166</f>
        <v>3.0605413332483185</v>
      </c>
      <c r="I1060" s="25">
        <f>NPM!G1166</f>
        <v>0.2346793225213524</v>
      </c>
      <c r="J1060" s="25">
        <f>ROA!G1166</f>
        <v>4.056647159180983E-2</v>
      </c>
      <c r="K1060" s="25">
        <f>ROE!G1166</f>
        <v>0.16472183464258752</v>
      </c>
      <c r="L1060" s="25">
        <f>KM!E1166</f>
        <v>0.8</v>
      </c>
      <c r="M1060" s="24">
        <f>KI!E1166</f>
        <v>2</v>
      </c>
      <c r="N1060" s="108">
        <f>IO!E1166</f>
        <v>0</v>
      </c>
      <c r="O1060" s="24">
        <f>'BoC Size'!E1166</f>
        <v>4</v>
      </c>
      <c r="P1060" s="24">
        <f>'TMT E DK'!E1166</f>
        <v>0</v>
      </c>
      <c r="Q1060" s="24">
        <f>Data!R1166</f>
        <v>4</v>
      </c>
      <c r="R1060" s="24">
        <f>Data!S1166</f>
        <v>4</v>
      </c>
      <c r="S1060" s="24">
        <f>'TMT E DK'!E1166</f>
        <v>0</v>
      </c>
      <c r="T1060" s="24">
        <f>'TMT E DD'!E1166</f>
        <v>0</v>
      </c>
      <c r="U1060" s="24">
        <f>TA!E1166</f>
        <v>5986249000000</v>
      </c>
      <c r="V1060" s="109">
        <f>PR!F1166</f>
        <v>-1.7859803814558727E-2</v>
      </c>
      <c r="W1060" s="109">
        <f>'Z Score'!I1166</f>
        <v>2.8690346291976829</v>
      </c>
      <c r="X1060" s="109">
        <f>'Z Score'!L1166</f>
        <v>0.60016194782408816</v>
      </c>
      <c r="Y1060" s="109">
        <f>'Z Score'!O1166</f>
        <v>0.3198007700648603</v>
      </c>
      <c r="Z1060" s="109">
        <f>'Z Score'!R1166</f>
        <v>0.34307656250000007</v>
      </c>
      <c r="AA1060" s="109">
        <f>'Z Score'!S1166</f>
        <v>4.132073909586631</v>
      </c>
    </row>
    <row r="1061" spans="1:27" ht="15" customHeight="1" x14ac:dyDescent="0.3">
      <c r="A1061" s="22"/>
      <c r="B1061" s="23"/>
      <c r="C1061" s="2"/>
      <c r="D1061" s="23">
        <v>2024</v>
      </c>
      <c r="E1061" s="25">
        <f>'Current Ratio'!G1167</f>
        <v>3.5892761324437918</v>
      </c>
      <c r="F1061" s="25">
        <f>'Cash Ratio'!G1167</f>
        <v>3.725160292847074E-2</v>
      </c>
      <c r="G1061" s="25">
        <f>DAR!G1167</f>
        <v>0.70909274671519984</v>
      </c>
      <c r="H1061" s="25">
        <f>DER!G1167</f>
        <v>2.4375217142523202</v>
      </c>
      <c r="I1061" s="25">
        <f>NPM!G1167</f>
        <v>0.27311115059335367</v>
      </c>
      <c r="J1061" s="25">
        <f>ROA!G1167</f>
        <v>5.5424854575050149E-2</v>
      </c>
      <c r="K1061" s="25">
        <f>ROE!G1167</f>
        <v>0.19052414111101193</v>
      </c>
      <c r="L1061" s="25">
        <f>KM!E1167</f>
        <v>0.8</v>
      </c>
      <c r="M1061" s="24">
        <f>KI!E1167</f>
        <v>2</v>
      </c>
      <c r="N1061" s="108">
        <f>IO!E1167</f>
        <v>0</v>
      </c>
      <c r="O1061" s="24">
        <f>'BoC Size'!E1167</f>
        <v>4</v>
      </c>
      <c r="P1061" s="24">
        <f>'TMT E DK'!E1167</f>
        <v>0</v>
      </c>
      <c r="Q1061" s="24">
        <f>Data!R1167</f>
        <v>4</v>
      </c>
      <c r="R1061" s="24">
        <f>Data!S1167</f>
        <v>4</v>
      </c>
      <c r="S1061" s="24">
        <f>'TMT E DK'!E1167</f>
        <v>0</v>
      </c>
      <c r="T1061" s="24">
        <f>'TMT E DD'!E1167</f>
        <v>0</v>
      </c>
      <c r="U1061" s="24">
        <f>TA!E1167</f>
        <v>5352761000000</v>
      </c>
      <c r="V1061" s="109">
        <f>PR!F1167</f>
        <v>4.9773961178146427E-2</v>
      </c>
      <c r="W1061" s="109">
        <f>'Z Score'!I1167</f>
        <v>2.4424032980362842</v>
      </c>
      <c r="X1061" s="109">
        <f>'Z Score'!L1167</f>
        <v>0.7344889301054166</v>
      </c>
      <c r="Y1061" s="109">
        <f>'Z Score'!O1167</f>
        <v>0.44013759627975174</v>
      </c>
      <c r="Z1061" s="109">
        <f>'Z Score'!R1167</f>
        <v>0.43076539333397273</v>
      </c>
      <c r="AA1061" s="109">
        <f>'Z Score'!S1167</f>
        <v>4.0477952177554251</v>
      </c>
    </row>
    <row r="1062" spans="1:27" ht="15" customHeight="1" x14ac:dyDescent="0.3">
      <c r="A1062" s="22"/>
      <c r="B1062" s="23">
        <v>107</v>
      </c>
      <c r="C1062" s="2" t="s">
        <v>105</v>
      </c>
      <c r="D1062" s="23">
        <v>2015</v>
      </c>
      <c r="E1062" s="25">
        <f>'Current Ratio'!G1169</f>
        <v>0</v>
      </c>
      <c r="F1062" s="25">
        <f>'Cash Ratio'!G1169</f>
        <v>0</v>
      </c>
      <c r="G1062" s="25">
        <f>DAR!G1169</f>
        <v>0</v>
      </c>
      <c r="H1062" s="25">
        <f>DER!G1169</f>
        <v>0</v>
      </c>
      <c r="I1062" s="25">
        <f>NPM!G1169</f>
        <v>0</v>
      </c>
      <c r="J1062" s="25">
        <f>ROA!G1169</f>
        <v>0</v>
      </c>
      <c r="K1062" s="25">
        <f>ROE!G1169</f>
        <v>0</v>
      </c>
      <c r="L1062" s="25">
        <f>KM!E1169</f>
        <v>0</v>
      </c>
      <c r="M1062" s="24">
        <f>KI!E1169</f>
        <v>0</v>
      </c>
      <c r="N1062" s="108">
        <f>IO!E1169</f>
        <v>0</v>
      </c>
      <c r="O1062" s="24">
        <f>'BoC Size'!E1169</f>
        <v>0</v>
      </c>
      <c r="P1062" s="24">
        <f>'TMT E DK'!E1169</f>
        <v>0</v>
      </c>
      <c r="Q1062" s="24">
        <f>Data!R1169</f>
        <v>0</v>
      </c>
      <c r="R1062" s="24">
        <f>Data!S1169</f>
        <v>0</v>
      </c>
      <c r="S1062" s="24">
        <f>'TMT E DK'!E1169</f>
        <v>0</v>
      </c>
      <c r="T1062" s="24">
        <f>'TMT E DD'!E1169</f>
        <v>0</v>
      </c>
      <c r="U1062" s="24">
        <f>TA!E1169</f>
        <v>0</v>
      </c>
      <c r="V1062" s="109">
        <f>PR!F1169</f>
        <v>0</v>
      </c>
      <c r="W1062" s="109">
        <f>'Z Score'!I1169</f>
        <v>0</v>
      </c>
      <c r="X1062" s="109">
        <f>'Z Score'!L1169</f>
        <v>0</v>
      </c>
      <c r="Y1062" s="109">
        <f>'Z Score'!O1169</f>
        <v>0</v>
      </c>
      <c r="Z1062" s="109">
        <f>'Z Score'!R1169</f>
        <v>0</v>
      </c>
      <c r="AA1062" s="109">
        <f>'Z Score'!S1169</f>
        <v>0</v>
      </c>
    </row>
    <row r="1063" spans="1:27" ht="15" customHeight="1" x14ac:dyDescent="0.3">
      <c r="A1063" s="22"/>
      <c r="B1063" s="23"/>
      <c r="C1063" s="2"/>
      <c r="D1063" s="23">
        <v>2016</v>
      </c>
      <c r="E1063" s="25">
        <f>'Current Ratio'!G1170</f>
        <v>0</v>
      </c>
      <c r="F1063" s="25">
        <f>'Cash Ratio'!G1170</f>
        <v>0</v>
      </c>
      <c r="G1063" s="25">
        <f>DAR!G1170</f>
        <v>0</v>
      </c>
      <c r="H1063" s="25">
        <f>DER!G1170</f>
        <v>0</v>
      </c>
      <c r="I1063" s="25">
        <f>NPM!G1170</f>
        <v>0</v>
      </c>
      <c r="J1063" s="25">
        <f>ROA!G1170</f>
        <v>0</v>
      </c>
      <c r="K1063" s="25">
        <f>ROE!G1170</f>
        <v>0</v>
      </c>
      <c r="L1063" s="25">
        <f>KM!E1170</f>
        <v>0</v>
      </c>
      <c r="M1063" s="24">
        <f>KI!E1170</f>
        <v>0</v>
      </c>
      <c r="N1063" s="108">
        <f>IO!E1170</f>
        <v>0</v>
      </c>
      <c r="O1063" s="24">
        <f>'BoC Size'!E1170</f>
        <v>0</v>
      </c>
      <c r="P1063" s="24">
        <f>'TMT E DK'!E1170</f>
        <v>0</v>
      </c>
      <c r="Q1063" s="24">
        <f>Data!R1170</f>
        <v>0</v>
      </c>
      <c r="R1063" s="24">
        <f>Data!S1170</f>
        <v>0</v>
      </c>
      <c r="S1063" s="24">
        <f>'TMT E DK'!E1170</f>
        <v>0</v>
      </c>
      <c r="T1063" s="24">
        <f>'TMT E DD'!E1170</f>
        <v>0</v>
      </c>
      <c r="U1063" s="24">
        <f>TA!E1170</f>
        <v>0</v>
      </c>
      <c r="V1063" s="109">
        <f>PR!F1170</f>
        <v>0</v>
      </c>
      <c r="W1063" s="109">
        <f>'Z Score'!I1170</f>
        <v>0</v>
      </c>
      <c r="X1063" s="109">
        <f>'Z Score'!L1170</f>
        <v>0</v>
      </c>
      <c r="Y1063" s="109">
        <f>'Z Score'!O1170</f>
        <v>0</v>
      </c>
      <c r="Z1063" s="109">
        <f>'Z Score'!R1170</f>
        <v>0</v>
      </c>
      <c r="AA1063" s="109">
        <f>'Z Score'!S1170</f>
        <v>0</v>
      </c>
    </row>
    <row r="1064" spans="1:27" ht="15" customHeight="1" x14ac:dyDescent="0.3">
      <c r="A1064" s="22"/>
      <c r="B1064" s="23"/>
      <c r="C1064" s="2"/>
      <c r="D1064" s="23">
        <v>2017</v>
      </c>
      <c r="E1064" s="25">
        <f>'Current Ratio'!G1171</f>
        <v>0</v>
      </c>
      <c r="F1064" s="25">
        <f>'Cash Ratio'!G1171</f>
        <v>0</v>
      </c>
      <c r="G1064" s="25">
        <f>DAR!G1171</f>
        <v>0</v>
      </c>
      <c r="H1064" s="25">
        <f>DER!G1171</f>
        <v>0</v>
      </c>
      <c r="I1064" s="25">
        <f>NPM!G1171</f>
        <v>0</v>
      </c>
      <c r="J1064" s="25">
        <f>ROA!G1171</f>
        <v>0</v>
      </c>
      <c r="K1064" s="25">
        <f>ROE!G1171</f>
        <v>0</v>
      </c>
      <c r="L1064" s="25">
        <f>KM!E1171</f>
        <v>0</v>
      </c>
      <c r="M1064" s="24">
        <f>KI!E1171</f>
        <v>0</v>
      </c>
      <c r="N1064" s="108">
        <f>IO!E1171</f>
        <v>0</v>
      </c>
      <c r="O1064" s="24">
        <f>'BoC Size'!E1171</f>
        <v>0</v>
      </c>
      <c r="P1064" s="24">
        <f>'TMT E DK'!E1171</f>
        <v>0</v>
      </c>
      <c r="Q1064" s="24">
        <f>Data!R1171</f>
        <v>0</v>
      </c>
      <c r="R1064" s="24">
        <f>Data!S1171</f>
        <v>0</v>
      </c>
      <c r="S1064" s="24">
        <f>'TMT E DK'!E1171</f>
        <v>0</v>
      </c>
      <c r="T1064" s="24">
        <f>'TMT E DD'!E1171</f>
        <v>0</v>
      </c>
      <c r="U1064" s="24">
        <f>TA!E1171</f>
        <v>0</v>
      </c>
      <c r="V1064" s="109">
        <f>PR!F1171</f>
        <v>0</v>
      </c>
      <c r="W1064" s="109">
        <f>'Z Score'!I1171</f>
        <v>0</v>
      </c>
      <c r="X1064" s="109">
        <f>'Z Score'!L1171</f>
        <v>0</v>
      </c>
      <c r="Y1064" s="109">
        <f>'Z Score'!O1171</f>
        <v>0</v>
      </c>
      <c r="Z1064" s="109">
        <f>'Z Score'!R1171</f>
        <v>0</v>
      </c>
      <c r="AA1064" s="109">
        <f>'Z Score'!S1171</f>
        <v>0</v>
      </c>
    </row>
    <row r="1065" spans="1:27" ht="15" customHeight="1" x14ac:dyDescent="0.3">
      <c r="A1065" s="22"/>
      <c r="B1065" s="23"/>
      <c r="C1065" s="2"/>
      <c r="D1065" s="23">
        <v>2018</v>
      </c>
      <c r="E1065" s="25">
        <f>'Current Ratio'!G1172</f>
        <v>0</v>
      </c>
      <c r="F1065" s="25">
        <f>'Cash Ratio'!G1172</f>
        <v>0</v>
      </c>
      <c r="G1065" s="25">
        <f>DAR!G1172</f>
        <v>0</v>
      </c>
      <c r="H1065" s="25">
        <f>DER!G1172</f>
        <v>0</v>
      </c>
      <c r="I1065" s="25">
        <f>NPM!G1172</f>
        <v>0</v>
      </c>
      <c r="J1065" s="25">
        <f>ROA!G1172</f>
        <v>0</v>
      </c>
      <c r="K1065" s="25">
        <f>ROE!G1172</f>
        <v>0</v>
      </c>
      <c r="L1065" s="25">
        <f>KM!E1172</f>
        <v>0</v>
      </c>
      <c r="M1065" s="24">
        <f>KI!E1172</f>
        <v>0</v>
      </c>
      <c r="N1065" s="108">
        <f>IO!E1172</f>
        <v>0</v>
      </c>
      <c r="O1065" s="24">
        <f>'BoC Size'!E1172</f>
        <v>0</v>
      </c>
      <c r="P1065" s="24">
        <f>'TMT E DK'!E1172</f>
        <v>0</v>
      </c>
      <c r="Q1065" s="24">
        <f>Data!R1172</f>
        <v>0</v>
      </c>
      <c r="R1065" s="24">
        <f>Data!S1172</f>
        <v>0</v>
      </c>
      <c r="S1065" s="24">
        <f>'TMT E DK'!E1172</f>
        <v>0</v>
      </c>
      <c r="T1065" s="24">
        <f>'TMT E DD'!E1172</f>
        <v>0</v>
      </c>
      <c r="U1065" s="24">
        <f>TA!E1172</f>
        <v>0</v>
      </c>
      <c r="V1065" s="109">
        <f>PR!F1172</f>
        <v>0</v>
      </c>
      <c r="W1065" s="109">
        <f>'Z Score'!I1172</f>
        <v>0</v>
      </c>
      <c r="X1065" s="109">
        <f>'Z Score'!L1172</f>
        <v>0</v>
      </c>
      <c r="Y1065" s="109">
        <f>'Z Score'!O1172</f>
        <v>0</v>
      </c>
      <c r="Z1065" s="109">
        <f>'Z Score'!R1172</f>
        <v>0</v>
      </c>
      <c r="AA1065" s="109">
        <f>'Z Score'!S1172</f>
        <v>0</v>
      </c>
    </row>
    <row r="1066" spans="1:27" ht="15" customHeight="1" x14ac:dyDescent="0.3">
      <c r="A1066" s="22"/>
      <c r="B1066" s="23"/>
      <c r="C1066" s="2"/>
      <c r="D1066" s="23">
        <v>2019</v>
      </c>
      <c r="E1066" s="25">
        <f>'Current Ratio'!G1173</f>
        <v>1.603030767462355</v>
      </c>
      <c r="F1066" s="25">
        <f>'Cash Ratio'!G1173</f>
        <v>0.12529215678761638</v>
      </c>
      <c r="G1066" s="25">
        <f>DAR!G1173</f>
        <v>0.54226081433680207</v>
      </c>
      <c r="H1066" s="25">
        <f>DER!G1173</f>
        <v>1.1846563257191376</v>
      </c>
      <c r="I1066" s="25">
        <f>NPM!G1173</f>
        <v>-0.2482638888888889</v>
      </c>
      <c r="J1066" s="25">
        <f>ROA!G1173</f>
        <v>-1.6944613627261157E-2</v>
      </c>
      <c r="K1066" s="25">
        <f>ROE!G1173</f>
        <v>-3.7018245076314536E-2</v>
      </c>
      <c r="L1066" s="25">
        <f>KM!E1173</f>
        <v>0.47249999999999998</v>
      </c>
      <c r="M1066" s="24">
        <f>KI!E1173</f>
        <v>2</v>
      </c>
      <c r="N1066" s="108">
        <f>IO!E1173</f>
        <v>7.7499999999999999E-2</v>
      </c>
      <c r="O1066" s="24">
        <f>'BoC Size'!E1173</f>
        <v>4</v>
      </c>
      <c r="P1066" s="24">
        <f>'TMT E DK'!E1173</f>
        <v>0</v>
      </c>
      <c r="Q1066" s="24">
        <f>Data!R1173</f>
        <v>4</v>
      </c>
      <c r="R1066" s="24">
        <f>Data!S1173</f>
        <v>3</v>
      </c>
      <c r="S1066" s="24">
        <f>'TMT E DK'!E1173</f>
        <v>0</v>
      </c>
      <c r="T1066" s="24">
        <f>'TMT E DD'!E1173</f>
        <v>0</v>
      </c>
      <c r="U1066" s="24">
        <f>TA!E1173</f>
        <v>421963000000</v>
      </c>
      <c r="V1066" s="109">
        <f>PR!F1173</f>
        <v>0</v>
      </c>
      <c r="W1066" s="109">
        <f>'Z Score'!I1173</f>
        <v>0.48935361631233065</v>
      </c>
      <c r="X1066" s="109">
        <f>'Z Score'!L1173</f>
        <v>-5.7008647677639981E-2</v>
      </c>
      <c r="Y1066" s="109">
        <f>'Z Score'!O1173</f>
        <v>-0.17225093195374949</v>
      </c>
      <c r="Z1066" s="109">
        <f>'Z Score'!R1173</f>
        <v>0.88633300409939952</v>
      </c>
      <c r="AA1066" s="109">
        <f>'Z Score'!S1173</f>
        <v>1.1464270407803407</v>
      </c>
    </row>
    <row r="1067" spans="1:27" ht="15" customHeight="1" x14ac:dyDescent="0.3">
      <c r="A1067" s="22"/>
      <c r="B1067" s="23"/>
      <c r="C1067" s="2"/>
      <c r="D1067" s="23">
        <v>2020</v>
      </c>
      <c r="E1067" s="25">
        <f>'Current Ratio'!G1174</f>
        <v>1.5777417163559513</v>
      </c>
      <c r="F1067" s="25">
        <f>'Cash Ratio'!G1174</f>
        <v>0.10232218783807583</v>
      </c>
      <c r="G1067" s="25">
        <f>DAR!G1174</f>
        <v>0.63758258368073328</v>
      </c>
      <c r="H1067" s="25">
        <f>DER!G1174</f>
        <v>1.7592492936902999</v>
      </c>
      <c r="I1067" s="25">
        <f>NPM!G1174</f>
        <v>0.11180291153415453</v>
      </c>
      <c r="J1067" s="25">
        <f>ROA!G1174</f>
        <v>2.6078507172634286E-2</v>
      </c>
      <c r="K1067" s="25">
        <f>ROE!G1174</f>
        <v>7.1957102496588571E-2</v>
      </c>
      <c r="L1067" s="25">
        <f>KM!E1174</f>
        <v>0.47249999999999998</v>
      </c>
      <c r="M1067" s="24">
        <f>KI!E1174</f>
        <v>2</v>
      </c>
      <c r="N1067" s="108">
        <f>IO!E1174</f>
        <v>7.7499999999999999E-2</v>
      </c>
      <c r="O1067" s="24">
        <f>'BoC Size'!E1174</f>
        <v>4</v>
      </c>
      <c r="P1067" s="24">
        <f>'TMT E DK'!E1174</f>
        <v>0</v>
      </c>
      <c r="Q1067" s="24">
        <f>Data!R1174</f>
        <v>4</v>
      </c>
      <c r="R1067" s="24">
        <f>Data!S1174</f>
        <v>3</v>
      </c>
      <c r="S1067" s="24">
        <f>'TMT E DK'!E1174</f>
        <v>0</v>
      </c>
      <c r="T1067" s="24">
        <f>'TMT E DD'!E1174</f>
        <v>0</v>
      </c>
      <c r="U1067" s="24">
        <f>TA!E1174</f>
        <v>574266000000</v>
      </c>
      <c r="V1067" s="109">
        <f>PR!F1174</f>
        <v>3.6510416666666665</v>
      </c>
      <c r="W1067" s="109">
        <f>'Z Score'!I1174</f>
        <v>0.52463687559423677</v>
      </c>
      <c r="X1067" s="109">
        <f>'Z Score'!L1174</f>
        <v>3.0410680764663064E-2</v>
      </c>
      <c r="Y1067" s="109">
        <f>'Z Score'!O1174</f>
        <v>9.8916112045637383E-2</v>
      </c>
      <c r="Z1067" s="109">
        <f>'Z Score'!R1174</f>
        <v>0.596845486177494</v>
      </c>
      <c r="AA1067" s="109">
        <f>'Z Score'!S1174</f>
        <v>1.250809154582031</v>
      </c>
    </row>
    <row r="1068" spans="1:27" ht="15" customHeight="1" x14ac:dyDescent="0.3">
      <c r="A1068" s="22"/>
      <c r="B1068" s="23"/>
      <c r="C1068" s="2"/>
      <c r="D1068" s="23">
        <v>2021</v>
      </c>
      <c r="E1068" s="25">
        <f>'Current Ratio'!G1175</f>
        <v>2.9042759746706972</v>
      </c>
      <c r="F1068" s="25">
        <f>'Cash Ratio'!G1175</f>
        <v>0.105983716876641</v>
      </c>
      <c r="G1068" s="25">
        <f>DAR!G1175</f>
        <v>0.69456529328671257</v>
      </c>
      <c r="H1068" s="25">
        <f>DER!G1175</f>
        <v>2.274022165852629</v>
      </c>
      <c r="I1068" s="25">
        <f>NPM!G1175</f>
        <v>8.700013043497816E-2</v>
      </c>
      <c r="J1068" s="25">
        <f>ROA!G1175</f>
        <v>2.5973101733240953E-2</v>
      </c>
      <c r="K1068" s="25">
        <f>ROE!G1175</f>
        <v>8.5036510790576211E-2</v>
      </c>
      <c r="L1068" s="25">
        <f>KM!E1175</f>
        <v>0.3725</v>
      </c>
      <c r="M1068" s="24">
        <f>KI!E1175</f>
        <v>2</v>
      </c>
      <c r="N1068" s="108">
        <f>IO!E1175</f>
        <v>7.7499999999999999E-2</v>
      </c>
      <c r="O1068" s="24">
        <f>'BoC Size'!E1175</f>
        <v>4</v>
      </c>
      <c r="P1068" s="24">
        <f>'TMT E DK'!E1175</f>
        <v>0</v>
      </c>
      <c r="Q1068" s="24">
        <f>Data!R1175</f>
        <v>4</v>
      </c>
      <c r="R1068" s="24">
        <f>Data!S1175</f>
        <v>3</v>
      </c>
      <c r="S1068" s="24">
        <f>'TMT E DK'!E1175</f>
        <v>0</v>
      </c>
      <c r="T1068" s="24">
        <f>'TMT E DD'!E1175</f>
        <v>0</v>
      </c>
      <c r="U1068" s="24">
        <f>TA!E1175</f>
        <v>744732000000</v>
      </c>
      <c r="V1068" s="109">
        <f>PR!F1175</f>
        <v>0.65982082866741321</v>
      </c>
      <c r="W1068" s="109">
        <f>'Z Score'!I1175</f>
        <v>1.5204857586353211</v>
      </c>
      <c r="X1068" s="109">
        <f>'Z Score'!L1175</f>
        <v>0.10933028257144851</v>
      </c>
      <c r="Y1068" s="109">
        <f>'Z Score'!O1175</f>
        <v>0.21698522421488534</v>
      </c>
      <c r="Z1068" s="109">
        <f>'Z Score'!R1175</f>
        <v>0.4617369240138034</v>
      </c>
      <c r="AA1068" s="109">
        <f>'Z Score'!S1175</f>
        <v>2.3085381894354584</v>
      </c>
    </row>
    <row r="1069" spans="1:27" ht="15" customHeight="1" x14ac:dyDescent="0.3">
      <c r="A1069" s="22"/>
      <c r="B1069" s="23"/>
      <c r="C1069" s="2"/>
      <c r="D1069" s="23">
        <v>2022</v>
      </c>
      <c r="E1069" s="25">
        <f>'Current Ratio'!G1176</f>
        <v>1.8150799284193269</v>
      </c>
      <c r="F1069" s="25">
        <f>'Cash Ratio'!G1176</f>
        <v>0.24904275845521709</v>
      </c>
      <c r="G1069" s="25">
        <f>DAR!G1176</f>
        <v>0.72658865333929923</v>
      </c>
      <c r="H1069" s="25">
        <f>DER!G1176</f>
        <v>2.6574926835095263</v>
      </c>
      <c r="I1069" s="25">
        <f>NPM!G1176</f>
        <v>7.4207095399272907E-2</v>
      </c>
      <c r="J1069" s="25">
        <f>ROA!G1176</f>
        <v>2.5777275542941624E-2</v>
      </c>
      <c r="K1069" s="25">
        <f>ROE!G1176</f>
        <v>9.4280196699118038E-2</v>
      </c>
      <c r="L1069" s="25">
        <f>KM!E1176</f>
        <v>0.3725</v>
      </c>
      <c r="M1069" s="24">
        <f>KI!E1176</f>
        <v>2</v>
      </c>
      <c r="N1069" s="108">
        <f>IO!E1176</f>
        <v>7.7499999999999999E-2</v>
      </c>
      <c r="O1069" s="24">
        <f>'BoC Size'!E1176</f>
        <v>4</v>
      </c>
      <c r="P1069" s="24">
        <f>'TMT E DK'!E1176</f>
        <v>0</v>
      </c>
      <c r="Q1069" s="24">
        <f>Data!R1176</f>
        <v>4</v>
      </c>
      <c r="R1069" s="24">
        <f>Data!S1176</f>
        <v>3</v>
      </c>
      <c r="S1069" s="24">
        <f>'TMT E DK'!E1176</f>
        <v>0</v>
      </c>
      <c r="T1069" s="24">
        <f>'TMT E DD'!E1176</f>
        <v>0</v>
      </c>
      <c r="U1069" s="24">
        <f>TA!E1176</f>
        <v>918561000000</v>
      </c>
      <c r="V1069" s="109">
        <f>PR!F1176</f>
        <v>0.43514458042665732</v>
      </c>
      <c r="W1069" s="109">
        <f>'Z Score'!I1176</f>
        <v>0.58225507070297988</v>
      </c>
      <c r="X1069" s="109">
        <f>'Z Score'!L1176</f>
        <v>0.18721485018414671</v>
      </c>
      <c r="Y1069" s="109">
        <f>'Z Score'!O1176</f>
        <v>0.22097345739695021</v>
      </c>
      <c r="Z1069" s="109">
        <f>'Z Score'!R1176</f>
        <v>0.39510927217807185</v>
      </c>
      <c r="AA1069" s="109">
        <f>'Z Score'!S1176</f>
        <v>1.3855526504621487</v>
      </c>
    </row>
    <row r="1070" spans="1:27" ht="15" customHeight="1" x14ac:dyDescent="0.3">
      <c r="A1070" s="22"/>
      <c r="B1070" s="23"/>
      <c r="C1070" s="2"/>
      <c r="D1070" s="23">
        <v>2023</v>
      </c>
      <c r="E1070" s="25">
        <f>'Current Ratio'!G1177</f>
        <v>2.5422958593242821</v>
      </c>
      <c r="F1070" s="25">
        <f>'Cash Ratio'!G1177</f>
        <v>0.38673120889666657</v>
      </c>
      <c r="G1070" s="25">
        <f>DAR!G1177</f>
        <v>0.70853453111055642</v>
      </c>
      <c r="H1070" s="25">
        <f>DER!G1177</f>
        <v>2.4309381615950958</v>
      </c>
      <c r="I1070" s="25">
        <f>NPM!G1177</f>
        <v>0.16947943286331382</v>
      </c>
      <c r="J1070" s="25">
        <f>ROA!G1177</f>
        <v>6.0163622950683789E-2</v>
      </c>
      <c r="K1070" s="25">
        <f>ROE!G1177</f>
        <v>0.20641766992131955</v>
      </c>
      <c r="L1070" s="25">
        <f>KM!E1177</f>
        <v>0.3725</v>
      </c>
      <c r="M1070" s="24">
        <f>KI!E1177</f>
        <v>2</v>
      </c>
      <c r="N1070" s="108">
        <f>IO!E1177</f>
        <v>7.7499999999999999E-2</v>
      </c>
      <c r="O1070" s="24">
        <f>'BoC Size'!E1177</f>
        <v>4</v>
      </c>
      <c r="P1070" s="24">
        <f>'TMT E DK'!E1177</f>
        <v>0</v>
      </c>
      <c r="Q1070" s="24">
        <f>Data!R1177</f>
        <v>4</v>
      </c>
      <c r="R1070" s="24">
        <f>Data!S1177</f>
        <v>3</v>
      </c>
      <c r="S1070" s="24">
        <f>'TMT E DK'!E1177</f>
        <v>0</v>
      </c>
      <c r="T1070" s="24">
        <f>'TMT E DD'!E1177</f>
        <v>0</v>
      </c>
      <c r="U1070" s="24">
        <f>TA!E1177</f>
        <v>1085789000000</v>
      </c>
      <c r="V1070" s="109">
        <f>PR!F1177</f>
        <v>0.20798859220258242</v>
      </c>
      <c r="W1070" s="109">
        <f>'Z Score'!I1177</f>
        <v>0.66025999526611523</v>
      </c>
      <c r="X1070" s="109">
        <f>'Z Score'!L1177</f>
        <v>0.36063327221034658</v>
      </c>
      <c r="Y1070" s="109">
        <f>'Z Score'!O1177</f>
        <v>0.44731342829960513</v>
      </c>
      <c r="Z1070" s="109">
        <f>'Z Score'!R1177</f>
        <v>0.43193200739875137</v>
      </c>
      <c r="AA1070" s="109">
        <f>'Z Score'!S1177</f>
        <v>1.9001387031748185</v>
      </c>
    </row>
    <row r="1071" spans="1:27" ht="15" customHeight="1" x14ac:dyDescent="0.3">
      <c r="A1071" s="22"/>
      <c r="B1071" s="23"/>
      <c r="C1071" s="2"/>
      <c r="D1071" s="23">
        <v>2024</v>
      </c>
      <c r="E1071" s="25">
        <f>'Current Ratio'!G1178</f>
        <v>2.4343839169909209</v>
      </c>
      <c r="F1071" s="25">
        <f>'Cash Ratio'!G1178</f>
        <v>0.31682230869001299</v>
      </c>
      <c r="G1071" s="25">
        <f>DAR!G1178</f>
        <v>0.6941410540228502</v>
      </c>
      <c r="H1071" s="25">
        <f>DER!G1178</f>
        <v>2.2693070874587247</v>
      </c>
      <c r="I1071" s="25">
        <f>NPM!G1178</f>
        <v>0.17022400580419897</v>
      </c>
      <c r="J1071" s="25">
        <f>ROA!G1178</f>
        <v>5.8648046106664624E-2</v>
      </c>
      <c r="K1071" s="25">
        <f>ROE!G1178</f>
        <v>0.19173397960564789</v>
      </c>
      <c r="L1071" s="25">
        <f>KM!E1178</f>
        <v>0.3725</v>
      </c>
      <c r="M1071" s="24">
        <f>KI!E1178</f>
        <v>2</v>
      </c>
      <c r="N1071" s="108">
        <f>IO!E1178</f>
        <v>7.7499999999999999E-2</v>
      </c>
      <c r="O1071" s="24">
        <f>'BoC Size'!E1178</f>
        <v>3</v>
      </c>
      <c r="P1071" s="24">
        <f>'TMT E DK'!E1178</f>
        <v>0</v>
      </c>
      <c r="Q1071" s="24">
        <f>Data!R1178</f>
        <v>3</v>
      </c>
      <c r="R1071" s="24">
        <f>Data!S1178</f>
        <v>3</v>
      </c>
      <c r="S1071" s="24">
        <f>'TMT E DK'!E1178</f>
        <v>0</v>
      </c>
      <c r="T1071" s="24">
        <f>'TMT E DD'!E1178</f>
        <v>0</v>
      </c>
      <c r="U1071" s="24">
        <f>TA!E1178</f>
        <v>1280162000000</v>
      </c>
      <c r="V1071" s="109">
        <f>PR!F1178</f>
        <v>0.14428777127735476</v>
      </c>
      <c r="W1071" s="109">
        <f>'Z Score'!I1178</f>
        <v>0.56670715112618553</v>
      </c>
      <c r="X1071" s="109">
        <f>'Z Score'!L1178</f>
        <v>0.51234348465272361</v>
      </c>
      <c r="Y1071" s="109">
        <f>'Z Score'!O1178</f>
        <v>0.46267644251274442</v>
      </c>
      <c r="Z1071" s="109">
        <f>'Z Score'!R1178</f>
        <v>0.46269630311507937</v>
      </c>
      <c r="AA1071" s="109">
        <f>'Z Score'!S1178</f>
        <v>2.0044233814067329</v>
      </c>
    </row>
    <row r="1072" spans="1:27" ht="15" customHeight="1" x14ac:dyDescent="0.3">
      <c r="A1072" s="22"/>
      <c r="B1072" s="23">
        <v>108</v>
      </c>
      <c r="C1072" s="1" t="s">
        <v>125</v>
      </c>
      <c r="D1072" s="23">
        <v>2015</v>
      </c>
      <c r="E1072" s="25">
        <f>'Current Ratio'!G1180</f>
        <v>5.8033790298914179</v>
      </c>
      <c r="F1072" s="25">
        <f>'Cash Ratio'!G1180</f>
        <v>0.31318492432817674</v>
      </c>
      <c r="G1072" s="25">
        <f>DAR!G1180</f>
        <v>0.6917181580615156</v>
      </c>
      <c r="H1072" s="25">
        <f>DER!G1180</f>
        <v>2.3894658581950363</v>
      </c>
      <c r="I1072" s="25">
        <f>NPM!G1180</f>
        <v>0.39610379750679481</v>
      </c>
      <c r="J1072" s="25">
        <f>ROA!G1180</f>
        <v>9.7137954737220741E-2</v>
      </c>
      <c r="K1072" s="25">
        <f>ROE!G1180</f>
        <v>0.33555259996346959</v>
      </c>
      <c r="L1072" s="25">
        <f>KM!E1180</f>
        <v>0.66</v>
      </c>
      <c r="M1072" s="24">
        <f>KI!E1180</f>
        <v>2</v>
      </c>
      <c r="N1072" s="108">
        <f>IO!E1180</f>
        <v>0</v>
      </c>
      <c r="O1072" s="24">
        <f>'BoC Size'!E1180</f>
        <v>4</v>
      </c>
      <c r="P1072" s="24">
        <f>'TMT E DK'!E1180</f>
        <v>0</v>
      </c>
      <c r="Q1072" s="24">
        <f>Data!R1180</f>
        <v>4</v>
      </c>
      <c r="R1072" s="24">
        <f>Data!S1180</f>
        <v>4</v>
      </c>
      <c r="S1072" s="24">
        <f>'TMT E DK'!E1180</f>
        <v>0</v>
      </c>
      <c r="T1072" s="24">
        <f>'TMT E DD'!E1180</f>
        <v>0</v>
      </c>
      <c r="U1072" s="24">
        <f>TA!E1180</f>
        <v>1342781000000</v>
      </c>
      <c r="V1072" s="109">
        <f>PR!F1180</f>
        <v>9.7294877377177864E-3</v>
      </c>
      <c r="W1072" s="109">
        <f>'Z Score'!I1180</f>
        <v>2.798714012188138</v>
      </c>
      <c r="X1072" s="109">
        <f>'Z Score'!L1180</f>
        <v>0.59895942823140924</v>
      </c>
      <c r="Y1072" s="109">
        <f>'Z Score'!O1180</f>
        <v>8.4636765042102907E-2</v>
      </c>
      <c r="Z1072" s="109">
        <f>'Z Score'!R1180</f>
        <v>0.43942875199445319</v>
      </c>
      <c r="AA1072" s="109">
        <f>'Z Score'!S1180</f>
        <v>3.9217389574561032</v>
      </c>
    </row>
    <row r="1073" spans="1:27" ht="15" customHeight="1" x14ac:dyDescent="0.3">
      <c r="A1073" s="22"/>
      <c r="B1073" s="23"/>
      <c r="C1073" s="1"/>
      <c r="D1073" s="23">
        <v>2016</v>
      </c>
      <c r="E1073" s="25">
        <f>'Current Ratio'!G1181</f>
        <v>3.7808484674467016</v>
      </c>
      <c r="F1073" s="25">
        <f>'Cash Ratio'!G1181</f>
        <v>0.23313252679414476</v>
      </c>
      <c r="G1073" s="25">
        <f>DAR!G1181</f>
        <v>0.67819625053071786</v>
      </c>
      <c r="H1073" s="25">
        <f>DER!G1181</f>
        <v>2.1549269601774288</v>
      </c>
      <c r="I1073" s="25">
        <f>NPM!G1181</f>
        <v>8.6764517499207799E-2</v>
      </c>
      <c r="J1073" s="25">
        <f>ROA!G1181</f>
        <v>1.954864489413366E-2</v>
      </c>
      <c r="K1073" s="25">
        <f>ROE!G1181</f>
        <v>6.2114619307225789E-2</v>
      </c>
      <c r="L1073" s="25">
        <f>KM!E1181</f>
        <v>0.66</v>
      </c>
      <c r="M1073" s="24">
        <f>KI!E1181</f>
        <v>1</v>
      </c>
      <c r="N1073" s="108">
        <f>IO!E1181</f>
        <v>0</v>
      </c>
      <c r="O1073" s="24">
        <f>'BoC Size'!E1181</f>
        <v>3</v>
      </c>
      <c r="P1073" s="24">
        <f>'TMT E DK'!E1181</f>
        <v>0</v>
      </c>
      <c r="Q1073" s="24">
        <f>Data!R1181</f>
        <v>3</v>
      </c>
      <c r="R1073" s="24">
        <f>Data!S1181</f>
        <v>4</v>
      </c>
      <c r="S1073" s="24">
        <f>'TMT E DK'!E1181</f>
        <v>0</v>
      </c>
      <c r="T1073" s="24">
        <f>'TMT E DD'!E1181</f>
        <v>0</v>
      </c>
      <c r="U1073" s="24">
        <f>TA!E1181</f>
        <v>1316613000000</v>
      </c>
      <c r="V1073" s="109">
        <f>PR!F1181</f>
        <v>-9.9160327366039566E-2</v>
      </c>
      <c r="W1073" s="109">
        <f>'Z Score'!I1181</f>
        <v>2.5092773654824918</v>
      </c>
      <c r="X1073" s="109">
        <f>'Z Score'!L1181</f>
        <v>0.66276190497891174</v>
      </c>
      <c r="Y1073" s="109">
        <f>'Z Score'!O1181</f>
        <v>0.20449198055920759</v>
      </c>
      <c r="Z1073" s="109">
        <f>'Z Score'!R1181</f>
        <v>0.48725549376093324</v>
      </c>
      <c r="AA1073" s="109">
        <f>'Z Score'!S1181</f>
        <v>3.8637867447815442</v>
      </c>
    </row>
    <row r="1074" spans="1:27" ht="15" customHeight="1" x14ac:dyDescent="0.3">
      <c r="A1074" s="22"/>
      <c r="B1074" s="23"/>
      <c r="C1074" s="1"/>
      <c r="D1074" s="23">
        <v>2017</v>
      </c>
      <c r="E1074" s="25">
        <f>'Current Ratio'!G1182</f>
        <v>2.7236564485381329</v>
      </c>
      <c r="F1074" s="25">
        <f>'Cash Ratio'!G1182</f>
        <v>5.8965311254046096E-2</v>
      </c>
      <c r="G1074" s="25">
        <f>DAR!G1182</f>
        <v>0.69884394059226873</v>
      </c>
      <c r="H1074" s="25">
        <f>DER!G1182</f>
        <v>2.3205375378023292</v>
      </c>
      <c r="I1074" s="25">
        <f>NPM!G1182</f>
        <v>0.1210948417064361</v>
      </c>
      <c r="J1074" s="25">
        <f>ROA!G1182</f>
        <v>2.4566621260641588E-2</v>
      </c>
      <c r="K1074" s="25">
        <f>ROE!G1182</f>
        <v>8.1574388072933171E-2</v>
      </c>
      <c r="L1074" s="25">
        <f>KM!E1182</f>
        <v>0</v>
      </c>
      <c r="M1074" s="24">
        <f>KI!E1182</f>
        <v>0</v>
      </c>
      <c r="N1074" s="108">
        <f>IO!E1182</f>
        <v>0</v>
      </c>
      <c r="O1074" s="24">
        <f>'BoC Size'!E1182</f>
        <v>0</v>
      </c>
      <c r="P1074" s="24">
        <f>'TMT E DK'!E1182</f>
        <v>0</v>
      </c>
      <c r="Q1074" s="24">
        <f>Data!R1182</f>
        <v>0</v>
      </c>
      <c r="R1074" s="24">
        <f>Data!S1182</f>
        <v>0</v>
      </c>
      <c r="S1074" s="24">
        <f>'TMT E DK'!E1182</f>
        <v>0</v>
      </c>
      <c r="T1074" s="24">
        <f>'TMT E DD'!E1182</f>
        <v>0</v>
      </c>
      <c r="U1074" s="24">
        <f>TA!E1182</f>
        <v>1393354000000</v>
      </c>
      <c r="V1074" s="109">
        <f>PR!F1182</f>
        <v>-4.7097174371801699E-2</v>
      </c>
      <c r="W1074" s="109">
        <f>'Z Score'!I1182</f>
        <v>2.0730877580284695</v>
      </c>
      <c r="X1074" s="109">
        <f>'Z Score'!L1182</f>
        <v>0.48444207286877561</v>
      </c>
      <c r="Y1074" s="109">
        <f>'Z Score'!O1182</f>
        <v>0.19633523139130471</v>
      </c>
      <c r="Z1074" s="109">
        <f>'Z Score'!R1182</f>
        <v>0.45248136817230938</v>
      </c>
      <c r="AA1074" s="109">
        <f>'Z Score'!S1182</f>
        <v>3.2063464304608589</v>
      </c>
    </row>
    <row r="1075" spans="1:27" ht="15" customHeight="1" x14ac:dyDescent="0.3">
      <c r="A1075" s="22"/>
      <c r="B1075" s="23"/>
      <c r="C1075" s="1"/>
      <c r="D1075" s="23">
        <v>2018</v>
      </c>
      <c r="E1075" s="25">
        <f>'Current Ratio'!G1183</f>
        <v>3.2958059541836269</v>
      </c>
      <c r="F1075" s="25">
        <f>'Cash Ratio'!G1183</f>
        <v>0</v>
      </c>
      <c r="G1075" s="25">
        <f>DAR!G1183</f>
        <v>0.75099777543295365</v>
      </c>
      <c r="H1075" s="25">
        <f>DER!G1183</f>
        <v>3.0160283778137091</v>
      </c>
      <c r="I1075" s="25">
        <f>NPM!G1183</f>
        <v>0.11586524905040721</v>
      </c>
      <c r="J1075" s="25">
        <f>ROA!G1183</f>
        <v>1.9750242304773603E-2</v>
      </c>
      <c r="K1075" s="25">
        <f>ROE!G1183</f>
        <v>7.9317533564667628E-2</v>
      </c>
      <c r="L1075" s="25">
        <f>KM!E1183</f>
        <v>0.63</v>
      </c>
      <c r="M1075" s="24">
        <f>KI!E1183</f>
        <v>3</v>
      </c>
      <c r="N1075" s="108">
        <f>IO!E1183</f>
        <v>0</v>
      </c>
      <c r="O1075" s="24">
        <f>'BoC Size'!E1183</f>
        <v>4</v>
      </c>
      <c r="P1075" s="24">
        <f>'TMT E DK'!E1183</f>
        <v>0</v>
      </c>
      <c r="Q1075" s="24">
        <f>Data!R1183</f>
        <v>4</v>
      </c>
      <c r="R1075" s="24">
        <f>Data!S1183</f>
        <v>4</v>
      </c>
      <c r="S1075" s="24">
        <f>'TMT E DK'!E1183</f>
        <v>0</v>
      </c>
      <c r="T1075" s="24">
        <f>'TMT E DD'!E1183</f>
        <v>0</v>
      </c>
      <c r="U1075" s="24">
        <f>TA!E1183</f>
        <v>1768434000000</v>
      </c>
      <c r="V1075" s="109">
        <f>PR!F1183</f>
        <v>6.6416434653714038E-2</v>
      </c>
      <c r="W1075" s="109">
        <f>'Z Score'!I1183</f>
        <v>2.4521108279981045</v>
      </c>
      <c r="X1075" s="109">
        <f>'Z Score'!L1183</f>
        <v>0.42022295432003676</v>
      </c>
      <c r="Y1075" s="109">
        <f>'Z Score'!O1183</f>
        <v>0.17919148806231952</v>
      </c>
      <c r="Z1075" s="109">
        <f>'Z Score'!R1183</f>
        <v>0.34813996039425044</v>
      </c>
      <c r="AA1075" s="109">
        <f>'Z Score'!S1183</f>
        <v>3.3996652307747111</v>
      </c>
    </row>
    <row r="1076" spans="1:27" ht="15" customHeight="1" x14ac:dyDescent="0.3">
      <c r="A1076" s="22"/>
      <c r="B1076" s="23"/>
      <c r="C1076" s="1"/>
      <c r="D1076" s="23">
        <v>2019</v>
      </c>
      <c r="E1076" s="25">
        <f>'Current Ratio'!G1184</f>
        <v>2.1004888601691345</v>
      </c>
      <c r="F1076" s="25">
        <f>'Cash Ratio'!G1184</f>
        <v>8.9711460118562639E-2</v>
      </c>
      <c r="G1076" s="25">
        <f>DAR!G1184</f>
        <v>0.72355258102642761</v>
      </c>
      <c r="H1076" s="25">
        <f>DER!G1184</f>
        <v>2.6173299752386487</v>
      </c>
      <c r="I1076" s="25">
        <f>NPM!G1184</f>
        <v>0.15202808699690015</v>
      </c>
      <c r="J1076" s="25">
        <f>ROA!G1184</f>
        <v>2.8421938651314343E-2</v>
      </c>
      <c r="K1076" s="25">
        <f>ROE!G1184</f>
        <v>0.10281159094332896</v>
      </c>
      <c r="L1076" s="25">
        <f>KM!E1184</f>
        <v>0</v>
      </c>
      <c r="M1076" s="24">
        <f>KI!E1184</f>
        <v>0</v>
      </c>
      <c r="N1076" s="108">
        <f>IO!E1184</f>
        <v>0</v>
      </c>
      <c r="O1076" s="24">
        <f>'BoC Size'!E1184</f>
        <v>0</v>
      </c>
      <c r="P1076" s="24">
        <f>'TMT E DK'!E1184</f>
        <v>0</v>
      </c>
      <c r="Q1076" s="24">
        <f>Data!R1184</f>
        <v>0</v>
      </c>
      <c r="R1076" s="24">
        <f>Data!S1184</f>
        <v>0</v>
      </c>
      <c r="S1076" s="24">
        <f>'TMT E DK'!E1184</f>
        <v>0</v>
      </c>
      <c r="T1076" s="24">
        <f>'TMT E DD'!E1184</f>
        <v>0</v>
      </c>
      <c r="U1076" s="24">
        <f>TA!E1184</f>
        <v>1704845000000</v>
      </c>
      <c r="V1076" s="109">
        <f>PR!F1184</f>
        <v>5.7320572575428351E-2</v>
      </c>
      <c r="W1076" s="109">
        <f>'Z Score'!I1184</f>
        <v>1.5071940968240514</v>
      </c>
      <c r="X1076" s="109">
        <f>'Z Score'!L1184</f>
        <v>0.4755806774222876</v>
      </c>
      <c r="Y1076" s="109">
        <f>'Z Score'!O1184</f>
        <v>0.18900486554496157</v>
      </c>
      <c r="Z1076" s="109">
        <f>'Z Score'!R1184</f>
        <v>0.40117219071861993</v>
      </c>
      <c r="AA1076" s="109">
        <f>'Z Score'!S1184</f>
        <v>2.5729518305099206</v>
      </c>
    </row>
    <row r="1077" spans="1:27" ht="15" customHeight="1" x14ac:dyDescent="0.3">
      <c r="A1077" s="22"/>
      <c r="B1077" s="23"/>
      <c r="C1077" s="1"/>
      <c r="D1077" s="23">
        <v>2020</v>
      </c>
      <c r="E1077" s="25">
        <f>'Current Ratio'!G1185</f>
        <v>2.1756057371618827</v>
      </c>
      <c r="F1077" s="25">
        <f>'Cash Ratio'!G1185</f>
        <v>0.10364206723555093</v>
      </c>
      <c r="G1077" s="25">
        <f>DAR!G1185</f>
        <v>0.73952812643414101</v>
      </c>
      <c r="H1077" s="25">
        <f>DER!G1185</f>
        <v>2.8391861136866861</v>
      </c>
      <c r="I1077" s="25">
        <f>NPM!G1185</f>
        <v>0.11892551065343315</v>
      </c>
      <c r="J1077" s="25">
        <f>ROA!G1185</f>
        <v>1.8800400769623332E-2</v>
      </c>
      <c r="K1077" s="25">
        <f>ROE!G1185</f>
        <v>7.2178237566482395E-2</v>
      </c>
      <c r="L1077" s="25">
        <f>KM!E1185</f>
        <v>0.63</v>
      </c>
      <c r="M1077" s="24">
        <f>KI!E1185</f>
        <v>3</v>
      </c>
      <c r="N1077" s="108">
        <f>IO!E1185</f>
        <v>0</v>
      </c>
      <c r="O1077" s="24">
        <f>'BoC Size'!E1185</f>
        <v>4</v>
      </c>
      <c r="P1077" s="24">
        <f>'TMT E DK'!E1185</f>
        <v>0</v>
      </c>
      <c r="Q1077" s="24">
        <f>Data!R1185</f>
        <v>4</v>
      </c>
      <c r="R1077" s="24">
        <f>Data!S1185</f>
        <v>4</v>
      </c>
      <c r="S1077" s="24">
        <f>'TMT E DK'!E1185</f>
        <v>0</v>
      </c>
      <c r="T1077" s="24">
        <f>'TMT E DD'!E1185</f>
        <v>0</v>
      </c>
      <c r="U1077" s="24">
        <f>TA!E1185</f>
        <v>1867407000000</v>
      </c>
      <c r="V1077" s="109">
        <f>PR!F1185</f>
        <v>-7.3775429525231861E-2</v>
      </c>
      <c r="W1077" s="109">
        <f>'Z Score'!I1185</f>
        <v>1.4586618557175806</v>
      </c>
      <c r="X1077" s="109">
        <f>'Z Score'!L1185</f>
        <v>0.45248434861816411</v>
      </c>
      <c r="Y1077" s="109">
        <f>'Z Score'!O1185</f>
        <v>0.12864537832406112</v>
      </c>
      <c r="Z1077" s="109">
        <f>'Z Score'!R1185</f>
        <v>0.36982429398986244</v>
      </c>
      <c r="AA1077" s="109">
        <f>'Z Score'!S1185</f>
        <v>2.4096158766496685</v>
      </c>
    </row>
    <row r="1078" spans="1:27" ht="15" customHeight="1" x14ac:dyDescent="0.3">
      <c r="A1078" s="22"/>
      <c r="B1078" s="23"/>
      <c r="C1078" s="1"/>
      <c r="D1078" s="23">
        <v>2021</v>
      </c>
      <c r="E1078" s="25">
        <f>'Current Ratio'!G1186</f>
        <v>3.4675900694057602</v>
      </c>
      <c r="F1078" s="25">
        <f>'Cash Ratio'!G1186</f>
        <v>9.5171707743033074E-2</v>
      </c>
      <c r="G1078" s="25">
        <f>DAR!G1186</f>
        <v>0.77606114501478696</v>
      </c>
      <c r="H1078" s="25">
        <f>DER!G1186</f>
        <v>3.4655046578050559</v>
      </c>
      <c r="I1078" s="25">
        <f>NPM!G1186</f>
        <v>0.14798023737498703</v>
      </c>
      <c r="J1078" s="25">
        <f>ROA!G1186</f>
        <v>2.3859836970650083E-2</v>
      </c>
      <c r="K1078" s="25">
        <f>ROE!G1186</f>
        <v>0.10654621312690724</v>
      </c>
      <c r="L1078" s="25">
        <f>KM!E1186</f>
        <v>0.629</v>
      </c>
      <c r="M1078" s="24">
        <f>KI!E1186</f>
        <v>2</v>
      </c>
      <c r="N1078" s="108">
        <f>IO!E1186</f>
        <v>0</v>
      </c>
      <c r="O1078" s="24">
        <f>'BoC Size'!E1186</f>
        <v>3</v>
      </c>
      <c r="P1078" s="24">
        <f>'TMT E DK'!E1186</f>
        <v>0</v>
      </c>
      <c r="Q1078" s="24">
        <f>Data!R1186</f>
        <v>3</v>
      </c>
      <c r="R1078" s="24">
        <f>Data!S1186</f>
        <v>4</v>
      </c>
      <c r="S1078" s="24">
        <f>'TMT E DK'!E1186</f>
        <v>0</v>
      </c>
      <c r="T1078" s="24">
        <f>'TMT E DD'!E1186</f>
        <v>0</v>
      </c>
      <c r="U1078" s="24">
        <f>TA!E1186</f>
        <v>2331114000000</v>
      </c>
      <c r="V1078" s="109">
        <f>PR!F1186</f>
        <v>0.27319873988008536</v>
      </c>
      <c r="W1078" s="109">
        <f>'Z Score'!I1186</f>
        <v>2.3061563870321229</v>
      </c>
      <c r="X1078" s="109">
        <f>'Z Score'!L1186</f>
        <v>0.42034462493039804</v>
      </c>
      <c r="Y1078" s="109">
        <f>'Z Score'!O1186</f>
        <v>0.22046633497975646</v>
      </c>
      <c r="Z1078" s="109">
        <f>'Z Score'!R1186</f>
        <v>0.30298617479424705</v>
      </c>
      <c r="AA1078" s="109">
        <f>'Z Score'!S1186</f>
        <v>3.2499535217365247</v>
      </c>
    </row>
    <row r="1079" spans="1:27" ht="15" customHeight="1" x14ac:dyDescent="0.3">
      <c r="A1079" s="22"/>
      <c r="B1079" s="23"/>
      <c r="C1079" s="1"/>
      <c r="D1079" s="23">
        <v>2022</v>
      </c>
      <c r="E1079" s="25">
        <f>'Current Ratio'!G1187</f>
        <v>2.9001555388120006</v>
      </c>
      <c r="F1079" s="25">
        <f>'Cash Ratio'!G1187</f>
        <v>0.10309843888382177</v>
      </c>
      <c r="G1079" s="25">
        <f>DAR!G1187</f>
        <v>0.79898791126156909</v>
      </c>
      <c r="H1079" s="25">
        <f>DER!G1187</f>
        <v>3.9748251773118999</v>
      </c>
      <c r="I1079" s="25">
        <f>NPM!G1187</f>
        <v>0.19364893091507251</v>
      </c>
      <c r="J1079" s="25">
        <f>ROA!G1187</f>
        <v>2.760102302521537E-2</v>
      </c>
      <c r="K1079" s="25">
        <f>ROE!G1187</f>
        <v>0.13731026426540688</v>
      </c>
      <c r="L1079" s="25">
        <f>KM!E1187</f>
        <v>0.629</v>
      </c>
      <c r="M1079" s="24">
        <f>KI!E1187</f>
        <v>2</v>
      </c>
      <c r="N1079" s="108">
        <f>IO!E1187</f>
        <v>0</v>
      </c>
      <c r="O1079" s="24">
        <f>'BoC Size'!E1187</f>
        <v>3</v>
      </c>
      <c r="P1079" s="24">
        <f>'TMT E DK'!E1187</f>
        <v>0</v>
      </c>
      <c r="Q1079" s="24">
        <f>Data!R1187</f>
        <v>3</v>
      </c>
      <c r="R1079" s="24">
        <f>Data!S1187</f>
        <v>4</v>
      </c>
      <c r="S1079" s="24">
        <f>'TMT E DK'!E1187</f>
        <v>0</v>
      </c>
      <c r="T1079" s="24">
        <f>'TMT E DD'!E1187</f>
        <v>0</v>
      </c>
      <c r="U1079" s="24">
        <f>TA!E1187</f>
        <v>2797976000000</v>
      </c>
      <c r="V1079" s="109">
        <f>PR!F1187</f>
        <v>6.1027879987548592E-2</v>
      </c>
      <c r="W1079" s="109">
        <f>'Z Score'!I1187</f>
        <v>2.0221572736864073</v>
      </c>
      <c r="X1079" s="109">
        <f>'Z Score'!L1187</f>
        <v>0.40631972540150452</v>
      </c>
      <c r="Y1079" s="109">
        <f>'Z Score'!O1187</f>
        <v>0.2439347299619439</v>
      </c>
      <c r="Z1079" s="109">
        <f>'Z Score'!R1187</f>
        <v>0.26416256141108968</v>
      </c>
      <c r="AA1079" s="109">
        <f>'Z Score'!S1187</f>
        <v>2.9365742904609458</v>
      </c>
    </row>
    <row r="1080" spans="1:27" ht="15" customHeight="1" x14ac:dyDescent="0.3">
      <c r="A1080" s="22"/>
      <c r="B1080" s="23"/>
      <c r="C1080" s="1"/>
      <c r="D1080" s="23">
        <v>2023</v>
      </c>
      <c r="E1080" s="25">
        <f>'Current Ratio'!G1188</f>
        <v>3.9294538047156857</v>
      </c>
      <c r="F1080" s="25">
        <f>'Cash Ratio'!G1188</f>
        <v>0.38149008451103716</v>
      </c>
      <c r="G1080" s="25">
        <f>DAR!G1188</f>
        <v>0.81972997654397806</v>
      </c>
      <c r="H1080" s="25">
        <f>DER!G1188</f>
        <v>4.547233981716083</v>
      </c>
      <c r="I1080" s="25">
        <f>NPM!G1188</f>
        <v>0.2159735134519789</v>
      </c>
      <c r="J1080" s="25">
        <f>ROA!G1188</f>
        <v>3.2597026345714444E-2</v>
      </c>
      <c r="K1080" s="25">
        <f>ROE!G1188</f>
        <v>0.18082333224784158</v>
      </c>
      <c r="L1080" s="25">
        <f>KM!E1188</f>
        <v>0.63</v>
      </c>
      <c r="M1080" s="24">
        <f>KI!E1188</f>
        <v>2</v>
      </c>
      <c r="N1080" s="108">
        <f>IO!E1188</f>
        <v>0</v>
      </c>
      <c r="O1080" s="24">
        <f>'BoC Size'!E1188</f>
        <v>3</v>
      </c>
      <c r="P1080" s="24">
        <f>'TMT E DK'!E1188</f>
        <v>0</v>
      </c>
      <c r="Q1080" s="24">
        <f>Data!R1188</f>
        <v>3</v>
      </c>
      <c r="R1080" s="24">
        <f>Data!S1188</f>
        <v>4</v>
      </c>
      <c r="S1080" s="24">
        <f>'TMT E DK'!E1188</f>
        <v>0</v>
      </c>
      <c r="T1080" s="24">
        <f>'TMT E DD'!E1188</f>
        <v>0</v>
      </c>
      <c r="U1080" s="24">
        <f>TA!E1188</f>
        <v>3492067000000</v>
      </c>
      <c r="V1080" s="109">
        <f>PR!F1188</f>
        <v>0.32161815852095921</v>
      </c>
      <c r="W1080" s="109">
        <f>'Z Score'!I1188</f>
        <v>2.5610522593065936</v>
      </c>
      <c r="X1080" s="109">
        <f>'Z Score'!L1188</f>
        <v>0.37798097230093231</v>
      </c>
      <c r="Y1080" s="109">
        <f>'Z Score'!O1188</f>
        <v>0.23823982758635501</v>
      </c>
      <c r="Z1080" s="109">
        <f>'Z Score'!R1188</f>
        <v>0.23090960443688011</v>
      </c>
      <c r="AA1080" s="109">
        <f>'Z Score'!S1188</f>
        <v>3.4081826636307611</v>
      </c>
    </row>
    <row r="1081" spans="1:27" ht="15" customHeight="1" x14ac:dyDescent="0.3">
      <c r="A1081" s="22"/>
      <c r="B1081" s="23"/>
      <c r="C1081" s="1"/>
      <c r="D1081" s="23">
        <v>2024</v>
      </c>
      <c r="E1081" s="25">
        <f>'Current Ratio'!G1189</f>
        <v>4.198797935307141</v>
      </c>
      <c r="F1081" s="25">
        <f>'Cash Ratio'!G1189</f>
        <v>0.40110933641860436</v>
      </c>
      <c r="G1081" s="25">
        <f>DAR!G1189</f>
        <v>0.82161701337971726</v>
      </c>
      <c r="H1081" s="25">
        <f>DER!G1189</f>
        <v>4.6059157823647325</v>
      </c>
      <c r="I1081" s="25">
        <f>NPM!G1189</f>
        <v>0.14891731102455161</v>
      </c>
      <c r="J1081" s="25">
        <f>ROA!G1189</f>
        <v>2.9584608211561475E-2</v>
      </c>
      <c r="K1081" s="25">
        <f>ROE!G1189</f>
        <v>0.16584882208826973</v>
      </c>
      <c r="L1081" s="25">
        <f>KM!E1189</f>
        <v>0.63</v>
      </c>
      <c r="M1081" s="24">
        <f>KI!E1189</f>
        <v>2</v>
      </c>
      <c r="N1081" s="108">
        <f>IO!E1189</f>
        <v>0</v>
      </c>
      <c r="O1081" s="24">
        <f>'BoC Size'!E1189</f>
        <v>3</v>
      </c>
      <c r="P1081" s="24">
        <f>'TMT E DK'!E1189</f>
        <v>0</v>
      </c>
      <c r="Q1081" s="24">
        <f>Data!R1189</f>
        <v>3</v>
      </c>
      <c r="R1081" s="24">
        <f>Data!S1189</f>
        <v>4</v>
      </c>
      <c r="S1081" s="24">
        <f>'TMT E DK'!E1189</f>
        <v>0</v>
      </c>
      <c r="T1081" s="24">
        <f>'TMT E DD'!E1189</f>
        <v>0</v>
      </c>
      <c r="U1081" s="24">
        <f>TA!E1189</f>
        <v>3901353000000</v>
      </c>
      <c r="V1081" s="109">
        <f>PR!F1189</f>
        <v>0.47053656130231852</v>
      </c>
      <c r="W1081" s="109">
        <f>'Z Score'!I1189</f>
        <v>2.5290051323220428</v>
      </c>
      <c r="X1081" s="109">
        <f>'Z Score'!L1189</f>
        <v>0.40059944844775641</v>
      </c>
      <c r="Y1081" s="109">
        <f>'Z Score'!O1189</f>
        <v>0.25825649716905902</v>
      </c>
      <c r="Z1081" s="109">
        <f>'Z Score'!R1189</f>
        <v>0.22796769407297271</v>
      </c>
      <c r="AA1081" s="109">
        <f>'Z Score'!S1189</f>
        <v>3.4158287720118312</v>
      </c>
    </row>
    <row r="1082" spans="1:27" ht="15" customHeight="1" x14ac:dyDescent="0.3">
      <c r="A1082" s="22"/>
      <c r="B1082" s="23">
        <v>109</v>
      </c>
      <c r="C1082" s="2" t="s">
        <v>106</v>
      </c>
      <c r="D1082" s="23">
        <v>2015</v>
      </c>
      <c r="E1082" s="25">
        <f>'Current Ratio'!G1191</f>
        <v>3.888850589631256</v>
      </c>
      <c r="F1082" s="25">
        <f>'Cash Ratio'!G1191</f>
        <v>1.8373488630342244E-2</v>
      </c>
      <c r="G1082" s="25">
        <f>DAR!G1191</f>
        <v>0.64253244115745467</v>
      </c>
      <c r="H1082" s="25">
        <f>DER!G1191</f>
        <v>1.7974566509977274</v>
      </c>
      <c r="I1082" s="25">
        <f>NPM!G1191</f>
        <v>0.15070636669570714</v>
      </c>
      <c r="J1082" s="25">
        <f>ROA!G1191</f>
        <v>4.9087107331517971E-2</v>
      </c>
      <c r="K1082" s="25">
        <f>ROE!G1191</f>
        <v>0.13731905488279425</v>
      </c>
      <c r="L1082" s="25">
        <f>KM!E1191</f>
        <v>0.95</v>
      </c>
      <c r="M1082" s="24">
        <f>KI!E1191</f>
        <v>2</v>
      </c>
      <c r="N1082" s="108">
        <f>IO!E1191</f>
        <v>0</v>
      </c>
      <c r="O1082" s="24">
        <f>'BoC Size'!E1191</f>
        <v>5</v>
      </c>
      <c r="P1082" s="24">
        <f>'TMT E DK'!E1191</f>
        <v>21</v>
      </c>
      <c r="Q1082" s="24">
        <f>Data!R1191</f>
        <v>5</v>
      </c>
      <c r="R1082" s="24">
        <f>Data!S1191</f>
        <v>4</v>
      </c>
      <c r="S1082" s="24">
        <f>'TMT E DK'!E1191</f>
        <v>21</v>
      </c>
      <c r="T1082" s="24">
        <f>'TMT E DD'!E1191</f>
        <v>11</v>
      </c>
      <c r="U1082" s="24">
        <f>TA!E1191</f>
        <v>9091174000000</v>
      </c>
      <c r="V1082" s="109">
        <f>PR!F1191</f>
        <v>-0.52392376794668893</v>
      </c>
      <c r="W1082" s="109">
        <f>'Z Score'!I1191</f>
        <v>2.9390864062221227</v>
      </c>
      <c r="X1082" s="109">
        <f>'Z Score'!L1191</f>
        <v>0.81522501494306454</v>
      </c>
      <c r="Y1082" s="109">
        <f>'Z Score'!O1191</f>
        <v>0.13520830642995063</v>
      </c>
      <c r="Z1082" s="109">
        <f>'Z Score'!R1191</f>
        <v>0.60127188880284832</v>
      </c>
      <c r="AA1082" s="109">
        <f>'Z Score'!S1191</f>
        <v>4.4907916163979866</v>
      </c>
    </row>
    <row r="1083" spans="1:27" ht="15" customHeight="1" x14ac:dyDescent="0.3">
      <c r="A1083" s="22"/>
      <c r="B1083" s="23"/>
      <c r="C1083" s="2"/>
      <c r="D1083" s="23">
        <v>2016</v>
      </c>
      <c r="E1083" s="25">
        <f>'Current Ratio'!G1192</f>
        <v>3.1188585241773503</v>
      </c>
      <c r="F1083" s="25">
        <f>'Cash Ratio'!G1192</f>
        <v>0</v>
      </c>
      <c r="G1083" s="25">
        <f>DAR!G1192</f>
        <v>0.6707064951834284</v>
      </c>
      <c r="H1083" s="25">
        <f>DER!G1192</f>
        <v>2.0368045083580868</v>
      </c>
      <c r="I1083" s="25">
        <f>NPM!G1192</f>
        <v>0.13549817762087235</v>
      </c>
      <c r="J1083" s="25">
        <f>ROA!G1192</f>
        <v>4.5970432018514827E-2</v>
      </c>
      <c r="K1083" s="25">
        <f>ROE!G1192</f>
        <v>0.13960321520499477</v>
      </c>
      <c r="L1083" s="25">
        <f>KM!E1192</f>
        <v>0.95</v>
      </c>
      <c r="M1083" s="24">
        <f>KI!E1192</f>
        <v>2</v>
      </c>
      <c r="N1083" s="108">
        <f>IO!E1192</f>
        <v>0</v>
      </c>
      <c r="O1083" s="24">
        <f>'BoC Size'!E1192</f>
        <v>5</v>
      </c>
      <c r="P1083" s="24">
        <f>'TMT E DK'!E1192</f>
        <v>16</v>
      </c>
      <c r="Q1083" s="24">
        <f>Data!R1192</f>
        <v>5</v>
      </c>
      <c r="R1083" s="24">
        <f>Data!S1192</f>
        <v>4</v>
      </c>
      <c r="S1083" s="24">
        <f>'TMT E DK'!E1192</f>
        <v>16</v>
      </c>
      <c r="T1083" s="24">
        <f>'TMT E DD'!E1192</f>
        <v>11</v>
      </c>
      <c r="U1083" s="24">
        <f>TA!E1192</f>
        <v>8872768000000</v>
      </c>
      <c r="V1083" s="109">
        <f>PR!F1192</f>
        <v>0.31420762226891474</v>
      </c>
      <c r="W1083" s="109">
        <f>'Z Score'!I1192</f>
        <v>2.9512587368451424</v>
      </c>
      <c r="X1083" s="109">
        <f>'Z Score'!L1192</f>
        <v>0.89312520737609724</v>
      </c>
      <c r="Y1083" s="109">
        <f>'Z Score'!O1192</f>
        <v>0.15731482216147205</v>
      </c>
      <c r="Z1083" s="109">
        <f>'Z Score'!R1192</f>
        <v>0.6508566431810191</v>
      </c>
      <c r="AA1083" s="109">
        <f>'Z Score'!S1192</f>
        <v>4.65255540956373</v>
      </c>
    </row>
    <row r="1084" spans="1:27" ht="15" customHeight="1" x14ac:dyDescent="0.3">
      <c r="A1084" s="22"/>
      <c r="B1084" s="23"/>
      <c r="C1084" s="2"/>
      <c r="D1084" s="23">
        <v>2017</v>
      </c>
      <c r="E1084" s="25">
        <f>'Current Ratio'!G1193</f>
        <v>2.6177570685026885</v>
      </c>
      <c r="F1084" s="25">
        <f>'Cash Ratio'!G1193</f>
        <v>0.11033539243245109</v>
      </c>
      <c r="G1084" s="25">
        <f>DAR!G1193</f>
        <v>0.5448845119320096</v>
      </c>
      <c r="H1084" s="25">
        <f>DER!G1193</f>
        <v>1.1994858261142209</v>
      </c>
      <c r="I1084" s="25">
        <f>NPM!G1193</f>
        <v>0.41226166776942125</v>
      </c>
      <c r="J1084" s="25">
        <f>ROA!G1193</f>
        <v>3.4948732999738288E-2</v>
      </c>
      <c r="K1084" s="25">
        <f>ROE!G1193</f>
        <v>7.6934669559973162E-2</v>
      </c>
      <c r="L1084" s="25">
        <f>KM!E1193</f>
        <v>0.95</v>
      </c>
      <c r="M1084" s="24">
        <f>KI!E1193</f>
        <v>3</v>
      </c>
      <c r="N1084" s="108">
        <f>IO!E1193</f>
        <v>0</v>
      </c>
      <c r="O1084" s="24">
        <f>'BoC Size'!E1193</f>
        <v>6</v>
      </c>
      <c r="P1084" s="24">
        <f>'TMT E DK'!E1193</f>
        <v>22</v>
      </c>
      <c r="Q1084" s="24">
        <f>Data!R1193</f>
        <v>6</v>
      </c>
      <c r="R1084" s="24">
        <f>Data!S1193</f>
        <v>5</v>
      </c>
      <c r="S1084" s="24">
        <f>'TMT E DK'!E1193</f>
        <v>22</v>
      </c>
      <c r="T1084" s="24">
        <f>'TMT E DD'!E1193</f>
        <v>9</v>
      </c>
      <c r="U1084" s="24">
        <f>TA!E1193</f>
        <v>8165389000000</v>
      </c>
      <c r="V1084" s="109">
        <f>PR!F1193</f>
        <v>0.7995174984791843</v>
      </c>
      <c r="W1084" s="109">
        <f>'Z Score'!I1193</f>
        <v>1.8068986547977077</v>
      </c>
      <c r="X1084" s="109">
        <f>'Z Score'!L1193</f>
        <v>1.069340049812691</v>
      </c>
      <c r="Y1084" s="109">
        <f>'Z Score'!O1193</f>
        <v>0.29028770092888406</v>
      </c>
      <c r="Z1084" s="109">
        <f>'Z Score'!R1193</f>
        <v>0.87537507917164326</v>
      </c>
      <c r="AA1084" s="109">
        <f>'Z Score'!S1193</f>
        <v>4.0419014847109258</v>
      </c>
    </row>
    <row r="1085" spans="1:27" ht="15" customHeight="1" x14ac:dyDescent="0.3">
      <c r="A1085" s="22"/>
      <c r="B1085" s="23"/>
      <c r="C1085" s="2"/>
      <c r="D1085" s="23">
        <v>2018</v>
      </c>
      <c r="E1085" s="25">
        <f>'Current Ratio'!G1194</f>
        <v>2.7292273701879961</v>
      </c>
      <c r="F1085" s="25">
        <f>'Cash Ratio'!G1194</f>
        <v>3.7415669332000481E-2</v>
      </c>
      <c r="G1085" s="25">
        <f>DAR!G1194</f>
        <v>0.55346564737681092</v>
      </c>
      <c r="H1085" s="25">
        <f>DER!G1194</f>
        <v>1.2394693580134393</v>
      </c>
      <c r="I1085" s="25">
        <f>NPM!G1194</f>
        <v>0.28564595168532397</v>
      </c>
      <c r="J1085" s="25">
        <f>ROA!G1194</f>
        <v>2.170981772218069E-2</v>
      </c>
      <c r="K1085" s="25">
        <f>ROE!G1194</f>
        <v>4.8618471556880774E-2</v>
      </c>
      <c r="L1085" s="25">
        <f>KM!E1194</f>
        <v>0.58499999999999996</v>
      </c>
      <c r="M1085" s="24">
        <f>KI!E1194</f>
        <v>3</v>
      </c>
      <c r="N1085" s="108">
        <f>IO!E1194</f>
        <v>0</v>
      </c>
      <c r="O1085" s="24">
        <f>'BoC Size'!E1194</f>
        <v>6</v>
      </c>
      <c r="P1085" s="24">
        <f>'TMT E DK'!E1194</f>
        <v>17</v>
      </c>
      <c r="Q1085" s="24">
        <f>Data!R1194</f>
        <v>6</v>
      </c>
      <c r="R1085" s="24">
        <f>Data!S1194</f>
        <v>5</v>
      </c>
      <c r="S1085" s="24">
        <f>'TMT E DK'!E1194</f>
        <v>17</v>
      </c>
      <c r="T1085" s="24">
        <f>'TMT E DD'!E1194</f>
        <v>9</v>
      </c>
      <c r="U1085" s="24">
        <f>TA!E1194</f>
        <v>10452506000000</v>
      </c>
      <c r="V1085" s="109">
        <f>PR!F1194</f>
        <v>0.14765980069516879</v>
      </c>
      <c r="W1085" s="109">
        <f>'Z Score'!I1194</f>
        <v>1.962867607059972</v>
      </c>
      <c r="X1085" s="109">
        <f>'Z Score'!L1194</f>
        <v>1.1094700715790069</v>
      </c>
      <c r="Y1085" s="109">
        <f>'Z Score'!O1194</f>
        <v>0.18707466324343655</v>
      </c>
      <c r="Z1085" s="109">
        <f>'Z Score'!R1194</f>
        <v>0.84713671476549346</v>
      </c>
      <c r="AA1085" s="109">
        <f>'Z Score'!S1194</f>
        <v>4.1065490566479088</v>
      </c>
    </row>
    <row r="1086" spans="1:27" ht="15" customHeight="1" x14ac:dyDescent="0.3">
      <c r="A1086" s="22"/>
      <c r="B1086" s="23"/>
      <c r="C1086" s="2"/>
      <c r="D1086" s="23">
        <v>2019</v>
      </c>
      <c r="E1086" s="25">
        <f>'Current Ratio'!G1195</f>
        <v>4.5534472929624679</v>
      </c>
      <c r="F1086" s="25">
        <f>'Cash Ratio'!G1195</f>
        <v>9.0703093757179207E-2</v>
      </c>
      <c r="G1086" s="25">
        <f>DAR!G1195</f>
        <v>0.60892127695375575</v>
      </c>
      <c r="H1086" s="25">
        <f>DER!G1195</f>
        <v>1.5570299304719577</v>
      </c>
      <c r="I1086" s="25">
        <f>NPM!G1195</f>
        <v>0.39651313998850818</v>
      </c>
      <c r="J1086" s="25">
        <f>ROA!G1195</f>
        <v>2.6531652922934388E-2</v>
      </c>
      <c r="K1086" s="25">
        <f>ROE!G1195</f>
        <v>6.7842230628837027E-2</v>
      </c>
      <c r="L1086" s="25">
        <f>KM!E1195</f>
        <v>0.58499999999999996</v>
      </c>
      <c r="M1086" s="24">
        <f>KI!E1195</f>
        <v>3</v>
      </c>
      <c r="N1086" s="108">
        <f>IO!E1195</f>
        <v>0</v>
      </c>
      <c r="O1086" s="24">
        <f>'BoC Size'!E1195</f>
        <v>6</v>
      </c>
      <c r="P1086" s="24">
        <f>'TMT E DK'!E1195</f>
        <v>22</v>
      </c>
      <c r="Q1086" s="24">
        <f>Data!R1195</f>
        <v>6</v>
      </c>
      <c r="R1086" s="24">
        <f>Data!S1195</f>
        <v>4</v>
      </c>
      <c r="S1086" s="24">
        <f>'TMT E DK'!E1195</f>
        <v>22</v>
      </c>
      <c r="T1086" s="24">
        <f>'TMT E DD'!E1195</f>
        <v>8</v>
      </c>
      <c r="U1086" s="24">
        <f>TA!E1195</f>
        <v>12848766000000</v>
      </c>
      <c r="V1086" s="109">
        <f>PR!F1195</f>
        <v>8.2230113403917587E-2</v>
      </c>
      <c r="W1086" s="109">
        <f>'Z Score'!I1195</f>
        <v>3.4115357817240968</v>
      </c>
      <c r="X1086" s="109">
        <f>'Z Score'!L1195</f>
        <v>0.98280983714700698</v>
      </c>
      <c r="Y1086" s="109">
        <f>'Z Score'!O1195</f>
        <v>0.23379373240978937</v>
      </c>
      <c r="Z1086" s="109">
        <f>'Z Score'!R1195</f>
        <v>0.67436083240977274</v>
      </c>
      <c r="AA1086" s="109">
        <f>'Z Score'!S1195</f>
        <v>5.3025001836906664</v>
      </c>
    </row>
    <row r="1087" spans="1:27" ht="15" customHeight="1" x14ac:dyDescent="0.3">
      <c r="A1087" s="22"/>
      <c r="B1087" s="23"/>
      <c r="C1087" s="2"/>
      <c r="D1087" s="23">
        <v>2020</v>
      </c>
      <c r="E1087" s="25">
        <f>'Current Ratio'!G1196</f>
        <v>3.541028353177055</v>
      </c>
      <c r="F1087" s="25">
        <f>'Cash Ratio'!G1196</f>
        <v>0.11640246780374068</v>
      </c>
      <c r="G1087" s="25">
        <f>DAR!G1196</f>
        <v>0.57799497981194148</v>
      </c>
      <c r="H1087" s="25">
        <f>DER!G1196</f>
        <v>1.3696403192282538</v>
      </c>
      <c r="I1087" s="25">
        <f>NPM!G1196</f>
        <v>0.34145290444221937</v>
      </c>
      <c r="J1087" s="25">
        <f>ROA!G1196</f>
        <v>1.9799265255102325E-2</v>
      </c>
      <c r="K1087" s="25">
        <f>ROE!G1196</f>
        <v>4.6917141033485085E-2</v>
      </c>
      <c r="L1087" s="25">
        <f>KM!E1196</f>
        <v>0.58499999999999996</v>
      </c>
      <c r="M1087" s="24">
        <f>KI!E1196</f>
        <v>3</v>
      </c>
      <c r="N1087" s="108">
        <f>IO!E1196</f>
        <v>0</v>
      </c>
      <c r="O1087" s="24">
        <f>'BoC Size'!E1196</f>
        <v>6</v>
      </c>
      <c r="P1087" s="24">
        <f>'TMT E DK'!E1196</f>
        <v>24</v>
      </c>
      <c r="Q1087" s="24">
        <f>Data!R1196</f>
        <v>6</v>
      </c>
      <c r="R1087" s="24">
        <f>Data!S1196</f>
        <v>6</v>
      </c>
      <c r="S1087" s="24">
        <f>'TMT E DK'!E1196</f>
        <v>24</v>
      </c>
      <c r="T1087" s="24">
        <f>'TMT E DD'!E1196</f>
        <v>12</v>
      </c>
      <c r="U1087" s="24">
        <f>TA!E1196</f>
        <v>12366469000000</v>
      </c>
      <c r="V1087" s="109">
        <f>PR!F1196</f>
        <v>-0.16594280609764325</v>
      </c>
      <c r="W1087" s="109">
        <f>'Z Score'!I1196</f>
        <v>2.4760641893817872</v>
      </c>
      <c r="X1087" s="109">
        <f>'Z Score'!L1196</f>
        <v>1.0533760865773405</v>
      </c>
      <c r="Y1087" s="109">
        <f>'Z Score'!O1196</f>
        <v>0.16660794605153662</v>
      </c>
      <c r="Z1087" s="109">
        <f>'Z Score'!R1196</f>
        <v>0.76662462783779584</v>
      </c>
      <c r="AA1087" s="109">
        <f>'Z Score'!S1196</f>
        <v>4.4626728498484605</v>
      </c>
    </row>
    <row r="1088" spans="1:27" ht="15" customHeight="1" x14ac:dyDescent="0.3">
      <c r="A1088" s="22"/>
      <c r="B1088" s="23"/>
      <c r="C1088" s="2"/>
      <c r="D1088" s="23">
        <v>2021</v>
      </c>
      <c r="E1088" s="25">
        <f>'Current Ratio'!G1197</f>
        <v>3.1702351519110525</v>
      </c>
      <c r="F1088" s="25">
        <f>'Cash Ratio'!G1197</f>
        <v>0.16458135053166972</v>
      </c>
      <c r="G1088" s="25">
        <f>DAR!G1197</f>
        <v>0.58402560594023911</v>
      </c>
      <c r="H1088" s="25">
        <f>DER!G1197</f>
        <v>1.4039941262738764</v>
      </c>
      <c r="I1088" s="25">
        <f>NPM!G1197</f>
        <v>0.27499590975003529</v>
      </c>
      <c r="J1088" s="25">
        <f>ROA!G1197</f>
        <v>1.9114489793835947E-2</v>
      </c>
      <c r="K1088" s="25">
        <f>ROE!G1197</f>
        <v>4.5951121191103575E-2</v>
      </c>
      <c r="L1088" s="25">
        <f>KM!E1197</f>
        <v>0.58499999999999996</v>
      </c>
      <c r="M1088" s="24">
        <f>KI!E1197</f>
        <v>3</v>
      </c>
      <c r="N1088" s="108">
        <f>IO!E1197</f>
        <v>0</v>
      </c>
      <c r="O1088" s="24">
        <f>'BoC Size'!E1197</f>
        <v>6</v>
      </c>
      <c r="P1088" s="24">
        <f>'TMT E DK'!E1197</f>
        <v>24</v>
      </c>
      <c r="Q1088" s="24">
        <f>Data!R1197</f>
        <v>6</v>
      </c>
      <c r="R1088" s="24">
        <f>Data!S1197</f>
        <v>6</v>
      </c>
      <c r="S1088" s="24">
        <f>'TMT E DK'!E1197</f>
        <v>24</v>
      </c>
      <c r="T1088" s="24">
        <f>'TMT E DD'!E1197</f>
        <v>12</v>
      </c>
      <c r="U1088" s="24">
        <f>TA!E1197</f>
        <v>12838271000000</v>
      </c>
      <c r="V1088" s="109">
        <f>PR!F1197</f>
        <v>0.24445454722943519</v>
      </c>
      <c r="W1088" s="109">
        <f>'Z Score'!I1197</f>
        <v>2.4852749221448898</v>
      </c>
      <c r="X1088" s="109">
        <f>'Z Score'!L1197</f>
        <v>1.0508219821812452</v>
      </c>
      <c r="Y1088" s="109">
        <f>'Z Score'!O1197</f>
        <v>0.15065610003091537</v>
      </c>
      <c r="Z1088" s="109">
        <f>'Z Score'!R1197</f>
        <v>0.74786637661130562</v>
      </c>
      <c r="AA1088" s="109">
        <f>'Z Score'!S1197</f>
        <v>4.4346193809683561</v>
      </c>
    </row>
    <row r="1089" spans="1:27" ht="15" customHeight="1" x14ac:dyDescent="0.3">
      <c r="A1089" s="22"/>
      <c r="B1089" s="23"/>
      <c r="C1089" s="2"/>
      <c r="D1089" s="23">
        <v>2022</v>
      </c>
      <c r="E1089" s="25">
        <f>'Current Ratio'!G1198</f>
        <v>3.4245119215964186</v>
      </c>
      <c r="F1089" s="25">
        <f>'Cash Ratio'!G1198</f>
        <v>0.15808436822080993</v>
      </c>
      <c r="G1089" s="25">
        <f>DAR!G1198</f>
        <v>0.58051466432510568</v>
      </c>
      <c r="H1089" s="25">
        <f>DER!G1198</f>
        <v>1.3838735587529831</v>
      </c>
      <c r="I1089" s="25">
        <f>NPM!G1198</f>
        <v>0.37693100678371488</v>
      </c>
      <c r="J1089" s="25">
        <f>ROA!G1198</f>
        <v>2.9752346988197124E-2</v>
      </c>
      <c r="K1089" s="25">
        <f>ROE!G1198</f>
        <v>7.0925833296007074E-2</v>
      </c>
      <c r="L1089" s="25">
        <f>KM!E1198</f>
        <v>0.58499999999999996</v>
      </c>
      <c r="M1089" s="24">
        <f>KI!E1198</f>
        <v>3</v>
      </c>
      <c r="N1089" s="108">
        <f>IO!E1198</f>
        <v>0</v>
      </c>
      <c r="O1089" s="24">
        <f>'BoC Size'!E1198</f>
        <v>5</v>
      </c>
      <c r="P1089" s="24">
        <f>'TMT E DK'!E1198</f>
        <v>19</v>
      </c>
      <c r="Q1089" s="24">
        <f>Data!R1198</f>
        <v>5</v>
      </c>
      <c r="R1089" s="24">
        <f>Data!S1198</f>
        <v>5</v>
      </c>
      <c r="S1089" s="24">
        <f>'TMT E DK'!E1198</f>
        <v>19</v>
      </c>
      <c r="T1089" s="24">
        <f>'TMT E DD'!E1198</f>
        <v>11</v>
      </c>
      <c r="U1089" s="24">
        <f>TA!E1198</f>
        <v>13358610000000</v>
      </c>
      <c r="V1089" s="109">
        <f>PR!F1198</f>
        <v>0.18161942521342139</v>
      </c>
      <c r="W1089" s="109">
        <f>'Z Score'!I1198</f>
        <v>2.557006395126439</v>
      </c>
      <c r="X1089" s="109">
        <f>'Z Score'!L1198</f>
        <v>1.075990031897031</v>
      </c>
      <c r="Y1089" s="109">
        <f>'Z Score'!O1198</f>
        <v>0.25079476382647597</v>
      </c>
      <c r="Z1089" s="109">
        <f>'Z Score'!R1198</f>
        <v>0.75873983815845258</v>
      </c>
      <c r="AA1089" s="109">
        <f>'Z Score'!S1198</f>
        <v>4.6425310290083983</v>
      </c>
    </row>
    <row r="1090" spans="1:27" ht="15" customHeight="1" x14ac:dyDescent="0.3">
      <c r="A1090" s="22"/>
      <c r="B1090" s="23"/>
      <c r="C1090" s="2"/>
      <c r="D1090" s="23">
        <v>2023</v>
      </c>
      <c r="E1090" s="25">
        <f>'Current Ratio'!G1199</f>
        <v>2.6010748429203727</v>
      </c>
      <c r="F1090" s="25">
        <f>'Cash Ratio'!G1199</f>
        <v>8.9280738765274842E-2</v>
      </c>
      <c r="G1090" s="25">
        <f>DAR!G1199</f>
        <v>0.58434061331777198</v>
      </c>
      <c r="H1090" s="25">
        <f>DER!G1199</f>
        <v>1.4058162040436823</v>
      </c>
      <c r="I1090" s="25">
        <f>NPM!G1199</f>
        <v>1.0746069942807881</v>
      </c>
      <c r="J1090" s="25">
        <f>ROA!G1199</f>
        <v>7.7265174778175336E-2</v>
      </c>
      <c r="K1090" s="25">
        <f>ROE!G1199</f>
        <v>0.18588582110474805</v>
      </c>
      <c r="L1090" s="25">
        <f>KM!E1199</f>
        <v>0.58499999999999996</v>
      </c>
      <c r="M1090" s="24">
        <f>KI!E1199</f>
        <v>3</v>
      </c>
      <c r="N1090" s="108">
        <f>IO!E1199</f>
        <v>0</v>
      </c>
      <c r="O1090" s="24">
        <f>'BoC Size'!E1199</f>
        <v>5</v>
      </c>
      <c r="P1090" s="24">
        <f>'TMT E DK'!E1199</f>
        <v>16</v>
      </c>
      <c r="Q1090" s="24">
        <f>Data!R1199</f>
        <v>5</v>
      </c>
      <c r="R1090" s="24">
        <f>Data!S1199</f>
        <v>5</v>
      </c>
      <c r="S1090" s="24">
        <f>'TMT E DK'!E1199</f>
        <v>16</v>
      </c>
      <c r="T1090" s="24">
        <f>'TMT E DD'!E1199</f>
        <v>9</v>
      </c>
      <c r="U1090" s="24">
        <f>TA!E1199</f>
        <v>16003743000000</v>
      </c>
      <c r="V1090" s="109">
        <f>PR!F1199</f>
        <v>9.1277146003032897E-2</v>
      </c>
      <c r="W1090" s="109">
        <f>'Z Score'!I1199</f>
        <v>2.0115240690880878</v>
      </c>
      <c r="X1090" s="109">
        <f>'Z Score'!L1199</f>
        <v>1.1032686115991739</v>
      </c>
      <c r="Y1090" s="109">
        <f>'Z Score'!O1199</f>
        <v>0.65604066748634982</v>
      </c>
      <c r="Z1090" s="109">
        <f>'Z Score'!R1199</f>
        <v>0.74689706732628736</v>
      </c>
      <c r="AA1090" s="109">
        <f>'Z Score'!S1199</f>
        <v>4.5177304154998987</v>
      </c>
    </row>
    <row r="1091" spans="1:27" ht="15" customHeight="1" x14ac:dyDescent="0.3">
      <c r="A1091" s="22"/>
      <c r="B1091" s="23"/>
      <c r="C1091" s="2"/>
      <c r="D1091" s="23">
        <v>2024</v>
      </c>
      <c r="E1091" s="25">
        <f>'Current Ratio'!G1200</f>
        <v>3.1727498224869901</v>
      </c>
      <c r="F1091" s="25">
        <f>'Cash Ratio'!G1200</f>
        <v>5.8953153516264338E-2</v>
      </c>
      <c r="G1091" s="25">
        <f>DAR!G1200</f>
        <v>0.63403668989602524</v>
      </c>
      <c r="H1091" s="25">
        <f>DER!G1200</f>
        <v>1.7325146601128427</v>
      </c>
      <c r="I1091" s="25">
        <f>NPM!G1200</f>
        <v>0.46510500540508659</v>
      </c>
      <c r="J1091" s="25">
        <f>ROA!G1200</f>
        <v>4.1028642873308201E-2</v>
      </c>
      <c r="K1091" s="25">
        <f>ROE!G1200</f>
        <v>0.11211137524895839</v>
      </c>
      <c r="L1091" s="25">
        <f>KM!E1200</f>
        <v>0.58499999999999996</v>
      </c>
      <c r="M1091" s="24">
        <f>KI!E1200</f>
        <v>3</v>
      </c>
      <c r="N1091" s="108">
        <f>IO!E1200</f>
        <v>0</v>
      </c>
      <c r="O1091" s="24">
        <f>'BoC Size'!E1200</f>
        <v>5</v>
      </c>
      <c r="P1091" s="24">
        <f>'TMT E DK'!E1200</f>
        <v>16</v>
      </c>
      <c r="Q1091" s="24">
        <f>Data!R1200</f>
        <v>5</v>
      </c>
      <c r="R1091" s="24">
        <f>Data!S1200</f>
        <v>5</v>
      </c>
      <c r="S1091" s="24">
        <f>'TMT E DK'!E1200</f>
        <v>16</v>
      </c>
      <c r="T1091" s="24">
        <f>'TMT E DD'!E1200</f>
        <v>9</v>
      </c>
      <c r="U1091" s="24">
        <f>TA!E1200</f>
        <v>15761233000000</v>
      </c>
      <c r="V1091" s="109">
        <f>PR!F1200</f>
        <v>0.20828846867469147</v>
      </c>
      <c r="W1091" s="109">
        <f>'Z Score'!I1200</f>
        <v>2.4007367951479428</v>
      </c>
      <c r="X1091" s="109">
        <f>'Z Score'!L1200</f>
        <v>1.1633518913145944</v>
      </c>
      <c r="Y1091" s="109">
        <f>'Z Score'!O1200</f>
        <v>0.34243950330535688</v>
      </c>
      <c r="Z1091" s="109">
        <f>'Z Score'!R1200</f>
        <v>0.60605547772485291</v>
      </c>
      <c r="AA1091" s="109">
        <f>'Z Score'!S1200</f>
        <v>4.5125836674927475</v>
      </c>
    </row>
    <row r="1092" spans="1:27" ht="15" customHeight="1" x14ac:dyDescent="0.3">
      <c r="A1092" s="22"/>
      <c r="B1092" s="23">
        <v>110</v>
      </c>
      <c r="C1092" s="2" t="s">
        <v>66</v>
      </c>
      <c r="D1092" s="23">
        <v>2015</v>
      </c>
      <c r="E1092" s="25">
        <f>'Current Ratio'!G1202</f>
        <v>0.44499266214663752</v>
      </c>
      <c r="F1092" s="25">
        <f>'Cash Ratio'!G1202</f>
        <v>0</v>
      </c>
      <c r="G1092" s="25">
        <f>DAR!G1202</f>
        <v>0</v>
      </c>
      <c r="H1092" s="25">
        <f>DER!G1202</f>
        <v>0</v>
      </c>
      <c r="I1092" s="25">
        <f>NPM!G1202</f>
        <v>0</v>
      </c>
      <c r="J1092" s="25">
        <f>ROA!G1202</f>
        <v>0</v>
      </c>
      <c r="K1092" s="25">
        <f>ROE!G1202</f>
        <v>0</v>
      </c>
      <c r="L1092" s="25">
        <f>KM!E1202</f>
        <v>0</v>
      </c>
      <c r="M1092" s="24">
        <f>KI!E1202</f>
        <v>0</v>
      </c>
      <c r="N1092" s="108">
        <f>IO!E1202</f>
        <v>0</v>
      </c>
      <c r="O1092" s="24">
        <f>'BoC Size'!E1202</f>
        <v>0</v>
      </c>
      <c r="P1092" s="24">
        <f>'TMT E DK'!E1202</f>
        <v>0</v>
      </c>
      <c r="Q1092" s="24">
        <f>Data!R1202</f>
        <v>0</v>
      </c>
      <c r="R1092" s="24">
        <f>Data!S1202</f>
        <v>0</v>
      </c>
      <c r="S1092" s="24">
        <f>'TMT E DK'!E1202</f>
        <v>0</v>
      </c>
      <c r="T1092" s="24">
        <f>'TMT E DD'!E1202</f>
        <v>0</v>
      </c>
      <c r="U1092" s="24">
        <f>TA!E1202</f>
        <v>898627000000</v>
      </c>
      <c r="V1092" s="109">
        <f>PR!F1202</f>
        <v>0</v>
      </c>
      <c r="W1092" s="109">
        <f>'Z Score'!I1202</f>
        <v>-1.2202430596899492</v>
      </c>
      <c r="X1092" s="109">
        <f>'Z Score'!L1202</f>
        <v>0.45661483574386258</v>
      </c>
      <c r="Y1092" s="109">
        <f>'Z Score'!O1202</f>
        <v>0.34037205648172153</v>
      </c>
      <c r="Z1092" s="109">
        <f>'Z Score'!R1202</f>
        <v>0.58415873307273858</v>
      </c>
      <c r="AA1092" s="109">
        <f>'Z Score'!S1202</f>
        <v>0.16090256560837357</v>
      </c>
    </row>
    <row r="1093" spans="1:27" ht="15" customHeight="1" x14ac:dyDescent="0.3">
      <c r="A1093" s="22"/>
      <c r="B1093" s="23"/>
      <c r="C1093" s="2"/>
      <c r="D1093" s="23">
        <v>2016</v>
      </c>
      <c r="E1093" s="25">
        <f>'Current Ratio'!G1203</f>
        <v>0.43974677189948963</v>
      </c>
      <c r="F1093" s="25">
        <f>'Cash Ratio'!G1203</f>
        <v>0</v>
      </c>
      <c r="G1093" s="25">
        <f>DAR!G1203</f>
        <v>0</v>
      </c>
      <c r="H1093" s="25">
        <f>DER!G1203</f>
        <v>0</v>
      </c>
      <c r="I1093" s="25">
        <f>NPM!G1203</f>
        <v>0</v>
      </c>
      <c r="J1093" s="25">
        <f>ROA!G1203</f>
        <v>0</v>
      </c>
      <c r="K1093" s="25">
        <f>ROE!G1203</f>
        <v>0</v>
      </c>
      <c r="L1093" s="25">
        <f>KM!E1203</f>
        <v>0.75</v>
      </c>
      <c r="M1093" s="24">
        <f>KI!E1203</f>
        <v>2</v>
      </c>
      <c r="N1093" s="108">
        <f>IO!E1203</f>
        <v>0</v>
      </c>
      <c r="O1093" s="24">
        <f>'BoC Size'!E1203</f>
        <v>4</v>
      </c>
      <c r="P1093" s="24">
        <f>'TMT E DK'!E1203</f>
        <v>8</v>
      </c>
      <c r="Q1093" s="24">
        <f>Data!R1203</f>
        <v>4</v>
      </c>
      <c r="R1093" s="24">
        <f>Data!S1203</f>
        <v>4</v>
      </c>
      <c r="S1093" s="24">
        <f>'TMT E DK'!E1203</f>
        <v>8</v>
      </c>
      <c r="T1093" s="24">
        <f>'TMT E DD'!E1203</f>
        <v>10</v>
      </c>
      <c r="U1093" s="24">
        <f>TA!E1203</f>
        <v>1133794000000</v>
      </c>
      <c r="V1093" s="109">
        <f>PR!F1203</f>
        <v>0</v>
      </c>
      <c r="W1093" s="109">
        <f>'Z Score'!I1203</f>
        <v>-1.2785587505314016</v>
      </c>
      <c r="X1093" s="109">
        <f>'Z Score'!L1203</f>
        <v>0.52386562285565108</v>
      </c>
      <c r="Y1093" s="109">
        <f>'Z Score'!O1203</f>
        <v>0.36430321557531614</v>
      </c>
      <c r="Z1093" s="109">
        <f>'Z Score'!R1203</f>
        <v>0.51551339153624931</v>
      </c>
      <c r="AA1093" s="109">
        <f>'Z Score'!S1203</f>
        <v>0.12512347943581498</v>
      </c>
    </row>
    <row r="1094" spans="1:27" ht="15" customHeight="1" x14ac:dyDescent="0.3">
      <c r="A1094" s="22"/>
      <c r="B1094" s="23"/>
      <c r="C1094" s="2"/>
      <c r="D1094" s="23">
        <v>2017</v>
      </c>
      <c r="E1094" s="25">
        <f>'Current Ratio'!G1204</f>
        <v>0.3812488121972315</v>
      </c>
      <c r="F1094" s="25">
        <f>'Cash Ratio'!G1204</f>
        <v>1.4193515857409368E-2</v>
      </c>
      <c r="G1094" s="25">
        <f>DAR!G1204</f>
        <v>0.68870130551040742</v>
      </c>
      <c r="H1094" s="25">
        <f>DER!G1204</f>
        <v>2.2123488395594033</v>
      </c>
      <c r="I1094" s="25">
        <f>NPM!G1204</f>
        <v>0.13887382388419783</v>
      </c>
      <c r="J1094" s="25">
        <f>ROA!G1204</f>
        <v>5.0300774218354043E-2</v>
      </c>
      <c r="K1094" s="25">
        <f>ROE!G1204</f>
        <v>0.16158363368926915</v>
      </c>
      <c r="L1094" s="25">
        <f>KM!E1204</f>
        <v>0.75</v>
      </c>
      <c r="M1094" s="24">
        <f>KI!E1204</f>
        <v>2</v>
      </c>
      <c r="N1094" s="108">
        <f>IO!E1204</f>
        <v>0</v>
      </c>
      <c r="O1094" s="24">
        <f>'BoC Size'!E1204</f>
        <v>4</v>
      </c>
      <c r="P1094" s="24">
        <f>'TMT E DK'!E1204</f>
        <v>8</v>
      </c>
      <c r="Q1094" s="24">
        <f>Data!R1204</f>
        <v>4</v>
      </c>
      <c r="R1094" s="24">
        <f>Data!S1204</f>
        <v>4</v>
      </c>
      <c r="S1094" s="24">
        <f>'TMT E DK'!E1204</f>
        <v>8</v>
      </c>
      <c r="T1094" s="24">
        <f>'TMT E DD'!E1204</f>
        <v>10</v>
      </c>
      <c r="U1094" s="24">
        <f>TA!E1204</f>
        <v>1430475000000</v>
      </c>
      <c r="V1094" s="109">
        <f>PR!F1204</f>
        <v>0</v>
      </c>
      <c r="W1094" s="109">
        <f>'Z Score'!I1204</f>
        <v>-1.4631921844142679</v>
      </c>
      <c r="X1094" s="109">
        <f>'Z Score'!L1204</f>
        <v>0.55919605725370936</v>
      </c>
      <c r="Y1094" s="109">
        <f>'Z Score'!O1204</f>
        <v>0.32925052167986157</v>
      </c>
      <c r="Z1094" s="109">
        <f>'Z Score'!R1204</f>
        <v>0.47460869697615643</v>
      </c>
      <c r="AA1094" s="109">
        <f>'Z Score'!S1204</f>
        <v>-0.10013690850454054</v>
      </c>
    </row>
    <row r="1095" spans="1:27" ht="15" customHeight="1" x14ac:dyDescent="0.3">
      <c r="A1095" s="22"/>
      <c r="B1095" s="23"/>
      <c r="C1095" s="2"/>
      <c r="D1095" s="23">
        <v>2018</v>
      </c>
      <c r="E1095" s="25">
        <f>'Current Ratio'!G1205</f>
        <v>0.47855587999316052</v>
      </c>
      <c r="F1095" s="25">
        <f>'Cash Ratio'!G1205</f>
        <v>2.1075839482302804E-2</v>
      </c>
      <c r="G1095" s="25">
        <f>DAR!G1205</f>
        <v>0.70245107202537738</v>
      </c>
      <c r="H1095" s="25">
        <f>DER!G1205</f>
        <v>2.3607963036645425</v>
      </c>
      <c r="I1095" s="25">
        <f>NPM!G1205</f>
        <v>0.13046939747714353</v>
      </c>
      <c r="J1095" s="25">
        <f>ROA!G1205</f>
        <v>4.5300931826549977E-2</v>
      </c>
      <c r="K1095" s="25">
        <f>ROE!G1205</f>
        <v>0.15224729047721489</v>
      </c>
      <c r="L1095" s="25">
        <f>KM!E1205</f>
        <v>0.75</v>
      </c>
      <c r="M1095" s="24">
        <f>KI!E1205</f>
        <v>2</v>
      </c>
      <c r="N1095" s="108">
        <f>IO!E1205</f>
        <v>0</v>
      </c>
      <c r="O1095" s="24">
        <f>'BoC Size'!E1205</f>
        <v>4</v>
      </c>
      <c r="P1095" s="24">
        <f>'TMT E DK'!E1205</f>
        <v>8</v>
      </c>
      <c r="Q1095" s="24">
        <f>Data!R1205</f>
        <v>4</v>
      </c>
      <c r="R1095" s="24">
        <f>Data!S1205</f>
        <v>4</v>
      </c>
      <c r="S1095" s="24">
        <f>'TMT E DK'!E1205</f>
        <v>8</v>
      </c>
      <c r="T1095" s="24">
        <f>'TMT E DD'!E1205</f>
        <v>10</v>
      </c>
      <c r="U1095" s="24">
        <f>TA!E1205</f>
        <v>1765350000000</v>
      </c>
      <c r="V1095" s="109">
        <f>PR!F1205</f>
        <v>0.18302726176115802</v>
      </c>
      <c r="W1095" s="109">
        <f>'Z Score'!I1205</f>
        <v>-1.1785555498909563</v>
      </c>
      <c r="X1095" s="109">
        <f>'Z Score'!L1205</f>
        <v>0.61424135723794149</v>
      </c>
      <c r="Y1095" s="109">
        <f>'Z Score'!O1205</f>
        <v>0.37994160931260085</v>
      </c>
      <c r="Z1095" s="109">
        <f>'Z Score'!R1205</f>
        <v>0.44476518298937484</v>
      </c>
      <c r="AA1095" s="109">
        <f>'Z Score'!S1205</f>
        <v>0.26039259964896083</v>
      </c>
    </row>
    <row r="1096" spans="1:27" ht="15" customHeight="1" x14ac:dyDescent="0.3">
      <c r="A1096" s="22"/>
      <c r="B1096" s="23"/>
      <c r="C1096" s="2"/>
      <c r="D1096" s="23">
        <v>2019</v>
      </c>
      <c r="E1096" s="25">
        <f>'Current Ratio'!G1206</f>
        <v>0.56805872040048366</v>
      </c>
      <c r="F1096" s="25">
        <f>'Cash Ratio'!G1206</f>
        <v>1.3286458629437335E-2</v>
      </c>
      <c r="G1096" s="25">
        <f>DAR!G1206</f>
        <v>0.67762946511341215</v>
      </c>
      <c r="H1096" s="25">
        <f>DER!G1206</f>
        <v>2.1020204757603134</v>
      </c>
      <c r="I1096" s="25">
        <f>NPM!G1206</f>
        <v>0.19091188935735134</v>
      </c>
      <c r="J1096" s="25">
        <f>ROA!G1206</f>
        <v>6.7426015428356759E-2</v>
      </c>
      <c r="K1096" s="25">
        <f>ROE!G1206</f>
        <v>0.20915688045769346</v>
      </c>
      <c r="L1096" s="25">
        <f>KM!E1206</f>
        <v>0.75</v>
      </c>
      <c r="M1096" s="24">
        <f>KI!E1206</f>
        <v>2</v>
      </c>
      <c r="N1096" s="108">
        <f>IO!E1206</f>
        <v>0</v>
      </c>
      <c r="O1096" s="24">
        <f>'BoC Size'!E1206</f>
        <v>4</v>
      </c>
      <c r="P1096" s="24">
        <f>'TMT E DK'!E1206</f>
        <v>8</v>
      </c>
      <c r="Q1096" s="24">
        <f>Data!R1206</f>
        <v>4</v>
      </c>
      <c r="R1096" s="24">
        <f>Data!S1206</f>
        <v>5</v>
      </c>
      <c r="S1096" s="24">
        <f>'TMT E DK'!E1206</f>
        <v>8</v>
      </c>
      <c r="T1096" s="24">
        <f>'TMT E DD'!E1206</f>
        <v>13</v>
      </c>
      <c r="U1096" s="24">
        <f>TA!E1206</f>
        <v>2060362000000</v>
      </c>
      <c r="V1096" s="109">
        <f>PR!F1206</f>
        <v>0.18715862149974877</v>
      </c>
      <c r="W1096" s="109">
        <f>'Z Score'!I1206</f>
        <v>-0.8950375128254161</v>
      </c>
      <c r="X1096" s="109">
        <f>'Z Score'!L1206</f>
        <v>0.72165459273661614</v>
      </c>
      <c r="Y1096" s="109">
        <f>'Z Score'!O1206</f>
        <v>0.47081637110371866</v>
      </c>
      <c r="Z1096" s="109">
        <f>'Z Score'!R1206</f>
        <v>0.49951939674622287</v>
      </c>
      <c r="AA1096" s="109">
        <f>'Z Score'!S1206</f>
        <v>0.79695284776114161</v>
      </c>
    </row>
    <row r="1097" spans="1:27" ht="15" customHeight="1" x14ac:dyDescent="0.3">
      <c r="A1097" s="22"/>
      <c r="B1097" s="23"/>
      <c r="C1097" s="2"/>
      <c r="D1097" s="23">
        <v>2020</v>
      </c>
      <c r="E1097" s="25">
        <f>'Current Ratio'!G1207</f>
        <v>0.76907198987544456</v>
      </c>
      <c r="F1097" s="25">
        <f>'Cash Ratio'!G1207</f>
        <v>3.4977023647549017E-2</v>
      </c>
      <c r="G1097" s="25">
        <f>DAR!G1207</f>
        <v>0.62297423072945557</v>
      </c>
      <c r="H1097" s="25">
        <f>DER!G1207</f>
        <v>1.652338597265548</v>
      </c>
      <c r="I1097" s="25">
        <f>NPM!G1207</f>
        <v>0.2050029145501481</v>
      </c>
      <c r="J1097" s="25">
        <f>ROA!G1207</f>
        <v>6.4804873692028545E-2</v>
      </c>
      <c r="K1097" s="25">
        <f>ROE!G1207</f>
        <v>0.17188446778428601</v>
      </c>
      <c r="L1097" s="25">
        <f>KM!E1207</f>
        <v>0.75</v>
      </c>
      <c r="M1097" s="24">
        <f>KI!E1207</f>
        <v>2</v>
      </c>
      <c r="N1097" s="108">
        <f>IO!E1207</f>
        <v>0</v>
      </c>
      <c r="O1097" s="24">
        <f>'BoC Size'!E1207</f>
        <v>4</v>
      </c>
      <c r="P1097" s="24">
        <f>'TMT E DK'!E1207</f>
        <v>8</v>
      </c>
      <c r="Q1097" s="24">
        <f>Data!R1207</f>
        <v>4</v>
      </c>
      <c r="R1097" s="24">
        <f>Data!S1207</f>
        <v>5</v>
      </c>
      <c r="S1097" s="24">
        <f>'TMT E DK'!E1207</f>
        <v>8</v>
      </c>
      <c r="T1097" s="24">
        <f>'TMT E DD'!E1207</f>
        <v>13</v>
      </c>
      <c r="U1097" s="24">
        <f>TA!E1207</f>
        <v>2127340000000</v>
      </c>
      <c r="V1097" s="109">
        <f>PR!F1207</f>
        <v>-7.584144591823834E-2</v>
      </c>
      <c r="W1097" s="109">
        <f>'Z Score'!I1207</f>
        <v>-0.35223450882322521</v>
      </c>
      <c r="X1097" s="109">
        <f>'Z Score'!L1207</f>
        <v>0.88828234320794974</v>
      </c>
      <c r="Y1097" s="109">
        <f>'Z Score'!O1207</f>
        <v>0.46883383004127216</v>
      </c>
      <c r="Z1097" s="109">
        <f>'Z Score'!R1207</f>
        <v>0.63546297456080914</v>
      </c>
      <c r="AA1097" s="109">
        <f>'Z Score'!S1207</f>
        <v>1.6403446389868059</v>
      </c>
    </row>
    <row r="1098" spans="1:27" ht="15" customHeight="1" x14ac:dyDescent="0.3">
      <c r="A1098" s="22"/>
      <c r="B1098" s="23"/>
      <c r="C1098" s="2"/>
      <c r="D1098" s="23">
        <v>2021</v>
      </c>
      <c r="E1098" s="25">
        <f>'Current Ratio'!G1208</f>
        <v>1.2103605588793436</v>
      </c>
      <c r="F1098" s="25">
        <f>'Cash Ratio'!G1208</f>
        <v>2.421501922833115E-2</v>
      </c>
      <c r="G1098" s="25">
        <f>DAR!G1208</f>
        <v>0.59716448519001752</v>
      </c>
      <c r="H1098" s="25">
        <f>DER!G1208</f>
        <v>1.4824043715846995</v>
      </c>
      <c r="I1098" s="25">
        <f>NPM!G1208</f>
        <v>0.20048243420344541</v>
      </c>
      <c r="J1098" s="25">
        <f>ROA!G1208</f>
        <v>5.4940593509702138E-2</v>
      </c>
      <c r="K1098" s="25">
        <f>ROE!G1208</f>
        <v>0.1363848286629519</v>
      </c>
      <c r="L1098" s="25">
        <f>KM!E1208</f>
        <v>0.75</v>
      </c>
      <c r="M1098" s="24">
        <f>KI!E1208</f>
        <v>2</v>
      </c>
      <c r="N1098" s="108">
        <f>IO!E1208</f>
        <v>0</v>
      </c>
      <c r="O1098" s="24">
        <f>'BoC Size'!E1208</f>
        <v>4</v>
      </c>
      <c r="P1098" s="24">
        <f>'TMT E DK'!E1208</f>
        <v>8</v>
      </c>
      <c r="Q1098" s="24">
        <f>Data!R1208</f>
        <v>4</v>
      </c>
      <c r="R1098" s="24">
        <f>Data!S1208</f>
        <v>5</v>
      </c>
      <c r="S1098" s="24">
        <f>'TMT E DK'!E1208</f>
        <v>8</v>
      </c>
      <c r="T1098" s="24">
        <f>'TMT E DD'!E1208</f>
        <v>13</v>
      </c>
      <c r="U1098" s="24">
        <f>TA!E1208</f>
        <v>2305472000000</v>
      </c>
      <c r="V1098" s="109">
        <f>PR!F1208</f>
        <v>-6.0509629911611809E-2</v>
      </c>
      <c r="W1098" s="109">
        <f>'Z Score'!I1208</f>
        <v>0.29743865030674849</v>
      </c>
      <c r="X1098" s="109">
        <f>'Z Score'!L1208</f>
        <v>1.0092774321266966</v>
      </c>
      <c r="Y1098" s="109">
        <f>'Z Score'!O1208</f>
        <v>0.45166352052855119</v>
      </c>
      <c r="Z1098" s="109">
        <f>'Z Score'!R1208</f>
        <v>0.70830875847832497</v>
      </c>
      <c r="AA1098" s="109">
        <f>'Z Score'!S1208</f>
        <v>2.4666883614403217</v>
      </c>
    </row>
    <row r="1099" spans="1:27" ht="15" customHeight="1" x14ac:dyDescent="0.3">
      <c r="A1099" s="22"/>
      <c r="B1099" s="23"/>
      <c r="C1099" s="2"/>
      <c r="D1099" s="23">
        <v>2022</v>
      </c>
      <c r="E1099" s="25">
        <f>'Current Ratio'!G1209</f>
        <v>0.5659404448614177</v>
      </c>
      <c r="F1099" s="25">
        <f>'Cash Ratio'!G1209</f>
        <v>2.9846394036154727E-2</v>
      </c>
      <c r="G1099" s="25">
        <f>DAR!G1209</f>
        <v>0.56246671877897647</v>
      </c>
      <c r="H1099" s="25">
        <f>DER!G1209</f>
        <v>1.2855392133828298</v>
      </c>
      <c r="I1099" s="25">
        <f>NPM!G1209</f>
        <v>0.20166008494150958</v>
      </c>
      <c r="J1099" s="25">
        <f>ROA!G1209</f>
        <v>5.5644762363343966E-2</v>
      </c>
      <c r="K1099" s="25">
        <f>ROE!G1209</f>
        <v>0.12717823410554016</v>
      </c>
      <c r="L1099" s="25">
        <f>KM!E1209</f>
        <v>0.75</v>
      </c>
      <c r="M1099" s="24">
        <f>KI!E1209</f>
        <v>3</v>
      </c>
      <c r="N1099" s="108">
        <f>IO!E1209</f>
        <v>0</v>
      </c>
      <c r="O1099" s="24">
        <f>'BoC Size'!E1209</f>
        <v>5</v>
      </c>
      <c r="P1099" s="24">
        <f>'TMT E DK'!E1209</f>
        <v>11</v>
      </c>
      <c r="Q1099" s="24">
        <f>Data!R1209</f>
        <v>5</v>
      </c>
      <c r="R1099" s="24">
        <f>Data!S1209</f>
        <v>4</v>
      </c>
      <c r="S1099" s="24">
        <f>'TMT E DK'!E1209</f>
        <v>11</v>
      </c>
      <c r="T1099" s="24">
        <f>'TMT E DD'!E1209</f>
        <v>10</v>
      </c>
      <c r="U1099" s="24">
        <f>TA!E1209</f>
        <v>2431927000000</v>
      </c>
      <c r="V1099" s="109">
        <f>PR!F1209</f>
        <v>6.2130814376792506E-2</v>
      </c>
      <c r="W1099" s="109">
        <f>'Z Score'!I1209</f>
        <v>-0.6464599307462765</v>
      </c>
      <c r="X1099" s="109">
        <f>'Z Score'!L1209</f>
        <v>1.1567663667536072</v>
      </c>
      <c r="Y1099" s="109">
        <f>'Z Score'!O1209</f>
        <v>0.48544338707535212</v>
      </c>
      <c r="Z1099" s="109">
        <f>'Z Score'!R1209</f>
        <v>0.81677788516227334</v>
      </c>
      <c r="AA1099" s="109">
        <f>'Z Score'!S1209</f>
        <v>1.8125277082449562</v>
      </c>
    </row>
    <row r="1100" spans="1:27" ht="15" customHeight="1" x14ac:dyDescent="0.3">
      <c r="A1100" s="22"/>
      <c r="B1100" s="23"/>
      <c r="C1100" s="2"/>
      <c r="D1100" s="23">
        <v>2023</v>
      </c>
      <c r="E1100" s="25">
        <f>'Current Ratio'!G1210</f>
        <v>0.83415419098711863</v>
      </c>
      <c r="F1100" s="25">
        <f>'Cash Ratio'!G1210</f>
        <v>4.7574467392277699E-2</v>
      </c>
      <c r="G1100" s="25">
        <f>DAR!G1210</f>
        <v>0.58600915409007903</v>
      </c>
      <c r="H1100" s="25">
        <f>DER!G1210</f>
        <v>1.4155123473855431</v>
      </c>
      <c r="I1100" s="25">
        <f>NPM!G1210</f>
        <v>0.22856425556410723</v>
      </c>
      <c r="J1100" s="25">
        <f>ROA!G1210</f>
        <v>5.9974361627481036E-2</v>
      </c>
      <c r="K1100" s="25">
        <f>ROE!G1210</f>
        <v>0.14486881103774615</v>
      </c>
      <c r="L1100" s="25">
        <f>KM!E1210</f>
        <v>0.75</v>
      </c>
      <c r="M1100" s="24">
        <f>KI!E1210</f>
        <v>2</v>
      </c>
      <c r="N1100" s="108">
        <f>IO!E1210</f>
        <v>0</v>
      </c>
      <c r="O1100" s="24">
        <f>'BoC Size'!E1210</f>
        <v>4</v>
      </c>
      <c r="P1100" s="24">
        <f>'TMT E DK'!E1210</f>
        <v>8</v>
      </c>
      <c r="Q1100" s="24">
        <f>Data!R1210</f>
        <v>4</v>
      </c>
      <c r="R1100" s="24">
        <f>Data!S1210</f>
        <v>4</v>
      </c>
      <c r="S1100" s="24">
        <f>'TMT E DK'!E1210</f>
        <v>8</v>
      </c>
      <c r="T1100" s="24">
        <f>'TMT E DD'!E1210</f>
        <v>10</v>
      </c>
      <c r="U1100" s="24">
        <f>TA!E1210</f>
        <v>3005651000000</v>
      </c>
      <c r="V1100" s="109">
        <f>PR!F1210</f>
        <v>0.175279040309962</v>
      </c>
      <c r="W1100" s="109">
        <f>'Z Score'!I1210</f>
        <v>-0.26678248406085736</v>
      </c>
      <c r="X1100" s="109">
        <f>'Z Score'!L1210</f>
        <v>1.1288187550716966</v>
      </c>
      <c r="Y1100" s="109">
        <f>'Z Score'!O1210</f>
        <v>0.47570201596925255</v>
      </c>
      <c r="Z1100" s="109">
        <f>'Z Score'!R1210</f>
        <v>0.74178088374810303</v>
      </c>
      <c r="AA1100" s="109">
        <f>'Z Score'!S1210</f>
        <v>2.0795191707281946</v>
      </c>
    </row>
    <row r="1101" spans="1:27" ht="15" customHeight="1" x14ac:dyDescent="0.3">
      <c r="A1101" s="22"/>
      <c r="B1101" s="23"/>
      <c r="C1101" s="2"/>
      <c r="D1101" s="23">
        <v>2024</v>
      </c>
      <c r="E1101" s="25">
        <f>'Current Ratio'!G1211</f>
        <v>0.64549577929044599</v>
      </c>
      <c r="F1101" s="25">
        <f>'Cash Ratio'!G1211</f>
        <v>5.3734723040189192E-3</v>
      </c>
      <c r="G1101" s="25">
        <f>DAR!G1211</f>
        <v>0.59342254791938409</v>
      </c>
      <c r="H1101" s="25">
        <f>DER!G1211</f>
        <v>1.4563790430183905</v>
      </c>
      <c r="I1101" s="25">
        <f>NPM!G1211</f>
        <v>0.23305333652844962</v>
      </c>
      <c r="J1101" s="25">
        <f>ROA!G1211</f>
        <v>6.4978672932539769E-2</v>
      </c>
      <c r="K1101" s="25">
        <f>ROE!G1211</f>
        <v>0.15947081524605827</v>
      </c>
      <c r="L1101" s="25">
        <f>KM!E1211</f>
        <v>0.75</v>
      </c>
      <c r="M1101" s="24">
        <f>KI!E1211</f>
        <v>2</v>
      </c>
      <c r="N1101" s="108">
        <f>IO!E1211</f>
        <v>0</v>
      </c>
      <c r="O1101" s="24">
        <f>'BoC Size'!E1211</f>
        <v>4</v>
      </c>
      <c r="P1101" s="24">
        <f>'TMT E DK'!E1211</f>
        <v>8</v>
      </c>
      <c r="Q1101" s="24">
        <f>Data!R1211</f>
        <v>4</v>
      </c>
      <c r="R1101" s="24">
        <f>Data!S1211</f>
        <v>5</v>
      </c>
      <c r="S1101" s="24">
        <f>'TMT E DK'!E1211</f>
        <v>8</v>
      </c>
      <c r="T1101" s="24">
        <f>'TMT E DD'!E1211</f>
        <v>13</v>
      </c>
      <c r="U1101" s="24">
        <f>TA!E1211</f>
        <v>3382556000000</v>
      </c>
      <c r="V1101" s="109">
        <f>PR!F1211</f>
        <v>0.19581676009387944</v>
      </c>
      <c r="W1101" s="109">
        <f>'Z Score'!I1211</f>
        <v>-0.60236772428896956</v>
      </c>
      <c r="X1101" s="109">
        <f>'Z Score'!L1211</f>
        <v>1.1357353196813296</v>
      </c>
      <c r="Y1101" s="109">
        <f>'Z Score'!O1211</f>
        <v>0.52690086431680661</v>
      </c>
      <c r="Z1101" s="109">
        <f>'Z Score'!R1211</f>
        <v>0.72096615577758028</v>
      </c>
      <c r="AA1101" s="109">
        <f>'Z Score'!S1211</f>
        <v>1.7812346154867469</v>
      </c>
    </row>
    <row r="1102" spans="1:27" ht="15" customHeight="1" x14ac:dyDescent="0.3">
      <c r="A1102" s="22"/>
      <c r="B1102" s="23">
        <v>111</v>
      </c>
      <c r="C1102" s="2" t="s">
        <v>74</v>
      </c>
      <c r="D1102" s="23">
        <v>2015</v>
      </c>
      <c r="E1102" s="25">
        <f>'Current Ratio'!G1213</f>
        <v>3.737943556093521</v>
      </c>
      <c r="F1102" s="25">
        <f>'Cash Ratio'!G1213</f>
        <v>0.19956042555902401</v>
      </c>
      <c r="G1102" s="25">
        <f>DAR!G1213</f>
        <v>0.65726757274440828</v>
      </c>
      <c r="H1102" s="25">
        <f>DER!G1213</f>
        <v>2.2240039249102694</v>
      </c>
      <c r="I1102" s="25">
        <f>NPM!G1213</f>
        <v>4.5409728308501311E-2</v>
      </c>
      <c r="J1102" s="25">
        <f>ROA!G1213</f>
        <v>1.8978792896879603E-2</v>
      </c>
      <c r="K1102" s="25">
        <f>ROE!G1213</f>
        <v>6.4218762103958479E-2</v>
      </c>
      <c r="L1102" s="25">
        <f>KM!E1213</f>
        <v>0.99450000000000005</v>
      </c>
      <c r="M1102" s="24">
        <f>KI!E1213</f>
        <v>2</v>
      </c>
      <c r="N1102" s="108">
        <f>IO!E1213</f>
        <v>0</v>
      </c>
      <c r="O1102" s="24">
        <f>'BoC Size'!E1213</f>
        <v>3</v>
      </c>
      <c r="P1102" s="24">
        <f>'TMT E DK'!E1213</f>
        <v>9</v>
      </c>
      <c r="Q1102" s="24">
        <f>Data!R1213</f>
        <v>3</v>
      </c>
      <c r="R1102" s="24">
        <f>Data!S1213</f>
        <v>4</v>
      </c>
      <c r="S1102" s="24">
        <f>'TMT E DK'!E1213</f>
        <v>9</v>
      </c>
      <c r="T1102" s="24">
        <f>'TMT E DD'!E1213</f>
        <v>12</v>
      </c>
      <c r="U1102" s="24">
        <f>TA!E1213</f>
        <v>655205000000</v>
      </c>
      <c r="V1102" s="109">
        <f>PR!F1213</f>
        <v>0</v>
      </c>
      <c r="W1102" s="109">
        <f>'Z Score'!I1213</f>
        <v>1.7211858883860778</v>
      </c>
      <c r="X1102" s="109">
        <f>'Z Score'!L1213</f>
        <v>0.1037848307018414</v>
      </c>
      <c r="Y1102" s="109">
        <f>'Z Score'!O1213</f>
        <v>7.588660037698125E-2</v>
      </c>
      <c r="Z1102" s="109">
        <f>'Z Score'!R1213</f>
        <v>0.4721214689593517</v>
      </c>
      <c r="AA1102" s="109">
        <f>'Z Score'!S1213</f>
        <v>2.3729787884242524</v>
      </c>
    </row>
    <row r="1103" spans="1:27" ht="15" customHeight="1" x14ac:dyDescent="0.3">
      <c r="A1103" s="22"/>
      <c r="B1103" s="23"/>
      <c r="C1103" s="2"/>
      <c r="D1103" s="23">
        <v>2016</v>
      </c>
      <c r="E1103" s="25">
        <f>'Current Ratio'!G1214</f>
        <v>3.8859233361567158</v>
      </c>
      <c r="F1103" s="25">
        <f>'Cash Ratio'!G1214</f>
        <v>0.33909423489340229</v>
      </c>
      <c r="G1103" s="25">
        <f>DAR!G1214</f>
        <v>0.60686350866457117</v>
      </c>
      <c r="H1103" s="25">
        <f>DER!G1214</f>
        <v>1.7415982821380676</v>
      </c>
      <c r="I1103" s="25">
        <f>NPM!G1214</f>
        <v>0.20451284470389369</v>
      </c>
      <c r="J1103" s="25">
        <f>ROA!G1214</f>
        <v>7.235542822174626E-2</v>
      </c>
      <c r="K1103" s="25">
        <f>ROE!G1214</f>
        <v>0.20764815760904273</v>
      </c>
      <c r="L1103" s="25">
        <f>KM!E1214</f>
        <v>0.99450000000000005</v>
      </c>
      <c r="M1103" s="24">
        <f>KI!E1214</f>
        <v>2</v>
      </c>
      <c r="N1103" s="108">
        <f>IO!E1214</f>
        <v>0</v>
      </c>
      <c r="O1103" s="24">
        <f>'BoC Size'!E1214</f>
        <v>3</v>
      </c>
      <c r="P1103" s="24">
        <f>'TMT E DK'!E1214</f>
        <v>9</v>
      </c>
      <c r="Q1103" s="24">
        <f>Data!R1214</f>
        <v>3</v>
      </c>
      <c r="R1103" s="24">
        <f>Data!S1214</f>
        <v>4</v>
      </c>
      <c r="S1103" s="24">
        <f>'TMT E DK'!E1214</f>
        <v>9</v>
      </c>
      <c r="T1103" s="24">
        <f>'TMT E DD'!E1214</f>
        <v>12</v>
      </c>
      <c r="U1103" s="24">
        <f>TA!E1214</f>
        <v>719020000000</v>
      </c>
      <c r="V1103" s="109">
        <f>PR!F1214</f>
        <v>-7.1045135845749341E-2</v>
      </c>
      <c r="W1103" s="109">
        <f>'Z Score'!I1214</f>
        <v>1.4610146032099247</v>
      </c>
      <c r="X1103" s="109">
        <f>'Z Score'!L1214</f>
        <v>7.6247420099579979E-2</v>
      </c>
      <c r="Y1103" s="109">
        <f>'Z Score'!O1214</f>
        <v>2.1935189563572641E-2</v>
      </c>
      <c r="Z1103" s="109">
        <f>'Z Score'!R1214</f>
        <v>0.60289448535225409</v>
      </c>
      <c r="AA1103" s="109">
        <f>'Z Score'!S1214</f>
        <v>2.1620916982253315</v>
      </c>
    </row>
    <row r="1104" spans="1:27" ht="15" customHeight="1" x14ac:dyDescent="0.3">
      <c r="A1104" s="22"/>
      <c r="B1104" s="23"/>
      <c r="C1104" s="2"/>
      <c r="D1104" s="23">
        <v>2017</v>
      </c>
      <c r="E1104" s="25">
        <f>'Current Ratio'!G1215</f>
        <v>2.1027694478744046</v>
      </c>
      <c r="F1104" s="25">
        <f>'Cash Ratio'!G1215</f>
        <v>0.25229317339918855</v>
      </c>
      <c r="G1104" s="25">
        <f>DAR!G1215</f>
        <v>0.63241895126491932</v>
      </c>
      <c r="H1104" s="25">
        <f>DER!G1215</f>
        <v>1.8576370897669932</v>
      </c>
      <c r="I1104" s="25">
        <f>NPM!G1215</f>
        <v>4.2393752024039943E-2</v>
      </c>
      <c r="J1104" s="25">
        <f>ROA!G1215</f>
        <v>1.5276187167894225E-2</v>
      </c>
      <c r="K1104" s="25">
        <f>ROE!G1215</f>
        <v>4.4871539375194308E-2</v>
      </c>
      <c r="L1104" s="25">
        <f>KM!E1215</f>
        <v>0.99970000000000003</v>
      </c>
      <c r="M1104" s="24">
        <f>KI!E1215</f>
        <v>2</v>
      </c>
      <c r="N1104" s="108">
        <f>IO!E1215</f>
        <v>0</v>
      </c>
      <c r="O1104" s="24">
        <f>'BoC Size'!E1215</f>
        <v>2</v>
      </c>
      <c r="P1104" s="24">
        <f>'TMT E DK'!E1215</f>
        <v>6</v>
      </c>
      <c r="Q1104" s="24">
        <f>Data!R1215</f>
        <v>2</v>
      </c>
      <c r="R1104" s="24">
        <f>Data!S1215</f>
        <v>4</v>
      </c>
      <c r="S1104" s="24">
        <f>'TMT E DK'!E1215</f>
        <v>6</v>
      </c>
      <c r="T1104" s="24">
        <f>'TMT E DD'!E1215</f>
        <v>12</v>
      </c>
      <c r="U1104" s="24">
        <f>TA!E1215</f>
        <v>736964000000</v>
      </c>
      <c r="V1104" s="109">
        <f>PR!F1215</f>
        <v>4.3921614875090907E-2</v>
      </c>
      <c r="W1104" s="109">
        <f>'Z Score'!I1215</f>
        <v>1.1129579192470731</v>
      </c>
      <c r="X1104" s="109">
        <f>'Z Score'!L1215</f>
        <v>0.32504716648303039</v>
      </c>
      <c r="Y1104" s="109">
        <f>'Z Score'!O1215</f>
        <v>6.3510293582861574E-2</v>
      </c>
      <c r="Z1104" s="109">
        <f>'Z Score'!R1215</f>
        <v>0.56523419228871197</v>
      </c>
      <c r="AA1104" s="109">
        <f>'Z Score'!S1215</f>
        <v>2.0667495716016768</v>
      </c>
    </row>
    <row r="1105" spans="1:27" ht="15" customHeight="1" x14ac:dyDescent="0.3">
      <c r="A1105" s="22"/>
      <c r="B1105" s="23"/>
      <c r="C1105" s="2"/>
      <c r="D1105" s="23">
        <v>2018</v>
      </c>
      <c r="E1105" s="25">
        <f>'Current Ratio'!G1216</f>
        <v>3.0231708697307362</v>
      </c>
      <c r="F1105" s="25">
        <f>'Cash Ratio'!G1216</f>
        <v>0.25055817925528084</v>
      </c>
      <c r="G1105" s="25">
        <f>DAR!G1216</f>
        <v>0.67257665589756332</v>
      </c>
      <c r="H1105" s="25">
        <f>DER!G1216</f>
        <v>2.2142077950412191</v>
      </c>
      <c r="I1105" s="25">
        <f>NPM!G1216</f>
        <v>4.3641661626911507E-2</v>
      </c>
      <c r="J1105" s="25">
        <f>ROA!G1216</f>
        <v>1.3151323652974521E-2</v>
      </c>
      <c r="K1105" s="25">
        <f>ROE!G1216</f>
        <v>4.3295828203649737E-2</v>
      </c>
      <c r="L1105" s="25">
        <f>KM!E1216</f>
        <v>0.99970000000000003</v>
      </c>
      <c r="M1105" s="24">
        <f>KI!E1216</f>
        <v>2</v>
      </c>
      <c r="N1105" s="108">
        <f>IO!E1216</f>
        <v>0</v>
      </c>
      <c r="O1105" s="24">
        <f>'BoC Size'!E1216</f>
        <v>3</v>
      </c>
      <c r="P1105" s="24">
        <f>'TMT E DK'!E1216</f>
        <v>9</v>
      </c>
      <c r="Q1105" s="24">
        <f>Data!R1216</f>
        <v>3</v>
      </c>
      <c r="R1105" s="24">
        <f>Data!S1216</f>
        <v>4</v>
      </c>
      <c r="S1105" s="24">
        <f>'TMT E DK'!E1216</f>
        <v>9</v>
      </c>
      <c r="T1105" s="24">
        <f>'TMT E DD'!E1216</f>
        <v>12</v>
      </c>
      <c r="U1105" s="24">
        <f>TA!E1216</f>
        <v>845010000000</v>
      </c>
      <c r="V1105" s="109">
        <f>PR!F1216</f>
        <v>-4.1105897769978687E-2</v>
      </c>
      <c r="W1105" s="109">
        <f>'Z Score'!I1216</f>
        <v>1.5265133430373603</v>
      </c>
      <c r="X1105" s="109">
        <f>'Z Score'!L1216</f>
        <v>0.32449154447876355</v>
      </c>
      <c r="Y1105" s="109">
        <f>'Z Score'!O1216</f>
        <v>0.12717747718961905</v>
      </c>
      <c r="Z1105" s="109">
        <f>'Z Score'!R1216</f>
        <v>0.4742102355305155</v>
      </c>
      <c r="AA1105" s="109">
        <f>'Z Score'!S1216</f>
        <v>2.4523926002362582</v>
      </c>
    </row>
    <row r="1106" spans="1:27" ht="15" customHeight="1" x14ac:dyDescent="0.3">
      <c r="A1106" s="22"/>
      <c r="B1106" s="23"/>
      <c r="C1106" s="2"/>
      <c r="D1106" s="23">
        <v>2019</v>
      </c>
      <c r="E1106" s="25">
        <f>'Current Ratio'!G1217</f>
        <v>2.8828565225033342</v>
      </c>
      <c r="F1106" s="25">
        <f>'Cash Ratio'!G1217</f>
        <v>0.35625885296580817</v>
      </c>
      <c r="G1106" s="25">
        <f>DAR!G1217</f>
        <v>0.60811041337855531</v>
      </c>
      <c r="H1106" s="25">
        <f>DER!G1217</f>
        <v>1.6507555095313799</v>
      </c>
      <c r="I1106" s="25">
        <f>NPM!G1217</f>
        <v>0.10453754879604221</v>
      </c>
      <c r="J1106" s="25">
        <f>ROA!G1217</f>
        <v>3.6330299875751371E-2</v>
      </c>
      <c r="K1106" s="25">
        <f>ROE!G1217</f>
        <v>9.8620976328340354E-2</v>
      </c>
      <c r="L1106" s="25">
        <f>KM!E1217</f>
        <v>0.99970000000000003</v>
      </c>
      <c r="M1106" s="24">
        <f>KI!E1217</f>
        <v>2</v>
      </c>
      <c r="N1106" s="108">
        <f>IO!E1217</f>
        <v>0</v>
      </c>
      <c r="O1106" s="24">
        <f>'BoC Size'!E1217</f>
        <v>3</v>
      </c>
      <c r="P1106" s="24">
        <f>'TMT E DK'!E1217</f>
        <v>5</v>
      </c>
      <c r="Q1106" s="24">
        <f>Data!R1217</f>
        <v>3</v>
      </c>
      <c r="R1106" s="24">
        <f>Data!S1217</f>
        <v>4</v>
      </c>
      <c r="S1106" s="24">
        <f>'TMT E DK'!E1217</f>
        <v>5</v>
      </c>
      <c r="T1106" s="24">
        <f>'TMT E DD'!E1217</f>
        <v>12</v>
      </c>
      <c r="U1106" s="24">
        <f>TA!E1217</f>
        <v>744475000000</v>
      </c>
      <c r="V1106" s="109">
        <f>PR!F1217</f>
        <v>1.6053910980906527E-2</v>
      </c>
      <c r="W1106" s="109">
        <f>'Z Score'!I1217</f>
        <v>1.6046589610127941</v>
      </c>
      <c r="X1106" s="109">
        <f>'Z Score'!L1217</f>
        <v>0.39324495785620733</v>
      </c>
      <c r="Y1106" s="109">
        <f>'Z Score'!O1217</f>
        <v>0.17507790053393329</v>
      </c>
      <c r="Z1106" s="109">
        <f>'Z Score'!R1217</f>
        <v>0.63607238863499327</v>
      </c>
      <c r="AA1106" s="109">
        <f>'Z Score'!S1217</f>
        <v>2.8090542080379279</v>
      </c>
    </row>
    <row r="1107" spans="1:27" ht="15" customHeight="1" x14ac:dyDescent="0.3">
      <c r="A1107" s="22"/>
      <c r="B1107" s="23"/>
      <c r="C1107" s="2"/>
      <c r="D1107" s="23">
        <v>2020</v>
      </c>
      <c r="E1107" s="25">
        <f>'Current Ratio'!G1218</f>
        <v>1.3562470777702738</v>
      </c>
      <c r="F1107" s="25">
        <f>'Cash Ratio'!G1218</f>
        <v>0.31906073042755467</v>
      </c>
      <c r="G1107" s="25">
        <f>DAR!G1218</f>
        <v>0.59798640981604079</v>
      </c>
      <c r="H1107" s="25">
        <f>DER!G1218</f>
        <v>1.5846662186379927</v>
      </c>
      <c r="I1107" s="25">
        <f>NPM!G1218</f>
        <v>0.10540709449140795</v>
      </c>
      <c r="J1107" s="25">
        <f>ROA!G1218</f>
        <v>3.1604292615849766E-2</v>
      </c>
      <c r="K1107" s="25">
        <f>ROE!G1218</f>
        <v>8.375149342891279E-2</v>
      </c>
      <c r="L1107" s="25">
        <f>KM!E1218</f>
        <v>0.99970000000000003</v>
      </c>
      <c r="M1107" s="24">
        <f>KI!E1218</f>
        <v>1</v>
      </c>
      <c r="N1107" s="108">
        <f>IO!E1218</f>
        <v>0</v>
      </c>
      <c r="O1107" s="24">
        <f>'BoC Size'!E1218</f>
        <v>3</v>
      </c>
      <c r="P1107" s="24">
        <f>'TMT E DK'!E1218</f>
        <v>5</v>
      </c>
      <c r="Q1107" s="24">
        <f>Data!R1218</f>
        <v>3</v>
      </c>
      <c r="R1107" s="24">
        <f>Data!S1218</f>
        <v>3</v>
      </c>
      <c r="S1107" s="24">
        <f>'TMT E DK'!E1218</f>
        <v>5</v>
      </c>
      <c r="T1107" s="24">
        <f>'TMT E DD'!E1218</f>
        <v>7</v>
      </c>
      <c r="U1107" s="24">
        <f>TA!E1218</f>
        <v>709777000000</v>
      </c>
      <c r="V1107" s="109">
        <f>PR!F1218</f>
        <v>-0.17747072237467632</v>
      </c>
      <c r="W1107" s="109">
        <f>'Z Score'!I1218</f>
        <v>0.31689209427749837</v>
      </c>
      <c r="X1107" s="109">
        <f>'Z Score'!L1218</f>
        <v>0.36353071457655006</v>
      </c>
      <c r="Y1107" s="109">
        <f>'Z Score'!O1218</f>
        <v>0.18025672852177513</v>
      </c>
      <c r="Z1107" s="109">
        <f>'Z Score'!R1218</f>
        <v>0.66260010319552731</v>
      </c>
      <c r="AA1107" s="109">
        <f>'Z Score'!S1218</f>
        <v>1.5232796405713509</v>
      </c>
    </row>
    <row r="1108" spans="1:27" ht="15" customHeight="1" x14ac:dyDescent="0.3">
      <c r="A1108" s="22"/>
      <c r="B1108" s="23"/>
      <c r="C1108" s="2"/>
      <c r="D1108" s="23">
        <v>2021</v>
      </c>
      <c r="E1108" s="25">
        <f>'Current Ratio'!G1219</f>
        <v>1.5916320120332685</v>
      </c>
      <c r="F1108" s="25">
        <f>'Cash Ratio'!G1219</f>
        <v>0.31117280127411079</v>
      </c>
      <c r="G1108" s="25">
        <f>DAR!G1219</f>
        <v>0.59451154255674488</v>
      </c>
      <c r="H1108" s="25">
        <f>DER!G1219</f>
        <v>1.517171316542983</v>
      </c>
      <c r="I1108" s="25">
        <f>NPM!G1219</f>
        <v>0.10650724399078038</v>
      </c>
      <c r="J1108" s="25">
        <f>ROA!G1219</f>
        <v>3.5278655983683772E-2</v>
      </c>
      <c r="K1108" s="25">
        <f>ROE!G1219</f>
        <v>9.0029816266391116E-2</v>
      </c>
      <c r="L1108" s="25">
        <f>KM!E1219</f>
        <v>0.99970000000000003</v>
      </c>
      <c r="M1108" s="24">
        <f>KI!E1219</f>
        <v>1</v>
      </c>
      <c r="N1108" s="108">
        <f>IO!E1219</f>
        <v>0</v>
      </c>
      <c r="O1108" s="24">
        <f>'BoC Size'!E1219</f>
        <v>2</v>
      </c>
      <c r="P1108" s="24">
        <f>'TMT E DK'!E1219</f>
        <v>4</v>
      </c>
      <c r="Q1108" s="24">
        <f>Data!R1219</f>
        <v>2</v>
      </c>
      <c r="R1108" s="24">
        <f>Data!S1219</f>
        <v>3</v>
      </c>
      <c r="S1108" s="24">
        <f>'TMT E DK'!E1219</f>
        <v>4</v>
      </c>
      <c r="T1108" s="24">
        <f>'TMT E DD'!E1219</f>
        <v>7</v>
      </c>
      <c r="U1108" s="24">
        <f>TA!E1219</f>
        <v>733503000000</v>
      </c>
      <c r="V1108" s="109">
        <f>PR!F1219</f>
        <v>0.14165957906706828</v>
      </c>
      <c r="W1108" s="109">
        <f>'Z Score'!I1219</f>
        <v>0.47840851366661075</v>
      </c>
      <c r="X1108" s="109">
        <f>'Z Score'!L1219</f>
        <v>0.41470941495808467</v>
      </c>
      <c r="Y1108" s="109">
        <f>'Z Score'!O1219</f>
        <v>0.19520443679166957</v>
      </c>
      <c r="Z1108" s="109">
        <f>'Z Score'!R1219</f>
        <v>0.69207741311147608</v>
      </c>
      <c r="AA1108" s="109">
        <f>'Z Score'!S1219</f>
        <v>1.7803997785278409</v>
      </c>
    </row>
    <row r="1109" spans="1:27" ht="15" customHeight="1" x14ac:dyDescent="0.3">
      <c r="A1109" s="22"/>
      <c r="B1109" s="23"/>
      <c r="C1109" s="2"/>
      <c r="D1109" s="23">
        <v>2022</v>
      </c>
      <c r="E1109" s="25">
        <f>'Current Ratio'!G1220</f>
        <v>1.7303782933208582</v>
      </c>
      <c r="F1109" s="25">
        <f>'Cash Ratio'!G1220</f>
        <v>0.30892891317753629</v>
      </c>
      <c r="G1109" s="25">
        <f>DAR!G1220</f>
        <v>0.59965283001975833</v>
      </c>
      <c r="H1109" s="25">
        <f>DER!G1220</f>
        <v>1.5458397843361638</v>
      </c>
      <c r="I1109" s="25">
        <f>NPM!G1220</f>
        <v>0.16865405881581166</v>
      </c>
      <c r="J1109" s="25">
        <f>ROA!G1220</f>
        <v>5.5943855949327111E-2</v>
      </c>
      <c r="K1109" s="25">
        <f>ROE!G1220</f>
        <v>0.1442171768167787</v>
      </c>
      <c r="L1109" s="25">
        <f>KM!E1220</f>
        <v>0.99970000000000003</v>
      </c>
      <c r="M1109" s="24">
        <f>KI!E1220</f>
        <v>2</v>
      </c>
      <c r="N1109" s="108">
        <f>IO!E1220</f>
        <v>0</v>
      </c>
      <c r="O1109" s="24">
        <f>'BoC Size'!E1220</f>
        <v>3</v>
      </c>
      <c r="P1109" s="24">
        <f>'TMT E DK'!E1220</f>
        <v>7</v>
      </c>
      <c r="Q1109" s="24">
        <f>Data!R1220</f>
        <v>3</v>
      </c>
      <c r="R1109" s="24">
        <f>Data!S1220</f>
        <v>3</v>
      </c>
      <c r="S1109" s="24">
        <f>'TMT E DK'!E1220</f>
        <v>7</v>
      </c>
      <c r="T1109" s="24">
        <f>'TMT E DD'!E1220</f>
        <v>9</v>
      </c>
      <c r="U1109" s="24">
        <f>TA!E1220</f>
        <v>804217000000</v>
      </c>
      <c r="V1109" s="109">
        <f>PR!F1220</f>
        <v>9.7979091208429375E-2</v>
      </c>
      <c r="W1109" s="109">
        <f>'Z Score'!I1220</f>
        <v>0.56034527994309991</v>
      </c>
      <c r="X1109" s="109">
        <f>'Z Score'!L1220</f>
        <v>0.41176391446587179</v>
      </c>
      <c r="Y1109" s="109">
        <f>'Z Score'!O1220</f>
        <v>0.2608310940952504</v>
      </c>
      <c r="Z1109" s="109">
        <f>'Z Score'!R1220</f>
        <v>0.67924244843452897</v>
      </c>
      <c r="AA1109" s="109">
        <f>'Z Score'!S1220</f>
        <v>1.912182736938751</v>
      </c>
    </row>
    <row r="1110" spans="1:27" ht="15" customHeight="1" x14ac:dyDescent="0.3">
      <c r="A1110" s="22"/>
      <c r="B1110" s="23"/>
      <c r="C1110" s="2"/>
      <c r="D1110" s="23">
        <v>2023</v>
      </c>
      <c r="E1110" s="25">
        <f>'Current Ratio'!G1221</f>
        <v>1.1139246004169563</v>
      </c>
      <c r="F1110" s="25">
        <f>'Cash Ratio'!G1221</f>
        <v>0.3914393676164003</v>
      </c>
      <c r="G1110" s="25">
        <f>DAR!G1221</f>
        <v>0.60567618354852393</v>
      </c>
      <c r="H1110" s="25">
        <f>DER!G1221</f>
        <v>1.5648535040625451</v>
      </c>
      <c r="I1110" s="25">
        <f>NPM!G1221</f>
        <v>0.12689982607938122</v>
      </c>
      <c r="J1110" s="25">
        <f>ROA!G1221</f>
        <v>4.94477783839486E-2</v>
      </c>
      <c r="K1110" s="25">
        <f>ROE!G1221</f>
        <v>0.12775560831678454</v>
      </c>
      <c r="L1110" s="25">
        <f>KM!E1221</f>
        <v>0.99970000000000003</v>
      </c>
      <c r="M1110" s="24">
        <f>KI!E1221</f>
        <v>2</v>
      </c>
      <c r="N1110" s="108">
        <f>IO!E1221</f>
        <v>0</v>
      </c>
      <c r="O1110" s="24">
        <f>'BoC Size'!E1221</f>
        <v>3</v>
      </c>
      <c r="P1110" s="24">
        <f>'TMT E DK'!E1221</f>
        <v>7</v>
      </c>
      <c r="Q1110" s="24">
        <f>Data!R1221</f>
        <v>3</v>
      </c>
      <c r="R1110" s="24">
        <f>Data!S1221</f>
        <v>3</v>
      </c>
      <c r="S1110" s="24">
        <f>'TMT E DK'!E1221</f>
        <v>7</v>
      </c>
      <c r="T1110" s="24">
        <f>'TMT E DD'!E1221</f>
        <v>9</v>
      </c>
      <c r="U1110" s="24">
        <f>TA!E1221</f>
        <v>824850000000</v>
      </c>
      <c r="V1110" s="109">
        <f>PR!F1221</f>
        <v>0.20484696268251082</v>
      </c>
      <c r="W1110" s="109">
        <f>'Z Score'!I1221</f>
        <v>0.12516370249136205</v>
      </c>
      <c r="X1110" s="109">
        <f>'Z Score'!L1221</f>
        <v>0.42814943323028426</v>
      </c>
      <c r="Y1110" s="109">
        <f>'Z Score'!O1221</f>
        <v>0.35792747772322242</v>
      </c>
      <c r="Z1110" s="109">
        <f>'Z Score'!R1221</f>
        <v>0.67098932729106953</v>
      </c>
      <c r="AA1110" s="109">
        <f>'Z Score'!S1221</f>
        <v>1.5822299407359384</v>
      </c>
    </row>
    <row r="1111" spans="1:27" ht="15" customHeight="1" x14ac:dyDescent="0.3">
      <c r="A1111" s="22"/>
      <c r="B1111" s="23"/>
      <c r="C1111" s="2"/>
      <c r="D1111" s="23">
        <v>2024</v>
      </c>
      <c r="E1111" s="25">
        <f>'Current Ratio'!G1222</f>
        <v>1.4395030264415418</v>
      </c>
      <c r="F1111" s="25">
        <f>'Cash Ratio'!G1222</f>
        <v>0.4940426887543804</v>
      </c>
      <c r="G1111" s="25">
        <f>DAR!G1222</f>
        <v>0.60775250107306766</v>
      </c>
      <c r="H1111" s="25">
        <f>DER!G1222</f>
        <v>1.5494107744107743</v>
      </c>
      <c r="I1111" s="25">
        <f>NPM!G1222</f>
        <v>0.13276369697630583</v>
      </c>
      <c r="J1111" s="25">
        <f>ROA!G1222</f>
        <v>6.2531412450519658E-2</v>
      </c>
      <c r="K1111" s="25">
        <f>ROE!G1222</f>
        <v>0.15941825664047887</v>
      </c>
      <c r="L1111" s="25">
        <f>KM!E1222</f>
        <v>0.99970000000000003</v>
      </c>
      <c r="M1111" s="24">
        <f>KI!E1222</f>
        <v>1</v>
      </c>
      <c r="N1111" s="108">
        <f>IO!E1222</f>
        <v>0</v>
      </c>
      <c r="O1111" s="24">
        <f>'BoC Size'!E1222</f>
        <v>3</v>
      </c>
      <c r="P1111" s="24">
        <f>'TMT E DK'!E1222</f>
        <v>15</v>
      </c>
      <c r="Q1111" s="24">
        <f>Data!R1222</f>
        <v>3</v>
      </c>
      <c r="R1111" s="24">
        <f>Data!S1222</f>
        <v>4</v>
      </c>
      <c r="S1111" s="24">
        <f>'TMT E DK'!E1222</f>
        <v>15</v>
      </c>
      <c r="T1111" s="24">
        <f>'TMT E DD'!E1222</f>
        <v>10</v>
      </c>
      <c r="U1111" s="24">
        <f>TA!E1222</f>
        <v>817749000000</v>
      </c>
      <c r="V1111" s="109">
        <f>PR!F1222</f>
        <v>0.19833484230471266</v>
      </c>
      <c r="W1111" s="109">
        <f>'Z Score'!I1222</f>
        <v>0.44268723043378833</v>
      </c>
      <c r="X1111" s="109">
        <f>'Z Score'!L1222</f>
        <v>0.43344199748333534</v>
      </c>
      <c r="Y1111" s="109">
        <f>'Z Score'!O1222</f>
        <v>0.44134696587828293</v>
      </c>
      <c r="Z1111" s="109">
        <f>'Z Score'!R1222</f>
        <v>0.67767697071766186</v>
      </c>
      <c r="AA1111" s="109">
        <f>'Z Score'!S1222</f>
        <v>1.9951531645130682</v>
      </c>
    </row>
    <row r="1112" spans="1:27" ht="15" customHeight="1" x14ac:dyDescent="0.3">
      <c r="A1112" s="22"/>
      <c r="B1112" s="23">
        <v>112</v>
      </c>
      <c r="C1112" s="2" t="s">
        <v>91</v>
      </c>
      <c r="D1112" s="23">
        <v>2015</v>
      </c>
      <c r="E1112" s="25">
        <f>'Current Ratio'!G1224</f>
        <v>1.2402976286066056</v>
      </c>
      <c r="F1112" s="25">
        <f>'Cash Ratio'!G1224</f>
        <v>0</v>
      </c>
      <c r="G1112" s="25">
        <f>DAR!G1224</f>
        <v>0.61438010824828082</v>
      </c>
      <c r="H1112" s="25">
        <f>DER!G1224</f>
        <v>1.5932226650731658</v>
      </c>
      <c r="I1112" s="25">
        <f>NPM!G1224</f>
        <v>0.18170719536169452</v>
      </c>
      <c r="J1112" s="25">
        <f>ROA!G1224</f>
        <v>8.6316372083895171E-2</v>
      </c>
      <c r="K1112" s="25">
        <f>ROE!G1224</f>
        <v>0.2238373256631804</v>
      </c>
      <c r="L1112" s="25">
        <f>KM!E1224</f>
        <v>0</v>
      </c>
      <c r="M1112" s="24">
        <f>KI!E1224</f>
        <v>0</v>
      </c>
      <c r="N1112" s="108">
        <f>IO!E1224</f>
        <v>0</v>
      </c>
      <c r="O1112" s="24">
        <f>'BoC Size'!E1224</f>
        <v>0</v>
      </c>
      <c r="P1112" s="24">
        <f>'TMT E DK'!E1224</f>
        <v>0</v>
      </c>
      <c r="Q1112" s="24">
        <f>Data!R1224</f>
        <v>0</v>
      </c>
      <c r="R1112" s="24">
        <f>Data!S1224</f>
        <v>0</v>
      </c>
      <c r="S1112" s="24">
        <f>'TMT E DK'!E1224</f>
        <v>0</v>
      </c>
      <c r="T1112" s="24">
        <f>'TMT E DD'!E1224</f>
        <v>0</v>
      </c>
      <c r="U1112" s="24">
        <f>TA!E1224</f>
        <v>906989000000</v>
      </c>
      <c r="V1112" s="109">
        <f>PR!F1224</f>
        <v>0</v>
      </c>
      <c r="W1112" s="109">
        <f>'Z Score'!I1224</f>
        <v>0.45454769572729103</v>
      </c>
      <c r="X1112" s="109">
        <f>'Z Score'!L1224</f>
        <v>1.0414658171157531</v>
      </c>
      <c r="Y1112" s="109">
        <f>'Z Score'!O1224</f>
        <v>0.72844349821221643</v>
      </c>
      <c r="Z1112" s="109">
        <f>'Z Score'!R1224</f>
        <v>0.65904159099555659</v>
      </c>
      <c r="AA1112" s="109">
        <f>'Z Score'!S1224</f>
        <v>2.8834986020508171</v>
      </c>
    </row>
    <row r="1113" spans="1:27" ht="15" customHeight="1" x14ac:dyDescent="0.3">
      <c r="A1113" s="22"/>
      <c r="B1113" s="23"/>
      <c r="C1113" s="2"/>
      <c r="D1113" s="23">
        <v>2016</v>
      </c>
      <c r="E1113" s="25">
        <f>'Current Ratio'!G1225</f>
        <v>1.9825987577639752</v>
      </c>
      <c r="F1113" s="25">
        <f>'Cash Ratio'!G1225</f>
        <v>0</v>
      </c>
      <c r="G1113" s="25">
        <f>DAR!G1225</f>
        <v>0.65659394598644583</v>
      </c>
      <c r="H1113" s="25">
        <f>DER!G1225</f>
        <v>1.9120045739220726</v>
      </c>
      <c r="I1113" s="25">
        <f>NPM!G1225</f>
        <v>0.21334804314879202</v>
      </c>
      <c r="J1113" s="25">
        <f>ROA!G1225</f>
        <v>8.6411756873559897E-2</v>
      </c>
      <c r="K1113" s="25">
        <f>ROE!G1225</f>
        <v>0.25163143125644849</v>
      </c>
      <c r="L1113" s="25">
        <f>KM!E1225</f>
        <v>0.99990000000000001</v>
      </c>
      <c r="M1113" s="24">
        <f>KI!E1225</f>
        <v>2</v>
      </c>
      <c r="N1113" s="108">
        <f>IO!E1225</f>
        <v>0</v>
      </c>
      <c r="O1113" s="24">
        <f>'BoC Size'!E1225</f>
        <v>3</v>
      </c>
      <c r="P1113" s="24">
        <f>'TMT E DK'!E1225</f>
        <v>0</v>
      </c>
      <c r="Q1113" s="24">
        <f>Data!R1225</f>
        <v>3</v>
      </c>
      <c r="R1113" s="24">
        <f>Data!S1225</f>
        <v>4</v>
      </c>
      <c r="S1113" s="24">
        <f>'TMT E DK'!E1225</f>
        <v>0</v>
      </c>
      <c r="T1113" s="24">
        <f>'TMT E DD'!E1225</f>
        <v>0</v>
      </c>
      <c r="U1113" s="24">
        <f>TA!E1225</f>
        <v>886222000000</v>
      </c>
      <c r="V1113" s="109">
        <f>PR!F1225</f>
        <v>-0.16688754940849071</v>
      </c>
      <c r="W1113" s="109">
        <f>'Z Score'!I1225</f>
        <v>1.4637719217081047</v>
      </c>
      <c r="X1113" s="109">
        <f>'Z Score'!L1225</f>
        <v>0.89879154433087871</v>
      </c>
      <c r="Y1113" s="109">
        <f>'Z Score'!O1225</f>
        <v>0.67095964667995156</v>
      </c>
      <c r="Z1113" s="109">
        <f>'Z Score'!R1225</f>
        <v>0.54916186620105589</v>
      </c>
      <c r="AA1113" s="109">
        <f>'Z Score'!S1225</f>
        <v>3.5826849789199908</v>
      </c>
    </row>
    <row r="1114" spans="1:27" ht="15" customHeight="1" x14ac:dyDescent="0.3">
      <c r="A1114" s="22"/>
      <c r="B1114" s="23"/>
      <c r="C1114" s="2"/>
      <c r="D1114" s="23">
        <v>2017</v>
      </c>
      <c r="E1114" s="25">
        <f>'Current Ratio'!G1226</f>
        <v>2.6043903427192872</v>
      </c>
      <c r="F1114" s="25">
        <f>'Cash Ratio'!G1226</f>
        <v>0.10600173109150844</v>
      </c>
      <c r="G1114" s="25">
        <f>DAR!G1226</f>
        <v>0.65188813048001681</v>
      </c>
      <c r="H1114" s="25">
        <f>DER!G1226</f>
        <v>1.8726397677244253</v>
      </c>
      <c r="I1114" s="25">
        <f>NPM!G1226</f>
        <v>0.17959337241262446</v>
      </c>
      <c r="J1114" s="25">
        <f>ROA!G1226</f>
        <v>6.8697342126628286E-2</v>
      </c>
      <c r="K1114" s="25">
        <f>ROE!G1226</f>
        <v>0.19734271692992283</v>
      </c>
      <c r="L1114" s="25">
        <f>KM!E1226</f>
        <v>0.99990000000000001</v>
      </c>
      <c r="M1114" s="24">
        <f>KI!E1226</f>
        <v>2</v>
      </c>
      <c r="N1114" s="108">
        <f>IO!E1226</f>
        <v>0</v>
      </c>
      <c r="O1114" s="24">
        <f>'BoC Size'!E1226</f>
        <v>3</v>
      </c>
      <c r="P1114" s="24">
        <f>'TMT E DK'!E1226</f>
        <v>0</v>
      </c>
      <c r="Q1114" s="24">
        <f>Data!R1226</f>
        <v>3</v>
      </c>
      <c r="R1114" s="24">
        <f>Data!S1226</f>
        <v>4</v>
      </c>
      <c r="S1114" s="24">
        <f>'TMT E DK'!E1226</f>
        <v>0</v>
      </c>
      <c r="T1114" s="24">
        <f>'TMT E DD'!E1226</f>
        <v>0</v>
      </c>
      <c r="U1114" s="24">
        <f>TA!E1226</f>
        <v>910239000000</v>
      </c>
      <c r="V1114" s="109">
        <f>PR!F1226</f>
        <v>-2.998517874654542E-2</v>
      </c>
      <c r="W1114" s="109">
        <f>'Z Score'!I1226</f>
        <v>2.5114599572200267</v>
      </c>
      <c r="X1114" s="109">
        <f>'Z Score'!L1226</f>
        <v>0.30759514808748029</v>
      </c>
      <c r="Y1114" s="109">
        <f>'Z Score'!O1226</f>
        <v>0.55535445086400381</v>
      </c>
      <c r="Z1114" s="109">
        <f>'Z Score'!R1226</f>
        <v>0.56070581117473972</v>
      </c>
      <c r="AA1114" s="109">
        <f>'Z Score'!S1226</f>
        <v>3.9351153673462504</v>
      </c>
    </row>
    <row r="1115" spans="1:27" ht="15" customHeight="1" x14ac:dyDescent="0.3">
      <c r="A1115" s="22"/>
      <c r="B1115" s="23"/>
      <c r="C1115" s="2"/>
      <c r="D1115" s="23">
        <v>2018</v>
      </c>
      <c r="E1115" s="25">
        <f>'Current Ratio'!G1227</f>
        <v>2.3528512389036118</v>
      </c>
      <c r="F1115" s="25">
        <f>'Cash Ratio'!G1227</f>
        <v>7.4190589151022071E-2</v>
      </c>
      <c r="G1115" s="25">
        <f>DAR!G1227</f>
        <v>0.70705396598419179</v>
      </c>
      <c r="H1115" s="25">
        <f>DER!G1227</f>
        <v>2.3982674775895783</v>
      </c>
      <c r="I1115" s="25">
        <f>NPM!G1227</f>
        <v>0.90784394984682637</v>
      </c>
      <c r="J1115" s="25">
        <f>ROA!G1227</f>
        <v>0.31366078898557126</v>
      </c>
      <c r="K1115" s="25">
        <f>ROE!G1227</f>
        <v>1.0639109677747023</v>
      </c>
      <c r="L1115" s="25">
        <f>KM!E1227</f>
        <v>0.99990000000000001</v>
      </c>
      <c r="M1115" s="24">
        <f>KI!E1227</f>
        <v>2</v>
      </c>
      <c r="N1115" s="108">
        <f>IO!E1227</f>
        <v>0</v>
      </c>
      <c r="O1115" s="24">
        <f>'BoC Size'!E1227</f>
        <v>3</v>
      </c>
      <c r="P1115" s="24">
        <f>'TMT E DK'!E1227</f>
        <v>0</v>
      </c>
      <c r="Q1115" s="24">
        <f>Data!R1227</f>
        <v>3</v>
      </c>
      <c r="R1115" s="24">
        <f>Data!S1227</f>
        <v>4</v>
      </c>
      <c r="S1115" s="24">
        <f>'TMT E DK'!E1227</f>
        <v>0</v>
      </c>
      <c r="T1115" s="24">
        <f>'TMT E DD'!E1227</f>
        <v>0</v>
      </c>
      <c r="U1115" s="24">
        <f>TA!E1227</f>
        <v>1068562000000</v>
      </c>
      <c r="V1115" s="109">
        <f>PR!F1227</f>
        <v>6.0336434210942008E-2</v>
      </c>
      <c r="W1115" s="109">
        <f>'Z Score'!I1227</f>
        <v>1.7925779131206236</v>
      </c>
      <c r="X1115" s="109">
        <f>'Z Score'!L1227</f>
        <v>0.25642828399288015</v>
      </c>
      <c r="Y1115" s="109">
        <f>'Z Score'!O1227</f>
        <v>0.25759658307145489</v>
      </c>
      <c r="Z1115" s="109">
        <f>'Z Score'!R1227</f>
        <v>0.43781605255111972</v>
      </c>
      <c r="AA1115" s="109">
        <f>'Z Score'!S1227</f>
        <v>2.7444188327360783</v>
      </c>
    </row>
    <row r="1116" spans="1:27" ht="15" customHeight="1" x14ac:dyDescent="0.3">
      <c r="A1116" s="22"/>
      <c r="B1116" s="23"/>
      <c r="C1116" s="2"/>
      <c r="D1116" s="23">
        <v>2019</v>
      </c>
      <c r="E1116" s="25">
        <f>'Current Ratio'!G1228</f>
        <v>4.5620713248669125</v>
      </c>
      <c r="F1116" s="25">
        <f>'Cash Ratio'!G1228</f>
        <v>0.12508552642557949</v>
      </c>
      <c r="G1116" s="25">
        <f>DAR!G1228</f>
        <v>0.66568442440512443</v>
      </c>
      <c r="H1116" s="25">
        <f>DER!G1228</f>
        <v>1.9910773604016685</v>
      </c>
      <c r="I1116" s="25">
        <f>NPM!G1228</f>
        <v>0.17436081398382469</v>
      </c>
      <c r="J1116" s="25">
        <f>ROA!G1228</f>
        <v>4.8671515065447923E-2</v>
      </c>
      <c r="K1116" s="25">
        <f>ROE!G1228</f>
        <v>0.14557761634555691</v>
      </c>
      <c r="L1116" s="25">
        <f>KM!E1228</f>
        <v>0.99990000000000001</v>
      </c>
      <c r="M1116" s="24">
        <f>KI!E1228</f>
        <v>2</v>
      </c>
      <c r="N1116" s="108">
        <f>IO!E1228</f>
        <v>0</v>
      </c>
      <c r="O1116" s="24">
        <f>'BoC Size'!E1228</f>
        <v>3</v>
      </c>
      <c r="P1116" s="24">
        <f>'TMT E DK'!E1228</f>
        <v>0</v>
      </c>
      <c r="Q1116" s="24">
        <f>Data!R1228</f>
        <v>3</v>
      </c>
      <c r="R1116" s="24">
        <f>Data!S1228</f>
        <v>2</v>
      </c>
      <c r="S1116" s="24">
        <f>'TMT E DK'!E1228</f>
        <v>0</v>
      </c>
      <c r="T1116" s="24">
        <f>'TMT E DD'!E1228</f>
        <v>0</v>
      </c>
      <c r="U1116" s="24">
        <f>TA!E1228</f>
        <v>1098507000000</v>
      </c>
      <c r="V1116" s="109">
        <f>PR!F1228</f>
        <v>-0.1694227076104651</v>
      </c>
      <c r="W1116" s="109">
        <f>'Z Score'!I1228</f>
        <v>2.5493365085520616</v>
      </c>
      <c r="X1116" s="109">
        <f>'Z Score'!L1228</f>
        <v>0.40439767793923931</v>
      </c>
      <c r="Y1116" s="109">
        <f>'Z Score'!O1228</f>
        <v>0.3373314507781926</v>
      </c>
      <c r="Z1116" s="109">
        <f>'Z Score'!R1228</f>
        <v>0.52735268899254573</v>
      </c>
      <c r="AA1116" s="109">
        <f>'Z Score'!S1228</f>
        <v>3.8184183262620395</v>
      </c>
    </row>
    <row r="1117" spans="1:27" ht="15" customHeight="1" x14ac:dyDescent="0.3">
      <c r="A1117" s="22"/>
      <c r="B1117" s="23"/>
      <c r="C1117" s="2"/>
      <c r="D1117" s="23">
        <v>2020</v>
      </c>
      <c r="E1117" s="25">
        <f>'Current Ratio'!G1229</f>
        <v>4.2240313596759265</v>
      </c>
      <c r="F1117" s="25">
        <f>'Cash Ratio'!G1229</f>
        <v>0.18233486406732902</v>
      </c>
      <c r="G1117" s="25">
        <f>DAR!G1229</f>
        <v>0.57456226690147216</v>
      </c>
      <c r="H1117" s="25">
        <f>DER!G1229</f>
        <v>1.3505202341053475</v>
      </c>
      <c r="I1117" s="25">
        <f>NPM!G1229</f>
        <v>0.15256777771532423</v>
      </c>
      <c r="J1117" s="25">
        <f>ROA!G1229</f>
        <v>3.465899115223163E-2</v>
      </c>
      <c r="K1117" s="25">
        <f>ROE!G1229</f>
        <v>8.1466659996998647E-2</v>
      </c>
      <c r="L1117" s="25">
        <f>KM!E1229</f>
        <v>0.99990000000000001</v>
      </c>
      <c r="M1117" s="24">
        <f>KI!E1229</f>
        <v>2</v>
      </c>
      <c r="N1117" s="108">
        <f>IO!E1229</f>
        <v>0</v>
      </c>
      <c r="O1117" s="24">
        <f>'BoC Size'!E1229</f>
        <v>3</v>
      </c>
      <c r="P1117" s="24">
        <f>'TMT E DK'!E1229</f>
        <v>0</v>
      </c>
      <c r="Q1117" s="24">
        <f>Data!R1229</f>
        <v>3</v>
      </c>
      <c r="R1117" s="24">
        <f>Data!S1229</f>
        <v>4</v>
      </c>
      <c r="S1117" s="24">
        <f>'TMT E DK'!E1229</f>
        <v>0</v>
      </c>
      <c r="T1117" s="24">
        <f>'TMT E DD'!E1229</f>
        <v>0</v>
      </c>
      <c r="U1117" s="24">
        <f>TA!E1229</f>
        <v>939785000000</v>
      </c>
      <c r="V1117" s="109">
        <f>PR!F1229</f>
        <v>-0.3037698930341769</v>
      </c>
      <c r="W1117" s="109">
        <f>'Z Score'!I1229</f>
        <v>2.5777414195800104</v>
      </c>
      <c r="X1117" s="109">
        <f>'Z Score'!L1229</f>
        <v>0.58568544933149602</v>
      </c>
      <c r="Y1117" s="109">
        <f>'Z Score'!O1229</f>
        <v>0.30235477263416627</v>
      </c>
      <c r="Z1117" s="109">
        <f>'Z Score'!R1229</f>
        <v>0.77747816988138119</v>
      </c>
      <c r="AA1117" s="109">
        <f>'Z Score'!S1229</f>
        <v>4.2432598114270537</v>
      </c>
    </row>
    <row r="1118" spans="1:27" ht="15" customHeight="1" x14ac:dyDescent="0.3">
      <c r="A1118" s="22"/>
      <c r="B1118" s="23"/>
      <c r="C1118" s="2"/>
      <c r="D1118" s="23">
        <v>2021</v>
      </c>
      <c r="E1118" s="25">
        <f>'Current Ratio'!G1230</f>
        <v>3.6512103386436112</v>
      </c>
      <c r="F1118" s="25">
        <f>'Cash Ratio'!G1230</f>
        <v>0.12894694606683554</v>
      </c>
      <c r="G1118" s="25">
        <f>DAR!G1230</f>
        <v>0.59287148072262841</v>
      </c>
      <c r="H1118" s="25">
        <f>DER!G1230</f>
        <v>1.4562268488951335</v>
      </c>
      <c r="I1118" s="25">
        <f>NPM!G1230</f>
        <v>0.11043841552544552</v>
      </c>
      <c r="J1118" s="25">
        <f>ROA!G1230</f>
        <v>3.0217304770342242E-2</v>
      </c>
      <c r="K1118" s="25">
        <f>ROE!G1230</f>
        <v>7.4220555278161612E-2</v>
      </c>
      <c r="L1118" s="25">
        <f>KM!E1230</f>
        <v>0.99990000000000001</v>
      </c>
      <c r="M1118" s="24">
        <f>KI!E1230</f>
        <v>2</v>
      </c>
      <c r="N1118" s="108">
        <f>IO!E1230</f>
        <v>0</v>
      </c>
      <c r="O1118" s="24">
        <f>'BoC Size'!E1230</f>
        <v>3</v>
      </c>
      <c r="P1118" s="24">
        <f>'TMT E DK'!E1230</f>
        <v>0</v>
      </c>
      <c r="Q1118" s="24">
        <f>Data!R1230</f>
        <v>3</v>
      </c>
      <c r="R1118" s="24">
        <f>Data!S1230</f>
        <v>4</v>
      </c>
      <c r="S1118" s="24">
        <f>'TMT E DK'!E1230</f>
        <v>0</v>
      </c>
      <c r="T1118" s="24">
        <f>'TMT E DD'!E1230</f>
        <v>0</v>
      </c>
      <c r="U1118" s="24">
        <f>TA!E1230</f>
        <v>1057639000000</v>
      </c>
      <c r="V1118" s="109">
        <f>PR!F1230</f>
        <v>0.35547467820808276</v>
      </c>
      <c r="W1118" s="109">
        <f>'Z Score'!I1230</f>
        <v>2.3565571239335918</v>
      </c>
      <c r="X1118" s="109">
        <f>'Z Score'!L1230</f>
        <v>0.61999054497801231</v>
      </c>
      <c r="Y1118" s="109">
        <f>'Z Score'!O1230</f>
        <v>0.24650739997295862</v>
      </c>
      <c r="Z1118" s="109">
        <f>'Z Score'!R1230</f>
        <v>0.72104150585923799</v>
      </c>
      <c r="AA1118" s="109">
        <f>'Z Score'!S1230</f>
        <v>3.944096574743801</v>
      </c>
    </row>
    <row r="1119" spans="1:27" ht="15" customHeight="1" x14ac:dyDescent="0.3">
      <c r="A1119" s="22"/>
      <c r="B1119" s="23"/>
      <c r="C1119" s="2"/>
      <c r="D1119" s="23">
        <v>2022</v>
      </c>
      <c r="E1119" s="25">
        <f>'Current Ratio'!G1231</f>
        <v>1.884382113956232</v>
      </c>
      <c r="F1119" s="25">
        <f>'Cash Ratio'!G1231</f>
        <v>4.4263139529087253E-2</v>
      </c>
      <c r="G1119" s="25">
        <f>DAR!G1231</f>
        <v>0.62480160212820013</v>
      </c>
      <c r="H1119" s="25">
        <f>DER!G1231</f>
        <v>1.6652565833761537</v>
      </c>
      <c r="I1119" s="25">
        <f>NPM!G1231</f>
        <v>0.15807683209642368</v>
      </c>
      <c r="J1119" s="25">
        <f>ROA!G1231</f>
        <v>5.3432171092944361E-2</v>
      </c>
      <c r="K1119" s="25">
        <f>ROE!G1231</f>
        <v>0.14241044576955098</v>
      </c>
      <c r="L1119" s="25">
        <f>KM!E1231</f>
        <v>0.99990000000000001</v>
      </c>
      <c r="M1119" s="24">
        <f>KI!E1231</f>
        <v>2</v>
      </c>
      <c r="N1119" s="108">
        <f>IO!E1231</f>
        <v>0</v>
      </c>
      <c r="O1119" s="24">
        <f>'BoC Size'!E1231</f>
        <v>3</v>
      </c>
      <c r="P1119" s="24">
        <f>'TMT E DK'!E1231</f>
        <v>0</v>
      </c>
      <c r="Q1119" s="24">
        <f>Data!R1231</f>
        <v>3</v>
      </c>
      <c r="R1119" s="24">
        <f>Data!S1231</f>
        <v>4</v>
      </c>
      <c r="S1119" s="24">
        <f>'TMT E DK'!E1231</f>
        <v>0</v>
      </c>
      <c r="T1119" s="24">
        <f>'TMT E DD'!E1231</f>
        <v>0</v>
      </c>
      <c r="U1119" s="24">
        <f>TA!E1231</f>
        <v>1338220000000</v>
      </c>
      <c r="V1119" s="109">
        <f>PR!F1231</f>
        <v>0.56310840650625638</v>
      </c>
      <c r="W1119" s="109">
        <f>'Z Score'!I1231</f>
        <v>1.3045047899448521</v>
      </c>
      <c r="X1119" s="109">
        <f>'Z Score'!L1231</f>
        <v>0.64993421111625882</v>
      </c>
      <c r="Y1119" s="109">
        <f>'Z Score'!O1231</f>
        <v>0.3950790751894307</v>
      </c>
      <c r="Z1119" s="109">
        <f>'Z Score'!R1231</f>
        <v>0.6305334628200191</v>
      </c>
      <c r="AA1119" s="109">
        <f>'Z Score'!S1231</f>
        <v>2.9800515390705606</v>
      </c>
    </row>
    <row r="1120" spans="1:27" ht="15" customHeight="1" x14ac:dyDescent="0.3">
      <c r="A1120" s="22"/>
      <c r="B1120" s="23"/>
      <c r="C1120" s="2"/>
      <c r="D1120" s="23">
        <v>2023</v>
      </c>
      <c r="E1120" s="25">
        <f>'Current Ratio'!G1232</f>
        <v>1.6515346282924845</v>
      </c>
      <c r="F1120" s="25">
        <f>'Cash Ratio'!G1232</f>
        <v>3.433540120004068E-2</v>
      </c>
      <c r="G1120" s="25">
        <f>DAR!G1232</f>
        <v>0.64379621204069304</v>
      </c>
      <c r="H1120" s="25">
        <f>DER!G1232</f>
        <v>1.8073817118257058</v>
      </c>
      <c r="I1120" s="25">
        <f>NPM!G1232</f>
        <v>7.9934095700861504E-2</v>
      </c>
      <c r="J1120" s="25">
        <f>ROA!G1232</f>
        <v>4.8807076434978176E-2</v>
      </c>
      <c r="K1120" s="25">
        <f>ROE!G1232</f>
        <v>0.13702009379123711</v>
      </c>
      <c r="L1120" s="25">
        <f>KM!E1232</f>
        <v>0.99990000000000001</v>
      </c>
      <c r="M1120" s="24">
        <f>KI!E1232</f>
        <v>2</v>
      </c>
      <c r="N1120" s="108">
        <f>IO!E1232</f>
        <v>0</v>
      </c>
      <c r="O1120" s="24">
        <f>'BoC Size'!E1232</f>
        <v>3</v>
      </c>
      <c r="P1120" s="24">
        <f>'TMT E DK'!E1232</f>
        <v>0</v>
      </c>
      <c r="Q1120" s="24">
        <f>Data!R1232</f>
        <v>3</v>
      </c>
      <c r="R1120" s="24">
        <f>Data!S1232</f>
        <v>3</v>
      </c>
      <c r="S1120" s="24">
        <f>'TMT E DK'!E1232</f>
        <v>0</v>
      </c>
      <c r="T1120" s="24">
        <f>'TMT E DD'!E1232</f>
        <v>0</v>
      </c>
      <c r="U1120" s="24">
        <f>TA!E1232</f>
        <v>1759417000000</v>
      </c>
      <c r="V1120" s="109">
        <f>PR!F1232</f>
        <v>1.3749660098554839</v>
      </c>
      <c r="W1120" s="109">
        <f>'Z Score'!I1232</f>
        <v>1.1943417166027155</v>
      </c>
      <c r="X1120" s="109">
        <f>'Z Score'!L1232</f>
        <v>0.70975928958285617</v>
      </c>
      <c r="Y1120" s="109">
        <f>'Z Score'!O1232</f>
        <v>0.3934679726295699</v>
      </c>
      <c r="Z1120" s="109">
        <f>'Z Score'!R1232</f>
        <v>0.58095088222363089</v>
      </c>
      <c r="AA1120" s="109">
        <f>'Z Score'!S1232</f>
        <v>2.8785198610387726</v>
      </c>
    </row>
    <row r="1121" spans="1:27" ht="15" customHeight="1" x14ac:dyDescent="0.3">
      <c r="A1121" s="22"/>
      <c r="B1121" s="23"/>
      <c r="C1121" s="2"/>
      <c r="D1121" s="23">
        <v>2024</v>
      </c>
      <c r="E1121" s="25">
        <f>'Current Ratio'!G1233</f>
        <v>2.0054993888184902</v>
      </c>
      <c r="F1121" s="25">
        <f>'Cash Ratio'!G1233</f>
        <v>2.5246401995613434E-2</v>
      </c>
      <c r="G1121" s="25">
        <f>DAR!G1233</f>
        <v>0.59934347849356862</v>
      </c>
      <c r="H1121" s="25">
        <f>DER!G1233</f>
        <v>1.4959034642443672</v>
      </c>
      <c r="I1121" s="25">
        <f>NPM!G1233</f>
        <v>0.12368789384355013</v>
      </c>
      <c r="J1121" s="25">
        <f>ROA!G1233</f>
        <v>5.7001855386866002E-2</v>
      </c>
      <c r="K1121" s="25">
        <f>ROE!G1233</f>
        <v>0.1422711283284353</v>
      </c>
      <c r="L1121" s="25">
        <f>KM!E1233</f>
        <v>0.99990000000000001</v>
      </c>
      <c r="M1121" s="24">
        <f>KI!E1233</f>
        <v>2</v>
      </c>
      <c r="N1121" s="108">
        <f>IO!E1233</f>
        <v>0</v>
      </c>
      <c r="O1121" s="24">
        <f>'BoC Size'!E1233</f>
        <v>3</v>
      </c>
      <c r="P1121" s="24">
        <f>'TMT E DK'!E1233</f>
        <v>10</v>
      </c>
      <c r="Q1121" s="24">
        <f>Data!R1233</f>
        <v>3</v>
      </c>
      <c r="R1121" s="24">
        <f>Data!S1233</f>
        <v>3</v>
      </c>
      <c r="S1121" s="24">
        <f>'TMT E DK'!E1233</f>
        <v>10</v>
      </c>
      <c r="T1121" s="24">
        <f>'TMT E DD'!E1233</f>
        <v>7</v>
      </c>
      <c r="U1121" s="24">
        <f>TA!E1233</f>
        <v>1793696000000</v>
      </c>
      <c r="V1121" s="109">
        <f>PR!F1233</f>
        <v>-0.2305310043424231</v>
      </c>
      <c r="W1121" s="109">
        <f>'Z Score'!I1233</f>
        <v>1.4771278968119457</v>
      </c>
      <c r="X1121" s="109">
        <f>'Z Score'!L1233</f>
        <v>0.88202125666779652</v>
      </c>
      <c r="Y1121" s="109">
        <f>'Z Score'!O1233</f>
        <v>0.45678268781331949</v>
      </c>
      <c r="Z1121" s="109">
        <f>'Z Score'!R1233</f>
        <v>0.70191695192737014</v>
      </c>
      <c r="AA1121" s="109">
        <f>'Z Score'!S1233</f>
        <v>3.5178487932204319</v>
      </c>
    </row>
    <row r="1122" spans="1:27" ht="15" customHeight="1" x14ac:dyDescent="0.3">
      <c r="A1122" s="22"/>
      <c r="B1122" s="23">
        <v>113</v>
      </c>
      <c r="C1122" s="2" t="s">
        <v>90</v>
      </c>
      <c r="D1122" s="23">
        <v>2015</v>
      </c>
      <c r="E1122" s="25">
        <f>'Current Ratio'!G1235</f>
        <v>0</v>
      </c>
      <c r="F1122" s="25">
        <f>'Cash Ratio'!G1235</f>
        <v>0</v>
      </c>
      <c r="G1122" s="25">
        <f>DAR!G1235</f>
        <v>0</v>
      </c>
      <c r="H1122" s="25">
        <f>DER!G1235</f>
        <v>0</v>
      </c>
      <c r="I1122" s="25">
        <f>NPM!G1235</f>
        <v>0</v>
      </c>
      <c r="J1122" s="25">
        <f>ROA!G1235</f>
        <v>0</v>
      </c>
      <c r="K1122" s="25">
        <f>ROE!G1235</f>
        <v>0</v>
      </c>
      <c r="L1122" s="25">
        <f>KM!E1235</f>
        <v>0</v>
      </c>
      <c r="M1122" s="24">
        <f>KI!E1235</f>
        <v>0</v>
      </c>
      <c r="N1122" s="108">
        <f>IO!E1235</f>
        <v>0</v>
      </c>
      <c r="O1122" s="24">
        <f>'BoC Size'!E1235</f>
        <v>0</v>
      </c>
      <c r="P1122" s="24">
        <f>'TMT E DK'!E1235</f>
        <v>0</v>
      </c>
      <c r="Q1122" s="24">
        <f>Data!R1235</f>
        <v>0</v>
      </c>
      <c r="R1122" s="24">
        <f>Data!S1235</f>
        <v>0</v>
      </c>
      <c r="S1122" s="24">
        <f>'TMT E DK'!E1235</f>
        <v>0</v>
      </c>
      <c r="T1122" s="24">
        <f>'TMT E DD'!E1235</f>
        <v>0</v>
      </c>
      <c r="U1122" s="24">
        <f>TA!E1235</f>
        <v>0</v>
      </c>
      <c r="V1122" s="109">
        <f>PR!F1235</f>
        <v>0</v>
      </c>
      <c r="W1122" s="109">
        <f>'Z Score'!I1235</f>
        <v>0</v>
      </c>
      <c r="X1122" s="109">
        <f>'Z Score'!L1235</f>
        <v>0</v>
      </c>
      <c r="Y1122" s="109">
        <f>'Z Score'!O1235</f>
        <v>0</v>
      </c>
      <c r="Z1122" s="109">
        <f>'Z Score'!R1235</f>
        <v>0</v>
      </c>
      <c r="AA1122" s="109">
        <f>'Z Score'!S1235</f>
        <v>0</v>
      </c>
    </row>
    <row r="1123" spans="1:27" ht="15" customHeight="1" x14ac:dyDescent="0.3">
      <c r="A1123" s="22"/>
      <c r="B1123" s="23"/>
      <c r="C1123" s="2"/>
      <c r="D1123" s="23">
        <v>2016</v>
      </c>
      <c r="E1123" s="25">
        <f>'Current Ratio'!G1236</f>
        <v>0</v>
      </c>
      <c r="F1123" s="25">
        <f>'Cash Ratio'!G1236</f>
        <v>0</v>
      </c>
      <c r="G1123" s="25">
        <f>DAR!G1236</f>
        <v>0</v>
      </c>
      <c r="H1123" s="25">
        <f>DER!G1236</f>
        <v>0</v>
      </c>
      <c r="I1123" s="25">
        <f>NPM!G1236</f>
        <v>0</v>
      </c>
      <c r="J1123" s="25">
        <f>ROA!G1236</f>
        <v>0</v>
      </c>
      <c r="K1123" s="25">
        <f>ROE!G1236</f>
        <v>0</v>
      </c>
      <c r="L1123" s="25">
        <f>KM!E1236</f>
        <v>0</v>
      </c>
      <c r="M1123" s="24">
        <f>KI!E1236</f>
        <v>0</v>
      </c>
      <c r="N1123" s="108">
        <f>IO!E1236</f>
        <v>0</v>
      </c>
      <c r="O1123" s="24">
        <f>'BoC Size'!E1236</f>
        <v>0</v>
      </c>
      <c r="P1123" s="24">
        <f>'TMT E DK'!E1236</f>
        <v>0</v>
      </c>
      <c r="Q1123" s="24">
        <f>Data!R1236</f>
        <v>0</v>
      </c>
      <c r="R1123" s="24">
        <f>Data!S1236</f>
        <v>0</v>
      </c>
      <c r="S1123" s="24">
        <f>'TMT E DK'!E1236</f>
        <v>0</v>
      </c>
      <c r="T1123" s="24">
        <f>'TMT E DD'!E1236</f>
        <v>0</v>
      </c>
      <c r="U1123" s="24">
        <f>TA!E1236</f>
        <v>0</v>
      </c>
      <c r="V1123" s="109">
        <f>PR!F1236</f>
        <v>0</v>
      </c>
      <c r="W1123" s="109">
        <f>'Z Score'!I1236</f>
        <v>0</v>
      </c>
      <c r="X1123" s="109">
        <f>'Z Score'!L1236</f>
        <v>0</v>
      </c>
      <c r="Y1123" s="109">
        <f>'Z Score'!O1236</f>
        <v>0</v>
      </c>
      <c r="Z1123" s="109">
        <f>'Z Score'!R1236</f>
        <v>0</v>
      </c>
      <c r="AA1123" s="109">
        <f>'Z Score'!S1236</f>
        <v>0</v>
      </c>
    </row>
    <row r="1124" spans="1:27" ht="15" customHeight="1" x14ac:dyDescent="0.3">
      <c r="A1124" s="22"/>
      <c r="B1124" s="23"/>
      <c r="C1124" s="2"/>
      <c r="D1124" s="23">
        <v>2017</v>
      </c>
      <c r="E1124" s="25">
        <f>'Current Ratio'!G1237</f>
        <v>0</v>
      </c>
      <c r="F1124" s="25">
        <f>'Cash Ratio'!G1237</f>
        <v>0</v>
      </c>
      <c r="G1124" s="25">
        <f>DAR!G1237</f>
        <v>0</v>
      </c>
      <c r="H1124" s="25">
        <f>DER!G1237</f>
        <v>0</v>
      </c>
      <c r="I1124" s="25">
        <f>NPM!G1237</f>
        <v>0</v>
      </c>
      <c r="J1124" s="25">
        <f>ROA!G1237</f>
        <v>0</v>
      </c>
      <c r="K1124" s="25">
        <f>ROE!G1237</f>
        <v>0</v>
      </c>
      <c r="L1124" s="25">
        <f>KM!E1237</f>
        <v>0</v>
      </c>
      <c r="M1124" s="24">
        <f>KI!E1237</f>
        <v>0</v>
      </c>
      <c r="N1124" s="108">
        <f>IO!E1237</f>
        <v>0</v>
      </c>
      <c r="O1124" s="24">
        <f>'BoC Size'!E1237</f>
        <v>0</v>
      </c>
      <c r="P1124" s="24">
        <f>'TMT E DK'!E1237</f>
        <v>0</v>
      </c>
      <c r="Q1124" s="24">
        <f>Data!R1237</f>
        <v>0</v>
      </c>
      <c r="R1124" s="24">
        <f>Data!S1237</f>
        <v>0</v>
      </c>
      <c r="S1124" s="24">
        <f>'TMT E DK'!E1237</f>
        <v>0</v>
      </c>
      <c r="T1124" s="24">
        <f>'TMT E DD'!E1237</f>
        <v>0</v>
      </c>
      <c r="U1124" s="24">
        <f>TA!E1237</f>
        <v>0</v>
      </c>
      <c r="V1124" s="109">
        <f>PR!F1237</f>
        <v>0</v>
      </c>
      <c r="W1124" s="109">
        <f>'Z Score'!I1237</f>
        <v>0</v>
      </c>
      <c r="X1124" s="109">
        <f>'Z Score'!L1237</f>
        <v>0</v>
      </c>
      <c r="Y1124" s="109">
        <f>'Z Score'!O1237</f>
        <v>0</v>
      </c>
      <c r="Z1124" s="109">
        <f>'Z Score'!R1237</f>
        <v>0</v>
      </c>
      <c r="AA1124" s="109">
        <f>'Z Score'!S1237</f>
        <v>0</v>
      </c>
    </row>
    <row r="1125" spans="1:27" ht="15" customHeight="1" x14ac:dyDescent="0.3">
      <c r="A1125" s="22"/>
      <c r="B1125" s="23"/>
      <c r="C1125" s="2"/>
      <c r="D1125" s="23">
        <v>2018</v>
      </c>
      <c r="E1125" s="25">
        <f>'Current Ratio'!G1238</f>
        <v>7.3169997165532878</v>
      </c>
      <c r="F1125" s="25">
        <f>'Cash Ratio'!G1238</f>
        <v>0.63764880952380953</v>
      </c>
      <c r="G1125" s="25">
        <f>DAR!G1238</f>
        <v>0.64146514879591476</v>
      </c>
      <c r="H1125" s="25">
        <f>DER!G1238</f>
        <v>1.7891291366561737</v>
      </c>
      <c r="I1125" s="25">
        <f>NPM!G1238</f>
        <v>0.15572376638425306</v>
      </c>
      <c r="J1125" s="25">
        <f>ROA!G1238</f>
        <v>2.7351276771766971E-2</v>
      </c>
      <c r="K1125" s="25">
        <f>ROE!G1238</f>
        <v>7.6286242968882464E-2</v>
      </c>
      <c r="L1125" s="25">
        <f>KM!E1238</f>
        <v>0</v>
      </c>
      <c r="M1125" s="24">
        <f>KI!E1238</f>
        <v>0</v>
      </c>
      <c r="N1125" s="108">
        <f>IO!E1238</f>
        <v>0</v>
      </c>
      <c r="O1125" s="24">
        <f>'BoC Size'!E1238</f>
        <v>0</v>
      </c>
      <c r="P1125" s="24">
        <f>'TMT E DK'!E1238</f>
        <v>0</v>
      </c>
      <c r="Q1125" s="24">
        <f>Data!R1238</f>
        <v>0</v>
      </c>
      <c r="R1125" s="24">
        <f>Data!S1238</f>
        <v>0</v>
      </c>
      <c r="S1125" s="24">
        <f>'TMT E DK'!E1238</f>
        <v>0</v>
      </c>
      <c r="T1125" s="24">
        <f>'TMT E DD'!E1238</f>
        <v>0</v>
      </c>
      <c r="U1125" s="24">
        <f>TA!E1238</f>
        <v>378337000000</v>
      </c>
      <c r="V1125" s="109">
        <f>PR!F1238</f>
        <v>0</v>
      </c>
      <c r="W1125" s="109">
        <f>'Z Score'!I1238</f>
        <v>3.0913946032241095</v>
      </c>
      <c r="X1125" s="109">
        <f>'Z Score'!L1238</f>
        <v>0.63392742449192119</v>
      </c>
      <c r="Y1125" s="109">
        <f>'Z Score'!O1238</f>
        <v>0.22813438812487277</v>
      </c>
      <c r="Z1125" s="109">
        <f>'Z Score'!R1238</f>
        <v>0.58687770406691664</v>
      </c>
      <c r="AA1125" s="109">
        <f>'Z Score'!S1238</f>
        <v>4.5403341199078202</v>
      </c>
    </row>
    <row r="1126" spans="1:27" ht="15" customHeight="1" x14ac:dyDescent="0.3">
      <c r="A1126" s="22"/>
      <c r="B1126" s="23"/>
      <c r="C1126" s="2"/>
      <c r="D1126" s="23">
        <v>2019</v>
      </c>
      <c r="E1126" s="25">
        <f>'Current Ratio'!G1239</f>
        <v>9.8287678259977422</v>
      </c>
      <c r="F1126" s="25">
        <f>'Cash Ratio'!G1239</f>
        <v>0.51195239560890526</v>
      </c>
      <c r="G1126" s="25">
        <f>DAR!G1239</f>
        <v>0.70049723601021818</v>
      </c>
      <c r="H1126" s="25">
        <f>DER!G1239</f>
        <v>2.3388842993173617</v>
      </c>
      <c r="I1126" s="25">
        <f>NPM!G1239</f>
        <v>2.916774323199265E-2</v>
      </c>
      <c r="J1126" s="25">
        <f>ROA!G1239</f>
        <v>4.4102294751783514E-3</v>
      </c>
      <c r="K1126" s="25">
        <f>ROE!G1239</f>
        <v>1.4725277910633796E-2</v>
      </c>
      <c r="L1126" s="25">
        <f>KM!E1239</f>
        <v>0.93369999999999997</v>
      </c>
      <c r="M1126" s="24">
        <f>KI!E1239</f>
        <v>2</v>
      </c>
      <c r="N1126" s="108">
        <f>IO!E1239</f>
        <v>0.05</v>
      </c>
      <c r="O1126" s="24">
        <f>'BoC Size'!E1239</f>
        <v>4</v>
      </c>
      <c r="P1126" s="24">
        <f>'TMT E DK'!E1239</f>
        <v>0</v>
      </c>
      <c r="Q1126" s="24">
        <f>Data!R1239</f>
        <v>4</v>
      </c>
      <c r="R1126" s="24">
        <f>Data!S1239</f>
        <v>3</v>
      </c>
      <c r="S1126" s="24">
        <f>'TMT E DK'!E1239</f>
        <v>0</v>
      </c>
      <c r="T1126" s="24">
        <f>'TMT E DD'!E1239</f>
        <v>0</v>
      </c>
      <c r="U1126" s="24">
        <f>TA!E1239</f>
        <v>460747000000</v>
      </c>
      <c r="V1126" s="109">
        <f>PR!F1239</f>
        <v>4.8381514198431924E-2</v>
      </c>
      <c r="W1126" s="109">
        <f>'Z Score'!I1239</f>
        <v>3.6756456797331287</v>
      </c>
      <c r="X1126" s="109">
        <f>'Z Score'!L1239</f>
        <v>0.53066706891200599</v>
      </c>
      <c r="Y1126" s="109">
        <f>'Z Score'!O1239</f>
        <v>-1.5897661840446058E-3</v>
      </c>
      <c r="Z1126" s="109">
        <f>'Z Score'!R1239</f>
        <v>0.44893199732302203</v>
      </c>
      <c r="AA1126" s="109">
        <f>'Z Score'!S1239</f>
        <v>4.6536549797841129</v>
      </c>
    </row>
    <row r="1127" spans="1:27" ht="15" customHeight="1" x14ac:dyDescent="0.3">
      <c r="A1127" s="22"/>
      <c r="B1127" s="23"/>
      <c r="C1127" s="2"/>
      <c r="D1127" s="23">
        <v>2020</v>
      </c>
      <c r="E1127" s="25">
        <f>'Current Ratio'!G1240</f>
        <v>15.230716468167364</v>
      </c>
      <c r="F1127" s="25">
        <f>'Cash Ratio'!G1240</f>
        <v>0.83481947995260963</v>
      </c>
      <c r="G1127" s="25">
        <f>DAR!G1240</f>
        <v>0.6732293155846738</v>
      </c>
      <c r="H1127" s="25">
        <f>DER!G1240</f>
        <v>2.060250039838329</v>
      </c>
      <c r="I1127" s="25">
        <f>NPM!G1240</f>
        <v>1.8603743515522093E-2</v>
      </c>
      <c r="J1127" s="25">
        <f>ROA!G1240</f>
        <v>2.7077435785766357E-3</v>
      </c>
      <c r="K1127" s="25">
        <f>ROE!G1240</f>
        <v>8.2863723942111292E-3</v>
      </c>
      <c r="L1127" s="25">
        <f>KM!E1240</f>
        <v>0.93369999999999997</v>
      </c>
      <c r="M1127" s="24">
        <f>KI!E1240</f>
        <v>2</v>
      </c>
      <c r="N1127" s="108">
        <f>IO!E1240</f>
        <v>0.05</v>
      </c>
      <c r="O1127" s="24">
        <f>'BoC Size'!E1240</f>
        <v>4</v>
      </c>
      <c r="P1127" s="24">
        <f>'TMT E DK'!E1240</f>
        <v>0</v>
      </c>
      <c r="Q1127" s="24">
        <f>Data!R1240</f>
        <v>4</v>
      </c>
      <c r="R1127" s="24">
        <f>Data!S1240</f>
        <v>3</v>
      </c>
      <c r="S1127" s="24">
        <f>'TMT E DK'!E1240</f>
        <v>0</v>
      </c>
      <c r="T1127" s="24">
        <f>'TMT E DD'!E1240</f>
        <v>0</v>
      </c>
      <c r="U1127" s="24">
        <f>TA!E1240</f>
        <v>422492000000</v>
      </c>
      <c r="V1127" s="109">
        <f>PR!F1240</f>
        <v>-0.11731691212356099</v>
      </c>
      <c r="W1127" s="109">
        <f>'Z Score'!I1240</f>
        <v>3.5435229069426164</v>
      </c>
      <c r="X1127" s="109">
        <f>'Z Score'!L1240</f>
        <v>4.7415572365867284E-2</v>
      </c>
      <c r="Y1127" s="109">
        <f>'Z Score'!O1240</f>
        <v>9.2729803167870637E-3</v>
      </c>
      <c r="Z1127" s="109">
        <f>'Z Score'!R1240</f>
        <v>0.50964687765878902</v>
      </c>
      <c r="AA1127" s="109">
        <f>'Z Score'!S1240</f>
        <v>4.1098583372840594</v>
      </c>
    </row>
    <row r="1128" spans="1:27" ht="15" customHeight="1" x14ac:dyDescent="0.3">
      <c r="A1128" s="22"/>
      <c r="B1128" s="23"/>
      <c r="C1128" s="2"/>
      <c r="D1128" s="23">
        <v>2021</v>
      </c>
      <c r="E1128" s="25">
        <f>'Current Ratio'!G1241</f>
        <v>13.514824797843666</v>
      </c>
      <c r="F1128" s="25">
        <f>'Cash Ratio'!G1241</f>
        <v>0.91220639199075859</v>
      </c>
      <c r="G1128" s="25">
        <f>DAR!G1241</f>
        <v>0.66011713640147462</v>
      </c>
      <c r="H1128" s="25">
        <f>DER!G1241</f>
        <v>1.942190110476457</v>
      </c>
      <c r="I1128" s="25">
        <f>NPM!G1241</f>
        <v>-0.67984189723320154</v>
      </c>
      <c r="J1128" s="25">
        <f>ROA!G1241</f>
        <v>-7.0567249375668925E-2</v>
      </c>
      <c r="K1128" s="25">
        <f>ROE!G1241</f>
        <v>-0.20762226323661906</v>
      </c>
      <c r="L1128" s="25">
        <f>KM!E1241</f>
        <v>0.9476</v>
      </c>
      <c r="M1128" s="24">
        <f>KI!E1241</f>
        <v>2</v>
      </c>
      <c r="N1128" s="108">
        <f>IO!E1241</f>
        <v>0.05</v>
      </c>
      <c r="O1128" s="24">
        <f>'BoC Size'!E1241</f>
        <v>4</v>
      </c>
      <c r="P1128" s="24">
        <f>'TMT E DK'!E1241</f>
        <v>0</v>
      </c>
      <c r="Q1128" s="24">
        <f>Data!R1241</f>
        <v>4</v>
      </c>
      <c r="R1128" s="24">
        <f>Data!S1241</f>
        <v>2</v>
      </c>
      <c r="S1128" s="24">
        <f>'TMT E DK'!E1241</f>
        <v>0</v>
      </c>
      <c r="T1128" s="24">
        <f>'TMT E DD'!E1241</f>
        <v>0</v>
      </c>
      <c r="U1128" s="24">
        <f>TA!E1241</f>
        <v>336360000000</v>
      </c>
      <c r="V1128" s="109">
        <f>PR!F1241</f>
        <v>-0.43222805847820078</v>
      </c>
      <c r="W1128" s="109">
        <f>'Z Score'!I1241</f>
        <v>3.1693209656320609</v>
      </c>
      <c r="X1128" s="109">
        <f>'Z Score'!L1241</f>
        <v>-0.1104306100606493</v>
      </c>
      <c r="Y1128" s="109">
        <f>'Z Score'!O1241</f>
        <v>-0.54369746699964316</v>
      </c>
      <c r="Z1128" s="109">
        <f>'Z Score'!R1241</f>
        <v>0.54062678742732073</v>
      </c>
      <c r="AA1128" s="109">
        <f>'Z Score'!S1241</f>
        <v>3.0558196759990892</v>
      </c>
    </row>
    <row r="1129" spans="1:27" ht="15" customHeight="1" x14ac:dyDescent="0.3">
      <c r="A1129" s="22"/>
      <c r="B1129" s="23"/>
      <c r="C1129" s="2"/>
      <c r="D1129" s="23">
        <v>2022</v>
      </c>
      <c r="E1129" s="25">
        <f>'Current Ratio'!G1242</f>
        <v>14.349294449670744</v>
      </c>
      <c r="F1129" s="25">
        <f>'Cash Ratio'!G1242</f>
        <v>6.0835371589840079</v>
      </c>
      <c r="G1129" s="25">
        <f>DAR!G1242</f>
        <v>0.33847519382252172</v>
      </c>
      <c r="H1129" s="25">
        <f>DER!G1242</f>
        <v>0.84041069925531842</v>
      </c>
      <c r="I1129" s="25">
        <f>NPM!G1242</f>
        <v>-3.6533872209391838</v>
      </c>
      <c r="J1129" s="25">
        <f>ROA!G1242</f>
        <v>-9.8246540177416186E-2</v>
      </c>
      <c r="K1129" s="25">
        <f>ROE!G1242</f>
        <v>-0.24393942314488201</v>
      </c>
      <c r="L1129" s="25">
        <f>KM!E1242</f>
        <v>0.99850000000000005</v>
      </c>
      <c r="M1129" s="24">
        <f>KI!E1242</f>
        <v>1</v>
      </c>
      <c r="N1129" s="108">
        <f>IO!E1242</f>
        <v>0</v>
      </c>
      <c r="O1129" s="24">
        <f>'BoC Size'!E1242</f>
        <v>3</v>
      </c>
      <c r="P1129" s="24">
        <f>'TMT E DK'!E1242</f>
        <v>0</v>
      </c>
      <c r="Q1129" s="24">
        <f>Data!R1242</f>
        <v>3</v>
      </c>
      <c r="R1129" s="24">
        <f>Data!S1242</f>
        <v>3</v>
      </c>
      <c r="S1129" s="24">
        <f>'TMT E DK'!E1242</f>
        <v>0</v>
      </c>
      <c r="T1129" s="24">
        <f>'TMT E DD'!E1242</f>
        <v>0</v>
      </c>
      <c r="U1129" s="24">
        <f>TA!E1242</f>
        <v>386436000000</v>
      </c>
      <c r="V1129" s="109">
        <f>PR!F1242</f>
        <v>-0.70235435641862864</v>
      </c>
      <c r="W1129" s="109">
        <f>'Z Score'!I1242</f>
        <v>2.408894823463652</v>
      </c>
      <c r="X1129" s="109">
        <f>'Z Score'!L1242</f>
        <v>-0.34794558477988591</v>
      </c>
      <c r="Y1129" s="109">
        <f>'Z Score'!O1242</f>
        <v>-0.5004403316461199</v>
      </c>
      <c r="Z1129" s="109">
        <f>'Z Score'!R1242</f>
        <v>1.2493891390606962</v>
      </c>
      <c r="AA1129" s="109">
        <f>'Z Score'!S1242</f>
        <v>2.8098980460983425</v>
      </c>
    </row>
    <row r="1130" spans="1:27" ht="15" customHeight="1" x14ac:dyDescent="0.3">
      <c r="A1130" s="22"/>
      <c r="B1130" s="23"/>
      <c r="C1130" s="2"/>
      <c r="D1130" s="23">
        <v>2023</v>
      </c>
      <c r="E1130" s="25">
        <f>'Current Ratio'!G1243</f>
        <v>5.0211508354899514</v>
      </c>
      <c r="F1130" s="25">
        <f>'Cash Ratio'!G1243</f>
        <v>1.1577366689031598</v>
      </c>
      <c r="G1130" s="25">
        <f>DAR!G1243</f>
        <v>0.61053435840721115</v>
      </c>
      <c r="H1130" s="25">
        <f>DER!G1243</f>
        <v>1.5676205888414769</v>
      </c>
      <c r="I1130" s="25">
        <f>NPM!G1243</f>
        <v>-0.43453105431197192</v>
      </c>
      <c r="J1130" s="25">
        <f>ROA!G1243</f>
        <v>-7.3235701586961827E-2</v>
      </c>
      <c r="K1130" s="25">
        <f>ROE!G1243</f>
        <v>-0.18804149523293359</v>
      </c>
      <c r="L1130" s="25">
        <f>KM!E1243</f>
        <v>0.99850000000000005</v>
      </c>
      <c r="M1130" s="24">
        <f>KI!E1243</f>
        <v>2</v>
      </c>
      <c r="N1130" s="108">
        <f>IO!E1243</f>
        <v>0</v>
      </c>
      <c r="O1130" s="24">
        <f>'BoC Size'!E1243</f>
        <v>3</v>
      </c>
      <c r="P1130" s="24">
        <f>'TMT E DK'!E1243</f>
        <v>0</v>
      </c>
      <c r="Q1130" s="24">
        <f>Data!R1243</f>
        <v>3</v>
      </c>
      <c r="R1130" s="24">
        <f>Data!S1243</f>
        <v>3</v>
      </c>
      <c r="S1130" s="24">
        <f>'TMT E DK'!E1243</f>
        <v>0</v>
      </c>
      <c r="T1130" s="24">
        <f>'TMT E DD'!E1243</f>
        <v>0</v>
      </c>
      <c r="U1130" s="24">
        <f>TA!E1243</f>
        <v>336366000000</v>
      </c>
      <c r="V1130" s="109">
        <f>PR!F1243</f>
        <v>4.4552540415704387</v>
      </c>
      <c r="W1130" s="109">
        <f>'Z Score'!I1243</f>
        <v>2.454553908540102</v>
      </c>
      <c r="X1130" s="109">
        <f>'Z Score'!L1243</f>
        <v>-0.643130042869969</v>
      </c>
      <c r="Y1130" s="109">
        <f>'Z Score'!O1243</f>
        <v>-0.50171349066195747</v>
      </c>
      <c r="Z1130" s="109">
        <f>'Z Score'!R1243</f>
        <v>0.6698049307811047</v>
      </c>
      <c r="AA1130" s="109">
        <f>'Z Score'!S1243</f>
        <v>1.9795153057892803</v>
      </c>
    </row>
    <row r="1131" spans="1:27" ht="15" customHeight="1" x14ac:dyDescent="0.3">
      <c r="A1131" s="22"/>
      <c r="B1131" s="23"/>
      <c r="C1131" s="2"/>
      <c r="D1131" s="23">
        <v>2024</v>
      </c>
      <c r="E1131" s="25">
        <f>'Current Ratio'!G1244</f>
        <v>1.6630839168679734</v>
      </c>
      <c r="F1131" s="25">
        <f>'Cash Ratio'!G1244</f>
        <v>0.46104332935816283</v>
      </c>
      <c r="G1131" s="25">
        <f>DAR!G1244</f>
        <v>1.4959355894018107</v>
      </c>
      <c r="H1131" s="25">
        <f>DER!G1244</f>
        <v>1.8217214427034005</v>
      </c>
      <c r="I1131" s="25">
        <f>NPM!G1244</f>
        <v>0.36865713484721052</v>
      </c>
      <c r="J1131" s="25">
        <f>ROA!G1244</f>
        <v>0.45858508138508247</v>
      </c>
      <c r="K1131" s="25">
        <f>ROE!G1244</f>
        <v>0.55845604715985886</v>
      </c>
      <c r="L1131" s="25">
        <f>KM!E1244</f>
        <v>0.99850000000000005</v>
      </c>
      <c r="M1131" s="24">
        <f>KI!E1244</f>
        <v>2</v>
      </c>
      <c r="N1131" s="108">
        <f>IO!E1244</f>
        <v>0</v>
      </c>
      <c r="O1131" s="24">
        <f>'BoC Size'!E1244</f>
        <v>3</v>
      </c>
      <c r="P1131" s="24">
        <f>'TMT E DK'!E1244</f>
        <v>0</v>
      </c>
      <c r="Q1131" s="24">
        <f>Data!R1244</f>
        <v>3</v>
      </c>
      <c r="R1131" s="24">
        <f>Data!S1244</f>
        <v>3</v>
      </c>
      <c r="S1131" s="24">
        <f>'TMT E DK'!E1244</f>
        <v>0</v>
      </c>
      <c r="T1131" s="24">
        <f>'TMT E DD'!E1244</f>
        <v>0</v>
      </c>
      <c r="U1131" s="24">
        <f>TA!E1244</f>
        <v>361307000000</v>
      </c>
      <c r="V1131" s="109">
        <f>PR!F1244</f>
        <v>6.9279250674710271</v>
      </c>
      <c r="W1131" s="109">
        <f>'Z Score'!I1244</f>
        <v>2.362298654606747</v>
      </c>
      <c r="X1131" s="109">
        <f>'Z Score'!L1244</f>
        <v>0.89530515600306648</v>
      </c>
      <c r="Y1131" s="109">
        <f>'Z Score'!O1244</f>
        <v>3.389656331042576</v>
      </c>
      <c r="Z1131" s="109">
        <f>'Z Score'!R1244</f>
        <v>0.57637791123642912</v>
      </c>
      <c r="AA1131" s="109">
        <f>'Z Score'!S1244</f>
        <v>7.2236380528888189</v>
      </c>
    </row>
    <row r="1132" spans="1:27" ht="15" customHeight="1" x14ac:dyDescent="0.3">
      <c r="A1132" s="22"/>
      <c r="B1132" s="23">
        <v>114</v>
      </c>
      <c r="C1132" s="2" t="s">
        <v>107</v>
      </c>
      <c r="D1132" s="23">
        <v>2015</v>
      </c>
      <c r="E1132" s="25">
        <f>'Current Ratio'!G1246</f>
        <v>1.8020521584221043</v>
      </c>
      <c r="F1132" s="25">
        <f>'Cash Ratio'!G1246</f>
        <v>0.25890958713597739</v>
      </c>
      <c r="G1132" s="25">
        <f>DAR!G1246</f>
        <v>0.27372801374417671</v>
      </c>
      <c r="H1132" s="25">
        <f>DER!G1246</f>
        <v>0.37689463303594678</v>
      </c>
      <c r="I1132" s="25">
        <f>NPM!G1246</f>
        <v>0.30995512595592006</v>
      </c>
      <c r="J1132" s="25">
        <f>ROA!G1246</f>
        <v>8.4702507772228958E-2</v>
      </c>
      <c r="K1132" s="25">
        <f>ROE!G1246</f>
        <v>0.11662642835626762</v>
      </c>
      <c r="L1132" s="25">
        <f>KM!E1246</f>
        <v>0.54</v>
      </c>
      <c r="M1132" s="24">
        <f>KI!E1246</f>
        <v>2</v>
      </c>
      <c r="N1132" s="108">
        <f>IO!E1246</f>
        <v>0.23</v>
      </c>
      <c r="O1132" s="24">
        <f>'BoC Size'!E1246</f>
        <v>3</v>
      </c>
      <c r="P1132" s="24">
        <f>'TMT E DK'!E1246</f>
        <v>5</v>
      </c>
      <c r="Q1132" s="24">
        <f>Data!R1246</f>
        <v>3</v>
      </c>
      <c r="R1132" s="24">
        <f>Data!S1246</f>
        <v>3</v>
      </c>
      <c r="S1132" s="24">
        <f>'TMT E DK'!E1246</f>
        <v>5</v>
      </c>
      <c r="T1132" s="24">
        <f>'TMT E DD'!E1246</f>
        <v>5</v>
      </c>
      <c r="U1132" s="24">
        <f>TA!E1246</f>
        <v>159252900000</v>
      </c>
      <c r="V1132" s="109">
        <f>PR!F1246</f>
        <v>0.21897467354587163</v>
      </c>
      <c r="W1132" s="109">
        <f>'Z Score'!I1246</f>
        <v>0.68322401915443953</v>
      </c>
      <c r="X1132" s="109">
        <f>'Z Score'!L1246</f>
        <v>0.89356682107515784</v>
      </c>
      <c r="Y1132" s="109">
        <f>'Z Score'!O1246</f>
        <v>0.70533607865225689</v>
      </c>
      <c r="Z1132" s="109">
        <f>'Z Score'!R1246</f>
        <v>2.7859245209784005</v>
      </c>
      <c r="AA1132" s="109">
        <f>'Z Score'!S1246</f>
        <v>5.0680514398602545</v>
      </c>
    </row>
    <row r="1133" spans="1:27" ht="15" customHeight="1" x14ac:dyDescent="0.3">
      <c r="A1133" s="22"/>
      <c r="B1133" s="23"/>
      <c r="C1133" s="2"/>
      <c r="D1133" s="23">
        <v>2016</v>
      </c>
      <c r="E1133" s="25">
        <f>'Current Ratio'!G1247</f>
        <v>1.988174742037577</v>
      </c>
      <c r="F1133" s="25">
        <f>'Cash Ratio'!G1247</f>
        <v>0.27575537965500402</v>
      </c>
      <c r="G1133" s="25">
        <f>DAR!G1247</f>
        <v>0.25652218254476161</v>
      </c>
      <c r="H1133" s="25">
        <f>DER!G1247</f>
        <v>0.34503004194904002</v>
      </c>
      <c r="I1133" s="25">
        <f>NPM!G1247</f>
        <v>0.17642431656095192</v>
      </c>
      <c r="J1133" s="25">
        <f>ROA!G1247</f>
        <v>5.2065939097254897E-2</v>
      </c>
      <c r="K1133" s="25">
        <f>ROE!G1247</f>
        <v>7.0030252248096919E-2</v>
      </c>
      <c r="L1133" s="25">
        <f>KM!E1247</f>
        <v>0.54</v>
      </c>
      <c r="M1133" s="24">
        <f>KI!E1247</f>
        <v>2</v>
      </c>
      <c r="N1133" s="108">
        <f>IO!E1247</f>
        <v>0.23</v>
      </c>
      <c r="O1133" s="24">
        <f>'BoC Size'!E1247</f>
        <v>3</v>
      </c>
      <c r="P1133" s="24">
        <f>'TMT E DK'!E1247</f>
        <v>5</v>
      </c>
      <c r="Q1133" s="24">
        <f>Data!R1247</f>
        <v>3</v>
      </c>
      <c r="R1133" s="24">
        <f>Data!S1247</f>
        <v>2</v>
      </c>
      <c r="S1133" s="24">
        <f>'TMT E DK'!E1247</f>
        <v>5</v>
      </c>
      <c r="T1133" s="24">
        <f>'TMT E DD'!E1247</f>
        <v>2</v>
      </c>
      <c r="U1133" s="24">
        <f>TA!E1247</f>
        <v>161493870000</v>
      </c>
      <c r="V1133" s="109">
        <f>PR!F1247</f>
        <v>9.5132100279437373E-2</v>
      </c>
      <c r="W1133" s="109">
        <f>'Z Score'!I1247</f>
        <v>0.79813979812360636</v>
      </c>
      <c r="X1133" s="109">
        <f>'Z Score'!L1247</f>
        <v>0.90815823783280436</v>
      </c>
      <c r="Y1133" s="109">
        <f>'Z Score'!O1247</f>
        <v>0.44480140825159487</v>
      </c>
      <c r="Z1133" s="109">
        <f>'Z Score'!R1247</f>
        <v>3.043213263600629</v>
      </c>
      <c r="AA1133" s="109">
        <f>'Z Score'!S1247</f>
        <v>5.1943127078086349</v>
      </c>
    </row>
    <row r="1134" spans="1:27" ht="15" customHeight="1" x14ac:dyDescent="0.3">
      <c r="A1134" s="22"/>
      <c r="B1134" s="23"/>
      <c r="C1134" s="2"/>
      <c r="D1134" s="23">
        <v>2017</v>
      </c>
      <c r="E1134" s="25">
        <f>'Current Ratio'!G1248</f>
        <v>1.9322930744317064</v>
      </c>
      <c r="F1134" s="25">
        <f>'Cash Ratio'!G1248</f>
        <v>0.18709733014760518</v>
      </c>
      <c r="G1134" s="25">
        <f>DAR!G1248</f>
        <v>0.23170112209815674</v>
      </c>
      <c r="H1134" s="25">
        <f>DER!G1248</f>
        <v>0.30157680658198038</v>
      </c>
      <c r="I1134" s="25">
        <f>NPM!G1248</f>
        <v>0.12221081187992251</v>
      </c>
      <c r="J1134" s="25">
        <f>ROA!G1248</f>
        <v>3.5033156627967688E-2</v>
      </c>
      <c r="K1134" s="25">
        <f>ROE!G1248</f>
        <v>4.5598344128316523E-2</v>
      </c>
      <c r="L1134" s="25">
        <f>KM!E1248</f>
        <v>0.54</v>
      </c>
      <c r="M1134" s="24">
        <f>KI!E1248</f>
        <v>2</v>
      </c>
      <c r="N1134" s="108">
        <f>IO!E1248</f>
        <v>0.23</v>
      </c>
      <c r="O1134" s="24">
        <f>'BoC Size'!E1248</f>
        <v>3</v>
      </c>
      <c r="P1134" s="24">
        <f>'TMT E DK'!E1248</f>
        <v>5</v>
      </c>
      <c r="Q1134" s="24">
        <f>Data!R1248</f>
        <v>3</v>
      </c>
      <c r="R1134" s="24">
        <f>Data!S1248</f>
        <v>4</v>
      </c>
      <c r="S1134" s="24">
        <f>'TMT E DK'!E1248</f>
        <v>5</v>
      </c>
      <c r="T1134" s="24">
        <f>'TMT E DD'!E1248</f>
        <v>4</v>
      </c>
      <c r="U1134" s="24">
        <f>TA!E1248</f>
        <v>161558950000</v>
      </c>
      <c r="V1134" s="109">
        <f>PR!F1248</f>
        <v>-2.8261613060929884E-2</v>
      </c>
      <c r="W1134" s="109">
        <f>'Z Score'!I1248</f>
        <v>0.80390691323507613</v>
      </c>
      <c r="X1134" s="109">
        <f>'Z Score'!L1248</f>
        <v>0.96541746031402143</v>
      </c>
      <c r="Y1134" s="109">
        <f>'Z Score'!O1248</f>
        <v>0.27612699389294121</v>
      </c>
      <c r="Z1134" s="109">
        <f>'Z Score'!R1248</f>
        <v>3.4817001078448948</v>
      </c>
      <c r="AA1134" s="109">
        <f>'Z Score'!S1248</f>
        <v>5.5271514752869333</v>
      </c>
    </row>
    <row r="1135" spans="1:27" ht="15" customHeight="1" x14ac:dyDescent="0.3">
      <c r="A1135" s="22"/>
      <c r="B1135" s="23"/>
      <c r="C1135" s="2"/>
      <c r="D1135" s="23">
        <v>2018</v>
      </c>
      <c r="E1135" s="25">
        <f>'Current Ratio'!G1249</f>
        <v>2.3142448381210654</v>
      </c>
      <c r="F1135" s="25">
        <f>'Cash Ratio'!G1249</f>
        <v>0.30869154357976286</v>
      </c>
      <c r="G1135" s="25">
        <f>DAR!G1249</f>
        <v>0.22840958144971626</v>
      </c>
      <c r="H1135" s="25">
        <f>DER!G1249</f>
        <v>0.29602438801516956</v>
      </c>
      <c r="I1135" s="25">
        <f>NPM!G1249</f>
        <v>7.0094517861513633E-2</v>
      </c>
      <c r="J1135" s="25">
        <f>ROA!G1249</f>
        <v>2.0103703866147318E-2</v>
      </c>
      <c r="K1135" s="25">
        <f>ROE!G1249</f>
        <v>2.6054890499961774E-2</v>
      </c>
      <c r="L1135" s="25">
        <f>KM!E1249</f>
        <v>0.54</v>
      </c>
      <c r="M1135" s="24">
        <f>KI!E1249</f>
        <v>2</v>
      </c>
      <c r="N1135" s="108">
        <f>IO!E1249</f>
        <v>0.23</v>
      </c>
      <c r="O1135" s="24">
        <f>'BoC Size'!E1249</f>
        <v>3</v>
      </c>
      <c r="P1135" s="24">
        <f>'TMT E DK'!E1249</f>
        <v>5</v>
      </c>
      <c r="Q1135" s="24">
        <f>Data!R1249</f>
        <v>3</v>
      </c>
      <c r="R1135" s="24">
        <f>Data!S1249</f>
        <v>3</v>
      </c>
      <c r="S1135" s="24">
        <f>'TMT E DK'!E1249</f>
        <v>5</v>
      </c>
      <c r="T1135" s="24">
        <f>'TMT E DD'!E1249</f>
        <v>3</v>
      </c>
      <c r="U1135" s="24">
        <f>TA!E1249</f>
        <v>163247530000</v>
      </c>
      <c r="V1135" s="109">
        <f>PR!F1249</f>
        <v>1.0969331130340753E-2</v>
      </c>
      <c r="W1135" s="109">
        <f>'Z Score'!I1249</f>
        <v>1.060180353111621</v>
      </c>
      <c r="X1135" s="109">
        <f>'Z Score'!L1249</f>
        <v>0.98327121519082095</v>
      </c>
      <c r="Y1135" s="109">
        <f>'Z Score'!O1249</f>
        <v>0.16271825736046358</v>
      </c>
      <c r="Z1135" s="109">
        <f>'Z Score'!R1249</f>
        <v>3.5470050526586805</v>
      </c>
      <c r="AA1135" s="109">
        <f>'Z Score'!S1249</f>
        <v>5.7531748783215857</v>
      </c>
    </row>
    <row r="1136" spans="1:27" ht="15" customHeight="1" x14ac:dyDescent="0.3">
      <c r="A1136" s="22"/>
      <c r="B1136" s="23"/>
      <c r="C1136" s="2"/>
      <c r="D1136" s="23">
        <v>2019</v>
      </c>
      <c r="E1136" s="25">
        <f>'Current Ratio'!G1250</f>
        <v>1.6125286597810773</v>
      </c>
      <c r="F1136" s="25">
        <f>'Cash Ratio'!G1250</f>
        <v>0.12435550666985319</v>
      </c>
      <c r="G1136" s="25">
        <f>DAR!G1250</f>
        <v>0.31176372002884378</v>
      </c>
      <c r="H1136" s="25">
        <f>DER!G1250</f>
        <v>0.45298937167611936</v>
      </c>
      <c r="I1136" s="25">
        <f>NPM!G1250</f>
        <v>8.7423234805061673E-2</v>
      </c>
      <c r="J1136" s="25">
        <f>ROA!G1250</f>
        <v>2.6263239500225011E-2</v>
      </c>
      <c r="K1136" s="25">
        <f>ROE!G1250</f>
        <v>3.8160207859611377E-2</v>
      </c>
      <c r="L1136" s="25">
        <f>KM!E1250</f>
        <v>0.54</v>
      </c>
      <c r="M1136" s="24">
        <f>KI!E1250</f>
        <v>2</v>
      </c>
      <c r="N1136" s="108">
        <f>IO!E1250</f>
        <v>0.23</v>
      </c>
      <c r="O1136" s="24">
        <f>'BoC Size'!E1250</f>
        <v>4</v>
      </c>
      <c r="P1136" s="24">
        <f>'TMT E DK'!E1250</f>
        <v>6</v>
      </c>
      <c r="Q1136" s="24">
        <f>Data!R1250</f>
        <v>4</v>
      </c>
      <c r="R1136" s="24">
        <f>Data!S1250</f>
        <v>4</v>
      </c>
      <c r="S1136" s="24">
        <f>'TMT E DK'!E1250</f>
        <v>6</v>
      </c>
      <c r="T1136" s="24">
        <f>'TMT E DD'!E1250</f>
        <v>8</v>
      </c>
      <c r="U1136" s="24">
        <f>TA!E1250</f>
        <v>190280030000</v>
      </c>
      <c r="V1136" s="109">
        <f>PR!F1250</f>
        <v>0.22088846020933439</v>
      </c>
      <c r="W1136" s="109">
        <f>'Z Score'!I1250</f>
        <v>0.80673093860664224</v>
      </c>
      <c r="X1136" s="109">
        <f>'Z Score'!L1250</f>
        <v>0.93260844766526463</v>
      </c>
      <c r="Y1136" s="109">
        <f>'Z Score'!O1250</f>
        <v>0.21660448130053375</v>
      </c>
      <c r="Z1136" s="109">
        <f>'Z Score'!R1250</f>
        <v>2.3179351782909698</v>
      </c>
      <c r="AA1136" s="109">
        <f>'Z Score'!S1250</f>
        <v>4.2738790458634099</v>
      </c>
    </row>
    <row r="1137" spans="1:27" ht="15" customHeight="1" x14ac:dyDescent="0.3">
      <c r="A1137" s="22"/>
      <c r="B1137" s="23"/>
      <c r="C1137" s="2"/>
      <c r="D1137" s="23">
        <v>2020</v>
      </c>
      <c r="E1137" s="25">
        <f>'Current Ratio'!G1251</f>
        <v>1.5842157444511447</v>
      </c>
      <c r="F1137" s="25">
        <f>'Cash Ratio'!G1251</f>
        <v>8.0085636725036533E-2</v>
      </c>
      <c r="G1137" s="25">
        <f>DAR!G1251</f>
        <v>0.33018785541042373</v>
      </c>
      <c r="H1137" s="25">
        <f>DER!G1251</f>
        <v>0.49295591021680346</v>
      </c>
      <c r="I1137" s="25">
        <f>NPM!G1251</f>
        <v>5.4490641162899235E-2</v>
      </c>
      <c r="J1137" s="25">
        <f>ROA!G1251</f>
        <v>1.2188850400172785E-2</v>
      </c>
      <c r="K1137" s="25">
        <f>ROE!G1251</f>
        <v>1.8197416243686409E-2</v>
      </c>
      <c r="L1137" s="25">
        <f>KM!E1251</f>
        <v>0.54</v>
      </c>
      <c r="M1137" s="24">
        <f>KI!E1251</f>
        <v>2</v>
      </c>
      <c r="N1137" s="108">
        <f>IO!E1251</f>
        <v>0.23</v>
      </c>
      <c r="O1137" s="24">
        <f>'BoC Size'!E1251</f>
        <v>4</v>
      </c>
      <c r="P1137" s="24">
        <f>'TMT E DK'!E1251</f>
        <v>6</v>
      </c>
      <c r="Q1137" s="24">
        <f>Data!R1251</f>
        <v>4</v>
      </c>
      <c r="R1137" s="24">
        <f>Data!S1251</f>
        <v>4</v>
      </c>
      <c r="S1137" s="24">
        <f>'TMT E DK'!E1251</f>
        <v>6</v>
      </c>
      <c r="T1137" s="24">
        <f>'TMT E DD'!E1251</f>
        <v>8</v>
      </c>
      <c r="U1137" s="24">
        <f>TA!E1251</f>
        <v>199137730000</v>
      </c>
      <c r="V1137" s="109">
        <f>PR!F1251</f>
        <v>-0.22074473063409078</v>
      </c>
      <c r="W1137" s="109">
        <f>'Z Score'!I1251</f>
        <v>0.84031514068177826</v>
      </c>
      <c r="X1137" s="109">
        <f>'Z Score'!L1251</f>
        <v>0.94102215185439742</v>
      </c>
      <c r="Y1137" s="109">
        <f>'Z Score'!O1251</f>
        <v>0.15477773297907935</v>
      </c>
      <c r="Z1137" s="109">
        <f>'Z Score'!R1251</f>
        <v>2.1300079342556355</v>
      </c>
      <c r="AA1137" s="109">
        <f>'Z Score'!S1251</f>
        <v>4.0661229597708903</v>
      </c>
    </row>
    <row r="1138" spans="1:27" ht="15" customHeight="1" x14ac:dyDescent="0.3">
      <c r="A1138" s="22"/>
      <c r="B1138" s="23"/>
      <c r="C1138" s="2"/>
      <c r="D1138" s="23">
        <v>2021</v>
      </c>
      <c r="E1138" s="25">
        <f>'Current Ratio'!G1252</f>
        <v>2.1088771310118437</v>
      </c>
      <c r="F1138" s="25">
        <f>'Cash Ratio'!G1252</f>
        <v>0.11169743371804862</v>
      </c>
      <c r="G1138" s="25">
        <f>DAR!G1252</f>
        <v>0.3700250786938849</v>
      </c>
      <c r="H1138" s="25">
        <f>DER!G1252</f>
        <v>0.58736477624651928</v>
      </c>
      <c r="I1138" s="25">
        <f>NPM!G1252</f>
        <v>8.4634331100671339E-2</v>
      </c>
      <c r="J1138" s="25">
        <f>ROA!G1252</f>
        <v>1.8927441471136779E-2</v>
      </c>
      <c r="K1138" s="25">
        <f>ROE!G1252</f>
        <v>3.004475389575012E-2</v>
      </c>
      <c r="L1138" s="25">
        <f>KM!E1252</f>
        <v>0.54</v>
      </c>
      <c r="M1138" s="24">
        <f>KI!E1252</f>
        <v>2</v>
      </c>
      <c r="N1138" s="108">
        <f>IO!E1252</f>
        <v>0</v>
      </c>
      <c r="O1138" s="24">
        <f>'BoC Size'!E1252</f>
        <v>4</v>
      </c>
      <c r="P1138" s="24">
        <f>'TMT E DK'!E1252</f>
        <v>6</v>
      </c>
      <c r="Q1138" s="24">
        <f>Data!R1252</f>
        <v>4</v>
      </c>
      <c r="R1138" s="24">
        <f>Data!S1252</f>
        <v>2</v>
      </c>
      <c r="S1138" s="24">
        <f>'TMT E DK'!E1252</f>
        <v>6</v>
      </c>
      <c r="T1138" s="24">
        <f>'TMT E DD'!E1252</f>
        <v>4</v>
      </c>
      <c r="U1138" s="24">
        <f>TA!E1252</f>
        <v>218288880000</v>
      </c>
      <c r="V1138" s="109">
        <f>PR!F1252</f>
        <v>9.592939918773416E-2</v>
      </c>
      <c r="W1138" s="109">
        <f>'Z Score'!I1252</f>
        <v>1.3432102414012115</v>
      </c>
      <c r="X1138" s="109">
        <f>'Z Score'!L1252</f>
        <v>0.92139043454710101</v>
      </c>
      <c r="Y1138" s="109">
        <f>'Z Score'!O1252</f>
        <v>0.16144829732050481</v>
      </c>
      <c r="Z1138" s="109">
        <f>'Z Score'!R1252</f>
        <v>1.7876455015057133</v>
      </c>
      <c r="AA1138" s="109">
        <f>'Z Score'!S1252</f>
        <v>4.2136944747745311</v>
      </c>
    </row>
    <row r="1139" spans="1:27" ht="15" customHeight="1" x14ac:dyDescent="0.3">
      <c r="A1139" s="22"/>
      <c r="B1139" s="23"/>
      <c r="C1139" s="2"/>
      <c r="D1139" s="23">
        <v>2022</v>
      </c>
      <c r="E1139" s="25">
        <f>'Current Ratio'!G1253</f>
        <v>2.3133828413054935</v>
      </c>
      <c r="F1139" s="25">
        <f>'Cash Ratio'!G1253</f>
        <v>0.10998485407555111</v>
      </c>
      <c r="G1139" s="25">
        <f>DAR!G1253</f>
        <v>0.3764501811295537</v>
      </c>
      <c r="H1139" s="25">
        <f>DER!G1253</f>
        <v>0.60372109771676163</v>
      </c>
      <c r="I1139" s="25">
        <f>NPM!G1253</f>
        <v>5.3284101378591193E-2</v>
      </c>
      <c r="J1139" s="25">
        <f>ROA!G1253</f>
        <v>1.1634822208430944E-2</v>
      </c>
      <c r="K1139" s="25">
        <f>ROE!G1253</f>
        <v>1.8659009843844231E-2</v>
      </c>
      <c r="L1139" s="25">
        <f>KM!E1253</f>
        <v>0.54</v>
      </c>
      <c r="M1139" s="24">
        <f>KI!E1253</f>
        <v>1</v>
      </c>
      <c r="N1139" s="108">
        <f>IO!E1253</f>
        <v>0</v>
      </c>
      <c r="O1139" s="24">
        <f>'BoC Size'!E1253</f>
        <v>3</v>
      </c>
      <c r="P1139" s="24">
        <f>'TMT E DK'!E1253</f>
        <v>5</v>
      </c>
      <c r="Q1139" s="24">
        <f>Data!R1253</f>
        <v>3</v>
      </c>
      <c r="R1139" s="24">
        <f>Data!S1253</f>
        <v>3</v>
      </c>
      <c r="S1139" s="24">
        <f>'TMT E DK'!E1253</f>
        <v>5</v>
      </c>
      <c r="T1139" s="24">
        <f>'TMT E DD'!E1253</f>
        <v>5</v>
      </c>
      <c r="U1139" s="24">
        <f>TA!E1253</f>
        <v>224731410000</v>
      </c>
      <c r="V1139" s="109">
        <f>PR!F1253</f>
        <v>5.1917687164849766E-3</v>
      </c>
      <c r="W1139" s="109">
        <f>'Z Score'!I1253</f>
        <v>1.6665772034269704</v>
      </c>
      <c r="X1139" s="109">
        <f>'Z Score'!L1253</f>
        <v>0.9252336342303018</v>
      </c>
      <c r="Y1139" s="109">
        <f>'Z Score'!O1253</f>
        <v>9.9503399191061007E-2</v>
      </c>
      <c r="Z1139" s="109">
        <f>'Z Score'!R1253</f>
        <v>1.739213693162355</v>
      </c>
      <c r="AA1139" s="109">
        <f>'Z Score'!S1253</f>
        <v>4.4305279300106886</v>
      </c>
    </row>
    <row r="1140" spans="1:27" ht="15" customHeight="1" x14ac:dyDescent="0.3">
      <c r="A1140" s="22"/>
      <c r="B1140" s="23"/>
      <c r="C1140" s="2"/>
      <c r="D1140" s="23">
        <v>2023</v>
      </c>
      <c r="E1140" s="25">
        <f>'Current Ratio'!G1254</f>
        <v>2.6068501424396961</v>
      </c>
      <c r="F1140" s="25">
        <f>'Cash Ratio'!G1254</f>
        <v>0.1148938857365767</v>
      </c>
      <c r="G1140" s="25">
        <f>DAR!G1254</f>
        <v>0.39802836245392675</v>
      </c>
      <c r="H1140" s="25">
        <f>DER!G1254</f>
        <v>0.66120783377184067</v>
      </c>
      <c r="I1140" s="25">
        <f>NPM!G1254</f>
        <v>7.3790291388999632E-2</v>
      </c>
      <c r="J1140" s="25">
        <f>ROA!G1254</f>
        <v>2.1610267713094353E-2</v>
      </c>
      <c r="K1140" s="25">
        <f>ROE!G1254</f>
        <v>3.5899146014899019E-2</v>
      </c>
      <c r="L1140" s="25">
        <f>KM!E1254</f>
        <v>0.54</v>
      </c>
      <c r="M1140" s="24">
        <f>KI!E1254</f>
        <v>1</v>
      </c>
      <c r="N1140" s="108">
        <f>IO!E1254</f>
        <v>0</v>
      </c>
      <c r="O1140" s="24">
        <f>'BoC Size'!E1254</f>
        <v>3</v>
      </c>
      <c r="P1140" s="24">
        <f>'TMT E DK'!E1254</f>
        <v>5</v>
      </c>
      <c r="Q1140" s="24">
        <f>Data!R1254</f>
        <v>3</v>
      </c>
      <c r="R1140" s="24">
        <f>Data!S1254</f>
        <v>3</v>
      </c>
      <c r="S1140" s="24">
        <f>'TMT E DK'!E1254</f>
        <v>5</v>
      </c>
      <c r="T1140" s="24">
        <f>'TMT E DD'!E1254</f>
        <v>5</v>
      </c>
      <c r="U1140" s="24">
        <f>TA!E1254</f>
        <v>241455130000</v>
      </c>
      <c r="V1140" s="109">
        <f>PR!F1254</f>
        <v>0.44102487186452477</v>
      </c>
      <c r="W1140" s="109">
        <f>'Z Score'!I1254</f>
        <v>1.7144870204248712</v>
      </c>
      <c r="X1140" s="109">
        <f>'Z Score'!L1254</f>
        <v>0.91819388720380457</v>
      </c>
      <c r="Y1140" s="109">
        <f>'Z Score'!O1254</f>
        <v>0.17207593642760871</v>
      </c>
      <c r="Z1140" s="109">
        <f>'Z Score'!R1254</f>
        <v>1.5880029642273079</v>
      </c>
      <c r="AA1140" s="109">
        <f>'Z Score'!S1254</f>
        <v>4.3927598082835928</v>
      </c>
    </row>
    <row r="1141" spans="1:27" ht="15" customHeight="1" x14ac:dyDescent="0.3">
      <c r="A1141" s="22"/>
      <c r="B1141" s="23"/>
      <c r="C1141" s="2"/>
      <c r="D1141" s="23">
        <v>2024</v>
      </c>
      <c r="E1141" s="25">
        <f>'Current Ratio'!G1255</f>
        <v>1.7056233254411977</v>
      </c>
      <c r="F1141" s="25">
        <f>'Cash Ratio'!G1255</f>
        <v>0.12603329649776487</v>
      </c>
      <c r="G1141" s="25">
        <f>DAR!G1255</f>
        <v>0.40595762500934679</v>
      </c>
      <c r="H1141" s="25">
        <f>DER!G1255</f>
        <v>0.68338159380588659</v>
      </c>
      <c r="I1141" s="25">
        <f>NPM!G1255</f>
        <v>-0.25244132404236369</v>
      </c>
      <c r="J1141" s="25">
        <f>ROA!G1255</f>
        <v>-6.698231999394498E-2</v>
      </c>
      <c r="K1141" s="25">
        <f>ROE!G1255</f>
        <v>-0.11275680458822301</v>
      </c>
      <c r="L1141" s="25">
        <f>KM!E1255</f>
        <v>0.54</v>
      </c>
      <c r="M1141" s="24">
        <f>KI!E1255</f>
        <v>2</v>
      </c>
      <c r="N1141" s="108">
        <f>IO!E1255</f>
        <v>0</v>
      </c>
      <c r="O1141" s="24">
        <f>'BoC Size'!E1255</f>
        <v>4</v>
      </c>
      <c r="P1141" s="24">
        <f>'TMT E DK'!E1255</f>
        <v>8</v>
      </c>
      <c r="Q1141" s="24">
        <f>Data!R1255</f>
        <v>4</v>
      </c>
      <c r="R1141" s="24">
        <f>Data!S1255</f>
        <v>4</v>
      </c>
      <c r="S1141" s="24">
        <f>'TMT E DK'!E1255</f>
        <v>8</v>
      </c>
      <c r="T1141" s="24">
        <f>'TMT E DD'!E1255</f>
        <v>6</v>
      </c>
      <c r="U1141" s="24">
        <f>TA!E1255</f>
        <v>218925830000</v>
      </c>
      <c r="V1141" s="109">
        <f>PR!F1255</f>
        <v>-0.17851548286453253</v>
      </c>
      <c r="W1141" s="109">
        <f>'Z Score'!I1255</f>
        <v>1.0067971458644238</v>
      </c>
      <c r="X1141" s="109">
        <f>'Z Score'!L1255</f>
        <v>0.78488425874644385</v>
      </c>
      <c r="Y1141" s="109">
        <f>'Z Score'!O1255</f>
        <v>-0.45012119035931025</v>
      </c>
      <c r="Z1141" s="109">
        <f>'Z Score'!R1255</f>
        <v>1.5364768520503211</v>
      </c>
      <c r="AA1141" s="109">
        <f>'Z Score'!S1255</f>
        <v>2.8780370663018786</v>
      </c>
    </row>
    <row r="1142" spans="1:27" ht="15" customHeight="1" x14ac:dyDescent="0.3">
      <c r="A1142" s="22"/>
      <c r="B1142" s="23">
        <v>115</v>
      </c>
      <c r="C1142" s="1" t="s">
        <v>128</v>
      </c>
      <c r="D1142" s="23">
        <v>2015</v>
      </c>
      <c r="E1142" s="25">
        <f>'Current Ratio'!G1257</f>
        <v>0</v>
      </c>
      <c r="F1142" s="25">
        <f>'Cash Ratio'!G1257</f>
        <v>0</v>
      </c>
      <c r="G1142" s="25">
        <f>DAR!G1257</f>
        <v>0</v>
      </c>
      <c r="H1142" s="25">
        <f>DER!G1257</f>
        <v>0</v>
      </c>
      <c r="I1142" s="25">
        <f>NPM!G1257</f>
        <v>0</v>
      </c>
      <c r="J1142" s="25">
        <f>ROA!G1257</f>
        <v>0</v>
      </c>
      <c r="K1142" s="25">
        <f>ROE!G1257</f>
        <v>0</v>
      </c>
      <c r="L1142" s="25">
        <f>KM!E1257</f>
        <v>0</v>
      </c>
      <c r="M1142" s="24">
        <f>KI!E1257</f>
        <v>0</v>
      </c>
      <c r="N1142" s="108">
        <f>IO!E1257</f>
        <v>0</v>
      </c>
      <c r="O1142" s="24">
        <f>'BoC Size'!E1257</f>
        <v>0</v>
      </c>
      <c r="P1142" s="24">
        <f>'TMT E DK'!E1257</f>
        <v>0</v>
      </c>
      <c r="Q1142" s="24">
        <f>Data!R1257</f>
        <v>0</v>
      </c>
      <c r="R1142" s="24">
        <f>Data!S1257</f>
        <v>0</v>
      </c>
      <c r="S1142" s="24">
        <f>'TMT E DK'!E1257</f>
        <v>0</v>
      </c>
      <c r="T1142" s="24">
        <f>'TMT E DD'!E1257</f>
        <v>0</v>
      </c>
      <c r="U1142" s="24">
        <f>TA!E1257</f>
        <v>0</v>
      </c>
      <c r="V1142" s="109">
        <f>PR!F1257</f>
        <v>0</v>
      </c>
      <c r="W1142" s="109">
        <f>'Z Score'!I1257</f>
        <v>0</v>
      </c>
      <c r="X1142" s="109">
        <f>'Z Score'!L1257</f>
        <v>0</v>
      </c>
      <c r="Y1142" s="109">
        <f>'Z Score'!O1257</f>
        <v>0</v>
      </c>
      <c r="Z1142" s="109">
        <f>'Z Score'!R1257</f>
        <v>0</v>
      </c>
      <c r="AA1142" s="109">
        <f>'Z Score'!S1257</f>
        <v>0</v>
      </c>
    </row>
    <row r="1143" spans="1:27" ht="15" customHeight="1" x14ac:dyDescent="0.3">
      <c r="A1143" s="22"/>
      <c r="B1143" s="23"/>
      <c r="C1143" s="1"/>
      <c r="D1143" s="23">
        <v>2016</v>
      </c>
      <c r="E1143" s="25">
        <f>'Current Ratio'!G1258</f>
        <v>0</v>
      </c>
      <c r="F1143" s="25">
        <f>'Cash Ratio'!G1258</f>
        <v>0</v>
      </c>
      <c r="G1143" s="25">
        <f>DAR!G1258</f>
        <v>0</v>
      </c>
      <c r="H1143" s="25">
        <f>DER!G1258</f>
        <v>0</v>
      </c>
      <c r="I1143" s="25">
        <f>NPM!G1258</f>
        <v>0</v>
      </c>
      <c r="J1143" s="25">
        <f>ROA!G1258</f>
        <v>0</v>
      </c>
      <c r="K1143" s="25">
        <f>ROE!G1258</f>
        <v>0</v>
      </c>
      <c r="L1143" s="25">
        <f>KM!E1258</f>
        <v>0</v>
      </c>
      <c r="M1143" s="24">
        <f>KI!E1258</f>
        <v>0</v>
      </c>
      <c r="N1143" s="108">
        <f>IO!E1258</f>
        <v>0</v>
      </c>
      <c r="O1143" s="24">
        <f>'BoC Size'!E1258</f>
        <v>0</v>
      </c>
      <c r="P1143" s="24">
        <f>'TMT E DK'!E1258</f>
        <v>0</v>
      </c>
      <c r="Q1143" s="24">
        <f>Data!R1258</f>
        <v>0</v>
      </c>
      <c r="R1143" s="24">
        <f>Data!S1258</f>
        <v>0</v>
      </c>
      <c r="S1143" s="24">
        <f>'TMT E DK'!E1258</f>
        <v>0</v>
      </c>
      <c r="T1143" s="24">
        <f>'TMT E DD'!E1258</f>
        <v>0</v>
      </c>
      <c r="U1143" s="24">
        <f>TA!E1258</f>
        <v>0</v>
      </c>
      <c r="V1143" s="109">
        <f>PR!F1258</f>
        <v>0</v>
      </c>
      <c r="W1143" s="109">
        <f>'Z Score'!I1258</f>
        <v>0</v>
      </c>
      <c r="X1143" s="109">
        <f>'Z Score'!L1258</f>
        <v>0</v>
      </c>
      <c r="Y1143" s="109">
        <f>'Z Score'!O1258</f>
        <v>0</v>
      </c>
      <c r="Z1143" s="109">
        <f>'Z Score'!R1258</f>
        <v>0</v>
      </c>
      <c r="AA1143" s="109">
        <f>'Z Score'!S1258</f>
        <v>0</v>
      </c>
    </row>
    <row r="1144" spans="1:27" ht="15" customHeight="1" x14ac:dyDescent="0.3">
      <c r="A1144" s="22"/>
      <c r="B1144" s="23"/>
      <c r="C1144" s="1"/>
      <c r="D1144" s="23">
        <v>2017</v>
      </c>
      <c r="E1144" s="25">
        <f>'Current Ratio'!G1259</f>
        <v>0</v>
      </c>
      <c r="F1144" s="25">
        <f>'Cash Ratio'!G1259</f>
        <v>0</v>
      </c>
      <c r="G1144" s="25">
        <f>DAR!G1259</f>
        <v>0</v>
      </c>
      <c r="H1144" s="25">
        <f>DER!G1259</f>
        <v>0</v>
      </c>
      <c r="I1144" s="25">
        <f>NPM!G1259</f>
        <v>0</v>
      </c>
      <c r="J1144" s="25">
        <f>ROA!G1259</f>
        <v>0</v>
      </c>
      <c r="K1144" s="25">
        <f>ROE!G1259</f>
        <v>0</v>
      </c>
      <c r="L1144" s="25">
        <f>KM!E1259</f>
        <v>0</v>
      </c>
      <c r="M1144" s="24">
        <f>KI!E1259</f>
        <v>0</v>
      </c>
      <c r="N1144" s="108">
        <f>IO!E1259</f>
        <v>0</v>
      </c>
      <c r="O1144" s="24">
        <f>'BoC Size'!E1259</f>
        <v>0</v>
      </c>
      <c r="P1144" s="24">
        <f>'TMT E DK'!E1259</f>
        <v>0</v>
      </c>
      <c r="Q1144" s="24">
        <f>Data!R1259</f>
        <v>0</v>
      </c>
      <c r="R1144" s="24">
        <f>Data!S1259</f>
        <v>0</v>
      </c>
      <c r="S1144" s="24">
        <f>'TMT E DK'!E1259</f>
        <v>0</v>
      </c>
      <c r="T1144" s="24">
        <f>'TMT E DD'!E1259</f>
        <v>0</v>
      </c>
      <c r="U1144" s="24">
        <f>TA!E1259</f>
        <v>0</v>
      </c>
      <c r="V1144" s="109">
        <f>PR!F1259</f>
        <v>0</v>
      </c>
      <c r="W1144" s="109">
        <f>'Z Score'!I1259</f>
        <v>0</v>
      </c>
      <c r="X1144" s="109">
        <f>'Z Score'!L1259</f>
        <v>0</v>
      </c>
      <c r="Y1144" s="109">
        <f>'Z Score'!O1259</f>
        <v>0</v>
      </c>
      <c r="Z1144" s="109">
        <f>'Z Score'!R1259</f>
        <v>0</v>
      </c>
      <c r="AA1144" s="109">
        <f>'Z Score'!S1259</f>
        <v>0</v>
      </c>
    </row>
    <row r="1145" spans="1:27" ht="15" customHeight="1" x14ac:dyDescent="0.3">
      <c r="A1145" s="22"/>
      <c r="B1145" s="23"/>
      <c r="C1145" s="1"/>
      <c r="D1145" s="23">
        <v>2018</v>
      </c>
      <c r="E1145" s="25">
        <f>'Current Ratio'!G1260</f>
        <v>0</v>
      </c>
      <c r="F1145" s="25">
        <f>'Cash Ratio'!G1260</f>
        <v>0</v>
      </c>
      <c r="G1145" s="25">
        <f>DAR!G1260</f>
        <v>0</v>
      </c>
      <c r="H1145" s="25">
        <f>DER!G1260</f>
        <v>0</v>
      </c>
      <c r="I1145" s="25">
        <f>NPM!G1260</f>
        <v>0</v>
      </c>
      <c r="J1145" s="25">
        <f>ROA!G1260</f>
        <v>0</v>
      </c>
      <c r="K1145" s="25">
        <f>ROE!G1260</f>
        <v>0</v>
      </c>
      <c r="L1145" s="25">
        <f>KM!E1260</f>
        <v>0</v>
      </c>
      <c r="M1145" s="24">
        <f>KI!E1260</f>
        <v>0</v>
      </c>
      <c r="N1145" s="108">
        <f>IO!E1260</f>
        <v>0</v>
      </c>
      <c r="O1145" s="24">
        <f>'BoC Size'!E1260</f>
        <v>0</v>
      </c>
      <c r="P1145" s="24">
        <f>'TMT E DK'!E1260</f>
        <v>0</v>
      </c>
      <c r="Q1145" s="24">
        <f>Data!R1260</f>
        <v>0</v>
      </c>
      <c r="R1145" s="24">
        <f>Data!S1260</f>
        <v>0</v>
      </c>
      <c r="S1145" s="24">
        <f>'TMT E DK'!E1260</f>
        <v>0</v>
      </c>
      <c r="T1145" s="24">
        <f>'TMT E DD'!E1260</f>
        <v>0</v>
      </c>
      <c r="U1145" s="24">
        <f>TA!E1260</f>
        <v>0</v>
      </c>
      <c r="V1145" s="109">
        <f>PR!F1260</f>
        <v>0</v>
      </c>
      <c r="W1145" s="109">
        <f>'Z Score'!I1260</f>
        <v>0</v>
      </c>
      <c r="X1145" s="109">
        <f>'Z Score'!L1260</f>
        <v>0</v>
      </c>
      <c r="Y1145" s="109">
        <f>'Z Score'!O1260</f>
        <v>0</v>
      </c>
      <c r="Z1145" s="109">
        <f>'Z Score'!R1260</f>
        <v>0</v>
      </c>
      <c r="AA1145" s="109">
        <f>'Z Score'!S1260</f>
        <v>0</v>
      </c>
    </row>
    <row r="1146" spans="1:27" ht="15" customHeight="1" x14ac:dyDescent="0.3">
      <c r="A1146" s="22"/>
      <c r="B1146" s="23"/>
      <c r="C1146" s="1"/>
      <c r="D1146" s="23">
        <v>2019</v>
      </c>
      <c r="E1146" s="25">
        <f>'Current Ratio'!G1261</f>
        <v>0</v>
      </c>
      <c r="F1146" s="25">
        <f>'Cash Ratio'!G1261</f>
        <v>0</v>
      </c>
      <c r="G1146" s="25">
        <f>DAR!G1261</f>
        <v>0</v>
      </c>
      <c r="H1146" s="25">
        <f>DER!G1261</f>
        <v>0</v>
      </c>
      <c r="I1146" s="25">
        <f>NPM!G1261</f>
        <v>0</v>
      </c>
      <c r="J1146" s="25">
        <f>ROA!G1261</f>
        <v>0</v>
      </c>
      <c r="K1146" s="25">
        <f>ROE!G1261</f>
        <v>0</v>
      </c>
      <c r="L1146" s="25">
        <f>KM!E1261</f>
        <v>0</v>
      </c>
      <c r="M1146" s="24">
        <f>KI!E1261</f>
        <v>0</v>
      </c>
      <c r="N1146" s="108">
        <f>IO!E1261</f>
        <v>0</v>
      </c>
      <c r="O1146" s="24">
        <f>'BoC Size'!E1261</f>
        <v>0</v>
      </c>
      <c r="P1146" s="24">
        <f>'TMT E DK'!E1261</f>
        <v>0</v>
      </c>
      <c r="Q1146" s="24">
        <f>Data!R1261</f>
        <v>0</v>
      </c>
      <c r="R1146" s="24">
        <f>Data!S1261</f>
        <v>0</v>
      </c>
      <c r="S1146" s="24">
        <f>'TMT E DK'!E1261</f>
        <v>0</v>
      </c>
      <c r="T1146" s="24">
        <f>'TMT E DD'!E1261</f>
        <v>0</v>
      </c>
      <c r="U1146" s="24">
        <f>TA!E1261</f>
        <v>0</v>
      </c>
      <c r="V1146" s="109">
        <f>PR!F1261</f>
        <v>0</v>
      </c>
      <c r="W1146" s="109">
        <f>'Z Score'!I1261</f>
        <v>0</v>
      </c>
      <c r="X1146" s="109">
        <f>'Z Score'!L1261</f>
        <v>0</v>
      </c>
      <c r="Y1146" s="109">
        <f>'Z Score'!O1261</f>
        <v>0</v>
      </c>
      <c r="Z1146" s="109">
        <f>'Z Score'!R1261</f>
        <v>0</v>
      </c>
      <c r="AA1146" s="109">
        <f>'Z Score'!S1261</f>
        <v>0</v>
      </c>
    </row>
    <row r="1147" spans="1:27" ht="15" customHeight="1" x14ac:dyDescent="0.3">
      <c r="A1147" s="22"/>
      <c r="B1147" s="23"/>
      <c r="C1147" s="1"/>
      <c r="D1147" s="23">
        <v>2020</v>
      </c>
      <c r="E1147" s="25">
        <f>'Current Ratio'!G1262</f>
        <v>0</v>
      </c>
      <c r="F1147" s="25">
        <f>'Cash Ratio'!G1262</f>
        <v>0</v>
      </c>
      <c r="G1147" s="25">
        <f>DAR!G1262</f>
        <v>0</v>
      </c>
      <c r="H1147" s="25">
        <f>DER!G1262</f>
        <v>0</v>
      </c>
      <c r="I1147" s="25">
        <f>NPM!G1262</f>
        <v>0</v>
      </c>
      <c r="J1147" s="25">
        <f>ROA!G1262</f>
        <v>0</v>
      </c>
      <c r="K1147" s="25">
        <f>ROE!G1262</f>
        <v>0</v>
      </c>
      <c r="L1147" s="25">
        <f>KM!E1262</f>
        <v>0</v>
      </c>
      <c r="M1147" s="24">
        <f>KI!E1262</f>
        <v>0</v>
      </c>
      <c r="N1147" s="108">
        <f>IO!E1262</f>
        <v>0</v>
      </c>
      <c r="O1147" s="24">
        <f>'BoC Size'!E1262</f>
        <v>0</v>
      </c>
      <c r="P1147" s="24">
        <f>'TMT E DK'!E1262</f>
        <v>0</v>
      </c>
      <c r="Q1147" s="24">
        <f>Data!R1262</f>
        <v>0</v>
      </c>
      <c r="R1147" s="24">
        <f>Data!S1262</f>
        <v>0</v>
      </c>
      <c r="S1147" s="24">
        <f>'TMT E DK'!E1262</f>
        <v>0</v>
      </c>
      <c r="T1147" s="24">
        <f>'TMT E DD'!E1262</f>
        <v>0</v>
      </c>
      <c r="U1147" s="24">
        <f>TA!E1262</f>
        <v>0</v>
      </c>
      <c r="V1147" s="109">
        <f>PR!F1262</f>
        <v>0</v>
      </c>
      <c r="W1147" s="109">
        <f>'Z Score'!I1262</f>
        <v>0</v>
      </c>
      <c r="X1147" s="109">
        <f>'Z Score'!L1262</f>
        <v>0</v>
      </c>
      <c r="Y1147" s="109">
        <f>'Z Score'!O1262</f>
        <v>0</v>
      </c>
      <c r="Z1147" s="109">
        <f>'Z Score'!R1262</f>
        <v>0</v>
      </c>
      <c r="AA1147" s="109">
        <f>'Z Score'!S1262</f>
        <v>0</v>
      </c>
    </row>
    <row r="1148" spans="1:27" ht="15" customHeight="1" x14ac:dyDescent="0.3">
      <c r="A1148" s="22"/>
      <c r="B1148" s="23"/>
      <c r="C1148" s="1"/>
      <c r="D1148" s="23">
        <v>2021</v>
      </c>
      <c r="E1148" s="25">
        <f>'Current Ratio'!G1263</f>
        <v>0</v>
      </c>
      <c r="F1148" s="25">
        <f>'Cash Ratio'!G1263</f>
        <v>0</v>
      </c>
      <c r="G1148" s="25">
        <f>DAR!G1263</f>
        <v>0</v>
      </c>
      <c r="H1148" s="25">
        <f>DER!G1263</f>
        <v>0</v>
      </c>
      <c r="I1148" s="25">
        <f>NPM!G1263</f>
        <v>0</v>
      </c>
      <c r="J1148" s="25">
        <f>ROA!G1263</f>
        <v>0</v>
      </c>
      <c r="K1148" s="25">
        <f>ROE!G1263</f>
        <v>0</v>
      </c>
      <c r="L1148" s="25">
        <f>KM!E1263</f>
        <v>0</v>
      </c>
      <c r="M1148" s="24">
        <f>KI!E1263</f>
        <v>0</v>
      </c>
      <c r="N1148" s="108">
        <f>IO!E1263</f>
        <v>0</v>
      </c>
      <c r="O1148" s="24">
        <f>'BoC Size'!E1263</f>
        <v>0</v>
      </c>
      <c r="P1148" s="24">
        <f>'TMT E DK'!E1263</f>
        <v>0</v>
      </c>
      <c r="Q1148" s="24">
        <f>Data!R1263</f>
        <v>0</v>
      </c>
      <c r="R1148" s="24">
        <f>Data!S1263</f>
        <v>0</v>
      </c>
      <c r="S1148" s="24">
        <f>'TMT E DK'!E1263</f>
        <v>0</v>
      </c>
      <c r="T1148" s="24">
        <f>'TMT E DD'!E1263</f>
        <v>0</v>
      </c>
      <c r="U1148" s="24">
        <f>TA!E1263</f>
        <v>0</v>
      </c>
      <c r="V1148" s="109">
        <f>PR!F1263</f>
        <v>0</v>
      </c>
      <c r="W1148" s="109">
        <f>'Z Score'!I1263</f>
        <v>0</v>
      </c>
      <c r="X1148" s="109">
        <f>'Z Score'!L1263</f>
        <v>0</v>
      </c>
      <c r="Y1148" s="109">
        <f>'Z Score'!O1263</f>
        <v>0</v>
      </c>
      <c r="Z1148" s="109">
        <f>'Z Score'!R1263</f>
        <v>0</v>
      </c>
      <c r="AA1148" s="109">
        <f>'Z Score'!S1263</f>
        <v>0</v>
      </c>
    </row>
    <row r="1149" spans="1:27" ht="15" customHeight="1" x14ac:dyDescent="0.3">
      <c r="A1149" s="22"/>
      <c r="B1149" s="23"/>
      <c r="C1149" s="1"/>
      <c r="D1149" s="23">
        <v>2022</v>
      </c>
      <c r="E1149" s="25">
        <f>'Current Ratio'!G1264</f>
        <v>46.462215572352953</v>
      </c>
      <c r="F1149" s="25">
        <f>'Cash Ratio'!G1264</f>
        <v>45.212220430212</v>
      </c>
      <c r="G1149" s="25">
        <f>DAR!G1264</f>
        <v>6.8131135921172658E-3</v>
      </c>
      <c r="H1149" s="25">
        <f>DER!G1264</f>
        <v>6.8598505330237031E-3</v>
      </c>
      <c r="I1149" s="25">
        <f>NPM!G1264</f>
        <v>0</v>
      </c>
      <c r="J1149" s="25">
        <f>ROA!G1264</f>
        <v>-3.9444052684565738E-2</v>
      </c>
      <c r="K1149" s="25">
        <f>ROE!G1264</f>
        <v>-3.9714632990398568E-2</v>
      </c>
      <c r="L1149" s="25">
        <f>KM!E1264</f>
        <v>0.42309999999999998</v>
      </c>
      <c r="M1149" s="24">
        <f>KI!E1264</f>
        <v>2</v>
      </c>
      <c r="N1149" s="108">
        <f>IO!E1264</f>
        <v>0.42309999999999998</v>
      </c>
      <c r="O1149" s="24">
        <f>'BoC Size'!E1264</f>
        <v>3</v>
      </c>
      <c r="P1149" s="24">
        <f>'TMT E DK'!E1264</f>
        <v>0</v>
      </c>
      <c r="Q1149" s="24">
        <f>Data!R1264</f>
        <v>3</v>
      </c>
      <c r="R1149" s="24">
        <f>Data!S1264</f>
        <v>3</v>
      </c>
      <c r="S1149" s="24">
        <f>'TMT E DK'!E1264</f>
        <v>0</v>
      </c>
      <c r="T1149" s="24">
        <f>'TMT E DD'!E1264</f>
        <v>0</v>
      </c>
      <c r="U1149" s="24">
        <f>TA!E1264</f>
        <v>151070430000</v>
      </c>
      <c r="V1149" s="109">
        <f>PR!F1264</f>
        <v>0</v>
      </c>
      <c r="W1149" s="109">
        <f>'Z Score'!I1264</f>
        <v>2.0318894068150861</v>
      </c>
      <c r="X1149" s="109">
        <f>'Z Score'!L1264</f>
        <v>-0.12858761175168429</v>
      </c>
      <c r="Y1149" s="109">
        <f>'Z Score'!O1264</f>
        <v>-0.22323396577344753</v>
      </c>
      <c r="Z1149" s="109">
        <f>'Z Score'!R1264</f>
        <v>153.06455948934186</v>
      </c>
      <c r="AA1149" s="109">
        <f>'Z Score'!S1264</f>
        <v>154.74462731863181</v>
      </c>
    </row>
    <row r="1150" spans="1:27" ht="15" customHeight="1" x14ac:dyDescent="0.3">
      <c r="A1150" s="22"/>
      <c r="B1150" s="23"/>
      <c r="C1150" s="1"/>
      <c r="D1150" s="23">
        <v>2023</v>
      </c>
      <c r="E1150" s="25">
        <f>'Current Ratio'!G1265</f>
        <v>1.7927294273557743</v>
      </c>
      <c r="F1150" s="25">
        <f>'Cash Ratio'!G1265</f>
        <v>1.0637319151581361</v>
      </c>
      <c r="G1150" s="25">
        <f>DAR!G1265</f>
        <v>8.3710545744922413E-2</v>
      </c>
      <c r="H1150" s="25">
        <f>DER!G1265</f>
        <v>9.1358189659595246E-2</v>
      </c>
      <c r="I1150" s="25">
        <f>NPM!G1265</f>
        <v>-8.148507662170303</v>
      </c>
      <c r="J1150" s="25">
        <f>ROA!G1265</f>
        <v>-0.14438123167487119</v>
      </c>
      <c r="K1150" s="25">
        <f>ROE!G1265</f>
        <v>-0.15757163962151002</v>
      </c>
      <c r="L1150" s="25">
        <f>KM!E1265</f>
        <v>0.42309999999999998</v>
      </c>
      <c r="M1150" s="24">
        <f>KI!E1265</f>
        <v>2</v>
      </c>
      <c r="N1150" s="108">
        <f>IO!E1265</f>
        <v>0.42309999999999998</v>
      </c>
      <c r="O1150" s="24">
        <f>'BoC Size'!E1265</f>
        <v>3</v>
      </c>
      <c r="P1150" s="24">
        <f>'TMT E DK'!E1265</f>
        <v>0</v>
      </c>
      <c r="Q1150" s="24">
        <f>Data!R1265</f>
        <v>3</v>
      </c>
      <c r="R1150" s="24">
        <f>Data!S1265</f>
        <v>3</v>
      </c>
      <c r="S1150" s="24">
        <f>'TMT E DK'!E1265</f>
        <v>0</v>
      </c>
      <c r="T1150" s="24">
        <f>'TMT E DD'!E1265</f>
        <v>0</v>
      </c>
      <c r="U1150" s="24">
        <f>TA!E1265</f>
        <v>141458760000</v>
      </c>
      <c r="V1150" s="109">
        <f>PR!F1265</f>
        <v>0</v>
      </c>
      <c r="W1150" s="109">
        <f>'Z Score'!I1265</f>
        <v>0.27795333707152525</v>
      </c>
      <c r="X1150" s="109">
        <f>'Z Score'!L1265</f>
        <v>-0.60301056929949048</v>
      </c>
      <c r="Y1150" s="109">
        <f>'Z Score'!O1265</f>
        <v>-0.95994089019301443</v>
      </c>
      <c r="Z1150" s="109">
        <f>'Z Score'!R1265</f>
        <v>11.493222489547433</v>
      </c>
      <c r="AA1150" s="109">
        <f>'Z Score'!S1265</f>
        <v>10.208224367126453</v>
      </c>
    </row>
    <row r="1151" spans="1:27" ht="15" customHeight="1" x14ac:dyDescent="0.3">
      <c r="A1151" s="22"/>
      <c r="B1151" s="23"/>
      <c r="C1151" s="1"/>
      <c r="D1151" s="23">
        <v>2024</v>
      </c>
      <c r="E1151" s="25">
        <f>'Current Ratio'!G1266</f>
        <v>0.99987949877261939</v>
      </c>
      <c r="F1151" s="25">
        <f>'Cash Ratio'!G1266</f>
        <v>0.15181531130445824</v>
      </c>
      <c r="G1151" s="25">
        <f>DAR!G1266</f>
        <v>0.35155336920170671</v>
      </c>
      <c r="H1151" s="25">
        <f>DER!G1266</f>
        <v>0.54214695937106572</v>
      </c>
      <c r="I1151" s="25">
        <f>NPM!G1266</f>
        <v>-1.3517749476484611</v>
      </c>
      <c r="J1151" s="25">
        <f>ROA!G1266</f>
        <v>-0.16005555221150011</v>
      </c>
      <c r="K1151" s="25">
        <f>ROE!G1266</f>
        <v>-0.24682918317342173</v>
      </c>
      <c r="L1151" s="25">
        <f>KM!E1266</f>
        <v>0.42309999999999998</v>
      </c>
      <c r="M1151" s="24">
        <f>KI!E1266</f>
        <v>2</v>
      </c>
      <c r="N1151" s="108">
        <f>IO!E1266</f>
        <v>0.42309999999999998</v>
      </c>
      <c r="O1151" s="24">
        <f>'BoC Size'!E1266</f>
        <v>4</v>
      </c>
      <c r="P1151" s="24">
        <f>'TMT E DK'!E1266</f>
        <v>0</v>
      </c>
      <c r="Q1151" s="24">
        <f>Data!R1266</f>
        <v>4</v>
      </c>
      <c r="R1151" s="24">
        <f>Data!S1266</f>
        <v>3</v>
      </c>
      <c r="S1151" s="24">
        <f>'TMT E DK'!E1266</f>
        <v>0</v>
      </c>
      <c r="T1151" s="24">
        <f>'TMT E DD'!E1266</f>
        <v>0</v>
      </c>
      <c r="U1151" s="24">
        <f>TA!E1266</f>
        <v>160317650000</v>
      </c>
      <c r="V1151" s="109">
        <f>PR!F1266</f>
        <v>6.5733002988266369</v>
      </c>
      <c r="W1151" s="109">
        <f>'Z Score'!I1266</f>
        <v>-1.3666866998097199E-4</v>
      </c>
      <c r="X1151" s="109">
        <f>'Z Score'!L1266</f>
        <v>-1.0282955706997949</v>
      </c>
      <c r="Y1151" s="109">
        <f>'Z Score'!O1266</f>
        <v>-1.0228826582724984</v>
      </c>
      <c r="Z1151" s="109">
        <f>'Z Score'!R1266</f>
        <v>1.9367442385328231</v>
      </c>
      <c r="AA1151" s="109">
        <f>'Z Score'!S1266</f>
        <v>-0.1145706591094513</v>
      </c>
    </row>
    <row r="1152" spans="1:27" ht="15" customHeight="1" x14ac:dyDescent="0.3">
      <c r="A1152" s="22"/>
      <c r="B1152" s="23">
        <v>116</v>
      </c>
      <c r="C1152" s="1" t="s">
        <v>127</v>
      </c>
      <c r="D1152" s="23">
        <v>2015</v>
      </c>
      <c r="E1152" s="25">
        <f>'Current Ratio'!G1268</f>
        <v>2.3841135596017669</v>
      </c>
      <c r="F1152" s="25">
        <f>'Cash Ratio'!G1268</f>
        <v>6.608065767466885E-2</v>
      </c>
      <c r="G1152" s="25">
        <f>DAR!G1268</f>
        <v>0.71562879197975071</v>
      </c>
      <c r="H1152" s="25">
        <f>DER!G1268</f>
        <v>2.5165304074271568</v>
      </c>
      <c r="I1152" s="25">
        <f>NPM!G1268</f>
        <v>0.13802011025756034</v>
      </c>
      <c r="J1152" s="25">
        <f>ROA!G1268</f>
        <v>3.8511035954382843E-2</v>
      </c>
      <c r="K1152" s="25">
        <f>ROE!G1268</f>
        <v>0.13542522895510781</v>
      </c>
      <c r="L1152" s="25">
        <f>KM!E1268</f>
        <v>0.72809999999999997</v>
      </c>
      <c r="M1152" s="24">
        <f>KI!E1268</f>
        <v>2</v>
      </c>
      <c r="N1152" s="108">
        <f>IO!E1268</f>
        <v>0.25</v>
      </c>
      <c r="O1152" s="24">
        <f>'BoC Size'!E1268</f>
        <v>4</v>
      </c>
      <c r="P1152" s="24">
        <f>'TMT E DK'!E1268</f>
        <v>0</v>
      </c>
      <c r="Q1152" s="24">
        <f>Data!R1268</f>
        <v>4</v>
      </c>
      <c r="R1152" s="24">
        <f>Data!S1268</f>
        <v>6</v>
      </c>
      <c r="S1152" s="24">
        <f>'TMT E DK'!E1268</f>
        <v>0</v>
      </c>
      <c r="T1152" s="24">
        <f>'TMT E DD'!E1268</f>
        <v>0</v>
      </c>
      <c r="U1152" s="24">
        <f>TA!E1268</f>
        <v>3020355000000</v>
      </c>
      <c r="V1152" s="109">
        <f>PR!F1268</f>
        <v>-0.11231680264929123</v>
      </c>
      <c r="W1152" s="109">
        <f>'Z Score'!I1268</f>
        <v>2.3132663014778063</v>
      </c>
      <c r="X1152" s="109">
        <f>'Z Score'!L1268</f>
        <v>0.58364194937350078</v>
      </c>
      <c r="Y1152" s="109">
        <f>'Z Score'!O1268</f>
        <v>0.21723740421241874</v>
      </c>
      <c r="Z1152" s="109">
        <f>'Z Score'!R1268</f>
        <v>0.41724113362631526</v>
      </c>
      <c r="AA1152" s="109">
        <f>'Z Score'!S1268</f>
        <v>3.5313867886900407</v>
      </c>
    </row>
    <row r="1153" spans="1:27" ht="15" customHeight="1" x14ac:dyDescent="0.3">
      <c r="A1153" s="22"/>
      <c r="B1153" s="23"/>
      <c r="C1153" s="1"/>
      <c r="D1153" s="23">
        <v>2016</v>
      </c>
      <c r="E1153" s="25">
        <f>'Current Ratio'!G1269</f>
        <v>2.892908699666294</v>
      </c>
      <c r="F1153" s="25">
        <f>'Cash Ratio'!G1269</f>
        <v>9.1791768823139372E-2</v>
      </c>
      <c r="G1153" s="25">
        <f>DAR!G1269</f>
        <v>0.70173065033901227</v>
      </c>
      <c r="H1153" s="25">
        <f>DER!G1269</f>
        <v>2.3526718469304591</v>
      </c>
      <c r="I1153" s="25">
        <f>NPM!G1269</f>
        <v>0.11039526076908084</v>
      </c>
      <c r="J1153" s="25">
        <f>ROA!G1269</f>
        <v>3.0275801218464893E-2</v>
      </c>
      <c r="K1153" s="25">
        <f>ROE!G1269</f>
        <v>0.10150479409091491</v>
      </c>
      <c r="L1153" s="25">
        <f>KM!E1269</f>
        <v>0.72809999999999997</v>
      </c>
      <c r="M1153" s="24">
        <f>KI!E1269</f>
        <v>2</v>
      </c>
      <c r="N1153" s="108">
        <f>IO!E1269</f>
        <v>0.25</v>
      </c>
      <c r="O1153" s="24">
        <f>'BoC Size'!E1269</f>
        <v>4</v>
      </c>
      <c r="P1153" s="24">
        <f>'TMT E DK'!E1269</f>
        <v>0</v>
      </c>
      <c r="Q1153" s="24">
        <f>Data!R1269</f>
        <v>4</v>
      </c>
      <c r="R1153" s="24">
        <f>Data!S1269</f>
        <v>6</v>
      </c>
      <c r="S1153" s="24">
        <f>'TMT E DK'!E1269</f>
        <v>0</v>
      </c>
      <c r="T1153" s="24">
        <f>'TMT E DD'!E1269</f>
        <v>0</v>
      </c>
      <c r="U1153" s="24">
        <f>TA!E1269</f>
        <v>3142807000000</v>
      </c>
      <c r="V1153" s="109">
        <f>PR!F1269</f>
        <v>2.2732612363750276E-2</v>
      </c>
      <c r="W1153" s="109">
        <f>'Z Score'!I1269</f>
        <v>2.1868475665225384</v>
      </c>
      <c r="X1153" s="109">
        <f>'Z Score'!L1269</f>
        <v>0.59530446508487478</v>
      </c>
      <c r="Y1153" s="109">
        <f>'Z Score'!O1269</f>
        <v>0.14293545865209029</v>
      </c>
      <c r="Z1153" s="109">
        <f>'Z Score'!R1269</f>
        <v>0.44630108587814299</v>
      </c>
      <c r="AA1153" s="109">
        <f>'Z Score'!S1269</f>
        <v>3.3713885761376461</v>
      </c>
    </row>
    <row r="1154" spans="1:27" ht="15" customHeight="1" x14ac:dyDescent="0.3">
      <c r="A1154" s="22"/>
      <c r="B1154" s="23"/>
      <c r="C1154" s="1"/>
      <c r="D1154" s="23">
        <v>2017</v>
      </c>
      <c r="E1154" s="25">
        <f>'Current Ratio'!G1270</f>
        <v>4.3558621092069014</v>
      </c>
      <c r="F1154" s="25">
        <f>'Cash Ratio'!G1270</f>
        <v>0.13999382462418949</v>
      </c>
      <c r="G1154" s="25">
        <f>DAR!G1270</f>
        <v>0.69475836746084607</v>
      </c>
      <c r="H1154" s="25">
        <f>DER!G1270</f>
        <v>2.2760930797070347</v>
      </c>
      <c r="I1154" s="25">
        <f>NPM!G1270</f>
        <v>9.0562845288140528E-2</v>
      </c>
      <c r="J1154" s="25">
        <f>ROA!G1270</f>
        <v>2.423210811449783E-2</v>
      </c>
      <c r="K1154" s="25">
        <f>ROE!G1270</f>
        <v>7.9386641700619029E-2</v>
      </c>
      <c r="L1154" s="25">
        <f>KM!E1270</f>
        <v>0.72809999999999997</v>
      </c>
      <c r="M1154" s="24">
        <f>KI!E1270</f>
        <v>2</v>
      </c>
      <c r="N1154" s="108">
        <f>IO!E1270</f>
        <v>0.25</v>
      </c>
      <c r="O1154" s="24">
        <f>'BoC Size'!E1270</f>
        <v>4</v>
      </c>
      <c r="P1154" s="24">
        <f>'TMT E DK'!E1270</f>
        <v>0</v>
      </c>
      <c r="Q1154" s="24">
        <f>Data!R1270</f>
        <v>4</v>
      </c>
      <c r="R1154" s="24">
        <f>Data!S1270</f>
        <v>6</v>
      </c>
      <c r="S1154" s="24">
        <f>'TMT E DK'!E1270</f>
        <v>0</v>
      </c>
      <c r="T1154" s="24">
        <f>'TMT E DD'!E1270</f>
        <v>0</v>
      </c>
      <c r="U1154" s="24">
        <f>TA!E1270</f>
        <v>3282298000000</v>
      </c>
      <c r="V1154" s="109">
        <f>PR!F1270</f>
        <v>1.8957851845664057E-2</v>
      </c>
      <c r="W1154" s="109">
        <f>'Z Score'!I1270</f>
        <v>2.7586732466095398</v>
      </c>
      <c r="X1154" s="109">
        <f>'Z Score'!L1270</f>
        <v>0.61822740043713276</v>
      </c>
      <c r="Y1154" s="109">
        <f>'Z Score'!O1270</f>
        <v>0.15791999385796171</v>
      </c>
      <c r="Z1154" s="109">
        <f>'Z Score'!R1270</f>
        <v>0.46131681053006401</v>
      </c>
      <c r="AA1154" s="109">
        <f>'Z Score'!S1270</f>
        <v>3.9961374514346986</v>
      </c>
    </row>
    <row r="1155" spans="1:27" ht="15" customHeight="1" x14ac:dyDescent="0.3">
      <c r="A1155" s="22"/>
      <c r="B1155" s="23"/>
      <c r="C1155" s="1"/>
      <c r="D1155" s="23">
        <v>2018</v>
      </c>
      <c r="E1155" s="25">
        <f>'Current Ratio'!G1271</f>
        <v>4.4600481934174407</v>
      </c>
      <c r="F1155" s="25">
        <f>'Cash Ratio'!G1271</f>
        <v>0.10106758702085997</v>
      </c>
      <c r="G1155" s="25">
        <f>DAR!G1271</f>
        <v>0.7230894033857691</v>
      </c>
      <c r="H1155" s="25">
        <f>DER!G1271</f>
        <v>2.6112764785417397</v>
      </c>
      <c r="I1155" s="25">
        <f>NPM!G1271</f>
        <v>1.3509322425806337E-2</v>
      </c>
      <c r="J1155" s="25">
        <f>ROA!G1271</f>
        <v>3.3946440061236715E-3</v>
      </c>
      <c r="K1155" s="25">
        <f>ROE!G1271</f>
        <v>1.2259001452250989E-2</v>
      </c>
      <c r="L1155" s="25">
        <f>KM!E1271</f>
        <v>0.73409999999999997</v>
      </c>
      <c r="M1155" s="24">
        <f>KI!E1271</f>
        <v>2</v>
      </c>
      <c r="N1155" s="108">
        <f>IO!E1271</f>
        <v>0.25</v>
      </c>
      <c r="O1155" s="24">
        <f>'BoC Size'!E1271</f>
        <v>4</v>
      </c>
      <c r="P1155" s="24">
        <f>'TMT E DK'!E1271</f>
        <v>0</v>
      </c>
      <c r="Q1155" s="24">
        <f>Data!R1271</f>
        <v>4</v>
      </c>
      <c r="R1155" s="24">
        <f>Data!S1271</f>
        <v>6</v>
      </c>
      <c r="S1155" s="24">
        <f>'TMT E DK'!E1271</f>
        <v>0</v>
      </c>
      <c r="T1155" s="24">
        <f>'TMT E DD'!E1271</f>
        <v>0</v>
      </c>
      <c r="U1155" s="24">
        <f>TA!E1271</f>
        <v>3605680000000</v>
      </c>
      <c r="V1155" s="109">
        <f>PR!F1271</f>
        <v>3.1641260139458831E-2</v>
      </c>
      <c r="W1155" s="109">
        <f>'Z Score'!I1271</f>
        <v>2.8161762996161612</v>
      </c>
      <c r="X1155" s="109">
        <f>'Z Score'!L1271</f>
        <v>0.61266134543276163</v>
      </c>
      <c r="Y1155" s="109">
        <f>'Z Score'!O1271</f>
        <v>0.16947979854008119</v>
      </c>
      <c r="Z1155" s="109">
        <f>'Z Score'!R1271</f>
        <v>0.40210219355491983</v>
      </c>
      <c r="AA1155" s="109">
        <f>'Z Score'!S1271</f>
        <v>4.0004196371439242</v>
      </c>
    </row>
    <row r="1156" spans="1:27" ht="15" customHeight="1" x14ac:dyDescent="0.3">
      <c r="A1156" s="22"/>
      <c r="B1156" s="23"/>
      <c r="C1156" s="1"/>
      <c r="D1156" s="23">
        <v>2019</v>
      </c>
      <c r="E1156" s="25">
        <f>'Current Ratio'!G1272</f>
        <v>5.0291413077630249</v>
      </c>
      <c r="F1156" s="25">
        <f>'Cash Ratio'!G1272</f>
        <v>9.7878579823816231E-2</v>
      </c>
      <c r="G1156" s="25">
        <f>DAR!G1272</f>
        <v>0.70407381383365675</v>
      </c>
      <c r="H1156" s="25">
        <f>DER!G1272</f>
        <v>2.3792210583144859</v>
      </c>
      <c r="I1156" s="25">
        <f>NPM!G1272</f>
        <v>0.20547049909261558</v>
      </c>
      <c r="J1156" s="25">
        <f>ROA!G1272</f>
        <v>4.2587310229154615E-2</v>
      </c>
      <c r="K1156" s="25">
        <f>ROE!G1272</f>
        <v>0.14391193554333118</v>
      </c>
      <c r="L1156" s="25">
        <f>KM!E1272</f>
        <v>0.73409999999999997</v>
      </c>
      <c r="M1156" s="24">
        <f>KI!E1272</f>
        <v>2</v>
      </c>
      <c r="N1156" s="108">
        <f>IO!E1272</f>
        <v>0.25</v>
      </c>
      <c r="O1156" s="24">
        <f>'BoC Size'!E1272</f>
        <v>4</v>
      </c>
      <c r="P1156" s="24">
        <f>'TMT E DK'!E1272</f>
        <v>0</v>
      </c>
      <c r="Q1156" s="24">
        <f>Data!R1272</f>
        <v>4</v>
      </c>
      <c r="R1156" s="24">
        <f>Data!S1272</f>
        <v>6</v>
      </c>
      <c r="S1156" s="24">
        <f>'TMT E DK'!E1272</f>
        <v>0</v>
      </c>
      <c r="T1156" s="24">
        <f>'TMT E DD'!E1272</f>
        <v>0</v>
      </c>
      <c r="U1156" s="24">
        <f>TA!E1272</f>
        <v>3868218000000</v>
      </c>
      <c r="V1156" s="109">
        <f>PR!F1272</f>
        <v>-0.11510075151124508</v>
      </c>
      <c r="W1156" s="109">
        <f>'Z Score'!I1272</f>
        <v>2.9358602229760575</v>
      </c>
      <c r="X1156" s="109">
        <f>'Z Score'!L1272</f>
        <v>0.65505620417463539</v>
      </c>
      <c r="Y1156" s="109">
        <f>'Z Score'!O1272</f>
        <v>0.251869403430727</v>
      </c>
      <c r="Z1156" s="109">
        <f>'Z Score'!R1272</f>
        <v>0.44132090892968673</v>
      </c>
      <c r="AA1156" s="109">
        <f>'Z Score'!S1272</f>
        <v>4.284106739511107</v>
      </c>
    </row>
    <row r="1157" spans="1:27" ht="15" customHeight="1" x14ac:dyDescent="0.3">
      <c r="A1157" s="22"/>
      <c r="B1157" s="23"/>
      <c r="C1157" s="1"/>
      <c r="D1157" s="23">
        <v>2020</v>
      </c>
      <c r="E1157" s="25">
        <f>'Current Ratio'!G1273</f>
        <v>4.0361727997711263</v>
      </c>
      <c r="F1157" s="25">
        <f>'Cash Ratio'!G1273</f>
        <v>8.9774474711713209E-2</v>
      </c>
      <c r="G1157" s="25">
        <f>DAR!G1273</f>
        <v>0.70694503633722994</v>
      </c>
      <c r="H1157" s="25">
        <f>DER!G1273</f>
        <v>2.4123291668614746</v>
      </c>
      <c r="I1157" s="25">
        <f>NPM!G1273</f>
        <v>0.16320243685357394</v>
      </c>
      <c r="J1157" s="25">
        <f>ROA!G1273</f>
        <v>3.0148656169769656E-2</v>
      </c>
      <c r="K1157" s="25">
        <f>ROE!G1273</f>
        <v>0.10287713878978315</v>
      </c>
      <c r="L1157" s="25">
        <f>KM!E1273</f>
        <v>0.73409999999999997</v>
      </c>
      <c r="M1157" s="24">
        <f>KI!E1273</f>
        <v>2</v>
      </c>
      <c r="N1157" s="108">
        <f>IO!E1273</f>
        <v>0.25</v>
      </c>
      <c r="O1157" s="24">
        <f>'BoC Size'!E1273</f>
        <v>4</v>
      </c>
      <c r="P1157" s="24">
        <f>'TMT E DK'!E1273</f>
        <v>0</v>
      </c>
      <c r="Q1157" s="24">
        <f>Data!R1273</f>
        <v>4</v>
      </c>
      <c r="R1157" s="24">
        <f>Data!S1273</f>
        <v>6</v>
      </c>
      <c r="S1157" s="24">
        <f>'TMT E DK'!E1273</f>
        <v>0</v>
      </c>
      <c r="T1157" s="24">
        <f>'TMT E DD'!E1273</f>
        <v>0</v>
      </c>
      <c r="U1157" s="24">
        <f>TA!E1273</f>
        <v>4233124000000</v>
      </c>
      <c r="V1157" s="109">
        <f>PR!F1273</f>
        <v>-2.4649674775960237E-2</v>
      </c>
      <c r="W1157" s="109">
        <f>'Z Score'!I1273</f>
        <v>2.8945148216777965</v>
      </c>
      <c r="X1157" s="109">
        <f>'Z Score'!L1273</f>
        <v>0.68995998227313904</v>
      </c>
      <c r="Y1157" s="109">
        <f>'Z Score'!O1273</f>
        <v>0.21845630791821832</v>
      </c>
      <c r="Z1157" s="109">
        <f>'Z Score'!R1273</f>
        <v>0.43526398238847608</v>
      </c>
      <c r="AA1157" s="109">
        <f>'Z Score'!S1273</f>
        <v>4.2381950942576294</v>
      </c>
    </row>
    <row r="1158" spans="1:27" ht="15" customHeight="1" x14ac:dyDescent="0.3">
      <c r="A1158" s="22"/>
      <c r="B1158" s="23"/>
      <c r="C1158" s="1"/>
      <c r="D1158" s="23">
        <v>2021</v>
      </c>
      <c r="E1158" s="25">
        <f>'Current Ratio'!G1274</f>
        <v>3.834049631946971</v>
      </c>
      <c r="F1158" s="25">
        <f>'Cash Ratio'!G1274</f>
        <v>6.6937509632296513E-2</v>
      </c>
      <c r="G1158" s="25">
        <f>DAR!G1274</f>
        <v>0.69272516329240286</v>
      </c>
      <c r="H1158" s="25">
        <f>DER!G1274</f>
        <v>2.2544155281794209</v>
      </c>
      <c r="I1158" s="25">
        <f>NPM!G1274</f>
        <v>0.13919578390845552</v>
      </c>
      <c r="J1158" s="25">
        <f>ROA!G1274</f>
        <v>2.7135144673994818E-2</v>
      </c>
      <c r="K1158" s="25">
        <f>ROE!G1274</f>
        <v>8.8309036186443854E-2</v>
      </c>
      <c r="L1158" s="25">
        <f>KM!E1274</f>
        <v>0.73409999999999997</v>
      </c>
      <c r="M1158" s="24">
        <f>KI!E1274</f>
        <v>2</v>
      </c>
      <c r="N1158" s="108">
        <f>IO!E1274</f>
        <v>0.25</v>
      </c>
      <c r="O1158" s="24">
        <f>'BoC Size'!E1274</f>
        <v>4</v>
      </c>
      <c r="P1158" s="24">
        <f>'TMT E DK'!E1274</f>
        <v>0</v>
      </c>
      <c r="Q1158" s="24">
        <f>Data!R1274</f>
        <v>4</v>
      </c>
      <c r="R1158" s="24">
        <f>Data!S1274</f>
        <v>6</v>
      </c>
      <c r="S1158" s="24">
        <f>'TMT E DK'!E1274</f>
        <v>0</v>
      </c>
      <c r="T1158" s="24">
        <f>'TMT E DD'!E1274</f>
        <v>0</v>
      </c>
      <c r="U1158" s="24">
        <f>TA!E1274</f>
        <v>4261374000000</v>
      </c>
      <c r="V1158" s="109">
        <f>PR!F1274</f>
        <v>6.2315215500925843E-2</v>
      </c>
      <c r="W1158" s="109">
        <f>'Z Score'!I1274</f>
        <v>2.7458926064691807</v>
      </c>
      <c r="X1158" s="109">
        <f>'Z Score'!L1274</f>
        <v>0.71275277410525328</v>
      </c>
      <c r="Y1158" s="109">
        <f>'Z Score'!O1274</f>
        <v>0.24424054776698784</v>
      </c>
      <c r="Z1158" s="109">
        <f>'Z Score'!R1274</f>
        <v>0.4657526471386309</v>
      </c>
      <c r="AA1158" s="109">
        <f>'Z Score'!S1274</f>
        <v>4.1686385754800526</v>
      </c>
    </row>
    <row r="1159" spans="1:27" ht="15" customHeight="1" x14ac:dyDescent="0.3">
      <c r="A1159" s="22"/>
      <c r="B1159" s="23"/>
      <c r="C1159" s="1"/>
      <c r="D1159" s="23">
        <v>2022</v>
      </c>
      <c r="E1159" s="25">
        <f>'Current Ratio'!G1275</f>
        <v>3.3198531392752155</v>
      </c>
      <c r="F1159" s="25">
        <f>'Cash Ratio'!G1275</f>
        <v>4.7442360308688911E-2</v>
      </c>
      <c r="G1159" s="25">
        <f>DAR!G1275</f>
        <v>0.69541493269287602</v>
      </c>
      <c r="H1159" s="25">
        <f>DER!G1275</f>
        <v>2.2831550438146211</v>
      </c>
      <c r="I1159" s="25">
        <f>NPM!G1275</f>
        <v>0.10878020380282824</v>
      </c>
      <c r="J1159" s="25">
        <f>ROA!G1275</f>
        <v>2.3840984657338679E-2</v>
      </c>
      <c r="K1159" s="25">
        <f>ROE!G1275</f>
        <v>7.8273649027248468E-2</v>
      </c>
      <c r="L1159" s="25">
        <f>KM!E1275</f>
        <v>0.73409999999999997</v>
      </c>
      <c r="M1159" s="24">
        <f>KI!E1275</f>
        <v>2</v>
      </c>
      <c r="N1159" s="108">
        <f>IO!E1275</f>
        <v>0.25</v>
      </c>
      <c r="O1159" s="24">
        <f>'BoC Size'!E1275</f>
        <v>4</v>
      </c>
      <c r="P1159" s="24">
        <f>'TMT E DK'!E1275</f>
        <v>0</v>
      </c>
      <c r="Q1159" s="24">
        <f>Data!R1275</f>
        <v>4</v>
      </c>
      <c r="R1159" s="24">
        <f>Data!S1275</f>
        <v>6</v>
      </c>
      <c r="S1159" s="24">
        <f>'TMT E DK'!E1275</f>
        <v>0</v>
      </c>
      <c r="T1159" s="24">
        <f>'TMT E DD'!E1275</f>
        <v>0</v>
      </c>
      <c r="U1159" s="24">
        <f>TA!E1275</f>
        <v>4365214000000</v>
      </c>
      <c r="V1159" s="109">
        <f>PR!F1275</f>
        <v>0.15165964064994064</v>
      </c>
      <c r="W1159" s="109">
        <f>'Z Score'!I1275</f>
        <v>2.3292208262870959</v>
      </c>
      <c r="X1159" s="109">
        <f>'Z Score'!L1275</f>
        <v>0.72681142780170682</v>
      </c>
      <c r="Y1159" s="109">
        <f>'Z Score'!O1275</f>
        <v>0.27623464966436923</v>
      </c>
      <c r="Z1159" s="109">
        <f>'Z Score'!R1275</f>
        <v>0.45988992418390223</v>
      </c>
      <c r="AA1159" s="109">
        <f>'Z Score'!S1275</f>
        <v>3.7921568279370739</v>
      </c>
    </row>
    <row r="1160" spans="1:27" ht="15" customHeight="1" x14ac:dyDescent="0.3">
      <c r="A1160" s="22"/>
      <c r="B1160" s="23"/>
      <c r="C1160" s="1"/>
      <c r="D1160" s="23">
        <v>2023</v>
      </c>
      <c r="E1160" s="25">
        <f>'Current Ratio'!G1276</f>
        <v>2.8748395133776263</v>
      </c>
      <c r="F1160" s="25">
        <f>'Cash Ratio'!G1276</f>
        <v>4.5930597952953851E-2</v>
      </c>
      <c r="G1160" s="25">
        <f>DAR!G1276</f>
        <v>0.69801124801826386</v>
      </c>
      <c r="H1160" s="25">
        <f>DER!G1276</f>
        <v>2.3113816108637</v>
      </c>
      <c r="I1160" s="25">
        <f>NPM!G1276</f>
        <v>0.24419654417064995</v>
      </c>
      <c r="J1160" s="25">
        <f>ROA!G1276</f>
        <v>4.8751458795355883E-2</v>
      </c>
      <c r="K1160" s="25">
        <f>ROE!G1276</f>
        <v>0.16143468415772089</v>
      </c>
      <c r="L1160" s="25">
        <f>KM!E1276</f>
        <v>0.73409999999999997</v>
      </c>
      <c r="M1160" s="24">
        <f>KI!E1276</f>
        <v>2</v>
      </c>
      <c r="N1160" s="108">
        <f>IO!E1276</f>
        <v>0.25</v>
      </c>
      <c r="O1160" s="24">
        <f>'BoC Size'!E1276</f>
        <v>4</v>
      </c>
      <c r="P1160" s="24">
        <f>'TMT E DK'!E1276</f>
        <v>0</v>
      </c>
      <c r="Q1160" s="24">
        <f>Data!R1276</f>
        <v>4</v>
      </c>
      <c r="R1160" s="24">
        <f>Data!S1276</f>
        <v>6</v>
      </c>
      <c r="S1160" s="24">
        <f>'TMT E DK'!E1276</f>
        <v>0</v>
      </c>
      <c r="T1160" s="24">
        <f>'TMT E DD'!E1276</f>
        <v>0</v>
      </c>
      <c r="U1160" s="24">
        <f>TA!E1276</f>
        <v>5010127000000</v>
      </c>
      <c r="V1160" s="109">
        <f>PR!F1276</f>
        <v>4.5483004759022859E-2</v>
      </c>
      <c r="W1160" s="109">
        <f>'Z Score'!I1276</f>
        <v>2.1873405444612479</v>
      </c>
      <c r="X1160" s="109">
        <f>'Z Score'!L1276</f>
        <v>0.72975234759518071</v>
      </c>
      <c r="Y1160" s="109">
        <f>'Z Score'!O1276</f>
        <v>0.33636033577591945</v>
      </c>
      <c r="Z1160" s="109">
        <f>'Z Score'!R1276</f>
        <v>0.454273753440326</v>
      </c>
      <c r="AA1160" s="109">
        <f>'Z Score'!S1276</f>
        <v>3.7077269812726739</v>
      </c>
    </row>
    <row r="1161" spans="1:27" ht="15" customHeight="1" x14ac:dyDescent="0.3">
      <c r="A1161" s="22"/>
      <c r="B1161" s="23"/>
      <c r="C1161" s="1"/>
      <c r="D1161" s="23">
        <v>2024</v>
      </c>
      <c r="E1161" s="25">
        <f>'Current Ratio'!G1277</f>
        <v>2.5811204007925319</v>
      </c>
      <c r="F1161" s="25">
        <f>'Cash Ratio'!G1277</f>
        <v>4.1146639507295246E-2</v>
      </c>
      <c r="G1161" s="25">
        <f>DAR!G1277</f>
        <v>0.70246503226576684</v>
      </c>
      <c r="H1161" s="25">
        <f>DER!G1277</f>
        <v>2.3609494965083528</v>
      </c>
      <c r="I1161" s="25">
        <f>NPM!G1277</f>
        <v>0.17349340700031379</v>
      </c>
      <c r="J1161" s="25">
        <f>ROA!G1277</f>
        <v>3.2898856592829151E-2</v>
      </c>
      <c r="K1161" s="25">
        <f>ROE!G1277</f>
        <v>0.11057139550136966</v>
      </c>
      <c r="L1161" s="25">
        <f>KM!E1277</f>
        <v>0.73409999999999997</v>
      </c>
      <c r="M1161" s="24">
        <f>KI!E1277</f>
        <v>2</v>
      </c>
      <c r="N1161" s="108">
        <f>IO!E1277</f>
        <v>0.25</v>
      </c>
      <c r="O1161" s="24">
        <f>'BoC Size'!E1277</f>
        <v>4</v>
      </c>
      <c r="P1161" s="24">
        <f>'TMT E DK'!E1277</f>
        <v>0</v>
      </c>
      <c r="Q1161" s="24">
        <f>Data!R1277</f>
        <v>4</v>
      </c>
      <c r="R1161" s="24">
        <f>Data!S1277</f>
        <v>6</v>
      </c>
      <c r="S1161" s="24">
        <f>'TMT E DK'!E1277</f>
        <v>0</v>
      </c>
      <c r="T1161" s="24">
        <f>'TMT E DD'!E1277</f>
        <v>0</v>
      </c>
      <c r="U1161" s="24">
        <f>TA!E1277</f>
        <v>5226747000000</v>
      </c>
      <c r="V1161" s="109">
        <f>PR!F1277</f>
        <v>-9.093972044234136E-3</v>
      </c>
      <c r="W1161" s="109">
        <f>'Z Score'!I1277</f>
        <v>2.0692398694637411</v>
      </c>
      <c r="X1161" s="109">
        <f>'Z Score'!L1277</f>
        <v>0.72571474379762391</v>
      </c>
      <c r="Y1161" s="109">
        <f>'Z Score'!O1277</f>
        <v>0.37219570796137635</v>
      </c>
      <c r="Z1161" s="109">
        <f>'Z Score'!R1277</f>
        <v>0.44473632390394724</v>
      </c>
      <c r="AA1161" s="109">
        <f>'Z Score'!S1277</f>
        <v>3.6118866451266882</v>
      </c>
    </row>
    <row r="1162" spans="1:27" ht="15" customHeight="1" x14ac:dyDescent="0.3">
      <c r="A1162" s="22"/>
      <c r="B1162" s="23">
        <v>117</v>
      </c>
      <c r="C1162" s="2" t="s">
        <v>65</v>
      </c>
      <c r="D1162" s="23">
        <v>2015</v>
      </c>
      <c r="E1162" s="25">
        <f>'Current Ratio'!G1279</f>
        <v>3.9068487350481633</v>
      </c>
      <c r="F1162" s="25">
        <f>'Cash Ratio'!G1279</f>
        <v>0.98216364983592674</v>
      </c>
      <c r="G1162" s="25">
        <f>DAR!G1279</f>
        <v>0.41797823590973288</v>
      </c>
      <c r="H1162" s="25">
        <f>DER!G1279</f>
        <v>0.71815507624625752</v>
      </c>
      <c r="I1162" s="25">
        <f>NPM!G1279</f>
        <v>9.695323974450934E-2</v>
      </c>
      <c r="J1162" s="25">
        <f>ROA!G1279</f>
        <v>2.8840975827838122E-2</v>
      </c>
      <c r="K1162" s="25">
        <f>ROE!G1279</f>
        <v>4.955352077023123E-2</v>
      </c>
      <c r="L1162" s="25">
        <f>KM!E1279</f>
        <v>0.99650000000000005</v>
      </c>
      <c r="M1162" s="24">
        <f>KI!E1279</f>
        <v>1</v>
      </c>
      <c r="N1162" s="108">
        <f>IO!E1279</f>
        <v>0</v>
      </c>
      <c r="O1162" s="24">
        <f>'BoC Size'!E1279</f>
        <v>2</v>
      </c>
      <c r="P1162" s="24">
        <f>'TMT E DK'!E1279</f>
        <v>0</v>
      </c>
      <c r="Q1162" s="24">
        <f>Data!R1279</f>
        <v>2</v>
      </c>
      <c r="R1162" s="24">
        <f>Data!S1279</f>
        <v>3</v>
      </c>
      <c r="S1162" s="24">
        <f>'TMT E DK'!E1279</f>
        <v>0</v>
      </c>
      <c r="T1162" s="24">
        <f>'TMT E DD'!E1279</f>
        <v>0</v>
      </c>
      <c r="U1162" s="24">
        <f>TA!E1279</f>
        <v>196838000000</v>
      </c>
      <c r="V1162" s="109">
        <f>PR!F1279</f>
        <v>0.47587840903362405</v>
      </c>
      <c r="W1162" s="109">
        <f>'Z Score'!I1279</f>
        <v>1.8303799063189017</v>
      </c>
      <c r="X1162" s="109">
        <f>'Z Score'!L1279</f>
        <v>-0.22714567309157782</v>
      </c>
      <c r="Y1162" s="109">
        <f>'Z Score'!O1279</f>
        <v>0.25912069823916112</v>
      </c>
      <c r="Z1162" s="109">
        <f>'Z Score'!R1279</f>
        <v>1.4620797578821985</v>
      </c>
      <c r="AA1162" s="109">
        <f>'Z Score'!S1279</f>
        <v>3.3244346893486836</v>
      </c>
    </row>
    <row r="1163" spans="1:27" ht="15" customHeight="1" x14ac:dyDescent="0.3">
      <c r="A1163" s="22"/>
      <c r="B1163" s="23"/>
      <c r="C1163" s="2"/>
      <c r="D1163" s="23">
        <v>2016</v>
      </c>
      <c r="E1163" s="25">
        <f>'Current Ratio'!G1280</f>
        <v>3.2205345529308103</v>
      </c>
      <c r="F1163" s="25">
        <f>'Cash Ratio'!G1280</f>
        <v>0.80766164561742126</v>
      </c>
      <c r="G1163" s="25">
        <f>DAR!G1280</f>
        <v>0.41952338773510234</v>
      </c>
      <c r="H1163" s="25">
        <f>DER!G1280</f>
        <v>0.72272815817668257</v>
      </c>
      <c r="I1163" s="25">
        <f>NPM!G1280</f>
        <v>0.12722884296273948</v>
      </c>
      <c r="J1163" s="25">
        <f>ROA!G1280</f>
        <v>3.9736534619878632E-2</v>
      </c>
      <c r="K1163" s="25">
        <f>ROE!G1280</f>
        <v>6.8455569624362847E-2</v>
      </c>
      <c r="L1163" s="25">
        <f>KM!E1280</f>
        <v>0.99650000000000005</v>
      </c>
      <c r="M1163" s="24">
        <f>KI!E1280</f>
        <v>2</v>
      </c>
      <c r="N1163" s="108">
        <f>IO!E1280</f>
        <v>0</v>
      </c>
      <c r="O1163" s="24">
        <f>'BoC Size'!E1280</f>
        <v>3</v>
      </c>
      <c r="P1163" s="24">
        <f>'TMT E DK'!E1280</f>
        <v>0</v>
      </c>
      <c r="Q1163" s="24">
        <f>Data!R1280</f>
        <v>3</v>
      </c>
      <c r="R1163" s="24">
        <f>Data!S1280</f>
        <v>3</v>
      </c>
      <c r="S1163" s="24">
        <f>'TMT E DK'!E1280</f>
        <v>0</v>
      </c>
      <c r="T1163" s="24">
        <f>'TMT E DD'!E1280</f>
        <v>0</v>
      </c>
      <c r="U1163" s="24">
        <f>TA!E1280</f>
        <v>212248000000</v>
      </c>
      <c r="V1163" s="109">
        <f>PR!F1280</f>
        <v>0.13211736175154559</v>
      </c>
      <c r="W1163" s="109">
        <f>'Z Score'!I1280</f>
        <v>1.635672986317892</v>
      </c>
      <c r="X1163" s="109">
        <f>'Z Score'!L1280</f>
        <v>-8.0222098677019335E-2</v>
      </c>
      <c r="Y1163" s="109">
        <f>'Z Score'!O1280</f>
        <v>0.32465267046097018</v>
      </c>
      <c r="Z1163" s="109">
        <f>'Z Score'!R1280</f>
        <v>1.4528284087463361</v>
      </c>
      <c r="AA1163" s="109">
        <f>'Z Score'!S1280</f>
        <v>3.3329319668481792</v>
      </c>
    </row>
    <row r="1164" spans="1:27" ht="15" customHeight="1" x14ac:dyDescent="0.3">
      <c r="A1164" s="22"/>
      <c r="B1164" s="23"/>
      <c r="C1164" s="2"/>
      <c r="D1164" s="23">
        <v>2017</v>
      </c>
      <c r="E1164" s="25">
        <f>'Current Ratio'!G1281</f>
        <v>3.0834763334763333</v>
      </c>
      <c r="F1164" s="25">
        <f>'Cash Ratio'!G1281</f>
        <v>0.7878950378950379</v>
      </c>
      <c r="G1164" s="25">
        <f>DAR!G1281</f>
        <v>0.47916658229898557</v>
      </c>
      <c r="H1164" s="25">
        <f>DER!G1281</f>
        <v>0.91999968898703077</v>
      </c>
      <c r="I1164" s="25">
        <f>NPM!G1281</f>
        <v>5.9487285385568467E-2</v>
      </c>
      <c r="J1164" s="25">
        <f>ROA!G1281</f>
        <v>1.6332233178771742E-2</v>
      </c>
      <c r="K1164" s="25">
        <f>ROE!G1281</f>
        <v>3.135788262370541E-2</v>
      </c>
      <c r="L1164" s="25">
        <f>KM!E1281</f>
        <v>0.99650000000000005</v>
      </c>
      <c r="M1164" s="24">
        <f>KI!E1281</f>
        <v>2</v>
      </c>
      <c r="N1164" s="108">
        <f>IO!E1281</f>
        <v>0</v>
      </c>
      <c r="O1164" s="24">
        <f>'BoC Size'!E1281</f>
        <v>3</v>
      </c>
      <c r="P1164" s="24">
        <f>'TMT E DK'!E1281</f>
        <v>0</v>
      </c>
      <c r="Q1164" s="24">
        <f>Data!R1281</f>
        <v>3</v>
      </c>
      <c r="R1164" s="24">
        <f>Data!S1281</f>
        <v>3</v>
      </c>
      <c r="S1164" s="24">
        <f>'TMT E DK'!E1281</f>
        <v>0</v>
      </c>
      <c r="T1164" s="24">
        <f>'TMT E DD'!E1281</f>
        <v>0</v>
      </c>
      <c r="U1164" s="24">
        <f>TA!E1281</f>
        <v>246935000000</v>
      </c>
      <c r="V1164" s="109">
        <f>PR!F1281</f>
        <v>2.2718358726806456E-2</v>
      </c>
      <c r="W1164" s="109">
        <f>'Z Score'!I1281</f>
        <v>1.5482221637272966</v>
      </c>
      <c r="X1164" s="109">
        <f>'Z Score'!L1281</f>
        <v>-1.8601413327393845E-2</v>
      </c>
      <c r="Y1164" s="109">
        <f>'Z Score'!O1281</f>
        <v>0.10158851519630673</v>
      </c>
      <c r="Z1164" s="109">
        <f>'Z Score'!R1281</f>
        <v>1.1413047336527977</v>
      </c>
      <c r="AA1164" s="109">
        <f>'Z Score'!S1281</f>
        <v>2.7725139992490071</v>
      </c>
    </row>
    <row r="1165" spans="1:27" ht="15" customHeight="1" x14ac:dyDescent="0.3">
      <c r="A1165" s="22"/>
      <c r="B1165" s="23"/>
      <c r="C1165" s="2"/>
      <c r="D1165" s="23">
        <v>2018</v>
      </c>
      <c r="E1165" s="25">
        <f>'Current Ratio'!G1282</f>
        <v>3.1695868880530838</v>
      </c>
      <c r="F1165" s="25">
        <f>'Cash Ratio'!G1282</f>
        <v>0.73693544934715471</v>
      </c>
      <c r="G1165" s="25">
        <f>DAR!G1282</f>
        <v>0.50054056407316838</v>
      </c>
      <c r="H1165" s="25">
        <f>DER!G1282</f>
        <v>1.0021645964988741</v>
      </c>
      <c r="I1165" s="25">
        <f>NPM!G1282</f>
        <v>0.13187319353761473</v>
      </c>
      <c r="J1165" s="25">
        <f>ROA!G1282</f>
        <v>4.154724675117364E-2</v>
      </c>
      <c r="K1165" s="25">
        <f>ROE!G1282</f>
        <v>8.3184426527202732E-2</v>
      </c>
      <c r="L1165" s="25">
        <f>KM!E1282</f>
        <v>0.99650000000000005</v>
      </c>
      <c r="M1165" s="24">
        <f>KI!E1282</f>
        <v>2</v>
      </c>
      <c r="N1165" s="108">
        <f>IO!E1282</f>
        <v>0</v>
      </c>
      <c r="O1165" s="24">
        <f>'BoC Size'!E1282</f>
        <v>3</v>
      </c>
      <c r="P1165" s="24">
        <f>'TMT E DK'!E1282</f>
        <v>0</v>
      </c>
      <c r="Q1165" s="24">
        <f>Data!R1282</f>
        <v>3</v>
      </c>
      <c r="R1165" s="24">
        <f>Data!S1282</f>
        <v>3</v>
      </c>
      <c r="S1165" s="24">
        <f>'TMT E DK'!E1282</f>
        <v>0</v>
      </c>
      <c r="T1165" s="24">
        <f>'TMT E DD'!E1282</f>
        <v>0</v>
      </c>
      <c r="U1165" s="24">
        <f>TA!E1282</f>
        <v>275638000000</v>
      </c>
      <c r="V1165" s="109">
        <f>PR!F1282</f>
        <v>0.28091627824650423</v>
      </c>
      <c r="W1165" s="109">
        <f>'Z Score'!I1282</f>
        <v>1.6886101335810011</v>
      </c>
      <c r="X1165" s="109">
        <f>'Z Score'!L1282</f>
        <v>0.11907530891967</v>
      </c>
      <c r="Y1165" s="109">
        <f>'Z Score'!O1282</f>
        <v>0.21824799193144628</v>
      </c>
      <c r="Z1165" s="109">
        <f>'Z Score'!R1282</f>
        <v>1.0477320828018091</v>
      </c>
      <c r="AA1165" s="109">
        <f>'Z Score'!S1282</f>
        <v>3.073665517233926</v>
      </c>
    </row>
    <row r="1166" spans="1:27" ht="15" customHeight="1" x14ac:dyDescent="0.3">
      <c r="A1166" s="22"/>
      <c r="B1166" s="23"/>
      <c r="C1166" s="2"/>
      <c r="D1166" s="23">
        <v>2019</v>
      </c>
      <c r="E1166" s="25">
        <f>'Current Ratio'!G1283</f>
        <v>4.305823665449819</v>
      </c>
      <c r="F1166" s="25">
        <f>'Cash Ratio'!G1283</f>
        <v>0.44171556354045222</v>
      </c>
      <c r="G1166" s="25">
        <f>DAR!G1283</f>
        <v>0.65335368970934071</v>
      </c>
      <c r="H1166" s="25">
        <f>DER!G1283</f>
        <v>1.8847974150644893</v>
      </c>
      <c r="I1166" s="25">
        <f>NPM!G1283</f>
        <v>9.2302524573933953E-2</v>
      </c>
      <c r="J1166" s="25">
        <f>ROA!G1283</f>
        <v>2.426498610375245E-2</v>
      </c>
      <c r="K1166" s="25">
        <f>ROE!G1283</f>
        <v>6.9999731853162786E-2</v>
      </c>
      <c r="L1166" s="25">
        <f>KM!E1283</f>
        <v>0.99650000000000005</v>
      </c>
      <c r="M1166" s="24">
        <f>KI!E1283</f>
        <v>2</v>
      </c>
      <c r="N1166" s="108">
        <f>IO!E1283</f>
        <v>0</v>
      </c>
      <c r="O1166" s="24">
        <f>'BoC Size'!E1283</f>
        <v>3</v>
      </c>
      <c r="P1166" s="24">
        <f>'TMT E DK'!E1283</f>
        <v>0</v>
      </c>
      <c r="Q1166" s="24">
        <f>Data!R1283</f>
        <v>3</v>
      </c>
      <c r="R1166" s="24">
        <f>Data!S1283</f>
        <v>3</v>
      </c>
      <c r="S1166" s="24">
        <f>'TMT E DK'!E1283</f>
        <v>0</v>
      </c>
      <c r="T1166" s="24">
        <f>'TMT E DD'!E1283</f>
        <v>0</v>
      </c>
      <c r="U1166" s="24">
        <f>TA!E1283</f>
        <v>430332000000</v>
      </c>
      <c r="V1166" s="109">
        <f>PR!F1283</f>
        <v>0.30270264045784823</v>
      </c>
      <c r="W1166" s="109">
        <f>'Z Score'!I1283</f>
        <v>2.6366708494836542</v>
      </c>
      <c r="X1166" s="109">
        <f>'Z Score'!L1283</f>
        <v>0.14685196545922682</v>
      </c>
      <c r="Y1166" s="109">
        <f>'Z Score'!O1283</f>
        <v>0.18365801288307632</v>
      </c>
      <c r="Z1166" s="109">
        <f>'Z Score'!R1283</f>
        <v>0.55708904925682623</v>
      </c>
      <c r="AA1166" s="109">
        <f>'Z Score'!S1283</f>
        <v>3.5242698770827832</v>
      </c>
    </row>
    <row r="1167" spans="1:27" ht="15" customHeight="1" x14ac:dyDescent="0.3">
      <c r="A1167" s="22"/>
      <c r="B1167" s="23"/>
      <c r="C1167" s="2"/>
      <c r="D1167" s="23">
        <v>2020</v>
      </c>
      <c r="E1167" s="25">
        <f>'Current Ratio'!G1284</f>
        <v>3.2002860106232518</v>
      </c>
      <c r="F1167" s="25">
        <f>'Cash Ratio'!G1284</f>
        <v>0.31960901404909325</v>
      </c>
      <c r="G1167" s="25">
        <f>DAR!G1284</f>
        <v>0.62361304666356976</v>
      </c>
      <c r="H1167" s="25">
        <f>DER!G1284</f>
        <v>1.6568504043374943</v>
      </c>
      <c r="I1167" s="25">
        <f>NPM!G1284</f>
        <v>6.0620792819745702E-2</v>
      </c>
      <c r="J1167" s="25">
        <f>ROA!G1284</f>
        <v>1.8731525585114619E-2</v>
      </c>
      <c r="K1167" s="25">
        <f>ROE!G1284</f>
        <v>4.9766976341497862E-2</v>
      </c>
      <c r="L1167" s="25">
        <f>KM!E1284</f>
        <v>0.99650000000000005</v>
      </c>
      <c r="M1167" s="24">
        <f>KI!E1284</f>
        <v>2</v>
      </c>
      <c r="N1167" s="108">
        <f>IO!E1284</f>
        <v>0</v>
      </c>
      <c r="O1167" s="24">
        <f>'BoC Size'!E1284</f>
        <v>3</v>
      </c>
      <c r="P1167" s="24">
        <f>'TMT E DK'!E1284</f>
        <v>0</v>
      </c>
      <c r="Q1167" s="24">
        <f>Data!R1284</f>
        <v>3</v>
      </c>
      <c r="R1167" s="24">
        <f>Data!S1284</f>
        <v>3</v>
      </c>
      <c r="S1167" s="24">
        <f>'TMT E DK'!E1284</f>
        <v>0</v>
      </c>
      <c r="T1167" s="24">
        <f>'TMT E DD'!E1284</f>
        <v>0</v>
      </c>
      <c r="U1167" s="24">
        <f>TA!E1284</f>
        <v>432693000000</v>
      </c>
      <c r="V1167" s="109">
        <f>PR!F1284</f>
        <v>0.18184711123682909</v>
      </c>
      <c r="W1167" s="109">
        <f>'Z Score'!I1284</f>
        <v>2.1227181396509764</v>
      </c>
      <c r="X1167" s="109">
        <f>'Z Score'!L1284</f>
        <v>0.20659557700263234</v>
      </c>
      <c r="Y1167" s="109">
        <f>'Z Score'!O1284</f>
        <v>0.18874389000977598</v>
      </c>
      <c r="Z1167" s="109">
        <f>'Z Score'!R1284</f>
        <v>0.63373253086168113</v>
      </c>
      <c r="AA1167" s="109">
        <f>'Z Score'!S1284</f>
        <v>3.1517901375250661</v>
      </c>
    </row>
    <row r="1168" spans="1:27" ht="15" customHeight="1" x14ac:dyDescent="0.3">
      <c r="A1168" s="22"/>
      <c r="B1168" s="23"/>
      <c r="C1168" s="2"/>
      <c r="D1168" s="23">
        <v>2021</v>
      </c>
      <c r="E1168" s="25">
        <f>'Current Ratio'!G1285</f>
        <v>4.9849582327311079</v>
      </c>
      <c r="F1168" s="25">
        <f>'Cash Ratio'!G1285</f>
        <v>0.2034523908639303</v>
      </c>
      <c r="G1168" s="25">
        <f>DAR!G1285</f>
        <v>0.60419700104733443</v>
      </c>
      <c r="H1168" s="25">
        <f>DER!G1285</f>
        <v>1.5265094065636193</v>
      </c>
      <c r="I1168" s="25">
        <f>NPM!G1285</f>
        <v>0.15740162846587036</v>
      </c>
      <c r="J1168" s="25">
        <f>ROA!G1285</f>
        <v>4.6706431314447253E-2</v>
      </c>
      <c r="K1168" s="25">
        <f>ROE!G1285</f>
        <v>0.11800423806296859</v>
      </c>
      <c r="L1168" s="25">
        <f>KM!E1285</f>
        <v>0.99650000000000005</v>
      </c>
      <c r="M1168" s="24">
        <f>KI!E1285</f>
        <v>2</v>
      </c>
      <c r="N1168" s="108">
        <f>IO!E1285</f>
        <v>0</v>
      </c>
      <c r="O1168" s="24">
        <f>'BoC Size'!E1285</f>
        <v>3</v>
      </c>
      <c r="P1168" s="24">
        <f>'TMT E DK'!E1285</f>
        <v>0</v>
      </c>
      <c r="Q1168" s="24">
        <f>Data!R1285</f>
        <v>3</v>
      </c>
      <c r="R1168" s="24">
        <f>Data!S1285</f>
        <v>3</v>
      </c>
      <c r="S1168" s="24">
        <f>'TMT E DK'!E1285</f>
        <v>0</v>
      </c>
      <c r="T1168" s="24">
        <f>'TMT E DD'!E1285</f>
        <v>0</v>
      </c>
      <c r="U1168" s="24">
        <f>TA!E1285</f>
        <v>469764000000</v>
      </c>
      <c r="V1168" s="109">
        <f>PR!F1285</f>
        <v>4.2595362752430817E-2</v>
      </c>
      <c r="W1168" s="109">
        <f>'Z Score'!I1285</f>
        <v>4.0103132636813381</v>
      </c>
      <c r="X1168" s="109">
        <f>'Z Score'!L1285</f>
        <v>0.34452610246847354</v>
      </c>
      <c r="Y1168" s="109">
        <f>'Z Score'!O1285</f>
        <v>0.35247656269956829</v>
      </c>
      <c r="Z1168" s="109">
        <f>'Z Score'!R1285</f>
        <v>0.6878437797273016</v>
      </c>
      <c r="AA1168" s="109">
        <f>'Z Score'!S1285</f>
        <v>5.3951597085766814</v>
      </c>
    </row>
    <row r="1169" spans="1:27" ht="15" customHeight="1" x14ac:dyDescent="0.3">
      <c r="A1169" s="22"/>
      <c r="B1169" s="23"/>
      <c r="C1169" s="2"/>
      <c r="D1169" s="23">
        <v>2022</v>
      </c>
      <c r="E1169" s="25">
        <f>'Current Ratio'!G1286</f>
        <v>2.8921707523004048</v>
      </c>
      <c r="F1169" s="25">
        <f>'Cash Ratio'!G1286</f>
        <v>0.28502125101961961</v>
      </c>
      <c r="G1169" s="25">
        <f>DAR!G1286</f>
        <v>0.5935461208525743</v>
      </c>
      <c r="H1169" s="25">
        <f>DER!G1286</f>
        <v>1.4603111227914123</v>
      </c>
      <c r="I1169" s="25">
        <f>NPM!G1286</f>
        <v>0.12796914776921539</v>
      </c>
      <c r="J1169" s="25">
        <f>ROA!G1286</f>
        <v>3.8103317940543294E-2</v>
      </c>
      <c r="K1169" s="25">
        <f>ROE!G1286</f>
        <v>9.3746209517648491E-2</v>
      </c>
      <c r="L1169" s="25">
        <f>KM!E1286</f>
        <v>0.99650000000000005</v>
      </c>
      <c r="M1169" s="24">
        <f>KI!E1286</f>
        <v>2</v>
      </c>
      <c r="N1169" s="108">
        <f>IO!E1286</f>
        <v>0</v>
      </c>
      <c r="O1169" s="24">
        <f>'BoC Size'!E1286</f>
        <v>3</v>
      </c>
      <c r="P1169" s="24">
        <f>'TMT E DK'!E1286</f>
        <v>0</v>
      </c>
      <c r="Q1169" s="24">
        <f>Data!R1286</f>
        <v>3</v>
      </c>
      <c r="R1169" s="24">
        <f>Data!S1286</f>
        <v>3</v>
      </c>
      <c r="S1169" s="24">
        <f>'TMT E DK'!E1286</f>
        <v>0</v>
      </c>
      <c r="T1169" s="24">
        <f>'TMT E DD'!E1286</f>
        <v>0</v>
      </c>
      <c r="U1169" s="24">
        <f>TA!E1286</f>
        <v>486808000000</v>
      </c>
      <c r="V1169" s="109">
        <f>PR!F1286</f>
        <v>3.9843609885576954E-2</v>
      </c>
      <c r="W1169" s="109">
        <f>'Z Score'!I1286</f>
        <v>1.7817761417232256</v>
      </c>
      <c r="X1169" s="109">
        <f>'Z Score'!L1286</f>
        <v>0.45934573795007472</v>
      </c>
      <c r="Y1169" s="109">
        <f>'Z Score'!O1286</f>
        <v>0.33301276889451281</v>
      </c>
      <c r="Z1169" s="109">
        <f>'Z Score'!R1286</f>
        <v>0.71902485957437978</v>
      </c>
      <c r="AA1169" s="109">
        <f>'Z Score'!S1286</f>
        <v>3.2931595081421925</v>
      </c>
    </row>
    <row r="1170" spans="1:27" ht="15" customHeight="1" x14ac:dyDescent="0.3">
      <c r="A1170" s="22"/>
      <c r="B1170" s="23"/>
      <c r="C1170" s="2"/>
      <c r="D1170" s="23">
        <v>2023</v>
      </c>
      <c r="E1170" s="25">
        <f>'Current Ratio'!G1287</f>
        <v>3.2804213854342912</v>
      </c>
      <c r="F1170" s="25">
        <f>'Cash Ratio'!G1287</f>
        <v>0.32343678600980597</v>
      </c>
      <c r="G1170" s="25">
        <f>DAR!G1287</f>
        <v>0.62410864556466272</v>
      </c>
      <c r="H1170" s="25">
        <f>DER!G1287</f>
        <v>1.6603431768261776</v>
      </c>
      <c r="I1170" s="25">
        <f>NPM!G1287</f>
        <v>0.10306037733457549</v>
      </c>
      <c r="J1170" s="25">
        <f>ROA!G1287</f>
        <v>2.8689175314113125E-2</v>
      </c>
      <c r="K1170" s="25">
        <f>ROE!G1287</f>
        <v>7.6323051795670865E-2</v>
      </c>
      <c r="L1170" s="25">
        <f>KM!E1287</f>
        <v>0.99650000000000005</v>
      </c>
      <c r="M1170" s="24">
        <f>KI!E1287</f>
        <v>2</v>
      </c>
      <c r="N1170" s="108">
        <f>IO!E1287</f>
        <v>0</v>
      </c>
      <c r="O1170" s="24">
        <f>'BoC Size'!E1287</f>
        <v>4</v>
      </c>
      <c r="P1170" s="24">
        <f>'TMT E DK'!E1287</f>
        <v>0</v>
      </c>
      <c r="Q1170" s="24">
        <f>Data!R1287</f>
        <v>4</v>
      </c>
      <c r="R1170" s="24">
        <f>Data!S1287</f>
        <v>3</v>
      </c>
      <c r="S1170" s="24">
        <f>'TMT E DK'!E1287</f>
        <v>0</v>
      </c>
      <c r="T1170" s="24">
        <f>'TMT E DD'!E1287</f>
        <v>0</v>
      </c>
      <c r="U1170" s="24">
        <f>TA!E1287</f>
        <v>566834000000</v>
      </c>
      <c r="V1170" s="109">
        <f>PR!F1287</f>
        <v>8.8596678831865006E-2</v>
      </c>
      <c r="W1170" s="109">
        <f>'Z Score'!I1287</f>
        <v>2.1369411150354423</v>
      </c>
      <c r="X1170" s="109">
        <f>'Z Score'!L1287</f>
        <v>0.36216726590148085</v>
      </c>
      <c r="Y1170" s="109">
        <f>'Z Score'!O1287</f>
        <v>0.25234054414519946</v>
      </c>
      <c r="Z1170" s="109">
        <f>'Z Score'!R1287</f>
        <v>0.63239938264276396</v>
      </c>
      <c r="AA1170" s="109">
        <f>'Z Score'!S1287</f>
        <v>3.3838483077248864</v>
      </c>
    </row>
    <row r="1171" spans="1:27" ht="15" customHeight="1" x14ac:dyDescent="0.3">
      <c r="A1171" s="22"/>
      <c r="B1171" s="23"/>
      <c r="C1171" s="2"/>
      <c r="D1171" s="23">
        <v>2024</v>
      </c>
      <c r="E1171" s="25">
        <f>'Current Ratio'!G1288</f>
        <v>3.2709012161926601</v>
      </c>
      <c r="F1171" s="25">
        <f>'Cash Ratio'!G1288</f>
        <v>0.18089357308553575</v>
      </c>
      <c r="G1171" s="25">
        <f>DAR!G1288</f>
        <v>0.73637509434334569</v>
      </c>
      <c r="H1171" s="25">
        <f>DER!G1288</f>
        <v>2.7932683086567023</v>
      </c>
      <c r="I1171" s="25">
        <f>NPM!G1288</f>
        <v>6.7756175540313948E-3</v>
      </c>
      <c r="J1171" s="25">
        <f>ROA!G1288</f>
        <v>1.7092794388235816E-3</v>
      </c>
      <c r="K1171" s="25">
        <f>ROE!G1288</f>
        <v>6.483755525928005E-3</v>
      </c>
      <c r="L1171" s="25">
        <f>KM!E1288</f>
        <v>0.99650000000000005</v>
      </c>
      <c r="M1171" s="24">
        <f>KI!E1288</f>
        <v>2</v>
      </c>
      <c r="N1171" s="108">
        <f>IO!E1288</f>
        <v>0</v>
      </c>
      <c r="O1171" s="24">
        <f>'BoC Size'!E1288</f>
        <v>3</v>
      </c>
      <c r="P1171" s="24">
        <f>'TMT E DK'!E1288</f>
        <v>0</v>
      </c>
      <c r="Q1171" s="24">
        <f>Data!R1288</f>
        <v>3</v>
      </c>
      <c r="R1171" s="24">
        <f>Data!S1288</f>
        <v>3</v>
      </c>
      <c r="S1171" s="24">
        <f>'TMT E DK'!E1288</f>
        <v>0</v>
      </c>
      <c r="T1171" s="24">
        <f>'TMT E DD'!E1288</f>
        <v>0</v>
      </c>
      <c r="U1171" s="24">
        <f>TA!E1288</f>
        <v>810868000000</v>
      </c>
      <c r="V1171" s="109">
        <f>PR!F1288</f>
        <v>0.29637938792453311</v>
      </c>
      <c r="W1171" s="109">
        <f>'Z Score'!I1288</f>
        <v>2.7402287918625472</v>
      </c>
      <c r="X1171" s="109">
        <f>'Z Score'!L1288</f>
        <v>0.26031980544305611</v>
      </c>
      <c r="Y1171" s="109">
        <f>'Z Score'!O1288</f>
        <v>2.5218605247709861E-2</v>
      </c>
      <c r="Z1171" s="109">
        <f>'Z Score'!R1288</f>
        <v>0.37590373855097026</v>
      </c>
      <c r="AA1171" s="109">
        <f>'Z Score'!S1288</f>
        <v>3.4016709411042836</v>
      </c>
    </row>
    <row r="1172" spans="1:27" ht="15" customHeight="1" x14ac:dyDescent="0.3">
      <c r="A1172" s="22"/>
      <c r="B1172" s="23">
        <v>118</v>
      </c>
      <c r="C1172" s="3" t="s">
        <v>89</v>
      </c>
      <c r="D1172" s="23">
        <v>2015</v>
      </c>
      <c r="E1172" s="25">
        <f>'Current Ratio'!G1290</f>
        <v>0</v>
      </c>
      <c r="F1172" s="25">
        <f>'Cash Ratio'!G1290</f>
        <v>0</v>
      </c>
      <c r="G1172" s="25">
        <f>DAR!G1290</f>
        <v>0</v>
      </c>
      <c r="H1172" s="25">
        <f>DER!G1290</f>
        <v>0</v>
      </c>
      <c r="I1172" s="25">
        <f>NPM!G1290</f>
        <v>0</v>
      </c>
      <c r="J1172" s="25">
        <f>ROA!G1290</f>
        <v>0</v>
      </c>
      <c r="K1172" s="25">
        <f>ROE!G1290</f>
        <v>0</v>
      </c>
      <c r="L1172" s="25">
        <f>KM!E1290</f>
        <v>0</v>
      </c>
      <c r="M1172" s="24">
        <f>KI!E1290</f>
        <v>0</v>
      </c>
      <c r="N1172" s="108">
        <f>IO!E1290</f>
        <v>0</v>
      </c>
      <c r="O1172" s="24">
        <f>'BoC Size'!E1290</f>
        <v>0</v>
      </c>
      <c r="P1172" s="24">
        <f>'TMT E DK'!E1290</f>
        <v>0</v>
      </c>
      <c r="Q1172" s="24">
        <f>Data!R1290</f>
        <v>0</v>
      </c>
      <c r="R1172" s="24">
        <f>Data!S1290</f>
        <v>0</v>
      </c>
      <c r="S1172" s="24">
        <f>'TMT E DK'!E1290</f>
        <v>0</v>
      </c>
      <c r="T1172" s="24">
        <f>'TMT E DD'!E1290</f>
        <v>0</v>
      </c>
      <c r="U1172" s="24">
        <f>TA!E1290</f>
        <v>0</v>
      </c>
      <c r="V1172" s="109">
        <f>PR!F1290</f>
        <v>0</v>
      </c>
      <c r="W1172" s="109">
        <f>'Z Score'!I1290</f>
        <v>0</v>
      </c>
      <c r="X1172" s="109">
        <f>'Z Score'!L1290</f>
        <v>0</v>
      </c>
      <c r="Y1172" s="109">
        <f>'Z Score'!O1290</f>
        <v>0</v>
      </c>
      <c r="Z1172" s="109">
        <f>'Z Score'!R1290</f>
        <v>0</v>
      </c>
      <c r="AA1172" s="109">
        <f>'Z Score'!S1290</f>
        <v>0</v>
      </c>
    </row>
    <row r="1173" spans="1:27" ht="15" customHeight="1" x14ac:dyDescent="0.3">
      <c r="A1173" s="22"/>
      <c r="B1173" s="23"/>
      <c r="C1173" s="3"/>
      <c r="D1173" s="23">
        <v>2016</v>
      </c>
      <c r="E1173" s="25">
        <f>'Current Ratio'!G1291</f>
        <v>0</v>
      </c>
      <c r="F1173" s="25">
        <f>'Cash Ratio'!G1291</f>
        <v>0</v>
      </c>
      <c r="G1173" s="25">
        <f>DAR!G1291</f>
        <v>0</v>
      </c>
      <c r="H1173" s="25">
        <f>DER!G1291</f>
        <v>0</v>
      </c>
      <c r="I1173" s="25">
        <f>NPM!G1291</f>
        <v>0</v>
      </c>
      <c r="J1173" s="25">
        <f>ROA!G1291</f>
        <v>0</v>
      </c>
      <c r="K1173" s="25">
        <f>ROE!G1291</f>
        <v>0</v>
      </c>
      <c r="L1173" s="25">
        <f>KM!E1291</f>
        <v>0</v>
      </c>
      <c r="M1173" s="24">
        <f>KI!E1291</f>
        <v>0</v>
      </c>
      <c r="N1173" s="108">
        <f>IO!E1291</f>
        <v>0</v>
      </c>
      <c r="O1173" s="24">
        <f>'BoC Size'!E1291</f>
        <v>0</v>
      </c>
      <c r="P1173" s="24">
        <f>'TMT E DK'!E1291</f>
        <v>0</v>
      </c>
      <c r="Q1173" s="24">
        <f>Data!R1291</f>
        <v>0</v>
      </c>
      <c r="R1173" s="24">
        <f>Data!S1291</f>
        <v>0</v>
      </c>
      <c r="S1173" s="24">
        <f>'TMT E DK'!E1291</f>
        <v>0</v>
      </c>
      <c r="T1173" s="24">
        <f>'TMT E DD'!E1291</f>
        <v>0</v>
      </c>
      <c r="U1173" s="24">
        <f>TA!E1291</f>
        <v>0</v>
      </c>
      <c r="V1173" s="109">
        <f>PR!F1291</f>
        <v>0</v>
      </c>
      <c r="W1173" s="109">
        <f>'Z Score'!I1291</f>
        <v>0</v>
      </c>
      <c r="X1173" s="109">
        <f>'Z Score'!L1291</f>
        <v>0</v>
      </c>
      <c r="Y1173" s="109">
        <f>'Z Score'!O1291</f>
        <v>0</v>
      </c>
      <c r="Z1173" s="109">
        <f>'Z Score'!R1291</f>
        <v>0</v>
      </c>
      <c r="AA1173" s="109">
        <f>'Z Score'!S1291</f>
        <v>0</v>
      </c>
    </row>
    <row r="1174" spans="1:27" ht="15" customHeight="1" x14ac:dyDescent="0.3">
      <c r="A1174" s="22"/>
      <c r="B1174" s="23"/>
      <c r="C1174" s="3"/>
      <c r="D1174" s="23">
        <v>2017</v>
      </c>
      <c r="E1174" s="25">
        <f>'Current Ratio'!G1292</f>
        <v>0</v>
      </c>
      <c r="F1174" s="25">
        <f>'Cash Ratio'!G1292</f>
        <v>0</v>
      </c>
      <c r="G1174" s="25">
        <f>DAR!G1292</f>
        <v>0</v>
      </c>
      <c r="H1174" s="25">
        <f>DER!G1292</f>
        <v>0</v>
      </c>
      <c r="I1174" s="25">
        <f>NPM!G1292</f>
        <v>0</v>
      </c>
      <c r="J1174" s="25">
        <f>ROA!G1292</f>
        <v>0</v>
      </c>
      <c r="K1174" s="25">
        <f>ROE!G1292</f>
        <v>0</v>
      </c>
      <c r="L1174" s="25">
        <f>KM!E1292</f>
        <v>0</v>
      </c>
      <c r="M1174" s="24">
        <f>KI!E1292</f>
        <v>0</v>
      </c>
      <c r="N1174" s="108">
        <f>IO!E1292</f>
        <v>0</v>
      </c>
      <c r="O1174" s="24">
        <f>'BoC Size'!E1292</f>
        <v>0</v>
      </c>
      <c r="P1174" s="24">
        <f>'TMT E DK'!E1292</f>
        <v>0</v>
      </c>
      <c r="Q1174" s="24">
        <f>Data!R1292</f>
        <v>0</v>
      </c>
      <c r="R1174" s="24">
        <f>Data!S1292</f>
        <v>0</v>
      </c>
      <c r="S1174" s="24">
        <f>'TMT E DK'!E1292</f>
        <v>0</v>
      </c>
      <c r="T1174" s="24">
        <f>'TMT E DD'!E1292</f>
        <v>0</v>
      </c>
      <c r="U1174" s="24">
        <f>TA!E1292</f>
        <v>0</v>
      </c>
      <c r="V1174" s="109">
        <f>PR!F1292</f>
        <v>0</v>
      </c>
      <c r="W1174" s="109">
        <f>'Z Score'!I1292</f>
        <v>0</v>
      </c>
      <c r="X1174" s="109">
        <f>'Z Score'!L1292</f>
        <v>0</v>
      </c>
      <c r="Y1174" s="109">
        <f>'Z Score'!O1292</f>
        <v>0</v>
      </c>
      <c r="Z1174" s="109">
        <f>'Z Score'!R1292</f>
        <v>0</v>
      </c>
      <c r="AA1174" s="109">
        <f>'Z Score'!S1292</f>
        <v>0</v>
      </c>
    </row>
    <row r="1175" spans="1:27" ht="15" customHeight="1" x14ac:dyDescent="0.3">
      <c r="A1175" s="22"/>
      <c r="B1175" s="23"/>
      <c r="C1175" s="3"/>
      <c r="D1175" s="23">
        <v>2018</v>
      </c>
      <c r="E1175" s="25">
        <f>'Current Ratio'!G1293</f>
        <v>1.0079266224011794</v>
      </c>
      <c r="F1175" s="25">
        <f>'Cash Ratio'!G1293</f>
        <v>0.12806208247176204</v>
      </c>
      <c r="G1175" s="25">
        <f>DAR!G1293</f>
        <v>0.79682502461152704</v>
      </c>
      <c r="H1175" s="25">
        <f>DER!G1293</f>
        <v>3.9233859976996737</v>
      </c>
      <c r="I1175" s="25">
        <f>NPM!G1293</f>
        <v>-4.5448069219474502E-2</v>
      </c>
      <c r="J1175" s="25">
        <f>ROA!G1293</f>
        <v>-1.1506153429607049E-2</v>
      </c>
      <c r="K1175" s="25">
        <f>ROE!G1293</f>
        <v>-5.6653694172209015E-2</v>
      </c>
      <c r="L1175" s="25">
        <f>KM!E1293</f>
        <v>0</v>
      </c>
      <c r="M1175" s="24">
        <f>KI!E1293</f>
        <v>0</v>
      </c>
      <c r="N1175" s="108">
        <f>IO!E1293</f>
        <v>0</v>
      </c>
      <c r="O1175" s="24">
        <f>'BoC Size'!E1293</f>
        <v>0</v>
      </c>
      <c r="P1175" s="24">
        <f>'TMT E DK'!E1293</f>
        <v>0</v>
      </c>
      <c r="Q1175" s="24">
        <f>Data!R1293</f>
        <v>0</v>
      </c>
      <c r="R1175" s="24">
        <f>Data!S1293</f>
        <v>0</v>
      </c>
      <c r="S1175" s="24">
        <f>'TMT E DK'!E1293</f>
        <v>0</v>
      </c>
      <c r="T1175" s="24">
        <f>'TMT E DD'!E1293</f>
        <v>0</v>
      </c>
      <c r="U1175" s="24">
        <f>TA!E1293</f>
        <v>2759490493000</v>
      </c>
      <c r="V1175" s="109">
        <f>PR!F1293</f>
        <v>0</v>
      </c>
      <c r="W1175" s="109">
        <f>'Z Score'!I1293</f>
        <v>6.1314257407010381E-3</v>
      </c>
      <c r="X1175" s="109">
        <f>'Z Score'!L1293</f>
        <v>4.5373510884568938E-2</v>
      </c>
      <c r="Y1175" s="109">
        <f>'Z Score'!O1293</f>
        <v>-3.050215221016889E-2</v>
      </c>
      <c r="Z1175" s="109">
        <f>'Z Score'!R1293</f>
        <v>0.26762597425173745</v>
      </c>
      <c r="AA1175" s="109">
        <f>'Z Score'!S1293</f>
        <v>0.28862875866683851</v>
      </c>
    </row>
    <row r="1176" spans="1:27" ht="15" customHeight="1" x14ac:dyDescent="0.3">
      <c r="A1176" s="22"/>
      <c r="B1176" s="23"/>
      <c r="C1176" s="3"/>
      <c r="D1176" s="23">
        <v>2019</v>
      </c>
      <c r="E1176" s="25">
        <f>'Current Ratio'!G1294</f>
        <v>0.98651347957639324</v>
      </c>
      <c r="F1176" s="25">
        <f>'Cash Ratio'!G1294</f>
        <v>0.15100911972977271</v>
      </c>
      <c r="G1176" s="25">
        <f>DAR!G1294</f>
        <v>0.79012922939827357</v>
      </c>
      <c r="H1176" s="25">
        <f>DER!G1294</f>
        <v>3.7665249286585456</v>
      </c>
      <c r="I1176" s="25">
        <f>NPM!G1294</f>
        <v>-0.10323436376180022</v>
      </c>
      <c r="J1176" s="25">
        <f>ROA!G1294</f>
        <v>-1.972033182570726E-2</v>
      </c>
      <c r="K1176" s="25">
        <f>ROE!G1294</f>
        <v>-9.4006294994947795E-2</v>
      </c>
      <c r="L1176" s="25">
        <f>KM!E1294</f>
        <v>0.8</v>
      </c>
      <c r="M1176" s="24">
        <f>KI!E1294</f>
        <v>2</v>
      </c>
      <c r="N1176" s="108">
        <f>IO!E1294</f>
        <v>0</v>
      </c>
      <c r="O1176" s="24">
        <f>'BoC Size'!E1294</f>
        <v>4</v>
      </c>
      <c r="P1176" s="24">
        <f>'TMT E DK'!E1294</f>
        <v>0</v>
      </c>
      <c r="Q1176" s="24">
        <f>Data!R1294</f>
        <v>4</v>
      </c>
      <c r="R1176" s="24">
        <f>Data!S1294</f>
        <v>3</v>
      </c>
      <c r="S1176" s="24">
        <f>'TMT E DK'!E1294</f>
        <v>0</v>
      </c>
      <c r="T1176" s="24">
        <f>'TMT E DD'!E1294</f>
        <v>0</v>
      </c>
      <c r="U1176" s="24">
        <f>TA!E1294</f>
        <v>2404841887000</v>
      </c>
      <c r="V1176" s="109">
        <f>PR!F1294</f>
        <v>-0.34244386323863385</v>
      </c>
      <c r="W1176" s="109">
        <f>'Z Score'!I1294</f>
        <v>-1.2672631030232882E-2</v>
      </c>
      <c r="X1176" s="109">
        <f>'Z Score'!L1294</f>
        <v>2.0628101360079143E-2</v>
      </c>
      <c r="Y1176" s="109">
        <f>'Z Score'!O1294</f>
        <v>-0.19094181907020316</v>
      </c>
      <c r="Z1176" s="109">
        <f>'Z Score'!R1294</f>
        <v>0.27877155199765519</v>
      </c>
      <c r="AA1176" s="109">
        <f>'Z Score'!S1294</f>
        <v>9.5785203257298279E-2</v>
      </c>
    </row>
    <row r="1177" spans="1:27" ht="15" customHeight="1" x14ac:dyDescent="0.3">
      <c r="A1177" s="22"/>
      <c r="B1177" s="23"/>
      <c r="C1177" s="3"/>
      <c r="D1177" s="23">
        <v>2020</v>
      </c>
      <c r="E1177" s="25">
        <f>'Current Ratio'!G1295</f>
        <v>0.96036393062715664</v>
      </c>
      <c r="F1177" s="25">
        <f>'Cash Ratio'!G1295</f>
        <v>0.18918093878966943</v>
      </c>
      <c r="G1177" s="25">
        <f>DAR!G1295</f>
        <v>0.84295721307274096</v>
      </c>
      <c r="H1177" s="25">
        <f>DER!G1295</f>
        <v>5.3801199703466711</v>
      </c>
      <c r="I1177" s="25">
        <f>NPM!G1295</f>
        <v>0.17597478220428636</v>
      </c>
      <c r="J1177" s="25">
        <f>ROA!G1295</f>
        <v>3.3120594105765996E-2</v>
      </c>
      <c r="K1177" s="25">
        <f>ROE!G1295</f>
        <v>0.21139005279832768</v>
      </c>
      <c r="L1177" s="25">
        <f>KM!E1295</f>
        <v>0.8</v>
      </c>
      <c r="M1177" s="24">
        <f>KI!E1295</f>
        <v>2</v>
      </c>
      <c r="N1177" s="108">
        <f>IO!E1295</f>
        <v>0</v>
      </c>
      <c r="O1177" s="24">
        <f>'BoC Size'!E1295</f>
        <v>4</v>
      </c>
      <c r="P1177" s="24">
        <f>'TMT E DK'!E1295</f>
        <v>0</v>
      </c>
      <c r="Q1177" s="24">
        <f>Data!R1295</f>
        <v>4</v>
      </c>
      <c r="R1177" s="24">
        <f>Data!S1295</f>
        <v>5</v>
      </c>
      <c r="S1177" s="24">
        <f>'TMT E DK'!E1295</f>
        <v>0</v>
      </c>
      <c r="T1177" s="24">
        <f>'TMT E DD'!E1295</f>
        <v>0</v>
      </c>
      <c r="U1177" s="24">
        <f>TA!E1295</f>
        <v>2701070570000</v>
      </c>
      <c r="V1177" s="109">
        <f>PR!F1295</f>
        <v>0.10664200933322475</v>
      </c>
      <c r="W1177" s="109">
        <f>'Z Score'!I1295</f>
        <v>-4.0866428040049314E-2</v>
      </c>
      <c r="X1177" s="109">
        <f>'Z Score'!L1295</f>
        <v>-0.12666311196008478</v>
      </c>
      <c r="Y1177" s="109">
        <f>'Z Score'!O1295</f>
        <v>-0.12432513118677975</v>
      </c>
      <c r="Z1177" s="109">
        <f>'Z Score'!R1295</f>
        <v>0.19516293424444639</v>
      </c>
      <c r="AA1177" s="109">
        <f>'Z Score'!S1295</f>
        <v>-9.6691736942467438E-2</v>
      </c>
    </row>
    <row r="1178" spans="1:27" ht="15" customHeight="1" x14ac:dyDescent="0.3">
      <c r="A1178" s="22"/>
      <c r="B1178" s="23"/>
      <c r="C1178" s="3"/>
      <c r="D1178" s="23">
        <v>2021</v>
      </c>
      <c r="E1178" s="25">
        <f>'Current Ratio'!G1296</f>
        <v>0.97739887969761807</v>
      </c>
      <c r="F1178" s="25">
        <f>'Cash Ratio'!G1296</f>
        <v>0.16117234534359057</v>
      </c>
      <c r="G1178" s="25">
        <f>DAR!G1296</f>
        <v>0.8376041736378933</v>
      </c>
      <c r="H1178" s="25">
        <f>DER!G1296</f>
        <v>5.171742693807861</v>
      </c>
      <c r="I1178" s="25">
        <f>NPM!G1296</f>
        <v>-2.918994325106064E-2</v>
      </c>
      <c r="J1178" s="25">
        <f>ROA!G1296</f>
        <v>-5.6778437204100122E-3</v>
      </c>
      <c r="K1178" s="25">
        <f>ROE!G1296</f>
        <v>-3.5057545917038253E-2</v>
      </c>
      <c r="L1178" s="25">
        <f>KM!E1296</f>
        <v>0.8</v>
      </c>
      <c r="M1178" s="24">
        <f>KI!E1296</f>
        <v>2</v>
      </c>
      <c r="N1178" s="108">
        <f>IO!E1296</f>
        <v>0</v>
      </c>
      <c r="O1178" s="24">
        <f>'BoC Size'!E1296</f>
        <v>4</v>
      </c>
      <c r="P1178" s="24">
        <f>'TMT E DK'!E1296</f>
        <v>8</v>
      </c>
      <c r="Q1178" s="24">
        <f>Data!R1296</f>
        <v>4</v>
      </c>
      <c r="R1178" s="24">
        <f>Data!S1296</f>
        <v>5</v>
      </c>
      <c r="S1178" s="24">
        <f>'TMT E DK'!E1296</f>
        <v>8</v>
      </c>
      <c r="T1178" s="24">
        <f>'TMT E DD'!E1296</f>
        <v>9</v>
      </c>
      <c r="U1178" s="24">
        <f>TA!E1296</f>
        <v>2509362304000</v>
      </c>
      <c r="V1178" s="109">
        <f>PR!F1296</f>
        <v>-3.9870219253596066E-2</v>
      </c>
      <c r="W1178" s="109">
        <f>'Z Score'!I1296</f>
        <v>-2.3682374021985787E-2</v>
      </c>
      <c r="X1178" s="109">
        <f>'Z Score'!L1296</f>
        <v>-0.15570760250808327</v>
      </c>
      <c r="Y1178" s="109">
        <f>'Z Score'!O1296</f>
        <v>-0.12928618881492529</v>
      </c>
      <c r="Z1178" s="109">
        <f>'Z Score'!R1296</f>
        <v>0.2030263418280974</v>
      </c>
      <c r="AA1178" s="109">
        <f>'Z Score'!S1296</f>
        <v>-0.10564982351689692</v>
      </c>
    </row>
    <row r="1179" spans="1:27" ht="15" customHeight="1" x14ac:dyDescent="0.3">
      <c r="A1179" s="22"/>
      <c r="B1179" s="23"/>
      <c r="C1179" s="3"/>
      <c r="D1179" s="23">
        <v>2022</v>
      </c>
      <c r="E1179" s="25">
        <f>'Current Ratio'!G1297</f>
        <v>0.84458941439307444</v>
      </c>
      <c r="F1179" s="25">
        <f>'Cash Ratio'!G1297</f>
        <v>0.21578709487499015</v>
      </c>
      <c r="G1179" s="25">
        <f>DAR!G1297</f>
        <v>0.84572243684789505</v>
      </c>
      <c r="H1179" s="25">
        <f>DER!G1297</f>
        <v>5.5000993066693864</v>
      </c>
      <c r="I1179" s="25">
        <f>NPM!G1297</f>
        <v>1.1141844061288729E-2</v>
      </c>
      <c r="J1179" s="25">
        <f>ROA!G1297</f>
        <v>2.5425370810091079E-3</v>
      </c>
      <c r="K1179" s="25">
        <f>ROE!G1297</f>
        <v>1.6535219863103252E-2</v>
      </c>
      <c r="L1179" s="25">
        <f>KM!E1297</f>
        <v>0.8</v>
      </c>
      <c r="M1179" s="24">
        <f>KI!E1297</f>
        <v>2</v>
      </c>
      <c r="N1179" s="108">
        <f>IO!E1297</f>
        <v>0</v>
      </c>
      <c r="O1179" s="24">
        <f>'BoC Size'!E1297</f>
        <v>4</v>
      </c>
      <c r="P1179" s="24">
        <f>'TMT E DK'!E1297</f>
        <v>8</v>
      </c>
      <c r="Q1179" s="24">
        <f>Data!R1297</f>
        <v>4</v>
      </c>
      <c r="R1179" s="24">
        <f>Data!S1297</f>
        <v>3</v>
      </c>
      <c r="S1179" s="24">
        <f>'TMT E DK'!E1297</f>
        <v>8</v>
      </c>
      <c r="T1179" s="24">
        <f>'TMT E DD'!E1297</f>
        <v>7</v>
      </c>
      <c r="U1179" s="24">
        <f>TA!E1297</f>
        <v>2534662345000</v>
      </c>
      <c r="V1179" s="109">
        <f>PR!F1297</f>
        <v>0.18499571242136845</v>
      </c>
      <c r="W1179" s="109">
        <f>'Z Score'!I1297</f>
        <v>-0.1307444193873484</v>
      </c>
      <c r="X1179" s="109">
        <f>'Z Score'!L1297</f>
        <v>-0.14628314476341028</v>
      </c>
      <c r="Y1179" s="109">
        <f>'Z Score'!O1297</f>
        <v>9.0028817151974541E-3</v>
      </c>
      <c r="Z1179" s="109">
        <f>'Z Score'!R1297</f>
        <v>0.19090564396296927</v>
      </c>
      <c r="AA1179" s="109">
        <f>'Z Score'!S1297</f>
        <v>-7.7119038472591939E-2</v>
      </c>
    </row>
    <row r="1180" spans="1:27" ht="15" customHeight="1" x14ac:dyDescent="0.3">
      <c r="A1180" s="22"/>
      <c r="B1180" s="23"/>
      <c r="C1180" s="3"/>
      <c r="D1180" s="23">
        <v>2023</v>
      </c>
      <c r="E1180" s="25">
        <f>'Current Ratio'!G1298</f>
        <v>0.86011050131966593</v>
      </c>
      <c r="F1180" s="25">
        <f>'Cash Ratio'!G1298</f>
        <v>0.1297467339634025</v>
      </c>
      <c r="G1180" s="25">
        <f>DAR!G1298</f>
        <v>0.84147747872005496</v>
      </c>
      <c r="H1180" s="25">
        <f>DER!G1298</f>
        <v>5.3374349661914415</v>
      </c>
      <c r="I1180" s="25">
        <f>NPM!G1298</f>
        <v>1.8234510497828389E-2</v>
      </c>
      <c r="J1180" s="25">
        <f>ROA!G1298</f>
        <v>4.1277700833456188E-3</v>
      </c>
      <c r="K1180" s="25">
        <f>ROE!G1298</f>
        <v>2.6182167594977827E-2</v>
      </c>
      <c r="L1180" s="25">
        <f>KM!E1298</f>
        <v>0.8</v>
      </c>
      <c r="M1180" s="24">
        <f>KI!E1298</f>
        <v>2</v>
      </c>
      <c r="N1180" s="108">
        <f>IO!E1298</f>
        <v>0</v>
      </c>
      <c r="O1180" s="24">
        <f>'BoC Size'!E1298</f>
        <v>3</v>
      </c>
      <c r="P1180" s="24">
        <f>'TMT E DK'!E1298</f>
        <v>5</v>
      </c>
      <c r="Q1180" s="24">
        <f>Data!R1298</f>
        <v>3</v>
      </c>
      <c r="R1180" s="24">
        <f>Data!S1298</f>
        <v>3</v>
      </c>
      <c r="S1180" s="24">
        <f>'TMT E DK'!E1298</f>
        <v>5</v>
      </c>
      <c r="T1180" s="24">
        <f>'TMT E DD'!E1298</f>
        <v>7</v>
      </c>
      <c r="U1180" s="24">
        <f>TA!E1298</f>
        <v>2567838757000</v>
      </c>
      <c r="V1180" s="109">
        <f>PR!F1298</f>
        <v>4.9832112825028028E-3</v>
      </c>
      <c r="W1180" s="109">
        <f>'Z Score'!I1298</f>
        <v>-0.10511362524777096</v>
      </c>
      <c r="X1180" s="109">
        <f>'Z Score'!L1298</f>
        <v>-0.13120118098599132</v>
      </c>
      <c r="Y1180" s="109">
        <f>'Z Score'!O1298</f>
        <v>7.2077834130143551E-3</v>
      </c>
      <c r="Z1180" s="109">
        <f>'Z Score'!R1298</f>
        <v>0.19672370842004541</v>
      </c>
      <c r="AA1180" s="109">
        <f>'Z Score'!S1298</f>
        <v>-3.2383314400702495E-2</v>
      </c>
    </row>
    <row r="1181" spans="1:27" ht="15" customHeight="1" x14ac:dyDescent="0.3">
      <c r="A1181" s="22"/>
      <c r="B1181" s="23"/>
      <c r="C1181" s="3"/>
      <c r="D1181" s="23">
        <v>2024</v>
      </c>
      <c r="E1181" s="25">
        <f>'Current Ratio'!G1299</f>
        <v>0.81855960303070663</v>
      </c>
      <c r="F1181" s="25">
        <f>'Cash Ratio'!G1299</f>
        <v>9.1262226200533328E-2</v>
      </c>
      <c r="G1181" s="25">
        <f>DAR!G1299</f>
        <v>0.8589730587664417</v>
      </c>
      <c r="H1181" s="25">
        <f>DER!G1299</f>
        <v>8.4437895726654428</v>
      </c>
      <c r="I1181" s="25">
        <f>NPM!G1299</f>
        <v>-6.1688699464225963E-2</v>
      </c>
      <c r="J1181" s="25">
        <f>ROA!G1299</f>
        <v>-1.5394927277954924E-2</v>
      </c>
      <c r="K1181" s="25">
        <f>ROE!G1299</f>
        <v>-0.15133364788904727</v>
      </c>
      <c r="L1181" s="25">
        <f>KM!E1299</f>
        <v>0.8</v>
      </c>
      <c r="M1181" s="24">
        <f>KI!E1299</f>
        <v>2</v>
      </c>
      <c r="N1181" s="108">
        <f>IO!E1299</f>
        <v>0</v>
      </c>
      <c r="O1181" s="24">
        <f>'BoC Size'!E1299</f>
        <v>4</v>
      </c>
      <c r="P1181" s="24">
        <f>'TMT E DK'!E1299</f>
        <v>10</v>
      </c>
      <c r="Q1181" s="24">
        <f>Data!R1299</f>
        <v>4</v>
      </c>
      <c r="R1181" s="24">
        <f>Data!S1299</f>
        <v>4</v>
      </c>
      <c r="S1181" s="24">
        <f>'TMT E DK'!E1299</f>
        <v>10</v>
      </c>
      <c r="T1181" s="24">
        <f>'TMT E DD'!E1299</f>
        <v>8</v>
      </c>
      <c r="U1181" s="24">
        <f>TA!E1299</f>
        <v>2544622608000</v>
      </c>
      <c r="V1181" s="109">
        <f>PR!F1299</f>
        <v>9.246182360405561E-2</v>
      </c>
      <c r="W1181" s="109">
        <f>'Z Score'!I1299</f>
        <v>-0.18884770835927431</v>
      </c>
      <c r="X1181" s="109">
        <f>'Z Score'!L1299</f>
        <v>-0.18257697238851223</v>
      </c>
      <c r="Y1181" s="109">
        <f>'Z Score'!O1299</f>
        <v>2.4942931042291516E-2</v>
      </c>
      <c r="Z1181" s="109">
        <f>'Z Score'!R1299</f>
        <v>0.12435174881656218</v>
      </c>
      <c r="AA1181" s="109">
        <f>'Z Score'!S1299</f>
        <v>-0.22213000088893287</v>
      </c>
    </row>
    <row r="1182" spans="1:27" ht="15" customHeight="1" x14ac:dyDescent="0.3">
      <c r="A1182" s="22"/>
      <c r="B1182" s="23">
        <v>119</v>
      </c>
      <c r="C1182" s="2" t="s">
        <v>72</v>
      </c>
      <c r="D1182" s="23">
        <v>2015</v>
      </c>
      <c r="E1182" s="25">
        <f>'Current Ratio'!G1301</f>
        <v>6.8760695710530735</v>
      </c>
      <c r="F1182" s="25">
        <f>'Cash Ratio'!G1301</f>
        <v>1.3209552038476595</v>
      </c>
      <c r="G1182" s="25">
        <f>DAR!G1301</f>
        <v>0.61955080152231579</v>
      </c>
      <c r="H1182" s="25">
        <f>DER!G1301</f>
        <v>1.6284718275169565</v>
      </c>
      <c r="I1182" s="25">
        <f>NPM!G1301</f>
        <v>-9.1683411810574933E-2</v>
      </c>
      <c r="J1182" s="25">
        <f>ROA!G1301</f>
        <v>-3.3051983623572832E-2</v>
      </c>
      <c r="K1182" s="25">
        <f>ROE!G1301</f>
        <v>-8.6876207798112989E-2</v>
      </c>
      <c r="L1182" s="25">
        <f>KM!E1301</f>
        <v>0</v>
      </c>
      <c r="M1182" s="24">
        <f>KI!E1301</f>
        <v>0</v>
      </c>
      <c r="N1182" s="108">
        <f>IO!E1301</f>
        <v>0</v>
      </c>
      <c r="O1182" s="24">
        <f>'BoC Size'!E1301</f>
        <v>0</v>
      </c>
      <c r="P1182" s="24">
        <f>'TMT E DK'!E1301</f>
        <v>0</v>
      </c>
      <c r="Q1182" s="24">
        <f>Data!R1301</f>
        <v>0</v>
      </c>
      <c r="R1182" s="24">
        <f>Data!S1301</f>
        <v>0</v>
      </c>
      <c r="S1182" s="24">
        <f>'TMT E DK'!E1301</f>
        <v>0</v>
      </c>
      <c r="T1182" s="24">
        <f>'TMT E DD'!E1301</f>
        <v>0</v>
      </c>
      <c r="U1182" s="24">
        <f>TA!E1301</f>
        <v>277472000000</v>
      </c>
      <c r="V1182" s="109">
        <f>PR!F1301</f>
        <v>0</v>
      </c>
      <c r="W1182" s="109">
        <f>'Z Score'!I1301</f>
        <v>2.484067581593818</v>
      </c>
      <c r="X1182" s="109">
        <f>'Z Score'!L1301</f>
        <v>0.31960623053857684</v>
      </c>
      <c r="Y1182" s="109">
        <f>'Z Score'!O1301</f>
        <v>0.16512282320378271</v>
      </c>
      <c r="Z1182" s="109">
        <f>'Z Score'!R1301</f>
        <v>0.64477627568234175</v>
      </c>
      <c r="AA1182" s="109">
        <f>'Z Score'!S1301</f>
        <v>3.6135729110185193</v>
      </c>
    </row>
    <row r="1183" spans="1:27" ht="15" customHeight="1" x14ac:dyDescent="0.3">
      <c r="A1183" s="22"/>
      <c r="B1183" s="23"/>
      <c r="C1183" s="2"/>
      <c r="D1183" s="23">
        <v>2016</v>
      </c>
      <c r="E1183" s="25">
        <f>'Current Ratio'!G1302</f>
        <v>3.5257980545280176</v>
      </c>
      <c r="F1183" s="25">
        <f>'Cash Ratio'!G1302</f>
        <v>0.47609261542677078</v>
      </c>
      <c r="G1183" s="25">
        <f>DAR!G1302</f>
        <v>0.63699309591813635</v>
      </c>
      <c r="H1183" s="25">
        <f>DER!G1302</f>
        <v>1.7547685422933019</v>
      </c>
      <c r="I1183" s="25">
        <f>NPM!G1302</f>
        <v>4.0331075996990221E-2</v>
      </c>
      <c r="J1183" s="25">
        <f>ROA!G1302</f>
        <v>1.1597792291662506E-2</v>
      </c>
      <c r="K1183" s="25">
        <f>ROE!G1302</f>
        <v>3.1949233365123612E-2</v>
      </c>
      <c r="L1183" s="25">
        <f>KM!E1302</f>
        <v>0.98799999999999999</v>
      </c>
      <c r="M1183" s="24">
        <f>KI!E1302</f>
        <v>1</v>
      </c>
      <c r="N1183" s="108">
        <f>IO!E1302</f>
        <v>0</v>
      </c>
      <c r="O1183" s="24">
        <f>'BoC Size'!E1302</f>
        <v>3</v>
      </c>
      <c r="P1183" s="24">
        <f>'TMT E DK'!E1302</f>
        <v>7</v>
      </c>
      <c r="Q1183" s="24">
        <f>Data!R1302</f>
        <v>3</v>
      </c>
      <c r="R1183" s="24">
        <f>Data!S1302</f>
        <v>4</v>
      </c>
      <c r="S1183" s="24">
        <f>'TMT E DK'!E1302</f>
        <v>7</v>
      </c>
      <c r="T1183" s="24">
        <f>'TMT E DD'!E1302</f>
        <v>8</v>
      </c>
      <c r="U1183" s="24">
        <f>TA!E1302</f>
        <v>300402000000</v>
      </c>
      <c r="V1183" s="109">
        <f>PR!F1302</f>
        <v>-0.13640044387127734</v>
      </c>
      <c r="W1183" s="109">
        <f>'Z Score'!I1302</f>
        <v>2.0129501135145569</v>
      </c>
      <c r="X1183" s="109">
        <f>'Z Score'!L1302</f>
        <v>0.32142908502606504</v>
      </c>
      <c r="Y1183" s="109">
        <f>'Z Score'!O1302</f>
        <v>8.9569576767132036E-2</v>
      </c>
      <c r="Z1183" s="109">
        <f>'Z Score'!R1302</f>
        <v>0.59836951409429651</v>
      </c>
      <c r="AA1183" s="109">
        <f>'Z Score'!S1302</f>
        <v>3.0223182894020502</v>
      </c>
    </row>
    <row r="1184" spans="1:27" ht="15" customHeight="1" x14ac:dyDescent="0.3">
      <c r="A1184" s="22"/>
      <c r="B1184" s="23"/>
      <c r="C1184" s="2"/>
      <c r="D1184" s="23">
        <v>2017</v>
      </c>
      <c r="E1184" s="25">
        <f>'Current Ratio'!G1303</f>
        <v>3.9886319090552727</v>
      </c>
      <c r="F1184" s="25">
        <f>'Cash Ratio'!G1303</f>
        <v>0.22494949190362754</v>
      </c>
      <c r="G1184" s="25">
        <f>DAR!G1303</f>
        <v>0.60897807440230201</v>
      </c>
      <c r="H1184" s="25">
        <f>DER!G1303</f>
        <v>1.5574013489689773</v>
      </c>
      <c r="I1184" s="25">
        <f>NPM!G1303</f>
        <v>7.3170373632826843E-2</v>
      </c>
      <c r="J1184" s="25">
        <f>ROA!G1303</f>
        <v>1.7093254954951866E-2</v>
      </c>
      <c r="K1184" s="25">
        <f>ROE!G1303</f>
        <v>4.3714313280064553E-2</v>
      </c>
      <c r="L1184" s="25">
        <f>KM!E1303</f>
        <v>0.98799999999999999</v>
      </c>
      <c r="M1184" s="24">
        <f>KI!E1303</f>
        <v>1</v>
      </c>
      <c r="N1184" s="108">
        <f>IO!E1303</f>
        <v>0</v>
      </c>
      <c r="O1184" s="24">
        <f>'BoC Size'!E1303</f>
        <v>1</v>
      </c>
      <c r="P1184" s="24">
        <f>'TMT E DK'!E1303</f>
        <v>2</v>
      </c>
      <c r="Q1184" s="24">
        <f>Data!R1303</f>
        <v>1</v>
      </c>
      <c r="R1184" s="24">
        <f>Data!S1303</f>
        <v>4</v>
      </c>
      <c r="S1184" s="24">
        <f>'TMT E DK'!E1303</f>
        <v>2</v>
      </c>
      <c r="T1184" s="24">
        <f>'TMT E DD'!E1303</f>
        <v>6</v>
      </c>
      <c r="U1184" s="24">
        <f>TA!E1303</f>
        <v>291577000000</v>
      </c>
      <c r="V1184" s="109">
        <f>PR!F1303</f>
        <v>-0.21149505122417087</v>
      </c>
      <c r="W1184" s="109">
        <f>'Z Score'!I1303</f>
        <v>2.2298559900129296</v>
      </c>
      <c r="X1184" s="109">
        <f>'Z Score'!L1303</f>
        <v>0.37178782962990903</v>
      </c>
      <c r="Y1184" s="109">
        <f>'Z Score'!O1303</f>
        <v>0.13146057473669046</v>
      </c>
      <c r="Z1184" s="109">
        <f>'Z Score'!R1303</f>
        <v>0.67420000675812675</v>
      </c>
      <c r="AA1184" s="109">
        <f>'Z Score'!S1303</f>
        <v>3.4073044011376559</v>
      </c>
    </row>
    <row r="1185" spans="1:27" ht="15" customHeight="1" x14ac:dyDescent="0.3">
      <c r="A1185" s="22"/>
      <c r="B1185" s="23"/>
      <c r="C1185" s="2"/>
      <c r="D1185" s="23">
        <v>2018</v>
      </c>
      <c r="E1185" s="25">
        <f>'Current Ratio'!G1304</f>
        <v>4.3148948712910196</v>
      </c>
      <c r="F1185" s="25">
        <f>'Cash Ratio'!G1304</f>
        <v>0.3641432501473767</v>
      </c>
      <c r="G1185" s="25">
        <f>DAR!G1304</f>
        <v>0.67349261489591206</v>
      </c>
      <c r="H1185" s="25">
        <f>DER!G1304</f>
        <v>2.0627178606732222</v>
      </c>
      <c r="I1185" s="25">
        <f>NPM!G1304</f>
        <v>6.7281033573168406E-2</v>
      </c>
      <c r="J1185" s="25">
        <f>ROA!G1304</f>
        <v>1.697002641480588E-2</v>
      </c>
      <c r="K1185" s="25">
        <f>ROE!G1304</f>
        <v>5.1974402996722333E-2</v>
      </c>
      <c r="L1185" s="25">
        <f>KM!E1304</f>
        <v>0.98799999999999999</v>
      </c>
      <c r="M1185" s="24">
        <f>KI!E1304</f>
        <v>2</v>
      </c>
      <c r="N1185" s="108">
        <f>IO!E1304</f>
        <v>0</v>
      </c>
      <c r="O1185" s="24">
        <f>'BoC Size'!E1304</f>
        <v>3</v>
      </c>
      <c r="P1185" s="24">
        <f>'TMT E DK'!E1304</f>
        <v>5</v>
      </c>
      <c r="Q1185" s="24">
        <f>Data!R1304</f>
        <v>3</v>
      </c>
      <c r="R1185" s="24">
        <f>Data!S1304</f>
        <v>4</v>
      </c>
      <c r="S1185" s="24">
        <f>'TMT E DK'!E1304</f>
        <v>5</v>
      </c>
      <c r="T1185" s="24">
        <f>'TMT E DD'!E1304</f>
        <v>8</v>
      </c>
      <c r="U1185" s="24">
        <f>TA!E1304</f>
        <v>353211000000</v>
      </c>
      <c r="V1185" s="109">
        <f>PR!F1304</f>
        <v>0.30792042868677971</v>
      </c>
      <c r="W1185" s="109">
        <f>'Z Score'!I1304</f>
        <v>2.5064659934147011</v>
      </c>
      <c r="X1185" s="109">
        <f>'Z Score'!L1304</f>
        <v>0.3670246962863557</v>
      </c>
      <c r="Y1185" s="109">
        <f>'Z Score'!O1304</f>
        <v>0.17299846267528474</v>
      </c>
      <c r="Z1185" s="109">
        <f>'Z Score'!R1304</f>
        <v>0.50903713979443854</v>
      </c>
      <c r="AA1185" s="109">
        <f>'Z Score'!S1304</f>
        <v>3.5555262921707795</v>
      </c>
    </row>
    <row r="1186" spans="1:27" ht="15" customHeight="1" x14ac:dyDescent="0.3">
      <c r="A1186" s="22"/>
      <c r="B1186" s="23"/>
      <c r="C1186" s="2"/>
      <c r="D1186" s="23">
        <v>2019</v>
      </c>
      <c r="E1186" s="25">
        <f>'Current Ratio'!G1305</f>
        <v>6.1678075088155984</v>
      </c>
      <c r="F1186" s="25">
        <f>'Cash Ratio'!G1305</f>
        <v>0.54975627463181909</v>
      </c>
      <c r="G1186" s="25">
        <f>DAR!G1305</f>
        <v>0.68128241277504686</v>
      </c>
      <c r="H1186" s="25">
        <f>DER!G1305</f>
        <v>2.1375739528744391</v>
      </c>
      <c r="I1186" s="25">
        <f>NPM!G1305</f>
        <v>0.17194355337543335</v>
      </c>
      <c r="J1186" s="25">
        <f>ROA!G1305</f>
        <v>2.9931812661359591E-2</v>
      </c>
      <c r="K1186" s="25">
        <f>ROE!G1305</f>
        <v>9.3913275768599203E-2</v>
      </c>
      <c r="L1186" s="25">
        <f>KM!E1305</f>
        <v>0.98799999999999999</v>
      </c>
      <c r="M1186" s="24">
        <f>KI!E1305</f>
        <v>2</v>
      </c>
      <c r="N1186" s="108">
        <f>IO!E1305</f>
        <v>0</v>
      </c>
      <c r="O1186" s="24">
        <f>'BoC Size'!E1305</f>
        <v>3</v>
      </c>
      <c r="P1186" s="24">
        <f>'TMT E DK'!E1305</f>
        <v>5</v>
      </c>
      <c r="Q1186" s="24">
        <f>Data!R1305</f>
        <v>3</v>
      </c>
      <c r="R1186" s="24">
        <f>Data!S1305</f>
        <v>5</v>
      </c>
      <c r="S1186" s="24">
        <f>'TMT E DK'!E1305</f>
        <v>5</v>
      </c>
      <c r="T1186" s="24">
        <f>'TMT E DD'!E1305</f>
        <v>9</v>
      </c>
      <c r="U1186" s="24">
        <f>TA!E1305</f>
        <v>399341000000</v>
      </c>
      <c r="V1186" s="109">
        <f>PR!F1305</f>
        <v>-0.21969042193761296</v>
      </c>
      <c r="W1186" s="109">
        <f>'Z Score'!I1305</f>
        <v>3.274110897703967</v>
      </c>
      <c r="X1186" s="109">
        <f>'Z Score'!L1305</f>
        <v>0.42220543345161149</v>
      </c>
      <c r="Y1186" s="109">
        <f>'Z Score'!O1305</f>
        <v>0.22079656233644929</v>
      </c>
      <c r="Z1186" s="109">
        <f>'Z Score'!R1305</f>
        <v>0.49121107533521524</v>
      </c>
      <c r="AA1186" s="109">
        <f>'Z Score'!S1305</f>
        <v>4.4083239688272435</v>
      </c>
    </row>
    <row r="1187" spans="1:27" ht="15" customHeight="1" x14ac:dyDescent="0.3">
      <c r="A1187" s="22"/>
      <c r="B1187" s="23"/>
      <c r="C1187" s="2"/>
      <c r="D1187" s="23">
        <v>2020</v>
      </c>
      <c r="E1187" s="25">
        <f>'Current Ratio'!G1306</f>
        <v>4.4706373693810413</v>
      </c>
      <c r="F1187" s="25">
        <f>'Cash Ratio'!G1306</f>
        <v>0.72662495951451511</v>
      </c>
      <c r="G1187" s="25">
        <f>DAR!G1306</f>
        <v>0.66872267936663887</v>
      </c>
      <c r="H1187" s="25">
        <f>DER!G1306</f>
        <v>2.0186189567342678</v>
      </c>
      <c r="I1187" s="25">
        <f>NPM!G1306</f>
        <v>0.13177297243802266</v>
      </c>
      <c r="J1187" s="25">
        <f>ROA!G1306</f>
        <v>2.4226379734628805E-2</v>
      </c>
      <c r="K1187" s="25">
        <f>ROE!G1306</f>
        <v>7.3130209119993406E-2</v>
      </c>
      <c r="L1187" s="25">
        <f>KM!E1306</f>
        <v>0.98799999999999999</v>
      </c>
      <c r="M1187" s="24">
        <f>KI!E1306</f>
        <v>2</v>
      </c>
      <c r="N1187" s="108">
        <f>IO!E1306</f>
        <v>0</v>
      </c>
      <c r="O1187" s="24">
        <f>'BoC Size'!E1306</f>
        <v>3</v>
      </c>
      <c r="P1187" s="24">
        <f>'TMT E DK'!E1306</f>
        <v>5</v>
      </c>
      <c r="Q1187" s="24">
        <f>Data!R1306</f>
        <v>3</v>
      </c>
      <c r="R1187" s="24">
        <f>Data!S1306</f>
        <v>4</v>
      </c>
      <c r="S1187" s="24">
        <f>'TMT E DK'!E1306</f>
        <v>5</v>
      </c>
      <c r="T1187" s="24">
        <f>'TMT E DD'!E1306</f>
        <v>8</v>
      </c>
      <c r="U1187" s="24">
        <f>TA!E1306</f>
        <v>439686000000</v>
      </c>
      <c r="V1187" s="109">
        <f>PR!F1306</f>
        <v>0.16282348202597927</v>
      </c>
      <c r="W1187" s="109">
        <f>'Z Score'!I1306</f>
        <v>3.0376288533180493</v>
      </c>
      <c r="X1187" s="109">
        <f>'Z Score'!L1306</f>
        <v>0.15447123629135337</v>
      </c>
      <c r="Y1187" s="109">
        <f>'Z Score'!O1306</f>
        <v>0.1975868233239175</v>
      </c>
      <c r="Z1187" s="109">
        <f>'Z Score'!R1306</f>
        <v>0.52015760403771072</v>
      </c>
      <c r="AA1187" s="109">
        <f>'Z Score'!S1306</f>
        <v>3.9098445169710305</v>
      </c>
    </row>
    <row r="1188" spans="1:27" ht="15" customHeight="1" x14ac:dyDescent="0.3">
      <c r="A1188" s="22"/>
      <c r="B1188" s="23"/>
      <c r="C1188" s="2"/>
      <c r="D1188" s="23">
        <v>2021</v>
      </c>
      <c r="E1188" s="25">
        <f>'Current Ratio'!G1307</f>
        <v>11.611554408198389</v>
      </c>
      <c r="F1188" s="25">
        <f>'Cash Ratio'!G1307</f>
        <v>0.84432449346788707</v>
      </c>
      <c r="G1188" s="25">
        <f>DAR!G1307</f>
        <v>0.67686365539832449</v>
      </c>
      <c r="H1188" s="25">
        <f>DER!G1307</f>
        <v>2.0946689120738879</v>
      </c>
      <c r="I1188" s="25">
        <f>NPM!G1307</f>
        <v>0.1121463991388286</v>
      </c>
      <c r="J1188" s="25">
        <f>ROA!G1307</f>
        <v>1.3508831225700579E-2</v>
      </c>
      <c r="K1188" s="25">
        <f>ROE!G1307</f>
        <v>4.1805360032628573E-2</v>
      </c>
      <c r="L1188" s="25">
        <f>KM!E1307</f>
        <v>0.98770000000000002</v>
      </c>
      <c r="M1188" s="24">
        <f>KI!E1307</f>
        <v>2</v>
      </c>
      <c r="N1188" s="108">
        <f>IO!E1307</f>
        <v>0</v>
      </c>
      <c r="O1188" s="24">
        <f>'BoC Size'!E1307</f>
        <v>3</v>
      </c>
      <c r="P1188" s="24">
        <f>'TMT E DK'!E1307</f>
        <v>5</v>
      </c>
      <c r="Q1188" s="24">
        <f>Data!R1307</f>
        <v>3</v>
      </c>
      <c r="R1188" s="24">
        <f>Data!S1307</f>
        <v>4</v>
      </c>
      <c r="S1188" s="24">
        <f>'TMT E DK'!E1307</f>
        <v>5</v>
      </c>
      <c r="T1188" s="24">
        <f>'TMT E DD'!E1307</f>
        <v>8</v>
      </c>
      <c r="U1188" s="24">
        <f>TA!E1307</f>
        <v>470433000000</v>
      </c>
      <c r="V1188" s="109">
        <f>PR!F1307</f>
        <v>-0.2989880746202187</v>
      </c>
      <c r="W1188" s="109">
        <f>'Z Score'!I1307</f>
        <v>3.7831002501950328</v>
      </c>
      <c r="X1188" s="109">
        <f>'Z Score'!L1307</f>
        <v>0.16192137881483654</v>
      </c>
      <c r="Y1188" s="109">
        <f>'Z Score'!O1307</f>
        <v>8.6036821396458144E-2</v>
      </c>
      <c r="Z1188" s="109">
        <f>'Z Score'!R1307</f>
        <v>0.50127253712875175</v>
      </c>
      <c r="AA1188" s="109">
        <f>'Z Score'!S1307</f>
        <v>4.5323309875350786</v>
      </c>
    </row>
    <row r="1189" spans="1:27" ht="15" customHeight="1" x14ac:dyDescent="0.3">
      <c r="A1189" s="22"/>
      <c r="B1189" s="23"/>
      <c r="C1189" s="2"/>
      <c r="D1189" s="23">
        <v>2022</v>
      </c>
      <c r="E1189" s="25">
        <f>'Current Ratio'!G1308</f>
        <v>4.1501236723410448</v>
      </c>
      <c r="F1189" s="25">
        <f>'Cash Ratio'!G1308</f>
        <v>0.76397497453804741</v>
      </c>
      <c r="G1189" s="25">
        <f>DAR!G1308</f>
        <v>0.66579522037338912</v>
      </c>
      <c r="H1189" s="25">
        <f>DER!G1308</f>
        <v>1.9921774341984171</v>
      </c>
      <c r="I1189" s="25">
        <f>NPM!G1308</f>
        <v>1.7044407591671274E-3</v>
      </c>
      <c r="J1189" s="25">
        <f>ROA!G1308</f>
        <v>2.4385850055582163E-4</v>
      </c>
      <c r="K1189" s="25">
        <f>ROE!G1308</f>
        <v>7.2966790250059165E-4</v>
      </c>
      <c r="L1189" s="25">
        <f>KM!E1308</f>
        <v>0.98770000000000002</v>
      </c>
      <c r="M1189" s="24">
        <f>KI!E1308</f>
        <v>1</v>
      </c>
      <c r="N1189" s="108">
        <f>IO!E1308</f>
        <v>0</v>
      </c>
      <c r="O1189" s="24">
        <f>'BoC Size'!E1308</f>
        <v>3</v>
      </c>
      <c r="P1189" s="24">
        <f>'TMT E DK'!E1308</f>
        <v>3</v>
      </c>
      <c r="Q1189" s="24">
        <f>Data!R1308</f>
        <v>3</v>
      </c>
      <c r="R1189" s="24">
        <f>Data!S1308</f>
        <v>3</v>
      </c>
      <c r="S1189" s="24">
        <f>'TMT E DK'!E1308</f>
        <v>3</v>
      </c>
      <c r="T1189" s="24">
        <f>'TMT E DD'!E1308</f>
        <v>5</v>
      </c>
      <c r="U1189" s="24">
        <f>TA!E1308</f>
        <v>455182000000</v>
      </c>
      <c r="V1189" s="109">
        <f>PR!F1308</f>
        <v>0.14924029858647891</v>
      </c>
      <c r="W1189" s="109">
        <f>'Z Score'!I1308</f>
        <v>1.5601369122680597</v>
      </c>
      <c r="X1189" s="109">
        <f>'Z Score'!L1308</f>
        <v>0.20738201422727612</v>
      </c>
      <c r="Y1189" s="109">
        <f>'Z Score'!O1308</f>
        <v>9.4942945898563655E-2</v>
      </c>
      <c r="Z1189" s="109">
        <f>'Z Score'!R1308</f>
        <v>0.52706148658012653</v>
      </c>
      <c r="AA1189" s="109">
        <f>'Z Score'!S1308</f>
        <v>2.3895233589740261</v>
      </c>
    </row>
    <row r="1190" spans="1:27" ht="15" customHeight="1" x14ac:dyDescent="0.3">
      <c r="A1190" s="22"/>
      <c r="B1190" s="23"/>
      <c r="C1190" s="2"/>
      <c r="D1190" s="23">
        <v>2023</v>
      </c>
      <c r="E1190" s="25">
        <f>'Current Ratio'!G1309</f>
        <v>4.7075007320848385</v>
      </c>
      <c r="F1190" s="25">
        <f>'Cash Ratio'!G1309</f>
        <v>0.41792980352237391</v>
      </c>
      <c r="G1190" s="25">
        <f>DAR!G1309</f>
        <v>0.72011544997958743</v>
      </c>
      <c r="H1190" s="25">
        <f>DER!G1309</f>
        <v>2.5729017551239171</v>
      </c>
      <c r="I1190" s="25">
        <f>NPM!G1309</f>
        <v>3.8819123154879932E-2</v>
      </c>
      <c r="J1190" s="25">
        <f>ROA!G1309</f>
        <v>5.0186561850237834E-3</v>
      </c>
      <c r="K1190" s="25">
        <f>ROE!G1309</f>
        <v>1.7931165491834978E-2</v>
      </c>
      <c r="L1190" s="25">
        <f>KM!E1309</f>
        <v>0.98770000000000002</v>
      </c>
      <c r="M1190" s="24">
        <f>KI!E1309</f>
        <v>2</v>
      </c>
      <c r="N1190" s="108">
        <f>IO!E1309</f>
        <v>0</v>
      </c>
      <c r="O1190" s="24">
        <f>'BoC Size'!E1309</f>
        <v>4</v>
      </c>
      <c r="P1190" s="24">
        <f>'TMT E DK'!E1309</f>
        <v>6</v>
      </c>
      <c r="Q1190" s="24">
        <f>Data!R1309</f>
        <v>4</v>
      </c>
      <c r="R1190" s="24">
        <f>Data!S1309</f>
        <v>3</v>
      </c>
      <c r="S1190" s="24">
        <f>'TMT E DK'!E1309</f>
        <v>6</v>
      </c>
      <c r="T1190" s="24">
        <f>'TMT E DD'!E1309</f>
        <v>5</v>
      </c>
      <c r="U1190" s="24">
        <f>TA!E1309</f>
        <v>526635000000</v>
      </c>
      <c r="V1190" s="109">
        <f>PR!F1309</f>
        <v>4.5467108899944722E-2</v>
      </c>
      <c r="W1190" s="109">
        <f>'Z Score'!I1309</f>
        <v>3.3118698149572285</v>
      </c>
      <c r="X1190" s="109">
        <f>'Z Score'!L1309</f>
        <v>0.19887402090632031</v>
      </c>
      <c r="Y1190" s="109">
        <f>'Z Score'!O1309</f>
        <v>5.8122988407530829E-2</v>
      </c>
      <c r="Z1190" s="109">
        <f>'Z Score'!R1309</f>
        <v>0.40809953116512587</v>
      </c>
      <c r="AA1190" s="109">
        <f>'Z Score'!S1309</f>
        <v>3.9769663554362058</v>
      </c>
    </row>
    <row r="1191" spans="1:27" ht="15" customHeight="1" x14ac:dyDescent="0.3">
      <c r="A1191" s="22"/>
      <c r="B1191" s="23"/>
      <c r="C1191" s="2"/>
      <c r="D1191" s="23">
        <v>2024</v>
      </c>
      <c r="E1191" s="25">
        <f>'Current Ratio'!G1310</f>
        <v>0</v>
      </c>
      <c r="F1191" s="25">
        <f>'Cash Ratio'!G1310</f>
        <v>0</v>
      </c>
      <c r="G1191" s="25">
        <f>DAR!G1310</f>
        <v>0</v>
      </c>
      <c r="H1191" s="25">
        <f>DER!G1310</f>
        <v>0</v>
      </c>
      <c r="I1191" s="25">
        <f>NPM!G1310</f>
        <v>0</v>
      </c>
      <c r="J1191" s="25">
        <f>ROA!G1310</f>
        <v>0</v>
      </c>
      <c r="K1191" s="25">
        <f>ROE!G1310</f>
        <v>0</v>
      </c>
      <c r="L1191" s="25">
        <f>KM!E1310</f>
        <v>0</v>
      </c>
      <c r="M1191" s="24">
        <f>KI!E1310</f>
        <v>0</v>
      </c>
      <c r="N1191" s="108">
        <f>IO!E1310</f>
        <v>0</v>
      </c>
      <c r="O1191" s="24">
        <f>'BoC Size'!E1310</f>
        <v>0</v>
      </c>
      <c r="P1191" s="24">
        <f>'TMT E DK'!E1310</f>
        <v>0</v>
      </c>
      <c r="Q1191" s="24">
        <f>Data!R1310</f>
        <v>0</v>
      </c>
      <c r="R1191" s="24">
        <f>Data!S1310</f>
        <v>0</v>
      </c>
      <c r="S1191" s="24">
        <f>'TMT E DK'!E1310</f>
        <v>0</v>
      </c>
      <c r="T1191" s="24">
        <f>'TMT E DD'!E1310</f>
        <v>0</v>
      </c>
      <c r="U1191" s="24">
        <f>TA!E1310</f>
        <v>0</v>
      </c>
      <c r="V1191" s="109">
        <f>PR!F1310</f>
        <v>-1</v>
      </c>
      <c r="W1191" s="109">
        <f>'Z Score'!I1310</f>
        <v>0</v>
      </c>
      <c r="X1191" s="109">
        <f>'Z Score'!L1310</f>
        <v>0</v>
      </c>
      <c r="Y1191" s="109">
        <f>'Z Score'!O1310</f>
        <v>0</v>
      </c>
      <c r="Z1191" s="109">
        <f>'Z Score'!R1310</f>
        <v>0</v>
      </c>
      <c r="AA1191" s="109">
        <f>'Z Score'!S1310</f>
        <v>0</v>
      </c>
    </row>
    <row r="1192" spans="1:27" ht="15" customHeight="1" x14ac:dyDescent="0.3">
      <c r="A1192" s="22"/>
      <c r="B1192" s="23">
        <v>120</v>
      </c>
      <c r="C1192" s="2" t="s">
        <v>108</v>
      </c>
      <c r="D1192" s="23">
        <v>2015</v>
      </c>
      <c r="E1192" s="25">
        <f>'Current Ratio'!G1312</f>
        <v>5.2905601369767279</v>
      </c>
      <c r="F1192" s="25">
        <f>'Cash Ratio'!G1312</f>
        <v>1.1142288070445174</v>
      </c>
      <c r="G1192" s="25">
        <f>DAR!G1312</f>
        <v>0.71292555861328899</v>
      </c>
      <c r="H1192" s="25">
        <f>DER!G1312</f>
        <v>2.4834170369521833</v>
      </c>
      <c r="I1192" s="25">
        <f>NPM!G1312</f>
        <v>0.25176586015142316</v>
      </c>
      <c r="J1192" s="25">
        <f>ROA!G1312</f>
        <v>4.2340954589773321E-2</v>
      </c>
      <c r="K1192" s="25">
        <f>ROE!G1312</f>
        <v>0.14749120257883513</v>
      </c>
      <c r="L1192" s="25">
        <f>KM!E1312</f>
        <v>0.9</v>
      </c>
      <c r="M1192" s="24">
        <f>KI!E1312</f>
        <v>2</v>
      </c>
      <c r="N1192" s="108">
        <f>IO!E1312</f>
        <v>0</v>
      </c>
      <c r="O1192" s="24">
        <f>'BoC Size'!E1312</f>
        <v>4</v>
      </c>
      <c r="P1192" s="24">
        <f>'TMT E DK'!E1312</f>
        <v>0</v>
      </c>
      <c r="Q1192" s="24">
        <f>Data!R1312</f>
        <v>4</v>
      </c>
      <c r="R1192" s="24">
        <f>Data!S1312</f>
        <v>4</v>
      </c>
      <c r="S1192" s="24">
        <f>'TMT E DK'!E1312</f>
        <v>0</v>
      </c>
      <c r="T1192" s="24">
        <f>'TMT E DD'!E1312</f>
        <v>0</v>
      </c>
      <c r="U1192" s="24">
        <f>TA!E1312</f>
        <v>1733310000000</v>
      </c>
      <c r="V1192" s="109">
        <f>PR!F1312</f>
        <v>0.42341422921041066</v>
      </c>
      <c r="W1192" s="109">
        <f>'Z Score'!I1312</f>
        <v>3.7176701686368854</v>
      </c>
      <c r="X1192" s="109">
        <f>'Z Score'!L1312</f>
        <v>0.36583710934570274</v>
      </c>
      <c r="Y1192" s="109">
        <f>'Z Score'!O1312</f>
        <v>0.40293403949668555</v>
      </c>
      <c r="Z1192" s="109">
        <f>'Z Score'!R1312</f>
        <v>0.42280454083081859</v>
      </c>
      <c r="AA1192" s="109">
        <f>'Z Score'!S1312</f>
        <v>4.9092458583100917</v>
      </c>
    </row>
    <row r="1193" spans="1:27" ht="15" customHeight="1" x14ac:dyDescent="0.3">
      <c r="A1193" s="22"/>
      <c r="B1193" s="23"/>
      <c r="C1193" s="2"/>
      <c r="D1193" s="23">
        <v>2016</v>
      </c>
      <c r="E1193" s="25">
        <f>'Current Ratio'!G1313</f>
        <v>4.6026979904050593</v>
      </c>
      <c r="F1193" s="25">
        <f>'Cash Ratio'!G1313</f>
        <v>0.1515228087401316</v>
      </c>
      <c r="G1193" s="25">
        <f>DAR!G1313</f>
        <v>0.72707732932862601</v>
      </c>
      <c r="H1193" s="25">
        <f>DER!G1313</f>
        <v>2.66404153066529</v>
      </c>
      <c r="I1193" s="25">
        <f>NPM!G1313</f>
        <v>0.28224357054217125</v>
      </c>
      <c r="J1193" s="25">
        <f>ROA!G1313</f>
        <v>5.0926828515008966E-2</v>
      </c>
      <c r="K1193" s="25">
        <f>ROE!G1313</f>
        <v>0.18659801470406218</v>
      </c>
      <c r="L1193" s="25">
        <f>KM!E1313</f>
        <v>0.9</v>
      </c>
      <c r="M1193" s="24">
        <f>KI!E1313</f>
        <v>2</v>
      </c>
      <c r="N1193" s="108">
        <f>IO!E1313</f>
        <v>0</v>
      </c>
      <c r="O1193" s="24">
        <f>'BoC Size'!E1313</f>
        <v>4</v>
      </c>
      <c r="P1193" s="24">
        <f>'TMT E DK'!E1313</f>
        <v>0</v>
      </c>
      <c r="Q1193" s="24">
        <f>Data!R1313</f>
        <v>4</v>
      </c>
      <c r="R1193" s="24">
        <f>Data!S1313</f>
        <v>5</v>
      </c>
      <c r="S1193" s="24">
        <f>'TMT E DK'!E1313</f>
        <v>0</v>
      </c>
      <c r="T1193" s="24">
        <f>'TMT E DD'!E1313</f>
        <v>0</v>
      </c>
      <c r="U1193" s="24">
        <f>TA!E1313</f>
        <v>2072228000000</v>
      </c>
      <c r="V1193" s="109">
        <f>PR!F1313</f>
        <v>0.28268513658615235</v>
      </c>
      <c r="W1193" s="109">
        <f>'Z Score'!I1313</f>
        <v>3.1594162804479042</v>
      </c>
      <c r="X1193" s="109">
        <f>'Z Score'!L1313</f>
        <v>0.4158780018414962</v>
      </c>
      <c r="Y1193" s="109">
        <f>'Z Score'!O1313</f>
        <v>0.44351335856865165</v>
      </c>
      <c r="Z1193" s="109">
        <f>'Z Score'!R1313</f>
        <v>0.39413799969469099</v>
      </c>
      <c r="AA1193" s="109">
        <f>'Z Score'!S1313</f>
        <v>4.412945640552743</v>
      </c>
    </row>
    <row r="1194" spans="1:27" ht="15" customHeight="1" x14ac:dyDescent="0.3">
      <c r="A1194" s="22"/>
      <c r="B1194" s="23"/>
      <c r="C1194" s="2"/>
      <c r="D1194" s="23">
        <v>2017</v>
      </c>
      <c r="E1194" s="25">
        <f>'Current Ratio'!G1314</f>
        <v>1.9010516951781209</v>
      </c>
      <c r="F1194" s="25">
        <f>'Cash Ratio'!G1314</f>
        <v>0.11936330596311752</v>
      </c>
      <c r="G1194" s="25">
        <f>DAR!G1314</f>
        <v>0.70941700659157403</v>
      </c>
      <c r="H1194" s="25">
        <f>DER!G1314</f>
        <v>2.4413614823920908</v>
      </c>
      <c r="I1194" s="25">
        <f>NPM!G1314</f>
        <v>0.28521384381714454</v>
      </c>
      <c r="J1194" s="25">
        <f>ROA!G1314</f>
        <v>5.6560535406982401E-2</v>
      </c>
      <c r="K1194" s="25">
        <f>ROE!G1314</f>
        <v>0.19464533734469536</v>
      </c>
      <c r="L1194" s="25">
        <f>KM!E1314</f>
        <v>0.9</v>
      </c>
      <c r="M1194" s="24">
        <f>KI!E1314</f>
        <v>2</v>
      </c>
      <c r="N1194" s="108">
        <f>IO!E1314</f>
        <v>0</v>
      </c>
      <c r="O1194" s="24">
        <f>'BoC Size'!E1314</f>
        <v>3</v>
      </c>
      <c r="P1194" s="24">
        <f>'TMT E DK'!E1314</f>
        <v>0</v>
      </c>
      <c r="Q1194" s="24">
        <f>Data!R1314</f>
        <v>3</v>
      </c>
      <c r="R1194" s="24">
        <f>Data!S1314</f>
        <v>5</v>
      </c>
      <c r="S1194" s="24">
        <f>'TMT E DK'!E1314</f>
        <v>0</v>
      </c>
      <c r="T1194" s="24">
        <f>'TMT E DD'!E1314</f>
        <v>0</v>
      </c>
      <c r="U1194" s="24">
        <f>TA!E1314</f>
        <v>2177932000000</v>
      </c>
      <c r="V1194" s="109">
        <f>PR!F1314</f>
        <v>0.15512003081004749</v>
      </c>
      <c r="W1194" s="109">
        <f>'Z Score'!I1314</f>
        <v>1.854929538663282</v>
      </c>
      <c r="X1194" s="109">
        <f>'Z Score'!L1314</f>
        <v>0.50190449472251653</v>
      </c>
      <c r="Y1194" s="109">
        <f>'Z Score'!O1314</f>
        <v>0.49836619325121262</v>
      </c>
      <c r="Z1194" s="109">
        <f>'Z Score'!R1314</f>
        <v>0.43008788644080304</v>
      </c>
      <c r="AA1194" s="109">
        <f>'Z Score'!S1314</f>
        <v>3.2852881130778142</v>
      </c>
    </row>
    <row r="1195" spans="1:27" ht="15" customHeight="1" x14ac:dyDescent="0.3">
      <c r="A1195" s="22"/>
      <c r="B1195" s="23"/>
      <c r="C1195" s="2"/>
      <c r="D1195" s="23">
        <v>2018</v>
      </c>
      <c r="E1195" s="25">
        <f>'Current Ratio'!G1315</f>
        <v>2.3414116852170679</v>
      </c>
      <c r="F1195" s="25">
        <f>'Cash Ratio'!G1315</f>
        <v>0.15202055147171734</v>
      </c>
      <c r="G1195" s="25">
        <f>DAR!G1315</f>
        <v>0.69657039780452257</v>
      </c>
      <c r="H1195" s="25">
        <f>DER!G1315</f>
        <v>2.2956573543400465</v>
      </c>
      <c r="I1195" s="25">
        <f>NPM!G1315</f>
        <v>0.2802827955998895</v>
      </c>
      <c r="J1195" s="25">
        <f>ROA!G1315</f>
        <v>5.9681123694282232E-2</v>
      </c>
      <c r="K1195" s="25">
        <f>ROE!G1315</f>
        <v>0.19668853421833923</v>
      </c>
      <c r="L1195" s="25">
        <f>KM!E1315</f>
        <v>0.9</v>
      </c>
      <c r="M1195" s="24">
        <f>KI!E1315</f>
        <v>2</v>
      </c>
      <c r="N1195" s="108">
        <f>IO!E1315</f>
        <v>0</v>
      </c>
      <c r="O1195" s="24">
        <f>'BoC Size'!E1315</f>
        <v>3</v>
      </c>
      <c r="P1195" s="24">
        <f>'TMT E DK'!E1315</f>
        <v>0</v>
      </c>
      <c r="Q1195" s="24">
        <f>Data!R1315</f>
        <v>3</v>
      </c>
      <c r="R1195" s="24">
        <f>Data!S1315</f>
        <v>5</v>
      </c>
      <c r="S1195" s="24">
        <f>'TMT E DK'!E1315</f>
        <v>0</v>
      </c>
      <c r="T1195" s="24">
        <f>'TMT E DD'!E1315</f>
        <v>0</v>
      </c>
      <c r="U1195" s="24">
        <f>TA!E1315</f>
        <v>2345549000000</v>
      </c>
      <c r="V1195" s="109">
        <f>PR!F1315</f>
        <v>0.15637271245461953</v>
      </c>
      <c r="W1195" s="109">
        <f>'Z Score'!I1315</f>
        <v>2.0766727789528163</v>
      </c>
      <c r="X1195" s="109">
        <f>'Z Score'!L1315</f>
        <v>0.56682369884406592</v>
      </c>
      <c r="Y1195" s="109">
        <f>'Z Score'!O1315</f>
        <v>0.55357547422799525</v>
      </c>
      <c r="Z1195" s="109">
        <f>'Z Score'!R1315</f>
        <v>0.45738533148900751</v>
      </c>
      <c r="AA1195" s="109">
        <f>'Z Score'!S1315</f>
        <v>3.6544572835138851</v>
      </c>
    </row>
    <row r="1196" spans="1:27" ht="15" customHeight="1" x14ac:dyDescent="0.3">
      <c r="A1196" s="22"/>
      <c r="B1196" s="23"/>
      <c r="C1196" s="2"/>
      <c r="D1196" s="23">
        <v>2019</v>
      </c>
      <c r="E1196" s="25">
        <f>'Current Ratio'!G1316</f>
        <v>2.5627812543945998</v>
      </c>
      <c r="F1196" s="25">
        <f>'Cash Ratio'!G1316</f>
        <v>0.20332055969624527</v>
      </c>
      <c r="G1196" s="25">
        <f>DAR!G1316</f>
        <v>0.67555131069007912</v>
      </c>
      <c r="H1196" s="25">
        <f>DER!G1316</f>
        <v>2.0821539310239876</v>
      </c>
      <c r="I1196" s="25">
        <f>NPM!G1316</f>
        <v>0.30397840096950196</v>
      </c>
      <c r="J1196" s="25">
        <f>ROA!G1316</f>
        <v>6.8793822589224785E-2</v>
      </c>
      <c r="K1196" s="25">
        <f>ROE!G1316</f>
        <v>0.21203323251345851</v>
      </c>
      <c r="L1196" s="25">
        <f>KM!E1316</f>
        <v>0.9</v>
      </c>
      <c r="M1196" s="24">
        <f>KI!E1316</f>
        <v>2</v>
      </c>
      <c r="N1196" s="108">
        <f>IO!E1316</f>
        <v>0</v>
      </c>
      <c r="O1196" s="24">
        <f>'BoC Size'!E1316</f>
        <v>3</v>
      </c>
      <c r="P1196" s="24">
        <f>'TMT E DK'!E1316</f>
        <v>0</v>
      </c>
      <c r="Q1196" s="24">
        <f>Data!R1316</f>
        <v>3</v>
      </c>
      <c r="R1196" s="24">
        <f>Data!S1316</f>
        <v>5</v>
      </c>
      <c r="S1196" s="24">
        <f>'TMT E DK'!E1316</f>
        <v>0</v>
      </c>
      <c r="T1196" s="24">
        <f>'TMT E DD'!E1316</f>
        <v>0</v>
      </c>
      <c r="U1196" s="24">
        <f>TA!E1316</f>
        <v>2592413000000</v>
      </c>
      <c r="V1196" s="109">
        <f>PR!F1316</f>
        <v>0.17469696180937927</v>
      </c>
      <c r="W1196" s="109">
        <f>'Z Score'!I1316</f>
        <v>1.799734718194979</v>
      </c>
      <c r="X1196" s="109">
        <f>'Z Score'!L1316</f>
        <v>0.68068946576027811</v>
      </c>
      <c r="Y1196" s="109">
        <f>'Z Score'!O1316</f>
        <v>0.62862428170202822</v>
      </c>
      <c r="Z1196" s="109">
        <f>'Z Score'!R1316</f>
        <v>0.50428548262213158</v>
      </c>
      <c r="AA1196" s="109">
        <f>'Z Score'!S1316</f>
        <v>3.6133339482794167</v>
      </c>
    </row>
    <row r="1197" spans="1:27" ht="15" customHeight="1" x14ac:dyDescent="0.3">
      <c r="A1197" s="22"/>
      <c r="B1197" s="23"/>
      <c r="C1197" s="2"/>
      <c r="D1197" s="23">
        <v>2020</v>
      </c>
      <c r="E1197" s="25">
        <f>'Current Ratio'!G1317</f>
        <v>2.9125071288123188</v>
      </c>
      <c r="F1197" s="25">
        <f>'Cash Ratio'!G1317</f>
        <v>0.15911934695823154</v>
      </c>
      <c r="G1197" s="25">
        <f>DAR!G1317</f>
        <v>0.65876858954667061</v>
      </c>
      <c r="H1197" s="25">
        <f>DER!G1317</f>
        <v>1.9305625723947566</v>
      </c>
      <c r="I1197" s="25">
        <f>NPM!G1317</f>
        <v>0.26789147986826728</v>
      </c>
      <c r="J1197" s="25">
        <f>ROA!G1317</f>
        <v>6.8325400596707983E-2</v>
      </c>
      <c r="K1197" s="25">
        <f>ROE!G1317</f>
        <v>0.20023186173259078</v>
      </c>
      <c r="L1197" s="25">
        <f>KM!E1317</f>
        <v>0.9</v>
      </c>
      <c r="M1197" s="24">
        <f>KI!E1317</f>
        <v>2</v>
      </c>
      <c r="N1197" s="108">
        <f>IO!E1317</f>
        <v>0</v>
      </c>
      <c r="O1197" s="24">
        <f>'BoC Size'!E1317</f>
        <v>3</v>
      </c>
      <c r="P1197" s="24">
        <f>'TMT E DK'!E1317</f>
        <v>0</v>
      </c>
      <c r="Q1197" s="24">
        <f>Data!R1317</f>
        <v>3</v>
      </c>
      <c r="R1197" s="24">
        <f>Data!S1317</f>
        <v>5</v>
      </c>
      <c r="S1197" s="24">
        <f>'TMT E DK'!E1317</f>
        <v>0</v>
      </c>
      <c r="T1197" s="24">
        <f>'TMT E DD'!E1317</f>
        <v>0</v>
      </c>
      <c r="U1197" s="24">
        <f>TA!E1317</f>
        <v>2952533000000</v>
      </c>
      <c r="V1197" s="109">
        <f>PR!F1317</f>
        <v>0.28353329594864773</v>
      </c>
      <c r="W1197" s="109">
        <f>'Z Score'!I1317</f>
        <v>1.9968239067946065</v>
      </c>
      <c r="X1197" s="109">
        <f>'Z Score'!L1317</f>
        <v>0.78102322988430606</v>
      </c>
      <c r="Y1197" s="109">
        <f>'Z Score'!O1317</f>
        <v>0.64507409739366162</v>
      </c>
      <c r="Z1197" s="109">
        <f>'Z Score'!R1317</f>
        <v>0.54388291527766064</v>
      </c>
      <c r="AA1197" s="109">
        <f>'Z Score'!S1317</f>
        <v>3.9668041493502351</v>
      </c>
    </row>
    <row r="1198" spans="1:27" ht="15" customHeight="1" x14ac:dyDescent="0.3">
      <c r="A1198" s="22"/>
      <c r="B1198" s="23"/>
      <c r="C1198" s="2"/>
      <c r="D1198" s="23">
        <v>2021</v>
      </c>
      <c r="E1198" s="25">
        <f>'Current Ratio'!G1318</f>
        <v>2.6438847967781252</v>
      </c>
      <c r="F1198" s="25">
        <f>'Cash Ratio'!G1318</f>
        <v>0.25010598272481588</v>
      </c>
      <c r="G1198" s="25">
        <f>DAR!G1318</f>
        <v>0.6619691136857041</v>
      </c>
      <c r="H1198" s="25">
        <f>DER!G1318</f>
        <v>1.958309552430116</v>
      </c>
      <c r="I1198" s="25">
        <f>NPM!G1318</f>
        <v>0.31544649142291342</v>
      </c>
      <c r="J1198" s="25">
        <f>ROA!G1318</f>
        <v>7.6915615148968414E-2</v>
      </c>
      <c r="K1198" s="25">
        <f>ROE!G1318</f>
        <v>0.22754019902623179</v>
      </c>
      <c r="L1198" s="25">
        <f>KM!E1318</f>
        <v>0.9</v>
      </c>
      <c r="M1198" s="24">
        <f>KI!E1318</f>
        <v>2</v>
      </c>
      <c r="N1198" s="108">
        <f>IO!E1318</f>
        <v>0</v>
      </c>
      <c r="O1198" s="24">
        <f>'BoC Size'!E1318</f>
        <v>3</v>
      </c>
      <c r="P1198" s="24">
        <f>'TMT E DK'!E1318</f>
        <v>0</v>
      </c>
      <c r="Q1198" s="24">
        <f>Data!R1318</f>
        <v>3</v>
      </c>
      <c r="R1198" s="24">
        <f>Data!S1318</f>
        <v>5</v>
      </c>
      <c r="S1198" s="24">
        <f>'TMT E DK'!E1318</f>
        <v>0</v>
      </c>
      <c r="T1198" s="24">
        <f>'TMT E DD'!E1318</f>
        <v>0</v>
      </c>
      <c r="U1198" s="24">
        <f>TA!E1318</f>
        <v>3711223000000</v>
      </c>
      <c r="V1198" s="109">
        <f>PR!F1318</f>
        <v>0.20167720174227133</v>
      </c>
      <c r="W1198" s="109">
        <f>'Z Score'!I1318</f>
        <v>1.7547007442021134</v>
      </c>
      <c r="X1198" s="109">
        <f>'Z Score'!L1318</f>
        <v>0.83666109527775623</v>
      </c>
      <c r="Y1198" s="109">
        <f>'Z Score'!O1318</f>
        <v>0.71207982920993962</v>
      </c>
      <c r="Z1198" s="109">
        <f>'Z Score'!R1318</f>
        <v>0.5361767237958005</v>
      </c>
      <c r="AA1198" s="109">
        <f>'Z Score'!S1318</f>
        <v>3.8396183924856095</v>
      </c>
    </row>
    <row r="1199" spans="1:27" ht="15" customHeight="1" x14ac:dyDescent="0.3">
      <c r="A1199" s="22"/>
      <c r="B1199" s="23"/>
      <c r="C1199" s="2"/>
      <c r="D1199" s="23">
        <v>2022</v>
      </c>
      <c r="E1199" s="25">
        <f>'Current Ratio'!G1319</f>
        <v>3.4680952698739405</v>
      </c>
      <c r="F1199" s="25">
        <f>'Cash Ratio'!G1319</f>
        <v>0.34662126326363596</v>
      </c>
      <c r="G1199" s="25">
        <f>DAR!G1319</f>
        <v>0.67055143473644785</v>
      </c>
      <c r="H1199" s="25">
        <f>DER!G1319</f>
        <v>2.0353751858048628</v>
      </c>
      <c r="I1199" s="25">
        <f>NPM!G1319</f>
        <v>0.32518298170404619</v>
      </c>
      <c r="J1199" s="25">
        <f>ROA!G1319</f>
        <v>7.7783588917435587E-2</v>
      </c>
      <c r="K1199" s="25">
        <f>ROE!G1319</f>
        <v>0.23610237566283007</v>
      </c>
      <c r="L1199" s="25">
        <f>KM!E1319</f>
        <v>0.9</v>
      </c>
      <c r="M1199" s="24">
        <f>KI!E1319</f>
        <v>2</v>
      </c>
      <c r="N1199" s="108">
        <f>IO!E1319</f>
        <v>0</v>
      </c>
      <c r="O1199" s="24">
        <f>'BoC Size'!E1319</f>
        <v>3</v>
      </c>
      <c r="P1199" s="24">
        <f>'TMT E DK'!E1319</f>
        <v>0</v>
      </c>
      <c r="Q1199" s="24">
        <f>Data!R1319</f>
        <v>3</v>
      </c>
      <c r="R1199" s="24">
        <f>Data!S1319</f>
        <v>5</v>
      </c>
      <c r="S1199" s="24">
        <f>'TMT E DK'!E1319</f>
        <v>0</v>
      </c>
      <c r="T1199" s="24">
        <f>'TMT E DD'!E1319</f>
        <v>0</v>
      </c>
      <c r="U1199" s="24">
        <f>TA!E1319</f>
        <v>4715082000000</v>
      </c>
      <c r="V1199" s="109">
        <f>PR!F1319</f>
        <v>0.2463601392844158</v>
      </c>
      <c r="W1199" s="109">
        <f>'Z Score'!I1319</f>
        <v>1.9552606041634057</v>
      </c>
      <c r="X1199" s="109">
        <f>'Z Score'!L1319</f>
        <v>0.86276767615070105</v>
      </c>
      <c r="Y1199" s="109">
        <f>'Z Score'!O1319</f>
        <v>0.70631743838177152</v>
      </c>
      <c r="Z1199" s="109">
        <f>'Z Score'!R1319</f>
        <v>0.51587540583324509</v>
      </c>
      <c r="AA1199" s="109">
        <f>'Z Score'!S1319</f>
        <v>4.0402211245291237</v>
      </c>
    </row>
    <row r="1200" spans="1:27" ht="15" customHeight="1" x14ac:dyDescent="0.3">
      <c r="A1200" s="22"/>
      <c r="B1200" s="23"/>
      <c r="C1200" s="2"/>
      <c r="D1200" s="23">
        <v>2023</v>
      </c>
      <c r="E1200" s="25">
        <f>'Current Ratio'!G1320</f>
        <v>4.0183923477093471</v>
      </c>
      <c r="F1200" s="25">
        <f>'Cash Ratio'!G1320</f>
        <v>0.48326771399434598</v>
      </c>
      <c r="G1200" s="25">
        <f>DAR!G1320</f>
        <v>0.68894263605756478</v>
      </c>
      <c r="H1200" s="25">
        <f>DER!G1320</f>
        <v>2.2148411062374391</v>
      </c>
      <c r="I1200" s="25">
        <f>NPM!G1320</f>
        <v>0.34583114285651789</v>
      </c>
      <c r="J1200" s="25">
        <f>ROA!G1320</f>
        <v>7.6222127584350471E-2</v>
      </c>
      <c r="K1200" s="25">
        <f>ROE!G1320</f>
        <v>0.24504202896304447</v>
      </c>
      <c r="L1200" s="25">
        <f>KM!E1320</f>
        <v>0.9</v>
      </c>
      <c r="M1200" s="24">
        <f>KI!E1320</f>
        <v>1</v>
      </c>
      <c r="N1200" s="108">
        <f>IO!E1320</f>
        <v>0</v>
      </c>
      <c r="O1200" s="24">
        <f>'BoC Size'!E1320</f>
        <v>2</v>
      </c>
      <c r="P1200" s="24">
        <f>'TMT E DK'!E1320</f>
        <v>0</v>
      </c>
      <c r="Q1200" s="24">
        <f>Data!R1320</f>
        <v>2</v>
      </c>
      <c r="R1200" s="24">
        <f>Data!S1320</f>
        <v>4</v>
      </c>
      <c r="S1200" s="24">
        <f>'TMT E DK'!E1320</f>
        <v>0</v>
      </c>
      <c r="T1200" s="24">
        <f>'TMT E DD'!E1320</f>
        <v>0</v>
      </c>
      <c r="U1200" s="24">
        <f>TA!E1320</f>
        <v>6222550000000</v>
      </c>
      <c r="V1200" s="109">
        <f>PR!F1320</f>
        <v>0.21600663211700188</v>
      </c>
      <c r="W1200" s="109">
        <f>'Z Score'!I1320</f>
        <v>2.4650621497617533</v>
      </c>
      <c r="X1200" s="109">
        <f>'Z Score'!L1320</f>
        <v>0.85420272396364827</v>
      </c>
      <c r="Y1200" s="109">
        <f>'Z Score'!O1320</f>
        <v>0.6759655511004331</v>
      </c>
      <c r="Z1200" s="109">
        <f>'Z Score'!R1320</f>
        <v>0.47407463995633292</v>
      </c>
      <c r="AA1200" s="109">
        <f>'Z Score'!S1320</f>
        <v>4.4693050647821675</v>
      </c>
    </row>
    <row r="1201" spans="1:27" ht="15" customHeight="1" x14ac:dyDescent="0.3">
      <c r="A1201" s="22"/>
      <c r="B1201" s="23"/>
      <c r="C1201" s="2"/>
      <c r="D1201" s="23">
        <v>2024</v>
      </c>
      <c r="E1201" s="25">
        <f>'Current Ratio'!G1321</f>
        <v>4.2187904997863361</v>
      </c>
      <c r="F1201" s="25">
        <f>'Cash Ratio'!G1321</f>
        <v>0.58255126178361349</v>
      </c>
      <c r="G1201" s="25">
        <f>DAR!G1321</f>
        <v>0.66153589269968749</v>
      </c>
      <c r="H1201" s="25">
        <f>DER!G1321</f>
        <v>1.9545230304515566</v>
      </c>
      <c r="I1201" s="25">
        <f>NPM!G1321</f>
        <v>0.4336428939205566</v>
      </c>
      <c r="J1201" s="25">
        <f>ROA!G1321</f>
        <v>9.3296472852388179E-2</v>
      </c>
      <c r="K1201" s="25">
        <f>ROE!G1321</f>
        <v>0.27564657770227929</v>
      </c>
      <c r="L1201" s="25">
        <f>KM!E1321</f>
        <v>0.9</v>
      </c>
      <c r="M1201" s="24">
        <f>KI!E1321</f>
        <v>3</v>
      </c>
      <c r="N1201" s="108">
        <f>IO!E1321</f>
        <v>0</v>
      </c>
      <c r="O1201" s="24">
        <f>'BoC Size'!E1321</f>
        <v>4</v>
      </c>
      <c r="P1201" s="24">
        <f>'TMT E DK'!E1321</f>
        <v>0</v>
      </c>
      <c r="Q1201" s="24">
        <f>Data!R1321</f>
        <v>4</v>
      </c>
      <c r="R1201" s="24">
        <f>Data!S1321</f>
        <v>5</v>
      </c>
      <c r="S1201" s="24">
        <f>'TMT E DK'!E1321</f>
        <v>0</v>
      </c>
      <c r="T1201" s="24">
        <f>'TMT E DD'!E1321</f>
        <v>0</v>
      </c>
      <c r="U1201" s="24">
        <f>TA!E1321</f>
        <v>7402327000000</v>
      </c>
      <c r="V1201" s="109">
        <f>PR!F1321</f>
        <v>0.16122371154391613</v>
      </c>
      <c r="W1201" s="109">
        <f>'Z Score'!I1321</f>
        <v>2.4431411149493933</v>
      </c>
      <c r="X1201" s="109">
        <f>'Z Score'!L1321</f>
        <v>0.96998728102662857</v>
      </c>
      <c r="Y1201" s="109">
        <f>'Z Score'!O1321</f>
        <v>0.82082236031993727</v>
      </c>
      <c r="Z1201" s="109">
        <f>'Z Score'!R1321</f>
        <v>0.53721546568700029</v>
      </c>
      <c r="AA1201" s="109">
        <f>'Z Score'!S1321</f>
        <v>4.7711662219829591</v>
      </c>
    </row>
    <row r="1202" spans="1:27" ht="15" customHeight="1" x14ac:dyDescent="0.3">
      <c r="A1202" s="22"/>
      <c r="B1202" s="23">
        <v>121</v>
      </c>
      <c r="C1202" s="2" t="s">
        <v>77</v>
      </c>
      <c r="D1202" s="23">
        <v>2015</v>
      </c>
      <c r="E1202" s="25">
        <f>'Current Ratio'!G1323</f>
        <v>3.8471115588013096</v>
      </c>
      <c r="F1202" s="25">
        <f>'Cash Ratio'!G1323</f>
        <v>0.6517149332661798</v>
      </c>
      <c r="G1202" s="25">
        <f>DAR!G1323</f>
        <v>0.69069037007128109</v>
      </c>
      <c r="H1202" s="25">
        <f>DER!G1323</f>
        <v>2.2330063575144816</v>
      </c>
      <c r="I1202" s="25">
        <f>NPM!G1323</f>
        <v>0.26015914137675794</v>
      </c>
      <c r="J1202" s="25">
        <f>ROA!G1323</f>
        <v>2.7291398133337474E-2</v>
      </c>
      <c r="K1202" s="25">
        <f>ROE!G1323</f>
        <v>8.8233263670538908E-2</v>
      </c>
      <c r="L1202" s="25">
        <f>KM!E1323</f>
        <v>0.55000000000000004</v>
      </c>
      <c r="M1202" s="24">
        <f>KI!E1323</f>
        <v>2</v>
      </c>
      <c r="N1202" s="108">
        <f>IO!E1323</f>
        <v>0</v>
      </c>
      <c r="O1202" s="24">
        <f>'BoC Size'!E1323</f>
        <v>4</v>
      </c>
      <c r="P1202" s="24">
        <f>'TMT E DK'!E1323</f>
        <v>0</v>
      </c>
      <c r="Q1202" s="24">
        <f>Data!R1323</f>
        <v>4</v>
      </c>
      <c r="R1202" s="24">
        <f>Data!S1323</f>
        <v>3</v>
      </c>
      <c r="S1202" s="24">
        <f>'TMT E DK'!E1323</f>
        <v>0</v>
      </c>
      <c r="T1202" s="24">
        <f>'TMT E DD'!E1323</f>
        <v>0</v>
      </c>
      <c r="U1202" s="24">
        <f>TA!E1323</f>
        <v>515144000000</v>
      </c>
      <c r="V1202" s="109">
        <f>PR!F1323</f>
        <v>0.31468191217613428</v>
      </c>
      <c r="W1202" s="109">
        <f>'Z Score'!I1323</f>
        <v>3.5993126582081905</v>
      </c>
      <c r="X1202" s="109">
        <f>'Z Score'!L1323</f>
        <v>0.37551663224263504</v>
      </c>
      <c r="Y1202" s="109">
        <f>'Z Score'!O1323</f>
        <v>0.22115012501358844</v>
      </c>
      <c r="Z1202" s="109">
        <f>'Z Score'!R1323</f>
        <v>0.47021809699132949</v>
      </c>
      <c r="AA1202" s="109">
        <f>'Z Score'!S1323</f>
        <v>4.6661975124557431</v>
      </c>
    </row>
    <row r="1203" spans="1:27" ht="15" customHeight="1" x14ac:dyDescent="0.3">
      <c r="A1203" s="22"/>
      <c r="B1203" s="23"/>
      <c r="C1203" s="2"/>
      <c r="D1203" s="23">
        <v>2016</v>
      </c>
      <c r="E1203" s="25">
        <f>'Current Ratio'!G1324</f>
        <v>2.9565597233142675</v>
      </c>
      <c r="F1203" s="25">
        <f>'Cash Ratio'!G1324</f>
        <v>0.35061077450421146</v>
      </c>
      <c r="G1203" s="25">
        <f>DAR!G1324</f>
        <v>0.77624166866998168</v>
      </c>
      <c r="H1203" s="25">
        <f>DER!G1324</f>
        <v>3.4691073358297104</v>
      </c>
      <c r="I1203" s="25">
        <f>NPM!G1324</f>
        <v>7.93664427685489E-2</v>
      </c>
      <c r="J1203" s="25">
        <f>ROA!G1324</f>
        <v>6.4949579725609111E-3</v>
      </c>
      <c r="K1203" s="25">
        <f>ROE!G1324</f>
        <v>2.902666432107763E-2</v>
      </c>
      <c r="L1203" s="25">
        <f>KM!E1324</f>
        <v>0.55000000000000004</v>
      </c>
      <c r="M1203" s="24">
        <f>KI!E1324</f>
        <v>2</v>
      </c>
      <c r="N1203" s="108">
        <f>IO!E1324</f>
        <v>0</v>
      </c>
      <c r="O1203" s="24">
        <f>'BoC Size'!E1324</f>
        <v>4</v>
      </c>
      <c r="P1203" s="24">
        <f>'TMT E DK'!E1324</f>
        <v>0</v>
      </c>
      <c r="Q1203" s="24">
        <f>Data!R1324</f>
        <v>4</v>
      </c>
      <c r="R1203" s="24">
        <f>Data!S1324</f>
        <v>3</v>
      </c>
      <c r="S1203" s="24">
        <f>'TMT E DK'!E1324</f>
        <v>0</v>
      </c>
      <c r="T1203" s="24">
        <f>'TMT E DD'!E1324</f>
        <v>0</v>
      </c>
      <c r="U1203" s="24">
        <f>TA!E1324</f>
        <v>711321000000</v>
      </c>
      <c r="V1203" s="109">
        <f>PR!F1324</f>
        <v>7.7183567727609176E-2</v>
      </c>
      <c r="W1203" s="109">
        <f>'Z Score'!I1324</f>
        <v>3.5111517866054847</v>
      </c>
      <c r="X1203" s="109">
        <f>'Z Score'!L1324</f>
        <v>0.27114993090320683</v>
      </c>
      <c r="Y1203" s="109">
        <f>'Z Score'!O1324</f>
        <v>5.9923663156296526E-2</v>
      </c>
      <c r="Z1203" s="109">
        <f>'Z Score'!R1324</f>
        <v>0.30267152277341408</v>
      </c>
      <c r="AA1203" s="109">
        <f>'Z Score'!S1324</f>
        <v>4.1448969034384024</v>
      </c>
    </row>
    <row r="1204" spans="1:27" ht="15" customHeight="1" x14ac:dyDescent="0.3">
      <c r="A1204" s="22"/>
      <c r="B1204" s="23"/>
      <c r="C1204" s="2"/>
      <c r="D1204" s="23">
        <v>2017</v>
      </c>
      <c r="E1204" s="25">
        <f>'Current Ratio'!G1325</f>
        <v>3.4136175315643844</v>
      </c>
      <c r="F1204" s="25">
        <f>'Cash Ratio'!G1325</f>
        <v>0.5297951079504406</v>
      </c>
      <c r="G1204" s="25">
        <f>DAR!G1325</f>
        <v>0.8024502839650951</v>
      </c>
      <c r="H1204" s="25">
        <f>DER!G1325</f>
        <v>4.0620168941336825</v>
      </c>
      <c r="I1204" s="25">
        <f>NPM!G1325</f>
        <v>0.13043782445044566</v>
      </c>
      <c r="J1204" s="25">
        <f>ROA!G1325</f>
        <v>1.1009035628791663E-2</v>
      </c>
      <c r="K1204" s="25">
        <f>ROE!G1325</f>
        <v>5.572792434106303E-2</v>
      </c>
      <c r="L1204" s="25">
        <f>KM!E1325</f>
        <v>0.55000000000000004</v>
      </c>
      <c r="M1204" s="24">
        <f>KI!E1325</f>
        <v>2</v>
      </c>
      <c r="N1204" s="108">
        <f>IO!E1325</f>
        <v>0</v>
      </c>
      <c r="O1204" s="24">
        <f>'BoC Size'!E1325</f>
        <v>4</v>
      </c>
      <c r="P1204" s="24">
        <f>'TMT E DK'!E1325</f>
        <v>0</v>
      </c>
      <c r="Q1204" s="24">
        <f>Data!R1325</f>
        <v>4</v>
      </c>
      <c r="R1204" s="24">
        <f>Data!S1325</f>
        <v>3</v>
      </c>
      <c r="S1204" s="24">
        <f>'TMT E DK'!E1325</f>
        <v>0</v>
      </c>
      <c r="T1204" s="24">
        <f>'TMT E DD'!E1325</f>
        <v>0</v>
      </c>
      <c r="U1204" s="24">
        <f>TA!E1325</f>
        <v>846759000000</v>
      </c>
      <c r="V1204" s="109">
        <f>PR!F1325</f>
        <v>0.22772328254110047</v>
      </c>
      <c r="W1204" s="109">
        <f>'Z Score'!I1325</f>
        <v>3.8046898350061822</v>
      </c>
      <c r="X1204" s="109">
        <f>'Z Score'!L1325</f>
        <v>0.26041608060853205</v>
      </c>
      <c r="Y1204" s="109">
        <f>'Z Score'!O1325</f>
        <v>9.7178063652113525E-2</v>
      </c>
      <c r="Z1204" s="109">
        <f>'Z Score'!R1325</f>
        <v>0.25849227794113749</v>
      </c>
      <c r="AA1204" s="109">
        <f>'Z Score'!S1325</f>
        <v>4.4207762572079643</v>
      </c>
    </row>
    <row r="1205" spans="1:27" ht="15" customHeight="1" x14ac:dyDescent="0.3">
      <c r="A1205" s="22"/>
      <c r="B1205" s="23"/>
      <c r="C1205" s="2"/>
      <c r="D1205" s="23">
        <v>2018</v>
      </c>
      <c r="E1205" s="25">
        <f>'Current Ratio'!G1326</f>
        <v>0.95263887415838</v>
      </c>
      <c r="F1205" s="25">
        <f>'Cash Ratio'!G1326</f>
        <v>0.26360580914380594</v>
      </c>
      <c r="G1205" s="25">
        <f>DAR!G1326</f>
        <v>0.81773642926015688</v>
      </c>
      <c r="H1205" s="25">
        <f>DER!G1326</f>
        <v>4.4865599084929944</v>
      </c>
      <c r="I1205" s="25">
        <f>NPM!G1326</f>
        <v>0.18086816720257234</v>
      </c>
      <c r="J1205" s="25">
        <f>ROA!G1326</f>
        <v>1.7590493315612542E-2</v>
      </c>
      <c r="K1205" s="25">
        <f>ROE!G1326</f>
        <v>9.6511295396053756E-2</v>
      </c>
      <c r="L1205" s="25">
        <f>KM!E1326</f>
        <v>0.55000000000000004</v>
      </c>
      <c r="M1205" s="24">
        <f>KI!E1326</f>
        <v>2</v>
      </c>
      <c r="N1205" s="108">
        <f>IO!E1326</f>
        <v>0</v>
      </c>
      <c r="O1205" s="24">
        <f>'BoC Size'!E1326</f>
        <v>4</v>
      </c>
      <c r="P1205" s="24">
        <f>'TMT E DK'!E1326</f>
        <v>0</v>
      </c>
      <c r="Q1205" s="24">
        <f>Data!R1326</f>
        <v>4</v>
      </c>
      <c r="R1205" s="24">
        <f>Data!S1326</f>
        <v>2</v>
      </c>
      <c r="S1205" s="24">
        <f>'TMT E DK'!E1326</f>
        <v>0</v>
      </c>
      <c r="T1205" s="24">
        <f>'TMT E DD'!E1326</f>
        <v>0</v>
      </c>
      <c r="U1205" s="24">
        <f>TA!E1326</f>
        <v>997698000000</v>
      </c>
      <c r="V1205" s="109">
        <f>PR!F1326</f>
        <v>0.35771754795919797</v>
      </c>
      <c r="W1205" s="109">
        <f>'Z Score'!I1326</f>
        <v>-8.5148010720678999E-2</v>
      </c>
      <c r="X1205" s="109">
        <f>'Z Score'!L1326</f>
        <v>0.26788451014234771</v>
      </c>
      <c r="Y1205" s="109">
        <f>'Z Score'!O1326</f>
        <v>0.14824173246814165</v>
      </c>
      <c r="Z1205" s="109">
        <f>'Z Score'!R1326</f>
        <v>0.23403231460530929</v>
      </c>
      <c r="AA1205" s="109">
        <f>'Z Score'!S1326</f>
        <v>0.56501054649511961</v>
      </c>
    </row>
    <row r="1206" spans="1:27" ht="15" customHeight="1" x14ac:dyDescent="0.3">
      <c r="A1206" s="22"/>
      <c r="B1206" s="23"/>
      <c r="C1206" s="2"/>
      <c r="D1206" s="23">
        <v>2019</v>
      </c>
      <c r="E1206" s="25">
        <f>'Current Ratio'!G1327</f>
        <v>3.5154486359067803</v>
      </c>
      <c r="F1206" s="25">
        <f>'Cash Ratio'!G1327</f>
        <v>0.27242456452417624</v>
      </c>
      <c r="G1206" s="25">
        <f>DAR!G1327</f>
        <v>0.84230585620485365</v>
      </c>
      <c r="H1206" s="25">
        <f>DER!G1327</f>
        <v>5.3413895781637715</v>
      </c>
      <c r="I1206" s="25">
        <f>NPM!G1327</f>
        <v>0.14619778650481971</v>
      </c>
      <c r="J1206" s="25">
        <f>ROA!G1327</f>
        <v>1.5382809381823305E-2</v>
      </c>
      <c r="K1206" s="25">
        <f>ROE!G1327</f>
        <v>9.75483870967742E-2</v>
      </c>
      <c r="L1206" s="25">
        <f>KM!E1327</f>
        <v>0.55000000000000004</v>
      </c>
      <c r="M1206" s="24">
        <f>KI!E1327</f>
        <v>2</v>
      </c>
      <c r="N1206" s="108">
        <f>IO!E1327</f>
        <v>0</v>
      </c>
      <c r="O1206" s="24">
        <f>'BoC Size'!E1327</f>
        <v>4</v>
      </c>
      <c r="P1206" s="24">
        <f>'TMT E DK'!E1327</f>
        <v>0</v>
      </c>
      <c r="Q1206" s="24">
        <f>Data!R1327</f>
        <v>4</v>
      </c>
      <c r="R1206" s="24">
        <f>Data!S1327</f>
        <v>3</v>
      </c>
      <c r="S1206" s="24">
        <f>'TMT E DK'!E1327</f>
        <v>0</v>
      </c>
      <c r="T1206" s="24">
        <f>'TMT E DD'!E1327</f>
        <v>0</v>
      </c>
      <c r="U1206" s="24">
        <f>TA!E1327</f>
        <v>1277790000000</v>
      </c>
      <c r="V1206" s="109">
        <f>PR!F1327</f>
        <v>0.38560474894880037</v>
      </c>
      <c r="W1206" s="109">
        <f>'Z Score'!I1327</f>
        <v>3.5719269050469951</v>
      </c>
      <c r="X1206" s="109">
        <f>'Z Score'!L1327</f>
        <v>0.26060814374819019</v>
      </c>
      <c r="Y1206" s="109">
        <f>'Z Score'!O1327</f>
        <v>0.13560012208578875</v>
      </c>
      <c r="Z1206" s="109">
        <f>'Z Score'!R1327</f>
        <v>0.19657805981659218</v>
      </c>
      <c r="AA1206" s="109">
        <f>'Z Score'!S1327</f>
        <v>4.1647132306975658</v>
      </c>
    </row>
    <row r="1207" spans="1:27" ht="15" customHeight="1" x14ac:dyDescent="0.3">
      <c r="A1207" s="22"/>
      <c r="B1207" s="23"/>
      <c r="C1207" s="2"/>
      <c r="D1207" s="23">
        <v>2020</v>
      </c>
      <c r="E1207" s="25">
        <f>'Current Ratio'!G1328</f>
        <v>4.1790881320681139</v>
      </c>
      <c r="F1207" s="25">
        <f>'Cash Ratio'!G1328</f>
        <v>0.34640582347588716</v>
      </c>
      <c r="G1207" s="25">
        <f>DAR!G1328</f>
        <v>0.8603886430242802</v>
      </c>
      <c r="H1207" s="25">
        <f>DER!G1328</f>
        <v>6.1627127219207063</v>
      </c>
      <c r="I1207" s="25">
        <f>NPM!G1328</f>
        <v>0.16452024449536334</v>
      </c>
      <c r="J1207" s="25">
        <f>ROA!G1328</f>
        <v>1.6644020866670606E-2</v>
      </c>
      <c r="K1207" s="25">
        <f>ROE!G1328</f>
        <v>0.11921626345322417</v>
      </c>
      <c r="L1207" s="25">
        <f>KM!E1328</f>
        <v>0.55000000000000004</v>
      </c>
      <c r="M1207" s="24">
        <f>KI!E1328</f>
        <v>2</v>
      </c>
      <c r="N1207" s="108">
        <f>IO!E1328</f>
        <v>0</v>
      </c>
      <c r="O1207" s="24">
        <f>'BoC Size'!E1328</f>
        <v>4</v>
      </c>
      <c r="P1207" s="24">
        <f>'TMT E DK'!E1328</f>
        <v>0</v>
      </c>
      <c r="Q1207" s="24">
        <f>Data!R1328</f>
        <v>4</v>
      </c>
      <c r="R1207" s="24">
        <f>Data!S1328</f>
        <v>3</v>
      </c>
      <c r="S1207" s="24">
        <f>'TMT E DK'!E1328</f>
        <v>0</v>
      </c>
      <c r="T1207" s="24">
        <f>'TMT E DD'!E1328</f>
        <v>0</v>
      </c>
      <c r="U1207" s="24">
        <f>TA!E1328</f>
        <v>1557316000000</v>
      </c>
      <c r="V1207" s="109">
        <f>PR!F1328</f>
        <v>0.17182107580625966</v>
      </c>
      <c r="W1207" s="109">
        <f>'Z Score'!I1328</f>
        <v>4.1208365161598541</v>
      </c>
      <c r="X1207" s="109">
        <f>'Z Score'!L1328</f>
        <v>0.24369050340457554</v>
      </c>
      <c r="Y1207" s="109">
        <f>'Z Score'!O1328</f>
        <v>0.16136809741889249</v>
      </c>
      <c r="Z1207" s="109">
        <f>'Z Score'!R1328</f>
        <v>0.17037951424624431</v>
      </c>
      <c r="AA1207" s="109">
        <f>'Z Score'!S1328</f>
        <v>4.6962746312295671</v>
      </c>
    </row>
    <row r="1208" spans="1:27" ht="15" customHeight="1" x14ac:dyDescent="0.3">
      <c r="A1208" s="22"/>
      <c r="B1208" s="23"/>
      <c r="C1208" s="2"/>
      <c r="D1208" s="23">
        <v>2021</v>
      </c>
      <c r="E1208" s="25">
        <f>'Current Ratio'!G1329</f>
        <v>4.7910762405822078</v>
      </c>
      <c r="F1208" s="25">
        <f>'Cash Ratio'!G1329</f>
        <v>0.39756191453868855</v>
      </c>
      <c r="G1208" s="25">
        <f>DAR!G1329</f>
        <v>0.83906626354527014</v>
      </c>
      <c r="H1208" s="25">
        <f>DER!G1329</f>
        <v>5.21373754210508</v>
      </c>
      <c r="I1208" s="25">
        <f>NPM!G1329</f>
        <v>0.20266378452474315</v>
      </c>
      <c r="J1208" s="25">
        <f>ROA!G1329</f>
        <v>1.9095485499862459E-2</v>
      </c>
      <c r="K1208" s="25">
        <f>ROE!G1329</f>
        <v>0.11865433513521856</v>
      </c>
      <c r="L1208" s="25">
        <f>KM!E1329</f>
        <v>0.55000000000000004</v>
      </c>
      <c r="M1208" s="24">
        <f>KI!E1329</f>
        <v>2</v>
      </c>
      <c r="N1208" s="108">
        <f>IO!E1329</f>
        <v>0</v>
      </c>
      <c r="O1208" s="24">
        <f>'BoC Size'!E1329</f>
        <v>4</v>
      </c>
      <c r="P1208" s="24">
        <f>'TMT E DK'!E1329</f>
        <v>0</v>
      </c>
      <c r="Q1208" s="24">
        <f>Data!R1329</f>
        <v>4</v>
      </c>
      <c r="R1208" s="24">
        <f>Data!S1329</f>
        <v>3</v>
      </c>
      <c r="S1208" s="24">
        <f>'TMT E DK'!E1329</f>
        <v>0</v>
      </c>
      <c r="T1208" s="24">
        <f>'TMT E DD'!E1329</f>
        <v>0</v>
      </c>
      <c r="U1208" s="24">
        <f>TA!E1329</f>
        <v>1610433000000</v>
      </c>
      <c r="V1208" s="109">
        <f>PR!F1329</f>
        <v>-3.6877415915048652E-2</v>
      </c>
      <c r="W1208" s="109">
        <f>'Z Score'!I1329</f>
        <v>4.2120781181210267</v>
      </c>
      <c r="X1208" s="109">
        <f>'Z Score'!L1329</f>
        <v>0.27767934462346461</v>
      </c>
      <c r="Y1208" s="109">
        <f>'Z Score'!O1329</f>
        <v>0.16252185592322063</v>
      </c>
      <c r="Z1208" s="109">
        <f>'Z Score'!R1329</f>
        <v>0.20139103503396832</v>
      </c>
      <c r="AA1208" s="109">
        <f>'Z Score'!S1329</f>
        <v>4.8536703537016805</v>
      </c>
    </row>
    <row r="1209" spans="1:27" ht="15" customHeight="1" x14ac:dyDescent="0.3">
      <c r="A1209" s="22"/>
      <c r="B1209" s="23"/>
      <c r="C1209" s="2"/>
      <c r="D1209" s="23">
        <v>2022</v>
      </c>
      <c r="E1209" s="25">
        <f>'Current Ratio'!G1330</f>
        <v>2.7481966419766364</v>
      </c>
      <c r="F1209" s="25">
        <f>'Cash Ratio'!G1330</f>
        <v>0.12501310677653954</v>
      </c>
      <c r="G1209" s="25">
        <f>DAR!G1330</f>
        <v>0.79724009105354454</v>
      </c>
      <c r="H1209" s="25">
        <f>DER!G1330</f>
        <v>3.9319414532982373</v>
      </c>
      <c r="I1209" s="25">
        <f>NPM!G1330</f>
        <v>0.28210969419338866</v>
      </c>
      <c r="J1209" s="25">
        <f>ROA!G1330</f>
        <v>3.838710155650886E-2</v>
      </c>
      <c r="K1209" s="25">
        <f>ROE!G1330</f>
        <v>0.18932293743851533</v>
      </c>
      <c r="L1209" s="25">
        <f>KM!E1330</f>
        <v>0.55000000000000004</v>
      </c>
      <c r="M1209" s="24">
        <f>KI!E1330</f>
        <v>2</v>
      </c>
      <c r="N1209" s="108">
        <f>IO!E1330</f>
        <v>0</v>
      </c>
      <c r="O1209" s="24">
        <f>'BoC Size'!E1330</f>
        <v>4</v>
      </c>
      <c r="P1209" s="24">
        <f>'TMT E DK'!E1330</f>
        <v>0</v>
      </c>
      <c r="Q1209" s="24">
        <f>Data!R1330</f>
        <v>4</v>
      </c>
      <c r="R1209" s="24">
        <f>Data!S1330</f>
        <v>3</v>
      </c>
      <c r="S1209" s="24">
        <f>'TMT E DK'!E1330</f>
        <v>0</v>
      </c>
      <c r="T1209" s="24">
        <f>'TMT E DD'!E1330</f>
        <v>0</v>
      </c>
      <c r="U1209" s="24">
        <f>TA!E1330</f>
        <v>1483962000000</v>
      </c>
      <c r="V1209" s="109">
        <f>PR!F1330</f>
        <v>0.33073896625126037</v>
      </c>
      <c r="W1209" s="109">
        <f>'Z Score'!I1330</f>
        <v>2.874418940646728</v>
      </c>
      <c r="X1209" s="109">
        <f>'Z Score'!L1330</f>
        <v>0.39298504948239915</v>
      </c>
      <c r="Y1209" s="109">
        <f>'Z Score'!O1330</f>
        <v>0.31887307087378247</v>
      </c>
      <c r="Z1209" s="109">
        <f>'Z Score'!R1330</f>
        <v>0.2670436506930251</v>
      </c>
      <c r="AA1209" s="109">
        <f>'Z Score'!S1330</f>
        <v>3.8533207116959343</v>
      </c>
    </row>
    <row r="1210" spans="1:27" ht="15" customHeight="1" x14ac:dyDescent="0.3">
      <c r="A1210" s="22"/>
      <c r="B1210" s="23"/>
      <c r="C1210" s="2"/>
      <c r="D1210" s="23">
        <v>2023</v>
      </c>
      <c r="E1210" s="25">
        <f>'Current Ratio'!G1331</f>
        <v>2.5305997030690972</v>
      </c>
      <c r="F1210" s="25">
        <f>'Cash Ratio'!G1331</f>
        <v>2.4834497529632245E-2</v>
      </c>
      <c r="G1210" s="25">
        <f>DAR!G1331</f>
        <v>0.82687616632588368</v>
      </c>
      <c r="H1210" s="25">
        <f>DER!G1331</f>
        <v>4.7762121989648954</v>
      </c>
      <c r="I1210" s="25">
        <f>NPM!G1331</f>
        <v>0.20638219888000667</v>
      </c>
      <c r="J1210" s="25">
        <f>ROA!G1331</f>
        <v>1.9859014080734306E-2</v>
      </c>
      <c r="K1210" s="25">
        <f>ROE!G1331</f>
        <v>0.11470987939255313</v>
      </c>
      <c r="L1210" s="25">
        <f>KM!E1331</f>
        <v>0.55000000000000004</v>
      </c>
      <c r="M1210" s="24">
        <f>KI!E1331</f>
        <v>3</v>
      </c>
      <c r="N1210" s="108">
        <f>IO!E1331</f>
        <v>0</v>
      </c>
      <c r="O1210" s="24">
        <f>'BoC Size'!E1331</f>
        <v>5</v>
      </c>
      <c r="P1210" s="24">
        <f>'TMT E DK'!E1331</f>
        <v>0</v>
      </c>
      <c r="Q1210" s="24">
        <f>Data!R1331</f>
        <v>5</v>
      </c>
      <c r="R1210" s="24">
        <f>Data!S1331</f>
        <v>3</v>
      </c>
      <c r="S1210" s="24">
        <f>'TMT E DK'!E1331</f>
        <v>0</v>
      </c>
      <c r="T1210" s="24">
        <f>'TMT E DD'!E1331</f>
        <v>0</v>
      </c>
      <c r="U1210" s="24">
        <f>TA!E1331</f>
        <v>2239940000000</v>
      </c>
      <c r="V1210" s="109">
        <f>PR!F1331</f>
        <v>6.7411167512690356E-2</v>
      </c>
      <c r="W1210" s="109">
        <f>'Z Score'!I1331</f>
        <v>2.9468192183719202</v>
      </c>
      <c r="X1210" s="109">
        <f>'Z Score'!L1331</f>
        <v>0.31405556398832107</v>
      </c>
      <c r="Y1210" s="109">
        <f>'Z Score'!O1331</f>
        <v>0.16538843004723341</v>
      </c>
      <c r="Z1210" s="109">
        <f>'Z Score'!R1331</f>
        <v>0.21983947870397316</v>
      </c>
      <c r="AA1210" s="109">
        <f>'Z Score'!S1331</f>
        <v>3.646102691111448</v>
      </c>
    </row>
    <row r="1211" spans="1:27" ht="15" customHeight="1" x14ac:dyDescent="0.3">
      <c r="A1211" s="22"/>
      <c r="B1211" s="23"/>
      <c r="C1211" s="2"/>
      <c r="D1211" s="23">
        <v>2024</v>
      </c>
      <c r="E1211" s="25">
        <f>'Current Ratio'!G1332</f>
        <v>3.4730356381673277</v>
      </c>
      <c r="F1211" s="25">
        <f>'Cash Ratio'!G1332</f>
        <v>1.7513379920861483E-2</v>
      </c>
      <c r="G1211" s="25">
        <f>DAR!G1332</f>
        <v>0.8044024241701444</v>
      </c>
      <c r="H1211" s="25">
        <f>DER!G1332</f>
        <v>4.112537799905402</v>
      </c>
      <c r="I1211" s="25">
        <f>NPM!G1332</f>
        <v>0</v>
      </c>
      <c r="J1211" s="25">
        <f>ROA!G1332</f>
        <v>0</v>
      </c>
      <c r="K1211" s="25">
        <f>ROE!G1332</f>
        <v>0</v>
      </c>
      <c r="L1211" s="25">
        <f>KM!E1332</f>
        <v>0.55000000000000004</v>
      </c>
      <c r="M1211" s="24">
        <f>KI!E1332</f>
        <v>3</v>
      </c>
      <c r="N1211" s="108">
        <f>IO!E1332</f>
        <v>0</v>
      </c>
      <c r="O1211" s="24">
        <f>'BoC Size'!E1332</f>
        <v>5</v>
      </c>
      <c r="P1211" s="24">
        <f>'TMT E DK'!E1332</f>
        <v>0</v>
      </c>
      <c r="Q1211" s="24">
        <f>Data!R1332</f>
        <v>5</v>
      </c>
      <c r="R1211" s="24">
        <f>Data!S1332</f>
        <v>3</v>
      </c>
      <c r="S1211" s="24">
        <f>'TMT E DK'!E1332</f>
        <v>0</v>
      </c>
      <c r="T1211" s="24">
        <f>'TMT E DD'!E1332</f>
        <v>0</v>
      </c>
      <c r="U1211" s="24">
        <f>TA!E1332</f>
        <v>2280698000000</v>
      </c>
      <c r="V1211" s="109">
        <f>PR!F1332</f>
        <v>6.2615699392679677E-2</v>
      </c>
      <c r="W1211" s="109">
        <f>'Z Score'!I1332</f>
        <v>3.3041063744520311</v>
      </c>
      <c r="X1211" s="109">
        <f>'Z Score'!L1332</f>
        <v>0.3917935386447482</v>
      </c>
      <c r="Y1211" s="109">
        <f>'Z Score'!O1332</f>
        <v>0.24363446629058294</v>
      </c>
      <c r="Z1211" s="109">
        <f>'Z Score'!R1332</f>
        <v>0.25531680220037184</v>
      </c>
      <c r="AA1211" s="109">
        <f>'Z Score'!S1332</f>
        <v>4.1948511815877341</v>
      </c>
    </row>
    <row r="1212" spans="1:27" ht="15" customHeight="1" x14ac:dyDescent="0.3">
      <c r="A1212" s="22"/>
      <c r="B1212" s="23">
        <v>122</v>
      </c>
      <c r="C1212" s="2" t="s">
        <v>109</v>
      </c>
      <c r="D1212" s="23">
        <v>2015</v>
      </c>
      <c r="E1212" s="25">
        <f>'Current Ratio'!G1334</f>
        <v>0</v>
      </c>
      <c r="F1212" s="25">
        <f>'Cash Ratio'!G1334</f>
        <v>0</v>
      </c>
      <c r="G1212" s="25">
        <f>DAR!G1334</f>
        <v>0</v>
      </c>
      <c r="H1212" s="25">
        <f>DER!G1334</f>
        <v>0</v>
      </c>
      <c r="I1212" s="25">
        <f>NPM!G1334</f>
        <v>0</v>
      </c>
      <c r="J1212" s="25">
        <f>ROA!G1334</f>
        <v>0</v>
      </c>
      <c r="K1212" s="25">
        <f>ROE!G1334</f>
        <v>0</v>
      </c>
      <c r="L1212" s="25">
        <f>KM!E1334</f>
        <v>0</v>
      </c>
      <c r="M1212" s="24">
        <f>KI!E1334</f>
        <v>0</v>
      </c>
      <c r="N1212" s="108">
        <f>IO!E1334</f>
        <v>0</v>
      </c>
      <c r="O1212" s="24">
        <f>'BoC Size'!E1334</f>
        <v>0</v>
      </c>
      <c r="P1212" s="24">
        <f>'TMT E DK'!E1334</f>
        <v>0</v>
      </c>
      <c r="Q1212" s="24">
        <f>Data!R1334</f>
        <v>0</v>
      </c>
      <c r="R1212" s="24">
        <f>Data!S1334</f>
        <v>0</v>
      </c>
      <c r="S1212" s="24">
        <f>'TMT E DK'!E1334</f>
        <v>0</v>
      </c>
      <c r="T1212" s="24">
        <f>'TMT E DD'!E1334</f>
        <v>0</v>
      </c>
      <c r="U1212" s="24">
        <f>TA!E1334</f>
        <v>0</v>
      </c>
      <c r="V1212" s="109">
        <f>PR!F1334</f>
        <v>0</v>
      </c>
      <c r="W1212" s="109">
        <f>'Z Score'!I1334</f>
        <v>0</v>
      </c>
      <c r="X1212" s="109">
        <f>'Z Score'!L1334</f>
        <v>0</v>
      </c>
      <c r="Y1212" s="109">
        <f>'Z Score'!O1334</f>
        <v>0</v>
      </c>
      <c r="Z1212" s="109">
        <f>'Z Score'!R1334</f>
        <v>0</v>
      </c>
      <c r="AA1212" s="109">
        <f>'Z Score'!S1334</f>
        <v>0</v>
      </c>
    </row>
    <row r="1213" spans="1:27" ht="15" customHeight="1" x14ac:dyDescent="0.3">
      <c r="A1213" s="22"/>
      <c r="B1213" s="23"/>
      <c r="C1213" s="2"/>
      <c r="D1213" s="23">
        <v>2016</v>
      </c>
      <c r="E1213" s="25">
        <f>'Current Ratio'!G1335</f>
        <v>0</v>
      </c>
      <c r="F1213" s="25">
        <f>'Cash Ratio'!G1335</f>
        <v>0</v>
      </c>
      <c r="G1213" s="25">
        <f>DAR!G1335</f>
        <v>0</v>
      </c>
      <c r="H1213" s="25">
        <f>DER!G1335</f>
        <v>0</v>
      </c>
      <c r="I1213" s="25">
        <f>NPM!G1335</f>
        <v>0</v>
      </c>
      <c r="J1213" s="25">
        <f>ROA!G1335</f>
        <v>0</v>
      </c>
      <c r="K1213" s="25">
        <f>ROE!G1335</f>
        <v>0</v>
      </c>
      <c r="L1213" s="25">
        <f>KM!E1335</f>
        <v>0</v>
      </c>
      <c r="M1213" s="24">
        <f>KI!E1335</f>
        <v>0</v>
      </c>
      <c r="N1213" s="108">
        <f>IO!E1335</f>
        <v>0</v>
      </c>
      <c r="O1213" s="24">
        <f>'BoC Size'!E1335</f>
        <v>0</v>
      </c>
      <c r="P1213" s="24">
        <f>'TMT E DK'!E1335</f>
        <v>0</v>
      </c>
      <c r="Q1213" s="24">
        <f>Data!R1335</f>
        <v>0</v>
      </c>
      <c r="R1213" s="24">
        <f>Data!S1335</f>
        <v>0</v>
      </c>
      <c r="S1213" s="24">
        <f>'TMT E DK'!E1335</f>
        <v>0</v>
      </c>
      <c r="T1213" s="24">
        <f>'TMT E DD'!E1335</f>
        <v>0</v>
      </c>
      <c r="U1213" s="24">
        <f>TA!E1335</f>
        <v>0</v>
      </c>
      <c r="V1213" s="109">
        <f>PR!F1335</f>
        <v>0</v>
      </c>
      <c r="W1213" s="109">
        <f>'Z Score'!I1335</f>
        <v>0</v>
      </c>
      <c r="X1213" s="109">
        <f>'Z Score'!L1335</f>
        <v>0</v>
      </c>
      <c r="Y1213" s="109">
        <f>'Z Score'!O1335</f>
        <v>0</v>
      </c>
      <c r="Z1213" s="109">
        <f>'Z Score'!R1335</f>
        <v>0</v>
      </c>
      <c r="AA1213" s="109">
        <f>'Z Score'!S1335</f>
        <v>0</v>
      </c>
    </row>
    <row r="1214" spans="1:27" ht="15" customHeight="1" x14ac:dyDescent="0.3">
      <c r="A1214" s="22"/>
      <c r="B1214" s="23"/>
      <c r="C1214" s="2"/>
      <c r="D1214" s="23">
        <v>2017</v>
      </c>
      <c r="E1214" s="25">
        <f>'Current Ratio'!G1336</f>
        <v>0</v>
      </c>
      <c r="F1214" s="25">
        <f>'Cash Ratio'!G1336</f>
        <v>0</v>
      </c>
      <c r="G1214" s="25">
        <f>DAR!G1336</f>
        <v>0</v>
      </c>
      <c r="H1214" s="25">
        <f>DER!G1336</f>
        <v>0</v>
      </c>
      <c r="I1214" s="25">
        <f>NPM!G1336</f>
        <v>0</v>
      </c>
      <c r="J1214" s="25">
        <f>ROA!G1336</f>
        <v>0</v>
      </c>
      <c r="K1214" s="25">
        <f>ROE!G1336</f>
        <v>0</v>
      </c>
      <c r="L1214" s="25">
        <f>KM!E1336</f>
        <v>0</v>
      </c>
      <c r="M1214" s="24">
        <f>KI!E1336</f>
        <v>0</v>
      </c>
      <c r="N1214" s="108">
        <f>IO!E1336</f>
        <v>0</v>
      </c>
      <c r="O1214" s="24">
        <f>'BoC Size'!E1336</f>
        <v>0</v>
      </c>
      <c r="P1214" s="24">
        <f>'TMT E DK'!E1336</f>
        <v>0</v>
      </c>
      <c r="Q1214" s="24">
        <f>Data!R1336</f>
        <v>0</v>
      </c>
      <c r="R1214" s="24">
        <f>Data!S1336</f>
        <v>0</v>
      </c>
      <c r="S1214" s="24">
        <f>'TMT E DK'!E1336</f>
        <v>0</v>
      </c>
      <c r="T1214" s="24">
        <f>'TMT E DD'!E1336</f>
        <v>0</v>
      </c>
      <c r="U1214" s="24">
        <f>TA!E1336</f>
        <v>0</v>
      </c>
      <c r="V1214" s="109">
        <f>PR!F1336</f>
        <v>0</v>
      </c>
      <c r="W1214" s="109">
        <f>'Z Score'!I1336</f>
        <v>0</v>
      </c>
      <c r="X1214" s="109">
        <f>'Z Score'!L1336</f>
        <v>0</v>
      </c>
      <c r="Y1214" s="109">
        <f>'Z Score'!O1336</f>
        <v>0</v>
      </c>
      <c r="Z1214" s="109">
        <f>'Z Score'!R1336</f>
        <v>0</v>
      </c>
      <c r="AA1214" s="109">
        <f>'Z Score'!S1336</f>
        <v>0</v>
      </c>
    </row>
    <row r="1215" spans="1:27" ht="15" customHeight="1" x14ac:dyDescent="0.3">
      <c r="A1215" s="22"/>
      <c r="B1215" s="23"/>
      <c r="C1215" s="2"/>
      <c r="D1215" s="23">
        <v>2018</v>
      </c>
      <c r="E1215" s="25">
        <f>'Current Ratio'!G1337</f>
        <v>0</v>
      </c>
      <c r="F1215" s="25">
        <f>'Cash Ratio'!G1337</f>
        <v>0</v>
      </c>
      <c r="G1215" s="25">
        <f>DAR!G1337</f>
        <v>0</v>
      </c>
      <c r="H1215" s="25">
        <f>DER!G1337</f>
        <v>0</v>
      </c>
      <c r="I1215" s="25">
        <f>NPM!G1337</f>
        <v>0</v>
      </c>
      <c r="J1215" s="25">
        <f>ROA!G1337</f>
        <v>0</v>
      </c>
      <c r="K1215" s="25">
        <f>ROE!G1337</f>
        <v>0</v>
      </c>
      <c r="L1215" s="25">
        <f>KM!E1337</f>
        <v>0</v>
      </c>
      <c r="M1215" s="24">
        <f>KI!E1337</f>
        <v>0</v>
      </c>
      <c r="N1215" s="108">
        <f>IO!E1337</f>
        <v>0</v>
      </c>
      <c r="O1215" s="24">
        <f>'BoC Size'!E1337</f>
        <v>0</v>
      </c>
      <c r="P1215" s="24">
        <f>'TMT E DK'!E1337</f>
        <v>0</v>
      </c>
      <c r="Q1215" s="24">
        <f>Data!R1337</f>
        <v>0</v>
      </c>
      <c r="R1215" s="24">
        <f>Data!S1337</f>
        <v>0</v>
      </c>
      <c r="S1215" s="24">
        <f>'TMT E DK'!E1337</f>
        <v>0</v>
      </c>
      <c r="T1215" s="24">
        <f>'TMT E DD'!E1337</f>
        <v>0</v>
      </c>
      <c r="U1215" s="24">
        <f>TA!E1337</f>
        <v>0</v>
      </c>
      <c r="V1215" s="109">
        <f>PR!F1337</f>
        <v>0</v>
      </c>
      <c r="W1215" s="109">
        <f>'Z Score'!I1337</f>
        <v>0</v>
      </c>
      <c r="X1215" s="109">
        <f>'Z Score'!L1337</f>
        <v>0</v>
      </c>
      <c r="Y1215" s="109">
        <f>'Z Score'!O1337</f>
        <v>0</v>
      </c>
      <c r="Z1215" s="109">
        <f>'Z Score'!R1337</f>
        <v>0</v>
      </c>
      <c r="AA1215" s="109">
        <f>'Z Score'!S1337</f>
        <v>0</v>
      </c>
    </row>
    <row r="1216" spans="1:27" ht="15" customHeight="1" x14ac:dyDescent="0.3">
      <c r="A1216" s="22"/>
      <c r="B1216" s="23"/>
      <c r="C1216" s="2"/>
      <c r="D1216" s="23">
        <v>2019</v>
      </c>
      <c r="E1216" s="25">
        <f>'Current Ratio'!G1338</f>
        <v>0</v>
      </c>
      <c r="F1216" s="25">
        <f>'Cash Ratio'!G1338</f>
        <v>0</v>
      </c>
      <c r="G1216" s="25">
        <f>DAR!G1338</f>
        <v>0</v>
      </c>
      <c r="H1216" s="25">
        <f>DER!G1338</f>
        <v>0</v>
      </c>
      <c r="I1216" s="25">
        <f>NPM!G1338</f>
        <v>0</v>
      </c>
      <c r="J1216" s="25">
        <f>ROA!G1338</f>
        <v>0</v>
      </c>
      <c r="K1216" s="25">
        <f>ROE!G1338</f>
        <v>0</v>
      </c>
      <c r="L1216" s="25">
        <f>KM!E1338</f>
        <v>0</v>
      </c>
      <c r="M1216" s="24">
        <f>KI!E1338</f>
        <v>0</v>
      </c>
      <c r="N1216" s="108">
        <f>IO!E1338</f>
        <v>0</v>
      </c>
      <c r="O1216" s="24">
        <f>'BoC Size'!E1338</f>
        <v>0</v>
      </c>
      <c r="P1216" s="24">
        <f>'TMT E DK'!E1338</f>
        <v>0</v>
      </c>
      <c r="Q1216" s="24">
        <f>Data!R1338</f>
        <v>0</v>
      </c>
      <c r="R1216" s="24">
        <f>Data!S1338</f>
        <v>0</v>
      </c>
      <c r="S1216" s="24">
        <f>'TMT E DK'!E1338</f>
        <v>0</v>
      </c>
      <c r="T1216" s="24">
        <f>'TMT E DD'!E1338</f>
        <v>0</v>
      </c>
      <c r="U1216" s="24">
        <f>TA!E1338</f>
        <v>0</v>
      </c>
      <c r="V1216" s="109">
        <f>PR!F1338</f>
        <v>0</v>
      </c>
      <c r="W1216" s="109">
        <f>'Z Score'!I1338</f>
        <v>0</v>
      </c>
      <c r="X1216" s="109">
        <f>'Z Score'!L1338</f>
        <v>0</v>
      </c>
      <c r="Y1216" s="109">
        <f>'Z Score'!O1338</f>
        <v>0</v>
      </c>
      <c r="Z1216" s="109">
        <f>'Z Score'!R1338</f>
        <v>0</v>
      </c>
      <c r="AA1216" s="109">
        <f>'Z Score'!S1338</f>
        <v>0</v>
      </c>
    </row>
    <row r="1217" spans="1:27" ht="15" customHeight="1" x14ac:dyDescent="0.3">
      <c r="A1217" s="22"/>
      <c r="B1217" s="23"/>
      <c r="C1217" s="2"/>
      <c r="D1217" s="23">
        <v>2020</v>
      </c>
      <c r="E1217" s="25">
        <f>'Current Ratio'!G1339</f>
        <v>0</v>
      </c>
      <c r="F1217" s="25">
        <f>'Cash Ratio'!G1339</f>
        <v>0</v>
      </c>
      <c r="G1217" s="25">
        <f>DAR!G1339</f>
        <v>0</v>
      </c>
      <c r="H1217" s="25">
        <f>DER!G1339</f>
        <v>0</v>
      </c>
      <c r="I1217" s="25">
        <f>NPM!G1339</f>
        <v>0</v>
      </c>
      <c r="J1217" s="25">
        <f>ROA!G1339</f>
        <v>0</v>
      </c>
      <c r="K1217" s="25">
        <f>ROE!G1339</f>
        <v>0</v>
      </c>
      <c r="L1217" s="25">
        <f>KM!E1339</f>
        <v>0</v>
      </c>
      <c r="M1217" s="24">
        <f>KI!E1339</f>
        <v>0</v>
      </c>
      <c r="N1217" s="108">
        <f>IO!E1339</f>
        <v>0</v>
      </c>
      <c r="O1217" s="24">
        <f>'BoC Size'!E1339</f>
        <v>0</v>
      </c>
      <c r="P1217" s="24">
        <f>'TMT E DK'!E1339</f>
        <v>0</v>
      </c>
      <c r="Q1217" s="24">
        <f>Data!R1339</f>
        <v>0</v>
      </c>
      <c r="R1217" s="24">
        <f>Data!S1339</f>
        <v>0</v>
      </c>
      <c r="S1217" s="24">
        <f>'TMT E DK'!E1339</f>
        <v>0</v>
      </c>
      <c r="T1217" s="24">
        <f>'TMT E DD'!E1339</f>
        <v>0</v>
      </c>
      <c r="U1217" s="24">
        <f>TA!E1339</f>
        <v>0</v>
      </c>
      <c r="V1217" s="109">
        <f>PR!F1339</f>
        <v>0</v>
      </c>
      <c r="W1217" s="109">
        <f>'Z Score'!I1339</f>
        <v>0</v>
      </c>
      <c r="X1217" s="109">
        <f>'Z Score'!L1339</f>
        <v>0</v>
      </c>
      <c r="Y1217" s="109">
        <f>'Z Score'!O1339</f>
        <v>0</v>
      </c>
      <c r="Z1217" s="109">
        <f>'Z Score'!R1339</f>
        <v>0</v>
      </c>
      <c r="AA1217" s="109">
        <f>'Z Score'!S1339</f>
        <v>0</v>
      </c>
    </row>
    <row r="1218" spans="1:27" ht="15" customHeight="1" x14ac:dyDescent="0.3">
      <c r="A1218" s="22"/>
      <c r="B1218" s="23"/>
      <c r="C1218" s="2"/>
      <c r="D1218" s="23">
        <v>2021</v>
      </c>
      <c r="E1218" s="25">
        <f>'Current Ratio'!G1340</f>
        <v>0</v>
      </c>
      <c r="F1218" s="25">
        <f>'Cash Ratio'!G1340</f>
        <v>0</v>
      </c>
      <c r="G1218" s="25">
        <f>DAR!G1340</f>
        <v>0</v>
      </c>
      <c r="H1218" s="25">
        <f>DER!G1340</f>
        <v>0</v>
      </c>
      <c r="I1218" s="25">
        <f>NPM!G1340</f>
        <v>0</v>
      </c>
      <c r="J1218" s="25">
        <f>ROA!G1340</f>
        <v>0</v>
      </c>
      <c r="K1218" s="25">
        <f>ROE!G1340</f>
        <v>0</v>
      </c>
      <c r="L1218" s="25">
        <f>KM!E1340</f>
        <v>0</v>
      </c>
      <c r="M1218" s="24">
        <f>KI!E1340</f>
        <v>0</v>
      </c>
      <c r="N1218" s="108">
        <f>IO!E1340</f>
        <v>0</v>
      </c>
      <c r="O1218" s="24">
        <f>'BoC Size'!E1340</f>
        <v>0</v>
      </c>
      <c r="P1218" s="24">
        <f>'TMT E DK'!E1340</f>
        <v>0</v>
      </c>
      <c r="Q1218" s="24">
        <f>Data!R1340</f>
        <v>0</v>
      </c>
      <c r="R1218" s="24">
        <f>Data!S1340</f>
        <v>0</v>
      </c>
      <c r="S1218" s="24">
        <f>'TMT E DK'!E1340</f>
        <v>0</v>
      </c>
      <c r="T1218" s="24">
        <f>'TMT E DD'!E1340</f>
        <v>0</v>
      </c>
      <c r="U1218" s="24">
        <f>TA!E1340</f>
        <v>0</v>
      </c>
      <c r="V1218" s="109">
        <f>PR!F1340</f>
        <v>0</v>
      </c>
      <c r="W1218" s="109">
        <f>'Z Score'!I1340</f>
        <v>0</v>
      </c>
      <c r="X1218" s="109">
        <f>'Z Score'!L1340</f>
        <v>0</v>
      </c>
      <c r="Y1218" s="109">
        <f>'Z Score'!O1340</f>
        <v>0</v>
      </c>
      <c r="Z1218" s="109">
        <f>'Z Score'!R1340</f>
        <v>0</v>
      </c>
      <c r="AA1218" s="109">
        <f>'Z Score'!S1340</f>
        <v>0</v>
      </c>
    </row>
    <row r="1219" spans="1:27" ht="15" customHeight="1" x14ac:dyDescent="0.3">
      <c r="A1219" s="22"/>
      <c r="B1219" s="23"/>
      <c r="C1219" s="2"/>
      <c r="D1219" s="23">
        <v>2022</v>
      </c>
      <c r="E1219" s="25">
        <f>'Current Ratio'!G1341</f>
        <v>0</v>
      </c>
      <c r="F1219" s="25">
        <f>'Cash Ratio'!G1341</f>
        <v>0</v>
      </c>
      <c r="G1219" s="25">
        <f>DAR!G1341</f>
        <v>0</v>
      </c>
      <c r="H1219" s="25">
        <f>DER!G1341</f>
        <v>0</v>
      </c>
      <c r="I1219" s="25">
        <f>NPM!G1341</f>
        <v>0</v>
      </c>
      <c r="J1219" s="25">
        <f>ROA!G1341</f>
        <v>0</v>
      </c>
      <c r="K1219" s="25">
        <f>ROE!G1341</f>
        <v>0</v>
      </c>
      <c r="L1219" s="25">
        <f>KM!E1341</f>
        <v>0</v>
      </c>
      <c r="M1219" s="24">
        <f>KI!E1341</f>
        <v>0</v>
      </c>
      <c r="N1219" s="108">
        <f>IO!E1341</f>
        <v>0</v>
      </c>
      <c r="O1219" s="24">
        <f>'BoC Size'!E1341</f>
        <v>0</v>
      </c>
      <c r="P1219" s="24">
        <f>'TMT E DK'!E1341</f>
        <v>0</v>
      </c>
      <c r="Q1219" s="24">
        <f>Data!R1341</f>
        <v>0</v>
      </c>
      <c r="R1219" s="24">
        <f>Data!S1341</f>
        <v>0</v>
      </c>
      <c r="S1219" s="24">
        <f>'TMT E DK'!E1341</f>
        <v>0</v>
      </c>
      <c r="T1219" s="24">
        <f>'TMT E DD'!E1341</f>
        <v>0</v>
      </c>
      <c r="U1219" s="24">
        <f>TA!E1341</f>
        <v>0</v>
      </c>
      <c r="V1219" s="109">
        <f>PR!F1341</f>
        <v>0</v>
      </c>
      <c r="W1219" s="109">
        <f>'Z Score'!I1341</f>
        <v>0</v>
      </c>
      <c r="X1219" s="109">
        <f>'Z Score'!L1341</f>
        <v>0</v>
      </c>
      <c r="Y1219" s="109">
        <f>'Z Score'!O1341</f>
        <v>0</v>
      </c>
      <c r="Z1219" s="109">
        <f>'Z Score'!R1341</f>
        <v>0</v>
      </c>
      <c r="AA1219" s="109">
        <f>'Z Score'!S1341</f>
        <v>0</v>
      </c>
    </row>
    <row r="1220" spans="1:27" ht="15" customHeight="1" x14ac:dyDescent="0.3">
      <c r="A1220" s="22"/>
      <c r="B1220" s="23"/>
      <c r="C1220" s="2"/>
      <c r="D1220" s="23">
        <v>2023</v>
      </c>
      <c r="E1220" s="25">
        <f>'Current Ratio'!G1342</f>
        <v>0</v>
      </c>
      <c r="F1220" s="25">
        <f>'Cash Ratio'!G1342</f>
        <v>0</v>
      </c>
      <c r="G1220" s="25">
        <f>DAR!G1342</f>
        <v>0</v>
      </c>
      <c r="H1220" s="25">
        <f>DER!G1342</f>
        <v>0</v>
      </c>
      <c r="I1220" s="25">
        <f>NPM!G1342</f>
        <v>0</v>
      </c>
      <c r="J1220" s="25">
        <f>ROA!G1342</f>
        <v>0</v>
      </c>
      <c r="K1220" s="25">
        <f>ROE!G1342</f>
        <v>0</v>
      </c>
      <c r="L1220" s="25">
        <f>KM!E1342</f>
        <v>0</v>
      </c>
      <c r="M1220" s="24">
        <f>KI!E1342</f>
        <v>0</v>
      </c>
      <c r="N1220" s="108">
        <f>IO!E1342</f>
        <v>0</v>
      </c>
      <c r="O1220" s="24">
        <f>'BoC Size'!E1342</f>
        <v>0</v>
      </c>
      <c r="P1220" s="24">
        <f>'TMT E DK'!E1342</f>
        <v>0</v>
      </c>
      <c r="Q1220" s="24">
        <f>Data!R1342</f>
        <v>0</v>
      </c>
      <c r="R1220" s="24">
        <f>Data!S1342</f>
        <v>0</v>
      </c>
      <c r="S1220" s="24">
        <f>'TMT E DK'!E1342</f>
        <v>0</v>
      </c>
      <c r="T1220" s="24">
        <f>'TMT E DD'!E1342</f>
        <v>0</v>
      </c>
      <c r="U1220" s="24">
        <f>TA!E1342</f>
        <v>0</v>
      </c>
      <c r="V1220" s="109">
        <f>PR!F1342</f>
        <v>0</v>
      </c>
      <c r="W1220" s="109">
        <f>'Z Score'!I1342</f>
        <v>0</v>
      </c>
      <c r="X1220" s="109">
        <f>'Z Score'!L1342</f>
        <v>0</v>
      </c>
      <c r="Y1220" s="109">
        <f>'Z Score'!O1342</f>
        <v>0</v>
      </c>
      <c r="Z1220" s="109">
        <f>'Z Score'!R1342</f>
        <v>0</v>
      </c>
      <c r="AA1220" s="109">
        <f>'Z Score'!S1342</f>
        <v>0</v>
      </c>
    </row>
    <row r="1221" spans="1:27" ht="15" customHeight="1" x14ac:dyDescent="0.3">
      <c r="A1221" s="22"/>
      <c r="B1221" s="23"/>
      <c r="C1221" s="2"/>
      <c r="D1221" s="23">
        <v>2024</v>
      </c>
      <c r="E1221" s="25">
        <f>'Current Ratio'!G1343</f>
        <v>0</v>
      </c>
      <c r="F1221" s="25">
        <f>'Cash Ratio'!G1343</f>
        <v>0</v>
      </c>
      <c r="G1221" s="25">
        <f>DAR!G1343</f>
        <v>0</v>
      </c>
      <c r="H1221" s="25">
        <f>DER!G1343</f>
        <v>0</v>
      </c>
      <c r="I1221" s="25">
        <f>NPM!G1343</f>
        <v>0</v>
      </c>
      <c r="J1221" s="25">
        <f>ROA!G1343</f>
        <v>0</v>
      </c>
      <c r="K1221" s="25">
        <f>ROE!G1343</f>
        <v>0</v>
      </c>
      <c r="L1221" s="25">
        <f>KM!E1343</f>
        <v>0</v>
      </c>
      <c r="M1221" s="24">
        <f>KI!E1343</f>
        <v>0</v>
      </c>
      <c r="N1221" s="108">
        <f>IO!E1343</f>
        <v>0</v>
      </c>
      <c r="O1221" s="24">
        <f>'BoC Size'!E1343</f>
        <v>0</v>
      </c>
      <c r="P1221" s="24">
        <f>'TMT E DK'!E1343</f>
        <v>0</v>
      </c>
      <c r="Q1221" s="24">
        <f>Data!R1343</f>
        <v>0</v>
      </c>
      <c r="R1221" s="24">
        <f>Data!S1343</f>
        <v>0</v>
      </c>
      <c r="S1221" s="24">
        <f>'TMT E DK'!E1343</f>
        <v>0</v>
      </c>
      <c r="T1221" s="24">
        <f>'TMT E DD'!E1343</f>
        <v>0</v>
      </c>
      <c r="U1221" s="24">
        <f>TA!E1343</f>
        <v>0</v>
      </c>
      <c r="V1221" s="109">
        <f>PR!F1343</f>
        <v>0</v>
      </c>
      <c r="W1221" s="109">
        <f>'Z Score'!I1343</f>
        <v>0</v>
      </c>
      <c r="X1221" s="109">
        <f>'Z Score'!L1343</f>
        <v>0</v>
      </c>
      <c r="Y1221" s="109">
        <f>'Z Score'!O1343</f>
        <v>0</v>
      </c>
      <c r="Z1221" s="109">
        <f>'Z Score'!R1343</f>
        <v>0</v>
      </c>
      <c r="AA1221" s="109">
        <f>'Z Score'!S1343</f>
        <v>0</v>
      </c>
    </row>
    <row r="1222" spans="1:27" ht="15" customHeight="1" x14ac:dyDescent="0.3">
      <c r="A1222" s="22"/>
      <c r="B1222" s="23">
        <v>123</v>
      </c>
      <c r="C1222" s="2" t="s">
        <v>78</v>
      </c>
      <c r="D1222" s="23">
        <v>2015</v>
      </c>
      <c r="E1222" s="25">
        <f>'Current Ratio'!G1345</f>
        <v>0</v>
      </c>
      <c r="F1222" s="25">
        <f>'Cash Ratio'!G1345</f>
        <v>0</v>
      </c>
      <c r="G1222" s="25">
        <f>DAR!G1345</f>
        <v>0</v>
      </c>
      <c r="H1222" s="25">
        <f>DER!G1345</f>
        <v>0</v>
      </c>
      <c r="I1222" s="25">
        <f>NPM!G1345</f>
        <v>0</v>
      </c>
      <c r="J1222" s="25">
        <f>ROA!G1345</f>
        <v>0</v>
      </c>
      <c r="K1222" s="25">
        <f>ROE!G1345</f>
        <v>0</v>
      </c>
      <c r="L1222" s="25">
        <f>KM!E1345</f>
        <v>0</v>
      </c>
      <c r="M1222" s="24">
        <f>KI!E1345</f>
        <v>0</v>
      </c>
      <c r="N1222" s="108">
        <f>IO!E1345</f>
        <v>0</v>
      </c>
      <c r="O1222" s="24">
        <f>'BoC Size'!E1345</f>
        <v>0</v>
      </c>
      <c r="P1222" s="24">
        <f>'TMT E DK'!E1345</f>
        <v>0</v>
      </c>
      <c r="Q1222" s="24">
        <f>Data!R1345</f>
        <v>0</v>
      </c>
      <c r="R1222" s="24">
        <f>Data!S1345</f>
        <v>0</v>
      </c>
      <c r="S1222" s="24">
        <f>'TMT E DK'!E1345</f>
        <v>0</v>
      </c>
      <c r="T1222" s="24">
        <f>'TMT E DD'!E1345</f>
        <v>0</v>
      </c>
      <c r="U1222" s="24">
        <f>TA!E1345</f>
        <v>0</v>
      </c>
      <c r="V1222" s="109">
        <f>PR!F1345</f>
        <v>0</v>
      </c>
      <c r="W1222" s="109">
        <f>'Z Score'!I1345</f>
        <v>0</v>
      </c>
      <c r="X1222" s="109">
        <f>'Z Score'!L1345</f>
        <v>0</v>
      </c>
      <c r="Y1222" s="109">
        <f>'Z Score'!O1345</f>
        <v>0</v>
      </c>
      <c r="Z1222" s="109">
        <f>'Z Score'!R1345</f>
        <v>0</v>
      </c>
      <c r="AA1222" s="109">
        <f>'Z Score'!S1345</f>
        <v>0</v>
      </c>
    </row>
    <row r="1223" spans="1:27" ht="15" customHeight="1" x14ac:dyDescent="0.3">
      <c r="A1223" s="22"/>
      <c r="B1223" s="23"/>
      <c r="C1223" s="2"/>
      <c r="D1223" s="23">
        <v>2016</v>
      </c>
      <c r="E1223" s="25">
        <f>'Current Ratio'!G1346</f>
        <v>0</v>
      </c>
      <c r="F1223" s="25">
        <f>'Cash Ratio'!G1346</f>
        <v>0</v>
      </c>
      <c r="G1223" s="25">
        <f>DAR!G1346</f>
        <v>0</v>
      </c>
      <c r="H1223" s="25">
        <f>DER!G1346</f>
        <v>0</v>
      </c>
      <c r="I1223" s="25">
        <f>NPM!G1346</f>
        <v>0</v>
      </c>
      <c r="J1223" s="25">
        <f>ROA!G1346</f>
        <v>0</v>
      </c>
      <c r="K1223" s="25">
        <f>ROE!G1346</f>
        <v>0</v>
      </c>
      <c r="L1223" s="25">
        <f>KM!E1346</f>
        <v>0</v>
      </c>
      <c r="M1223" s="24">
        <f>KI!E1346</f>
        <v>0</v>
      </c>
      <c r="N1223" s="108">
        <f>IO!E1346</f>
        <v>0</v>
      </c>
      <c r="O1223" s="24">
        <f>'BoC Size'!E1346</f>
        <v>0</v>
      </c>
      <c r="P1223" s="24">
        <f>'TMT E DK'!E1346</f>
        <v>0</v>
      </c>
      <c r="Q1223" s="24">
        <f>Data!R1346</f>
        <v>0</v>
      </c>
      <c r="R1223" s="24">
        <f>Data!S1346</f>
        <v>0</v>
      </c>
      <c r="S1223" s="24">
        <f>'TMT E DK'!E1346</f>
        <v>0</v>
      </c>
      <c r="T1223" s="24">
        <f>'TMT E DD'!E1346</f>
        <v>0</v>
      </c>
      <c r="U1223" s="24">
        <f>TA!E1346</f>
        <v>0</v>
      </c>
      <c r="V1223" s="109">
        <f>PR!F1346</f>
        <v>0</v>
      </c>
      <c r="W1223" s="109">
        <f>'Z Score'!I1346</f>
        <v>0</v>
      </c>
      <c r="X1223" s="109">
        <f>'Z Score'!L1346</f>
        <v>0</v>
      </c>
      <c r="Y1223" s="109">
        <f>'Z Score'!O1346</f>
        <v>0</v>
      </c>
      <c r="Z1223" s="109">
        <f>'Z Score'!R1346</f>
        <v>0</v>
      </c>
      <c r="AA1223" s="109">
        <f>'Z Score'!S1346</f>
        <v>0</v>
      </c>
    </row>
    <row r="1224" spans="1:27" ht="15" customHeight="1" x14ac:dyDescent="0.3">
      <c r="A1224" s="22"/>
      <c r="B1224" s="23"/>
      <c r="C1224" s="2"/>
      <c r="D1224" s="23">
        <v>2017</v>
      </c>
      <c r="E1224" s="25">
        <f>'Current Ratio'!G1347</f>
        <v>0</v>
      </c>
      <c r="F1224" s="25">
        <f>'Cash Ratio'!G1347</f>
        <v>0</v>
      </c>
      <c r="G1224" s="25">
        <f>DAR!G1347</f>
        <v>0</v>
      </c>
      <c r="H1224" s="25">
        <f>DER!G1347</f>
        <v>0</v>
      </c>
      <c r="I1224" s="25">
        <f>NPM!G1347</f>
        <v>0</v>
      </c>
      <c r="J1224" s="25">
        <f>ROA!G1347</f>
        <v>0</v>
      </c>
      <c r="K1224" s="25">
        <f>ROE!G1347</f>
        <v>0</v>
      </c>
      <c r="L1224" s="25">
        <f>KM!E1347</f>
        <v>0</v>
      </c>
      <c r="M1224" s="24">
        <f>KI!E1347</f>
        <v>0</v>
      </c>
      <c r="N1224" s="108">
        <f>IO!E1347</f>
        <v>0</v>
      </c>
      <c r="O1224" s="24">
        <f>'BoC Size'!E1347</f>
        <v>0</v>
      </c>
      <c r="P1224" s="24">
        <f>'TMT E DK'!E1347</f>
        <v>0</v>
      </c>
      <c r="Q1224" s="24">
        <f>Data!R1347</f>
        <v>0</v>
      </c>
      <c r="R1224" s="24">
        <f>Data!S1347</f>
        <v>0</v>
      </c>
      <c r="S1224" s="24">
        <f>'TMT E DK'!E1347</f>
        <v>0</v>
      </c>
      <c r="T1224" s="24">
        <f>'TMT E DD'!E1347</f>
        <v>0</v>
      </c>
      <c r="U1224" s="24">
        <f>TA!E1347</f>
        <v>0</v>
      </c>
      <c r="V1224" s="109">
        <f>PR!F1347</f>
        <v>0</v>
      </c>
      <c r="W1224" s="109">
        <f>'Z Score'!I1347</f>
        <v>0</v>
      </c>
      <c r="X1224" s="109">
        <f>'Z Score'!L1347</f>
        <v>0</v>
      </c>
      <c r="Y1224" s="109">
        <f>'Z Score'!O1347</f>
        <v>0</v>
      </c>
      <c r="Z1224" s="109">
        <f>'Z Score'!R1347</f>
        <v>0</v>
      </c>
      <c r="AA1224" s="109">
        <f>'Z Score'!S1347</f>
        <v>0</v>
      </c>
    </row>
    <row r="1225" spans="1:27" ht="15" customHeight="1" x14ac:dyDescent="0.3">
      <c r="A1225" s="22"/>
      <c r="B1225" s="23"/>
      <c r="C1225" s="2"/>
      <c r="D1225" s="23">
        <v>2018</v>
      </c>
      <c r="E1225" s="25">
        <f>'Current Ratio'!G1348</f>
        <v>0</v>
      </c>
      <c r="F1225" s="25">
        <f>'Cash Ratio'!G1348</f>
        <v>0</v>
      </c>
      <c r="G1225" s="25">
        <f>DAR!G1348</f>
        <v>0</v>
      </c>
      <c r="H1225" s="25">
        <f>DER!G1348</f>
        <v>0</v>
      </c>
      <c r="I1225" s="25">
        <f>NPM!G1348</f>
        <v>0</v>
      </c>
      <c r="J1225" s="25">
        <f>ROA!G1348</f>
        <v>0</v>
      </c>
      <c r="K1225" s="25">
        <f>ROE!G1348</f>
        <v>0</v>
      </c>
      <c r="L1225" s="25">
        <f>KM!E1348</f>
        <v>0</v>
      </c>
      <c r="M1225" s="24">
        <f>KI!E1348</f>
        <v>0</v>
      </c>
      <c r="N1225" s="108">
        <f>IO!E1348</f>
        <v>0</v>
      </c>
      <c r="O1225" s="24">
        <f>'BoC Size'!E1348</f>
        <v>0</v>
      </c>
      <c r="P1225" s="24">
        <f>'TMT E DK'!E1348</f>
        <v>0</v>
      </c>
      <c r="Q1225" s="24">
        <f>Data!R1348</f>
        <v>0</v>
      </c>
      <c r="R1225" s="24">
        <f>Data!S1348</f>
        <v>0</v>
      </c>
      <c r="S1225" s="24">
        <f>'TMT E DK'!E1348</f>
        <v>0</v>
      </c>
      <c r="T1225" s="24">
        <f>'TMT E DD'!E1348</f>
        <v>0</v>
      </c>
      <c r="U1225" s="24">
        <f>TA!E1348</f>
        <v>0</v>
      </c>
      <c r="V1225" s="109">
        <f>PR!F1348</f>
        <v>0</v>
      </c>
      <c r="W1225" s="109">
        <f>'Z Score'!I1348</f>
        <v>0</v>
      </c>
      <c r="X1225" s="109">
        <f>'Z Score'!L1348</f>
        <v>0</v>
      </c>
      <c r="Y1225" s="109">
        <f>'Z Score'!O1348</f>
        <v>0</v>
      </c>
      <c r="Z1225" s="109">
        <f>'Z Score'!R1348</f>
        <v>0</v>
      </c>
      <c r="AA1225" s="109">
        <f>'Z Score'!S1348</f>
        <v>0</v>
      </c>
    </row>
    <row r="1226" spans="1:27" ht="15" customHeight="1" x14ac:dyDescent="0.3">
      <c r="A1226" s="22"/>
      <c r="B1226" s="23"/>
      <c r="C1226" s="2"/>
      <c r="D1226" s="23">
        <v>2019</v>
      </c>
      <c r="E1226" s="25">
        <f>'Current Ratio'!G1349</f>
        <v>2.9680396974971286</v>
      </c>
      <c r="F1226" s="25">
        <f>'Cash Ratio'!G1349</f>
        <v>3.0722721726933036E-2</v>
      </c>
      <c r="G1226" s="25">
        <f>DAR!G1349</f>
        <v>0.67446487180372894</v>
      </c>
      <c r="H1226" s="25">
        <f>DER!G1349</f>
        <v>2.0718651026720587</v>
      </c>
      <c r="I1226" s="25">
        <f>NPM!G1349</f>
        <v>9.9374065030457953E-3</v>
      </c>
      <c r="J1226" s="25">
        <f>ROA!G1349</f>
        <v>1.4708791330728802E-3</v>
      </c>
      <c r="K1226" s="25">
        <f>ROE!G1349</f>
        <v>4.5183422791351116E-3</v>
      </c>
      <c r="L1226" s="25">
        <f>KM!E1349</f>
        <v>0.99990000000000001</v>
      </c>
      <c r="M1226" s="24">
        <f>KI!E1349</f>
        <v>2</v>
      </c>
      <c r="N1226" s="108">
        <f>IO!E1349</f>
        <v>0</v>
      </c>
      <c r="O1226" s="24">
        <f>'BoC Size'!E1349</f>
        <v>3</v>
      </c>
      <c r="P1226" s="24">
        <f>'TMT E DK'!E1349</f>
        <v>0</v>
      </c>
      <c r="Q1226" s="24">
        <f>Data!R1349</f>
        <v>3</v>
      </c>
      <c r="R1226" s="24">
        <f>Data!S1349</f>
        <v>2</v>
      </c>
      <c r="S1226" s="24">
        <f>'TMT E DK'!E1349</f>
        <v>0</v>
      </c>
      <c r="T1226" s="24">
        <f>'TMT E DD'!E1349</f>
        <v>0</v>
      </c>
      <c r="U1226" s="24">
        <f>TA!E1349</f>
        <v>348268361065</v>
      </c>
      <c r="V1226" s="109">
        <f>PR!F1349</f>
        <v>0</v>
      </c>
      <c r="W1226" s="109">
        <f>'Z Score'!I1349</f>
        <v>3.9821853057827377</v>
      </c>
      <c r="X1226" s="109">
        <f>'Z Score'!L1349</f>
        <v>0.33673426028864067</v>
      </c>
      <c r="Y1226" s="109">
        <f>'Z Score'!O1349</f>
        <v>-8.4863106542382404E-3</v>
      </c>
      <c r="Z1226" s="109">
        <f>'Z Score'!R1349</f>
        <v>0.50678975124675263</v>
      </c>
      <c r="AA1226" s="109">
        <f>'Z Score'!S1349</f>
        <v>4.8172230066638928</v>
      </c>
    </row>
    <row r="1227" spans="1:27" ht="15" customHeight="1" x14ac:dyDescent="0.3">
      <c r="A1227" s="22"/>
      <c r="B1227" s="23"/>
      <c r="C1227" s="2"/>
      <c r="D1227" s="23">
        <v>2020</v>
      </c>
      <c r="E1227" s="25">
        <f>'Current Ratio'!G1350</f>
        <v>1.9663100801493896</v>
      </c>
      <c r="F1227" s="25">
        <f>'Cash Ratio'!G1350</f>
        <v>3.0611287063822535E-2</v>
      </c>
      <c r="G1227" s="25">
        <f>DAR!G1350</f>
        <v>0.7054576080918733</v>
      </c>
      <c r="H1227" s="25">
        <f>DER!G1350</f>
        <v>2.3950970300802021</v>
      </c>
      <c r="I1227" s="25">
        <f>NPM!G1350</f>
        <v>9.8212856264217555E-3</v>
      </c>
      <c r="J1227" s="25">
        <f>ROA!G1350</f>
        <v>1.0400006364069149E-3</v>
      </c>
      <c r="K1227" s="25">
        <f>ROE!G1350</f>
        <v>3.5309030719466372E-3</v>
      </c>
      <c r="L1227" s="25">
        <f>KM!E1350</f>
        <v>0.99990000000000001</v>
      </c>
      <c r="M1227" s="24">
        <f>KI!E1350</f>
        <v>2</v>
      </c>
      <c r="N1227" s="108">
        <f>IO!E1350</f>
        <v>0</v>
      </c>
      <c r="O1227" s="24">
        <f>'BoC Size'!E1350</f>
        <v>3</v>
      </c>
      <c r="P1227" s="24">
        <f>'TMT E DK'!E1350</f>
        <v>0</v>
      </c>
      <c r="Q1227" s="24">
        <f>Data!R1350</f>
        <v>3</v>
      </c>
      <c r="R1227" s="24">
        <f>Data!S1350</f>
        <v>3</v>
      </c>
      <c r="S1227" s="24">
        <f>'TMT E DK'!E1350</f>
        <v>0</v>
      </c>
      <c r="T1227" s="24">
        <f>'TMT E DD'!E1350</f>
        <v>0</v>
      </c>
      <c r="U1227" s="24">
        <f>TA!E1350</f>
        <v>394436443248</v>
      </c>
      <c r="V1227" s="109">
        <f>PR!F1350</f>
        <v>-0.1897401036385204</v>
      </c>
      <c r="W1227" s="109">
        <f>'Z Score'!I1350</f>
        <v>2.9270351716599756</v>
      </c>
      <c r="X1227" s="109">
        <f>'Z Score'!L1350</f>
        <v>0.30314416503299679</v>
      </c>
      <c r="Y1227" s="109">
        <f>'Z Score'!O1350</f>
        <v>-1.0966762478385505E-2</v>
      </c>
      <c r="Z1227" s="109">
        <f>'Z Score'!R1350</f>
        <v>0.43839560018361334</v>
      </c>
      <c r="AA1227" s="109">
        <f>'Z Score'!S1350</f>
        <v>3.6576081743982001</v>
      </c>
    </row>
    <row r="1228" spans="1:27" ht="15" customHeight="1" x14ac:dyDescent="0.3">
      <c r="A1228" s="22"/>
      <c r="B1228" s="23"/>
      <c r="C1228" s="2"/>
      <c r="D1228" s="23">
        <v>2021</v>
      </c>
      <c r="E1228" s="25">
        <f>'Current Ratio'!G1351</f>
        <v>3.0776850385444559</v>
      </c>
      <c r="F1228" s="25">
        <f>'Cash Ratio'!G1351</f>
        <v>0.26688742857798153</v>
      </c>
      <c r="G1228" s="25">
        <f>DAR!G1351</f>
        <v>0.55318515736259999</v>
      </c>
      <c r="H1228" s="25">
        <f>DER!G1351</f>
        <v>1.2380635211161097</v>
      </c>
      <c r="I1228" s="25">
        <f>NPM!G1351</f>
        <v>2.8106620059243373E-2</v>
      </c>
      <c r="J1228" s="25">
        <f>ROA!G1351</f>
        <v>8.5983236160228679E-3</v>
      </c>
      <c r="K1228" s="25">
        <f>ROE!G1351</f>
        <v>1.9243594427771939E-2</v>
      </c>
      <c r="L1228" s="25">
        <f>KM!E1351</f>
        <v>0.99990000000000001</v>
      </c>
      <c r="M1228" s="24">
        <f>KI!E1351</f>
        <v>2</v>
      </c>
      <c r="N1228" s="108">
        <f>IO!E1351</f>
        <v>0</v>
      </c>
      <c r="O1228" s="24">
        <f>'BoC Size'!E1351</f>
        <v>3</v>
      </c>
      <c r="P1228" s="24">
        <f>'TMT E DK'!E1351</f>
        <v>0</v>
      </c>
      <c r="Q1228" s="24">
        <f>Data!R1351</f>
        <v>3</v>
      </c>
      <c r="R1228" s="24">
        <f>Data!S1351</f>
        <v>5</v>
      </c>
      <c r="S1228" s="24">
        <f>'TMT E DK'!E1351</f>
        <v>0</v>
      </c>
      <c r="T1228" s="24">
        <f>'TMT E DD'!E1351</f>
        <v>0</v>
      </c>
      <c r="U1228" s="24">
        <f>TA!E1351</f>
        <v>268539063091</v>
      </c>
      <c r="V1228" s="109">
        <f>PR!F1351</f>
        <v>0.96684590344606125</v>
      </c>
      <c r="W1228" s="109">
        <f>'Z Score'!I1351</f>
        <v>3.7850050386767178</v>
      </c>
      <c r="X1228" s="109">
        <f>'Z Score'!L1351</f>
        <v>0.47329575959811138</v>
      </c>
      <c r="Y1228" s="109">
        <f>'Z Score'!O1351</f>
        <v>-2.7959134958386735E-2</v>
      </c>
      <c r="Z1228" s="109">
        <f>'Z Score'!R1351</f>
        <v>0.84809864929501266</v>
      </c>
      <c r="AA1228" s="109">
        <f>'Z Score'!S1351</f>
        <v>5.0784403126114555</v>
      </c>
    </row>
    <row r="1229" spans="1:27" ht="15" customHeight="1" x14ac:dyDescent="0.3">
      <c r="A1229" s="22"/>
      <c r="B1229" s="23"/>
      <c r="C1229" s="2"/>
      <c r="D1229" s="23">
        <v>2022</v>
      </c>
      <c r="E1229" s="25">
        <f>'Current Ratio'!G1352</f>
        <v>2.4254155913426136</v>
      </c>
      <c r="F1229" s="25">
        <f>'Cash Ratio'!G1352</f>
        <v>0.55805191772456575</v>
      </c>
      <c r="G1229" s="25">
        <f>DAR!G1352</f>
        <v>0.6935112310789765</v>
      </c>
      <c r="H1229" s="25">
        <f>DER!G1352</f>
        <v>2.2627622980312023</v>
      </c>
      <c r="I1229" s="25">
        <f>NPM!G1352</f>
        <v>1.4665893771791824E-2</v>
      </c>
      <c r="J1229" s="25">
        <f>ROA!G1352</f>
        <v>1.4155452678025357E-2</v>
      </c>
      <c r="K1229" s="25">
        <f>ROE!G1352</f>
        <v>4.6185877309538478E-2</v>
      </c>
      <c r="L1229" s="25">
        <f>KM!E1352</f>
        <v>0.99990000000000001</v>
      </c>
      <c r="M1229" s="24">
        <f>KI!E1352</f>
        <v>2</v>
      </c>
      <c r="N1229" s="108">
        <f>IO!E1352</f>
        <v>0</v>
      </c>
      <c r="O1229" s="24">
        <f>'BoC Size'!E1352</f>
        <v>3</v>
      </c>
      <c r="P1229" s="24">
        <f>'TMT E DK'!E1352</f>
        <v>0</v>
      </c>
      <c r="Q1229" s="24">
        <f>Data!R1352</f>
        <v>3</v>
      </c>
      <c r="R1229" s="24">
        <f>Data!S1352</f>
        <v>4</v>
      </c>
      <c r="S1229" s="24">
        <f>'TMT E DK'!E1352</f>
        <v>0</v>
      </c>
      <c r="T1229" s="24">
        <f>'TMT E DD'!E1352</f>
        <v>0</v>
      </c>
      <c r="U1229" s="24">
        <f>TA!E1352</f>
        <v>410446680382</v>
      </c>
      <c r="V1229" s="109">
        <f>PR!F1352</f>
        <v>3.8223568178623717</v>
      </c>
      <c r="W1229" s="109">
        <f>'Z Score'!I1352</f>
        <v>2.7577208354406242</v>
      </c>
      <c r="X1229" s="109">
        <f>'Z Score'!L1352</f>
        <v>0.35580551075989281</v>
      </c>
      <c r="Y1229" s="109">
        <f>'Z Score'!O1352</f>
        <v>0.16718416777617898</v>
      </c>
      <c r="Z1229" s="109">
        <f>'Z Score'!R1352</f>
        <v>0.46403460094486737</v>
      </c>
      <c r="AA1229" s="109">
        <f>'Z Score'!S1352</f>
        <v>3.7447451149215634</v>
      </c>
    </row>
    <row r="1230" spans="1:27" ht="15" customHeight="1" x14ac:dyDescent="0.3">
      <c r="A1230" s="22"/>
      <c r="B1230" s="23"/>
      <c r="C1230" s="2"/>
      <c r="D1230" s="23">
        <v>2023</v>
      </c>
      <c r="E1230" s="25">
        <f>'Current Ratio'!G1353</f>
        <v>3.5313224252997584</v>
      </c>
      <c r="F1230" s="25">
        <f>'Cash Ratio'!G1353</f>
        <v>1.0196875705253661</v>
      </c>
      <c r="G1230" s="25">
        <f>DAR!G1353</f>
        <v>0.66309732236746377</v>
      </c>
      <c r="H1230" s="25">
        <f>DER!G1353</f>
        <v>1.9682162428246177</v>
      </c>
      <c r="I1230" s="25">
        <f>NPM!G1353</f>
        <v>0.2072945765147933</v>
      </c>
      <c r="J1230" s="25">
        <f>ROA!G1353</f>
        <v>0.17827501344955901</v>
      </c>
      <c r="K1230" s="25">
        <f>ROE!G1353</f>
        <v>0.52915879061075832</v>
      </c>
      <c r="L1230" s="25">
        <f>KM!E1353</f>
        <v>0.99990000000000001</v>
      </c>
      <c r="M1230" s="24">
        <f>KI!E1353</f>
        <v>1</v>
      </c>
      <c r="N1230" s="108">
        <f>IO!E1353</f>
        <v>0</v>
      </c>
      <c r="O1230" s="24">
        <f>'BoC Size'!E1353</f>
        <v>2</v>
      </c>
      <c r="P1230" s="24">
        <f>'TMT E DK'!E1353</f>
        <v>0</v>
      </c>
      <c r="Q1230" s="24">
        <f>Data!R1353</f>
        <v>2</v>
      </c>
      <c r="R1230" s="24">
        <f>Data!S1353</f>
        <v>3</v>
      </c>
      <c r="S1230" s="24">
        <f>'TMT E DK'!E1353</f>
        <v>0</v>
      </c>
      <c r="T1230" s="24">
        <f>'TMT E DD'!E1353</f>
        <v>0</v>
      </c>
      <c r="U1230" s="24">
        <f>TA!E1353</f>
        <v>862379828144</v>
      </c>
      <c r="V1230" s="109">
        <f>PR!F1353</f>
        <v>0.87210047209367136</v>
      </c>
      <c r="W1230" s="109">
        <f>'Z Score'!I1353</f>
        <v>3.7970162124546696</v>
      </c>
      <c r="X1230" s="109">
        <f>'Z Score'!L1353</f>
        <v>0.75052093942044862</v>
      </c>
      <c r="Y1230" s="109">
        <f>'Z Score'!O1353</f>
        <v>1.6010567678183769</v>
      </c>
      <c r="Z1230" s="109">
        <f>'Z Score'!R1353</f>
        <v>0.53347796708207673</v>
      </c>
      <c r="AA1230" s="109">
        <f>'Z Score'!S1353</f>
        <v>6.6820718867755717</v>
      </c>
    </row>
    <row r="1231" spans="1:27" ht="15" customHeight="1" x14ac:dyDescent="0.3">
      <c r="A1231" s="22"/>
      <c r="B1231" s="23"/>
      <c r="C1231" s="2"/>
      <c r="D1231" s="23">
        <v>2024</v>
      </c>
      <c r="E1231" s="25">
        <f>'Current Ratio'!G1354</f>
        <v>4.8424664774023007</v>
      </c>
      <c r="F1231" s="25">
        <f>'Cash Ratio'!G1354</f>
        <v>1.7710394416463859</v>
      </c>
      <c r="G1231" s="25">
        <f>DAR!G1354</f>
        <v>0.76578169232439508</v>
      </c>
      <c r="H1231" s="25">
        <f>DER!G1354</f>
        <v>3.2695210717046588</v>
      </c>
      <c r="I1231" s="25">
        <f>NPM!G1354</f>
        <v>4.4998885880205348E-2</v>
      </c>
      <c r="J1231" s="25">
        <f>ROA!G1354</f>
        <v>9.6518633558790742E-2</v>
      </c>
      <c r="K1231" s="25">
        <f>ROE!G1354</f>
        <v>0.41208833979139747</v>
      </c>
      <c r="L1231" s="25">
        <f>KM!E1354</f>
        <v>0.99990000000000001</v>
      </c>
      <c r="M1231" s="24">
        <f>KI!E1354</f>
        <v>2</v>
      </c>
      <c r="N1231" s="108">
        <f>IO!E1354</f>
        <v>0</v>
      </c>
      <c r="O1231" s="24">
        <f>'BoC Size'!E1354</f>
        <v>3</v>
      </c>
      <c r="P1231" s="24">
        <f>'TMT E DK'!E1354</f>
        <v>0</v>
      </c>
      <c r="Q1231" s="24">
        <f>Data!R1354</f>
        <v>3</v>
      </c>
      <c r="R1231" s="24">
        <f>Data!S1354</f>
        <v>4</v>
      </c>
      <c r="S1231" s="24">
        <f>'TMT E DK'!E1354</f>
        <v>0</v>
      </c>
      <c r="T1231" s="24">
        <f>'TMT E DD'!E1354</f>
        <v>0</v>
      </c>
      <c r="U1231" s="24">
        <f>TA!E1354</f>
        <v>930448689416</v>
      </c>
      <c r="V1231" s="109">
        <f>PR!F1354</f>
        <v>1.6909194914955883</v>
      </c>
      <c r="W1231" s="109">
        <f>'Z Score'!I1354</f>
        <v>3.9212748333112537</v>
      </c>
      <c r="X1231" s="109">
        <f>'Z Score'!L1354</f>
        <v>0.44121257565240712</v>
      </c>
      <c r="Y1231" s="109">
        <f>'Z Score'!O1354</f>
        <v>0.68880360320096889</v>
      </c>
      <c r="Z1231" s="109">
        <f>'Z Score'!R1354</f>
        <v>0.32114795316261791</v>
      </c>
      <c r="AA1231" s="109">
        <f>'Z Score'!S1354</f>
        <v>5.3724389653272482</v>
      </c>
    </row>
    <row r="1232" spans="1:27" ht="15" customHeight="1" x14ac:dyDescent="0.3">
      <c r="A1232" s="22"/>
      <c r="B1232" s="23">
        <v>124</v>
      </c>
      <c r="C1232" s="2" t="s">
        <v>110</v>
      </c>
      <c r="D1232" s="23">
        <v>2015</v>
      </c>
      <c r="E1232" s="25">
        <f>'Current Ratio'!G1356</f>
        <v>7.3357948128927468</v>
      </c>
      <c r="F1232" s="25">
        <f>'Cash Ratio'!G1356</f>
        <v>1.5823695139790384</v>
      </c>
      <c r="G1232" s="25">
        <f>DAR!G1356</f>
        <v>0.76528717776114241</v>
      </c>
      <c r="H1232" s="25">
        <f>DER!G1356</f>
        <v>3.2605256519916117</v>
      </c>
      <c r="I1232" s="25">
        <f>NPM!G1356</f>
        <v>4.7751528022228984E-2</v>
      </c>
      <c r="J1232" s="25">
        <f>ROA!G1356</f>
        <v>2.527756771308317E-2</v>
      </c>
      <c r="K1232" s="25">
        <f>ROE!G1356</f>
        <v>0.1076957256615458</v>
      </c>
      <c r="L1232" s="25">
        <f>KM!E1356</f>
        <v>0.55000000000000004</v>
      </c>
      <c r="M1232" s="24">
        <f>KI!E1356</f>
        <v>3</v>
      </c>
      <c r="N1232" s="108">
        <f>IO!E1356</f>
        <v>0</v>
      </c>
      <c r="O1232" s="24">
        <f>'BoC Size'!E1356</f>
        <v>6</v>
      </c>
      <c r="P1232" s="24">
        <f>'TMT E DK'!E1356</f>
        <v>20</v>
      </c>
      <c r="Q1232" s="24">
        <f>Data!R1356</f>
        <v>6</v>
      </c>
      <c r="R1232" s="24">
        <f>Data!S1356</f>
        <v>3</v>
      </c>
      <c r="S1232" s="24">
        <f>'TMT E DK'!E1356</f>
        <v>20</v>
      </c>
      <c r="T1232" s="24">
        <f>'TMT E DD'!E1356</f>
        <v>3</v>
      </c>
      <c r="U1232" s="24">
        <f>TA!E1356</f>
        <v>921927252120</v>
      </c>
      <c r="V1232" s="109">
        <f>PR!F1356</f>
        <v>0.41059865901619846</v>
      </c>
      <c r="W1232" s="109">
        <f>'Z Score'!I1356</f>
        <v>3.0846947288609674</v>
      </c>
      <c r="X1232" s="109">
        <f>'Z Score'!L1356</f>
        <v>0.39871283130172014</v>
      </c>
      <c r="Y1232" s="109">
        <f>'Z Score'!O1356</f>
        <v>0.18908477690258127</v>
      </c>
      <c r="Z1232" s="109">
        <f>'Z Score'!R1356</f>
        <v>0.32203396386672606</v>
      </c>
      <c r="AA1232" s="109">
        <f>'Z Score'!S1356</f>
        <v>3.9945263009319949</v>
      </c>
    </row>
    <row r="1233" spans="1:27" ht="15" customHeight="1" x14ac:dyDescent="0.3">
      <c r="A1233" s="22"/>
      <c r="B1233" s="23"/>
      <c r="C1233" s="2"/>
      <c r="D1233" s="23">
        <v>2016</v>
      </c>
      <c r="E1233" s="25">
        <f>'Current Ratio'!G1357</f>
        <v>5.689707762629558</v>
      </c>
      <c r="F1233" s="25">
        <f>'Cash Ratio'!G1357</f>
        <v>0.72130227434688732</v>
      </c>
      <c r="G1233" s="25">
        <f>DAR!G1357</f>
        <v>0.64796632391781506</v>
      </c>
      <c r="H1233" s="25">
        <f>DER!G1357</f>
        <v>1.9738039534748901</v>
      </c>
      <c r="I1233" s="25">
        <f>NPM!G1357</f>
        <v>4.6537066277730264E-2</v>
      </c>
      <c r="J1233" s="25">
        <f>ROA!G1357</f>
        <v>2.0189889908708666E-2</v>
      </c>
      <c r="K1233" s="25">
        <f>ROE!G1357</f>
        <v>6.1501474769677149E-2</v>
      </c>
      <c r="L1233" s="25">
        <f>KM!E1357</f>
        <v>0.55000000000000004</v>
      </c>
      <c r="M1233" s="24">
        <f>KI!E1357</f>
        <v>2</v>
      </c>
      <c r="N1233" s="108">
        <f>IO!E1357</f>
        <v>0</v>
      </c>
      <c r="O1233" s="24">
        <f>'BoC Size'!E1357</f>
        <v>4</v>
      </c>
      <c r="P1233" s="24">
        <f>'TMT E DK'!E1357</f>
        <v>13</v>
      </c>
      <c r="Q1233" s="24">
        <f>Data!R1357</f>
        <v>4</v>
      </c>
      <c r="R1233" s="24">
        <f>Data!S1357</f>
        <v>3</v>
      </c>
      <c r="S1233" s="24">
        <f>'TMT E DK'!E1357</f>
        <v>13</v>
      </c>
      <c r="T1233" s="24">
        <f>'TMT E DD'!E1357</f>
        <v>3</v>
      </c>
      <c r="U1233" s="24">
        <f>TA!E1357</f>
        <v>1136810730112</v>
      </c>
      <c r="V1233" s="109">
        <f>PR!F1357</f>
        <v>1.059803933328733E-2</v>
      </c>
      <c r="W1233" s="109">
        <f>'Z Score'!I1357</f>
        <v>2.0891129482673509</v>
      </c>
      <c r="X1233" s="109">
        <f>'Z Score'!L1357</f>
        <v>0.38916594064367549</v>
      </c>
      <c r="Y1233" s="109">
        <f>'Z Score'!O1357</f>
        <v>0.13298761497916667</v>
      </c>
      <c r="Z1233" s="109">
        <f>'Z Score'!R1357</f>
        <v>0.53196772564543227</v>
      </c>
      <c r="AA1233" s="109">
        <f>'Z Score'!S1357</f>
        <v>3.1432342295356257</v>
      </c>
    </row>
    <row r="1234" spans="1:27" ht="15" customHeight="1" x14ac:dyDescent="0.3">
      <c r="A1234" s="22"/>
      <c r="B1234" s="23"/>
      <c r="C1234" s="2"/>
      <c r="D1234" s="23">
        <v>2017</v>
      </c>
      <c r="E1234" s="25">
        <f>'Current Ratio'!G1358</f>
        <v>8.766729212888718</v>
      </c>
      <c r="F1234" s="25">
        <f>'Cash Ratio'!G1358</f>
        <v>1.1901896297863623</v>
      </c>
      <c r="G1234" s="25">
        <f>DAR!G1358</f>
        <v>0.72326940577783905</v>
      </c>
      <c r="H1234" s="25">
        <f>DER!G1358</f>
        <v>2.6136228551484058</v>
      </c>
      <c r="I1234" s="25">
        <f>NPM!G1358</f>
        <v>-7.3347130659164927E-2</v>
      </c>
      <c r="J1234" s="25">
        <f>ROA!G1358</f>
        <v>-3.2156267243005403E-2</v>
      </c>
      <c r="K1234" s="25">
        <f>ROE!G1358</f>
        <v>-0.11620062224558435</v>
      </c>
      <c r="L1234" s="25">
        <f>KM!E1358</f>
        <v>0.76290000000000002</v>
      </c>
      <c r="M1234" s="24">
        <f>KI!E1358</f>
        <v>2</v>
      </c>
      <c r="N1234" s="108">
        <f>IO!E1358</f>
        <v>0</v>
      </c>
      <c r="O1234" s="24">
        <f>'BoC Size'!E1358</f>
        <v>4</v>
      </c>
      <c r="P1234" s="24">
        <f>'TMT E DK'!E1358</f>
        <v>13</v>
      </c>
      <c r="Q1234" s="24">
        <f>Data!R1358</f>
        <v>4</v>
      </c>
      <c r="R1234" s="24">
        <f>Data!S1358</f>
        <v>3</v>
      </c>
      <c r="S1234" s="24">
        <f>'TMT E DK'!E1358</f>
        <v>13</v>
      </c>
      <c r="T1234" s="24">
        <f>'TMT E DD'!E1358</f>
        <v>3</v>
      </c>
      <c r="U1234" s="24">
        <f>TA!E1358</f>
        <v>1327250439408</v>
      </c>
      <c r="V1234" s="109">
        <f>PR!F1358</f>
        <v>0.17981052152175797</v>
      </c>
      <c r="W1234" s="109">
        <f>'Z Score'!I1358</f>
        <v>2.4034363964057559</v>
      </c>
      <c r="X1234" s="109">
        <f>'Z Score'!L1358</f>
        <v>0.22849712750055692</v>
      </c>
      <c r="Y1234" s="109">
        <f>'Z Score'!O1358</f>
        <v>-0.34054206027601008</v>
      </c>
      <c r="Z1234" s="109">
        <f>'Z Score'!R1358</f>
        <v>0.40174120682013215</v>
      </c>
      <c r="AA1234" s="109">
        <f>'Z Score'!S1358</f>
        <v>2.6931326704504346</v>
      </c>
    </row>
    <row r="1235" spans="1:27" ht="15" customHeight="1" x14ac:dyDescent="0.3">
      <c r="A1235" s="22"/>
      <c r="B1235" s="23"/>
      <c r="C1235" s="2"/>
      <c r="D1235" s="23">
        <v>2018</v>
      </c>
      <c r="E1235" s="25">
        <f>'Current Ratio'!G1359</f>
        <v>7.5183020259917148</v>
      </c>
      <c r="F1235" s="25">
        <f>'Cash Ratio'!G1359</f>
        <v>0.68896960066587221</v>
      </c>
      <c r="G1235" s="25">
        <f>DAR!G1359</f>
        <v>0.61222135920767218</v>
      </c>
      <c r="H1235" s="25">
        <f>DER!G1359</f>
        <v>1.5787908224051541</v>
      </c>
      <c r="I1235" s="25">
        <f>NPM!G1359</f>
        <v>6.4214633043084932E-2</v>
      </c>
      <c r="J1235" s="25">
        <f>ROA!G1359</f>
        <v>1.8282136001255618E-2</v>
      </c>
      <c r="K1235" s="25">
        <f>ROE!G1359</f>
        <v>4.7145804534000857E-2</v>
      </c>
      <c r="L1235" s="25">
        <f>KM!E1359</f>
        <v>0.76390000000000002</v>
      </c>
      <c r="M1235" s="24">
        <f>KI!E1359</f>
        <v>2</v>
      </c>
      <c r="N1235" s="108">
        <f>IO!E1359</f>
        <v>0</v>
      </c>
      <c r="O1235" s="24">
        <f>'BoC Size'!E1359</f>
        <v>4</v>
      </c>
      <c r="P1235" s="24">
        <f>'TMT E DK'!E1359</f>
        <v>13</v>
      </c>
      <c r="Q1235" s="24">
        <f>Data!R1359</f>
        <v>4</v>
      </c>
      <c r="R1235" s="24">
        <f>Data!S1359</f>
        <v>3</v>
      </c>
      <c r="S1235" s="24">
        <f>'TMT E DK'!E1359</f>
        <v>13</v>
      </c>
      <c r="T1235" s="24">
        <f>'TMT E DD'!E1359</f>
        <v>3</v>
      </c>
      <c r="U1235" s="24">
        <f>TA!E1359</f>
        <v>1242415000000</v>
      </c>
      <c r="V1235" s="109">
        <f>PR!F1359</f>
        <v>-0.39211106520855449</v>
      </c>
      <c r="W1235" s="109">
        <f>'Z Score'!I1359</f>
        <v>1.8193800944128975</v>
      </c>
      <c r="X1235" s="109">
        <f>'Z Score'!L1359</f>
        <v>0.2958524486584595</v>
      </c>
      <c r="Y1235" s="109">
        <f>'Z Score'!O1359</f>
        <v>0.14636809761633593</v>
      </c>
      <c r="Z1235" s="109">
        <f>'Z Score'!R1359</f>
        <v>0.66506593850122198</v>
      </c>
      <c r="AA1235" s="109">
        <f>'Z Score'!S1359</f>
        <v>2.9266665791889146</v>
      </c>
    </row>
    <row r="1236" spans="1:27" ht="15" customHeight="1" x14ac:dyDescent="0.3">
      <c r="A1236" s="22"/>
      <c r="B1236" s="23"/>
      <c r="C1236" s="2"/>
      <c r="D1236" s="23">
        <v>2019</v>
      </c>
      <c r="E1236" s="25">
        <f>'Current Ratio'!G1360</f>
        <v>4.4165221344738743</v>
      </c>
      <c r="F1236" s="25">
        <f>'Cash Ratio'!G1360</f>
        <v>2.262346978294913</v>
      </c>
      <c r="G1236" s="25">
        <f>DAR!G1360</f>
        <v>0.56338514470191647</v>
      </c>
      <c r="H1236" s="25">
        <f>DER!G1360</f>
        <v>1.2903480902345501</v>
      </c>
      <c r="I1236" s="25">
        <f>NPM!G1360</f>
        <v>0.22294338029655428</v>
      </c>
      <c r="J1236" s="25">
        <f>ROA!G1360</f>
        <v>1.4698054986380382E-2</v>
      </c>
      <c r="K1236" s="25">
        <f>ROE!G1360</f>
        <v>3.3663662168218714E-2</v>
      </c>
      <c r="L1236" s="25">
        <f>KM!E1360</f>
        <v>0.95</v>
      </c>
      <c r="M1236" s="24">
        <f>KI!E1360</f>
        <v>2</v>
      </c>
      <c r="N1236" s="108">
        <f>IO!E1360</f>
        <v>0</v>
      </c>
      <c r="O1236" s="24">
        <f>'BoC Size'!E1360</f>
        <v>4</v>
      </c>
      <c r="P1236" s="24">
        <f>'TMT E DK'!E1360</f>
        <v>11</v>
      </c>
      <c r="Q1236" s="24">
        <f>Data!R1360</f>
        <v>4</v>
      </c>
      <c r="R1236" s="24">
        <f>Data!S1360</f>
        <v>3</v>
      </c>
      <c r="S1236" s="24">
        <f>'TMT E DK'!E1360</f>
        <v>11</v>
      </c>
      <c r="T1236" s="24">
        <f>'TMT E DD'!E1360</f>
        <v>3</v>
      </c>
      <c r="U1236" s="24">
        <f>TA!E1360</f>
        <v>1149812000000</v>
      </c>
      <c r="V1236" s="109">
        <f>PR!F1360</f>
        <v>-0.78569489992084129</v>
      </c>
      <c r="W1236" s="109">
        <f>'Z Score'!I1360</f>
        <v>1.1575843007378597</v>
      </c>
      <c r="X1236" s="109">
        <f>'Z Score'!L1360</f>
        <v>0.37707355637269396</v>
      </c>
      <c r="Y1236" s="109">
        <f>'Z Score'!O1360</f>
        <v>9.3510939179622402E-2</v>
      </c>
      <c r="Z1236" s="109">
        <f>'Z Score'!R1360</f>
        <v>0.81373391253606508</v>
      </c>
      <c r="AA1236" s="109">
        <f>'Z Score'!S1360</f>
        <v>2.4419027088262411</v>
      </c>
    </row>
    <row r="1237" spans="1:27" ht="15" customHeight="1" x14ac:dyDescent="0.3">
      <c r="A1237" s="22"/>
      <c r="B1237" s="23"/>
      <c r="C1237" s="2"/>
      <c r="D1237" s="23">
        <v>2020</v>
      </c>
      <c r="E1237" s="25">
        <f>'Current Ratio'!G1361</f>
        <v>5.1861416696868021</v>
      </c>
      <c r="F1237" s="25">
        <f>'Cash Ratio'!G1361</f>
        <v>0.85647146848732125</v>
      </c>
      <c r="G1237" s="25">
        <f>DAR!G1361</f>
        <v>0.5400119776533201</v>
      </c>
      <c r="H1237" s="25">
        <f>DER!G1361</f>
        <v>1.1739696501191248</v>
      </c>
      <c r="I1237" s="25">
        <f>NPM!G1361</f>
        <v>0.10970091076759264</v>
      </c>
      <c r="J1237" s="25">
        <f>ROA!G1361</f>
        <v>2.0088683380831925E-2</v>
      </c>
      <c r="K1237" s="25">
        <f>ROE!G1361</f>
        <v>4.3672187980781055E-2</v>
      </c>
      <c r="L1237" s="25">
        <f>KM!E1361</f>
        <v>0.95</v>
      </c>
      <c r="M1237" s="24">
        <f>KI!E1361</f>
        <v>2</v>
      </c>
      <c r="N1237" s="108">
        <f>IO!E1361</f>
        <v>0</v>
      </c>
      <c r="O1237" s="24">
        <f>'BoC Size'!E1361</f>
        <v>4</v>
      </c>
      <c r="P1237" s="24">
        <f>'TMT E DK'!E1361</f>
        <v>11</v>
      </c>
      <c r="Q1237" s="24">
        <f>Data!R1361</f>
        <v>4</v>
      </c>
      <c r="R1237" s="24">
        <f>Data!S1361</f>
        <v>4</v>
      </c>
      <c r="S1237" s="24">
        <f>'TMT E DK'!E1361</f>
        <v>11</v>
      </c>
      <c r="T1237" s="24">
        <f>'TMT E DD'!E1361</f>
        <v>6</v>
      </c>
      <c r="U1237" s="24">
        <f>TA!E1361</f>
        <v>1148806000000</v>
      </c>
      <c r="V1237" s="109">
        <f>PR!F1361</f>
        <v>1.7752097514643026</v>
      </c>
      <c r="W1237" s="109">
        <f>'Z Score'!I1361</f>
        <v>2.044678736009387</v>
      </c>
      <c r="X1237" s="109">
        <f>'Z Score'!L1361</f>
        <v>0.44244734097837224</v>
      </c>
      <c r="Y1237" s="109">
        <f>'Z Score'!O1361</f>
        <v>0.19910703808998212</v>
      </c>
      <c r="Z1237" s="109">
        <f>'Z Score'!R1361</f>
        <v>0.89440131599096673</v>
      </c>
      <c r="AA1237" s="109">
        <f>'Z Score'!S1361</f>
        <v>3.5806344310687077</v>
      </c>
    </row>
    <row r="1238" spans="1:27" ht="15" customHeight="1" x14ac:dyDescent="0.3">
      <c r="A1238" s="22"/>
      <c r="B1238" s="23"/>
      <c r="C1238" s="2"/>
      <c r="D1238" s="23">
        <v>2021</v>
      </c>
      <c r="E1238" s="25">
        <f>'Current Ratio'!G1362</f>
        <v>2.8933159775710147</v>
      </c>
      <c r="F1238" s="25">
        <f>'Cash Ratio'!G1362</f>
        <v>0.44072339638917984</v>
      </c>
      <c r="G1238" s="25">
        <f>DAR!G1362</f>
        <v>0.52993197335741515</v>
      </c>
      <c r="H1238" s="25">
        <f>DER!G1362</f>
        <v>1.1273516668266137</v>
      </c>
      <c r="I1238" s="25">
        <f>NPM!G1362</f>
        <v>0.16495537678481281</v>
      </c>
      <c r="J1238" s="25">
        <f>ROA!G1362</f>
        <v>2.9754450803696812E-2</v>
      </c>
      <c r="K1238" s="25">
        <f>ROE!G1362</f>
        <v>6.329818051275489E-2</v>
      </c>
      <c r="L1238" s="25">
        <f>KM!E1362</f>
        <v>0.95</v>
      </c>
      <c r="M1238" s="24">
        <f>KI!E1362</f>
        <v>1</v>
      </c>
      <c r="N1238" s="108">
        <f>IO!E1362</f>
        <v>0</v>
      </c>
      <c r="O1238" s="24">
        <f>'BoC Size'!E1362</f>
        <v>3</v>
      </c>
      <c r="P1238" s="24">
        <f>'TMT E DK'!E1362</f>
        <v>8</v>
      </c>
      <c r="Q1238" s="24">
        <f>Data!R1362</f>
        <v>3</v>
      </c>
      <c r="R1238" s="24">
        <f>Data!S1362</f>
        <v>4</v>
      </c>
      <c r="S1238" s="24">
        <f>'TMT E DK'!E1362</f>
        <v>8</v>
      </c>
      <c r="T1238" s="24">
        <f>'TMT E DD'!E1362</f>
        <v>6</v>
      </c>
      <c r="U1238" s="24">
        <f>TA!E1362</f>
        <v>1197031000000</v>
      </c>
      <c r="V1238" s="109">
        <f>PR!F1362</f>
        <v>2.6367577434259312E-2</v>
      </c>
      <c r="W1238" s="109">
        <f>'Z Score'!I1362</f>
        <v>1.3471107097477009</v>
      </c>
      <c r="X1238" s="109">
        <f>'Z Score'!L1362</f>
        <v>0.52154019403006269</v>
      </c>
      <c r="Y1238" s="109">
        <f>'Z Score'!O1362</f>
        <v>0.23309431418233945</v>
      </c>
      <c r="Z1238" s="109">
        <f>'Z Score'!R1362</f>
        <v>0.93138639068645612</v>
      </c>
      <c r="AA1238" s="109">
        <f>'Z Score'!S1362</f>
        <v>3.033131608646559</v>
      </c>
    </row>
    <row r="1239" spans="1:27" ht="15" customHeight="1" x14ac:dyDescent="0.3">
      <c r="A1239" s="22"/>
      <c r="B1239" s="23"/>
      <c r="C1239" s="2"/>
      <c r="D1239" s="23">
        <v>2022</v>
      </c>
      <c r="E1239" s="25">
        <f>'Current Ratio'!G1363</f>
        <v>4.2187531283675961</v>
      </c>
      <c r="F1239" s="25">
        <f>'Cash Ratio'!G1363</f>
        <v>0.42419781293981168</v>
      </c>
      <c r="G1239" s="25">
        <f>DAR!G1363</f>
        <v>0.68573643421098718</v>
      </c>
      <c r="H1239" s="25">
        <f>DER!G1363</f>
        <v>2.1820424282698117</v>
      </c>
      <c r="I1239" s="25">
        <f>NPM!G1363</f>
        <v>-0.32611009773032423</v>
      </c>
      <c r="J1239" s="25">
        <f>ROA!G1363</f>
        <v>-4.0289116241938247E-2</v>
      </c>
      <c r="K1239" s="25">
        <f>ROE!G1363</f>
        <v>-0.12820167727934187</v>
      </c>
      <c r="L1239" s="25">
        <f>KM!E1363</f>
        <v>0.95</v>
      </c>
      <c r="M1239" s="24">
        <f>KI!E1363</f>
        <v>2</v>
      </c>
      <c r="N1239" s="108">
        <f>IO!E1363</f>
        <v>0</v>
      </c>
      <c r="O1239" s="24">
        <f>'BoC Size'!E1363</f>
        <v>4</v>
      </c>
      <c r="P1239" s="24">
        <f>'TMT E DK'!E1363</f>
        <v>9</v>
      </c>
      <c r="Q1239" s="24">
        <f>Data!R1363</f>
        <v>4</v>
      </c>
      <c r="R1239" s="24">
        <f>Data!S1363</f>
        <v>4</v>
      </c>
      <c r="S1239" s="24">
        <f>'TMT E DK'!E1363</f>
        <v>9</v>
      </c>
      <c r="T1239" s="24">
        <f>'TMT E DD'!E1363</f>
        <v>6</v>
      </c>
      <c r="U1239" s="24">
        <f>TA!E1363</f>
        <v>1513163000000</v>
      </c>
      <c r="V1239" s="109">
        <f>PR!F1363</f>
        <v>-0.13419847257536391</v>
      </c>
      <c r="W1239" s="109">
        <f>'Z Score'!I1363</f>
        <v>2.3696650261736507</v>
      </c>
      <c r="X1239" s="109">
        <f>'Z Score'!L1363</f>
        <v>0.24610671817907256</v>
      </c>
      <c r="Y1239" s="109">
        <f>'Z Score'!O1363</f>
        <v>-0.37011087371287821</v>
      </c>
      <c r="Z1239" s="109">
        <f>'Z Score'!R1363</f>
        <v>0.48120054238934651</v>
      </c>
      <c r="AA1239" s="109">
        <f>'Z Score'!S1363</f>
        <v>2.7268614130291913</v>
      </c>
    </row>
    <row r="1240" spans="1:27" ht="15" customHeight="1" x14ac:dyDescent="0.3">
      <c r="A1240" s="22"/>
      <c r="B1240" s="23"/>
      <c r="C1240" s="2"/>
      <c r="D1240" s="23">
        <v>2023</v>
      </c>
      <c r="E1240" s="25">
        <f>'Current Ratio'!G1364</f>
        <v>3.0357189872306813</v>
      </c>
      <c r="F1240" s="25">
        <f>'Cash Ratio'!G1364</f>
        <v>0.78178405911083959</v>
      </c>
      <c r="G1240" s="25">
        <f>DAR!G1364</f>
        <v>0.67546913072371129</v>
      </c>
      <c r="H1240" s="25">
        <f>DER!G1364</f>
        <v>2.0813709716737359</v>
      </c>
      <c r="I1240" s="25">
        <f>NPM!G1364</f>
        <v>0.11032676993323691</v>
      </c>
      <c r="J1240" s="25">
        <f>ROA!G1364</f>
        <v>2.0613904623271416E-2</v>
      </c>
      <c r="K1240" s="25">
        <f>ROE!G1364</f>
        <v>6.3519087318999565E-2</v>
      </c>
      <c r="L1240" s="25">
        <f>KM!E1364</f>
        <v>0.95</v>
      </c>
      <c r="M1240" s="24">
        <f>KI!E1364</f>
        <v>2</v>
      </c>
      <c r="N1240" s="108">
        <f>IO!E1364</f>
        <v>0</v>
      </c>
      <c r="O1240" s="24">
        <f>'BoC Size'!E1364</f>
        <v>4</v>
      </c>
      <c r="P1240" s="24">
        <f>'TMT E DK'!E1364</f>
        <v>9</v>
      </c>
      <c r="Q1240" s="24">
        <f>Data!R1364</f>
        <v>4</v>
      </c>
      <c r="R1240" s="24">
        <f>Data!S1364</f>
        <v>4</v>
      </c>
      <c r="S1240" s="24">
        <f>'TMT E DK'!E1364</f>
        <v>9</v>
      </c>
      <c r="T1240" s="24">
        <f>'TMT E DD'!E1364</f>
        <v>6</v>
      </c>
      <c r="U1240" s="24">
        <f>TA!E1364</f>
        <v>1580050000000</v>
      </c>
      <c r="V1240" s="109">
        <f>PR!F1364</f>
        <v>0.57921398501147403</v>
      </c>
      <c r="W1240" s="109">
        <f>'Z Score'!I1364</f>
        <v>2.5039142811936328</v>
      </c>
      <c r="X1240" s="109">
        <f>'Z Score'!L1364</f>
        <v>0.30169519951900253</v>
      </c>
      <c r="Y1240" s="109">
        <f>'Z Score'!O1364</f>
        <v>0.15306229549697795</v>
      </c>
      <c r="Z1240" s="109">
        <f>'Z Score'!R1364</f>
        <v>0.50447518212269571</v>
      </c>
      <c r="AA1240" s="109">
        <f>'Z Score'!S1364</f>
        <v>3.4631469583323091</v>
      </c>
    </row>
    <row r="1241" spans="1:27" ht="15" customHeight="1" x14ac:dyDescent="0.3">
      <c r="A1241" s="22"/>
      <c r="B1241" s="23"/>
      <c r="C1241" s="2"/>
      <c r="D1241" s="23">
        <v>2024</v>
      </c>
      <c r="E1241" s="25">
        <f>'Current Ratio'!G1365</f>
        <v>2.7078783360762153</v>
      </c>
      <c r="F1241" s="25">
        <f>'Cash Ratio'!G1365</f>
        <v>0.57392356361959329</v>
      </c>
      <c r="G1241" s="25">
        <f>DAR!G1365</f>
        <v>0.65602710887483218</v>
      </c>
      <c r="H1241" s="25">
        <f>DER!G1365</f>
        <v>1.9072058461610317</v>
      </c>
      <c r="I1241" s="25">
        <f>NPM!G1365</f>
        <v>0.14887188688190836</v>
      </c>
      <c r="J1241" s="25">
        <f>ROA!G1365</f>
        <v>2.9685552623237185E-2</v>
      </c>
      <c r="K1241" s="25">
        <f>ROE!G1365</f>
        <v>8.6302012132796091E-2</v>
      </c>
      <c r="L1241" s="25">
        <f>KM!E1365</f>
        <v>0.95</v>
      </c>
      <c r="M1241" s="24">
        <f>KI!E1365</f>
        <v>2</v>
      </c>
      <c r="N1241" s="108">
        <f>IO!E1365</f>
        <v>0</v>
      </c>
      <c r="O1241" s="24">
        <f>'BoC Size'!E1365</f>
        <v>3</v>
      </c>
      <c r="P1241" s="24">
        <f>'TMT E DK'!E1365</f>
        <v>8</v>
      </c>
      <c r="Q1241" s="24">
        <f>Data!R1365</f>
        <v>3</v>
      </c>
      <c r="R1241" s="24">
        <f>Data!S1365</f>
        <v>3</v>
      </c>
      <c r="S1241" s="24">
        <f>'TMT E DK'!E1365</f>
        <v>8</v>
      </c>
      <c r="T1241" s="24">
        <f>'TMT E DD'!E1365</f>
        <v>3</v>
      </c>
      <c r="U1241" s="24">
        <f>TA!E1365</f>
        <v>1618363000000</v>
      </c>
      <c r="V1241" s="109">
        <f>PR!F1365</f>
        <v>9.3095727636396897E-2</v>
      </c>
      <c r="W1241" s="109">
        <f>'Z Score'!I1365</f>
        <v>2.1916146130379897</v>
      </c>
      <c r="X1241" s="109">
        <f>'Z Score'!L1365</f>
        <v>0.39218188997153292</v>
      </c>
      <c r="Y1241" s="109">
        <f>'Z Score'!O1365</f>
        <v>0.21398689910730784</v>
      </c>
      <c r="Z1241" s="109">
        <f>'Z Score'!R1365</f>
        <v>0.55054361442605659</v>
      </c>
      <c r="AA1241" s="109">
        <f>'Z Score'!S1365</f>
        <v>3.3483270165428869</v>
      </c>
    </row>
    <row r="1242" spans="1:27" ht="15" customHeight="1" x14ac:dyDescent="0.3">
      <c r="A1242" s="22"/>
      <c r="B1242" s="23">
        <v>125</v>
      </c>
      <c r="C1242" s="2" t="s">
        <v>111</v>
      </c>
      <c r="D1242" s="23">
        <v>2015</v>
      </c>
      <c r="E1242" s="25">
        <f>'Current Ratio'!G1367</f>
        <v>0</v>
      </c>
      <c r="F1242" s="25">
        <f>'Cash Ratio'!G1367</f>
        <v>0</v>
      </c>
      <c r="G1242" s="25">
        <f>DAR!G1367</f>
        <v>0</v>
      </c>
      <c r="H1242" s="25">
        <f>DER!G1367</f>
        <v>0</v>
      </c>
      <c r="I1242" s="25">
        <f>NPM!G1367</f>
        <v>0</v>
      </c>
      <c r="J1242" s="25">
        <f>ROA!G1367</f>
        <v>0</v>
      </c>
      <c r="K1242" s="25">
        <f>ROE!G1367</f>
        <v>0</v>
      </c>
      <c r="L1242" s="25">
        <f>KM!E1367</f>
        <v>0</v>
      </c>
      <c r="M1242" s="24">
        <f>KI!E1367</f>
        <v>0</v>
      </c>
      <c r="N1242" s="108">
        <f>IO!E1367</f>
        <v>0</v>
      </c>
      <c r="O1242" s="24">
        <f>'BoC Size'!E1367</f>
        <v>0</v>
      </c>
      <c r="P1242" s="24">
        <f>'TMT E DK'!E1367</f>
        <v>0</v>
      </c>
      <c r="Q1242" s="24">
        <f>Data!R1367</f>
        <v>0</v>
      </c>
      <c r="R1242" s="24">
        <f>Data!S1367</f>
        <v>0</v>
      </c>
      <c r="S1242" s="24">
        <f>'TMT E DK'!E1367</f>
        <v>0</v>
      </c>
      <c r="T1242" s="24">
        <f>'TMT E DD'!E1367</f>
        <v>0</v>
      </c>
      <c r="U1242" s="24">
        <f>TA!E1367</f>
        <v>0</v>
      </c>
      <c r="V1242" s="109">
        <f>PR!F1367</f>
        <v>0</v>
      </c>
      <c r="W1242" s="109">
        <f>'Z Score'!I1367</f>
        <v>0</v>
      </c>
      <c r="X1242" s="109">
        <f>'Z Score'!L1367</f>
        <v>0</v>
      </c>
      <c r="Y1242" s="109">
        <f>'Z Score'!O1367</f>
        <v>0</v>
      </c>
      <c r="Z1242" s="109">
        <f>'Z Score'!R1367</f>
        <v>0</v>
      </c>
      <c r="AA1242" s="109">
        <f>'Z Score'!S1367</f>
        <v>0</v>
      </c>
    </row>
    <row r="1243" spans="1:27" ht="15" customHeight="1" x14ac:dyDescent="0.3">
      <c r="A1243" s="22"/>
      <c r="B1243" s="23"/>
      <c r="C1243" s="2"/>
      <c r="D1243" s="23">
        <v>2016</v>
      </c>
      <c r="E1243" s="25">
        <f>'Current Ratio'!G1368</f>
        <v>0</v>
      </c>
      <c r="F1243" s="25">
        <f>'Cash Ratio'!G1368</f>
        <v>0</v>
      </c>
      <c r="G1243" s="25">
        <f>DAR!G1368</f>
        <v>0</v>
      </c>
      <c r="H1243" s="25">
        <f>DER!G1368</f>
        <v>0</v>
      </c>
      <c r="I1243" s="25">
        <f>NPM!G1368</f>
        <v>0</v>
      </c>
      <c r="J1243" s="25">
        <f>ROA!G1368</f>
        <v>0</v>
      </c>
      <c r="K1243" s="25">
        <f>ROE!G1368</f>
        <v>0</v>
      </c>
      <c r="L1243" s="25">
        <f>KM!E1368</f>
        <v>0</v>
      </c>
      <c r="M1243" s="24">
        <f>KI!E1368</f>
        <v>0</v>
      </c>
      <c r="N1243" s="108">
        <f>IO!E1368</f>
        <v>0</v>
      </c>
      <c r="O1243" s="24">
        <f>'BoC Size'!E1368</f>
        <v>0</v>
      </c>
      <c r="P1243" s="24">
        <f>'TMT E DK'!E1368</f>
        <v>0</v>
      </c>
      <c r="Q1243" s="24">
        <f>Data!R1368</f>
        <v>0</v>
      </c>
      <c r="R1243" s="24">
        <f>Data!S1368</f>
        <v>0</v>
      </c>
      <c r="S1243" s="24">
        <f>'TMT E DK'!E1368</f>
        <v>0</v>
      </c>
      <c r="T1243" s="24">
        <f>'TMT E DD'!E1368</f>
        <v>0</v>
      </c>
      <c r="U1243" s="24">
        <f>TA!E1368</f>
        <v>0</v>
      </c>
      <c r="V1243" s="109">
        <f>PR!F1368</f>
        <v>0</v>
      </c>
      <c r="W1243" s="109">
        <f>'Z Score'!I1368</f>
        <v>0</v>
      </c>
      <c r="X1243" s="109">
        <f>'Z Score'!L1368</f>
        <v>0</v>
      </c>
      <c r="Y1243" s="109">
        <f>'Z Score'!O1368</f>
        <v>0</v>
      </c>
      <c r="Z1243" s="109">
        <f>'Z Score'!R1368</f>
        <v>0</v>
      </c>
      <c r="AA1243" s="109">
        <f>'Z Score'!S1368</f>
        <v>0</v>
      </c>
    </row>
    <row r="1244" spans="1:27" ht="15" customHeight="1" x14ac:dyDescent="0.3">
      <c r="A1244" s="22"/>
      <c r="B1244" s="23"/>
      <c r="C1244" s="2"/>
      <c r="D1244" s="23">
        <v>2017</v>
      </c>
      <c r="E1244" s="25">
        <f>'Current Ratio'!G1369</f>
        <v>0</v>
      </c>
      <c r="F1244" s="25">
        <f>'Cash Ratio'!G1369</f>
        <v>0</v>
      </c>
      <c r="G1244" s="25">
        <f>DAR!G1369</f>
        <v>0</v>
      </c>
      <c r="H1244" s="25">
        <f>DER!G1369</f>
        <v>0</v>
      </c>
      <c r="I1244" s="25">
        <f>NPM!G1369</f>
        <v>0</v>
      </c>
      <c r="J1244" s="25">
        <f>ROA!G1369</f>
        <v>0</v>
      </c>
      <c r="K1244" s="25">
        <f>ROE!G1369</f>
        <v>0</v>
      </c>
      <c r="L1244" s="25">
        <f>KM!E1369</f>
        <v>0</v>
      </c>
      <c r="M1244" s="24">
        <f>KI!E1369</f>
        <v>0</v>
      </c>
      <c r="N1244" s="108">
        <f>IO!E1369</f>
        <v>0</v>
      </c>
      <c r="O1244" s="24">
        <f>'BoC Size'!E1369</f>
        <v>0</v>
      </c>
      <c r="P1244" s="24">
        <f>'TMT E DK'!E1369</f>
        <v>0</v>
      </c>
      <c r="Q1244" s="24">
        <f>Data!R1369</f>
        <v>0</v>
      </c>
      <c r="R1244" s="24">
        <f>Data!S1369</f>
        <v>0</v>
      </c>
      <c r="S1244" s="24">
        <f>'TMT E DK'!E1369</f>
        <v>0</v>
      </c>
      <c r="T1244" s="24">
        <f>'TMT E DD'!E1369</f>
        <v>0</v>
      </c>
      <c r="U1244" s="24">
        <f>TA!E1369</f>
        <v>0</v>
      </c>
      <c r="V1244" s="109">
        <f>PR!F1369</f>
        <v>0</v>
      </c>
      <c r="W1244" s="109">
        <f>'Z Score'!I1369</f>
        <v>0</v>
      </c>
      <c r="X1244" s="109">
        <f>'Z Score'!L1369</f>
        <v>0</v>
      </c>
      <c r="Y1244" s="109">
        <f>'Z Score'!O1369</f>
        <v>0</v>
      </c>
      <c r="Z1244" s="109">
        <f>'Z Score'!R1369</f>
        <v>0</v>
      </c>
      <c r="AA1244" s="109">
        <f>'Z Score'!S1369</f>
        <v>0</v>
      </c>
    </row>
    <row r="1245" spans="1:27" ht="15" customHeight="1" x14ac:dyDescent="0.3">
      <c r="A1245" s="22"/>
      <c r="B1245" s="23"/>
      <c r="C1245" s="2"/>
      <c r="D1245" s="23">
        <v>2018</v>
      </c>
      <c r="E1245" s="25">
        <f>'Current Ratio'!G1370</f>
        <v>0</v>
      </c>
      <c r="F1245" s="25">
        <f>'Cash Ratio'!G1370</f>
        <v>0</v>
      </c>
      <c r="G1245" s="25">
        <f>DAR!G1370</f>
        <v>0</v>
      </c>
      <c r="H1245" s="25">
        <f>DER!G1370</f>
        <v>0</v>
      </c>
      <c r="I1245" s="25">
        <f>NPM!G1370</f>
        <v>0</v>
      </c>
      <c r="J1245" s="25">
        <f>ROA!G1370</f>
        <v>0</v>
      </c>
      <c r="K1245" s="25">
        <f>ROE!G1370</f>
        <v>0</v>
      </c>
      <c r="L1245" s="25">
        <f>KM!E1370</f>
        <v>0</v>
      </c>
      <c r="M1245" s="24">
        <f>KI!E1370</f>
        <v>0</v>
      </c>
      <c r="N1245" s="108">
        <f>IO!E1370</f>
        <v>0</v>
      </c>
      <c r="O1245" s="24">
        <f>'BoC Size'!E1370</f>
        <v>0</v>
      </c>
      <c r="P1245" s="24">
        <f>'TMT E DK'!E1370</f>
        <v>0</v>
      </c>
      <c r="Q1245" s="24">
        <f>Data!R1370</f>
        <v>0</v>
      </c>
      <c r="R1245" s="24">
        <f>Data!S1370</f>
        <v>0</v>
      </c>
      <c r="S1245" s="24">
        <f>'TMT E DK'!E1370</f>
        <v>0</v>
      </c>
      <c r="T1245" s="24">
        <f>'TMT E DD'!E1370</f>
        <v>0</v>
      </c>
      <c r="U1245" s="24">
        <f>TA!E1370</f>
        <v>0</v>
      </c>
      <c r="V1245" s="109">
        <f>PR!F1370</f>
        <v>0</v>
      </c>
      <c r="W1245" s="109">
        <f>'Z Score'!I1370</f>
        <v>0</v>
      </c>
      <c r="X1245" s="109">
        <f>'Z Score'!L1370</f>
        <v>0</v>
      </c>
      <c r="Y1245" s="109">
        <f>'Z Score'!O1370</f>
        <v>0</v>
      </c>
      <c r="Z1245" s="109">
        <f>'Z Score'!R1370</f>
        <v>0</v>
      </c>
      <c r="AA1245" s="109">
        <f>'Z Score'!S1370</f>
        <v>0</v>
      </c>
    </row>
    <row r="1246" spans="1:27" ht="15" customHeight="1" x14ac:dyDescent="0.3">
      <c r="A1246" s="22"/>
      <c r="B1246" s="23"/>
      <c r="C1246" s="2"/>
      <c r="D1246" s="23">
        <v>2019</v>
      </c>
      <c r="E1246" s="25">
        <f>'Current Ratio'!G1371</f>
        <v>0</v>
      </c>
      <c r="F1246" s="25">
        <f>'Cash Ratio'!G1371</f>
        <v>0</v>
      </c>
      <c r="G1246" s="25">
        <f>DAR!G1371</f>
        <v>0</v>
      </c>
      <c r="H1246" s="25">
        <f>DER!G1371</f>
        <v>0</v>
      </c>
      <c r="I1246" s="25">
        <f>NPM!G1371</f>
        <v>0</v>
      </c>
      <c r="J1246" s="25">
        <f>ROA!G1371</f>
        <v>0</v>
      </c>
      <c r="K1246" s="25">
        <f>ROE!G1371</f>
        <v>0</v>
      </c>
      <c r="L1246" s="25">
        <f>KM!E1371</f>
        <v>0</v>
      </c>
      <c r="M1246" s="24">
        <f>KI!E1371</f>
        <v>0</v>
      </c>
      <c r="N1246" s="108">
        <f>IO!E1371</f>
        <v>0</v>
      </c>
      <c r="O1246" s="24">
        <f>'BoC Size'!E1371</f>
        <v>0</v>
      </c>
      <c r="P1246" s="24">
        <f>'TMT E DK'!E1371</f>
        <v>0</v>
      </c>
      <c r="Q1246" s="24">
        <f>Data!R1371</f>
        <v>0</v>
      </c>
      <c r="R1246" s="24">
        <f>Data!S1371</f>
        <v>0</v>
      </c>
      <c r="S1246" s="24">
        <f>'TMT E DK'!E1371</f>
        <v>0</v>
      </c>
      <c r="T1246" s="24">
        <f>'TMT E DD'!E1371</f>
        <v>0</v>
      </c>
      <c r="U1246" s="24">
        <f>TA!E1371</f>
        <v>0</v>
      </c>
      <c r="V1246" s="109">
        <f>PR!F1371</f>
        <v>0</v>
      </c>
      <c r="W1246" s="109">
        <f>'Z Score'!I1371</f>
        <v>0</v>
      </c>
      <c r="X1246" s="109">
        <f>'Z Score'!L1371</f>
        <v>0</v>
      </c>
      <c r="Y1246" s="109">
        <f>'Z Score'!O1371</f>
        <v>0</v>
      </c>
      <c r="Z1246" s="109">
        <f>'Z Score'!R1371</f>
        <v>0</v>
      </c>
      <c r="AA1246" s="109">
        <f>'Z Score'!S1371</f>
        <v>0</v>
      </c>
    </row>
    <row r="1247" spans="1:27" ht="15" customHeight="1" x14ac:dyDescent="0.3">
      <c r="A1247" s="22"/>
      <c r="B1247" s="23"/>
      <c r="C1247" s="2"/>
      <c r="D1247" s="23">
        <v>2020</v>
      </c>
      <c r="E1247" s="25">
        <f>'Current Ratio'!G1372</f>
        <v>0</v>
      </c>
      <c r="F1247" s="25">
        <f>'Cash Ratio'!G1372</f>
        <v>0</v>
      </c>
      <c r="G1247" s="25">
        <f>DAR!G1372</f>
        <v>0</v>
      </c>
      <c r="H1247" s="25">
        <f>DER!G1372</f>
        <v>0</v>
      </c>
      <c r="I1247" s="25">
        <f>NPM!G1372</f>
        <v>0</v>
      </c>
      <c r="J1247" s="25">
        <f>ROA!G1372</f>
        <v>0</v>
      </c>
      <c r="K1247" s="25">
        <f>ROE!G1372</f>
        <v>0</v>
      </c>
      <c r="L1247" s="25">
        <f>KM!E1372</f>
        <v>0</v>
      </c>
      <c r="M1247" s="24">
        <f>KI!E1372</f>
        <v>0</v>
      </c>
      <c r="N1247" s="108">
        <f>IO!E1372</f>
        <v>0</v>
      </c>
      <c r="O1247" s="24">
        <f>'BoC Size'!E1372</f>
        <v>0</v>
      </c>
      <c r="P1247" s="24">
        <f>'TMT E DK'!E1372</f>
        <v>0</v>
      </c>
      <c r="Q1247" s="24">
        <f>Data!R1372</f>
        <v>0</v>
      </c>
      <c r="R1247" s="24">
        <f>Data!S1372</f>
        <v>0</v>
      </c>
      <c r="S1247" s="24">
        <f>'TMT E DK'!E1372</f>
        <v>0</v>
      </c>
      <c r="T1247" s="24">
        <f>'TMT E DD'!E1372</f>
        <v>0</v>
      </c>
      <c r="U1247" s="24">
        <f>TA!E1372</f>
        <v>0</v>
      </c>
      <c r="V1247" s="109">
        <f>PR!F1372</f>
        <v>0</v>
      </c>
      <c r="W1247" s="109">
        <f>'Z Score'!I1372</f>
        <v>0</v>
      </c>
      <c r="X1247" s="109">
        <f>'Z Score'!L1372</f>
        <v>0</v>
      </c>
      <c r="Y1247" s="109">
        <f>'Z Score'!O1372</f>
        <v>0</v>
      </c>
      <c r="Z1247" s="109">
        <f>'Z Score'!R1372</f>
        <v>0</v>
      </c>
      <c r="AA1247" s="109">
        <f>'Z Score'!S1372</f>
        <v>0</v>
      </c>
    </row>
    <row r="1248" spans="1:27" ht="15" customHeight="1" x14ac:dyDescent="0.3">
      <c r="A1248" s="22"/>
      <c r="B1248" s="23"/>
      <c r="C1248" s="2"/>
      <c r="D1248" s="23">
        <v>2021</v>
      </c>
      <c r="E1248" s="25">
        <f>'Current Ratio'!G1373</f>
        <v>0</v>
      </c>
      <c r="F1248" s="25">
        <f>'Cash Ratio'!G1373</f>
        <v>0</v>
      </c>
      <c r="G1248" s="25">
        <f>DAR!G1373</f>
        <v>0</v>
      </c>
      <c r="H1248" s="25">
        <f>DER!G1373</f>
        <v>0</v>
      </c>
      <c r="I1248" s="25">
        <f>NPM!G1373</f>
        <v>0</v>
      </c>
      <c r="J1248" s="25">
        <f>ROA!G1373</f>
        <v>0</v>
      </c>
      <c r="K1248" s="25">
        <f>ROE!G1373</f>
        <v>0</v>
      </c>
      <c r="L1248" s="25">
        <f>KM!E1373</f>
        <v>0</v>
      </c>
      <c r="M1248" s="24">
        <f>KI!E1373</f>
        <v>0</v>
      </c>
      <c r="N1248" s="108">
        <f>IO!E1373</f>
        <v>0</v>
      </c>
      <c r="O1248" s="24">
        <f>'BoC Size'!E1373</f>
        <v>0</v>
      </c>
      <c r="P1248" s="24">
        <f>'TMT E DK'!E1373</f>
        <v>0</v>
      </c>
      <c r="Q1248" s="24">
        <f>Data!R1373</f>
        <v>0</v>
      </c>
      <c r="R1248" s="24">
        <f>Data!S1373</f>
        <v>0</v>
      </c>
      <c r="S1248" s="24">
        <f>'TMT E DK'!E1373</f>
        <v>0</v>
      </c>
      <c r="T1248" s="24">
        <f>'TMT E DD'!E1373</f>
        <v>0</v>
      </c>
      <c r="U1248" s="24">
        <f>TA!E1373</f>
        <v>0</v>
      </c>
      <c r="V1248" s="109">
        <f>PR!F1373</f>
        <v>0</v>
      </c>
      <c r="W1248" s="109">
        <f>'Z Score'!I1373</f>
        <v>0</v>
      </c>
      <c r="X1248" s="109">
        <f>'Z Score'!L1373</f>
        <v>0</v>
      </c>
      <c r="Y1248" s="109">
        <f>'Z Score'!O1373</f>
        <v>0</v>
      </c>
      <c r="Z1248" s="109">
        <f>'Z Score'!R1373</f>
        <v>0</v>
      </c>
      <c r="AA1248" s="109">
        <f>'Z Score'!S1373</f>
        <v>0</v>
      </c>
    </row>
    <row r="1249" spans="1:27" ht="15" customHeight="1" x14ac:dyDescent="0.3">
      <c r="A1249" s="22"/>
      <c r="B1249" s="23"/>
      <c r="C1249" s="2"/>
      <c r="D1249" s="23">
        <v>2022</v>
      </c>
      <c r="E1249" s="25">
        <f>'Current Ratio'!G1374</f>
        <v>0</v>
      </c>
      <c r="F1249" s="25">
        <f>'Cash Ratio'!G1374</f>
        <v>0</v>
      </c>
      <c r="G1249" s="25">
        <f>DAR!G1374</f>
        <v>0</v>
      </c>
      <c r="H1249" s="25">
        <f>DER!G1374</f>
        <v>0</v>
      </c>
      <c r="I1249" s="25">
        <f>NPM!G1374</f>
        <v>0</v>
      </c>
      <c r="J1249" s="25">
        <f>ROA!G1374</f>
        <v>0</v>
      </c>
      <c r="K1249" s="25">
        <f>ROE!G1374</f>
        <v>0</v>
      </c>
      <c r="L1249" s="25">
        <f>KM!E1374</f>
        <v>0</v>
      </c>
      <c r="M1249" s="24">
        <f>KI!E1374</f>
        <v>0</v>
      </c>
      <c r="N1249" s="108">
        <f>IO!E1374</f>
        <v>0</v>
      </c>
      <c r="O1249" s="24">
        <f>'BoC Size'!E1374</f>
        <v>0</v>
      </c>
      <c r="P1249" s="24">
        <f>'TMT E DK'!E1374</f>
        <v>0</v>
      </c>
      <c r="Q1249" s="24">
        <f>Data!R1374</f>
        <v>0</v>
      </c>
      <c r="R1249" s="24">
        <f>Data!S1374</f>
        <v>0</v>
      </c>
      <c r="S1249" s="24">
        <f>'TMT E DK'!E1374</f>
        <v>0</v>
      </c>
      <c r="T1249" s="24">
        <f>'TMT E DD'!E1374</f>
        <v>0</v>
      </c>
      <c r="U1249" s="24">
        <f>TA!E1374</f>
        <v>0</v>
      </c>
      <c r="V1249" s="109">
        <f>PR!F1374</f>
        <v>0</v>
      </c>
      <c r="W1249" s="109">
        <f>'Z Score'!I1374</f>
        <v>0</v>
      </c>
      <c r="X1249" s="109">
        <f>'Z Score'!L1374</f>
        <v>0</v>
      </c>
      <c r="Y1249" s="109">
        <f>'Z Score'!O1374</f>
        <v>0</v>
      </c>
      <c r="Z1249" s="109">
        <f>'Z Score'!R1374</f>
        <v>0</v>
      </c>
      <c r="AA1249" s="109">
        <f>'Z Score'!S1374</f>
        <v>0</v>
      </c>
    </row>
    <row r="1250" spans="1:27" ht="15" customHeight="1" x14ac:dyDescent="0.3">
      <c r="A1250" s="22"/>
      <c r="B1250" s="23"/>
      <c r="C1250" s="2"/>
      <c r="D1250" s="23">
        <v>2023</v>
      </c>
      <c r="E1250" s="25">
        <f>'Current Ratio'!G1375</f>
        <v>0</v>
      </c>
      <c r="F1250" s="25">
        <f>'Cash Ratio'!G1375</f>
        <v>0</v>
      </c>
      <c r="G1250" s="25">
        <f>DAR!G1375</f>
        <v>0</v>
      </c>
      <c r="H1250" s="25">
        <f>DER!G1375</f>
        <v>0</v>
      </c>
      <c r="I1250" s="25">
        <f>NPM!G1375</f>
        <v>0</v>
      </c>
      <c r="J1250" s="25">
        <f>ROA!G1375</f>
        <v>0</v>
      </c>
      <c r="K1250" s="25">
        <f>ROE!G1375</f>
        <v>0</v>
      </c>
      <c r="L1250" s="25">
        <f>KM!E1375</f>
        <v>0</v>
      </c>
      <c r="M1250" s="24">
        <f>KI!E1375</f>
        <v>0</v>
      </c>
      <c r="N1250" s="108">
        <f>IO!E1375</f>
        <v>0</v>
      </c>
      <c r="O1250" s="24">
        <f>'BoC Size'!E1375</f>
        <v>0</v>
      </c>
      <c r="P1250" s="24">
        <f>'TMT E DK'!E1375</f>
        <v>0</v>
      </c>
      <c r="Q1250" s="24">
        <f>Data!R1375</f>
        <v>0</v>
      </c>
      <c r="R1250" s="24">
        <f>Data!S1375</f>
        <v>0</v>
      </c>
      <c r="S1250" s="24">
        <f>'TMT E DK'!E1375</f>
        <v>0</v>
      </c>
      <c r="T1250" s="24">
        <f>'TMT E DD'!E1375</f>
        <v>0</v>
      </c>
      <c r="U1250" s="24">
        <f>TA!E1375</f>
        <v>0</v>
      </c>
      <c r="V1250" s="109">
        <f>PR!F1375</f>
        <v>0</v>
      </c>
      <c r="W1250" s="109">
        <f>'Z Score'!I1375</f>
        <v>0</v>
      </c>
      <c r="X1250" s="109">
        <f>'Z Score'!L1375</f>
        <v>0</v>
      </c>
      <c r="Y1250" s="109">
        <f>'Z Score'!O1375</f>
        <v>0</v>
      </c>
      <c r="Z1250" s="109">
        <f>'Z Score'!R1375</f>
        <v>0</v>
      </c>
      <c r="AA1250" s="109">
        <f>'Z Score'!S1375</f>
        <v>0</v>
      </c>
    </row>
    <row r="1251" spans="1:27" ht="15" customHeight="1" x14ac:dyDescent="0.3">
      <c r="A1251" s="22"/>
      <c r="B1251" s="23"/>
      <c r="C1251" s="2"/>
      <c r="D1251" s="23">
        <v>2024</v>
      </c>
      <c r="E1251" s="25">
        <f>'Current Ratio'!G1376</f>
        <v>0</v>
      </c>
      <c r="F1251" s="25">
        <f>'Cash Ratio'!G1376</f>
        <v>0</v>
      </c>
      <c r="G1251" s="25">
        <f>DAR!G1376</f>
        <v>0</v>
      </c>
      <c r="H1251" s="25">
        <f>DER!G1376</f>
        <v>0</v>
      </c>
      <c r="I1251" s="25">
        <f>NPM!G1376</f>
        <v>0</v>
      </c>
      <c r="J1251" s="25">
        <f>ROA!G1376</f>
        <v>0</v>
      </c>
      <c r="K1251" s="25">
        <f>ROE!G1376</f>
        <v>0</v>
      </c>
      <c r="L1251" s="25">
        <f>KM!E1376</f>
        <v>0</v>
      </c>
      <c r="M1251" s="24">
        <f>KI!E1376</f>
        <v>0</v>
      </c>
      <c r="N1251" s="108">
        <f>IO!E1376</f>
        <v>0</v>
      </c>
      <c r="O1251" s="24">
        <f>'BoC Size'!E1376</f>
        <v>0</v>
      </c>
      <c r="P1251" s="24">
        <f>'TMT E DK'!E1376</f>
        <v>0</v>
      </c>
      <c r="Q1251" s="24">
        <f>Data!R1376</f>
        <v>0</v>
      </c>
      <c r="R1251" s="24">
        <f>Data!S1376</f>
        <v>0</v>
      </c>
      <c r="S1251" s="24">
        <f>'TMT E DK'!E1376</f>
        <v>0</v>
      </c>
      <c r="T1251" s="24">
        <f>'TMT E DD'!E1376</f>
        <v>0</v>
      </c>
      <c r="U1251" s="24">
        <f>TA!E1376</f>
        <v>0</v>
      </c>
      <c r="V1251" s="109">
        <f>PR!F1376</f>
        <v>0</v>
      </c>
      <c r="W1251" s="109">
        <f>'Z Score'!I1376</f>
        <v>0</v>
      </c>
      <c r="X1251" s="109">
        <f>'Z Score'!L1376</f>
        <v>0</v>
      </c>
      <c r="Y1251" s="109">
        <f>'Z Score'!O1376</f>
        <v>0</v>
      </c>
      <c r="Z1251" s="109">
        <f>'Z Score'!R1376</f>
        <v>0</v>
      </c>
      <c r="AA1251" s="109">
        <f>'Z Score'!S1376</f>
        <v>0</v>
      </c>
    </row>
    <row r="1252" spans="1:27" ht="15" customHeight="1" x14ac:dyDescent="0.3">
      <c r="A1252" s="22"/>
      <c r="B1252" s="23">
        <v>126</v>
      </c>
      <c r="C1252" s="2" t="s">
        <v>86</v>
      </c>
      <c r="D1252" s="23">
        <v>2015</v>
      </c>
      <c r="E1252" s="25">
        <f>'Current Ratio'!G1378</f>
        <v>0</v>
      </c>
      <c r="F1252" s="25">
        <f>'Cash Ratio'!G1378</f>
        <v>0</v>
      </c>
      <c r="G1252" s="25">
        <f>DAR!G1378</f>
        <v>0</v>
      </c>
      <c r="H1252" s="25">
        <f>DER!G1378</f>
        <v>0</v>
      </c>
      <c r="I1252" s="25">
        <f>NPM!G1378</f>
        <v>0</v>
      </c>
      <c r="J1252" s="25">
        <f>ROA!G1378</f>
        <v>0</v>
      </c>
      <c r="K1252" s="25">
        <f>ROE!G1378</f>
        <v>0</v>
      </c>
      <c r="L1252" s="25">
        <f>KM!E1378</f>
        <v>0</v>
      </c>
      <c r="M1252" s="24">
        <f>KI!E1378</f>
        <v>0</v>
      </c>
      <c r="N1252" s="108">
        <f>IO!E1378</f>
        <v>0</v>
      </c>
      <c r="O1252" s="24">
        <f>'BoC Size'!E1378</f>
        <v>0</v>
      </c>
      <c r="P1252" s="24">
        <f>'TMT E DK'!E1378</f>
        <v>0</v>
      </c>
      <c r="Q1252" s="24">
        <f>Data!R1378</f>
        <v>0</v>
      </c>
      <c r="R1252" s="24">
        <f>Data!S1378</f>
        <v>0</v>
      </c>
      <c r="S1252" s="24">
        <f>'TMT E DK'!E1378</f>
        <v>0</v>
      </c>
      <c r="T1252" s="24">
        <f>'TMT E DD'!E1378</f>
        <v>0</v>
      </c>
      <c r="U1252" s="24">
        <f>TA!E1378</f>
        <v>0</v>
      </c>
      <c r="V1252" s="109">
        <f>PR!F1378</f>
        <v>0</v>
      </c>
      <c r="W1252" s="109">
        <f>'Z Score'!I1378</f>
        <v>0</v>
      </c>
      <c r="X1252" s="109">
        <f>'Z Score'!L1378</f>
        <v>0</v>
      </c>
      <c r="Y1252" s="109">
        <f>'Z Score'!O1378</f>
        <v>0</v>
      </c>
      <c r="Z1252" s="109">
        <f>'Z Score'!R1378</f>
        <v>0</v>
      </c>
      <c r="AA1252" s="109">
        <f>'Z Score'!S1378</f>
        <v>0</v>
      </c>
    </row>
    <row r="1253" spans="1:27" ht="15" customHeight="1" x14ac:dyDescent="0.3">
      <c r="A1253" s="22"/>
      <c r="B1253" s="23"/>
      <c r="C1253" s="2"/>
      <c r="D1253" s="23">
        <v>2016</v>
      </c>
      <c r="E1253" s="25">
        <f>'Current Ratio'!G1379</f>
        <v>7.1502802731756994</v>
      </c>
      <c r="F1253" s="25">
        <f>'Cash Ratio'!G1379</f>
        <v>0.14128272627638128</v>
      </c>
      <c r="G1253" s="25">
        <f>DAR!G1379</f>
        <v>0.48453655830897879</v>
      </c>
      <c r="H1253" s="25">
        <f>DER!G1379</f>
        <v>0.94000179085332569</v>
      </c>
      <c r="I1253" s="25">
        <f>NPM!G1379</f>
        <v>8.3843041173708499E-2</v>
      </c>
      <c r="J1253" s="25">
        <f>ROA!G1379</f>
        <v>3.6140642080223516E-2</v>
      </c>
      <c r="K1253" s="25">
        <f>ROE!G1379</f>
        <v>7.0112910358222688E-2</v>
      </c>
      <c r="L1253" s="25">
        <f>KM!E1379</f>
        <v>0.5887</v>
      </c>
      <c r="M1253" s="24">
        <f>KI!E1379</f>
        <v>2</v>
      </c>
      <c r="N1253" s="108">
        <f>IO!E1379</f>
        <v>0</v>
      </c>
      <c r="O1253" s="24">
        <f>'BoC Size'!E1379</f>
        <v>3</v>
      </c>
      <c r="P1253" s="24">
        <f>'TMT E DK'!E1379</f>
        <v>9</v>
      </c>
      <c r="Q1253" s="24">
        <f>Data!R1379</f>
        <v>3</v>
      </c>
      <c r="R1253" s="24">
        <f>Data!S1379</f>
        <v>3</v>
      </c>
      <c r="S1253" s="24">
        <f>'TMT E DK'!E1379</f>
        <v>9</v>
      </c>
      <c r="T1253" s="24">
        <f>'TMT E DD'!E1379</f>
        <v>5</v>
      </c>
      <c r="U1253" s="24">
        <f>TA!E1379</f>
        <v>2300958312318</v>
      </c>
      <c r="V1253" s="109">
        <f>PR!F1379</f>
        <v>0</v>
      </c>
      <c r="W1253" s="109">
        <f>'Z Score'!I1379</f>
        <v>2.1955538650705524</v>
      </c>
      <c r="X1253" s="109">
        <f>'Z Score'!L1379</f>
        <v>0.77660325094675597</v>
      </c>
      <c r="Y1253" s="109">
        <f>'Z Score'!O1379</f>
        <v>0.25096572869575434</v>
      </c>
      <c r="Z1253" s="109">
        <f>'Z Score'!R1379</f>
        <v>1.1170191484920671</v>
      </c>
      <c r="AA1253" s="109">
        <f>'Z Score'!S1379</f>
        <v>4.3401419932051297</v>
      </c>
    </row>
    <row r="1254" spans="1:27" ht="15" customHeight="1" x14ac:dyDescent="0.3">
      <c r="A1254" s="22"/>
      <c r="B1254" s="23"/>
      <c r="C1254" s="2"/>
      <c r="D1254" s="23">
        <v>2017</v>
      </c>
      <c r="E1254" s="25">
        <f>'Current Ratio'!G1380</f>
        <v>7.6043613505684178</v>
      </c>
      <c r="F1254" s="25">
        <f>'Cash Ratio'!G1380</f>
        <v>0.19547545961238993</v>
      </c>
      <c r="G1254" s="25">
        <f>DAR!G1380</f>
        <v>0.54655575955586955</v>
      </c>
      <c r="H1254" s="25">
        <f>DER!G1380</f>
        <v>1.2053428201459571</v>
      </c>
      <c r="I1254" s="25">
        <f>NPM!G1380</f>
        <v>8.2960017209700324E-2</v>
      </c>
      <c r="J1254" s="25">
        <f>ROA!G1380</f>
        <v>3.8878600400401982E-2</v>
      </c>
      <c r="K1254" s="25">
        <f>ROE!G1380</f>
        <v>8.5740642250350232E-2</v>
      </c>
      <c r="L1254" s="25">
        <f>KM!E1380</f>
        <v>0.65790000000000004</v>
      </c>
      <c r="M1254" s="24">
        <f>KI!E1380</f>
        <v>2</v>
      </c>
      <c r="N1254" s="108">
        <f>IO!E1380</f>
        <v>0</v>
      </c>
      <c r="O1254" s="24">
        <f>'BoC Size'!E1380</f>
        <v>3</v>
      </c>
      <c r="P1254" s="24">
        <f>'TMT E DK'!E1380</f>
        <v>9</v>
      </c>
      <c r="Q1254" s="24">
        <f>Data!R1380</f>
        <v>3</v>
      </c>
      <c r="R1254" s="24">
        <f>Data!S1380</f>
        <v>3</v>
      </c>
      <c r="S1254" s="24">
        <f>'TMT E DK'!E1380</f>
        <v>9</v>
      </c>
      <c r="T1254" s="24">
        <f>'TMT E DD'!E1380</f>
        <v>5</v>
      </c>
      <c r="U1254" s="24">
        <f>TA!E1380</f>
        <v>2363109344956</v>
      </c>
      <c r="V1254" s="109">
        <f>PR!F1380</f>
        <v>0.11657529545828146</v>
      </c>
      <c r="W1254" s="109">
        <f>'Z Score'!I1380</f>
        <v>2.2767880034572072</v>
      </c>
      <c r="X1254" s="109">
        <f>'Z Score'!L1380</f>
        <v>0.84444534559345819</v>
      </c>
      <c r="Y1254" s="109">
        <f>'Z Score'!O1380</f>
        <v>0.27526924347302761</v>
      </c>
      <c r="Z1254" s="109">
        <f>'Z Score'!R1380</f>
        <v>0.87112146225158893</v>
      </c>
      <c r="AA1254" s="109">
        <f>'Z Score'!S1380</f>
        <v>4.2676240547752817</v>
      </c>
    </row>
    <row r="1255" spans="1:27" ht="15" customHeight="1" x14ac:dyDescent="0.3">
      <c r="A1255" s="22"/>
      <c r="B1255" s="23"/>
      <c r="C1255" s="2"/>
      <c r="D1255" s="23">
        <v>2018</v>
      </c>
      <c r="E1255" s="25">
        <f>'Current Ratio'!G1381</f>
        <v>9.8502673619705892</v>
      </c>
      <c r="F1255" s="25">
        <f>'Cash Ratio'!G1381</f>
        <v>0.1376823126508091</v>
      </c>
      <c r="G1255" s="25">
        <f>DAR!G1381</f>
        <v>0.64597448075797259</v>
      </c>
      <c r="H1255" s="25">
        <f>DER!G1381</f>
        <v>1.8246551326045966</v>
      </c>
      <c r="I1255" s="25">
        <f>NPM!G1381</f>
        <v>6.0655093909114277E-2</v>
      </c>
      <c r="J1255" s="25">
        <f>ROA!G1381</f>
        <v>2.7638617730143086E-2</v>
      </c>
      <c r="K1255" s="25">
        <f>ROE!G1381</f>
        <v>7.8069563429545075E-2</v>
      </c>
      <c r="L1255" s="25">
        <f>KM!E1381</f>
        <v>0.65790000000000004</v>
      </c>
      <c r="M1255" s="24">
        <f>KI!E1381</f>
        <v>2</v>
      </c>
      <c r="N1255" s="108">
        <f>IO!E1381</f>
        <v>0</v>
      </c>
      <c r="O1255" s="24">
        <f>'BoC Size'!E1381</f>
        <v>3</v>
      </c>
      <c r="P1255" s="24">
        <f>'TMT E DK'!E1381</f>
        <v>9</v>
      </c>
      <c r="Q1255" s="24">
        <f>Data!R1381</f>
        <v>3</v>
      </c>
      <c r="R1255" s="24">
        <f>Data!S1381</f>
        <v>3</v>
      </c>
      <c r="S1255" s="24">
        <f>'TMT E DK'!E1381</f>
        <v>9</v>
      </c>
      <c r="T1255" s="24">
        <f>'TMT E DD'!E1381</f>
        <v>5</v>
      </c>
      <c r="U1255" s="24">
        <f>TA!E1381</f>
        <v>2485186649117</v>
      </c>
      <c r="V1255" s="109">
        <f>PR!F1381</f>
        <v>2.2545036953517249E-2</v>
      </c>
      <c r="W1255" s="109">
        <f>'Z Score'!I1381</f>
        <v>2.7985508418410019</v>
      </c>
      <c r="X1255" s="109">
        <f>'Z Score'!L1381</f>
        <v>0.84593234152851193</v>
      </c>
      <c r="Y1255" s="109">
        <f>'Z Score'!O1381</f>
        <v>0.21116693151380819</v>
      </c>
      <c r="Z1255" s="109">
        <f>'Z Score'!R1381</f>
        <v>0.57545120786807624</v>
      </c>
      <c r="AA1255" s="109">
        <f>'Z Score'!S1381</f>
        <v>4.4311013227513989</v>
      </c>
    </row>
    <row r="1256" spans="1:27" ht="15" customHeight="1" x14ac:dyDescent="0.3">
      <c r="A1256" s="22"/>
      <c r="B1256" s="23"/>
      <c r="C1256" s="2"/>
      <c r="D1256" s="23">
        <v>2019</v>
      </c>
      <c r="E1256" s="25">
        <f>'Current Ratio'!G1382</f>
        <v>8.6268165260209653</v>
      </c>
      <c r="F1256" s="25">
        <f>'Cash Ratio'!G1382</f>
        <v>0.13057702898550586</v>
      </c>
      <c r="G1256" s="25">
        <f>DAR!G1382</f>
        <v>0.64991145045445919</v>
      </c>
      <c r="H1256" s="25">
        <f>DER!G1382</f>
        <v>1.8564201865445937</v>
      </c>
      <c r="I1256" s="25">
        <f>NPM!G1382</f>
        <v>6.852520533830854E-2</v>
      </c>
      <c r="J1256" s="25">
        <f>ROA!G1382</f>
        <v>3.3008352539873304E-2</v>
      </c>
      <c r="K1256" s="25">
        <f>ROE!G1382</f>
        <v>9.4285724519474617E-2</v>
      </c>
      <c r="L1256" s="25">
        <f>KM!E1382</f>
        <v>0.65790000000000004</v>
      </c>
      <c r="M1256" s="24">
        <f>KI!E1382</f>
        <v>2</v>
      </c>
      <c r="N1256" s="108">
        <f>IO!E1382</f>
        <v>0</v>
      </c>
      <c r="O1256" s="24">
        <f>'BoC Size'!E1382</f>
        <v>3</v>
      </c>
      <c r="P1256" s="24">
        <f>'TMT E DK'!E1382</f>
        <v>5</v>
      </c>
      <c r="Q1256" s="24">
        <f>Data!R1382</f>
        <v>3</v>
      </c>
      <c r="R1256" s="24">
        <f>Data!S1382</f>
        <v>3</v>
      </c>
      <c r="S1256" s="24">
        <f>'TMT E DK'!E1382</f>
        <v>5</v>
      </c>
      <c r="T1256" s="24">
        <f>'TMT E DD'!E1382</f>
        <v>5</v>
      </c>
      <c r="U1256" s="24">
        <f>TA!E1382</f>
        <v>2423706043201</v>
      </c>
      <c r="V1256" s="109">
        <f>PR!F1382</f>
        <v>3.0968503472819355E-2</v>
      </c>
      <c r="W1256" s="109">
        <f>'Z Score'!I1382</f>
        <v>2.768930991810282</v>
      </c>
      <c r="X1256" s="109">
        <f>'Z Score'!L1382</f>
        <v>0.9073699658891673</v>
      </c>
      <c r="Y1256" s="109">
        <f>'Z Score'!O1382</f>
        <v>0.24336345827266806</v>
      </c>
      <c r="Z1256" s="109">
        <f>'Z Score'!R1382</f>
        <v>0.56560470932736084</v>
      </c>
      <c r="AA1256" s="109">
        <f>'Z Score'!S1382</f>
        <v>4.4852691252994781</v>
      </c>
    </row>
    <row r="1257" spans="1:27" ht="15" customHeight="1" x14ac:dyDescent="0.3">
      <c r="A1257" s="22"/>
      <c r="B1257" s="23"/>
      <c r="C1257" s="2"/>
      <c r="D1257" s="23">
        <v>2020</v>
      </c>
      <c r="E1257" s="25">
        <f>'Current Ratio'!G1383</f>
        <v>7.2577420985271344</v>
      </c>
      <c r="F1257" s="25">
        <f>'Cash Ratio'!G1383</f>
        <v>0.12539826106111687</v>
      </c>
      <c r="G1257" s="25">
        <f>DAR!G1383</f>
        <v>0.6941731483922684</v>
      </c>
      <c r="H1257" s="25">
        <f>DER!G1383</f>
        <v>2.2698240679096702</v>
      </c>
      <c r="I1257" s="25">
        <f>NPM!G1383</f>
        <v>7.6145593315773835E-2</v>
      </c>
      <c r="J1257" s="25">
        <f>ROA!G1383</f>
        <v>3.2998010379626179E-2</v>
      </c>
      <c r="K1257" s="25">
        <f>ROE!G1383</f>
        <v>0.10789768853243478</v>
      </c>
      <c r="L1257" s="25">
        <f>KM!E1383</f>
        <v>0.65790000000000004</v>
      </c>
      <c r="M1257" s="24">
        <f>KI!E1383</f>
        <v>2</v>
      </c>
      <c r="N1257" s="108">
        <f>IO!E1383</f>
        <v>0</v>
      </c>
      <c r="O1257" s="24">
        <f>'BoC Size'!E1383</f>
        <v>3</v>
      </c>
      <c r="P1257" s="24">
        <f>'TMT E DK'!E1383</f>
        <v>4</v>
      </c>
      <c r="Q1257" s="24">
        <f>Data!R1383</f>
        <v>3</v>
      </c>
      <c r="R1257" s="24">
        <f>Data!S1383</f>
        <v>3</v>
      </c>
      <c r="S1257" s="24">
        <f>'TMT E DK'!E1383</f>
        <v>4</v>
      </c>
      <c r="T1257" s="24">
        <f>'TMT E DD'!E1383</f>
        <v>5</v>
      </c>
      <c r="U1257" s="24">
        <f>TA!E1383</f>
        <v>2815578393095</v>
      </c>
      <c r="V1257" s="109">
        <f>PR!F1383</f>
        <v>4.5098331510139089E-2</v>
      </c>
      <c r="W1257" s="109">
        <f>'Z Score'!I1383</f>
        <v>2.8025685498542168</v>
      </c>
      <c r="X1257" s="109">
        <f>'Z Score'!L1383</f>
        <v>0.85345860313851374</v>
      </c>
      <c r="Y1257" s="109">
        <f>'Z Score'!O1383</f>
        <v>0.26710829371950812</v>
      </c>
      <c r="Z1257" s="109">
        <f>'Z Score'!R1383</f>
        <v>0.4625909183203647</v>
      </c>
      <c r="AA1257" s="109">
        <f>'Z Score'!S1383</f>
        <v>4.3857263650326033</v>
      </c>
    </row>
    <row r="1258" spans="1:27" ht="15" customHeight="1" x14ac:dyDescent="0.3">
      <c r="A1258" s="22"/>
      <c r="B1258" s="23"/>
      <c r="C1258" s="2"/>
      <c r="D1258" s="23">
        <v>2021</v>
      </c>
      <c r="E1258" s="25">
        <f>'Current Ratio'!G1384</f>
        <v>7.5937235623924471</v>
      </c>
      <c r="F1258" s="25">
        <f>'Cash Ratio'!G1384</f>
        <v>0.1591162839120244</v>
      </c>
      <c r="G1258" s="25">
        <f>DAR!G1384</f>
        <v>0.70176211442046366</v>
      </c>
      <c r="H1258" s="25">
        <f>DER!G1384</f>
        <v>2.3530280636774181</v>
      </c>
      <c r="I1258" s="25">
        <f>NPM!G1384</f>
        <v>5.6099013665877835E-2</v>
      </c>
      <c r="J1258" s="25">
        <f>ROA!G1384</f>
        <v>3.3655536456726837E-2</v>
      </c>
      <c r="K1258" s="25">
        <f>ROE!G1384</f>
        <v>0.11284795823752354</v>
      </c>
      <c r="L1258" s="25">
        <f>KM!E1384</f>
        <v>0.65790000000000004</v>
      </c>
      <c r="M1258" s="24">
        <f>KI!E1384</f>
        <v>2</v>
      </c>
      <c r="N1258" s="108">
        <f>IO!E1384</f>
        <v>0</v>
      </c>
      <c r="O1258" s="24">
        <f>'BoC Size'!E1384</f>
        <v>3</v>
      </c>
      <c r="P1258" s="24">
        <f>'TMT E DK'!E1384</f>
        <v>2</v>
      </c>
      <c r="Q1258" s="24">
        <f>Data!R1384</f>
        <v>3</v>
      </c>
      <c r="R1258" s="24">
        <f>Data!S1384</f>
        <v>4</v>
      </c>
      <c r="S1258" s="24">
        <f>'TMT E DK'!E1384</f>
        <v>2</v>
      </c>
      <c r="T1258" s="24">
        <f>'TMT E DD'!E1384</f>
        <v>10</v>
      </c>
      <c r="U1258" s="24">
        <f>TA!E1384</f>
        <v>2923286260687</v>
      </c>
      <c r="V1258" s="109">
        <f>PR!F1384</f>
        <v>0.43734834659209509</v>
      </c>
      <c r="W1258" s="109">
        <f>'Z Score'!I1384</f>
        <v>2.7457457678282089</v>
      </c>
      <c r="X1258" s="109">
        <f>'Z Score'!L1384</f>
        <v>0.88935640459901855</v>
      </c>
      <c r="Y1258" s="109">
        <f>'Z Score'!O1384</f>
        <v>0.33852634599639664</v>
      </c>
      <c r="Z1258" s="109">
        <f>'Z Score'!R1384</f>
        <v>0.44623352190666726</v>
      </c>
      <c r="AA1258" s="109">
        <f>'Z Score'!S1384</f>
        <v>4.4198620403302913</v>
      </c>
    </row>
    <row r="1259" spans="1:27" ht="15" customHeight="1" x14ac:dyDescent="0.3">
      <c r="A1259" s="22"/>
      <c r="B1259" s="23"/>
      <c r="C1259" s="2"/>
      <c r="D1259" s="23">
        <v>2022</v>
      </c>
      <c r="E1259" s="25">
        <f>'Current Ratio'!G1385</f>
        <v>9.0928593025984927</v>
      </c>
      <c r="F1259" s="25">
        <f>'Cash Ratio'!G1385</f>
        <v>0.2251015138369262</v>
      </c>
      <c r="G1259" s="25">
        <f>DAR!G1385</f>
        <v>0.75085901486341433</v>
      </c>
      <c r="H1259" s="25">
        <f>DER!G1385</f>
        <v>3.0137916266638096</v>
      </c>
      <c r="I1259" s="25">
        <f>NPM!G1385</f>
        <v>3.5565783621703144E-2</v>
      </c>
      <c r="J1259" s="25">
        <f>ROA!G1385</f>
        <v>2.5195210525068752E-2</v>
      </c>
      <c r="K1259" s="25">
        <f>ROE!G1385</f>
        <v>0.10112832503755284</v>
      </c>
      <c r="L1259" s="25">
        <f>KM!E1385</f>
        <v>0.65790000000000004</v>
      </c>
      <c r="M1259" s="24">
        <f>KI!E1385</f>
        <v>2</v>
      </c>
      <c r="N1259" s="108">
        <f>IO!E1385</f>
        <v>0</v>
      </c>
      <c r="O1259" s="24">
        <f>'BoC Size'!E1385</f>
        <v>3</v>
      </c>
      <c r="P1259" s="24">
        <f>'TMT E DK'!E1385</f>
        <v>2</v>
      </c>
      <c r="Q1259" s="24">
        <f>Data!R1385</f>
        <v>3</v>
      </c>
      <c r="R1259" s="24">
        <f>Data!S1385</f>
        <v>3</v>
      </c>
      <c r="S1259" s="24">
        <f>'TMT E DK'!E1385</f>
        <v>2</v>
      </c>
      <c r="T1259" s="24">
        <f>'TMT E DD'!E1385</f>
        <v>9</v>
      </c>
      <c r="U1259" s="24">
        <f>TA!E1385</f>
        <v>2930664711078</v>
      </c>
      <c r="V1259" s="109">
        <f>PR!F1385</f>
        <v>0.18380210313232098</v>
      </c>
      <c r="W1259" s="109">
        <f>'Z Score'!I1385</f>
        <v>3.2449120674898029</v>
      </c>
      <c r="X1259" s="109">
        <f>'Z Score'!L1385</f>
        <v>0.82680111391369238</v>
      </c>
      <c r="Y1259" s="109">
        <f>'Z Score'!O1385</f>
        <v>0.22608515466364631</v>
      </c>
      <c r="Z1259" s="109">
        <f>'Z Score'!R1385</f>
        <v>0.34839834005455883</v>
      </c>
      <c r="AA1259" s="109">
        <f>'Z Score'!S1385</f>
        <v>4.6461966761217015</v>
      </c>
    </row>
    <row r="1260" spans="1:27" ht="15" customHeight="1" x14ac:dyDescent="0.3">
      <c r="A1260" s="22"/>
      <c r="B1260" s="23"/>
      <c r="C1260" s="2"/>
      <c r="D1260" s="23">
        <v>2023</v>
      </c>
      <c r="E1260" s="25">
        <f>'Current Ratio'!G1386</f>
        <v>5.9934670534735321</v>
      </c>
      <c r="F1260" s="25">
        <f>'Cash Ratio'!G1386</f>
        <v>9.1996072641342741E-2</v>
      </c>
      <c r="G1260" s="25">
        <f>DAR!G1386</f>
        <v>0.69533612425278835</v>
      </c>
      <c r="H1260" s="25">
        <f>DER!G1386</f>
        <v>2.2823057789421966</v>
      </c>
      <c r="I1260" s="25">
        <f>NPM!G1386</f>
        <v>8.2410439320279028E-3</v>
      </c>
      <c r="J1260" s="25">
        <f>ROA!G1386</f>
        <v>8.9857280033561471E-3</v>
      </c>
      <c r="K1260" s="25">
        <f>ROE!G1386</f>
        <v>2.9493906953418608E-2</v>
      </c>
      <c r="L1260" s="25">
        <f>KM!E1386</f>
        <v>0.59460000000000002</v>
      </c>
      <c r="M1260" s="24">
        <f>KI!E1386</f>
        <v>3</v>
      </c>
      <c r="N1260" s="108">
        <f>IO!E1386</f>
        <v>0</v>
      </c>
      <c r="O1260" s="24">
        <f>'BoC Size'!E1386</f>
        <v>6</v>
      </c>
      <c r="P1260" s="24">
        <f>'TMT E DK'!E1386</f>
        <v>7</v>
      </c>
      <c r="Q1260" s="24">
        <f>Data!R1386</f>
        <v>6</v>
      </c>
      <c r="R1260" s="24">
        <f>Data!S1386</f>
        <v>4</v>
      </c>
      <c r="S1260" s="24">
        <f>'TMT E DK'!E1386</f>
        <v>7</v>
      </c>
      <c r="T1260" s="24">
        <f>'TMT E DD'!E1386</f>
        <v>12</v>
      </c>
      <c r="U1260" s="24">
        <f>TA!E1386</f>
        <v>2769428113972</v>
      </c>
      <c r="V1260" s="109">
        <f>PR!F1386</f>
        <v>0.45448548392522942</v>
      </c>
      <c r="W1260" s="109">
        <f>'Z Score'!I1386</f>
        <v>2.7029888130608626</v>
      </c>
      <c r="X1260" s="109">
        <f>'Z Score'!L1386</f>
        <v>0.76206731608440581</v>
      </c>
      <c r="Y1260" s="109">
        <f>'Z Score'!O1386</f>
        <v>3.6091317223990074E-2</v>
      </c>
      <c r="Z1260" s="109">
        <f>'Z Score'!R1386</f>
        <v>0.46006105303148914</v>
      </c>
      <c r="AA1260" s="109">
        <f>'Z Score'!S1386</f>
        <v>3.9612084994007475</v>
      </c>
    </row>
    <row r="1261" spans="1:27" ht="15" customHeight="1" x14ac:dyDescent="0.3">
      <c r="A1261" s="22"/>
      <c r="B1261" s="23"/>
      <c r="C1261" s="2"/>
      <c r="D1261" s="23">
        <v>2024</v>
      </c>
      <c r="E1261" s="25">
        <f>'Current Ratio'!G1387</f>
        <v>3.6034039567837666</v>
      </c>
      <c r="F1261" s="25">
        <f>'Cash Ratio'!G1387</f>
        <v>3.7349352208089194E-2</v>
      </c>
      <c r="G1261" s="25">
        <f>DAR!G1387</f>
        <v>0.70924170285575183</v>
      </c>
      <c r="H1261" s="25">
        <f>DER!G1387</f>
        <v>2.4392827644876789</v>
      </c>
      <c r="I1261" s="25">
        <f>NPM!G1387</f>
        <v>2.1984609424738732E-2</v>
      </c>
      <c r="J1261" s="25">
        <f>ROA!G1387</f>
        <v>2.0258113288939731E-2</v>
      </c>
      <c r="K1261" s="25">
        <f>ROE!G1387</f>
        <v>6.9673379875689223E-2</v>
      </c>
      <c r="L1261" s="25">
        <f>KM!E1387</f>
        <v>0.59460000000000002</v>
      </c>
      <c r="M1261" s="24">
        <f>KI!E1387</f>
        <v>3</v>
      </c>
      <c r="N1261" s="108">
        <f>IO!E1387</f>
        <v>0</v>
      </c>
      <c r="O1261" s="24">
        <f>'BoC Size'!E1387</f>
        <v>6</v>
      </c>
      <c r="P1261" s="24">
        <f>'TMT E DK'!E1387</f>
        <v>7</v>
      </c>
      <c r="Q1261" s="24">
        <f>Data!R1387</f>
        <v>6</v>
      </c>
      <c r="R1261" s="24">
        <f>Data!S1387</f>
        <v>4</v>
      </c>
      <c r="S1261" s="24">
        <f>'TMT E DK'!E1387</f>
        <v>7</v>
      </c>
      <c r="T1261" s="24">
        <f>'TMT E DD'!E1387</f>
        <v>12</v>
      </c>
      <c r="U1261" s="24">
        <f>TA!E1387</f>
        <v>3074044644967</v>
      </c>
      <c r="V1261" s="109">
        <f>PR!F1387</f>
        <v>-6.1942897887614867E-2</v>
      </c>
      <c r="W1261" s="109">
        <f>'Z Score'!I1387</f>
        <v>2.288864930112299</v>
      </c>
      <c r="X1261" s="109">
        <f>'Z Score'!L1387</f>
        <v>0.74400318722822978</v>
      </c>
      <c r="Y1261" s="109">
        <f>'Z Score'!O1387</f>
        <v>0.16357163844179556</v>
      </c>
      <c r="Z1261" s="109">
        <f>'Z Score'!R1387</f>
        <v>0.43045440048461581</v>
      </c>
      <c r="AA1261" s="109">
        <f>'Z Score'!S1387</f>
        <v>3.6268941562669403</v>
      </c>
    </row>
    <row r="1262" spans="1:27" ht="15" customHeight="1" x14ac:dyDescent="0.3">
      <c r="A1262" s="22"/>
      <c r="B1262" s="23">
        <v>127</v>
      </c>
      <c r="C1262" s="2" t="s">
        <v>112</v>
      </c>
      <c r="D1262" s="23">
        <v>2015</v>
      </c>
      <c r="E1262" s="25">
        <f>'Current Ratio'!G1389</f>
        <v>0</v>
      </c>
      <c r="F1262" s="25">
        <f>'Cash Ratio'!G1389</f>
        <v>0</v>
      </c>
      <c r="G1262" s="25">
        <f>DAR!G1389</f>
        <v>0</v>
      </c>
      <c r="H1262" s="25">
        <f>DER!G1389</f>
        <v>0</v>
      </c>
      <c r="I1262" s="25">
        <f>NPM!G1389</f>
        <v>0</v>
      </c>
      <c r="J1262" s="25">
        <f>ROA!G1389</f>
        <v>0</v>
      </c>
      <c r="K1262" s="25">
        <f>ROE!G1389</f>
        <v>0</v>
      </c>
      <c r="L1262" s="25">
        <f>KM!E1389</f>
        <v>0</v>
      </c>
      <c r="M1262" s="24">
        <f>KI!E1389</f>
        <v>0</v>
      </c>
      <c r="N1262" s="108">
        <f>IO!E1389</f>
        <v>0</v>
      </c>
      <c r="O1262" s="24">
        <f>'BoC Size'!E1389</f>
        <v>0</v>
      </c>
      <c r="P1262" s="24">
        <f>'TMT E DK'!E1389</f>
        <v>0</v>
      </c>
      <c r="Q1262" s="24">
        <f>Data!R1389</f>
        <v>0</v>
      </c>
      <c r="R1262" s="24">
        <f>Data!S1389</f>
        <v>0</v>
      </c>
      <c r="S1262" s="24">
        <f>'TMT E DK'!E1389</f>
        <v>0</v>
      </c>
      <c r="T1262" s="24">
        <f>'TMT E DD'!E1389</f>
        <v>0</v>
      </c>
      <c r="U1262" s="24">
        <f>TA!E1389</f>
        <v>0</v>
      </c>
      <c r="V1262" s="109">
        <f>PR!F1389</f>
        <v>0</v>
      </c>
      <c r="W1262" s="109">
        <f>'Z Score'!I1389</f>
        <v>0</v>
      </c>
      <c r="X1262" s="109">
        <f>'Z Score'!L1389</f>
        <v>0</v>
      </c>
      <c r="Y1262" s="109">
        <f>'Z Score'!O1389</f>
        <v>0</v>
      </c>
      <c r="Z1262" s="109">
        <f>'Z Score'!R1389</f>
        <v>0</v>
      </c>
      <c r="AA1262" s="109">
        <f>'Z Score'!S1389</f>
        <v>0</v>
      </c>
    </row>
    <row r="1263" spans="1:27" ht="15" customHeight="1" x14ac:dyDescent="0.3">
      <c r="A1263" s="22"/>
      <c r="B1263" s="23"/>
      <c r="C1263" s="2"/>
      <c r="D1263" s="23">
        <v>2016</v>
      </c>
      <c r="E1263" s="25">
        <f>'Current Ratio'!G1390</f>
        <v>0.80115942238054483</v>
      </c>
      <c r="F1263" s="25">
        <f>'Cash Ratio'!G1390</f>
        <v>0</v>
      </c>
      <c r="G1263" s="25">
        <f>DAR!G1390</f>
        <v>0.59212603247965323</v>
      </c>
      <c r="H1263" s="25">
        <f>DER!G1390</f>
        <v>1.4517377420203952</v>
      </c>
      <c r="I1263" s="25">
        <f>NPM!G1390</f>
        <v>-0.15262646013422149</v>
      </c>
      <c r="J1263" s="25">
        <f>ROA!G1390</f>
        <v>-1.8081314783637122E-2</v>
      </c>
      <c r="K1263" s="25">
        <f>ROE!G1390</f>
        <v>-4.433064188519583E-2</v>
      </c>
      <c r="L1263" s="25">
        <f>KM!E1390</f>
        <v>0</v>
      </c>
      <c r="M1263" s="24">
        <f>KI!E1390</f>
        <v>0</v>
      </c>
      <c r="N1263" s="108">
        <f>IO!E1390</f>
        <v>0</v>
      </c>
      <c r="O1263" s="24">
        <f>'BoC Size'!E1390</f>
        <v>0</v>
      </c>
      <c r="P1263" s="24">
        <f>'TMT E DK'!E1390</f>
        <v>0</v>
      </c>
      <c r="Q1263" s="24">
        <f>Data!R1390</f>
        <v>0</v>
      </c>
      <c r="R1263" s="24">
        <f>Data!S1390</f>
        <v>0</v>
      </c>
      <c r="S1263" s="24">
        <f>'TMT E DK'!E1390</f>
        <v>0</v>
      </c>
      <c r="T1263" s="24">
        <f>'TMT E DD'!E1390</f>
        <v>0</v>
      </c>
      <c r="U1263" s="24">
        <f>TA!E1390</f>
        <v>276987702218</v>
      </c>
      <c r="V1263" s="109">
        <f>PR!F1390</f>
        <v>0</v>
      </c>
      <c r="W1263" s="109">
        <f>'Z Score'!I1390</f>
        <v>-0.75932613859162201</v>
      </c>
      <c r="X1263" s="109">
        <f>'Z Score'!L1390</f>
        <v>-0.24113946592651103</v>
      </c>
      <c r="Y1263" s="109">
        <f>'Z Score'!O1390</f>
        <v>-0.17037733699923521</v>
      </c>
      <c r="Z1263" s="109">
        <f>'Z Score'!R1390</f>
        <v>0.72327113197367621</v>
      </c>
      <c r="AA1263" s="109">
        <f>'Z Score'!S1390</f>
        <v>-0.44757180954369202</v>
      </c>
    </row>
    <row r="1264" spans="1:27" ht="15" customHeight="1" x14ac:dyDescent="0.3">
      <c r="A1264" s="22"/>
      <c r="B1264" s="23"/>
      <c r="C1264" s="2"/>
      <c r="D1264" s="23">
        <v>2017</v>
      </c>
      <c r="E1264" s="25">
        <f>'Current Ratio'!G1391</f>
        <v>0.68859315274016508</v>
      </c>
      <c r="F1264" s="25">
        <f>'Cash Ratio'!G1391</f>
        <v>2.7052689690886082E-2</v>
      </c>
      <c r="G1264" s="25">
        <f>DAR!G1391</f>
        <v>0.55332051055306497</v>
      </c>
      <c r="H1264" s="25">
        <f>DER!G1391</f>
        <v>1.238741700986024</v>
      </c>
      <c r="I1264" s="25">
        <f>NPM!G1391</f>
        <v>-9.937622605965242E-2</v>
      </c>
      <c r="J1264" s="25">
        <f>ROA!G1391</f>
        <v>-1.1905436212901242E-2</v>
      </c>
      <c r="K1264" s="25">
        <f>ROE!G1391</f>
        <v>-2.6653196518251137E-2</v>
      </c>
      <c r="L1264" s="25">
        <f>KM!E1391</f>
        <v>0.45900000000000002</v>
      </c>
      <c r="M1264" s="24">
        <f>KI!E1391</f>
        <v>2</v>
      </c>
      <c r="N1264" s="108">
        <f>IO!E1391</f>
        <v>0.1028</v>
      </c>
      <c r="O1264" s="24">
        <f>'BoC Size'!E1391</f>
        <v>4</v>
      </c>
      <c r="P1264" s="24">
        <f>'TMT E DK'!E1391</f>
        <v>8</v>
      </c>
      <c r="Q1264" s="24">
        <f>Data!R1391</f>
        <v>4</v>
      </c>
      <c r="R1264" s="24">
        <f>Data!S1391</f>
        <v>4</v>
      </c>
      <c r="S1264" s="24">
        <f>'TMT E DK'!E1391</f>
        <v>8</v>
      </c>
      <c r="T1264" s="24">
        <f>'TMT E DD'!E1391</f>
        <v>7</v>
      </c>
      <c r="U1264" s="24">
        <f>TA!E1391</f>
        <v>299619149119</v>
      </c>
      <c r="V1264" s="109">
        <f>PR!F1391</f>
        <v>9.3885123663401335E-2</v>
      </c>
      <c r="W1264" s="109">
        <f>'Z Score'!I1391</f>
        <v>-1.1099736245263587</v>
      </c>
      <c r="X1264" s="109">
        <f>'Z Score'!L1391</f>
        <v>-0.25865382378734475</v>
      </c>
      <c r="Y1264" s="109">
        <f>'Z Score'!O1391</f>
        <v>-7.0605648676740379E-2</v>
      </c>
      <c r="Z1264" s="109">
        <f>'Z Score'!R1391</f>
        <v>0.84763433665324428</v>
      </c>
      <c r="AA1264" s="109">
        <f>'Z Score'!S1391</f>
        <v>-0.5915987603371996</v>
      </c>
    </row>
    <row r="1265" spans="1:27" ht="15" customHeight="1" x14ac:dyDescent="0.3">
      <c r="A1265" s="22"/>
      <c r="B1265" s="23"/>
      <c r="C1265" s="2"/>
      <c r="D1265" s="23">
        <v>2018</v>
      </c>
      <c r="E1265" s="25">
        <f>'Current Ratio'!G1392</f>
        <v>0.75606978231702349</v>
      </c>
      <c r="F1265" s="25">
        <f>'Cash Ratio'!G1392</f>
        <v>6.5053952841327145E-2</v>
      </c>
      <c r="G1265" s="25">
        <f>DAR!G1392</f>
        <v>0.59722516620805499</v>
      </c>
      <c r="H1265" s="25">
        <f>DER!G1392</f>
        <v>1.4827767678170132</v>
      </c>
      <c r="I1265" s="25">
        <f>NPM!G1392</f>
        <v>2.6861792116855771E-2</v>
      </c>
      <c r="J1265" s="25">
        <f>ROA!G1392</f>
        <v>2.8269748271048212E-3</v>
      </c>
      <c r="K1265" s="25">
        <f>ROE!G1392</f>
        <v>7.0187474239393668E-3</v>
      </c>
      <c r="L1265" s="25">
        <f>KM!E1392</f>
        <v>0.45900000000000002</v>
      </c>
      <c r="M1265" s="24">
        <f>KI!E1392</f>
        <v>2</v>
      </c>
      <c r="N1265" s="108">
        <f>IO!E1392</f>
        <v>7.1599999999999997E-2</v>
      </c>
      <c r="O1265" s="24">
        <f>'BoC Size'!E1392</f>
        <v>3</v>
      </c>
      <c r="P1265" s="24">
        <f>'TMT E DK'!E1392</f>
        <v>8</v>
      </c>
      <c r="Q1265" s="24">
        <f>Data!R1392</f>
        <v>3</v>
      </c>
      <c r="R1265" s="24">
        <f>Data!S1392</f>
        <v>3</v>
      </c>
      <c r="S1265" s="24">
        <f>'TMT E DK'!E1392</f>
        <v>8</v>
      </c>
      <c r="T1265" s="24">
        <f>'TMT E DD'!E1392</f>
        <v>6</v>
      </c>
      <c r="U1265" s="24">
        <f>TA!E1392</f>
        <v>320972898768</v>
      </c>
      <c r="V1265" s="109">
        <f>PR!F1392</f>
        <v>-5.8927802668389373E-2</v>
      </c>
      <c r="W1265" s="109">
        <f>'Z Score'!I1392</f>
        <v>-0.93825090631565822</v>
      </c>
      <c r="X1265" s="109">
        <f>'Z Score'!L1392</f>
        <v>-0.26160653419120194</v>
      </c>
      <c r="Y1265" s="109">
        <f>'Z Score'!O1392</f>
        <v>-3.4667484440182771E-2</v>
      </c>
      <c r="Z1265" s="109">
        <f>'Z Score'!R1392</f>
        <v>0.70813086823975568</v>
      </c>
      <c r="AA1265" s="109">
        <f>'Z Score'!S1392</f>
        <v>-0.52639405670728723</v>
      </c>
    </row>
    <row r="1266" spans="1:27" ht="15" customHeight="1" x14ac:dyDescent="0.3">
      <c r="A1266" s="22"/>
      <c r="B1266" s="23"/>
      <c r="C1266" s="2"/>
      <c r="D1266" s="23">
        <v>2019</v>
      </c>
      <c r="E1266" s="25">
        <f>'Current Ratio'!G1393</f>
        <v>0.8303977456995798</v>
      </c>
      <c r="F1266" s="25">
        <f>'Cash Ratio'!G1393</f>
        <v>4.4916936967310472E-2</v>
      </c>
      <c r="G1266" s="25">
        <f>DAR!G1393</f>
        <v>0.6924129854197304</v>
      </c>
      <c r="H1266" s="25">
        <f>DER!G1393</f>
        <v>2.2511125392097289</v>
      </c>
      <c r="I1266" s="25">
        <f>NPM!G1393</f>
        <v>2.6447367690918912E-2</v>
      </c>
      <c r="J1266" s="25">
        <f>ROA!G1393</f>
        <v>2.3401655986635557E-3</v>
      </c>
      <c r="K1266" s="25">
        <f>ROE!G1393</f>
        <v>7.6081417216423272E-3</v>
      </c>
      <c r="L1266" s="25">
        <f>KM!E1393</f>
        <v>0.45900000000000002</v>
      </c>
      <c r="M1266" s="24">
        <f>KI!E1393</f>
        <v>2</v>
      </c>
      <c r="N1266" s="108">
        <f>IO!E1393</f>
        <v>7.1599999999999997E-2</v>
      </c>
      <c r="O1266" s="24">
        <f>'BoC Size'!E1393</f>
        <v>3</v>
      </c>
      <c r="P1266" s="24">
        <f>'TMT E DK'!E1393</f>
        <v>5</v>
      </c>
      <c r="Q1266" s="24">
        <f>Data!R1393</f>
        <v>3</v>
      </c>
      <c r="R1266" s="24">
        <f>Data!S1393</f>
        <v>3</v>
      </c>
      <c r="S1266" s="24">
        <f>'TMT E DK'!E1393</f>
        <v>5</v>
      </c>
      <c r="T1266" s="24">
        <f>'TMT E DD'!E1393</f>
        <v>6</v>
      </c>
      <c r="U1266" s="24">
        <f>TA!E1393</f>
        <v>423659163508</v>
      </c>
      <c r="V1266" s="109">
        <f>PR!F1393</f>
        <v>0.10975068050391741</v>
      </c>
      <c r="W1266" s="109">
        <f>'Z Score'!I1393</f>
        <v>-0.76013835641234484</v>
      </c>
      <c r="X1266" s="109">
        <f>'Z Score'!L1393</f>
        <v>-0.1933577436919835</v>
      </c>
      <c r="Y1266" s="109">
        <f>'Z Score'!O1393</f>
        <v>5.0561779817694191E-2</v>
      </c>
      <c r="Z1266" s="109">
        <f>'Z Score'!R1393</f>
        <v>0.46643603183366877</v>
      </c>
      <c r="AA1266" s="109">
        <f>'Z Score'!S1393</f>
        <v>-0.43649828845296534</v>
      </c>
    </row>
    <row r="1267" spans="1:27" ht="15" customHeight="1" x14ac:dyDescent="0.3">
      <c r="A1267" s="22"/>
      <c r="B1267" s="23"/>
      <c r="C1267" s="2"/>
      <c r="D1267" s="23">
        <v>2020</v>
      </c>
      <c r="E1267" s="25">
        <f>'Current Ratio'!G1394</f>
        <v>1.0095276665970878</v>
      </c>
      <c r="F1267" s="25">
        <f>'Cash Ratio'!G1394</f>
        <v>2.0655345372122248E-2</v>
      </c>
      <c r="G1267" s="25">
        <f>DAR!G1394</f>
        <v>0.75751952725691296</v>
      </c>
      <c r="H1267" s="25">
        <f>DER!G1394</f>
        <v>3.124043427857881</v>
      </c>
      <c r="I1267" s="25">
        <f>NPM!G1394</f>
        <v>8.2413254044557169E-2</v>
      </c>
      <c r="J1267" s="25">
        <f>ROA!G1394</f>
        <v>5.5552699017701029E-3</v>
      </c>
      <c r="K1267" s="25">
        <f>ROE!G1394</f>
        <v>2.2910174328371689E-2</v>
      </c>
      <c r="L1267" s="25">
        <f>KM!E1394</f>
        <v>0.6865</v>
      </c>
      <c r="M1267" s="24">
        <f>KI!E1394</f>
        <v>2</v>
      </c>
      <c r="N1267" s="108">
        <f>IO!E1394</f>
        <v>7.1599999999999997E-2</v>
      </c>
      <c r="O1267" s="24">
        <f>'BoC Size'!E1394</f>
        <v>3</v>
      </c>
      <c r="P1267" s="24">
        <f>'TMT E DK'!E1394</f>
        <v>5</v>
      </c>
      <c r="Q1267" s="24">
        <f>Data!R1394</f>
        <v>3</v>
      </c>
      <c r="R1267" s="24">
        <f>Data!S1394</f>
        <v>3</v>
      </c>
      <c r="S1267" s="24">
        <f>'TMT E DK'!E1394</f>
        <v>5</v>
      </c>
      <c r="T1267" s="24">
        <f>'TMT E DD'!E1394</f>
        <v>6</v>
      </c>
      <c r="U1267" s="24">
        <f>TA!E1394</f>
        <v>551011466072</v>
      </c>
      <c r="V1267" s="109">
        <f>PR!F1394</f>
        <v>-9.1954420656427827E-3</v>
      </c>
      <c r="W1267" s="109">
        <f>'Z Score'!I1394</f>
        <v>4.654575215857433E-2</v>
      </c>
      <c r="X1267" s="109">
        <f>'Z Score'!L1394</f>
        <v>-0.13079993547154678</v>
      </c>
      <c r="Y1267" s="109">
        <f>'Z Score'!O1394</f>
        <v>8.7771860961892267E-2</v>
      </c>
      <c r="Z1267" s="109">
        <f>'Z Score'!R1394</f>
        <v>0.33610288212925787</v>
      </c>
      <c r="AA1267" s="109">
        <f>'Z Score'!S1394</f>
        <v>0.33962055977817768</v>
      </c>
    </row>
    <row r="1268" spans="1:27" ht="15" customHeight="1" x14ac:dyDescent="0.3">
      <c r="A1268" s="22"/>
      <c r="B1268" s="23"/>
      <c r="C1268" s="2"/>
      <c r="D1268" s="23">
        <v>2021</v>
      </c>
      <c r="E1268" s="25">
        <f>'Current Ratio'!G1395</f>
        <v>0.92596342305694701</v>
      </c>
      <c r="F1268" s="25">
        <f>'Cash Ratio'!G1395</f>
        <v>1.224812080853231E-2</v>
      </c>
      <c r="G1268" s="25">
        <f>DAR!G1395</f>
        <v>0.74303959819087817</v>
      </c>
      <c r="H1268" s="25">
        <f>DER!G1395</f>
        <v>2.8916502035314804</v>
      </c>
      <c r="I1268" s="25">
        <f>NPM!G1395</f>
        <v>0.11240347275552721</v>
      </c>
      <c r="J1268" s="25">
        <f>ROA!G1395</f>
        <v>7.0853854686031836E-3</v>
      </c>
      <c r="K1268" s="25">
        <f>ROE!G1395</f>
        <v>2.7573841800988572E-2</v>
      </c>
      <c r="L1268" s="25">
        <f>KM!E1395</f>
        <v>0.6865</v>
      </c>
      <c r="M1268" s="24">
        <f>KI!E1395</f>
        <v>2</v>
      </c>
      <c r="N1268" s="108">
        <f>IO!E1395</f>
        <v>7.1599999999999997E-2</v>
      </c>
      <c r="O1268" s="24">
        <f>'BoC Size'!E1395</f>
        <v>3</v>
      </c>
      <c r="P1268" s="24">
        <f>'TMT E DK'!E1395</f>
        <v>5</v>
      </c>
      <c r="Q1268" s="24">
        <f>Data!R1395</f>
        <v>3</v>
      </c>
      <c r="R1268" s="24">
        <f>Data!S1395</f>
        <v>3</v>
      </c>
      <c r="S1268" s="24">
        <f>'TMT E DK'!E1395</f>
        <v>5</v>
      </c>
      <c r="T1268" s="24">
        <f>'TMT E DD'!E1395</f>
        <v>6</v>
      </c>
      <c r="U1268" s="24">
        <f>TA!E1395</f>
        <v>534962808558</v>
      </c>
      <c r="V1268" s="109">
        <f>PR!F1395</f>
        <v>-9.2098767627492847E-2</v>
      </c>
      <c r="W1268" s="109">
        <f>'Z Score'!I1395</f>
        <v>-0.35492501732649767</v>
      </c>
      <c r="X1268" s="109">
        <f>'Z Score'!L1395</f>
        <v>-0.11129958195578865</v>
      </c>
      <c r="Y1268" s="109">
        <f>'Z Score'!O1395</f>
        <v>7.2532975840082323E-2</v>
      </c>
      <c r="Z1268" s="109">
        <f>'Z Score'!R1395</f>
        <v>0.36311445925156111</v>
      </c>
      <c r="AA1268" s="109">
        <f>'Z Score'!S1395</f>
        <v>-3.057716419064288E-2</v>
      </c>
    </row>
    <row r="1269" spans="1:27" ht="15" customHeight="1" x14ac:dyDescent="0.3">
      <c r="A1269" s="22"/>
      <c r="B1269" s="23"/>
      <c r="C1269" s="2"/>
      <c r="D1269" s="23">
        <v>2022</v>
      </c>
      <c r="E1269" s="25">
        <f>'Current Ratio'!G1396</f>
        <v>0.87678629753821502</v>
      </c>
      <c r="F1269" s="25">
        <f>'Cash Ratio'!G1396</f>
        <v>1.7255486801361995E-2</v>
      </c>
      <c r="G1269" s="25">
        <f>DAR!G1396</f>
        <v>0.75749457007627841</v>
      </c>
      <c r="H1269" s="25">
        <f>DER!G1396</f>
        <v>3.1236190064467548</v>
      </c>
      <c r="I1269" s="25">
        <f>NPM!G1396</f>
        <v>-0.34522490527028937</v>
      </c>
      <c r="J1269" s="25">
        <f>ROA!G1396</f>
        <v>-8.2733067444622777E-3</v>
      </c>
      <c r="K1269" s="25">
        <f>ROE!G1396</f>
        <v>-3.4115964937628772E-2</v>
      </c>
      <c r="L1269" s="25">
        <f>KM!E1396</f>
        <v>0.6865</v>
      </c>
      <c r="M1269" s="24">
        <f>KI!E1396</f>
        <v>2</v>
      </c>
      <c r="N1269" s="108">
        <f>IO!E1396</f>
        <v>5.6399999999999999E-2</v>
      </c>
      <c r="O1269" s="24">
        <f>'BoC Size'!E1396</f>
        <v>3</v>
      </c>
      <c r="P1269" s="24">
        <f>'TMT E DK'!E1396</f>
        <v>5</v>
      </c>
      <c r="Q1269" s="24">
        <f>Data!R1396</f>
        <v>3</v>
      </c>
      <c r="R1269" s="24">
        <f>Data!S1396</f>
        <v>3</v>
      </c>
      <c r="S1269" s="24">
        <f>'TMT E DK'!E1396</f>
        <v>5</v>
      </c>
      <c r="T1269" s="24">
        <f>'TMT E DD'!E1396</f>
        <v>6</v>
      </c>
      <c r="U1269" s="24">
        <f>TA!E1396</f>
        <v>989741834422</v>
      </c>
      <c r="V1269" s="109">
        <f>PR!F1396</f>
        <v>-0.29661744709981425</v>
      </c>
      <c r="W1269" s="109">
        <f>'Z Score'!I1396</f>
        <v>-0.6072306106283355</v>
      </c>
      <c r="X1269" s="109">
        <f>'Z Score'!L1396</f>
        <v>-0.19703938273259788</v>
      </c>
      <c r="Y1269" s="109">
        <f>'Z Score'!O1396</f>
        <v>-7.3546388452812861E-2</v>
      </c>
      <c r="Z1269" s="109">
        <f>'Z Score'!R1396</f>
        <v>0.33614855007378713</v>
      </c>
      <c r="AA1269" s="109">
        <f>'Z Score'!S1396</f>
        <v>-0.54166783173995925</v>
      </c>
    </row>
    <row r="1270" spans="1:27" ht="15" customHeight="1" x14ac:dyDescent="0.3">
      <c r="A1270" s="22"/>
      <c r="B1270" s="23"/>
      <c r="C1270" s="2"/>
      <c r="D1270" s="23">
        <v>2023</v>
      </c>
      <c r="E1270" s="25">
        <f>'Current Ratio'!G1397</f>
        <v>0.855479582449163</v>
      </c>
      <c r="F1270" s="25">
        <f>'Cash Ratio'!G1397</f>
        <v>1.2035688853645981E-2</v>
      </c>
      <c r="G1270" s="25">
        <f>DAR!G1397</f>
        <v>0.82752575746206247</v>
      </c>
      <c r="H1270" s="25">
        <f>DER!G1397</f>
        <v>4.7979671937393187</v>
      </c>
      <c r="I1270" s="25">
        <f>NPM!G1397</f>
        <v>0.22447869848844956</v>
      </c>
      <c r="J1270" s="25">
        <f>ROA!G1397</f>
        <v>7.9276199523811153E-3</v>
      </c>
      <c r="K1270" s="25">
        <f>ROE!G1397</f>
        <v>4.5964080408338964E-2</v>
      </c>
      <c r="L1270" s="25">
        <f>KM!E1397</f>
        <v>0.86560000000000004</v>
      </c>
      <c r="M1270" s="24">
        <f>KI!E1397</f>
        <v>2</v>
      </c>
      <c r="N1270" s="108">
        <f>IO!E1397</f>
        <v>5.6399999999999999E-2</v>
      </c>
      <c r="O1270" s="24">
        <f>'BoC Size'!E1397</f>
        <v>4</v>
      </c>
      <c r="P1270" s="24">
        <f>'TMT E DK'!E1397</f>
        <v>8</v>
      </c>
      <c r="Q1270" s="24">
        <f>Data!R1397</f>
        <v>4</v>
      </c>
      <c r="R1270" s="24">
        <f>Data!S1397</f>
        <v>3</v>
      </c>
      <c r="S1270" s="24">
        <f>'TMT E DK'!E1397</f>
        <v>8</v>
      </c>
      <c r="T1270" s="24">
        <f>'TMT E DD'!E1397</f>
        <v>6</v>
      </c>
      <c r="U1270" s="24">
        <f>TA!E1397</f>
        <v>1627392898057</v>
      </c>
      <c r="V1270" s="109">
        <f>PR!F1397</f>
        <v>1.4230432590464166</v>
      </c>
      <c r="W1270" s="109">
        <f>'Z Score'!I1397</f>
        <v>-0.77793531739380717</v>
      </c>
      <c r="X1270" s="109">
        <f>'Z Score'!L1397</f>
        <v>-2.8054697336857171E-2</v>
      </c>
      <c r="Y1270" s="109">
        <f>'Z Score'!O1397</f>
        <v>4.570633736244481E-2</v>
      </c>
      <c r="Z1270" s="109">
        <f>'Z Score'!R1397</f>
        <v>0.21884268016048639</v>
      </c>
      <c r="AA1270" s="109">
        <f>'Z Score'!S1397</f>
        <v>-0.5414409972077332</v>
      </c>
    </row>
    <row r="1271" spans="1:27" ht="15" customHeight="1" x14ac:dyDescent="0.3">
      <c r="A1271" s="22"/>
      <c r="B1271" s="23"/>
      <c r="C1271" s="2"/>
      <c r="D1271" s="23">
        <v>2024</v>
      </c>
      <c r="E1271" s="25">
        <f>'Current Ratio'!G1398</f>
        <v>0.91312234597984576</v>
      </c>
      <c r="F1271" s="25">
        <f>'Cash Ratio'!G1398</f>
        <v>1.9745464968128387E-2</v>
      </c>
      <c r="G1271" s="25">
        <f>DAR!G1398</f>
        <v>0.86097122309715712</v>
      </c>
      <c r="H1271" s="25">
        <f>DER!G1398</f>
        <v>6.1927555019694029</v>
      </c>
      <c r="I1271" s="25">
        <f>NPM!G1398</f>
        <v>0.49240568660132983</v>
      </c>
      <c r="J1271" s="25">
        <f>ROA!G1398</f>
        <v>2.9472994487502981E-2</v>
      </c>
      <c r="K1271" s="25">
        <f>ROE!G1398</f>
        <v>0.21199204325950094</v>
      </c>
      <c r="L1271" s="25">
        <f>KM!E1398</f>
        <v>0.87270000000000003</v>
      </c>
      <c r="M1271" s="24">
        <f>KI!E1398</f>
        <v>2</v>
      </c>
      <c r="N1271" s="108">
        <f>IO!E1398</f>
        <v>5.6399999999999999E-2</v>
      </c>
      <c r="O1271" s="24">
        <f>'BoC Size'!E1398</f>
        <v>4</v>
      </c>
      <c r="P1271" s="24">
        <f>'TMT E DK'!E1398</f>
        <v>8</v>
      </c>
      <c r="Q1271" s="24">
        <f>Data!R1398</f>
        <v>4</v>
      </c>
      <c r="R1271" s="24">
        <f>Data!S1398</f>
        <v>4</v>
      </c>
      <c r="S1271" s="24">
        <f>'TMT E DK'!E1398</f>
        <v>8</v>
      </c>
      <c r="T1271" s="24">
        <f>'TMT E DD'!E1398</f>
        <v>7</v>
      </c>
      <c r="U1271" s="24">
        <f>TA!E1398</f>
        <v>2562013170057</v>
      </c>
      <c r="V1271" s="109">
        <f>PR!F1398</f>
        <v>1.6682250568733363</v>
      </c>
      <c r="W1271" s="109">
        <f>'Z Score'!I1398</f>
        <v>-0.48803166020291078</v>
      </c>
      <c r="X1271" s="109">
        <f>'Z Score'!L1398</f>
        <v>7.8261593018961365E-2</v>
      </c>
      <c r="Y1271" s="109">
        <f>'Z Score'!O1398</f>
        <v>0.23387182000789999</v>
      </c>
      <c r="Z1271" s="109">
        <f>'Z Score'!R1398</f>
        <v>0.1695529558152396</v>
      </c>
      <c r="AA1271" s="109">
        <f>'Z Score'!S1398</f>
        <v>-6.3452913608098294E-3</v>
      </c>
    </row>
    <row r="1272" spans="1:27" ht="15" customHeight="1" x14ac:dyDescent="0.3">
      <c r="A1272" s="22"/>
      <c r="B1272" s="23">
        <v>128</v>
      </c>
      <c r="C1272" s="2" t="s">
        <v>92</v>
      </c>
      <c r="D1272" s="23">
        <v>2015</v>
      </c>
      <c r="E1272" s="25">
        <f>'Current Ratio'!G1400</f>
        <v>0</v>
      </c>
      <c r="F1272" s="25">
        <f>'Cash Ratio'!G1400</f>
        <v>0</v>
      </c>
      <c r="G1272" s="25">
        <f>DAR!G1400</f>
        <v>0</v>
      </c>
      <c r="H1272" s="25">
        <f>DER!G1400</f>
        <v>0</v>
      </c>
      <c r="I1272" s="25">
        <f>NPM!G1400</f>
        <v>0</v>
      </c>
      <c r="J1272" s="25">
        <f>ROA!G1400</f>
        <v>0</v>
      </c>
      <c r="K1272" s="25">
        <f>ROE!G1400</f>
        <v>0</v>
      </c>
      <c r="L1272" s="25">
        <f>KM!E1400</f>
        <v>0</v>
      </c>
      <c r="M1272" s="24">
        <f>KI!E1400</f>
        <v>0</v>
      </c>
      <c r="N1272" s="108">
        <f>IO!E1400</f>
        <v>0</v>
      </c>
      <c r="O1272" s="24">
        <f>'BoC Size'!E1400</f>
        <v>0</v>
      </c>
      <c r="P1272" s="24">
        <f>'TMT E DK'!E1400</f>
        <v>0</v>
      </c>
      <c r="Q1272" s="24">
        <f>Data!R1400</f>
        <v>0</v>
      </c>
      <c r="R1272" s="24">
        <f>Data!S1400</f>
        <v>0</v>
      </c>
      <c r="S1272" s="24">
        <f>'TMT E DK'!E1400</f>
        <v>0</v>
      </c>
      <c r="T1272" s="24">
        <f>'TMT E DD'!E1400</f>
        <v>0</v>
      </c>
      <c r="U1272" s="24">
        <f>TA!E1400</f>
        <v>0</v>
      </c>
      <c r="V1272" s="109">
        <f>PR!F1400</f>
        <v>0</v>
      </c>
      <c r="W1272" s="109">
        <f>'Z Score'!I1400</f>
        <v>0</v>
      </c>
      <c r="X1272" s="109">
        <f>'Z Score'!L1400</f>
        <v>0</v>
      </c>
      <c r="Y1272" s="109">
        <f>'Z Score'!O1400</f>
        <v>0</v>
      </c>
      <c r="Z1272" s="109">
        <f>'Z Score'!R1400</f>
        <v>0</v>
      </c>
      <c r="AA1272" s="109">
        <f>'Z Score'!S1400</f>
        <v>0</v>
      </c>
    </row>
    <row r="1273" spans="1:27" ht="15" customHeight="1" x14ac:dyDescent="0.3">
      <c r="A1273" s="22"/>
      <c r="B1273" s="23"/>
      <c r="C1273" s="2"/>
      <c r="D1273" s="23">
        <v>2016</v>
      </c>
      <c r="E1273" s="25">
        <f>'Current Ratio'!G1401</f>
        <v>0</v>
      </c>
      <c r="F1273" s="25">
        <f>'Cash Ratio'!G1401</f>
        <v>0</v>
      </c>
      <c r="G1273" s="25">
        <f>DAR!G1401</f>
        <v>0</v>
      </c>
      <c r="H1273" s="25">
        <f>DER!G1401</f>
        <v>0</v>
      </c>
      <c r="I1273" s="25">
        <f>NPM!G1401</f>
        <v>0</v>
      </c>
      <c r="J1273" s="25">
        <f>ROA!G1401</f>
        <v>0</v>
      </c>
      <c r="K1273" s="25">
        <f>ROE!G1401</f>
        <v>0</v>
      </c>
      <c r="L1273" s="25">
        <f>KM!E1401</f>
        <v>0</v>
      </c>
      <c r="M1273" s="24">
        <f>KI!E1401</f>
        <v>0</v>
      </c>
      <c r="N1273" s="108">
        <f>IO!E1401</f>
        <v>0</v>
      </c>
      <c r="O1273" s="24">
        <f>'BoC Size'!E1401</f>
        <v>0</v>
      </c>
      <c r="P1273" s="24">
        <f>'TMT E DK'!E1401</f>
        <v>0</v>
      </c>
      <c r="Q1273" s="24">
        <f>Data!R1401</f>
        <v>0</v>
      </c>
      <c r="R1273" s="24">
        <f>Data!S1401</f>
        <v>0</v>
      </c>
      <c r="S1273" s="24">
        <f>'TMT E DK'!E1401</f>
        <v>0</v>
      </c>
      <c r="T1273" s="24">
        <f>'TMT E DD'!E1401</f>
        <v>0</v>
      </c>
      <c r="U1273" s="24">
        <f>TA!E1401</f>
        <v>0</v>
      </c>
      <c r="V1273" s="109">
        <f>PR!F1401</f>
        <v>0</v>
      </c>
      <c r="W1273" s="109">
        <f>'Z Score'!I1401</f>
        <v>0</v>
      </c>
      <c r="X1273" s="109">
        <f>'Z Score'!L1401</f>
        <v>0</v>
      </c>
      <c r="Y1273" s="109">
        <f>'Z Score'!O1401</f>
        <v>0</v>
      </c>
      <c r="Z1273" s="109">
        <f>'Z Score'!R1401</f>
        <v>0</v>
      </c>
      <c r="AA1273" s="109">
        <f>'Z Score'!S1401</f>
        <v>0</v>
      </c>
    </row>
    <row r="1274" spans="1:27" ht="15" customHeight="1" x14ac:dyDescent="0.3">
      <c r="A1274" s="22"/>
      <c r="B1274" s="23"/>
      <c r="C1274" s="2"/>
      <c r="D1274" s="23">
        <v>2017</v>
      </c>
      <c r="E1274" s="25">
        <f>'Current Ratio'!G1402</f>
        <v>0</v>
      </c>
      <c r="F1274" s="25">
        <f>'Cash Ratio'!G1402</f>
        <v>0</v>
      </c>
      <c r="G1274" s="25">
        <f>DAR!G1402</f>
        <v>0</v>
      </c>
      <c r="H1274" s="25">
        <f>DER!G1402</f>
        <v>0</v>
      </c>
      <c r="I1274" s="25">
        <f>NPM!G1402</f>
        <v>0</v>
      </c>
      <c r="J1274" s="25">
        <f>ROA!G1402</f>
        <v>0</v>
      </c>
      <c r="K1274" s="25">
        <f>ROE!G1402</f>
        <v>0</v>
      </c>
      <c r="L1274" s="25">
        <f>KM!E1402</f>
        <v>0</v>
      </c>
      <c r="M1274" s="24">
        <f>KI!E1402</f>
        <v>0</v>
      </c>
      <c r="N1274" s="108">
        <f>IO!E1402</f>
        <v>0</v>
      </c>
      <c r="O1274" s="24">
        <f>'BoC Size'!E1402</f>
        <v>0</v>
      </c>
      <c r="P1274" s="24">
        <f>'TMT E DK'!E1402</f>
        <v>0</v>
      </c>
      <c r="Q1274" s="24">
        <f>Data!R1402</f>
        <v>0</v>
      </c>
      <c r="R1274" s="24">
        <f>Data!S1402</f>
        <v>0</v>
      </c>
      <c r="S1274" s="24">
        <f>'TMT E DK'!E1402</f>
        <v>0</v>
      </c>
      <c r="T1274" s="24">
        <f>'TMT E DD'!E1402</f>
        <v>0</v>
      </c>
      <c r="U1274" s="24">
        <f>TA!E1402</f>
        <v>0</v>
      </c>
      <c r="V1274" s="109">
        <f>PR!F1402</f>
        <v>0</v>
      </c>
      <c r="W1274" s="109">
        <f>'Z Score'!I1402</f>
        <v>0</v>
      </c>
      <c r="X1274" s="109">
        <f>'Z Score'!L1402</f>
        <v>0</v>
      </c>
      <c r="Y1274" s="109">
        <f>'Z Score'!O1402</f>
        <v>0</v>
      </c>
      <c r="Z1274" s="109">
        <f>'Z Score'!R1402</f>
        <v>0</v>
      </c>
      <c r="AA1274" s="109">
        <f>'Z Score'!S1402</f>
        <v>0</v>
      </c>
    </row>
    <row r="1275" spans="1:27" ht="15" customHeight="1" x14ac:dyDescent="0.3">
      <c r="A1275" s="22"/>
      <c r="B1275" s="23"/>
      <c r="C1275" s="2"/>
      <c r="D1275" s="23">
        <v>2018</v>
      </c>
      <c r="E1275" s="25">
        <f>'Current Ratio'!G1403</f>
        <v>2.986685896195719</v>
      </c>
      <c r="F1275" s="25">
        <f>'Cash Ratio'!G1403</f>
        <v>9.1299224369910476E-2</v>
      </c>
      <c r="G1275" s="25">
        <f>DAR!G1403</f>
        <v>0.49246425534214472</v>
      </c>
      <c r="H1275" s="25">
        <f>DER!G1403</f>
        <v>0.49246425534214472</v>
      </c>
      <c r="I1275" s="25">
        <f>NPM!G1403</f>
        <v>0.44781306401443877</v>
      </c>
      <c r="J1275" s="25">
        <f>ROA!G1403</f>
        <v>6.6335600171790521E-2</v>
      </c>
      <c r="K1275" s="25">
        <f>ROE!G1403</f>
        <v>6.6335600171790521E-2</v>
      </c>
      <c r="L1275" s="25">
        <f>KM!E1403</f>
        <v>0</v>
      </c>
      <c r="M1275" s="24">
        <f>KI!E1403</f>
        <v>0</v>
      </c>
      <c r="N1275" s="108">
        <f>IO!E1403</f>
        <v>0</v>
      </c>
      <c r="O1275" s="24">
        <f>'BoC Size'!E1403</f>
        <v>0</v>
      </c>
      <c r="P1275" s="24">
        <f>'TMT E DK'!E1403</f>
        <v>0</v>
      </c>
      <c r="Q1275" s="24">
        <f>Data!R1403</f>
        <v>0</v>
      </c>
      <c r="R1275" s="24">
        <f>Data!S1403</f>
        <v>0</v>
      </c>
      <c r="S1275" s="24">
        <f>'TMT E DK'!E1403</f>
        <v>0</v>
      </c>
      <c r="T1275" s="24">
        <f>'TMT E DD'!E1403</f>
        <v>0</v>
      </c>
      <c r="U1275" s="24">
        <f>TA!E1403</f>
        <v>351591000000</v>
      </c>
      <c r="V1275" s="109">
        <f>PR!F1403</f>
        <v>0</v>
      </c>
      <c r="W1275" s="109">
        <f>'Z Score'!I1403</f>
        <v>2.1075565643034091</v>
      </c>
      <c r="X1275" s="109">
        <f>'Z Score'!L1403</f>
        <v>1.1027167362076957</v>
      </c>
      <c r="Y1275" s="109">
        <f>'Z Score'!O1403</f>
        <v>0.56106555628557042</v>
      </c>
      <c r="Z1275" s="109">
        <f>'Z Score'!R1403</f>
        <v>2.1321344414540331</v>
      </c>
      <c r="AA1275" s="109">
        <f>'Z Score'!S1403</f>
        <v>5.9034732982507085</v>
      </c>
    </row>
    <row r="1276" spans="1:27" ht="15" customHeight="1" x14ac:dyDescent="0.3">
      <c r="A1276" s="22"/>
      <c r="B1276" s="23"/>
      <c r="C1276" s="2"/>
      <c r="D1276" s="23">
        <v>2019</v>
      </c>
      <c r="E1276" s="25">
        <f>'Current Ratio'!G1404</f>
        <v>4.6548343475321161</v>
      </c>
      <c r="F1276" s="25">
        <f>'Cash Ratio'!G1404</f>
        <v>0.27527813633290305</v>
      </c>
      <c r="G1276" s="25">
        <f>DAR!G1404</f>
        <v>0.59661489365999476</v>
      </c>
      <c r="H1276" s="25">
        <f>DER!G1404</f>
        <v>0.59661489365999476</v>
      </c>
      <c r="I1276" s="25">
        <f>NPM!G1404</f>
        <v>0.41273475089244138</v>
      </c>
      <c r="J1276" s="25">
        <f>ROA!G1404</f>
        <v>4.2968229282381691E-2</v>
      </c>
      <c r="K1276" s="25">
        <f>ROE!G1404</f>
        <v>4.2968229282381691E-2</v>
      </c>
      <c r="L1276" s="25">
        <f>KM!E1404</f>
        <v>0.51</v>
      </c>
      <c r="M1276" s="24">
        <f>KI!E1404</f>
        <v>2</v>
      </c>
      <c r="N1276" s="108">
        <f>IO!E1404</f>
        <v>0</v>
      </c>
      <c r="O1276" s="24">
        <f>'BoC Size'!E1404</f>
        <v>3</v>
      </c>
      <c r="P1276" s="24">
        <f>'TMT E DK'!E1404</f>
        <v>0</v>
      </c>
      <c r="Q1276" s="24">
        <f>Data!R1404</f>
        <v>3</v>
      </c>
      <c r="R1276" s="24">
        <f>Data!S1404</f>
        <v>3</v>
      </c>
      <c r="S1276" s="24">
        <f>'TMT E DK'!E1404</f>
        <v>0</v>
      </c>
      <c r="T1276" s="24">
        <f>'TMT E DD'!E1404</f>
        <v>0</v>
      </c>
      <c r="U1276" s="24">
        <f>TA!E1404</f>
        <v>495110000000</v>
      </c>
      <c r="V1276" s="109">
        <f>PR!F1404</f>
        <v>-1.032986444452978E-2</v>
      </c>
      <c r="W1276" s="109">
        <f>'Z Score'!I1404</f>
        <v>3.1513068207065094</v>
      </c>
      <c r="X1276" s="109">
        <f>'Z Score'!L1404</f>
        <v>0.91999806103694126</v>
      </c>
      <c r="Y1276" s="109">
        <f>'Z Score'!O1404</f>
        <v>0.35646090767708183</v>
      </c>
      <c r="Z1276" s="109">
        <f>'Z Score'!R1404</f>
        <v>1.7599292460814517</v>
      </c>
      <c r="AA1276" s="109">
        <f>'Z Score'!S1404</f>
        <v>6.1876950355019842</v>
      </c>
    </row>
    <row r="1277" spans="1:27" ht="15" customHeight="1" x14ac:dyDescent="0.3">
      <c r="A1277" s="22"/>
      <c r="B1277" s="23"/>
      <c r="C1277" s="2"/>
      <c r="D1277" s="23">
        <v>2020</v>
      </c>
      <c r="E1277" s="25">
        <f>'Current Ratio'!G1405</f>
        <v>5.0889283987585587</v>
      </c>
      <c r="F1277" s="25">
        <f>'Cash Ratio'!G1405</f>
        <v>0.59676538935416956</v>
      </c>
      <c r="G1277" s="25">
        <f>DAR!G1405</f>
        <v>0.57241097462256074</v>
      </c>
      <c r="H1277" s="25">
        <f>DER!G1405</f>
        <v>1.3387004130997182</v>
      </c>
      <c r="I1277" s="25">
        <f>NPM!G1405</f>
        <v>0.34861849407091533</v>
      </c>
      <c r="J1277" s="25">
        <f>ROA!G1405</f>
        <v>3.5177893570367574E-2</v>
      </c>
      <c r="K1277" s="25">
        <f>ROE!G1405</f>
        <v>8.2270715871024663E-2</v>
      </c>
      <c r="L1277" s="25">
        <f>KM!E1405</f>
        <v>0.51</v>
      </c>
      <c r="M1277" s="24">
        <f>KI!E1405</f>
        <v>2</v>
      </c>
      <c r="N1277" s="108">
        <f>IO!E1405</f>
        <v>0</v>
      </c>
      <c r="O1277" s="24">
        <f>'BoC Size'!E1405</f>
        <v>3</v>
      </c>
      <c r="P1277" s="24">
        <f>'TMT E DK'!E1405</f>
        <v>0</v>
      </c>
      <c r="Q1277" s="24">
        <f>Data!R1405</f>
        <v>3</v>
      </c>
      <c r="R1277" s="24">
        <f>Data!S1405</f>
        <v>3</v>
      </c>
      <c r="S1277" s="24">
        <f>'TMT E DK'!E1405</f>
        <v>0</v>
      </c>
      <c r="T1277" s="24">
        <f>'TMT E DD'!E1405</f>
        <v>0</v>
      </c>
      <c r="U1277" s="24">
        <f>TA!E1405</f>
        <v>508956000000</v>
      </c>
      <c r="V1277" s="109">
        <f>PR!F1405</f>
        <v>-3.6279683377308707E-3</v>
      </c>
      <c r="W1277" s="109">
        <f>'Z Score'!I1405</f>
        <v>3.3792463002695712</v>
      </c>
      <c r="X1277" s="109">
        <f>'Z Score'!L1405</f>
        <v>1.0118595320617105</v>
      </c>
      <c r="Y1277" s="109">
        <f>'Z Score'!O1405</f>
        <v>0.29628651592672056</v>
      </c>
      <c r="Z1277" s="109">
        <f>'Z Score'!R1405</f>
        <v>0.78434277731248203</v>
      </c>
      <c r="AA1277" s="109">
        <f>'Z Score'!S1405</f>
        <v>5.4717351255704845</v>
      </c>
    </row>
    <row r="1278" spans="1:27" ht="15" customHeight="1" x14ac:dyDescent="0.3">
      <c r="A1278" s="22"/>
      <c r="B1278" s="23"/>
      <c r="C1278" s="2"/>
      <c r="D1278" s="23">
        <v>2021</v>
      </c>
      <c r="E1278" s="25">
        <f>'Current Ratio'!G1406</f>
        <v>4.3503462775166959</v>
      </c>
      <c r="F1278" s="25">
        <f>'Cash Ratio'!G1406</f>
        <v>0.47166707890180559</v>
      </c>
      <c r="G1278" s="25">
        <f>DAR!G1406</f>
        <v>0.57891453958193251</v>
      </c>
      <c r="H1278" s="25">
        <f>DER!G1406</f>
        <v>1.3748205119741208</v>
      </c>
      <c r="I1278" s="25">
        <f>NPM!G1406</f>
        <v>0.44892995226080484</v>
      </c>
      <c r="J1278" s="25">
        <f>ROA!G1406</f>
        <v>4.2970847167854223E-2</v>
      </c>
      <c r="K1278" s="25">
        <f>ROE!G1406</f>
        <v>0.10204822657578108</v>
      </c>
      <c r="L1278" s="25">
        <f>KM!E1406</f>
        <v>0.51</v>
      </c>
      <c r="M1278" s="24">
        <f>KI!E1406</f>
        <v>2</v>
      </c>
      <c r="N1278" s="108">
        <f>IO!E1406</f>
        <v>0</v>
      </c>
      <c r="O1278" s="24">
        <f>'BoC Size'!E1406</f>
        <v>3</v>
      </c>
      <c r="P1278" s="24">
        <f>'TMT E DK'!E1406</f>
        <v>0</v>
      </c>
      <c r="Q1278" s="24">
        <f>Data!R1406</f>
        <v>3</v>
      </c>
      <c r="R1278" s="24">
        <f>Data!S1406</f>
        <v>3</v>
      </c>
      <c r="S1278" s="24">
        <f>'TMT E DK'!E1406</f>
        <v>0</v>
      </c>
      <c r="T1278" s="24">
        <f>'TMT E DD'!E1406</f>
        <v>0</v>
      </c>
      <c r="U1278" s="24">
        <f>TA!E1406</f>
        <v>575553000000</v>
      </c>
      <c r="V1278" s="109">
        <f>PR!F1406</f>
        <v>7.2706739100804177E-2</v>
      </c>
      <c r="W1278" s="109">
        <f>'Z Score'!I1406</f>
        <v>3.0877487216642079</v>
      </c>
      <c r="X1278" s="109">
        <f>'Z Score'!L1406</f>
        <v>1.0312715944491644</v>
      </c>
      <c r="Y1278" s="109">
        <f>'Z Score'!O1406</f>
        <v>0.35206988756899882</v>
      </c>
      <c r="Z1278" s="109">
        <f>'Z Score'!R1406</f>
        <v>0.76373605925641375</v>
      </c>
      <c r="AA1278" s="109">
        <f>'Z Score'!S1406</f>
        <v>5.2348262629387854</v>
      </c>
    </row>
    <row r="1279" spans="1:27" ht="15" customHeight="1" x14ac:dyDescent="0.3">
      <c r="A1279" s="22"/>
      <c r="B1279" s="23"/>
      <c r="C1279" s="2"/>
      <c r="D1279" s="23">
        <v>2022</v>
      </c>
      <c r="E1279" s="25">
        <f>'Current Ratio'!G1407</f>
        <v>8.5121356058489344</v>
      </c>
      <c r="F1279" s="25">
        <f>'Cash Ratio'!G1407</f>
        <v>0.41374685666387256</v>
      </c>
      <c r="G1279" s="25">
        <f>DAR!G1407</f>
        <v>0.6131318097338343</v>
      </c>
      <c r="H1279" s="25">
        <f>DER!G1407</f>
        <v>1.5848655359097352</v>
      </c>
      <c r="I1279" s="25">
        <f>NPM!G1407</f>
        <v>0.50610014044706164</v>
      </c>
      <c r="J1279" s="25">
        <f>ROA!G1407</f>
        <v>4.2498138601706231E-2</v>
      </c>
      <c r="K1279" s="25">
        <f>ROE!G1407</f>
        <v>0.10985212990237489</v>
      </c>
      <c r="L1279" s="25">
        <f>KM!E1407</f>
        <v>0.51</v>
      </c>
      <c r="M1279" s="24">
        <f>KI!E1407</f>
        <v>2</v>
      </c>
      <c r="N1279" s="108">
        <f>IO!E1407</f>
        <v>0</v>
      </c>
      <c r="O1279" s="24">
        <f>'BoC Size'!E1407</f>
        <v>3</v>
      </c>
      <c r="P1279" s="24">
        <f>'TMT E DK'!E1407</f>
        <v>0</v>
      </c>
      <c r="Q1279" s="24">
        <f>Data!R1407</f>
        <v>3</v>
      </c>
      <c r="R1279" s="24">
        <f>Data!S1407</f>
        <v>3</v>
      </c>
      <c r="S1279" s="24">
        <f>'TMT E DK'!E1407</f>
        <v>0</v>
      </c>
      <c r="T1279" s="24">
        <f>'TMT E DD'!E1407</f>
        <v>0</v>
      </c>
      <c r="U1279" s="24">
        <f>TA!E1407</f>
        <v>703772000000</v>
      </c>
      <c r="V1279" s="109">
        <f>PR!F1407</f>
        <v>7.2716051623677183E-2</v>
      </c>
      <c r="W1279" s="109">
        <f>'Z Score'!I1407</f>
        <v>3.7591376752698316</v>
      </c>
      <c r="X1279" s="109">
        <f>'Z Score'!L1407</f>
        <v>0.98254139124602846</v>
      </c>
      <c r="Y1279" s="109">
        <f>'Z Score'!O1407</f>
        <v>0.36308349863308004</v>
      </c>
      <c r="Z1279" s="109">
        <f>'Z Score'!R1407</f>
        <v>0.66251677269093057</v>
      </c>
      <c r="AA1279" s="109">
        <f>'Z Score'!S1407</f>
        <v>5.767279337839871</v>
      </c>
    </row>
    <row r="1280" spans="1:27" ht="15" customHeight="1" x14ac:dyDescent="0.3">
      <c r="A1280" s="22"/>
      <c r="B1280" s="23"/>
      <c r="C1280" s="2"/>
      <c r="D1280" s="23">
        <v>2023</v>
      </c>
      <c r="E1280" s="25">
        <f>'Current Ratio'!G1408</f>
        <v>7.6732614164499209</v>
      </c>
      <c r="F1280" s="25">
        <f>'Cash Ratio'!G1408</f>
        <v>0.49346920791938487</v>
      </c>
      <c r="G1280" s="25">
        <f>DAR!G1408</f>
        <v>0.6186276830042664</v>
      </c>
      <c r="H1280" s="25">
        <f>DER!G1408</f>
        <v>1.62211506507423</v>
      </c>
      <c r="I1280" s="25">
        <f>NPM!G1408</f>
        <v>0.34857354119169387</v>
      </c>
      <c r="J1280" s="25">
        <f>ROA!G1408</f>
        <v>2.9263611756657315E-2</v>
      </c>
      <c r="K1280" s="25">
        <f>ROE!G1408</f>
        <v>7.6732656479955516E-2</v>
      </c>
      <c r="L1280" s="25">
        <f>KM!E1408</f>
        <v>0.51</v>
      </c>
      <c r="M1280" s="24">
        <f>KI!E1408</f>
        <v>2</v>
      </c>
      <c r="N1280" s="108">
        <f>IO!E1408</f>
        <v>0</v>
      </c>
      <c r="O1280" s="24">
        <f>'BoC Size'!E1408</f>
        <v>3</v>
      </c>
      <c r="P1280" s="24">
        <f>'TMT E DK'!E1408</f>
        <v>0</v>
      </c>
      <c r="Q1280" s="24">
        <f>Data!R1408</f>
        <v>3</v>
      </c>
      <c r="R1280" s="24">
        <f>Data!S1408</f>
        <v>3</v>
      </c>
      <c r="S1280" s="24">
        <f>'TMT E DK'!E1408</f>
        <v>0</v>
      </c>
      <c r="T1280" s="24">
        <f>'TMT E DD'!E1408</f>
        <v>0</v>
      </c>
      <c r="U1280" s="24">
        <f>TA!E1408</f>
        <v>773247000000</v>
      </c>
      <c r="V1280" s="109">
        <f>PR!F1408</f>
        <v>9.8465235121918196E-2</v>
      </c>
      <c r="W1280" s="109">
        <f>'Z Score'!I1408</f>
        <v>3.9833034463761252</v>
      </c>
      <c r="X1280" s="109">
        <f>'Z Score'!L1408</f>
        <v>0.98767105465653271</v>
      </c>
      <c r="Y1280" s="109">
        <f>'Z Score'!O1408</f>
        <v>0.23007561620025685</v>
      </c>
      <c r="Z1280" s="109">
        <f>'Z Score'!R1408</f>
        <v>0.64730303207679707</v>
      </c>
      <c r="AA1280" s="109">
        <f>'Z Score'!S1408</f>
        <v>5.8483531493097125</v>
      </c>
    </row>
    <row r="1281" spans="1:27" ht="15" customHeight="1" x14ac:dyDescent="0.3">
      <c r="A1281" s="22"/>
      <c r="B1281" s="23"/>
      <c r="C1281" s="2"/>
      <c r="D1281" s="23">
        <v>2024</v>
      </c>
      <c r="E1281" s="25">
        <f>'Current Ratio'!G1409</f>
        <v>9.9376288501184646</v>
      </c>
      <c r="F1281" s="25">
        <f>'Cash Ratio'!G1409</f>
        <v>3.0100310778793196</v>
      </c>
      <c r="G1281" s="25">
        <f>DAR!G1409</f>
        <v>0.44179952940496636</v>
      </c>
      <c r="H1281" s="25">
        <f>DER!G1409</f>
        <v>0.79147108015515366</v>
      </c>
      <c r="I1281" s="25">
        <f>NPM!G1409</f>
        <v>0.26613507038035339</v>
      </c>
      <c r="J1281" s="25">
        <f>ROA!G1409</f>
        <v>2.5675058282635114E-2</v>
      </c>
      <c r="K1281" s="25">
        <f>ROE!G1409</f>
        <v>4.5996124394638856E-2</v>
      </c>
      <c r="L1281" s="25">
        <f>KM!E1409</f>
        <v>0.51</v>
      </c>
      <c r="M1281" s="24">
        <f>KI!E1409</f>
        <v>2</v>
      </c>
      <c r="N1281" s="108">
        <f>IO!E1409</f>
        <v>0</v>
      </c>
      <c r="O1281" s="24">
        <f>'BoC Size'!E1409</f>
        <v>3</v>
      </c>
      <c r="P1281" s="24">
        <f>'TMT E DK'!E1409</f>
        <v>0</v>
      </c>
      <c r="Q1281" s="24">
        <f>Data!R1409</f>
        <v>3</v>
      </c>
      <c r="R1281" s="24">
        <f>Data!S1409</f>
        <v>3</v>
      </c>
      <c r="S1281" s="24">
        <f>'TMT E DK'!E1409</f>
        <v>0</v>
      </c>
      <c r="T1281" s="24">
        <f>'TMT E DD'!E1409</f>
        <v>0</v>
      </c>
      <c r="U1281" s="24">
        <f>TA!E1409</f>
        <v>553767000000</v>
      </c>
      <c r="V1281" s="109">
        <f>PR!F1409</f>
        <v>-0.1770287756485304</v>
      </c>
      <c r="W1281" s="109">
        <f>'Z Score'!I1409</f>
        <v>3.440876469706573</v>
      </c>
      <c r="X1281" s="109">
        <f>'Z Score'!L1409</f>
        <v>1.4650858574093435</v>
      </c>
      <c r="Y1281" s="109">
        <f>'Z Score'!O1409</f>
        <v>0.19113945034644533</v>
      </c>
      <c r="Z1281" s="109">
        <f>'Z Score'!R1409</f>
        <v>1.3266435455786538</v>
      </c>
      <c r="AA1281" s="109">
        <f>'Z Score'!S1409</f>
        <v>6.4237453230410155</v>
      </c>
    </row>
    <row r="1282" spans="1:27" ht="15" customHeight="1" x14ac:dyDescent="0.3">
      <c r="A1282" s="22"/>
      <c r="B1282" s="23">
        <v>129</v>
      </c>
      <c r="C1282" s="2" t="s">
        <v>87</v>
      </c>
      <c r="D1282" s="23">
        <v>2015</v>
      </c>
      <c r="E1282" s="25">
        <f>'Current Ratio'!G1411</f>
        <v>2.3637103684661525</v>
      </c>
      <c r="F1282" s="25">
        <f>'Cash Ratio'!G1411</f>
        <v>0</v>
      </c>
      <c r="G1282" s="25">
        <f>DAR!G1411</f>
        <v>0.54534340765831579</v>
      </c>
      <c r="H1282" s="25">
        <f>DER!G1411</f>
        <v>1.1994622245540398</v>
      </c>
      <c r="I1282" s="25">
        <f>NPM!G1411</f>
        <v>4.5480954704966416E-2</v>
      </c>
      <c r="J1282" s="25">
        <f>ROA!G1411</f>
        <v>1.1670552875297429E-2</v>
      </c>
      <c r="K1282" s="25">
        <f>ROE!G1411</f>
        <v>2.5668940188877231E-2</v>
      </c>
      <c r="L1282" s="25">
        <f>KM!E1411</f>
        <v>0</v>
      </c>
      <c r="M1282" s="24">
        <f>KI!E1411</f>
        <v>0</v>
      </c>
      <c r="N1282" s="108">
        <f>IO!E1411</f>
        <v>0</v>
      </c>
      <c r="O1282" s="24">
        <f>'BoC Size'!E1411</f>
        <v>0</v>
      </c>
      <c r="P1282" s="24">
        <f>'TMT E DK'!E1411</f>
        <v>0</v>
      </c>
      <c r="Q1282" s="24">
        <f>Data!R1411</f>
        <v>0</v>
      </c>
      <c r="R1282" s="24">
        <f>Data!S1411</f>
        <v>0</v>
      </c>
      <c r="S1282" s="24">
        <f>'TMT E DK'!E1411</f>
        <v>0</v>
      </c>
      <c r="T1282" s="24">
        <f>'TMT E DD'!E1411</f>
        <v>0</v>
      </c>
      <c r="U1282" s="24">
        <f>TA!E1411</f>
        <v>335374000000</v>
      </c>
      <c r="V1282" s="109">
        <f>PR!F1411</f>
        <v>0</v>
      </c>
      <c r="W1282" s="109">
        <f>'Z Score'!I1411</f>
        <v>1.8677497957504159</v>
      </c>
      <c r="X1282" s="109">
        <f>'Z Score'!L1411</f>
        <v>0.17229570568976724</v>
      </c>
      <c r="Y1282" s="109">
        <f>'Z Score'!O1411</f>
        <v>0.15601066272281094</v>
      </c>
      <c r="Z1282" s="109">
        <f>'Z Score'!R1411</f>
        <v>0.87539230373877763</v>
      </c>
      <c r="AA1282" s="109">
        <f>'Z Score'!S1411</f>
        <v>3.0714484679017717</v>
      </c>
    </row>
    <row r="1283" spans="1:27" ht="15" customHeight="1" x14ac:dyDescent="0.3">
      <c r="A1283" s="22"/>
      <c r="B1283" s="23"/>
      <c r="C1283" s="2"/>
      <c r="D1283" s="23">
        <v>2016</v>
      </c>
      <c r="E1283" s="25">
        <f>'Current Ratio'!G1412</f>
        <v>4.4944147442431301</v>
      </c>
      <c r="F1283" s="25">
        <f>'Cash Ratio'!G1412</f>
        <v>0.19197886547542278</v>
      </c>
      <c r="G1283" s="25">
        <f>DAR!G1412</f>
        <v>0.56125645705832528</v>
      </c>
      <c r="H1283" s="25">
        <f>DER!G1412</f>
        <v>1.2792358225838028</v>
      </c>
      <c r="I1283" s="25">
        <f>NPM!G1412</f>
        <v>6.181347850427598E-2</v>
      </c>
      <c r="J1283" s="25">
        <f>ROA!G1412</f>
        <v>1.5279815802345418E-2</v>
      </c>
      <c r="K1283" s="25">
        <f>ROE!G1412</f>
        <v>3.4826303539187746E-2</v>
      </c>
      <c r="L1283" s="25">
        <f>KM!E1412</f>
        <v>0.99970000000000003</v>
      </c>
      <c r="M1283" s="24">
        <f>KI!E1412</f>
        <v>2</v>
      </c>
      <c r="N1283" s="108">
        <f>IO!E1412</f>
        <v>0</v>
      </c>
      <c r="O1283" s="24">
        <f>'BoC Size'!E1412</f>
        <v>3</v>
      </c>
      <c r="P1283" s="24">
        <f>'TMT E DK'!E1412</f>
        <v>0</v>
      </c>
      <c r="Q1283" s="24">
        <f>Data!R1412</f>
        <v>3</v>
      </c>
      <c r="R1283" s="24">
        <f>Data!S1412</f>
        <v>4</v>
      </c>
      <c r="S1283" s="24">
        <f>'TMT E DK'!E1412</f>
        <v>0</v>
      </c>
      <c r="T1283" s="24">
        <f>'TMT E DD'!E1412</f>
        <v>0</v>
      </c>
      <c r="U1283" s="24">
        <f>TA!E1412</f>
        <v>419115000000</v>
      </c>
      <c r="V1283" s="109">
        <f>PR!F1412</f>
        <v>0.20386251132956842</v>
      </c>
      <c r="W1283" s="109">
        <f>'Z Score'!I1412</f>
        <v>2.6293373417797024</v>
      </c>
      <c r="X1283" s="109">
        <f>'Z Score'!L1412</f>
        <v>0.15769714756093195</v>
      </c>
      <c r="Y1283" s="109">
        <f>'Z Score'!O1412</f>
        <v>3.8128341863211762E-2</v>
      </c>
      <c r="Z1283" s="109">
        <f>'Z Score'!R1412</f>
        <v>0.82080253027874728</v>
      </c>
      <c r="AA1283" s="109">
        <f>'Z Score'!S1412</f>
        <v>3.6459653614825935</v>
      </c>
    </row>
    <row r="1284" spans="1:27" ht="15" customHeight="1" x14ac:dyDescent="0.3">
      <c r="A1284" s="22"/>
      <c r="B1284" s="23"/>
      <c r="C1284" s="2"/>
      <c r="D1284" s="23">
        <v>2017</v>
      </c>
      <c r="E1284" s="25">
        <f>'Current Ratio'!G1413</f>
        <v>2.8706342576229797</v>
      </c>
      <c r="F1284" s="25">
        <f>'Cash Ratio'!G1413</f>
        <v>0.78060437618481504</v>
      </c>
      <c r="G1284" s="25">
        <f>DAR!G1413</f>
        <v>0.654483695413418</v>
      </c>
      <c r="H1284" s="25">
        <f>DER!G1413</f>
        <v>0.654483695413418</v>
      </c>
      <c r="I1284" s="25">
        <f>NPM!G1413</f>
        <v>-1.7296779472714329E-3</v>
      </c>
      <c r="J1284" s="25">
        <f>ROA!G1413</f>
        <v>-4.5688338754430453E-4</v>
      </c>
      <c r="K1284" s="25">
        <f>ROE!G1413</f>
        <v>-4.5688338754430453E-4</v>
      </c>
      <c r="L1284" s="25">
        <f>KM!E1413</f>
        <v>0.99980000000000002</v>
      </c>
      <c r="M1284" s="24">
        <f>KI!E1413</f>
        <v>2</v>
      </c>
      <c r="N1284" s="108">
        <f>IO!E1413</f>
        <v>0</v>
      </c>
      <c r="O1284" s="24">
        <f>'BoC Size'!E1413</f>
        <v>3</v>
      </c>
      <c r="P1284" s="24">
        <f>'TMT E DK'!E1413</f>
        <v>0</v>
      </c>
      <c r="Q1284" s="24">
        <f>Data!R1413</f>
        <v>3</v>
      </c>
      <c r="R1284" s="24">
        <f>Data!S1413</f>
        <v>4</v>
      </c>
      <c r="S1284" s="24">
        <f>'TMT E DK'!E1413</f>
        <v>0</v>
      </c>
      <c r="T1284" s="24">
        <f>'TMT E DD'!E1413</f>
        <v>0</v>
      </c>
      <c r="U1284" s="24">
        <f>TA!E1413</f>
        <v>569073000000</v>
      </c>
      <c r="V1284" s="109">
        <f>PR!F1413</f>
        <v>0.45090828362386826</v>
      </c>
      <c r="W1284" s="109">
        <f>'Z Score'!I1413</f>
        <v>2.6845171709077746</v>
      </c>
      <c r="X1284" s="109">
        <f>'Z Score'!L1413</f>
        <v>0.14239617764329005</v>
      </c>
      <c r="Y1284" s="109">
        <f>'Z Score'!O1413</f>
        <v>8.013369110817066E-2</v>
      </c>
      <c r="Z1284" s="109">
        <f>'Z Score'!R1413</f>
        <v>1.6043180408592856</v>
      </c>
      <c r="AA1284" s="109">
        <f>'Z Score'!S1413</f>
        <v>4.5113650805185213</v>
      </c>
    </row>
    <row r="1285" spans="1:27" ht="15" customHeight="1" x14ac:dyDescent="0.3">
      <c r="A1285" s="22"/>
      <c r="B1285" s="23"/>
      <c r="C1285" s="2"/>
      <c r="D1285" s="23">
        <v>2018</v>
      </c>
      <c r="E1285" s="25">
        <f>'Current Ratio'!G1414</f>
        <v>7.7328828979496267</v>
      </c>
      <c r="F1285" s="25">
        <f>'Cash Ratio'!G1414</f>
        <v>0.35779509649797636</v>
      </c>
      <c r="G1285" s="25">
        <f>DAR!G1414</f>
        <v>0.583240246576476</v>
      </c>
      <c r="H1285" s="25">
        <f>DER!G1414</f>
        <v>1.3994639400407007</v>
      </c>
      <c r="I1285" s="25">
        <f>NPM!G1414</f>
        <v>5.7923925237601336E-2</v>
      </c>
      <c r="J1285" s="25">
        <f>ROA!G1414</f>
        <v>2.2642836456911175E-2</v>
      </c>
      <c r="K1285" s="25">
        <f>ROE!G1414</f>
        <v>5.4330669578597307E-2</v>
      </c>
      <c r="L1285" s="25">
        <f>KM!E1414</f>
        <v>0.99980000000000002</v>
      </c>
      <c r="M1285" s="24">
        <f>KI!E1414</f>
        <v>2</v>
      </c>
      <c r="N1285" s="108">
        <f>IO!E1414</f>
        <v>0</v>
      </c>
      <c r="O1285" s="24">
        <f>'BoC Size'!E1414</f>
        <v>3</v>
      </c>
      <c r="P1285" s="24">
        <f>'TMT E DK'!E1414</f>
        <v>0</v>
      </c>
      <c r="Q1285" s="24">
        <f>Data!R1414</f>
        <v>3</v>
      </c>
      <c r="R1285" s="24">
        <f>Data!S1414</f>
        <v>4</v>
      </c>
      <c r="S1285" s="24">
        <f>'TMT E DK'!E1414</f>
        <v>0</v>
      </c>
      <c r="T1285" s="24">
        <f>'TMT E DD'!E1414</f>
        <v>0</v>
      </c>
      <c r="U1285" s="24">
        <f>TA!E1414</f>
        <v>483420000000</v>
      </c>
      <c r="V1285" s="109">
        <f>PR!F1414</f>
        <v>0.25715654250683556</v>
      </c>
      <c r="W1285" s="109">
        <f>'Z Score'!I1414</f>
        <v>2.7315420959000454</v>
      </c>
      <c r="X1285" s="109">
        <f>'Z Score'!L1414</f>
        <v>0.20315150386827188</v>
      </c>
      <c r="Y1285" s="109">
        <f>'Z Score'!O1414</f>
        <v>0.18766290182450043</v>
      </c>
      <c r="Z1285" s="109">
        <f>'Z Score'!R1414</f>
        <v>0.75028728497960628</v>
      </c>
      <c r="AA1285" s="109">
        <f>'Z Score'!S1414</f>
        <v>3.8726437865724241</v>
      </c>
    </row>
    <row r="1286" spans="1:27" ht="15" customHeight="1" x14ac:dyDescent="0.3">
      <c r="A1286" s="22"/>
      <c r="B1286" s="23"/>
      <c r="C1286" s="2"/>
      <c r="D1286" s="23">
        <v>2019</v>
      </c>
      <c r="E1286" s="25">
        <f>'Current Ratio'!G1415</f>
        <v>5.2093304157549234</v>
      </c>
      <c r="F1286" s="25">
        <f>'Cash Ratio'!G1415</f>
        <v>0.58329978118161929</v>
      </c>
      <c r="G1286" s="25">
        <f>DAR!G1415</f>
        <v>0.66303310460733877</v>
      </c>
      <c r="H1286" s="25">
        <f>DER!G1415</f>
        <v>1.9676505724240916</v>
      </c>
      <c r="I1286" s="25">
        <f>NPM!G1415</f>
        <v>2.937890511855009E-2</v>
      </c>
      <c r="J1286" s="25">
        <f>ROA!G1415</f>
        <v>9.5269883814351197E-3</v>
      </c>
      <c r="K1286" s="25">
        <f>ROE!G1415</f>
        <v>2.8272772523643602E-2</v>
      </c>
      <c r="L1286" s="25">
        <f>KM!E1415</f>
        <v>0.99980000000000002</v>
      </c>
      <c r="M1286" s="24">
        <f>KI!E1415</f>
        <v>2</v>
      </c>
      <c r="N1286" s="108">
        <f>IO!E1415</f>
        <v>0</v>
      </c>
      <c r="O1286" s="24">
        <f>'BoC Size'!E1415</f>
        <v>3</v>
      </c>
      <c r="P1286" s="24">
        <f>'TMT E DK'!E1415</f>
        <v>0</v>
      </c>
      <c r="Q1286" s="24">
        <f>Data!R1415</f>
        <v>3</v>
      </c>
      <c r="R1286" s="24">
        <f>Data!S1415</f>
        <v>4</v>
      </c>
      <c r="S1286" s="24">
        <f>'TMT E DK'!E1415</f>
        <v>0</v>
      </c>
      <c r="T1286" s="24">
        <f>'TMT E DD'!E1415</f>
        <v>0</v>
      </c>
      <c r="U1286" s="24">
        <f>TA!E1415</f>
        <v>596201000000</v>
      </c>
      <c r="V1286" s="109">
        <f>PR!F1415</f>
        <v>2.3093368329699639E-2</v>
      </c>
      <c r="W1286" s="109">
        <f>'Z Score'!I1415</f>
        <v>2.6457595341168498</v>
      </c>
      <c r="X1286" s="109">
        <f>'Z Score'!L1415</f>
        <v>0.16205923841120695</v>
      </c>
      <c r="Y1286" s="109">
        <f>'Z Score'!O1415</f>
        <v>5.5894706650944891E-2</v>
      </c>
      <c r="Z1286" s="109">
        <f>'Z Score'!R1415</f>
        <v>0.53363133409730812</v>
      </c>
      <c r="AA1286" s="109">
        <f>'Z Score'!S1415</f>
        <v>3.3973448132763098</v>
      </c>
    </row>
    <row r="1287" spans="1:27" ht="15" customHeight="1" x14ac:dyDescent="0.3">
      <c r="A1287" s="22"/>
      <c r="B1287" s="23"/>
      <c r="C1287" s="2"/>
      <c r="D1287" s="23">
        <v>2020</v>
      </c>
      <c r="E1287" s="25">
        <f>'Current Ratio'!G1416</f>
        <v>7.2609505588561074</v>
      </c>
      <c r="F1287" s="25">
        <f>'Cash Ratio'!G1416</f>
        <v>0.36224952169972813</v>
      </c>
      <c r="G1287" s="25">
        <f>DAR!G1416</f>
        <v>0.64529806699780323</v>
      </c>
      <c r="H1287" s="25">
        <f>DER!G1416</f>
        <v>1.8192685377719851</v>
      </c>
      <c r="I1287" s="25">
        <f>NPM!G1416</f>
        <v>1.271860925113121E-2</v>
      </c>
      <c r="J1287" s="25">
        <f>ROA!G1416</f>
        <v>4.3000696974776573E-3</v>
      </c>
      <c r="K1287" s="25">
        <f>ROE!G1416</f>
        <v>1.2123051208325457E-2</v>
      </c>
      <c r="L1287" s="25">
        <f>KM!E1416</f>
        <v>0.99980000000000002</v>
      </c>
      <c r="M1287" s="24">
        <f>KI!E1416</f>
        <v>2</v>
      </c>
      <c r="N1287" s="108">
        <f>IO!E1416</f>
        <v>0</v>
      </c>
      <c r="O1287" s="24">
        <f>'BoC Size'!E1416</f>
        <v>3</v>
      </c>
      <c r="P1287" s="24">
        <f>'TMT E DK'!E1416</f>
        <v>0</v>
      </c>
      <c r="Q1287" s="24">
        <f>Data!R1416</f>
        <v>3</v>
      </c>
      <c r="R1287" s="24">
        <f>Data!S1416</f>
        <v>3</v>
      </c>
      <c r="S1287" s="24">
        <f>'TMT E DK'!E1416</f>
        <v>0</v>
      </c>
      <c r="T1287" s="24">
        <f>'TMT E DD'!E1416</f>
        <v>0</v>
      </c>
      <c r="U1287" s="24">
        <f>TA!E1416</f>
        <v>566735000000</v>
      </c>
      <c r="V1287" s="109">
        <f>PR!F1416</f>
        <v>-8.9326354119253527E-3</v>
      </c>
      <c r="W1287" s="109">
        <f>'Z Score'!I1416</f>
        <v>2.8788368461450236</v>
      </c>
      <c r="X1287" s="109">
        <f>'Z Score'!L1416</f>
        <v>0.20649418158398544</v>
      </c>
      <c r="Y1287" s="109">
        <f>'Z Score'!O1416</f>
        <v>0.10646753773809628</v>
      </c>
      <c r="Z1287" s="109">
        <f>'Z Score'!R1416</f>
        <v>0.57715503687317649</v>
      </c>
      <c r="AA1287" s="109">
        <f>'Z Score'!S1416</f>
        <v>3.7689536023402814</v>
      </c>
    </row>
    <row r="1288" spans="1:27" ht="15" customHeight="1" x14ac:dyDescent="0.3">
      <c r="A1288" s="22"/>
      <c r="B1288" s="23"/>
      <c r="C1288" s="2"/>
      <c r="D1288" s="23">
        <v>2021</v>
      </c>
      <c r="E1288" s="25">
        <f>'Current Ratio'!G1417</f>
        <v>7.6838413340323024</v>
      </c>
      <c r="F1288" s="25">
        <f>'Cash Ratio'!G1417</f>
        <v>1.5797199131281361</v>
      </c>
      <c r="G1288" s="25">
        <f>DAR!G1417</f>
        <v>0.64698887097674562</v>
      </c>
      <c r="H1288" s="25">
        <f>DER!G1417</f>
        <v>1.8327718810647626</v>
      </c>
      <c r="I1288" s="25">
        <f>NPM!G1417</f>
        <v>6.674268912156367E-2</v>
      </c>
      <c r="J1288" s="25">
        <f>ROA!G1417</f>
        <v>2.3959794098691211E-2</v>
      </c>
      <c r="K1288" s="25">
        <f>ROE!G1417</f>
        <v>6.7872630998873903E-2</v>
      </c>
      <c r="L1288" s="25">
        <f>KM!E1417</f>
        <v>0.99980000000000002</v>
      </c>
      <c r="M1288" s="24">
        <f>KI!E1417</f>
        <v>1</v>
      </c>
      <c r="N1288" s="108">
        <f>IO!E1417</f>
        <v>0</v>
      </c>
      <c r="O1288" s="24">
        <f>'BoC Size'!E1417</f>
        <v>2</v>
      </c>
      <c r="P1288" s="24">
        <f>'TMT E DK'!E1417</f>
        <v>0</v>
      </c>
      <c r="Q1288" s="24">
        <f>Data!R1417</f>
        <v>2</v>
      </c>
      <c r="R1288" s="24">
        <f>Data!S1417</f>
        <v>3</v>
      </c>
      <c r="S1288" s="24">
        <f>'TMT E DK'!E1417</f>
        <v>0</v>
      </c>
      <c r="T1288" s="24">
        <f>'TMT E DD'!E1417</f>
        <v>0</v>
      </c>
      <c r="U1288" s="24">
        <f>TA!E1417</f>
        <v>591157000000</v>
      </c>
      <c r="V1288" s="109">
        <f>PR!F1417</f>
        <v>0.10755757819309114</v>
      </c>
      <c r="W1288" s="109">
        <f>'Z Score'!I1417</f>
        <v>2.9711682006641214</v>
      </c>
      <c r="X1288" s="109">
        <f>'Z Score'!L1417</f>
        <v>0.24401595515235378</v>
      </c>
      <c r="Y1288" s="109">
        <f>'Z Score'!O1417</f>
        <v>0.2627265514913974</v>
      </c>
      <c r="Z1288" s="109">
        <f>'Z Score'!R1417</f>
        <v>0.5729027222907821</v>
      </c>
      <c r="AA1288" s="109">
        <f>'Z Score'!S1417</f>
        <v>4.0508134295986542</v>
      </c>
    </row>
    <row r="1289" spans="1:27" ht="15" customHeight="1" x14ac:dyDescent="0.3">
      <c r="A1289" s="22"/>
      <c r="B1289" s="23"/>
      <c r="C1289" s="2"/>
      <c r="D1289" s="23">
        <v>2022</v>
      </c>
      <c r="E1289" s="25">
        <f>'Current Ratio'!G1418</f>
        <v>4.3475831883427576</v>
      </c>
      <c r="F1289" s="25">
        <f>'Cash Ratio'!G1418</f>
        <v>0.61488690735102214</v>
      </c>
      <c r="G1289" s="25">
        <f>DAR!G1418</f>
        <v>0.6780983030459522</v>
      </c>
      <c r="H1289" s="25">
        <f>DER!G1418</f>
        <v>2.106538454013656</v>
      </c>
      <c r="I1289" s="25">
        <f>NPM!G1418</f>
        <v>4.3874806422691336E-2</v>
      </c>
      <c r="J1289" s="25">
        <f>ROA!G1418</f>
        <v>1.6950646946018031E-2</v>
      </c>
      <c r="K1289" s="25">
        <f>ROE!G1418</f>
        <v>5.2657836558214155E-2</v>
      </c>
      <c r="L1289" s="25">
        <f>KM!E1418</f>
        <v>0.99980000000000002</v>
      </c>
      <c r="M1289" s="24">
        <f>KI!E1418</f>
        <v>2</v>
      </c>
      <c r="N1289" s="108">
        <f>IO!E1418</f>
        <v>0</v>
      </c>
      <c r="O1289" s="24">
        <f>'BoC Size'!E1418</f>
        <v>3</v>
      </c>
      <c r="P1289" s="24">
        <f>'TMT E DK'!E1418</f>
        <v>0</v>
      </c>
      <c r="Q1289" s="24">
        <f>Data!R1418</f>
        <v>3</v>
      </c>
      <c r="R1289" s="24">
        <f>Data!S1418</f>
        <v>3</v>
      </c>
      <c r="S1289" s="24">
        <f>'TMT E DK'!E1418</f>
        <v>0</v>
      </c>
      <c r="T1289" s="24">
        <f>'TMT E DD'!E1418</f>
        <v>0</v>
      </c>
      <c r="U1289" s="24">
        <f>TA!E1418</f>
        <v>635138000000</v>
      </c>
      <c r="V1289" s="109">
        <f>PR!F1418</f>
        <v>0.15626384189842521</v>
      </c>
      <c r="W1289" s="109">
        <f>'Z Score'!I1418</f>
        <v>2.5436424839956042</v>
      </c>
      <c r="X1289" s="109">
        <f>'Z Score'!L1418</f>
        <v>0.25823855603034296</v>
      </c>
      <c r="Y1289" s="109">
        <f>'Z Score'!O1418</f>
        <v>0.27080476998699493</v>
      </c>
      <c r="Z1289" s="109">
        <f>'Z Score'!R1418</f>
        <v>0.49844805728535413</v>
      </c>
      <c r="AA1289" s="109">
        <f>'Z Score'!S1418</f>
        <v>3.5711338672982964</v>
      </c>
    </row>
    <row r="1290" spans="1:27" ht="15" customHeight="1" x14ac:dyDescent="0.3">
      <c r="A1290" s="22"/>
      <c r="B1290" s="23"/>
      <c r="C1290" s="2"/>
      <c r="D1290" s="23">
        <v>2023</v>
      </c>
      <c r="E1290" s="25">
        <f>'Current Ratio'!G1419</f>
        <v>6.1555882952212277</v>
      </c>
      <c r="F1290" s="25">
        <f>'Cash Ratio'!G1419</f>
        <v>1.8715264172531072</v>
      </c>
      <c r="G1290" s="25">
        <f>DAR!G1419</f>
        <v>0.66080218765055931</v>
      </c>
      <c r="H1290" s="25">
        <f>DER!G1419</f>
        <v>1.948132221353488</v>
      </c>
      <c r="I1290" s="25">
        <f>NPM!G1419</f>
        <v>0.15842387211148146</v>
      </c>
      <c r="J1290" s="25">
        <f>ROA!G1419</f>
        <v>6.0434436047907894E-2</v>
      </c>
      <c r="K1290" s="25">
        <f>ROE!G1419</f>
        <v>0.17816870819216402</v>
      </c>
      <c r="L1290" s="25">
        <f>KM!E1419</f>
        <v>0.99980000000000002</v>
      </c>
      <c r="M1290" s="24">
        <f>KI!E1419</f>
        <v>2</v>
      </c>
      <c r="N1290" s="108">
        <f>IO!E1419</f>
        <v>0</v>
      </c>
      <c r="O1290" s="24">
        <f>'BoC Size'!E1419</f>
        <v>3</v>
      </c>
      <c r="P1290" s="24">
        <f>'TMT E DK'!E1419</f>
        <v>0</v>
      </c>
      <c r="Q1290" s="24">
        <f>Data!R1419</f>
        <v>3</v>
      </c>
      <c r="R1290" s="24">
        <f>Data!S1419</f>
        <v>4</v>
      </c>
      <c r="S1290" s="24">
        <f>'TMT E DK'!E1419</f>
        <v>0</v>
      </c>
      <c r="T1290" s="24">
        <f>'TMT E DD'!E1419</f>
        <v>0</v>
      </c>
      <c r="U1290" s="24">
        <f>TA!E1419</f>
        <v>678719000000</v>
      </c>
      <c r="V1290" s="109">
        <f>PR!F1419</f>
        <v>5.5151194066346075E-2</v>
      </c>
      <c r="W1290" s="109">
        <f>'Z Score'!I1419</f>
        <v>3.1793120864452002</v>
      </c>
      <c r="X1290" s="109">
        <f>'Z Score'!L1419</f>
        <v>0.2704230469457905</v>
      </c>
      <c r="Y1290" s="109">
        <f>'Z Score'!O1419</f>
        <v>0.26078256244484094</v>
      </c>
      <c r="Z1290" s="109">
        <f>'Z Score'!R1419</f>
        <v>0.53897779036296634</v>
      </c>
      <c r="AA1290" s="109">
        <f>'Z Score'!S1419</f>
        <v>4.2494954861987981</v>
      </c>
    </row>
    <row r="1291" spans="1:27" ht="15" customHeight="1" x14ac:dyDescent="0.3">
      <c r="A1291" s="22"/>
      <c r="B1291" s="23"/>
      <c r="C1291" s="2"/>
      <c r="D1291" s="23">
        <v>2024</v>
      </c>
      <c r="E1291" s="25">
        <f>'Current Ratio'!G1420</f>
        <v>3.2889135204831814</v>
      </c>
      <c r="F1291" s="25">
        <f>'Cash Ratio'!G1420</f>
        <v>0.30276879227271697</v>
      </c>
      <c r="G1291" s="25">
        <f>DAR!G1420</f>
        <v>0.65909552006416761</v>
      </c>
      <c r="H1291" s="25">
        <f>DER!G1420</f>
        <v>1.9333730087332013</v>
      </c>
      <c r="I1291" s="25">
        <f>NPM!G1420</f>
        <v>-1.6808649729097E-2</v>
      </c>
      <c r="J1291" s="25">
        <f>ROA!G1420</f>
        <v>-7.7237019037957964E-3</v>
      </c>
      <c r="K1291" s="25">
        <f>ROE!G1420</f>
        <v>-2.2656498692095829E-2</v>
      </c>
      <c r="L1291" s="25">
        <f>KM!E1420</f>
        <v>0.99980000000000002</v>
      </c>
      <c r="M1291" s="24">
        <f>KI!E1420</f>
        <v>1</v>
      </c>
      <c r="N1291" s="108">
        <f>IO!E1420</f>
        <v>0</v>
      </c>
      <c r="O1291" s="24">
        <f>'BoC Size'!E1420</f>
        <v>3</v>
      </c>
      <c r="P1291" s="24">
        <f>'TMT E DK'!E1420</f>
        <v>0</v>
      </c>
      <c r="Q1291" s="24">
        <f>Data!R1420</f>
        <v>3</v>
      </c>
      <c r="R1291" s="24">
        <f>Data!S1420</f>
        <v>4</v>
      </c>
      <c r="S1291" s="24">
        <f>'TMT E DK'!E1420</f>
        <v>0</v>
      </c>
      <c r="T1291" s="24">
        <f>'TMT E DD'!E1420</f>
        <v>0</v>
      </c>
      <c r="U1291" s="24">
        <f>TA!E1420</f>
        <v>635835000000</v>
      </c>
      <c r="V1291" s="109">
        <f>PR!F1420</f>
        <v>0.12845241451761788</v>
      </c>
      <c r="W1291" s="109">
        <f>'Z Score'!I1420</f>
        <v>2.0879006660532999</v>
      </c>
      <c r="X1291" s="109">
        <f>'Z Score'!L1420</f>
        <v>0.3152715091179315</v>
      </c>
      <c r="Y1291" s="109">
        <f>'Z Score'!O1420</f>
        <v>0.18875840430300314</v>
      </c>
      <c r="Z1291" s="109">
        <f>'Z Score'!R1420</f>
        <v>0.54309230306674683</v>
      </c>
      <c r="AA1291" s="109">
        <f>'Z Score'!S1420</f>
        <v>3.1350228825409814</v>
      </c>
    </row>
    <row r="1292" spans="1:27" ht="15" customHeight="1" x14ac:dyDescent="0.3">
      <c r="A1292" s="22"/>
      <c r="B1292" s="23">
        <v>130</v>
      </c>
      <c r="C1292" s="2" t="s">
        <v>113</v>
      </c>
      <c r="D1292" s="23">
        <v>2015</v>
      </c>
      <c r="E1292" s="25">
        <f>'Current Ratio'!G1422</f>
        <v>0</v>
      </c>
      <c r="F1292" s="25">
        <f>'Cash Ratio'!G1422</f>
        <v>0</v>
      </c>
      <c r="G1292" s="25">
        <f>DAR!G1422</f>
        <v>0</v>
      </c>
      <c r="H1292" s="25">
        <f>DER!G1422</f>
        <v>0</v>
      </c>
      <c r="I1292" s="25">
        <f>NPM!G1422</f>
        <v>0</v>
      </c>
      <c r="J1292" s="25">
        <f>ROA!G1422</f>
        <v>0</v>
      </c>
      <c r="K1292" s="25">
        <f>ROE!G1422</f>
        <v>0</v>
      </c>
      <c r="L1292" s="25">
        <f>KM!E1422</f>
        <v>0</v>
      </c>
      <c r="M1292" s="24">
        <f>KI!E1422</f>
        <v>0</v>
      </c>
      <c r="N1292" s="108">
        <f>IO!E1422</f>
        <v>0</v>
      </c>
      <c r="O1292" s="24">
        <f>'BoC Size'!E1422</f>
        <v>0</v>
      </c>
      <c r="P1292" s="24">
        <f>'TMT E DK'!E1422</f>
        <v>0</v>
      </c>
      <c r="Q1292" s="24">
        <f>Data!R1422</f>
        <v>0</v>
      </c>
      <c r="R1292" s="24">
        <f>Data!S1422</f>
        <v>0</v>
      </c>
      <c r="S1292" s="24">
        <f>'TMT E DK'!E1422</f>
        <v>0</v>
      </c>
      <c r="T1292" s="24">
        <f>'TMT E DD'!E1422</f>
        <v>0</v>
      </c>
      <c r="U1292" s="24">
        <f>TA!E1422</f>
        <v>0</v>
      </c>
      <c r="V1292" s="109">
        <f>PR!F1422</f>
        <v>0</v>
      </c>
      <c r="W1292" s="109">
        <f>'Z Score'!I1422</f>
        <v>0</v>
      </c>
      <c r="X1292" s="109">
        <f>'Z Score'!L1422</f>
        <v>0</v>
      </c>
      <c r="Y1292" s="109">
        <f>'Z Score'!O1422</f>
        <v>0</v>
      </c>
      <c r="Z1292" s="109">
        <f>'Z Score'!R1422</f>
        <v>0</v>
      </c>
      <c r="AA1292" s="109">
        <f>'Z Score'!S1422</f>
        <v>0</v>
      </c>
    </row>
    <row r="1293" spans="1:27" ht="15" customHeight="1" x14ac:dyDescent="0.3">
      <c r="A1293" s="22"/>
      <c r="B1293" s="23"/>
      <c r="C1293" s="2"/>
      <c r="D1293" s="23">
        <v>2016</v>
      </c>
      <c r="E1293" s="25">
        <f>'Current Ratio'!G1423</f>
        <v>0</v>
      </c>
      <c r="F1293" s="25">
        <f>'Cash Ratio'!G1423</f>
        <v>0</v>
      </c>
      <c r="G1293" s="25">
        <f>DAR!G1423</f>
        <v>0</v>
      </c>
      <c r="H1293" s="25">
        <f>DER!G1423</f>
        <v>0</v>
      </c>
      <c r="I1293" s="25">
        <f>NPM!G1423</f>
        <v>0</v>
      </c>
      <c r="J1293" s="25">
        <f>ROA!G1423</f>
        <v>0</v>
      </c>
      <c r="K1293" s="25">
        <f>ROE!G1423</f>
        <v>0</v>
      </c>
      <c r="L1293" s="25">
        <f>KM!E1423</f>
        <v>0</v>
      </c>
      <c r="M1293" s="24">
        <f>KI!E1423</f>
        <v>0</v>
      </c>
      <c r="N1293" s="108">
        <f>IO!E1423</f>
        <v>0</v>
      </c>
      <c r="O1293" s="24">
        <f>'BoC Size'!E1423</f>
        <v>0</v>
      </c>
      <c r="P1293" s="24">
        <f>'TMT E DK'!E1423</f>
        <v>0</v>
      </c>
      <c r="Q1293" s="24">
        <f>Data!R1423</f>
        <v>0</v>
      </c>
      <c r="R1293" s="24">
        <f>Data!S1423</f>
        <v>0</v>
      </c>
      <c r="S1293" s="24">
        <f>'TMT E DK'!E1423</f>
        <v>0</v>
      </c>
      <c r="T1293" s="24">
        <f>'TMT E DD'!E1423</f>
        <v>0</v>
      </c>
      <c r="U1293" s="24">
        <f>TA!E1423</f>
        <v>0</v>
      </c>
      <c r="V1293" s="109">
        <f>PR!F1423</f>
        <v>0</v>
      </c>
      <c r="W1293" s="109">
        <f>'Z Score'!I1423</f>
        <v>0</v>
      </c>
      <c r="X1293" s="109">
        <f>'Z Score'!L1423</f>
        <v>0</v>
      </c>
      <c r="Y1293" s="109">
        <f>'Z Score'!O1423</f>
        <v>0</v>
      </c>
      <c r="Z1293" s="109">
        <f>'Z Score'!R1423</f>
        <v>0</v>
      </c>
      <c r="AA1293" s="109">
        <f>'Z Score'!S1423</f>
        <v>0</v>
      </c>
    </row>
    <row r="1294" spans="1:27" ht="15" customHeight="1" x14ac:dyDescent="0.3">
      <c r="A1294" s="22"/>
      <c r="B1294" s="23"/>
      <c r="C1294" s="2"/>
      <c r="D1294" s="23">
        <v>2017</v>
      </c>
      <c r="E1294" s="25">
        <f>'Current Ratio'!G1424</f>
        <v>0</v>
      </c>
      <c r="F1294" s="25">
        <f>'Cash Ratio'!G1424</f>
        <v>0</v>
      </c>
      <c r="G1294" s="25">
        <f>DAR!G1424</f>
        <v>0</v>
      </c>
      <c r="H1294" s="25">
        <f>DER!G1424</f>
        <v>0</v>
      </c>
      <c r="I1294" s="25">
        <f>NPM!G1424</f>
        <v>0</v>
      </c>
      <c r="J1294" s="25">
        <f>ROA!G1424</f>
        <v>0</v>
      </c>
      <c r="K1294" s="25">
        <f>ROE!G1424</f>
        <v>0</v>
      </c>
      <c r="L1294" s="25">
        <f>KM!E1424</f>
        <v>0</v>
      </c>
      <c r="M1294" s="24">
        <f>KI!E1424</f>
        <v>0</v>
      </c>
      <c r="N1294" s="108">
        <f>IO!E1424</f>
        <v>0</v>
      </c>
      <c r="O1294" s="24">
        <f>'BoC Size'!E1424</f>
        <v>0</v>
      </c>
      <c r="P1294" s="24">
        <f>'TMT E DK'!E1424</f>
        <v>0</v>
      </c>
      <c r="Q1294" s="24">
        <f>Data!R1424</f>
        <v>0</v>
      </c>
      <c r="R1294" s="24">
        <f>Data!S1424</f>
        <v>0</v>
      </c>
      <c r="S1294" s="24">
        <f>'TMT E DK'!E1424</f>
        <v>0</v>
      </c>
      <c r="T1294" s="24">
        <f>'TMT E DD'!E1424</f>
        <v>0</v>
      </c>
      <c r="U1294" s="24">
        <f>TA!E1424</f>
        <v>0</v>
      </c>
      <c r="V1294" s="109">
        <f>PR!F1424</f>
        <v>0</v>
      </c>
      <c r="W1294" s="109">
        <f>'Z Score'!I1424</f>
        <v>0</v>
      </c>
      <c r="X1294" s="109">
        <f>'Z Score'!L1424</f>
        <v>0</v>
      </c>
      <c r="Y1294" s="109">
        <f>'Z Score'!O1424</f>
        <v>0</v>
      </c>
      <c r="Z1294" s="109">
        <f>'Z Score'!R1424</f>
        <v>0</v>
      </c>
      <c r="AA1294" s="109">
        <f>'Z Score'!S1424</f>
        <v>0</v>
      </c>
    </row>
    <row r="1295" spans="1:27" ht="15" customHeight="1" x14ac:dyDescent="0.3">
      <c r="A1295" s="22"/>
      <c r="B1295" s="23"/>
      <c r="C1295" s="2"/>
      <c r="D1295" s="23">
        <v>2018</v>
      </c>
      <c r="E1295" s="25">
        <f>'Current Ratio'!G1425</f>
        <v>0</v>
      </c>
      <c r="F1295" s="25">
        <f>'Cash Ratio'!G1425</f>
        <v>0</v>
      </c>
      <c r="G1295" s="25">
        <f>DAR!G1425</f>
        <v>0</v>
      </c>
      <c r="H1295" s="25">
        <f>DER!G1425</f>
        <v>0</v>
      </c>
      <c r="I1295" s="25">
        <f>NPM!G1425</f>
        <v>0</v>
      </c>
      <c r="J1295" s="25">
        <f>ROA!G1425</f>
        <v>0</v>
      </c>
      <c r="K1295" s="25">
        <f>ROE!G1425</f>
        <v>0</v>
      </c>
      <c r="L1295" s="25">
        <f>KM!E1425</f>
        <v>0</v>
      </c>
      <c r="M1295" s="24">
        <f>KI!E1425</f>
        <v>0</v>
      </c>
      <c r="N1295" s="108">
        <f>IO!E1425</f>
        <v>0</v>
      </c>
      <c r="O1295" s="24">
        <f>'BoC Size'!E1425</f>
        <v>0</v>
      </c>
      <c r="P1295" s="24">
        <f>'TMT E DK'!E1425</f>
        <v>0</v>
      </c>
      <c r="Q1295" s="24">
        <f>Data!R1425</f>
        <v>0</v>
      </c>
      <c r="R1295" s="24">
        <f>Data!S1425</f>
        <v>0</v>
      </c>
      <c r="S1295" s="24">
        <f>'TMT E DK'!E1425</f>
        <v>0</v>
      </c>
      <c r="T1295" s="24">
        <f>'TMT E DD'!E1425</f>
        <v>0</v>
      </c>
      <c r="U1295" s="24">
        <f>TA!E1425</f>
        <v>0</v>
      </c>
      <c r="V1295" s="109">
        <f>PR!F1425</f>
        <v>0</v>
      </c>
      <c r="W1295" s="109">
        <f>'Z Score'!I1425</f>
        <v>0</v>
      </c>
      <c r="X1295" s="109">
        <f>'Z Score'!L1425</f>
        <v>0</v>
      </c>
      <c r="Y1295" s="109">
        <f>'Z Score'!O1425</f>
        <v>0</v>
      </c>
      <c r="Z1295" s="109">
        <f>'Z Score'!R1425</f>
        <v>0</v>
      </c>
      <c r="AA1295" s="109">
        <f>'Z Score'!S1425</f>
        <v>0</v>
      </c>
    </row>
    <row r="1296" spans="1:27" ht="15" customHeight="1" x14ac:dyDescent="0.3">
      <c r="A1296" s="22"/>
      <c r="B1296" s="23"/>
      <c r="C1296" s="2"/>
      <c r="D1296" s="23">
        <v>2019</v>
      </c>
      <c r="E1296" s="25">
        <f>'Current Ratio'!G1426</f>
        <v>4.0091452303258892</v>
      </c>
      <c r="F1296" s="25">
        <f>'Cash Ratio'!G1426</f>
        <v>0.12715175657922617</v>
      </c>
      <c r="G1296" s="25">
        <f>DAR!G1426</f>
        <v>0.80202346581882855</v>
      </c>
      <c r="H1296" s="25">
        <f>DER!G1426</f>
        <v>4.0511036782009935</v>
      </c>
      <c r="I1296" s="25">
        <f>NPM!G1426</f>
        <v>2.1328162869607369E-3</v>
      </c>
      <c r="J1296" s="25">
        <f>ROA!G1426</f>
        <v>8.7789210986377575E-4</v>
      </c>
      <c r="K1296" s="25">
        <f>ROE!G1426</f>
        <v>4.4343240651965486E-3</v>
      </c>
      <c r="L1296" s="25">
        <f>KM!E1426</f>
        <v>0</v>
      </c>
      <c r="M1296" s="24">
        <f>KI!E1426</f>
        <v>0</v>
      </c>
      <c r="N1296" s="108">
        <f>IO!E1426</f>
        <v>0</v>
      </c>
      <c r="O1296" s="24">
        <f>'BoC Size'!E1426</f>
        <v>0</v>
      </c>
      <c r="P1296" s="24">
        <f>'TMT E DK'!E1426</f>
        <v>0</v>
      </c>
      <c r="Q1296" s="24">
        <f>Data!R1426</f>
        <v>0</v>
      </c>
      <c r="R1296" s="24">
        <f>Data!S1426</f>
        <v>0</v>
      </c>
      <c r="S1296" s="24">
        <f>'TMT E DK'!E1426</f>
        <v>0</v>
      </c>
      <c r="T1296" s="24">
        <f>'TMT E DD'!E1426</f>
        <v>0</v>
      </c>
      <c r="U1296" s="24">
        <f>TA!E1426</f>
        <v>927221000000</v>
      </c>
      <c r="V1296" s="109">
        <f>PR!F1426</f>
        <v>0</v>
      </c>
      <c r="W1296" s="109">
        <f>'Z Score'!I1426</f>
        <v>2.5118316345294165</v>
      </c>
      <c r="X1296" s="109">
        <f>'Z Score'!L1426</f>
        <v>0.48713605494267276</v>
      </c>
      <c r="Y1296" s="109">
        <f>'Z Score'!O1426</f>
        <v>1.9488428325070292E-2</v>
      </c>
      <c r="Z1296" s="109">
        <f>'Z Score'!R1426</f>
        <v>0.25918862695370021</v>
      </c>
      <c r="AA1296" s="109">
        <f>'Z Score'!S1426</f>
        <v>3.2776447447508597</v>
      </c>
    </row>
    <row r="1297" spans="1:27" ht="15" customHeight="1" x14ac:dyDescent="0.3">
      <c r="A1297" s="22"/>
      <c r="B1297" s="23"/>
      <c r="C1297" s="2"/>
      <c r="D1297" s="23">
        <v>2020</v>
      </c>
      <c r="E1297" s="25">
        <f>'Current Ratio'!G1427</f>
        <v>7.9970140706806285</v>
      </c>
      <c r="F1297" s="25">
        <f>'Cash Ratio'!G1427</f>
        <v>0.26331397251308902</v>
      </c>
      <c r="G1297" s="25">
        <f>DAR!G1427</f>
        <v>0.7963032309494833</v>
      </c>
      <c r="H1297" s="25">
        <f>DER!G1427</f>
        <v>3.9092852566780869</v>
      </c>
      <c r="I1297" s="25">
        <f>NPM!G1427</f>
        <v>-0.15487462766056267</v>
      </c>
      <c r="J1297" s="25">
        <f>ROA!G1427</f>
        <v>-3.5474060772148416E-2</v>
      </c>
      <c r="K1297" s="25">
        <f>ROE!G1427</f>
        <v>-0.1741525305701791</v>
      </c>
      <c r="L1297" s="25">
        <f>KM!E1427</f>
        <v>0.55000000000000004</v>
      </c>
      <c r="M1297" s="24">
        <f>KI!E1427</f>
        <v>2</v>
      </c>
      <c r="N1297" s="108">
        <f>IO!E1427</f>
        <v>0</v>
      </c>
      <c r="O1297" s="24">
        <f>'BoC Size'!E1427</f>
        <v>3</v>
      </c>
      <c r="P1297" s="24">
        <f>'TMT E DK'!E1427</f>
        <v>0</v>
      </c>
      <c r="Q1297" s="24">
        <f>Data!R1427</f>
        <v>3</v>
      </c>
      <c r="R1297" s="24">
        <f>Data!S1427</f>
        <v>3</v>
      </c>
      <c r="S1297" s="24">
        <f>'TMT E DK'!E1427</f>
        <v>0</v>
      </c>
      <c r="T1297" s="24">
        <f>'TMT E DD'!E1427</f>
        <v>0</v>
      </c>
      <c r="U1297" s="24">
        <f>TA!E1427</f>
        <v>704994000000</v>
      </c>
      <c r="V1297" s="109">
        <f>PR!F1427</f>
        <v>-0.57689798378116364</v>
      </c>
      <c r="W1297" s="109">
        <f>'Z Score'!I1427</f>
        <v>3.1834973914671614</v>
      </c>
      <c r="X1297" s="109">
        <f>'Z Score'!L1427</f>
        <v>0.51489479343086597</v>
      </c>
      <c r="Y1297" s="109">
        <f>'Z Score'!O1427</f>
        <v>-0.22367781853462582</v>
      </c>
      <c r="Z1297" s="109">
        <f>'Z Score'!R1427</f>
        <v>0.26859129765634882</v>
      </c>
      <c r="AA1297" s="109">
        <f>'Z Score'!S1427</f>
        <v>3.7433056640197502</v>
      </c>
    </row>
    <row r="1298" spans="1:27" ht="15" customHeight="1" x14ac:dyDescent="0.3">
      <c r="A1298" s="22"/>
      <c r="B1298" s="23"/>
      <c r="C1298" s="2"/>
      <c r="D1298" s="23">
        <v>2021</v>
      </c>
      <c r="E1298" s="25">
        <f>'Current Ratio'!G1428</f>
        <v>10.698133137385474</v>
      </c>
      <c r="F1298" s="25">
        <f>'Cash Ratio'!G1428</f>
        <v>0.9458081701072355</v>
      </c>
      <c r="G1298" s="25">
        <f>DAR!G1428</f>
        <v>0.84343186851377117</v>
      </c>
      <c r="H1298" s="25">
        <f>DER!G1428</f>
        <v>5.3870458429303811</v>
      </c>
      <c r="I1298" s="25">
        <f>NPM!G1428</f>
        <v>-2.7484474123539231</v>
      </c>
      <c r="J1298" s="25">
        <f>ROA!G1428</f>
        <v>-0.17954448624196059</v>
      </c>
      <c r="K1298" s="25">
        <f>ROE!G1428</f>
        <v>-1.1467605319860317</v>
      </c>
      <c r="L1298" s="25">
        <f>KM!E1428</f>
        <v>0.55000000000000004</v>
      </c>
      <c r="M1298" s="24">
        <f>KI!E1428</f>
        <v>2</v>
      </c>
      <c r="N1298" s="108">
        <f>IO!E1428</f>
        <v>0</v>
      </c>
      <c r="O1298" s="24">
        <f>'BoC Size'!E1428</f>
        <v>3</v>
      </c>
      <c r="P1298" s="24">
        <f>'TMT E DK'!E1428</f>
        <v>0</v>
      </c>
      <c r="Q1298" s="24">
        <f>Data!R1428</f>
        <v>3</v>
      </c>
      <c r="R1298" s="24">
        <f>Data!S1428</f>
        <v>2</v>
      </c>
      <c r="S1298" s="24">
        <f>'TMT E DK'!E1428</f>
        <v>0</v>
      </c>
      <c r="T1298" s="24">
        <f>'TMT E DD'!E1428</f>
        <v>0</v>
      </c>
      <c r="U1298" s="24">
        <f>TA!E1428</f>
        <v>687707000000</v>
      </c>
      <c r="V1298" s="109">
        <f>PR!F1428</f>
        <v>-0.72179044953213733</v>
      </c>
      <c r="W1298" s="109">
        <f>'Z Score'!I1428</f>
        <v>4.0287166482237344</v>
      </c>
      <c r="X1298" s="109">
        <f>'Z Score'!L1428</f>
        <v>-9.9505545239469709E-2</v>
      </c>
      <c r="Y1298" s="109">
        <f>'Z Score'!O1428</f>
        <v>-1.428383657575101</v>
      </c>
      <c r="Z1298" s="109">
        <f>'Z Score'!R1428</f>
        <v>0.19491202239868699</v>
      </c>
      <c r="AA1298" s="109">
        <f>'Z Score'!S1428</f>
        <v>2.6957394678078508</v>
      </c>
    </row>
    <row r="1299" spans="1:27" ht="15" customHeight="1" x14ac:dyDescent="0.3">
      <c r="A1299" s="22"/>
      <c r="B1299" s="23"/>
      <c r="C1299" s="2"/>
      <c r="D1299" s="23">
        <v>2022</v>
      </c>
      <c r="E1299" s="25">
        <f>'Current Ratio'!G1429</f>
        <v>11.400517066694617</v>
      </c>
      <c r="F1299" s="25">
        <f>'Cash Ratio'!G1429</f>
        <v>0.20899276805366312</v>
      </c>
      <c r="G1299" s="25">
        <f>DAR!G1429</f>
        <v>0.86642924376459274</v>
      </c>
      <c r="H1299" s="25">
        <f>DER!G1429</f>
        <v>6.4866687004270895</v>
      </c>
      <c r="I1299" s="25">
        <f>NPM!G1429</f>
        <v>-6.0562842919952037E-2</v>
      </c>
      <c r="J1299" s="25">
        <f>ROA!G1429</f>
        <v>-1.3583225012529898E-2</v>
      </c>
      <c r="K1299" s="25">
        <f>ROE!G1429</f>
        <v>-0.10169310555216596</v>
      </c>
      <c r="L1299" s="25">
        <f>KM!E1429</f>
        <v>0.55000000000000004</v>
      </c>
      <c r="M1299" s="24">
        <f>KI!E1429</f>
        <v>2</v>
      </c>
      <c r="N1299" s="108">
        <f>IO!E1429</f>
        <v>0</v>
      </c>
      <c r="O1299" s="24">
        <f>'BoC Size'!E1429</f>
        <v>3</v>
      </c>
      <c r="P1299" s="24">
        <f>'TMT E DK'!E1429</f>
        <v>0</v>
      </c>
      <c r="Q1299" s="24">
        <f>Data!R1429</f>
        <v>3</v>
      </c>
      <c r="R1299" s="24">
        <f>Data!S1429</f>
        <v>3</v>
      </c>
      <c r="S1299" s="24">
        <f>'TMT E DK'!E1429</f>
        <v>0</v>
      </c>
      <c r="T1299" s="24">
        <f>'TMT E DD'!E1429</f>
        <v>0</v>
      </c>
      <c r="U1299" s="24">
        <f>TA!E1429</f>
        <v>490826000000</v>
      </c>
      <c r="V1299" s="109">
        <f>PR!F1429</f>
        <v>1.45039510294936</v>
      </c>
      <c r="W1299" s="109">
        <f>'Z Score'!I1429</f>
        <v>3.9787473361231878</v>
      </c>
      <c r="X1299" s="109">
        <f>'Z Score'!L1429</f>
        <v>-0.16166963445294258</v>
      </c>
      <c r="Y1299" s="109">
        <f>'Z Score'!O1429</f>
        <v>-0.16046093727716135</v>
      </c>
      <c r="Z1299" s="109">
        <f>'Z Score'!R1429</f>
        <v>0.16187045284598345</v>
      </c>
      <c r="AA1299" s="109">
        <f>'Z Score'!S1429</f>
        <v>3.8184872172390674</v>
      </c>
    </row>
    <row r="1300" spans="1:27" ht="15" customHeight="1" x14ac:dyDescent="0.3">
      <c r="A1300" s="22"/>
      <c r="B1300" s="23"/>
      <c r="C1300" s="2"/>
      <c r="D1300" s="23">
        <v>2023</v>
      </c>
      <c r="E1300" s="25">
        <f>'Current Ratio'!G1430</f>
        <v>7.2851347905704547</v>
      </c>
      <c r="F1300" s="25">
        <f>'Cash Ratio'!G1430</f>
        <v>1.1388933960733409</v>
      </c>
      <c r="G1300" s="25">
        <f>DAR!G1430</f>
        <v>0.6024927449452766</v>
      </c>
      <c r="H1300" s="25">
        <f>DER!G1430</f>
        <v>2.6494789835503925</v>
      </c>
      <c r="I1300" s="25">
        <f>NPM!G1430</f>
        <v>0.13008772448015124</v>
      </c>
      <c r="J1300" s="25">
        <f>ROA!G1430</f>
        <v>2.9967713730680121E-2</v>
      </c>
      <c r="K1300" s="25">
        <f>ROE!G1430</f>
        <v>0.1317838735497191</v>
      </c>
      <c r="L1300" s="25">
        <f>KM!E1430</f>
        <v>0.68479999999999996</v>
      </c>
      <c r="M1300" s="24">
        <f>KI!E1430</f>
        <v>2</v>
      </c>
      <c r="N1300" s="108">
        <f>IO!E1430</f>
        <v>0</v>
      </c>
      <c r="O1300" s="24">
        <f>'BoC Size'!E1430</f>
        <v>3</v>
      </c>
      <c r="P1300" s="24">
        <f>'TMT E DK'!E1430</f>
        <v>0</v>
      </c>
      <c r="Q1300" s="24">
        <f>Data!R1430</f>
        <v>3</v>
      </c>
      <c r="R1300" s="24">
        <f>Data!S1430</f>
        <v>3</v>
      </c>
      <c r="S1300" s="24">
        <f>'TMT E DK'!E1430</f>
        <v>0</v>
      </c>
      <c r="T1300" s="24">
        <f>'TMT E DD'!E1430</f>
        <v>0</v>
      </c>
      <c r="U1300" s="24">
        <f>TA!E1430</f>
        <v>587866000000</v>
      </c>
      <c r="V1300" s="109">
        <f>PR!F1430</f>
        <v>0.2301878565459104</v>
      </c>
      <c r="W1300" s="109">
        <f>'Z Score'!I1430</f>
        <v>3.0257308978576747</v>
      </c>
      <c r="X1300" s="109">
        <f>'Z Score'!L1430</f>
        <v>-3.3771982050331197E-2</v>
      </c>
      <c r="Y1300" s="109">
        <f>'Z Score'!O1430</f>
        <v>0.21671224394674976</v>
      </c>
      <c r="Z1300" s="109">
        <f>'Z Score'!R1430</f>
        <v>0.39630433248161273</v>
      </c>
      <c r="AA1300" s="109">
        <f>'Z Score'!S1430</f>
        <v>3.604975492235706</v>
      </c>
    </row>
    <row r="1301" spans="1:27" ht="15" customHeight="1" x14ac:dyDescent="0.3">
      <c r="A1301" s="22"/>
      <c r="B1301" s="23"/>
      <c r="C1301" s="2"/>
      <c r="D1301" s="23">
        <v>2024</v>
      </c>
      <c r="E1301" s="25">
        <f>'Current Ratio'!G1431</f>
        <v>11.257546468401488</v>
      </c>
      <c r="F1301" s="25">
        <f>'Cash Ratio'!G1431</f>
        <v>1.9947583643122677</v>
      </c>
      <c r="G1301" s="25">
        <f>DAR!G1431</f>
        <v>0.5670961325926076</v>
      </c>
      <c r="H1301" s="25">
        <f>DER!G1431</f>
        <v>2.2830052737131399</v>
      </c>
      <c r="I1301" s="25">
        <f>NPM!G1431</f>
        <v>9.4982131349229601E-3</v>
      </c>
      <c r="J1301" s="25">
        <f>ROA!G1431</f>
        <v>2.3930286665276731E-3</v>
      </c>
      <c r="K1301" s="25">
        <f>ROE!G1431</f>
        <v>9.6338111862140675E-3</v>
      </c>
      <c r="L1301" s="25">
        <f>KM!E1431</f>
        <v>0.68479999999999996</v>
      </c>
      <c r="M1301" s="24">
        <f>KI!E1431</f>
        <v>2</v>
      </c>
      <c r="N1301" s="108">
        <f>IO!E1431</f>
        <v>0</v>
      </c>
      <c r="O1301" s="24">
        <f>'BoC Size'!E1431</f>
        <v>3</v>
      </c>
      <c r="P1301" s="24">
        <f>'TMT E DK'!E1431</f>
        <v>0</v>
      </c>
      <c r="Q1301" s="24">
        <f>Data!R1431</f>
        <v>3</v>
      </c>
      <c r="R1301" s="24">
        <f>Data!S1431</f>
        <v>3</v>
      </c>
      <c r="S1301" s="24">
        <f>'TMT E DK'!E1431</f>
        <v>0</v>
      </c>
      <c r="T1301" s="24">
        <f>'TMT E DD'!E1431</f>
        <v>0</v>
      </c>
      <c r="U1301" s="24">
        <f>TA!E1431</f>
        <v>541991000000</v>
      </c>
      <c r="V1301" s="109">
        <f>PR!F1431</f>
        <v>8.3293950850661623E-3</v>
      </c>
      <c r="W1301" s="109">
        <f>'Z Score'!I1431</f>
        <v>3.3397006223350569</v>
      </c>
      <c r="X1301" s="109">
        <f>'Z Score'!L1431</f>
        <v>-2.4703030124116451E-2</v>
      </c>
      <c r="Y1301" s="109">
        <f>'Z Score'!O1431</f>
        <v>2.6595275567306464E-2</v>
      </c>
      <c r="Z1301" s="109">
        <f>'Z Score'!R1431</f>
        <v>0.45992009396117273</v>
      </c>
      <c r="AA1301" s="109">
        <f>'Z Score'!S1431</f>
        <v>3.8015129617394203</v>
      </c>
    </row>
    <row r="1302" spans="1:27" ht="15" customHeight="1" x14ac:dyDescent="0.3">
      <c r="A1302" s="22"/>
      <c r="B1302" s="23">
        <v>131</v>
      </c>
      <c r="C1302" s="2" t="s">
        <v>121</v>
      </c>
      <c r="D1302" s="23">
        <v>2015</v>
      </c>
      <c r="E1302" s="25">
        <f>'Current Ratio'!G1433</f>
        <v>2.7504245542180712</v>
      </c>
      <c r="F1302" s="25">
        <f>'Cash Ratio'!G1433</f>
        <v>0.10740909544977774</v>
      </c>
      <c r="G1302" s="25">
        <f>DAR!G1433</f>
        <v>0.75883251887298109</v>
      </c>
      <c r="H1302" s="25">
        <f>DER!G1433</f>
        <v>3.1464960173188374</v>
      </c>
      <c r="I1302" s="25">
        <f>NPM!G1433</f>
        <v>0.21140851194840396</v>
      </c>
      <c r="J1302" s="25">
        <f>ROA!G1433</f>
        <v>4.0248864116349294E-2</v>
      </c>
      <c r="K1302" s="25">
        <f>ROE!G1433</f>
        <v>0.16689175476004942</v>
      </c>
      <c r="L1302" s="25">
        <f>KM!E1433</f>
        <v>0</v>
      </c>
      <c r="M1302" s="24">
        <f>KI!E1433</f>
        <v>0</v>
      </c>
      <c r="N1302" s="108">
        <f>IO!E1433</f>
        <v>0</v>
      </c>
      <c r="O1302" s="24">
        <f>'BoC Size'!E1433</f>
        <v>0</v>
      </c>
      <c r="P1302" s="24">
        <f>'TMT E DK'!E1433</f>
        <v>0</v>
      </c>
      <c r="Q1302" s="24">
        <f>Data!R1433</f>
        <v>0</v>
      </c>
      <c r="R1302" s="24">
        <f>Data!S1433</f>
        <v>0</v>
      </c>
      <c r="S1302" s="24">
        <f>'TMT E DK'!E1433</f>
        <v>0</v>
      </c>
      <c r="T1302" s="24">
        <f>'TMT E DD'!E1433</f>
        <v>0</v>
      </c>
      <c r="U1302" s="24">
        <f>TA!E1433</f>
        <v>1654879000000</v>
      </c>
      <c r="V1302" s="109">
        <f>PR!F1433</f>
        <v>0</v>
      </c>
      <c r="W1302" s="109">
        <f>'Z Score'!I1433</f>
        <v>2.2227301452251189</v>
      </c>
      <c r="X1302" s="109">
        <f>'Z Score'!L1433</f>
        <v>0.47645970490893891</v>
      </c>
      <c r="Y1302" s="109">
        <f>'Z Score'!O1433</f>
        <v>0.35666926705819579</v>
      </c>
      <c r="Z1302" s="109">
        <f>'Z Score'!R1433</f>
        <v>0.33370453807048395</v>
      </c>
      <c r="AA1302" s="109">
        <f>'Z Score'!S1433</f>
        <v>3.3895636552627373</v>
      </c>
    </row>
    <row r="1303" spans="1:27" ht="15" customHeight="1" x14ac:dyDescent="0.3">
      <c r="A1303" s="22"/>
      <c r="B1303" s="23"/>
      <c r="C1303" s="2"/>
      <c r="D1303" s="23">
        <v>2016</v>
      </c>
      <c r="E1303" s="25">
        <f>'Current Ratio'!G1434</f>
        <v>3.3237430599312829</v>
      </c>
      <c r="F1303" s="25">
        <f>'Cash Ratio'!G1434</f>
        <v>0.2700117698809934</v>
      </c>
      <c r="G1303" s="25">
        <f>DAR!G1434</f>
        <v>0.72347573513303687</v>
      </c>
      <c r="H1303" s="25">
        <f>DER!G1434</f>
        <v>2.6163191699690578</v>
      </c>
      <c r="I1303" s="25">
        <f>NPM!G1434</f>
        <v>0.1364543276198574</v>
      </c>
      <c r="J1303" s="25">
        <f>ROA!G1434</f>
        <v>2.7139197743196345E-2</v>
      </c>
      <c r="K1303" s="25">
        <f>ROE!G1434</f>
        <v>9.814400105630193E-2</v>
      </c>
      <c r="L1303" s="25">
        <f>KM!E1434</f>
        <v>0.8</v>
      </c>
      <c r="M1303" s="24">
        <f>KI!E1434</f>
        <v>2</v>
      </c>
      <c r="N1303" s="108">
        <f>IO!E1434</f>
        <v>0</v>
      </c>
      <c r="O1303" s="24">
        <f>'BoC Size'!E1434</f>
        <v>4</v>
      </c>
      <c r="P1303" s="24">
        <f>'TMT E DK'!E1434</f>
        <v>0</v>
      </c>
      <c r="Q1303" s="24">
        <f>Data!R1434</f>
        <v>4</v>
      </c>
      <c r="R1303" s="24">
        <f>Data!S1434</f>
        <v>4</v>
      </c>
      <c r="S1303" s="24">
        <f>'TMT E DK'!E1434</f>
        <v>0</v>
      </c>
      <c r="T1303" s="24">
        <f>'TMT E DD'!E1434</f>
        <v>0</v>
      </c>
      <c r="U1303" s="24">
        <f>TA!E1434</f>
        <v>2081528000000</v>
      </c>
      <c r="V1303" s="109">
        <f>PR!F1434</f>
        <v>0.31399751795672609</v>
      </c>
      <c r="W1303" s="109">
        <f>'Z Score'!I1434</f>
        <v>2.4639551713933225</v>
      </c>
      <c r="X1303" s="109">
        <f>'Z Score'!L1434</f>
        <v>0.46727238836085794</v>
      </c>
      <c r="Y1303" s="109">
        <f>'Z Score'!O1434</f>
        <v>0.23602169175720913</v>
      </c>
      <c r="Z1303" s="109">
        <f>'Z Score'!R1434</f>
        <v>0.40132718211609403</v>
      </c>
      <c r="AA1303" s="109">
        <f>'Z Score'!S1434</f>
        <v>3.5685764336274839</v>
      </c>
    </row>
    <row r="1304" spans="1:27" ht="15" customHeight="1" x14ac:dyDescent="0.3">
      <c r="A1304" s="22"/>
      <c r="B1304" s="23"/>
      <c r="C1304" s="2"/>
      <c r="D1304" s="23">
        <v>2017</v>
      </c>
      <c r="E1304" s="25">
        <f>'Current Ratio'!G1435</f>
        <v>2.2163628596122007</v>
      </c>
      <c r="F1304" s="25">
        <f>'Cash Ratio'!G1435</f>
        <v>0.12769149294310583</v>
      </c>
      <c r="G1304" s="25">
        <f>DAR!G1435</f>
        <v>0.7218841641352165</v>
      </c>
      <c r="H1304" s="25">
        <f>DER!G1435</f>
        <v>2.5962640238859369</v>
      </c>
      <c r="I1304" s="25">
        <f>NPM!G1435</f>
        <v>-4.9578536311877808E-2</v>
      </c>
      <c r="J1304" s="25">
        <f>ROA!G1435</f>
        <v>-1.1137052220276418E-2</v>
      </c>
      <c r="K1304" s="25">
        <f>ROE!G1435</f>
        <v>-4.0054525986563443E-2</v>
      </c>
      <c r="L1304" s="25">
        <f>KM!E1435</f>
        <v>0.8</v>
      </c>
      <c r="M1304" s="24">
        <f>KI!E1435</f>
        <v>2</v>
      </c>
      <c r="N1304" s="108">
        <f>IO!E1435</f>
        <v>0</v>
      </c>
      <c r="O1304" s="24">
        <f>'BoC Size'!E1435</f>
        <v>4</v>
      </c>
      <c r="P1304" s="24">
        <f>'TMT E DK'!E1435</f>
        <v>0</v>
      </c>
      <c r="Q1304" s="24">
        <f>Data!R1435</f>
        <v>4</v>
      </c>
      <c r="R1304" s="24">
        <f>Data!S1435</f>
        <v>5</v>
      </c>
      <c r="S1304" s="24">
        <f>'TMT E DK'!E1435</f>
        <v>0</v>
      </c>
      <c r="T1304" s="24">
        <f>'TMT E DD'!E1435</f>
        <v>0</v>
      </c>
      <c r="U1304" s="24">
        <f>TA!E1435</f>
        <v>2509102000000</v>
      </c>
      <c r="V1304" s="109">
        <f>PR!F1435</f>
        <v>0.36145384451873463</v>
      </c>
      <c r="W1304" s="109">
        <f>'Z Score'!I1435</f>
        <v>1.6153389061106322</v>
      </c>
      <c r="X1304" s="109">
        <f>'Z Score'!L1435</f>
        <v>0.3513380962591397</v>
      </c>
      <c r="Y1304" s="109">
        <f>'Z Score'!O1435</f>
        <v>-8.7102014983846801E-2</v>
      </c>
      <c r="Z1304" s="109">
        <f>'Z Score'!R1435</f>
        <v>0.40442728102376163</v>
      </c>
      <c r="AA1304" s="109">
        <f>'Z Score'!S1435</f>
        <v>2.2840022684096866</v>
      </c>
    </row>
    <row r="1305" spans="1:27" ht="15" customHeight="1" x14ac:dyDescent="0.3">
      <c r="A1305" s="22"/>
      <c r="B1305" s="23"/>
      <c r="C1305" s="2"/>
      <c r="D1305" s="23">
        <v>2018</v>
      </c>
      <c r="E1305" s="25">
        <f>'Current Ratio'!G1436</f>
        <v>2.1638853136431377</v>
      </c>
      <c r="F1305" s="25">
        <f>'Cash Ratio'!G1436</f>
        <v>0.11768391816826988</v>
      </c>
      <c r="G1305" s="25">
        <f>DAR!G1436</f>
        <v>0.72192687087303364</v>
      </c>
      <c r="H1305" s="25">
        <f>DER!G1436</f>
        <v>2.6044638912894613</v>
      </c>
      <c r="I1305" s="25">
        <f>NPM!G1436</f>
        <v>4.2611673175920677E-2</v>
      </c>
      <c r="J1305" s="25">
        <f>ROA!G1436</f>
        <v>1.0365085325918788E-2</v>
      </c>
      <c r="K1305" s="25">
        <f>ROE!G1436</f>
        <v>3.7393663472927413E-2</v>
      </c>
      <c r="L1305" s="25">
        <f>KM!E1436</f>
        <v>0.8</v>
      </c>
      <c r="M1305" s="24">
        <f>KI!E1436</f>
        <v>2</v>
      </c>
      <c r="N1305" s="108">
        <f>IO!E1436</f>
        <v>0</v>
      </c>
      <c r="O1305" s="24">
        <f>'BoC Size'!E1436</f>
        <v>4</v>
      </c>
      <c r="P1305" s="24">
        <f>'TMT E DK'!E1436</f>
        <v>0</v>
      </c>
      <c r="Q1305" s="24">
        <f>Data!R1436</f>
        <v>4</v>
      </c>
      <c r="R1305" s="24">
        <f>Data!S1436</f>
        <v>5</v>
      </c>
      <c r="S1305" s="24">
        <f>'TMT E DK'!E1436</f>
        <v>0</v>
      </c>
      <c r="T1305" s="24">
        <f>'TMT E DD'!E1436</f>
        <v>0</v>
      </c>
      <c r="U1305" s="24">
        <f>TA!E1436</f>
        <v>3176819000000</v>
      </c>
      <c r="V1305" s="109">
        <f>PR!F1436</f>
        <v>0.37101401448820237</v>
      </c>
      <c r="W1305" s="109">
        <f>'Z Score'!I1436</f>
        <v>1.419144924529852</v>
      </c>
      <c r="X1305" s="109">
        <f>'Z Score'!L1436</f>
        <v>0.31128257543158738</v>
      </c>
      <c r="Y1305" s="109">
        <f>'Z Score'!O1436</f>
        <v>5.6026459171894909E-2</v>
      </c>
      <c r="Z1305" s="109">
        <f>'Z Score'!R1436</f>
        <v>0.40315398632005939</v>
      </c>
      <c r="AA1305" s="109">
        <f>'Z Score'!S1436</f>
        <v>2.1896079454533934</v>
      </c>
    </row>
    <row r="1306" spans="1:27" ht="15" customHeight="1" x14ac:dyDescent="0.3">
      <c r="A1306" s="22"/>
      <c r="B1306" s="23"/>
      <c r="C1306" s="2"/>
      <c r="D1306" s="23">
        <v>2019</v>
      </c>
      <c r="E1306" s="25">
        <f>'Current Ratio'!G1437</f>
        <v>2.320104508775525</v>
      </c>
      <c r="F1306" s="25">
        <f>'Cash Ratio'!G1437</f>
        <v>9.1144722777596249E-2</v>
      </c>
      <c r="G1306" s="25">
        <f>DAR!G1437</f>
        <v>0.73728296535253712</v>
      </c>
      <c r="H1306" s="25">
        <f>DER!G1437</f>
        <v>2.7889643254413641</v>
      </c>
      <c r="I1306" s="25">
        <f>NPM!G1437</f>
        <v>0.10346409161877748</v>
      </c>
      <c r="J1306" s="25">
        <f>ROA!G1437</f>
        <v>2.3345343649165025E-2</v>
      </c>
      <c r="K1306" s="25">
        <f>ROE!G1437</f>
        <v>8.8309826297909746E-2</v>
      </c>
      <c r="L1306" s="25">
        <f>KM!E1437</f>
        <v>0.8</v>
      </c>
      <c r="M1306" s="24">
        <f>KI!E1437</f>
        <v>2</v>
      </c>
      <c r="N1306" s="108">
        <f>IO!E1437</f>
        <v>0</v>
      </c>
      <c r="O1306" s="24">
        <f>'BoC Size'!E1437</f>
        <v>4</v>
      </c>
      <c r="P1306" s="24">
        <f>'TMT E DK'!E1437</f>
        <v>0</v>
      </c>
      <c r="Q1306" s="24">
        <f>Data!R1437</f>
        <v>4</v>
      </c>
      <c r="R1306" s="24">
        <f>Data!S1437</f>
        <v>5</v>
      </c>
      <c r="S1306" s="24">
        <f>'TMT E DK'!E1437</f>
        <v>0</v>
      </c>
      <c r="T1306" s="24">
        <f>'TMT E DD'!E1437</f>
        <v>0</v>
      </c>
      <c r="U1306" s="24">
        <f>TA!E1437</f>
        <v>3778141000000</v>
      </c>
      <c r="V1306" s="109">
        <f>PR!F1437</f>
        <v>0.10319432258465265</v>
      </c>
      <c r="W1306" s="109">
        <f>'Z Score'!I1437</f>
        <v>1.6554387779598483</v>
      </c>
      <c r="X1306" s="109">
        <f>'Z Score'!L1437</f>
        <v>0.33637492089363524</v>
      </c>
      <c r="Y1306" s="109">
        <f>'Z Score'!O1437</f>
        <v>0.19911837064842206</v>
      </c>
      <c r="Z1306" s="109">
        <f>'Z Score'!R1437</f>
        <v>0.37648384040689864</v>
      </c>
      <c r="AA1306" s="109">
        <f>'Z Score'!S1437</f>
        <v>2.5674159099088043</v>
      </c>
    </row>
    <row r="1307" spans="1:27" ht="15" customHeight="1" x14ac:dyDescent="0.3">
      <c r="A1307" s="22"/>
      <c r="B1307" s="23"/>
      <c r="C1307" s="2"/>
      <c r="D1307" s="23">
        <v>2020</v>
      </c>
      <c r="E1307" s="25">
        <f>'Current Ratio'!G1438</f>
        <v>2.5513547274416646</v>
      </c>
      <c r="F1307" s="25">
        <f>'Cash Ratio'!G1438</f>
        <v>0.10240616249018476</v>
      </c>
      <c r="G1307" s="25">
        <f>DAR!G1438</f>
        <v>0.72265897747224606</v>
      </c>
      <c r="H1307" s="25">
        <f>DER!G1438</f>
        <v>2.6007273339293406</v>
      </c>
      <c r="I1307" s="25">
        <f>NPM!G1438</f>
        <v>0.11502745006424483</v>
      </c>
      <c r="J1307" s="25">
        <f>ROA!G1438</f>
        <v>2.6740786129277935E-2</v>
      </c>
      <c r="K1307" s="25">
        <f>ROE!G1438</f>
        <v>9.6235562810596378E-2</v>
      </c>
      <c r="L1307" s="25">
        <f>KM!E1438</f>
        <v>0.8</v>
      </c>
      <c r="M1307" s="24">
        <f>KI!E1438</f>
        <v>2</v>
      </c>
      <c r="N1307" s="108">
        <f>IO!E1438</f>
        <v>0</v>
      </c>
      <c r="O1307" s="24">
        <f>'BoC Size'!E1438</f>
        <v>4</v>
      </c>
      <c r="P1307" s="24">
        <f>'TMT E DK'!E1438</f>
        <v>0</v>
      </c>
      <c r="Q1307" s="24">
        <f>Data!R1438</f>
        <v>4</v>
      </c>
      <c r="R1307" s="24">
        <f>Data!S1438</f>
        <v>5</v>
      </c>
      <c r="S1307" s="24">
        <f>'TMT E DK'!E1438</f>
        <v>0</v>
      </c>
      <c r="T1307" s="24">
        <f>'TMT E DD'!E1438</f>
        <v>0</v>
      </c>
      <c r="U1307" s="24">
        <f>TA!E1438</f>
        <v>3977183000000</v>
      </c>
      <c r="V1307" s="109">
        <f>PR!F1438</f>
        <v>8.4574698324553166E-2</v>
      </c>
      <c r="W1307" s="109">
        <f>'Z Score'!I1438</f>
        <v>1.9910852882555314</v>
      </c>
      <c r="X1307" s="109">
        <f>'Z Score'!L1438</f>
        <v>0.40191483268433958</v>
      </c>
      <c r="Y1307" s="109">
        <f>'Z Score'!O1438</f>
        <v>0.26239235157145147</v>
      </c>
      <c r="Z1307" s="109">
        <f>'Z Score'!R1438</f>
        <v>0.40373321197558792</v>
      </c>
      <c r="AA1307" s="109">
        <f>'Z Score'!S1438</f>
        <v>3.0591256844869106</v>
      </c>
    </row>
    <row r="1308" spans="1:27" ht="15" customHeight="1" x14ac:dyDescent="0.3">
      <c r="A1308" s="22"/>
      <c r="B1308" s="23"/>
      <c r="C1308" s="2"/>
      <c r="D1308" s="23">
        <v>2021</v>
      </c>
      <c r="E1308" s="25">
        <f>'Current Ratio'!G1439</f>
        <v>2.3241175229413615</v>
      </c>
      <c r="F1308" s="25">
        <f>'Cash Ratio'!G1439</f>
        <v>0.12317850961731389</v>
      </c>
      <c r="G1308" s="25">
        <f>DAR!G1439</f>
        <v>0.70448755772695448</v>
      </c>
      <c r="H1308" s="25">
        <f>DER!G1439</f>
        <v>2.3498488897441843</v>
      </c>
      <c r="I1308" s="25">
        <f>NPM!G1439</f>
        <v>9.8191621475954893E-2</v>
      </c>
      <c r="J1308" s="25">
        <f>ROA!G1439</f>
        <v>2.4031983551915579E-2</v>
      </c>
      <c r="K1308" s="25">
        <f>ROE!G1439</f>
        <v>8.0159726383282087E-2</v>
      </c>
      <c r="L1308" s="25">
        <f>KM!E1439</f>
        <v>0.8</v>
      </c>
      <c r="M1308" s="24">
        <f>KI!E1439</f>
        <v>2</v>
      </c>
      <c r="N1308" s="108">
        <f>IO!E1439</f>
        <v>0</v>
      </c>
      <c r="O1308" s="24">
        <f>'BoC Size'!E1439</f>
        <v>4</v>
      </c>
      <c r="P1308" s="24">
        <f>'TMT E DK'!E1439</f>
        <v>0</v>
      </c>
      <c r="Q1308" s="24">
        <f>Data!R1439</f>
        <v>4</v>
      </c>
      <c r="R1308" s="24">
        <f>Data!S1439</f>
        <v>5</v>
      </c>
      <c r="S1308" s="24">
        <f>'TMT E DK'!E1439</f>
        <v>0</v>
      </c>
      <c r="T1308" s="24">
        <f>'TMT E DD'!E1439</f>
        <v>0</v>
      </c>
      <c r="U1308" s="24">
        <f>TA!E1439</f>
        <v>3813210000000</v>
      </c>
      <c r="V1308" s="109">
        <f>PR!F1439</f>
        <v>9.3868836714298687E-3</v>
      </c>
      <c r="W1308" s="109">
        <f>'Z Score'!I1439</f>
        <v>1.7597275995814547</v>
      </c>
      <c r="X1308" s="109">
        <f>'Z Score'!L1439</f>
        <v>0.44978084605883234</v>
      </c>
      <c r="Y1308" s="109">
        <f>'Z Score'!O1439</f>
        <v>0.2026198399773419</v>
      </c>
      <c r="Z1308" s="109">
        <f>'Z Score'!R1439</f>
        <v>0.44683724327239954</v>
      </c>
      <c r="AA1308" s="109">
        <f>'Z Score'!S1439</f>
        <v>2.8589655288900282</v>
      </c>
    </row>
    <row r="1309" spans="1:27" ht="15" customHeight="1" x14ac:dyDescent="0.3">
      <c r="A1309" s="22"/>
      <c r="B1309" s="23"/>
      <c r="C1309" s="2"/>
      <c r="D1309" s="23">
        <v>2022</v>
      </c>
      <c r="E1309" s="25">
        <f>'Current Ratio'!G1440</f>
        <v>2.1586730272327546</v>
      </c>
      <c r="F1309" s="25">
        <f>'Cash Ratio'!G1440</f>
        <v>0.12783699485217476</v>
      </c>
      <c r="G1309" s="25">
        <f>DAR!G1440</f>
        <v>0.72904831854818652</v>
      </c>
      <c r="H1309" s="25">
        <f>DER!G1440</f>
        <v>2.6469066616667707</v>
      </c>
      <c r="I1309" s="25">
        <f>NPM!G1440</f>
        <v>6.4754350341781106E-2</v>
      </c>
      <c r="J1309" s="25">
        <f>ROA!G1440</f>
        <v>1.5813460412913E-2</v>
      </c>
      <c r="K1309" s="25">
        <f>ROE!G1440</f>
        <v>5.7412866398616695E-2</v>
      </c>
      <c r="L1309" s="25">
        <f>KM!E1440</f>
        <v>0.8</v>
      </c>
      <c r="M1309" s="24">
        <f>KI!E1440</f>
        <v>2</v>
      </c>
      <c r="N1309" s="108">
        <f>IO!E1440</f>
        <v>0</v>
      </c>
      <c r="O1309" s="24">
        <f>'BoC Size'!E1440</f>
        <v>4</v>
      </c>
      <c r="P1309" s="24">
        <f>'TMT E DK'!E1440</f>
        <v>0</v>
      </c>
      <c r="Q1309" s="24">
        <f>Data!R1440</f>
        <v>4</v>
      </c>
      <c r="R1309" s="24">
        <f>Data!S1440</f>
        <v>6</v>
      </c>
      <c r="S1309" s="24">
        <f>'TMT E DK'!E1440</f>
        <v>0</v>
      </c>
      <c r="T1309" s="24">
        <f>'TMT E DD'!E1440</f>
        <v>0</v>
      </c>
      <c r="U1309" s="24">
        <f>TA!E1440</f>
        <v>4182576000000</v>
      </c>
      <c r="V1309" s="109">
        <f>PR!F1440</f>
        <v>9.4449926976953008E-2</v>
      </c>
      <c r="W1309" s="109">
        <f>'Z Score'!I1440</f>
        <v>1.8201618524086591</v>
      </c>
      <c r="X1309" s="109">
        <f>'Z Score'!L1440</f>
        <v>0.4226255016047526</v>
      </c>
      <c r="Y1309" s="109">
        <f>'Z Score'!O1440</f>
        <v>0.14697774768468044</v>
      </c>
      <c r="Z1309" s="109">
        <f>'Z Score'!R1440</f>
        <v>0.3966894697143607</v>
      </c>
      <c r="AA1309" s="109">
        <f>'Z Score'!S1440</f>
        <v>2.7864545714124529</v>
      </c>
    </row>
    <row r="1310" spans="1:27" ht="15" customHeight="1" x14ac:dyDescent="0.3">
      <c r="A1310" s="22"/>
      <c r="B1310" s="23"/>
      <c r="C1310" s="2"/>
      <c r="D1310" s="23">
        <v>2023</v>
      </c>
      <c r="E1310" s="25">
        <f>'Current Ratio'!G1441</f>
        <v>2.2559527284112435</v>
      </c>
      <c r="F1310" s="25">
        <f>'Cash Ratio'!G1441</f>
        <v>0.17616069580722021</v>
      </c>
      <c r="G1310" s="25">
        <f>DAR!G1441</f>
        <v>0.69110892066544594</v>
      </c>
      <c r="H1310" s="25">
        <f>DER!G1441</f>
        <v>2.2872303577911071</v>
      </c>
      <c r="I1310" s="25">
        <f>NPM!G1441</f>
        <v>8.6031582165247589E-2</v>
      </c>
      <c r="J1310" s="25">
        <f>ROA!G1441</f>
        <v>2.5913508927911024E-2</v>
      </c>
      <c r="K1310" s="25">
        <f>ROE!G1441</f>
        <v>8.5760959704788198E-2</v>
      </c>
      <c r="L1310" s="25">
        <f>KM!E1441</f>
        <v>0.8</v>
      </c>
      <c r="M1310" s="24">
        <f>KI!E1441</f>
        <v>2</v>
      </c>
      <c r="N1310" s="108">
        <f>IO!E1441</f>
        <v>0</v>
      </c>
      <c r="O1310" s="24">
        <f>'BoC Size'!E1441</f>
        <v>4</v>
      </c>
      <c r="P1310" s="24">
        <f>'TMT E DK'!E1441</f>
        <v>0</v>
      </c>
      <c r="Q1310" s="24">
        <f>Data!R1441</f>
        <v>4</v>
      </c>
      <c r="R1310" s="24">
        <f>Data!S1441</f>
        <v>6</v>
      </c>
      <c r="S1310" s="24">
        <f>'TMT E DK'!E1441</f>
        <v>0</v>
      </c>
      <c r="T1310" s="24">
        <f>'TMT E DD'!E1441</f>
        <v>0</v>
      </c>
      <c r="U1310" s="24">
        <f>TA!E1441</f>
        <v>3974838000000</v>
      </c>
      <c r="V1310" s="109">
        <f>PR!F1441</f>
        <v>0.17215742098698472</v>
      </c>
      <c r="W1310" s="109">
        <f>'Z Score'!I1441</f>
        <v>1.5624196810033515</v>
      </c>
      <c r="X1310" s="109">
        <f>'Z Score'!L1441</f>
        <v>0.48701874139273094</v>
      </c>
      <c r="Y1310" s="109">
        <f>'Z Score'!O1441</f>
        <v>0.21031667705702722</v>
      </c>
      <c r="Z1310" s="109">
        <f>'Z Score'!R1441</f>
        <v>0.45907050701007557</v>
      </c>
      <c r="AA1310" s="109">
        <f>'Z Score'!S1441</f>
        <v>2.7188256064631853</v>
      </c>
    </row>
    <row r="1311" spans="1:27" ht="15" customHeight="1" x14ac:dyDescent="0.3">
      <c r="A1311" s="22"/>
      <c r="B1311" s="23"/>
      <c r="C1311" s="2"/>
      <c r="D1311" s="23">
        <v>2024</v>
      </c>
      <c r="E1311" s="25">
        <f>'Current Ratio'!G1442</f>
        <v>1.4860981794409556</v>
      </c>
      <c r="F1311" s="25">
        <f>'Cash Ratio'!G1442</f>
        <v>0.15183541670793796</v>
      </c>
      <c r="G1311" s="25">
        <f>DAR!G1442</f>
        <v>0.69269065232671445</v>
      </c>
      <c r="H1311" s="25">
        <f>DER!G1442</f>
        <v>2.4058896792185354</v>
      </c>
      <c r="I1311" s="25">
        <f>NPM!G1442</f>
        <v>0.13527322347451096</v>
      </c>
      <c r="J1311" s="25">
        <f>ROA!G1442</f>
        <v>3.4795551185216343E-2</v>
      </c>
      <c r="K1311" s="25">
        <f>ROE!G1442</f>
        <v>0.1208537421402182</v>
      </c>
      <c r="L1311" s="25">
        <f>KM!E1442</f>
        <v>0.8</v>
      </c>
      <c r="M1311" s="24">
        <f>KI!E1442</f>
        <v>2</v>
      </c>
      <c r="N1311" s="108">
        <f>IO!E1442</f>
        <v>0</v>
      </c>
      <c r="O1311" s="24">
        <f>'BoC Size'!E1442</f>
        <v>4</v>
      </c>
      <c r="P1311" s="24">
        <f>'TMT E DK'!E1442</f>
        <v>0</v>
      </c>
      <c r="Q1311" s="24">
        <f>Data!R1442</f>
        <v>4</v>
      </c>
      <c r="R1311" s="24">
        <f>Data!S1442</f>
        <v>4</v>
      </c>
      <c r="S1311" s="24">
        <f>'TMT E DK'!E1442</f>
        <v>0</v>
      </c>
      <c r="T1311" s="24">
        <f>'TMT E DD'!E1442</f>
        <v>0</v>
      </c>
      <c r="U1311" s="24">
        <f>TA!E1442</f>
        <v>4478676000000</v>
      </c>
      <c r="V1311" s="109">
        <f>PR!F1442</f>
        <v>-3.7781330339826502E-2</v>
      </c>
      <c r="W1311" s="109">
        <f>'Z Score'!I1442</f>
        <v>0.86258156651653284</v>
      </c>
      <c r="X1311" s="109">
        <f>'Z Score'!L1442</f>
        <v>0.49833640120428446</v>
      </c>
      <c r="Y1311" s="109">
        <f>'Z Score'!O1442</f>
        <v>0.24347845657957842</v>
      </c>
      <c r="Z1311" s="109">
        <f>'Z Score'!R1442</f>
        <v>0.4364289888558206</v>
      </c>
      <c r="AA1311" s="109">
        <f>'Z Score'!S1442</f>
        <v>2.0408254131562167</v>
      </c>
    </row>
    <row r="1312" spans="1:27" ht="15" customHeight="1" x14ac:dyDescent="0.3">
      <c r="A1312" s="22"/>
      <c r="B1312" s="23">
        <v>132</v>
      </c>
      <c r="C1312" s="2" t="s">
        <v>85</v>
      </c>
      <c r="D1312" s="23">
        <v>2015</v>
      </c>
      <c r="E1312" s="25">
        <f>'Current Ratio'!G1444</f>
        <v>0</v>
      </c>
      <c r="F1312" s="25">
        <f>'Cash Ratio'!G1444</f>
        <v>0</v>
      </c>
      <c r="G1312" s="25">
        <f>DAR!G1444</f>
        <v>0</v>
      </c>
      <c r="H1312" s="25">
        <f>DER!G1444</f>
        <v>0</v>
      </c>
      <c r="I1312" s="25">
        <f>NPM!G1444</f>
        <v>0</v>
      </c>
      <c r="J1312" s="25">
        <f>ROA!G1444</f>
        <v>0</v>
      </c>
      <c r="K1312" s="25">
        <f>ROE!G1444</f>
        <v>0</v>
      </c>
      <c r="L1312" s="25">
        <f>KM!E1444</f>
        <v>0</v>
      </c>
      <c r="M1312" s="24">
        <f>KI!E1444</f>
        <v>0</v>
      </c>
      <c r="N1312" s="108">
        <f>IO!E1444</f>
        <v>0</v>
      </c>
      <c r="O1312" s="24">
        <f>'BoC Size'!E1444</f>
        <v>0</v>
      </c>
      <c r="P1312" s="24">
        <f>'TMT E DK'!E1444</f>
        <v>0</v>
      </c>
      <c r="Q1312" s="24">
        <f>Data!R1444</f>
        <v>0</v>
      </c>
      <c r="R1312" s="24">
        <f>Data!S1444</f>
        <v>0</v>
      </c>
      <c r="S1312" s="24">
        <f>'TMT E DK'!E1444</f>
        <v>0</v>
      </c>
      <c r="T1312" s="24">
        <f>'TMT E DD'!E1444</f>
        <v>0</v>
      </c>
      <c r="U1312" s="24">
        <f>TA!E1444</f>
        <v>0</v>
      </c>
      <c r="V1312" s="109">
        <f>PR!F1444</f>
        <v>0</v>
      </c>
      <c r="W1312" s="109">
        <f>'Z Score'!I1444</f>
        <v>0</v>
      </c>
      <c r="X1312" s="109">
        <f>'Z Score'!L1444</f>
        <v>0</v>
      </c>
      <c r="Y1312" s="109">
        <f>'Z Score'!O1444</f>
        <v>0</v>
      </c>
      <c r="Z1312" s="109">
        <f>'Z Score'!R1444</f>
        <v>0</v>
      </c>
      <c r="AA1312" s="109">
        <f>'Z Score'!S1444</f>
        <v>0</v>
      </c>
    </row>
    <row r="1313" spans="1:27" ht="15" customHeight="1" x14ac:dyDescent="0.3">
      <c r="A1313" s="22"/>
      <c r="B1313" s="23"/>
      <c r="C1313" s="2"/>
      <c r="D1313" s="23">
        <v>2016</v>
      </c>
      <c r="E1313" s="25">
        <f>'Current Ratio'!G1445</f>
        <v>3.2541542431692561</v>
      </c>
      <c r="F1313" s="25">
        <f>'Cash Ratio'!G1445</f>
        <v>2.5928057052187408E-2</v>
      </c>
      <c r="G1313" s="25">
        <f>DAR!G1445</f>
        <v>0.61468614586474035</v>
      </c>
      <c r="H1313" s="25">
        <f>DER!G1445</f>
        <v>1.595297221791091</v>
      </c>
      <c r="I1313" s="25">
        <f>NPM!G1445</f>
        <v>-6.0781302170283803E-2</v>
      </c>
      <c r="J1313" s="25">
        <f>ROA!G1445</f>
        <v>-1.1340162514919627E-2</v>
      </c>
      <c r="K1313" s="25">
        <f>ROE!G1445</f>
        <v>-2.9431165606084123E-2</v>
      </c>
      <c r="L1313" s="25">
        <f>KM!E1445</f>
        <v>0</v>
      </c>
      <c r="M1313" s="24">
        <f>KI!E1445</f>
        <v>0</v>
      </c>
      <c r="N1313" s="108">
        <f>IO!E1445</f>
        <v>0</v>
      </c>
      <c r="O1313" s="24">
        <f>'BoC Size'!E1445</f>
        <v>0</v>
      </c>
      <c r="P1313" s="24">
        <f>'TMT E DK'!E1445</f>
        <v>0</v>
      </c>
      <c r="Q1313" s="24">
        <f>Data!R1445</f>
        <v>0</v>
      </c>
      <c r="R1313" s="24">
        <f>Data!S1445</f>
        <v>0</v>
      </c>
      <c r="S1313" s="24">
        <f>'TMT E DK'!E1445</f>
        <v>0</v>
      </c>
      <c r="T1313" s="24">
        <f>'TMT E DD'!E1445</f>
        <v>0</v>
      </c>
      <c r="U1313" s="24">
        <f>TA!E1445</f>
        <v>401317000000</v>
      </c>
      <c r="V1313" s="109">
        <f>PR!F1445</f>
        <v>0</v>
      </c>
      <c r="W1313" s="109">
        <f>'Z Score'!I1445</f>
        <v>2.113201484113556</v>
      </c>
      <c r="X1313" s="109">
        <f>'Z Score'!L1445</f>
        <v>-1.4210658407194312</v>
      </c>
      <c r="Y1313" s="109">
        <f>'Z Score'!O1445</f>
        <v>-0.18444471577331634</v>
      </c>
      <c r="Z1313" s="109">
        <f>'Z Score'!R1445</f>
        <v>0.65818456000389158</v>
      </c>
      <c r="AA1313" s="109">
        <f>'Z Score'!S1445</f>
        <v>1.1658754876246999</v>
      </c>
    </row>
    <row r="1314" spans="1:27" ht="15" customHeight="1" x14ac:dyDescent="0.3">
      <c r="A1314" s="22"/>
      <c r="B1314" s="23"/>
      <c r="C1314" s="2"/>
      <c r="D1314" s="23">
        <v>2017</v>
      </c>
      <c r="E1314" s="25">
        <f>'Current Ratio'!G1446</f>
        <v>3.1670309085232593</v>
      </c>
      <c r="F1314" s="25">
        <f>'Cash Ratio'!G1446</f>
        <v>5.3595587470080135E-2</v>
      </c>
      <c r="G1314" s="25">
        <f>DAR!G1446</f>
        <v>0.60789220694138701</v>
      </c>
      <c r="H1314" s="25">
        <f>DER!G1446</f>
        <v>1.5503191155665661</v>
      </c>
      <c r="I1314" s="25">
        <f>NPM!G1446</f>
        <v>1.8080492521770974E-2</v>
      </c>
      <c r="J1314" s="25">
        <f>ROA!G1446</f>
        <v>3.965933136375388E-3</v>
      </c>
      <c r="K1314" s="25">
        <f>ROE!G1446</f>
        <v>1.0114395088757017E-2</v>
      </c>
      <c r="L1314" s="25">
        <f>KM!E1446</f>
        <v>0.99</v>
      </c>
      <c r="M1314" s="24">
        <f>KI!E1446</f>
        <v>2</v>
      </c>
      <c r="N1314" s="108">
        <f>IO!E1446</f>
        <v>0</v>
      </c>
      <c r="O1314" s="24">
        <f>'BoC Size'!E1446</f>
        <v>3</v>
      </c>
      <c r="P1314" s="24">
        <f>'TMT E DK'!E1446</f>
        <v>0</v>
      </c>
      <c r="Q1314" s="24">
        <f>Data!R1446</f>
        <v>3</v>
      </c>
      <c r="R1314" s="24">
        <f>Data!S1446</f>
        <v>3</v>
      </c>
      <c r="S1314" s="24">
        <f>'TMT E DK'!E1446</f>
        <v>0</v>
      </c>
      <c r="T1314" s="24">
        <f>'TMT E DD'!E1446</f>
        <v>0</v>
      </c>
      <c r="U1314" s="24">
        <f>TA!E1446</f>
        <v>398393000000</v>
      </c>
      <c r="V1314" s="109">
        <f>PR!F1446</f>
        <v>0.1671051752921536</v>
      </c>
      <c r="W1314" s="109">
        <f>'Z Score'!I1446</f>
        <v>2.0572481946218932</v>
      </c>
      <c r="X1314" s="109">
        <f>'Z Score'!L1446</f>
        <v>-1.4314793683623959</v>
      </c>
      <c r="Y1314" s="109">
        <f>'Z Score'!O1446</f>
        <v>0.14410132708155013</v>
      </c>
      <c r="Z1314" s="109">
        <f>'Z Score'!R1446</f>
        <v>0.67727991576513336</v>
      </c>
      <c r="AA1314" s="109">
        <f>'Z Score'!S1446</f>
        <v>1.4471500691061809</v>
      </c>
    </row>
    <row r="1315" spans="1:27" ht="15" customHeight="1" x14ac:dyDescent="0.3">
      <c r="A1315" s="22"/>
      <c r="B1315" s="23"/>
      <c r="C1315" s="2"/>
      <c r="D1315" s="23">
        <v>2018</v>
      </c>
      <c r="E1315" s="25">
        <f>'Current Ratio'!G1447</f>
        <v>3.1667656289761643</v>
      </c>
      <c r="F1315" s="25">
        <f>'Cash Ratio'!G1447</f>
        <v>3.5753668674187805E-2</v>
      </c>
      <c r="G1315" s="25">
        <f>DAR!G1447</f>
        <v>0.69933560681479601</v>
      </c>
      <c r="H1315" s="25">
        <f>DER!G1447</f>
        <v>2.3259674995303401</v>
      </c>
      <c r="I1315" s="25">
        <f>NPM!G1447</f>
        <v>3.8061135371179042E-2</v>
      </c>
      <c r="J1315" s="25">
        <f>ROA!G1447</f>
        <v>1.0256555087208961E-2</v>
      </c>
      <c r="K1315" s="25">
        <f>ROE!G1447</f>
        <v>3.4112968877199577E-2</v>
      </c>
      <c r="L1315" s="25">
        <f>KM!E1447</f>
        <v>0.99</v>
      </c>
      <c r="M1315" s="24">
        <f>KI!E1447</f>
        <v>2</v>
      </c>
      <c r="N1315" s="108">
        <f>IO!E1447</f>
        <v>0</v>
      </c>
      <c r="O1315" s="24">
        <f>'BoC Size'!E1447</f>
        <v>3</v>
      </c>
      <c r="P1315" s="24">
        <f>'TMT E DK'!E1447</f>
        <v>0</v>
      </c>
      <c r="Q1315" s="24">
        <f>Data!R1447</f>
        <v>3</v>
      </c>
      <c r="R1315" s="24">
        <f>Data!S1447</f>
        <v>3</v>
      </c>
      <c r="S1315" s="24">
        <f>'TMT E DK'!E1447</f>
        <v>0</v>
      </c>
      <c r="T1315" s="24">
        <f>'TMT E DD'!E1447</f>
        <v>0</v>
      </c>
      <c r="U1315" s="24">
        <f>TA!E1447</f>
        <v>424899000000</v>
      </c>
      <c r="V1315" s="109">
        <f>PR!F1447</f>
        <v>0.31026354034352938</v>
      </c>
      <c r="W1315" s="109">
        <f>'Z Score'!I1447</f>
        <v>2.3662372469692796</v>
      </c>
      <c r="X1315" s="109">
        <f>'Z Score'!L1447</f>
        <v>-1.5601925634091867</v>
      </c>
      <c r="Y1315" s="109">
        <f>'Z Score'!O1447</f>
        <v>3.0365804579441234E-2</v>
      </c>
      <c r="Z1315" s="109">
        <f>'Z Score'!R1447</f>
        <v>0.45142505224686769</v>
      </c>
      <c r="AA1315" s="109">
        <f>'Z Score'!S1447</f>
        <v>1.2878355403864019</v>
      </c>
    </row>
    <row r="1316" spans="1:27" ht="15" customHeight="1" x14ac:dyDescent="0.3">
      <c r="A1316" s="22"/>
      <c r="B1316" s="23"/>
      <c r="C1316" s="2"/>
      <c r="D1316" s="23">
        <v>2019</v>
      </c>
      <c r="E1316" s="25">
        <f>'Current Ratio'!G1448</f>
        <v>3.1065553913612249</v>
      </c>
      <c r="F1316" s="25">
        <f>'Cash Ratio'!G1448</f>
        <v>0.12822500545071344</v>
      </c>
      <c r="G1316" s="25">
        <f>DAR!G1448</f>
        <v>0.69684068858019821</v>
      </c>
      <c r="H1316" s="25">
        <f>DER!G1448</f>
        <v>2.2985956964892411</v>
      </c>
      <c r="I1316" s="25">
        <f>NPM!G1448</f>
        <v>2.9786775381845158E-2</v>
      </c>
      <c r="J1316" s="25">
        <f>ROA!G1448</f>
        <v>1.0753057342772586E-2</v>
      </c>
      <c r="K1316" s="25">
        <f>ROE!G1448</f>
        <v>3.5469988674971691E-2</v>
      </c>
      <c r="L1316" s="25">
        <f>KM!E1448</f>
        <v>0.99</v>
      </c>
      <c r="M1316" s="24">
        <f>KI!E1448</f>
        <v>2</v>
      </c>
      <c r="N1316" s="108">
        <f>IO!E1448</f>
        <v>0</v>
      </c>
      <c r="O1316" s="24">
        <f>'BoC Size'!E1448</f>
        <v>3</v>
      </c>
      <c r="P1316" s="24">
        <f>'TMT E DK'!E1448</f>
        <v>0</v>
      </c>
      <c r="Q1316" s="24">
        <f>Data!R1448</f>
        <v>3</v>
      </c>
      <c r="R1316" s="24">
        <f>Data!S1448</f>
        <v>3</v>
      </c>
      <c r="S1316" s="24">
        <f>'TMT E DK'!E1448</f>
        <v>0</v>
      </c>
      <c r="T1316" s="24">
        <f>'TMT E DD'!E1448</f>
        <v>0</v>
      </c>
      <c r="U1316" s="24">
        <f>TA!E1448</f>
        <v>436899000000</v>
      </c>
      <c r="V1316" s="109">
        <f>PR!F1448</f>
        <v>0.37747598253275111</v>
      </c>
      <c r="W1316" s="109">
        <f>'Z Score'!I1448</f>
        <v>2.6112883755742171</v>
      </c>
      <c r="X1316" s="109">
        <f>'Z Score'!L1448</f>
        <v>-1.4832250474365929</v>
      </c>
      <c r="Y1316" s="109">
        <f>'Z Score'!O1448</f>
        <v>0.10217684178723228</v>
      </c>
      <c r="Z1316" s="109">
        <f>'Z Score'!R1448</f>
        <v>0.45680064641368506</v>
      </c>
      <c r="AA1316" s="109">
        <f>'Z Score'!S1448</f>
        <v>1.6870408163385415</v>
      </c>
    </row>
    <row r="1317" spans="1:27" ht="15" customHeight="1" x14ac:dyDescent="0.3">
      <c r="A1317" s="22"/>
      <c r="B1317" s="23"/>
      <c r="C1317" s="2"/>
      <c r="D1317" s="23">
        <v>2020</v>
      </c>
      <c r="E1317" s="25">
        <f>'Current Ratio'!G1449</f>
        <v>3.7503430902562367</v>
      </c>
      <c r="F1317" s="25">
        <f>'Cash Ratio'!G1449</f>
        <v>4.4893125035248997E-2</v>
      </c>
      <c r="G1317" s="25">
        <f>DAR!G1449</f>
        <v>0.77394176941689063</v>
      </c>
      <c r="H1317" s="25">
        <f>DER!G1449</f>
        <v>3.4236660215648329</v>
      </c>
      <c r="I1317" s="25">
        <f>NPM!G1449</f>
        <v>4.6037607100995484E-2</v>
      </c>
      <c r="J1317" s="25">
        <f>ROA!G1449</f>
        <v>1.4938885565565208E-2</v>
      </c>
      <c r="K1317" s="25">
        <f>ROE!G1449</f>
        <v>6.6084758481772587E-2</v>
      </c>
      <c r="L1317" s="25">
        <f>KM!E1449</f>
        <v>0.9909</v>
      </c>
      <c r="M1317" s="24">
        <f>KI!E1449</f>
        <v>2</v>
      </c>
      <c r="N1317" s="108">
        <f>IO!E1449</f>
        <v>0</v>
      </c>
      <c r="O1317" s="24">
        <f>'BoC Size'!E1449</f>
        <v>3</v>
      </c>
      <c r="P1317" s="24">
        <f>'TMT E DK'!E1449</f>
        <v>0</v>
      </c>
      <c r="Q1317" s="24">
        <f>Data!R1449</f>
        <v>3</v>
      </c>
      <c r="R1317" s="24">
        <f>Data!S1449</f>
        <v>4</v>
      </c>
      <c r="S1317" s="24">
        <f>'TMT E DK'!E1449</f>
        <v>0</v>
      </c>
      <c r="T1317" s="24">
        <f>'TMT E DD'!E1449</f>
        <v>0</v>
      </c>
      <c r="U1317" s="24">
        <f>TA!E1449</f>
        <v>560015000000</v>
      </c>
      <c r="V1317" s="109">
        <f>PR!F1449</f>
        <v>0.15216743490086926</v>
      </c>
      <c r="W1317" s="109">
        <f>'Z Score'!I1449</f>
        <v>3.4274847638009693</v>
      </c>
      <c r="X1317" s="109">
        <f>'Z Score'!L1449</f>
        <v>4.6669142790818095E-2</v>
      </c>
      <c r="Y1317" s="109">
        <f>'Z Score'!O1449</f>
        <v>0.14568809764024176</v>
      </c>
      <c r="Z1317" s="109">
        <f>'Z Score'!R1449</f>
        <v>0.30668879306167934</v>
      </c>
      <c r="AA1317" s="109">
        <f>'Z Score'!S1449</f>
        <v>3.9265307972937085</v>
      </c>
    </row>
    <row r="1318" spans="1:27" ht="15" customHeight="1" x14ac:dyDescent="0.3">
      <c r="A1318" s="22"/>
      <c r="B1318" s="23"/>
      <c r="C1318" s="2"/>
      <c r="D1318" s="23">
        <v>2021</v>
      </c>
      <c r="E1318" s="25">
        <f>'Current Ratio'!G1450</f>
        <v>3.3027441082381945</v>
      </c>
      <c r="F1318" s="25">
        <f>'Cash Ratio'!G1450</f>
        <v>0.18160420274117337</v>
      </c>
      <c r="G1318" s="25">
        <f>DAR!G1450</f>
        <v>0.81519985387683036</v>
      </c>
      <c r="H1318" s="25">
        <f>DER!G1450</f>
        <v>4.411251132526151</v>
      </c>
      <c r="I1318" s="25">
        <f>NPM!G1450</f>
        <v>5.4295867946147235E-2</v>
      </c>
      <c r="J1318" s="25">
        <f>ROA!G1450</f>
        <v>1.6786175862555663E-2</v>
      </c>
      <c r="K1318" s="25">
        <f>ROE!G1450</f>
        <v>9.0834213147037463E-2</v>
      </c>
      <c r="L1318" s="25">
        <f>KM!E1450</f>
        <v>0.9909</v>
      </c>
      <c r="M1318" s="24">
        <f>KI!E1450</f>
        <v>2</v>
      </c>
      <c r="N1318" s="108">
        <f>IO!E1450</f>
        <v>0</v>
      </c>
      <c r="O1318" s="24">
        <f>'BoC Size'!E1450</f>
        <v>3</v>
      </c>
      <c r="P1318" s="24">
        <f>'TMT E DK'!E1450</f>
        <v>0</v>
      </c>
      <c r="Q1318" s="24">
        <f>Data!R1450</f>
        <v>3</v>
      </c>
      <c r="R1318" s="24">
        <f>Data!S1450</f>
        <v>3</v>
      </c>
      <c r="S1318" s="24">
        <f>'TMT E DK'!E1450</f>
        <v>0</v>
      </c>
      <c r="T1318" s="24">
        <f>'TMT E DD'!E1450</f>
        <v>0</v>
      </c>
      <c r="U1318" s="24">
        <f>TA!E1450</f>
        <v>722678000000</v>
      </c>
      <c r="V1318" s="109">
        <f>PR!F1450</f>
        <v>0.22948916195706606</v>
      </c>
      <c r="W1318" s="109">
        <f>'Z Score'!I1450</f>
        <v>3.5611073258076207</v>
      </c>
      <c r="X1318" s="109">
        <f>'Z Score'!L1450</f>
        <v>6.8652899354899405E-2</v>
      </c>
      <c r="Y1318" s="109">
        <f>'Z Score'!O1450</f>
        <v>0.1384397477161336</v>
      </c>
      <c r="Z1318" s="109">
        <f>'Z Score'!R1450</f>
        <v>0.2380277087962358</v>
      </c>
      <c r="AA1318" s="109">
        <f>'Z Score'!S1450</f>
        <v>4.0062276816748899</v>
      </c>
    </row>
    <row r="1319" spans="1:27" ht="15" customHeight="1" x14ac:dyDescent="0.3">
      <c r="A1319" s="22"/>
      <c r="B1319" s="23"/>
      <c r="C1319" s="2"/>
      <c r="D1319" s="23">
        <v>2022</v>
      </c>
      <c r="E1319" s="25">
        <f>'Current Ratio'!G1451</f>
        <v>3.510606941215543</v>
      </c>
      <c r="F1319" s="25">
        <f>'Cash Ratio'!G1451</f>
        <v>0.3585671980515886</v>
      </c>
      <c r="G1319" s="25">
        <f>DAR!G1451</f>
        <v>0.80690895772192628</v>
      </c>
      <c r="H1319" s="25">
        <f>DER!G1451</f>
        <v>4.1789041490587779</v>
      </c>
      <c r="I1319" s="25">
        <f>NPM!G1451</f>
        <v>-3.0699048033470417E-2</v>
      </c>
      <c r="J1319" s="25">
        <f>ROA!G1451</f>
        <v>-1.3301435850360005E-2</v>
      </c>
      <c r="K1319" s="25">
        <f>ROE!G1451</f>
        <v>-6.8886861313868619E-2</v>
      </c>
      <c r="L1319" s="25">
        <f>KM!E1451</f>
        <v>0.9909</v>
      </c>
      <c r="M1319" s="24">
        <f>KI!E1451</f>
        <v>2</v>
      </c>
      <c r="N1319" s="108">
        <f>IO!E1451</f>
        <v>0</v>
      </c>
      <c r="O1319" s="24">
        <f>'BoC Size'!E1451</f>
        <v>3</v>
      </c>
      <c r="P1319" s="24">
        <f>'TMT E DK'!E1451</f>
        <v>0</v>
      </c>
      <c r="Q1319" s="24">
        <f>Data!R1451</f>
        <v>3</v>
      </c>
      <c r="R1319" s="24">
        <f>Data!S1451</f>
        <v>3</v>
      </c>
      <c r="S1319" s="24">
        <f>'TMT E DK'!E1451</f>
        <v>0</v>
      </c>
      <c r="T1319" s="24">
        <f>'TMT E DD'!E1451</f>
        <v>0</v>
      </c>
      <c r="U1319" s="24">
        <f>TA!E1451</f>
        <v>647073000000</v>
      </c>
      <c r="V1319" s="109">
        <f>PR!F1451</f>
        <v>0.2548651890575766</v>
      </c>
      <c r="W1319" s="109">
        <f>'Z Score'!I1451</f>
        <v>3.6785890927298777</v>
      </c>
      <c r="X1319" s="109">
        <f>'Z Score'!L1451</f>
        <v>3.4273999996909159E-2</v>
      </c>
      <c r="Y1319" s="109">
        <f>'Z Score'!O1451</f>
        <v>-0.12100866517379028</v>
      </c>
      <c r="Z1319" s="109">
        <f>'Z Score'!R1451</f>
        <v>0.25126204443729422</v>
      </c>
      <c r="AA1319" s="109">
        <f>'Z Score'!S1451</f>
        <v>3.8431164719902906</v>
      </c>
    </row>
    <row r="1320" spans="1:27" ht="15" customHeight="1" x14ac:dyDescent="0.3">
      <c r="A1320" s="22"/>
      <c r="B1320" s="23"/>
      <c r="C1320" s="2"/>
      <c r="D1320" s="23">
        <v>2023</v>
      </c>
      <c r="E1320" s="25">
        <f>'Current Ratio'!G1452</f>
        <v>2.4159137349516238</v>
      </c>
      <c r="F1320" s="25">
        <f>'Cash Ratio'!G1452</f>
        <v>0.27418613620883492</v>
      </c>
      <c r="G1320" s="25">
        <f>DAR!G1452</f>
        <v>0.82780633318632824</v>
      </c>
      <c r="H1320" s="25">
        <f>DER!G1452</f>
        <v>4.8074145147398797</v>
      </c>
      <c r="I1320" s="25">
        <f>NPM!G1452</f>
        <v>-7.2386180357092322E-2</v>
      </c>
      <c r="J1320" s="25">
        <f>ROA!G1452</f>
        <v>-3.3280385491510786E-2</v>
      </c>
      <c r="K1320" s="25">
        <f>ROE!G1452</f>
        <v>-0.19327299375953824</v>
      </c>
      <c r="L1320" s="25">
        <f>KM!E1452</f>
        <v>0.9909</v>
      </c>
      <c r="M1320" s="24">
        <f>KI!E1452</f>
        <v>2</v>
      </c>
      <c r="N1320" s="108">
        <f>IO!E1452</f>
        <v>0</v>
      </c>
      <c r="O1320" s="24">
        <f>'BoC Size'!E1452</f>
        <v>3</v>
      </c>
      <c r="P1320" s="24">
        <f>'TMT E DK'!E1452</f>
        <v>0</v>
      </c>
      <c r="Q1320" s="24">
        <f>Data!R1452</f>
        <v>3</v>
      </c>
      <c r="R1320" s="24">
        <f>Data!S1452</f>
        <v>3</v>
      </c>
      <c r="S1320" s="24">
        <f>'TMT E DK'!E1452</f>
        <v>0</v>
      </c>
      <c r="T1320" s="24">
        <f>'TMT E DD'!E1452</f>
        <v>0</v>
      </c>
      <c r="U1320" s="24">
        <f>TA!E1452</f>
        <v>768681000000</v>
      </c>
      <c r="V1320" s="109">
        <f>PR!F1452</f>
        <v>0.26052638149282903</v>
      </c>
      <c r="W1320" s="109">
        <f>'Z Score'!I1452</f>
        <v>2.9449299254176959</v>
      </c>
      <c r="X1320" s="109">
        <f>'Z Score'!L1452</f>
        <v>-8.1046103650278839E-2</v>
      </c>
      <c r="Y1320" s="109">
        <f>'Z Score'!O1452</f>
        <v>-0.23791153937719287</v>
      </c>
      <c r="Z1320" s="109">
        <f>'Z Score'!R1452</f>
        <v>0.21841262008520884</v>
      </c>
      <c r="AA1320" s="109">
        <f>'Z Score'!S1452</f>
        <v>2.8443849024754333</v>
      </c>
    </row>
    <row r="1321" spans="1:27" ht="15" customHeight="1" x14ac:dyDescent="0.3">
      <c r="A1321" s="22"/>
      <c r="B1321" s="23"/>
      <c r="C1321" s="2"/>
      <c r="D1321" s="23">
        <v>2024</v>
      </c>
      <c r="E1321" s="25">
        <f>'Current Ratio'!G1453</f>
        <v>3.77489030768808</v>
      </c>
      <c r="F1321" s="25">
        <f>'Cash Ratio'!G1453</f>
        <v>0.22674019181269409</v>
      </c>
      <c r="G1321" s="25">
        <f>DAR!G1453</f>
        <v>0.72314645187663706</v>
      </c>
      <c r="H1321" s="25">
        <f>DER!G1453</f>
        <v>2.8454297952448186</v>
      </c>
      <c r="I1321" s="25">
        <f>NPM!G1453</f>
        <v>6.16543898560281E-3</v>
      </c>
      <c r="J1321" s="25">
        <f>ROA!G1453</f>
        <v>5.2945540432103441E-3</v>
      </c>
      <c r="K1321" s="25">
        <f>ROE!G1453</f>
        <v>2.0832960997027267E-2</v>
      </c>
      <c r="L1321" s="25">
        <f>KM!E1453</f>
        <v>0.9909</v>
      </c>
      <c r="M1321" s="24">
        <f>KI!E1453</f>
        <v>2</v>
      </c>
      <c r="N1321" s="108">
        <f>IO!E1453</f>
        <v>0</v>
      </c>
      <c r="O1321" s="24">
        <f>'BoC Size'!E1453</f>
        <v>3</v>
      </c>
      <c r="P1321" s="24">
        <f>'TMT E DK'!E1453</f>
        <v>0</v>
      </c>
      <c r="Q1321" s="24">
        <f>Data!R1453</f>
        <v>3</v>
      </c>
      <c r="R1321" s="24">
        <f>Data!S1453</f>
        <v>2</v>
      </c>
      <c r="S1321" s="24">
        <f>'TMT E DK'!E1453</f>
        <v>0</v>
      </c>
      <c r="T1321" s="24">
        <f>'TMT E DD'!E1453</f>
        <v>0</v>
      </c>
      <c r="U1321" s="24">
        <f>TA!E1453</f>
        <v>660490000000</v>
      </c>
      <c r="V1321" s="109">
        <f>PR!F1453</f>
        <v>0.60491780085453162</v>
      </c>
      <c r="W1321" s="109">
        <f>'Z Score'!I1453</f>
        <v>3.0087267331829399</v>
      </c>
      <c r="X1321" s="109">
        <f>'Z Score'!L1453</f>
        <v>-7.7061545216430216E-2</v>
      </c>
      <c r="Y1321" s="109">
        <f>'Z Score'!O1453</f>
        <v>4.7920786083059545E-2</v>
      </c>
      <c r="Z1321" s="109">
        <f>'Z Score'!R1453</f>
        <v>0.36901279439567364</v>
      </c>
      <c r="AA1321" s="109">
        <f>'Z Score'!S1453</f>
        <v>3.348598768445243</v>
      </c>
    </row>
    <row r="1322" spans="1:27" ht="15" customHeight="1" x14ac:dyDescent="0.3">
      <c r="A1322" s="22"/>
      <c r="B1322" s="23">
        <v>133</v>
      </c>
      <c r="C1322" s="1" t="s">
        <v>126</v>
      </c>
      <c r="D1322" s="23">
        <v>2015</v>
      </c>
      <c r="E1322" s="25">
        <f>'Current Ratio'!G1455</f>
        <v>3.1085954562556055</v>
      </c>
      <c r="F1322" s="25">
        <f>'Cash Ratio'!G1455</f>
        <v>0.19641165543968483</v>
      </c>
      <c r="G1322" s="25">
        <f>DAR!G1455</f>
        <v>0.21855059743316138</v>
      </c>
      <c r="H1322" s="25">
        <f>DER!G1455</f>
        <v>0.27967338219887933</v>
      </c>
      <c r="I1322" s="25">
        <f>NPM!G1455</f>
        <v>0.49590329182786475</v>
      </c>
      <c r="J1322" s="25">
        <f>ROA!G1455</f>
        <v>8.0588764403149382E-2</v>
      </c>
      <c r="K1322" s="25">
        <f>ROE!G1455</f>
        <v>0.10312729671100682</v>
      </c>
      <c r="L1322" s="25">
        <f>KM!E1455</f>
        <v>0.73370000000000002</v>
      </c>
      <c r="M1322" s="24">
        <f>KI!E1455</f>
        <v>2</v>
      </c>
      <c r="N1322" s="108">
        <f>IO!E1455</f>
        <v>0</v>
      </c>
      <c r="O1322" s="24">
        <f>'BoC Size'!E1455</f>
        <v>3</v>
      </c>
      <c r="P1322" s="24">
        <f>'TMT E DK'!E1455</f>
        <v>5</v>
      </c>
      <c r="Q1322" s="24">
        <f>Data!R1455</f>
        <v>3</v>
      </c>
      <c r="R1322" s="24">
        <f>Data!S1455</f>
        <v>3</v>
      </c>
      <c r="S1322" s="24">
        <f>'TMT E DK'!E1455</f>
        <v>5</v>
      </c>
      <c r="T1322" s="24">
        <f>'TMT E DD'!E1455</f>
        <v>5</v>
      </c>
      <c r="U1322" s="24">
        <f>TA!E1455</f>
        <v>210608052893</v>
      </c>
      <c r="V1322" s="109">
        <f>PR!F1455</f>
        <v>0.84275025779710144</v>
      </c>
      <c r="W1322" s="109">
        <f>'Z Score'!I1455</f>
        <v>0.84297898758486101</v>
      </c>
      <c r="X1322" s="109">
        <f>'Z Score'!L1455</f>
        <v>0.26271945204256258</v>
      </c>
      <c r="Y1322" s="109">
        <f>'Z Score'!O1455</f>
        <v>0.5520374430105387</v>
      </c>
      <c r="Z1322" s="109">
        <f>'Z Score'!R1455</f>
        <v>3.7543794541495967</v>
      </c>
      <c r="AA1322" s="109">
        <f>'Z Score'!S1455</f>
        <v>5.4121153367875596</v>
      </c>
    </row>
    <row r="1323" spans="1:27" ht="15" customHeight="1" x14ac:dyDescent="0.3">
      <c r="A1323" s="22"/>
      <c r="B1323" s="23"/>
      <c r="C1323" s="1"/>
      <c r="D1323" s="23">
        <v>2016</v>
      </c>
      <c r="E1323" s="25">
        <f>'Current Ratio'!G1456</f>
        <v>3.0218970016884055</v>
      </c>
      <c r="F1323" s="25">
        <f>'Cash Ratio'!G1456</f>
        <v>9.4842658397722143E-2</v>
      </c>
      <c r="G1323" s="25">
        <f>DAR!G1456</f>
        <v>0.28480362703945367</v>
      </c>
      <c r="H1323" s="25">
        <f>DER!G1456</f>
        <v>0.39821738169687948</v>
      </c>
      <c r="I1323" s="25">
        <f>NPM!G1456</f>
        <v>0.20959232486276272</v>
      </c>
      <c r="J1323" s="25">
        <f>ROA!G1456</f>
        <v>3.4173716632740242E-2</v>
      </c>
      <c r="K1323" s="25">
        <f>ROE!G1456</f>
        <v>4.7782284593081162E-2</v>
      </c>
      <c r="L1323" s="25">
        <f>KM!E1456</f>
        <v>0.73370000000000002</v>
      </c>
      <c r="M1323" s="24">
        <f>KI!E1456</f>
        <v>2</v>
      </c>
      <c r="N1323" s="108">
        <f>IO!E1456</f>
        <v>0</v>
      </c>
      <c r="O1323" s="24">
        <f>'BoC Size'!E1456</f>
        <v>3</v>
      </c>
      <c r="P1323" s="24">
        <f>'TMT E DK'!E1456</f>
        <v>5</v>
      </c>
      <c r="Q1323" s="24">
        <f>Data!R1456</f>
        <v>3</v>
      </c>
      <c r="R1323" s="24">
        <f>Data!S1456</f>
        <v>4</v>
      </c>
      <c r="S1323" s="24">
        <f>'TMT E DK'!E1456</f>
        <v>5</v>
      </c>
      <c r="T1323" s="24">
        <f>'TMT E DD'!E1456</f>
        <v>6</v>
      </c>
      <c r="U1323" s="24">
        <f>TA!E1456</f>
        <v>233874624756</v>
      </c>
      <c r="V1323" s="109">
        <f>PR!F1456</f>
        <v>0.11415974609351674</v>
      </c>
      <c r="W1323" s="109">
        <f>'Z Score'!I1456</f>
        <v>1.1215716507652058</v>
      </c>
      <c r="X1323" s="109">
        <f>'Z Score'!L1456</f>
        <v>0.34798962366588276</v>
      </c>
      <c r="Y1323" s="109">
        <f>'Z Score'!O1456</f>
        <v>0.23658741618560511</v>
      </c>
      <c r="Z1323" s="109">
        <f>'Z Score'!R1456</f>
        <v>2.6367508005947702</v>
      </c>
      <c r="AA1323" s="109">
        <f>'Z Score'!S1456</f>
        <v>4.3428994912114636</v>
      </c>
    </row>
    <row r="1324" spans="1:27" ht="15" customHeight="1" x14ac:dyDescent="0.3">
      <c r="A1324" s="22"/>
      <c r="B1324" s="23"/>
      <c r="C1324" s="1"/>
      <c r="D1324" s="23">
        <v>2017</v>
      </c>
      <c r="E1324" s="25">
        <f>'Current Ratio'!G1457</f>
        <v>5.1769440485824409</v>
      </c>
      <c r="F1324" s="25">
        <f>'Cash Ratio'!G1457</f>
        <v>0.23980817387461859</v>
      </c>
      <c r="G1324" s="25">
        <f>DAR!G1457</f>
        <v>0.25130181497258663</v>
      </c>
      <c r="H1324" s="25">
        <f>DER!G1457</f>
        <v>0.33565169516657145</v>
      </c>
      <c r="I1324" s="25">
        <f>NPM!G1457</f>
        <v>0.25935735784224723</v>
      </c>
      <c r="J1324" s="25">
        <f>ROA!G1457</f>
        <v>3.4752730562159426E-2</v>
      </c>
      <c r="K1324" s="25">
        <f>ROE!G1457</f>
        <v>4.641754348701535E-2</v>
      </c>
      <c r="L1324" s="25">
        <f>KM!E1457</f>
        <v>0.73350000000000004</v>
      </c>
      <c r="M1324" s="24">
        <f>KI!E1457</f>
        <v>2</v>
      </c>
      <c r="N1324" s="108">
        <f>IO!E1457</f>
        <v>0</v>
      </c>
      <c r="O1324" s="24">
        <f>'BoC Size'!E1457</f>
        <v>3</v>
      </c>
      <c r="P1324" s="24">
        <f>'TMT E DK'!E1457</f>
        <v>5</v>
      </c>
      <c r="Q1324" s="24">
        <f>Data!R1457</f>
        <v>3</v>
      </c>
      <c r="R1324" s="24">
        <f>Data!S1457</f>
        <v>4</v>
      </c>
      <c r="S1324" s="24">
        <f>'TMT E DK'!E1457</f>
        <v>5</v>
      </c>
      <c r="T1324" s="24">
        <f>'TMT E DD'!E1457</f>
        <v>6</v>
      </c>
      <c r="U1324" s="24">
        <f>TA!E1457</f>
        <v>253642764681</v>
      </c>
      <c r="V1324" s="109">
        <f>PR!F1457</f>
        <v>-0.10872259710417595</v>
      </c>
      <c r="W1324" s="109">
        <f>'Z Score'!I1457</f>
        <v>1.1153919902639842</v>
      </c>
      <c r="X1324" s="109">
        <f>'Z Score'!L1457</f>
        <v>0.43417788146010294</v>
      </c>
      <c r="Y1324" s="109">
        <f>'Z Score'!O1457</f>
        <v>0.22553054474179163</v>
      </c>
      <c r="Z1324" s="109">
        <f>'Z Score'!R1457</f>
        <v>3.1282428038354584</v>
      </c>
      <c r="AA1324" s="109">
        <f>'Z Score'!S1457</f>
        <v>4.9033432203013376</v>
      </c>
    </row>
    <row r="1325" spans="1:27" ht="15" customHeight="1" x14ac:dyDescent="0.3">
      <c r="A1325" s="22"/>
      <c r="B1325" s="23"/>
      <c r="C1325" s="1"/>
      <c r="D1325" s="23">
        <v>2018</v>
      </c>
      <c r="E1325" s="25">
        <f>'Current Ratio'!G1458</f>
        <v>4.0764104293615402</v>
      </c>
      <c r="F1325" s="25">
        <f>'Cash Ratio'!G1458</f>
        <v>0.11630389848585693</v>
      </c>
      <c r="G1325" s="25">
        <f>DAR!G1458</f>
        <v>0.31432452966210361</v>
      </c>
      <c r="H1325" s="25">
        <f>DER!G1458</f>
        <v>0.45841588806904021</v>
      </c>
      <c r="I1325" s="25">
        <f>NPM!G1458</f>
        <v>0.15544309627022787</v>
      </c>
      <c r="J1325" s="25">
        <f>ROA!G1458</f>
        <v>1.5060577382518677E-2</v>
      </c>
      <c r="K1325" s="25">
        <f>ROE!G1458</f>
        <v>2.1964585338158475E-2</v>
      </c>
      <c r="L1325" s="25">
        <f>KM!E1458</f>
        <v>0.73280000000000001</v>
      </c>
      <c r="M1325" s="24">
        <f>KI!E1458</f>
        <v>2</v>
      </c>
      <c r="N1325" s="108">
        <f>IO!E1458</f>
        <v>0</v>
      </c>
      <c r="O1325" s="24">
        <f>'BoC Size'!E1458</f>
        <v>3</v>
      </c>
      <c r="P1325" s="24">
        <f>'TMT E DK'!E1458</f>
        <v>5</v>
      </c>
      <c r="Q1325" s="24">
        <f>Data!R1458</f>
        <v>3</v>
      </c>
      <c r="R1325" s="24">
        <f>Data!S1458</f>
        <v>3</v>
      </c>
      <c r="S1325" s="24">
        <f>'TMT E DK'!E1458</f>
        <v>5</v>
      </c>
      <c r="T1325" s="24">
        <f>'TMT E DD'!E1458</f>
        <v>5</v>
      </c>
      <c r="U1325" s="24">
        <f>TA!E1458</f>
        <v>262118630829</v>
      </c>
      <c r="V1325" s="109">
        <f>PR!F1458</f>
        <v>-0.25276838931109374</v>
      </c>
      <c r="W1325" s="109">
        <f>'Z Score'!I1458</f>
        <v>1.3361748612172704</v>
      </c>
      <c r="X1325" s="109">
        <f>'Z Score'!L1458</f>
        <v>0.44241572112145316</v>
      </c>
      <c r="Y1325" s="109">
        <f>'Z Score'!O1458</f>
        <v>0.12288696350429845</v>
      </c>
      <c r="Z1325" s="109">
        <f>'Z Score'!R1458</f>
        <v>2.2904965279952592</v>
      </c>
      <c r="AA1325" s="109">
        <f>'Z Score'!S1458</f>
        <v>4.1919740738382814</v>
      </c>
    </row>
    <row r="1326" spans="1:27" ht="15" customHeight="1" x14ac:dyDescent="0.3">
      <c r="A1326" s="22"/>
      <c r="B1326" s="23"/>
      <c r="C1326" s="1"/>
      <c r="D1326" s="23">
        <v>2019</v>
      </c>
      <c r="E1326" s="25">
        <f>'Current Ratio'!G1459</f>
        <v>4.095497210218892</v>
      </c>
      <c r="F1326" s="25">
        <f>'Cash Ratio'!G1459</f>
        <v>9.8435420857514083E-2</v>
      </c>
      <c r="G1326" s="25">
        <f>DAR!G1459</f>
        <v>0.34429518153820038</v>
      </c>
      <c r="H1326" s="25">
        <f>DER!G1459</f>
        <v>0.52507648540066132</v>
      </c>
      <c r="I1326" s="25">
        <f>NPM!G1459</f>
        <v>0.83492076509931656</v>
      </c>
      <c r="J1326" s="25">
        <f>ROA!G1459</f>
        <v>7.6735604446017208E-2</v>
      </c>
      <c r="K1326" s="25">
        <f>ROE!G1459</f>
        <v>0.11702766593362728</v>
      </c>
      <c r="L1326" s="25">
        <f>KM!E1459</f>
        <v>0.73150000000000004</v>
      </c>
      <c r="M1326" s="24">
        <f>KI!E1459</f>
        <v>2</v>
      </c>
      <c r="N1326" s="108">
        <f>IO!E1459</f>
        <v>0</v>
      </c>
      <c r="O1326" s="24">
        <f>'BoC Size'!E1459</f>
        <v>3</v>
      </c>
      <c r="P1326" s="24">
        <f>'TMT E DK'!E1459</f>
        <v>5</v>
      </c>
      <c r="Q1326" s="24">
        <f>Data!R1459</f>
        <v>3</v>
      </c>
      <c r="R1326" s="24">
        <f>Data!S1459</f>
        <v>3</v>
      </c>
      <c r="S1326" s="24">
        <f>'TMT E DK'!E1459</f>
        <v>5</v>
      </c>
      <c r="T1326" s="24">
        <f>'TMT E DD'!E1459</f>
        <v>5</v>
      </c>
      <c r="U1326" s="24">
        <f>TA!E1459</f>
        <v>284170955431</v>
      </c>
      <c r="V1326" s="109">
        <f>PR!F1459</f>
        <v>2.8402844455678353E-2</v>
      </c>
      <c r="W1326" s="109">
        <f>'Z Score'!I1459</f>
        <v>1.5554891223102802</v>
      </c>
      <c r="X1326" s="109">
        <f>'Z Score'!L1459</f>
        <v>0.51248946488045211</v>
      </c>
      <c r="Y1326" s="109">
        <f>'Z Score'!O1459</f>
        <v>0.52167228591633941</v>
      </c>
      <c r="Z1326" s="109">
        <f>'Z Score'!R1459</f>
        <v>1.999708669488016</v>
      </c>
      <c r="AA1326" s="109">
        <f>'Z Score'!S1459</f>
        <v>4.5893595425950879</v>
      </c>
    </row>
    <row r="1327" spans="1:27" ht="15" customHeight="1" x14ac:dyDescent="0.3">
      <c r="A1327" s="22"/>
      <c r="B1327" s="23"/>
      <c r="C1327" s="1"/>
      <c r="D1327" s="23">
        <v>2020</v>
      </c>
      <c r="E1327" s="25">
        <f>'Current Ratio'!G1460</f>
        <v>2.6327798560614908</v>
      </c>
      <c r="F1327" s="25">
        <f>'Cash Ratio'!G1460</f>
        <v>8.4320466780897579E-2</v>
      </c>
      <c r="G1327" s="25">
        <f>DAR!G1460</f>
        <v>0.42841184500786184</v>
      </c>
      <c r="H1327" s="25">
        <f>DER!G1460</f>
        <v>0.74951141178521152</v>
      </c>
      <c r="I1327" s="25">
        <f>NPM!G1460</f>
        <v>0.23431358377776296</v>
      </c>
      <c r="J1327" s="25">
        <f>ROA!G1460</f>
        <v>1.927033489962179E-2</v>
      </c>
      <c r="K1327" s="25">
        <f>ROE!G1460</f>
        <v>3.3713670815811149E-2</v>
      </c>
      <c r="L1327" s="25">
        <f>KM!E1460</f>
        <v>0.72950000000000004</v>
      </c>
      <c r="M1327" s="24">
        <f>KI!E1460</f>
        <v>2</v>
      </c>
      <c r="N1327" s="108">
        <f>IO!E1460</f>
        <v>0</v>
      </c>
      <c r="O1327" s="24">
        <f>'BoC Size'!E1460</f>
        <v>3</v>
      </c>
      <c r="P1327" s="24">
        <f>'TMT E DK'!E1460</f>
        <v>5</v>
      </c>
      <c r="Q1327" s="24">
        <f>Data!R1460</f>
        <v>3</v>
      </c>
      <c r="R1327" s="24">
        <f>Data!S1460</f>
        <v>4</v>
      </c>
      <c r="S1327" s="24">
        <f>'TMT E DK'!E1460</f>
        <v>5</v>
      </c>
      <c r="T1327" s="24">
        <f>'TMT E DD'!E1460</f>
        <v>4</v>
      </c>
      <c r="U1327" s="24">
        <f>TA!E1460</f>
        <v>322342387320</v>
      </c>
      <c r="V1327" s="109">
        <f>PR!F1460</f>
        <v>1.5027644258146265E-2</v>
      </c>
      <c r="W1327" s="109">
        <f>'Z Score'!I1460</f>
        <v>1.7520081946524686</v>
      </c>
      <c r="X1327" s="109">
        <f>'Z Score'!L1460</f>
        <v>0.37301738656906586</v>
      </c>
      <c r="Y1327" s="109">
        <f>'Z Score'!O1460</f>
        <v>0.13232884755840307</v>
      </c>
      <c r="Z1327" s="109">
        <f>'Z Score'!R1460</f>
        <v>1.4009126258652616</v>
      </c>
      <c r="AA1327" s="109">
        <f>'Z Score'!S1460</f>
        <v>3.658267054645199</v>
      </c>
    </row>
    <row r="1328" spans="1:27" ht="15" customHeight="1" x14ac:dyDescent="0.3">
      <c r="A1328" s="22"/>
      <c r="B1328" s="23"/>
      <c r="C1328" s="1"/>
      <c r="D1328" s="23">
        <v>2021</v>
      </c>
      <c r="E1328" s="25">
        <f>'Current Ratio'!G1461</f>
        <v>3.191031994139252</v>
      </c>
      <c r="F1328" s="25">
        <f>'Cash Ratio'!G1461</f>
        <v>0.1182093634124252</v>
      </c>
      <c r="G1328" s="25">
        <f>DAR!G1461</f>
        <v>0.32526134274367441</v>
      </c>
      <c r="H1328" s="25">
        <f>DER!G1461</f>
        <v>0.48205529540322639</v>
      </c>
      <c r="I1328" s="25">
        <f>NPM!G1461</f>
        <v>0.40022512019281298</v>
      </c>
      <c r="J1328" s="25">
        <f>ROA!G1461</f>
        <v>3.4518835671970685E-2</v>
      </c>
      <c r="K1328" s="25">
        <f>ROE!G1461</f>
        <v>5.1158823198797942E-2</v>
      </c>
      <c r="L1328" s="25">
        <f>KM!E1461</f>
        <v>0.72950000000000004</v>
      </c>
      <c r="M1328" s="24">
        <f>KI!E1461</f>
        <v>2</v>
      </c>
      <c r="N1328" s="108">
        <f>IO!E1461</f>
        <v>0</v>
      </c>
      <c r="O1328" s="24">
        <f>'BoC Size'!E1461</f>
        <v>3</v>
      </c>
      <c r="P1328" s="24">
        <f>'TMT E DK'!E1461</f>
        <v>5</v>
      </c>
      <c r="Q1328" s="24">
        <f>Data!R1461</f>
        <v>3</v>
      </c>
      <c r="R1328" s="24">
        <f>Data!S1461</f>
        <v>4</v>
      </c>
      <c r="S1328" s="24">
        <f>'TMT E DK'!E1461</f>
        <v>5</v>
      </c>
      <c r="T1328" s="24">
        <f>'TMT E DD'!E1461</f>
        <v>4</v>
      </c>
      <c r="U1328" s="24">
        <f>TA!E1461</f>
        <v>356588372475</v>
      </c>
      <c r="V1328" s="109">
        <f>PR!F1461</f>
        <v>0.16013828416513382</v>
      </c>
      <c r="W1328" s="109">
        <f>'Z Score'!I1461</f>
        <v>1.4292065238811738</v>
      </c>
      <c r="X1328" s="109">
        <f>'Z Score'!L1461</f>
        <v>0.40575693037916966</v>
      </c>
      <c r="Y1328" s="109">
        <f>'Z Score'!O1461</f>
        <v>0.22011707413433099</v>
      </c>
      <c r="Z1328" s="109">
        <f>'Z Score'!R1461</f>
        <v>2.1781733548258257</v>
      </c>
      <c r="AA1328" s="109">
        <f>'Z Score'!S1461</f>
        <v>4.2332538832205007</v>
      </c>
    </row>
    <row r="1329" spans="1:27" ht="15" customHeight="1" x14ac:dyDescent="0.3">
      <c r="A1329" s="22"/>
      <c r="B1329" s="23"/>
      <c r="C1329" s="1"/>
      <c r="D1329" s="23">
        <v>2022</v>
      </c>
      <c r="E1329" s="25">
        <f>'Current Ratio'!G1462</f>
        <v>2.9501525004364004</v>
      </c>
      <c r="F1329" s="25">
        <f>'Cash Ratio'!G1462</f>
        <v>0.18589873601202228</v>
      </c>
      <c r="G1329" s="25">
        <f>DAR!G1462</f>
        <v>0.37203313021874801</v>
      </c>
      <c r="H1329" s="25">
        <f>DER!G1462</f>
        <v>0.59244069730675952</v>
      </c>
      <c r="I1329" s="25">
        <f>NPM!G1462</f>
        <v>0.29152651276270175</v>
      </c>
      <c r="J1329" s="25">
        <f>ROA!G1462</f>
        <v>2.9165662152160973E-2</v>
      </c>
      <c r="K1329" s="25">
        <f>ROE!G1462</f>
        <v>4.6444587375000589E-2</v>
      </c>
      <c r="L1329" s="25">
        <f>KM!E1462</f>
        <v>0.72950000000000004</v>
      </c>
      <c r="M1329" s="24">
        <f>KI!E1462</f>
        <v>2</v>
      </c>
      <c r="N1329" s="108">
        <f>IO!E1462</f>
        <v>0</v>
      </c>
      <c r="O1329" s="24">
        <f>'BoC Size'!E1462</f>
        <v>3</v>
      </c>
      <c r="P1329" s="24">
        <f>'TMT E DK'!E1462</f>
        <v>5</v>
      </c>
      <c r="Q1329" s="24">
        <f>Data!R1462</f>
        <v>3</v>
      </c>
      <c r="R1329" s="24">
        <f>Data!S1462</f>
        <v>3</v>
      </c>
      <c r="S1329" s="24">
        <f>'TMT E DK'!E1462</f>
        <v>5</v>
      </c>
      <c r="T1329" s="24">
        <f>'TMT E DD'!E1462</f>
        <v>3</v>
      </c>
      <c r="U1329" s="24">
        <f>TA!E1462</f>
        <v>297046208202</v>
      </c>
      <c r="V1329" s="109">
        <f>PR!F1462</f>
        <v>-3.3729271318165777E-2</v>
      </c>
      <c r="W1329" s="109">
        <f>'Z Score'!I1462</f>
        <v>1.4421007360445941</v>
      </c>
      <c r="X1329" s="109">
        <f>'Z Score'!L1462</f>
        <v>0.52763708484222527</v>
      </c>
      <c r="Y1329" s="109">
        <f>'Z Score'!O1462</f>
        <v>0.20700905611164766</v>
      </c>
      <c r="Z1329" s="109">
        <f>'Z Score'!R1462</f>
        <v>1.7723292892829763</v>
      </c>
      <c r="AA1329" s="109">
        <f>'Z Score'!S1462</f>
        <v>3.9490761662814431</v>
      </c>
    </row>
    <row r="1330" spans="1:27" ht="15" customHeight="1" x14ac:dyDescent="0.3">
      <c r="A1330" s="22"/>
      <c r="B1330" s="23"/>
      <c r="C1330" s="1"/>
      <c r="D1330" s="23">
        <v>2023</v>
      </c>
      <c r="E1330" s="25">
        <f>'Current Ratio'!G1463</f>
        <v>2.8467846107990105</v>
      </c>
      <c r="F1330" s="25">
        <f>'Cash Ratio'!G1463</f>
        <v>0.11615605574160461</v>
      </c>
      <c r="G1330" s="25">
        <f>DAR!G1463</f>
        <v>0.36761119086296823</v>
      </c>
      <c r="H1330" s="25">
        <f>DER!G1463</f>
        <v>0.58130565492551411</v>
      </c>
      <c r="I1330" s="25">
        <f>NPM!G1463</f>
        <v>0.12818716226684285</v>
      </c>
      <c r="J1330" s="25">
        <f>ROA!G1463</f>
        <v>2.6669918956889038E-2</v>
      </c>
      <c r="K1330" s="25">
        <f>ROE!G1463</f>
        <v>4.2173293662933806E-2</v>
      </c>
      <c r="L1330" s="25">
        <f>KM!E1463</f>
        <v>0.72950000000000004</v>
      </c>
      <c r="M1330" s="24">
        <f>KI!E1463</f>
        <v>2</v>
      </c>
      <c r="N1330" s="108">
        <f>IO!E1463</f>
        <v>0</v>
      </c>
      <c r="O1330" s="24">
        <f>'BoC Size'!E1463</f>
        <v>3</v>
      </c>
      <c r="P1330" s="24">
        <f>'TMT E DK'!E1463</f>
        <v>5</v>
      </c>
      <c r="Q1330" s="24">
        <f>Data!R1463</f>
        <v>3</v>
      </c>
      <c r="R1330" s="24">
        <f>Data!S1463</f>
        <v>3</v>
      </c>
      <c r="S1330" s="24">
        <f>'TMT E DK'!E1463</f>
        <v>5</v>
      </c>
      <c r="T1330" s="24">
        <f>'TMT E DD'!E1463</f>
        <v>3</v>
      </c>
      <c r="U1330" s="24">
        <f>TA!E1463</f>
        <v>242935248490</v>
      </c>
      <c r="V1330" s="109">
        <f>PR!F1463</f>
        <v>0.70078688936901001</v>
      </c>
      <c r="W1330" s="109">
        <f>'Z Score'!I1463</f>
        <v>1.3577056091411002</v>
      </c>
      <c r="X1330" s="109">
        <f>'Z Score'!L1463</f>
        <v>0.63991998369137115</v>
      </c>
      <c r="Y1330" s="109">
        <f>'Z Score'!O1463</f>
        <v>0.17367346915890935</v>
      </c>
      <c r="Z1330" s="109">
        <f>'Z Score'!R1463</f>
        <v>1.80627866098179</v>
      </c>
      <c r="AA1330" s="109">
        <f>'Z Score'!S1463</f>
        <v>3.9775777229731708</v>
      </c>
    </row>
    <row r="1331" spans="1:27" ht="15" customHeight="1" x14ac:dyDescent="0.3">
      <c r="A1331" s="22"/>
      <c r="B1331" s="23"/>
      <c r="C1331" s="1"/>
      <c r="D1331" s="23">
        <v>2024</v>
      </c>
      <c r="E1331" s="25">
        <f>'Current Ratio'!G1464</f>
        <v>2.1955869268996984</v>
      </c>
      <c r="F1331" s="25">
        <f>'Cash Ratio'!G1464</f>
        <v>3.6210329546945773E-2</v>
      </c>
      <c r="G1331" s="25">
        <f>DAR!G1464</f>
        <v>0.37427430627863106</v>
      </c>
      <c r="H1331" s="25">
        <f>DER!G1464</f>
        <v>0.59814437865371184</v>
      </c>
      <c r="I1331" s="25">
        <f>NPM!G1464</f>
        <v>0.12818895886929552</v>
      </c>
      <c r="J1331" s="25">
        <f>ROA!G1464</f>
        <v>2.8820808533198915E-2</v>
      </c>
      <c r="K1331" s="25">
        <f>ROE!G1464</f>
        <v>4.6059813145586777E-2</v>
      </c>
      <c r="L1331" s="25">
        <f>KM!E1464</f>
        <v>0.72950000000000004</v>
      </c>
      <c r="M1331" s="24">
        <f>KI!E1464</f>
        <v>2</v>
      </c>
      <c r="N1331" s="108">
        <f>IO!E1464</f>
        <v>0</v>
      </c>
      <c r="O1331" s="24">
        <f>'BoC Size'!E1464</f>
        <v>3</v>
      </c>
      <c r="P1331" s="24">
        <f>'TMT E DK'!E1464</f>
        <v>5</v>
      </c>
      <c r="Q1331" s="24">
        <f>Data!R1464</f>
        <v>3</v>
      </c>
      <c r="R1331" s="24">
        <f>Data!S1464</f>
        <v>3</v>
      </c>
      <c r="S1331" s="24">
        <f>'TMT E DK'!E1464</f>
        <v>5</v>
      </c>
      <c r="T1331" s="24">
        <f>'TMT E DD'!E1464</f>
        <v>3</v>
      </c>
      <c r="U1331" s="24">
        <f>TA!E1464</f>
        <v>243101289401</v>
      </c>
      <c r="V1331" s="109">
        <f>PR!F1464</f>
        <v>8.137196676768077E-2</v>
      </c>
      <c r="W1331" s="109">
        <f>'Z Score'!I1464</f>
        <v>1.1178814325917026</v>
      </c>
      <c r="X1331" s="109">
        <f>'Z Score'!L1464</f>
        <v>0.7336279504159896</v>
      </c>
      <c r="Y1331" s="109">
        <f>'Z Score'!O1464</f>
        <v>0.20556708341191723</v>
      </c>
      <c r="Z1331" s="109">
        <f>'Z Score'!R1464</f>
        <v>1.7554290192667419</v>
      </c>
      <c r="AA1331" s="109">
        <f>'Z Score'!S1464</f>
        <v>3.8125054856863514</v>
      </c>
    </row>
    <row r="1332" spans="1:27" ht="15" customHeight="1" x14ac:dyDescent="0.3">
      <c r="A1332" s="22"/>
      <c r="B1332" s="23">
        <v>134</v>
      </c>
      <c r="C1332" s="2" t="s">
        <v>95</v>
      </c>
      <c r="D1332" s="23">
        <v>2015</v>
      </c>
      <c r="E1332" s="25">
        <f>'Current Ratio'!G1466</f>
        <v>0</v>
      </c>
      <c r="F1332" s="25">
        <f>'Cash Ratio'!G1466</f>
        <v>0</v>
      </c>
      <c r="G1332" s="25">
        <f>DAR!G1466</f>
        <v>0</v>
      </c>
      <c r="H1332" s="25">
        <f>DER!G1466</f>
        <v>0</v>
      </c>
      <c r="I1332" s="25">
        <f>NPM!G1466</f>
        <v>0</v>
      </c>
      <c r="J1332" s="25">
        <f>ROA!G1466</f>
        <v>0</v>
      </c>
      <c r="K1332" s="25">
        <f>ROE!G1466</f>
        <v>0</v>
      </c>
      <c r="L1332" s="25">
        <f>KM!E1466</f>
        <v>0</v>
      </c>
      <c r="M1332" s="24">
        <f>KI!E1466</f>
        <v>0</v>
      </c>
      <c r="N1332" s="108">
        <f>IO!E1466</f>
        <v>0</v>
      </c>
      <c r="O1332" s="24">
        <f>'BoC Size'!E1466</f>
        <v>0</v>
      </c>
      <c r="P1332" s="24">
        <f>'TMT E DK'!E1466</f>
        <v>0</v>
      </c>
      <c r="Q1332" s="24">
        <f>Data!R1466</f>
        <v>0</v>
      </c>
      <c r="R1332" s="24">
        <f>Data!S1466</f>
        <v>0</v>
      </c>
      <c r="S1332" s="24">
        <f>'TMT E DK'!E1466</f>
        <v>0</v>
      </c>
      <c r="T1332" s="24">
        <f>'TMT E DD'!E1466</f>
        <v>0</v>
      </c>
      <c r="U1332" s="24">
        <f>TA!E1466</f>
        <v>0</v>
      </c>
      <c r="V1332" s="109">
        <f>PR!F1466</f>
        <v>0</v>
      </c>
      <c r="W1332" s="109">
        <f>'Z Score'!I1466</f>
        <v>0</v>
      </c>
      <c r="X1332" s="109">
        <f>'Z Score'!L1466</f>
        <v>0</v>
      </c>
      <c r="Y1332" s="109">
        <f>'Z Score'!O1466</f>
        <v>0</v>
      </c>
      <c r="Z1332" s="109">
        <f>'Z Score'!R1466</f>
        <v>0</v>
      </c>
      <c r="AA1332" s="109">
        <f>'Z Score'!S1466</f>
        <v>0</v>
      </c>
    </row>
    <row r="1333" spans="1:27" ht="15" customHeight="1" x14ac:dyDescent="0.3">
      <c r="A1333" s="22"/>
      <c r="B1333" s="23"/>
      <c r="C1333" s="2"/>
      <c r="D1333" s="23">
        <v>2016</v>
      </c>
      <c r="E1333" s="25">
        <f>'Current Ratio'!G1467</f>
        <v>0</v>
      </c>
      <c r="F1333" s="25">
        <f>'Cash Ratio'!G1467</f>
        <v>0</v>
      </c>
      <c r="G1333" s="25">
        <f>DAR!G1467</f>
        <v>0</v>
      </c>
      <c r="H1333" s="25">
        <f>DER!G1467</f>
        <v>0</v>
      </c>
      <c r="I1333" s="25">
        <f>NPM!G1467</f>
        <v>0</v>
      </c>
      <c r="J1333" s="25">
        <f>ROA!G1467</f>
        <v>0</v>
      </c>
      <c r="K1333" s="25">
        <f>ROE!G1467</f>
        <v>0</v>
      </c>
      <c r="L1333" s="25">
        <f>KM!E1467</f>
        <v>0</v>
      </c>
      <c r="M1333" s="24">
        <f>KI!E1467</f>
        <v>0</v>
      </c>
      <c r="N1333" s="108">
        <f>IO!E1467</f>
        <v>0</v>
      </c>
      <c r="O1333" s="24">
        <f>'BoC Size'!E1467</f>
        <v>0</v>
      </c>
      <c r="P1333" s="24">
        <f>'TMT E DK'!E1467</f>
        <v>0</v>
      </c>
      <c r="Q1333" s="24">
        <f>Data!R1467</f>
        <v>0</v>
      </c>
      <c r="R1333" s="24">
        <f>Data!S1467</f>
        <v>0</v>
      </c>
      <c r="S1333" s="24">
        <f>'TMT E DK'!E1467</f>
        <v>0</v>
      </c>
      <c r="T1333" s="24">
        <f>'TMT E DD'!E1467</f>
        <v>0</v>
      </c>
      <c r="U1333" s="24">
        <f>TA!E1467</f>
        <v>0</v>
      </c>
      <c r="V1333" s="109">
        <f>PR!F1467</f>
        <v>0</v>
      </c>
      <c r="W1333" s="109">
        <f>'Z Score'!I1467</f>
        <v>0</v>
      </c>
      <c r="X1333" s="109">
        <f>'Z Score'!L1467</f>
        <v>0</v>
      </c>
      <c r="Y1333" s="109">
        <f>'Z Score'!O1467</f>
        <v>0</v>
      </c>
      <c r="Z1333" s="109">
        <f>'Z Score'!R1467</f>
        <v>0</v>
      </c>
      <c r="AA1333" s="109">
        <f>'Z Score'!S1467</f>
        <v>0</v>
      </c>
    </row>
    <row r="1334" spans="1:27" ht="15" customHeight="1" x14ac:dyDescent="0.3">
      <c r="A1334" s="22"/>
      <c r="B1334" s="23"/>
      <c r="C1334" s="2"/>
      <c r="D1334" s="23">
        <v>2017</v>
      </c>
      <c r="E1334" s="25">
        <f>'Current Ratio'!G1468</f>
        <v>0</v>
      </c>
      <c r="F1334" s="25">
        <f>'Cash Ratio'!G1468</f>
        <v>0</v>
      </c>
      <c r="G1334" s="25">
        <f>DAR!G1468</f>
        <v>0</v>
      </c>
      <c r="H1334" s="25">
        <f>DER!G1468</f>
        <v>0</v>
      </c>
      <c r="I1334" s="25">
        <f>NPM!G1468</f>
        <v>0</v>
      </c>
      <c r="J1334" s="25">
        <f>ROA!G1468</f>
        <v>0</v>
      </c>
      <c r="K1334" s="25">
        <f>ROE!G1468</f>
        <v>0</v>
      </c>
      <c r="L1334" s="25">
        <f>KM!E1468</f>
        <v>0</v>
      </c>
      <c r="M1334" s="24">
        <f>KI!E1468</f>
        <v>0</v>
      </c>
      <c r="N1334" s="108">
        <f>IO!E1468</f>
        <v>0</v>
      </c>
      <c r="O1334" s="24">
        <f>'BoC Size'!E1468</f>
        <v>0</v>
      </c>
      <c r="P1334" s="24">
        <f>'TMT E DK'!E1468</f>
        <v>0</v>
      </c>
      <c r="Q1334" s="24">
        <f>Data!R1468</f>
        <v>0</v>
      </c>
      <c r="R1334" s="24">
        <f>Data!S1468</f>
        <v>0</v>
      </c>
      <c r="S1334" s="24">
        <f>'TMT E DK'!E1468</f>
        <v>0</v>
      </c>
      <c r="T1334" s="24">
        <f>'TMT E DD'!E1468</f>
        <v>0</v>
      </c>
      <c r="U1334" s="24">
        <f>TA!E1468</f>
        <v>0</v>
      </c>
      <c r="V1334" s="109">
        <f>PR!F1468</f>
        <v>0</v>
      </c>
      <c r="W1334" s="109">
        <f>'Z Score'!I1468</f>
        <v>0</v>
      </c>
      <c r="X1334" s="109">
        <f>'Z Score'!L1468</f>
        <v>0</v>
      </c>
      <c r="Y1334" s="109">
        <f>'Z Score'!O1468</f>
        <v>0</v>
      </c>
      <c r="Z1334" s="109">
        <f>'Z Score'!R1468</f>
        <v>0</v>
      </c>
      <c r="AA1334" s="109">
        <f>'Z Score'!S1468</f>
        <v>0</v>
      </c>
    </row>
    <row r="1335" spans="1:27" ht="15" customHeight="1" x14ac:dyDescent="0.3">
      <c r="A1335" s="22"/>
      <c r="B1335" s="23"/>
      <c r="C1335" s="2"/>
      <c r="D1335" s="23">
        <v>2018</v>
      </c>
      <c r="E1335" s="25">
        <f>'Current Ratio'!G1469</f>
        <v>0</v>
      </c>
      <c r="F1335" s="25">
        <f>'Cash Ratio'!G1469</f>
        <v>0</v>
      </c>
      <c r="G1335" s="25">
        <f>DAR!G1469</f>
        <v>0</v>
      </c>
      <c r="H1335" s="25">
        <f>DER!G1469</f>
        <v>0</v>
      </c>
      <c r="I1335" s="25">
        <f>NPM!G1469</f>
        <v>0</v>
      </c>
      <c r="J1335" s="25">
        <f>ROA!G1469</f>
        <v>0</v>
      </c>
      <c r="K1335" s="25">
        <f>ROE!G1469</f>
        <v>0</v>
      </c>
      <c r="L1335" s="25">
        <f>KM!E1469</f>
        <v>0</v>
      </c>
      <c r="M1335" s="24">
        <f>KI!E1469</f>
        <v>0</v>
      </c>
      <c r="N1335" s="108">
        <f>IO!E1469</f>
        <v>0</v>
      </c>
      <c r="O1335" s="24">
        <f>'BoC Size'!E1469</f>
        <v>0</v>
      </c>
      <c r="P1335" s="24">
        <f>'TMT E DK'!E1469</f>
        <v>0</v>
      </c>
      <c r="Q1335" s="24">
        <f>Data!R1469</f>
        <v>0</v>
      </c>
      <c r="R1335" s="24">
        <f>Data!S1469</f>
        <v>0</v>
      </c>
      <c r="S1335" s="24">
        <f>'TMT E DK'!E1469</f>
        <v>0</v>
      </c>
      <c r="T1335" s="24">
        <f>'TMT E DD'!E1469</f>
        <v>0</v>
      </c>
      <c r="U1335" s="24">
        <f>TA!E1469</f>
        <v>0</v>
      </c>
      <c r="V1335" s="109">
        <f>PR!F1469</f>
        <v>0</v>
      </c>
      <c r="W1335" s="109">
        <f>'Z Score'!I1469</f>
        <v>0</v>
      </c>
      <c r="X1335" s="109">
        <f>'Z Score'!L1469</f>
        <v>0</v>
      </c>
      <c r="Y1335" s="109">
        <f>'Z Score'!O1469</f>
        <v>0</v>
      </c>
      <c r="Z1335" s="109">
        <f>'Z Score'!R1469</f>
        <v>0</v>
      </c>
      <c r="AA1335" s="109">
        <f>'Z Score'!S1469</f>
        <v>0</v>
      </c>
    </row>
    <row r="1336" spans="1:27" ht="15" customHeight="1" x14ac:dyDescent="0.3">
      <c r="A1336" s="22"/>
      <c r="B1336" s="23"/>
      <c r="C1336" s="2"/>
      <c r="D1336" s="23">
        <v>2019</v>
      </c>
      <c r="E1336" s="25">
        <f>'Current Ratio'!G1470</f>
        <v>0</v>
      </c>
      <c r="F1336" s="25">
        <f>'Cash Ratio'!G1470</f>
        <v>0</v>
      </c>
      <c r="G1336" s="25">
        <f>DAR!G1470</f>
        <v>0</v>
      </c>
      <c r="H1336" s="25">
        <f>DER!G1470</f>
        <v>0</v>
      </c>
      <c r="I1336" s="25">
        <f>NPM!G1470</f>
        <v>0</v>
      </c>
      <c r="J1336" s="25">
        <f>ROA!G1470</f>
        <v>0</v>
      </c>
      <c r="K1336" s="25">
        <f>ROE!G1470</f>
        <v>0</v>
      </c>
      <c r="L1336" s="25">
        <f>KM!E1470</f>
        <v>0</v>
      </c>
      <c r="M1336" s="24">
        <f>KI!E1470</f>
        <v>0</v>
      </c>
      <c r="N1336" s="108">
        <f>IO!E1470</f>
        <v>0</v>
      </c>
      <c r="O1336" s="24">
        <f>'BoC Size'!E1470</f>
        <v>0</v>
      </c>
      <c r="P1336" s="24">
        <f>'TMT E DK'!E1470</f>
        <v>0</v>
      </c>
      <c r="Q1336" s="24">
        <f>Data!R1470</f>
        <v>0</v>
      </c>
      <c r="R1336" s="24">
        <f>Data!S1470</f>
        <v>0</v>
      </c>
      <c r="S1336" s="24">
        <f>'TMT E DK'!E1470</f>
        <v>0</v>
      </c>
      <c r="T1336" s="24">
        <f>'TMT E DD'!E1470</f>
        <v>0</v>
      </c>
      <c r="U1336" s="24">
        <f>TA!E1470</f>
        <v>0</v>
      </c>
      <c r="V1336" s="109">
        <f>PR!F1470</f>
        <v>0</v>
      </c>
      <c r="W1336" s="109">
        <f>'Z Score'!I1470</f>
        <v>0</v>
      </c>
      <c r="X1336" s="109">
        <f>'Z Score'!L1470</f>
        <v>0</v>
      </c>
      <c r="Y1336" s="109">
        <f>'Z Score'!O1470</f>
        <v>0</v>
      </c>
      <c r="Z1336" s="109">
        <f>'Z Score'!R1470</f>
        <v>0</v>
      </c>
      <c r="AA1336" s="109">
        <f>'Z Score'!S1470</f>
        <v>0</v>
      </c>
    </row>
    <row r="1337" spans="1:27" ht="15" customHeight="1" x14ac:dyDescent="0.3">
      <c r="A1337" s="22"/>
      <c r="B1337" s="23"/>
      <c r="C1337" s="2"/>
      <c r="D1337" s="23">
        <v>2020</v>
      </c>
      <c r="E1337" s="25">
        <f>'Current Ratio'!G1471</f>
        <v>4.0761562475098554</v>
      </c>
      <c r="F1337" s="25">
        <f>'Cash Ratio'!G1471</f>
        <v>0</v>
      </c>
      <c r="G1337" s="25">
        <f>DAR!G1471</f>
        <v>0.47041017294701321</v>
      </c>
      <c r="H1337" s="25">
        <f>DER!G1471</f>
        <v>0.93693348969470935</v>
      </c>
      <c r="I1337" s="25">
        <f>NPM!G1471</f>
        <v>0.14602842125494381</v>
      </c>
      <c r="J1337" s="25">
        <f>ROA!G1471</f>
        <v>3.3710404773892005E-2</v>
      </c>
      <c r="K1337" s="25">
        <f>ROE!G1471</f>
        <v>6.7142270725045472E-2</v>
      </c>
      <c r="L1337" s="25">
        <f>KM!E1471</f>
        <v>0</v>
      </c>
      <c r="M1337" s="24">
        <f>KI!E1471</f>
        <v>0</v>
      </c>
      <c r="N1337" s="108">
        <f>IO!E1471</f>
        <v>0</v>
      </c>
      <c r="O1337" s="24">
        <f>'BoC Size'!E1471</f>
        <v>0</v>
      </c>
      <c r="P1337" s="24">
        <f>'TMT E DK'!E1471</f>
        <v>0</v>
      </c>
      <c r="Q1337" s="24">
        <f>Data!R1471</f>
        <v>0</v>
      </c>
      <c r="R1337" s="24">
        <f>Data!S1471</f>
        <v>0</v>
      </c>
      <c r="S1337" s="24">
        <f>'TMT E DK'!E1471</f>
        <v>0</v>
      </c>
      <c r="T1337" s="24">
        <f>'TMT E DD'!E1471</f>
        <v>0</v>
      </c>
      <c r="U1337" s="24">
        <f>TA!E1471</f>
        <v>9083071000000</v>
      </c>
      <c r="V1337" s="109">
        <f>PR!F1471</f>
        <v>0</v>
      </c>
      <c r="W1337" s="109">
        <f>'Z Score'!I1471</f>
        <v>1.8958930696457177</v>
      </c>
      <c r="X1337" s="109">
        <f>'Z Score'!L1471</f>
        <v>0.36867034948862559</v>
      </c>
      <c r="Y1337" s="109">
        <f>'Z Score'!O1471</f>
        <v>0.28711406527594024</v>
      </c>
      <c r="Z1337" s="109">
        <f>'Z Score'!R1471</f>
        <v>1.1206772001950025</v>
      </c>
      <c r="AA1337" s="109">
        <f>'Z Score'!S1471</f>
        <v>3.6723546846052857</v>
      </c>
    </row>
    <row r="1338" spans="1:27" ht="15" customHeight="1" x14ac:dyDescent="0.3">
      <c r="A1338" s="22"/>
      <c r="B1338" s="23"/>
      <c r="C1338" s="2"/>
      <c r="D1338" s="23">
        <v>2021</v>
      </c>
      <c r="E1338" s="25">
        <f>'Current Ratio'!G1472</f>
        <v>2.2158584265493295</v>
      </c>
      <c r="F1338" s="25">
        <f>'Cash Ratio'!G1472</f>
        <v>0</v>
      </c>
      <c r="G1338" s="25">
        <f>DAR!G1472</f>
        <v>0.4729997251708582</v>
      </c>
      <c r="H1338" s="25">
        <f>DER!G1472</f>
        <v>0.95475287191667513</v>
      </c>
      <c r="I1338" s="25">
        <f>NPM!G1472</f>
        <v>0.11239519995132149</v>
      </c>
      <c r="J1338" s="25">
        <f>ROA!G1472</f>
        <v>2.3680405185834748E-2</v>
      </c>
      <c r="K1338" s="25">
        <f>ROE!G1472</f>
        <v>4.7799044388787744E-2</v>
      </c>
      <c r="L1338" s="25">
        <f>KM!E1472</f>
        <v>0.8</v>
      </c>
      <c r="M1338" s="24">
        <f>KI!E1472</f>
        <v>3</v>
      </c>
      <c r="N1338" s="108">
        <f>IO!E1472</f>
        <v>0</v>
      </c>
      <c r="O1338" s="24">
        <f>'BoC Size'!E1472</f>
        <v>6</v>
      </c>
      <c r="P1338" s="24">
        <f>'TMT E DK'!E1472</f>
        <v>0</v>
      </c>
      <c r="Q1338" s="24">
        <f>Data!R1472</f>
        <v>6</v>
      </c>
      <c r="R1338" s="24">
        <f>Data!S1472</f>
        <v>6</v>
      </c>
      <c r="S1338" s="24">
        <f>'TMT E DK'!E1472</f>
        <v>0</v>
      </c>
      <c r="T1338" s="24">
        <f>'TMT E DD'!E1472</f>
        <v>0</v>
      </c>
      <c r="U1338" s="24">
        <f>TA!E1472</f>
        <v>8736337000000</v>
      </c>
      <c r="V1338" s="109">
        <f>PR!F1472</f>
        <v>-0.12216790163729588</v>
      </c>
      <c r="W1338" s="109">
        <f>'Z Score'!I1472</f>
        <v>1.3777113039480962</v>
      </c>
      <c r="X1338" s="109">
        <f>'Z Score'!L1472</f>
        <v>0.40174143923248379</v>
      </c>
      <c r="Y1338" s="109">
        <f>'Z Score'!O1472</f>
        <v>0.1821445120535071</v>
      </c>
      <c r="Z1338" s="109">
        <f>'Z Score'!R1472</f>
        <v>1.0997610280994656</v>
      </c>
      <c r="AA1338" s="109">
        <f>'Z Score'!S1472</f>
        <v>3.0613582833335524</v>
      </c>
    </row>
    <row r="1339" spans="1:27" ht="15" customHeight="1" x14ac:dyDescent="0.3">
      <c r="A1339" s="22"/>
      <c r="B1339" s="23"/>
      <c r="C1339" s="2"/>
      <c r="D1339" s="23">
        <v>2022</v>
      </c>
      <c r="E1339" s="25">
        <f>'Current Ratio'!G1473</f>
        <v>5.1557911096056905</v>
      </c>
      <c r="F1339" s="25">
        <f>'Cash Ratio'!G1473</f>
        <v>0.1106892868035748</v>
      </c>
      <c r="G1339" s="25">
        <f>DAR!G1473</f>
        <v>0.48005134130890359</v>
      </c>
      <c r="H1339" s="25">
        <f>DER!G1473</f>
        <v>0.98654423575365968</v>
      </c>
      <c r="I1339" s="25">
        <f>NPM!G1473</f>
        <v>8.5527791460070307E-2</v>
      </c>
      <c r="J1339" s="25">
        <f>ROA!G1473</f>
        <v>1.6848795604214064E-2</v>
      </c>
      <c r="K1339" s="25">
        <f>ROE!G1473</f>
        <v>3.4625634286131496E-2</v>
      </c>
      <c r="L1339" s="25">
        <f>KM!E1473</f>
        <v>0.8</v>
      </c>
      <c r="M1339" s="24">
        <f>KI!E1473</f>
        <v>5</v>
      </c>
      <c r="N1339" s="108">
        <f>IO!E1473</f>
        <v>0</v>
      </c>
      <c r="O1339" s="24">
        <f>'BoC Size'!E1473</f>
        <v>8</v>
      </c>
      <c r="P1339" s="24">
        <f>'TMT E DK'!E1473</f>
        <v>0</v>
      </c>
      <c r="Q1339" s="24">
        <f>Data!R1473</f>
        <v>8</v>
      </c>
      <c r="R1339" s="24">
        <f>Data!S1473</f>
        <v>6</v>
      </c>
      <c r="S1339" s="24">
        <f>'TMT E DK'!E1473</f>
        <v>0</v>
      </c>
      <c r="T1339" s="24">
        <f>'TMT E DD'!E1473</f>
        <v>0</v>
      </c>
      <c r="U1339" s="24">
        <f>TA!E1473</f>
        <v>9007172000000</v>
      </c>
      <c r="V1339" s="109">
        <f>PR!F1473</f>
        <v>-3.5994932219522692E-2</v>
      </c>
      <c r="W1339" s="109">
        <f>'Z Score'!I1473</f>
        <v>1.9747903115428462</v>
      </c>
      <c r="X1339" s="109">
        <f>'Z Score'!L1473</f>
        <v>0.42932515111291308</v>
      </c>
      <c r="Y1339" s="109">
        <f>'Z Score'!O1473</f>
        <v>0.197351745919807</v>
      </c>
      <c r="Z1339" s="109">
        <f>'Z Score'!R1473</f>
        <v>1.0643212559017832</v>
      </c>
      <c r="AA1339" s="109">
        <f>'Z Score'!S1473</f>
        <v>3.66578846447735</v>
      </c>
    </row>
    <row r="1340" spans="1:27" ht="15" customHeight="1" x14ac:dyDescent="0.3">
      <c r="A1340" s="22"/>
      <c r="B1340" s="23"/>
      <c r="C1340" s="2"/>
      <c r="D1340" s="23">
        <v>2023</v>
      </c>
      <c r="E1340" s="25">
        <f>'Current Ratio'!G1474</f>
        <v>4.8596360869922615</v>
      </c>
      <c r="F1340" s="25">
        <f>'Cash Ratio'!G1474</f>
        <v>0.12579965604112034</v>
      </c>
      <c r="G1340" s="25">
        <f>DAR!G1474</f>
        <v>0.4894078078999391</v>
      </c>
      <c r="H1340" s="25">
        <f>DER!G1474</f>
        <v>1.0328797885245968</v>
      </c>
      <c r="I1340" s="25">
        <f>NPM!G1474</f>
        <v>4.8522430362798311E-2</v>
      </c>
      <c r="J1340" s="25">
        <f>ROA!G1474</f>
        <v>1.0584283841065228E-2</v>
      </c>
      <c r="K1340" s="25">
        <f>ROE!G1474</f>
        <v>2.2337798210360593E-2</v>
      </c>
      <c r="L1340" s="25">
        <f>KM!E1474</f>
        <v>0.8</v>
      </c>
      <c r="M1340" s="24">
        <f>KI!E1474</f>
        <v>5</v>
      </c>
      <c r="N1340" s="108">
        <f>IO!E1474</f>
        <v>0</v>
      </c>
      <c r="O1340" s="24">
        <f>'BoC Size'!E1474</f>
        <v>8</v>
      </c>
      <c r="P1340" s="24">
        <f>'TMT E DK'!E1474</f>
        <v>0</v>
      </c>
      <c r="Q1340" s="24">
        <f>Data!R1474</f>
        <v>8</v>
      </c>
      <c r="R1340" s="24">
        <f>Data!S1474</f>
        <v>5</v>
      </c>
      <c r="S1340" s="24">
        <f>'TMT E DK'!E1474</f>
        <v>0</v>
      </c>
      <c r="T1340" s="24">
        <f>'TMT E DD'!E1474</f>
        <v>0</v>
      </c>
      <c r="U1340" s="24">
        <f>TA!E1474</f>
        <v>9230856000000</v>
      </c>
      <c r="V1340" s="109">
        <f>PR!F1474</f>
        <v>0.13477784528126222</v>
      </c>
      <c r="W1340" s="109">
        <f>'Z Score'!I1474</f>
        <v>1.7017513782037115</v>
      </c>
      <c r="X1340" s="109">
        <f>'Z Score'!L1474</f>
        <v>0.41143494601150743</v>
      </c>
      <c r="Y1340" s="109">
        <f>'Z Score'!O1474</f>
        <v>6.0553742794817726E-2</v>
      </c>
      <c r="Z1340" s="109">
        <f>'Z Score'!R1474</f>
        <v>1.0165752216914403</v>
      </c>
      <c r="AA1340" s="109">
        <f>'Z Score'!S1474</f>
        <v>3.190315288701477</v>
      </c>
    </row>
    <row r="1341" spans="1:27" ht="15" customHeight="1" x14ac:dyDescent="0.3">
      <c r="A1341" s="22"/>
      <c r="B1341" s="23"/>
      <c r="C1341" s="2"/>
      <c r="D1341" s="23">
        <v>2024</v>
      </c>
      <c r="E1341" s="25">
        <f>'Current Ratio'!G1475</f>
        <v>4.0339090077615527</v>
      </c>
      <c r="F1341" s="25">
        <f>'Cash Ratio'!G1475</f>
        <v>0.18915279866119591</v>
      </c>
      <c r="G1341" s="25">
        <f>DAR!G1475</f>
        <v>0.48528302517880567</v>
      </c>
      <c r="H1341" s="25">
        <f>DER!G1475</f>
        <v>1.021692032231206</v>
      </c>
      <c r="I1341" s="25">
        <f>NPM!G1475</f>
        <v>4.7921181440629207E-2</v>
      </c>
      <c r="J1341" s="25">
        <f>ROA!G1475</f>
        <v>1.2509750210227183E-2</v>
      </c>
      <c r="K1341" s="25">
        <f>ROE!G1475</f>
        <v>2.6337439085742764E-2</v>
      </c>
      <c r="L1341" s="25">
        <f>KM!E1475</f>
        <v>0.8</v>
      </c>
      <c r="M1341" s="24">
        <f>KI!E1475</f>
        <v>3</v>
      </c>
      <c r="N1341" s="108">
        <f>IO!E1475</f>
        <v>0</v>
      </c>
      <c r="O1341" s="24">
        <f>'BoC Size'!E1475</f>
        <v>6</v>
      </c>
      <c r="P1341" s="24">
        <f>'TMT E DK'!E1475</f>
        <v>0</v>
      </c>
      <c r="Q1341" s="24">
        <f>Data!R1475</f>
        <v>6</v>
      </c>
      <c r="R1341" s="24">
        <f>Data!S1475</f>
        <v>5</v>
      </c>
      <c r="S1341" s="24">
        <f>'TMT E DK'!E1475</f>
        <v>0</v>
      </c>
      <c r="T1341" s="24">
        <f>'TMT E DD'!E1475</f>
        <v>0</v>
      </c>
      <c r="U1341" s="24">
        <f>TA!E1475</f>
        <v>9328004000000</v>
      </c>
      <c r="V1341" s="109">
        <f>PR!F1475</f>
        <v>0.2093414444091832</v>
      </c>
      <c r="W1341" s="109">
        <f>'Z Score'!I1475</f>
        <v>1.5069821325119501</v>
      </c>
      <c r="X1341" s="109">
        <f>'Z Score'!L1475</f>
        <v>0.44388508624138662</v>
      </c>
      <c r="Y1341" s="109">
        <f>'Z Score'!O1475</f>
        <v>0.12280564202159432</v>
      </c>
      <c r="Z1341" s="109">
        <f>'Z Score'!R1475</f>
        <v>1.0277069477648506</v>
      </c>
      <c r="AA1341" s="109">
        <f>'Z Score'!S1475</f>
        <v>3.1013798085397815</v>
      </c>
    </row>
    <row r="1342" spans="1:27" ht="15" customHeight="1" x14ac:dyDescent="0.3">
      <c r="A1342" s="22"/>
      <c r="B1342" s="23">
        <v>135</v>
      </c>
      <c r="C1342" s="1" t="s">
        <v>133</v>
      </c>
      <c r="D1342" s="23">
        <v>2015</v>
      </c>
      <c r="E1342" s="25">
        <f>'Current Ratio'!G1477</f>
        <v>0</v>
      </c>
      <c r="F1342" s="25">
        <f>'Cash Ratio'!G1477</f>
        <v>0</v>
      </c>
      <c r="G1342" s="25">
        <f>DAR!G1477</f>
        <v>0</v>
      </c>
      <c r="H1342" s="25">
        <f>DER!G1477</f>
        <v>0</v>
      </c>
      <c r="I1342" s="25">
        <f>NPM!G1477</f>
        <v>0</v>
      </c>
      <c r="J1342" s="25">
        <f>ROA!G1477</f>
        <v>0</v>
      </c>
      <c r="K1342" s="25">
        <f>ROE!G1477</f>
        <v>0</v>
      </c>
      <c r="L1342" s="25">
        <f>KM!E1477</f>
        <v>0</v>
      </c>
      <c r="M1342" s="24">
        <f>KI!E1477</f>
        <v>0</v>
      </c>
      <c r="N1342" s="108">
        <f>IO!E1477</f>
        <v>0</v>
      </c>
      <c r="O1342" s="24">
        <f>'BoC Size'!E1477</f>
        <v>0</v>
      </c>
      <c r="P1342" s="24">
        <f>'TMT E DK'!E1477</f>
        <v>0</v>
      </c>
      <c r="Q1342" s="24">
        <f>Data!R1477</f>
        <v>0</v>
      </c>
      <c r="R1342" s="24">
        <f>Data!S1477</f>
        <v>0</v>
      </c>
      <c r="S1342" s="24">
        <f>'TMT E DK'!E1477</f>
        <v>0</v>
      </c>
      <c r="T1342" s="24">
        <f>'TMT E DD'!E1477</f>
        <v>0</v>
      </c>
      <c r="U1342" s="24">
        <f>TA!E1477</f>
        <v>0</v>
      </c>
      <c r="V1342" s="109">
        <f>PR!F1477</f>
        <v>0</v>
      </c>
      <c r="W1342" s="109">
        <f>'Z Score'!I1477</f>
        <v>0</v>
      </c>
      <c r="X1342" s="109">
        <f>'Z Score'!L1477</f>
        <v>0</v>
      </c>
      <c r="Y1342" s="109">
        <f>'Z Score'!O1477</f>
        <v>0</v>
      </c>
      <c r="Z1342" s="109">
        <f>'Z Score'!R1477</f>
        <v>0</v>
      </c>
      <c r="AA1342" s="109">
        <f>'Z Score'!S1477</f>
        <v>0</v>
      </c>
    </row>
    <row r="1343" spans="1:27" ht="15" customHeight="1" x14ac:dyDescent="0.3">
      <c r="A1343" s="22"/>
      <c r="B1343" s="23"/>
      <c r="C1343" s="1"/>
      <c r="D1343" s="23">
        <v>2016</v>
      </c>
      <c r="E1343" s="25">
        <f>'Current Ratio'!G1478</f>
        <v>0</v>
      </c>
      <c r="F1343" s="25">
        <f>'Cash Ratio'!G1478</f>
        <v>0</v>
      </c>
      <c r="G1343" s="25">
        <f>DAR!G1478</f>
        <v>0</v>
      </c>
      <c r="H1343" s="25">
        <f>DER!G1478</f>
        <v>0</v>
      </c>
      <c r="I1343" s="25">
        <f>NPM!G1478</f>
        <v>0</v>
      </c>
      <c r="J1343" s="25">
        <f>ROA!G1478</f>
        <v>0</v>
      </c>
      <c r="K1343" s="25">
        <f>ROE!G1478</f>
        <v>0</v>
      </c>
      <c r="L1343" s="25">
        <f>KM!E1478</f>
        <v>0</v>
      </c>
      <c r="M1343" s="24">
        <f>KI!E1478</f>
        <v>0</v>
      </c>
      <c r="N1343" s="108">
        <f>IO!E1478</f>
        <v>0</v>
      </c>
      <c r="O1343" s="24">
        <f>'BoC Size'!E1478</f>
        <v>0</v>
      </c>
      <c r="P1343" s="24">
        <f>'TMT E DK'!E1478</f>
        <v>0</v>
      </c>
      <c r="Q1343" s="24">
        <f>Data!R1478</f>
        <v>0</v>
      </c>
      <c r="R1343" s="24">
        <f>Data!S1478</f>
        <v>0</v>
      </c>
      <c r="S1343" s="24">
        <f>'TMT E DK'!E1478</f>
        <v>0</v>
      </c>
      <c r="T1343" s="24">
        <f>'TMT E DD'!E1478</f>
        <v>0</v>
      </c>
      <c r="U1343" s="24">
        <f>TA!E1478</f>
        <v>0</v>
      </c>
      <c r="V1343" s="109">
        <f>PR!F1478</f>
        <v>0</v>
      </c>
      <c r="W1343" s="109">
        <f>'Z Score'!I1478</f>
        <v>0</v>
      </c>
      <c r="X1343" s="109">
        <f>'Z Score'!L1478</f>
        <v>0</v>
      </c>
      <c r="Y1343" s="109">
        <f>'Z Score'!O1478</f>
        <v>0</v>
      </c>
      <c r="Z1343" s="109">
        <f>'Z Score'!R1478</f>
        <v>0</v>
      </c>
      <c r="AA1343" s="109">
        <f>'Z Score'!S1478</f>
        <v>0</v>
      </c>
    </row>
    <row r="1344" spans="1:27" ht="15" customHeight="1" x14ac:dyDescent="0.3">
      <c r="A1344" s="22"/>
      <c r="B1344" s="23"/>
      <c r="C1344" s="1"/>
      <c r="D1344" s="23">
        <v>2017</v>
      </c>
      <c r="E1344" s="25">
        <f>'Current Ratio'!G1479</f>
        <v>0</v>
      </c>
      <c r="F1344" s="25">
        <f>'Cash Ratio'!G1479</f>
        <v>0</v>
      </c>
      <c r="G1344" s="25">
        <f>DAR!G1479</f>
        <v>0</v>
      </c>
      <c r="H1344" s="25">
        <f>DER!G1479</f>
        <v>0</v>
      </c>
      <c r="I1344" s="25">
        <f>NPM!G1479</f>
        <v>0</v>
      </c>
      <c r="J1344" s="25">
        <f>ROA!G1479</f>
        <v>0</v>
      </c>
      <c r="K1344" s="25">
        <f>ROE!G1479</f>
        <v>0</v>
      </c>
      <c r="L1344" s="25">
        <f>KM!E1479</f>
        <v>0</v>
      </c>
      <c r="M1344" s="24">
        <f>KI!E1479</f>
        <v>0</v>
      </c>
      <c r="N1344" s="108">
        <f>IO!E1479</f>
        <v>0</v>
      </c>
      <c r="O1344" s="24">
        <f>'BoC Size'!E1479</f>
        <v>0</v>
      </c>
      <c r="P1344" s="24">
        <f>'TMT E DK'!E1479</f>
        <v>0</v>
      </c>
      <c r="Q1344" s="24">
        <f>Data!R1479</f>
        <v>0</v>
      </c>
      <c r="R1344" s="24">
        <f>Data!S1479</f>
        <v>0</v>
      </c>
      <c r="S1344" s="24">
        <f>'TMT E DK'!E1479</f>
        <v>0</v>
      </c>
      <c r="T1344" s="24">
        <f>'TMT E DD'!E1479</f>
        <v>0</v>
      </c>
      <c r="U1344" s="24">
        <f>TA!E1479</f>
        <v>0</v>
      </c>
      <c r="V1344" s="109">
        <f>PR!F1479</f>
        <v>0</v>
      </c>
      <c r="W1344" s="109">
        <f>'Z Score'!I1479</f>
        <v>0</v>
      </c>
      <c r="X1344" s="109">
        <f>'Z Score'!L1479</f>
        <v>0</v>
      </c>
      <c r="Y1344" s="109">
        <f>'Z Score'!O1479</f>
        <v>0</v>
      </c>
      <c r="Z1344" s="109">
        <f>'Z Score'!R1479</f>
        <v>0</v>
      </c>
      <c r="AA1344" s="109">
        <f>'Z Score'!S1479</f>
        <v>0</v>
      </c>
    </row>
    <row r="1345" spans="1:27" ht="15" customHeight="1" x14ac:dyDescent="0.3">
      <c r="A1345" s="22"/>
      <c r="B1345" s="23"/>
      <c r="C1345" s="1"/>
      <c r="D1345" s="23">
        <v>2018</v>
      </c>
      <c r="E1345" s="25">
        <f>'Current Ratio'!G1480</f>
        <v>0</v>
      </c>
      <c r="F1345" s="25">
        <f>'Cash Ratio'!G1480</f>
        <v>0</v>
      </c>
      <c r="G1345" s="25">
        <f>DAR!G1480</f>
        <v>0</v>
      </c>
      <c r="H1345" s="25">
        <f>DER!G1480</f>
        <v>0</v>
      </c>
      <c r="I1345" s="25">
        <f>NPM!G1480</f>
        <v>0</v>
      </c>
      <c r="J1345" s="25">
        <f>ROA!G1480</f>
        <v>0</v>
      </c>
      <c r="K1345" s="25">
        <f>ROE!G1480</f>
        <v>0</v>
      </c>
      <c r="L1345" s="25">
        <f>KM!E1480</f>
        <v>0</v>
      </c>
      <c r="M1345" s="24">
        <f>KI!E1480</f>
        <v>0</v>
      </c>
      <c r="N1345" s="108">
        <f>IO!E1480</f>
        <v>0</v>
      </c>
      <c r="O1345" s="24">
        <f>'BoC Size'!E1480</f>
        <v>0</v>
      </c>
      <c r="P1345" s="24">
        <f>'TMT E DK'!E1480</f>
        <v>0</v>
      </c>
      <c r="Q1345" s="24">
        <f>Data!R1480</f>
        <v>0</v>
      </c>
      <c r="R1345" s="24">
        <f>Data!S1480</f>
        <v>0</v>
      </c>
      <c r="S1345" s="24">
        <f>'TMT E DK'!E1480</f>
        <v>0</v>
      </c>
      <c r="T1345" s="24">
        <f>'TMT E DD'!E1480</f>
        <v>0</v>
      </c>
      <c r="U1345" s="24">
        <f>TA!E1480</f>
        <v>0</v>
      </c>
      <c r="V1345" s="109">
        <f>PR!F1480</f>
        <v>0</v>
      </c>
      <c r="W1345" s="109">
        <f>'Z Score'!I1480</f>
        <v>0</v>
      </c>
      <c r="X1345" s="109">
        <f>'Z Score'!L1480</f>
        <v>0</v>
      </c>
      <c r="Y1345" s="109">
        <f>'Z Score'!O1480</f>
        <v>0</v>
      </c>
      <c r="Z1345" s="109">
        <f>'Z Score'!R1480</f>
        <v>0</v>
      </c>
      <c r="AA1345" s="109">
        <f>'Z Score'!S1480</f>
        <v>0</v>
      </c>
    </row>
    <row r="1346" spans="1:27" ht="15" customHeight="1" x14ac:dyDescent="0.3">
      <c r="A1346" s="22"/>
      <c r="B1346" s="23"/>
      <c r="C1346" s="1"/>
      <c r="D1346" s="23">
        <v>2019</v>
      </c>
      <c r="E1346" s="25">
        <f>'Current Ratio'!G1481</f>
        <v>0</v>
      </c>
      <c r="F1346" s="25">
        <f>'Cash Ratio'!G1481</f>
        <v>0</v>
      </c>
      <c r="G1346" s="25">
        <f>DAR!G1481</f>
        <v>0</v>
      </c>
      <c r="H1346" s="25">
        <f>DER!G1481</f>
        <v>0</v>
      </c>
      <c r="I1346" s="25">
        <f>NPM!G1481</f>
        <v>0</v>
      </c>
      <c r="J1346" s="25">
        <f>ROA!G1481</f>
        <v>0</v>
      </c>
      <c r="K1346" s="25">
        <f>ROE!G1481</f>
        <v>0</v>
      </c>
      <c r="L1346" s="25">
        <f>KM!E1481</f>
        <v>0</v>
      </c>
      <c r="M1346" s="24">
        <f>KI!E1481</f>
        <v>0</v>
      </c>
      <c r="N1346" s="108">
        <f>IO!E1481</f>
        <v>0</v>
      </c>
      <c r="O1346" s="24">
        <f>'BoC Size'!E1481</f>
        <v>0</v>
      </c>
      <c r="P1346" s="24">
        <f>'TMT E DK'!E1481</f>
        <v>0</v>
      </c>
      <c r="Q1346" s="24">
        <f>Data!R1481</f>
        <v>0</v>
      </c>
      <c r="R1346" s="24">
        <f>Data!S1481</f>
        <v>0</v>
      </c>
      <c r="S1346" s="24">
        <f>'TMT E DK'!E1481</f>
        <v>0</v>
      </c>
      <c r="T1346" s="24">
        <f>'TMT E DD'!E1481</f>
        <v>0</v>
      </c>
      <c r="U1346" s="24">
        <f>TA!E1481</f>
        <v>0</v>
      </c>
      <c r="V1346" s="109">
        <f>PR!F1481</f>
        <v>0</v>
      </c>
      <c r="W1346" s="109">
        <f>'Z Score'!I1481</f>
        <v>0</v>
      </c>
      <c r="X1346" s="109">
        <f>'Z Score'!L1481</f>
        <v>0</v>
      </c>
      <c r="Y1346" s="109">
        <f>'Z Score'!O1481</f>
        <v>0</v>
      </c>
      <c r="Z1346" s="109">
        <f>'Z Score'!R1481</f>
        <v>0</v>
      </c>
      <c r="AA1346" s="109">
        <f>'Z Score'!S1481</f>
        <v>0</v>
      </c>
    </row>
    <row r="1347" spans="1:27" ht="15" customHeight="1" x14ac:dyDescent="0.3">
      <c r="A1347" s="22"/>
      <c r="B1347" s="23"/>
      <c r="C1347" s="1"/>
      <c r="D1347" s="23">
        <v>2020</v>
      </c>
      <c r="E1347" s="25">
        <f>'Current Ratio'!G1482</f>
        <v>4.0367996833507247</v>
      </c>
      <c r="F1347" s="25">
        <f>'Cash Ratio'!G1482</f>
        <v>3.9165305314670218</v>
      </c>
      <c r="G1347" s="25">
        <f>DAR!G1482</f>
        <v>0.3936710666833847</v>
      </c>
      <c r="H1347" s="25">
        <f>DER!G1482</f>
        <v>0.87319106144945247</v>
      </c>
      <c r="I1347" s="25">
        <f>NPM!G1482</f>
        <v>0.15202048362483861</v>
      </c>
      <c r="J1347" s="25">
        <f>ROA!G1482</f>
        <v>1.2798569989419454E-2</v>
      </c>
      <c r="K1347" s="25">
        <f>ROE!G1482</f>
        <v>2.8388159201662655E-2</v>
      </c>
      <c r="L1347" s="25">
        <f>KM!E1482</f>
        <v>0</v>
      </c>
      <c r="M1347" s="24">
        <f>KI!E1482</f>
        <v>0</v>
      </c>
      <c r="N1347" s="108">
        <f>IO!E1482</f>
        <v>0</v>
      </c>
      <c r="O1347" s="24">
        <f>'BoC Size'!E1482</f>
        <v>0</v>
      </c>
      <c r="P1347" s="24">
        <f>'TMT E DK'!E1482</f>
        <v>0</v>
      </c>
      <c r="Q1347" s="24">
        <f>Data!R1482</f>
        <v>0</v>
      </c>
      <c r="R1347" s="24">
        <f>Data!S1482</f>
        <v>0</v>
      </c>
      <c r="S1347" s="24">
        <f>'TMT E DK'!E1482</f>
        <v>0</v>
      </c>
      <c r="T1347" s="24">
        <f>'TMT E DD'!E1482</f>
        <v>0</v>
      </c>
      <c r="U1347" s="24">
        <f>TA!E1482</f>
        <v>1619009000000</v>
      </c>
      <c r="V1347" s="109">
        <f>PR!F1482</f>
        <v>0</v>
      </c>
      <c r="W1347" s="109">
        <f>'Z Score'!I1482</f>
        <v>3.4195967533225571</v>
      </c>
      <c r="X1347" s="109">
        <f>'Z Score'!L1482</f>
        <v>-0.25309661651047027</v>
      </c>
      <c r="Y1347" s="109">
        <f>'Z Score'!O1482</f>
        <v>0.10356379735998997</v>
      </c>
      <c r="Z1347" s="109">
        <f>'Z Score'!R1482</f>
        <v>1.202485969401764</v>
      </c>
      <c r="AA1347" s="109">
        <f>'Z Score'!S1482</f>
        <v>4.4725499035738405</v>
      </c>
    </row>
    <row r="1348" spans="1:27" ht="15" customHeight="1" x14ac:dyDescent="0.3">
      <c r="A1348" s="22"/>
      <c r="B1348" s="23"/>
      <c r="C1348" s="1"/>
      <c r="D1348" s="23">
        <v>2021</v>
      </c>
      <c r="E1348" s="25">
        <f>'Current Ratio'!G1483</f>
        <v>3.1724164565939428</v>
      </c>
      <c r="F1348" s="25">
        <f>'Cash Ratio'!G1483</f>
        <v>2.8421189374416302</v>
      </c>
      <c r="G1348" s="25">
        <f>DAR!G1483</f>
        <v>0.46084639222937612</v>
      </c>
      <c r="H1348" s="25">
        <f>DER!G1483</f>
        <v>1.5563660020206198</v>
      </c>
      <c r="I1348" s="25">
        <f>NPM!G1483</f>
        <v>0</v>
      </c>
      <c r="J1348" s="25">
        <f>ROA!G1483</f>
        <v>-1.865159223399222E-2</v>
      </c>
      <c r="K1348" s="25">
        <f>ROE!G1483</f>
        <v>-6.2989977845131773E-2</v>
      </c>
      <c r="L1348" s="25">
        <f>KM!E1483</f>
        <v>0.99729999999999996</v>
      </c>
      <c r="M1348" s="24">
        <f>KI!E1483</f>
        <v>3</v>
      </c>
      <c r="N1348" s="108">
        <f>IO!E1483</f>
        <v>0</v>
      </c>
      <c r="O1348" s="24">
        <f>'BoC Size'!E1483</f>
        <v>4</v>
      </c>
      <c r="P1348" s="24">
        <f>'TMT E DK'!E1483</f>
        <v>0</v>
      </c>
      <c r="Q1348" s="24">
        <f>Data!R1483</f>
        <v>4</v>
      </c>
      <c r="R1348" s="24">
        <f>Data!S1483</f>
        <v>3</v>
      </c>
      <c r="S1348" s="24">
        <f>'TMT E DK'!E1483</f>
        <v>0</v>
      </c>
      <c r="T1348" s="24">
        <f>'TMT E DD'!E1483</f>
        <v>0</v>
      </c>
      <c r="U1348" s="24">
        <f>TA!E1483</f>
        <v>1126499000000</v>
      </c>
      <c r="V1348" s="109">
        <f>PR!F1483</f>
        <v>0</v>
      </c>
      <c r="W1348" s="109">
        <f>'Z Score'!I1483</f>
        <v>1.801605292148506</v>
      </c>
      <c r="X1348" s="109">
        <f>'Z Score'!L1483</f>
        <v>-1.5170603613496327</v>
      </c>
      <c r="Y1348" s="109">
        <f>'Z Score'!O1483</f>
        <v>-0.11021048398622633</v>
      </c>
      <c r="Z1348" s="109">
        <f>'Z Score'!R1483</f>
        <v>0.67464850725137393</v>
      </c>
      <c r="AA1348" s="109">
        <f>'Z Score'!S1483</f>
        <v>0.8489829540640208</v>
      </c>
    </row>
    <row r="1349" spans="1:27" ht="15" customHeight="1" x14ac:dyDescent="0.3">
      <c r="A1349" s="22"/>
      <c r="B1349" s="23"/>
      <c r="C1349" s="1"/>
      <c r="D1349" s="23">
        <v>2022</v>
      </c>
      <c r="E1349" s="25">
        <f>'Current Ratio'!G1484</f>
        <v>1.9280306490352324</v>
      </c>
      <c r="F1349" s="25">
        <f>'Cash Ratio'!G1484</f>
        <v>1.4986217606000849</v>
      </c>
      <c r="G1349" s="25">
        <f>DAR!G1484</f>
        <v>0.5181960587665646</v>
      </c>
      <c r="H1349" s="25">
        <f>DER!G1484</f>
        <v>2.0605540446601704</v>
      </c>
      <c r="I1349" s="25">
        <f>NPM!G1484</f>
        <v>2.7656439545792961E-2</v>
      </c>
      <c r="J1349" s="25">
        <f>ROA!G1484</f>
        <v>4.0729605868988989E-3</v>
      </c>
      <c r="K1349" s="25">
        <f>ROE!G1484</f>
        <v>1.6195714477358927E-2</v>
      </c>
      <c r="L1349" s="25">
        <f>KM!E1484</f>
        <v>0.99729999999999996</v>
      </c>
      <c r="M1349" s="24">
        <f>KI!E1484</f>
        <v>2</v>
      </c>
      <c r="N1349" s="108">
        <f>IO!E1484</f>
        <v>0</v>
      </c>
      <c r="O1349" s="24">
        <f>'BoC Size'!E1484</f>
        <v>3</v>
      </c>
      <c r="P1349" s="24">
        <f>'TMT E DK'!E1484</f>
        <v>0</v>
      </c>
      <c r="Q1349" s="24">
        <f>Data!R1484</f>
        <v>3</v>
      </c>
      <c r="R1349" s="24">
        <f>Data!S1484</f>
        <v>3</v>
      </c>
      <c r="S1349" s="24">
        <f>'TMT E DK'!E1484</f>
        <v>0</v>
      </c>
      <c r="T1349" s="24">
        <f>'TMT E DD'!E1484</f>
        <v>0</v>
      </c>
      <c r="U1349" s="24">
        <f>TA!E1484</f>
        <v>1304211000000</v>
      </c>
      <c r="V1349" s="109">
        <f>PR!F1484</f>
        <v>0</v>
      </c>
      <c r="W1349" s="109">
        <f>'Z Score'!I1484</f>
        <v>0.86872237697734478</v>
      </c>
      <c r="X1349" s="109">
        <f>'Z Score'!L1484</f>
        <v>-1.2936256786670253</v>
      </c>
      <c r="Y1349" s="109">
        <f>'Z Score'!O1484</f>
        <v>2.73702951439606E-2</v>
      </c>
      <c r="Z1349" s="109">
        <f>'Z Score'!R1484</f>
        <v>0.50957168666409203</v>
      </c>
      <c r="AA1349" s="109">
        <f>'Z Score'!S1484</f>
        <v>0.11203868011837215</v>
      </c>
    </row>
    <row r="1350" spans="1:27" ht="15" customHeight="1" x14ac:dyDescent="0.3">
      <c r="A1350" s="22"/>
      <c r="B1350" s="23"/>
      <c r="C1350" s="1"/>
      <c r="D1350" s="23">
        <v>2023</v>
      </c>
      <c r="E1350" s="25">
        <f>'Current Ratio'!G1485</f>
        <v>1.3506944724347245</v>
      </c>
      <c r="F1350" s="25">
        <f>'Cash Ratio'!G1485</f>
        <v>0.9909029350831513</v>
      </c>
      <c r="G1350" s="25">
        <f>DAR!G1485</f>
        <v>0.5617298433884006</v>
      </c>
      <c r="H1350" s="25">
        <f>DER!G1485</f>
        <v>2.545005678171135</v>
      </c>
      <c r="I1350" s="25">
        <f>NPM!G1485</f>
        <v>5.0772094086858205E-2</v>
      </c>
      <c r="J1350" s="25">
        <f>ROA!G1485</f>
        <v>1.0248027129770307E-2</v>
      </c>
      <c r="K1350" s="25">
        <f>ROE!G1485</f>
        <v>4.6430303716805933E-2</v>
      </c>
      <c r="L1350" s="25">
        <f>KM!E1485</f>
        <v>0.99729999999999996</v>
      </c>
      <c r="M1350" s="24">
        <f>KI!E1485</f>
        <v>2</v>
      </c>
      <c r="N1350" s="108">
        <f>IO!E1485</f>
        <v>0</v>
      </c>
      <c r="O1350" s="24">
        <f>'BoC Size'!E1485</f>
        <v>3</v>
      </c>
      <c r="P1350" s="24">
        <f>'TMT E DK'!E1485</f>
        <v>0</v>
      </c>
      <c r="Q1350" s="24">
        <f>Data!R1485</f>
        <v>3</v>
      </c>
      <c r="R1350" s="24">
        <f>Data!S1485</f>
        <v>3</v>
      </c>
      <c r="S1350" s="24">
        <f>'TMT E DK'!E1485</f>
        <v>0</v>
      </c>
      <c r="T1350" s="24">
        <f>'TMT E DD'!E1485</f>
        <v>0</v>
      </c>
      <c r="U1350" s="24">
        <f>TA!E1485</f>
        <v>1559910000000</v>
      </c>
      <c r="V1350" s="109">
        <f>PR!F1485</f>
        <v>0.63927922486996991</v>
      </c>
      <c r="W1350" s="109">
        <f>'Z Score'!I1485</f>
        <v>0.36590090453936441</v>
      </c>
      <c r="X1350" s="109">
        <f>'Z Score'!L1485</f>
        <v>-1.0510449320794149</v>
      </c>
      <c r="Y1350" s="109">
        <f>'Z Score'!O1485</f>
        <v>6.8866742312056459E-2</v>
      </c>
      <c r="Z1350" s="109">
        <f>'Z Score'!R1485</f>
        <v>0.41257275337575666</v>
      </c>
      <c r="AA1350" s="109">
        <f>'Z Score'!S1485</f>
        <v>-0.2037045318522373</v>
      </c>
    </row>
    <row r="1351" spans="1:27" ht="15" customHeight="1" x14ac:dyDescent="0.3">
      <c r="A1351" s="22"/>
      <c r="B1351" s="23"/>
      <c r="C1351" s="1"/>
      <c r="D1351" s="23">
        <v>2024</v>
      </c>
      <c r="E1351" s="25">
        <f>'Current Ratio'!G1486</f>
        <v>0.72878825578502116</v>
      </c>
      <c r="F1351" s="25">
        <f>'Cash Ratio'!G1486</f>
        <v>0.4442597661109729</v>
      </c>
      <c r="G1351" s="25">
        <f>DAR!G1486</f>
        <v>0.56148513531529132</v>
      </c>
      <c r="H1351" s="25">
        <f>DER!G1486</f>
        <v>25.104727103094387</v>
      </c>
      <c r="I1351" s="25">
        <f>NPM!G1486</f>
        <v>0.11158484930970182</v>
      </c>
      <c r="J1351" s="25">
        <f>ROA!G1486</f>
        <v>2.5424436162134904E-2</v>
      </c>
      <c r="K1351" s="25">
        <f>ROE!G1486</f>
        <v>1.1367594464313482</v>
      </c>
      <c r="L1351" s="25">
        <f>KM!E1486</f>
        <v>0.99729999999999996</v>
      </c>
      <c r="M1351" s="24">
        <f>KI!E1486</f>
        <v>2</v>
      </c>
      <c r="N1351" s="108">
        <f>IO!E1486</f>
        <v>0</v>
      </c>
      <c r="O1351" s="24">
        <f>'BoC Size'!E1486</f>
        <v>3</v>
      </c>
      <c r="P1351" s="24">
        <f>'TMT E DK'!E1486</f>
        <v>0</v>
      </c>
      <c r="Q1351" s="24">
        <f>Data!R1486</f>
        <v>3</v>
      </c>
      <c r="R1351" s="24">
        <f>Data!S1486</f>
        <v>3</v>
      </c>
      <c r="S1351" s="24">
        <f>'TMT E DK'!E1486</f>
        <v>0</v>
      </c>
      <c r="T1351" s="24">
        <f>'TMT E DD'!E1486</f>
        <v>0</v>
      </c>
      <c r="U1351" s="24">
        <f>TA!E1486</f>
        <v>1725230000000</v>
      </c>
      <c r="V1351" s="109">
        <f>PR!F1486</f>
        <v>0.24847073919036519</v>
      </c>
      <c r="W1351" s="109">
        <f>'Z Score'!I1486</f>
        <v>-0.31084551045367864</v>
      </c>
      <c r="X1351" s="109">
        <f>'Z Score'!L1486</f>
        <v>-0.86520203103354321</v>
      </c>
      <c r="Y1351" s="109">
        <f>'Z Score'!O1486</f>
        <v>0.17085221100954656</v>
      </c>
      <c r="Z1351" s="109">
        <f>'Z Score'!R1486</f>
        <v>4.1824792426067757E-2</v>
      </c>
      <c r="AA1351" s="109">
        <f>'Z Score'!S1486</f>
        <v>-0.96337053805160755</v>
      </c>
    </row>
    <row r="1352" spans="1:27" ht="15" customHeight="1" x14ac:dyDescent="0.3">
      <c r="A1352" s="22" t="s">
        <v>155</v>
      </c>
      <c r="B1352" s="23">
        <v>136</v>
      </c>
      <c r="C1352" s="1" t="s">
        <v>142</v>
      </c>
      <c r="D1352" s="23">
        <v>2015</v>
      </c>
      <c r="E1352" s="25">
        <f>'Current Ratio'!G1488</f>
        <v>0</v>
      </c>
      <c r="F1352" s="25">
        <f>'Cash Ratio'!G1488</f>
        <v>0</v>
      </c>
      <c r="G1352" s="25">
        <f>DAR!G1488</f>
        <v>0</v>
      </c>
      <c r="H1352" s="25">
        <f>DER!G1488</f>
        <v>0</v>
      </c>
      <c r="I1352" s="25">
        <f>NPM!G1488</f>
        <v>0</v>
      </c>
      <c r="J1352" s="25">
        <f>ROA!G1488</f>
        <v>0</v>
      </c>
      <c r="K1352" s="25">
        <f>ROE!G1488</f>
        <v>0</v>
      </c>
      <c r="L1352" s="25">
        <f>KM!E1488</f>
        <v>0</v>
      </c>
      <c r="M1352" s="24">
        <f>KI!E1488</f>
        <v>0</v>
      </c>
      <c r="N1352" s="108">
        <f>IO!E1488</f>
        <v>0</v>
      </c>
      <c r="O1352" s="24">
        <f>'BoC Size'!E1488</f>
        <v>0</v>
      </c>
      <c r="P1352" s="24">
        <f>'TMT E DK'!E1488</f>
        <v>0</v>
      </c>
      <c r="Q1352" s="24">
        <f>Data!R1488</f>
        <v>0</v>
      </c>
      <c r="R1352" s="24">
        <f>Data!S1488</f>
        <v>0</v>
      </c>
      <c r="S1352" s="24">
        <f>'TMT E DK'!E1488</f>
        <v>0</v>
      </c>
      <c r="T1352" s="24">
        <f>'TMT E DD'!E1488</f>
        <v>0</v>
      </c>
      <c r="U1352" s="24">
        <f>TA!E1488</f>
        <v>0</v>
      </c>
      <c r="V1352" s="109">
        <f>PR!F1488</f>
        <v>0</v>
      </c>
      <c r="W1352" s="109">
        <f>'Z Score'!I1488</f>
        <v>0</v>
      </c>
      <c r="X1352" s="109">
        <f>'Z Score'!L1488</f>
        <v>0</v>
      </c>
      <c r="Y1352" s="109">
        <f>'Z Score'!O1488</f>
        <v>0</v>
      </c>
      <c r="Z1352" s="109">
        <f>'Z Score'!R1488</f>
        <v>0</v>
      </c>
      <c r="AA1352" s="109">
        <f>'Z Score'!S1488</f>
        <v>0</v>
      </c>
    </row>
    <row r="1353" spans="1:27" ht="15" customHeight="1" x14ac:dyDescent="0.3">
      <c r="A1353" s="22"/>
      <c r="B1353" s="23"/>
      <c r="C1353" s="1"/>
      <c r="D1353" s="23">
        <v>2016</v>
      </c>
      <c r="E1353" s="25">
        <f>'Current Ratio'!G1489</f>
        <v>0</v>
      </c>
      <c r="F1353" s="25">
        <f>'Cash Ratio'!G1489</f>
        <v>0</v>
      </c>
      <c r="G1353" s="25">
        <f>DAR!G1489</f>
        <v>0</v>
      </c>
      <c r="H1353" s="25">
        <f>DER!G1489</f>
        <v>0</v>
      </c>
      <c r="I1353" s="25">
        <f>NPM!G1489</f>
        <v>0</v>
      </c>
      <c r="J1353" s="25">
        <f>ROA!G1489</f>
        <v>0</v>
      </c>
      <c r="K1353" s="25">
        <f>ROE!G1489</f>
        <v>0</v>
      </c>
      <c r="L1353" s="25">
        <f>KM!E1489</f>
        <v>0</v>
      </c>
      <c r="M1353" s="24">
        <f>KI!E1489</f>
        <v>0</v>
      </c>
      <c r="N1353" s="108">
        <f>IO!E1489</f>
        <v>0</v>
      </c>
      <c r="O1353" s="24">
        <f>'BoC Size'!E1489</f>
        <v>0</v>
      </c>
      <c r="P1353" s="24">
        <f>'TMT E DK'!E1489</f>
        <v>0</v>
      </c>
      <c r="Q1353" s="24">
        <f>Data!R1489</f>
        <v>0</v>
      </c>
      <c r="R1353" s="24">
        <f>Data!S1489</f>
        <v>0</v>
      </c>
      <c r="S1353" s="24">
        <f>'TMT E DK'!E1489</f>
        <v>0</v>
      </c>
      <c r="T1353" s="24">
        <f>'TMT E DD'!E1489</f>
        <v>0</v>
      </c>
      <c r="U1353" s="24">
        <f>TA!E1489</f>
        <v>0</v>
      </c>
      <c r="V1353" s="109">
        <f>PR!F1489</f>
        <v>0</v>
      </c>
      <c r="W1353" s="109">
        <f>'Z Score'!I1489</f>
        <v>0</v>
      </c>
      <c r="X1353" s="109">
        <f>'Z Score'!L1489</f>
        <v>0</v>
      </c>
      <c r="Y1353" s="109">
        <f>'Z Score'!O1489</f>
        <v>0</v>
      </c>
      <c r="Z1353" s="109">
        <f>'Z Score'!R1489</f>
        <v>0</v>
      </c>
      <c r="AA1353" s="109">
        <f>'Z Score'!S1489</f>
        <v>0</v>
      </c>
    </row>
    <row r="1354" spans="1:27" ht="15" customHeight="1" x14ac:dyDescent="0.3">
      <c r="A1354" s="22"/>
      <c r="B1354" s="23"/>
      <c r="C1354" s="1"/>
      <c r="D1354" s="23">
        <v>2017</v>
      </c>
      <c r="E1354" s="25">
        <f>'Current Ratio'!G1490</f>
        <v>0</v>
      </c>
      <c r="F1354" s="25">
        <f>'Cash Ratio'!G1490</f>
        <v>0</v>
      </c>
      <c r="G1354" s="25">
        <f>DAR!G1490</f>
        <v>0</v>
      </c>
      <c r="H1354" s="25">
        <f>DER!G1490</f>
        <v>0</v>
      </c>
      <c r="I1354" s="25">
        <f>NPM!G1490</f>
        <v>0</v>
      </c>
      <c r="J1354" s="25">
        <f>ROA!G1490</f>
        <v>0</v>
      </c>
      <c r="K1354" s="25">
        <f>ROE!G1490</f>
        <v>0</v>
      </c>
      <c r="L1354" s="25">
        <f>KM!E1490</f>
        <v>0</v>
      </c>
      <c r="M1354" s="24">
        <f>KI!E1490</f>
        <v>0</v>
      </c>
      <c r="N1354" s="108">
        <f>IO!E1490</f>
        <v>0</v>
      </c>
      <c r="O1354" s="24">
        <f>'BoC Size'!E1490</f>
        <v>0</v>
      </c>
      <c r="P1354" s="24">
        <f>'TMT E DK'!E1490</f>
        <v>0</v>
      </c>
      <c r="Q1354" s="24">
        <f>Data!R1490</f>
        <v>0</v>
      </c>
      <c r="R1354" s="24">
        <f>Data!S1490</f>
        <v>0</v>
      </c>
      <c r="S1354" s="24">
        <f>'TMT E DK'!E1490</f>
        <v>0</v>
      </c>
      <c r="T1354" s="24">
        <f>'TMT E DD'!E1490</f>
        <v>0</v>
      </c>
      <c r="U1354" s="24">
        <f>TA!E1490</f>
        <v>0</v>
      </c>
      <c r="V1354" s="109">
        <f>PR!F1490</f>
        <v>0</v>
      </c>
      <c r="W1354" s="109">
        <f>'Z Score'!I1490</f>
        <v>0</v>
      </c>
      <c r="X1354" s="109">
        <f>'Z Score'!L1490</f>
        <v>0</v>
      </c>
      <c r="Y1354" s="109">
        <f>'Z Score'!O1490</f>
        <v>0</v>
      </c>
      <c r="Z1354" s="109">
        <f>'Z Score'!R1490</f>
        <v>0</v>
      </c>
      <c r="AA1354" s="109">
        <f>'Z Score'!S1490</f>
        <v>0</v>
      </c>
    </row>
    <row r="1355" spans="1:27" ht="15" customHeight="1" x14ac:dyDescent="0.3">
      <c r="A1355" s="22"/>
      <c r="B1355" s="23"/>
      <c r="C1355" s="1"/>
      <c r="D1355" s="23">
        <v>2018</v>
      </c>
      <c r="E1355" s="25">
        <f>'Current Ratio'!G1491</f>
        <v>0</v>
      </c>
      <c r="F1355" s="25">
        <f>'Cash Ratio'!G1491</f>
        <v>0</v>
      </c>
      <c r="G1355" s="25">
        <f>DAR!G1491</f>
        <v>0</v>
      </c>
      <c r="H1355" s="25">
        <f>DER!G1491</f>
        <v>0</v>
      </c>
      <c r="I1355" s="25">
        <f>NPM!G1491</f>
        <v>0</v>
      </c>
      <c r="J1355" s="25">
        <f>ROA!G1491</f>
        <v>0</v>
      </c>
      <c r="K1355" s="25">
        <f>ROE!G1491</f>
        <v>0</v>
      </c>
      <c r="L1355" s="25">
        <f>KM!E1491</f>
        <v>0</v>
      </c>
      <c r="M1355" s="24">
        <f>KI!E1491</f>
        <v>0</v>
      </c>
      <c r="N1355" s="108">
        <f>IO!E1491</f>
        <v>0</v>
      </c>
      <c r="O1355" s="24">
        <f>'BoC Size'!E1491</f>
        <v>0</v>
      </c>
      <c r="P1355" s="24">
        <f>'TMT E DK'!E1491</f>
        <v>0</v>
      </c>
      <c r="Q1355" s="24">
        <f>Data!R1491</f>
        <v>0</v>
      </c>
      <c r="R1355" s="24">
        <f>Data!S1491</f>
        <v>0</v>
      </c>
      <c r="S1355" s="24">
        <f>'TMT E DK'!E1491</f>
        <v>0</v>
      </c>
      <c r="T1355" s="24">
        <f>'TMT E DD'!E1491</f>
        <v>0</v>
      </c>
      <c r="U1355" s="24">
        <f>TA!E1491</f>
        <v>0</v>
      </c>
      <c r="V1355" s="109">
        <f>PR!F1491</f>
        <v>0</v>
      </c>
      <c r="W1355" s="109">
        <f>'Z Score'!I1491</f>
        <v>0</v>
      </c>
      <c r="X1355" s="109">
        <f>'Z Score'!L1491</f>
        <v>0</v>
      </c>
      <c r="Y1355" s="109">
        <f>'Z Score'!O1491</f>
        <v>0</v>
      </c>
      <c r="Z1355" s="109">
        <f>'Z Score'!R1491</f>
        <v>0</v>
      </c>
      <c r="AA1355" s="109">
        <f>'Z Score'!S1491</f>
        <v>0</v>
      </c>
    </row>
    <row r="1356" spans="1:27" ht="15" customHeight="1" x14ac:dyDescent="0.3">
      <c r="A1356" s="22"/>
      <c r="B1356" s="23"/>
      <c r="C1356" s="1"/>
      <c r="D1356" s="23">
        <v>2019</v>
      </c>
      <c r="E1356" s="25">
        <f>'Current Ratio'!G1492</f>
        <v>0</v>
      </c>
      <c r="F1356" s="25">
        <f>'Cash Ratio'!G1492</f>
        <v>0</v>
      </c>
      <c r="G1356" s="25">
        <f>DAR!G1492</f>
        <v>0</v>
      </c>
      <c r="H1356" s="25">
        <f>DER!G1492</f>
        <v>0</v>
      </c>
      <c r="I1356" s="25">
        <f>NPM!G1492</f>
        <v>0</v>
      </c>
      <c r="J1356" s="25">
        <f>ROA!G1492</f>
        <v>0</v>
      </c>
      <c r="K1356" s="25">
        <f>ROE!G1492</f>
        <v>0</v>
      </c>
      <c r="L1356" s="25">
        <f>KM!E1492</f>
        <v>0</v>
      </c>
      <c r="M1356" s="24">
        <f>KI!E1492</f>
        <v>0</v>
      </c>
      <c r="N1356" s="108">
        <f>IO!E1492</f>
        <v>0</v>
      </c>
      <c r="O1356" s="24">
        <f>'BoC Size'!E1492</f>
        <v>0</v>
      </c>
      <c r="P1356" s="24">
        <f>'TMT E DK'!E1492</f>
        <v>0</v>
      </c>
      <c r="Q1356" s="24">
        <f>Data!R1492</f>
        <v>0</v>
      </c>
      <c r="R1356" s="24">
        <f>Data!S1492</f>
        <v>0</v>
      </c>
      <c r="S1356" s="24">
        <f>'TMT E DK'!E1492</f>
        <v>0</v>
      </c>
      <c r="T1356" s="24">
        <f>'TMT E DD'!E1492</f>
        <v>0</v>
      </c>
      <c r="U1356" s="24">
        <f>TA!E1492</f>
        <v>0</v>
      </c>
      <c r="V1356" s="109">
        <f>PR!F1492</f>
        <v>0</v>
      </c>
      <c r="W1356" s="109">
        <f>'Z Score'!I1492</f>
        <v>0</v>
      </c>
      <c r="X1356" s="109">
        <f>'Z Score'!L1492</f>
        <v>0</v>
      </c>
      <c r="Y1356" s="109">
        <f>'Z Score'!O1492</f>
        <v>0</v>
      </c>
      <c r="Z1356" s="109">
        <f>'Z Score'!R1492</f>
        <v>0</v>
      </c>
      <c r="AA1356" s="109">
        <f>'Z Score'!S1492</f>
        <v>0</v>
      </c>
    </row>
    <row r="1357" spans="1:27" ht="15" customHeight="1" x14ac:dyDescent="0.3">
      <c r="A1357" s="22"/>
      <c r="B1357" s="23"/>
      <c r="C1357" s="1"/>
      <c r="D1357" s="23">
        <v>2020</v>
      </c>
      <c r="E1357" s="25">
        <f>'Current Ratio'!G1493</f>
        <v>0</v>
      </c>
      <c r="F1357" s="25">
        <f>'Cash Ratio'!G1493</f>
        <v>0</v>
      </c>
      <c r="G1357" s="25">
        <f>DAR!G1493</f>
        <v>0</v>
      </c>
      <c r="H1357" s="25">
        <f>DER!G1493</f>
        <v>0</v>
      </c>
      <c r="I1357" s="25">
        <f>NPM!G1493</f>
        <v>0</v>
      </c>
      <c r="J1357" s="25">
        <f>ROA!G1493</f>
        <v>0</v>
      </c>
      <c r="K1357" s="25">
        <f>ROE!G1493</f>
        <v>0</v>
      </c>
      <c r="L1357" s="25">
        <f>KM!E1493</f>
        <v>0</v>
      </c>
      <c r="M1357" s="24">
        <f>KI!E1493</f>
        <v>0</v>
      </c>
      <c r="N1357" s="108">
        <f>IO!E1493</f>
        <v>0</v>
      </c>
      <c r="O1357" s="24">
        <f>'BoC Size'!E1493</f>
        <v>0</v>
      </c>
      <c r="P1357" s="24">
        <f>'TMT E DK'!E1493</f>
        <v>0</v>
      </c>
      <c r="Q1357" s="24">
        <f>Data!R1493</f>
        <v>0</v>
      </c>
      <c r="R1357" s="24">
        <f>Data!S1493</f>
        <v>0</v>
      </c>
      <c r="S1357" s="24">
        <f>'TMT E DK'!E1493</f>
        <v>0</v>
      </c>
      <c r="T1357" s="24">
        <f>'TMT E DD'!E1493</f>
        <v>0</v>
      </c>
      <c r="U1357" s="24">
        <f>TA!E1493</f>
        <v>0</v>
      </c>
      <c r="V1357" s="109">
        <f>PR!F1493</f>
        <v>0</v>
      </c>
      <c r="W1357" s="109">
        <f>'Z Score'!I1493</f>
        <v>0</v>
      </c>
      <c r="X1357" s="109">
        <f>'Z Score'!L1493</f>
        <v>0</v>
      </c>
      <c r="Y1357" s="109">
        <f>'Z Score'!O1493</f>
        <v>0</v>
      </c>
      <c r="Z1357" s="109">
        <f>'Z Score'!R1493</f>
        <v>0</v>
      </c>
      <c r="AA1357" s="109">
        <f>'Z Score'!S1493</f>
        <v>0</v>
      </c>
    </row>
    <row r="1358" spans="1:27" ht="15" customHeight="1" x14ac:dyDescent="0.3">
      <c r="A1358" s="22"/>
      <c r="B1358" s="23"/>
      <c r="C1358" s="1"/>
      <c r="D1358" s="23">
        <v>2021</v>
      </c>
      <c r="E1358" s="25">
        <f>'Current Ratio'!G1494</f>
        <v>0</v>
      </c>
      <c r="F1358" s="25">
        <f>'Cash Ratio'!G1494</f>
        <v>0</v>
      </c>
      <c r="G1358" s="25">
        <f>DAR!G1494</f>
        <v>0</v>
      </c>
      <c r="H1358" s="25">
        <f>DER!G1494</f>
        <v>0</v>
      </c>
      <c r="I1358" s="25">
        <f>NPM!G1494</f>
        <v>0</v>
      </c>
      <c r="J1358" s="25">
        <f>ROA!G1494</f>
        <v>0</v>
      </c>
      <c r="K1358" s="25">
        <f>ROE!G1494</f>
        <v>0</v>
      </c>
      <c r="L1358" s="25">
        <f>KM!E1494</f>
        <v>0</v>
      </c>
      <c r="M1358" s="24">
        <f>KI!E1494</f>
        <v>0</v>
      </c>
      <c r="N1358" s="108">
        <f>IO!E1494</f>
        <v>0</v>
      </c>
      <c r="O1358" s="24">
        <f>'BoC Size'!E1494</f>
        <v>0</v>
      </c>
      <c r="P1358" s="24">
        <f>'TMT E DK'!E1494</f>
        <v>0</v>
      </c>
      <c r="Q1358" s="24">
        <f>Data!R1494</f>
        <v>0</v>
      </c>
      <c r="R1358" s="24">
        <f>Data!S1494</f>
        <v>0</v>
      </c>
      <c r="S1358" s="24">
        <f>'TMT E DK'!E1494</f>
        <v>0</v>
      </c>
      <c r="T1358" s="24">
        <f>'TMT E DD'!E1494</f>
        <v>0</v>
      </c>
      <c r="U1358" s="24">
        <f>TA!E1494</f>
        <v>0</v>
      </c>
      <c r="V1358" s="109">
        <f>PR!F1494</f>
        <v>0</v>
      </c>
      <c r="W1358" s="109">
        <f>'Z Score'!I1494</f>
        <v>0</v>
      </c>
      <c r="X1358" s="109">
        <f>'Z Score'!L1494</f>
        <v>0</v>
      </c>
      <c r="Y1358" s="109">
        <f>'Z Score'!O1494</f>
        <v>0</v>
      </c>
      <c r="Z1358" s="109">
        <f>'Z Score'!R1494</f>
        <v>0</v>
      </c>
      <c r="AA1358" s="109">
        <f>'Z Score'!S1494</f>
        <v>0</v>
      </c>
    </row>
    <row r="1359" spans="1:27" ht="15" customHeight="1" x14ac:dyDescent="0.3">
      <c r="A1359" s="22"/>
      <c r="B1359" s="23"/>
      <c r="C1359" s="1"/>
      <c r="D1359" s="23">
        <v>2022</v>
      </c>
      <c r="E1359" s="25">
        <f>'Current Ratio'!G1495</f>
        <v>2.0199119574119573</v>
      </c>
      <c r="F1359" s="25">
        <f>'Cash Ratio'!G1495</f>
        <v>8.2770270270270271E-2</v>
      </c>
      <c r="G1359" s="25">
        <f>DAR!G1495</f>
        <v>0.18593199117802678</v>
      </c>
      <c r="H1359" s="25">
        <f>DER!G1495</f>
        <v>0.22839859712345956</v>
      </c>
      <c r="I1359" s="25">
        <f>NPM!G1495</f>
        <v>0.29599663759588107</v>
      </c>
      <c r="J1359" s="25">
        <f>ROA!G1495</f>
        <v>1.4757421930251929E-2</v>
      </c>
      <c r="K1359" s="25">
        <f>ROE!G1495</f>
        <v>1.8127996396280446E-2</v>
      </c>
      <c r="L1359" s="25">
        <f>KM!E1495</f>
        <v>0.5</v>
      </c>
      <c r="M1359" s="24">
        <f>KI!E1495</f>
        <v>1</v>
      </c>
      <c r="N1359" s="108">
        <f>IO!E1495</f>
        <v>0</v>
      </c>
      <c r="O1359" s="24">
        <f>'BoC Size'!E1495</f>
        <v>3</v>
      </c>
      <c r="P1359" s="24">
        <f>'TMT E DK'!E1495</f>
        <v>0</v>
      </c>
      <c r="Q1359" s="24">
        <f>Data!R1495</f>
        <v>3</v>
      </c>
      <c r="R1359" s="24">
        <f>Data!S1495</f>
        <v>3</v>
      </c>
      <c r="S1359" s="24">
        <f>'TMT E DK'!E1495</f>
        <v>0</v>
      </c>
      <c r="T1359" s="24">
        <f>'TMT E DD'!E1495</f>
        <v>0</v>
      </c>
      <c r="U1359" s="24">
        <f>TA!E1495</f>
        <v>381774000000</v>
      </c>
      <c r="V1359" s="109">
        <f>PR!F1495</f>
        <v>0</v>
      </c>
      <c r="W1359" s="109">
        <f>'Z Score'!I1495</f>
        <v>0.34237009330127244</v>
      </c>
      <c r="X1359" s="109">
        <f>'Z Score'!L1495</f>
        <v>7.7125000654837683E-2</v>
      </c>
      <c r="Y1359" s="109">
        <f>'Z Score'!O1495</f>
        <v>2.0013515849691178E-2</v>
      </c>
      <c r="Z1359" s="109">
        <f>'Z Score'!R1495</f>
        <v>4.5972261354671478</v>
      </c>
      <c r="AA1359" s="109">
        <f>'Z Score'!S1495</f>
        <v>5.0367347452729492</v>
      </c>
    </row>
    <row r="1360" spans="1:27" ht="15" customHeight="1" x14ac:dyDescent="0.3">
      <c r="A1360" s="22"/>
      <c r="B1360" s="23"/>
      <c r="C1360" s="1"/>
      <c r="D1360" s="23">
        <v>2023</v>
      </c>
      <c r="E1360" s="25">
        <f>'Current Ratio'!G1496</f>
        <v>1.4559146358407202</v>
      </c>
      <c r="F1360" s="25">
        <f>'Cash Ratio'!G1496</f>
        <v>4.6483452357795871E-2</v>
      </c>
      <c r="G1360" s="25">
        <f>DAR!G1496</f>
        <v>0.58037618376059141</v>
      </c>
      <c r="H1360" s="25">
        <f>DER!G1496</f>
        <v>1.383086853748712</v>
      </c>
      <c r="I1360" s="25">
        <f>NPM!G1496</f>
        <v>8.8363140736374857E-2</v>
      </c>
      <c r="J1360" s="25">
        <f>ROA!G1496</f>
        <v>2.4403239692206351E-2</v>
      </c>
      <c r="K1360" s="25">
        <f>ROE!G1496</f>
        <v>5.8155039699375723E-2</v>
      </c>
      <c r="L1360" s="25">
        <f>KM!E1496</f>
        <v>0.5</v>
      </c>
      <c r="M1360" s="24">
        <f>KI!E1496</f>
        <v>1</v>
      </c>
      <c r="N1360" s="108">
        <f>IO!E1496</f>
        <v>0</v>
      </c>
      <c r="O1360" s="24">
        <f>'BoC Size'!E1496</f>
        <v>4</v>
      </c>
      <c r="P1360" s="24">
        <f>'TMT E DK'!E1496</f>
        <v>13</v>
      </c>
      <c r="Q1360" s="24">
        <f>Data!R1496</f>
        <v>4</v>
      </c>
      <c r="R1360" s="24">
        <f>Data!S1496</f>
        <v>5</v>
      </c>
      <c r="S1360" s="24">
        <f>'TMT E DK'!E1496</f>
        <v>13</v>
      </c>
      <c r="T1360" s="24">
        <f>'TMT E DD'!E1496</f>
        <v>12</v>
      </c>
      <c r="U1360" s="24">
        <f>TA!E1496</f>
        <v>786371000000</v>
      </c>
      <c r="V1360" s="109">
        <f>PR!F1496</f>
        <v>10.40968792686771</v>
      </c>
      <c r="W1360" s="109">
        <f>'Z Score'!I1496</f>
        <v>0.68434568416180142</v>
      </c>
      <c r="X1360" s="109">
        <f>'Z Score'!L1496</f>
        <v>0.1226773622119839</v>
      </c>
      <c r="Y1360" s="109">
        <f>'Z Score'!O1496</f>
        <v>0.1706296900572376</v>
      </c>
      <c r="Z1360" s="109">
        <f>'Z Score'!R1496</f>
        <v>0.75917141223205542</v>
      </c>
      <c r="AA1360" s="109">
        <f>'Z Score'!S1496</f>
        <v>1.7368241486630782</v>
      </c>
    </row>
    <row r="1361" spans="1:27" ht="15" customHeight="1" x14ac:dyDescent="0.3">
      <c r="A1361" s="22"/>
      <c r="B1361" s="23"/>
      <c r="C1361" s="1"/>
      <c r="D1361" s="23">
        <v>2024</v>
      </c>
      <c r="E1361" s="25">
        <f>'Current Ratio'!G1497</f>
        <v>2.1054061162301387</v>
      </c>
      <c r="F1361" s="25">
        <f>'Cash Ratio'!G1497</f>
        <v>1.9385293477472247E-2</v>
      </c>
      <c r="G1361" s="25">
        <f>DAR!G1497</f>
        <v>0.62773085293812836</v>
      </c>
      <c r="H1361" s="25">
        <f>DER!G1497</f>
        <v>1.6862285201244422</v>
      </c>
      <c r="I1361" s="25">
        <f>NPM!G1497</f>
        <v>9.4578598484848481E-2</v>
      </c>
      <c r="J1361" s="25">
        <f>ROA!G1497</f>
        <v>2.8982277956264898E-2</v>
      </c>
      <c r="K1361" s="25">
        <f>ROE!G1497</f>
        <v>7.7853021624292709E-2</v>
      </c>
      <c r="L1361" s="25">
        <f>KM!E1497</f>
        <v>0.5</v>
      </c>
      <c r="M1361" s="24">
        <f>KI!E1497</f>
        <v>1</v>
      </c>
      <c r="N1361" s="108">
        <f>IO!E1497</f>
        <v>0</v>
      </c>
      <c r="O1361" s="24">
        <f>'BoC Size'!E1497</f>
        <v>3</v>
      </c>
      <c r="P1361" s="24">
        <f>'TMT E DK'!E1497</f>
        <v>10</v>
      </c>
      <c r="Q1361" s="24">
        <f>Data!R1497</f>
        <v>3</v>
      </c>
      <c r="R1361" s="24">
        <f>Data!S1497</f>
        <v>5</v>
      </c>
      <c r="S1361" s="24">
        <f>'TMT E DK'!E1497</f>
        <v>10</v>
      </c>
      <c r="T1361" s="24">
        <f>'TMT E DD'!E1497</f>
        <v>12</v>
      </c>
      <c r="U1361" s="24">
        <f>TA!E1497</f>
        <v>1543840000000</v>
      </c>
      <c r="V1361" s="109">
        <f>PR!F1497</f>
        <v>1.1784023723131896</v>
      </c>
      <c r="W1361" s="109">
        <f>'Z Score'!I1497</f>
        <v>1.0358268214322728</v>
      </c>
      <c r="X1361" s="109">
        <f>'Z Score'!L1497</f>
        <v>0.13045996994507203</v>
      </c>
      <c r="Y1361" s="109">
        <f>'Z Score'!O1497</f>
        <v>0.13792662452067572</v>
      </c>
      <c r="Z1361" s="109">
        <f>'Z Score'!R1497</f>
        <v>0.62269140123576538</v>
      </c>
      <c r="AA1361" s="109">
        <f>'Z Score'!S1497</f>
        <v>1.9269048171337861</v>
      </c>
    </row>
    <row r="1362" spans="1:27" ht="15" customHeight="1" x14ac:dyDescent="0.3">
      <c r="A1362" s="22"/>
      <c r="B1362" s="23">
        <v>137</v>
      </c>
      <c r="C1362" s="1" t="s">
        <v>136</v>
      </c>
      <c r="D1362" s="23">
        <v>2015</v>
      </c>
      <c r="E1362" s="25">
        <f>'Current Ratio'!G1499</f>
        <v>0</v>
      </c>
      <c r="F1362" s="25">
        <f>'Cash Ratio'!G1499</f>
        <v>0</v>
      </c>
      <c r="G1362" s="25">
        <f>DAR!G1499</f>
        <v>0</v>
      </c>
      <c r="H1362" s="25">
        <f>DER!G1499</f>
        <v>0</v>
      </c>
      <c r="I1362" s="25">
        <f>NPM!G1499</f>
        <v>0</v>
      </c>
      <c r="J1362" s="25">
        <f>ROA!G1499</f>
        <v>0</v>
      </c>
      <c r="K1362" s="25">
        <f>ROE!G1499</f>
        <v>0</v>
      </c>
      <c r="L1362" s="25">
        <f>KM!E1499</f>
        <v>0</v>
      </c>
      <c r="M1362" s="24">
        <f>KI!E1499</f>
        <v>0</v>
      </c>
      <c r="N1362" s="108">
        <f>IO!E1499</f>
        <v>0</v>
      </c>
      <c r="O1362" s="24">
        <f>'BoC Size'!E1499</f>
        <v>0</v>
      </c>
      <c r="P1362" s="24">
        <f>'TMT E DK'!E1499</f>
        <v>0</v>
      </c>
      <c r="Q1362" s="24">
        <f>Data!R1499</f>
        <v>0</v>
      </c>
      <c r="R1362" s="24">
        <f>Data!S1499</f>
        <v>0</v>
      </c>
      <c r="S1362" s="24">
        <f>'TMT E DK'!E1499</f>
        <v>0</v>
      </c>
      <c r="T1362" s="24">
        <f>'TMT E DD'!E1499</f>
        <v>0</v>
      </c>
      <c r="U1362" s="24">
        <f>TA!E1499</f>
        <v>0</v>
      </c>
      <c r="V1362" s="109">
        <f>PR!F1499</f>
        <v>0</v>
      </c>
      <c r="W1362" s="109">
        <f>'Z Score'!I1499</f>
        <v>0</v>
      </c>
      <c r="X1362" s="109">
        <f>'Z Score'!L1499</f>
        <v>0</v>
      </c>
      <c r="Y1362" s="109">
        <f>'Z Score'!O1499</f>
        <v>0</v>
      </c>
      <c r="Z1362" s="109">
        <f>'Z Score'!R1499</f>
        <v>0</v>
      </c>
      <c r="AA1362" s="109">
        <f>'Z Score'!S1499</f>
        <v>0</v>
      </c>
    </row>
    <row r="1363" spans="1:27" ht="15" customHeight="1" x14ac:dyDescent="0.3">
      <c r="A1363" s="22"/>
      <c r="B1363" s="23"/>
      <c r="C1363" s="1"/>
      <c r="D1363" s="23">
        <v>2016</v>
      </c>
      <c r="E1363" s="25">
        <f>'Current Ratio'!G1500</f>
        <v>3.125548457865531</v>
      </c>
      <c r="F1363" s="25">
        <f>'Cash Ratio'!G1500</f>
        <v>5.4361853142340946E-2</v>
      </c>
      <c r="G1363" s="25">
        <f>DAR!G1500</f>
        <v>0.59295432742258058</v>
      </c>
      <c r="H1363" s="25">
        <f>DER!G1500</f>
        <v>1.4567267689347603</v>
      </c>
      <c r="I1363" s="25">
        <f>NPM!G1500</f>
        <v>0.17194670372437201</v>
      </c>
      <c r="J1363" s="25">
        <f>ROA!G1500</f>
        <v>7.7469893119962302E-2</v>
      </c>
      <c r="K1363" s="25">
        <f>ROE!G1500</f>
        <v>0.19032236021432619</v>
      </c>
      <c r="L1363" s="25">
        <f>KM!E1500</f>
        <v>0</v>
      </c>
      <c r="M1363" s="24">
        <f>KI!E1500</f>
        <v>0</v>
      </c>
      <c r="N1363" s="108">
        <f>IO!E1500</f>
        <v>0</v>
      </c>
      <c r="O1363" s="24">
        <f>'BoC Size'!E1500</f>
        <v>0</v>
      </c>
      <c r="P1363" s="24">
        <f>'TMT E DK'!E1500</f>
        <v>0</v>
      </c>
      <c r="Q1363" s="24">
        <f>Data!R1500</f>
        <v>0</v>
      </c>
      <c r="R1363" s="24">
        <f>Data!S1500</f>
        <v>0</v>
      </c>
      <c r="S1363" s="24">
        <f>'TMT E DK'!E1500</f>
        <v>0</v>
      </c>
      <c r="T1363" s="24">
        <f>'TMT E DD'!E1500</f>
        <v>0</v>
      </c>
      <c r="U1363" s="24">
        <f>TA!E1500</f>
        <v>1833551000000</v>
      </c>
      <c r="V1363" s="109">
        <f>PR!F1500</f>
        <v>0</v>
      </c>
      <c r="W1363" s="109">
        <f>'Z Score'!I1500</f>
        <v>1.4142909360034162</v>
      </c>
      <c r="X1363" s="109">
        <f>'Z Score'!L1500</f>
        <v>1.1844680949698154</v>
      </c>
      <c r="Y1363" s="109">
        <f>'Z Score'!O1500</f>
        <v>0.58545020018532345</v>
      </c>
      <c r="Z1363" s="109">
        <f>'Z Score'!R1500</f>
        <v>0.72079405856447509</v>
      </c>
      <c r="AA1363" s="109">
        <f>'Z Score'!S1500</f>
        <v>3.9050032897230298</v>
      </c>
    </row>
    <row r="1364" spans="1:27" ht="15" customHeight="1" x14ac:dyDescent="0.3">
      <c r="A1364" s="22"/>
      <c r="B1364" s="23"/>
      <c r="C1364" s="1"/>
      <c r="D1364" s="23">
        <v>2017</v>
      </c>
      <c r="E1364" s="25">
        <f>'Current Ratio'!G1501</f>
        <v>3.2489566521984647</v>
      </c>
      <c r="F1364" s="25">
        <f>'Cash Ratio'!G1501</f>
        <v>3.7841197285457956E-2</v>
      </c>
      <c r="G1364" s="25">
        <f>DAR!G1501</f>
        <v>0.52884074516977153</v>
      </c>
      <c r="H1364" s="25">
        <f>DER!G1501</f>
        <v>1.1224246149220338</v>
      </c>
      <c r="I1364" s="25">
        <f>NPM!G1501</f>
        <v>0.18430930683587787</v>
      </c>
      <c r="J1364" s="25">
        <f>ROA!G1501</f>
        <v>5.8273853918835772E-2</v>
      </c>
      <c r="K1364" s="25">
        <f>ROE!G1501</f>
        <v>0.12368186196370787</v>
      </c>
      <c r="L1364" s="25">
        <f>KM!E1501</f>
        <v>0.58750000000000002</v>
      </c>
      <c r="M1364" s="24">
        <f>KI!E1501</f>
        <v>1</v>
      </c>
      <c r="N1364" s="108">
        <f>IO!E1501</f>
        <v>0</v>
      </c>
      <c r="O1364" s="24">
        <f>'BoC Size'!E1501</f>
        <v>3</v>
      </c>
      <c r="P1364" s="24">
        <f>'TMT E DK'!E1501</f>
        <v>5</v>
      </c>
      <c r="Q1364" s="24">
        <f>Data!R1501</f>
        <v>3</v>
      </c>
      <c r="R1364" s="24">
        <f>Data!S1501</f>
        <v>4</v>
      </c>
      <c r="S1364" s="24">
        <f>'TMT E DK'!E1501</f>
        <v>5</v>
      </c>
      <c r="T1364" s="24">
        <f>'TMT E DD'!E1501</f>
        <v>8</v>
      </c>
      <c r="U1364" s="24">
        <f>TA!E1501</f>
        <v>2879988000000</v>
      </c>
      <c r="V1364" s="109">
        <f>PR!F1501</f>
        <v>0.10226256175107341</v>
      </c>
      <c r="W1364" s="109">
        <f>'Z Score'!I1501</f>
        <v>1.5330897767629585</v>
      </c>
      <c r="X1364" s="109">
        <f>'Z Score'!L1501</f>
        <v>0.90980640197111928</v>
      </c>
      <c r="Y1364" s="109">
        <f>'Z Score'!O1501</f>
        <v>0.43177813240888507</v>
      </c>
      <c r="Z1364" s="109">
        <f>'Z Score'!R1501</f>
        <v>0.93547485153195387</v>
      </c>
      <c r="AA1364" s="109">
        <f>'Z Score'!S1501</f>
        <v>3.8101491626749171</v>
      </c>
    </row>
    <row r="1365" spans="1:27" ht="15" customHeight="1" x14ac:dyDescent="0.3">
      <c r="A1365" s="22"/>
      <c r="B1365" s="23"/>
      <c r="C1365" s="1"/>
      <c r="D1365" s="23">
        <v>2018</v>
      </c>
      <c r="E1365" s="25">
        <f>'Current Ratio'!G1502</f>
        <v>2.6714299937546953</v>
      </c>
      <c r="F1365" s="25">
        <f>'Cash Ratio'!G1502</f>
        <v>1.6051338214928993E-2</v>
      </c>
      <c r="G1365" s="25">
        <f>DAR!G1502</f>
        <v>0.5883763524267952</v>
      </c>
      <c r="H1365" s="25">
        <f>DER!G1502</f>
        <v>1.4294036698223367</v>
      </c>
      <c r="I1365" s="25">
        <f>NPM!G1502</f>
        <v>8.2966154842103138E-2</v>
      </c>
      <c r="J1365" s="25">
        <f>ROA!G1502</f>
        <v>2.3936721280282774E-2</v>
      </c>
      <c r="K1365" s="25">
        <f>ROE!G1502</f>
        <v>5.8151958521833393E-2</v>
      </c>
      <c r="L1365" s="25">
        <f>KM!E1502</f>
        <v>0.58750000000000002</v>
      </c>
      <c r="M1365" s="24">
        <f>KI!E1502</f>
        <v>1</v>
      </c>
      <c r="N1365" s="108">
        <f>IO!E1502</f>
        <v>0</v>
      </c>
      <c r="O1365" s="24">
        <f>'BoC Size'!E1502</f>
        <v>3</v>
      </c>
      <c r="P1365" s="24">
        <f>'TMT E DK'!E1502</f>
        <v>5</v>
      </c>
      <c r="Q1365" s="24">
        <f>Data!R1502</f>
        <v>3</v>
      </c>
      <c r="R1365" s="24">
        <f>Data!S1502</f>
        <v>4</v>
      </c>
      <c r="S1365" s="24">
        <f>'TMT E DK'!E1502</f>
        <v>5</v>
      </c>
      <c r="T1365" s="24">
        <f>'TMT E DD'!E1502</f>
        <v>11</v>
      </c>
      <c r="U1365" s="24">
        <f>TA!E1502</f>
        <v>3426618000000</v>
      </c>
      <c r="V1365" s="109">
        <f>PR!F1502</f>
        <v>8.5706002121729269E-2</v>
      </c>
      <c r="W1365" s="109">
        <f>'Z Score'!I1502</f>
        <v>1.767631781540866</v>
      </c>
      <c r="X1365" s="109">
        <f>'Z Score'!L1502</f>
        <v>0.87124103124421803</v>
      </c>
      <c r="Y1365" s="109">
        <f>'Z Score'!O1502</f>
        <v>0.31642824499258448</v>
      </c>
      <c r="Z1365" s="109">
        <f>'Z Score'!R1502</f>
        <v>0.73457206118024487</v>
      </c>
      <c r="AA1365" s="109">
        <f>'Z Score'!S1502</f>
        <v>3.6898731189579133</v>
      </c>
    </row>
    <row r="1366" spans="1:27" ht="15" customHeight="1" x14ac:dyDescent="0.3">
      <c r="A1366" s="22"/>
      <c r="B1366" s="23"/>
      <c r="C1366" s="1"/>
      <c r="D1366" s="23">
        <v>2019</v>
      </c>
      <c r="E1366" s="25">
        <f>'Current Ratio'!G1503</f>
        <v>2.7274941393408683</v>
      </c>
      <c r="F1366" s="25">
        <f>'Cash Ratio'!G1503</f>
        <v>5.5184000189298865E-2</v>
      </c>
      <c r="G1366" s="25">
        <f>DAR!G1503</f>
        <v>0.5926329534765945</v>
      </c>
      <c r="H1366" s="25">
        <f>DER!G1503</f>
        <v>1.454788644624804</v>
      </c>
      <c r="I1366" s="25">
        <f>NPM!G1503</f>
        <v>0.17184012669698034</v>
      </c>
      <c r="J1366" s="25">
        <f>ROA!G1503</f>
        <v>5.3759080028368586E-2</v>
      </c>
      <c r="K1366" s="25">
        <f>ROE!G1503</f>
        <v>0.13196717919911527</v>
      </c>
      <c r="L1366" s="25">
        <f>KM!E1503</f>
        <v>0.58750000000000002</v>
      </c>
      <c r="M1366" s="24">
        <f>KI!E1503</f>
        <v>1</v>
      </c>
      <c r="N1366" s="108">
        <f>IO!E1503</f>
        <v>0</v>
      </c>
      <c r="O1366" s="24">
        <f>'BoC Size'!E1503</f>
        <v>3</v>
      </c>
      <c r="P1366" s="24">
        <f>'TMT E DK'!E1503</f>
        <v>5</v>
      </c>
      <c r="Q1366" s="24">
        <f>Data!R1503</f>
        <v>3</v>
      </c>
      <c r="R1366" s="24">
        <f>Data!S1503</f>
        <v>4</v>
      </c>
      <c r="S1366" s="24">
        <f>'TMT E DK'!E1503</f>
        <v>5</v>
      </c>
      <c r="T1366" s="24">
        <f>'TMT E DD'!E1503</f>
        <v>11</v>
      </c>
      <c r="U1366" s="24">
        <f>TA!E1503</f>
        <v>3915599000000</v>
      </c>
      <c r="V1366" s="109">
        <f>PR!F1503</f>
        <v>0.23907062369767959</v>
      </c>
      <c r="W1366" s="109">
        <f>'Z Score'!I1503</f>
        <v>1.7123487466413183</v>
      </c>
      <c r="X1366" s="109">
        <f>'Z Score'!L1503</f>
        <v>0.88841183686072045</v>
      </c>
      <c r="Y1366" s="109">
        <f>'Z Score'!O1503</f>
        <v>0.33170783831541484</v>
      </c>
      <c r="Z1366" s="109">
        <f>'Z Score'!R1503</f>
        <v>0.72175432759911273</v>
      </c>
      <c r="AA1366" s="109">
        <f>'Z Score'!S1503</f>
        <v>3.6542227494165669</v>
      </c>
    </row>
    <row r="1367" spans="1:27" ht="15" customHeight="1" x14ac:dyDescent="0.3">
      <c r="A1367" s="22"/>
      <c r="B1367" s="23"/>
      <c r="C1367" s="1"/>
      <c r="D1367" s="23">
        <v>2020</v>
      </c>
      <c r="E1367" s="25">
        <f>'Current Ratio'!G1504</f>
        <v>2.5718468349295378</v>
      </c>
      <c r="F1367" s="25">
        <f>'Cash Ratio'!G1504</f>
        <v>3.4146427500573222E-2</v>
      </c>
      <c r="G1367" s="25">
        <f>DAR!G1504</f>
        <v>0.58228506106446176</v>
      </c>
      <c r="H1367" s="25">
        <f>DER!G1504</f>
        <v>1.3939771044538103</v>
      </c>
      <c r="I1367" s="25">
        <f>NPM!G1504</f>
        <v>0.14841034083724036</v>
      </c>
      <c r="J1367" s="25">
        <f>ROA!G1504</f>
        <v>4.4393929120735982E-2</v>
      </c>
      <c r="K1367" s="25">
        <f>ROE!G1504</f>
        <v>0.10627804989178721</v>
      </c>
      <c r="L1367" s="25">
        <f>KM!E1504</f>
        <v>0.64700000000000002</v>
      </c>
      <c r="M1367" s="24">
        <f>KI!E1504</f>
        <v>1</v>
      </c>
      <c r="N1367" s="108">
        <f>IO!E1504</f>
        <v>0</v>
      </c>
      <c r="O1367" s="24">
        <f>'BoC Size'!E1504</f>
        <v>3</v>
      </c>
      <c r="P1367" s="24">
        <f>'TMT E DK'!E1504</f>
        <v>10</v>
      </c>
      <c r="Q1367" s="24">
        <f>Data!R1504</f>
        <v>3</v>
      </c>
      <c r="R1367" s="24">
        <f>Data!S1504</f>
        <v>4</v>
      </c>
      <c r="S1367" s="24">
        <f>'TMT E DK'!E1504</f>
        <v>10</v>
      </c>
      <c r="T1367" s="24">
        <f>'TMT E DD'!E1504</f>
        <v>10</v>
      </c>
      <c r="U1367" s="24">
        <f>TA!E1504</f>
        <v>4203345000000</v>
      </c>
      <c r="V1367" s="109">
        <f>PR!F1504</f>
        <v>2.6429218674743054E-2</v>
      </c>
      <c r="W1367" s="109">
        <f>'Z Score'!I1504</f>
        <v>1.3908461951136535</v>
      </c>
      <c r="X1367" s="109">
        <f>'Z Score'!L1504</f>
        <v>0.89183657777317826</v>
      </c>
      <c r="Y1367" s="109">
        <f>'Z Score'!O1504</f>
        <v>0.18026283352901082</v>
      </c>
      <c r="Z1367" s="109">
        <f>'Z Score'!R1504</f>
        <v>0.75324049200321141</v>
      </c>
      <c r="AA1367" s="109">
        <f>'Z Score'!S1504</f>
        <v>3.2161860984190538</v>
      </c>
    </row>
    <row r="1368" spans="1:27" ht="15" customHeight="1" x14ac:dyDescent="0.3">
      <c r="A1368" s="22"/>
      <c r="B1368" s="23"/>
      <c r="C1368" s="1"/>
      <c r="D1368" s="23">
        <v>2021</v>
      </c>
      <c r="E1368" s="25">
        <f>'Current Ratio'!G1505</f>
        <v>2.3533771792462677</v>
      </c>
      <c r="F1368" s="25">
        <f>'Cash Ratio'!G1505</f>
        <v>1.639188403203436E-2</v>
      </c>
      <c r="G1368" s="25">
        <f>DAR!G1505</f>
        <v>0.65261381655672934</v>
      </c>
      <c r="H1368" s="25">
        <f>DER!G1505</f>
        <v>1.8786406819294339</v>
      </c>
      <c r="I1368" s="25">
        <f>NPM!G1505</f>
        <v>-0.27391948073483602</v>
      </c>
      <c r="J1368" s="25">
        <f>ROA!G1505</f>
        <v>-8.7132577063901942E-2</v>
      </c>
      <c r="K1368" s="25">
        <f>ROE!G1505</f>
        <v>-0.25082338105749963</v>
      </c>
      <c r="L1368" s="25">
        <f>KM!E1505</f>
        <v>0.64629999999999999</v>
      </c>
      <c r="M1368" s="24">
        <f>KI!E1505</f>
        <v>1</v>
      </c>
      <c r="N1368" s="108">
        <f>IO!E1505</f>
        <v>0</v>
      </c>
      <c r="O1368" s="24">
        <f>'BoC Size'!E1505</f>
        <v>3</v>
      </c>
      <c r="P1368" s="24">
        <f>'TMT E DK'!E1505</f>
        <v>10</v>
      </c>
      <c r="Q1368" s="24">
        <f>Data!R1505</f>
        <v>3</v>
      </c>
      <c r="R1368" s="24">
        <f>Data!S1505</f>
        <v>5</v>
      </c>
      <c r="S1368" s="24">
        <f>'TMT E DK'!E1505</f>
        <v>10</v>
      </c>
      <c r="T1368" s="24">
        <f>'TMT E DD'!E1505</f>
        <v>11</v>
      </c>
      <c r="U1368" s="24">
        <f>TA!E1505</f>
        <v>3981209000000</v>
      </c>
      <c r="V1368" s="109">
        <f>PR!F1505</f>
        <v>7.2056595445164212E-3</v>
      </c>
      <c r="W1368" s="109">
        <f>'Z Score'!I1505</f>
        <v>1.1962333652917994</v>
      </c>
      <c r="X1368" s="109">
        <f>'Z Score'!L1505</f>
        <v>0.68283056227392225</v>
      </c>
      <c r="Y1368" s="109">
        <f>'Z Score'!O1505</f>
        <v>-0.50066013615462035</v>
      </c>
      <c r="Z1368" s="109">
        <f>'Z Score'!R1505</f>
        <v>0.55891475687708991</v>
      </c>
      <c r="AA1368" s="109">
        <f>'Z Score'!S1505</f>
        <v>1.9373185482881912</v>
      </c>
    </row>
    <row r="1369" spans="1:27" ht="15" customHeight="1" x14ac:dyDescent="0.3">
      <c r="A1369" s="22"/>
      <c r="B1369" s="23"/>
      <c r="C1369" s="1"/>
      <c r="D1369" s="23">
        <v>2022</v>
      </c>
      <c r="E1369" s="25">
        <f>'Current Ratio'!G1506</f>
        <v>3.3476594201255865</v>
      </c>
      <c r="F1369" s="25">
        <f>'Cash Ratio'!G1506</f>
        <v>1.3392877383084352E-2</v>
      </c>
      <c r="G1369" s="25">
        <f>DAR!G1506</f>
        <v>0.67407257742772841</v>
      </c>
      <c r="H1369" s="25">
        <f>DER!G1506</f>
        <v>2.0681677292074396</v>
      </c>
      <c r="I1369" s="25">
        <f>NPM!G1506</f>
        <v>9.5415259616412756E-3</v>
      </c>
      <c r="J1369" s="25">
        <f>ROA!G1506</f>
        <v>2.9355179945713215E-3</v>
      </c>
      <c r="K1369" s="25">
        <f>ROE!G1506</f>
        <v>9.0066615794514686E-3</v>
      </c>
      <c r="L1369" s="25">
        <f>KM!E1506</f>
        <v>0.64700000000000002</v>
      </c>
      <c r="M1369" s="24">
        <f>KI!E1506</f>
        <v>1</v>
      </c>
      <c r="N1369" s="108">
        <f>IO!E1506</f>
        <v>0</v>
      </c>
      <c r="O1369" s="24">
        <f>'BoC Size'!E1506</f>
        <v>3</v>
      </c>
      <c r="P1369" s="24">
        <f>'TMT E DK'!E1506</f>
        <v>10</v>
      </c>
      <c r="Q1369" s="24">
        <f>Data!R1506</f>
        <v>3</v>
      </c>
      <c r="R1369" s="24">
        <f>Data!S1506</f>
        <v>5</v>
      </c>
      <c r="S1369" s="24">
        <f>'TMT E DK'!E1506</f>
        <v>10</v>
      </c>
      <c r="T1369" s="24">
        <f>'TMT E DD'!E1506</f>
        <v>11</v>
      </c>
      <c r="U1369" s="24">
        <f>TA!E1506</f>
        <v>4286126000000</v>
      </c>
      <c r="V1369" s="109">
        <f>PR!F1506</f>
        <v>4.1260102415893812E-2</v>
      </c>
      <c r="W1369" s="109">
        <f>'Z Score'!I1506</f>
        <v>1.5850413356956841</v>
      </c>
      <c r="X1369" s="109">
        <f>'Z Score'!L1506</f>
        <v>0.66265652479651782</v>
      </c>
      <c r="Y1369" s="109">
        <f>'Z Score'!O1506</f>
        <v>6.7980381351364846E-2</v>
      </c>
      <c r="Z1369" s="109">
        <f>'Z Score'!R1506</f>
        <v>0.50769576624347568</v>
      </c>
      <c r="AA1369" s="109">
        <f>'Z Score'!S1506</f>
        <v>2.8233740080870424</v>
      </c>
    </row>
    <row r="1370" spans="1:27" ht="15" customHeight="1" x14ac:dyDescent="0.3">
      <c r="A1370" s="22"/>
      <c r="B1370" s="23"/>
      <c r="C1370" s="1"/>
      <c r="D1370" s="23">
        <v>2023</v>
      </c>
      <c r="E1370" s="25">
        <f>'Current Ratio'!G1507</f>
        <v>5.3048657278267557</v>
      </c>
      <c r="F1370" s="25">
        <f>'Cash Ratio'!G1507</f>
        <v>2.4171053057906254E-2</v>
      </c>
      <c r="G1370" s="25">
        <f>DAR!G1507</f>
        <v>0.6968226034800985</v>
      </c>
      <c r="H1370" s="25">
        <f>DER!G1507</f>
        <v>2.2983989290717353</v>
      </c>
      <c r="I1370" s="25">
        <f>NPM!G1507</f>
        <v>3.8881309686221006E-2</v>
      </c>
      <c r="J1370" s="25">
        <f>ROA!G1507</f>
        <v>1.2062402662151524E-2</v>
      </c>
      <c r="K1370" s="25">
        <f>ROE!G1507</f>
        <v>3.9786616022872638E-2</v>
      </c>
      <c r="L1370" s="25">
        <f>KM!E1507</f>
        <v>0.59599999999999997</v>
      </c>
      <c r="M1370" s="24">
        <f>KI!E1507</f>
        <v>1</v>
      </c>
      <c r="N1370" s="108">
        <f>IO!E1507</f>
        <v>0</v>
      </c>
      <c r="O1370" s="24">
        <f>'BoC Size'!E1507</f>
        <v>3</v>
      </c>
      <c r="P1370" s="24">
        <f>'TMT E DK'!E1507</f>
        <v>10</v>
      </c>
      <c r="Q1370" s="24">
        <f>Data!R1507</f>
        <v>3</v>
      </c>
      <c r="R1370" s="24">
        <f>Data!S1507</f>
        <v>5</v>
      </c>
      <c r="S1370" s="24">
        <f>'TMT E DK'!E1507</f>
        <v>10</v>
      </c>
      <c r="T1370" s="24">
        <f>'TMT E DD'!E1507</f>
        <v>11</v>
      </c>
      <c r="U1370" s="24">
        <f>TA!E1507</f>
        <v>4772681000000</v>
      </c>
      <c r="V1370" s="109">
        <f>PR!F1507</f>
        <v>0.12285454064248702</v>
      </c>
      <c r="W1370" s="109">
        <f>'Z Score'!I1507</f>
        <v>2.0088013089498333</v>
      </c>
      <c r="X1370" s="109">
        <f>'Z Score'!L1507</f>
        <v>0.63214006131983258</v>
      </c>
      <c r="Y1370" s="109">
        <f>'Z Score'!O1507</f>
        <v>9.8727101182752422E-2</v>
      </c>
      <c r="Z1370" s="109">
        <f>'Z Score'!R1507</f>
        <v>0.45683975341220168</v>
      </c>
      <c r="AA1370" s="109">
        <f>'Z Score'!S1507</f>
        <v>3.1965082248646199</v>
      </c>
    </row>
    <row r="1371" spans="1:27" ht="15" customHeight="1" x14ac:dyDescent="0.3">
      <c r="A1371" s="22"/>
      <c r="B1371" s="23"/>
      <c r="C1371" s="1"/>
      <c r="D1371" s="23">
        <v>2024</v>
      </c>
      <c r="E1371" s="25">
        <f>'Current Ratio'!G1508</f>
        <v>5.0869000234467912</v>
      </c>
      <c r="F1371" s="25">
        <f>'Cash Ratio'!G1508</f>
        <v>1.3556765246770417E-2</v>
      </c>
      <c r="G1371" s="25">
        <f>DAR!G1508</f>
        <v>0.70735981402512205</v>
      </c>
      <c r="H1371" s="25">
        <f>DER!G1508</f>
        <v>2.4171656796508674</v>
      </c>
      <c r="I1371" s="25">
        <f>NPM!G1508</f>
        <v>8.4048116042428171E-3</v>
      </c>
      <c r="J1371" s="25">
        <f>ROA!G1508</f>
        <v>2.7852331693863181E-3</v>
      </c>
      <c r="K1371" s="25">
        <f>ROE!G1508</f>
        <v>9.517603196252139E-3</v>
      </c>
      <c r="L1371" s="25">
        <f>KM!E1508</f>
        <v>0.59279999999999999</v>
      </c>
      <c r="M1371" s="24">
        <f>KI!E1508</f>
        <v>1</v>
      </c>
      <c r="N1371" s="108">
        <f>IO!E1508</f>
        <v>0</v>
      </c>
      <c r="O1371" s="24">
        <f>'BoC Size'!E1508</f>
        <v>3</v>
      </c>
      <c r="P1371" s="24">
        <f>'TMT E DK'!E1508</f>
        <v>10</v>
      </c>
      <c r="Q1371" s="24">
        <f>Data!R1508</f>
        <v>3</v>
      </c>
      <c r="R1371" s="24">
        <f>Data!S1508</f>
        <v>3</v>
      </c>
      <c r="S1371" s="24">
        <f>'TMT E DK'!E1508</f>
        <v>10</v>
      </c>
      <c r="T1371" s="24">
        <f>'TMT E DD'!E1508</f>
        <v>7</v>
      </c>
      <c r="U1371" s="24">
        <f>TA!E1508</f>
        <v>4965832000000</v>
      </c>
      <c r="V1371" s="109">
        <f>PR!F1508</f>
        <v>0.11139964610376454</v>
      </c>
      <c r="W1371" s="109">
        <f>'Z Score'!I1508</f>
        <v>1.9111752149488745</v>
      </c>
      <c r="X1371" s="109">
        <f>'Z Score'!L1508</f>
        <v>0.63256840344175957</v>
      </c>
      <c r="Y1371" s="109">
        <f>'Z Score'!O1508</f>
        <v>5.4977035066832707E-2</v>
      </c>
      <c r="Z1371" s="109">
        <f>'Z Score'!R1508</f>
        <v>0.43439306160910773</v>
      </c>
      <c r="AA1371" s="109">
        <f>'Z Score'!S1508</f>
        <v>3.0331137150665741</v>
      </c>
    </row>
    <row r="1372" spans="1:27" ht="15" customHeight="1" x14ac:dyDescent="0.3">
      <c r="A1372" s="22"/>
      <c r="B1372" s="23">
        <v>138</v>
      </c>
      <c r="C1372" s="1" t="s">
        <v>143</v>
      </c>
      <c r="D1372" s="23">
        <v>2015</v>
      </c>
      <c r="E1372" s="25">
        <f>'Current Ratio'!G1510</f>
        <v>0</v>
      </c>
      <c r="F1372" s="25">
        <f>'Cash Ratio'!G1510</f>
        <v>0</v>
      </c>
      <c r="G1372" s="25">
        <f>DAR!G1510</f>
        <v>0</v>
      </c>
      <c r="H1372" s="25">
        <f>DER!G1510</f>
        <v>0</v>
      </c>
      <c r="I1372" s="25">
        <f>NPM!G1510</f>
        <v>0</v>
      </c>
      <c r="J1372" s="25">
        <f>ROA!G1510</f>
        <v>0</v>
      </c>
      <c r="K1372" s="25">
        <f>ROE!G1510</f>
        <v>0</v>
      </c>
      <c r="L1372" s="25">
        <f>KM!E1510</f>
        <v>0</v>
      </c>
      <c r="M1372" s="24">
        <f>KI!E1510</f>
        <v>0</v>
      </c>
      <c r="N1372" s="108">
        <f>IO!E1510</f>
        <v>0</v>
      </c>
      <c r="O1372" s="24">
        <f>'BoC Size'!E1510</f>
        <v>0</v>
      </c>
      <c r="P1372" s="24">
        <f>'TMT E DK'!E1510</f>
        <v>0</v>
      </c>
      <c r="Q1372" s="24">
        <f>Data!R1510</f>
        <v>0</v>
      </c>
      <c r="R1372" s="24">
        <f>Data!S1510</f>
        <v>0</v>
      </c>
      <c r="S1372" s="24">
        <f>'TMT E DK'!E1510</f>
        <v>0</v>
      </c>
      <c r="T1372" s="24">
        <f>'TMT E DD'!E1510</f>
        <v>0</v>
      </c>
      <c r="U1372" s="24">
        <f>TA!E1510</f>
        <v>0</v>
      </c>
      <c r="V1372" s="109">
        <f>PR!F1510</f>
        <v>0</v>
      </c>
      <c r="W1372" s="109">
        <f>'Z Score'!I1510</f>
        <v>0</v>
      </c>
      <c r="X1372" s="109">
        <f>'Z Score'!L1510</f>
        <v>0</v>
      </c>
      <c r="Y1372" s="109">
        <f>'Z Score'!O1510</f>
        <v>0</v>
      </c>
      <c r="Z1372" s="109">
        <f>'Z Score'!R1510</f>
        <v>0</v>
      </c>
      <c r="AA1372" s="109">
        <f>'Z Score'!S1510</f>
        <v>0</v>
      </c>
    </row>
    <row r="1373" spans="1:27" ht="15" customHeight="1" x14ac:dyDescent="0.3">
      <c r="A1373" s="22"/>
      <c r="B1373" s="23"/>
      <c r="C1373" s="1"/>
      <c r="D1373" s="23">
        <v>2016</v>
      </c>
      <c r="E1373" s="25">
        <f>'Current Ratio'!G1511</f>
        <v>0</v>
      </c>
      <c r="F1373" s="25">
        <f>'Cash Ratio'!G1511</f>
        <v>0</v>
      </c>
      <c r="G1373" s="25">
        <f>DAR!G1511</f>
        <v>0</v>
      </c>
      <c r="H1373" s="25">
        <f>DER!G1511</f>
        <v>0</v>
      </c>
      <c r="I1373" s="25">
        <f>NPM!G1511</f>
        <v>0</v>
      </c>
      <c r="J1373" s="25">
        <f>ROA!G1511</f>
        <v>0</v>
      </c>
      <c r="K1373" s="25">
        <f>ROE!G1511</f>
        <v>0</v>
      </c>
      <c r="L1373" s="25">
        <f>KM!E1511</f>
        <v>0</v>
      </c>
      <c r="M1373" s="24">
        <f>KI!E1511</f>
        <v>0</v>
      </c>
      <c r="N1373" s="108">
        <f>IO!E1511</f>
        <v>0</v>
      </c>
      <c r="O1373" s="24">
        <f>'BoC Size'!E1511</f>
        <v>0</v>
      </c>
      <c r="P1373" s="24">
        <f>'TMT E DK'!E1511</f>
        <v>0</v>
      </c>
      <c r="Q1373" s="24">
        <f>Data!R1511</f>
        <v>0</v>
      </c>
      <c r="R1373" s="24">
        <f>Data!S1511</f>
        <v>0</v>
      </c>
      <c r="S1373" s="24">
        <f>'TMT E DK'!E1511</f>
        <v>0</v>
      </c>
      <c r="T1373" s="24">
        <f>'TMT E DD'!E1511</f>
        <v>0</v>
      </c>
      <c r="U1373" s="24">
        <f>TA!E1511</f>
        <v>0</v>
      </c>
      <c r="V1373" s="109">
        <f>PR!F1511</f>
        <v>0</v>
      </c>
      <c r="W1373" s="109">
        <f>'Z Score'!I1511</f>
        <v>0</v>
      </c>
      <c r="X1373" s="109">
        <f>'Z Score'!L1511</f>
        <v>0</v>
      </c>
      <c r="Y1373" s="109">
        <f>'Z Score'!O1511</f>
        <v>0</v>
      </c>
      <c r="Z1373" s="109">
        <f>'Z Score'!R1511</f>
        <v>0</v>
      </c>
      <c r="AA1373" s="109">
        <f>'Z Score'!S1511</f>
        <v>0</v>
      </c>
    </row>
    <row r="1374" spans="1:27" ht="15" customHeight="1" x14ac:dyDescent="0.3">
      <c r="A1374" s="22"/>
      <c r="B1374" s="23"/>
      <c r="C1374" s="1"/>
      <c r="D1374" s="23">
        <v>2017</v>
      </c>
      <c r="E1374" s="25">
        <f>'Current Ratio'!G1512</f>
        <v>0</v>
      </c>
      <c r="F1374" s="25">
        <f>'Cash Ratio'!G1512</f>
        <v>0</v>
      </c>
      <c r="G1374" s="25">
        <f>DAR!G1512</f>
        <v>0</v>
      </c>
      <c r="H1374" s="25">
        <f>DER!G1512</f>
        <v>0</v>
      </c>
      <c r="I1374" s="25">
        <f>NPM!G1512</f>
        <v>0</v>
      </c>
      <c r="J1374" s="25">
        <f>ROA!G1512</f>
        <v>0</v>
      </c>
      <c r="K1374" s="25">
        <f>ROE!G1512</f>
        <v>0</v>
      </c>
      <c r="L1374" s="25">
        <f>KM!E1512</f>
        <v>0</v>
      </c>
      <c r="M1374" s="24">
        <f>KI!E1512</f>
        <v>0</v>
      </c>
      <c r="N1374" s="108">
        <f>IO!E1512</f>
        <v>0</v>
      </c>
      <c r="O1374" s="24">
        <f>'BoC Size'!E1512</f>
        <v>0</v>
      </c>
      <c r="P1374" s="24">
        <f>'TMT E DK'!E1512</f>
        <v>0</v>
      </c>
      <c r="Q1374" s="24">
        <f>Data!R1512</f>
        <v>0</v>
      </c>
      <c r="R1374" s="24">
        <f>Data!S1512</f>
        <v>0</v>
      </c>
      <c r="S1374" s="24">
        <f>'TMT E DK'!E1512</f>
        <v>0</v>
      </c>
      <c r="T1374" s="24">
        <f>'TMT E DD'!E1512</f>
        <v>0</v>
      </c>
      <c r="U1374" s="24">
        <f>TA!E1512</f>
        <v>0</v>
      </c>
      <c r="V1374" s="109">
        <f>PR!F1512</f>
        <v>0</v>
      </c>
      <c r="W1374" s="109">
        <f>'Z Score'!I1512</f>
        <v>0</v>
      </c>
      <c r="X1374" s="109">
        <f>'Z Score'!L1512</f>
        <v>0</v>
      </c>
      <c r="Y1374" s="109">
        <f>'Z Score'!O1512</f>
        <v>0</v>
      </c>
      <c r="Z1374" s="109">
        <f>'Z Score'!R1512</f>
        <v>0</v>
      </c>
      <c r="AA1374" s="109">
        <f>'Z Score'!S1512</f>
        <v>0</v>
      </c>
    </row>
    <row r="1375" spans="1:27" ht="15" customHeight="1" x14ac:dyDescent="0.3">
      <c r="A1375" s="22"/>
      <c r="B1375" s="23"/>
      <c r="C1375" s="1"/>
      <c r="D1375" s="23">
        <v>2018</v>
      </c>
      <c r="E1375" s="25">
        <f>'Current Ratio'!G1513</f>
        <v>0</v>
      </c>
      <c r="F1375" s="25">
        <f>'Cash Ratio'!G1513</f>
        <v>0</v>
      </c>
      <c r="G1375" s="25">
        <f>DAR!G1513</f>
        <v>0</v>
      </c>
      <c r="H1375" s="25">
        <f>DER!G1513</f>
        <v>0</v>
      </c>
      <c r="I1375" s="25">
        <f>NPM!G1513</f>
        <v>0</v>
      </c>
      <c r="J1375" s="25">
        <f>ROA!G1513</f>
        <v>0</v>
      </c>
      <c r="K1375" s="25">
        <f>ROE!G1513</f>
        <v>0</v>
      </c>
      <c r="L1375" s="25">
        <f>KM!E1513</f>
        <v>0</v>
      </c>
      <c r="M1375" s="24">
        <f>KI!E1513</f>
        <v>0</v>
      </c>
      <c r="N1375" s="108">
        <f>IO!E1513</f>
        <v>0</v>
      </c>
      <c r="O1375" s="24">
        <f>'BoC Size'!E1513</f>
        <v>0</v>
      </c>
      <c r="P1375" s="24">
        <f>'TMT E DK'!E1513</f>
        <v>0</v>
      </c>
      <c r="Q1375" s="24">
        <f>Data!R1513</f>
        <v>0</v>
      </c>
      <c r="R1375" s="24">
        <f>Data!S1513</f>
        <v>0</v>
      </c>
      <c r="S1375" s="24">
        <f>'TMT E DK'!E1513</f>
        <v>0</v>
      </c>
      <c r="T1375" s="24">
        <f>'TMT E DD'!E1513</f>
        <v>0</v>
      </c>
      <c r="U1375" s="24">
        <f>TA!E1513</f>
        <v>0</v>
      </c>
      <c r="V1375" s="109">
        <f>PR!F1513</f>
        <v>0</v>
      </c>
      <c r="W1375" s="109">
        <f>'Z Score'!I1513</f>
        <v>0</v>
      </c>
      <c r="X1375" s="109">
        <f>'Z Score'!L1513</f>
        <v>0</v>
      </c>
      <c r="Y1375" s="109">
        <f>'Z Score'!O1513</f>
        <v>0</v>
      </c>
      <c r="Z1375" s="109">
        <f>'Z Score'!R1513</f>
        <v>0</v>
      </c>
      <c r="AA1375" s="109">
        <f>'Z Score'!S1513</f>
        <v>0</v>
      </c>
    </row>
    <row r="1376" spans="1:27" ht="15" customHeight="1" x14ac:dyDescent="0.3">
      <c r="A1376" s="22"/>
      <c r="B1376" s="23"/>
      <c r="C1376" s="1"/>
      <c r="D1376" s="23">
        <v>2019</v>
      </c>
      <c r="E1376" s="25">
        <f>'Current Ratio'!G1514</f>
        <v>0</v>
      </c>
      <c r="F1376" s="25">
        <f>'Cash Ratio'!G1514</f>
        <v>0</v>
      </c>
      <c r="G1376" s="25">
        <f>DAR!G1514</f>
        <v>0</v>
      </c>
      <c r="H1376" s="25">
        <f>DER!G1514</f>
        <v>0</v>
      </c>
      <c r="I1376" s="25">
        <f>NPM!G1514</f>
        <v>0</v>
      </c>
      <c r="J1376" s="25">
        <f>ROA!G1514</f>
        <v>0</v>
      </c>
      <c r="K1376" s="25">
        <f>ROE!G1514</f>
        <v>0</v>
      </c>
      <c r="L1376" s="25">
        <f>KM!E1514</f>
        <v>0</v>
      </c>
      <c r="M1376" s="24">
        <f>KI!E1514</f>
        <v>0</v>
      </c>
      <c r="N1376" s="108">
        <f>IO!E1514</f>
        <v>0</v>
      </c>
      <c r="O1376" s="24">
        <f>'BoC Size'!E1514</f>
        <v>0</v>
      </c>
      <c r="P1376" s="24">
        <f>'TMT E DK'!E1514</f>
        <v>0</v>
      </c>
      <c r="Q1376" s="24">
        <f>Data!R1514</f>
        <v>0</v>
      </c>
      <c r="R1376" s="24">
        <f>Data!S1514</f>
        <v>0</v>
      </c>
      <c r="S1376" s="24">
        <f>'TMT E DK'!E1514</f>
        <v>0</v>
      </c>
      <c r="T1376" s="24">
        <f>'TMT E DD'!E1514</f>
        <v>0</v>
      </c>
      <c r="U1376" s="24">
        <f>TA!E1514</f>
        <v>0</v>
      </c>
      <c r="V1376" s="109">
        <f>PR!F1514</f>
        <v>0</v>
      </c>
      <c r="W1376" s="109">
        <f>'Z Score'!I1514</f>
        <v>0</v>
      </c>
      <c r="X1376" s="109">
        <f>'Z Score'!L1514</f>
        <v>0</v>
      </c>
      <c r="Y1376" s="109">
        <f>'Z Score'!O1514</f>
        <v>0</v>
      </c>
      <c r="Z1376" s="109">
        <f>'Z Score'!R1514</f>
        <v>0</v>
      </c>
      <c r="AA1376" s="109">
        <f>'Z Score'!S1514</f>
        <v>0</v>
      </c>
    </row>
    <row r="1377" spans="1:27" ht="15" customHeight="1" x14ac:dyDescent="0.3">
      <c r="A1377" s="22"/>
      <c r="B1377" s="23"/>
      <c r="C1377" s="1"/>
      <c r="D1377" s="23">
        <v>2020</v>
      </c>
      <c r="E1377" s="25">
        <f>'Current Ratio'!G1515</f>
        <v>0</v>
      </c>
      <c r="F1377" s="25">
        <f>'Cash Ratio'!G1515</f>
        <v>0</v>
      </c>
      <c r="G1377" s="25">
        <f>DAR!G1515</f>
        <v>0</v>
      </c>
      <c r="H1377" s="25">
        <f>DER!G1515</f>
        <v>0</v>
      </c>
      <c r="I1377" s="25">
        <f>NPM!G1515</f>
        <v>0</v>
      </c>
      <c r="J1377" s="25">
        <f>ROA!G1515</f>
        <v>0</v>
      </c>
      <c r="K1377" s="25">
        <f>ROE!G1515</f>
        <v>0</v>
      </c>
      <c r="L1377" s="25">
        <f>KM!E1515</f>
        <v>0</v>
      </c>
      <c r="M1377" s="24">
        <f>KI!E1515</f>
        <v>0</v>
      </c>
      <c r="N1377" s="108">
        <f>IO!E1515</f>
        <v>0</v>
      </c>
      <c r="O1377" s="24">
        <f>'BoC Size'!E1515</f>
        <v>0</v>
      </c>
      <c r="P1377" s="24">
        <f>'TMT E DK'!E1515</f>
        <v>0</v>
      </c>
      <c r="Q1377" s="24">
        <f>Data!R1515</f>
        <v>0</v>
      </c>
      <c r="R1377" s="24">
        <f>Data!S1515</f>
        <v>0</v>
      </c>
      <c r="S1377" s="24">
        <f>'TMT E DK'!E1515</f>
        <v>0</v>
      </c>
      <c r="T1377" s="24">
        <f>'TMT E DD'!E1515</f>
        <v>0</v>
      </c>
      <c r="U1377" s="24">
        <f>TA!E1515</f>
        <v>0</v>
      </c>
      <c r="V1377" s="109">
        <f>PR!F1515</f>
        <v>0</v>
      </c>
      <c r="W1377" s="109">
        <f>'Z Score'!I1515</f>
        <v>0</v>
      </c>
      <c r="X1377" s="109">
        <f>'Z Score'!L1515</f>
        <v>0</v>
      </c>
      <c r="Y1377" s="109">
        <f>'Z Score'!O1515</f>
        <v>0</v>
      </c>
      <c r="Z1377" s="109">
        <f>'Z Score'!R1515</f>
        <v>0</v>
      </c>
      <c r="AA1377" s="109">
        <f>'Z Score'!S1515</f>
        <v>0</v>
      </c>
    </row>
    <row r="1378" spans="1:27" ht="15" customHeight="1" x14ac:dyDescent="0.3">
      <c r="A1378" s="22"/>
      <c r="B1378" s="23"/>
      <c r="C1378" s="1"/>
      <c r="D1378" s="23">
        <v>2021</v>
      </c>
      <c r="E1378" s="25">
        <f>'Current Ratio'!G1516</f>
        <v>0</v>
      </c>
      <c r="F1378" s="25">
        <f>'Cash Ratio'!G1516</f>
        <v>0</v>
      </c>
      <c r="G1378" s="25">
        <f>DAR!G1516</f>
        <v>0</v>
      </c>
      <c r="H1378" s="25">
        <f>DER!G1516</f>
        <v>0</v>
      </c>
      <c r="I1378" s="25">
        <f>NPM!G1516</f>
        <v>0</v>
      </c>
      <c r="J1378" s="25">
        <f>ROA!G1516</f>
        <v>0</v>
      </c>
      <c r="K1378" s="25">
        <f>ROE!G1516</f>
        <v>0</v>
      </c>
      <c r="L1378" s="25">
        <f>KM!E1516</f>
        <v>0</v>
      </c>
      <c r="M1378" s="24">
        <f>KI!E1516</f>
        <v>0</v>
      </c>
      <c r="N1378" s="108">
        <f>IO!E1516</f>
        <v>0</v>
      </c>
      <c r="O1378" s="24">
        <f>'BoC Size'!E1516</f>
        <v>0</v>
      </c>
      <c r="P1378" s="24">
        <f>'TMT E DK'!E1516</f>
        <v>0</v>
      </c>
      <c r="Q1378" s="24">
        <f>Data!R1516</f>
        <v>0</v>
      </c>
      <c r="R1378" s="24">
        <f>Data!S1516</f>
        <v>0</v>
      </c>
      <c r="S1378" s="24">
        <f>'TMT E DK'!E1516</f>
        <v>0</v>
      </c>
      <c r="T1378" s="24">
        <f>'TMT E DD'!E1516</f>
        <v>0</v>
      </c>
      <c r="U1378" s="24">
        <f>TA!E1516</f>
        <v>0</v>
      </c>
      <c r="V1378" s="109">
        <f>PR!F1516</f>
        <v>0</v>
      </c>
      <c r="W1378" s="109">
        <f>'Z Score'!I1516</f>
        <v>0</v>
      </c>
      <c r="X1378" s="109">
        <f>'Z Score'!L1516</f>
        <v>0</v>
      </c>
      <c r="Y1378" s="109">
        <f>'Z Score'!O1516</f>
        <v>0</v>
      </c>
      <c r="Z1378" s="109">
        <f>'Z Score'!R1516</f>
        <v>0</v>
      </c>
      <c r="AA1378" s="109">
        <f>'Z Score'!S1516</f>
        <v>0</v>
      </c>
    </row>
    <row r="1379" spans="1:27" ht="15" customHeight="1" x14ac:dyDescent="0.3">
      <c r="A1379" s="22"/>
      <c r="B1379" s="23"/>
      <c r="C1379" s="1"/>
      <c r="D1379" s="23">
        <v>2022</v>
      </c>
      <c r="E1379" s="25">
        <f>'Current Ratio'!G1517</f>
        <v>0</v>
      </c>
      <c r="F1379" s="25">
        <f>'Cash Ratio'!G1517</f>
        <v>0</v>
      </c>
      <c r="G1379" s="25">
        <f>DAR!G1517</f>
        <v>0</v>
      </c>
      <c r="H1379" s="25">
        <f>DER!G1517</f>
        <v>0</v>
      </c>
      <c r="I1379" s="25">
        <f>NPM!G1517</f>
        <v>0</v>
      </c>
      <c r="J1379" s="25">
        <f>ROA!G1517</f>
        <v>0</v>
      </c>
      <c r="K1379" s="25">
        <f>ROE!G1517</f>
        <v>0</v>
      </c>
      <c r="L1379" s="25">
        <f>KM!E1517</f>
        <v>0</v>
      </c>
      <c r="M1379" s="24">
        <f>KI!E1517</f>
        <v>0</v>
      </c>
      <c r="N1379" s="108">
        <f>IO!E1517</f>
        <v>0</v>
      </c>
      <c r="O1379" s="24">
        <f>'BoC Size'!E1517</f>
        <v>0</v>
      </c>
      <c r="P1379" s="24">
        <f>'TMT E DK'!E1517</f>
        <v>0</v>
      </c>
      <c r="Q1379" s="24">
        <f>Data!R1517</f>
        <v>0</v>
      </c>
      <c r="R1379" s="24">
        <f>Data!S1517</f>
        <v>0</v>
      </c>
      <c r="S1379" s="24">
        <f>'TMT E DK'!E1517</f>
        <v>0</v>
      </c>
      <c r="T1379" s="24">
        <f>'TMT E DD'!E1517</f>
        <v>0</v>
      </c>
      <c r="U1379" s="24">
        <f>TA!E1517</f>
        <v>0</v>
      </c>
      <c r="V1379" s="109">
        <f>PR!F1517</f>
        <v>0</v>
      </c>
      <c r="W1379" s="109">
        <f>'Z Score'!I1517</f>
        <v>0</v>
      </c>
      <c r="X1379" s="109">
        <f>'Z Score'!L1517</f>
        <v>0</v>
      </c>
      <c r="Y1379" s="109">
        <f>'Z Score'!O1517</f>
        <v>0</v>
      </c>
      <c r="Z1379" s="109">
        <f>'Z Score'!R1517</f>
        <v>0</v>
      </c>
      <c r="AA1379" s="109">
        <f>'Z Score'!S1517</f>
        <v>0</v>
      </c>
    </row>
    <row r="1380" spans="1:27" ht="15" customHeight="1" x14ac:dyDescent="0.3">
      <c r="A1380" s="22"/>
      <c r="B1380" s="23"/>
      <c r="C1380" s="1"/>
      <c r="D1380" s="23">
        <v>2023</v>
      </c>
      <c r="E1380" s="25">
        <f>'Current Ratio'!G1518</f>
        <v>0</v>
      </c>
      <c r="F1380" s="25">
        <f>'Cash Ratio'!G1518</f>
        <v>0</v>
      </c>
      <c r="G1380" s="25">
        <f>DAR!G1518</f>
        <v>0</v>
      </c>
      <c r="H1380" s="25">
        <f>DER!G1518</f>
        <v>0</v>
      </c>
      <c r="I1380" s="25">
        <f>NPM!G1518</f>
        <v>0</v>
      </c>
      <c r="J1380" s="25">
        <f>ROA!G1518</f>
        <v>0</v>
      </c>
      <c r="K1380" s="25">
        <f>ROE!G1518</f>
        <v>0</v>
      </c>
      <c r="L1380" s="25">
        <f>KM!E1518</f>
        <v>0</v>
      </c>
      <c r="M1380" s="24">
        <f>KI!E1518</f>
        <v>0</v>
      </c>
      <c r="N1380" s="108">
        <f>IO!E1518</f>
        <v>0</v>
      </c>
      <c r="O1380" s="24">
        <f>'BoC Size'!E1518</f>
        <v>0</v>
      </c>
      <c r="P1380" s="24">
        <f>'TMT E DK'!E1518</f>
        <v>0</v>
      </c>
      <c r="Q1380" s="24">
        <f>Data!R1518</f>
        <v>0</v>
      </c>
      <c r="R1380" s="24">
        <f>Data!S1518</f>
        <v>0</v>
      </c>
      <c r="S1380" s="24">
        <f>'TMT E DK'!E1518</f>
        <v>0</v>
      </c>
      <c r="T1380" s="24">
        <f>'TMT E DD'!E1518</f>
        <v>0</v>
      </c>
      <c r="U1380" s="24">
        <f>TA!E1518</f>
        <v>0</v>
      </c>
      <c r="V1380" s="109">
        <f>PR!F1518</f>
        <v>0</v>
      </c>
      <c r="W1380" s="109">
        <f>'Z Score'!I1518</f>
        <v>0</v>
      </c>
      <c r="X1380" s="109">
        <f>'Z Score'!L1518</f>
        <v>0</v>
      </c>
      <c r="Y1380" s="109">
        <f>'Z Score'!O1518</f>
        <v>0</v>
      </c>
      <c r="Z1380" s="109">
        <f>'Z Score'!R1518</f>
        <v>0</v>
      </c>
      <c r="AA1380" s="109">
        <f>'Z Score'!S1518</f>
        <v>0</v>
      </c>
    </row>
    <row r="1381" spans="1:27" ht="15" customHeight="1" x14ac:dyDescent="0.3">
      <c r="A1381" s="22"/>
      <c r="B1381" s="23"/>
      <c r="C1381" s="1"/>
      <c r="D1381" s="23">
        <v>2024</v>
      </c>
      <c r="E1381" s="25">
        <f>'Current Ratio'!G1519</f>
        <v>4.2759041660308252</v>
      </c>
      <c r="F1381" s="25">
        <f>'Cash Ratio'!G1519</f>
        <v>0</v>
      </c>
      <c r="G1381" s="25">
        <f>DAR!G1519</f>
        <v>5.2415362482153505E-2</v>
      </c>
      <c r="H1381" s="25">
        <f>DER!G1519</f>
        <v>5.5314702673370776E-2</v>
      </c>
      <c r="I1381" s="25">
        <f>NPM!G1519</f>
        <v>1.7635217074945428</v>
      </c>
      <c r="J1381" s="25">
        <f>ROA!G1519</f>
        <v>2.6515835288926329E-2</v>
      </c>
      <c r="K1381" s="25">
        <f>ROE!G1519</f>
        <v>2.7982550834069361E-2</v>
      </c>
      <c r="L1381" s="25">
        <f>KM!E1519</f>
        <v>0.99990000000000001</v>
      </c>
      <c r="M1381" s="24">
        <f>KI!E1519</f>
        <v>2</v>
      </c>
      <c r="N1381" s="108">
        <f>IO!E1519</f>
        <v>0</v>
      </c>
      <c r="O1381" s="24">
        <f>'BoC Size'!E1519</f>
        <v>3</v>
      </c>
      <c r="P1381" s="24">
        <f>'TMT E DK'!E1519</f>
        <v>5</v>
      </c>
      <c r="Q1381" s="24">
        <f>Data!R1519</f>
        <v>3</v>
      </c>
      <c r="R1381" s="24">
        <f>Data!S1519</f>
        <v>3</v>
      </c>
      <c r="S1381" s="24">
        <f>'TMT E DK'!E1519</f>
        <v>5</v>
      </c>
      <c r="T1381" s="24">
        <f>'TMT E DD'!E1519</f>
        <v>7</v>
      </c>
      <c r="U1381" s="24">
        <f>TA!E1519</f>
        <v>548427000000</v>
      </c>
      <c r="V1381" s="109">
        <f>PR!F1519</f>
        <v>0</v>
      </c>
      <c r="W1381" s="109">
        <f>'Z Score'!I1519</f>
        <v>0.25677714627470927</v>
      </c>
      <c r="X1381" s="109">
        <f>'Z Score'!L1519</f>
        <v>7.7436048918087544E-2</v>
      </c>
      <c r="Y1381" s="109">
        <f>'Z Score'!O1519</f>
        <v>5.1684107456416259E-2</v>
      </c>
      <c r="Z1381" s="109">
        <f>'Z Score'!R1519</f>
        <v>18.982294927989983</v>
      </c>
      <c r="AA1381" s="109">
        <f>'Z Score'!S1519</f>
        <v>19.368192230639195</v>
      </c>
    </row>
    <row r="1382" spans="1:27" ht="15" customHeight="1" x14ac:dyDescent="0.3">
      <c r="A1382" s="22"/>
      <c r="B1382" s="23">
        <v>139</v>
      </c>
      <c r="C1382" s="1" t="s">
        <v>137</v>
      </c>
      <c r="D1382" s="23">
        <v>2015</v>
      </c>
      <c r="E1382" s="25">
        <f>'Current Ratio'!G1521</f>
        <v>0.57048699589157459</v>
      </c>
      <c r="F1382" s="25">
        <f>'Cash Ratio'!G1521</f>
        <v>2.3354182836501768E-2</v>
      </c>
      <c r="G1382" s="25">
        <f>DAR!G1521</f>
        <v>0.70987137987810689</v>
      </c>
      <c r="H1382" s="25">
        <f>DER!G1521</f>
        <v>2.446747168822887</v>
      </c>
      <c r="I1382" s="25">
        <f>NPM!G1521</f>
        <v>7.6495769209721454E-2</v>
      </c>
      <c r="J1382" s="25">
        <f>ROA!G1521</f>
        <v>3.2052044499482762E-2</v>
      </c>
      <c r="K1382" s="25">
        <f>ROE!G1521</f>
        <v>0.1104752936335605</v>
      </c>
      <c r="L1382" s="25">
        <f>KM!E1521</f>
        <v>0.99990000000000001</v>
      </c>
      <c r="M1382" s="24">
        <f>KI!E1521</f>
        <v>0</v>
      </c>
      <c r="N1382" s="108">
        <f>IO!E1521</f>
        <v>0</v>
      </c>
      <c r="O1382" s="24">
        <f>'BoC Size'!E1521</f>
        <v>3</v>
      </c>
      <c r="P1382" s="24">
        <f>'TMT E DK'!E1521</f>
        <v>5</v>
      </c>
      <c r="Q1382" s="24">
        <f>Data!R1521</f>
        <v>3</v>
      </c>
      <c r="R1382" s="24">
        <f>Data!S1521</f>
        <v>2</v>
      </c>
      <c r="S1382" s="24">
        <f>'TMT E DK'!E1521</f>
        <v>5</v>
      </c>
      <c r="T1382" s="24">
        <f>'TMT E DD'!E1521</f>
        <v>6</v>
      </c>
      <c r="U1382" s="24">
        <f>TA!E1521</f>
        <v>6542316085964</v>
      </c>
      <c r="V1382" s="109">
        <f>PR!F1521</f>
        <v>0.73313885253165345</v>
      </c>
      <c r="W1382" s="109">
        <f>'Z Score'!I1521</f>
        <v>-1.637177276729368</v>
      </c>
      <c r="X1382" s="109">
        <f>'Z Score'!L1521</f>
        <v>0.31823419841102374</v>
      </c>
      <c r="Y1382" s="109">
        <f>'Z Score'!O1521</f>
        <v>0.21708670764295063</v>
      </c>
      <c r="Z1382" s="109">
        <f>'Z Score'!R1521</f>
        <v>0.42914119340951268</v>
      </c>
      <c r="AA1382" s="109">
        <f>'Z Score'!S1521</f>
        <v>-0.67271517726588104</v>
      </c>
    </row>
    <row r="1383" spans="1:27" ht="15" customHeight="1" x14ac:dyDescent="0.3">
      <c r="A1383" s="22"/>
      <c r="B1383" s="23"/>
      <c r="C1383" s="1"/>
      <c r="D1383" s="23">
        <v>2016</v>
      </c>
      <c r="E1383" s="25">
        <f>'Current Ratio'!G1522</f>
        <v>0.60198398438936784</v>
      </c>
      <c r="F1383" s="25">
        <f>'Cash Ratio'!G1522</f>
        <v>2.3592601858308183E-2</v>
      </c>
      <c r="G1383" s="25">
        <f>DAR!G1522</f>
        <v>0.66903536570375066</v>
      </c>
      <c r="H1383" s="25">
        <f>DER!G1522</f>
        <v>2.0214708656462514</v>
      </c>
      <c r="I1383" s="25">
        <f>NPM!G1522</f>
        <v>7.5281481615993975E-2</v>
      </c>
      <c r="J1383" s="25">
        <f>ROA!G1522</f>
        <v>3.746575883498509E-2</v>
      </c>
      <c r="K1383" s="25">
        <f>ROE!G1522</f>
        <v>0.11320169878401753</v>
      </c>
      <c r="L1383" s="25">
        <f>KM!E1522</f>
        <v>1</v>
      </c>
      <c r="M1383" s="24">
        <f>KI!E1522</f>
        <v>1</v>
      </c>
      <c r="N1383" s="108">
        <f>IO!E1522</f>
        <v>0</v>
      </c>
      <c r="O1383" s="24">
        <f>'BoC Size'!E1522</f>
        <v>4</v>
      </c>
      <c r="P1383" s="24">
        <f>'TMT E DK'!E1522</f>
        <v>13</v>
      </c>
      <c r="Q1383" s="24">
        <f>Data!R1522</f>
        <v>4</v>
      </c>
      <c r="R1383" s="24">
        <f>Data!S1522</f>
        <v>4</v>
      </c>
      <c r="S1383" s="24">
        <f>'TMT E DK'!E1522</f>
        <v>13</v>
      </c>
      <c r="T1383" s="24">
        <f>'TMT E DD'!E1522</f>
        <v>13</v>
      </c>
      <c r="U1383" s="24">
        <f>TA!E1522</f>
        <v>7102552587845</v>
      </c>
      <c r="V1383" s="109">
        <f>PR!F1522</f>
        <v>0.28946924884385872</v>
      </c>
      <c r="W1383" s="109">
        <f>'Z Score'!I1522</f>
        <v>-1.5123188384594004</v>
      </c>
      <c r="X1383" s="109">
        <f>'Z Score'!L1522</f>
        <v>0.31411226365064221</v>
      </c>
      <c r="Y1383" s="109">
        <f>'Z Score'!O1522</f>
        <v>0.27085390284295102</v>
      </c>
      <c r="Z1383" s="109">
        <f>'Z Score'!R1522</f>
        <v>0.51942376110591226</v>
      </c>
      <c r="AA1383" s="109">
        <f>'Z Score'!S1522</f>
        <v>-0.40792891085989491</v>
      </c>
    </row>
    <row r="1384" spans="1:27" ht="15" customHeight="1" x14ac:dyDescent="0.3">
      <c r="A1384" s="22"/>
      <c r="B1384" s="23"/>
      <c r="C1384" s="1"/>
      <c r="D1384" s="23">
        <v>2017</v>
      </c>
      <c r="E1384" s="25">
        <f>'Current Ratio'!G1523</f>
        <v>0.56058341355295493</v>
      </c>
      <c r="F1384" s="25">
        <f>'Cash Ratio'!G1523</f>
        <v>4.0702004350453451E-2</v>
      </c>
      <c r="G1384" s="25">
        <f>DAR!G1523</f>
        <v>0.64348017122533518</v>
      </c>
      <c r="H1384" s="25">
        <f>DER!G1523</f>
        <v>1.8048930782810431</v>
      </c>
      <c r="I1384" s="25">
        <f>NPM!G1523</f>
        <v>3.9913608734471799E-2</v>
      </c>
      <c r="J1384" s="25">
        <f>ROA!G1523</f>
        <v>1.9273534367242277E-2</v>
      </c>
      <c r="K1384" s="25">
        <f>ROE!G1523</f>
        <v>5.4060203140689669E-2</v>
      </c>
      <c r="L1384" s="25">
        <f>KM!E1523</f>
        <v>1</v>
      </c>
      <c r="M1384" s="24">
        <f>KI!E1523</f>
        <v>1</v>
      </c>
      <c r="N1384" s="108">
        <f>IO!E1523</f>
        <v>0</v>
      </c>
      <c r="O1384" s="24">
        <f>'BoC Size'!E1523</f>
        <v>4</v>
      </c>
      <c r="P1384" s="24">
        <f>'TMT E DK'!E1523</f>
        <v>13</v>
      </c>
      <c r="Q1384" s="24">
        <f>Data!R1523</f>
        <v>4</v>
      </c>
      <c r="R1384" s="24">
        <f>Data!S1523</f>
        <v>4</v>
      </c>
      <c r="S1384" s="24">
        <f>'TMT E DK'!E1523</f>
        <v>13</v>
      </c>
      <c r="T1384" s="24">
        <f>'TMT E DD'!E1523</f>
        <v>13</v>
      </c>
      <c r="U1384" s="24">
        <f>TA!E1523</f>
        <v>8087703411676</v>
      </c>
      <c r="V1384" s="109">
        <f>PR!F1523</f>
        <v>0.10485363828543537</v>
      </c>
      <c r="W1384" s="109">
        <f>'Z Score'!I1523</f>
        <v>-1.6533436567328963</v>
      </c>
      <c r="X1384" s="109">
        <f>'Z Score'!L1523</f>
        <v>0.32365325894679869</v>
      </c>
      <c r="Y1384" s="109">
        <f>'Z Score'!O1523</f>
        <v>0.13617544240017698</v>
      </c>
      <c r="Z1384" s="109">
        <f>'Z Score'!R1523</f>
        <v>0.58175191241799573</v>
      </c>
      <c r="AA1384" s="109">
        <f>'Z Score'!S1523</f>
        <v>-0.61176304296792483</v>
      </c>
    </row>
    <row r="1385" spans="1:27" ht="15" customHeight="1" x14ac:dyDescent="0.3">
      <c r="A1385" s="22"/>
      <c r="B1385" s="23"/>
      <c r="C1385" s="1"/>
      <c r="D1385" s="23">
        <v>2018</v>
      </c>
      <c r="E1385" s="25">
        <f>'Current Ratio'!G1524</f>
        <v>0.55099261709521241</v>
      </c>
      <c r="F1385" s="25">
        <f>'Cash Ratio'!G1524</f>
        <v>1.3082275005234543E-2</v>
      </c>
      <c r="G1385" s="25">
        <f>DAR!G1524</f>
        <v>0.66578272153839857</v>
      </c>
      <c r="H1385" s="25">
        <f>DER!G1524</f>
        <v>1.9920655347413201</v>
      </c>
      <c r="I1385" s="25">
        <f>NPM!G1524</f>
        <v>4.9168406256603944E-2</v>
      </c>
      <c r="J1385" s="25">
        <f>ROA!G1524</f>
        <v>2.3400043761561851E-2</v>
      </c>
      <c r="K1385" s="25">
        <f>ROE!G1524</f>
        <v>7.0014464450407848E-2</v>
      </c>
      <c r="L1385" s="25">
        <f>KM!E1524</f>
        <v>1</v>
      </c>
      <c r="M1385" s="24">
        <f>KI!E1524</f>
        <v>1</v>
      </c>
      <c r="N1385" s="108">
        <f>IO!E1524</f>
        <v>0</v>
      </c>
      <c r="O1385" s="24">
        <f>'BoC Size'!E1524</f>
        <v>4</v>
      </c>
      <c r="P1385" s="24">
        <f>'TMT E DK'!E1524</f>
        <v>13</v>
      </c>
      <c r="Q1385" s="24">
        <f>Data!R1524</f>
        <v>4</v>
      </c>
      <c r="R1385" s="24">
        <f>Data!S1524</f>
        <v>4</v>
      </c>
      <c r="S1385" s="24">
        <f>'TMT E DK'!E1524</f>
        <v>13</v>
      </c>
      <c r="T1385" s="24">
        <f>'TMT E DD'!E1524</f>
        <v>13</v>
      </c>
      <c r="U1385" s="24">
        <f>TA!E1524</f>
        <v>8691696386615</v>
      </c>
      <c r="V1385" s="109">
        <f>PR!F1524</f>
        <v>5.9179342915871701E-2</v>
      </c>
      <c r="W1385" s="109">
        <f>'Z Score'!I1524</f>
        <v>-1.7759956716813279</v>
      </c>
      <c r="X1385" s="109">
        <f>'Z Score'!L1524</f>
        <v>0.3931978394659198</v>
      </c>
      <c r="Y1385" s="109">
        <f>'Z Score'!O1524</f>
        <v>0.15508252100085082</v>
      </c>
      <c r="Z1385" s="109">
        <f>'Z Score'!R1524</f>
        <v>0.5270910929827155</v>
      </c>
      <c r="AA1385" s="109">
        <f>'Z Score'!S1524</f>
        <v>-0.70062421823184184</v>
      </c>
    </row>
    <row r="1386" spans="1:27" ht="15" customHeight="1" x14ac:dyDescent="0.3">
      <c r="A1386" s="22"/>
      <c r="B1386" s="23"/>
      <c r="C1386" s="1"/>
      <c r="D1386" s="23">
        <v>2019</v>
      </c>
      <c r="E1386" s="25">
        <f>'Current Ratio'!G1525</f>
        <v>0.59506946163237906</v>
      </c>
      <c r="F1386" s="25">
        <f>'Cash Ratio'!G1525</f>
        <v>4.0885453517316032E-2</v>
      </c>
      <c r="G1386" s="25">
        <f>DAR!G1525</f>
        <v>0.67020595810488715</v>
      </c>
      <c r="H1386" s="25">
        <f>DER!G1525</f>
        <v>2.0321954704022165</v>
      </c>
      <c r="I1386" s="25">
        <f>NPM!G1525</f>
        <v>5.012628865551929E-2</v>
      </c>
      <c r="J1386" s="25">
        <f>ROA!G1525</f>
        <v>2.2469796370409696E-2</v>
      </c>
      <c r="K1386" s="25">
        <f>ROE!G1525</f>
        <v>6.8132814775216433E-2</v>
      </c>
      <c r="L1386" s="25">
        <f>KM!E1525</f>
        <v>1</v>
      </c>
      <c r="M1386" s="24">
        <f>KI!E1525</f>
        <v>1</v>
      </c>
      <c r="N1386" s="108">
        <f>IO!E1525</f>
        <v>0</v>
      </c>
      <c r="O1386" s="24">
        <f>'BoC Size'!E1525</f>
        <v>4</v>
      </c>
      <c r="P1386" s="24">
        <f>'TMT E DK'!E1525</f>
        <v>13</v>
      </c>
      <c r="Q1386" s="24">
        <f>Data!R1525</f>
        <v>4</v>
      </c>
      <c r="R1386" s="24">
        <f>Data!S1525</f>
        <v>3</v>
      </c>
      <c r="S1386" s="24">
        <f>'TMT E DK'!E1525</f>
        <v>13</v>
      </c>
      <c r="T1386" s="24">
        <f>'TMT E DD'!E1525</f>
        <v>9</v>
      </c>
      <c r="U1386" s="24">
        <f>TA!E1525</f>
        <v>9783822105104</v>
      </c>
      <c r="V1386" s="109">
        <f>PR!F1525</f>
        <v>6.0246989152685199E-2</v>
      </c>
      <c r="W1386" s="109">
        <f>'Z Score'!I1525</f>
        <v>-1.6357191226196242</v>
      </c>
      <c r="X1386" s="109">
        <f>'Z Score'!L1525</f>
        <v>0.4188131556456221</v>
      </c>
      <c r="Y1386" s="109">
        <f>'Z Score'!O1525</f>
        <v>0.15913822479131939</v>
      </c>
      <c r="Z1386" s="109">
        <f>'Z Score'!R1525</f>
        <v>0.5166825806339298</v>
      </c>
      <c r="AA1386" s="109">
        <f>'Z Score'!S1525</f>
        <v>-0.54108516154875297</v>
      </c>
    </row>
    <row r="1387" spans="1:27" ht="15" customHeight="1" x14ac:dyDescent="0.3">
      <c r="A1387" s="22"/>
      <c r="B1387" s="23"/>
      <c r="C1387" s="1"/>
      <c r="D1387" s="23">
        <v>2020</v>
      </c>
      <c r="E1387" s="25">
        <f>'Current Ratio'!G1526</f>
        <v>0.59341888264464404</v>
      </c>
      <c r="F1387" s="25">
        <f>'Cash Ratio'!G1526</f>
        <v>1.6681449995384564E-2</v>
      </c>
      <c r="G1387" s="25">
        <f>DAR!G1526</f>
        <v>0.67310672496010993</v>
      </c>
      <c r="H1387" s="25">
        <f>DER!G1526</f>
        <v>2.0591023932137245</v>
      </c>
      <c r="I1387" s="25">
        <f>NPM!G1526</f>
        <v>2.3834733602643203E-2</v>
      </c>
      <c r="J1387" s="25">
        <f>ROA!G1526</f>
        <v>9.9176574111209548E-3</v>
      </c>
      <c r="K1387" s="25">
        <f>ROE!G1526</f>
        <v>3.0339129521433944E-2</v>
      </c>
      <c r="L1387" s="25">
        <f>KM!E1526</f>
        <v>1</v>
      </c>
      <c r="M1387" s="24">
        <f>KI!E1526</f>
        <v>1</v>
      </c>
      <c r="N1387" s="108">
        <f>IO!E1526</f>
        <v>0</v>
      </c>
      <c r="O1387" s="24">
        <f>'BoC Size'!E1526</f>
        <v>4</v>
      </c>
      <c r="P1387" s="24">
        <f>'TMT E DK'!E1526</f>
        <v>13</v>
      </c>
      <c r="Q1387" s="24">
        <f>Data!R1526</f>
        <v>4</v>
      </c>
      <c r="R1387" s="24">
        <f>Data!S1526</f>
        <v>5</v>
      </c>
      <c r="S1387" s="24">
        <f>'TMT E DK'!E1526</f>
        <v>13</v>
      </c>
      <c r="T1387" s="24">
        <f>'TMT E DD'!E1526</f>
        <v>11</v>
      </c>
      <c r="U1387" s="24">
        <f>TA!E1526</f>
        <v>10491570839836</v>
      </c>
      <c r="V1387" s="109">
        <f>PR!F1526</f>
        <v>-4.6010372972386405E-3</v>
      </c>
      <c r="W1387" s="109">
        <f>'Z Score'!I1526</f>
        <v>-1.6621963606018295</v>
      </c>
      <c r="X1387" s="109">
        <f>'Z Score'!L1526</f>
        <v>0.42582793846651423</v>
      </c>
      <c r="Y1387" s="109">
        <f>'Z Score'!O1526</f>
        <v>6.0677638234805181E-2</v>
      </c>
      <c r="Z1387" s="109">
        <f>'Z Score'!R1526</f>
        <v>0.50993093080777907</v>
      </c>
      <c r="AA1387" s="109">
        <f>'Z Score'!S1526</f>
        <v>-0.66575985309273111</v>
      </c>
    </row>
    <row r="1388" spans="1:27" ht="15" customHeight="1" x14ac:dyDescent="0.3">
      <c r="A1388" s="22"/>
      <c r="B1388" s="23"/>
      <c r="C1388" s="1"/>
      <c r="D1388" s="23">
        <v>2021</v>
      </c>
      <c r="E1388" s="25">
        <f>'Current Ratio'!G1527</f>
        <v>0.55473399860184969</v>
      </c>
      <c r="F1388" s="25">
        <f>'Cash Ratio'!G1527</f>
        <v>1.9107403755576898E-2</v>
      </c>
      <c r="G1388" s="25">
        <f>DAR!G1527</f>
        <v>0.75250570254170246</v>
      </c>
      <c r="H1388" s="25">
        <f>DER!G1527</f>
        <v>3.0404971357713757</v>
      </c>
      <c r="I1388" s="25">
        <f>NPM!G1527</f>
        <v>-0.13072928289712871</v>
      </c>
      <c r="J1388" s="25">
        <f>ROA!G1527</f>
        <v>-4.6548846823555361E-2</v>
      </c>
      <c r="K1388" s="25">
        <f>ROE!G1527</f>
        <v>-0.18808048226403593</v>
      </c>
      <c r="L1388" s="25">
        <f>KM!E1527</f>
        <v>1</v>
      </c>
      <c r="M1388" s="24">
        <f>KI!E1527</f>
        <v>2</v>
      </c>
      <c r="N1388" s="108">
        <f>IO!E1527</f>
        <v>0</v>
      </c>
      <c r="O1388" s="24">
        <f>'BoC Size'!E1527</f>
        <v>4</v>
      </c>
      <c r="P1388" s="24">
        <f>'TMT E DK'!E1527</f>
        <v>15</v>
      </c>
      <c r="Q1388" s="24">
        <f>Data!R1527</f>
        <v>4</v>
      </c>
      <c r="R1388" s="24">
        <f>Data!S1527</f>
        <v>5</v>
      </c>
      <c r="S1388" s="24">
        <f>'TMT E DK'!E1527</f>
        <v>15</v>
      </c>
      <c r="T1388" s="24">
        <f>'TMT E DD'!E1527</f>
        <v>13</v>
      </c>
      <c r="U1388" s="24">
        <f>TA!E1527</f>
        <v>11125019322948</v>
      </c>
      <c r="V1388" s="109">
        <f>PR!F1527</f>
        <v>-9.2602655054959626E-2</v>
      </c>
      <c r="W1388" s="109">
        <f>'Z Score'!I1527</f>
        <v>-2.0254205063933624</v>
      </c>
      <c r="X1388" s="109">
        <f>'Z Score'!L1527</f>
        <v>0.24824808161154047</v>
      </c>
      <c r="Y1388" s="109">
        <f>'Z Score'!O1527</f>
        <v>-0.3433853037145701</v>
      </c>
      <c r="Z1388" s="109">
        <f>'Z Score'!R1527</f>
        <v>0.34533826315663163</v>
      </c>
      <c r="AA1388" s="109">
        <f>'Z Score'!S1527</f>
        <v>-1.7752194653397604</v>
      </c>
    </row>
    <row r="1389" spans="1:27" ht="15" customHeight="1" x14ac:dyDescent="0.3">
      <c r="A1389" s="22"/>
      <c r="B1389" s="23"/>
      <c r="C1389" s="1"/>
      <c r="D1389" s="23">
        <v>2022</v>
      </c>
      <c r="E1389" s="25">
        <f>'Current Ratio'!G1528</f>
        <v>0.54506557302018133</v>
      </c>
      <c r="F1389" s="25">
        <f>'Cash Ratio'!G1528</f>
        <v>8.1513223242866955E-3</v>
      </c>
      <c r="G1389" s="25">
        <f>DAR!G1528</f>
        <v>0.77464997600887553</v>
      </c>
      <c r="H1389" s="25">
        <f>DER!G1528</f>
        <v>3.4375411295247313</v>
      </c>
      <c r="I1389" s="25">
        <f>NPM!G1528</f>
        <v>-5.249786769779545E-2</v>
      </c>
      <c r="J1389" s="25">
        <f>ROA!G1528</f>
        <v>-1.9241751904818808E-2</v>
      </c>
      <c r="K1389" s="25">
        <f>ROE!G1528</f>
        <v>-8.5386065481744308E-2</v>
      </c>
      <c r="L1389" s="25">
        <f>KM!E1528</f>
        <v>1</v>
      </c>
      <c r="M1389" s="24">
        <f>KI!E1528</f>
        <v>3</v>
      </c>
      <c r="N1389" s="108">
        <f>IO!E1528</f>
        <v>0</v>
      </c>
      <c r="O1389" s="24">
        <f>'BoC Size'!E1528</f>
        <v>5</v>
      </c>
      <c r="P1389" s="24">
        <f>'TMT E DK'!E1528</f>
        <v>16</v>
      </c>
      <c r="Q1389" s="24">
        <f>Data!R1528</f>
        <v>5</v>
      </c>
      <c r="R1389" s="24">
        <f>Data!S1528</f>
        <v>5</v>
      </c>
      <c r="S1389" s="24">
        <f>'TMT E DK'!E1528</f>
        <v>16</v>
      </c>
      <c r="T1389" s="24">
        <f>'TMT E DD'!E1528</f>
        <v>13</v>
      </c>
      <c r="U1389" s="24">
        <f>TA!E1528</f>
        <v>11382483837823</v>
      </c>
      <c r="V1389" s="109">
        <f>PR!F1528</f>
        <v>5.3181368314171924E-2</v>
      </c>
      <c r="W1389" s="109">
        <f>'Z Score'!I1528</f>
        <v>-2.1612034130654263</v>
      </c>
      <c r="X1389" s="109">
        <f>'Z Score'!L1528</f>
        <v>0.18441837839116307</v>
      </c>
      <c r="Y1389" s="109">
        <f>'Z Score'!O1528</f>
        <v>-0.14351795970739181</v>
      </c>
      <c r="Z1389" s="109">
        <f>'Z Score'!R1528</f>
        <v>0.30545089074910103</v>
      </c>
      <c r="AA1389" s="109">
        <f>'Z Score'!S1528</f>
        <v>-1.8148521036325538</v>
      </c>
    </row>
    <row r="1390" spans="1:27" ht="15" customHeight="1" x14ac:dyDescent="0.3">
      <c r="A1390" s="22"/>
      <c r="B1390" s="23"/>
      <c r="C1390" s="1"/>
      <c r="D1390" s="23">
        <v>2023</v>
      </c>
      <c r="E1390" s="25">
        <f>'Current Ratio'!G1529</f>
        <v>0.63335581141379693</v>
      </c>
      <c r="F1390" s="25">
        <f>'Cash Ratio'!G1529</f>
        <v>1.6926120124824796E-2</v>
      </c>
      <c r="G1390" s="25">
        <f>DAR!G1529</f>
        <v>0.80954659178111277</v>
      </c>
      <c r="H1390" s="25">
        <f>DER!G1529</f>
        <v>4.2506280110813481</v>
      </c>
      <c r="I1390" s="25">
        <f>NPM!G1529</f>
        <v>1.6532643117369815E-2</v>
      </c>
      <c r="J1390" s="25">
        <f>ROA!G1529</f>
        <v>3.9446329475200555E-3</v>
      </c>
      <c r="K1390" s="25">
        <f>ROE!G1529</f>
        <v>2.0711800247683185E-2</v>
      </c>
      <c r="L1390" s="25">
        <f>KM!E1529</f>
        <v>1</v>
      </c>
      <c r="M1390" s="24">
        <f>KI!E1529</f>
        <v>3</v>
      </c>
      <c r="N1390" s="108">
        <f>IO!E1529</f>
        <v>0</v>
      </c>
      <c r="O1390" s="24">
        <f>'BoC Size'!E1529</f>
        <v>5</v>
      </c>
      <c r="P1390" s="24">
        <f>'TMT E DK'!E1529</f>
        <v>16</v>
      </c>
      <c r="Q1390" s="24">
        <f>Data!R1529</f>
        <v>5</v>
      </c>
      <c r="R1390" s="24">
        <f>Data!S1529</f>
        <v>5</v>
      </c>
      <c r="S1390" s="24">
        <f>'TMT E DK'!E1529</f>
        <v>16</v>
      </c>
      <c r="T1390" s="24">
        <f>'TMT E DD'!E1529</f>
        <v>13</v>
      </c>
      <c r="U1390" s="24">
        <f>TA!E1529</f>
        <v>14206716404940</v>
      </c>
      <c r="V1390" s="109">
        <f>PR!F1529</f>
        <v>-0.18750999139038513</v>
      </c>
      <c r="W1390" s="109">
        <f>'Z Score'!I1529</f>
        <v>-1.8595042077634523</v>
      </c>
      <c r="X1390" s="109">
        <f>'Z Score'!L1529</f>
        <v>0.15473270989415402</v>
      </c>
      <c r="Y1390" s="109">
        <f>'Z Score'!O1529</f>
        <v>4.1380959235673776E-3</v>
      </c>
      <c r="Z1390" s="109">
        <f>'Z Score'!R1529</f>
        <v>0.24702232170461863</v>
      </c>
      <c r="AA1390" s="109">
        <f>'Z Score'!S1529</f>
        <v>-1.4536110802411124</v>
      </c>
    </row>
    <row r="1391" spans="1:27" ht="15" customHeight="1" x14ac:dyDescent="0.3">
      <c r="A1391" s="22"/>
      <c r="B1391" s="23"/>
      <c r="C1391" s="1"/>
      <c r="D1391" s="23">
        <v>2024</v>
      </c>
      <c r="E1391" s="25">
        <f>'Current Ratio'!G1530</f>
        <v>0.61404605752038566</v>
      </c>
      <c r="F1391" s="25">
        <f>'Cash Ratio'!G1530</f>
        <v>2.2909344850692317E-2</v>
      </c>
      <c r="G1391" s="25">
        <f>DAR!G1530</f>
        <v>0.83493028663555646</v>
      </c>
      <c r="H1391" s="25">
        <f>DER!G1530</f>
        <v>5.0580465042196074</v>
      </c>
      <c r="I1391" s="25">
        <f>NPM!G1530</f>
        <v>2.0740201649384719E-2</v>
      </c>
      <c r="J1391" s="25">
        <f>ROA!G1530</f>
        <v>4.7578516788434246E-3</v>
      </c>
      <c r="K1391" s="25">
        <f>ROE!G1530</f>
        <v>2.8823286730612799E-2</v>
      </c>
      <c r="L1391" s="25">
        <f>KM!E1530</f>
        <v>1</v>
      </c>
      <c r="M1391" s="24">
        <f>KI!E1530</f>
        <v>3</v>
      </c>
      <c r="N1391" s="108">
        <f>IO!E1530</f>
        <v>0</v>
      </c>
      <c r="O1391" s="24">
        <f>'BoC Size'!E1530</f>
        <v>3</v>
      </c>
      <c r="P1391" s="24">
        <f>'TMT E DK'!E1530</f>
        <v>10</v>
      </c>
      <c r="Q1391" s="24">
        <f>Data!R1530</f>
        <v>3</v>
      </c>
      <c r="R1391" s="24">
        <f>Data!S1530</f>
        <v>5</v>
      </c>
      <c r="S1391" s="24">
        <f>'TMT E DK'!E1530</f>
        <v>10</v>
      </c>
      <c r="T1391" s="24">
        <f>'TMT E DD'!E1530</f>
        <v>13</v>
      </c>
      <c r="U1391" s="24">
        <f>TA!E1530</f>
        <v>15296696649798</v>
      </c>
      <c r="V1391" s="109">
        <f>PR!F1530</f>
        <v>3.5231696946505291E-2</v>
      </c>
      <c r="W1391" s="109">
        <f>'Z Score'!I1530</f>
        <v>-2.0019864356473485</v>
      </c>
      <c r="X1391" s="109">
        <f>'Z Score'!L1530</f>
        <v>0.16069827079841587</v>
      </c>
      <c r="Y1391" s="109">
        <f>'Z Score'!O1530</f>
        <v>4.473439707882527E-3</v>
      </c>
      <c r="Z1391" s="109">
        <f>'Z Score'!R1530</f>
        <v>0.20759002494817941</v>
      </c>
      <c r="AA1391" s="109">
        <f>'Z Score'!S1530</f>
        <v>-1.6292247001928706</v>
      </c>
    </row>
    <row r="1392" spans="1:27" ht="15" customHeight="1" x14ac:dyDescent="0.3">
      <c r="A1392" s="22"/>
      <c r="B1392" s="23">
        <v>140</v>
      </c>
      <c r="C1392" s="1" t="s">
        <v>139</v>
      </c>
      <c r="D1392" s="23">
        <v>2015</v>
      </c>
      <c r="E1392" s="25">
        <f>'Current Ratio'!G1532</f>
        <v>2.4719026814701994</v>
      </c>
      <c r="F1392" s="25">
        <f>'Cash Ratio'!G1532</f>
        <v>8.1706681630526273E-2</v>
      </c>
      <c r="G1392" s="25">
        <f>DAR!G1532</f>
        <v>0.35782745642203245</v>
      </c>
      <c r="H1392" s="25">
        <f>DER!G1532</f>
        <v>0.55721565865334055</v>
      </c>
      <c r="I1392" s="25">
        <f>NPM!G1532</f>
        <v>0.34255793867856627</v>
      </c>
      <c r="J1392" s="25">
        <f>ROA!G1532</f>
        <v>0.13637340439248721</v>
      </c>
      <c r="K1392" s="25">
        <f>ROE!G1532</f>
        <v>0.21236323537379409</v>
      </c>
      <c r="L1392" s="25">
        <f>KM!E1532</f>
        <v>0.4506</v>
      </c>
      <c r="M1392" s="24">
        <f>KI!E1532</f>
        <v>1</v>
      </c>
      <c r="N1392" s="108">
        <f>IO!E1532</f>
        <v>0</v>
      </c>
      <c r="O1392" s="24">
        <f>'BoC Size'!E1532</f>
        <v>5</v>
      </c>
      <c r="P1392" s="24">
        <f>'TMT E DK'!E1532</f>
        <v>11</v>
      </c>
      <c r="Q1392" s="24">
        <f>Data!R1532</f>
        <v>5</v>
      </c>
      <c r="R1392" s="24">
        <f>Data!S1532</f>
        <v>3</v>
      </c>
      <c r="S1392" s="24">
        <f>'TMT E DK'!E1532</f>
        <v>11</v>
      </c>
      <c r="T1392" s="24">
        <f>'TMT E DD'!E1532</f>
        <v>3</v>
      </c>
      <c r="U1392" s="24">
        <f>TA!E1532</f>
        <v>488607000000</v>
      </c>
      <c r="V1392" s="109">
        <f>PR!F1532</f>
        <v>0.37018800673414903</v>
      </c>
      <c r="W1392" s="109">
        <f>'Z Score'!I1532</f>
        <v>0.98606692085868597</v>
      </c>
      <c r="X1392" s="109">
        <f>'Z Score'!L1532</f>
        <v>1.7590337019322277</v>
      </c>
      <c r="Y1392" s="109">
        <f>'Z Score'!O1532</f>
        <v>1.1706330854858813</v>
      </c>
      <c r="Z1392" s="109">
        <f>'Z Score'!R1532</f>
        <v>1.8843691552703377</v>
      </c>
      <c r="AA1392" s="109">
        <f>'Z Score'!S1532</f>
        <v>5.8001028635471323</v>
      </c>
    </row>
    <row r="1393" spans="1:27" ht="15" customHeight="1" x14ac:dyDescent="0.3">
      <c r="A1393" s="22"/>
      <c r="B1393" s="23"/>
      <c r="C1393" s="1"/>
      <c r="D1393" s="23">
        <v>2016</v>
      </c>
      <c r="E1393" s="25">
        <f>'Current Ratio'!G1533</f>
        <v>2.4249584421752552</v>
      </c>
      <c r="F1393" s="25">
        <f>'Cash Ratio'!G1533</f>
        <v>0.10867371170743291</v>
      </c>
      <c r="G1393" s="25">
        <f>DAR!G1533</f>
        <v>0.28185204875493419</v>
      </c>
      <c r="H1393" s="25">
        <f>DER!G1533</f>
        <v>0.39247179158994827</v>
      </c>
      <c r="I1393" s="25">
        <f>NPM!G1533</f>
        <v>0.37778978362462518</v>
      </c>
      <c r="J1393" s="25">
        <f>ROA!G1533</f>
        <v>0.1361753588558676</v>
      </c>
      <c r="K1393" s="25">
        <f>ROE!G1533</f>
        <v>0.18962071518251064</v>
      </c>
      <c r="L1393" s="25">
        <f>KM!E1533</f>
        <v>0.45129999999999998</v>
      </c>
      <c r="M1393" s="24">
        <f>KI!E1533</f>
        <v>1</v>
      </c>
      <c r="N1393" s="108">
        <f>IO!E1533</f>
        <v>0</v>
      </c>
      <c r="O1393" s="24">
        <f>'BoC Size'!E1533</f>
        <v>4</v>
      </c>
      <c r="P1393" s="24">
        <f>'TMT E DK'!E1533</f>
        <v>8</v>
      </c>
      <c r="Q1393" s="24">
        <f>Data!R1533</f>
        <v>4</v>
      </c>
      <c r="R1393" s="24">
        <f>Data!S1533</f>
        <v>3</v>
      </c>
      <c r="S1393" s="24">
        <f>'TMT E DK'!E1533</f>
        <v>8</v>
      </c>
      <c r="T1393" s="24">
        <f>'TMT E DD'!E1533</f>
        <v>3</v>
      </c>
      <c r="U1393" s="24">
        <f>TA!E1533</f>
        <v>513507000000</v>
      </c>
      <c r="V1393" s="109">
        <f>PR!F1533</f>
        <v>-4.8433033786423739E-2</v>
      </c>
      <c r="W1393" s="109">
        <f>'Z Score'!I1533</f>
        <v>0.61324624591290866</v>
      </c>
      <c r="X1393" s="109">
        <f>'Z Score'!L1533</f>
        <v>2.0229309824403563</v>
      </c>
      <c r="Y1393" s="109">
        <f>'Z Score'!O1533</f>
        <v>1.1504326133820961</v>
      </c>
      <c r="Z1393" s="109">
        <f>'Z Score'!R1533</f>
        <v>2.6753515093309752</v>
      </c>
      <c r="AA1393" s="109">
        <f>'Z Score'!S1533</f>
        <v>6.4619613510663365</v>
      </c>
    </row>
    <row r="1394" spans="1:27" ht="15" customHeight="1" x14ac:dyDescent="0.3">
      <c r="A1394" s="22"/>
      <c r="B1394" s="23"/>
      <c r="C1394" s="1"/>
      <c r="D1394" s="23">
        <v>2017</v>
      </c>
      <c r="E1394" s="25">
        <f>'Current Ratio'!G1534</f>
        <v>2.4735143345357891</v>
      </c>
      <c r="F1394" s="25">
        <f>'Cash Ratio'!G1534</f>
        <v>0.10627491930890449</v>
      </c>
      <c r="G1394" s="25">
        <f>DAR!G1534</f>
        <v>0.26954363126709519</v>
      </c>
      <c r="H1394" s="25">
        <f>DER!G1534</f>
        <v>0.36900716155663388</v>
      </c>
      <c r="I1394" s="25">
        <f>NPM!G1534</f>
        <v>0.55077640415793305</v>
      </c>
      <c r="J1394" s="25">
        <f>ROA!G1534</f>
        <v>0.13108214501449059</v>
      </c>
      <c r="K1394" s="25">
        <f>ROE!G1534</f>
        <v>0.17945239527704282</v>
      </c>
      <c r="L1394" s="25">
        <f>KM!E1534</f>
        <v>0.45129999999999998</v>
      </c>
      <c r="M1394" s="24">
        <f>KI!E1534</f>
        <v>1</v>
      </c>
      <c r="N1394" s="108">
        <f>IO!E1534</f>
        <v>0</v>
      </c>
      <c r="O1394" s="24">
        <f>'BoC Size'!E1534</f>
        <v>4</v>
      </c>
      <c r="P1394" s="24">
        <f>'TMT E DK'!E1534</f>
        <v>8</v>
      </c>
      <c r="Q1394" s="24">
        <f>Data!R1534</f>
        <v>4</v>
      </c>
      <c r="R1394" s="24">
        <f>Data!S1534</f>
        <v>3</v>
      </c>
      <c r="S1394" s="24">
        <f>'TMT E DK'!E1534</f>
        <v>8</v>
      </c>
      <c r="T1394" s="24">
        <f>'TMT E DD'!E1534</f>
        <v>3</v>
      </c>
      <c r="U1394" s="24">
        <f>TA!E1534</f>
        <v>589348000000</v>
      </c>
      <c r="V1394" s="109">
        <f>PR!F1534</f>
        <v>-0.24221615926956427</v>
      </c>
      <c r="W1394" s="109">
        <f>'Z Score'!I1534</f>
        <v>0.69109809484379348</v>
      </c>
      <c r="X1394" s="109">
        <f>'Z Score'!L1534</f>
        <v>2.1040194927275566</v>
      </c>
      <c r="Y1394" s="109">
        <f>'Z Score'!O1534</f>
        <v>1.0744738931836537</v>
      </c>
      <c r="Z1394" s="109">
        <f>'Z Score'!R1534</f>
        <v>2.8454732303043655</v>
      </c>
      <c r="AA1394" s="109">
        <f>'Z Score'!S1534</f>
        <v>6.7150647110593695</v>
      </c>
    </row>
    <row r="1395" spans="1:27" ht="15" customHeight="1" x14ac:dyDescent="0.3">
      <c r="A1395" s="22"/>
      <c r="B1395" s="23"/>
      <c r="C1395" s="1"/>
      <c r="D1395" s="23">
        <v>2018</v>
      </c>
      <c r="E1395" s="25">
        <f>'Current Ratio'!G1535</f>
        <v>6.9825093615205951</v>
      </c>
      <c r="F1395" s="25">
        <f>'Cash Ratio'!G1535</f>
        <v>5.5315921695027727E-2</v>
      </c>
      <c r="G1395" s="25">
        <f>DAR!G1535</f>
        <v>0.5483902559451731</v>
      </c>
      <c r="H1395" s="25">
        <f>DER!G1535</f>
        <v>1.2143012040028009</v>
      </c>
      <c r="I1395" s="25">
        <f>NPM!G1535</f>
        <v>0.18190671720362181</v>
      </c>
      <c r="J1395" s="25">
        <f>ROA!G1535</f>
        <v>2.8200997909714778E-2</v>
      </c>
      <c r="K1395" s="25">
        <f>ROE!G1535</f>
        <v>6.2445503625561907E-2</v>
      </c>
      <c r="L1395" s="25">
        <f>KM!E1535</f>
        <v>0.45140000000000002</v>
      </c>
      <c r="M1395" s="24">
        <f>KI!E1535</f>
        <v>1</v>
      </c>
      <c r="N1395" s="108">
        <f>IO!E1535</f>
        <v>0</v>
      </c>
      <c r="O1395" s="24">
        <f>'BoC Size'!E1535</f>
        <v>5</v>
      </c>
      <c r="P1395" s="24">
        <f>'TMT E DK'!E1535</f>
        <v>7</v>
      </c>
      <c r="Q1395" s="24">
        <f>Data!R1535</f>
        <v>5</v>
      </c>
      <c r="R1395" s="24">
        <f>Data!S1535</f>
        <v>3</v>
      </c>
      <c r="S1395" s="24">
        <f>'TMT E DK'!E1535</f>
        <v>7</v>
      </c>
      <c r="T1395" s="24">
        <f>'TMT E DD'!E1535</f>
        <v>10</v>
      </c>
      <c r="U1395" s="24">
        <f>TA!E1535</f>
        <v>980249000000</v>
      </c>
      <c r="V1395" s="109">
        <f>PR!F1535</f>
        <v>8.3458099841724767E-2</v>
      </c>
      <c r="W1395" s="109">
        <f>'Z Score'!I1535</f>
        <v>2.5339192796932206</v>
      </c>
      <c r="X1395" s="109">
        <f>'Z Score'!L1535</f>
        <v>1.2998575259959457</v>
      </c>
      <c r="Y1395" s="109">
        <f>'Z Score'!O1535</f>
        <v>0.24654078708573024</v>
      </c>
      <c r="Z1395" s="109">
        <f>'Z Score'!R1535</f>
        <v>0.86469485209995567</v>
      </c>
      <c r="AA1395" s="109">
        <f>'Z Score'!S1535</f>
        <v>4.9450124448748527</v>
      </c>
    </row>
    <row r="1396" spans="1:27" ht="15" customHeight="1" x14ac:dyDescent="0.3">
      <c r="A1396" s="22"/>
      <c r="B1396" s="23"/>
      <c r="C1396" s="1"/>
      <c r="D1396" s="23">
        <v>2019</v>
      </c>
      <c r="E1396" s="25">
        <f>'Current Ratio'!G1536</f>
        <v>3.2437174889799159</v>
      </c>
      <c r="F1396" s="25">
        <f>'Cash Ratio'!G1536</f>
        <v>3.845336130285034E-2</v>
      </c>
      <c r="G1396" s="25">
        <f>DAR!G1536</f>
        <v>0.414145221810445</v>
      </c>
      <c r="H1396" s="25">
        <f>DER!G1536</f>
        <v>0.70690764542411422</v>
      </c>
      <c r="I1396" s="25">
        <f>NPM!G1536</f>
        <v>0.43412067614463229</v>
      </c>
      <c r="J1396" s="25">
        <f>ROA!G1536</f>
        <v>7.6231332712776725E-2</v>
      </c>
      <c r="K1396" s="25">
        <f>ROE!G1536</f>
        <v>0.13011984462830797</v>
      </c>
      <c r="L1396" s="25">
        <f>KM!E1536</f>
        <v>0.44519999999999998</v>
      </c>
      <c r="M1396" s="24">
        <f>KI!E1536</f>
        <v>1</v>
      </c>
      <c r="N1396" s="108">
        <f>IO!E1536</f>
        <v>0</v>
      </c>
      <c r="O1396" s="24">
        <f>'BoC Size'!E1536</f>
        <v>5</v>
      </c>
      <c r="P1396" s="24">
        <f>'TMT E DK'!E1536</f>
        <v>7</v>
      </c>
      <c r="Q1396" s="24">
        <f>Data!R1536</f>
        <v>5</v>
      </c>
      <c r="R1396" s="24">
        <f>Data!S1536</f>
        <v>3</v>
      </c>
      <c r="S1396" s="24">
        <f>'TMT E DK'!E1536</f>
        <v>7</v>
      </c>
      <c r="T1396" s="24">
        <f>'TMT E DD'!E1536</f>
        <v>10</v>
      </c>
      <c r="U1396" s="24">
        <f>TA!E1536</f>
        <v>864815000000</v>
      </c>
      <c r="V1396" s="109">
        <f>PR!F1536</f>
        <v>-7.0409559907348913E-4</v>
      </c>
      <c r="W1396" s="109">
        <f>'Z Score'!I1536</f>
        <v>1.2007823176054992</v>
      </c>
      <c r="X1396" s="109">
        <f>'Z Score'!L1536</f>
        <v>1.7108671796858288</v>
      </c>
      <c r="Y1396" s="109">
        <f>'Z Score'!O1536</f>
        <v>0.60160362620907359</v>
      </c>
      <c r="Z1396" s="109">
        <f>'Z Score'!R1536</f>
        <v>1.485342543395531</v>
      </c>
      <c r="AA1396" s="109">
        <f>'Z Score'!S1536</f>
        <v>4.9985956668959322</v>
      </c>
    </row>
    <row r="1397" spans="1:27" ht="15" customHeight="1" x14ac:dyDescent="0.3">
      <c r="A1397" s="22"/>
      <c r="B1397" s="23"/>
      <c r="C1397" s="1"/>
      <c r="D1397" s="23">
        <v>2020</v>
      </c>
      <c r="E1397" s="25">
        <f>'Current Ratio'!G1537</f>
        <v>2.3931430405248801</v>
      </c>
      <c r="F1397" s="25">
        <f>'Cash Ratio'!G1537</f>
        <v>4.3288345308349234E-2</v>
      </c>
      <c r="G1397" s="25">
        <f>DAR!G1537</f>
        <v>0.28978460220872149</v>
      </c>
      <c r="H1397" s="25">
        <f>DER!G1537</f>
        <v>0.40802354202673141</v>
      </c>
      <c r="I1397" s="25">
        <f>NPM!G1537</f>
        <v>0.62877543949505144</v>
      </c>
      <c r="J1397" s="25">
        <f>ROA!G1537</f>
        <v>0.10155544796074033</v>
      </c>
      <c r="K1397" s="25">
        <f>ROE!G1537</f>
        <v>0.142992461549793</v>
      </c>
      <c r="L1397" s="25">
        <f>KM!E1537</f>
        <v>0.44519999999999998</v>
      </c>
      <c r="M1397" s="24">
        <f>KI!E1537</f>
        <v>1</v>
      </c>
      <c r="N1397" s="108">
        <f>IO!E1537</f>
        <v>0</v>
      </c>
      <c r="O1397" s="24">
        <f>'BoC Size'!E1537</f>
        <v>5</v>
      </c>
      <c r="P1397" s="24">
        <f>'TMT E DK'!E1537</f>
        <v>7</v>
      </c>
      <c r="Q1397" s="24">
        <f>Data!R1537</f>
        <v>5</v>
      </c>
      <c r="R1397" s="24">
        <f>Data!S1537</f>
        <v>3</v>
      </c>
      <c r="S1397" s="24">
        <f>'TMT E DK'!E1537</f>
        <v>7</v>
      </c>
      <c r="T1397" s="24">
        <f>'TMT E DD'!E1537</f>
        <v>10</v>
      </c>
      <c r="U1397" s="24">
        <f>TA!E1537</f>
        <v>822014000000</v>
      </c>
      <c r="V1397" s="109">
        <f>PR!F1537</f>
        <v>-0.12573998590816601</v>
      </c>
      <c r="W1397" s="109">
        <f>'Z Score'!I1537</f>
        <v>0.62358840603688004</v>
      </c>
      <c r="X1397" s="109">
        <f>'Z Score'!L1537</f>
        <v>2.1059201668098106</v>
      </c>
      <c r="Y1397" s="109">
        <f>'Z Score'!O1537</f>
        <v>0.79421362653190819</v>
      </c>
      <c r="Z1397" s="109">
        <f>'Z Score'!R1537</f>
        <v>2.573380924993808</v>
      </c>
      <c r="AA1397" s="109">
        <f>'Z Score'!S1537</f>
        <v>6.0971031243724063</v>
      </c>
    </row>
    <row r="1398" spans="1:27" ht="15" customHeight="1" x14ac:dyDescent="0.3">
      <c r="A1398" s="22"/>
      <c r="B1398" s="23"/>
      <c r="C1398" s="1"/>
      <c r="D1398" s="23">
        <v>2021</v>
      </c>
      <c r="E1398" s="25">
        <f>'Current Ratio'!G1538</f>
        <v>2.9082668668480811</v>
      </c>
      <c r="F1398" s="25">
        <f>'Cash Ratio'!G1538</f>
        <v>7.6963498170216763E-2</v>
      </c>
      <c r="G1398" s="25">
        <f>DAR!G1538</f>
        <v>0.28682324406868726</v>
      </c>
      <c r="H1398" s="25">
        <f>DER!G1538</f>
        <v>0.40217693816189326</v>
      </c>
      <c r="I1398" s="25">
        <f>NPM!G1538</f>
        <v>0.43224992649778543</v>
      </c>
      <c r="J1398" s="25">
        <f>ROA!G1538</f>
        <v>5.2289861324479152E-2</v>
      </c>
      <c r="K1398" s="25">
        <f>ROE!G1538</f>
        <v>7.3319637648868174E-2</v>
      </c>
      <c r="L1398" s="25">
        <f>KM!E1538</f>
        <v>0.4415</v>
      </c>
      <c r="M1398" s="24">
        <f>KI!E1538</f>
        <v>1</v>
      </c>
      <c r="N1398" s="108">
        <f>IO!E1538</f>
        <v>0</v>
      </c>
      <c r="O1398" s="24">
        <f>'BoC Size'!E1538</f>
        <v>5</v>
      </c>
      <c r="P1398" s="24">
        <f>'TMT E DK'!E1538</f>
        <v>7</v>
      </c>
      <c r="Q1398" s="24">
        <f>Data!R1538</f>
        <v>5</v>
      </c>
      <c r="R1398" s="24">
        <f>Data!S1538</f>
        <v>3</v>
      </c>
      <c r="S1398" s="24">
        <f>'TMT E DK'!E1538</f>
        <v>7</v>
      </c>
      <c r="T1398" s="24">
        <f>'TMT E DD'!E1538</f>
        <v>10</v>
      </c>
      <c r="U1398" s="24">
        <f>TA!E1538</f>
        <v>871603000000</v>
      </c>
      <c r="V1398" s="109">
        <f>PR!F1538</f>
        <v>-0.2058282994140066</v>
      </c>
      <c r="W1398" s="109">
        <f>'Z Score'!I1538</f>
        <v>0.76529557608223009</v>
      </c>
      <c r="X1398" s="109">
        <f>'Z Score'!L1538</f>
        <v>2.1274867801051625</v>
      </c>
      <c r="Y1398" s="109">
        <f>'Z Score'!O1538</f>
        <v>0.37748598846034259</v>
      </c>
      <c r="Z1398" s="109">
        <f>'Z Score'!R1538</f>
        <v>2.6107911726587627</v>
      </c>
      <c r="AA1398" s="109">
        <f>'Z Score'!S1538</f>
        <v>5.8810595173064977</v>
      </c>
    </row>
    <row r="1399" spans="1:27" ht="15" customHeight="1" x14ac:dyDescent="0.3">
      <c r="A1399" s="22"/>
      <c r="B1399" s="23"/>
      <c r="C1399" s="1"/>
      <c r="D1399" s="23">
        <v>2022</v>
      </c>
      <c r="E1399" s="25">
        <f>'Current Ratio'!G1539</f>
        <v>2.1274558586269809</v>
      </c>
      <c r="F1399" s="25">
        <f>'Cash Ratio'!G1539</f>
        <v>4.6410639164065681E-2</v>
      </c>
      <c r="G1399" s="25">
        <f>DAR!G1539</f>
        <v>0.29668884080040608</v>
      </c>
      <c r="H1399" s="25">
        <f>DER!G1539</f>
        <v>0.42184641565624337</v>
      </c>
      <c r="I1399" s="25">
        <f>NPM!G1539</f>
        <v>0.36303636202778022</v>
      </c>
      <c r="J1399" s="25">
        <f>ROA!G1539</f>
        <v>4.3850284523523284E-2</v>
      </c>
      <c r="K1399" s="25">
        <f>ROE!G1539</f>
        <v>6.2348436502871731E-2</v>
      </c>
      <c r="L1399" s="25">
        <f>KM!E1539</f>
        <v>0.4415</v>
      </c>
      <c r="M1399" s="24">
        <f>KI!E1539</f>
        <v>1</v>
      </c>
      <c r="N1399" s="108">
        <f>IO!E1539</f>
        <v>0</v>
      </c>
      <c r="O1399" s="24">
        <f>'BoC Size'!E1539</f>
        <v>5</v>
      </c>
      <c r="P1399" s="24">
        <f>'TMT E DK'!E1539</f>
        <v>7</v>
      </c>
      <c r="Q1399" s="24">
        <f>Data!R1539</f>
        <v>5</v>
      </c>
      <c r="R1399" s="24">
        <f>Data!S1539</f>
        <v>3</v>
      </c>
      <c r="S1399" s="24">
        <f>'TMT E DK'!E1539</f>
        <v>7</v>
      </c>
      <c r="T1399" s="24">
        <f>'TMT E DD'!E1539</f>
        <v>10</v>
      </c>
      <c r="U1399" s="24">
        <f>TA!E1539</f>
        <v>935775000000</v>
      </c>
      <c r="V1399" s="109">
        <f>PR!F1539</f>
        <v>7.1994233632716551E-2</v>
      </c>
      <c r="W1399" s="109">
        <f>'Z Score'!I1539</f>
        <v>0.52418309956987519</v>
      </c>
      <c r="X1399" s="109">
        <f>'Z Score'!L1539</f>
        <v>2.1088631775800804</v>
      </c>
      <c r="Y1399" s="109">
        <f>'Z Score'!O1539</f>
        <v>0.39125405145467662</v>
      </c>
      <c r="Z1399" s="109">
        <f>'Z Score'!R1539</f>
        <v>2.4890575361807272</v>
      </c>
      <c r="AA1399" s="109">
        <f>'Z Score'!S1539</f>
        <v>5.5133578647853589</v>
      </c>
    </row>
    <row r="1400" spans="1:27" ht="15" customHeight="1" x14ac:dyDescent="0.3">
      <c r="A1400" s="22"/>
      <c r="B1400" s="23"/>
      <c r="C1400" s="1"/>
      <c r="D1400" s="23">
        <v>2023</v>
      </c>
      <c r="E1400" s="25">
        <f>'Current Ratio'!G1540</f>
        <v>1.8092753328072899</v>
      </c>
      <c r="F1400" s="25">
        <f>'Cash Ratio'!G1540</f>
        <v>4.8972942703693331E-2</v>
      </c>
      <c r="G1400" s="25">
        <f>DAR!G1540</f>
        <v>0.28571344139827737</v>
      </c>
      <c r="H1400" s="25">
        <f>DER!G1540</f>
        <v>0.39999834514257976</v>
      </c>
      <c r="I1400" s="25">
        <f>NPM!G1540</f>
        <v>0.61156437823489196</v>
      </c>
      <c r="J1400" s="25">
        <f>ROA!G1540</f>
        <v>6.7855144642589779E-2</v>
      </c>
      <c r="K1400" s="25">
        <f>ROE!G1540</f>
        <v>9.4997090209036072E-2</v>
      </c>
      <c r="L1400" s="25">
        <f>KM!E1540</f>
        <v>0.44080000000000003</v>
      </c>
      <c r="M1400" s="24">
        <f>KI!E1540</f>
        <v>1</v>
      </c>
      <c r="N1400" s="108">
        <f>IO!E1540</f>
        <v>0</v>
      </c>
      <c r="O1400" s="24">
        <f>'BoC Size'!E1540</f>
        <v>5</v>
      </c>
      <c r="P1400" s="24">
        <f>'TMT E DK'!E1540</f>
        <v>7</v>
      </c>
      <c r="Q1400" s="24">
        <f>Data!R1540</f>
        <v>5</v>
      </c>
      <c r="R1400" s="24">
        <f>Data!S1540</f>
        <v>3</v>
      </c>
      <c r="S1400" s="24">
        <f>'TMT E DK'!E1540</f>
        <v>7</v>
      </c>
      <c r="T1400" s="24">
        <f>'TMT E DD'!E1540</f>
        <v>10</v>
      </c>
      <c r="U1400" s="24">
        <f>TA!E1540</f>
        <v>1015192000000</v>
      </c>
      <c r="V1400" s="109">
        <f>PR!F1540</f>
        <v>-3.4592586039104661E-3</v>
      </c>
      <c r="W1400" s="109">
        <f>'Z Score'!I1540</f>
        <v>0.41089496371129791</v>
      </c>
      <c r="X1400" s="109">
        <f>'Z Score'!L1540</f>
        <v>2.1513985925815016</v>
      </c>
      <c r="Y1400" s="109">
        <f>'Z Score'!O1540</f>
        <v>0.52717200293146516</v>
      </c>
      <c r="Z1400" s="109">
        <f>'Z Score'!R1540</f>
        <v>2.6250108600467503</v>
      </c>
      <c r="AA1400" s="109">
        <f>'Z Score'!S1540</f>
        <v>5.7144764192710147</v>
      </c>
    </row>
    <row r="1401" spans="1:27" ht="15" customHeight="1" x14ac:dyDescent="0.3">
      <c r="A1401" s="22"/>
      <c r="B1401" s="23"/>
      <c r="C1401" s="1"/>
      <c r="D1401" s="23">
        <v>2024</v>
      </c>
      <c r="E1401" s="25">
        <f>'Current Ratio'!G1541</f>
        <v>2.6659619450317127</v>
      </c>
      <c r="F1401" s="25">
        <f>'Cash Ratio'!G1541</f>
        <v>1.8028666078473806E-2</v>
      </c>
      <c r="G1401" s="25">
        <f>DAR!G1541</f>
        <v>0.26645679663803018</v>
      </c>
      <c r="H1401" s="25">
        <f>DER!G1541</f>
        <v>0.3632466910765807</v>
      </c>
      <c r="I1401" s="25">
        <f>NPM!G1541</f>
        <v>0.49275395852132936</v>
      </c>
      <c r="J1401" s="25">
        <f>ROA!G1541</f>
        <v>6.0634848927745739E-2</v>
      </c>
      <c r="K1401" s="25">
        <f>ROE!G1541</f>
        <v>8.2660335614754624E-2</v>
      </c>
      <c r="L1401" s="25">
        <f>KM!E1541</f>
        <v>0.439</v>
      </c>
      <c r="M1401" s="24">
        <f>KI!E1541</f>
        <v>0</v>
      </c>
      <c r="N1401" s="108">
        <f>IO!E1541</f>
        <v>0</v>
      </c>
      <c r="O1401" s="24">
        <f>'BoC Size'!E1541</f>
        <v>3</v>
      </c>
      <c r="P1401" s="24">
        <f>'TMT E DK'!E1541</f>
        <v>7</v>
      </c>
      <c r="Q1401" s="24">
        <f>Data!R1541</f>
        <v>3</v>
      </c>
      <c r="R1401" s="24">
        <f>Data!S1541</f>
        <v>3</v>
      </c>
      <c r="S1401" s="24">
        <f>'TMT E DK'!E1541</f>
        <v>7</v>
      </c>
      <c r="T1401" s="24">
        <f>'TMT E DD'!E1541</f>
        <v>7</v>
      </c>
      <c r="U1401" s="24">
        <f>TA!E1541</f>
        <v>1053668000000</v>
      </c>
      <c r="V1401" s="109">
        <f>PR!F1541</f>
        <v>0.15108443789451256</v>
      </c>
      <c r="W1401" s="109">
        <f>'Z Score'!I1541</f>
        <v>0.62306016695961153</v>
      </c>
      <c r="X1401" s="109">
        <f>'Z Score'!L1541</f>
        <v>2.2279993698204748</v>
      </c>
      <c r="Y1401" s="109">
        <f>'Z Score'!O1541</f>
        <v>0.53375142834365275</v>
      </c>
      <c r="Z1401" s="109">
        <f>'Z Score'!R1541</f>
        <v>2.890597563017129</v>
      </c>
      <c r="AA1401" s="109">
        <f>'Z Score'!S1541</f>
        <v>6.2754085281408685</v>
      </c>
    </row>
    <row r="1402" spans="1:27" ht="15" customHeight="1" x14ac:dyDescent="0.3">
      <c r="A1402" s="22"/>
      <c r="B1402" s="23">
        <v>141</v>
      </c>
      <c r="C1402" s="1" t="s">
        <v>140</v>
      </c>
      <c r="D1402" s="23">
        <v>2015</v>
      </c>
      <c r="E1402" s="25">
        <f>'Current Ratio'!G1543</f>
        <v>8.0399249337650875</v>
      </c>
      <c r="F1402" s="25">
        <f>'Cash Ratio'!G1543</f>
        <v>8.7435342108583197E-2</v>
      </c>
      <c r="G1402" s="25">
        <f>DAR!G1543</f>
        <v>0.7067926659662207</v>
      </c>
      <c r="H1402" s="25">
        <f>DER!G1543</f>
        <v>2.4597564810994705</v>
      </c>
      <c r="I1402" s="25">
        <f>NPM!G1543</f>
        <v>0.11538452700625333</v>
      </c>
      <c r="J1402" s="25">
        <f>ROA!G1543</f>
        <v>6.0992730342469499E-2</v>
      </c>
      <c r="K1402" s="25">
        <f>ROE!G1543</f>
        <v>0.21226488471657659</v>
      </c>
      <c r="L1402" s="25">
        <f>KM!E1543</f>
        <v>0.99990000000000001</v>
      </c>
      <c r="M1402" s="24">
        <f>KI!E1543</f>
        <v>1</v>
      </c>
      <c r="N1402" s="108">
        <f>IO!E1543</f>
        <v>0</v>
      </c>
      <c r="O1402" s="24">
        <f>'BoC Size'!E1543</f>
        <v>3</v>
      </c>
      <c r="P1402" s="24">
        <f>'TMT E DK'!E1543</f>
        <v>7</v>
      </c>
      <c r="Q1402" s="24">
        <f>Data!R1543</f>
        <v>3</v>
      </c>
      <c r="R1402" s="24">
        <f>Data!S1543</f>
        <v>3</v>
      </c>
      <c r="S1402" s="24">
        <f>'TMT E DK'!E1543</f>
        <v>7</v>
      </c>
      <c r="T1402" s="24">
        <f>'TMT E DD'!E1543</f>
        <v>7</v>
      </c>
      <c r="U1402" s="24">
        <f>TA!E1543</f>
        <v>4116425000000</v>
      </c>
      <c r="V1402" s="109">
        <f>PR!F1543</f>
        <v>0.47735383019344468</v>
      </c>
      <c r="W1402" s="109">
        <f>'Z Score'!I1543</f>
        <v>2.134200584244824</v>
      </c>
      <c r="X1402" s="109">
        <f>'Z Score'!L1543</f>
        <v>0.51066793151824696</v>
      </c>
      <c r="Y1402" s="109">
        <f>'Z Score'!O1543</f>
        <v>0.48189309898759242</v>
      </c>
      <c r="Z1402" s="109">
        <f>'Z Score'!R1543</f>
        <v>0.42687152491236346</v>
      </c>
      <c r="AA1402" s="109">
        <f>'Z Score'!S1543</f>
        <v>3.553633139663027</v>
      </c>
    </row>
    <row r="1403" spans="1:27" ht="15" customHeight="1" x14ac:dyDescent="0.3">
      <c r="A1403" s="22"/>
      <c r="B1403" s="23"/>
      <c r="C1403" s="1"/>
      <c r="D1403" s="23">
        <v>2016</v>
      </c>
      <c r="E1403" s="25">
        <f>'Current Ratio'!G1544</f>
        <v>11.732269172702754</v>
      </c>
      <c r="F1403" s="25">
        <f>'Cash Ratio'!G1544</f>
        <v>2.5908522897547682E-2</v>
      </c>
      <c r="G1403" s="25">
        <f>DAR!G1544</f>
        <v>0.6968049155914019</v>
      </c>
      <c r="H1403" s="25">
        <f>DER!G1544</f>
        <v>2.357770483667208</v>
      </c>
      <c r="I1403" s="25">
        <f>NPM!G1544</f>
        <v>0.13668590084028684</v>
      </c>
      <c r="J1403" s="25">
        <f>ROA!G1544</f>
        <v>6.9922837615641484E-2</v>
      </c>
      <c r="K1403" s="25">
        <f>ROE!G1544</f>
        <v>0.23659707182818987</v>
      </c>
      <c r="L1403" s="25">
        <f>KM!E1544</f>
        <v>0.99990000000000001</v>
      </c>
      <c r="M1403" s="24">
        <f>KI!E1544</f>
        <v>2</v>
      </c>
      <c r="N1403" s="108">
        <f>IO!E1544</f>
        <v>0</v>
      </c>
      <c r="O1403" s="24">
        <f>'BoC Size'!E1544</f>
        <v>4</v>
      </c>
      <c r="P1403" s="24">
        <f>'TMT E DK'!E1544</f>
        <v>13</v>
      </c>
      <c r="Q1403" s="24">
        <f>Data!R1544</f>
        <v>4</v>
      </c>
      <c r="R1403" s="24">
        <f>Data!S1544</f>
        <v>2</v>
      </c>
      <c r="S1403" s="24">
        <f>'TMT E DK'!E1544</f>
        <v>13</v>
      </c>
      <c r="T1403" s="24">
        <f>'TMT E DD'!E1544</f>
        <v>6</v>
      </c>
      <c r="U1403" s="24">
        <f>TA!E1544</f>
        <v>4799748000000</v>
      </c>
      <c r="V1403" s="109">
        <f>PR!F1544</f>
        <v>0.12839993768264935</v>
      </c>
      <c r="W1403" s="109">
        <f>'Z Score'!I1544</f>
        <v>2.5941159910895322</v>
      </c>
      <c r="X1403" s="109">
        <f>'Z Score'!L1544</f>
        <v>0.59803493016716713</v>
      </c>
      <c r="Y1403" s="109">
        <f>'Z Score'!O1544</f>
        <v>0.57063075811480102</v>
      </c>
      <c r="Z1403" s="109">
        <f>'Z Score'!R1544</f>
        <v>0.44533596771762979</v>
      </c>
      <c r="AA1403" s="109">
        <f>'Z Score'!S1544</f>
        <v>4.2081176470891304</v>
      </c>
    </row>
    <row r="1404" spans="1:27" ht="15" customHeight="1" x14ac:dyDescent="0.3">
      <c r="A1404" s="22"/>
      <c r="B1404" s="23"/>
      <c r="C1404" s="1"/>
      <c r="D1404" s="23">
        <v>2017</v>
      </c>
      <c r="E1404" s="25">
        <f>'Current Ratio'!G1545</f>
        <v>0</v>
      </c>
      <c r="F1404" s="25">
        <f>'Cash Ratio'!G1545</f>
        <v>0</v>
      </c>
      <c r="G1404" s="25">
        <f>DAR!G1545</f>
        <v>0</v>
      </c>
      <c r="H1404" s="25">
        <f>DER!G1545</f>
        <v>0</v>
      </c>
      <c r="I1404" s="25">
        <f>NPM!G1545</f>
        <v>0</v>
      </c>
      <c r="J1404" s="25">
        <f>ROA!G1545</f>
        <v>0</v>
      </c>
      <c r="K1404" s="25">
        <f>ROE!G1545</f>
        <v>0</v>
      </c>
      <c r="L1404" s="25">
        <f>KM!E1545</f>
        <v>0</v>
      </c>
      <c r="M1404" s="24">
        <f>KI!E1545</f>
        <v>0</v>
      </c>
      <c r="N1404" s="108">
        <f>IO!E1545</f>
        <v>0</v>
      </c>
      <c r="O1404" s="24">
        <f>'BoC Size'!E1545</f>
        <v>0</v>
      </c>
      <c r="P1404" s="24">
        <f>'TMT E DK'!E1545</f>
        <v>0</v>
      </c>
      <c r="Q1404" s="24">
        <f>Data!R1545</f>
        <v>0</v>
      </c>
      <c r="R1404" s="24">
        <f>Data!S1545</f>
        <v>0</v>
      </c>
      <c r="S1404" s="24">
        <f>'TMT E DK'!E1545</f>
        <v>0</v>
      </c>
      <c r="T1404" s="24">
        <f>'TMT E DD'!E1545</f>
        <v>0</v>
      </c>
      <c r="U1404" s="24">
        <f>TA!E1545</f>
        <v>0</v>
      </c>
      <c r="V1404" s="109">
        <f>PR!F1545</f>
        <v>-1</v>
      </c>
      <c r="W1404" s="109">
        <f>'Z Score'!I1545</f>
        <v>0</v>
      </c>
      <c r="X1404" s="109">
        <f>'Z Score'!L1545</f>
        <v>0</v>
      </c>
      <c r="Y1404" s="109">
        <f>'Z Score'!O1545</f>
        <v>0</v>
      </c>
      <c r="Z1404" s="109">
        <f>'Z Score'!R1545</f>
        <v>0</v>
      </c>
      <c r="AA1404" s="109">
        <f>'Z Score'!S1545</f>
        <v>0</v>
      </c>
    </row>
    <row r="1405" spans="1:27" ht="15" customHeight="1" x14ac:dyDescent="0.3">
      <c r="A1405" s="22"/>
      <c r="B1405" s="23"/>
      <c r="C1405" s="1"/>
      <c r="D1405" s="23">
        <v>2018</v>
      </c>
      <c r="E1405" s="25">
        <f>'Current Ratio'!G1546</f>
        <v>5.1680506150232333</v>
      </c>
      <c r="F1405" s="25">
        <f>'Cash Ratio'!G1546</f>
        <v>2.4164034962338085E-2</v>
      </c>
      <c r="G1405" s="25">
        <f>DAR!G1546</f>
        <v>0.67381450767393769</v>
      </c>
      <c r="H1405" s="25">
        <f>DER!G1546</f>
        <v>2.1322257926837347</v>
      </c>
      <c r="I1405" s="25">
        <f>NPM!G1546</f>
        <v>7.5714474997093162E-2</v>
      </c>
      <c r="J1405" s="25">
        <f>ROA!G1546</f>
        <v>5.0966340973294111E-2</v>
      </c>
      <c r="K1405" s="25">
        <f>ROE!G1546</f>
        <v>0.16127843129575115</v>
      </c>
      <c r="L1405" s="25">
        <f>KM!E1546</f>
        <v>0.99990000000000001</v>
      </c>
      <c r="M1405" s="24">
        <f>KI!E1546</f>
        <v>2</v>
      </c>
      <c r="N1405" s="108">
        <f>IO!E1546</f>
        <v>0</v>
      </c>
      <c r="O1405" s="24">
        <f>'BoC Size'!E1546</f>
        <v>4</v>
      </c>
      <c r="P1405" s="24">
        <f>'TMT E DK'!E1546</f>
        <v>16</v>
      </c>
      <c r="Q1405" s="24">
        <f>Data!R1546</f>
        <v>4</v>
      </c>
      <c r="R1405" s="24">
        <f>Data!S1546</f>
        <v>4</v>
      </c>
      <c r="S1405" s="24">
        <f>'TMT E DK'!E1546</f>
        <v>16</v>
      </c>
      <c r="T1405" s="24">
        <f>'TMT E DD'!E1546</f>
        <v>10</v>
      </c>
      <c r="U1405" s="24">
        <f>TA!E1546</f>
        <v>5493920000000</v>
      </c>
      <c r="V1405" s="109">
        <f>PR!F1546</f>
        <v>0</v>
      </c>
      <c r="W1405" s="109">
        <f>'Z Score'!I1546</f>
        <v>1.8454107522497596</v>
      </c>
      <c r="X1405" s="109">
        <f>'Z Score'!L1546</f>
        <v>0.1661502715729388</v>
      </c>
      <c r="Y1405" s="109">
        <f>'Z Score'!O1546</f>
        <v>0.42116445816466203</v>
      </c>
      <c r="Z1405" s="109">
        <f>'Z Score'!R1546</f>
        <v>0.49244315663136845</v>
      </c>
      <c r="AA1405" s="109">
        <f>'Z Score'!S1546</f>
        <v>2.9251686386187288</v>
      </c>
    </row>
    <row r="1406" spans="1:27" ht="15" customHeight="1" x14ac:dyDescent="0.3">
      <c r="A1406" s="22"/>
      <c r="B1406" s="23"/>
      <c r="C1406" s="1"/>
      <c r="D1406" s="23">
        <v>2019</v>
      </c>
      <c r="E1406" s="25">
        <f>'Current Ratio'!G1547</f>
        <v>2.4691809952305945</v>
      </c>
      <c r="F1406" s="25">
        <f>'Cash Ratio'!G1547</f>
        <v>4.2592410981440745E-2</v>
      </c>
      <c r="G1406" s="25">
        <f>DAR!G1547</f>
        <v>0.67676631923532959</v>
      </c>
      <c r="H1406" s="25">
        <f>DER!G1547</f>
        <v>2.161607423321001</v>
      </c>
      <c r="I1406" s="25">
        <f>NPM!G1547</f>
        <v>7.3508900567272217E-2</v>
      </c>
      <c r="J1406" s="25">
        <f>ROA!G1547</f>
        <v>5.8190018763221177E-2</v>
      </c>
      <c r="K1406" s="25">
        <f>ROE!G1547</f>
        <v>0.18586027842503905</v>
      </c>
      <c r="L1406" s="25">
        <f>KM!E1547</f>
        <v>0.99990000000000001</v>
      </c>
      <c r="M1406" s="24">
        <f>KI!E1547</f>
        <v>1</v>
      </c>
      <c r="N1406" s="108">
        <f>IO!E1547</f>
        <v>0</v>
      </c>
      <c r="O1406" s="24">
        <f>'BoC Size'!E1547</f>
        <v>3</v>
      </c>
      <c r="P1406" s="24">
        <f>'TMT E DK'!E1547</f>
        <v>10</v>
      </c>
      <c r="Q1406" s="24">
        <f>Data!R1547</f>
        <v>3</v>
      </c>
      <c r="R1406" s="24">
        <f>Data!S1547</f>
        <v>4</v>
      </c>
      <c r="S1406" s="24">
        <f>'TMT E DK'!E1547</f>
        <v>10</v>
      </c>
      <c r="T1406" s="24">
        <f>'TMT E DD'!E1547</f>
        <v>10</v>
      </c>
      <c r="U1406" s="24">
        <f>TA!E1547</f>
        <v>6324607000000</v>
      </c>
      <c r="V1406" s="109">
        <f>PR!F1547</f>
        <v>0.35380228599550589</v>
      </c>
      <c r="W1406" s="109">
        <f>'Z Score'!I1547</f>
        <v>0.7613869067279595</v>
      </c>
      <c r="X1406" s="109">
        <f>'Z Score'!L1547</f>
        <v>0.18969946116810102</v>
      </c>
      <c r="Y1406" s="109">
        <f>'Z Score'!O1547</f>
        <v>0.46178671971238688</v>
      </c>
      <c r="Z1406" s="109">
        <f>'Z Score'!R1547</f>
        <v>0.48574962718569181</v>
      </c>
      <c r="AA1406" s="109">
        <f>'Z Score'!S1547</f>
        <v>1.8986227147941392</v>
      </c>
    </row>
    <row r="1407" spans="1:27" ht="15" customHeight="1" x14ac:dyDescent="0.3">
      <c r="A1407" s="22"/>
      <c r="B1407" s="23"/>
      <c r="C1407" s="1"/>
      <c r="D1407" s="23">
        <v>2020</v>
      </c>
      <c r="E1407" s="25">
        <f>'Current Ratio'!G1548</f>
        <v>1.543867670942952</v>
      </c>
      <c r="F1407" s="25">
        <f>'Cash Ratio'!G1548</f>
        <v>6.9327885643791276E-2</v>
      </c>
      <c r="G1407" s="25">
        <f>DAR!G1548</f>
        <v>0.93759293156143297</v>
      </c>
      <c r="H1407" s="25">
        <f>DER!G1548</f>
        <v>10.433300223871967</v>
      </c>
      <c r="I1407" s="25">
        <f>NPM!G1548</f>
        <v>-0.11241133283366392</v>
      </c>
      <c r="J1407" s="25">
        <f>ROA!G1548</f>
        <v>-6.7970599417882402E-2</v>
      </c>
      <c r="K1407" s="25">
        <f>ROE!G1548</f>
        <v>-0.75635987244730929</v>
      </c>
      <c r="L1407" s="25">
        <f>KM!E1548</f>
        <v>0.99990000000000001</v>
      </c>
      <c r="M1407" s="24">
        <f>KI!E1548</f>
        <v>2</v>
      </c>
      <c r="N1407" s="108">
        <f>IO!E1548</f>
        <v>0</v>
      </c>
      <c r="O1407" s="24">
        <f>'BoC Size'!E1548</f>
        <v>4</v>
      </c>
      <c r="P1407" s="24">
        <f>'TMT E DK'!E1548</f>
        <v>11</v>
      </c>
      <c r="Q1407" s="24">
        <f>Data!R1548</f>
        <v>4</v>
      </c>
      <c r="R1407" s="24">
        <f>Data!S1548</f>
        <v>4</v>
      </c>
      <c r="S1407" s="24">
        <f>'TMT E DK'!E1548</f>
        <v>11</v>
      </c>
      <c r="T1407" s="24">
        <f>'TMT E DD'!E1548</f>
        <v>10</v>
      </c>
      <c r="U1407" s="24">
        <f>TA!E1548</f>
        <v>7987733000000</v>
      </c>
      <c r="V1407" s="109">
        <f>PR!F1548</f>
        <v>-3.5299667977671832E-2</v>
      </c>
      <c r="W1407" s="109">
        <f>'Z Score'!I1548</f>
        <v>0.39464547951214696</v>
      </c>
      <c r="X1407" s="109">
        <f>'Z Score'!L1548</f>
        <v>-0.39760351028257951</v>
      </c>
      <c r="Y1407" s="109">
        <f>'Z Score'!O1548</f>
        <v>-0.56376526356101286</v>
      </c>
      <c r="Z1407" s="109">
        <f>'Z Score'!R1548</f>
        <v>0.10063929700762773</v>
      </c>
      <c r="AA1407" s="109">
        <f>'Z Score'!S1548</f>
        <v>-0.46608399732381767</v>
      </c>
    </row>
    <row r="1408" spans="1:27" ht="15" customHeight="1" x14ac:dyDescent="0.3">
      <c r="A1408" s="22"/>
      <c r="B1408" s="23"/>
      <c r="C1408" s="1"/>
      <c r="D1408" s="23">
        <v>2021</v>
      </c>
      <c r="E1408" s="25">
        <f>'Current Ratio'!G1549</f>
        <v>1.8550127015890392</v>
      </c>
      <c r="F1408" s="25">
        <f>'Cash Ratio'!G1549</f>
        <v>0.11214931524726873</v>
      </c>
      <c r="G1408" s="25">
        <f>DAR!G1549</f>
        <v>1.0596366971517912</v>
      </c>
      <c r="H1408" s="25">
        <f>DER!G1549</f>
        <v>1641.9726067746685</v>
      </c>
      <c r="I1408" s="25">
        <f>NPM!G1549</f>
        <v>-0.13067545468760533</v>
      </c>
      <c r="J1408" s="25">
        <f>ROA!G1549</f>
        <v>-7.037316358607712E-2</v>
      </c>
      <c r="K1408" s="25">
        <f>ROE!G1549</f>
        <v>-109.04756995581738</v>
      </c>
      <c r="L1408" s="25">
        <f>KM!E1549</f>
        <v>0.99990000000000001</v>
      </c>
      <c r="M1408" s="24">
        <f>KI!E1549</f>
        <v>2</v>
      </c>
      <c r="N1408" s="108">
        <f>IO!E1549</f>
        <v>0</v>
      </c>
      <c r="O1408" s="24">
        <f>'BoC Size'!E1549</f>
        <v>4</v>
      </c>
      <c r="P1408" s="24">
        <f>'TMT E DK'!E1549</f>
        <v>11</v>
      </c>
      <c r="Q1408" s="24">
        <f>Data!R1549</f>
        <v>4</v>
      </c>
      <c r="R1408" s="24">
        <f>Data!S1549</f>
        <v>4</v>
      </c>
      <c r="S1408" s="24">
        <f>'TMT E DK'!E1549</f>
        <v>11</v>
      </c>
      <c r="T1408" s="24">
        <f>'TMT E DD'!E1549</f>
        <v>10</v>
      </c>
      <c r="U1408" s="24">
        <f>TA!E1549</f>
        <v>10521525000000</v>
      </c>
      <c r="V1408" s="109">
        <f>PR!F1549</f>
        <v>0.17315988455151909</v>
      </c>
      <c r="W1408" s="109">
        <f>'Z Score'!I1549</f>
        <v>0.52693418492091215</v>
      </c>
      <c r="X1408" s="109">
        <f>'Z Score'!L1549</f>
        <v>-0.53126920859856341</v>
      </c>
      <c r="Y1408" s="109">
        <f>'Z Score'!O1549</f>
        <v>-0.63678994062172545</v>
      </c>
      <c r="Z1408" s="109">
        <f>'Z Score'!R1549</f>
        <v>6.3947473646501203E-4</v>
      </c>
      <c r="AA1408" s="109">
        <f>'Z Score'!S1549</f>
        <v>-0.64048548956291174</v>
      </c>
    </row>
    <row r="1409" spans="1:27" ht="15" customHeight="1" x14ac:dyDescent="0.3">
      <c r="A1409" s="22"/>
      <c r="B1409" s="23"/>
      <c r="C1409" s="1"/>
      <c r="D1409" s="23">
        <v>2022</v>
      </c>
      <c r="E1409" s="25">
        <f>'Current Ratio'!G1550</f>
        <v>1.4058200459323575</v>
      </c>
      <c r="F1409" s="25">
        <f>'Cash Ratio'!G1550</f>
        <v>2.740898419386522E-2</v>
      </c>
      <c r="G1409" s="25">
        <f>DAR!G1550</f>
        <v>1.083065080571965</v>
      </c>
      <c r="H1409" s="25">
        <f>DER!G1550</f>
        <v>107.55026423457211</v>
      </c>
      <c r="I1409" s="25">
        <f>NPM!G1550</f>
        <v>2.1390025696261059E-2</v>
      </c>
      <c r="J1409" s="25">
        <f>ROA!G1550</f>
        <v>1.4672600587704018E-2</v>
      </c>
      <c r="K1409" s="25">
        <f>ROE!G1550</f>
        <v>1.4570150017047392</v>
      </c>
      <c r="L1409" s="25">
        <f>KM!E1550</f>
        <v>0.99990000000000001</v>
      </c>
      <c r="M1409" s="24">
        <f>KI!E1550</f>
        <v>2</v>
      </c>
      <c r="N1409" s="108">
        <f>IO!E1550</f>
        <v>0</v>
      </c>
      <c r="O1409" s="24">
        <f>'BoC Size'!E1550</f>
        <v>4</v>
      </c>
      <c r="P1409" s="24">
        <f>'TMT E DK'!E1550</f>
        <v>11</v>
      </c>
      <c r="Q1409" s="24">
        <f>Data!R1550</f>
        <v>4</v>
      </c>
      <c r="R1409" s="24">
        <f>Data!S1550</f>
        <v>4</v>
      </c>
      <c r="S1409" s="24">
        <f>'TMT E DK'!E1550</f>
        <v>11</v>
      </c>
      <c r="T1409" s="24">
        <f>'TMT E DD'!E1550</f>
        <v>10</v>
      </c>
      <c r="U1409" s="24">
        <f>TA!E1550</f>
        <v>11650082000000</v>
      </c>
      <c r="V1409" s="109">
        <f>PR!F1550</f>
        <v>0.41036988117958462</v>
      </c>
      <c r="W1409" s="109">
        <f>'Z Score'!I1550</f>
        <v>0.31292500087123848</v>
      </c>
      <c r="X1409" s="109">
        <f>'Z Score'!L1550</f>
        <v>-0.43197186423237194</v>
      </c>
      <c r="Y1409" s="109">
        <f>'Z Score'!O1550</f>
        <v>0.141612187794043</v>
      </c>
      <c r="Z1409" s="109">
        <f>'Z Score'!R1550</f>
        <v>9.762876990333574E-3</v>
      </c>
      <c r="AA1409" s="109">
        <f>'Z Score'!S1550</f>
        <v>3.2328201423243115E-2</v>
      </c>
    </row>
    <row r="1410" spans="1:27" ht="15" customHeight="1" x14ac:dyDescent="0.3">
      <c r="A1410" s="22"/>
      <c r="B1410" s="23"/>
      <c r="C1410" s="1"/>
      <c r="D1410" s="23">
        <v>2023</v>
      </c>
      <c r="E1410" s="25">
        <f>'Current Ratio'!G1551</f>
        <v>1.2106455554829756</v>
      </c>
      <c r="F1410" s="25">
        <f>'Cash Ratio'!G1551</f>
        <v>1.5672472879468376E-2</v>
      </c>
      <c r="G1410" s="25">
        <f>DAR!G1551</f>
        <v>1.1741017046829609</v>
      </c>
      <c r="H1410" s="25">
        <f>DER!G1551</f>
        <v>-3976.6073713067317</v>
      </c>
      <c r="I1410" s="25">
        <f>NPM!G1551</f>
        <v>0.23707467186849884</v>
      </c>
      <c r="J1410" s="25">
        <f>ROA!G1551</f>
        <v>0.11048031663112939</v>
      </c>
      <c r="K1410" s="25">
        <f>ROE!G1551</f>
        <v>-374.18976545842219</v>
      </c>
      <c r="L1410" s="25">
        <f>KM!E1551</f>
        <v>0.99990000000000001</v>
      </c>
      <c r="M1410" s="24">
        <f>KI!E1551</f>
        <v>2</v>
      </c>
      <c r="N1410" s="108">
        <f>IO!E1551</f>
        <v>0</v>
      </c>
      <c r="O1410" s="24">
        <f>'BoC Size'!E1551</f>
        <v>4</v>
      </c>
      <c r="P1410" s="24">
        <f>'TMT E DK'!E1551</f>
        <v>11</v>
      </c>
      <c r="Q1410" s="24">
        <f>Data!R1551</f>
        <v>4</v>
      </c>
      <c r="R1410" s="24">
        <f>Data!S1551</f>
        <v>2</v>
      </c>
      <c r="S1410" s="24">
        <f>'TMT E DK'!E1551</f>
        <v>11</v>
      </c>
      <c r="T1410" s="24">
        <f>'TMT E DD'!E1551</f>
        <v>6</v>
      </c>
      <c r="U1410" s="24">
        <f>TA!E1551</f>
        <v>11119311000000</v>
      </c>
      <c r="V1410" s="109">
        <f>PR!F1551</f>
        <v>-0.35158529100217922</v>
      </c>
      <c r="W1410" s="109">
        <f>'Z Score'!I1551</f>
        <v>0.23400474363924167</v>
      </c>
      <c r="X1410" s="109">
        <f>'Z Score'!L1551</f>
        <v>-0.49181671778044517</v>
      </c>
      <c r="Y1410" s="109">
        <f>'Z Score'!O1551</f>
        <v>0.80812402854817178</v>
      </c>
      <c r="Z1410" s="109">
        <f>'Z Score'!R1551</f>
        <v>-2.64044171817487E-4</v>
      </c>
      <c r="AA1410" s="109">
        <f>'Z Score'!S1551</f>
        <v>0.55004801023515082</v>
      </c>
    </row>
    <row r="1411" spans="1:27" ht="15" customHeight="1" x14ac:dyDescent="0.3">
      <c r="A1411" s="22"/>
      <c r="B1411" s="23"/>
      <c r="C1411" s="1"/>
      <c r="D1411" s="23">
        <v>2024</v>
      </c>
      <c r="E1411" s="25">
        <f>'Current Ratio'!G1552</f>
        <v>2.0973950595979849</v>
      </c>
      <c r="F1411" s="25">
        <f>'Cash Ratio'!G1552</f>
        <v>5.4957881203918139E-2</v>
      </c>
      <c r="G1411" s="25">
        <f>DAR!G1552</f>
        <v>1.3215794816379849</v>
      </c>
      <c r="H1411" s="25">
        <f>DER!G1552</f>
        <v>-5.9742583484838612</v>
      </c>
      <c r="I1411" s="25">
        <f>NPM!G1552</f>
        <v>-0.4765425162272855</v>
      </c>
      <c r="J1411" s="25">
        <f>ROA!G1552</f>
        <v>-0.15148383378053601</v>
      </c>
      <c r="K1411" s="25">
        <f>ROE!G1552</f>
        <v>0.68478935334410163</v>
      </c>
      <c r="L1411" s="25">
        <f>KM!E1552</f>
        <v>0.99990000000000001</v>
      </c>
      <c r="M1411" s="24">
        <f>KI!E1552</f>
        <v>2</v>
      </c>
      <c r="N1411" s="108">
        <f>IO!E1552</f>
        <v>0</v>
      </c>
      <c r="O1411" s="24">
        <f>'BoC Size'!E1552</f>
        <v>4</v>
      </c>
      <c r="P1411" s="24">
        <f>'TMT E DK'!E1552</f>
        <v>11</v>
      </c>
      <c r="Q1411" s="24">
        <f>Data!R1552</f>
        <v>4</v>
      </c>
      <c r="R1411" s="24">
        <f>Data!S1552</f>
        <v>4</v>
      </c>
      <c r="S1411" s="24">
        <f>'TMT E DK'!E1552</f>
        <v>11</v>
      </c>
      <c r="T1411" s="24">
        <f>'TMT E DD'!E1552</f>
        <v>6</v>
      </c>
      <c r="U1411" s="24">
        <f>TA!E1552</f>
        <v>9361527000000</v>
      </c>
      <c r="V1411" s="109">
        <f>PR!F1552</f>
        <v>-0.42570676703917815</v>
      </c>
      <c r="W1411" s="109">
        <f>'Z Score'!I1552</f>
        <v>1.2076503672958481</v>
      </c>
      <c r="X1411" s="109">
        <f>'Z Score'!L1552</f>
        <v>-0.49383729812454735</v>
      </c>
      <c r="Y1411" s="109">
        <f>'Z Score'!O1552</f>
        <v>-1.2079340133292356</v>
      </c>
      <c r="Z1411" s="109">
        <f>'Z Score'!R1552</f>
        <v>-0.17575403317910876</v>
      </c>
      <c r="AA1411" s="109">
        <f>'Z Score'!S1552</f>
        <v>-0.6698749773370436</v>
      </c>
    </row>
    <row r="1412" spans="1:27" ht="15" customHeight="1" x14ac:dyDescent="0.3">
      <c r="A1412" s="22"/>
      <c r="B1412" s="23">
        <v>142</v>
      </c>
      <c r="C1412" s="1" t="s">
        <v>138</v>
      </c>
      <c r="D1412" s="23">
        <v>2015</v>
      </c>
      <c r="E1412" s="25">
        <f>'Current Ratio'!G1554</f>
        <v>0</v>
      </c>
      <c r="F1412" s="25">
        <f>'Cash Ratio'!G1554</f>
        <v>4.3401723928614784E-3</v>
      </c>
      <c r="G1412" s="25">
        <f>DAR!G1554</f>
        <v>0.21014625600912573</v>
      </c>
      <c r="H1412" s="25">
        <f>DER!G1554</f>
        <v>0.26605717527820399</v>
      </c>
      <c r="I1412" s="25">
        <f>NPM!G1554</f>
        <v>9.4132841328413281</v>
      </c>
      <c r="J1412" s="25">
        <f>ROA!G1554</f>
        <v>2.5981830033406664E-2</v>
      </c>
      <c r="K1412" s="25">
        <f>ROE!G1554</f>
        <v>3.2894482340653244E-2</v>
      </c>
      <c r="L1412" s="25">
        <f>KM!E1554</f>
        <v>0</v>
      </c>
      <c r="M1412" s="24">
        <f>KI!E1554</f>
        <v>0</v>
      </c>
      <c r="N1412" s="108">
        <f>IO!E1554</f>
        <v>0</v>
      </c>
      <c r="O1412" s="24">
        <f>'BoC Size'!E1554</f>
        <v>0</v>
      </c>
      <c r="P1412" s="24">
        <f>'TMT E DK'!E1554</f>
        <v>0</v>
      </c>
      <c r="Q1412" s="24">
        <f>Data!R1554</f>
        <v>0</v>
      </c>
      <c r="R1412" s="24">
        <f>Data!S1554</f>
        <v>0</v>
      </c>
      <c r="S1412" s="24">
        <f>'TMT E DK'!E1554</f>
        <v>0</v>
      </c>
      <c r="T1412" s="24">
        <f>'TMT E DD'!E1554</f>
        <v>0</v>
      </c>
      <c r="U1412" s="24">
        <f>TA!E1554</f>
        <v>0</v>
      </c>
      <c r="V1412" s="109">
        <f>PR!F1554</f>
        <v>0</v>
      </c>
      <c r="W1412" s="109">
        <f>'Z Score'!I1554</f>
        <v>0</v>
      </c>
      <c r="X1412" s="109">
        <f>'Z Score'!L1554</f>
        <v>0</v>
      </c>
      <c r="Y1412" s="109">
        <f>'Z Score'!O1554</f>
        <v>0</v>
      </c>
      <c r="Z1412" s="109">
        <f>'Z Score'!R1554</f>
        <v>0</v>
      </c>
      <c r="AA1412" s="109">
        <f>'Z Score'!S1554</f>
        <v>0</v>
      </c>
    </row>
    <row r="1413" spans="1:27" ht="15" customHeight="1" x14ac:dyDescent="0.3">
      <c r="A1413" s="22"/>
      <c r="B1413" s="23"/>
      <c r="C1413" s="1"/>
      <c r="D1413" s="23">
        <v>2016</v>
      </c>
      <c r="E1413" s="25">
        <f>'Current Ratio'!G1555</f>
        <v>0</v>
      </c>
      <c r="F1413" s="25">
        <f>'Cash Ratio'!G1555</f>
        <v>0</v>
      </c>
      <c r="G1413" s="25">
        <f>DAR!G1555</f>
        <v>0</v>
      </c>
      <c r="H1413" s="25">
        <f>DER!G1555</f>
        <v>0</v>
      </c>
      <c r="I1413" s="25">
        <f>NPM!G1555</f>
        <v>0</v>
      </c>
      <c r="J1413" s="25">
        <f>ROA!G1555</f>
        <v>0</v>
      </c>
      <c r="K1413" s="25">
        <f>ROE!G1555</f>
        <v>0</v>
      </c>
      <c r="L1413" s="25">
        <f>KM!E1555</f>
        <v>0</v>
      </c>
      <c r="M1413" s="24">
        <f>KI!E1555</f>
        <v>0</v>
      </c>
      <c r="N1413" s="108">
        <f>IO!E1555</f>
        <v>0</v>
      </c>
      <c r="O1413" s="24">
        <f>'BoC Size'!E1555</f>
        <v>0</v>
      </c>
      <c r="P1413" s="24">
        <f>'TMT E DK'!E1555</f>
        <v>0</v>
      </c>
      <c r="Q1413" s="24">
        <f>Data!R1555</f>
        <v>0</v>
      </c>
      <c r="R1413" s="24">
        <f>Data!S1555</f>
        <v>0</v>
      </c>
      <c r="S1413" s="24">
        <f>'TMT E DK'!E1555</f>
        <v>0</v>
      </c>
      <c r="T1413" s="24">
        <f>'TMT E DD'!E1555</f>
        <v>0</v>
      </c>
      <c r="U1413" s="24">
        <f>TA!E1555</f>
        <v>0</v>
      </c>
      <c r="V1413" s="109">
        <f>PR!F1555</f>
        <v>-1</v>
      </c>
      <c r="W1413" s="109">
        <f>'Z Score'!I1555</f>
        <v>0</v>
      </c>
      <c r="X1413" s="109">
        <f>'Z Score'!L1555</f>
        <v>0</v>
      </c>
      <c r="Y1413" s="109">
        <f>'Z Score'!O1555</f>
        <v>0</v>
      </c>
      <c r="Z1413" s="109">
        <f>'Z Score'!R1555</f>
        <v>0</v>
      </c>
      <c r="AA1413" s="109">
        <f>'Z Score'!S1555</f>
        <v>0</v>
      </c>
    </row>
    <row r="1414" spans="1:27" ht="15" customHeight="1" x14ac:dyDescent="0.3">
      <c r="A1414" s="22"/>
      <c r="B1414" s="23"/>
      <c r="C1414" s="1"/>
      <c r="D1414" s="23">
        <v>2017</v>
      </c>
      <c r="E1414" s="25">
        <f>'Current Ratio'!G1556</f>
        <v>1.4630630083768361</v>
      </c>
      <c r="F1414" s="25">
        <f>'Cash Ratio'!G1556</f>
        <v>0</v>
      </c>
      <c r="G1414" s="25">
        <f>DAR!G1556</f>
        <v>0</v>
      </c>
      <c r="H1414" s="25">
        <f>DER!G1556</f>
        <v>0</v>
      </c>
      <c r="I1414" s="25">
        <f>NPM!G1556</f>
        <v>0</v>
      </c>
      <c r="J1414" s="25">
        <f>ROA!G1556</f>
        <v>0</v>
      </c>
      <c r="K1414" s="25">
        <f>ROE!G1556</f>
        <v>0</v>
      </c>
      <c r="L1414" s="25">
        <f>KM!E1556</f>
        <v>0.99</v>
      </c>
      <c r="M1414" s="24">
        <f>KI!E1556</f>
        <v>0</v>
      </c>
      <c r="N1414" s="108">
        <f>IO!E1556</f>
        <v>0</v>
      </c>
      <c r="O1414" s="24">
        <f>'BoC Size'!E1556</f>
        <v>3</v>
      </c>
      <c r="P1414" s="24">
        <f>'TMT E DK'!E1556</f>
        <v>0</v>
      </c>
      <c r="Q1414" s="24">
        <f>Data!R1556</f>
        <v>3</v>
      </c>
      <c r="R1414" s="24">
        <f>Data!S1556</f>
        <v>3</v>
      </c>
      <c r="S1414" s="24">
        <f>'TMT E DK'!E1556</f>
        <v>0</v>
      </c>
      <c r="T1414" s="24">
        <f>'TMT E DD'!E1556</f>
        <v>0</v>
      </c>
      <c r="U1414" s="24">
        <f>TA!E1556</f>
        <v>392736000000</v>
      </c>
      <c r="V1414" s="109">
        <f>PR!F1556</f>
        <v>0</v>
      </c>
      <c r="W1414" s="109">
        <f>'Z Score'!I1556</f>
        <v>0.25484274423531328</v>
      </c>
      <c r="X1414" s="109">
        <f>'Z Score'!L1556</f>
        <v>8.4700765908905712E-2</v>
      </c>
      <c r="Y1414" s="109">
        <f>'Z Score'!O1556</f>
        <v>0.1785846981178196</v>
      </c>
      <c r="Z1414" s="109">
        <f>'Z Score'!R1556</f>
        <v>3.946520137643581</v>
      </c>
      <c r="AA1414" s="109">
        <f>'Z Score'!S1556</f>
        <v>4.4646483459056192</v>
      </c>
    </row>
    <row r="1415" spans="1:27" ht="15" customHeight="1" x14ac:dyDescent="0.3">
      <c r="A1415" s="22"/>
      <c r="B1415" s="23"/>
      <c r="C1415" s="1"/>
      <c r="D1415" s="23">
        <v>2018</v>
      </c>
      <c r="E1415" s="25">
        <f>'Current Ratio'!G1557</f>
        <v>0</v>
      </c>
      <c r="F1415" s="25">
        <f>'Cash Ratio'!G1557</f>
        <v>0</v>
      </c>
      <c r="G1415" s="25">
        <f>DAR!G1557</f>
        <v>0</v>
      </c>
      <c r="H1415" s="25">
        <f>DER!G1557</f>
        <v>0</v>
      </c>
      <c r="I1415" s="25">
        <f>NPM!G1557</f>
        <v>0</v>
      </c>
      <c r="J1415" s="25">
        <f>ROA!G1557</f>
        <v>0</v>
      </c>
      <c r="K1415" s="25">
        <f>ROE!G1557</f>
        <v>0</v>
      </c>
      <c r="L1415" s="25">
        <f>KM!E1557</f>
        <v>0</v>
      </c>
      <c r="M1415" s="24">
        <f>KI!E1557</f>
        <v>0</v>
      </c>
      <c r="N1415" s="108">
        <f>IO!E1557</f>
        <v>0</v>
      </c>
      <c r="O1415" s="24">
        <f>'BoC Size'!E1557</f>
        <v>0</v>
      </c>
      <c r="P1415" s="24">
        <f>'TMT E DK'!E1557</f>
        <v>0</v>
      </c>
      <c r="Q1415" s="24">
        <f>Data!R1557</f>
        <v>0</v>
      </c>
      <c r="R1415" s="24">
        <f>Data!S1557</f>
        <v>0</v>
      </c>
      <c r="S1415" s="24">
        <f>'TMT E DK'!E1557</f>
        <v>0</v>
      </c>
      <c r="T1415" s="24">
        <f>'TMT E DD'!E1557</f>
        <v>0</v>
      </c>
      <c r="U1415" s="24">
        <f>TA!E1557</f>
        <v>0</v>
      </c>
      <c r="V1415" s="109">
        <f>PR!F1557</f>
        <v>0</v>
      </c>
      <c r="W1415" s="109">
        <f>'Z Score'!I1557</f>
        <v>0</v>
      </c>
      <c r="X1415" s="109">
        <f>'Z Score'!L1557</f>
        <v>0</v>
      </c>
      <c r="Y1415" s="109">
        <f>'Z Score'!O1557</f>
        <v>0</v>
      </c>
      <c r="Z1415" s="109">
        <f>'Z Score'!R1557</f>
        <v>0</v>
      </c>
      <c r="AA1415" s="109">
        <f>'Z Score'!S1557</f>
        <v>0</v>
      </c>
    </row>
    <row r="1416" spans="1:27" ht="15" customHeight="1" x14ac:dyDescent="0.3">
      <c r="A1416" s="22"/>
      <c r="B1416" s="23"/>
      <c r="C1416" s="1"/>
      <c r="D1416" s="23">
        <v>2019</v>
      </c>
      <c r="E1416" s="25">
        <f>'Current Ratio'!G1558</f>
        <v>3.7438535187644142</v>
      </c>
      <c r="F1416" s="25">
        <f>'Cash Ratio'!G1558</f>
        <v>1.8380040533929696E-2</v>
      </c>
      <c r="G1416" s="25">
        <f>DAR!G1558</f>
        <v>0.61263775993510228</v>
      </c>
      <c r="H1416" s="25">
        <f>DER!G1558</f>
        <v>1.5815629314629702</v>
      </c>
      <c r="I1416" s="25">
        <f>NPM!G1558</f>
        <v>0</v>
      </c>
      <c r="J1416" s="25">
        <f>ROA!G1558</f>
        <v>0</v>
      </c>
      <c r="K1416" s="25">
        <f>ROE!G1558</f>
        <v>0</v>
      </c>
      <c r="L1416" s="25">
        <f>KM!E1558</f>
        <v>0.99</v>
      </c>
      <c r="M1416" s="24">
        <f>KI!E1558</f>
        <v>1</v>
      </c>
      <c r="N1416" s="108">
        <f>IO!E1558</f>
        <v>0</v>
      </c>
      <c r="O1416" s="24">
        <f>'BoC Size'!E1558</f>
        <v>4</v>
      </c>
      <c r="P1416" s="24">
        <f>'TMT E DK'!E1558</f>
        <v>0</v>
      </c>
      <c r="Q1416" s="24">
        <f>Data!R1558</f>
        <v>4</v>
      </c>
      <c r="R1416" s="24">
        <f>Data!S1558</f>
        <v>3</v>
      </c>
      <c r="S1416" s="24">
        <f>'TMT E DK'!E1558</f>
        <v>0</v>
      </c>
      <c r="T1416" s="24">
        <f>'TMT E DD'!E1558</f>
        <v>0</v>
      </c>
      <c r="U1416" s="24">
        <f>TA!E1558</f>
        <v>1168609000000</v>
      </c>
      <c r="V1416" s="109">
        <f>PR!F1558</f>
        <v>0</v>
      </c>
      <c r="W1416" s="109">
        <f>'Z Score'!I1558</f>
        <v>2.2039656377796164</v>
      </c>
      <c r="X1416" s="109">
        <f>'Z Score'!L1558</f>
        <v>0.42590849462908464</v>
      </c>
      <c r="Y1416" s="109">
        <f>'Z Score'!O1558</f>
        <v>0.5099880627309904</v>
      </c>
      <c r="Z1416" s="109">
        <f>'Z Score'!R1558</f>
        <v>0.66390023382043595</v>
      </c>
      <c r="AA1416" s="109">
        <f>'Z Score'!S1558</f>
        <v>3.8037624289601273</v>
      </c>
    </row>
    <row r="1417" spans="1:27" ht="15" customHeight="1" x14ac:dyDescent="0.3">
      <c r="A1417" s="22"/>
      <c r="B1417" s="23"/>
      <c r="C1417" s="1"/>
      <c r="D1417" s="23">
        <v>2020</v>
      </c>
      <c r="E1417" s="25">
        <f>'Current Ratio'!G1559</f>
        <v>2.8256850138269605</v>
      </c>
      <c r="F1417" s="25">
        <f>'Cash Ratio'!G1559</f>
        <v>7.8045991697327077E-3</v>
      </c>
      <c r="G1417" s="25">
        <f>DAR!G1559</f>
        <v>0.69877128350963369</v>
      </c>
      <c r="H1417" s="25">
        <f>DER!G1559</f>
        <v>2.319736616253123</v>
      </c>
      <c r="I1417" s="25">
        <f>NPM!G1559</f>
        <v>0.2941511707156938</v>
      </c>
      <c r="J1417" s="25">
        <f>ROA!G1559</f>
        <v>8.4509746189734128E-2</v>
      </c>
      <c r="K1417" s="25">
        <f>ROE!G1559</f>
        <v>0.28055009885631821</v>
      </c>
      <c r="L1417" s="25">
        <f>KM!E1559</f>
        <v>0.99</v>
      </c>
      <c r="M1417" s="24">
        <f>KI!E1559</f>
        <v>1</v>
      </c>
      <c r="N1417" s="108">
        <f>IO!E1559</f>
        <v>0</v>
      </c>
      <c r="O1417" s="24">
        <f>'BoC Size'!E1559</f>
        <v>4</v>
      </c>
      <c r="P1417" s="24">
        <f>'TMT E DK'!E1559</f>
        <v>0</v>
      </c>
      <c r="Q1417" s="24">
        <f>Data!R1559</f>
        <v>4</v>
      </c>
      <c r="R1417" s="24">
        <f>Data!S1559</f>
        <v>3</v>
      </c>
      <c r="S1417" s="24">
        <f>'TMT E DK'!E1559</f>
        <v>0</v>
      </c>
      <c r="T1417" s="24">
        <f>'TMT E DD'!E1559</f>
        <v>0</v>
      </c>
      <c r="U1417" s="24">
        <f>TA!E1559</f>
        <v>2088765000000</v>
      </c>
      <c r="V1417" s="109">
        <f>PR!F1559</f>
        <v>1.684556162459347</v>
      </c>
      <c r="W1417" s="109">
        <f>'Z Score'!I1559</f>
        <v>2.6477336033493475</v>
      </c>
      <c r="X1417" s="109">
        <f>'Z Score'!L1559</f>
        <v>0.51378635701000352</v>
      </c>
      <c r="Y1417" s="109">
        <f>'Z Score'!O1559</f>
        <v>0.55937023073442915</v>
      </c>
      <c r="Z1417" s="109">
        <f>'Z Score'!R1559</f>
        <v>0.45263759370060613</v>
      </c>
      <c r="AA1417" s="109">
        <f>'Z Score'!S1559</f>
        <v>4.1735277847943859</v>
      </c>
    </row>
    <row r="1418" spans="1:27" ht="15" customHeight="1" x14ac:dyDescent="0.3">
      <c r="A1418" s="22"/>
      <c r="B1418" s="23"/>
      <c r="C1418" s="1"/>
      <c r="D1418" s="23">
        <v>2021</v>
      </c>
      <c r="E1418" s="25">
        <f>'Current Ratio'!G1560</f>
        <v>17.464297810758382</v>
      </c>
      <c r="F1418" s="25">
        <f>'Cash Ratio'!G1560</f>
        <v>0.57916371586045512</v>
      </c>
      <c r="G1418" s="25">
        <f>DAR!G1560</f>
        <v>0.71040065974994493</v>
      </c>
      <c r="H1418" s="25">
        <f>DER!G1560</f>
        <v>2.45304654056376</v>
      </c>
      <c r="I1418" s="25">
        <f>NPM!G1560</f>
        <v>8.0229407044587128E-2</v>
      </c>
      <c r="J1418" s="25">
        <f>ROA!G1560</f>
        <v>2.7288681888888115E-2</v>
      </c>
      <c r="K1418" s="25">
        <f>ROE!G1560</f>
        <v>9.4229088592970037E-2</v>
      </c>
      <c r="L1418" s="25">
        <f>KM!E1560</f>
        <v>0.99</v>
      </c>
      <c r="M1418" s="24">
        <f>KI!E1560</f>
        <v>1</v>
      </c>
      <c r="N1418" s="108">
        <f>IO!E1560</f>
        <v>0</v>
      </c>
      <c r="O1418" s="24">
        <f>'BoC Size'!E1560</f>
        <v>4</v>
      </c>
      <c r="P1418" s="24">
        <f>'TMT E DK'!E1560</f>
        <v>0</v>
      </c>
      <c r="Q1418" s="24">
        <f>Data!R1560</f>
        <v>4</v>
      </c>
      <c r="R1418" s="24">
        <f>Data!S1560</f>
        <v>3</v>
      </c>
      <c r="S1418" s="24">
        <f>'TMT E DK'!E1560</f>
        <v>0</v>
      </c>
      <c r="T1418" s="24">
        <f>'TMT E DD'!E1560</f>
        <v>0</v>
      </c>
      <c r="U1418" s="24">
        <f>TA!E1560</f>
        <v>1864949000000</v>
      </c>
      <c r="V1418" s="109">
        <f>PR!F1560</f>
        <v>5.7036875336400582E-2</v>
      </c>
      <c r="W1418" s="109">
        <f>'Z Score'!I1560</f>
        <v>3.7617159075127526</v>
      </c>
      <c r="X1418" s="109">
        <f>'Z Score'!L1560</f>
        <v>0.4196827259083224</v>
      </c>
      <c r="Y1418" s="109">
        <f>'Z Score'!O1560</f>
        <v>0.19050009410445004</v>
      </c>
      <c r="Z1418" s="109">
        <f>'Z Score'!R1560</f>
        <v>0.4280391678825175</v>
      </c>
      <c r="AA1418" s="109">
        <f>'Z Score'!S1560</f>
        <v>4.7999378954080427</v>
      </c>
    </row>
    <row r="1419" spans="1:27" ht="15" customHeight="1" x14ac:dyDescent="0.3">
      <c r="A1419" s="22"/>
      <c r="B1419" s="23"/>
      <c r="C1419" s="1"/>
      <c r="D1419" s="23">
        <v>2022</v>
      </c>
      <c r="E1419" s="25">
        <f>'Current Ratio'!G1561</f>
        <v>2.9323387007355026</v>
      </c>
      <c r="F1419" s="25">
        <f>'Cash Ratio'!G1561</f>
        <v>2.8472829665403183E-3</v>
      </c>
      <c r="G1419" s="25">
        <f>DAR!G1561</f>
        <v>0.80700729725256481</v>
      </c>
      <c r="H1419" s="25">
        <f>DER!G1561</f>
        <v>4.181543062323323</v>
      </c>
      <c r="I1419" s="25">
        <f>NPM!G1561</f>
        <v>0.10233744137663528</v>
      </c>
      <c r="J1419" s="25">
        <f>ROA!G1561</f>
        <v>1.5279249801503017E-2</v>
      </c>
      <c r="K1419" s="25">
        <f>ROE!G1561</f>
        <v>7.9170090806482962E-2</v>
      </c>
      <c r="L1419" s="25">
        <f>KM!E1561</f>
        <v>0.99</v>
      </c>
      <c r="M1419" s="24">
        <f>KI!E1561</f>
        <v>1</v>
      </c>
      <c r="N1419" s="108">
        <f>IO!E1561</f>
        <v>0</v>
      </c>
      <c r="O1419" s="24">
        <f>'BoC Size'!E1561</f>
        <v>4</v>
      </c>
      <c r="P1419" s="24">
        <f>'TMT E DK'!E1561</f>
        <v>0</v>
      </c>
      <c r="Q1419" s="24">
        <f>Data!R1561</f>
        <v>4</v>
      </c>
      <c r="R1419" s="24">
        <f>Data!S1561</f>
        <v>3</v>
      </c>
      <c r="S1419" s="24">
        <f>'TMT E DK'!E1561</f>
        <v>0</v>
      </c>
      <c r="T1419" s="24">
        <f>'TMT E DD'!E1561</f>
        <v>0</v>
      </c>
      <c r="U1419" s="24">
        <f>TA!E1561</f>
        <v>3039089000000</v>
      </c>
      <c r="V1419" s="109">
        <f>PR!F1561</f>
        <v>-0.28468890847207529</v>
      </c>
      <c r="W1419" s="109">
        <f>'Z Score'!I1561</f>
        <v>3.0470275269990443</v>
      </c>
      <c r="X1419" s="109">
        <f>'Z Score'!L1561</f>
        <v>0.31775112212903273</v>
      </c>
      <c r="Y1419" s="109">
        <f>'Z Score'!O1561</f>
        <v>0.1363043201433061</v>
      </c>
      <c r="Z1419" s="109">
        <f>'Z Score'!R1561</f>
        <v>0.25110347647994935</v>
      </c>
      <c r="AA1419" s="109">
        <f>'Z Score'!S1561</f>
        <v>3.7521864457513323</v>
      </c>
    </row>
    <row r="1420" spans="1:27" ht="15" customHeight="1" x14ac:dyDescent="0.3">
      <c r="A1420" s="22"/>
      <c r="B1420" s="23"/>
      <c r="C1420" s="1"/>
      <c r="D1420" s="23">
        <v>2023</v>
      </c>
      <c r="E1420" s="25">
        <f>'Current Ratio'!G1562</f>
        <v>3.4826263235790327</v>
      </c>
      <c r="F1420" s="25">
        <f>'Cash Ratio'!G1562</f>
        <v>2.8400600575938757E-2</v>
      </c>
      <c r="G1420" s="25">
        <f>DAR!G1562</f>
        <v>0.78042216427133959</v>
      </c>
      <c r="H1420" s="25">
        <f>DER!G1562</f>
        <v>3.5541937176015019</v>
      </c>
      <c r="I1420" s="25">
        <f>NPM!G1562</f>
        <v>0.21070312893060186</v>
      </c>
      <c r="J1420" s="25">
        <f>ROA!G1562</f>
        <v>2.9810013136012736E-2</v>
      </c>
      <c r="K1420" s="25">
        <f>ROE!G1562</f>
        <v>0.13576057454564744</v>
      </c>
      <c r="L1420" s="25">
        <f>KM!E1562</f>
        <v>0.99</v>
      </c>
      <c r="M1420" s="24">
        <f>KI!E1562</f>
        <v>1</v>
      </c>
      <c r="N1420" s="108">
        <f>IO!E1562</f>
        <v>0</v>
      </c>
      <c r="O1420" s="24">
        <f>'BoC Size'!E1562</f>
        <v>4</v>
      </c>
      <c r="P1420" s="24">
        <f>'TMT E DK'!E1562</f>
        <v>0</v>
      </c>
      <c r="Q1420" s="24">
        <f>Data!R1562</f>
        <v>4</v>
      </c>
      <c r="R1420" s="24">
        <f>Data!S1562</f>
        <v>3</v>
      </c>
      <c r="S1420" s="24">
        <f>'TMT E DK'!E1562</f>
        <v>0</v>
      </c>
      <c r="T1420" s="24">
        <f>'TMT E DD'!E1562</f>
        <v>0</v>
      </c>
      <c r="U1420" s="24">
        <f>TA!E1562</f>
        <v>3090740000000</v>
      </c>
      <c r="V1420" s="109">
        <f>PR!F1562</f>
        <v>-3.6298000634719135E-2</v>
      </c>
      <c r="W1420" s="109">
        <f>'Z Score'!I1562</f>
        <v>2.9514863624892418</v>
      </c>
      <c r="X1420" s="109">
        <f>'Z Score'!L1562</f>
        <v>0.40175206584830814</v>
      </c>
      <c r="Y1420" s="109">
        <f>'Z Score'!O1562</f>
        <v>0.21326434446119696</v>
      </c>
      <c r="Z1420" s="109">
        <f>'Z Score'!R1562</f>
        <v>0.29542565302506302</v>
      </c>
      <c r="AA1420" s="109">
        <f>'Z Score'!S1562</f>
        <v>3.8619284258238102</v>
      </c>
    </row>
    <row r="1421" spans="1:27" ht="15" customHeight="1" x14ac:dyDescent="0.3">
      <c r="A1421" s="22"/>
      <c r="B1421" s="23"/>
      <c r="C1421" s="1"/>
      <c r="D1421" s="23">
        <v>2024</v>
      </c>
      <c r="E1421" s="25">
        <f>'Current Ratio'!G1563</f>
        <v>3.1772751594628796</v>
      </c>
      <c r="F1421" s="25">
        <f>'Cash Ratio'!G1563</f>
        <v>1.877033098633418E-3</v>
      </c>
      <c r="G1421" s="25">
        <f>DAR!G1563</f>
        <v>0.72080717558077545</v>
      </c>
      <c r="H1421" s="25">
        <f>DER!G1563</f>
        <v>2.5817539439997965</v>
      </c>
      <c r="I1421" s="25">
        <f>NPM!G1563</f>
        <v>0.40614888193113269</v>
      </c>
      <c r="J1421" s="25">
        <f>ROA!G1563</f>
        <v>6.9469943371008744E-2</v>
      </c>
      <c r="K1421" s="25">
        <f>ROE!G1563</f>
        <v>0.24882424365855305</v>
      </c>
      <c r="L1421" s="25">
        <f>KM!E1563</f>
        <v>0.99</v>
      </c>
      <c r="M1421" s="24">
        <f>KI!E1563</f>
        <v>2</v>
      </c>
      <c r="N1421" s="108">
        <f>IO!E1563</f>
        <v>0</v>
      </c>
      <c r="O1421" s="24">
        <f>'BoC Size'!E1563</f>
        <v>3</v>
      </c>
      <c r="P1421" s="24">
        <f>'TMT E DK'!E1563</f>
        <v>0</v>
      </c>
      <c r="Q1421" s="24">
        <f>Data!R1563</f>
        <v>3</v>
      </c>
      <c r="R1421" s="24">
        <f>Data!S1563</f>
        <v>3</v>
      </c>
      <c r="S1421" s="24">
        <f>'TMT E DK'!E1563</f>
        <v>0</v>
      </c>
      <c r="T1421" s="24">
        <f>'TMT E DD'!E1563</f>
        <v>0</v>
      </c>
      <c r="U1421" s="24">
        <f>TA!E1563</f>
        <v>3235975000000</v>
      </c>
      <c r="V1421" s="109">
        <f>PR!F1563</f>
        <v>0.26579444467313401</v>
      </c>
      <c r="W1421" s="109">
        <f>'Z Score'!I1563</f>
        <v>2.5983780962461078</v>
      </c>
      <c r="X1421" s="109">
        <f>'Z Score'!L1563</f>
        <v>0.6249234558363399</v>
      </c>
      <c r="Y1421" s="109">
        <f>'Z Score'!O1563</f>
        <v>0.58398206413831988</v>
      </c>
      <c r="Z1421" s="109">
        <f>'Z Score'!R1563</f>
        <v>0.40670025989125902</v>
      </c>
      <c r="AA1421" s="109">
        <f>'Z Score'!S1563</f>
        <v>4.2139838761120263</v>
      </c>
    </row>
    <row r="1422" spans="1:27" ht="15" customHeight="1" x14ac:dyDescent="0.3">
      <c r="A1422" s="22"/>
      <c r="B1422" s="23">
        <v>143</v>
      </c>
      <c r="C1422" s="1" t="s">
        <v>144</v>
      </c>
      <c r="D1422" s="23">
        <v>2015</v>
      </c>
      <c r="E1422" s="25">
        <f>'Current Ratio'!G1565</f>
        <v>0</v>
      </c>
      <c r="F1422" s="25">
        <f>'Cash Ratio'!G1565</f>
        <v>0</v>
      </c>
      <c r="G1422" s="25">
        <f>DAR!G1565</f>
        <v>0</v>
      </c>
      <c r="H1422" s="25">
        <f>DER!G1565</f>
        <v>0</v>
      </c>
      <c r="I1422" s="25">
        <f>NPM!G1565</f>
        <v>0</v>
      </c>
      <c r="J1422" s="25">
        <f>ROA!G1565</f>
        <v>0</v>
      </c>
      <c r="K1422" s="25">
        <f>ROE!G1565</f>
        <v>0</v>
      </c>
      <c r="L1422" s="25">
        <f>KM!E1565</f>
        <v>0</v>
      </c>
      <c r="M1422" s="24">
        <f>KI!E1565</f>
        <v>0</v>
      </c>
      <c r="N1422" s="108">
        <f>IO!E1565</f>
        <v>0</v>
      </c>
      <c r="O1422" s="24">
        <f>'BoC Size'!E1565</f>
        <v>0</v>
      </c>
      <c r="P1422" s="24">
        <f>'TMT E DK'!E1565</f>
        <v>0</v>
      </c>
      <c r="Q1422" s="24">
        <f>Data!R1565</f>
        <v>0</v>
      </c>
      <c r="R1422" s="24">
        <f>Data!S1565</f>
        <v>0</v>
      </c>
      <c r="S1422" s="24">
        <f>'TMT E DK'!E1565</f>
        <v>0</v>
      </c>
      <c r="T1422" s="24">
        <f>'TMT E DD'!E1565</f>
        <v>0</v>
      </c>
      <c r="U1422" s="24">
        <f>TA!E1565</f>
        <v>0</v>
      </c>
      <c r="V1422" s="109">
        <f>PR!F1565</f>
        <v>0</v>
      </c>
      <c r="W1422" s="109">
        <f>'Z Score'!I1565</f>
        <v>0</v>
      </c>
      <c r="X1422" s="109">
        <f>'Z Score'!L1565</f>
        <v>0</v>
      </c>
      <c r="Y1422" s="109">
        <f>'Z Score'!O1565</f>
        <v>0</v>
      </c>
      <c r="Z1422" s="109">
        <f>'Z Score'!R1565</f>
        <v>0</v>
      </c>
      <c r="AA1422" s="109">
        <f>'Z Score'!S1565</f>
        <v>0</v>
      </c>
    </row>
    <row r="1423" spans="1:27" ht="15" customHeight="1" x14ac:dyDescent="0.3">
      <c r="A1423" s="22"/>
      <c r="B1423" s="23"/>
      <c r="C1423" s="1"/>
      <c r="D1423" s="23">
        <v>2016</v>
      </c>
      <c r="E1423" s="25">
        <f>'Current Ratio'!G1566</f>
        <v>0</v>
      </c>
      <c r="F1423" s="25">
        <f>'Cash Ratio'!G1566</f>
        <v>0</v>
      </c>
      <c r="G1423" s="25">
        <f>DAR!G1566</f>
        <v>0</v>
      </c>
      <c r="H1423" s="25">
        <f>DER!G1566</f>
        <v>0</v>
      </c>
      <c r="I1423" s="25">
        <f>NPM!G1566</f>
        <v>0</v>
      </c>
      <c r="J1423" s="25">
        <f>ROA!G1566</f>
        <v>0</v>
      </c>
      <c r="K1423" s="25">
        <f>ROE!G1566</f>
        <v>0</v>
      </c>
      <c r="L1423" s="25">
        <f>KM!E1566</f>
        <v>0</v>
      </c>
      <c r="M1423" s="24">
        <f>KI!E1566</f>
        <v>0</v>
      </c>
      <c r="N1423" s="108">
        <f>IO!E1566</f>
        <v>0</v>
      </c>
      <c r="O1423" s="24">
        <f>'BoC Size'!E1566</f>
        <v>0</v>
      </c>
      <c r="P1423" s="24">
        <f>'TMT E DK'!E1566</f>
        <v>0</v>
      </c>
      <c r="Q1423" s="24">
        <f>Data!R1566</f>
        <v>0</v>
      </c>
      <c r="R1423" s="24">
        <f>Data!S1566</f>
        <v>0</v>
      </c>
      <c r="S1423" s="24">
        <f>'TMT E DK'!E1566</f>
        <v>0</v>
      </c>
      <c r="T1423" s="24">
        <f>'TMT E DD'!E1566</f>
        <v>0</v>
      </c>
      <c r="U1423" s="24">
        <f>TA!E1566</f>
        <v>0</v>
      </c>
      <c r="V1423" s="109">
        <f>PR!F1566</f>
        <v>0</v>
      </c>
      <c r="W1423" s="109">
        <f>'Z Score'!I1566</f>
        <v>0</v>
      </c>
      <c r="X1423" s="109">
        <f>'Z Score'!L1566</f>
        <v>0</v>
      </c>
      <c r="Y1423" s="109">
        <f>'Z Score'!O1566</f>
        <v>0</v>
      </c>
      <c r="Z1423" s="109">
        <f>'Z Score'!R1566</f>
        <v>0</v>
      </c>
      <c r="AA1423" s="109">
        <f>'Z Score'!S1566</f>
        <v>0</v>
      </c>
    </row>
    <row r="1424" spans="1:27" ht="15" customHeight="1" x14ac:dyDescent="0.3">
      <c r="A1424" s="22"/>
      <c r="B1424" s="23"/>
      <c r="C1424" s="1"/>
      <c r="D1424" s="23">
        <v>2017</v>
      </c>
      <c r="E1424" s="25">
        <f>'Current Ratio'!G1567</f>
        <v>0</v>
      </c>
      <c r="F1424" s="25">
        <f>'Cash Ratio'!G1567</f>
        <v>0</v>
      </c>
      <c r="G1424" s="25">
        <f>DAR!G1567</f>
        <v>0</v>
      </c>
      <c r="H1424" s="25">
        <f>DER!G1567</f>
        <v>0</v>
      </c>
      <c r="I1424" s="25">
        <f>NPM!G1567</f>
        <v>0</v>
      </c>
      <c r="J1424" s="25">
        <f>ROA!G1567</f>
        <v>0</v>
      </c>
      <c r="K1424" s="25">
        <f>ROE!G1567</f>
        <v>0</v>
      </c>
      <c r="L1424" s="25">
        <f>KM!E1567</f>
        <v>0</v>
      </c>
      <c r="M1424" s="24">
        <f>KI!E1567</f>
        <v>0</v>
      </c>
      <c r="N1424" s="108">
        <f>IO!E1567</f>
        <v>0</v>
      </c>
      <c r="O1424" s="24">
        <f>'BoC Size'!E1567</f>
        <v>0</v>
      </c>
      <c r="P1424" s="24">
        <f>'TMT E DK'!E1567</f>
        <v>0</v>
      </c>
      <c r="Q1424" s="24">
        <f>Data!R1567</f>
        <v>0</v>
      </c>
      <c r="R1424" s="24">
        <f>Data!S1567</f>
        <v>0</v>
      </c>
      <c r="S1424" s="24">
        <f>'TMT E DK'!E1567</f>
        <v>0</v>
      </c>
      <c r="T1424" s="24">
        <f>'TMT E DD'!E1567</f>
        <v>0</v>
      </c>
      <c r="U1424" s="24">
        <f>TA!E1567</f>
        <v>0</v>
      </c>
      <c r="V1424" s="109">
        <f>PR!F1567</f>
        <v>0</v>
      </c>
      <c r="W1424" s="109">
        <f>'Z Score'!I1567</f>
        <v>0</v>
      </c>
      <c r="X1424" s="109">
        <f>'Z Score'!L1567</f>
        <v>0</v>
      </c>
      <c r="Y1424" s="109">
        <f>'Z Score'!O1567</f>
        <v>0</v>
      </c>
      <c r="Z1424" s="109">
        <f>'Z Score'!R1567</f>
        <v>0</v>
      </c>
      <c r="AA1424" s="109">
        <f>'Z Score'!S1567</f>
        <v>0</v>
      </c>
    </row>
    <row r="1425" spans="1:27" ht="15" customHeight="1" x14ac:dyDescent="0.3">
      <c r="A1425" s="22"/>
      <c r="B1425" s="23"/>
      <c r="C1425" s="1"/>
      <c r="D1425" s="23">
        <v>2018</v>
      </c>
      <c r="E1425" s="25">
        <f>'Current Ratio'!G1568</f>
        <v>0</v>
      </c>
      <c r="F1425" s="25">
        <f>'Cash Ratio'!G1568</f>
        <v>0</v>
      </c>
      <c r="G1425" s="25">
        <f>DAR!G1568</f>
        <v>0</v>
      </c>
      <c r="H1425" s="25">
        <f>DER!G1568</f>
        <v>0</v>
      </c>
      <c r="I1425" s="25">
        <f>NPM!G1568</f>
        <v>0</v>
      </c>
      <c r="J1425" s="25">
        <f>ROA!G1568</f>
        <v>0</v>
      </c>
      <c r="K1425" s="25">
        <f>ROE!G1568</f>
        <v>0</v>
      </c>
      <c r="L1425" s="25">
        <f>KM!E1568</f>
        <v>0</v>
      </c>
      <c r="M1425" s="24">
        <f>KI!E1568</f>
        <v>0</v>
      </c>
      <c r="N1425" s="108">
        <f>IO!E1568</f>
        <v>0</v>
      </c>
      <c r="O1425" s="24">
        <f>'BoC Size'!E1568</f>
        <v>0</v>
      </c>
      <c r="P1425" s="24">
        <f>'TMT E DK'!E1568</f>
        <v>0</v>
      </c>
      <c r="Q1425" s="24">
        <f>Data!R1568</f>
        <v>0</v>
      </c>
      <c r="R1425" s="24">
        <f>Data!S1568</f>
        <v>0</v>
      </c>
      <c r="S1425" s="24">
        <f>'TMT E DK'!E1568</f>
        <v>0</v>
      </c>
      <c r="T1425" s="24">
        <f>'TMT E DD'!E1568</f>
        <v>0</v>
      </c>
      <c r="U1425" s="24">
        <f>TA!E1568</f>
        <v>0</v>
      </c>
      <c r="V1425" s="109">
        <f>PR!F1568</f>
        <v>0</v>
      </c>
      <c r="W1425" s="109">
        <f>'Z Score'!I1568</f>
        <v>0</v>
      </c>
      <c r="X1425" s="109">
        <f>'Z Score'!L1568</f>
        <v>0</v>
      </c>
      <c r="Y1425" s="109">
        <f>'Z Score'!O1568</f>
        <v>0</v>
      </c>
      <c r="Z1425" s="109">
        <f>'Z Score'!R1568</f>
        <v>0</v>
      </c>
      <c r="AA1425" s="109">
        <f>'Z Score'!S1568</f>
        <v>0</v>
      </c>
    </row>
    <row r="1426" spans="1:27" ht="15" customHeight="1" x14ac:dyDescent="0.3">
      <c r="A1426" s="22"/>
      <c r="B1426" s="23"/>
      <c r="C1426" s="1"/>
      <c r="D1426" s="23">
        <v>2019</v>
      </c>
      <c r="E1426" s="25">
        <f>'Current Ratio'!G1569</f>
        <v>0</v>
      </c>
      <c r="F1426" s="25">
        <f>'Cash Ratio'!G1569</f>
        <v>0</v>
      </c>
      <c r="G1426" s="25">
        <f>DAR!G1569</f>
        <v>0</v>
      </c>
      <c r="H1426" s="25">
        <f>DER!G1569</f>
        <v>0</v>
      </c>
      <c r="I1426" s="25">
        <f>NPM!G1569</f>
        <v>0</v>
      </c>
      <c r="J1426" s="25">
        <f>ROA!G1569</f>
        <v>0</v>
      </c>
      <c r="K1426" s="25">
        <f>ROE!G1569</f>
        <v>0</v>
      </c>
      <c r="L1426" s="25">
        <f>KM!E1569</f>
        <v>0</v>
      </c>
      <c r="M1426" s="24">
        <f>KI!E1569</f>
        <v>0</v>
      </c>
      <c r="N1426" s="108">
        <f>IO!E1569</f>
        <v>0</v>
      </c>
      <c r="O1426" s="24">
        <f>'BoC Size'!E1569</f>
        <v>0</v>
      </c>
      <c r="P1426" s="24">
        <f>'TMT E DK'!E1569</f>
        <v>0</v>
      </c>
      <c r="Q1426" s="24">
        <f>Data!R1569</f>
        <v>0</v>
      </c>
      <c r="R1426" s="24">
        <f>Data!S1569</f>
        <v>0</v>
      </c>
      <c r="S1426" s="24">
        <f>'TMT E DK'!E1569</f>
        <v>0</v>
      </c>
      <c r="T1426" s="24">
        <f>'TMT E DD'!E1569</f>
        <v>0</v>
      </c>
      <c r="U1426" s="24">
        <f>TA!E1569</f>
        <v>0</v>
      </c>
      <c r="V1426" s="109">
        <f>PR!F1569</f>
        <v>0</v>
      </c>
      <c r="W1426" s="109">
        <f>'Z Score'!I1569</f>
        <v>0</v>
      </c>
      <c r="X1426" s="109">
        <f>'Z Score'!L1569</f>
        <v>0</v>
      </c>
      <c r="Y1426" s="109">
        <f>'Z Score'!O1569</f>
        <v>0</v>
      </c>
      <c r="Z1426" s="109">
        <f>'Z Score'!R1569</f>
        <v>0</v>
      </c>
      <c r="AA1426" s="109">
        <f>'Z Score'!S1569</f>
        <v>0</v>
      </c>
    </row>
    <row r="1427" spans="1:27" ht="15" customHeight="1" x14ac:dyDescent="0.3">
      <c r="A1427" s="22"/>
      <c r="B1427" s="23"/>
      <c r="C1427" s="1"/>
      <c r="D1427" s="23">
        <v>2020</v>
      </c>
      <c r="E1427" s="25">
        <f>'Current Ratio'!G1570</f>
        <v>0</v>
      </c>
      <c r="F1427" s="25">
        <f>'Cash Ratio'!G1570</f>
        <v>0</v>
      </c>
      <c r="G1427" s="25">
        <f>DAR!G1570</f>
        <v>0</v>
      </c>
      <c r="H1427" s="25">
        <f>DER!G1570</f>
        <v>0</v>
      </c>
      <c r="I1427" s="25">
        <f>NPM!G1570</f>
        <v>0</v>
      </c>
      <c r="J1427" s="25">
        <f>ROA!G1570</f>
        <v>0</v>
      </c>
      <c r="K1427" s="25">
        <f>ROE!G1570</f>
        <v>0</v>
      </c>
      <c r="L1427" s="25">
        <f>KM!E1570</f>
        <v>0</v>
      </c>
      <c r="M1427" s="24">
        <f>KI!E1570</f>
        <v>0</v>
      </c>
      <c r="N1427" s="108">
        <f>IO!E1570</f>
        <v>0</v>
      </c>
      <c r="O1427" s="24">
        <f>'BoC Size'!E1570</f>
        <v>0</v>
      </c>
      <c r="P1427" s="24">
        <f>'TMT E DK'!E1570</f>
        <v>0</v>
      </c>
      <c r="Q1427" s="24">
        <f>Data!R1570</f>
        <v>0</v>
      </c>
      <c r="R1427" s="24">
        <f>Data!S1570</f>
        <v>0</v>
      </c>
      <c r="S1427" s="24">
        <f>'TMT E DK'!E1570</f>
        <v>0</v>
      </c>
      <c r="T1427" s="24">
        <f>'TMT E DD'!E1570</f>
        <v>0</v>
      </c>
      <c r="U1427" s="24">
        <f>TA!E1570</f>
        <v>0</v>
      </c>
      <c r="V1427" s="109">
        <f>PR!F1570</f>
        <v>0</v>
      </c>
      <c r="W1427" s="109">
        <f>'Z Score'!I1570</f>
        <v>0</v>
      </c>
      <c r="X1427" s="109">
        <f>'Z Score'!L1570</f>
        <v>0</v>
      </c>
      <c r="Y1427" s="109">
        <f>'Z Score'!O1570</f>
        <v>0</v>
      </c>
      <c r="Z1427" s="109">
        <f>'Z Score'!R1570</f>
        <v>0</v>
      </c>
      <c r="AA1427" s="109">
        <f>'Z Score'!S1570</f>
        <v>0</v>
      </c>
    </row>
    <row r="1428" spans="1:27" ht="15" customHeight="1" x14ac:dyDescent="0.3">
      <c r="A1428" s="22"/>
      <c r="B1428" s="23"/>
      <c r="C1428" s="1"/>
      <c r="D1428" s="23">
        <v>2021</v>
      </c>
      <c r="E1428" s="25">
        <f>'Current Ratio'!G1571</f>
        <v>0</v>
      </c>
      <c r="F1428" s="25">
        <f>'Cash Ratio'!G1571</f>
        <v>0</v>
      </c>
      <c r="G1428" s="25">
        <f>DAR!G1571</f>
        <v>0</v>
      </c>
      <c r="H1428" s="25">
        <f>DER!G1571</f>
        <v>0</v>
      </c>
      <c r="I1428" s="25">
        <f>NPM!G1571</f>
        <v>0</v>
      </c>
      <c r="J1428" s="25">
        <f>ROA!G1571</f>
        <v>0</v>
      </c>
      <c r="K1428" s="25">
        <f>ROE!G1571</f>
        <v>0</v>
      </c>
      <c r="L1428" s="25">
        <f>KM!E1571</f>
        <v>0</v>
      </c>
      <c r="M1428" s="24">
        <f>KI!E1571</f>
        <v>0</v>
      </c>
      <c r="N1428" s="108">
        <f>IO!E1571</f>
        <v>0</v>
      </c>
      <c r="O1428" s="24">
        <f>'BoC Size'!E1571</f>
        <v>0</v>
      </c>
      <c r="P1428" s="24">
        <f>'TMT E DK'!E1571</f>
        <v>0</v>
      </c>
      <c r="Q1428" s="24">
        <f>Data!R1571</f>
        <v>0</v>
      </c>
      <c r="R1428" s="24">
        <f>Data!S1571</f>
        <v>0</v>
      </c>
      <c r="S1428" s="24">
        <f>'TMT E DK'!E1571</f>
        <v>0</v>
      </c>
      <c r="T1428" s="24">
        <f>'TMT E DD'!E1571</f>
        <v>0</v>
      </c>
      <c r="U1428" s="24">
        <f>TA!E1571</f>
        <v>0</v>
      </c>
      <c r="V1428" s="109">
        <f>PR!F1571</f>
        <v>0</v>
      </c>
      <c r="W1428" s="109">
        <f>'Z Score'!I1571</f>
        <v>0</v>
      </c>
      <c r="X1428" s="109">
        <f>'Z Score'!L1571</f>
        <v>0</v>
      </c>
      <c r="Y1428" s="109">
        <f>'Z Score'!O1571</f>
        <v>0</v>
      </c>
      <c r="Z1428" s="109">
        <f>'Z Score'!R1571</f>
        <v>0</v>
      </c>
      <c r="AA1428" s="109">
        <f>'Z Score'!S1571</f>
        <v>0</v>
      </c>
    </row>
    <row r="1429" spans="1:27" ht="15" customHeight="1" x14ac:dyDescent="0.3">
      <c r="A1429" s="22"/>
      <c r="B1429" s="23"/>
      <c r="C1429" s="1"/>
      <c r="D1429" s="23">
        <v>2022</v>
      </c>
      <c r="E1429" s="25">
        <f>'Current Ratio'!G1572</f>
        <v>0</v>
      </c>
      <c r="F1429" s="25">
        <f>'Cash Ratio'!G1572</f>
        <v>0</v>
      </c>
      <c r="G1429" s="25">
        <f>DAR!G1572</f>
        <v>0</v>
      </c>
      <c r="H1429" s="25">
        <f>DER!G1572</f>
        <v>0</v>
      </c>
      <c r="I1429" s="25">
        <f>NPM!G1572</f>
        <v>0</v>
      </c>
      <c r="J1429" s="25">
        <f>ROA!G1572</f>
        <v>0</v>
      </c>
      <c r="K1429" s="25">
        <f>ROE!G1572</f>
        <v>0</v>
      </c>
      <c r="L1429" s="25">
        <f>KM!E1572</f>
        <v>0</v>
      </c>
      <c r="M1429" s="24">
        <f>KI!E1572</f>
        <v>0</v>
      </c>
      <c r="N1429" s="108">
        <f>IO!E1572</f>
        <v>0</v>
      </c>
      <c r="O1429" s="24">
        <f>'BoC Size'!E1572</f>
        <v>0</v>
      </c>
      <c r="P1429" s="24">
        <f>'TMT E DK'!E1572</f>
        <v>0</v>
      </c>
      <c r="Q1429" s="24">
        <f>Data!R1572</f>
        <v>0</v>
      </c>
      <c r="R1429" s="24">
        <f>Data!S1572</f>
        <v>0</v>
      </c>
      <c r="S1429" s="24">
        <f>'TMT E DK'!E1572</f>
        <v>0</v>
      </c>
      <c r="T1429" s="24">
        <f>'TMT E DD'!E1572</f>
        <v>0</v>
      </c>
      <c r="U1429" s="24">
        <f>TA!E1572</f>
        <v>0</v>
      </c>
      <c r="V1429" s="109">
        <f>PR!F1572</f>
        <v>0</v>
      </c>
      <c r="W1429" s="109">
        <f>'Z Score'!I1572</f>
        <v>0</v>
      </c>
      <c r="X1429" s="109">
        <f>'Z Score'!L1572</f>
        <v>0</v>
      </c>
      <c r="Y1429" s="109">
        <f>'Z Score'!O1572</f>
        <v>0</v>
      </c>
      <c r="Z1429" s="109">
        <f>'Z Score'!R1572</f>
        <v>0</v>
      </c>
      <c r="AA1429" s="109">
        <f>'Z Score'!S1572</f>
        <v>0</v>
      </c>
    </row>
    <row r="1430" spans="1:27" ht="15" customHeight="1" x14ac:dyDescent="0.3">
      <c r="A1430" s="22"/>
      <c r="B1430" s="23"/>
      <c r="C1430" s="1"/>
      <c r="D1430" s="23">
        <v>2023</v>
      </c>
      <c r="E1430" s="25">
        <f>'Current Ratio'!G1573</f>
        <v>0</v>
      </c>
      <c r="F1430" s="25">
        <f>'Cash Ratio'!G1573</f>
        <v>0</v>
      </c>
      <c r="G1430" s="25">
        <f>DAR!G1573</f>
        <v>0</v>
      </c>
      <c r="H1430" s="25">
        <f>DER!G1573</f>
        <v>0</v>
      </c>
      <c r="I1430" s="25">
        <f>NPM!G1573</f>
        <v>0</v>
      </c>
      <c r="J1430" s="25">
        <f>ROA!G1573</f>
        <v>0</v>
      </c>
      <c r="K1430" s="25">
        <f>ROE!G1573</f>
        <v>0</v>
      </c>
      <c r="L1430" s="25">
        <f>KM!E1573</f>
        <v>0</v>
      </c>
      <c r="M1430" s="24">
        <f>KI!E1573</f>
        <v>0</v>
      </c>
      <c r="N1430" s="108">
        <f>IO!E1573</f>
        <v>0</v>
      </c>
      <c r="O1430" s="24">
        <f>'BoC Size'!E1573</f>
        <v>0</v>
      </c>
      <c r="P1430" s="24">
        <f>'TMT E DK'!E1573</f>
        <v>0</v>
      </c>
      <c r="Q1430" s="24">
        <f>Data!R1573</f>
        <v>0</v>
      </c>
      <c r="R1430" s="24">
        <f>Data!S1573</f>
        <v>0</v>
      </c>
      <c r="S1430" s="24">
        <f>'TMT E DK'!E1573</f>
        <v>0</v>
      </c>
      <c r="T1430" s="24">
        <f>'TMT E DD'!E1573</f>
        <v>0</v>
      </c>
      <c r="U1430" s="24">
        <f>TA!E1573</f>
        <v>0</v>
      </c>
      <c r="V1430" s="109">
        <f>PR!F1573</f>
        <v>0</v>
      </c>
      <c r="W1430" s="109">
        <f>'Z Score'!I1573</f>
        <v>0</v>
      </c>
      <c r="X1430" s="109">
        <f>'Z Score'!L1573</f>
        <v>0</v>
      </c>
      <c r="Y1430" s="109">
        <f>'Z Score'!O1573</f>
        <v>0</v>
      </c>
      <c r="Z1430" s="109">
        <f>'Z Score'!R1573</f>
        <v>0</v>
      </c>
      <c r="AA1430" s="109">
        <f>'Z Score'!S1573</f>
        <v>0</v>
      </c>
    </row>
    <row r="1431" spans="1:27" ht="15" customHeight="1" x14ac:dyDescent="0.3">
      <c r="A1431" s="22"/>
      <c r="B1431" s="23"/>
      <c r="C1431" s="1"/>
      <c r="D1431" s="23">
        <v>2024</v>
      </c>
      <c r="E1431" s="25">
        <f>'Current Ratio'!G1574</f>
        <v>0</v>
      </c>
      <c r="F1431" s="25">
        <f>'Cash Ratio'!G1574</f>
        <v>0</v>
      </c>
      <c r="G1431" s="25">
        <f>DAR!G1574</f>
        <v>0</v>
      </c>
      <c r="H1431" s="25">
        <f>DER!G1574</f>
        <v>0</v>
      </c>
      <c r="I1431" s="25">
        <f>NPM!G1574</f>
        <v>0</v>
      </c>
      <c r="J1431" s="25">
        <f>ROA!G1574</f>
        <v>0</v>
      </c>
      <c r="K1431" s="25">
        <f>ROE!G1574</f>
        <v>0</v>
      </c>
      <c r="L1431" s="25">
        <f>KM!E1574</f>
        <v>0</v>
      </c>
      <c r="M1431" s="24">
        <f>KI!E1574</f>
        <v>0</v>
      </c>
      <c r="N1431" s="108">
        <f>IO!E1574</f>
        <v>0</v>
      </c>
      <c r="O1431" s="24">
        <f>'BoC Size'!E1574</f>
        <v>0</v>
      </c>
      <c r="P1431" s="24">
        <f>'TMT E DK'!E1574</f>
        <v>0</v>
      </c>
      <c r="Q1431" s="24">
        <f>Data!R1574</f>
        <v>0</v>
      </c>
      <c r="R1431" s="24">
        <f>Data!S1574</f>
        <v>0</v>
      </c>
      <c r="S1431" s="24">
        <f>'TMT E DK'!E1574</f>
        <v>0</v>
      </c>
      <c r="T1431" s="24">
        <f>'TMT E DD'!E1574</f>
        <v>0</v>
      </c>
      <c r="U1431" s="24">
        <f>TA!E1574</f>
        <v>0</v>
      </c>
      <c r="V1431" s="109">
        <f>PR!F1574</f>
        <v>0</v>
      </c>
      <c r="W1431" s="109">
        <f>'Z Score'!I1574</f>
        <v>0</v>
      </c>
      <c r="X1431" s="109">
        <f>'Z Score'!L1574</f>
        <v>0</v>
      </c>
      <c r="Y1431" s="109">
        <f>'Z Score'!O1574</f>
        <v>0</v>
      </c>
      <c r="Z1431" s="109">
        <f>'Z Score'!R1574</f>
        <v>0</v>
      </c>
      <c r="AA1431" s="109">
        <f>'Z Score'!S1574</f>
        <v>0</v>
      </c>
    </row>
    <row r="1432" spans="1:27" ht="15" customHeight="1" x14ac:dyDescent="0.3">
      <c r="A1432" s="22"/>
      <c r="B1432" s="23">
        <v>144</v>
      </c>
      <c r="C1432" s="1" t="s">
        <v>141</v>
      </c>
      <c r="D1432" s="23">
        <v>2015</v>
      </c>
      <c r="E1432" s="25">
        <f>'Current Ratio'!G1576</f>
        <v>0</v>
      </c>
      <c r="F1432" s="25">
        <f>'Cash Ratio'!G1576</f>
        <v>0</v>
      </c>
      <c r="G1432" s="25">
        <f>DAR!G1576</f>
        <v>0</v>
      </c>
      <c r="H1432" s="25">
        <f>DER!G1576</f>
        <v>0</v>
      </c>
      <c r="I1432" s="25">
        <f>NPM!G1576</f>
        <v>0</v>
      </c>
      <c r="J1432" s="25">
        <f>ROA!G1576</f>
        <v>0</v>
      </c>
      <c r="K1432" s="25">
        <f>ROE!G1576</f>
        <v>0</v>
      </c>
      <c r="L1432" s="25">
        <f>KM!E1576</f>
        <v>0</v>
      </c>
      <c r="M1432" s="24">
        <f>KI!E1576</f>
        <v>0</v>
      </c>
      <c r="N1432" s="108">
        <f>IO!E1576</f>
        <v>0</v>
      </c>
      <c r="O1432" s="24">
        <f>'BoC Size'!E1576</f>
        <v>0</v>
      </c>
      <c r="P1432" s="24">
        <f>'TMT E DK'!E1576</f>
        <v>0</v>
      </c>
      <c r="Q1432" s="24">
        <f>Data!R1576</f>
        <v>0</v>
      </c>
      <c r="R1432" s="24">
        <f>Data!S1576</f>
        <v>0</v>
      </c>
      <c r="S1432" s="24">
        <f>'TMT E DK'!E1576</f>
        <v>0</v>
      </c>
      <c r="T1432" s="24">
        <f>'TMT E DD'!E1576</f>
        <v>0</v>
      </c>
      <c r="U1432" s="24">
        <f>TA!E1576</f>
        <v>0</v>
      </c>
      <c r="V1432" s="109">
        <f>PR!F1576</f>
        <v>0</v>
      </c>
      <c r="W1432" s="109">
        <f>'Z Score'!I1576</f>
        <v>0</v>
      </c>
      <c r="X1432" s="109">
        <f>'Z Score'!L1576</f>
        <v>0</v>
      </c>
      <c r="Y1432" s="109">
        <f>'Z Score'!O1576</f>
        <v>0</v>
      </c>
      <c r="Z1432" s="109">
        <f>'Z Score'!R1576</f>
        <v>0</v>
      </c>
      <c r="AA1432" s="109">
        <f>'Z Score'!S1576</f>
        <v>0</v>
      </c>
    </row>
    <row r="1433" spans="1:27" ht="15" customHeight="1" x14ac:dyDescent="0.3">
      <c r="A1433" s="22"/>
      <c r="B1433" s="23"/>
      <c r="C1433" s="1"/>
      <c r="D1433" s="23">
        <v>2016</v>
      </c>
      <c r="E1433" s="25">
        <f>'Current Ratio'!G1577</f>
        <v>0</v>
      </c>
      <c r="F1433" s="25">
        <f>'Cash Ratio'!G1577</f>
        <v>0</v>
      </c>
      <c r="G1433" s="25">
        <f>DAR!G1577</f>
        <v>0</v>
      </c>
      <c r="H1433" s="25">
        <f>DER!G1577</f>
        <v>0</v>
      </c>
      <c r="I1433" s="25">
        <f>NPM!G1577</f>
        <v>0</v>
      </c>
      <c r="J1433" s="25">
        <f>ROA!G1577</f>
        <v>0</v>
      </c>
      <c r="K1433" s="25">
        <f>ROE!G1577</f>
        <v>0</v>
      </c>
      <c r="L1433" s="25">
        <f>KM!E1577</f>
        <v>0</v>
      </c>
      <c r="M1433" s="24">
        <f>KI!E1577</f>
        <v>0</v>
      </c>
      <c r="N1433" s="108">
        <f>IO!E1577</f>
        <v>0</v>
      </c>
      <c r="O1433" s="24">
        <f>'BoC Size'!E1577</f>
        <v>0</v>
      </c>
      <c r="P1433" s="24">
        <f>'TMT E DK'!E1577</f>
        <v>0</v>
      </c>
      <c r="Q1433" s="24">
        <f>Data!R1577</f>
        <v>0</v>
      </c>
      <c r="R1433" s="24">
        <f>Data!S1577</f>
        <v>0</v>
      </c>
      <c r="S1433" s="24">
        <f>'TMT E DK'!E1577</f>
        <v>0</v>
      </c>
      <c r="T1433" s="24">
        <f>'TMT E DD'!E1577</f>
        <v>0</v>
      </c>
      <c r="U1433" s="24">
        <f>TA!E1577</f>
        <v>0</v>
      </c>
      <c r="V1433" s="109">
        <f>PR!F1577</f>
        <v>0</v>
      </c>
      <c r="W1433" s="109">
        <f>'Z Score'!I1577</f>
        <v>0</v>
      </c>
      <c r="X1433" s="109">
        <f>'Z Score'!L1577</f>
        <v>0</v>
      </c>
      <c r="Y1433" s="109">
        <f>'Z Score'!O1577</f>
        <v>0</v>
      </c>
      <c r="Z1433" s="109">
        <f>'Z Score'!R1577</f>
        <v>0</v>
      </c>
      <c r="AA1433" s="109">
        <f>'Z Score'!S1577</f>
        <v>0</v>
      </c>
    </row>
    <row r="1434" spans="1:27" ht="15" customHeight="1" x14ac:dyDescent="0.3">
      <c r="A1434" s="22"/>
      <c r="B1434" s="23"/>
      <c r="C1434" s="1"/>
      <c r="D1434" s="23">
        <v>2017</v>
      </c>
      <c r="E1434" s="25">
        <f>'Current Ratio'!G1578</f>
        <v>8.3234461339499166</v>
      </c>
      <c r="F1434" s="25">
        <f>'Cash Ratio'!G1578</f>
        <v>0.24564506015597445</v>
      </c>
      <c r="G1434" s="25">
        <f>DAR!G1578</f>
        <v>0.6949546227963137</v>
      </c>
      <c r="H1434" s="25">
        <f>DER!G1578</f>
        <v>2.2782008013590564</v>
      </c>
      <c r="I1434" s="25">
        <f>NPM!G1578</f>
        <v>0.22944823394080691</v>
      </c>
      <c r="J1434" s="25">
        <f>ROA!G1578</f>
        <v>6.8834331151876649E-2</v>
      </c>
      <c r="K1434" s="25">
        <f>ROE!G1578</f>
        <v>0.22565275954309669</v>
      </c>
      <c r="L1434" s="25">
        <f>KM!E1578</f>
        <v>0</v>
      </c>
      <c r="M1434" s="24">
        <f>KI!E1578</f>
        <v>0</v>
      </c>
      <c r="N1434" s="108">
        <f>IO!E1578</f>
        <v>0</v>
      </c>
      <c r="O1434" s="24">
        <f>'BoC Size'!E1578</f>
        <v>0</v>
      </c>
      <c r="P1434" s="24">
        <f>'TMT E DK'!E1578</f>
        <v>0</v>
      </c>
      <c r="Q1434" s="24">
        <f>Data!R1578</f>
        <v>0</v>
      </c>
      <c r="R1434" s="24">
        <f>Data!S1578</f>
        <v>0</v>
      </c>
      <c r="S1434" s="24">
        <f>'TMT E DK'!E1578</f>
        <v>0</v>
      </c>
      <c r="T1434" s="24">
        <f>'TMT E DD'!E1578</f>
        <v>0</v>
      </c>
      <c r="U1434" s="24">
        <f>TA!E1578</f>
        <v>3465727000000</v>
      </c>
      <c r="V1434" s="109">
        <f>PR!F1578</f>
        <v>0</v>
      </c>
      <c r="W1434" s="109">
        <f>'Z Score'!I1578</f>
        <v>2.8297272808850784</v>
      </c>
      <c r="X1434" s="109">
        <f>'Z Score'!L1578</f>
        <v>0.49725312466908089</v>
      </c>
      <c r="Y1434" s="109">
        <f>'Z Score'!O1578</f>
        <v>0.44567424958746027</v>
      </c>
      <c r="Z1434" s="109">
        <f>'Z Score'!R1578</f>
        <v>0.46089001433658722</v>
      </c>
      <c r="AA1434" s="109">
        <f>'Z Score'!S1578</f>
        <v>4.2335446694782073</v>
      </c>
    </row>
    <row r="1435" spans="1:27" ht="15" customHeight="1" x14ac:dyDescent="0.3">
      <c r="A1435" s="22"/>
      <c r="B1435" s="23"/>
      <c r="C1435" s="1"/>
      <c r="D1435" s="23">
        <v>2018</v>
      </c>
      <c r="E1435" s="25">
        <f>'Current Ratio'!G1579</f>
        <v>12.89604777481019</v>
      </c>
      <c r="F1435" s="25">
        <f>'Cash Ratio'!G1579</f>
        <v>4.5314047354679948E-2</v>
      </c>
      <c r="G1435" s="25">
        <f>DAR!G1579</f>
        <v>0.74324216108106311</v>
      </c>
      <c r="H1435" s="25">
        <f>DER!G1579</f>
        <v>2.8947204268833184</v>
      </c>
      <c r="I1435" s="25">
        <f>NPM!G1579</f>
        <v>-0.10035960133866316</v>
      </c>
      <c r="J1435" s="25">
        <f>ROA!G1579</f>
        <v>-3.3021901739871497E-2</v>
      </c>
      <c r="K1435" s="25">
        <f>ROE!G1579</f>
        <v>-0.12861107524081131</v>
      </c>
      <c r="L1435" s="25">
        <f>KM!E1579</f>
        <v>0.65049999999999997</v>
      </c>
      <c r="M1435" s="24">
        <f>KI!E1579</f>
        <v>1</v>
      </c>
      <c r="N1435" s="108">
        <f>IO!E1579</f>
        <v>0</v>
      </c>
      <c r="O1435" s="24">
        <f>'BoC Size'!E1579</f>
        <v>4</v>
      </c>
      <c r="P1435" s="24">
        <f>'TMT E DK'!E1579</f>
        <v>0</v>
      </c>
      <c r="Q1435" s="24">
        <f>Data!R1579</f>
        <v>4</v>
      </c>
      <c r="R1435" s="24">
        <f>Data!S1579</f>
        <v>5</v>
      </c>
      <c r="S1435" s="24">
        <f>'TMT E DK'!E1579</f>
        <v>0</v>
      </c>
      <c r="T1435" s="24">
        <f>'TMT E DD'!E1579</f>
        <v>0</v>
      </c>
      <c r="U1435" s="24">
        <f>TA!E1579</f>
        <v>3558941000000</v>
      </c>
      <c r="V1435" s="109">
        <f>PR!F1579</f>
        <v>0.12628737078202124</v>
      </c>
      <c r="W1435" s="109">
        <f>'Z Score'!I1579</f>
        <v>2.9227376570727075</v>
      </c>
      <c r="X1435" s="109">
        <f>'Z Score'!L1579</f>
        <v>0.41365130245204956</v>
      </c>
      <c r="Y1435" s="109">
        <f>'Z Score'!O1579</f>
        <v>-0.19375030943193494</v>
      </c>
      <c r="Z1435" s="109">
        <f>'Z Score'!R1579</f>
        <v>0.3627293296612108</v>
      </c>
      <c r="AA1435" s="109">
        <f>'Z Score'!S1579</f>
        <v>3.5053679797540327</v>
      </c>
    </row>
    <row r="1436" spans="1:27" ht="15" customHeight="1" x14ac:dyDescent="0.3">
      <c r="A1436" s="22"/>
      <c r="B1436" s="23"/>
      <c r="C1436" s="1"/>
      <c r="D1436" s="23">
        <v>2019</v>
      </c>
      <c r="E1436" s="25">
        <f>'Current Ratio'!G1580</f>
        <v>19.105374577161932</v>
      </c>
      <c r="F1436" s="25">
        <f>'Cash Ratio'!G1580</f>
        <v>5.8275782944359325E-2</v>
      </c>
      <c r="G1436" s="25">
        <f>DAR!G1580</f>
        <v>0.71252072694949697</v>
      </c>
      <c r="H1436" s="25">
        <f>DER!G1580</f>
        <v>2.4785116484704783</v>
      </c>
      <c r="I1436" s="25">
        <f>NPM!G1580</f>
        <v>0.11367714390541342</v>
      </c>
      <c r="J1436" s="25">
        <f>ROA!G1580</f>
        <v>2.8656974627360159E-2</v>
      </c>
      <c r="K1436" s="25">
        <f>ROE!G1580</f>
        <v>9.9683620051195257E-2</v>
      </c>
      <c r="L1436" s="25">
        <f>KM!E1580</f>
        <v>0.50739999999999996</v>
      </c>
      <c r="M1436" s="24">
        <f>KI!E1580</f>
        <v>1</v>
      </c>
      <c r="N1436" s="108">
        <f>IO!E1580</f>
        <v>0</v>
      </c>
      <c r="O1436" s="24">
        <f>'BoC Size'!E1580</f>
        <v>4</v>
      </c>
      <c r="P1436" s="24">
        <f>'TMT E DK'!E1580</f>
        <v>0</v>
      </c>
      <c r="Q1436" s="24">
        <f>Data!R1580</f>
        <v>4</v>
      </c>
      <c r="R1436" s="24">
        <f>Data!S1580</f>
        <v>4</v>
      </c>
      <c r="S1436" s="24">
        <f>'TMT E DK'!E1580</f>
        <v>0</v>
      </c>
      <c r="T1436" s="24">
        <f>'TMT E DD'!E1580</f>
        <v>0</v>
      </c>
      <c r="U1436" s="24">
        <f>TA!E1580</f>
        <v>4941031000000</v>
      </c>
      <c r="V1436" s="109">
        <f>PR!F1580</f>
        <v>6.3679581629333085E-2</v>
      </c>
      <c r="W1436" s="109">
        <f>'Z Score'!I1580</f>
        <v>3.2474756948499208</v>
      </c>
      <c r="X1436" s="109">
        <f>'Z Score'!L1580</f>
        <v>0.36742430476554383</v>
      </c>
      <c r="Y1436" s="109">
        <f>'Z Score'!O1580</f>
        <v>0.17400760286668915</v>
      </c>
      <c r="Z1436" s="109">
        <f>'Z Score'!R1580</f>
        <v>0.42364134162854095</v>
      </c>
      <c r="AA1436" s="109">
        <f>'Z Score'!S1580</f>
        <v>4.2125489441106945</v>
      </c>
    </row>
    <row r="1437" spans="1:27" ht="15" customHeight="1" x14ac:dyDescent="0.3">
      <c r="A1437" s="22"/>
      <c r="B1437" s="23"/>
      <c r="C1437" s="1"/>
      <c r="D1437" s="23">
        <v>2020</v>
      </c>
      <c r="E1437" s="25">
        <f>'Current Ratio'!G1581</f>
        <v>15.225337027798316</v>
      </c>
      <c r="F1437" s="25">
        <f>'Cash Ratio'!G1581</f>
        <v>6.6320713649021215E-2</v>
      </c>
      <c r="G1437" s="25">
        <f>DAR!G1581</f>
        <v>0.68404919416227117</v>
      </c>
      <c r="H1437" s="25">
        <f>DER!G1581</f>
        <v>2.1650496897722626</v>
      </c>
      <c r="I1437" s="25">
        <f>NPM!G1581</f>
        <v>1.6977796575877339E-2</v>
      </c>
      <c r="J1437" s="25">
        <f>ROA!G1581</f>
        <v>4.1666928793476724E-3</v>
      </c>
      <c r="K1437" s="25">
        <f>ROE!G1581</f>
        <v>1.3187790005155648E-2</v>
      </c>
      <c r="L1437" s="25">
        <f>KM!E1581</f>
        <v>0.50739999999999996</v>
      </c>
      <c r="M1437" s="24">
        <f>KI!E1581</f>
        <v>1</v>
      </c>
      <c r="N1437" s="108">
        <f>IO!E1581</f>
        <v>0</v>
      </c>
      <c r="O1437" s="24">
        <f>'BoC Size'!E1581</f>
        <v>4</v>
      </c>
      <c r="P1437" s="24">
        <f>'TMT E DK'!E1581</f>
        <v>0</v>
      </c>
      <c r="Q1437" s="24">
        <f>Data!R1581</f>
        <v>4</v>
      </c>
      <c r="R1437" s="24">
        <f>Data!S1581</f>
        <v>4</v>
      </c>
      <c r="S1437" s="24">
        <f>'TMT E DK'!E1581</f>
        <v>0</v>
      </c>
      <c r="T1437" s="24">
        <f>'TMT E DD'!E1581</f>
        <v>0</v>
      </c>
      <c r="U1437" s="24">
        <f>TA!E1581</f>
        <v>4450772000000</v>
      </c>
      <c r="V1437" s="109">
        <f>PR!F1581</f>
        <v>-0.12305824794534954</v>
      </c>
      <c r="W1437" s="109">
        <f>'Z Score'!I1581</f>
        <v>3.0343286063631205</v>
      </c>
      <c r="X1437" s="109">
        <f>'Z Score'!L1581</f>
        <v>0.39406636871086631</v>
      </c>
      <c r="Y1437" s="109">
        <f>'Z Score'!O1581</f>
        <v>3.6941510371683833E-2</v>
      </c>
      <c r="Z1437" s="109">
        <f>'Z Score'!R1581</f>
        <v>0.48497732174934399</v>
      </c>
      <c r="AA1437" s="109">
        <f>'Z Score'!S1581</f>
        <v>3.9503138071950143</v>
      </c>
    </row>
    <row r="1438" spans="1:27" ht="15" customHeight="1" x14ac:dyDescent="0.3">
      <c r="A1438" s="22"/>
      <c r="B1438" s="23"/>
      <c r="C1438" s="1"/>
      <c r="D1438" s="23">
        <v>2021</v>
      </c>
      <c r="E1438" s="25">
        <f>'Current Ratio'!G1582</f>
        <v>12.3204536814092</v>
      </c>
      <c r="F1438" s="25">
        <f>'Cash Ratio'!G1582</f>
        <v>7.6783677607400833E-2</v>
      </c>
      <c r="G1438" s="25">
        <f>DAR!G1582</f>
        <v>0.67335163029716172</v>
      </c>
      <c r="H1438" s="25">
        <f>DER!G1582</f>
        <v>2.0613959619934112</v>
      </c>
      <c r="I1438" s="25">
        <f>NPM!G1582</f>
        <v>2.1870224688527676E-2</v>
      </c>
      <c r="J1438" s="25">
        <f>ROA!G1582</f>
        <v>5.8176808046864984E-3</v>
      </c>
      <c r="K1438" s="25">
        <f>ROE!G1582</f>
        <v>1.7810224523633827E-2</v>
      </c>
      <c r="L1438" s="25">
        <f>KM!E1582</f>
        <v>0.50739999999999996</v>
      </c>
      <c r="M1438" s="24">
        <f>KI!E1582</f>
        <v>0</v>
      </c>
      <c r="N1438" s="108">
        <f>IO!E1582</f>
        <v>0</v>
      </c>
      <c r="O1438" s="24">
        <f>'BoC Size'!E1582</f>
        <v>4</v>
      </c>
      <c r="P1438" s="24">
        <f>'TMT E DK'!E1582</f>
        <v>0</v>
      </c>
      <c r="Q1438" s="24">
        <f>Data!R1582</f>
        <v>4</v>
      </c>
      <c r="R1438" s="24">
        <f>Data!S1582</f>
        <v>4</v>
      </c>
      <c r="S1438" s="24">
        <f>'TMT E DK'!E1582</f>
        <v>0</v>
      </c>
      <c r="T1438" s="24">
        <f>'TMT E DD'!E1582</f>
        <v>0</v>
      </c>
      <c r="U1438" s="24">
        <f>TA!E1582</f>
        <v>4351906000000</v>
      </c>
      <c r="V1438" s="109">
        <f>PR!F1582</f>
        <v>5.9816407262047643E-2</v>
      </c>
      <c r="W1438" s="109">
        <f>'Z Score'!I1582</f>
        <v>2.6930858892632328</v>
      </c>
      <c r="X1438" s="109">
        <f>'Z Score'!L1582</f>
        <v>0.41565073786060636</v>
      </c>
      <c r="Y1438" s="109">
        <f>'Z Score'!O1582</f>
        <v>3.2387023065295985E-2</v>
      </c>
      <c r="Z1438" s="109">
        <f>'Z Score'!R1582</f>
        <v>0.50936356690280349</v>
      </c>
      <c r="AA1438" s="109">
        <f>'Z Score'!S1582</f>
        <v>3.6504872170919382</v>
      </c>
    </row>
    <row r="1439" spans="1:27" ht="15" customHeight="1" x14ac:dyDescent="0.3">
      <c r="A1439" s="22"/>
      <c r="B1439" s="23"/>
      <c r="C1439" s="1"/>
      <c r="D1439" s="23">
        <v>2022</v>
      </c>
      <c r="E1439" s="25">
        <f>'Current Ratio'!G1583</f>
        <v>15.151891282254667</v>
      </c>
      <c r="F1439" s="25">
        <f>'Cash Ratio'!G1583</f>
        <v>0.79462979946954859</v>
      </c>
      <c r="G1439" s="25">
        <f>DAR!G1583</f>
        <v>0.71317082998889392</v>
      </c>
      <c r="H1439" s="25">
        <f>DER!G1583</f>
        <v>2.4863957524308979</v>
      </c>
      <c r="I1439" s="25">
        <f>NPM!G1583</f>
        <v>7.5108760660005366E-2</v>
      </c>
      <c r="J1439" s="25">
        <f>ROA!G1583</f>
        <v>1.7659021534214784E-2</v>
      </c>
      <c r="K1439" s="25">
        <f>ROE!G1583</f>
        <v>6.1566337668972175E-2</v>
      </c>
      <c r="L1439" s="25">
        <f>KM!E1583</f>
        <v>0.50739999999999996</v>
      </c>
      <c r="M1439" s="24">
        <f>KI!E1583</f>
        <v>0</v>
      </c>
      <c r="N1439" s="108">
        <f>IO!E1583</f>
        <v>0</v>
      </c>
      <c r="O1439" s="24">
        <f>'BoC Size'!E1583</f>
        <v>4</v>
      </c>
      <c r="P1439" s="24">
        <f>'TMT E DK'!E1583</f>
        <v>0</v>
      </c>
      <c r="Q1439" s="24">
        <f>Data!R1583</f>
        <v>4</v>
      </c>
      <c r="R1439" s="24">
        <f>Data!S1583</f>
        <v>4</v>
      </c>
      <c r="S1439" s="24">
        <f>'TMT E DK'!E1583</f>
        <v>0</v>
      </c>
      <c r="T1439" s="24">
        <f>'TMT E DD'!E1583</f>
        <v>0</v>
      </c>
      <c r="U1439" s="24">
        <f>TA!E1583</f>
        <v>5241287000000</v>
      </c>
      <c r="V1439" s="109">
        <f>PR!F1583</f>
        <v>6.4480795959390033E-2</v>
      </c>
      <c r="W1439" s="109">
        <f>'Z Score'!I1583</f>
        <v>2.8583049621209446</v>
      </c>
      <c r="X1439" s="109">
        <f>'Z Score'!L1583</f>
        <v>0.40143012966090191</v>
      </c>
      <c r="Y1439" s="109">
        <f>'Z Score'!O1583</f>
        <v>0.13860571268087399</v>
      </c>
      <c r="Z1439" s="109">
        <f>'Z Score'!R1583</f>
        <v>0.42229801871783151</v>
      </c>
      <c r="AA1439" s="109">
        <f>'Z Score'!S1583</f>
        <v>3.8206388231805519</v>
      </c>
    </row>
    <row r="1440" spans="1:27" ht="15" customHeight="1" x14ac:dyDescent="0.3">
      <c r="A1440" s="22"/>
      <c r="B1440" s="23"/>
      <c r="C1440" s="1"/>
      <c r="D1440" s="23">
        <v>2023</v>
      </c>
      <c r="E1440" s="25">
        <f>'Current Ratio'!G1584</f>
        <v>13.891966818189102</v>
      </c>
      <c r="F1440" s="25">
        <f>'Cash Ratio'!G1584</f>
        <v>0.86948950649267409</v>
      </c>
      <c r="G1440" s="25">
        <f>DAR!G1584</f>
        <v>0.75698803789293689</v>
      </c>
      <c r="H1440" s="25">
        <f>DER!G1584</f>
        <v>3.1150237680869091</v>
      </c>
      <c r="I1440" s="25">
        <f>NPM!G1584</f>
        <v>-2.7587911748346825E-2</v>
      </c>
      <c r="J1440" s="25">
        <f>ROA!G1584</f>
        <v>-6.0365815625638636E-3</v>
      </c>
      <c r="K1440" s="25">
        <f>ROE!G1584</f>
        <v>-2.4840676607945512E-2</v>
      </c>
      <c r="L1440" s="25">
        <f>KM!E1584</f>
        <v>0.50739999999999996</v>
      </c>
      <c r="M1440" s="24">
        <f>KI!E1584</f>
        <v>0</v>
      </c>
      <c r="N1440" s="108">
        <f>IO!E1584</f>
        <v>0</v>
      </c>
      <c r="O1440" s="24">
        <f>'BoC Size'!E1584</f>
        <v>4</v>
      </c>
      <c r="P1440" s="24">
        <f>'TMT E DK'!E1584</f>
        <v>0</v>
      </c>
      <c r="Q1440" s="24">
        <f>Data!R1584</f>
        <v>4</v>
      </c>
      <c r="R1440" s="24">
        <f>Data!S1584</f>
        <v>4</v>
      </c>
      <c r="S1440" s="24">
        <f>'TMT E DK'!E1584</f>
        <v>0</v>
      </c>
      <c r="T1440" s="24">
        <f>'TMT E DD'!E1584</f>
        <v>0</v>
      </c>
      <c r="U1440" s="24">
        <f>TA!E1584</f>
        <v>5915931000000</v>
      </c>
      <c r="V1440" s="109">
        <f>PR!F1584</f>
        <v>5.0464459345301804E-2</v>
      </c>
      <c r="W1440" s="109">
        <f>'Z Score'!I1584</f>
        <v>2.6762783541593027</v>
      </c>
      <c r="X1440" s="109">
        <f>'Z Score'!L1584</f>
        <v>0.11013980048110771</v>
      </c>
      <c r="Y1440" s="109">
        <f>'Z Score'!O1584</f>
        <v>-8.4504190464696094E-2</v>
      </c>
      <c r="Z1440" s="109">
        <f>'Z Score'!R1584</f>
        <v>0.33707607972598469</v>
      </c>
      <c r="AA1440" s="109">
        <f>'Z Score'!S1584</f>
        <v>3.0389900439016992</v>
      </c>
    </row>
    <row r="1441" spans="1:27" ht="15" customHeight="1" x14ac:dyDescent="0.3">
      <c r="A1441" s="22"/>
      <c r="B1441" s="23"/>
      <c r="C1441" s="1"/>
      <c r="D1441" s="23">
        <v>2024</v>
      </c>
      <c r="E1441" s="25">
        <f>'Current Ratio'!G1585</f>
        <v>10.349359935358299</v>
      </c>
      <c r="F1441" s="25">
        <f>'Cash Ratio'!G1585</f>
        <v>0.42726538162488503</v>
      </c>
      <c r="G1441" s="25">
        <f>DAR!G1585</f>
        <v>0.74359952544825791</v>
      </c>
      <c r="H1441" s="25">
        <f>DER!G1585</f>
        <v>2.900148787744143</v>
      </c>
      <c r="I1441" s="25">
        <f>NPM!G1585</f>
        <v>5.2369012012509375E-2</v>
      </c>
      <c r="J1441" s="25">
        <f>ROA!G1585</f>
        <v>1.4472986731062103E-2</v>
      </c>
      <c r="K1441" s="25">
        <f>ROE!G1585</f>
        <v>5.644680165418893E-2</v>
      </c>
      <c r="L1441" s="25">
        <f>KM!E1585</f>
        <v>0.50739999999999996</v>
      </c>
      <c r="M1441" s="24">
        <f>KI!E1585</f>
        <v>0</v>
      </c>
      <c r="N1441" s="108">
        <f>IO!E1585</f>
        <v>0</v>
      </c>
      <c r="O1441" s="24">
        <f>'BoC Size'!E1585</f>
        <v>4</v>
      </c>
      <c r="P1441" s="24">
        <f>'TMT E DK'!E1585</f>
        <v>0</v>
      </c>
      <c r="Q1441" s="24">
        <f>Data!R1585</f>
        <v>4</v>
      </c>
      <c r="R1441" s="24">
        <f>Data!S1585</f>
        <v>4</v>
      </c>
      <c r="S1441" s="24">
        <f>'TMT E DK'!E1585</f>
        <v>0</v>
      </c>
      <c r="T1441" s="24">
        <f>'TMT E DD'!E1585</f>
        <v>0</v>
      </c>
      <c r="U1441" s="24">
        <f>TA!E1585</f>
        <v>5942450000000</v>
      </c>
      <c r="V1441" s="109">
        <f>PR!F1585</f>
        <v>0.26868549533403374</v>
      </c>
      <c r="W1441" s="109">
        <f>'Z Score'!I1585</f>
        <v>2.0309279573239993</v>
      </c>
      <c r="X1441" s="109">
        <f>'Z Score'!L1585</f>
        <v>0.1681477437757154</v>
      </c>
      <c r="Y1441" s="109">
        <f>'Z Score'!O1585</f>
        <v>0.10873317234473996</v>
      </c>
      <c r="Z1441" s="109">
        <f>'Z Score'!R1585</f>
        <v>0.36205039011696155</v>
      </c>
      <c r="AA1441" s="109">
        <f>'Z Score'!S1585</f>
        <v>2.669859263561416</v>
      </c>
    </row>
    <row r="1442" spans="1:27" ht="15" customHeight="1" x14ac:dyDescent="0.3">
      <c r="A1442" s="22" t="s">
        <v>156</v>
      </c>
      <c r="B1442" s="23">
        <v>145</v>
      </c>
      <c r="C1442" s="4" t="s">
        <v>145</v>
      </c>
      <c r="D1442" s="23">
        <v>2015</v>
      </c>
      <c r="E1442" s="25">
        <f>'Current Ratio'!G1587</f>
        <v>4.0930531319189747</v>
      </c>
      <c r="F1442" s="25">
        <f>'Cash Ratio'!G1587</f>
        <v>0.50493144736674067</v>
      </c>
      <c r="G1442" s="25">
        <f>DAR!G1587</f>
        <v>0.94379819237445006</v>
      </c>
      <c r="H1442" s="25">
        <f>DER!G1587</f>
        <v>16.793031255661411</v>
      </c>
      <c r="I1442" s="25">
        <f>NPM!G1587</f>
        <v>8.314554306977788E-2</v>
      </c>
      <c r="J1442" s="25">
        <f>ROA!G1587</f>
        <v>1.0730070710904786E-2</v>
      </c>
      <c r="K1442" s="25">
        <f>ROE!G1587</f>
        <v>0.1909204894431403</v>
      </c>
      <c r="L1442" s="25">
        <f>KM!E1587</f>
        <v>1</v>
      </c>
      <c r="M1442" s="24">
        <f>KI!E1587</f>
        <v>0</v>
      </c>
      <c r="N1442" s="108">
        <f>IO!E1587</f>
        <v>0</v>
      </c>
      <c r="O1442" s="24">
        <f>'BoC Size'!E1587</f>
        <v>4</v>
      </c>
      <c r="P1442" s="24">
        <f>'TMT E DK'!E1587</f>
        <v>16</v>
      </c>
      <c r="Q1442" s="24">
        <f>Data!R1587</f>
        <v>4</v>
      </c>
      <c r="R1442" s="24">
        <f>Data!S1587</f>
        <v>4</v>
      </c>
      <c r="S1442" s="24">
        <f>'TMT E DK'!E1587</f>
        <v>16</v>
      </c>
      <c r="T1442" s="24">
        <f>'TMT E DD'!E1587</f>
        <v>5</v>
      </c>
      <c r="U1442" s="24">
        <f>TA!E1587</f>
        <v>32312555000000</v>
      </c>
      <c r="V1442" s="109">
        <f>PR!F1587</f>
        <v>0.1969804438139629</v>
      </c>
      <c r="W1442" s="109">
        <f>'Z Score'!I1587</f>
        <v>1.0817051588770989</v>
      </c>
      <c r="X1442" s="109">
        <f>'Z Score'!L1587</f>
        <v>0.18976986375729185</v>
      </c>
      <c r="Y1442" s="109">
        <f>'Z Score'!O1587</f>
        <v>7.2267874824507056E-2</v>
      </c>
      <c r="Z1442" s="109">
        <f>'Z Score'!R1587</f>
        <v>6.2525936146639108E-2</v>
      </c>
      <c r="AA1442" s="109">
        <f>'Z Score'!S1587</f>
        <v>1.4062688336055369</v>
      </c>
    </row>
    <row r="1443" spans="1:27" ht="15" customHeight="1" x14ac:dyDescent="0.3">
      <c r="A1443" s="22"/>
      <c r="B1443" s="23"/>
      <c r="C1443" s="4"/>
      <c r="D1443" s="23">
        <v>2016</v>
      </c>
      <c r="E1443" s="25">
        <f>'Current Ratio'!G1588</f>
        <v>13.200457581870674</v>
      </c>
      <c r="F1443" s="25">
        <f>'Cash Ratio'!G1588</f>
        <v>5.6083495403645676E-2</v>
      </c>
      <c r="G1443" s="25">
        <f>DAR!G1588</f>
        <v>0.95624823389866886</v>
      </c>
      <c r="H1443" s="25">
        <f>DER!G1588</f>
        <v>21.856233847183898</v>
      </c>
      <c r="I1443" s="25">
        <f>NPM!G1588</f>
        <v>0.1037367800861997</v>
      </c>
      <c r="J1443" s="25">
        <f>ROA!G1588</f>
        <v>1.4691121190874151E-2</v>
      </c>
      <c r="K1443" s="25">
        <f>ROE!G1588</f>
        <v>0.33578371059150069</v>
      </c>
      <c r="L1443" s="25">
        <f>KM!E1588</f>
        <v>1</v>
      </c>
      <c r="M1443" s="24">
        <f>KI!E1588</f>
        <v>0</v>
      </c>
      <c r="N1443" s="108">
        <f>IO!E1588</f>
        <v>0</v>
      </c>
      <c r="O1443" s="24">
        <f>'BoC Size'!E1588</f>
        <v>4</v>
      </c>
      <c r="P1443" s="24">
        <f>'TMT E DK'!E1588</f>
        <v>16</v>
      </c>
      <c r="Q1443" s="24">
        <f>Data!R1588</f>
        <v>4</v>
      </c>
      <c r="R1443" s="24">
        <f>Data!S1588</f>
        <v>4</v>
      </c>
      <c r="S1443" s="24">
        <f>'TMT E DK'!E1588</f>
        <v>16</v>
      </c>
      <c r="T1443" s="24">
        <f>'TMT E DD'!E1588</f>
        <v>5</v>
      </c>
      <c r="U1443" s="24">
        <f>TA!E1588</f>
        <v>36595437000000</v>
      </c>
      <c r="V1443" s="109">
        <f>PR!F1588</f>
        <v>0.24283709141678791</v>
      </c>
      <c r="W1443" s="109">
        <f>'Z Score'!I1588</f>
        <v>4.5262046937709748</v>
      </c>
      <c r="X1443" s="109">
        <f>'Z Score'!L1588</f>
        <v>0.21600059318870821</v>
      </c>
      <c r="Y1443" s="109">
        <f>'Z Score'!O1588</f>
        <v>0.10389074900239612</v>
      </c>
      <c r="Z1443" s="109">
        <f>'Z Score'!R1588</f>
        <v>4.8041213657461349E-2</v>
      </c>
      <c r="AA1443" s="109">
        <f>'Z Score'!S1588</f>
        <v>4.8941372496195399</v>
      </c>
    </row>
    <row r="1444" spans="1:27" ht="15" customHeight="1" x14ac:dyDescent="0.3">
      <c r="A1444" s="22"/>
      <c r="B1444" s="23"/>
      <c r="C1444" s="4"/>
      <c r="D1444" s="23">
        <v>2017</v>
      </c>
      <c r="E1444" s="25">
        <f>'Current Ratio'!G1589</f>
        <v>9.7345851927584892</v>
      </c>
      <c r="F1444" s="25">
        <f>'Cash Ratio'!G1589</f>
        <v>6.8512045390698037E-2</v>
      </c>
      <c r="G1444" s="25">
        <f>DAR!G1589</f>
        <v>0.9735150311264944</v>
      </c>
      <c r="H1444" s="25">
        <f>DER!G1589</f>
        <v>36.757265442752932</v>
      </c>
      <c r="I1444" s="25">
        <f>NPM!G1589</f>
        <v>0.20881559704679159</v>
      </c>
      <c r="J1444" s="25">
        <f>ROA!G1589</f>
        <v>2.1066332841277926E-2</v>
      </c>
      <c r="K1444" s="25">
        <f>ROE!G1589</f>
        <v>0.79540712099351407</v>
      </c>
      <c r="L1444" s="25">
        <f>KM!E1589</f>
        <v>1</v>
      </c>
      <c r="M1444" s="24">
        <f>KI!E1589</f>
        <v>0</v>
      </c>
      <c r="N1444" s="108">
        <f>IO!E1589</f>
        <v>0</v>
      </c>
      <c r="O1444" s="24">
        <f>'BoC Size'!E1589</f>
        <v>4</v>
      </c>
      <c r="P1444" s="24">
        <f>'TMT E DK'!E1589</f>
        <v>16</v>
      </c>
      <c r="Q1444" s="24">
        <f>Data!R1589</f>
        <v>4</v>
      </c>
      <c r="R1444" s="24">
        <f>Data!S1589</f>
        <v>4</v>
      </c>
      <c r="S1444" s="24">
        <f>'TMT E DK'!E1589</f>
        <v>16</v>
      </c>
      <c r="T1444" s="24">
        <f>'TMT E DD'!E1589</f>
        <v>5</v>
      </c>
      <c r="U1444" s="24">
        <f>TA!E1589</f>
        <v>44801865000000</v>
      </c>
      <c r="V1444" s="109">
        <f>PR!F1589</f>
        <v>-0.12788654843682257</v>
      </c>
      <c r="W1444" s="109">
        <f>'Z Score'!I1589</f>
        <v>2.2216408464245854</v>
      </c>
      <c r="X1444" s="109">
        <f>'Z Score'!L1589</f>
        <v>0.12794989181811961</v>
      </c>
      <c r="Y1444" s="109">
        <f>'Z Score'!O1589</f>
        <v>0.14466072785139636</v>
      </c>
      <c r="Z1444" s="109">
        <f>'Z Score'!R1589</f>
        <v>2.8565781141562538E-2</v>
      </c>
      <c r="AA1444" s="109">
        <f>'Z Score'!S1589</f>
        <v>2.5228172472356638</v>
      </c>
    </row>
    <row r="1445" spans="1:27" ht="15" customHeight="1" x14ac:dyDescent="0.3">
      <c r="A1445" s="22"/>
      <c r="B1445" s="23"/>
      <c r="C1445" s="4"/>
      <c r="D1445" s="23">
        <v>2018</v>
      </c>
      <c r="E1445" s="25">
        <f>'Current Ratio'!G1590</f>
        <v>0</v>
      </c>
      <c r="F1445" s="25">
        <f>'Cash Ratio'!G1590</f>
        <v>0</v>
      </c>
      <c r="G1445" s="25">
        <f>DAR!G1590</f>
        <v>0</v>
      </c>
      <c r="H1445" s="25">
        <f>DER!G1590</f>
        <v>0</v>
      </c>
      <c r="I1445" s="25">
        <f>NPM!G1590</f>
        <v>0</v>
      </c>
      <c r="J1445" s="25">
        <f>ROA!G1590</f>
        <v>0</v>
      </c>
      <c r="K1445" s="25">
        <f>ROE!G1590</f>
        <v>0</v>
      </c>
      <c r="L1445" s="25">
        <f>KM!E1590</f>
        <v>0</v>
      </c>
      <c r="M1445" s="24">
        <f>KI!E1590</f>
        <v>0</v>
      </c>
      <c r="N1445" s="108">
        <f>IO!E1590</f>
        <v>0</v>
      </c>
      <c r="O1445" s="24">
        <f>'BoC Size'!E1590</f>
        <v>0</v>
      </c>
      <c r="P1445" s="24">
        <f>'TMT E DK'!E1590</f>
        <v>0</v>
      </c>
      <c r="Q1445" s="24">
        <f>Data!R1590</f>
        <v>0</v>
      </c>
      <c r="R1445" s="24">
        <f>Data!S1590</f>
        <v>0</v>
      </c>
      <c r="S1445" s="24">
        <f>'TMT E DK'!E1590</f>
        <v>0</v>
      </c>
      <c r="T1445" s="24">
        <f>'TMT E DD'!E1590</f>
        <v>0</v>
      </c>
      <c r="U1445" s="24">
        <f>TA!E1590</f>
        <v>0</v>
      </c>
      <c r="V1445" s="109">
        <f>PR!F1590</f>
        <v>-1</v>
      </c>
      <c r="W1445" s="109">
        <f>'Z Score'!I1590</f>
        <v>0</v>
      </c>
      <c r="X1445" s="109">
        <f>'Z Score'!L1590</f>
        <v>0</v>
      </c>
      <c r="Y1445" s="109">
        <f>'Z Score'!O1590</f>
        <v>0</v>
      </c>
      <c r="Z1445" s="109">
        <f>'Z Score'!R1590</f>
        <v>0</v>
      </c>
      <c r="AA1445" s="109">
        <f>'Z Score'!S1590</f>
        <v>0</v>
      </c>
    </row>
    <row r="1446" spans="1:27" ht="15" customHeight="1" x14ac:dyDescent="0.3">
      <c r="A1446" s="22"/>
      <c r="B1446" s="23"/>
      <c r="C1446" s="4"/>
      <c r="D1446" s="23">
        <v>2019</v>
      </c>
      <c r="E1446" s="25">
        <f>'Current Ratio'!G1591</f>
        <v>0</v>
      </c>
      <c r="F1446" s="25">
        <f>'Cash Ratio'!G1591</f>
        <v>0</v>
      </c>
      <c r="G1446" s="25">
        <f>DAR!G1591</f>
        <v>0</v>
      </c>
      <c r="H1446" s="25">
        <f>DER!G1591</f>
        <v>0</v>
      </c>
      <c r="I1446" s="25">
        <f>NPM!G1591</f>
        <v>0</v>
      </c>
      <c r="J1446" s="25">
        <f>ROA!G1591</f>
        <v>0</v>
      </c>
      <c r="K1446" s="25">
        <f>ROE!G1591</f>
        <v>0</v>
      </c>
      <c r="L1446" s="25">
        <f>KM!E1591</f>
        <v>0</v>
      </c>
      <c r="M1446" s="24">
        <f>KI!E1591</f>
        <v>0</v>
      </c>
      <c r="N1446" s="108">
        <f>IO!E1591</f>
        <v>0</v>
      </c>
      <c r="O1446" s="24">
        <f>'BoC Size'!E1591</f>
        <v>0</v>
      </c>
      <c r="P1446" s="24">
        <f>'TMT E DK'!E1591</f>
        <v>0</v>
      </c>
      <c r="Q1446" s="24">
        <f>Data!R1591</f>
        <v>0</v>
      </c>
      <c r="R1446" s="24">
        <f>Data!S1591</f>
        <v>0</v>
      </c>
      <c r="S1446" s="24">
        <f>'TMT E DK'!E1591</f>
        <v>0</v>
      </c>
      <c r="T1446" s="24">
        <f>'TMT E DD'!E1591</f>
        <v>0</v>
      </c>
      <c r="U1446" s="24">
        <f>TA!E1591</f>
        <v>0</v>
      </c>
      <c r="V1446" s="109">
        <f>PR!F1591</f>
        <v>0</v>
      </c>
      <c r="W1446" s="109">
        <f>'Z Score'!I1591</f>
        <v>0</v>
      </c>
      <c r="X1446" s="109">
        <f>'Z Score'!L1591</f>
        <v>0</v>
      </c>
      <c r="Y1446" s="109">
        <f>'Z Score'!O1591</f>
        <v>0</v>
      </c>
      <c r="Z1446" s="109">
        <f>'Z Score'!R1591</f>
        <v>0</v>
      </c>
      <c r="AA1446" s="109">
        <f>'Z Score'!S1591</f>
        <v>0</v>
      </c>
    </row>
    <row r="1447" spans="1:27" ht="15" customHeight="1" x14ac:dyDescent="0.3">
      <c r="A1447" s="22"/>
      <c r="B1447" s="23"/>
      <c r="C1447" s="4"/>
      <c r="D1447" s="23">
        <v>2020</v>
      </c>
      <c r="E1447" s="25">
        <f>'Current Ratio'!G1592</f>
        <v>0</v>
      </c>
      <c r="F1447" s="25">
        <f>'Cash Ratio'!G1592</f>
        <v>0</v>
      </c>
      <c r="G1447" s="25">
        <f>DAR!G1592</f>
        <v>0</v>
      </c>
      <c r="H1447" s="25">
        <f>DER!G1592</f>
        <v>0</v>
      </c>
      <c r="I1447" s="25">
        <f>NPM!G1592</f>
        <v>0</v>
      </c>
      <c r="J1447" s="25">
        <f>ROA!G1592</f>
        <v>0</v>
      </c>
      <c r="K1447" s="25">
        <f>ROE!G1592</f>
        <v>0</v>
      </c>
      <c r="L1447" s="25">
        <f>KM!E1592</f>
        <v>0</v>
      </c>
      <c r="M1447" s="24">
        <f>KI!E1592</f>
        <v>0</v>
      </c>
      <c r="N1447" s="108">
        <f>IO!E1592</f>
        <v>0</v>
      </c>
      <c r="O1447" s="24">
        <f>'BoC Size'!E1592</f>
        <v>0</v>
      </c>
      <c r="P1447" s="24">
        <f>'TMT E DK'!E1592</f>
        <v>0</v>
      </c>
      <c r="Q1447" s="24">
        <f>Data!R1592</f>
        <v>0</v>
      </c>
      <c r="R1447" s="24">
        <f>Data!S1592</f>
        <v>0</v>
      </c>
      <c r="S1447" s="24">
        <f>'TMT E DK'!E1592</f>
        <v>0</v>
      </c>
      <c r="T1447" s="24">
        <f>'TMT E DD'!E1592</f>
        <v>0</v>
      </c>
      <c r="U1447" s="24">
        <f>TA!E1592</f>
        <v>0</v>
      </c>
      <c r="V1447" s="109">
        <f>PR!F1592</f>
        <v>0</v>
      </c>
      <c r="W1447" s="109">
        <f>'Z Score'!I1592</f>
        <v>0</v>
      </c>
      <c r="X1447" s="109">
        <f>'Z Score'!L1592</f>
        <v>0</v>
      </c>
      <c r="Y1447" s="109">
        <f>'Z Score'!O1592</f>
        <v>0</v>
      </c>
      <c r="Z1447" s="109">
        <f>'Z Score'!R1592</f>
        <v>0</v>
      </c>
      <c r="AA1447" s="109">
        <f>'Z Score'!S1592</f>
        <v>0</v>
      </c>
    </row>
    <row r="1448" spans="1:27" ht="15" customHeight="1" x14ac:dyDescent="0.3">
      <c r="A1448" s="22"/>
      <c r="B1448" s="23"/>
      <c r="C1448" s="4"/>
      <c r="D1448" s="23">
        <v>2021</v>
      </c>
      <c r="E1448" s="25">
        <f>'Current Ratio'!G1593</f>
        <v>0</v>
      </c>
      <c r="F1448" s="25">
        <f>'Cash Ratio'!G1593</f>
        <v>0</v>
      </c>
      <c r="G1448" s="25">
        <f>DAR!G1593</f>
        <v>0</v>
      </c>
      <c r="H1448" s="25">
        <f>DER!G1593</f>
        <v>0</v>
      </c>
      <c r="I1448" s="25">
        <f>NPM!G1593</f>
        <v>0</v>
      </c>
      <c r="J1448" s="25">
        <f>ROA!G1593</f>
        <v>0</v>
      </c>
      <c r="K1448" s="25">
        <f>ROE!G1593</f>
        <v>0</v>
      </c>
      <c r="L1448" s="25">
        <f>KM!E1593</f>
        <v>0</v>
      </c>
      <c r="M1448" s="24">
        <f>KI!E1593</f>
        <v>0</v>
      </c>
      <c r="N1448" s="108">
        <f>IO!E1593</f>
        <v>0</v>
      </c>
      <c r="O1448" s="24">
        <f>'BoC Size'!E1593</f>
        <v>0</v>
      </c>
      <c r="P1448" s="24">
        <f>'TMT E DK'!E1593</f>
        <v>0</v>
      </c>
      <c r="Q1448" s="24">
        <f>Data!R1593</f>
        <v>0</v>
      </c>
      <c r="R1448" s="24">
        <f>Data!S1593</f>
        <v>0</v>
      </c>
      <c r="S1448" s="24">
        <f>'TMT E DK'!E1593</f>
        <v>0</v>
      </c>
      <c r="T1448" s="24">
        <f>'TMT E DD'!E1593</f>
        <v>0</v>
      </c>
      <c r="U1448" s="24">
        <f>TA!E1593</f>
        <v>0</v>
      </c>
      <c r="V1448" s="109">
        <f>PR!F1593</f>
        <v>0</v>
      </c>
      <c r="W1448" s="109">
        <f>'Z Score'!I1593</f>
        <v>0</v>
      </c>
      <c r="X1448" s="109">
        <f>'Z Score'!L1593</f>
        <v>0</v>
      </c>
      <c r="Y1448" s="109">
        <f>'Z Score'!O1593</f>
        <v>0</v>
      </c>
      <c r="Z1448" s="109">
        <f>'Z Score'!R1593</f>
        <v>0</v>
      </c>
      <c r="AA1448" s="109">
        <f>'Z Score'!S1593</f>
        <v>0</v>
      </c>
    </row>
    <row r="1449" spans="1:27" ht="15" customHeight="1" x14ac:dyDescent="0.3">
      <c r="A1449" s="22"/>
      <c r="B1449" s="23"/>
      <c r="C1449" s="4"/>
      <c r="D1449" s="23">
        <v>2022</v>
      </c>
      <c r="E1449" s="25">
        <f>'Current Ratio'!G1594</f>
        <v>0</v>
      </c>
      <c r="F1449" s="25">
        <f>'Cash Ratio'!G1594</f>
        <v>0</v>
      </c>
      <c r="G1449" s="25">
        <f>DAR!G1594</f>
        <v>0</v>
      </c>
      <c r="H1449" s="25">
        <f>DER!G1594</f>
        <v>0</v>
      </c>
      <c r="I1449" s="25">
        <f>NPM!G1594</f>
        <v>0</v>
      </c>
      <c r="J1449" s="25">
        <f>ROA!G1594</f>
        <v>0</v>
      </c>
      <c r="K1449" s="25">
        <f>ROE!G1594</f>
        <v>0</v>
      </c>
      <c r="L1449" s="25">
        <f>KM!E1594</f>
        <v>0</v>
      </c>
      <c r="M1449" s="24">
        <f>KI!E1594</f>
        <v>0</v>
      </c>
      <c r="N1449" s="108">
        <f>IO!E1594</f>
        <v>0</v>
      </c>
      <c r="O1449" s="24">
        <f>'BoC Size'!E1594</f>
        <v>0</v>
      </c>
      <c r="P1449" s="24">
        <f>'TMT E DK'!E1594</f>
        <v>0</v>
      </c>
      <c r="Q1449" s="24">
        <f>Data!R1594</f>
        <v>0</v>
      </c>
      <c r="R1449" s="24">
        <f>Data!S1594</f>
        <v>0</v>
      </c>
      <c r="S1449" s="24">
        <f>'TMT E DK'!E1594</f>
        <v>0</v>
      </c>
      <c r="T1449" s="24">
        <f>'TMT E DD'!E1594</f>
        <v>0</v>
      </c>
      <c r="U1449" s="24">
        <f>TA!E1594</f>
        <v>0</v>
      </c>
      <c r="V1449" s="109">
        <f>PR!F1594</f>
        <v>0</v>
      </c>
      <c r="W1449" s="109">
        <f>'Z Score'!I1594</f>
        <v>0</v>
      </c>
      <c r="X1449" s="109">
        <f>'Z Score'!L1594</f>
        <v>0</v>
      </c>
      <c r="Y1449" s="109">
        <f>'Z Score'!O1594</f>
        <v>0</v>
      </c>
      <c r="Z1449" s="109">
        <f>'Z Score'!R1594</f>
        <v>0</v>
      </c>
      <c r="AA1449" s="109">
        <f>'Z Score'!S1594</f>
        <v>0</v>
      </c>
    </row>
    <row r="1450" spans="1:27" ht="15" customHeight="1" x14ac:dyDescent="0.3">
      <c r="A1450" s="22"/>
      <c r="B1450" s="23"/>
      <c r="C1450" s="4"/>
      <c r="D1450" s="23">
        <v>2023</v>
      </c>
      <c r="E1450" s="25">
        <f>'Current Ratio'!G1595</f>
        <v>0</v>
      </c>
      <c r="F1450" s="25">
        <f>'Cash Ratio'!G1595</f>
        <v>0</v>
      </c>
      <c r="G1450" s="25">
        <f>DAR!G1595</f>
        <v>0</v>
      </c>
      <c r="H1450" s="25">
        <f>DER!G1595</f>
        <v>0</v>
      </c>
      <c r="I1450" s="25">
        <f>NPM!G1595</f>
        <v>0</v>
      </c>
      <c r="J1450" s="25">
        <f>ROA!G1595</f>
        <v>0</v>
      </c>
      <c r="K1450" s="25">
        <f>ROE!G1595</f>
        <v>0</v>
      </c>
      <c r="L1450" s="25">
        <f>KM!E1595</f>
        <v>0</v>
      </c>
      <c r="M1450" s="24">
        <f>KI!E1595</f>
        <v>0</v>
      </c>
      <c r="N1450" s="108">
        <f>IO!E1595</f>
        <v>0</v>
      </c>
      <c r="O1450" s="24">
        <f>'BoC Size'!E1595</f>
        <v>0</v>
      </c>
      <c r="P1450" s="24">
        <f>'TMT E DK'!E1595</f>
        <v>0</v>
      </c>
      <c r="Q1450" s="24">
        <f>Data!R1595</f>
        <v>0</v>
      </c>
      <c r="R1450" s="24">
        <f>Data!S1595</f>
        <v>0</v>
      </c>
      <c r="S1450" s="24">
        <f>'TMT E DK'!E1595</f>
        <v>0</v>
      </c>
      <c r="T1450" s="24">
        <f>'TMT E DD'!E1595</f>
        <v>0</v>
      </c>
      <c r="U1450" s="24">
        <f>TA!E1595</f>
        <v>0</v>
      </c>
      <c r="V1450" s="109">
        <f>PR!F1595</f>
        <v>0</v>
      </c>
      <c r="W1450" s="109">
        <f>'Z Score'!I1595</f>
        <v>0</v>
      </c>
      <c r="X1450" s="109">
        <f>'Z Score'!L1595</f>
        <v>0</v>
      </c>
      <c r="Y1450" s="109">
        <f>'Z Score'!O1595</f>
        <v>0</v>
      </c>
      <c r="Z1450" s="109">
        <f>'Z Score'!R1595</f>
        <v>0</v>
      </c>
      <c r="AA1450" s="109">
        <f>'Z Score'!S1595</f>
        <v>0</v>
      </c>
    </row>
    <row r="1451" spans="1:27" ht="15" customHeight="1" x14ac:dyDescent="0.3">
      <c r="A1451" s="22"/>
      <c r="B1451" s="23"/>
      <c r="C1451" s="4"/>
      <c r="D1451" s="23">
        <v>2024</v>
      </c>
      <c r="E1451" s="25">
        <f>'Current Ratio'!G1596</f>
        <v>0</v>
      </c>
      <c r="F1451" s="25">
        <f>'Cash Ratio'!G1596</f>
        <v>0</v>
      </c>
      <c r="G1451" s="25">
        <f>DAR!G1596</f>
        <v>0</v>
      </c>
      <c r="H1451" s="25">
        <f>DER!G1596</f>
        <v>0</v>
      </c>
      <c r="I1451" s="25">
        <f>NPM!G1596</f>
        <v>0</v>
      </c>
      <c r="J1451" s="25">
        <f>ROA!G1596</f>
        <v>0</v>
      </c>
      <c r="K1451" s="25">
        <f>ROE!G1596</f>
        <v>0</v>
      </c>
      <c r="L1451" s="25">
        <f>KM!E1596</f>
        <v>0</v>
      </c>
      <c r="M1451" s="24">
        <f>KI!E1596</f>
        <v>0</v>
      </c>
      <c r="N1451" s="108">
        <f>IO!E1596</f>
        <v>0</v>
      </c>
      <c r="O1451" s="24">
        <f>'BoC Size'!E1596</f>
        <v>0</v>
      </c>
      <c r="P1451" s="24">
        <f>'TMT E DK'!E1596</f>
        <v>0</v>
      </c>
      <c r="Q1451" s="24">
        <f>Data!R1596</f>
        <v>0</v>
      </c>
      <c r="R1451" s="24">
        <f>Data!S1596</f>
        <v>0</v>
      </c>
      <c r="S1451" s="24">
        <f>'TMT E DK'!E1596</f>
        <v>0</v>
      </c>
      <c r="T1451" s="24">
        <f>'TMT E DD'!E1596</f>
        <v>0</v>
      </c>
      <c r="U1451" s="24">
        <f>TA!E1596</f>
        <v>0</v>
      </c>
      <c r="V1451" s="109">
        <f>PR!F1596</f>
        <v>0</v>
      </c>
      <c r="W1451" s="109">
        <f>'Z Score'!I1596</f>
        <v>0</v>
      </c>
      <c r="X1451" s="109">
        <f>'Z Score'!L1596</f>
        <v>0</v>
      </c>
      <c r="Y1451" s="109">
        <f>'Z Score'!O1596</f>
        <v>0</v>
      </c>
      <c r="Z1451" s="109">
        <f>'Z Score'!R1596</f>
        <v>0</v>
      </c>
      <c r="AA1451" s="109">
        <f>'Z Score'!S1596</f>
        <v>0</v>
      </c>
    </row>
    <row r="1452" spans="1:27" ht="15" customHeight="1" x14ac:dyDescent="0.3">
      <c r="A1452" s="22"/>
      <c r="B1452" s="23">
        <v>146</v>
      </c>
      <c r="C1452" s="4" t="s">
        <v>146</v>
      </c>
      <c r="D1452" s="23">
        <v>2015</v>
      </c>
      <c r="E1452" s="25">
        <f>'Current Ratio'!G1598</f>
        <v>0</v>
      </c>
      <c r="F1452" s="25">
        <f>'Cash Ratio'!G1598</f>
        <v>0</v>
      </c>
      <c r="G1452" s="25">
        <f>DAR!G1598</f>
        <v>0</v>
      </c>
      <c r="H1452" s="25">
        <f>DER!G1598</f>
        <v>0</v>
      </c>
      <c r="I1452" s="25">
        <f>NPM!G1598</f>
        <v>0</v>
      </c>
      <c r="J1452" s="25">
        <f>ROA!G1598</f>
        <v>0</v>
      </c>
      <c r="K1452" s="25">
        <f>ROE!G1598</f>
        <v>0</v>
      </c>
      <c r="L1452" s="25">
        <f>KM!E1598</f>
        <v>0</v>
      </c>
      <c r="M1452" s="24">
        <f>KI!E1598</f>
        <v>0</v>
      </c>
      <c r="N1452" s="108">
        <f>IO!E1598</f>
        <v>0</v>
      </c>
      <c r="O1452" s="24">
        <f>'BoC Size'!E1598</f>
        <v>0</v>
      </c>
      <c r="P1452" s="24">
        <f>'TMT E DK'!E1598</f>
        <v>0</v>
      </c>
      <c r="Q1452" s="24">
        <f>Data!R1598</f>
        <v>0</v>
      </c>
      <c r="R1452" s="24">
        <f>Data!S1598</f>
        <v>0</v>
      </c>
      <c r="S1452" s="24">
        <f>'TMT E DK'!E1598</f>
        <v>0</v>
      </c>
      <c r="T1452" s="24">
        <f>'TMT E DD'!E1598</f>
        <v>0</v>
      </c>
      <c r="U1452" s="24">
        <f>TA!E1598</f>
        <v>0</v>
      </c>
      <c r="V1452" s="109">
        <f>PR!F1598</f>
        <v>0</v>
      </c>
      <c r="W1452" s="109">
        <f>'Z Score'!I1598</f>
        <v>0</v>
      </c>
      <c r="X1452" s="109">
        <f>'Z Score'!L1598</f>
        <v>0</v>
      </c>
      <c r="Y1452" s="109">
        <f>'Z Score'!O1598</f>
        <v>0</v>
      </c>
      <c r="Z1452" s="109">
        <f>'Z Score'!R1598</f>
        <v>0</v>
      </c>
      <c r="AA1452" s="109">
        <f>'Z Score'!S1598</f>
        <v>0</v>
      </c>
    </row>
    <row r="1453" spans="1:27" ht="15" customHeight="1" x14ac:dyDescent="0.3">
      <c r="A1453" s="22"/>
      <c r="B1453" s="23"/>
      <c r="C1453" s="4"/>
      <c r="D1453" s="23">
        <v>2016</v>
      </c>
      <c r="E1453" s="25">
        <f>'Current Ratio'!G1599</f>
        <v>0</v>
      </c>
      <c r="F1453" s="25">
        <f>'Cash Ratio'!G1599</f>
        <v>0</v>
      </c>
      <c r="G1453" s="25">
        <f>DAR!G1599</f>
        <v>0</v>
      </c>
      <c r="H1453" s="25">
        <f>DER!G1599</f>
        <v>0</v>
      </c>
      <c r="I1453" s="25">
        <f>NPM!G1599</f>
        <v>0</v>
      </c>
      <c r="J1453" s="25">
        <f>ROA!G1599</f>
        <v>0</v>
      </c>
      <c r="K1453" s="25">
        <f>ROE!G1599</f>
        <v>0</v>
      </c>
      <c r="L1453" s="25">
        <f>KM!E1599</f>
        <v>0</v>
      </c>
      <c r="M1453" s="24">
        <f>KI!E1599</f>
        <v>0</v>
      </c>
      <c r="N1453" s="108">
        <f>IO!E1599</f>
        <v>0</v>
      </c>
      <c r="O1453" s="24">
        <f>'BoC Size'!E1599</f>
        <v>0</v>
      </c>
      <c r="P1453" s="24">
        <f>'TMT E DK'!E1599</f>
        <v>0</v>
      </c>
      <c r="Q1453" s="24">
        <f>Data!R1599</f>
        <v>0</v>
      </c>
      <c r="R1453" s="24">
        <f>Data!S1599</f>
        <v>0</v>
      </c>
      <c r="S1453" s="24">
        <f>'TMT E DK'!E1599</f>
        <v>0</v>
      </c>
      <c r="T1453" s="24">
        <f>'TMT E DD'!E1599</f>
        <v>0</v>
      </c>
      <c r="U1453" s="24">
        <f>TA!E1599</f>
        <v>0</v>
      </c>
      <c r="V1453" s="109">
        <f>PR!F1599</f>
        <v>0</v>
      </c>
      <c r="W1453" s="109">
        <f>'Z Score'!I1599</f>
        <v>0</v>
      </c>
      <c r="X1453" s="109">
        <f>'Z Score'!L1599</f>
        <v>0</v>
      </c>
      <c r="Y1453" s="109">
        <f>'Z Score'!O1599</f>
        <v>0</v>
      </c>
      <c r="Z1453" s="109">
        <f>'Z Score'!R1599</f>
        <v>0</v>
      </c>
      <c r="AA1453" s="109">
        <f>'Z Score'!S1599</f>
        <v>0</v>
      </c>
    </row>
    <row r="1454" spans="1:27" ht="15" customHeight="1" x14ac:dyDescent="0.3">
      <c r="A1454" s="22"/>
      <c r="B1454" s="23"/>
      <c r="C1454" s="4"/>
      <c r="D1454" s="23">
        <v>2017</v>
      </c>
      <c r="E1454" s="25">
        <f>'Current Ratio'!G1600</f>
        <v>0</v>
      </c>
      <c r="F1454" s="25">
        <f>'Cash Ratio'!G1600</f>
        <v>0</v>
      </c>
      <c r="G1454" s="25">
        <f>DAR!G1600</f>
        <v>0</v>
      </c>
      <c r="H1454" s="25">
        <f>DER!G1600</f>
        <v>0</v>
      </c>
      <c r="I1454" s="25">
        <f>NPM!G1600</f>
        <v>0</v>
      </c>
      <c r="J1454" s="25">
        <f>ROA!G1600</f>
        <v>0</v>
      </c>
      <c r="K1454" s="25">
        <f>ROE!G1600</f>
        <v>0</v>
      </c>
      <c r="L1454" s="25">
        <f>KM!E1600</f>
        <v>0</v>
      </c>
      <c r="M1454" s="24">
        <f>KI!E1600</f>
        <v>0</v>
      </c>
      <c r="N1454" s="108">
        <f>IO!E1600</f>
        <v>0</v>
      </c>
      <c r="O1454" s="24">
        <f>'BoC Size'!E1600</f>
        <v>0</v>
      </c>
      <c r="P1454" s="24">
        <f>'TMT E DK'!E1600</f>
        <v>0</v>
      </c>
      <c r="Q1454" s="24">
        <f>Data!R1600</f>
        <v>0</v>
      </c>
      <c r="R1454" s="24">
        <f>Data!S1600</f>
        <v>0</v>
      </c>
      <c r="S1454" s="24">
        <f>'TMT E DK'!E1600</f>
        <v>0</v>
      </c>
      <c r="T1454" s="24">
        <f>'TMT E DD'!E1600</f>
        <v>0</v>
      </c>
      <c r="U1454" s="24">
        <f>TA!E1600</f>
        <v>0</v>
      </c>
      <c r="V1454" s="109">
        <f>PR!F1600</f>
        <v>0</v>
      </c>
      <c r="W1454" s="109">
        <f>'Z Score'!I1600</f>
        <v>0</v>
      </c>
      <c r="X1454" s="109">
        <f>'Z Score'!L1600</f>
        <v>0</v>
      </c>
      <c r="Y1454" s="109">
        <f>'Z Score'!O1600</f>
        <v>0</v>
      </c>
      <c r="Z1454" s="109">
        <f>'Z Score'!R1600</f>
        <v>0</v>
      </c>
      <c r="AA1454" s="109">
        <f>'Z Score'!S1600</f>
        <v>0</v>
      </c>
    </row>
    <row r="1455" spans="1:27" ht="15" customHeight="1" x14ac:dyDescent="0.3">
      <c r="A1455" s="22"/>
      <c r="B1455" s="23"/>
      <c r="C1455" s="4"/>
      <c r="D1455" s="23">
        <v>2018</v>
      </c>
      <c r="E1455" s="25">
        <f>'Current Ratio'!G1601</f>
        <v>0</v>
      </c>
      <c r="F1455" s="25">
        <f>'Cash Ratio'!G1601</f>
        <v>0</v>
      </c>
      <c r="G1455" s="25">
        <f>DAR!G1601</f>
        <v>0</v>
      </c>
      <c r="H1455" s="25">
        <f>DER!G1601</f>
        <v>0</v>
      </c>
      <c r="I1455" s="25">
        <f>NPM!G1601</f>
        <v>0</v>
      </c>
      <c r="J1455" s="25">
        <f>ROA!G1601</f>
        <v>0</v>
      </c>
      <c r="K1455" s="25">
        <f>ROE!G1601</f>
        <v>0</v>
      </c>
      <c r="L1455" s="25">
        <f>KM!E1601</f>
        <v>0</v>
      </c>
      <c r="M1455" s="24">
        <f>KI!E1601</f>
        <v>0</v>
      </c>
      <c r="N1455" s="108">
        <f>IO!E1601</f>
        <v>0</v>
      </c>
      <c r="O1455" s="24">
        <f>'BoC Size'!E1601</f>
        <v>0</v>
      </c>
      <c r="P1455" s="24">
        <f>'TMT E DK'!E1601</f>
        <v>0</v>
      </c>
      <c r="Q1455" s="24">
        <f>Data!R1601</f>
        <v>0</v>
      </c>
      <c r="R1455" s="24">
        <f>Data!S1601</f>
        <v>0</v>
      </c>
      <c r="S1455" s="24">
        <f>'TMT E DK'!E1601</f>
        <v>0</v>
      </c>
      <c r="T1455" s="24">
        <f>'TMT E DD'!E1601</f>
        <v>0</v>
      </c>
      <c r="U1455" s="24">
        <f>TA!E1601</f>
        <v>0</v>
      </c>
      <c r="V1455" s="109">
        <f>PR!F1601</f>
        <v>0</v>
      </c>
      <c r="W1455" s="109">
        <f>'Z Score'!I1601</f>
        <v>0</v>
      </c>
      <c r="X1455" s="109">
        <f>'Z Score'!L1601</f>
        <v>0</v>
      </c>
      <c r="Y1455" s="109">
        <f>'Z Score'!O1601</f>
        <v>0</v>
      </c>
      <c r="Z1455" s="109">
        <f>'Z Score'!R1601</f>
        <v>0</v>
      </c>
      <c r="AA1455" s="109">
        <f>'Z Score'!S1601</f>
        <v>0</v>
      </c>
    </row>
    <row r="1456" spans="1:27" ht="15" customHeight="1" x14ac:dyDescent="0.3">
      <c r="A1456" s="22"/>
      <c r="B1456" s="23"/>
      <c r="C1456" s="4"/>
      <c r="D1456" s="23">
        <v>2019</v>
      </c>
      <c r="E1456" s="25">
        <f>'Current Ratio'!G1602</f>
        <v>0</v>
      </c>
      <c r="F1456" s="25">
        <f>'Cash Ratio'!G1602</f>
        <v>0</v>
      </c>
      <c r="G1456" s="25">
        <f>DAR!G1602</f>
        <v>0</v>
      </c>
      <c r="H1456" s="25">
        <f>DER!G1602</f>
        <v>0</v>
      </c>
      <c r="I1456" s="25">
        <f>NPM!G1602</f>
        <v>0</v>
      </c>
      <c r="J1456" s="25">
        <f>ROA!G1602</f>
        <v>0</v>
      </c>
      <c r="K1456" s="25">
        <f>ROE!G1602</f>
        <v>0</v>
      </c>
      <c r="L1456" s="25">
        <f>KM!E1602</f>
        <v>0</v>
      </c>
      <c r="M1456" s="24">
        <f>KI!E1602</f>
        <v>0</v>
      </c>
      <c r="N1456" s="108">
        <f>IO!E1602</f>
        <v>0</v>
      </c>
      <c r="O1456" s="24">
        <f>'BoC Size'!E1602</f>
        <v>0</v>
      </c>
      <c r="P1456" s="24">
        <f>'TMT E DK'!E1602</f>
        <v>0</v>
      </c>
      <c r="Q1456" s="24">
        <f>Data!R1602</f>
        <v>0</v>
      </c>
      <c r="R1456" s="24">
        <f>Data!S1602</f>
        <v>0</v>
      </c>
      <c r="S1456" s="24">
        <f>'TMT E DK'!E1602</f>
        <v>0</v>
      </c>
      <c r="T1456" s="24">
        <f>'TMT E DD'!E1602</f>
        <v>0</v>
      </c>
      <c r="U1456" s="24">
        <f>TA!E1602</f>
        <v>0</v>
      </c>
      <c r="V1456" s="109">
        <f>PR!F1602</f>
        <v>0</v>
      </c>
      <c r="W1456" s="109">
        <f>'Z Score'!I1602</f>
        <v>0</v>
      </c>
      <c r="X1456" s="109">
        <f>'Z Score'!L1602</f>
        <v>0</v>
      </c>
      <c r="Y1456" s="109">
        <f>'Z Score'!O1602</f>
        <v>0</v>
      </c>
      <c r="Z1456" s="109">
        <f>'Z Score'!R1602</f>
        <v>0</v>
      </c>
      <c r="AA1456" s="109">
        <f>'Z Score'!S1602</f>
        <v>0</v>
      </c>
    </row>
    <row r="1457" spans="1:27" ht="15" customHeight="1" x14ac:dyDescent="0.3">
      <c r="A1457" s="22"/>
      <c r="B1457" s="23"/>
      <c r="C1457" s="4"/>
      <c r="D1457" s="23">
        <v>2020</v>
      </c>
      <c r="E1457" s="25">
        <f>'Current Ratio'!G1603</f>
        <v>0</v>
      </c>
      <c r="F1457" s="25">
        <f>'Cash Ratio'!G1603</f>
        <v>0</v>
      </c>
      <c r="G1457" s="25">
        <f>DAR!G1603</f>
        <v>0</v>
      </c>
      <c r="H1457" s="25">
        <f>DER!G1603</f>
        <v>0</v>
      </c>
      <c r="I1457" s="25">
        <f>NPM!G1603</f>
        <v>0</v>
      </c>
      <c r="J1457" s="25">
        <f>ROA!G1603</f>
        <v>0</v>
      </c>
      <c r="K1457" s="25">
        <f>ROE!G1603</f>
        <v>0</v>
      </c>
      <c r="L1457" s="25">
        <f>KM!E1603</f>
        <v>0</v>
      </c>
      <c r="M1457" s="24">
        <f>KI!E1603</f>
        <v>0</v>
      </c>
      <c r="N1457" s="108">
        <f>IO!E1603</f>
        <v>0</v>
      </c>
      <c r="O1457" s="24">
        <f>'BoC Size'!E1603</f>
        <v>0</v>
      </c>
      <c r="P1457" s="24">
        <f>'TMT E DK'!E1603</f>
        <v>0</v>
      </c>
      <c r="Q1457" s="24">
        <f>Data!R1603</f>
        <v>0</v>
      </c>
      <c r="R1457" s="24">
        <f>Data!S1603</f>
        <v>0</v>
      </c>
      <c r="S1457" s="24">
        <f>'TMT E DK'!E1603</f>
        <v>0</v>
      </c>
      <c r="T1457" s="24">
        <f>'TMT E DD'!E1603</f>
        <v>0</v>
      </c>
      <c r="U1457" s="24">
        <f>TA!E1603</f>
        <v>0</v>
      </c>
      <c r="V1457" s="109">
        <f>PR!F1603</f>
        <v>0</v>
      </c>
      <c r="W1457" s="109">
        <f>'Z Score'!I1603</f>
        <v>0</v>
      </c>
      <c r="X1457" s="109">
        <f>'Z Score'!L1603</f>
        <v>0</v>
      </c>
      <c r="Y1457" s="109">
        <f>'Z Score'!O1603</f>
        <v>0</v>
      </c>
      <c r="Z1457" s="109">
        <f>'Z Score'!R1603</f>
        <v>0</v>
      </c>
      <c r="AA1457" s="109">
        <f>'Z Score'!S1603</f>
        <v>0</v>
      </c>
    </row>
    <row r="1458" spans="1:27" ht="15" customHeight="1" x14ac:dyDescent="0.3">
      <c r="A1458" s="22"/>
      <c r="B1458" s="23"/>
      <c r="C1458" s="4"/>
      <c r="D1458" s="23">
        <v>2021</v>
      </c>
      <c r="E1458" s="25">
        <f>'Current Ratio'!G1604</f>
        <v>0</v>
      </c>
      <c r="F1458" s="25">
        <f>'Cash Ratio'!G1604</f>
        <v>0</v>
      </c>
      <c r="G1458" s="25">
        <f>DAR!G1604</f>
        <v>0</v>
      </c>
      <c r="H1458" s="25">
        <f>DER!G1604</f>
        <v>0</v>
      </c>
      <c r="I1458" s="25">
        <f>NPM!G1604</f>
        <v>0</v>
      </c>
      <c r="J1458" s="25">
        <f>ROA!G1604</f>
        <v>0</v>
      </c>
      <c r="K1458" s="25">
        <f>ROE!G1604</f>
        <v>0</v>
      </c>
      <c r="L1458" s="25">
        <f>KM!E1604</f>
        <v>0</v>
      </c>
      <c r="M1458" s="24">
        <f>KI!E1604</f>
        <v>0</v>
      </c>
      <c r="N1458" s="108">
        <f>IO!E1604</f>
        <v>0</v>
      </c>
      <c r="O1458" s="24">
        <f>'BoC Size'!E1604</f>
        <v>0</v>
      </c>
      <c r="P1458" s="24">
        <f>'TMT E DK'!E1604</f>
        <v>0</v>
      </c>
      <c r="Q1458" s="24">
        <f>Data!R1604</f>
        <v>0</v>
      </c>
      <c r="R1458" s="24">
        <f>Data!S1604</f>
        <v>0</v>
      </c>
      <c r="S1458" s="24">
        <f>'TMT E DK'!E1604</f>
        <v>0</v>
      </c>
      <c r="T1458" s="24">
        <f>'TMT E DD'!E1604</f>
        <v>0</v>
      </c>
      <c r="U1458" s="24">
        <f>TA!E1604</f>
        <v>0</v>
      </c>
      <c r="V1458" s="109">
        <f>PR!F1604</f>
        <v>0</v>
      </c>
      <c r="W1458" s="109">
        <f>'Z Score'!I1604</f>
        <v>0</v>
      </c>
      <c r="X1458" s="109">
        <f>'Z Score'!L1604</f>
        <v>0</v>
      </c>
      <c r="Y1458" s="109">
        <f>'Z Score'!O1604</f>
        <v>0</v>
      </c>
      <c r="Z1458" s="109">
        <f>'Z Score'!R1604</f>
        <v>0</v>
      </c>
      <c r="AA1458" s="109">
        <f>'Z Score'!S1604</f>
        <v>0</v>
      </c>
    </row>
    <row r="1459" spans="1:27" ht="15" customHeight="1" x14ac:dyDescent="0.3">
      <c r="A1459" s="22"/>
      <c r="B1459" s="23"/>
      <c r="C1459" s="4"/>
      <c r="D1459" s="23">
        <v>2022</v>
      </c>
      <c r="E1459" s="25">
        <f>'Current Ratio'!G1605</f>
        <v>0</v>
      </c>
      <c r="F1459" s="25">
        <f>'Cash Ratio'!G1605</f>
        <v>0</v>
      </c>
      <c r="G1459" s="25">
        <f>DAR!G1605</f>
        <v>0</v>
      </c>
      <c r="H1459" s="25">
        <f>DER!G1605</f>
        <v>0</v>
      </c>
      <c r="I1459" s="25">
        <f>NPM!G1605</f>
        <v>0</v>
      </c>
      <c r="J1459" s="25">
        <f>ROA!G1605</f>
        <v>0</v>
      </c>
      <c r="K1459" s="25">
        <f>ROE!G1605</f>
        <v>0</v>
      </c>
      <c r="L1459" s="25">
        <f>KM!E1605</f>
        <v>0</v>
      </c>
      <c r="M1459" s="24">
        <f>KI!E1605</f>
        <v>0</v>
      </c>
      <c r="N1459" s="108">
        <f>IO!E1605</f>
        <v>0</v>
      </c>
      <c r="O1459" s="24">
        <f>'BoC Size'!E1605</f>
        <v>0</v>
      </c>
      <c r="P1459" s="24">
        <f>'TMT E DK'!E1605</f>
        <v>0</v>
      </c>
      <c r="Q1459" s="24">
        <f>Data!R1605</f>
        <v>0</v>
      </c>
      <c r="R1459" s="24">
        <f>Data!S1605</f>
        <v>0</v>
      </c>
      <c r="S1459" s="24">
        <f>'TMT E DK'!E1605</f>
        <v>0</v>
      </c>
      <c r="T1459" s="24">
        <f>'TMT E DD'!E1605</f>
        <v>0</v>
      </c>
      <c r="U1459" s="24">
        <f>TA!E1605</f>
        <v>0</v>
      </c>
      <c r="V1459" s="109">
        <f>PR!F1605</f>
        <v>0</v>
      </c>
      <c r="W1459" s="109">
        <f>'Z Score'!I1605</f>
        <v>0</v>
      </c>
      <c r="X1459" s="109">
        <f>'Z Score'!L1605</f>
        <v>0</v>
      </c>
      <c r="Y1459" s="109">
        <f>'Z Score'!O1605</f>
        <v>0</v>
      </c>
      <c r="Z1459" s="109">
        <f>'Z Score'!R1605</f>
        <v>0</v>
      </c>
      <c r="AA1459" s="109">
        <f>'Z Score'!S1605</f>
        <v>0</v>
      </c>
    </row>
    <row r="1460" spans="1:27" ht="15" customHeight="1" x14ac:dyDescent="0.3">
      <c r="A1460" s="22"/>
      <c r="B1460" s="23"/>
      <c r="C1460" s="4"/>
      <c r="D1460" s="23">
        <v>2023</v>
      </c>
      <c r="E1460" s="25">
        <f>'Current Ratio'!G1606</f>
        <v>0</v>
      </c>
      <c r="F1460" s="25">
        <f>'Cash Ratio'!G1606</f>
        <v>0</v>
      </c>
      <c r="G1460" s="25">
        <f>DAR!G1606</f>
        <v>0</v>
      </c>
      <c r="H1460" s="25">
        <f>DER!G1606</f>
        <v>0</v>
      </c>
      <c r="I1460" s="25">
        <f>NPM!G1606</f>
        <v>0</v>
      </c>
      <c r="J1460" s="25">
        <f>ROA!G1606</f>
        <v>0</v>
      </c>
      <c r="K1460" s="25">
        <f>ROE!G1606</f>
        <v>0</v>
      </c>
      <c r="L1460" s="25">
        <f>KM!E1606</f>
        <v>0</v>
      </c>
      <c r="M1460" s="24">
        <f>KI!E1606</f>
        <v>0</v>
      </c>
      <c r="N1460" s="108">
        <f>IO!E1606</f>
        <v>0</v>
      </c>
      <c r="O1460" s="24">
        <f>'BoC Size'!E1606</f>
        <v>0</v>
      </c>
      <c r="P1460" s="24">
        <f>'TMT E DK'!E1606</f>
        <v>0</v>
      </c>
      <c r="Q1460" s="24">
        <f>Data!R1606</f>
        <v>0</v>
      </c>
      <c r="R1460" s="24">
        <f>Data!S1606</f>
        <v>0</v>
      </c>
      <c r="S1460" s="24">
        <f>'TMT E DK'!E1606</f>
        <v>0</v>
      </c>
      <c r="T1460" s="24">
        <f>'TMT E DD'!E1606</f>
        <v>0</v>
      </c>
      <c r="U1460" s="24">
        <f>TA!E1606</f>
        <v>0</v>
      </c>
      <c r="V1460" s="109">
        <f>PR!F1606</f>
        <v>0</v>
      </c>
      <c r="W1460" s="109">
        <f>'Z Score'!I1606</f>
        <v>0</v>
      </c>
      <c r="X1460" s="109">
        <f>'Z Score'!L1606</f>
        <v>0</v>
      </c>
      <c r="Y1460" s="109">
        <f>'Z Score'!O1606</f>
        <v>0</v>
      </c>
      <c r="Z1460" s="109">
        <f>'Z Score'!R1606</f>
        <v>0</v>
      </c>
      <c r="AA1460" s="109">
        <f>'Z Score'!S1606</f>
        <v>0</v>
      </c>
    </row>
    <row r="1461" spans="1:27" ht="15" customHeight="1" x14ac:dyDescent="0.3">
      <c r="A1461" s="22"/>
      <c r="B1461" s="23"/>
      <c r="C1461" s="4"/>
      <c r="D1461" s="23">
        <v>2024</v>
      </c>
      <c r="E1461" s="25">
        <f>'Current Ratio'!G1607</f>
        <v>0</v>
      </c>
      <c r="F1461" s="25">
        <f>'Cash Ratio'!G1607</f>
        <v>0</v>
      </c>
      <c r="G1461" s="25">
        <f>DAR!G1607</f>
        <v>0</v>
      </c>
      <c r="H1461" s="25">
        <f>DER!G1607</f>
        <v>0</v>
      </c>
      <c r="I1461" s="25">
        <f>NPM!G1607</f>
        <v>0</v>
      </c>
      <c r="J1461" s="25">
        <f>ROA!G1607</f>
        <v>0</v>
      </c>
      <c r="K1461" s="25">
        <f>ROE!G1607</f>
        <v>0</v>
      </c>
      <c r="L1461" s="25">
        <f>KM!E1607</f>
        <v>0</v>
      </c>
      <c r="M1461" s="24">
        <f>KI!E1607</f>
        <v>0</v>
      </c>
      <c r="N1461" s="108">
        <f>IO!E1607</f>
        <v>0</v>
      </c>
      <c r="O1461" s="24">
        <f>'BoC Size'!E1607</f>
        <v>0</v>
      </c>
      <c r="P1461" s="24">
        <f>'TMT E DK'!E1607</f>
        <v>0</v>
      </c>
      <c r="Q1461" s="24">
        <f>Data!R1607</f>
        <v>0</v>
      </c>
      <c r="R1461" s="24">
        <f>Data!S1607</f>
        <v>0</v>
      </c>
      <c r="S1461" s="24">
        <f>'TMT E DK'!E1607</f>
        <v>0</v>
      </c>
      <c r="T1461" s="24">
        <f>'TMT E DD'!E1607</f>
        <v>0</v>
      </c>
      <c r="U1461" s="24">
        <f>TA!E1607</f>
        <v>0</v>
      </c>
      <c r="V1461" s="109">
        <f>PR!F1607</f>
        <v>0</v>
      </c>
      <c r="W1461" s="109">
        <f>'Z Score'!I1607</f>
        <v>0</v>
      </c>
      <c r="X1461" s="109">
        <f>'Z Score'!L1607</f>
        <v>0</v>
      </c>
      <c r="Y1461" s="109">
        <f>'Z Score'!O1607</f>
        <v>0</v>
      </c>
      <c r="Z1461" s="109">
        <f>'Z Score'!R1607</f>
        <v>0</v>
      </c>
      <c r="AA1461" s="109">
        <f>'Z Score'!S1607</f>
        <v>0</v>
      </c>
    </row>
    <row r="1462" spans="1:27" ht="15" customHeight="1" x14ac:dyDescent="0.3">
      <c r="A1462" s="22" t="s">
        <v>157</v>
      </c>
      <c r="B1462" s="23">
        <v>147</v>
      </c>
      <c r="C1462" s="4" t="s">
        <v>147</v>
      </c>
      <c r="D1462" s="23">
        <v>2015</v>
      </c>
      <c r="E1462" s="25">
        <f>'Current Ratio'!G1609</f>
        <v>7.9063702942097089</v>
      </c>
      <c r="F1462" s="25">
        <f>'Cash Ratio'!G1609</f>
        <v>7.9063702942097089</v>
      </c>
      <c r="G1462" s="25">
        <f>DAR!G1609</f>
        <v>0.16740831884445634</v>
      </c>
      <c r="H1462" s="25">
        <f>DER!G1609</f>
        <v>0.20106893046554633</v>
      </c>
      <c r="I1462" s="25">
        <f>NPM!G1609</f>
        <v>0</v>
      </c>
      <c r="J1462" s="25">
        <f>ROA!G1609</f>
        <v>0</v>
      </c>
      <c r="K1462" s="25">
        <f>ROE!G1609</f>
        <v>0</v>
      </c>
      <c r="L1462" s="25">
        <f>KM!E1609</f>
        <v>1</v>
      </c>
      <c r="M1462" s="24">
        <f>KI!E1609</f>
        <v>0</v>
      </c>
      <c r="N1462" s="108">
        <f>IO!E1609</f>
        <v>0</v>
      </c>
      <c r="O1462" s="24">
        <f>'BoC Size'!E1609</f>
        <v>0</v>
      </c>
      <c r="P1462" s="24">
        <f>'TMT E DK'!E1609</f>
        <v>0</v>
      </c>
      <c r="Q1462" s="24">
        <f>Data!R1609</f>
        <v>0</v>
      </c>
      <c r="R1462" s="24">
        <f>Data!S1609</f>
        <v>8</v>
      </c>
      <c r="S1462" s="24">
        <f>'TMT E DK'!E1609</f>
        <v>0</v>
      </c>
      <c r="T1462" s="24">
        <f>'TMT E DD'!E1609</f>
        <v>0</v>
      </c>
      <c r="U1462" s="24">
        <f>TA!E1609</f>
        <v>12150125000000</v>
      </c>
      <c r="V1462" s="109">
        <f>PR!F1609</f>
        <v>0</v>
      </c>
      <c r="W1462" s="109">
        <f>'Z Score'!I1609</f>
        <v>3.5976602775691608</v>
      </c>
      <c r="X1462" s="109">
        <f>'Z Score'!L1609</f>
        <v>-1.3219161317270398</v>
      </c>
      <c r="Y1462" s="109">
        <f>'Z Score'!O1609</f>
        <v>0</v>
      </c>
      <c r="Z1462" s="109">
        <f>'Z Score'!R1609</f>
        <v>5.2220897458840367</v>
      </c>
      <c r="AA1462" s="109">
        <f>'Z Score'!S1609</f>
        <v>7.4978338917261578</v>
      </c>
    </row>
    <row r="1463" spans="1:27" ht="15" customHeight="1" x14ac:dyDescent="0.3">
      <c r="A1463" s="22"/>
      <c r="B1463" s="23"/>
      <c r="C1463" s="4"/>
      <c r="D1463" s="23">
        <v>2016</v>
      </c>
      <c r="E1463" s="25">
        <f>'Current Ratio'!G1610</f>
        <v>8.244044935650404</v>
      </c>
      <c r="F1463" s="25">
        <f>'Cash Ratio'!G1610</f>
        <v>3.9255453355631498</v>
      </c>
      <c r="G1463" s="25">
        <f>DAR!G1610</f>
        <v>0.14981641486788083</v>
      </c>
      <c r="H1463" s="25">
        <f>DER!G1610</f>
        <v>0.17621656306970396</v>
      </c>
      <c r="I1463" s="25">
        <f>NPM!G1610</f>
        <v>0</v>
      </c>
      <c r="J1463" s="25">
        <f>ROA!G1610</f>
        <v>0</v>
      </c>
      <c r="K1463" s="25">
        <f>ROE!G1610</f>
        <v>0</v>
      </c>
      <c r="L1463" s="25">
        <f>KM!E1610</f>
        <v>1</v>
      </c>
      <c r="M1463" s="24">
        <f>KI!E1610</f>
        <v>0</v>
      </c>
      <c r="N1463" s="108">
        <f>IO!E1610</f>
        <v>0</v>
      </c>
      <c r="O1463" s="24">
        <f>'BoC Size'!E1610</f>
        <v>0</v>
      </c>
      <c r="P1463" s="24">
        <f>'TMT E DK'!E1610</f>
        <v>0</v>
      </c>
      <c r="Q1463" s="24">
        <f>Data!R1610</f>
        <v>0</v>
      </c>
      <c r="R1463" s="24">
        <f>Data!S1610</f>
        <v>8</v>
      </c>
      <c r="S1463" s="24">
        <f>'TMT E DK'!E1610</f>
        <v>0</v>
      </c>
      <c r="T1463" s="24">
        <f>'TMT E DD'!E1610</f>
        <v>0</v>
      </c>
      <c r="U1463" s="24">
        <f>TA!E1610</f>
        <v>12167652000000</v>
      </c>
      <c r="V1463" s="109">
        <f>PR!F1610</f>
        <v>0</v>
      </c>
      <c r="W1463" s="109">
        <f>'Z Score'!I1610</f>
        <v>2.148501341096869</v>
      </c>
      <c r="X1463" s="109">
        <f>'Z Score'!L1610</f>
        <v>-3.0799637086925231</v>
      </c>
      <c r="Y1463" s="109">
        <f>'Z Score'!O1610</f>
        <v>0</v>
      </c>
      <c r="Z1463" s="109">
        <f>'Z Score'!R1610</f>
        <v>5.9585772285472602</v>
      </c>
      <c r="AA1463" s="109">
        <f>'Z Score'!S1610</f>
        <v>5.0271148609516061</v>
      </c>
    </row>
    <row r="1464" spans="1:27" ht="15" customHeight="1" x14ac:dyDescent="0.3">
      <c r="A1464" s="22"/>
      <c r="B1464" s="23"/>
      <c r="C1464" s="4"/>
      <c r="D1464" s="23">
        <v>2017</v>
      </c>
      <c r="E1464" s="25">
        <f>'Current Ratio'!G1611</f>
        <v>7.4506781297212594</v>
      </c>
      <c r="F1464" s="25">
        <f>'Cash Ratio'!G1611</f>
        <v>3.0321352247950606</v>
      </c>
      <c r="G1464" s="25">
        <f>DAR!G1611</f>
        <v>0.19343442856607743</v>
      </c>
      <c r="H1464" s="25">
        <f>DER!G1611</f>
        <v>0.23987200538510328</v>
      </c>
      <c r="I1464" s="25">
        <f>NPM!G1611</f>
        <v>0</v>
      </c>
      <c r="J1464" s="25">
        <f>ROA!G1611</f>
        <v>0</v>
      </c>
      <c r="K1464" s="25">
        <f>ROE!G1611</f>
        <v>0</v>
      </c>
      <c r="L1464" s="25">
        <f>KM!E1611</f>
        <v>1</v>
      </c>
      <c r="M1464" s="24">
        <f>KI!E1611</f>
        <v>0</v>
      </c>
      <c r="N1464" s="108">
        <f>IO!E1611</f>
        <v>0</v>
      </c>
      <c r="O1464" s="24">
        <f>'BoC Size'!E1611</f>
        <v>0</v>
      </c>
      <c r="P1464" s="24">
        <f>'TMT E DK'!E1611</f>
        <v>0</v>
      </c>
      <c r="Q1464" s="24">
        <f>Data!R1611</f>
        <v>0</v>
      </c>
      <c r="R1464" s="24">
        <f>Data!S1611</f>
        <v>8</v>
      </c>
      <c r="S1464" s="24">
        <f>'TMT E DK'!E1611</f>
        <v>0</v>
      </c>
      <c r="T1464" s="24">
        <f>'TMT E DD'!E1611</f>
        <v>0</v>
      </c>
      <c r="U1464" s="24">
        <f>TA!E1611</f>
        <v>12600792000000</v>
      </c>
      <c r="V1464" s="109">
        <f>PR!F1611</f>
        <v>0</v>
      </c>
      <c r="W1464" s="109">
        <f>'Z Score'!I1611</f>
        <v>2.3272886085255591</v>
      </c>
      <c r="X1464" s="109">
        <f>'Z Score'!L1611</f>
        <v>-3.0204477480463132</v>
      </c>
      <c r="Y1464" s="109">
        <f>'Z Score'!O1611</f>
        <v>0</v>
      </c>
      <c r="Z1464" s="109">
        <f>'Z Score'!R1611</f>
        <v>4.3773344801710987</v>
      </c>
      <c r="AA1464" s="109">
        <f>'Z Score'!S1611</f>
        <v>3.6841753406503446</v>
      </c>
    </row>
    <row r="1465" spans="1:27" ht="15" customHeight="1" x14ac:dyDescent="0.3">
      <c r="A1465" s="22"/>
      <c r="B1465" s="23"/>
      <c r="C1465" s="4"/>
      <c r="D1465" s="23">
        <v>2018</v>
      </c>
      <c r="E1465" s="25">
        <f>'Current Ratio'!G1612</f>
        <v>8.4048564829118302</v>
      </c>
      <c r="F1465" s="25">
        <f>'Cash Ratio'!G1612</f>
        <v>3.4669932765444087</v>
      </c>
      <c r="G1465" s="25">
        <f>DAR!G1612</f>
        <v>0.20225104767557189</v>
      </c>
      <c r="H1465" s="25">
        <f>DER!G1612</f>
        <v>0.25352718682521136</v>
      </c>
      <c r="I1465" s="25">
        <f>NPM!G1612</f>
        <v>0</v>
      </c>
      <c r="J1465" s="25">
        <f>ROA!G1612</f>
        <v>0</v>
      </c>
      <c r="K1465" s="25">
        <f>ROE!G1612</f>
        <v>0</v>
      </c>
      <c r="L1465" s="25">
        <f>KM!E1612</f>
        <v>1</v>
      </c>
      <c r="M1465" s="24">
        <f>KI!E1612</f>
        <v>0</v>
      </c>
      <c r="N1465" s="108">
        <f>IO!E1612</f>
        <v>0</v>
      </c>
      <c r="O1465" s="24">
        <f>'BoC Size'!E1612</f>
        <v>0</v>
      </c>
      <c r="P1465" s="24">
        <f>'TMT E DK'!E1612</f>
        <v>0</v>
      </c>
      <c r="Q1465" s="24">
        <f>Data!R1612</f>
        <v>0</v>
      </c>
      <c r="R1465" s="24">
        <f>Data!S1612</f>
        <v>8</v>
      </c>
      <c r="S1465" s="24">
        <f>'TMT E DK'!E1612</f>
        <v>0</v>
      </c>
      <c r="T1465" s="24">
        <f>'TMT E DD'!E1612</f>
        <v>0</v>
      </c>
      <c r="U1465" s="24">
        <f>TA!E1612</f>
        <v>12690713000000</v>
      </c>
      <c r="V1465" s="109">
        <f>PR!F1612</f>
        <v>0</v>
      </c>
      <c r="W1465" s="109">
        <f>'Z Score'!I1612</f>
        <v>2.6017054203337509</v>
      </c>
      <c r="X1465" s="109">
        <f>'Z Score'!L1612</f>
        <v>-3.0102767086451325</v>
      </c>
      <c r="Y1465" s="109">
        <f>'Z Score'!O1612</f>
        <v>0</v>
      </c>
      <c r="Z1465" s="109">
        <f>'Z Score'!R1612</f>
        <v>4.1415676683380669</v>
      </c>
      <c r="AA1465" s="109">
        <f>'Z Score'!S1612</f>
        <v>3.7329963800266852</v>
      </c>
    </row>
    <row r="1466" spans="1:27" ht="15" customHeight="1" x14ac:dyDescent="0.3">
      <c r="A1466" s="22"/>
      <c r="B1466" s="23"/>
      <c r="C1466" s="4"/>
      <c r="D1466" s="23">
        <v>2019</v>
      </c>
      <c r="E1466" s="25">
        <f>'Current Ratio'!G1613</f>
        <v>9.1459609621040627</v>
      </c>
      <c r="F1466" s="25">
        <f>'Cash Ratio'!G1613</f>
        <v>1.5290515839044421</v>
      </c>
      <c r="G1466" s="25">
        <f>DAR!G1613</f>
        <v>0.22311751419006895</v>
      </c>
      <c r="H1466" s="25">
        <f>DER!G1613</f>
        <v>0.28719596369515271</v>
      </c>
      <c r="I1466" s="25">
        <f>NPM!G1613</f>
        <v>0</v>
      </c>
      <c r="J1466" s="25">
        <f>ROA!G1613</f>
        <v>0</v>
      </c>
      <c r="K1466" s="25">
        <f>ROE!G1613</f>
        <v>0</v>
      </c>
      <c r="L1466" s="25">
        <f>KM!E1613</f>
        <v>1</v>
      </c>
      <c r="M1466" s="24">
        <f>KI!E1613</f>
        <v>0</v>
      </c>
      <c r="N1466" s="108">
        <f>IO!E1613</f>
        <v>0</v>
      </c>
      <c r="O1466" s="24">
        <f>'BoC Size'!E1613</f>
        <v>0</v>
      </c>
      <c r="P1466" s="24">
        <f>'TMT E DK'!E1613</f>
        <v>0</v>
      </c>
      <c r="Q1466" s="24">
        <f>Data!R1613</f>
        <v>0</v>
      </c>
      <c r="R1466" s="24">
        <f>Data!S1613</f>
        <v>8</v>
      </c>
      <c r="S1466" s="24">
        <f>'TMT E DK'!E1613</f>
        <v>0</v>
      </c>
      <c r="T1466" s="24">
        <f>'TMT E DD'!E1613</f>
        <v>0</v>
      </c>
      <c r="U1466" s="24">
        <f>TA!E1613</f>
        <v>13262092000000</v>
      </c>
      <c r="V1466" s="109">
        <f>PR!F1613</f>
        <v>0</v>
      </c>
      <c r="W1466" s="109">
        <f>'Z Score'!I1613</f>
        <v>2.5934094017746219</v>
      </c>
      <c r="X1466" s="109">
        <f>'Z Score'!L1613</f>
        <v>-2.8386824597506939</v>
      </c>
      <c r="Y1466" s="109">
        <f>'Z Score'!O1613</f>
        <v>0</v>
      </c>
      <c r="Z1466" s="109">
        <f>'Z Score'!R1613</f>
        <v>3.6560402398779317</v>
      </c>
      <c r="AA1466" s="109">
        <f>'Z Score'!S1613</f>
        <v>3.4107671819018597</v>
      </c>
    </row>
    <row r="1467" spans="1:27" ht="15" customHeight="1" x14ac:dyDescent="0.3">
      <c r="A1467" s="22"/>
      <c r="B1467" s="23"/>
      <c r="C1467" s="4"/>
      <c r="D1467" s="23">
        <v>2020</v>
      </c>
      <c r="E1467" s="25">
        <f>'Current Ratio'!G1614</f>
        <v>10.420679148458486</v>
      </c>
      <c r="F1467" s="25">
        <f>'Cash Ratio'!G1614</f>
        <v>2.2516799171676638</v>
      </c>
      <c r="G1467" s="25">
        <f>DAR!G1614</f>
        <v>0.24004802999115049</v>
      </c>
      <c r="H1467" s="25">
        <f>DER!G1614</f>
        <v>0.31587263335649379</v>
      </c>
      <c r="I1467" s="25">
        <f>NPM!G1614</f>
        <v>0</v>
      </c>
      <c r="J1467" s="25">
        <f>ROA!G1614</f>
        <v>0</v>
      </c>
      <c r="K1467" s="25">
        <f>ROE!G1614</f>
        <v>0</v>
      </c>
      <c r="L1467" s="25">
        <f>KM!E1614</f>
        <v>1</v>
      </c>
      <c r="M1467" s="24">
        <f>KI!E1614</f>
        <v>0</v>
      </c>
      <c r="N1467" s="108">
        <f>IO!E1614</f>
        <v>0</v>
      </c>
      <c r="O1467" s="24">
        <f>'BoC Size'!E1614</f>
        <v>0</v>
      </c>
      <c r="P1467" s="24">
        <f>'TMT E DK'!E1614</f>
        <v>0</v>
      </c>
      <c r="Q1467" s="24">
        <f>Data!R1614</f>
        <v>0</v>
      </c>
      <c r="R1467" s="24">
        <f>Data!S1614</f>
        <v>8</v>
      </c>
      <c r="S1467" s="24">
        <f>'TMT E DK'!E1614</f>
        <v>0</v>
      </c>
      <c r="T1467" s="24">
        <f>'TMT E DD'!E1614</f>
        <v>0</v>
      </c>
      <c r="U1467" s="24">
        <f>TA!E1614</f>
        <v>13372478000000</v>
      </c>
      <c r="V1467" s="109">
        <f>PR!F1614</f>
        <v>0</v>
      </c>
      <c r="W1467" s="109">
        <f>'Z Score'!I1614</f>
        <v>2.6512500076649967</v>
      </c>
      <c r="X1467" s="109">
        <f>'Z Score'!L1614</f>
        <v>-2.8508453751054965</v>
      </c>
      <c r="Y1467" s="109">
        <f>'Z Score'!O1614</f>
        <v>0</v>
      </c>
      <c r="Z1467" s="109">
        <f>'Z Score'!R1614</f>
        <v>3.3241246284700146</v>
      </c>
      <c r="AA1467" s="109">
        <f>'Z Score'!S1614</f>
        <v>3.1245292610295148</v>
      </c>
    </row>
    <row r="1468" spans="1:27" ht="15" customHeight="1" x14ac:dyDescent="0.3">
      <c r="A1468" s="22"/>
      <c r="B1468" s="23"/>
      <c r="C1468" s="4"/>
      <c r="D1468" s="23">
        <v>2021</v>
      </c>
      <c r="E1468" s="25">
        <f>'Current Ratio'!G1615</f>
        <v>14.126578866638413</v>
      </c>
      <c r="F1468" s="25">
        <f>'Cash Ratio'!G1615</f>
        <v>6.8331787641439679</v>
      </c>
      <c r="G1468" s="25">
        <f>DAR!G1615</f>
        <v>0.2401950781901557</v>
      </c>
      <c r="H1468" s="25">
        <f>DER!G1615</f>
        <v>0.31612726991046264</v>
      </c>
      <c r="I1468" s="25">
        <f>NPM!G1615</f>
        <v>0</v>
      </c>
      <c r="J1468" s="25">
        <f>ROA!G1615</f>
        <v>0</v>
      </c>
      <c r="K1468" s="25">
        <f>ROE!G1615</f>
        <v>0</v>
      </c>
      <c r="L1468" s="25">
        <f>KM!E1615</f>
        <v>1</v>
      </c>
      <c r="M1468" s="24">
        <f>KI!E1615</f>
        <v>0</v>
      </c>
      <c r="N1468" s="108">
        <f>IO!E1615</f>
        <v>0</v>
      </c>
      <c r="O1468" s="24">
        <f>'BoC Size'!E1615</f>
        <v>0</v>
      </c>
      <c r="P1468" s="24">
        <f>'TMT E DK'!E1615</f>
        <v>0</v>
      </c>
      <c r="Q1468" s="24">
        <f>Data!R1615</f>
        <v>0</v>
      </c>
      <c r="R1468" s="24">
        <f>Data!S1615</f>
        <v>8</v>
      </c>
      <c r="S1468" s="24">
        <f>'TMT E DK'!E1615</f>
        <v>0</v>
      </c>
      <c r="T1468" s="24">
        <f>'TMT E DD'!E1615</f>
        <v>0</v>
      </c>
      <c r="U1468" s="24">
        <f>TA!E1615</f>
        <v>13991723000000</v>
      </c>
      <c r="V1468" s="109">
        <f>PR!F1615</f>
        <v>0</v>
      </c>
      <c r="W1468" s="109">
        <f>'Z Score'!I1615</f>
        <v>3.4706570563182249</v>
      </c>
      <c r="X1468" s="109">
        <f>'Z Score'!L1615</f>
        <v>-2.6122010377135108</v>
      </c>
      <c r="Y1468" s="109">
        <f>'Z Score'!O1615</f>
        <v>0</v>
      </c>
      <c r="Z1468" s="109">
        <f>'Z Score'!R1615</f>
        <v>3.3214470877422047</v>
      </c>
      <c r="AA1468" s="109">
        <f>'Z Score'!S1615</f>
        <v>4.1799031063469183</v>
      </c>
    </row>
    <row r="1469" spans="1:27" ht="15" customHeight="1" x14ac:dyDescent="0.3">
      <c r="A1469" s="22"/>
      <c r="B1469" s="23"/>
      <c r="C1469" s="4"/>
      <c r="D1469" s="23">
        <v>2022</v>
      </c>
      <c r="E1469" s="25">
        <f>'Current Ratio'!G1616</f>
        <v>4.5254881765794401</v>
      </c>
      <c r="F1469" s="25">
        <f>'Cash Ratio'!G1616</f>
        <v>2.2559771878504304</v>
      </c>
      <c r="G1469" s="25">
        <f>DAR!G1616</f>
        <v>0.23984639787189629</v>
      </c>
      <c r="H1469" s="25">
        <f>DER!G1616</f>
        <v>0.31552359575805383</v>
      </c>
      <c r="I1469" s="25">
        <f>NPM!G1616</f>
        <v>0</v>
      </c>
      <c r="J1469" s="25">
        <f>ROA!G1616</f>
        <v>0</v>
      </c>
      <c r="K1469" s="25">
        <f>ROE!G1616</f>
        <v>0</v>
      </c>
      <c r="L1469" s="25">
        <f>KM!E1616</f>
        <v>1</v>
      </c>
      <c r="M1469" s="24">
        <f>KI!E1616</f>
        <v>0</v>
      </c>
      <c r="N1469" s="108">
        <f>IO!E1616</f>
        <v>0</v>
      </c>
      <c r="O1469" s="24">
        <f>'BoC Size'!E1616</f>
        <v>0</v>
      </c>
      <c r="P1469" s="24">
        <f>'TMT E DK'!E1616</f>
        <v>0</v>
      </c>
      <c r="Q1469" s="24">
        <f>Data!R1616</f>
        <v>0</v>
      </c>
      <c r="R1469" s="24">
        <f>Data!S1616</f>
        <v>8</v>
      </c>
      <c r="S1469" s="24">
        <f>'TMT E DK'!E1616</f>
        <v>0</v>
      </c>
      <c r="T1469" s="24">
        <f>'TMT E DD'!E1616</f>
        <v>0</v>
      </c>
      <c r="U1469" s="24">
        <f>TA!E1616</f>
        <v>14146679000000</v>
      </c>
      <c r="V1469" s="109">
        <f>PR!F1616</f>
        <v>0</v>
      </c>
      <c r="W1469" s="109">
        <f>'Z Score'!I1616</f>
        <v>2.7713988053309189</v>
      </c>
      <c r="X1469" s="109">
        <f>'Z Score'!L1616</f>
        <v>-2.5525005762836632</v>
      </c>
      <c r="Y1469" s="109">
        <f>'Z Score'!O1616</f>
        <v>0</v>
      </c>
      <c r="Z1469" s="109">
        <f>'Z Score'!R1616</f>
        <v>3.3278018319908758</v>
      </c>
      <c r="AA1469" s="109">
        <f>'Z Score'!S1616</f>
        <v>3.5467000610381314</v>
      </c>
    </row>
    <row r="1470" spans="1:27" ht="15" customHeight="1" x14ac:dyDescent="0.3">
      <c r="A1470" s="22"/>
      <c r="B1470" s="23"/>
      <c r="C1470" s="4"/>
      <c r="D1470" s="23">
        <v>2023</v>
      </c>
      <c r="E1470" s="25">
        <f>'Current Ratio'!G1617</f>
        <v>10.844083030447811</v>
      </c>
      <c r="F1470" s="25">
        <f>'Cash Ratio'!G1617</f>
        <v>3.2305783176185581</v>
      </c>
      <c r="G1470" s="25">
        <f>DAR!G1617</f>
        <v>0.20144828631560124</v>
      </c>
      <c r="H1470" s="25">
        <f>DER!G1617</f>
        <v>0.25226705154278467</v>
      </c>
      <c r="I1470" s="25">
        <f>NPM!G1617</f>
        <v>0</v>
      </c>
      <c r="J1470" s="25">
        <f>ROA!G1617</f>
        <v>0</v>
      </c>
      <c r="K1470" s="25">
        <f>ROE!G1617</f>
        <v>0</v>
      </c>
      <c r="L1470" s="25">
        <f>KM!E1617</f>
        <v>1</v>
      </c>
      <c r="M1470" s="24">
        <f>KI!E1617</f>
        <v>0</v>
      </c>
      <c r="N1470" s="108">
        <f>IO!E1617</f>
        <v>0</v>
      </c>
      <c r="O1470" s="24">
        <f>'BoC Size'!E1617</f>
        <v>0</v>
      </c>
      <c r="P1470" s="24">
        <f>'TMT E DK'!E1617</f>
        <v>0</v>
      </c>
      <c r="Q1470" s="24">
        <f>Data!R1617</f>
        <v>0</v>
      </c>
      <c r="R1470" s="24">
        <f>Data!S1617</f>
        <v>8</v>
      </c>
      <c r="S1470" s="24">
        <f>'TMT E DK'!E1617</f>
        <v>0</v>
      </c>
      <c r="T1470" s="24">
        <f>'TMT E DD'!E1617</f>
        <v>0</v>
      </c>
      <c r="U1470" s="24">
        <f>TA!E1617</f>
        <v>12884607000000</v>
      </c>
      <c r="V1470" s="109">
        <f>PR!F1617</f>
        <v>0</v>
      </c>
      <c r="W1470" s="109">
        <f>'Z Score'!I1617</f>
        <v>3.1260771368501965</v>
      </c>
      <c r="X1470" s="109">
        <f>'Z Score'!L1617</f>
        <v>-2.9143414106460521</v>
      </c>
      <c r="Y1470" s="109">
        <f>'Z Score'!O1617</f>
        <v>0</v>
      </c>
      <c r="Z1470" s="109">
        <f>'Z Score'!R1617</f>
        <v>4.1622558062122481</v>
      </c>
      <c r="AA1470" s="109">
        <f>'Z Score'!S1617</f>
        <v>4.373991532416392</v>
      </c>
    </row>
    <row r="1471" spans="1:27" ht="15" customHeight="1" x14ac:dyDescent="0.3">
      <c r="A1471" s="22"/>
      <c r="B1471" s="23"/>
      <c r="C1471" s="4"/>
      <c r="D1471" s="23">
        <v>2024</v>
      </c>
      <c r="E1471" s="25">
        <f>'Current Ratio'!G1618</f>
        <v>11.606416658065324</v>
      </c>
      <c r="F1471" s="25">
        <f>'Cash Ratio'!G1618</f>
        <v>3.5028316748252517</v>
      </c>
      <c r="G1471" s="25">
        <f>DAR!G1618</f>
        <v>0.21368150743841741</v>
      </c>
      <c r="H1471" s="25">
        <f>DER!G1618</f>
        <v>0.2717493095479786</v>
      </c>
      <c r="I1471" s="25">
        <f>NPM!G1618</f>
        <v>0</v>
      </c>
      <c r="J1471" s="25">
        <f>ROA!G1618</f>
        <v>0</v>
      </c>
      <c r="K1471" s="25">
        <f>ROE!G1618</f>
        <v>0</v>
      </c>
      <c r="L1471" s="25">
        <f>KM!E1618</f>
        <v>1</v>
      </c>
      <c r="M1471" s="24">
        <f>KI!E1618</f>
        <v>0</v>
      </c>
      <c r="N1471" s="108">
        <f>IO!E1618</f>
        <v>0</v>
      </c>
      <c r="O1471" s="24">
        <f>'BoC Size'!E1618</f>
        <v>0</v>
      </c>
      <c r="P1471" s="24">
        <f>'TMT E DK'!E1618</f>
        <v>0</v>
      </c>
      <c r="Q1471" s="24">
        <f>Data!R1618</f>
        <v>0</v>
      </c>
      <c r="R1471" s="24">
        <f>Data!S1618</f>
        <v>8</v>
      </c>
      <c r="S1471" s="24">
        <f>'TMT E DK'!E1618</f>
        <v>0</v>
      </c>
      <c r="T1471" s="24">
        <f>'TMT E DD'!E1618</f>
        <v>0</v>
      </c>
      <c r="U1471" s="24">
        <f>TA!E1618</f>
        <v>13457903000000</v>
      </c>
      <c r="V1471" s="109">
        <f>PR!F1618</f>
        <v>0</v>
      </c>
      <c r="W1471" s="109">
        <f>'Z Score'!I1618</f>
        <v>3.055466076698576</v>
      </c>
      <c r="X1471" s="109">
        <f>'Z Score'!L1618</f>
        <v>-2.7192912625391936</v>
      </c>
      <c r="Y1471" s="109">
        <f>'Z Score'!O1618</f>
        <v>0</v>
      </c>
      <c r="Z1471" s="109">
        <f>'Z Score'!R1618</f>
        <v>3.8638552633180385</v>
      </c>
      <c r="AA1471" s="109">
        <f>'Z Score'!S1618</f>
        <v>4.2000300774774209</v>
      </c>
    </row>
    <row r="1472" spans="1:27" ht="15" customHeight="1" x14ac:dyDescent="0.3">
      <c r="A1472" s="22"/>
      <c r="B1472" s="23">
        <v>148</v>
      </c>
      <c r="C1472" s="4" t="s">
        <v>148</v>
      </c>
      <c r="D1472" s="23">
        <v>2015</v>
      </c>
      <c r="E1472" s="25">
        <f>'Current Ratio'!G1620</f>
        <v>8.0011612050265626</v>
      </c>
      <c r="F1472" s="25">
        <f>'Cash Ratio'!G1620</f>
        <v>1.3625345570675906</v>
      </c>
      <c r="G1472" s="25">
        <f>DAR!G1620</f>
        <v>0.19562929420296812</v>
      </c>
      <c r="H1472" s="25">
        <f>DER!G1620</f>
        <v>0.24320788013919989</v>
      </c>
      <c r="I1472" s="25">
        <f>NPM!G1620</f>
        <v>0.19889638403211815</v>
      </c>
      <c r="J1472" s="25">
        <f>ROA!G1620</f>
        <v>5.6369959269485972E-2</v>
      </c>
      <c r="K1472" s="25">
        <f>ROE!G1620</f>
        <v>7.0079577566950699E-2</v>
      </c>
      <c r="L1472" s="25">
        <f>KM!E1620</f>
        <v>1</v>
      </c>
      <c r="M1472" s="24">
        <f>KI!E1620</f>
        <v>0</v>
      </c>
      <c r="N1472" s="108">
        <f>IO!E1620</f>
        <v>0</v>
      </c>
      <c r="O1472" s="24">
        <f>'BoC Size'!E1620</f>
        <v>0</v>
      </c>
      <c r="P1472" s="24">
        <f>'TMT E DK'!E1620</f>
        <v>0</v>
      </c>
      <c r="Q1472" s="24">
        <f>Data!R1620</f>
        <v>0</v>
      </c>
      <c r="R1472" s="24">
        <f>Data!S1620</f>
        <v>7</v>
      </c>
      <c r="S1472" s="24">
        <f>'TMT E DK'!E1620</f>
        <v>0</v>
      </c>
      <c r="T1472" s="24">
        <f>'TMT E DD'!E1620</f>
        <v>0</v>
      </c>
      <c r="U1472" s="24">
        <f>TA!E1620</f>
        <v>11080636000000</v>
      </c>
      <c r="V1472" s="109">
        <f>PR!F1620</f>
        <v>0.28884992739865567</v>
      </c>
      <c r="W1472" s="109">
        <f>'Z Score'!I1620</f>
        <v>3.7871778912329579</v>
      </c>
      <c r="X1472" s="109">
        <f>'Z Score'!L1620</f>
        <v>3.5438991047084298E-2</v>
      </c>
      <c r="Y1472" s="109">
        <f>'Z Score'!O1620</f>
        <v>0.50287822467952203</v>
      </c>
      <c r="Z1472" s="109">
        <f>'Z Score'!R1620</f>
        <v>4.3172943220385509</v>
      </c>
      <c r="AA1472" s="109">
        <f>'Z Score'!S1620</f>
        <v>8.6427894289981158</v>
      </c>
    </row>
    <row r="1473" spans="1:27" ht="15" customHeight="1" x14ac:dyDescent="0.3">
      <c r="A1473" s="22"/>
      <c r="B1473" s="23"/>
      <c r="C1473" s="4"/>
      <c r="D1473" s="23">
        <v>2016</v>
      </c>
      <c r="E1473" s="25">
        <f>'Current Ratio'!G1621</f>
        <v>5.2033596728819864</v>
      </c>
      <c r="F1473" s="25">
        <f>'Cash Ratio'!G1621</f>
        <v>0.75765629359248576</v>
      </c>
      <c r="G1473" s="25">
        <f>DAR!G1621</f>
        <v>0.22028701483346524</v>
      </c>
      <c r="H1473" s="25">
        <f>DER!G1621</f>
        <v>0.28252320921193236</v>
      </c>
      <c r="I1473" s="25">
        <f>NPM!G1621</f>
        <v>0.22917096236911239</v>
      </c>
      <c r="J1473" s="25">
        <f>ROA!G1621</f>
        <v>8.0219695315719083E-2</v>
      </c>
      <c r="K1473" s="25">
        <f>ROE!G1621</f>
        <v>0.10288362107831946</v>
      </c>
      <c r="L1473" s="25">
        <f>KM!E1621</f>
        <v>1</v>
      </c>
      <c r="M1473" s="24">
        <f>KI!E1621</f>
        <v>0</v>
      </c>
      <c r="N1473" s="108">
        <f>IO!E1621</f>
        <v>0</v>
      </c>
      <c r="O1473" s="24">
        <f>'BoC Size'!E1621</f>
        <v>0</v>
      </c>
      <c r="P1473" s="24">
        <f>'TMT E DK'!E1621</f>
        <v>0</v>
      </c>
      <c r="Q1473" s="24">
        <f>Data!R1621</f>
        <v>0</v>
      </c>
      <c r="R1473" s="24">
        <f>Data!S1621</f>
        <v>7</v>
      </c>
      <c r="S1473" s="24">
        <f>'TMT E DK'!E1621</f>
        <v>0</v>
      </c>
      <c r="T1473" s="24">
        <f>'TMT E DD'!E1621</f>
        <v>0</v>
      </c>
      <c r="U1473" s="24">
        <f>TA!E1621</f>
        <v>13369971000000</v>
      </c>
      <c r="V1473" s="109">
        <f>PR!F1621</f>
        <v>0.49027481814441709</v>
      </c>
      <c r="W1473" s="109">
        <f>'Z Score'!I1621</f>
        <v>2.8386349319680648</v>
      </c>
      <c r="X1473" s="109">
        <f>'Z Score'!L1621</f>
        <v>0.1738800480569479</v>
      </c>
      <c r="Y1473" s="109">
        <f>'Z Score'!O1621</f>
        <v>0.72511621154600858</v>
      </c>
      <c r="Z1473" s="109">
        <f>'Z Score'!R1621</f>
        <v>3.7165088239258655</v>
      </c>
      <c r="AA1473" s="109">
        <f>'Z Score'!S1621</f>
        <v>7.4541400154968862</v>
      </c>
    </row>
    <row r="1474" spans="1:27" ht="15" customHeight="1" x14ac:dyDescent="0.3">
      <c r="A1474" s="22"/>
      <c r="B1474" s="23"/>
      <c r="C1474" s="4"/>
      <c r="D1474" s="23">
        <v>2017</v>
      </c>
      <c r="E1474" s="25">
        <f>'Current Ratio'!G1622</f>
        <v>6.3977985918921112</v>
      </c>
      <c r="F1474" s="25">
        <f>'Cash Ratio'!G1622</f>
        <v>0.96011412705424193</v>
      </c>
      <c r="G1474" s="25">
        <f>DAR!G1622</f>
        <v>0.17533392705522013</v>
      </c>
      <c r="H1474" s="25">
        <f>DER!G1622</f>
        <v>0.21261202904725368</v>
      </c>
      <c r="I1474" s="25">
        <f>NPM!G1622</f>
        <v>0.27329160674831687</v>
      </c>
      <c r="J1474" s="25">
        <f>ROA!G1622</f>
        <v>8.9896983211192369E-2</v>
      </c>
      <c r="K1474" s="25">
        <f>ROE!G1622</f>
        <v>0.10901016321695088</v>
      </c>
      <c r="L1474" s="25">
        <f>KM!E1622</f>
        <v>1</v>
      </c>
      <c r="M1474" s="24">
        <f>KI!E1622</f>
        <v>0</v>
      </c>
      <c r="N1474" s="108">
        <f>IO!E1622</f>
        <v>0</v>
      </c>
      <c r="O1474" s="24">
        <f>'BoC Size'!E1622</f>
        <v>0</v>
      </c>
      <c r="P1474" s="24">
        <f>'TMT E DK'!E1622</f>
        <v>0</v>
      </c>
      <c r="Q1474" s="24">
        <f>Data!R1622</f>
        <v>0</v>
      </c>
      <c r="R1474" s="24">
        <f>Data!S1622</f>
        <v>7</v>
      </c>
      <c r="S1474" s="24">
        <f>'TMT E DK'!E1622</f>
        <v>0</v>
      </c>
      <c r="T1474" s="24">
        <f>'TMT E DD'!E1622</f>
        <v>0</v>
      </c>
      <c r="U1474" s="24">
        <f>TA!E1622</f>
        <v>14455702000000</v>
      </c>
      <c r="V1474" s="109">
        <f>PR!F1622</f>
        <v>1.6029050878566858E-2</v>
      </c>
      <c r="W1474" s="109">
        <f>'Z Score'!I1622</f>
        <v>2.7172301587290608</v>
      </c>
      <c r="X1474" s="109">
        <f>'Z Score'!L1622</f>
        <v>0.32413966890020279</v>
      </c>
      <c r="Y1474" s="109">
        <f>'Z Score'!O1622</f>
        <v>0.78492575455692148</v>
      </c>
      <c r="Z1474" s="109">
        <f>'Z Score'!R1622</f>
        <v>4.9385728771095749</v>
      </c>
      <c r="AA1474" s="109">
        <f>'Z Score'!S1622</f>
        <v>8.7648684592957604</v>
      </c>
    </row>
    <row r="1475" spans="1:27" ht="15" customHeight="1" x14ac:dyDescent="0.3">
      <c r="A1475" s="22"/>
      <c r="B1475" s="23"/>
      <c r="C1475" s="4"/>
      <c r="D1475" s="23">
        <v>2018</v>
      </c>
      <c r="E1475" s="25">
        <f>'Current Ratio'!G1623</f>
        <v>6.6714329563586601</v>
      </c>
      <c r="F1475" s="25">
        <f>'Cash Ratio'!G1623</f>
        <v>1.0523691142452978</v>
      </c>
      <c r="G1475" s="25">
        <f>DAR!G1623</f>
        <v>0.18047201049233827</v>
      </c>
      <c r="H1475" s="25">
        <f>DER!G1623</f>
        <v>0.22021457815096507</v>
      </c>
      <c r="I1475" s="25">
        <f>NPM!G1623</f>
        <v>0.10882640075878616</v>
      </c>
      <c r="J1475" s="25">
        <f>ROA!G1623</f>
        <v>3.3603798447295823E-2</v>
      </c>
      <c r="K1475" s="25">
        <f>ROE!G1623</f>
        <v>4.1003844746637125E-2</v>
      </c>
      <c r="L1475" s="25">
        <f>KM!E1623</f>
        <v>1</v>
      </c>
      <c r="M1475" s="24">
        <f>KI!E1623</f>
        <v>0</v>
      </c>
      <c r="N1475" s="108">
        <f>IO!E1623</f>
        <v>0</v>
      </c>
      <c r="O1475" s="24">
        <f>'BoC Size'!E1623</f>
        <v>0</v>
      </c>
      <c r="P1475" s="24">
        <f>'TMT E DK'!E1623</f>
        <v>0</v>
      </c>
      <c r="Q1475" s="24">
        <f>Data!R1623</f>
        <v>0</v>
      </c>
      <c r="R1475" s="24">
        <f>Data!S1623</f>
        <v>7</v>
      </c>
      <c r="S1475" s="24">
        <f>'TMT E DK'!E1623</f>
        <v>0</v>
      </c>
      <c r="T1475" s="24">
        <f>'TMT E DD'!E1623</f>
        <v>0</v>
      </c>
      <c r="U1475" s="24">
        <f>TA!E1623</f>
        <v>14924414000000</v>
      </c>
      <c r="V1475" s="109">
        <f>PR!F1623</f>
        <v>-3.0844683645834078E-2</v>
      </c>
      <c r="W1475" s="109">
        <f>'Z Score'!I1623</f>
        <v>3.0293361843218767</v>
      </c>
      <c r="X1475" s="109">
        <f>'Z Score'!L1623</f>
        <v>0.44295779653392087</v>
      </c>
      <c r="Y1475" s="109">
        <f>'Z Score'!O1623</f>
        <v>0.3571924927839713</v>
      </c>
      <c r="Z1475" s="109">
        <f>'Z Score'!R1623</f>
        <v>4.7680767041689087</v>
      </c>
      <c r="AA1475" s="109">
        <f>'Z Score'!S1623</f>
        <v>8.5975631778086772</v>
      </c>
    </row>
    <row r="1476" spans="1:27" ht="15" customHeight="1" x14ac:dyDescent="0.3">
      <c r="A1476" s="22"/>
      <c r="B1476" s="23"/>
      <c r="C1476" s="4"/>
      <c r="D1476" s="23">
        <v>2019</v>
      </c>
      <c r="E1476" s="25">
        <f>'Current Ratio'!G1624</f>
        <v>4.6903857624374456</v>
      </c>
      <c r="F1476" s="25">
        <f>'Cash Ratio'!G1624</f>
        <v>0.87395488459239656</v>
      </c>
      <c r="G1476" s="25">
        <f>DAR!G1624</f>
        <v>0.22136011072059247</v>
      </c>
      <c r="H1476" s="25">
        <f>DER!G1624</f>
        <v>0.28429074051863723</v>
      </c>
      <c r="I1476" s="25">
        <f>NPM!G1624</f>
        <v>6.7702910159212246E-2</v>
      </c>
      <c r="J1476" s="25">
        <f>ROA!G1624</f>
        <v>2.0096615953825083E-2</v>
      </c>
      <c r="K1476" s="25">
        <f>ROE!G1624</f>
        <v>2.5809897785256674E-2</v>
      </c>
      <c r="L1476" s="25">
        <f>KM!E1624</f>
        <v>1</v>
      </c>
      <c r="M1476" s="24">
        <f>KI!E1624</f>
        <v>0</v>
      </c>
      <c r="N1476" s="108">
        <f>IO!E1624</f>
        <v>0</v>
      </c>
      <c r="O1476" s="24">
        <f>'BoC Size'!E1624</f>
        <v>0</v>
      </c>
      <c r="P1476" s="24">
        <f>'TMT E DK'!E1624</f>
        <v>0</v>
      </c>
      <c r="Q1476" s="24">
        <f>Data!R1624</f>
        <v>0</v>
      </c>
      <c r="R1476" s="24">
        <f>Data!S1624</f>
        <v>7</v>
      </c>
      <c r="S1476" s="24">
        <f>'TMT E DK'!E1624</f>
        <v>0</v>
      </c>
      <c r="T1476" s="24">
        <f>'TMT E DD'!E1624</f>
        <v>0</v>
      </c>
      <c r="U1476" s="24">
        <f>TA!E1624</f>
        <v>15837343000000</v>
      </c>
      <c r="V1476" s="109">
        <f>PR!F1624</f>
        <v>2.0108874790518993E-2</v>
      </c>
      <c r="W1476" s="109">
        <f>'Z Score'!I1624</f>
        <v>2.503808342093746</v>
      </c>
      <c r="X1476" s="109">
        <f>'Z Score'!L1624</f>
        <v>0.41281158840848492</v>
      </c>
      <c r="Y1476" s="109">
        <f>'Z Score'!O1624</f>
        <v>0.24036644025453005</v>
      </c>
      <c r="Z1476" s="109">
        <f>'Z Score'!R1624</f>
        <v>3.6934020365364848</v>
      </c>
      <c r="AA1476" s="109">
        <f>'Z Score'!S1624</f>
        <v>6.8503884072932459</v>
      </c>
    </row>
    <row r="1477" spans="1:27" ht="15" customHeight="1" x14ac:dyDescent="0.3">
      <c r="A1477" s="22"/>
      <c r="B1477" s="23"/>
      <c r="C1477" s="4"/>
      <c r="D1477" s="23">
        <v>2020</v>
      </c>
      <c r="E1477" s="25">
        <f>'Current Ratio'!G1625</f>
        <v>5.3737301979394676</v>
      </c>
      <c r="F1477" s="25">
        <f>'Cash Ratio'!G1625</f>
        <v>0.89288910846101976</v>
      </c>
      <c r="G1477" s="25">
        <f>DAR!G1625</f>
        <v>0.22855946261387267</v>
      </c>
      <c r="H1477" s="25">
        <f>DER!G1625</f>
        <v>0.29627618920351384</v>
      </c>
      <c r="I1477" s="25">
        <f>NPM!G1625</f>
        <v>1.5647766242539145E-2</v>
      </c>
      <c r="J1477" s="25">
        <f>ROA!G1625</f>
        <v>4.0165875510086687E-3</v>
      </c>
      <c r="K1477" s="25">
        <f>ROE!G1625</f>
        <v>5.2066068042237908E-3</v>
      </c>
      <c r="L1477" s="25">
        <f>KM!E1625</f>
        <v>1</v>
      </c>
      <c r="M1477" s="24">
        <f>KI!E1625</f>
        <v>0</v>
      </c>
      <c r="N1477" s="108">
        <f>IO!E1625</f>
        <v>0</v>
      </c>
      <c r="O1477" s="24">
        <f>'BoC Size'!E1625</f>
        <v>0</v>
      </c>
      <c r="P1477" s="24">
        <f>'TMT E DK'!E1625</f>
        <v>0</v>
      </c>
      <c r="Q1477" s="24">
        <f>Data!R1625</f>
        <v>0</v>
      </c>
      <c r="R1477" s="24">
        <f>Data!S1625</f>
        <v>7</v>
      </c>
      <c r="S1477" s="24">
        <f>'TMT E DK'!E1625</f>
        <v>0</v>
      </c>
      <c r="T1477" s="24">
        <f>'TMT E DD'!E1625</f>
        <v>0</v>
      </c>
      <c r="U1477" s="24">
        <f>TA!E1625</f>
        <v>15801971000000</v>
      </c>
      <c r="V1477" s="109">
        <f>PR!F1625</f>
        <v>-0.13718392123687245</v>
      </c>
      <c r="W1477" s="109">
        <f>'Z Score'!I1625</f>
        <v>2.5175343506199317</v>
      </c>
      <c r="X1477" s="109">
        <f>'Z Score'!L1625</f>
        <v>0.42500187603179373</v>
      </c>
      <c r="Y1477" s="109">
        <f>'Z Score'!O1625</f>
        <v>0.18975380729403946</v>
      </c>
      <c r="Z1477" s="109">
        <f>'Z Score'!R1625</f>
        <v>3.5439905002921073</v>
      </c>
      <c r="AA1477" s="109">
        <f>'Z Score'!S1625</f>
        <v>6.6762805342378719</v>
      </c>
    </row>
    <row r="1478" spans="1:27" ht="15" customHeight="1" x14ac:dyDescent="0.3">
      <c r="A1478" s="22"/>
      <c r="B1478" s="23"/>
      <c r="C1478" s="4"/>
      <c r="D1478" s="23">
        <v>2021</v>
      </c>
      <c r="E1478" s="25">
        <f>'Current Ratio'!G1626</f>
        <v>5.2922720221616872</v>
      </c>
      <c r="F1478" s="25">
        <f>'Cash Ratio'!G1626</f>
        <v>1.0533268682771466</v>
      </c>
      <c r="G1478" s="25">
        <f>DAR!G1626</f>
        <v>0.24614467510474949</v>
      </c>
      <c r="H1478" s="25">
        <f>DER!G1626</f>
        <v>0.32651447429777286</v>
      </c>
      <c r="I1478" s="25">
        <f>NPM!G1626</f>
        <v>7.0987240420032297E-3</v>
      </c>
      <c r="J1478" s="25">
        <f>ROA!G1626</f>
        <v>2.0518924384076219E-3</v>
      </c>
      <c r="K1478" s="25">
        <f>ROE!G1626</f>
        <v>2.7218650192498621E-3</v>
      </c>
      <c r="L1478" s="25">
        <f>KM!E1626</f>
        <v>1</v>
      </c>
      <c r="M1478" s="24">
        <f>KI!E1626</f>
        <v>0</v>
      </c>
      <c r="N1478" s="108">
        <f>IO!E1626</f>
        <v>0</v>
      </c>
      <c r="O1478" s="24">
        <f>'BoC Size'!E1626</f>
        <v>0</v>
      </c>
      <c r="P1478" s="24">
        <f>'TMT E DK'!E1626</f>
        <v>0</v>
      </c>
      <c r="Q1478" s="24">
        <f>Data!R1626</f>
        <v>0</v>
      </c>
      <c r="R1478" s="24">
        <f>Data!S1626</f>
        <v>7</v>
      </c>
      <c r="S1478" s="24">
        <f>'TMT E DK'!E1626</f>
        <v>0</v>
      </c>
      <c r="T1478" s="24">
        <f>'TMT E DD'!E1626</f>
        <v>0</v>
      </c>
      <c r="U1478" s="24">
        <f>TA!E1626</f>
        <v>16149482000000</v>
      </c>
      <c r="V1478" s="109">
        <f>PR!F1626</f>
        <v>0.15084476242366568</v>
      </c>
      <c r="W1478" s="109">
        <f>'Z Score'!I1626</f>
        <v>2.8335124854159406</v>
      </c>
      <c r="X1478" s="109">
        <f>'Z Score'!L1626</f>
        <v>0.4275125505573491</v>
      </c>
      <c r="Y1478" s="109">
        <f>'Z Score'!O1626</f>
        <v>7.9556949256948298E-2</v>
      </c>
      <c r="Z1478" s="109">
        <f>'Z Score'!R1626</f>
        <v>3.2157839319626205</v>
      </c>
      <c r="AA1478" s="109">
        <f>'Z Score'!S1626</f>
        <v>6.5563659171928581</v>
      </c>
    </row>
    <row r="1479" spans="1:27" ht="15" customHeight="1" x14ac:dyDescent="0.3">
      <c r="A1479" s="22"/>
      <c r="B1479" s="23"/>
      <c r="C1479" s="4"/>
      <c r="D1479" s="23">
        <v>2022</v>
      </c>
      <c r="E1479" s="25">
        <f>'Current Ratio'!G1627</f>
        <v>4.857899755046355</v>
      </c>
      <c r="F1479" s="25">
        <f>'Cash Ratio'!G1627</f>
        <v>0.98757919651070247</v>
      </c>
      <c r="G1479" s="25">
        <f>DAR!G1627</f>
        <v>0.22144752852408311</v>
      </c>
      <c r="H1479" s="25">
        <f>DER!G1627</f>
        <v>0.28443494386997548</v>
      </c>
      <c r="I1479" s="25">
        <f>NPM!G1627</f>
        <v>1.1745353982300885E-2</v>
      </c>
      <c r="J1479" s="25">
        <f>ROA!G1627</f>
        <v>3.2237645656604374E-3</v>
      </c>
      <c r="K1479" s="25">
        <f>ROE!G1627</f>
        <v>4.1407158589440796E-3</v>
      </c>
      <c r="L1479" s="25">
        <f>KM!E1627</f>
        <v>1</v>
      </c>
      <c r="M1479" s="24">
        <f>KI!E1627</f>
        <v>0</v>
      </c>
      <c r="N1479" s="108">
        <f>IO!E1627</f>
        <v>0</v>
      </c>
      <c r="O1479" s="24">
        <f>'BoC Size'!E1627</f>
        <v>0</v>
      </c>
      <c r="P1479" s="24">
        <f>'TMT E DK'!E1627</f>
        <v>0</v>
      </c>
      <c r="Q1479" s="24">
        <f>Data!R1627</f>
        <v>0</v>
      </c>
      <c r="R1479" s="24">
        <f>Data!S1627</f>
        <v>7</v>
      </c>
      <c r="S1479" s="24">
        <f>'TMT E DK'!E1627</f>
        <v>0</v>
      </c>
      <c r="T1479" s="24">
        <f>'TMT E DD'!E1627</f>
        <v>0</v>
      </c>
      <c r="U1479" s="24">
        <f>TA!E1627</f>
        <v>16468014000000</v>
      </c>
      <c r="V1479" s="109">
        <f>PR!F1627</f>
        <v>-3.1709790570824216E-2</v>
      </c>
      <c r="W1479" s="109">
        <f>'Z Score'!I1627</f>
        <v>2.3790193425873936</v>
      </c>
      <c r="X1479" s="109">
        <f>'Z Score'!L1627</f>
        <v>0.44866097879197819</v>
      </c>
      <c r="Y1479" s="109">
        <f>'Z Score'!O1627</f>
        <v>7.1376067569532062E-2</v>
      </c>
      <c r="Z1479" s="109">
        <f>'Z Score'!R1627</f>
        <v>3.6915295487743918</v>
      </c>
      <c r="AA1479" s="109">
        <f>'Z Score'!S1627</f>
        <v>6.5905859377232954</v>
      </c>
    </row>
    <row r="1480" spans="1:27" ht="15" customHeight="1" x14ac:dyDescent="0.3">
      <c r="A1480" s="22"/>
      <c r="B1480" s="23"/>
      <c r="C1480" s="4"/>
      <c r="D1480" s="23">
        <v>2023</v>
      </c>
      <c r="E1480" s="25">
        <f>'Current Ratio'!G1628</f>
        <v>5.767675640788541</v>
      </c>
      <c r="F1480" s="25">
        <f>'Cash Ratio'!G1628</f>
        <v>6.7718842960479378E-2</v>
      </c>
      <c r="G1480" s="25">
        <f>DAR!G1628</f>
        <v>0.25892098746708109</v>
      </c>
      <c r="H1480" s="25">
        <f>DER!G1628</f>
        <v>0.34938378106555773</v>
      </c>
      <c r="I1480" s="25">
        <f>NPM!G1628</f>
        <v>9.7834479031958549E-2</v>
      </c>
      <c r="J1480" s="25">
        <f>ROA!G1628</f>
        <v>2.786900704714956E-2</v>
      </c>
      <c r="K1480" s="25">
        <f>ROE!G1628</f>
        <v>3.7605986103825345E-2</v>
      </c>
      <c r="L1480" s="25">
        <f>KM!E1628</f>
        <v>1</v>
      </c>
      <c r="M1480" s="24">
        <f>KI!E1628</f>
        <v>0</v>
      </c>
      <c r="N1480" s="108">
        <f>IO!E1628</f>
        <v>0</v>
      </c>
      <c r="O1480" s="24">
        <f>'BoC Size'!E1628</f>
        <v>0</v>
      </c>
      <c r="P1480" s="24">
        <f>'TMT E DK'!E1628</f>
        <v>0</v>
      </c>
      <c r="Q1480" s="24">
        <f>Data!R1628</f>
        <v>0</v>
      </c>
      <c r="R1480" s="24">
        <f>Data!S1628</f>
        <v>7</v>
      </c>
      <c r="S1480" s="24">
        <f>'TMT E DK'!E1628</f>
        <v>0</v>
      </c>
      <c r="T1480" s="24">
        <f>'TMT E DD'!E1628</f>
        <v>0</v>
      </c>
      <c r="U1480" s="24">
        <f>TA!E1628</f>
        <v>16787071000000</v>
      </c>
      <c r="V1480" s="109">
        <f>PR!F1628</f>
        <v>5.7952212389380531E-2</v>
      </c>
      <c r="W1480" s="109">
        <f>'Z Score'!I1628</f>
        <v>2.4883177964756329</v>
      </c>
      <c r="X1480" s="109">
        <f>'Z Score'!L1628</f>
        <v>0.52758100564416499</v>
      </c>
      <c r="Y1480" s="109">
        <f>'Z Score'!O1628</f>
        <v>0.2387429325818661</v>
      </c>
      <c r="Z1480" s="109">
        <f>'Z Score'!R1628</f>
        <v>3.0052911923893224</v>
      </c>
      <c r="AA1480" s="109">
        <f>'Z Score'!S1628</f>
        <v>6.2599329270909863</v>
      </c>
    </row>
    <row r="1481" spans="1:27" ht="15" customHeight="1" x14ac:dyDescent="0.3">
      <c r="A1481" s="22"/>
      <c r="B1481" s="23"/>
      <c r="C1481" s="4"/>
      <c r="D1481" s="23">
        <v>2024</v>
      </c>
      <c r="E1481" s="25">
        <f>'Current Ratio'!G1629</f>
        <v>6.824147275101434</v>
      </c>
      <c r="F1481" s="25">
        <f>'Cash Ratio'!G1629</f>
        <v>1.136402925822827</v>
      </c>
      <c r="G1481" s="25">
        <f>DAR!G1629</f>
        <v>0.2543659503174398</v>
      </c>
      <c r="H1481" s="25">
        <f>DER!G1629</f>
        <v>0.34114047021555871</v>
      </c>
      <c r="I1481" s="25">
        <f>NPM!G1629</f>
        <v>5.3862905424984182E-2</v>
      </c>
      <c r="J1481" s="25">
        <f>ROA!G1629</f>
        <v>1.6522637258290888E-2</v>
      </c>
      <c r="K1481" s="25">
        <f>ROE!G1629</f>
        <v>2.2159177501785352E-2</v>
      </c>
      <c r="L1481" s="25">
        <f>KM!E1629</f>
        <v>1</v>
      </c>
      <c r="M1481" s="24">
        <f>KI!E1629</f>
        <v>0</v>
      </c>
      <c r="N1481" s="108">
        <f>IO!E1629</f>
        <v>0</v>
      </c>
      <c r="O1481" s="24">
        <f>'BoC Size'!E1629</f>
        <v>0</v>
      </c>
      <c r="P1481" s="24">
        <f>'TMT E DK'!E1629</f>
        <v>0</v>
      </c>
      <c r="Q1481" s="24">
        <f>Data!R1629</f>
        <v>0</v>
      </c>
      <c r="R1481" s="24">
        <f>Data!S1629</f>
        <v>7</v>
      </c>
      <c r="S1481" s="24">
        <f>'TMT E DK'!E1629</f>
        <v>0</v>
      </c>
      <c r="T1481" s="24">
        <f>'TMT E DD'!E1629</f>
        <v>0</v>
      </c>
      <c r="U1481" s="24">
        <f>TA!E1629</f>
        <v>16807910000000</v>
      </c>
      <c r="V1481" s="109">
        <f>PR!F1629</f>
        <v>7.8198740930466776E-2</v>
      </c>
      <c r="W1481" s="109">
        <f>'Z Score'!I1629</f>
        <v>2.3378976969771967</v>
      </c>
      <c r="X1481" s="109">
        <f>'Z Score'!L1629</f>
        <v>0.58538338199097917</v>
      </c>
      <c r="Y1481" s="109">
        <f>'Z Score'!O1629</f>
        <v>0.1508373807332381</v>
      </c>
      <c r="Z1481" s="109">
        <f>'Z Score'!R1629</f>
        <v>3.0779109829347706</v>
      </c>
      <c r="AA1481" s="109">
        <f>'Z Score'!S1629</f>
        <v>6.1520294426361843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8D4D-077D-4B41-86A6-A39BA9CB8C90}">
  <dimension ref="A1:AD1172"/>
  <sheetViews>
    <sheetView tabSelected="1" zoomScale="80" zoomScaleNormal="80" workbookViewId="0">
      <pane xSplit="4" ySplit="1" topLeftCell="S2" activePane="bottomRight" state="frozen"/>
      <selection pane="topRight" activeCell="E1" sqref="E1"/>
      <selection pane="bottomLeft" activeCell="A2" sqref="A2"/>
      <selection pane="bottomRight" activeCell="AE18" sqref="AE18"/>
    </sheetView>
  </sheetViews>
  <sheetFormatPr defaultColWidth="9.109375" defaultRowHeight="15" customHeight="1" x14ac:dyDescent="0.3"/>
  <cols>
    <col min="1" max="1" width="16.6640625" bestFit="1" customWidth="1"/>
    <col min="2" max="2" width="4.44140625" style="8" bestFit="1" customWidth="1"/>
    <col min="3" max="3" width="37.77734375" customWidth="1"/>
    <col min="4" max="4" width="6.5546875" style="8" bestFit="1" customWidth="1"/>
    <col min="5" max="5" width="15" style="12" bestFit="1" customWidth="1"/>
    <col min="6" max="6" width="12.44140625" style="12" bestFit="1" customWidth="1"/>
    <col min="7" max="7" width="6.5546875" style="12" bestFit="1" customWidth="1"/>
    <col min="8" max="8" width="10.109375" style="12" bestFit="1" customWidth="1"/>
    <col min="9" max="9" width="7" style="12" bestFit="1" customWidth="1"/>
    <col min="10" max="10" width="7.44140625" style="12" bestFit="1" customWidth="1"/>
    <col min="11" max="11" width="8.5546875" style="12" bestFit="1" customWidth="1"/>
    <col min="12" max="12" width="24.33203125" style="12" bestFit="1" customWidth="1"/>
    <col min="13" max="13" width="23.33203125" style="14" bestFit="1" customWidth="1"/>
    <col min="14" max="14" width="19.5546875" style="105" bestFit="1" customWidth="1"/>
    <col min="15" max="15" width="10.6640625" style="14" bestFit="1" customWidth="1"/>
    <col min="16" max="16" width="15.88671875" style="14" bestFit="1" customWidth="1"/>
    <col min="17" max="17" width="15.109375" style="14" bestFit="1" customWidth="1"/>
    <col min="18" max="18" width="15.33203125" style="14" bestFit="1" customWidth="1"/>
    <col min="19" max="19" width="20.33203125" style="14" bestFit="1" customWidth="1"/>
    <col min="20" max="20" width="20.5546875" style="14" bestFit="1" customWidth="1"/>
    <col min="21" max="21" width="20.109375" style="14" bestFit="1" customWidth="1"/>
    <col min="22" max="22" width="23.88671875" style="104" bestFit="1" customWidth="1"/>
    <col min="23" max="26" width="13" style="104" bestFit="1" customWidth="1"/>
    <col min="27" max="27" width="12.33203125" style="104" bestFit="1" customWidth="1"/>
    <col min="28" max="28" width="4.21875" customWidth="1"/>
    <col min="29" max="30" width="16" bestFit="1" customWidth="1"/>
  </cols>
  <sheetData>
    <row r="1" spans="1:30" s="6" customFormat="1" ht="15" customHeight="1" x14ac:dyDescent="0.3">
      <c r="A1" s="18" t="s">
        <v>341</v>
      </c>
      <c r="B1" s="19" t="s">
        <v>0</v>
      </c>
      <c r="C1" s="18" t="s">
        <v>342</v>
      </c>
      <c r="D1" s="19" t="s">
        <v>152</v>
      </c>
      <c r="E1" s="21" t="s">
        <v>340</v>
      </c>
      <c r="F1" s="21" t="s">
        <v>343</v>
      </c>
      <c r="G1" s="21" t="s">
        <v>344</v>
      </c>
      <c r="H1" s="21" t="s">
        <v>345</v>
      </c>
      <c r="I1" s="21" t="s">
        <v>346</v>
      </c>
      <c r="J1" s="21" t="s">
        <v>347</v>
      </c>
      <c r="K1" s="21" t="s">
        <v>348</v>
      </c>
      <c r="L1" s="21" t="s">
        <v>349</v>
      </c>
      <c r="M1" s="20" t="s">
        <v>350</v>
      </c>
      <c r="N1" s="106" t="s">
        <v>353</v>
      </c>
      <c r="O1" s="20" t="s">
        <v>352</v>
      </c>
      <c r="P1" s="20" t="s">
        <v>351</v>
      </c>
      <c r="Q1" s="20" t="s">
        <v>359</v>
      </c>
      <c r="R1" s="20" t="s">
        <v>360</v>
      </c>
      <c r="S1" s="20" t="s">
        <v>354</v>
      </c>
      <c r="T1" s="20" t="s">
        <v>355</v>
      </c>
      <c r="U1" s="20" t="s">
        <v>356</v>
      </c>
      <c r="V1" s="107" t="s">
        <v>357</v>
      </c>
      <c r="W1" s="107" t="s">
        <v>361</v>
      </c>
      <c r="X1" s="107" t="s">
        <v>362</v>
      </c>
      <c r="Y1" s="107" t="s">
        <v>363</v>
      </c>
      <c r="Z1" s="107" t="s">
        <v>364</v>
      </c>
      <c r="AA1" s="107" t="s">
        <v>358</v>
      </c>
      <c r="AC1" s="110"/>
    </row>
    <row r="2" spans="1:30" ht="15" customHeight="1" x14ac:dyDescent="0.3">
      <c r="A2" s="22" t="s">
        <v>153</v>
      </c>
      <c r="B2" s="23">
        <v>2</v>
      </c>
      <c r="C2" s="3" t="s">
        <v>2</v>
      </c>
      <c r="D2" s="23">
        <v>2015</v>
      </c>
      <c r="E2" s="25">
        <v>0.5187505556255485</v>
      </c>
      <c r="F2" s="25">
        <v>0.17580074163398363</v>
      </c>
      <c r="G2" s="25">
        <v>0.79381493096534395</v>
      </c>
      <c r="H2" s="25">
        <v>3.8500117136605945</v>
      </c>
      <c r="I2" s="25">
        <v>9.4418626856476479E-2</v>
      </c>
      <c r="J2" s="25">
        <v>2.6629365837570338E-2</v>
      </c>
      <c r="K2" s="25">
        <v>0.12915273623956941</v>
      </c>
      <c r="L2" s="25">
        <v>0.8</v>
      </c>
      <c r="M2" s="24">
        <v>2</v>
      </c>
      <c r="N2" s="108">
        <v>0</v>
      </c>
      <c r="O2" s="24">
        <v>4</v>
      </c>
      <c r="P2" s="24">
        <v>0</v>
      </c>
      <c r="Q2" s="24">
        <v>4</v>
      </c>
      <c r="R2" s="24">
        <v>5</v>
      </c>
      <c r="S2" s="24">
        <v>0</v>
      </c>
      <c r="T2" s="24">
        <v>0</v>
      </c>
      <c r="U2" s="24">
        <v>31860954000000</v>
      </c>
      <c r="V2" s="109">
        <v>-0.24795887683429088</v>
      </c>
      <c r="W2" s="109">
        <v>-0.18167732202871262</v>
      </c>
      <c r="X2" s="109">
        <v>0.59211276912800537</v>
      </c>
      <c r="Y2" s="109">
        <v>0.34782720442080922</v>
      </c>
      <c r="Z2" s="109">
        <v>0.27272644295454868</v>
      </c>
      <c r="AA2" s="109">
        <v>1.0309890944746507</v>
      </c>
      <c r="AD2" s="111"/>
    </row>
    <row r="3" spans="1:30" ht="15" customHeight="1" x14ac:dyDescent="0.3">
      <c r="A3" s="22" t="s">
        <v>153</v>
      </c>
      <c r="B3" s="23">
        <v>2</v>
      </c>
      <c r="C3" s="3" t="s">
        <v>2</v>
      </c>
      <c r="D3" s="23">
        <v>2016</v>
      </c>
      <c r="E3" s="25">
        <v>0.53187869210648675</v>
      </c>
      <c r="F3" s="25">
        <v>0.18249999762297989</v>
      </c>
      <c r="G3" s="25">
        <v>0.78286780333184725</v>
      </c>
      <c r="H3" s="25">
        <v>3.605489261126571</v>
      </c>
      <c r="I3" s="25">
        <v>9.0249093804442695E-2</v>
      </c>
      <c r="J3" s="25">
        <v>3.3468858926211674E-2</v>
      </c>
      <c r="K3" s="25">
        <v>0.15414047036682804</v>
      </c>
      <c r="L3" s="25">
        <v>0.8</v>
      </c>
      <c r="M3" s="24">
        <v>2</v>
      </c>
      <c r="N3" s="108">
        <v>0</v>
      </c>
      <c r="O3" s="24">
        <v>4</v>
      </c>
      <c r="P3" s="24">
        <v>0</v>
      </c>
      <c r="Q3" s="24">
        <v>4</v>
      </c>
      <c r="R3" s="24">
        <v>5</v>
      </c>
      <c r="S3" s="24">
        <v>0</v>
      </c>
      <c r="T3" s="24">
        <v>0</v>
      </c>
      <c r="U3" s="24">
        <v>35767906000000</v>
      </c>
      <c r="V3" s="109">
        <v>0.47614714908578509</v>
      </c>
      <c r="W3" s="109">
        <v>-0.18059506642630965</v>
      </c>
      <c r="X3" s="109">
        <v>0.62437075293141286</v>
      </c>
      <c r="Y3" s="109">
        <v>0.19431086628330996</v>
      </c>
      <c r="Z3" s="109">
        <v>0.29122261195472737</v>
      </c>
      <c r="AA3" s="109">
        <v>0.92930916474314063</v>
      </c>
    </row>
    <row r="4" spans="1:30" ht="15" customHeight="1" x14ac:dyDescent="0.3">
      <c r="A4" s="22" t="s">
        <v>153</v>
      </c>
      <c r="B4" s="23">
        <v>2</v>
      </c>
      <c r="C4" s="3" t="s">
        <v>2</v>
      </c>
      <c r="D4" s="23">
        <v>2017</v>
      </c>
      <c r="E4" s="25">
        <v>0.41304751689239594</v>
      </c>
      <c r="F4" s="25">
        <v>0.14801072565670903</v>
      </c>
      <c r="G4" s="25">
        <v>0.7649632737103963</v>
      </c>
      <c r="H4" s="25">
        <v>3.2546542227100126</v>
      </c>
      <c r="I4" s="25">
        <v>0.10065087372176262</v>
      </c>
      <c r="J4" s="25">
        <v>3.4768828526649982E-2</v>
      </c>
      <c r="K4" s="25">
        <v>0.14792934310959169</v>
      </c>
      <c r="L4" s="25">
        <v>0.95</v>
      </c>
      <c r="M4" s="24">
        <v>2</v>
      </c>
      <c r="N4" s="108">
        <v>0</v>
      </c>
      <c r="O4" s="24">
        <v>4</v>
      </c>
      <c r="P4" s="24">
        <v>0</v>
      </c>
      <c r="Q4" s="24">
        <v>4</v>
      </c>
      <c r="R4" s="24">
        <v>5</v>
      </c>
      <c r="S4" s="24">
        <v>0</v>
      </c>
      <c r="T4" s="24">
        <v>0</v>
      </c>
      <c r="U4" s="24">
        <v>44937292000000</v>
      </c>
      <c r="V4" s="109">
        <v>0.17027475021525465</v>
      </c>
      <c r="W4" s="109">
        <v>-0.26704619050030876</v>
      </c>
      <c r="X4" s="109">
        <v>0.52522867555080976</v>
      </c>
      <c r="Y4" s="109">
        <v>8.1061781826995721E-2</v>
      </c>
      <c r="Z4" s="109">
        <v>0.3226149164090647</v>
      </c>
      <c r="AA4" s="109">
        <v>0.66185918328656146</v>
      </c>
      <c r="AD4" s="110"/>
    </row>
    <row r="5" spans="1:30" ht="15" customHeight="1" x14ac:dyDescent="0.3">
      <c r="A5" s="22" t="s">
        <v>153</v>
      </c>
      <c r="B5" s="23">
        <v>2</v>
      </c>
      <c r="C5" s="3" t="s">
        <v>2</v>
      </c>
      <c r="D5" s="23">
        <v>2018</v>
      </c>
      <c r="E5" s="25">
        <v>0.45345418941728388</v>
      </c>
      <c r="F5" s="25">
        <v>0.21582091434955761</v>
      </c>
      <c r="G5" s="25">
        <v>0.76317396875253629</v>
      </c>
      <c r="H5" s="25">
        <v>3.2225087957289715</v>
      </c>
      <c r="I5" s="25">
        <v>8.3316414251695864E-2</v>
      </c>
      <c r="J5" s="25">
        <v>2.2879174413143882E-2</v>
      </c>
      <c r="K5" s="25">
        <v>9.6607515198517263E-2</v>
      </c>
      <c r="L5" s="25">
        <v>0.95</v>
      </c>
      <c r="M5" s="24">
        <v>2</v>
      </c>
      <c r="N5" s="108">
        <v>0</v>
      </c>
      <c r="O5" s="24">
        <v>4</v>
      </c>
      <c r="P5" s="24">
        <v>0</v>
      </c>
      <c r="Q5" s="24">
        <v>4</v>
      </c>
      <c r="R5" s="24">
        <v>5</v>
      </c>
      <c r="S5" s="24">
        <v>0</v>
      </c>
      <c r="T5" s="24">
        <v>0</v>
      </c>
      <c r="U5" s="24">
        <v>46562563000000</v>
      </c>
      <c r="V5" s="109">
        <v>-0.17630344491002911</v>
      </c>
      <c r="W5" s="109">
        <v>-0.25637931657670987</v>
      </c>
      <c r="X5" s="109">
        <v>0.59978044722323387</v>
      </c>
      <c r="Y5" s="109">
        <v>0.31031341294507347</v>
      </c>
      <c r="Z5" s="109">
        <v>0.32583309047647674</v>
      </c>
      <c r="AA5" s="109">
        <v>0.97954763406807421</v>
      </c>
      <c r="AD5" s="110"/>
    </row>
    <row r="6" spans="1:30" ht="15" customHeight="1" x14ac:dyDescent="0.3">
      <c r="A6" s="22" t="s">
        <v>153</v>
      </c>
      <c r="B6" s="23">
        <v>2</v>
      </c>
      <c r="C6" s="3" t="s">
        <v>2</v>
      </c>
      <c r="D6" s="23">
        <v>2019</v>
      </c>
      <c r="E6" s="25">
        <v>0.59418150903044276</v>
      </c>
      <c r="F6" s="25">
        <v>0.30262860235899081</v>
      </c>
      <c r="G6" s="25">
        <v>0.76279233245377021</v>
      </c>
      <c r="H6" s="25">
        <v>3.2157153280262674</v>
      </c>
      <c r="I6" s="25">
        <v>0.13536390447263552</v>
      </c>
      <c r="J6" s="25">
        <v>4.2050016801542606E-2</v>
      </c>
      <c r="K6" s="25">
        <v>0.17727090037402524</v>
      </c>
      <c r="L6" s="25">
        <v>0.94989999999999997</v>
      </c>
      <c r="M6" s="24">
        <v>2</v>
      </c>
      <c r="N6" s="108">
        <v>0</v>
      </c>
      <c r="O6" s="24">
        <v>4</v>
      </c>
      <c r="P6" s="24">
        <v>0</v>
      </c>
      <c r="Q6" s="24">
        <v>4</v>
      </c>
      <c r="R6" s="24">
        <v>4</v>
      </c>
      <c r="S6" s="24">
        <v>0</v>
      </c>
      <c r="T6" s="24">
        <v>0</v>
      </c>
      <c r="U6" s="24">
        <v>50043024000000</v>
      </c>
      <c r="V6" s="109">
        <v>0.21579454405760143</v>
      </c>
      <c r="W6" s="109">
        <v>-0.18083649940898855</v>
      </c>
      <c r="X6" s="109">
        <v>0.51493194136309584</v>
      </c>
      <c r="Y6" s="109">
        <v>6.0413634475806256E-2</v>
      </c>
      <c r="Z6" s="109">
        <v>0.32652144014391538</v>
      </c>
      <c r="AA6" s="109">
        <v>0.72103051657382888</v>
      </c>
    </row>
    <row r="7" spans="1:30" ht="15" customHeight="1" x14ac:dyDescent="0.3">
      <c r="A7" s="22" t="s">
        <v>153</v>
      </c>
      <c r="B7" s="23">
        <v>2</v>
      </c>
      <c r="C7" s="3" t="s">
        <v>2</v>
      </c>
      <c r="D7" s="23">
        <v>2020</v>
      </c>
      <c r="E7" s="25">
        <v>0.60137778136660835</v>
      </c>
      <c r="F7" s="25">
        <v>0.3502359015261502</v>
      </c>
      <c r="G7" s="25">
        <v>0.7786463969550641</v>
      </c>
      <c r="H7" s="25">
        <v>3.5176585618847818</v>
      </c>
      <c r="I7" s="25">
        <v>-2.6218997683816751E-2</v>
      </c>
      <c r="J7" s="25">
        <v>-7.7268034232944975E-3</v>
      </c>
      <c r="K7" s="25">
        <v>-3.4907059641247025E-2</v>
      </c>
      <c r="L7" s="25">
        <v>0.94989999999999997</v>
      </c>
      <c r="M7" s="24">
        <v>2</v>
      </c>
      <c r="N7" s="108">
        <v>0</v>
      </c>
      <c r="O7" s="24">
        <v>4</v>
      </c>
      <c r="P7" s="24">
        <v>0</v>
      </c>
      <c r="Q7" s="24">
        <v>4</v>
      </c>
      <c r="R7" s="24">
        <v>4</v>
      </c>
      <c r="S7" s="24">
        <v>0</v>
      </c>
      <c r="T7" s="24">
        <v>0</v>
      </c>
      <c r="U7" s="24">
        <v>53134780000000</v>
      </c>
      <c r="V7" s="109">
        <v>7.2930068790627717E-3</v>
      </c>
      <c r="W7" s="109">
        <v>-0.17918362022012699</v>
      </c>
      <c r="X7" s="109">
        <v>0.43297924335058874</v>
      </c>
      <c r="Y7" s="109">
        <v>9.0880930343552754E-2</v>
      </c>
      <c r="Z7" s="109">
        <v>0.29849400717203323</v>
      </c>
      <c r="AA7" s="109">
        <v>0.64317056064604783</v>
      </c>
      <c r="AD7" s="111"/>
    </row>
    <row r="8" spans="1:30" ht="15" customHeight="1" x14ac:dyDescent="0.3">
      <c r="A8" s="22" t="s">
        <v>153</v>
      </c>
      <c r="B8" s="23">
        <v>2</v>
      </c>
      <c r="C8" s="3" t="s">
        <v>2</v>
      </c>
      <c r="D8" s="23">
        <v>2021</v>
      </c>
      <c r="E8" s="25">
        <v>0.67293861692964907</v>
      </c>
      <c r="F8" s="25">
        <v>0.35351610571616948</v>
      </c>
      <c r="G8" s="25">
        <v>0.77343150439701758</v>
      </c>
      <c r="H8" s="25">
        <v>3.4136763027826564</v>
      </c>
      <c r="I8" s="25">
        <v>-3.7440017723417568E-2</v>
      </c>
      <c r="J8" s="25">
        <v>-1.1212627949511805E-2</v>
      </c>
      <c r="K8" s="25">
        <v>-4.9488910272678745E-2</v>
      </c>
      <c r="L8" s="25">
        <v>0.94989999999999997</v>
      </c>
      <c r="M8" s="24">
        <v>1</v>
      </c>
      <c r="N8" s="108">
        <v>0</v>
      </c>
      <c r="O8" s="24">
        <v>3</v>
      </c>
      <c r="P8" s="24">
        <v>0</v>
      </c>
      <c r="Q8" s="24">
        <v>3</v>
      </c>
      <c r="R8" s="24">
        <v>4</v>
      </c>
      <c r="S8" s="24">
        <v>0</v>
      </c>
      <c r="T8" s="24">
        <v>0</v>
      </c>
      <c r="U8" s="24">
        <v>52330016000000</v>
      </c>
      <c r="V8" s="109">
        <v>8.2828025964191347E-4</v>
      </c>
      <c r="W8" s="109">
        <v>-0.14209296630064092</v>
      </c>
      <c r="X8" s="109">
        <v>0.40636575956712873</v>
      </c>
      <c r="Y8" s="109">
        <v>0.1468832572113106</v>
      </c>
      <c r="Z8" s="109">
        <v>0.30758628143626071</v>
      </c>
      <c r="AA8" s="109">
        <v>0.71874233191405912</v>
      </c>
    </row>
    <row r="9" spans="1:30" ht="15" customHeight="1" x14ac:dyDescent="0.3">
      <c r="A9" s="22" t="s">
        <v>153</v>
      </c>
      <c r="B9" s="23">
        <v>2</v>
      </c>
      <c r="C9" s="3" t="s">
        <v>2</v>
      </c>
      <c r="D9" s="23">
        <v>2022</v>
      </c>
      <c r="E9" s="25">
        <v>0.67720173552472096</v>
      </c>
      <c r="F9" s="25">
        <v>0.3658443262007966</v>
      </c>
      <c r="G9" s="25">
        <v>0.81675655847253514</v>
      </c>
      <c r="H9" s="25">
        <v>4.4572212334820067</v>
      </c>
      <c r="I9" s="25">
        <v>-6.5717780328421516E-2</v>
      </c>
      <c r="J9" s="25">
        <v>-1.7483129630897532E-2</v>
      </c>
      <c r="K9" s="25">
        <v>-9.5409306249452458E-2</v>
      </c>
      <c r="L9" s="25">
        <v>0.94989999999999997</v>
      </c>
      <c r="M9" s="24">
        <v>1</v>
      </c>
      <c r="N9" s="108">
        <v>0</v>
      </c>
      <c r="O9" s="24">
        <v>3</v>
      </c>
      <c r="P9" s="24">
        <v>0</v>
      </c>
      <c r="Q9" s="24">
        <v>3</v>
      </c>
      <c r="R9" s="24">
        <v>4</v>
      </c>
      <c r="S9" s="24">
        <v>0</v>
      </c>
      <c r="T9" s="24">
        <v>0</v>
      </c>
      <c r="U9" s="24">
        <v>44912325000000</v>
      </c>
      <c r="V9" s="109">
        <v>-0.23760577915113279</v>
      </c>
      <c r="W9" s="109">
        <v>-0.17781222236880412</v>
      </c>
      <c r="X9" s="109">
        <v>0.40670034873500754</v>
      </c>
      <c r="Y9" s="109">
        <v>0.39725862154764863</v>
      </c>
      <c r="Z9" s="109">
        <v>0.2355727806626583</v>
      </c>
      <c r="AA9" s="109">
        <v>0.86171952857651035</v>
      </c>
    </row>
    <row r="10" spans="1:30" ht="15" customHeight="1" x14ac:dyDescent="0.3">
      <c r="A10" s="22" t="s">
        <v>153</v>
      </c>
      <c r="B10" s="23">
        <v>2</v>
      </c>
      <c r="C10" s="3" t="s">
        <v>2</v>
      </c>
      <c r="D10" s="23">
        <v>2023</v>
      </c>
      <c r="E10" s="25">
        <v>0.66696182368538826</v>
      </c>
      <c r="F10" s="25">
        <v>0.25324201512038075</v>
      </c>
      <c r="G10" s="25">
        <v>0.80738140889827725</v>
      </c>
      <c r="H10" s="25">
        <v>4.1916068655693532</v>
      </c>
      <c r="I10" s="25">
        <v>6.7799177735781563E-2</v>
      </c>
      <c r="J10" s="25">
        <v>2.0982713012341038E-2</v>
      </c>
      <c r="K10" s="25">
        <v>0.10893399693314114</v>
      </c>
      <c r="L10" s="25">
        <v>0.94989999999999997</v>
      </c>
      <c r="M10" s="24">
        <v>2</v>
      </c>
      <c r="N10" s="108">
        <v>0</v>
      </c>
      <c r="O10" s="24">
        <v>4</v>
      </c>
      <c r="P10" s="24">
        <v>0</v>
      </c>
      <c r="Q10" s="24">
        <v>4</v>
      </c>
      <c r="R10" s="24">
        <v>5</v>
      </c>
      <c r="S10" s="24">
        <v>0</v>
      </c>
      <c r="T10" s="24">
        <v>0</v>
      </c>
      <c r="U10" s="24">
        <v>41785302000000</v>
      </c>
      <c r="V10" s="109">
        <v>8.2328089746205743E-2</v>
      </c>
      <c r="W10" s="109">
        <v>-0.17383521124246032</v>
      </c>
      <c r="X10" s="109">
        <v>0.46961066501326226</v>
      </c>
      <c r="Y10" s="109">
        <v>0.2693627036607274</v>
      </c>
      <c r="Z10" s="109">
        <v>0.25050059170026118</v>
      </c>
      <c r="AA10" s="109">
        <v>0.81563874913179046</v>
      </c>
      <c r="AD10" s="111"/>
    </row>
    <row r="11" spans="1:30" ht="15" customHeight="1" x14ac:dyDescent="0.3">
      <c r="A11" s="22" t="s">
        <v>153</v>
      </c>
      <c r="B11" s="23">
        <v>2</v>
      </c>
      <c r="C11" s="3" t="s">
        <v>2</v>
      </c>
      <c r="D11" s="23">
        <v>2024</v>
      </c>
      <c r="E11" s="25">
        <v>0.7533714349686419</v>
      </c>
      <c r="F11" s="25">
        <v>0.35873929424189627</v>
      </c>
      <c r="G11" s="25">
        <v>0.77663116027421109</v>
      </c>
      <c r="H11" s="25">
        <v>3.4769001854852073</v>
      </c>
      <c r="I11" s="25">
        <v>0.14065430568380813</v>
      </c>
      <c r="J11" s="25">
        <v>3.558740436780608E-2</v>
      </c>
      <c r="K11" s="25">
        <v>0.15932125721516813</v>
      </c>
      <c r="L11" s="25">
        <v>0.94989999999999997</v>
      </c>
      <c r="M11" s="24">
        <v>1</v>
      </c>
      <c r="N11" s="108">
        <v>0</v>
      </c>
      <c r="O11" s="24">
        <v>3</v>
      </c>
      <c r="P11" s="24">
        <v>0</v>
      </c>
      <c r="Q11" s="24">
        <v>3</v>
      </c>
      <c r="R11" s="24">
        <v>5</v>
      </c>
      <c r="S11" s="24">
        <v>0</v>
      </c>
      <c r="T11" s="24">
        <v>0</v>
      </c>
      <c r="U11" s="24">
        <v>39899482000000</v>
      </c>
      <c r="V11" s="109">
        <v>-0.21936183468834666</v>
      </c>
      <c r="W11" s="109">
        <v>-0.12025112907480853</v>
      </c>
      <c r="X11" s="109">
        <v>0.59694283650098512</v>
      </c>
      <c r="Y11" s="109">
        <v>0.30134168057620397</v>
      </c>
      <c r="Z11" s="109">
        <v>0.30199313871113354</v>
      </c>
      <c r="AA11" s="109">
        <v>1.0800265267135143</v>
      </c>
    </row>
    <row r="12" spans="1:30" ht="15" customHeight="1" x14ac:dyDescent="0.3">
      <c r="A12" s="22" t="s">
        <v>153</v>
      </c>
      <c r="B12" s="23">
        <v>3</v>
      </c>
      <c r="C12" s="3" t="s">
        <v>3</v>
      </c>
      <c r="D12" s="23">
        <v>2015</v>
      </c>
      <c r="E12" s="25">
        <v>1.034054802419379</v>
      </c>
      <c r="F12" s="25">
        <v>0.68971974124416624</v>
      </c>
      <c r="G12" s="25">
        <v>0.8289910323523858</v>
      </c>
      <c r="H12" s="25">
        <v>5.2592496088723699</v>
      </c>
      <c r="I12" s="25">
        <v>9.3803699950206362E-2</v>
      </c>
      <c r="J12" s="25">
        <v>2.9169370653673345E-2</v>
      </c>
      <c r="K12" s="25">
        <v>0.18505507926432421</v>
      </c>
      <c r="L12" s="25">
        <v>0.99760000000000004</v>
      </c>
      <c r="M12" s="24">
        <v>2</v>
      </c>
      <c r="N12" s="108">
        <v>0</v>
      </c>
      <c r="O12" s="24">
        <v>3</v>
      </c>
      <c r="P12" s="24">
        <v>0</v>
      </c>
      <c r="Q12" s="24">
        <v>3</v>
      </c>
      <c r="R12" s="24">
        <v>4</v>
      </c>
      <c r="S12" s="24">
        <v>0</v>
      </c>
      <c r="T12" s="24">
        <v>0</v>
      </c>
      <c r="U12" s="24">
        <v>27635118000000</v>
      </c>
      <c r="V12" s="109">
        <v>-0.30443505599264664</v>
      </c>
      <c r="W12" s="109">
        <v>5.3835210690976604E-3</v>
      </c>
      <c r="X12" s="109">
        <v>0.366148990570621</v>
      </c>
      <c r="Y12" s="109">
        <v>0.21976968869827149</v>
      </c>
      <c r="Z12" s="109">
        <v>0.19964825366505648</v>
      </c>
      <c r="AA12" s="109">
        <v>0.79095045400304664</v>
      </c>
      <c r="AD12" s="111"/>
    </row>
    <row r="13" spans="1:30" ht="15" customHeight="1" x14ac:dyDescent="0.3">
      <c r="A13" s="22" t="s">
        <v>153</v>
      </c>
      <c r="B13" s="23">
        <v>3</v>
      </c>
      <c r="C13" s="3" t="s">
        <v>3</v>
      </c>
      <c r="D13" s="23">
        <v>2016</v>
      </c>
      <c r="E13" s="25">
        <v>0.98313280556059512</v>
      </c>
      <c r="F13" s="25">
        <v>0.56832818249792616</v>
      </c>
      <c r="G13" s="25">
        <v>0.80660888577240131</v>
      </c>
      <c r="H13" s="25">
        <v>4.5409271754542129</v>
      </c>
      <c r="I13" s="25">
        <v>7.9127347291931188E-2</v>
      </c>
      <c r="J13" s="25">
        <v>2.9704448510930379E-2</v>
      </c>
      <c r="K13" s="25">
        <v>0.1672257023873458</v>
      </c>
      <c r="L13" s="25">
        <v>0.99760000000000004</v>
      </c>
      <c r="M13" s="24">
        <v>2</v>
      </c>
      <c r="N13" s="108">
        <v>0</v>
      </c>
      <c r="O13" s="24">
        <v>3</v>
      </c>
      <c r="P13" s="24">
        <v>0</v>
      </c>
      <c r="Q13" s="24">
        <v>3</v>
      </c>
      <c r="R13" s="24">
        <v>4</v>
      </c>
      <c r="S13" s="24">
        <v>0</v>
      </c>
      <c r="T13" s="24">
        <v>0</v>
      </c>
      <c r="U13" s="24">
        <v>30294789000000</v>
      </c>
      <c r="V13" s="109">
        <v>0.32340998109377739</v>
      </c>
      <c r="W13" s="109">
        <v>-3.4828115158682901E-3</v>
      </c>
      <c r="X13" s="109">
        <v>0.43006064574339825</v>
      </c>
      <c r="Y13" s="109">
        <v>0.20094481595498156</v>
      </c>
      <c r="Z13" s="109">
        <v>0.23123031033744168</v>
      </c>
      <c r="AA13" s="109">
        <v>0.8587529605199532</v>
      </c>
      <c r="AD13" s="111"/>
    </row>
    <row r="14" spans="1:30" ht="15" customHeight="1" x14ac:dyDescent="0.3">
      <c r="A14" s="22" t="s">
        <v>153</v>
      </c>
      <c r="B14" s="23">
        <v>3</v>
      </c>
      <c r="C14" s="3" t="s">
        <v>3</v>
      </c>
      <c r="D14" s="23">
        <v>2017</v>
      </c>
      <c r="E14" s="25">
        <v>0.9340754958618922</v>
      </c>
      <c r="F14" s="25">
        <v>0.32191754957815483</v>
      </c>
      <c r="G14" s="25">
        <v>0.76995898087884262</v>
      </c>
      <c r="H14" s="25">
        <v>4.5643372919433283</v>
      </c>
      <c r="I14" s="25">
        <v>4.8841763568513892E-2</v>
      </c>
      <c r="J14" s="25">
        <v>1.8172451600634069E-2</v>
      </c>
      <c r="K14" s="25">
        <v>0.10772677582399835</v>
      </c>
      <c r="L14" s="25">
        <v>0.99760000000000004</v>
      </c>
      <c r="M14" s="24">
        <v>2</v>
      </c>
      <c r="N14" s="108">
        <v>0</v>
      </c>
      <c r="O14" s="24">
        <v>4</v>
      </c>
      <c r="P14" s="24">
        <v>0</v>
      </c>
      <c r="Q14" s="24">
        <v>4</v>
      </c>
      <c r="R14" s="24">
        <v>5</v>
      </c>
      <c r="S14" s="24">
        <v>0</v>
      </c>
      <c r="T14" s="24">
        <v>0</v>
      </c>
      <c r="U14" s="24">
        <v>35751863000000</v>
      </c>
      <c r="V14" s="109">
        <v>0.16965570120675161</v>
      </c>
      <c r="W14" s="109">
        <v>-1.5055654022840712E-2</v>
      </c>
      <c r="X14" s="109">
        <v>0.39315229083306791</v>
      </c>
      <c r="Y14" s="109">
        <v>6.1945585325161936E-2</v>
      </c>
      <c r="Z14" s="109">
        <v>0.23004434879372124</v>
      </c>
      <c r="AA14" s="109">
        <v>0.67008657092911039</v>
      </c>
      <c r="AD14" s="111"/>
    </row>
    <row r="15" spans="1:30" ht="15" customHeight="1" x14ac:dyDescent="0.3">
      <c r="A15" s="22" t="s">
        <v>153</v>
      </c>
      <c r="B15" s="23">
        <v>3</v>
      </c>
      <c r="C15" s="3" t="s">
        <v>3</v>
      </c>
      <c r="D15" s="23">
        <v>2018</v>
      </c>
      <c r="E15" s="25">
        <v>0.91041451511653804</v>
      </c>
      <c r="F15" s="25">
        <v>0.28164677115606584</v>
      </c>
      <c r="G15" s="25">
        <v>0.77421538187060379</v>
      </c>
      <c r="H15" s="25">
        <v>4.733656143270748</v>
      </c>
      <c r="I15" s="25">
        <v>1.301955834668103E-2</v>
      </c>
      <c r="J15" s="25">
        <v>3.8878061780989008E-3</v>
      </c>
      <c r="K15" s="25">
        <v>2.3770565697543385E-2</v>
      </c>
      <c r="L15" s="25">
        <v>0.99760000000000004</v>
      </c>
      <c r="M15" s="24">
        <v>2</v>
      </c>
      <c r="N15" s="108">
        <v>0</v>
      </c>
      <c r="O15" s="24">
        <v>3</v>
      </c>
      <c r="P15" s="24">
        <v>0</v>
      </c>
      <c r="Q15" s="24">
        <v>3</v>
      </c>
      <c r="R15" s="24">
        <v>6</v>
      </c>
      <c r="S15" s="24">
        <v>0</v>
      </c>
      <c r="T15" s="24">
        <v>0</v>
      </c>
      <c r="U15" s="24">
        <v>35266933000000</v>
      </c>
      <c r="V15" s="109">
        <v>-0.20830995360138083</v>
      </c>
      <c r="W15" s="109">
        <v>-2.6333054819368616E-2</v>
      </c>
      <c r="X15" s="109">
        <v>0.43794028587629091</v>
      </c>
      <c r="Y15" s="109">
        <v>0.17148732496812241</v>
      </c>
      <c r="Z15" s="109">
        <v>0.22181585823310274</v>
      </c>
      <c r="AA15" s="109">
        <v>0.80491041425814736</v>
      </c>
      <c r="AD15" s="111"/>
    </row>
    <row r="16" spans="1:30" ht="15" customHeight="1" x14ac:dyDescent="0.3">
      <c r="A16" s="22" t="s">
        <v>153</v>
      </c>
      <c r="B16" s="23">
        <v>3</v>
      </c>
      <c r="C16" s="3" t="s">
        <v>3</v>
      </c>
      <c r="D16" s="23">
        <v>2019</v>
      </c>
      <c r="E16" s="25">
        <v>1.5290235628722582</v>
      </c>
      <c r="F16" s="25">
        <v>0.45959986932739216</v>
      </c>
      <c r="G16" s="25">
        <v>0.77548127038372672</v>
      </c>
      <c r="H16" s="25">
        <v>4.5668146754792112</v>
      </c>
      <c r="I16" s="25">
        <v>9.8540141891036229E-2</v>
      </c>
      <c r="J16" s="25">
        <v>3.8941581082582027E-2</v>
      </c>
      <c r="K16" s="25">
        <v>0.22932724588731876</v>
      </c>
      <c r="L16" s="25">
        <v>0.99760000000000004</v>
      </c>
      <c r="M16" s="24">
        <v>2</v>
      </c>
      <c r="N16" s="108">
        <v>0</v>
      </c>
      <c r="O16" s="24">
        <v>3</v>
      </c>
      <c r="P16" s="24">
        <v>0</v>
      </c>
      <c r="Q16" s="24">
        <v>3</v>
      </c>
      <c r="R16" s="24">
        <v>6</v>
      </c>
      <c r="S16" s="24">
        <v>0</v>
      </c>
      <c r="T16" s="24">
        <v>0</v>
      </c>
      <c r="U16" s="24">
        <v>38345233000000</v>
      </c>
      <c r="V16" s="109">
        <v>0.43891696220244009</v>
      </c>
      <c r="W16" s="109">
        <v>0.11691099542934059</v>
      </c>
      <c r="X16" s="109">
        <v>0.4388520805180659</v>
      </c>
      <c r="Y16" s="109">
        <v>0.2675872142959726</v>
      </c>
      <c r="Z16" s="109">
        <v>0.2299195554480914</v>
      </c>
      <c r="AA16" s="109">
        <v>1.0532698456914704</v>
      </c>
      <c r="AD16" s="111"/>
    </row>
    <row r="17" spans="1:30" ht="15" customHeight="1" x14ac:dyDescent="0.3">
      <c r="A17" s="22" t="s">
        <v>153</v>
      </c>
      <c r="B17" s="23">
        <v>3</v>
      </c>
      <c r="C17" s="3" t="s">
        <v>3</v>
      </c>
      <c r="D17" s="23">
        <v>2020</v>
      </c>
      <c r="E17" s="25">
        <v>1.763178298602089</v>
      </c>
      <c r="F17" s="25">
        <v>0.52497427636023486</v>
      </c>
      <c r="G17" s="25">
        <v>0.77321098658547227</v>
      </c>
      <c r="H17" s="25">
        <v>4.4888793932573492</v>
      </c>
      <c r="I17" s="25">
        <v>6.0047237015202794E-2</v>
      </c>
      <c r="J17" s="25">
        <v>2.7441006218810966E-2</v>
      </c>
      <c r="K17" s="25">
        <v>0.15930886844977704</v>
      </c>
      <c r="L17" s="25">
        <v>0.99760000000000004</v>
      </c>
      <c r="M17" s="24">
        <v>2</v>
      </c>
      <c r="N17" s="108">
        <v>0</v>
      </c>
      <c r="O17" s="24">
        <v>3</v>
      </c>
      <c r="P17" s="24">
        <v>8</v>
      </c>
      <c r="Q17" s="24">
        <v>3</v>
      </c>
      <c r="R17" s="24">
        <v>6</v>
      </c>
      <c r="S17" s="24">
        <v>8</v>
      </c>
      <c r="T17" s="24">
        <v>14</v>
      </c>
      <c r="U17" s="24">
        <v>41166712000000</v>
      </c>
      <c r="V17" s="109">
        <v>0.24148479894920361</v>
      </c>
      <c r="W17" s="109">
        <v>0.17551640461351395</v>
      </c>
      <c r="X17" s="109">
        <v>0.47501558152130297</v>
      </c>
      <c r="Y17" s="109">
        <v>0.27608477451393248</v>
      </c>
      <c r="Z17" s="109">
        <v>0.23391138589670793</v>
      </c>
      <c r="AA17" s="109">
        <v>1.1605281465454573</v>
      </c>
      <c r="AD17" s="111"/>
    </row>
    <row r="18" spans="1:30" ht="15" customHeight="1" x14ac:dyDescent="0.3">
      <c r="A18" s="22" t="s">
        <v>153</v>
      </c>
      <c r="B18" s="23">
        <v>3</v>
      </c>
      <c r="C18" s="3" t="s">
        <v>3</v>
      </c>
      <c r="D18" s="23">
        <v>2021</v>
      </c>
      <c r="E18" s="25">
        <v>1.8514280556455651</v>
      </c>
      <c r="F18" s="25">
        <v>0.5074758386738365</v>
      </c>
      <c r="G18" s="25">
        <v>0.79070255223144914</v>
      </c>
      <c r="H18" s="25">
        <v>4.8738674086846343</v>
      </c>
      <c r="I18" s="25">
        <v>1.9494915964075449E-2</v>
      </c>
      <c r="J18" s="25">
        <v>9.4383342578678274E-3</v>
      </c>
      <c r="K18" s="25">
        <v>5.8177616351273033E-2</v>
      </c>
      <c r="L18" s="25">
        <v>0.99760000000000004</v>
      </c>
      <c r="M18" s="24">
        <v>2</v>
      </c>
      <c r="N18" s="108">
        <v>0</v>
      </c>
      <c r="O18" s="24">
        <v>4</v>
      </c>
      <c r="P18" s="24">
        <v>9</v>
      </c>
      <c r="Q18" s="24">
        <v>4</v>
      </c>
      <c r="R18" s="24">
        <v>5</v>
      </c>
      <c r="S18" s="24">
        <v>9</v>
      </c>
      <c r="T18" s="24">
        <v>11</v>
      </c>
      <c r="U18" s="24">
        <v>42808931000000</v>
      </c>
      <c r="V18" s="109">
        <v>0.10167928848827253</v>
      </c>
      <c r="W18" s="109">
        <v>0.20092183474518435</v>
      </c>
      <c r="X18" s="109">
        <v>0.4530714317533413</v>
      </c>
      <c r="Y18" s="109">
        <v>8.8138430740071494E-2</v>
      </c>
      <c r="Z18" s="109">
        <v>0.21543466655022844</v>
      </c>
      <c r="AA18" s="109">
        <v>0.95756636378882565</v>
      </c>
      <c r="AD18" s="111"/>
    </row>
    <row r="19" spans="1:30" ht="15" customHeight="1" x14ac:dyDescent="0.3">
      <c r="A19" s="22" t="s">
        <v>153</v>
      </c>
      <c r="B19" s="23">
        <v>3</v>
      </c>
      <c r="C19" s="3" t="s">
        <v>3</v>
      </c>
      <c r="D19" s="23">
        <v>2022</v>
      </c>
      <c r="E19" s="25">
        <v>1.469882564791839</v>
      </c>
      <c r="F19" s="25">
        <v>0.39543355390129586</v>
      </c>
      <c r="G19" s="25">
        <v>0.77769875786506992</v>
      </c>
      <c r="H19" s="25">
        <v>4.4441816487931716</v>
      </c>
      <c r="I19" s="25">
        <v>7.5554863730828174E-3</v>
      </c>
      <c r="J19" s="25">
        <v>2.6051244471380856E-3</v>
      </c>
      <c r="K19" s="25">
        <v>1.4887057673303174E-2</v>
      </c>
      <c r="L19" s="25">
        <v>0.99760000000000004</v>
      </c>
      <c r="M19" s="24">
        <v>2</v>
      </c>
      <c r="N19" s="108">
        <v>0</v>
      </c>
      <c r="O19" s="24">
        <v>3</v>
      </c>
      <c r="P19" s="24">
        <v>8</v>
      </c>
      <c r="Q19" s="24">
        <v>3</v>
      </c>
      <c r="R19" s="24">
        <v>4</v>
      </c>
      <c r="S19" s="24">
        <v>8</v>
      </c>
      <c r="T19" s="24">
        <v>8</v>
      </c>
      <c r="U19" s="24">
        <v>41194961000000</v>
      </c>
      <c r="V19" s="109">
        <v>-0.31466679468832354</v>
      </c>
      <c r="W19" s="109">
        <v>0.1736907152309235</v>
      </c>
      <c r="X19" s="109">
        <v>0.53475786468155651</v>
      </c>
      <c r="Y19" s="109">
        <v>9.7419293587873518E-2</v>
      </c>
      <c r="Z19" s="109">
        <v>0.23626397005737379</v>
      </c>
      <c r="AA19" s="109">
        <v>1.0421318435577274</v>
      </c>
      <c r="AD19" s="111"/>
    </row>
    <row r="20" spans="1:30" ht="15" customHeight="1" x14ac:dyDescent="0.3">
      <c r="A20" s="22" t="s">
        <v>153</v>
      </c>
      <c r="B20" s="23">
        <v>3</v>
      </c>
      <c r="C20" s="3" t="s">
        <v>3</v>
      </c>
      <c r="D20" s="23">
        <v>2023</v>
      </c>
      <c r="E20" s="25">
        <v>1.3788549975191833</v>
      </c>
      <c r="F20" s="25">
        <v>0.48539145584242999</v>
      </c>
      <c r="G20" s="25">
        <v>0.78990786662205781</v>
      </c>
      <c r="H20" s="25">
        <v>4.7759700497223525</v>
      </c>
      <c r="I20" s="25">
        <v>2.769691087304892E-2</v>
      </c>
      <c r="J20" s="25">
        <v>1.1987312369144859E-2</v>
      </c>
      <c r="K20" s="25">
        <v>7.2478129755219528E-2</v>
      </c>
      <c r="L20" s="25">
        <v>0.99760000000000004</v>
      </c>
      <c r="M20" s="24">
        <v>2</v>
      </c>
      <c r="N20" s="108">
        <v>0</v>
      </c>
      <c r="O20" s="24">
        <v>4</v>
      </c>
      <c r="P20" s="24">
        <v>8</v>
      </c>
      <c r="Q20" s="24">
        <v>4</v>
      </c>
      <c r="R20" s="24">
        <v>4</v>
      </c>
      <c r="S20" s="24">
        <v>8</v>
      </c>
      <c r="T20" s="24">
        <v>10</v>
      </c>
      <c r="U20" s="24">
        <v>40147448000000</v>
      </c>
      <c r="V20" s="109">
        <v>0.2233149673580995</v>
      </c>
      <c r="W20" s="109">
        <v>0.15982450291734607</v>
      </c>
      <c r="X20" s="109">
        <v>0.49972050328080619</v>
      </c>
      <c r="Y20" s="109">
        <v>6.2329409331322874E-2</v>
      </c>
      <c r="Z20" s="109">
        <v>0.21985062491357982</v>
      </c>
      <c r="AA20" s="109">
        <v>0.94172504044305505</v>
      </c>
      <c r="AD20" s="111"/>
    </row>
    <row r="21" spans="1:30" ht="15" customHeight="1" x14ac:dyDescent="0.3">
      <c r="A21" s="22" t="s">
        <v>153</v>
      </c>
      <c r="B21" s="23">
        <v>3</v>
      </c>
      <c r="C21" s="3" t="s">
        <v>3</v>
      </c>
      <c r="D21" s="23">
        <v>2024</v>
      </c>
      <c r="E21" s="25">
        <v>0.94531100035867988</v>
      </c>
      <c r="F21" s="25">
        <v>0.51193570525211984</v>
      </c>
      <c r="G21" s="25">
        <v>0.77615716230853449</v>
      </c>
      <c r="H21" s="25">
        <v>4.1595205054438278</v>
      </c>
      <c r="I21" s="25">
        <v>5.2893044713670484E-2</v>
      </c>
      <c r="J21" s="25">
        <v>2.4580076171973723E-2</v>
      </c>
      <c r="K21" s="25">
        <v>0.13172761372013653</v>
      </c>
      <c r="L21" s="25">
        <v>0.99760000000000004</v>
      </c>
      <c r="M21" s="24">
        <v>2</v>
      </c>
      <c r="N21" s="108">
        <v>0</v>
      </c>
      <c r="O21" s="24">
        <v>4</v>
      </c>
      <c r="P21" s="24">
        <v>8</v>
      </c>
      <c r="Q21" s="24">
        <v>4</v>
      </c>
      <c r="R21" s="24">
        <v>3</v>
      </c>
      <c r="S21" s="24">
        <v>8</v>
      </c>
      <c r="T21" s="24">
        <v>6</v>
      </c>
      <c r="U21" s="24">
        <v>39131978000000</v>
      </c>
      <c r="V21" s="109">
        <v>4.656938083079798E-2</v>
      </c>
      <c r="W21" s="109">
        <v>-2.5074596535856173E-2</v>
      </c>
      <c r="X21" s="109">
        <v>0.57772252606295538</v>
      </c>
      <c r="Y21" s="109">
        <v>0.21336406966190155</v>
      </c>
      <c r="Z21" s="109">
        <v>0.25243294236097613</v>
      </c>
      <c r="AA21" s="109">
        <v>1.0184449415499768</v>
      </c>
      <c r="AD21" s="111"/>
    </row>
    <row r="22" spans="1:30" ht="15" customHeight="1" x14ac:dyDescent="0.3">
      <c r="A22" s="22" t="s">
        <v>153</v>
      </c>
      <c r="B22" s="23">
        <v>4</v>
      </c>
      <c r="C22" s="3" t="s">
        <v>56</v>
      </c>
      <c r="D22" s="23">
        <v>2022</v>
      </c>
      <c r="E22" s="25">
        <v>0.79566817776744547</v>
      </c>
      <c r="F22" s="25">
        <v>0.33503041574644504</v>
      </c>
      <c r="G22" s="25">
        <v>0.20559441397732089</v>
      </c>
      <c r="H22" s="25">
        <v>0.59555467407643359</v>
      </c>
      <c r="I22" s="25">
        <v>0.35762610011373802</v>
      </c>
      <c r="J22" s="25">
        <v>8.8214905758113457E-2</v>
      </c>
      <c r="K22" s="25">
        <v>0.2555361229476395</v>
      </c>
      <c r="L22" s="25">
        <v>0</v>
      </c>
      <c r="M22" s="24">
        <v>0</v>
      </c>
      <c r="N22" s="108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4337827000000</v>
      </c>
      <c r="V22" s="109">
        <v>0</v>
      </c>
      <c r="W22" s="109">
        <v>-0.15950297695136295</v>
      </c>
      <c r="X22" s="109">
        <v>-1.3828121776179639E-4</v>
      </c>
      <c r="Y22" s="109">
        <v>0.59272206106882552</v>
      </c>
      <c r="Z22" s="109">
        <v>1.7630623109932018</v>
      </c>
      <c r="AA22" s="109">
        <v>2.1961431138929024</v>
      </c>
      <c r="AD22" s="111"/>
    </row>
    <row r="23" spans="1:30" ht="15" customHeight="1" x14ac:dyDescent="0.3">
      <c r="A23" s="22" t="s">
        <v>153</v>
      </c>
      <c r="B23" s="23">
        <v>4</v>
      </c>
      <c r="C23" s="3" t="s">
        <v>56</v>
      </c>
      <c r="D23" s="23">
        <v>2023</v>
      </c>
      <c r="E23" s="25">
        <v>1.4152335003916512</v>
      </c>
      <c r="F23" s="25">
        <v>0.47617628234011039</v>
      </c>
      <c r="G23" s="25">
        <v>0.23964660484875605</v>
      </c>
      <c r="H23" s="25">
        <v>0.90551431756223622</v>
      </c>
      <c r="I23" s="25">
        <v>0.19126329283786125</v>
      </c>
      <c r="J23" s="25">
        <v>6.4330126425637582E-2</v>
      </c>
      <c r="K23" s="25">
        <v>0.24307396537400169</v>
      </c>
      <c r="L23" s="25">
        <v>0.99990000000000001</v>
      </c>
      <c r="M23" s="24">
        <v>2</v>
      </c>
      <c r="N23" s="108">
        <v>0</v>
      </c>
      <c r="O23" s="24">
        <v>3</v>
      </c>
      <c r="P23" s="24">
        <v>0</v>
      </c>
      <c r="Q23" s="24">
        <v>3</v>
      </c>
      <c r="R23" s="24">
        <v>3</v>
      </c>
      <c r="S23" s="24">
        <v>0</v>
      </c>
      <c r="T23" s="24">
        <v>0</v>
      </c>
      <c r="U23" s="24">
        <v>3620310000000</v>
      </c>
      <c r="V23" s="109">
        <v>0.13800335139247275</v>
      </c>
      <c r="W23" s="109">
        <v>0.32562718662214007</v>
      </c>
      <c r="X23" s="109">
        <v>-2.0665909825401691E-2</v>
      </c>
      <c r="Y23" s="109">
        <v>0.41051600553543754</v>
      </c>
      <c r="Z23" s="109">
        <v>1.1595620076187623</v>
      </c>
      <c r="AA23" s="109">
        <v>1.8750392899509383</v>
      </c>
      <c r="AD23" s="111"/>
    </row>
    <row r="24" spans="1:30" ht="15" customHeight="1" x14ac:dyDescent="0.3">
      <c r="A24" s="22" t="s">
        <v>153</v>
      </c>
      <c r="B24" s="23">
        <v>4</v>
      </c>
      <c r="C24" s="3" t="s">
        <v>56</v>
      </c>
      <c r="D24" s="23">
        <v>2024</v>
      </c>
      <c r="E24" s="25">
        <v>0.7884825960547821</v>
      </c>
      <c r="F24" s="25">
        <v>0.43187028356590734</v>
      </c>
      <c r="G24" s="25">
        <v>0.2736064386722814</v>
      </c>
      <c r="H24" s="25">
        <v>0.94368035959958185</v>
      </c>
      <c r="I24" s="25">
        <v>5.1825077095375337E-2</v>
      </c>
      <c r="J24" s="25">
        <v>1.7543681022674663E-2</v>
      </c>
      <c r="K24" s="25">
        <v>6.0508909426681592E-2</v>
      </c>
      <c r="L24" s="25">
        <v>0.99</v>
      </c>
      <c r="M24" s="24">
        <v>2</v>
      </c>
      <c r="N24" s="108">
        <v>0</v>
      </c>
      <c r="O24" s="24">
        <v>3</v>
      </c>
      <c r="P24" s="24">
        <v>0</v>
      </c>
      <c r="Q24" s="24">
        <v>3</v>
      </c>
      <c r="R24" s="24">
        <v>3</v>
      </c>
      <c r="S24" s="24">
        <v>0</v>
      </c>
      <c r="T24" s="24">
        <v>0</v>
      </c>
      <c r="U24" s="24">
        <v>3339322000000</v>
      </c>
      <c r="V24" s="109">
        <v>-7.1652594674898804E-2</v>
      </c>
      <c r="W24" s="109">
        <v>-0.15406557379012864</v>
      </c>
      <c r="X24" s="109">
        <v>6.4105198600194882E-2</v>
      </c>
      <c r="Y24" s="109">
        <v>0.1407441630366883</v>
      </c>
      <c r="Z24" s="109">
        <v>1.1126648862815491</v>
      </c>
      <c r="AA24" s="109">
        <v>1.1634486741283037</v>
      </c>
      <c r="AD24" s="111"/>
    </row>
    <row r="25" spans="1:30" ht="15" customHeight="1" x14ac:dyDescent="0.3">
      <c r="A25" s="22" t="s">
        <v>153</v>
      </c>
      <c r="B25" s="23">
        <v>5</v>
      </c>
      <c r="C25" s="3" t="s">
        <v>20</v>
      </c>
      <c r="D25" s="23">
        <v>2015</v>
      </c>
      <c r="E25" s="25">
        <v>2.2030997621248392</v>
      </c>
      <c r="F25" s="25">
        <v>0.14708915168772149</v>
      </c>
      <c r="G25" s="25">
        <v>0.73137589792581115</v>
      </c>
      <c r="H25" s="25">
        <v>0.73137589792581115</v>
      </c>
      <c r="I25" s="25">
        <v>0</v>
      </c>
      <c r="J25" s="25">
        <v>0</v>
      </c>
      <c r="K25" s="25">
        <v>0</v>
      </c>
      <c r="L25" s="25">
        <v>0</v>
      </c>
      <c r="M25" s="24">
        <v>0</v>
      </c>
      <c r="N25" s="108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4933308738000</v>
      </c>
      <c r="V25" s="109">
        <v>0</v>
      </c>
      <c r="W25" s="109">
        <v>0.34010614467243178</v>
      </c>
      <c r="X25" s="109">
        <v>0.77956989963274415</v>
      </c>
      <c r="Y25" s="109">
        <v>0</v>
      </c>
      <c r="Z25" s="109">
        <v>1.4356502627141663</v>
      </c>
      <c r="AA25" s="109">
        <v>2.5553263070193424</v>
      </c>
      <c r="AD25" s="111"/>
    </row>
    <row r="26" spans="1:30" ht="15" customHeight="1" x14ac:dyDescent="0.3">
      <c r="A26" s="22" t="s">
        <v>153</v>
      </c>
      <c r="B26" s="23">
        <v>5</v>
      </c>
      <c r="C26" s="3" t="s">
        <v>20</v>
      </c>
      <c r="D26" s="23">
        <v>2016</v>
      </c>
      <c r="E26" s="25">
        <v>2.9484892519157211</v>
      </c>
      <c r="F26" s="25">
        <v>0.35956052887543138</v>
      </c>
      <c r="G26" s="25">
        <v>0.73062673058269378</v>
      </c>
      <c r="H26" s="25">
        <v>0.73062673058269378</v>
      </c>
      <c r="I26" s="25">
        <v>9.3583209034949016E-2</v>
      </c>
      <c r="J26" s="25">
        <v>5.3670442515432397E-2</v>
      </c>
      <c r="K26" s="25">
        <v>5.3670442515432397E-2</v>
      </c>
      <c r="L26" s="25">
        <v>0</v>
      </c>
      <c r="M26" s="24">
        <v>0</v>
      </c>
      <c r="N26" s="108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6176329027000</v>
      </c>
      <c r="V26" s="109">
        <v>0</v>
      </c>
      <c r="W26" s="109">
        <v>0.27476367618716241</v>
      </c>
      <c r="X26" s="109">
        <v>0.73564235349795259</v>
      </c>
      <c r="Y26" s="109">
        <v>0.22356557423733894</v>
      </c>
      <c r="Z26" s="109">
        <v>1.4371223444871746</v>
      </c>
      <c r="AA26" s="109">
        <v>2.6710939484096285</v>
      </c>
      <c r="AD26" s="111"/>
    </row>
    <row r="27" spans="1:30" ht="15" customHeight="1" x14ac:dyDescent="0.3">
      <c r="A27" s="22" t="s">
        <v>153</v>
      </c>
      <c r="B27" s="23">
        <v>5</v>
      </c>
      <c r="C27" s="3" t="s">
        <v>20</v>
      </c>
      <c r="D27" s="23">
        <v>2017</v>
      </c>
      <c r="E27" s="25">
        <v>2.8423014074861146</v>
      </c>
      <c r="F27" s="25">
        <v>0.30440243135142964</v>
      </c>
      <c r="G27" s="25">
        <v>0.73314283009799486</v>
      </c>
      <c r="H27" s="25">
        <v>8.0884287971320329E-2</v>
      </c>
      <c r="I27" s="25">
        <v>0.12223062099783538</v>
      </c>
      <c r="J27" s="25">
        <v>10.389756331870261</v>
      </c>
      <c r="K27" s="25">
        <v>0.25581007554933083</v>
      </c>
      <c r="L27" s="25">
        <v>0.91</v>
      </c>
      <c r="M27" s="24">
        <v>3</v>
      </c>
      <c r="N27" s="108">
        <v>0</v>
      </c>
      <c r="O27" s="24">
        <v>5</v>
      </c>
      <c r="P27" s="24">
        <v>13</v>
      </c>
      <c r="Q27" s="24">
        <v>5</v>
      </c>
      <c r="R27" s="24">
        <v>6</v>
      </c>
      <c r="S27" s="24">
        <v>13</v>
      </c>
      <c r="T27" s="24">
        <v>17</v>
      </c>
      <c r="U27" s="24">
        <v>8162691116000</v>
      </c>
      <c r="V27" s="109">
        <v>0.24313145970075817</v>
      </c>
      <c r="W27" s="109">
        <v>0.25196627947963623</v>
      </c>
      <c r="X27" s="109">
        <v>0.6731655271273651</v>
      </c>
      <c r="Y27" s="109">
        <v>0.29269215658019027</v>
      </c>
      <c r="Z27" s="109">
        <v>0.3691598328394704</v>
      </c>
      <c r="AA27" s="109">
        <v>1.586983796026662</v>
      </c>
      <c r="AD27" s="111"/>
    </row>
    <row r="28" spans="1:30" ht="15" customHeight="1" x14ac:dyDescent="0.3">
      <c r="A28" s="22" t="s">
        <v>153</v>
      </c>
      <c r="B28" s="23">
        <v>5</v>
      </c>
      <c r="C28" s="3" t="s">
        <v>20</v>
      </c>
      <c r="D28" s="23">
        <v>2018</v>
      </c>
      <c r="E28" s="25">
        <v>1.5547905662199974</v>
      </c>
      <c r="F28" s="25">
        <v>0.16931339592442571</v>
      </c>
      <c r="G28" s="25">
        <v>0.75172997150378151</v>
      </c>
      <c r="H28" s="25">
        <v>3.1515140052626194</v>
      </c>
      <c r="I28" s="25">
        <v>5.9912270082598675E-2</v>
      </c>
      <c r="J28" s="25">
        <v>3.1198480094146247E-2</v>
      </c>
      <c r="K28" s="25">
        <v>0.1307949006781278</v>
      </c>
      <c r="L28" s="25">
        <v>0.91</v>
      </c>
      <c r="M28" s="24">
        <v>2</v>
      </c>
      <c r="N28" s="108">
        <v>0</v>
      </c>
      <c r="O28" s="24">
        <v>5</v>
      </c>
      <c r="P28" s="24">
        <v>13</v>
      </c>
      <c r="Q28" s="24">
        <v>5</v>
      </c>
      <c r="R28" s="24">
        <v>6</v>
      </c>
      <c r="S28" s="24">
        <v>13</v>
      </c>
      <c r="T28" s="24">
        <v>16</v>
      </c>
      <c r="U28" s="24">
        <v>9356504263000</v>
      </c>
      <c r="V28" s="109">
        <v>0.10648761604550572</v>
      </c>
      <c r="W28" s="109">
        <v>0.14111126032626484</v>
      </c>
      <c r="X28" s="109">
        <v>0.73928684589752325</v>
      </c>
      <c r="Y28" s="109">
        <v>0.56316022241307884</v>
      </c>
      <c r="Z28" s="109">
        <v>0.33317319810308199</v>
      </c>
      <c r="AA28" s="109">
        <v>1.7767315267399488</v>
      </c>
      <c r="AD28" s="111"/>
    </row>
    <row r="29" spans="1:30" ht="15" customHeight="1" x14ac:dyDescent="0.3">
      <c r="A29" s="22" t="s">
        <v>153</v>
      </c>
      <c r="B29" s="23">
        <v>5</v>
      </c>
      <c r="C29" s="3" t="s">
        <v>20</v>
      </c>
      <c r="D29" s="23">
        <v>2019</v>
      </c>
      <c r="E29" s="25">
        <v>1.5732253687736937</v>
      </c>
      <c r="F29" s="25">
        <v>0.21194978902822581</v>
      </c>
      <c r="G29" s="25">
        <v>0.75843942216898896</v>
      </c>
      <c r="H29" s="25">
        <v>3.2790607696234959</v>
      </c>
      <c r="I29" s="25">
        <v>7.9739053522382461E-2</v>
      </c>
      <c r="J29" s="25">
        <v>4.0794333156126433E-2</v>
      </c>
      <c r="K29" s="25">
        <v>0.17637149858673934</v>
      </c>
      <c r="L29" s="25">
        <v>0.91010000000000002</v>
      </c>
      <c r="M29" s="24">
        <v>3</v>
      </c>
      <c r="N29" s="108">
        <v>0</v>
      </c>
      <c r="O29" s="24">
        <v>6</v>
      </c>
      <c r="P29" s="24">
        <v>16</v>
      </c>
      <c r="Q29" s="24">
        <v>6</v>
      </c>
      <c r="R29" s="24">
        <v>6</v>
      </c>
      <c r="S29" s="24">
        <v>16</v>
      </c>
      <c r="T29" s="24">
        <v>16</v>
      </c>
      <c r="U29" s="24">
        <v>11084971000000</v>
      </c>
      <c r="V29" s="109">
        <v>0.1639438819742422</v>
      </c>
      <c r="W29" s="109">
        <v>0.1092596453342097</v>
      </c>
      <c r="X29" s="109">
        <v>0.68376627597852979</v>
      </c>
      <c r="Y29" s="109">
        <v>0.20381204064494168</v>
      </c>
      <c r="Z29" s="109">
        <v>0.32021364462866048</v>
      </c>
      <c r="AA29" s="109">
        <v>1.3170516065863418</v>
      </c>
      <c r="AD29" s="111"/>
    </row>
    <row r="30" spans="1:30" ht="15" customHeight="1" x14ac:dyDescent="0.3">
      <c r="A30" s="22" t="s">
        <v>153</v>
      </c>
      <c r="B30" s="23">
        <v>5</v>
      </c>
      <c r="C30" s="3" t="s">
        <v>20</v>
      </c>
      <c r="D30" s="23">
        <v>2020</v>
      </c>
      <c r="E30" s="25">
        <v>2.8320448653178873</v>
      </c>
      <c r="F30" s="25">
        <v>0.37479145616467324</v>
      </c>
      <c r="G30" s="25">
        <v>0.77290171373409799</v>
      </c>
      <c r="H30" s="25">
        <v>3.6084191749257251</v>
      </c>
      <c r="I30" s="25">
        <v>3.6062597700165726E-2</v>
      </c>
      <c r="J30" s="25">
        <v>1.7637944156910654E-2</v>
      </c>
      <c r="K30" s="25">
        <v>8.2345652456350268E-2</v>
      </c>
      <c r="L30" s="25">
        <v>0.91010000000000002</v>
      </c>
      <c r="M30" s="24">
        <v>2</v>
      </c>
      <c r="N30" s="108">
        <v>0</v>
      </c>
      <c r="O30" s="24">
        <v>4</v>
      </c>
      <c r="P30" s="24">
        <v>12</v>
      </c>
      <c r="Q30" s="24">
        <v>4</v>
      </c>
      <c r="R30" s="24">
        <v>4</v>
      </c>
      <c r="S30" s="24">
        <v>12</v>
      </c>
      <c r="T30" s="24">
        <v>10</v>
      </c>
      <c r="U30" s="24">
        <v>13044264000000</v>
      </c>
      <c r="V30" s="109">
        <v>0.12498624592844215</v>
      </c>
      <c r="W30" s="109">
        <v>0.23525703558284314</v>
      </c>
      <c r="X30" s="109">
        <v>0.59665464759069575</v>
      </c>
      <c r="Y30" s="109">
        <v>2.7381230554671385E-2</v>
      </c>
      <c r="Z30" s="109">
        <v>0.29098614908607812</v>
      </c>
      <c r="AA30" s="109">
        <v>1.1502790628142883</v>
      </c>
      <c r="AD30" s="111"/>
    </row>
    <row r="31" spans="1:30" ht="15" customHeight="1" x14ac:dyDescent="0.3">
      <c r="A31" s="22" t="s">
        <v>153</v>
      </c>
      <c r="B31" s="23">
        <v>5</v>
      </c>
      <c r="C31" s="3" t="s">
        <v>20</v>
      </c>
      <c r="D31" s="23">
        <v>2021</v>
      </c>
      <c r="E31" s="25">
        <v>0.89674251367899049</v>
      </c>
      <c r="F31" s="25">
        <v>8.4104257318273146E-2</v>
      </c>
      <c r="G31" s="25">
        <v>0.62329338751734875</v>
      </c>
      <c r="H31" s="25">
        <v>1.7030708195086652</v>
      </c>
      <c r="I31" s="25">
        <v>5.3822455688256766E-3</v>
      </c>
      <c r="J31" s="25">
        <v>2.1411513752786306E-3</v>
      </c>
      <c r="K31" s="25">
        <v>5.8504269424587566E-3</v>
      </c>
      <c r="L31" s="25">
        <v>0.63829999999999998</v>
      </c>
      <c r="M31" s="24">
        <v>4</v>
      </c>
      <c r="N31" s="108">
        <v>0</v>
      </c>
      <c r="O31" s="24">
        <v>6</v>
      </c>
      <c r="P31" s="24">
        <v>14</v>
      </c>
      <c r="Q31" s="24">
        <v>6</v>
      </c>
      <c r="R31" s="24">
        <v>8</v>
      </c>
      <c r="S31" s="24">
        <v>14</v>
      </c>
      <c r="T31" s="24">
        <v>20</v>
      </c>
      <c r="U31" s="24">
        <v>18260736000000</v>
      </c>
      <c r="V31" s="109">
        <v>0.13865355162683266</v>
      </c>
      <c r="W31" s="109">
        <v>-3.5097100138789583E-2</v>
      </c>
      <c r="X31" s="109">
        <v>0.45299641153565773</v>
      </c>
      <c r="Y31" s="109">
        <v>4.7904014383648059E-2</v>
      </c>
      <c r="Z31" s="109">
        <v>0.61653337487335047</v>
      </c>
      <c r="AA31" s="109">
        <v>1.0823367006538667</v>
      </c>
      <c r="AD31" s="111"/>
    </row>
    <row r="32" spans="1:30" ht="15" customHeight="1" x14ac:dyDescent="0.3">
      <c r="A32" s="22" t="s">
        <v>153</v>
      </c>
      <c r="B32" s="23">
        <v>5</v>
      </c>
      <c r="C32" s="3" t="s">
        <v>20</v>
      </c>
      <c r="D32" s="23">
        <v>2022</v>
      </c>
      <c r="E32" s="25">
        <v>2.1455460399149304</v>
      </c>
      <c r="F32" s="25">
        <v>0.1129405982913378</v>
      </c>
      <c r="G32" s="25">
        <v>0.63048980598439153</v>
      </c>
      <c r="H32" s="25">
        <v>1.7585346054260744</v>
      </c>
      <c r="I32" s="25">
        <v>3.1009882135493425E-2</v>
      </c>
      <c r="J32" s="25">
        <v>1.3187923395672548E-2</v>
      </c>
      <c r="K32" s="25">
        <v>3.6783179434264235E-2</v>
      </c>
      <c r="L32" s="25">
        <v>0.59019999999999995</v>
      </c>
      <c r="M32" s="24">
        <v>3</v>
      </c>
      <c r="N32" s="108">
        <v>0</v>
      </c>
      <c r="O32" s="24">
        <v>5</v>
      </c>
      <c r="P32" s="24">
        <v>11</v>
      </c>
      <c r="Q32" s="24">
        <v>5</v>
      </c>
      <c r="R32" s="24">
        <v>5</v>
      </c>
      <c r="S32" s="24">
        <v>11</v>
      </c>
      <c r="T32" s="24">
        <v>11</v>
      </c>
      <c r="U32" s="24">
        <v>21494817000000</v>
      </c>
      <c r="V32" s="109">
        <v>0.25836871114635129</v>
      </c>
      <c r="W32" s="109">
        <v>0.20203171397086098</v>
      </c>
      <c r="X32" s="109">
        <v>0.43249913874586599</v>
      </c>
      <c r="Y32" s="109">
        <v>0.12047988684900179</v>
      </c>
      <c r="Z32" s="109">
        <v>0.59708805090338046</v>
      </c>
      <c r="AA32" s="109">
        <v>1.3520987904691091</v>
      </c>
      <c r="AD32" s="111"/>
    </row>
    <row r="33" spans="1:30" ht="15" customHeight="1" x14ac:dyDescent="0.3">
      <c r="A33" s="22" t="s">
        <v>153</v>
      </c>
      <c r="B33" s="23">
        <v>5</v>
      </c>
      <c r="C33" s="3" t="s">
        <v>20</v>
      </c>
      <c r="D33" s="23">
        <v>2023</v>
      </c>
      <c r="E33" s="25">
        <v>2.6096805992452925</v>
      </c>
      <c r="F33" s="25">
        <v>0.20799977396447475</v>
      </c>
      <c r="G33" s="25">
        <v>0.60175273893056214</v>
      </c>
      <c r="H33" s="25">
        <v>1.5554565234689033</v>
      </c>
      <c r="I33" s="25">
        <v>6.9058943166801709E-2</v>
      </c>
      <c r="J33" s="25">
        <v>2.6959684856174806E-2</v>
      </c>
      <c r="K33" s="25">
        <v>6.9687456271041351E-2</v>
      </c>
      <c r="L33" s="25">
        <v>0.54769999999999996</v>
      </c>
      <c r="M33" s="24">
        <v>3</v>
      </c>
      <c r="N33" s="108">
        <v>0</v>
      </c>
      <c r="O33" s="24">
        <v>5</v>
      </c>
      <c r="P33" s="24">
        <v>14</v>
      </c>
      <c r="Q33" s="24">
        <v>5</v>
      </c>
      <c r="R33" s="24">
        <v>5</v>
      </c>
      <c r="S33" s="24">
        <v>14</v>
      </c>
      <c r="T33" s="24">
        <v>13</v>
      </c>
      <c r="U33" s="24">
        <v>23552167000000</v>
      </c>
      <c r="V33" s="109">
        <v>5.8094302106998707E-3</v>
      </c>
      <c r="W33" s="109">
        <v>0.14281324007255894</v>
      </c>
      <c r="X33" s="109">
        <v>0.46878666918419859</v>
      </c>
      <c r="Y33" s="109">
        <v>0.1764406918480155</v>
      </c>
      <c r="Z33" s="109">
        <v>0.67504297558786219</v>
      </c>
      <c r="AA33" s="109">
        <v>1.4630835766926351</v>
      </c>
      <c r="AD33" s="111"/>
    </row>
    <row r="34" spans="1:30" ht="15" customHeight="1" x14ac:dyDescent="0.3">
      <c r="A34" s="22" t="s">
        <v>153</v>
      </c>
      <c r="B34" s="23">
        <v>6</v>
      </c>
      <c r="C34" s="3" t="s">
        <v>21</v>
      </c>
      <c r="D34" s="23">
        <v>2016</v>
      </c>
      <c r="E34" s="25">
        <v>2.0825285338015802</v>
      </c>
      <c r="F34" s="25">
        <v>2.0828211881767631</v>
      </c>
      <c r="G34" s="25">
        <v>3.4687890200696396E-2</v>
      </c>
      <c r="H34" s="25">
        <v>3.5934000063097452E-2</v>
      </c>
      <c r="I34" s="25">
        <v>-1.6142716211772443</v>
      </c>
      <c r="J34" s="25">
        <v>-4.9834021947678844E-2</v>
      </c>
      <c r="K34" s="25">
        <v>-5.1624233628839743E-2</v>
      </c>
      <c r="L34" s="25">
        <v>0</v>
      </c>
      <c r="M34" s="24">
        <v>0</v>
      </c>
      <c r="N34" s="108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98507000000</v>
      </c>
      <c r="V34" s="109">
        <v>0</v>
      </c>
      <c r="W34" s="109">
        <v>0.24633213883277327</v>
      </c>
      <c r="X34" s="109">
        <v>-0.16245891154943301</v>
      </c>
      <c r="Y34" s="109">
        <v>-0.33488462748840181</v>
      </c>
      <c r="Z34" s="109">
        <v>29.220237050043899</v>
      </c>
      <c r="AA34" s="109">
        <v>28.969225649838837</v>
      </c>
      <c r="AD34" s="111"/>
    </row>
    <row r="35" spans="1:30" ht="15" customHeight="1" x14ac:dyDescent="0.3">
      <c r="A35" s="22" t="s">
        <v>153</v>
      </c>
      <c r="B35" s="23">
        <v>6</v>
      </c>
      <c r="C35" s="3" t="s">
        <v>21</v>
      </c>
      <c r="D35" s="23">
        <v>2017</v>
      </c>
      <c r="E35" s="25">
        <v>1.1179277436946149</v>
      </c>
      <c r="F35" s="25">
        <v>0.7188820722563054</v>
      </c>
      <c r="G35" s="25">
        <v>9.5811262115917895E-2</v>
      </c>
      <c r="H35" s="25">
        <v>0.10596378621141485</v>
      </c>
      <c r="I35" s="25">
        <v>-1.4680724680724682</v>
      </c>
      <c r="J35" s="25">
        <v>-0.16974733642974271</v>
      </c>
      <c r="K35" s="25">
        <v>-0.18773440689714108</v>
      </c>
      <c r="L35" s="25">
        <v>0.6</v>
      </c>
      <c r="M35" s="24">
        <v>2</v>
      </c>
      <c r="N35" s="108">
        <v>0</v>
      </c>
      <c r="O35" s="24">
        <v>4</v>
      </c>
      <c r="P35" s="24">
        <v>12</v>
      </c>
      <c r="Q35" s="24">
        <v>4</v>
      </c>
      <c r="R35" s="24">
        <v>3</v>
      </c>
      <c r="S35" s="24">
        <v>12</v>
      </c>
      <c r="T35" s="24">
        <v>7</v>
      </c>
      <c r="U35" s="24">
        <v>116479000000</v>
      </c>
      <c r="V35" s="109">
        <v>3.4288063137125944</v>
      </c>
      <c r="W35" s="109">
        <v>4.8716077576215447E-2</v>
      </c>
      <c r="X35" s="109">
        <v>-0.71786107366993179</v>
      </c>
      <c r="Y35" s="109">
        <v>-1.1965487341065772</v>
      </c>
      <c r="Z35" s="109">
        <v>9.9090456989247304</v>
      </c>
      <c r="AA35" s="109">
        <v>8.043351968724437</v>
      </c>
      <c r="AD35" s="111"/>
    </row>
    <row r="36" spans="1:30" ht="15" customHeight="1" x14ac:dyDescent="0.3">
      <c r="A36" s="22" t="s">
        <v>153</v>
      </c>
      <c r="B36" s="23">
        <v>6</v>
      </c>
      <c r="C36" s="3" t="s">
        <v>21</v>
      </c>
      <c r="D36" s="23">
        <v>2018</v>
      </c>
      <c r="E36" s="25">
        <v>1.4105322409156296</v>
      </c>
      <c r="F36" s="25">
        <v>0.58721621114516231</v>
      </c>
      <c r="G36" s="25">
        <v>0.33070474194393501</v>
      </c>
      <c r="H36" s="25">
        <v>0.49410889732649627</v>
      </c>
      <c r="I36" s="25">
        <v>-0.7201943628105798</v>
      </c>
      <c r="J36" s="25">
        <v>-0.28249279538904898</v>
      </c>
      <c r="K36" s="25">
        <v>-0.42207499902141149</v>
      </c>
      <c r="L36" s="25">
        <v>0.6</v>
      </c>
      <c r="M36" s="24">
        <v>2</v>
      </c>
      <c r="N36" s="108">
        <v>0</v>
      </c>
      <c r="O36" s="24">
        <v>4</v>
      </c>
      <c r="P36" s="24">
        <v>12</v>
      </c>
      <c r="Q36" s="24">
        <v>4</v>
      </c>
      <c r="R36" s="24">
        <v>3</v>
      </c>
      <c r="S36" s="24">
        <v>12</v>
      </c>
      <c r="T36" s="24">
        <v>7</v>
      </c>
      <c r="U36" s="24">
        <v>152680000000</v>
      </c>
      <c r="V36" s="109">
        <v>3.4466884466884466</v>
      </c>
      <c r="W36" s="109">
        <v>0.28202672255698186</v>
      </c>
      <c r="X36" s="109">
        <v>-1.6241068902279276</v>
      </c>
      <c r="Y36" s="109">
        <v>-2.2189028032486244</v>
      </c>
      <c r="Z36" s="109">
        <v>2.1250376297235207</v>
      </c>
      <c r="AA36" s="109">
        <v>-1.4359453411960494</v>
      </c>
      <c r="AD36" s="111"/>
    </row>
    <row r="37" spans="1:30" ht="15" customHeight="1" x14ac:dyDescent="0.3">
      <c r="A37" s="22" t="s">
        <v>153</v>
      </c>
      <c r="B37" s="23">
        <v>6</v>
      </c>
      <c r="C37" s="3" t="s">
        <v>21</v>
      </c>
      <c r="D37" s="23">
        <v>2019</v>
      </c>
      <c r="E37" s="25">
        <v>2.3130399568034559</v>
      </c>
      <c r="F37" s="25">
        <v>0.6253374730021598</v>
      </c>
      <c r="G37" s="25">
        <v>0.40814185534708491</v>
      </c>
      <c r="H37" s="25">
        <v>0.68959405059202594</v>
      </c>
      <c r="I37" s="25">
        <v>-0.43389876015227208</v>
      </c>
      <c r="J37" s="25">
        <v>-0.210983251893021</v>
      </c>
      <c r="K37" s="25">
        <v>-0.35647604717300707</v>
      </c>
      <c r="L37" s="25">
        <v>0.6</v>
      </c>
      <c r="M37" s="24">
        <v>2</v>
      </c>
      <c r="N37" s="108">
        <v>0</v>
      </c>
      <c r="O37" s="24">
        <v>4</v>
      </c>
      <c r="P37" s="24">
        <v>12</v>
      </c>
      <c r="Q37" s="24">
        <v>4</v>
      </c>
      <c r="R37" s="24">
        <v>3</v>
      </c>
      <c r="S37" s="24">
        <v>12</v>
      </c>
      <c r="T37" s="24">
        <v>7</v>
      </c>
      <c r="U37" s="24">
        <v>214472000000</v>
      </c>
      <c r="V37" s="109">
        <v>0.74136721880844247</v>
      </c>
      <c r="W37" s="109">
        <v>0.59503450333843111</v>
      </c>
      <c r="X37" s="109">
        <v>-1.8231935171024656</v>
      </c>
      <c r="Y37" s="109">
        <v>-1.3749442351449139</v>
      </c>
      <c r="Z37" s="109">
        <v>1.5226349460215913</v>
      </c>
      <c r="AA37" s="109">
        <v>-1.0804683028873572</v>
      </c>
      <c r="AD37" s="111"/>
    </row>
    <row r="38" spans="1:30" ht="15" customHeight="1" x14ac:dyDescent="0.3">
      <c r="A38" s="22" t="s">
        <v>153</v>
      </c>
      <c r="B38" s="23">
        <v>6</v>
      </c>
      <c r="C38" s="3" t="s">
        <v>21</v>
      </c>
      <c r="D38" s="23">
        <v>2020</v>
      </c>
      <c r="E38" s="25">
        <v>3.8696151249155974</v>
      </c>
      <c r="F38" s="25">
        <v>1.6409858203916272</v>
      </c>
      <c r="G38" s="25">
        <v>0.49692548202188641</v>
      </c>
      <c r="H38" s="25">
        <v>0.9877841436756154</v>
      </c>
      <c r="I38" s="25">
        <v>-0.33555797693634798</v>
      </c>
      <c r="J38" s="25">
        <v>-0.13280983270740868</v>
      </c>
      <c r="K38" s="25">
        <v>-0.26399822834364417</v>
      </c>
      <c r="L38" s="25">
        <v>0.6</v>
      </c>
      <c r="M38" s="24">
        <v>2</v>
      </c>
      <c r="N38" s="108">
        <v>0</v>
      </c>
      <c r="O38" s="24">
        <v>4</v>
      </c>
      <c r="P38" s="24">
        <v>12</v>
      </c>
      <c r="Q38" s="24">
        <v>4</v>
      </c>
      <c r="R38" s="24">
        <v>3</v>
      </c>
      <c r="S38" s="24">
        <v>12</v>
      </c>
      <c r="T38" s="24">
        <v>7</v>
      </c>
      <c r="U38" s="24">
        <v>278255000000</v>
      </c>
      <c r="V38" s="109">
        <v>5.6028076366181789E-2</v>
      </c>
      <c r="W38" s="109">
        <v>1.0019350595676628</v>
      </c>
      <c r="X38" s="109">
        <v>-2.0202849903865161</v>
      </c>
      <c r="Y38" s="109">
        <v>-1.2660904565955688</v>
      </c>
      <c r="Z38" s="109">
        <v>1.0629852753992131</v>
      </c>
      <c r="AA38" s="109">
        <v>-1.2214551120152093</v>
      </c>
      <c r="AD38" s="111"/>
    </row>
    <row r="39" spans="1:30" ht="15" customHeight="1" x14ac:dyDescent="0.3">
      <c r="A39" s="22" t="s">
        <v>153</v>
      </c>
      <c r="B39" s="23">
        <v>6</v>
      </c>
      <c r="C39" s="3" t="s">
        <v>21</v>
      </c>
      <c r="D39" s="23">
        <v>2021</v>
      </c>
      <c r="E39" s="25">
        <v>3.0598006644518274</v>
      </c>
      <c r="F39" s="25">
        <v>1.0038054968287526</v>
      </c>
      <c r="G39" s="25">
        <v>0.65640577357351737</v>
      </c>
      <c r="H39" s="25">
        <v>1.9104097888966289</v>
      </c>
      <c r="I39" s="25">
        <v>-0.2160769340710946</v>
      </c>
      <c r="J39" s="25">
        <v>-0.13766351347132466</v>
      </c>
      <c r="K39" s="25">
        <v>-0.40065723718084623</v>
      </c>
      <c r="L39" s="25">
        <v>0.6</v>
      </c>
      <c r="M39" s="24">
        <v>2</v>
      </c>
      <c r="N39" s="108">
        <v>0</v>
      </c>
      <c r="O39" s="24">
        <v>4</v>
      </c>
      <c r="P39" s="24">
        <v>12</v>
      </c>
      <c r="Q39" s="24">
        <v>4</v>
      </c>
      <c r="R39" s="24">
        <v>3</v>
      </c>
      <c r="S39" s="24">
        <v>12</v>
      </c>
      <c r="T39" s="24">
        <v>7</v>
      </c>
      <c r="U39" s="24">
        <v>384372000000</v>
      </c>
      <c r="V39" s="109">
        <v>1.2235993825478979</v>
      </c>
      <c r="W39" s="109">
        <v>1.1639557511993588</v>
      </c>
      <c r="X39" s="109">
        <v>-1.8877487434048266</v>
      </c>
      <c r="Y39" s="109">
        <v>-0.87549935999500483</v>
      </c>
      <c r="Z39" s="109">
        <v>0.54962029932145351</v>
      </c>
      <c r="AA39" s="109">
        <v>-1.0496720528790191</v>
      </c>
      <c r="AD39" s="111"/>
    </row>
    <row r="40" spans="1:30" ht="15" customHeight="1" x14ac:dyDescent="0.3">
      <c r="A40" s="22" t="s">
        <v>153</v>
      </c>
      <c r="B40" s="23">
        <v>6</v>
      </c>
      <c r="C40" s="3" t="s">
        <v>21</v>
      </c>
      <c r="D40" s="23">
        <v>2022</v>
      </c>
      <c r="E40" s="25">
        <v>2.4255755867151372</v>
      </c>
      <c r="F40" s="25">
        <v>0.73727032173504459</v>
      </c>
      <c r="G40" s="25">
        <v>0.69556024961396412</v>
      </c>
      <c r="H40" s="25">
        <v>2.2847221781386287</v>
      </c>
      <c r="I40" s="25">
        <v>1.3744431264398039E-3</v>
      </c>
      <c r="J40" s="25">
        <v>8.8899367848190806E-4</v>
      </c>
      <c r="K40" s="25">
        <v>2.9200972519345643E-3</v>
      </c>
      <c r="L40" s="25">
        <v>0.6</v>
      </c>
      <c r="M40" s="24">
        <v>2</v>
      </c>
      <c r="N40" s="108">
        <v>0</v>
      </c>
      <c r="O40" s="24">
        <v>4</v>
      </c>
      <c r="P40" s="24">
        <v>12</v>
      </c>
      <c r="Q40" s="24">
        <v>4</v>
      </c>
      <c r="R40" s="24">
        <v>3</v>
      </c>
      <c r="S40" s="24">
        <v>12</v>
      </c>
      <c r="T40" s="24">
        <v>7</v>
      </c>
      <c r="U40" s="24">
        <v>517439000000</v>
      </c>
      <c r="V40" s="109">
        <v>0.36668640382220224</v>
      </c>
      <c r="W40" s="109">
        <v>0.73082577849756203</v>
      </c>
      <c r="X40" s="109">
        <v>-1.3732675735690585</v>
      </c>
      <c r="Y40" s="109">
        <v>6.237674392537091E-2</v>
      </c>
      <c r="Z40" s="109">
        <v>0.45957447695257153</v>
      </c>
      <c r="AA40" s="109">
        <v>-0.12049057419355397</v>
      </c>
      <c r="AD40" s="111"/>
    </row>
    <row r="41" spans="1:30" ht="15" customHeight="1" x14ac:dyDescent="0.3">
      <c r="A41" s="22" t="s">
        <v>153</v>
      </c>
      <c r="B41" s="23">
        <v>6</v>
      </c>
      <c r="C41" s="3" t="s">
        <v>21</v>
      </c>
      <c r="D41" s="23">
        <v>2023</v>
      </c>
      <c r="E41" s="25">
        <v>2.6831771225285626</v>
      </c>
      <c r="F41" s="25">
        <v>0.67715673530820275</v>
      </c>
      <c r="G41" s="25">
        <v>0.76756057289544111</v>
      </c>
      <c r="H41" s="25">
        <v>3.3021961138725713</v>
      </c>
      <c r="I41" s="25">
        <v>1.8059525667531124E-2</v>
      </c>
      <c r="J41" s="25">
        <v>1.1829587834024454E-2</v>
      </c>
      <c r="K41" s="25">
        <v>5.0893206808254259E-2</v>
      </c>
      <c r="L41" s="25">
        <v>0.6</v>
      </c>
      <c r="M41" s="24">
        <v>2</v>
      </c>
      <c r="N41" s="108">
        <v>0</v>
      </c>
      <c r="O41" s="24">
        <v>4</v>
      </c>
      <c r="P41" s="24">
        <v>12</v>
      </c>
      <c r="Q41" s="24">
        <v>4</v>
      </c>
      <c r="R41" s="24">
        <v>3</v>
      </c>
      <c r="S41" s="24">
        <v>12</v>
      </c>
      <c r="T41" s="24">
        <v>7</v>
      </c>
      <c r="U41" s="24">
        <v>714057000000</v>
      </c>
      <c r="V41" s="109">
        <v>0.39754273472351281</v>
      </c>
      <c r="W41" s="109">
        <v>0.90410530251786614</v>
      </c>
      <c r="X41" s="109">
        <v>-0.93265537625147577</v>
      </c>
      <c r="Y41" s="109">
        <v>0.13183888681155706</v>
      </c>
      <c r="Z41" s="109">
        <v>0.31797021248645274</v>
      </c>
      <c r="AA41" s="109">
        <v>0.4212590255644002</v>
      </c>
      <c r="AD41" s="111"/>
    </row>
    <row r="42" spans="1:30" ht="15" customHeight="1" x14ac:dyDescent="0.3">
      <c r="A42" s="22" t="s">
        <v>153</v>
      </c>
      <c r="B42" s="23">
        <v>6</v>
      </c>
      <c r="C42" s="3" t="s">
        <v>21</v>
      </c>
      <c r="D42" s="23">
        <v>2024</v>
      </c>
      <c r="E42" s="25">
        <v>2.3889380910207696</v>
      </c>
      <c r="F42" s="25">
        <v>0.60620518241293608</v>
      </c>
      <c r="G42" s="25">
        <v>0.79837606734768363</v>
      </c>
      <c r="H42" s="25">
        <v>3.9597286733039594</v>
      </c>
      <c r="I42" s="25">
        <v>5.981005919679741E-2</v>
      </c>
      <c r="J42" s="25">
        <v>3.5203924069417206E-2</v>
      </c>
      <c r="K42" s="25">
        <v>0.17460191161990393</v>
      </c>
      <c r="L42" s="25">
        <v>0.6</v>
      </c>
      <c r="M42" s="24">
        <v>2</v>
      </c>
      <c r="N42" s="108">
        <v>0</v>
      </c>
      <c r="O42" s="24">
        <v>3</v>
      </c>
      <c r="P42" s="24">
        <v>7</v>
      </c>
      <c r="Q42" s="24">
        <v>3</v>
      </c>
      <c r="R42" s="24">
        <v>3</v>
      </c>
      <c r="S42" s="24">
        <v>7</v>
      </c>
      <c r="T42" s="24">
        <v>7</v>
      </c>
      <c r="U42" s="24">
        <v>997332000000</v>
      </c>
      <c r="V42" s="109">
        <v>0.25504830768112441</v>
      </c>
      <c r="W42" s="109">
        <v>0.63956138978795429</v>
      </c>
      <c r="X42" s="109">
        <v>-0.53904477145022911</v>
      </c>
      <c r="Y42" s="109">
        <v>0.26728206855891518</v>
      </c>
      <c r="Z42" s="109">
        <v>0.26516968374095445</v>
      </c>
      <c r="AA42" s="109">
        <v>0.63296837063759481</v>
      </c>
      <c r="AD42" s="111"/>
    </row>
    <row r="43" spans="1:30" ht="15" customHeight="1" x14ac:dyDescent="0.3">
      <c r="A43" s="22" t="s">
        <v>153</v>
      </c>
      <c r="B43" s="23">
        <v>7</v>
      </c>
      <c r="C43" s="3" t="s">
        <v>19</v>
      </c>
      <c r="D43" s="23">
        <v>2015</v>
      </c>
      <c r="E43" s="25">
        <v>0.76869190687773059</v>
      </c>
      <c r="F43" s="25">
        <v>0.58043306063343936</v>
      </c>
      <c r="G43" s="25">
        <v>0.71810423736352114</v>
      </c>
      <c r="H43" s="25">
        <v>2.5474105415680155</v>
      </c>
      <c r="I43" s="25">
        <v>-0.13554840894736361</v>
      </c>
      <c r="J43" s="25">
        <v>-9.3533287329386677E-2</v>
      </c>
      <c r="K43" s="25">
        <v>-0.33180096945977638</v>
      </c>
      <c r="L43" s="25">
        <v>0.5</v>
      </c>
      <c r="M43" s="24">
        <v>2</v>
      </c>
      <c r="N43" s="108">
        <v>0</v>
      </c>
      <c r="O43" s="24">
        <v>4</v>
      </c>
      <c r="P43" s="24">
        <v>0</v>
      </c>
      <c r="Q43" s="24">
        <v>4</v>
      </c>
      <c r="R43" s="24">
        <v>6</v>
      </c>
      <c r="S43" s="24">
        <v>0</v>
      </c>
      <c r="T43" s="24">
        <v>0</v>
      </c>
      <c r="U43" s="24">
        <v>1899837000000</v>
      </c>
      <c r="V43" s="109">
        <v>1.1374468473638901</v>
      </c>
      <c r="W43" s="109">
        <v>-0.25812707090134573</v>
      </c>
      <c r="X43" s="109">
        <v>-0.55838124007480638</v>
      </c>
      <c r="Y43" s="109">
        <v>-0.63228952799634919</v>
      </c>
      <c r="Z43" s="109">
        <v>0.4121832672301381</v>
      </c>
      <c r="AA43" s="109">
        <v>-1.0366145717423634</v>
      </c>
      <c r="AD43" s="111"/>
    </row>
    <row r="44" spans="1:30" ht="15" customHeight="1" x14ac:dyDescent="0.3">
      <c r="A44" s="22" t="s">
        <v>153</v>
      </c>
      <c r="B44" s="23">
        <v>7</v>
      </c>
      <c r="C44" s="3" t="s">
        <v>19</v>
      </c>
      <c r="D44" s="23">
        <v>2016</v>
      </c>
      <c r="E44" s="25">
        <v>1.6089802680904517</v>
      </c>
      <c r="F44" s="25">
        <v>1.4365012057433204</v>
      </c>
      <c r="G44" s="25">
        <v>0.7797728869683761</v>
      </c>
      <c r="H44" s="25">
        <v>3.5407669665832793</v>
      </c>
      <c r="I44" s="25">
        <v>-8.9919073136030855E-2</v>
      </c>
      <c r="J44" s="25">
        <v>-7.0503023124694947E-2</v>
      </c>
      <c r="K44" s="25">
        <v>-0.32013779844887186</v>
      </c>
      <c r="L44" s="25">
        <v>0.5</v>
      </c>
      <c r="M44" s="24">
        <v>2</v>
      </c>
      <c r="N44" s="108">
        <v>0</v>
      </c>
      <c r="O44" s="24">
        <v>4</v>
      </c>
      <c r="P44" s="24">
        <v>0</v>
      </c>
      <c r="Q44" s="24">
        <v>4</v>
      </c>
      <c r="R44" s="24">
        <v>5</v>
      </c>
      <c r="S44" s="24">
        <v>0</v>
      </c>
      <c r="T44" s="24">
        <v>0</v>
      </c>
      <c r="U44" s="24">
        <v>3802688000000</v>
      </c>
      <c r="V44" s="109">
        <v>1.2743562713012488</v>
      </c>
      <c r="W44" s="109">
        <v>0.42736653651311912</v>
      </c>
      <c r="X44" s="109">
        <v>-0.51552775825942065</v>
      </c>
      <c r="Y44" s="109">
        <v>-0.47762921386135276</v>
      </c>
      <c r="Z44" s="109">
        <v>0.29654592067469909</v>
      </c>
      <c r="AA44" s="109">
        <v>-0.2692445149329552</v>
      </c>
      <c r="AD44" s="111"/>
    </row>
    <row r="45" spans="1:30" ht="15" customHeight="1" x14ac:dyDescent="0.3">
      <c r="A45" s="22" t="s">
        <v>153</v>
      </c>
      <c r="B45" s="23">
        <v>7</v>
      </c>
      <c r="C45" s="3" t="s">
        <v>19</v>
      </c>
      <c r="D45" s="23">
        <v>2017</v>
      </c>
      <c r="E45" s="25">
        <v>1.8779591232552275</v>
      </c>
      <c r="F45" s="25">
        <v>1.6146588304952796</v>
      </c>
      <c r="G45" s="25">
        <v>0.85821058595483424</v>
      </c>
      <c r="H45" s="25">
        <v>6.0527126918054597</v>
      </c>
      <c r="I45" s="25">
        <v>-6.7314973506970202E-2</v>
      </c>
      <c r="J45" s="25">
        <v>-5.9222766650407203E-2</v>
      </c>
      <c r="K45" s="25">
        <v>-0.41768115799915995</v>
      </c>
      <c r="L45" s="25">
        <v>0.5</v>
      </c>
      <c r="M45" s="24">
        <v>2</v>
      </c>
      <c r="N45" s="108">
        <v>0</v>
      </c>
      <c r="O45" s="24">
        <v>4</v>
      </c>
      <c r="P45" s="24">
        <v>0</v>
      </c>
      <c r="Q45" s="24">
        <v>4</v>
      </c>
      <c r="R45" s="24">
        <v>4</v>
      </c>
      <c r="S45" s="24">
        <v>0</v>
      </c>
      <c r="T45" s="24">
        <v>0</v>
      </c>
      <c r="U45" s="24">
        <v>4315435000000</v>
      </c>
      <c r="V45" s="109">
        <v>0.27337107393694821</v>
      </c>
      <c r="W45" s="109">
        <v>0.48687014866403966</v>
      </c>
      <c r="X45" s="109">
        <v>-0.62655265575776253</v>
      </c>
      <c r="Y45" s="109">
        <v>-0.37159956296410446</v>
      </c>
      <c r="Z45" s="109">
        <v>0.17347593607434161</v>
      </c>
      <c r="AA45" s="109">
        <v>-0.33780613398348569</v>
      </c>
      <c r="AD45" s="111"/>
    </row>
    <row r="46" spans="1:30" ht="15" customHeight="1" x14ac:dyDescent="0.3">
      <c r="A46" s="22" t="s">
        <v>153</v>
      </c>
      <c r="B46" s="23">
        <v>7</v>
      </c>
      <c r="C46" s="3" t="s">
        <v>19</v>
      </c>
      <c r="D46" s="23">
        <v>2018</v>
      </c>
      <c r="E46" s="25">
        <v>2.5079833022806066</v>
      </c>
      <c r="F46" s="25">
        <v>2.1109434001818617</v>
      </c>
      <c r="G46" s="25">
        <v>0.91311576658580296</v>
      </c>
      <c r="H46" s="25">
        <v>10.509592254444266</v>
      </c>
      <c r="I46" s="25">
        <v>-4.9022976587045249E-2</v>
      </c>
      <c r="J46" s="25">
        <v>-3.5377225125816307E-2</v>
      </c>
      <c r="K46" s="25">
        <v>-0.40717751765057608</v>
      </c>
      <c r="L46" s="25">
        <v>0.5</v>
      </c>
      <c r="M46" s="24">
        <v>2</v>
      </c>
      <c r="N46" s="108">
        <v>0</v>
      </c>
      <c r="O46" s="24">
        <v>4</v>
      </c>
      <c r="P46" s="24">
        <v>0</v>
      </c>
      <c r="Q46" s="24">
        <v>4</v>
      </c>
      <c r="R46" s="24">
        <v>4</v>
      </c>
      <c r="S46" s="24">
        <v>0</v>
      </c>
      <c r="T46" s="24">
        <v>0</v>
      </c>
      <c r="U46" s="24">
        <v>5004717000000</v>
      </c>
      <c r="V46" s="109">
        <v>-4.8733899989438084E-2</v>
      </c>
      <c r="W46" s="109">
        <v>0.75429192100172693</v>
      </c>
      <c r="X46" s="109">
        <v>-0.64888676822285851</v>
      </c>
      <c r="Y46" s="109">
        <v>-0.23081316286215584</v>
      </c>
      <c r="Z46" s="109">
        <v>9.9908728576599062E-2</v>
      </c>
      <c r="AA46" s="109">
        <v>-2.5499281506688357E-2</v>
      </c>
      <c r="AD46" s="111"/>
    </row>
    <row r="47" spans="1:30" ht="15" customHeight="1" x14ac:dyDescent="0.3">
      <c r="A47" s="22" t="s">
        <v>153</v>
      </c>
      <c r="B47" s="23">
        <v>7</v>
      </c>
      <c r="C47" s="3" t="s">
        <v>19</v>
      </c>
      <c r="D47" s="23">
        <v>2019</v>
      </c>
      <c r="E47" s="25">
        <v>2.0516958823263272</v>
      </c>
      <c r="F47" s="25">
        <v>1.5115321003604409</v>
      </c>
      <c r="G47" s="25">
        <v>0.8546763779765062</v>
      </c>
      <c r="H47" s="25">
        <v>5.881193752783938</v>
      </c>
      <c r="I47" s="25">
        <v>-2.3078950498233039E-2</v>
      </c>
      <c r="J47" s="25">
        <v>-1.3087290287662139E-2</v>
      </c>
      <c r="K47" s="25">
        <v>-9.0056180168330613E-2</v>
      </c>
      <c r="L47" s="25">
        <v>0.5</v>
      </c>
      <c r="M47" s="24">
        <v>2</v>
      </c>
      <c r="N47" s="108">
        <v>0</v>
      </c>
      <c r="O47" s="24">
        <v>4</v>
      </c>
      <c r="P47" s="24">
        <v>0</v>
      </c>
      <c r="Q47" s="24">
        <v>4</v>
      </c>
      <c r="R47" s="24">
        <v>6</v>
      </c>
      <c r="S47" s="24">
        <v>0</v>
      </c>
      <c r="T47" s="24">
        <v>0</v>
      </c>
      <c r="U47" s="24">
        <v>5901298000000</v>
      </c>
      <c r="V47" s="109">
        <v>-7.3431325940371023E-2</v>
      </c>
      <c r="W47" s="109">
        <v>0.46511619647067476</v>
      </c>
      <c r="X47" s="109">
        <v>-0.59602396964193305</v>
      </c>
      <c r="Y47" s="109">
        <v>-9.7234093245248759E-2</v>
      </c>
      <c r="Z47" s="109">
        <v>0.1785351825049071</v>
      </c>
      <c r="AA47" s="109">
        <v>-4.9606683911599947E-2</v>
      </c>
      <c r="AD47" s="111"/>
    </row>
    <row r="48" spans="1:30" ht="15" customHeight="1" x14ac:dyDescent="0.3">
      <c r="A48" s="22" t="s">
        <v>153</v>
      </c>
      <c r="B48" s="23">
        <v>7</v>
      </c>
      <c r="C48" s="3" t="s">
        <v>19</v>
      </c>
      <c r="D48" s="23">
        <v>2020</v>
      </c>
      <c r="E48" s="25">
        <v>1.3500477907297996</v>
      </c>
      <c r="F48" s="25">
        <v>1.0097263144166699</v>
      </c>
      <c r="G48" s="25">
        <v>0.87242483983005481</v>
      </c>
      <c r="H48" s="25">
        <v>6.8404212771630446</v>
      </c>
      <c r="I48" s="25">
        <v>-4.5249414873526827E-3</v>
      </c>
      <c r="J48" s="25">
        <v>-2.504453424331865E-3</v>
      </c>
      <c r="K48" s="25">
        <v>-1.9636667491953454E-2</v>
      </c>
      <c r="L48" s="25">
        <v>0.49990000000000001</v>
      </c>
      <c r="M48" s="24">
        <v>2</v>
      </c>
      <c r="N48" s="108">
        <v>0</v>
      </c>
      <c r="O48" s="24">
        <v>4</v>
      </c>
      <c r="P48" s="24">
        <v>0</v>
      </c>
      <c r="Q48" s="24">
        <v>4</v>
      </c>
      <c r="R48" s="24">
        <v>4</v>
      </c>
      <c r="S48" s="24">
        <v>0</v>
      </c>
      <c r="T48" s="24">
        <v>0</v>
      </c>
      <c r="U48" s="24">
        <v>6587066000000</v>
      </c>
      <c r="V48" s="109">
        <v>8.9458724023779398E-2</v>
      </c>
      <c r="W48" s="109">
        <v>0.20315181296194693</v>
      </c>
      <c r="X48" s="109">
        <v>-0.54939630178291821</v>
      </c>
      <c r="Y48" s="109">
        <v>-3.2929404381252594E-2</v>
      </c>
      <c r="Z48" s="109">
        <v>0.15349931787175988</v>
      </c>
      <c r="AA48" s="109">
        <v>-0.22567457533046395</v>
      </c>
      <c r="AD48" s="111"/>
    </row>
    <row r="49" spans="1:30" ht="15" customHeight="1" x14ac:dyDescent="0.3">
      <c r="A49" s="22" t="s">
        <v>153</v>
      </c>
      <c r="B49" s="23">
        <v>7</v>
      </c>
      <c r="C49" s="3" t="s">
        <v>19</v>
      </c>
      <c r="D49" s="23">
        <v>2021</v>
      </c>
      <c r="E49" s="25">
        <v>2.008085297952932</v>
      </c>
      <c r="F49" s="25">
        <v>1.1739800881750253</v>
      </c>
      <c r="G49" s="25">
        <v>0.88348716011072992</v>
      </c>
      <c r="H49" s="25">
        <v>7.5842776589680376</v>
      </c>
      <c r="I49" s="25">
        <v>-2.4021908812764821E-3</v>
      </c>
      <c r="J49" s="25">
        <v>-1.9540571004809716E-3</v>
      </c>
      <c r="K49" s="25">
        <v>-1.6774563661647611E-2</v>
      </c>
      <c r="L49" s="25">
        <v>0.49990000000000001</v>
      </c>
      <c r="M49" s="24">
        <v>2</v>
      </c>
      <c r="N49" s="108">
        <v>0</v>
      </c>
      <c r="O49" s="24">
        <v>4</v>
      </c>
      <c r="P49" s="24">
        <v>0</v>
      </c>
      <c r="Q49" s="24">
        <v>4</v>
      </c>
      <c r="R49" s="24">
        <v>4</v>
      </c>
      <c r="S49" s="24">
        <v>0</v>
      </c>
      <c r="T49" s="24">
        <v>0</v>
      </c>
      <c r="U49" s="24">
        <v>7092935000000</v>
      </c>
      <c r="V49" s="109">
        <v>0.58257284492015871</v>
      </c>
      <c r="W49" s="109">
        <v>0.36035382250084058</v>
      </c>
      <c r="X49" s="109">
        <v>-0.5111936426881114</v>
      </c>
      <c r="Y49" s="109">
        <v>-1.9461935009978237E-2</v>
      </c>
      <c r="Z49" s="109">
        <v>0.13844429848351167</v>
      </c>
      <c r="AA49" s="109">
        <v>-3.1857456713737381E-2</v>
      </c>
      <c r="AD49" s="111"/>
    </row>
    <row r="50" spans="1:30" ht="15" customHeight="1" x14ac:dyDescent="0.3">
      <c r="A50" s="22" t="s">
        <v>153</v>
      </c>
      <c r="B50" s="23">
        <v>7</v>
      </c>
      <c r="C50" s="3" t="s">
        <v>19</v>
      </c>
      <c r="D50" s="23">
        <v>2022</v>
      </c>
      <c r="E50" s="25">
        <v>1.3211209426378705</v>
      </c>
      <c r="F50" s="25">
        <v>0.8243757475798843</v>
      </c>
      <c r="G50" s="25">
        <v>0.90690187734276462</v>
      </c>
      <c r="H50" s="25">
        <v>9.7518931048969684</v>
      </c>
      <c r="I50" s="25">
        <v>-2.4181755939537246E-2</v>
      </c>
      <c r="J50" s="25">
        <v>-1.9482408547521663E-2</v>
      </c>
      <c r="K50" s="25">
        <v>-0.20949384969632739</v>
      </c>
      <c r="L50" s="25">
        <v>0.49990000000000001</v>
      </c>
      <c r="M50" s="24">
        <v>2</v>
      </c>
      <c r="N50" s="108">
        <v>0</v>
      </c>
      <c r="O50" s="24">
        <v>4</v>
      </c>
      <c r="P50" s="24">
        <v>10</v>
      </c>
      <c r="Q50" s="24">
        <v>4</v>
      </c>
      <c r="R50" s="24">
        <v>5</v>
      </c>
      <c r="S50" s="24">
        <v>10</v>
      </c>
      <c r="T50" s="24">
        <v>11</v>
      </c>
      <c r="U50" s="24">
        <v>7345755000000</v>
      </c>
      <c r="V50" s="109">
        <v>2.5735852941548596E-2</v>
      </c>
      <c r="W50" s="109">
        <v>0.19299867202214066</v>
      </c>
      <c r="X50" s="109">
        <v>-0.55261372588658342</v>
      </c>
      <c r="Y50" s="109">
        <v>-0.12156140791518365</v>
      </c>
      <c r="Z50" s="109">
        <v>0.10767140171714316</v>
      </c>
      <c r="AA50" s="109">
        <v>-0.37350506006248324</v>
      </c>
      <c r="AD50" s="111"/>
    </row>
    <row r="51" spans="1:30" ht="15" customHeight="1" x14ac:dyDescent="0.3">
      <c r="A51" s="22" t="s">
        <v>153</v>
      </c>
      <c r="B51" s="23">
        <v>7</v>
      </c>
      <c r="C51" s="3" t="s">
        <v>19</v>
      </c>
      <c r="D51" s="23">
        <v>2023</v>
      </c>
      <c r="E51" s="25">
        <v>0.76423516538411218</v>
      </c>
      <c r="F51" s="25">
        <v>0.41295479144117891</v>
      </c>
      <c r="G51" s="25">
        <v>0.90658201553086959</v>
      </c>
      <c r="H51" s="25">
        <v>9.727398475160566</v>
      </c>
      <c r="I51" s="25">
        <v>2.5117747313446559E-3</v>
      </c>
      <c r="J51" s="25">
        <v>2.1266324857243529E-3</v>
      </c>
      <c r="K51" s="25">
        <v>2.2818235134245947E-2</v>
      </c>
      <c r="L51" s="25">
        <v>0.49990000000000001</v>
      </c>
      <c r="M51" s="24">
        <v>2</v>
      </c>
      <c r="N51" s="108">
        <v>0</v>
      </c>
      <c r="O51" s="24">
        <v>4</v>
      </c>
      <c r="P51" s="24">
        <v>0</v>
      </c>
      <c r="Q51" s="24">
        <v>4</v>
      </c>
      <c r="R51" s="24">
        <v>5</v>
      </c>
      <c r="S51" s="24">
        <v>0</v>
      </c>
      <c r="T51" s="24">
        <v>0</v>
      </c>
      <c r="U51" s="24">
        <v>7501061000000</v>
      </c>
      <c r="V51" s="109">
        <v>7.3107429900399146E-2</v>
      </c>
      <c r="W51" s="109">
        <v>-0.17335540132255955</v>
      </c>
      <c r="X51" s="109">
        <v>-0.53457871893056197</v>
      </c>
      <c r="Y51" s="109">
        <v>1.0517552116960521E-3</v>
      </c>
      <c r="Z51" s="109">
        <v>0.10794252982246295</v>
      </c>
      <c r="AA51" s="109">
        <v>-0.59893983521896244</v>
      </c>
      <c r="AD51" s="111"/>
    </row>
    <row r="52" spans="1:30" ht="15" customHeight="1" x14ac:dyDescent="0.3">
      <c r="A52" s="22" t="s">
        <v>153</v>
      </c>
      <c r="B52" s="23">
        <v>7</v>
      </c>
      <c r="C52" s="3" t="s">
        <v>19</v>
      </c>
      <c r="D52" s="23">
        <v>2024</v>
      </c>
      <c r="E52" s="25">
        <v>0.80684818246614398</v>
      </c>
      <c r="F52" s="25">
        <v>0.42121596578759801</v>
      </c>
      <c r="G52" s="25">
        <v>0.88988393423209189</v>
      </c>
      <c r="H52" s="25">
        <v>8.0948281622975493</v>
      </c>
      <c r="I52" s="25">
        <v>8.3878705738676552E-3</v>
      </c>
      <c r="J52" s="25">
        <v>7.2163683661092956E-3</v>
      </c>
      <c r="K52" s="25">
        <v>6.5643686364450435E-2</v>
      </c>
      <c r="L52" s="25">
        <v>0.49990000000000001</v>
      </c>
      <c r="M52" s="24">
        <v>2</v>
      </c>
      <c r="N52" s="108">
        <v>0</v>
      </c>
      <c r="O52" s="24">
        <v>4</v>
      </c>
      <c r="P52" s="24">
        <v>0</v>
      </c>
      <c r="Q52" s="24">
        <v>4</v>
      </c>
      <c r="R52" s="24">
        <v>5</v>
      </c>
      <c r="S52" s="24">
        <v>0</v>
      </c>
      <c r="T52" s="24">
        <v>0</v>
      </c>
      <c r="U52" s="24">
        <v>6806055000000</v>
      </c>
      <c r="V52" s="109">
        <v>-7.8006256762833792E-2</v>
      </c>
      <c r="W52" s="109">
        <v>-0.13059749884477864</v>
      </c>
      <c r="X52" s="109">
        <v>-0.55935802458252237</v>
      </c>
      <c r="Y52" s="109">
        <v>6.0508144585960592E-2</v>
      </c>
      <c r="Z52" s="109">
        <v>0.1297124508325547</v>
      </c>
      <c r="AA52" s="109">
        <v>-0.49973492800878583</v>
      </c>
      <c r="AD52" s="111"/>
    </row>
    <row r="53" spans="1:30" ht="15" customHeight="1" x14ac:dyDescent="0.3">
      <c r="A53" s="22" t="s">
        <v>153</v>
      </c>
      <c r="B53" s="23">
        <v>8</v>
      </c>
      <c r="C53" s="3" t="s">
        <v>8</v>
      </c>
      <c r="D53" s="23">
        <v>2015</v>
      </c>
      <c r="E53" s="25">
        <v>1.1953089760938205</v>
      </c>
      <c r="F53" s="25">
        <v>0.69798311746890906</v>
      </c>
      <c r="G53" s="25">
        <v>0.18734935047390164</v>
      </c>
      <c r="H53" s="25">
        <v>0.23054107024113674</v>
      </c>
      <c r="I53" s="25">
        <v>-0.24884007806458741</v>
      </c>
      <c r="J53" s="25">
        <v>-9.6099288258758117E-2</v>
      </c>
      <c r="K53" s="25">
        <v>-0.11825412102334372</v>
      </c>
      <c r="L53" s="25">
        <v>0.99990000000000001</v>
      </c>
      <c r="M53" s="24">
        <v>2</v>
      </c>
      <c r="N53" s="108">
        <v>0</v>
      </c>
      <c r="O53" s="24">
        <v>4</v>
      </c>
      <c r="P53" s="24">
        <v>0</v>
      </c>
      <c r="Q53" s="24">
        <v>4</v>
      </c>
      <c r="R53" s="24">
        <v>0</v>
      </c>
      <c r="S53" s="24">
        <v>0</v>
      </c>
      <c r="T53" s="24">
        <v>0</v>
      </c>
      <c r="U53" s="24">
        <v>281282000000</v>
      </c>
      <c r="V53" s="109">
        <v>5.2645905420991923</v>
      </c>
      <c r="W53" s="109">
        <v>7.0688348347921301E-2</v>
      </c>
      <c r="X53" s="109">
        <v>-0.36410491961803454</v>
      </c>
      <c r="Y53" s="109">
        <v>-0.97961078206212981</v>
      </c>
      <c r="Z53" s="109">
        <v>4.554503017192304</v>
      </c>
      <c r="AA53" s="109">
        <v>3.2814756638600611</v>
      </c>
      <c r="AD53" s="111"/>
    </row>
    <row r="54" spans="1:30" ht="15" customHeight="1" x14ac:dyDescent="0.3">
      <c r="A54" s="22" t="s">
        <v>153</v>
      </c>
      <c r="B54" s="23">
        <v>8</v>
      </c>
      <c r="C54" s="3" t="s">
        <v>8</v>
      </c>
      <c r="D54" s="23">
        <v>2016</v>
      </c>
      <c r="E54" s="25">
        <v>1.1171025069261438</v>
      </c>
      <c r="F54" s="25">
        <v>0.21071243552492286</v>
      </c>
      <c r="G54" s="25">
        <v>0.46963655184759512</v>
      </c>
      <c r="H54" s="25">
        <v>0.88550380088638436</v>
      </c>
      <c r="I54" s="25">
        <v>-8.3479907528672681E-2</v>
      </c>
      <c r="J54" s="25">
        <v>-6.2675283502011944E-2</v>
      </c>
      <c r="K54" s="25">
        <v>-0.11817479185622182</v>
      </c>
      <c r="L54" s="25">
        <v>0.99990000000000001</v>
      </c>
      <c r="M54" s="24">
        <v>1</v>
      </c>
      <c r="N54" s="108">
        <v>0</v>
      </c>
      <c r="O54" s="24">
        <v>3</v>
      </c>
      <c r="P54" s="24">
        <v>0</v>
      </c>
      <c r="Q54" s="24">
        <v>3</v>
      </c>
      <c r="R54" s="24">
        <v>0</v>
      </c>
      <c r="S54" s="24">
        <v>0</v>
      </c>
      <c r="T54" s="24">
        <v>0</v>
      </c>
      <c r="U54" s="24">
        <v>385447000000</v>
      </c>
      <c r="V54" s="109">
        <v>1.6640184851051294</v>
      </c>
      <c r="W54" s="109">
        <v>8.8482826432687234E-2</v>
      </c>
      <c r="X54" s="109">
        <v>-0.46425230965606162</v>
      </c>
      <c r="Y54" s="109">
        <v>-0.64747516519780923</v>
      </c>
      <c r="Z54" s="109">
        <v>1.1857656612529002</v>
      </c>
      <c r="AA54" s="109">
        <v>0.16252101283171649</v>
      </c>
      <c r="AD54" s="111"/>
    </row>
    <row r="55" spans="1:30" ht="15" customHeight="1" x14ac:dyDescent="0.3">
      <c r="A55" s="22" t="s">
        <v>153</v>
      </c>
      <c r="B55" s="23">
        <v>8</v>
      </c>
      <c r="C55" s="3" t="s">
        <v>8</v>
      </c>
      <c r="D55" s="23">
        <v>2017</v>
      </c>
      <c r="E55" s="25">
        <v>0.89499657157105161</v>
      </c>
      <c r="F55" s="25">
        <v>9.3741558792361873E-2</v>
      </c>
      <c r="G55" s="25">
        <v>0.44561239345368009</v>
      </c>
      <c r="H55" s="25">
        <v>0.80379212700969449</v>
      </c>
      <c r="I55" s="25">
        <v>-8.4309065160257921E-2</v>
      </c>
      <c r="J55" s="25">
        <v>-4.4607550924925368E-2</v>
      </c>
      <c r="K55" s="25">
        <v>-8.0462749163564398E-2</v>
      </c>
      <c r="L55" s="25">
        <v>0.9</v>
      </c>
      <c r="M55" s="24">
        <v>0</v>
      </c>
      <c r="N55" s="108">
        <v>0</v>
      </c>
      <c r="O55" s="24">
        <v>4</v>
      </c>
      <c r="P55" s="24">
        <v>0</v>
      </c>
      <c r="Q55" s="24">
        <v>4</v>
      </c>
      <c r="R55" s="24">
        <v>0</v>
      </c>
      <c r="S55" s="24">
        <v>0</v>
      </c>
      <c r="T55" s="24">
        <v>0</v>
      </c>
      <c r="U55" s="24">
        <v>842122000000</v>
      </c>
      <c r="V55" s="109">
        <v>0.53967870014893549</v>
      </c>
      <c r="W55" s="109">
        <v>-7.8731965202191598E-2</v>
      </c>
      <c r="X55" s="109">
        <v>-0.38022274682290685</v>
      </c>
      <c r="Y55" s="109">
        <v>-0.46932639213795624</v>
      </c>
      <c r="Z55" s="109">
        <v>1.3063078931940522</v>
      </c>
      <c r="AA55" s="109">
        <v>0.3780267890309974</v>
      </c>
      <c r="AD55" s="111"/>
    </row>
    <row r="56" spans="1:30" ht="15" customHeight="1" x14ac:dyDescent="0.3">
      <c r="A56" s="22" t="s">
        <v>153</v>
      </c>
      <c r="B56" s="23">
        <v>8</v>
      </c>
      <c r="C56" s="3" t="s">
        <v>8</v>
      </c>
      <c r="D56" s="23">
        <v>2018</v>
      </c>
      <c r="E56" s="25">
        <v>0.91090988049474853</v>
      </c>
      <c r="F56" s="25">
        <v>3.4822189696492048E-2</v>
      </c>
      <c r="G56" s="25">
        <v>0.57019790092991729</v>
      </c>
      <c r="H56" s="25">
        <v>1.3266522014750373</v>
      </c>
      <c r="I56" s="25">
        <v>-0.13456681551557792</v>
      </c>
      <c r="J56" s="25">
        <v>-8.7279980861159234E-2</v>
      </c>
      <c r="K56" s="25">
        <v>-0.20307015961531524</v>
      </c>
      <c r="L56" s="25">
        <v>0.9</v>
      </c>
      <c r="M56" s="24">
        <v>0</v>
      </c>
      <c r="N56" s="108">
        <v>0</v>
      </c>
      <c r="O56" s="24">
        <v>4</v>
      </c>
      <c r="P56" s="24">
        <v>0</v>
      </c>
      <c r="Q56" s="24">
        <v>4</v>
      </c>
      <c r="R56" s="24">
        <v>0</v>
      </c>
      <c r="S56" s="24">
        <v>0</v>
      </c>
      <c r="T56" s="24">
        <v>0</v>
      </c>
      <c r="U56" s="24">
        <v>902876000000</v>
      </c>
      <c r="V56" s="109">
        <v>0.31430347672495246</v>
      </c>
      <c r="W56" s="109">
        <v>-4.0244551854296713E-2</v>
      </c>
      <c r="X56" s="109">
        <v>-0.60119695284845309</v>
      </c>
      <c r="Y56" s="109">
        <v>-0.18887802976266949</v>
      </c>
      <c r="Z56" s="109">
        <v>0.79146591611015937</v>
      </c>
      <c r="AA56" s="109">
        <v>-3.8853618355259911E-2</v>
      </c>
      <c r="AD56" s="111"/>
    </row>
    <row r="57" spans="1:30" ht="15" customHeight="1" x14ac:dyDescent="0.3">
      <c r="A57" s="22" t="s">
        <v>153</v>
      </c>
      <c r="B57" s="23">
        <v>8</v>
      </c>
      <c r="C57" s="3" t="s">
        <v>8</v>
      </c>
      <c r="D57" s="23">
        <v>2019</v>
      </c>
      <c r="E57" s="25">
        <v>1.1216972741066289</v>
      </c>
      <c r="F57" s="25">
        <v>7.3902579396222468E-2</v>
      </c>
      <c r="G57" s="25">
        <v>0.65279568784322017</v>
      </c>
      <c r="H57" s="25">
        <v>1.8801485609097235</v>
      </c>
      <c r="I57" s="25">
        <v>1.606334869899996E-2</v>
      </c>
      <c r="J57" s="25">
        <v>1.1132867811159542E-2</v>
      </c>
      <c r="K57" s="25">
        <v>3.2064313205109336E-2</v>
      </c>
      <c r="L57" s="25">
        <v>0.9</v>
      </c>
      <c r="M57" s="24">
        <v>0</v>
      </c>
      <c r="N57" s="108">
        <v>0</v>
      </c>
      <c r="O57" s="24">
        <v>4</v>
      </c>
      <c r="P57" s="24">
        <v>0</v>
      </c>
      <c r="Q57" s="24">
        <v>4</v>
      </c>
      <c r="R57" s="24">
        <v>0</v>
      </c>
      <c r="S57" s="24">
        <v>0</v>
      </c>
      <c r="T57" s="24">
        <v>0</v>
      </c>
      <c r="U57" s="24">
        <v>1154689000000</v>
      </c>
      <c r="V57" s="109">
        <v>0.36656790840242143</v>
      </c>
      <c r="W57" s="109">
        <v>5.2857730523110547E-2</v>
      </c>
      <c r="X57" s="109">
        <v>-0.47725985092089729</v>
      </c>
      <c r="Y57" s="109">
        <v>-1.8378766923388027E-2</v>
      </c>
      <c r="Z57" s="109">
        <v>0.55846650729129077</v>
      </c>
      <c r="AA57" s="109">
        <v>0.115685619970116</v>
      </c>
      <c r="AD57" s="111"/>
    </row>
    <row r="58" spans="1:30" ht="15" customHeight="1" x14ac:dyDescent="0.3">
      <c r="A58" s="22" t="s">
        <v>153</v>
      </c>
      <c r="B58" s="23">
        <v>8</v>
      </c>
      <c r="C58" s="3" t="s">
        <v>8</v>
      </c>
      <c r="D58" s="23">
        <v>2020</v>
      </c>
      <c r="E58" s="25">
        <v>1.5013185859417597</v>
      </c>
      <c r="F58" s="25">
        <v>0.15445815576005073</v>
      </c>
      <c r="G58" s="25">
        <v>0.66452459847291634</v>
      </c>
      <c r="H58" s="25">
        <v>1.9808444835239813</v>
      </c>
      <c r="I58" s="25">
        <v>9.2349230019503015E-2</v>
      </c>
      <c r="J58" s="25">
        <v>6.2354553728602026E-2</v>
      </c>
      <c r="K58" s="25">
        <v>0.18586922750450305</v>
      </c>
      <c r="L58" s="25">
        <v>0.9</v>
      </c>
      <c r="M58" s="24">
        <v>0</v>
      </c>
      <c r="N58" s="108">
        <v>0</v>
      </c>
      <c r="O58" s="24">
        <v>4</v>
      </c>
      <c r="P58" s="24">
        <v>0</v>
      </c>
      <c r="Q58" s="24">
        <v>4</v>
      </c>
      <c r="R58" s="24">
        <v>0</v>
      </c>
      <c r="S58" s="24">
        <v>0</v>
      </c>
      <c r="T58" s="24">
        <v>0</v>
      </c>
      <c r="U58" s="24">
        <v>1467896000000</v>
      </c>
      <c r="V58" s="109">
        <v>0.23849480612144167</v>
      </c>
      <c r="W58" s="109">
        <v>0.20134102143476104</v>
      </c>
      <c r="X58" s="109">
        <v>-0.22016997116961962</v>
      </c>
      <c r="Y58" s="109">
        <v>0.31976281698430953</v>
      </c>
      <c r="Z58" s="109">
        <v>0.53007694886375878</v>
      </c>
      <c r="AA58" s="109">
        <v>0.8310108161132097</v>
      </c>
      <c r="AD58" s="111"/>
    </row>
    <row r="59" spans="1:30" ht="15" customHeight="1" x14ac:dyDescent="0.3">
      <c r="A59" s="22" t="s">
        <v>153</v>
      </c>
      <c r="B59" s="23">
        <v>8</v>
      </c>
      <c r="C59" s="3" t="s">
        <v>8</v>
      </c>
      <c r="D59" s="23">
        <v>2021</v>
      </c>
      <c r="E59" s="25">
        <v>3.7784948266301721</v>
      </c>
      <c r="F59" s="25">
        <v>3.3895305624048799E-2</v>
      </c>
      <c r="G59" s="25">
        <v>0.72407397525558059</v>
      </c>
      <c r="H59" s="25">
        <v>2.6241597758901682</v>
      </c>
      <c r="I59" s="25">
        <v>3.050746236903909E-2</v>
      </c>
      <c r="J59" s="25">
        <v>2.0801849329581762E-2</v>
      </c>
      <c r="K59" s="25">
        <v>7.5389225604398077E-2</v>
      </c>
      <c r="L59" s="25">
        <v>0.9</v>
      </c>
      <c r="M59" s="24">
        <v>2</v>
      </c>
      <c r="N59" s="108">
        <v>0</v>
      </c>
      <c r="O59" s="24">
        <v>4</v>
      </c>
      <c r="P59" s="24">
        <v>0</v>
      </c>
      <c r="Q59" s="24">
        <v>4</v>
      </c>
      <c r="R59" s="24">
        <v>0</v>
      </c>
      <c r="S59" s="24">
        <v>0</v>
      </c>
      <c r="T59" s="24">
        <v>0</v>
      </c>
      <c r="U59" s="24">
        <v>1930213000000</v>
      </c>
      <c r="V59" s="109">
        <v>0.32791695127475839</v>
      </c>
      <c r="W59" s="109">
        <v>0.80039481653061084</v>
      </c>
      <c r="X59" s="109">
        <v>-0.10346064398074202</v>
      </c>
      <c r="Y59" s="109">
        <v>6.1253177758102344E-2</v>
      </c>
      <c r="Z59" s="109">
        <v>0.40012807514505044</v>
      </c>
      <c r="AA59" s="109">
        <v>1.1583154254530217</v>
      </c>
      <c r="AD59" s="111"/>
    </row>
    <row r="60" spans="1:30" ht="15" customHeight="1" x14ac:dyDescent="0.3">
      <c r="A60" s="22" t="s">
        <v>153</v>
      </c>
      <c r="B60" s="23">
        <v>8</v>
      </c>
      <c r="C60" s="3" t="s">
        <v>8</v>
      </c>
      <c r="D60" s="23">
        <v>2022</v>
      </c>
      <c r="E60" s="25">
        <v>1.9396445374647984</v>
      </c>
      <c r="F60" s="25">
        <v>6.151254498583425E-2</v>
      </c>
      <c r="G60" s="25">
        <v>0.71917283417968492</v>
      </c>
      <c r="H60" s="25">
        <v>2.560909063334142</v>
      </c>
      <c r="I60" s="25">
        <v>3.7437250802242299E-2</v>
      </c>
      <c r="J60" s="25">
        <v>2.2046738369817385E-2</v>
      </c>
      <c r="K60" s="25">
        <v>7.8506430478039305E-2</v>
      </c>
      <c r="L60" s="25">
        <v>0.9</v>
      </c>
      <c r="M60" s="24">
        <v>2</v>
      </c>
      <c r="N60" s="108">
        <v>0</v>
      </c>
      <c r="O60" s="24">
        <v>4</v>
      </c>
      <c r="P60" s="24">
        <v>0</v>
      </c>
      <c r="Q60" s="24">
        <v>4</v>
      </c>
      <c r="R60" s="24">
        <v>0</v>
      </c>
      <c r="S60" s="24">
        <v>0</v>
      </c>
      <c r="T60" s="24">
        <v>0</v>
      </c>
      <c r="U60" s="24">
        <v>2347921000000</v>
      </c>
      <c r="V60" s="109">
        <v>5.0564644865997994E-2</v>
      </c>
      <c r="W60" s="109">
        <v>0.30857344859558733</v>
      </c>
      <c r="X60" s="109">
        <v>-3.6946984161732865E-3</v>
      </c>
      <c r="Y60" s="109">
        <v>0.15513762175132809</v>
      </c>
      <c r="Z60" s="109">
        <v>0.4100106540421104</v>
      </c>
      <c r="AA60" s="109">
        <v>0.87002702597285242</v>
      </c>
      <c r="AD60" s="111"/>
    </row>
    <row r="61" spans="1:30" ht="15" customHeight="1" x14ac:dyDescent="0.3">
      <c r="A61" s="22" t="s">
        <v>153</v>
      </c>
      <c r="B61" s="23">
        <v>8</v>
      </c>
      <c r="C61" s="3" t="s">
        <v>8</v>
      </c>
      <c r="D61" s="23">
        <v>2023</v>
      </c>
      <c r="E61" s="25">
        <v>1.8356210798966937</v>
      </c>
      <c r="F61" s="25">
        <v>2.7678847066087389E-2</v>
      </c>
      <c r="G61" s="25">
        <v>0.74621186331166167</v>
      </c>
      <c r="H61" s="25">
        <v>2.9402945033165158</v>
      </c>
      <c r="I61" s="25">
        <v>4.5183071144607775E-2</v>
      </c>
      <c r="J61" s="25">
        <v>2.4742559550689821E-2</v>
      </c>
      <c r="K61" s="25">
        <v>9.7492971395564662E-2</v>
      </c>
      <c r="L61" s="25">
        <v>0.9</v>
      </c>
      <c r="M61" s="24">
        <v>2</v>
      </c>
      <c r="N61" s="108">
        <v>0</v>
      </c>
      <c r="O61" s="24">
        <v>4</v>
      </c>
      <c r="P61" s="24">
        <v>0</v>
      </c>
      <c r="Q61" s="24">
        <v>4</v>
      </c>
      <c r="R61" s="24">
        <v>0</v>
      </c>
      <c r="S61" s="24">
        <v>0</v>
      </c>
      <c r="T61" s="24">
        <v>0</v>
      </c>
      <c r="U61" s="24">
        <v>2878724000000</v>
      </c>
      <c r="V61" s="109">
        <v>0.14010546132277227</v>
      </c>
      <c r="W61" s="109">
        <v>0.2528952688760715</v>
      </c>
      <c r="X61" s="109">
        <v>8.6963939578785593E-2</v>
      </c>
      <c r="Y61" s="109">
        <v>0.16338472184203834</v>
      </c>
      <c r="Z61" s="109">
        <v>0.35710708529898916</v>
      </c>
      <c r="AA61" s="109">
        <v>0.86035101559588456</v>
      </c>
      <c r="AD61" s="111"/>
    </row>
    <row r="62" spans="1:30" ht="15" customHeight="1" x14ac:dyDescent="0.3">
      <c r="A62" s="22" t="s">
        <v>153</v>
      </c>
      <c r="B62" s="23">
        <v>8</v>
      </c>
      <c r="C62" s="3" t="s">
        <v>8</v>
      </c>
      <c r="D62" s="23">
        <v>2024</v>
      </c>
      <c r="E62" s="25">
        <v>2.3099281281629231</v>
      </c>
      <c r="F62" s="25">
        <v>2.7889953278194105E-2</v>
      </c>
      <c r="G62" s="25">
        <v>0.75621574133461256</v>
      </c>
      <c r="H62" s="25">
        <v>3.1019875748933252</v>
      </c>
      <c r="I62" s="25">
        <v>5.6410329102440523E-2</v>
      </c>
      <c r="J62" s="25">
        <v>2.5023759861016043E-2</v>
      </c>
      <c r="K62" s="25">
        <v>0.10264715202700213</v>
      </c>
      <c r="L62" s="25">
        <v>0.9</v>
      </c>
      <c r="M62" s="24">
        <v>2</v>
      </c>
      <c r="N62" s="108">
        <v>0</v>
      </c>
      <c r="O62" s="24">
        <v>4</v>
      </c>
      <c r="P62" s="24">
        <v>0</v>
      </c>
      <c r="Q62" s="24">
        <v>4</v>
      </c>
      <c r="R62" s="24">
        <v>0</v>
      </c>
      <c r="S62" s="24">
        <v>0</v>
      </c>
      <c r="T62" s="24">
        <v>0</v>
      </c>
      <c r="U62" s="24">
        <v>3339666000000</v>
      </c>
      <c r="V62" s="109">
        <v>-6.0215971870244335E-2</v>
      </c>
      <c r="W62" s="109">
        <v>0.25167776657905311</v>
      </c>
      <c r="X62" s="109">
        <v>0.16627857995380377</v>
      </c>
      <c r="Y62" s="109">
        <v>0.18189680045848897</v>
      </c>
      <c r="Z62" s="109">
        <v>0.33849265177540522</v>
      </c>
      <c r="AA62" s="109">
        <v>0.93834579876675106</v>
      </c>
      <c r="AD62" s="111"/>
    </row>
    <row r="63" spans="1:30" ht="15" customHeight="1" x14ac:dyDescent="0.3">
      <c r="A63" s="22" t="s">
        <v>153</v>
      </c>
      <c r="B63" s="23">
        <v>9</v>
      </c>
      <c r="C63" s="3" t="s">
        <v>11</v>
      </c>
      <c r="D63" s="23">
        <v>2015</v>
      </c>
      <c r="E63" s="25">
        <v>2.8491715556701696</v>
      </c>
      <c r="F63" s="25">
        <v>0.1474759847849913</v>
      </c>
      <c r="G63" s="25">
        <v>0.6202782582524331</v>
      </c>
      <c r="H63" s="25">
        <v>1.6487748032187897</v>
      </c>
      <c r="I63" s="25">
        <v>-0.16197449020592233</v>
      </c>
      <c r="J63" s="25">
        <v>-4.0763629230816736E-2</v>
      </c>
      <c r="K63" s="25">
        <v>-0.10835466803702036</v>
      </c>
      <c r="L63" s="25">
        <v>0.99990000000000001</v>
      </c>
      <c r="M63" s="24">
        <v>2</v>
      </c>
      <c r="N63" s="108">
        <v>1.0000000000000001E-5</v>
      </c>
      <c r="O63" s="24">
        <v>4</v>
      </c>
      <c r="P63" s="24">
        <v>0</v>
      </c>
      <c r="Q63" s="24">
        <v>4</v>
      </c>
      <c r="R63" s="24">
        <v>0</v>
      </c>
      <c r="S63" s="24">
        <v>0</v>
      </c>
      <c r="T63" s="24">
        <v>0</v>
      </c>
      <c r="U63" s="24">
        <v>4598462000000</v>
      </c>
      <c r="V63" s="109">
        <v>4.1238133712178805E-2</v>
      </c>
      <c r="W63" s="109">
        <v>0.16366967912315031</v>
      </c>
      <c r="X63" s="109">
        <v>0.47093476471046186</v>
      </c>
      <c r="Y63" s="109">
        <v>7.3744517188573042E-2</v>
      </c>
      <c r="Z63" s="109">
        <v>0.63683651518094353</v>
      </c>
      <c r="AA63" s="109">
        <v>1.3451854762031288</v>
      </c>
      <c r="AD63" s="111"/>
    </row>
    <row r="64" spans="1:30" ht="15" customHeight="1" x14ac:dyDescent="0.3">
      <c r="A64" s="22" t="s">
        <v>153</v>
      </c>
      <c r="B64" s="23">
        <v>9</v>
      </c>
      <c r="C64" s="3" t="s">
        <v>11</v>
      </c>
      <c r="D64" s="23">
        <v>2016</v>
      </c>
      <c r="E64" s="25">
        <v>0.38849315068493151</v>
      </c>
      <c r="F64" s="25">
        <v>0.26717006348145672</v>
      </c>
      <c r="G64" s="25">
        <v>0.64117571895596925</v>
      </c>
      <c r="H64" s="25">
        <v>1.7868794081894686</v>
      </c>
      <c r="I64" s="25">
        <v>0.10417769471062671</v>
      </c>
      <c r="J64" s="25">
        <v>3.799936318872206E-2</v>
      </c>
      <c r="K64" s="25">
        <v>0.10589964279496242</v>
      </c>
      <c r="L64" s="25">
        <v>0.99</v>
      </c>
      <c r="M64" s="24">
        <v>2</v>
      </c>
      <c r="N64" s="108">
        <v>1.0000000000000001E-5</v>
      </c>
      <c r="O64" s="24">
        <v>4</v>
      </c>
      <c r="P64" s="24">
        <v>0</v>
      </c>
      <c r="Q64" s="24">
        <v>4</v>
      </c>
      <c r="R64" s="24">
        <v>0</v>
      </c>
      <c r="S64" s="24">
        <v>0</v>
      </c>
      <c r="T64" s="24">
        <v>0</v>
      </c>
      <c r="U64" s="24">
        <v>5298273000000</v>
      </c>
      <c r="V64" s="109">
        <v>0.66992545457844721</v>
      </c>
      <c r="W64" s="109">
        <v>-0.28326150804233757</v>
      </c>
      <c r="X64" s="109">
        <v>0.52542979193408867</v>
      </c>
      <c r="Y64" s="109">
        <v>0.28212399021341483</v>
      </c>
      <c r="Z64" s="109">
        <v>0.5876165986287224</v>
      </c>
      <c r="AA64" s="109">
        <v>1.1119088727338884</v>
      </c>
      <c r="AD64" s="111"/>
    </row>
    <row r="65" spans="1:30" ht="15" customHeight="1" x14ac:dyDescent="0.3">
      <c r="A65" s="22" t="s">
        <v>153</v>
      </c>
      <c r="B65" s="23">
        <v>9</v>
      </c>
      <c r="C65" s="3" t="s">
        <v>11</v>
      </c>
      <c r="D65" s="23">
        <v>2017</v>
      </c>
      <c r="E65" s="25">
        <v>0.37605895739901984</v>
      </c>
      <c r="F65" s="25">
        <v>4.7078255744557561E-2</v>
      </c>
      <c r="G65" s="25">
        <v>0.77394812220552001</v>
      </c>
      <c r="H65" s="25">
        <v>3.4237632960924644</v>
      </c>
      <c r="I65" s="25">
        <v>-0.22844849103544992</v>
      </c>
      <c r="J65" s="25">
        <v>-0.10506746619215308</v>
      </c>
      <c r="K65" s="25">
        <v>-0.4647936005542827</v>
      </c>
      <c r="L65" s="25">
        <v>0.99</v>
      </c>
      <c r="M65" s="24">
        <v>2</v>
      </c>
      <c r="N65" s="108">
        <v>1.0000000000000001E-5</v>
      </c>
      <c r="O65" s="24">
        <v>4</v>
      </c>
      <c r="P65" s="24">
        <v>0</v>
      </c>
      <c r="Q65" s="24">
        <v>4</v>
      </c>
      <c r="R65" s="24">
        <v>0</v>
      </c>
      <c r="S65" s="24">
        <v>0</v>
      </c>
      <c r="T65" s="24">
        <v>0</v>
      </c>
      <c r="U65" s="24">
        <v>5618666000000</v>
      </c>
      <c r="V65" s="109">
        <v>0.33714121018973153</v>
      </c>
      <c r="W65" s="109">
        <v>-0.29417026746206304</v>
      </c>
      <c r="X65" s="109">
        <v>0.63725967694111019</v>
      </c>
      <c r="Y65" s="109">
        <v>0.34095831288067313</v>
      </c>
      <c r="Z65" s="109">
        <v>0.30668007954824544</v>
      </c>
      <c r="AA65" s="109">
        <v>0.99072780190796572</v>
      </c>
      <c r="AD65" s="111"/>
    </row>
    <row r="66" spans="1:30" ht="15" customHeight="1" x14ac:dyDescent="0.3">
      <c r="A66" s="22" t="s">
        <v>153</v>
      </c>
      <c r="B66" s="23">
        <v>9</v>
      </c>
      <c r="C66" s="3" t="s">
        <v>11</v>
      </c>
      <c r="D66" s="23">
        <v>2018</v>
      </c>
      <c r="E66" s="25">
        <v>0.30868626288169543</v>
      </c>
      <c r="F66" s="25">
        <v>3.3330722493873852E-2</v>
      </c>
      <c r="G66" s="25">
        <v>0.79153622875018681</v>
      </c>
      <c r="H66" s="25">
        <v>0.79153622875018681</v>
      </c>
      <c r="I66" s="25">
        <v>6.6784677794590575E-2</v>
      </c>
      <c r="J66" s="25">
        <v>2.6192914262435089E-2</v>
      </c>
      <c r="K66" s="25">
        <v>2.6192914262435089E-2</v>
      </c>
      <c r="L66" s="25">
        <v>0.99</v>
      </c>
      <c r="M66" s="24">
        <v>2</v>
      </c>
      <c r="N66" s="108">
        <v>1.0000000000000001E-5</v>
      </c>
      <c r="O66" s="24">
        <v>4</v>
      </c>
      <c r="P66" s="24">
        <v>0</v>
      </c>
      <c r="Q66" s="24">
        <v>4</v>
      </c>
      <c r="R66" s="24">
        <v>0</v>
      </c>
      <c r="S66" s="24">
        <v>0</v>
      </c>
      <c r="T66" s="24">
        <v>0</v>
      </c>
      <c r="U66" s="24">
        <v>6696353000000</v>
      </c>
      <c r="V66" s="109">
        <v>1.6323913374092489E-2</v>
      </c>
      <c r="W66" s="109">
        <v>-0.30262674623037344</v>
      </c>
      <c r="X66" s="109">
        <v>0.56705674566439368</v>
      </c>
      <c r="Y66" s="109">
        <v>0.11643171141067384</v>
      </c>
      <c r="Z66" s="109">
        <v>1.3265343541607946</v>
      </c>
      <c r="AA66" s="109">
        <v>1.7073960650054887</v>
      </c>
      <c r="AD66" s="111"/>
    </row>
    <row r="67" spans="1:30" ht="15" customHeight="1" x14ac:dyDescent="0.3">
      <c r="A67" s="22" t="s">
        <v>153</v>
      </c>
      <c r="B67" s="23">
        <v>9</v>
      </c>
      <c r="C67" s="3" t="s">
        <v>11</v>
      </c>
      <c r="D67" s="23">
        <v>2019</v>
      </c>
      <c r="E67" s="25">
        <v>0.3165118741859701</v>
      </c>
      <c r="F67" s="25">
        <v>3.1762686694338613E-2</v>
      </c>
      <c r="G67" s="25">
        <v>0.78247792650409342</v>
      </c>
      <c r="H67" s="25">
        <v>0.78247792650409342</v>
      </c>
      <c r="I67" s="25">
        <v>0.13135661783235056</v>
      </c>
      <c r="J67" s="25">
        <v>4.8560403928028718E-2</v>
      </c>
      <c r="K67" s="25">
        <v>4.8560403928028718E-2</v>
      </c>
      <c r="L67" s="25">
        <v>0.99</v>
      </c>
      <c r="M67" s="24">
        <v>2</v>
      </c>
      <c r="N67" s="108">
        <v>1.0000000000000001E-5</v>
      </c>
      <c r="O67" s="24">
        <v>4</v>
      </c>
      <c r="P67" s="24">
        <v>0</v>
      </c>
      <c r="Q67" s="24">
        <v>4</v>
      </c>
      <c r="R67" s="24">
        <v>0</v>
      </c>
      <c r="S67" s="24">
        <v>0</v>
      </c>
      <c r="T67" s="24">
        <v>0</v>
      </c>
      <c r="U67" s="24">
        <v>8158087000000</v>
      </c>
      <c r="V67" s="109">
        <v>0.14834752690661332</v>
      </c>
      <c r="W67" s="109">
        <v>-0.22575631762691423</v>
      </c>
      <c r="X67" s="109">
        <v>0.53826869215785511</v>
      </c>
      <c r="Y67" s="109">
        <v>0.16454763475800147</v>
      </c>
      <c r="Z67" s="109">
        <v>1.3418908884639407</v>
      </c>
      <c r="AA67" s="109">
        <v>1.818950897752883</v>
      </c>
      <c r="AD67" s="111"/>
    </row>
    <row r="68" spans="1:30" ht="15" customHeight="1" x14ac:dyDescent="0.3">
      <c r="A68" s="22" t="s">
        <v>153</v>
      </c>
      <c r="B68" s="23">
        <v>9</v>
      </c>
      <c r="C68" s="3" t="s">
        <v>11</v>
      </c>
      <c r="D68" s="23">
        <v>2020</v>
      </c>
      <c r="E68" s="25">
        <v>0.33886670919433953</v>
      </c>
      <c r="F68" s="25">
        <v>4.218601795241201E-2</v>
      </c>
      <c r="G68" s="25">
        <v>0.78758188657951</v>
      </c>
      <c r="H68" s="25">
        <v>3.7076964572247224</v>
      </c>
      <c r="I68" s="25">
        <v>2.5892630581553791E-2</v>
      </c>
      <c r="J68" s="25">
        <v>8.2395043228459305E-3</v>
      </c>
      <c r="K68" s="25">
        <v>3.8789085309949574E-2</v>
      </c>
      <c r="L68" s="25">
        <v>0.99</v>
      </c>
      <c r="M68" s="24">
        <v>2</v>
      </c>
      <c r="N68" s="108">
        <v>1.0000000000000001E-5</v>
      </c>
      <c r="O68" s="24">
        <v>4</v>
      </c>
      <c r="P68" s="24">
        <v>0</v>
      </c>
      <c r="Q68" s="24">
        <v>4</v>
      </c>
      <c r="R68" s="24">
        <v>0</v>
      </c>
      <c r="S68" s="24">
        <v>0</v>
      </c>
      <c r="T68" s="24">
        <v>0</v>
      </c>
      <c r="U68" s="24">
        <v>8569933000000</v>
      </c>
      <c r="V68" s="109">
        <v>-9.5760088490645615E-2</v>
      </c>
      <c r="W68" s="109">
        <v>-0.21181846812571348</v>
      </c>
      <c r="X68" s="109">
        <v>0.59425623747583556</v>
      </c>
      <c r="Y68" s="109">
        <v>0.18815206139884638</v>
      </c>
      <c r="Z68" s="109">
        <v>0.2831947038042979</v>
      </c>
      <c r="AA68" s="109">
        <v>0.85378453455326642</v>
      </c>
      <c r="AD68" s="111"/>
    </row>
    <row r="69" spans="1:30" ht="15" customHeight="1" x14ac:dyDescent="0.3">
      <c r="A69" s="22" t="s">
        <v>153</v>
      </c>
      <c r="B69" s="23">
        <v>9</v>
      </c>
      <c r="C69" s="3" t="s">
        <v>11</v>
      </c>
      <c r="D69" s="23">
        <v>2021</v>
      </c>
      <c r="E69" s="25">
        <v>0.44510892890644477</v>
      </c>
      <c r="F69" s="25">
        <v>3.2029750171546641E-2</v>
      </c>
      <c r="G69" s="25">
        <v>0.70902883152545593</v>
      </c>
      <c r="H69" s="25">
        <v>2.4367666227641585</v>
      </c>
      <c r="I69" s="25">
        <v>0.41320061071587322</v>
      </c>
      <c r="J69" s="25">
        <v>0.1141803649881416</v>
      </c>
      <c r="K69" s="25">
        <v>0.39241126736627435</v>
      </c>
      <c r="L69" s="25">
        <v>0.99</v>
      </c>
      <c r="M69" s="24">
        <v>2</v>
      </c>
      <c r="N69" s="108">
        <v>1.0000000000000001E-5</v>
      </c>
      <c r="O69" s="24">
        <v>3</v>
      </c>
      <c r="P69" s="24">
        <v>0</v>
      </c>
      <c r="Q69" s="24">
        <v>3</v>
      </c>
      <c r="R69" s="24">
        <v>0</v>
      </c>
      <c r="S69" s="24">
        <v>0</v>
      </c>
      <c r="T69" s="24">
        <v>0</v>
      </c>
      <c r="U69" s="24">
        <v>10111397000000</v>
      </c>
      <c r="V69" s="109">
        <v>2.4564483694815165E-2</v>
      </c>
      <c r="W69" s="109">
        <v>-0.14007784680989183</v>
      </c>
      <c r="X69" s="109">
        <v>0.55158639899115813</v>
      </c>
      <c r="Y69" s="109">
        <v>0.12059038726300628</v>
      </c>
      <c r="Z69" s="109">
        <v>0.4308988764828563</v>
      </c>
      <c r="AA69" s="109">
        <v>0.96299781592712885</v>
      </c>
      <c r="AD69" s="111"/>
    </row>
    <row r="70" spans="1:30" ht="15" customHeight="1" x14ac:dyDescent="0.3">
      <c r="A70" s="22" t="s">
        <v>153</v>
      </c>
      <c r="B70" s="23">
        <v>9</v>
      </c>
      <c r="C70" s="3" t="s">
        <v>11</v>
      </c>
      <c r="D70" s="23">
        <v>2022</v>
      </c>
      <c r="E70" s="25">
        <v>0.56693437124068213</v>
      </c>
      <c r="F70" s="25">
        <v>8.1553327426684363E-2</v>
      </c>
      <c r="G70" s="25">
        <v>0.70285292290058266</v>
      </c>
      <c r="H70" s="25">
        <v>2.3653375901558489</v>
      </c>
      <c r="I70" s="25">
        <v>6.1381843256485241E-2</v>
      </c>
      <c r="J70" s="25">
        <v>1.5332334130301379E-2</v>
      </c>
      <c r="K70" s="25">
        <v>5.1598485375241331E-2</v>
      </c>
      <c r="L70" s="25">
        <v>0.99</v>
      </c>
      <c r="M70" s="24">
        <v>2</v>
      </c>
      <c r="N70" s="108">
        <v>1.0000000000000001E-5</v>
      </c>
      <c r="O70" s="24">
        <v>3</v>
      </c>
      <c r="P70" s="24">
        <v>0</v>
      </c>
      <c r="Q70" s="24">
        <v>3</v>
      </c>
      <c r="R70" s="24">
        <v>0</v>
      </c>
      <c r="S70" s="24">
        <v>0</v>
      </c>
      <c r="T70" s="24">
        <v>0</v>
      </c>
      <c r="U70" s="24">
        <v>10357588000000</v>
      </c>
      <c r="V70" s="109">
        <v>-7.405466808966614E-2</v>
      </c>
      <c r="W70" s="109">
        <v>-0.1055652261897268</v>
      </c>
      <c r="X70" s="109">
        <v>0.59480999823511027</v>
      </c>
      <c r="Y70" s="109">
        <v>0.13118016279465836</v>
      </c>
      <c r="Z70" s="109">
        <v>0.44391126423979799</v>
      </c>
      <c r="AA70" s="109">
        <v>1.0643361990798397</v>
      </c>
      <c r="AD70" s="111"/>
    </row>
    <row r="71" spans="1:30" ht="15" customHeight="1" x14ac:dyDescent="0.3">
      <c r="A71" s="22" t="s">
        <v>153</v>
      </c>
      <c r="B71" s="23">
        <v>9</v>
      </c>
      <c r="C71" s="3" t="s">
        <v>11</v>
      </c>
      <c r="D71" s="23">
        <v>2023</v>
      </c>
      <c r="E71" s="25">
        <v>0.65371531094904112</v>
      </c>
      <c r="F71" s="25">
        <v>2.802308331585774E-2</v>
      </c>
      <c r="G71" s="25">
        <v>0.71370189464640377</v>
      </c>
      <c r="H71" s="25">
        <v>2.4928627933633618</v>
      </c>
      <c r="I71" s="25">
        <v>3.5934421765801937E-2</v>
      </c>
      <c r="J71" s="25">
        <v>9.7598465105761881E-3</v>
      </c>
      <c r="K71" s="25">
        <v>3.4089804745728799E-2</v>
      </c>
      <c r="L71" s="25">
        <v>0.99</v>
      </c>
      <c r="M71" s="24">
        <v>2</v>
      </c>
      <c r="N71" s="108">
        <v>1.0000000000000001E-5</v>
      </c>
      <c r="O71" s="24">
        <v>3</v>
      </c>
      <c r="P71" s="24">
        <v>0</v>
      </c>
      <c r="Q71" s="24">
        <v>3</v>
      </c>
      <c r="R71" s="24">
        <v>0</v>
      </c>
      <c r="S71" s="24">
        <v>0</v>
      </c>
      <c r="T71" s="24">
        <v>0</v>
      </c>
      <c r="U71" s="24">
        <v>11033985000000</v>
      </c>
      <c r="V71" s="109">
        <v>0.15834448446224503</v>
      </c>
      <c r="W71" s="109">
        <v>-0.10602672379924388</v>
      </c>
      <c r="X71" s="109">
        <v>0.61085965405970732</v>
      </c>
      <c r="Y71" s="109">
        <v>0.1243286953897436</v>
      </c>
      <c r="Z71" s="109">
        <v>0.42120248366471214</v>
      </c>
      <c r="AA71" s="109">
        <v>1.0503641093149192</v>
      </c>
      <c r="AD71" s="111"/>
    </row>
    <row r="72" spans="1:30" ht="15" customHeight="1" x14ac:dyDescent="0.3">
      <c r="A72" s="22" t="s">
        <v>153</v>
      </c>
      <c r="B72" s="23">
        <v>9</v>
      </c>
      <c r="C72" s="3" t="s">
        <v>11</v>
      </c>
      <c r="D72" s="23">
        <v>2024</v>
      </c>
      <c r="E72" s="25">
        <v>1.1621945779848342</v>
      </c>
      <c r="F72" s="25">
        <v>0.16200376666501462</v>
      </c>
      <c r="G72" s="25">
        <v>0.69505005571683331</v>
      </c>
      <c r="H72" s="25">
        <v>2.2792267017810377</v>
      </c>
      <c r="I72" s="25">
        <v>0.11386190048125354</v>
      </c>
      <c r="J72" s="25">
        <v>2.4796673803429582E-2</v>
      </c>
      <c r="K72" s="25">
        <v>8.1313914851560642E-2</v>
      </c>
      <c r="L72" s="25">
        <v>0.99</v>
      </c>
      <c r="M72" s="24">
        <v>2</v>
      </c>
      <c r="N72" s="108">
        <v>1.0000000000000001E-5</v>
      </c>
      <c r="O72" s="24">
        <v>3</v>
      </c>
      <c r="P72" s="24">
        <v>0</v>
      </c>
      <c r="Q72" s="24">
        <v>3</v>
      </c>
      <c r="R72" s="24">
        <v>0</v>
      </c>
      <c r="S72" s="24">
        <v>0</v>
      </c>
      <c r="T72" s="24">
        <v>0</v>
      </c>
      <c r="U72" s="24">
        <v>11181540000000</v>
      </c>
      <c r="V72" s="109">
        <v>-0.18744661057217449</v>
      </c>
      <c r="W72" s="109">
        <v>3.8399461970354702E-2</v>
      </c>
      <c r="X72" s="109">
        <v>0.6636830704893959</v>
      </c>
      <c r="Y72" s="109">
        <v>0.14140887212316014</v>
      </c>
      <c r="Z72" s="109">
        <v>0.46068256359909571</v>
      </c>
      <c r="AA72" s="109">
        <v>1.3041739681820064</v>
      </c>
      <c r="AD72" s="111"/>
    </row>
    <row r="73" spans="1:30" ht="15" customHeight="1" x14ac:dyDescent="0.3">
      <c r="A73" s="22" t="s">
        <v>153</v>
      </c>
      <c r="B73" s="23">
        <v>10</v>
      </c>
      <c r="C73" s="3" t="s">
        <v>13</v>
      </c>
      <c r="D73" s="23">
        <v>2015</v>
      </c>
      <c r="E73" s="25">
        <v>1.1495514089169767</v>
      </c>
      <c r="F73" s="25">
        <v>0.12778666801373287</v>
      </c>
      <c r="G73" s="25">
        <v>0.89055980845581528</v>
      </c>
      <c r="H73" s="25">
        <v>8.1374109080964665</v>
      </c>
      <c r="I73" s="25">
        <v>-1.9055052414851097E-2</v>
      </c>
      <c r="J73" s="25">
        <v>-8.6082650193367964E-3</v>
      </c>
      <c r="K73" s="25">
        <v>-7.8657254687473296E-2</v>
      </c>
      <c r="L73" s="25">
        <v>0.9859</v>
      </c>
      <c r="M73" s="24">
        <v>2</v>
      </c>
      <c r="N73" s="108">
        <v>0</v>
      </c>
      <c r="O73" s="24">
        <v>4</v>
      </c>
      <c r="P73" s="24">
        <v>0</v>
      </c>
      <c r="Q73" s="24">
        <v>4</v>
      </c>
      <c r="R73" s="24">
        <v>0</v>
      </c>
      <c r="S73" s="24">
        <v>0</v>
      </c>
      <c r="T73" s="24">
        <v>0</v>
      </c>
      <c r="U73" s="24">
        <v>4276820000000</v>
      </c>
      <c r="V73" s="109">
        <v>-5.1612653044595294E-2</v>
      </c>
      <c r="W73" s="109">
        <v>0.12714848883048621</v>
      </c>
      <c r="X73" s="109">
        <v>-0.23732304843318164</v>
      </c>
      <c r="Y73" s="109">
        <v>-5.6972348614157245E-2</v>
      </c>
      <c r="Z73" s="109">
        <v>0.12903367076563421</v>
      </c>
      <c r="AA73" s="109">
        <v>-3.8113237451218474E-2</v>
      </c>
      <c r="AD73" s="111"/>
    </row>
    <row r="74" spans="1:30" ht="15" customHeight="1" x14ac:dyDescent="0.3">
      <c r="A74" s="22" t="s">
        <v>153</v>
      </c>
      <c r="B74" s="23">
        <v>10</v>
      </c>
      <c r="C74" s="3" t="s">
        <v>13</v>
      </c>
      <c r="D74" s="23">
        <v>2016</v>
      </c>
      <c r="E74" s="25">
        <v>0.96967059974500258</v>
      </c>
      <c r="F74" s="25">
        <v>4.4715527550666566E-2</v>
      </c>
      <c r="G74" s="25">
        <v>0.86039908277279842</v>
      </c>
      <c r="H74" s="25">
        <v>6.1632767166743774</v>
      </c>
      <c r="I74" s="25">
        <v>-1.4102730064561276E-2</v>
      </c>
      <c r="J74" s="25">
        <v>-7.7796765200132782E-3</v>
      </c>
      <c r="K74" s="25">
        <v>-5.5727975679069459E-2</v>
      </c>
      <c r="L74" s="25">
        <v>0.98</v>
      </c>
      <c r="M74" s="24">
        <v>2</v>
      </c>
      <c r="N74" s="108">
        <v>0</v>
      </c>
      <c r="O74" s="24">
        <v>3</v>
      </c>
      <c r="P74" s="24">
        <v>0</v>
      </c>
      <c r="Q74" s="24">
        <v>3</v>
      </c>
      <c r="R74" s="24">
        <v>0</v>
      </c>
      <c r="S74" s="24">
        <v>0</v>
      </c>
      <c r="T74" s="24">
        <v>0</v>
      </c>
      <c r="U74" s="24">
        <v>5419377000000</v>
      </c>
      <c r="V74" s="109">
        <v>0.54732398040252872</v>
      </c>
      <c r="W74" s="109">
        <v>-2.784446994553064E-2</v>
      </c>
      <c r="X74" s="109">
        <v>-0.22121883382536406</v>
      </c>
      <c r="Y74" s="109">
        <v>-4.9297238409507213E-2</v>
      </c>
      <c r="Z74" s="109">
        <v>0.17036392300207578</v>
      </c>
      <c r="AA74" s="109">
        <v>-0.12799661917832614</v>
      </c>
      <c r="AD74" s="111"/>
    </row>
    <row r="75" spans="1:30" ht="15" customHeight="1" x14ac:dyDescent="0.3">
      <c r="A75" s="22" t="s">
        <v>153</v>
      </c>
      <c r="B75" s="23">
        <v>10</v>
      </c>
      <c r="C75" s="3" t="s">
        <v>13</v>
      </c>
      <c r="D75" s="23">
        <v>2017</v>
      </c>
      <c r="E75" s="25">
        <v>1.1322094387048698</v>
      </c>
      <c r="F75" s="25">
        <v>0.12600300004597362</v>
      </c>
      <c r="G75" s="25">
        <v>0.87503677981181893</v>
      </c>
      <c r="H75" s="25">
        <v>7.0042881245276041</v>
      </c>
      <c r="I75" s="25">
        <v>2.2250465185788798E-2</v>
      </c>
      <c r="J75" s="25">
        <v>1.2644069793429375E-2</v>
      </c>
      <c r="K75" s="25">
        <v>0.10121026903447582</v>
      </c>
      <c r="L75" s="25">
        <v>0.98</v>
      </c>
      <c r="M75" s="24">
        <v>0</v>
      </c>
      <c r="N75" s="108">
        <v>0</v>
      </c>
      <c r="O75" s="24">
        <v>3</v>
      </c>
      <c r="P75" s="24">
        <v>0</v>
      </c>
      <c r="Q75" s="24">
        <v>3</v>
      </c>
      <c r="R75" s="24">
        <v>0</v>
      </c>
      <c r="S75" s="24">
        <v>0</v>
      </c>
      <c r="T75" s="24">
        <v>0</v>
      </c>
      <c r="U75" s="24">
        <v>6841389000000</v>
      </c>
      <c r="V75" s="109">
        <v>0.30042216872499428</v>
      </c>
      <c r="W75" s="109">
        <v>0.11857189819201917</v>
      </c>
      <c r="X75" s="109">
        <v>-0.14396839589153607</v>
      </c>
      <c r="Y75" s="109">
        <v>7.5049321124701432E-2</v>
      </c>
      <c r="Z75" s="109">
        <v>0.14990816787263675</v>
      </c>
      <c r="AA75" s="109">
        <v>0.19956099129782129</v>
      </c>
      <c r="AD75" s="111"/>
    </row>
    <row r="76" spans="1:30" ht="15" customHeight="1" x14ac:dyDescent="0.3">
      <c r="A76" s="22" t="s">
        <v>153</v>
      </c>
      <c r="B76" s="23">
        <v>10</v>
      </c>
      <c r="C76" s="3" t="s">
        <v>13</v>
      </c>
      <c r="D76" s="23">
        <v>2018</v>
      </c>
      <c r="E76" s="25">
        <v>1.0069482635921705</v>
      </c>
      <c r="F76" s="25">
        <v>8.2020721637951377E-2</v>
      </c>
      <c r="G76" s="25">
        <v>0.85384213441984314</v>
      </c>
      <c r="H76" s="25">
        <v>5.8751385780685146</v>
      </c>
      <c r="I76" s="25">
        <v>5.107718178337995E-2</v>
      </c>
      <c r="J76" s="25">
        <v>2.1763934309047696E-2</v>
      </c>
      <c r="K76" s="25">
        <v>0.1497538302633844</v>
      </c>
      <c r="L76" s="25">
        <v>0.98</v>
      </c>
      <c r="M76" s="24">
        <v>0</v>
      </c>
      <c r="N76" s="108">
        <v>0</v>
      </c>
      <c r="O76" s="24">
        <v>3</v>
      </c>
      <c r="P76" s="24">
        <v>0</v>
      </c>
      <c r="Q76" s="24">
        <v>3</v>
      </c>
      <c r="R76" s="24">
        <v>0</v>
      </c>
      <c r="S76" s="24">
        <v>0</v>
      </c>
      <c r="T76" s="24">
        <v>0</v>
      </c>
      <c r="U76" s="24">
        <v>6994875000000</v>
      </c>
      <c r="V76" s="109">
        <v>-0.23334784064795222</v>
      </c>
      <c r="W76" s="109">
        <v>6.9314977036759049E-3</v>
      </c>
      <c r="X76" s="109">
        <v>-5.3423010418341993E-2</v>
      </c>
      <c r="Y76" s="109">
        <v>0.13966225272074198</v>
      </c>
      <c r="Z76" s="109">
        <v>0.17871918867064299</v>
      </c>
      <c r="AA76" s="109">
        <v>0.27188992867671891</v>
      </c>
      <c r="AD76" s="111"/>
    </row>
    <row r="77" spans="1:30" ht="15" customHeight="1" x14ac:dyDescent="0.3">
      <c r="A77" s="22" t="s">
        <v>153</v>
      </c>
      <c r="B77" s="23">
        <v>10</v>
      </c>
      <c r="C77" s="3" t="s">
        <v>13</v>
      </c>
      <c r="D77" s="23">
        <v>2019</v>
      </c>
      <c r="E77" s="25">
        <v>0.93385142443881253</v>
      </c>
      <c r="F77" s="25">
        <v>3.4449785375616049E-2</v>
      </c>
      <c r="G77" s="25">
        <v>0.82766016633395911</v>
      </c>
      <c r="H77" s="25">
        <v>4.8575049335734031</v>
      </c>
      <c r="I77" s="25">
        <v>5.960514075551418E-2</v>
      </c>
      <c r="J77" s="25">
        <v>2.5220197460317999E-2</v>
      </c>
      <c r="K77" s="25">
        <v>0.14801634604674052</v>
      </c>
      <c r="L77" s="25">
        <v>0.98</v>
      </c>
      <c r="M77" s="24">
        <v>2</v>
      </c>
      <c r="N77" s="108">
        <v>0</v>
      </c>
      <c r="O77" s="24">
        <v>3</v>
      </c>
      <c r="P77" s="24">
        <v>0</v>
      </c>
      <c r="Q77" s="24">
        <v>3</v>
      </c>
      <c r="R77" s="24">
        <v>0</v>
      </c>
      <c r="S77" s="24">
        <v>0</v>
      </c>
      <c r="T77" s="24">
        <v>0</v>
      </c>
      <c r="U77" s="24">
        <v>7060254000000</v>
      </c>
      <c r="V77" s="109">
        <v>2.2928969514938555E-3</v>
      </c>
      <c r="W77" s="109">
        <v>-7.88658311726462E-2</v>
      </c>
      <c r="X77" s="109">
        <v>8.0042587702935323E-3</v>
      </c>
      <c r="Y77" s="109">
        <v>0.17312800361006841</v>
      </c>
      <c r="Z77" s="109">
        <v>0.2161603568825553</v>
      </c>
      <c r="AA77" s="109">
        <v>0.31842678809027103</v>
      </c>
      <c r="AD77" s="111"/>
    </row>
    <row r="78" spans="1:30" ht="15" customHeight="1" x14ac:dyDescent="0.3">
      <c r="A78" s="22" t="s">
        <v>153</v>
      </c>
      <c r="B78" s="23">
        <v>10</v>
      </c>
      <c r="C78" s="3" t="s">
        <v>13</v>
      </c>
      <c r="D78" s="23">
        <v>2020</v>
      </c>
      <c r="E78" s="25">
        <v>0.87639117237890474</v>
      </c>
      <c r="F78" s="25">
        <v>3.7400238296512747E-2</v>
      </c>
      <c r="G78" s="25">
        <v>0.79593430477245053</v>
      </c>
      <c r="H78" s="25">
        <v>3.9568964119087648</v>
      </c>
      <c r="I78" s="25">
        <v>9.1967633708308669E-2</v>
      </c>
      <c r="J78" s="25">
        <v>3.7626738631295509E-2</v>
      </c>
      <c r="K78" s="25">
        <v>0.18705702994491089</v>
      </c>
      <c r="L78" s="25">
        <v>0.98</v>
      </c>
      <c r="M78" s="24">
        <v>2</v>
      </c>
      <c r="N78" s="108">
        <v>0</v>
      </c>
      <c r="O78" s="24">
        <v>3</v>
      </c>
      <c r="P78" s="24">
        <v>0</v>
      </c>
      <c r="Q78" s="24">
        <v>3</v>
      </c>
      <c r="R78" s="24">
        <v>0</v>
      </c>
      <c r="S78" s="24">
        <v>0</v>
      </c>
      <c r="T78" s="24">
        <v>0</v>
      </c>
      <c r="U78" s="24">
        <v>7356577000000</v>
      </c>
      <c r="V78" s="109">
        <v>7.5167130121984657E-3</v>
      </c>
      <c r="W78" s="109">
        <v>-0.13247467674164221</v>
      </c>
      <c r="X78" s="109">
        <v>9.3951627230979842E-2</v>
      </c>
      <c r="Y78" s="109">
        <v>0.24077380553482958</v>
      </c>
      <c r="Z78" s="109">
        <v>0.26535948650055541</v>
      </c>
      <c r="AA78" s="109">
        <v>0.46761024252472261</v>
      </c>
      <c r="AD78" s="111"/>
    </row>
    <row r="79" spans="1:30" ht="15" customHeight="1" x14ac:dyDescent="0.3">
      <c r="A79" s="22" t="s">
        <v>153</v>
      </c>
      <c r="B79" s="23">
        <v>10</v>
      </c>
      <c r="C79" s="3" t="s">
        <v>13</v>
      </c>
      <c r="D79" s="23">
        <v>2021</v>
      </c>
      <c r="E79" s="25">
        <v>1.3065656901710985</v>
      </c>
      <c r="F79" s="25">
        <v>0.20594500523407122</v>
      </c>
      <c r="G79" s="25">
        <v>0.78626950046203181</v>
      </c>
      <c r="H79" s="25">
        <v>3.7466630569327068</v>
      </c>
      <c r="I79" s="25">
        <v>1.5722249350743785E-2</v>
      </c>
      <c r="J79" s="25">
        <v>6.8509913813236427E-3</v>
      </c>
      <c r="K79" s="25">
        <v>3.2645748431913348E-2</v>
      </c>
      <c r="L79" s="25">
        <v>0.98</v>
      </c>
      <c r="M79" s="24">
        <v>2</v>
      </c>
      <c r="N79" s="108">
        <v>0</v>
      </c>
      <c r="O79" s="24">
        <v>3</v>
      </c>
      <c r="P79" s="24">
        <v>0</v>
      </c>
      <c r="Q79" s="24">
        <v>3</v>
      </c>
      <c r="R79" s="24">
        <v>0</v>
      </c>
      <c r="S79" s="24">
        <v>0</v>
      </c>
      <c r="T79" s="24">
        <v>0</v>
      </c>
      <c r="U79" s="24">
        <v>7322006000000</v>
      </c>
      <c r="V79" s="109">
        <v>6.0062502533392605E-2</v>
      </c>
      <c r="W79" s="109">
        <v>0.29307640556426751</v>
      </c>
      <c r="X79" s="109">
        <v>0.12357669469268394</v>
      </c>
      <c r="Y79" s="109">
        <v>4.7079426047998321E-2</v>
      </c>
      <c r="Z79" s="109">
        <v>0.28024938032714558</v>
      </c>
      <c r="AA79" s="109">
        <v>0.7439819066320954</v>
      </c>
      <c r="AD79" s="111"/>
    </row>
    <row r="80" spans="1:30" ht="15" customHeight="1" x14ac:dyDescent="0.3">
      <c r="A80" s="22" t="s">
        <v>153</v>
      </c>
      <c r="B80" s="23">
        <v>10</v>
      </c>
      <c r="C80" s="3" t="s">
        <v>13</v>
      </c>
      <c r="D80" s="23">
        <v>2022</v>
      </c>
      <c r="E80" s="25">
        <v>1.2159067145972535</v>
      </c>
      <c r="F80" s="25">
        <v>0.24799597701721718</v>
      </c>
      <c r="G80" s="25">
        <v>0.74772986371690642</v>
      </c>
      <c r="H80" s="25">
        <v>3.0422156210387654</v>
      </c>
      <c r="I80" s="25">
        <v>-1.6832848287215065E-2</v>
      </c>
      <c r="J80" s="25">
        <v>-5.9335587346258075E-3</v>
      </c>
      <c r="K80" s="25">
        <v>-2.4141292125338849E-2</v>
      </c>
      <c r="L80" s="25">
        <v>0.98</v>
      </c>
      <c r="M80" s="24">
        <v>2</v>
      </c>
      <c r="N80" s="108">
        <v>0</v>
      </c>
      <c r="O80" s="24">
        <v>3</v>
      </c>
      <c r="P80" s="24">
        <v>0</v>
      </c>
      <c r="Q80" s="24">
        <v>3</v>
      </c>
      <c r="R80" s="24">
        <v>0</v>
      </c>
      <c r="S80" s="24">
        <v>0</v>
      </c>
      <c r="T80" s="24">
        <v>0</v>
      </c>
      <c r="U80" s="24">
        <v>6140160000000</v>
      </c>
      <c r="V80" s="109">
        <v>-0.32162708026831538</v>
      </c>
      <c r="W80" s="109">
        <v>0.18531623931623931</v>
      </c>
      <c r="X80" s="109">
        <v>0.15009413435480506</v>
      </c>
      <c r="Y80" s="109">
        <v>-1.8505784865540963E-2</v>
      </c>
      <c r="Z80" s="109">
        <v>0.34514318864797533</v>
      </c>
      <c r="AA80" s="109">
        <v>0.66204777745347876</v>
      </c>
      <c r="AD80" s="111"/>
    </row>
    <row r="81" spans="1:30" ht="15" customHeight="1" x14ac:dyDescent="0.3">
      <c r="A81" s="22" t="s">
        <v>153</v>
      </c>
      <c r="B81" s="23">
        <v>10</v>
      </c>
      <c r="C81" s="3" t="s">
        <v>13</v>
      </c>
      <c r="D81" s="23">
        <v>2023</v>
      </c>
      <c r="E81" s="25">
        <v>1.1399264787637795</v>
      </c>
      <c r="F81" s="25">
        <v>0.34996635721417102</v>
      </c>
      <c r="G81" s="25">
        <v>0.77546662061062743</v>
      </c>
      <c r="H81" s="25">
        <v>3.5622336853490544</v>
      </c>
      <c r="I81" s="25">
        <v>-5.8420868440522258E-2</v>
      </c>
      <c r="J81" s="25">
        <v>-2.8399337556322832E-2</v>
      </c>
      <c r="K81" s="25">
        <v>-0.13045703605536374</v>
      </c>
      <c r="L81" s="25">
        <v>0.98</v>
      </c>
      <c r="M81" s="24">
        <v>2</v>
      </c>
      <c r="N81" s="108">
        <v>0</v>
      </c>
      <c r="O81" s="24">
        <v>3</v>
      </c>
      <c r="P81" s="24">
        <v>0</v>
      </c>
      <c r="Q81" s="24">
        <v>3</v>
      </c>
      <c r="R81" s="24">
        <v>0</v>
      </c>
      <c r="S81" s="24">
        <v>0</v>
      </c>
      <c r="T81" s="24">
        <v>0</v>
      </c>
      <c r="U81" s="24">
        <v>6183771000000</v>
      </c>
      <c r="V81" s="109">
        <v>0.38885297951070946</v>
      </c>
      <c r="W81" s="109">
        <v>0.12949902575629013</v>
      </c>
      <c r="X81" s="109">
        <v>5.4181582726785971E-2</v>
      </c>
      <c r="Y81" s="109">
        <v>-0.21437202638972239</v>
      </c>
      <c r="Z81" s="109">
        <v>0.29475887680207408</v>
      </c>
      <c r="AA81" s="109">
        <v>0.26406745889542782</v>
      </c>
      <c r="AD81" s="111"/>
    </row>
    <row r="82" spans="1:30" ht="15" customHeight="1" x14ac:dyDescent="0.3">
      <c r="A82" s="22" t="s">
        <v>153</v>
      </c>
      <c r="B82" s="23">
        <v>10</v>
      </c>
      <c r="C82" s="3" t="s">
        <v>13</v>
      </c>
      <c r="D82" s="23">
        <v>2024</v>
      </c>
      <c r="E82" s="25">
        <v>0.96405131640007957</v>
      </c>
      <c r="F82" s="25">
        <v>0.34303783578660535</v>
      </c>
      <c r="G82" s="25">
        <v>0.79480228117058827</v>
      </c>
      <c r="H82" s="25">
        <v>4.0297570779432847</v>
      </c>
      <c r="I82" s="25">
        <v>-5.8437999543274721E-2</v>
      </c>
      <c r="J82" s="25">
        <v>-3.0556148851258059E-2</v>
      </c>
      <c r="K82" s="25">
        <v>-0.1549238848769956</v>
      </c>
      <c r="L82" s="25">
        <v>0.98</v>
      </c>
      <c r="M82" s="24">
        <v>2</v>
      </c>
      <c r="N82" s="108">
        <v>0</v>
      </c>
      <c r="O82" s="24">
        <v>4</v>
      </c>
      <c r="P82" s="24">
        <v>0</v>
      </c>
      <c r="Q82" s="24">
        <v>4</v>
      </c>
      <c r="R82" s="24">
        <v>0</v>
      </c>
      <c r="S82" s="24">
        <v>0</v>
      </c>
      <c r="T82" s="24">
        <v>0</v>
      </c>
      <c r="U82" s="24">
        <v>5946070000000</v>
      </c>
      <c r="V82" s="109">
        <v>3.4283733506496272E-2</v>
      </c>
      <c r="W82" s="109">
        <v>-3.4698306612602946E-2</v>
      </c>
      <c r="X82" s="109">
        <v>8.7935628070305253E-3</v>
      </c>
      <c r="Y82" s="109">
        <v>-0.1506433123054387</v>
      </c>
      <c r="Z82" s="109">
        <v>0.26056161195103633</v>
      </c>
      <c r="AA82" s="109">
        <v>8.4013555840025206E-2</v>
      </c>
      <c r="AD82" s="111"/>
    </row>
    <row r="83" spans="1:30" ht="15" customHeight="1" x14ac:dyDescent="0.3">
      <c r="A83" s="22" t="s">
        <v>153</v>
      </c>
      <c r="B83" s="23">
        <v>11</v>
      </c>
      <c r="C83" s="3" t="s">
        <v>23</v>
      </c>
      <c r="D83" s="23">
        <v>2020</v>
      </c>
      <c r="E83" s="25">
        <v>31.774048625792812</v>
      </c>
      <c r="F83" s="25">
        <v>31.764799154334039</v>
      </c>
      <c r="G83" s="25">
        <v>2.4649699370077716E-2</v>
      </c>
      <c r="H83" s="25">
        <v>2.5272662913168632E-2</v>
      </c>
      <c r="I83" s="25">
        <v>-0.82026320533621777</v>
      </c>
      <c r="J83" s="25">
        <v>-1.7783741881689261E-3</v>
      </c>
      <c r="K83" s="25">
        <v>-1.8233184395599993E-3</v>
      </c>
      <c r="L83" s="25">
        <v>0.99990000000000001</v>
      </c>
      <c r="M83" s="24">
        <v>0</v>
      </c>
      <c r="N83" s="108">
        <v>0</v>
      </c>
      <c r="O83" s="24">
        <v>1</v>
      </c>
      <c r="P83" s="24">
        <v>6</v>
      </c>
      <c r="Q83" s="24">
        <v>1</v>
      </c>
      <c r="R83" s="24">
        <v>1</v>
      </c>
      <c r="S83" s="24">
        <v>6</v>
      </c>
      <c r="T83" s="24">
        <v>3</v>
      </c>
      <c r="U83" s="24">
        <v>153511000000</v>
      </c>
      <c r="V83" s="109">
        <v>0</v>
      </c>
      <c r="W83" s="109">
        <v>4.976226068490206</v>
      </c>
      <c r="X83" s="109">
        <v>-5.7974998534306987E-3</v>
      </c>
      <c r="Y83" s="109">
        <v>-1.1950674544495183E-2</v>
      </c>
      <c r="Z83" s="109">
        <v>41.546868393234675</v>
      </c>
      <c r="AA83" s="109">
        <v>46.505346287326958</v>
      </c>
      <c r="AD83" s="111"/>
    </row>
    <row r="84" spans="1:30" ht="15" customHeight="1" x14ac:dyDescent="0.3">
      <c r="A84" s="22" t="s">
        <v>153</v>
      </c>
      <c r="B84" s="23">
        <v>11</v>
      </c>
      <c r="C84" s="3" t="s">
        <v>23</v>
      </c>
      <c r="D84" s="23">
        <v>2021</v>
      </c>
      <c r="E84" s="25">
        <v>71.06530286515104</v>
      </c>
      <c r="F84" s="25">
        <v>70.760977888508251</v>
      </c>
      <c r="G84" s="25">
        <v>0.9531673609372201</v>
      </c>
      <c r="H84" s="25">
        <v>20.352629704669948</v>
      </c>
      <c r="I84" s="25">
        <v>-1.3369599089517255</v>
      </c>
      <c r="J84" s="25">
        <v>-4.6886188252723664E-3</v>
      </c>
      <c r="K84" s="25">
        <v>-0.10011434160238544</v>
      </c>
      <c r="L84" s="25">
        <v>0.99990000000000001</v>
      </c>
      <c r="M84" s="24">
        <v>2</v>
      </c>
      <c r="N84" s="108">
        <v>0</v>
      </c>
      <c r="O84" s="24">
        <v>3</v>
      </c>
      <c r="P84" s="24">
        <v>10</v>
      </c>
      <c r="Q84" s="24">
        <v>3</v>
      </c>
      <c r="R84" s="24">
        <v>4</v>
      </c>
      <c r="S84" s="24">
        <v>10</v>
      </c>
      <c r="T84" s="24">
        <v>12</v>
      </c>
      <c r="U84" s="24">
        <v>21046070000000</v>
      </c>
      <c r="V84" s="109">
        <v>220.76251427197886</v>
      </c>
      <c r="W84" s="109">
        <v>2.2440168639560736</v>
      </c>
      <c r="X84" s="109">
        <v>-1.462890316339345E-2</v>
      </c>
      <c r="Y84" s="109">
        <v>-3.0574206015659931E-2</v>
      </c>
      <c r="Z84" s="109">
        <v>5.1590384890610755E-2</v>
      </c>
      <c r="AA84" s="109">
        <v>2.2504041396676313</v>
      </c>
      <c r="AD84" s="111"/>
    </row>
    <row r="85" spans="1:30" ht="15" customHeight="1" x14ac:dyDescent="0.3">
      <c r="A85" s="22" t="s">
        <v>153</v>
      </c>
      <c r="B85" s="23">
        <v>11</v>
      </c>
      <c r="C85" s="3" t="s">
        <v>23</v>
      </c>
      <c r="D85" s="23">
        <v>2022</v>
      </c>
      <c r="E85" s="25">
        <v>1.9220579272211964</v>
      </c>
      <c r="F85" s="25">
        <v>1.2372411748781398</v>
      </c>
      <c r="G85" s="25">
        <v>0.92344074892948291</v>
      </c>
      <c r="H85" s="25">
        <v>12.061778766342972</v>
      </c>
      <c r="I85" s="25">
        <v>-0.17849974029455623</v>
      </c>
      <c r="J85" s="25">
        <v>-1.4159237460721901E-2</v>
      </c>
      <c r="K85" s="25">
        <v>-0.18494482721206532</v>
      </c>
      <c r="L85" s="25">
        <v>0.99990000000000001</v>
      </c>
      <c r="M85" s="24">
        <v>2</v>
      </c>
      <c r="N85" s="108">
        <v>0</v>
      </c>
      <c r="O85" s="24">
        <v>4</v>
      </c>
      <c r="P85" s="24">
        <v>17</v>
      </c>
      <c r="Q85" s="24">
        <v>4</v>
      </c>
      <c r="R85" s="24">
        <v>7</v>
      </c>
      <c r="S85" s="24">
        <v>17</v>
      </c>
      <c r="T85" s="24">
        <v>16</v>
      </c>
      <c r="U85" s="24">
        <v>30095971000000</v>
      </c>
      <c r="V85" s="109">
        <v>31.345441489289634</v>
      </c>
      <c r="W85" s="109">
        <v>0.13289004298947524</v>
      </c>
      <c r="X85" s="109">
        <v>3.4562792474780095E-3</v>
      </c>
      <c r="Y85" s="109">
        <v>2.8634381658594766E-2</v>
      </c>
      <c r="Z85" s="109">
        <v>8.7051837074802449E-2</v>
      </c>
      <c r="AA85" s="109">
        <v>0.25203254097035049</v>
      </c>
      <c r="AD85" s="111"/>
    </row>
    <row r="86" spans="1:30" ht="15" customHeight="1" x14ac:dyDescent="0.3">
      <c r="A86" s="22" t="s">
        <v>153</v>
      </c>
      <c r="B86" s="23">
        <v>11</v>
      </c>
      <c r="C86" s="3" t="s">
        <v>23</v>
      </c>
      <c r="D86" s="23">
        <v>2023</v>
      </c>
      <c r="E86" s="25">
        <v>2.132890671831051</v>
      </c>
      <c r="F86" s="25">
        <v>1.79203975200327</v>
      </c>
      <c r="G86" s="25">
        <v>0.90834360240321321</v>
      </c>
      <c r="H86" s="25">
        <v>9.9103131501980073</v>
      </c>
      <c r="I86" s="25">
        <v>-9.2535819377655357E-2</v>
      </c>
      <c r="J86" s="25">
        <v>-7.5377098560766714E-3</v>
      </c>
      <c r="K86" s="25">
        <v>-8.2238774965130421E-2</v>
      </c>
      <c r="L86" s="25">
        <v>0.99990000000000001</v>
      </c>
      <c r="M86" s="24">
        <v>3</v>
      </c>
      <c r="N86" s="108">
        <v>0</v>
      </c>
      <c r="O86" s="24">
        <v>5</v>
      </c>
      <c r="P86" s="24">
        <v>18</v>
      </c>
      <c r="Q86" s="24">
        <v>5</v>
      </c>
      <c r="R86" s="24">
        <v>7</v>
      </c>
      <c r="S86" s="24">
        <v>18</v>
      </c>
      <c r="T86" s="24">
        <v>17</v>
      </c>
      <c r="U86" s="24">
        <v>33088034000000</v>
      </c>
      <c r="V86" s="109">
        <v>0.1289894107199705</v>
      </c>
      <c r="W86" s="109">
        <v>0.28739047354702307</v>
      </c>
      <c r="X86" s="109">
        <v>-6.183530275627739E-2</v>
      </c>
      <c r="Y86" s="109">
        <v>-0.134456525280408</v>
      </c>
      <c r="Z86" s="109">
        <v>0.1059502342747889</v>
      </c>
      <c r="AA86" s="109">
        <v>0.19704887978512658</v>
      </c>
      <c r="AD86" s="111"/>
    </row>
    <row r="87" spans="1:30" ht="15" customHeight="1" x14ac:dyDescent="0.3">
      <c r="A87" s="22" t="s">
        <v>153</v>
      </c>
      <c r="B87" s="23">
        <v>11</v>
      </c>
      <c r="C87" s="3" t="s">
        <v>23</v>
      </c>
      <c r="D87" s="23">
        <v>2024</v>
      </c>
      <c r="E87" s="25">
        <v>5.4879417539918673</v>
      </c>
      <c r="F87" s="25">
        <v>4.4366419328243181</v>
      </c>
      <c r="G87" s="25">
        <v>0.87917158235626292</v>
      </c>
      <c r="H87" s="25">
        <v>7.2761987577169336</v>
      </c>
      <c r="I87" s="25">
        <v>-9.4674504302607723E-2</v>
      </c>
      <c r="J87" s="25">
        <v>-1.975156347383774E-2</v>
      </c>
      <c r="K87" s="25">
        <v>-0.16346786508514308</v>
      </c>
      <c r="L87" s="25">
        <v>0.99990000000000001</v>
      </c>
      <c r="M87" s="24">
        <v>0</v>
      </c>
      <c r="N87" s="108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34967966000000</v>
      </c>
      <c r="V87" s="109">
        <v>1.7066886707362818</v>
      </c>
      <c r="W87" s="109">
        <v>0.63416452875754903</v>
      </c>
      <c r="X87" s="109">
        <v>-4.515320679504207E-3</v>
      </c>
      <c r="Y87" s="109">
        <v>-1.8228075376188594E-2</v>
      </c>
      <c r="Z87" s="109">
        <v>0.1443061184779208</v>
      </c>
      <c r="AA87" s="109">
        <v>0.75572725117977702</v>
      </c>
      <c r="AD87" s="111"/>
    </row>
    <row r="88" spans="1:30" ht="15" customHeight="1" x14ac:dyDescent="0.3">
      <c r="A88" s="22" t="s">
        <v>153</v>
      </c>
      <c r="B88" s="23">
        <v>12</v>
      </c>
      <c r="C88" s="3" t="s">
        <v>24</v>
      </c>
      <c r="D88" s="23">
        <v>2015</v>
      </c>
      <c r="E88" s="25">
        <v>12.933642111911764</v>
      </c>
      <c r="F88" s="25">
        <v>7.2123007165361663</v>
      </c>
      <c r="G88" s="25">
        <v>0.29253713825518884</v>
      </c>
      <c r="H88" s="25">
        <v>0.41350175970185399</v>
      </c>
      <c r="I88" s="25">
        <v>0.10797834080482503</v>
      </c>
      <c r="J88" s="25">
        <v>8.3933479973121561E-2</v>
      </c>
      <c r="K88" s="25">
        <v>0.11864012163990766</v>
      </c>
      <c r="L88" s="25">
        <v>0.8</v>
      </c>
      <c r="M88" s="24">
        <v>3</v>
      </c>
      <c r="N88" s="108">
        <v>0</v>
      </c>
      <c r="O88" s="24">
        <v>5</v>
      </c>
      <c r="P88" s="24">
        <v>17</v>
      </c>
      <c r="Q88" s="24">
        <v>5</v>
      </c>
      <c r="R88" s="24">
        <v>4</v>
      </c>
      <c r="S88" s="24">
        <v>17</v>
      </c>
      <c r="T88" s="24">
        <v>10</v>
      </c>
      <c r="U88" s="24">
        <v>1841695394740</v>
      </c>
      <c r="V88" s="109">
        <v>2.2275956512172356E-2</v>
      </c>
      <c r="W88" s="109">
        <v>5.9328502292234813</v>
      </c>
      <c r="X88" s="109">
        <v>0.53622079451684646</v>
      </c>
      <c r="Y88" s="109">
        <v>0.77280141185994999</v>
      </c>
      <c r="Z88" s="109">
        <v>2.5392878636286302</v>
      </c>
      <c r="AA88" s="109">
        <v>9.7811602992289082</v>
      </c>
      <c r="AD88" s="111"/>
    </row>
    <row r="89" spans="1:30" ht="15" customHeight="1" x14ac:dyDescent="0.3">
      <c r="A89" s="22" t="s">
        <v>153</v>
      </c>
      <c r="B89" s="23">
        <v>12</v>
      </c>
      <c r="C89" s="3" t="s">
        <v>24</v>
      </c>
      <c r="D89" s="23">
        <v>2016</v>
      </c>
      <c r="E89" s="25">
        <v>10.693093550506273</v>
      </c>
      <c r="F89" s="25">
        <v>5.1709091495294075</v>
      </c>
      <c r="G89" s="25">
        <v>0.34883543529659244</v>
      </c>
      <c r="H89" s="25">
        <v>0.53571010187797918</v>
      </c>
      <c r="I89" s="25">
        <v>0.10388254302481743</v>
      </c>
      <c r="J89" s="25">
        <v>7.714735682089166E-2</v>
      </c>
      <c r="K89" s="25">
        <v>0.11847597520302834</v>
      </c>
      <c r="L89" s="25">
        <v>0.8</v>
      </c>
      <c r="M89" s="24">
        <v>2</v>
      </c>
      <c r="N89" s="108">
        <v>0</v>
      </c>
      <c r="O89" s="24">
        <v>4</v>
      </c>
      <c r="P89" s="24">
        <v>10</v>
      </c>
      <c r="Q89" s="24">
        <v>4</v>
      </c>
      <c r="R89" s="24">
        <v>4</v>
      </c>
      <c r="S89" s="24">
        <v>10</v>
      </c>
      <c r="T89" s="24">
        <v>8</v>
      </c>
      <c r="U89" s="24">
        <v>2128604012037</v>
      </c>
      <c r="V89" s="109">
        <v>0.10422346774501137</v>
      </c>
      <c r="W89" s="109">
        <v>5.8455009376961549</v>
      </c>
      <c r="X89" s="109">
        <v>0.59127630077508408</v>
      </c>
      <c r="Y89" s="109">
        <v>0.61479909864079141</v>
      </c>
      <c r="Z89" s="109">
        <v>1.9600153073819815</v>
      </c>
      <c r="AA89" s="109">
        <v>9.0115916444940112</v>
      </c>
      <c r="AD89" s="111"/>
    </row>
    <row r="90" spans="1:30" ht="15" customHeight="1" x14ac:dyDescent="0.3">
      <c r="A90" s="22" t="s">
        <v>153</v>
      </c>
      <c r="B90" s="23">
        <v>12</v>
      </c>
      <c r="C90" s="3" t="s">
        <v>24</v>
      </c>
      <c r="D90" s="23">
        <v>2017</v>
      </c>
      <c r="E90" s="25">
        <v>13.802973117562932</v>
      </c>
      <c r="F90" s="25">
        <v>4.1591062503497032</v>
      </c>
      <c r="G90" s="25">
        <v>0.35083117583111528</v>
      </c>
      <c r="H90" s="25">
        <v>0.54043133738018923</v>
      </c>
      <c r="I90" s="25">
        <v>0.10515853049900356</v>
      </c>
      <c r="J90" s="25">
        <v>8.6870778960512568E-2</v>
      </c>
      <c r="K90" s="25">
        <v>0.13381847021340118</v>
      </c>
      <c r="L90" s="25">
        <v>0.8</v>
      </c>
      <c r="M90" s="24">
        <v>2</v>
      </c>
      <c r="N90" s="108">
        <v>0</v>
      </c>
      <c r="O90" s="24">
        <v>3</v>
      </c>
      <c r="P90" s="24">
        <v>9</v>
      </c>
      <c r="Q90" s="24">
        <v>3</v>
      </c>
      <c r="R90" s="24">
        <v>4</v>
      </c>
      <c r="S90" s="24">
        <v>9</v>
      </c>
      <c r="T90" s="24">
        <v>8</v>
      </c>
      <c r="U90" s="24">
        <v>2224965279992</v>
      </c>
      <c r="V90" s="109">
        <v>0.16273056916831716</v>
      </c>
      <c r="W90" s="109">
        <v>5.869301327928854</v>
      </c>
      <c r="X90" s="109">
        <v>0.65109896388843813</v>
      </c>
      <c r="Y90" s="109">
        <v>0.65051877579382456</v>
      </c>
      <c r="Z90" s="109">
        <v>1.9428925145051927</v>
      </c>
      <c r="AA90" s="109">
        <v>9.113811582116309</v>
      </c>
      <c r="AD90" s="111"/>
    </row>
    <row r="91" spans="1:30" ht="15" customHeight="1" x14ac:dyDescent="0.3">
      <c r="A91" s="22" t="s">
        <v>153</v>
      </c>
      <c r="B91" s="23">
        <v>12</v>
      </c>
      <c r="C91" s="3" t="s">
        <v>24</v>
      </c>
      <c r="D91" s="23">
        <v>2018</v>
      </c>
      <c r="E91" s="25">
        <v>16.110698769773816</v>
      </c>
      <c r="F91" s="25">
        <v>7.1856117435176792</v>
      </c>
      <c r="G91" s="25">
        <v>0.3729765677689445</v>
      </c>
      <c r="H91" s="25">
        <v>0.59483672953310651</v>
      </c>
      <c r="I91" s="25">
        <v>7.3501308849174954E-2</v>
      </c>
      <c r="J91" s="25">
        <v>6.3266555317865944E-2</v>
      </c>
      <c r="K91" s="25">
        <v>0.10089982617197069</v>
      </c>
      <c r="L91" s="25">
        <v>0.8</v>
      </c>
      <c r="M91" s="24">
        <v>2</v>
      </c>
      <c r="N91" s="108">
        <v>0</v>
      </c>
      <c r="O91" s="24">
        <v>3</v>
      </c>
      <c r="P91" s="24">
        <v>12</v>
      </c>
      <c r="Q91" s="24">
        <v>3</v>
      </c>
      <c r="R91" s="24">
        <v>4</v>
      </c>
      <c r="S91" s="24">
        <v>12</v>
      </c>
      <c r="T91" s="24">
        <v>12</v>
      </c>
      <c r="U91" s="24">
        <v>2146354535548</v>
      </c>
      <c r="V91" s="109">
        <v>5.1436451306184836E-3</v>
      </c>
      <c r="W91" s="109">
        <v>5.9217946949857359</v>
      </c>
      <c r="X91" s="109">
        <v>0.52524200317950143</v>
      </c>
      <c r="Y91" s="109">
        <v>0.50515726539962968</v>
      </c>
      <c r="Z91" s="109">
        <v>1.7651902578782517</v>
      </c>
      <c r="AA91" s="109">
        <v>8.717384221443119</v>
      </c>
      <c r="AD91" s="111"/>
    </row>
    <row r="92" spans="1:30" ht="15" customHeight="1" x14ac:dyDescent="0.3">
      <c r="A92" s="22" t="s">
        <v>153</v>
      </c>
      <c r="B92" s="23">
        <v>12</v>
      </c>
      <c r="C92" s="3" t="s">
        <v>24</v>
      </c>
      <c r="D92" s="23">
        <v>2019</v>
      </c>
      <c r="E92" s="25">
        <v>16.815694006190796</v>
      </c>
      <c r="F92" s="25">
        <v>4.8823784086262272</v>
      </c>
      <c r="G92" s="25">
        <v>0.40148914490123144</v>
      </c>
      <c r="H92" s="25">
        <v>0.67081347227190413</v>
      </c>
      <c r="I92" s="25">
        <v>4.9551210720779455E-2</v>
      </c>
      <c r="J92" s="25">
        <v>4.8144831661862585E-2</v>
      </c>
      <c r="K92" s="25">
        <v>8.0441033360902942E-2</v>
      </c>
      <c r="L92" s="25">
        <v>0.8</v>
      </c>
      <c r="M92" s="24">
        <v>1</v>
      </c>
      <c r="N92" s="108">
        <v>0</v>
      </c>
      <c r="O92" s="24">
        <v>4</v>
      </c>
      <c r="P92" s="24">
        <v>15</v>
      </c>
      <c r="Q92" s="24">
        <v>4</v>
      </c>
      <c r="R92" s="24">
        <v>5</v>
      </c>
      <c r="S92" s="24">
        <v>15</v>
      </c>
      <c r="T92" s="24">
        <v>18</v>
      </c>
      <c r="U92" s="24">
        <v>2200245923342</v>
      </c>
      <c r="V92" s="109">
        <v>0.15714038325434254</v>
      </c>
      <c r="W92" s="109">
        <v>5.9454081591629562</v>
      </c>
      <c r="X92" s="109">
        <v>0.54357545786263328</v>
      </c>
      <c r="Y92" s="109">
        <v>0.42040754659269991</v>
      </c>
      <c r="Z92" s="109">
        <v>1.5652637333652093</v>
      </c>
      <c r="AA92" s="109">
        <v>8.4746548969834983</v>
      </c>
      <c r="AD92" s="111"/>
    </row>
    <row r="93" spans="1:30" ht="15" customHeight="1" x14ac:dyDescent="0.3">
      <c r="A93" s="22" t="s">
        <v>153</v>
      </c>
      <c r="B93" s="23">
        <v>12</v>
      </c>
      <c r="C93" s="3" t="s">
        <v>24</v>
      </c>
      <c r="D93" s="23">
        <v>2020</v>
      </c>
      <c r="E93" s="25">
        <v>10.127272836881129</v>
      </c>
      <c r="F93" s="25">
        <v>3.4689979881760293</v>
      </c>
      <c r="G93" s="25">
        <v>0.42164879293035029</v>
      </c>
      <c r="H93" s="25">
        <v>0.72905319082280728</v>
      </c>
      <c r="I93" s="25">
        <v>2.9855606161781002E-2</v>
      </c>
      <c r="J93" s="25">
        <v>2.9762809091295604E-2</v>
      </c>
      <c r="K93" s="25">
        <v>5.146148002715472E-2</v>
      </c>
      <c r="L93" s="25">
        <v>0.8</v>
      </c>
      <c r="M93" s="24">
        <v>3</v>
      </c>
      <c r="N93" s="108">
        <v>0</v>
      </c>
      <c r="O93" s="24">
        <v>5</v>
      </c>
      <c r="P93" s="24">
        <v>16</v>
      </c>
      <c r="Q93" s="24">
        <v>5</v>
      </c>
      <c r="R93" s="24">
        <v>5</v>
      </c>
      <c r="S93" s="24">
        <v>16</v>
      </c>
      <c r="T93" s="24">
        <v>15</v>
      </c>
      <c r="U93" s="24">
        <v>2254736989884</v>
      </c>
      <c r="V93" s="109">
        <v>5.1422552135585421E-2</v>
      </c>
      <c r="W93" s="109">
        <v>5.5823238134495634</v>
      </c>
      <c r="X93" s="109">
        <v>0.4395800251413054</v>
      </c>
      <c r="Y93" s="109">
        <v>0.26678700998905741</v>
      </c>
      <c r="Z93" s="109">
        <v>1.4402241334613364</v>
      </c>
      <c r="AA93" s="109">
        <v>7.7289149820412621</v>
      </c>
      <c r="AD93" s="111"/>
    </row>
    <row r="94" spans="1:30" ht="15" customHeight="1" x14ac:dyDescent="0.3">
      <c r="A94" s="22" t="s">
        <v>153</v>
      </c>
      <c r="B94" s="23">
        <v>12</v>
      </c>
      <c r="C94" s="3" t="s">
        <v>24</v>
      </c>
      <c r="D94" s="23">
        <v>2021</v>
      </c>
      <c r="E94" s="25">
        <v>9.4133712017673936</v>
      </c>
      <c r="F94" s="25">
        <v>3.364937823404671</v>
      </c>
      <c r="G94" s="25">
        <v>0.4580721718885889</v>
      </c>
      <c r="H94" s="25">
        <v>0.4580721718885889</v>
      </c>
      <c r="I94" s="25">
        <v>5.8985423493959015E-2</v>
      </c>
      <c r="J94" s="25">
        <v>5.2681077626553913E-2</v>
      </c>
      <c r="K94" s="25">
        <v>5.2681077626553913E-2</v>
      </c>
      <c r="L94" s="25">
        <v>0.8</v>
      </c>
      <c r="M94" s="24">
        <v>5</v>
      </c>
      <c r="N94" s="108">
        <v>0</v>
      </c>
      <c r="O94" s="24">
        <v>7</v>
      </c>
      <c r="P94" s="24">
        <v>28</v>
      </c>
      <c r="Q94" s="24">
        <v>7</v>
      </c>
      <c r="R94" s="24">
        <v>5</v>
      </c>
      <c r="S94" s="24">
        <v>28</v>
      </c>
      <c r="T94" s="24">
        <v>15</v>
      </c>
      <c r="U94" s="24">
        <v>2524302538621</v>
      </c>
      <c r="V94" s="109">
        <v>3.0150214439881415E-3</v>
      </c>
      <c r="W94" s="109">
        <v>5.527955628668507</v>
      </c>
      <c r="X94" s="109">
        <v>0.47523888455684649</v>
      </c>
      <c r="Y94" s="109">
        <v>0.43981407630929359</v>
      </c>
      <c r="Z94" s="109">
        <v>2.2922152106969258</v>
      </c>
      <c r="AA94" s="109">
        <v>8.735223800231573</v>
      </c>
      <c r="AD94" s="111"/>
    </row>
    <row r="95" spans="1:30" ht="15" customHeight="1" x14ac:dyDescent="0.3">
      <c r="A95" s="22" t="s">
        <v>153</v>
      </c>
      <c r="B95" s="23">
        <v>12</v>
      </c>
      <c r="C95" s="3" t="s">
        <v>24</v>
      </c>
      <c r="D95" s="23">
        <v>2022</v>
      </c>
      <c r="E95" s="25">
        <v>11.814608662533601</v>
      </c>
      <c r="F95" s="25">
        <v>4.4069543475829915</v>
      </c>
      <c r="G95" s="25">
        <v>0.46073422286638444</v>
      </c>
      <c r="H95" s="25">
        <v>0.85437319111059951</v>
      </c>
      <c r="I95" s="25">
        <v>5.6378136465430238E-2</v>
      </c>
      <c r="J95" s="25">
        <v>5.4601616917790495E-2</v>
      </c>
      <c r="K95" s="25">
        <v>0.10125177460364165</v>
      </c>
      <c r="L95" s="25">
        <v>0.8</v>
      </c>
      <c r="M95" s="24">
        <v>2</v>
      </c>
      <c r="N95" s="108">
        <v>0</v>
      </c>
      <c r="O95" s="24">
        <v>4</v>
      </c>
      <c r="P95" s="24">
        <v>18</v>
      </c>
      <c r="Q95" s="24">
        <v>4</v>
      </c>
      <c r="R95" s="24">
        <v>6</v>
      </c>
      <c r="S95" s="24">
        <v>18</v>
      </c>
      <c r="T95" s="24">
        <v>18</v>
      </c>
      <c r="U95" s="24">
        <v>2668916537113</v>
      </c>
      <c r="V95" s="109">
        <v>0.14651153215883977</v>
      </c>
      <c r="W95" s="109">
        <v>5.4480473551205577</v>
      </c>
      <c r="X95" s="109">
        <v>0.47206761487673166</v>
      </c>
      <c r="Y95" s="109">
        <v>0.48079070006193703</v>
      </c>
      <c r="Z95" s="109">
        <v>1.2289711462447752</v>
      </c>
      <c r="AA95" s="109">
        <v>7.6298768163040016</v>
      </c>
      <c r="AD95" s="111"/>
    </row>
    <row r="96" spans="1:30" ht="15" customHeight="1" x14ac:dyDescent="0.3">
      <c r="A96" s="22" t="s">
        <v>153</v>
      </c>
      <c r="B96" s="23">
        <v>12</v>
      </c>
      <c r="C96" s="3" t="s">
        <v>24</v>
      </c>
      <c r="D96" s="23">
        <v>2023</v>
      </c>
      <c r="E96" s="25">
        <v>15.715888414754732</v>
      </c>
      <c r="F96" s="25">
        <v>5.4479025982738527</v>
      </c>
      <c r="G96" s="25">
        <v>0.43855902044513262</v>
      </c>
      <c r="H96" s="25">
        <v>0.78113121887483017</v>
      </c>
      <c r="I96" s="25">
        <v>6.037194886773007E-2</v>
      </c>
      <c r="J96" s="25">
        <v>6.1928582109511993E-2</v>
      </c>
      <c r="K96" s="25">
        <v>0.1103029388776308</v>
      </c>
      <c r="L96" s="25">
        <v>0.8</v>
      </c>
      <c r="M96" s="24">
        <v>3</v>
      </c>
      <c r="N96" s="108">
        <v>0</v>
      </c>
      <c r="O96" s="24">
        <v>5</v>
      </c>
      <c r="P96" s="24">
        <v>17</v>
      </c>
      <c r="Q96" s="24">
        <v>5</v>
      </c>
      <c r="R96" s="24">
        <v>5</v>
      </c>
      <c r="S96" s="24">
        <v>17</v>
      </c>
      <c r="T96" s="24">
        <v>15</v>
      </c>
      <c r="U96" s="24">
        <v>2823141641461</v>
      </c>
      <c r="V96" s="109">
        <v>0.12036318439037866</v>
      </c>
      <c r="W96" s="109">
        <v>5.8296249256875532</v>
      </c>
      <c r="X96" s="109">
        <v>0.62396384343358291</v>
      </c>
      <c r="Y96" s="109">
        <v>0.5111849525506198</v>
      </c>
      <c r="Z96" s="109">
        <v>1.3442043726180324</v>
      </c>
      <c r="AA96" s="109">
        <v>8.3089780942897882</v>
      </c>
      <c r="AD96" s="111"/>
    </row>
    <row r="97" spans="1:30" ht="15" customHeight="1" x14ac:dyDescent="0.3">
      <c r="A97" s="22" t="s">
        <v>153</v>
      </c>
      <c r="B97" s="23">
        <v>12</v>
      </c>
      <c r="C97" s="3" t="s">
        <v>24</v>
      </c>
      <c r="D97" s="23">
        <v>2024</v>
      </c>
      <c r="E97" s="25">
        <v>10.699950052977579</v>
      </c>
      <c r="F97" s="25">
        <v>4.1800016543473353</v>
      </c>
      <c r="G97" s="25">
        <v>0.56334458795880071</v>
      </c>
      <c r="H97" s="25">
        <v>1.2901353617154938</v>
      </c>
      <c r="I97" s="25">
        <v>-2.5969706934776799E-3</v>
      </c>
      <c r="J97" s="25">
        <v>-2.7181653014217134E-3</v>
      </c>
      <c r="K97" s="25">
        <v>-6.2249664757739196E-3</v>
      </c>
      <c r="L97" s="25">
        <v>0.8</v>
      </c>
      <c r="M97" s="24">
        <v>4</v>
      </c>
      <c r="N97" s="108">
        <v>0</v>
      </c>
      <c r="O97" s="24">
        <v>6</v>
      </c>
      <c r="P97" s="24">
        <v>18</v>
      </c>
      <c r="Q97" s="24">
        <v>6</v>
      </c>
      <c r="R97" s="24">
        <v>6</v>
      </c>
      <c r="S97" s="24">
        <v>18</v>
      </c>
      <c r="T97" s="24">
        <v>18</v>
      </c>
      <c r="U97" s="24">
        <v>3609299613555</v>
      </c>
      <c r="V97" s="109">
        <v>0.30449717052487396</v>
      </c>
      <c r="W97" s="109">
        <v>5.552008759050393</v>
      </c>
      <c r="X97" s="109">
        <v>0.4830574844543179</v>
      </c>
      <c r="Y97" s="109">
        <v>-4.0940946326962012E-2</v>
      </c>
      <c r="Z97" s="109">
        <v>0.81386808792204135</v>
      </c>
      <c r="AA97" s="109">
        <v>6.8079933850997909</v>
      </c>
      <c r="AD97" s="111"/>
    </row>
    <row r="98" spans="1:30" ht="15" customHeight="1" x14ac:dyDescent="0.3">
      <c r="A98" s="22" t="s">
        <v>153</v>
      </c>
      <c r="B98" s="23">
        <v>13</v>
      </c>
      <c r="C98" s="3" t="s">
        <v>18</v>
      </c>
      <c r="D98" s="23">
        <v>2015</v>
      </c>
      <c r="E98" s="25">
        <v>1.5240668197038234</v>
      </c>
      <c r="F98" s="25">
        <v>0.67233778530519894</v>
      </c>
      <c r="G98" s="25">
        <v>0.79598646336389089</v>
      </c>
      <c r="H98" s="25">
        <v>3.9016355310954705</v>
      </c>
      <c r="I98" s="25">
        <v>0.13952717756635907</v>
      </c>
      <c r="J98" s="25">
        <v>3.2836508211371879E-2</v>
      </c>
      <c r="K98" s="25">
        <v>0.16095259536596856</v>
      </c>
      <c r="L98" s="25">
        <v>0.95</v>
      </c>
      <c r="M98" s="24">
        <v>1</v>
      </c>
      <c r="N98" s="108">
        <v>0</v>
      </c>
      <c r="O98" s="24">
        <v>6</v>
      </c>
      <c r="P98" s="24">
        <v>0</v>
      </c>
      <c r="Q98" s="24">
        <v>6</v>
      </c>
      <c r="R98" s="24">
        <v>0</v>
      </c>
      <c r="S98" s="24">
        <v>0</v>
      </c>
      <c r="T98" s="24">
        <v>0</v>
      </c>
      <c r="U98" s="24">
        <v>36751228000000</v>
      </c>
      <c r="V98" s="109">
        <v>-0.26883151016351764</v>
      </c>
      <c r="W98" s="109">
        <v>0.1561957886141927</v>
      </c>
      <c r="X98" s="109">
        <v>0.63331096909197149</v>
      </c>
      <c r="Y98" s="109">
        <v>0.38166953223984784</v>
      </c>
      <c r="Z98" s="109">
        <v>0.26911791007428859</v>
      </c>
      <c r="AA98" s="109">
        <v>1.4402942000203007</v>
      </c>
      <c r="AD98" s="111"/>
    </row>
    <row r="99" spans="1:30" ht="15" customHeight="1" x14ac:dyDescent="0.3">
      <c r="A99" s="22" t="s">
        <v>153</v>
      </c>
      <c r="B99" s="23">
        <v>13</v>
      </c>
      <c r="C99" s="3" t="s">
        <v>18</v>
      </c>
      <c r="D99" s="23">
        <v>2016</v>
      </c>
      <c r="E99" s="25">
        <v>0.86898272770134655</v>
      </c>
      <c r="F99" s="25">
        <v>7.548990919092026E-2</v>
      </c>
      <c r="G99" s="25">
        <v>0.79792756771753992</v>
      </c>
      <c r="H99" s="25">
        <v>3.9487205587854954</v>
      </c>
      <c r="I99" s="25">
        <v>5.6277159734427283E-2</v>
      </c>
      <c r="J99" s="25">
        <v>1.6659671698931216E-2</v>
      </c>
      <c r="K99" s="25">
        <v>8.2444059839117803E-2</v>
      </c>
      <c r="L99" s="25">
        <v>0.95</v>
      </c>
      <c r="M99" s="24">
        <v>2</v>
      </c>
      <c r="N99" s="108">
        <v>0</v>
      </c>
      <c r="O99" s="24">
        <v>4</v>
      </c>
      <c r="P99" s="24">
        <v>0</v>
      </c>
      <c r="Q99" s="24">
        <v>4</v>
      </c>
      <c r="R99" s="24">
        <v>0</v>
      </c>
      <c r="S99" s="24">
        <v>0</v>
      </c>
      <c r="T99" s="24">
        <v>0</v>
      </c>
      <c r="U99" s="24">
        <v>39719030000000</v>
      </c>
      <c r="V99" s="109">
        <v>0.35944889873861757</v>
      </c>
      <c r="W99" s="109">
        <v>-4.0892821400724033E-2</v>
      </c>
      <c r="X99" s="109">
        <v>0.5806843631377705</v>
      </c>
      <c r="Y99" s="109">
        <v>4.3621343220113885E-2</v>
      </c>
      <c r="Z99" s="109">
        <v>0.26590891514565612</v>
      </c>
      <c r="AA99" s="109">
        <v>0.84932180010281644</v>
      </c>
      <c r="AD99" s="111"/>
    </row>
    <row r="100" spans="1:30" ht="15" customHeight="1" x14ac:dyDescent="0.3">
      <c r="A100" s="22" t="s">
        <v>153</v>
      </c>
      <c r="B100" s="23">
        <v>13</v>
      </c>
      <c r="C100" s="3" t="s">
        <v>18</v>
      </c>
      <c r="D100" s="23">
        <v>2017</v>
      </c>
      <c r="E100" s="25">
        <v>0.39489620129017622</v>
      </c>
      <c r="F100" s="25">
        <v>8.8624821482321148E-2</v>
      </c>
      <c r="G100" s="25">
        <v>0.76196361756233544</v>
      </c>
      <c r="H100" s="25">
        <v>3.2010384705030264</v>
      </c>
      <c r="I100" s="25">
        <v>0.2131432064652917</v>
      </c>
      <c r="J100" s="25">
        <v>5.589370168648411E-2</v>
      </c>
      <c r="K100" s="25">
        <v>0.23481159104373964</v>
      </c>
      <c r="L100" s="25">
        <v>0.95</v>
      </c>
      <c r="M100" s="24">
        <v>2</v>
      </c>
      <c r="N100" s="108">
        <v>0</v>
      </c>
      <c r="O100" s="24">
        <v>4</v>
      </c>
      <c r="P100" s="24">
        <v>0</v>
      </c>
      <c r="Q100" s="24">
        <v>4</v>
      </c>
      <c r="R100" s="24">
        <v>0</v>
      </c>
      <c r="S100" s="24">
        <v>0</v>
      </c>
      <c r="T100" s="24">
        <v>0</v>
      </c>
      <c r="U100" s="24">
        <v>45637074000000</v>
      </c>
      <c r="V100" s="109">
        <v>1.7832392199853973E-2</v>
      </c>
      <c r="W100" s="109">
        <v>-0.19014180269313496</v>
      </c>
      <c r="X100" s="109">
        <v>0.55541767949452669</v>
      </c>
      <c r="Y100" s="109">
        <v>8.9035990344166233E-2</v>
      </c>
      <c r="Z100" s="109">
        <v>0.3280185507533116</v>
      </c>
      <c r="AA100" s="109">
        <v>0.78233041789886948</v>
      </c>
      <c r="AD100" s="111"/>
    </row>
    <row r="101" spans="1:30" ht="15" customHeight="1" x14ac:dyDescent="0.3">
      <c r="A101" s="22" t="s">
        <v>153</v>
      </c>
      <c r="B101" s="23">
        <v>13</v>
      </c>
      <c r="C101" s="3" t="s">
        <v>18</v>
      </c>
      <c r="D101" s="23">
        <v>2018</v>
      </c>
      <c r="E101" s="25">
        <v>0.5255287114713566</v>
      </c>
      <c r="F101" s="25">
        <v>7.018422674293319E-2</v>
      </c>
      <c r="G101" s="25">
        <v>0.75377255890091144</v>
      </c>
      <c r="H101" s="25">
        <v>3.0612857589563833</v>
      </c>
      <c r="I101" s="25">
        <v>5.9444507404905776E-2</v>
      </c>
      <c r="J101" s="25">
        <v>1.4345610082150358E-2</v>
      </c>
      <c r="K101" s="25">
        <v>5.8261621930178357E-2</v>
      </c>
      <c r="L101" s="25">
        <v>0.95</v>
      </c>
      <c r="M101" s="24">
        <v>2</v>
      </c>
      <c r="N101" s="108">
        <v>0</v>
      </c>
      <c r="O101" s="24">
        <v>4</v>
      </c>
      <c r="P101" s="24">
        <v>0</v>
      </c>
      <c r="Q101" s="24">
        <v>4</v>
      </c>
      <c r="R101" s="24">
        <v>0</v>
      </c>
      <c r="S101" s="24">
        <v>0</v>
      </c>
      <c r="T101" s="24">
        <v>0</v>
      </c>
      <c r="U101" s="24">
        <v>45704853000000</v>
      </c>
      <c r="V101" s="109">
        <v>-7.8361864953025898E-2</v>
      </c>
      <c r="W101" s="109">
        <v>-0.14410703563579999</v>
      </c>
      <c r="X101" s="109">
        <v>0.73501513810798169</v>
      </c>
      <c r="Y101" s="109">
        <v>0.44337454318034891</v>
      </c>
      <c r="Z101" s="109">
        <v>0.34299313513219792</v>
      </c>
      <c r="AA101" s="109">
        <v>1.3772757807847287</v>
      </c>
      <c r="AD101" s="111"/>
    </row>
    <row r="102" spans="1:30" ht="15" customHeight="1" x14ac:dyDescent="0.3">
      <c r="A102" s="22" t="s">
        <v>153</v>
      </c>
      <c r="B102" s="23">
        <v>13</v>
      </c>
      <c r="C102" s="3" t="s">
        <v>18</v>
      </c>
      <c r="D102" s="23">
        <v>2019</v>
      </c>
      <c r="E102" s="25">
        <v>0.57284527224960569</v>
      </c>
      <c r="F102" s="25">
        <v>8.7862210051008277E-2</v>
      </c>
      <c r="G102" s="25">
        <v>0.72373019403662853</v>
      </c>
      <c r="H102" s="25">
        <v>2.6196499885788556</v>
      </c>
      <c r="I102" s="25">
        <v>0.25213771216231928</v>
      </c>
      <c r="J102" s="25">
        <v>5.5646781050891048E-2</v>
      </c>
      <c r="K102" s="25">
        <v>0.20142187039530784</v>
      </c>
      <c r="L102" s="25">
        <v>0.95</v>
      </c>
      <c r="M102" s="24">
        <v>2</v>
      </c>
      <c r="N102" s="108">
        <v>0</v>
      </c>
      <c r="O102" s="24">
        <v>4</v>
      </c>
      <c r="P102" s="24">
        <v>0</v>
      </c>
      <c r="Q102" s="24">
        <v>4</v>
      </c>
      <c r="R102" s="24">
        <v>0</v>
      </c>
      <c r="S102" s="24">
        <v>0</v>
      </c>
      <c r="T102" s="24">
        <v>0</v>
      </c>
      <c r="U102" s="24">
        <v>51009132000000</v>
      </c>
      <c r="V102" s="109">
        <v>2.0658757825355738E-2</v>
      </c>
      <c r="W102" s="109">
        <v>-0.13813118168723199</v>
      </c>
      <c r="X102" s="109">
        <v>0.69238484630555952</v>
      </c>
      <c r="Y102" s="109">
        <v>0.10411935180547671</v>
      </c>
      <c r="Z102" s="109">
        <v>0.40081690476887671</v>
      </c>
      <c r="AA102" s="109">
        <v>1.059189921192681</v>
      </c>
      <c r="AD102" s="111"/>
    </row>
    <row r="103" spans="1:30" ht="15" customHeight="1" x14ac:dyDescent="0.3">
      <c r="A103" s="22" t="s">
        <v>153</v>
      </c>
      <c r="B103" s="23">
        <v>13</v>
      </c>
      <c r="C103" s="3" t="s">
        <v>18</v>
      </c>
      <c r="D103" s="23">
        <v>2020</v>
      </c>
      <c r="E103" s="25">
        <v>0.67330033480093954</v>
      </c>
      <c r="F103" s="25">
        <v>0.26012272880114518</v>
      </c>
      <c r="G103" s="25">
        <v>0.72810232272522002</v>
      </c>
      <c r="H103" s="25">
        <v>2.6778541472768791</v>
      </c>
      <c r="I103" s="25">
        <v>0.1191900606714844</v>
      </c>
      <c r="J103" s="25">
        <v>2.6022899647494543E-2</v>
      </c>
      <c r="K103" s="25">
        <v>9.570842939270785E-2</v>
      </c>
      <c r="L103" s="25">
        <v>0.95</v>
      </c>
      <c r="M103" s="24">
        <v>2</v>
      </c>
      <c r="N103" s="108">
        <v>0</v>
      </c>
      <c r="O103" s="24">
        <v>4</v>
      </c>
      <c r="P103" s="24">
        <v>0</v>
      </c>
      <c r="Q103" s="24">
        <v>4</v>
      </c>
      <c r="R103" s="24">
        <v>0</v>
      </c>
      <c r="S103" s="24">
        <v>0</v>
      </c>
      <c r="T103" s="24">
        <v>0</v>
      </c>
      <c r="U103" s="24">
        <v>57279397000000</v>
      </c>
      <c r="V103" s="109">
        <v>0.11087171968231914</v>
      </c>
      <c r="W103" s="109">
        <v>-0.11861688278596927</v>
      </c>
      <c r="X103" s="109">
        <v>0.66674190023334223</v>
      </c>
      <c r="Y103" s="109">
        <v>0.12996684863843799</v>
      </c>
      <c r="Z103" s="109">
        <v>0.39210499984390462</v>
      </c>
      <c r="AA103" s="109">
        <v>1.0701968659297156</v>
      </c>
      <c r="AD103" s="111"/>
    </row>
    <row r="104" spans="1:30" ht="15" customHeight="1" x14ac:dyDescent="0.3">
      <c r="A104" s="22" t="s">
        <v>153</v>
      </c>
      <c r="B104" s="23">
        <v>13</v>
      </c>
      <c r="C104" s="3" t="s">
        <v>18</v>
      </c>
      <c r="D104" s="23">
        <v>2021</v>
      </c>
      <c r="E104" s="25">
        <v>0.63811613711595938</v>
      </c>
      <c r="F104" s="25">
        <v>0.13121072816397022</v>
      </c>
      <c r="G104" s="25">
        <v>0.74440251181048633</v>
      </c>
      <c r="H104" s="25">
        <v>2.9124017054719351</v>
      </c>
      <c r="I104" s="25">
        <v>7.2634786537955492E-2</v>
      </c>
      <c r="J104" s="25">
        <v>1.9000834861906617E-2</v>
      </c>
      <c r="K104" s="25">
        <v>7.4338899962357555E-2</v>
      </c>
      <c r="L104" s="25">
        <v>0.95</v>
      </c>
      <c r="M104" s="24">
        <v>2</v>
      </c>
      <c r="N104" s="108">
        <v>0</v>
      </c>
      <c r="O104" s="24">
        <v>4</v>
      </c>
      <c r="P104" s="24">
        <v>0</v>
      </c>
      <c r="Q104" s="24">
        <v>4</v>
      </c>
      <c r="R104" s="24">
        <v>0</v>
      </c>
      <c r="S104" s="24">
        <v>0</v>
      </c>
      <c r="T104" s="24">
        <v>0</v>
      </c>
      <c r="U104" s="24">
        <v>59794320000000</v>
      </c>
      <c r="V104" s="109">
        <v>0.25075966295840957</v>
      </c>
      <c r="W104" s="109">
        <v>-0.11723921335672018</v>
      </c>
      <c r="X104" s="109">
        <v>0.63049482291963521</v>
      </c>
      <c r="Y104" s="109">
        <v>0.16450841484609241</v>
      </c>
      <c r="Z104" s="109">
        <v>0.36052718896133684</v>
      </c>
      <c r="AA104" s="109">
        <v>1.0382912133703444</v>
      </c>
      <c r="AD104" s="111"/>
    </row>
    <row r="105" spans="1:30" ht="15" customHeight="1" x14ac:dyDescent="0.3">
      <c r="A105" s="22" t="s">
        <v>153</v>
      </c>
      <c r="B105" s="23">
        <v>13</v>
      </c>
      <c r="C105" s="3" t="s">
        <v>18</v>
      </c>
      <c r="D105" s="23">
        <v>2022</v>
      </c>
      <c r="E105" s="25">
        <v>0.67085233530576949</v>
      </c>
      <c r="F105" s="25">
        <v>0.14390049397650187</v>
      </c>
      <c r="G105" s="25">
        <v>0.74975090536052347</v>
      </c>
      <c r="H105" s="25">
        <v>2.9960184528965357</v>
      </c>
      <c r="I105" s="25">
        <v>3.5783905440565041E-2</v>
      </c>
      <c r="J105" s="25">
        <v>7.1666810739412076E-3</v>
      </c>
      <c r="K105" s="25">
        <v>2.8638189817493429E-2</v>
      </c>
      <c r="L105" s="25">
        <v>0.95</v>
      </c>
      <c r="M105" s="24">
        <v>2</v>
      </c>
      <c r="N105" s="108">
        <v>0</v>
      </c>
      <c r="O105" s="24">
        <v>4</v>
      </c>
      <c r="P105" s="24">
        <v>0</v>
      </c>
      <c r="Q105" s="24">
        <v>4</v>
      </c>
      <c r="R105" s="24">
        <v>0</v>
      </c>
      <c r="S105" s="24">
        <v>0</v>
      </c>
      <c r="T105" s="24">
        <v>0</v>
      </c>
      <c r="U105" s="24">
        <v>59078951000000</v>
      </c>
      <c r="V105" s="109">
        <v>-0.24355881569973464</v>
      </c>
      <c r="W105" s="109">
        <v>-0.12218216941597354</v>
      </c>
      <c r="X105" s="109">
        <v>0.66870502660076003</v>
      </c>
      <c r="Y105" s="109">
        <v>0.18415356359323304</v>
      </c>
      <c r="Z105" s="109">
        <v>0.35046513114258865</v>
      </c>
      <c r="AA105" s="109">
        <v>1.081141551920608</v>
      </c>
      <c r="AD105" s="111"/>
    </row>
    <row r="106" spans="1:30" ht="15" customHeight="1" x14ac:dyDescent="0.3">
      <c r="A106" s="22" t="s">
        <v>153</v>
      </c>
      <c r="B106" s="23">
        <v>13</v>
      </c>
      <c r="C106" s="3" t="s">
        <v>18</v>
      </c>
      <c r="D106" s="23">
        <v>2023</v>
      </c>
      <c r="E106" s="25">
        <v>0.58923706565029665</v>
      </c>
      <c r="F106" s="25">
        <v>0.167296265906166</v>
      </c>
      <c r="G106" s="25">
        <v>0.7575515125538308</v>
      </c>
      <c r="H106" s="25">
        <v>3.1245874970534913</v>
      </c>
      <c r="I106" s="25">
        <v>9.3870994318852638E-2</v>
      </c>
      <c r="J106" s="25">
        <v>2.0619505773600035E-2</v>
      </c>
      <c r="K106" s="25">
        <v>8.5046955709212987E-2</v>
      </c>
      <c r="L106" s="25">
        <v>0.95</v>
      </c>
      <c r="M106" s="24">
        <v>2</v>
      </c>
      <c r="N106" s="108">
        <v>0</v>
      </c>
      <c r="O106" s="24">
        <v>4</v>
      </c>
      <c r="P106" s="24">
        <v>0</v>
      </c>
      <c r="Q106" s="24">
        <v>4</v>
      </c>
      <c r="R106" s="24">
        <v>0</v>
      </c>
      <c r="S106" s="24">
        <v>0</v>
      </c>
      <c r="T106" s="24">
        <v>0</v>
      </c>
      <c r="U106" s="24">
        <v>62274577000000</v>
      </c>
      <c r="V106" s="109">
        <v>0.15609761044815665</v>
      </c>
      <c r="W106" s="109">
        <v>-0.18182568466101343</v>
      </c>
      <c r="X106" s="109">
        <v>0.60512748276074202</v>
      </c>
      <c r="Y106" s="109">
        <v>6.3376909649663304E-2</v>
      </c>
      <c r="Z106" s="109">
        <v>0.33604435817212919</v>
      </c>
      <c r="AA106" s="109">
        <v>0.822723065921521</v>
      </c>
      <c r="AD106" s="111"/>
    </row>
    <row r="107" spans="1:30" ht="15" customHeight="1" x14ac:dyDescent="0.3">
      <c r="A107" s="22" t="s">
        <v>153</v>
      </c>
      <c r="B107" s="23">
        <v>13</v>
      </c>
      <c r="C107" s="3" t="s">
        <v>18</v>
      </c>
      <c r="D107" s="23">
        <v>2024</v>
      </c>
      <c r="E107" s="25">
        <v>0.63094642387833877</v>
      </c>
      <c r="F107" s="25">
        <v>0.23666257375009184</v>
      </c>
      <c r="G107" s="25">
        <v>0.74766979722675042</v>
      </c>
      <c r="H107" s="25">
        <v>2.963061056541954</v>
      </c>
      <c r="I107" s="25">
        <v>9.9382184191374609E-2</v>
      </c>
      <c r="J107" s="25">
        <v>2.0655584249245667E-2</v>
      </c>
      <c r="K107" s="25">
        <v>8.1859341538306887E-2</v>
      </c>
      <c r="L107" s="25">
        <v>0.95</v>
      </c>
      <c r="M107" s="24">
        <v>2</v>
      </c>
      <c r="N107" s="108">
        <v>0</v>
      </c>
      <c r="O107" s="24">
        <v>4</v>
      </c>
      <c r="P107" s="24">
        <v>0</v>
      </c>
      <c r="Q107" s="24">
        <v>4</v>
      </c>
      <c r="R107" s="24">
        <v>0</v>
      </c>
      <c r="S107" s="24">
        <v>0</v>
      </c>
      <c r="T107" s="24">
        <v>0</v>
      </c>
      <c r="U107" s="24">
        <v>61973362000000</v>
      </c>
      <c r="V107" s="109">
        <v>-5.8378462388944653E-2</v>
      </c>
      <c r="W107" s="109">
        <v>-0.17495154127671822</v>
      </c>
      <c r="X107" s="109">
        <v>0.66589707268100118</v>
      </c>
      <c r="Y107" s="109">
        <v>0.21806100756644442</v>
      </c>
      <c r="Z107" s="109">
        <v>0.35436326824307984</v>
      </c>
      <c r="AA107" s="109">
        <v>1.0633698072138071</v>
      </c>
      <c r="AD107" s="111"/>
    </row>
    <row r="108" spans="1:30" ht="15" customHeight="1" x14ac:dyDescent="0.3">
      <c r="A108" s="22" t="s">
        <v>153</v>
      </c>
      <c r="B108" s="23">
        <v>14</v>
      </c>
      <c r="C108" s="3" t="s">
        <v>57</v>
      </c>
      <c r="D108" s="23">
        <v>2024</v>
      </c>
      <c r="E108" s="25">
        <v>1.5496164213145345</v>
      </c>
      <c r="F108" s="25">
        <v>0.64694173750777528</v>
      </c>
      <c r="G108" s="25">
        <v>0.13306898924920413</v>
      </c>
      <c r="H108" s="25">
        <v>0.49476534612396084</v>
      </c>
      <c r="I108" s="25">
        <v>4.9319932595089072E-2</v>
      </c>
      <c r="J108" s="25">
        <v>2.5753514199786933E-3</v>
      </c>
      <c r="K108" s="25">
        <v>9.5754438647636525E-3</v>
      </c>
      <c r="L108" s="25">
        <v>0.99</v>
      </c>
      <c r="M108" s="24">
        <v>2</v>
      </c>
      <c r="N108" s="108">
        <v>0</v>
      </c>
      <c r="O108" s="24">
        <v>3</v>
      </c>
      <c r="P108" s="24">
        <v>0</v>
      </c>
      <c r="Q108" s="24">
        <v>3</v>
      </c>
      <c r="R108" s="24">
        <v>0</v>
      </c>
      <c r="S108" s="24">
        <v>0</v>
      </c>
      <c r="T108" s="24">
        <v>0</v>
      </c>
      <c r="U108" s="24">
        <v>1272836000000</v>
      </c>
      <c r="V108" s="109">
        <v>0</v>
      </c>
      <c r="W108" s="109">
        <v>0.2732362692444274</v>
      </c>
      <c r="X108" s="109">
        <v>7.8475467381500831E-3</v>
      </c>
      <c r="Y108" s="109">
        <v>3.4649679927343351E-2</v>
      </c>
      <c r="Z108" s="109">
        <v>2.12221815498155</v>
      </c>
      <c r="AA108" s="109">
        <v>2.4379516508914709</v>
      </c>
      <c r="AD108" s="111"/>
    </row>
    <row r="109" spans="1:30" ht="15" customHeight="1" x14ac:dyDescent="0.3">
      <c r="A109" s="22" t="s">
        <v>153</v>
      </c>
      <c r="B109" s="23">
        <v>15</v>
      </c>
      <c r="C109" s="3" t="s">
        <v>25</v>
      </c>
      <c r="D109" s="23">
        <v>2017</v>
      </c>
      <c r="E109" s="25">
        <v>1.2126101910445115</v>
      </c>
      <c r="F109" s="25">
        <v>4.9010592299630992E-2</v>
      </c>
      <c r="G109" s="25">
        <v>0.23164486947925012</v>
      </c>
      <c r="H109" s="25">
        <v>0.30148151587437655</v>
      </c>
      <c r="I109" s="25">
        <v>1.9973405430978971E-2</v>
      </c>
      <c r="J109" s="25">
        <v>2.4781801656843841E-3</v>
      </c>
      <c r="K109" s="25">
        <v>3.2253056786447258E-3</v>
      </c>
      <c r="L109" s="25">
        <v>0</v>
      </c>
      <c r="M109" s="24">
        <v>0</v>
      </c>
      <c r="N109" s="108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202382380000</v>
      </c>
      <c r="V109" s="109">
        <v>0</v>
      </c>
      <c r="W109" s="109">
        <v>0.13526964155674026</v>
      </c>
      <c r="X109" s="109">
        <v>8.0788673401310917E-3</v>
      </c>
      <c r="Y109" s="109">
        <v>1.5040297480442714E-2</v>
      </c>
      <c r="Z109" s="109">
        <v>3.4828005854843895</v>
      </c>
      <c r="AA109" s="109">
        <v>3.6411893918617038</v>
      </c>
      <c r="AD109" s="111"/>
    </row>
    <row r="110" spans="1:30" ht="15" customHeight="1" x14ac:dyDescent="0.3">
      <c r="A110" s="22" t="s">
        <v>153</v>
      </c>
      <c r="B110" s="23">
        <v>15</v>
      </c>
      <c r="C110" s="3" t="s">
        <v>25</v>
      </c>
      <c r="D110" s="23">
        <v>2018</v>
      </c>
      <c r="E110" s="25">
        <v>4.7427580030907945</v>
      </c>
      <c r="F110" s="25">
        <v>0.39781194372611711</v>
      </c>
      <c r="G110" s="25">
        <v>0.340161972763521</v>
      </c>
      <c r="H110" s="25">
        <v>0.51552344472806588</v>
      </c>
      <c r="I110" s="25">
        <v>2.8845168167685946E-2</v>
      </c>
      <c r="J110" s="25">
        <v>6.1392427678719688E-3</v>
      </c>
      <c r="K110" s="25">
        <v>9.3041663475871925E-3</v>
      </c>
      <c r="L110" s="25">
        <v>0.99</v>
      </c>
      <c r="M110" s="24">
        <v>2</v>
      </c>
      <c r="N110" s="108">
        <v>0</v>
      </c>
      <c r="O110" s="24">
        <v>3</v>
      </c>
      <c r="P110" s="24">
        <v>0</v>
      </c>
      <c r="Q110" s="24">
        <v>3</v>
      </c>
      <c r="R110" s="24">
        <v>0</v>
      </c>
      <c r="S110" s="24">
        <v>0</v>
      </c>
      <c r="T110" s="24">
        <v>0</v>
      </c>
      <c r="U110" s="24">
        <v>237879500000</v>
      </c>
      <c r="V110" s="109">
        <v>1.0162542278315869</v>
      </c>
      <c r="W110" s="109">
        <v>1.6009078277026809</v>
      </c>
      <c r="X110" s="109">
        <v>2.5974941934887197E-2</v>
      </c>
      <c r="Y110" s="109">
        <v>3.7686374824228229E-2</v>
      </c>
      <c r="Z110" s="109">
        <v>2.0367647887553701</v>
      </c>
      <c r="AA110" s="109">
        <v>3.7013339332171666</v>
      </c>
      <c r="AD110" s="111"/>
    </row>
    <row r="111" spans="1:30" ht="15" customHeight="1" x14ac:dyDescent="0.3">
      <c r="A111" s="22" t="s">
        <v>153</v>
      </c>
      <c r="B111" s="23">
        <v>15</v>
      </c>
      <c r="C111" s="3" t="s">
        <v>25</v>
      </c>
      <c r="D111" s="23">
        <v>2019</v>
      </c>
      <c r="E111" s="25">
        <v>3.2586494185267112</v>
      </c>
      <c r="F111" s="25">
        <v>0.26836011127160708</v>
      </c>
      <c r="G111" s="25">
        <v>0.36079582831398976</v>
      </c>
      <c r="H111" s="25">
        <v>0.56444535923839345</v>
      </c>
      <c r="I111" s="25">
        <v>8.6075815935684252E-2</v>
      </c>
      <c r="J111" s="25">
        <v>2.1467500805515356E-2</v>
      </c>
      <c r="K111" s="25">
        <v>3.3584732009634972E-2</v>
      </c>
      <c r="L111" s="25">
        <v>0.99</v>
      </c>
      <c r="M111" s="24">
        <v>2</v>
      </c>
      <c r="N111" s="108">
        <v>0</v>
      </c>
      <c r="O111" s="24">
        <v>3</v>
      </c>
      <c r="P111" s="24">
        <v>0</v>
      </c>
      <c r="Q111" s="24">
        <v>3</v>
      </c>
      <c r="R111" s="24">
        <v>0</v>
      </c>
      <c r="S111" s="24">
        <v>0</v>
      </c>
      <c r="T111" s="24">
        <v>0</v>
      </c>
      <c r="U111" s="24">
        <v>254091990000</v>
      </c>
      <c r="V111" s="109">
        <v>0.25167784505815155</v>
      </c>
      <c r="W111" s="109">
        <v>1.083118025090047</v>
      </c>
      <c r="X111" s="109">
        <v>5.7291206228106593E-2</v>
      </c>
      <c r="Y111" s="109">
        <v>6.3682800862789893E-2</v>
      </c>
      <c r="Z111" s="109">
        <v>1.8602332055963147</v>
      </c>
      <c r="AA111" s="109">
        <v>3.0643252377772581</v>
      </c>
      <c r="AD111" s="111"/>
    </row>
    <row r="112" spans="1:30" ht="15" customHeight="1" x14ac:dyDescent="0.3">
      <c r="A112" s="22" t="s">
        <v>153</v>
      </c>
      <c r="B112" s="23">
        <v>15</v>
      </c>
      <c r="C112" s="3" t="s">
        <v>25</v>
      </c>
      <c r="D112" s="23">
        <v>2020</v>
      </c>
      <c r="E112" s="25">
        <v>2.3246212218147142</v>
      </c>
      <c r="F112" s="25">
        <v>4.6358220655044829E-2</v>
      </c>
      <c r="G112" s="25">
        <v>0.44359824155172994</v>
      </c>
      <c r="H112" s="25">
        <v>0.79726247233449798</v>
      </c>
      <c r="I112" s="25">
        <v>3.9801812719509555E-2</v>
      </c>
      <c r="J112" s="25">
        <v>1.1361119500654384E-2</v>
      </c>
      <c r="K112" s="25">
        <v>2.0418913722233777E-2</v>
      </c>
      <c r="L112" s="25">
        <v>0.99</v>
      </c>
      <c r="M112" s="24">
        <v>2</v>
      </c>
      <c r="N112" s="108">
        <v>0</v>
      </c>
      <c r="O112" s="24">
        <v>3</v>
      </c>
      <c r="P112" s="24">
        <v>0</v>
      </c>
      <c r="Q112" s="24">
        <v>3</v>
      </c>
      <c r="R112" s="24">
        <v>0</v>
      </c>
      <c r="S112" s="24">
        <v>0</v>
      </c>
      <c r="T112" s="24">
        <v>0</v>
      </c>
      <c r="U112" s="24">
        <v>297990000000</v>
      </c>
      <c r="V112" s="109">
        <v>0.34223528671030062</v>
      </c>
      <c r="W112" s="109">
        <v>1.0825122722239</v>
      </c>
      <c r="X112" s="109">
        <v>0.13001174066243831</v>
      </c>
      <c r="Y112" s="109">
        <v>0.16402379140239604</v>
      </c>
      <c r="Z112" s="109">
        <v>1.3170066777700582</v>
      </c>
      <c r="AA112" s="109">
        <v>2.6935544820587927</v>
      </c>
      <c r="AD112" s="111"/>
    </row>
    <row r="113" spans="1:30" ht="15" customHeight="1" x14ac:dyDescent="0.3">
      <c r="A113" s="22" t="s">
        <v>153</v>
      </c>
      <c r="B113" s="23">
        <v>15</v>
      </c>
      <c r="C113" s="3" t="s">
        <v>25</v>
      </c>
      <c r="D113" s="23">
        <v>2021</v>
      </c>
      <c r="E113" s="25">
        <v>1.6827688947852182</v>
      </c>
      <c r="F113" s="25">
        <v>4.4821179132852294E-2</v>
      </c>
      <c r="G113" s="25">
        <v>0.52468464152487271</v>
      </c>
      <c r="H113" s="25">
        <v>1.1038664366166224</v>
      </c>
      <c r="I113" s="25">
        <v>0.11200602498245196</v>
      </c>
      <c r="J113" s="25">
        <v>3.2158197240909521E-2</v>
      </c>
      <c r="K113" s="25">
        <v>6.7656553645575865E-2</v>
      </c>
      <c r="L113" s="25">
        <v>0.99</v>
      </c>
      <c r="M113" s="24">
        <v>1</v>
      </c>
      <c r="N113" s="108">
        <v>0</v>
      </c>
      <c r="O113" s="24">
        <v>2</v>
      </c>
      <c r="P113" s="24">
        <v>0</v>
      </c>
      <c r="Q113" s="24">
        <v>2</v>
      </c>
      <c r="R113" s="24">
        <v>0</v>
      </c>
      <c r="S113" s="24">
        <v>0</v>
      </c>
      <c r="T113" s="24">
        <v>0</v>
      </c>
      <c r="U113" s="24">
        <v>374138510000</v>
      </c>
      <c r="V113" s="109">
        <v>0.26288194985735774</v>
      </c>
      <c r="W113" s="109">
        <v>0.81194551825205041</v>
      </c>
      <c r="X113" s="109">
        <v>0.1148152105486281</v>
      </c>
      <c r="Y113" s="109">
        <v>2.0463984848819759E-2</v>
      </c>
      <c r="Z113" s="109">
        <v>0.95120203420467764</v>
      </c>
      <c r="AA113" s="109">
        <v>1.8984267478541759</v>
      </c>
      <c r="AD113" s="111"/>
    </row>
    <row r="114" spans="1:30" ht="15" customHeight="1" x14ac:dyDescent="0.3">
      <c r="A114" s="22" t="s">
        <v>153</v>
      </c>
      <c r="B114" s="23">
        <v>15</v>
      </c>
      <c r="C114" s="3" t="s">
        <v>25</v>
      </c>
      <c r="D114" s="23">
        <v>2022</v>
      </c>
      <c r="E114" s="25">
        <v>1.5721601006093173</v>
      </c>
      <c r="F114" s="25">
        <v>2.4748596981382414E-2</v>
      </c>
      <c r="G114" s="25">
        <v>0.56651573753863382</v>
      </c>
      <c r="H114" s="25">
        <v>1.306888822957267</v>
      </c>
      <c r="I114" s="25">
        <v>5.4876580854708451E-2</v>
      </c>
      <c r="J114" s="25">
        <v>2.1237346852587317E-2</v>
      </c>
      <c r="K114" s="25">
        <v>4.8992198083500381E-2</v>
      </c>
      <c r="L114" s="25">
        <v>0.99</v>
      </c>
      <c r="M114" s="24">
        <v>2</v>
      </c>
      <c r="N114" s="108">
        <v>0</v>
      </c>
      <c r="O114" s="24">
        <v>3</v>
      </c>
      <c r="P114" s="24">
        <v>0</v>
      </c>
      <c r="Q114" s="24">
        <v>3</v>
      </c>
      <c r="R114" s="24">
        <v>0</v>
      </c>
      <c r="S114" s="24">
        <v>0</v>
      </c>
      <c r="T114" s="24">
        <v>0</v>
      </c>
      <c r="U114" s="24">
        <v>431376860000</v>
      </c>
      <c r="V114" s="109">
        <v>0.55412998024565396</v>
      </c>
      <c r="W114" s="109">
        <v>0.66916410490817702</v>
      </c>
      <c r="X114" s="109">
        <v>0.18141187916292031</v>
      </c>
      <c r="Y114" s="109">
        <v>0.16742732839216271</v>
      </c>
      <c r="Z114" s="109">
        <v>0.80343483053442044</v>
      </c>
      <c r="AA114" s="109">
        <v>1.8214381429976805</v>
      </c>
      <c r="AD114" s="111"/>
    </row>
    <row r="115" spans="1:30" ht="15" customHeight="1" x14ac:dyDescent="0.3">
      <c r="A115" s="22" t="s">
        <v>153</v>
      </c>
      <c r="B115" s="23">
        <v>15</v>
      </c>
      <c r="C115" s="3" t="s">
        <v>25</v>
      </c>
      <c r="D115" s="23">
        <v>2023</v>
      </c>
      <c r="E115" s="25">
        <v>1.6165858285152901</v>
      </c>
      <c r="F115" s="25">
        <v>4.6228005785605063E-2</v>
      </c>
      <c r="G115" s="25">
        <v>0.62028620268839485</v>
      </c>
      <c r="H115" s="25">
        <v>1.6335624543539258</v>
      </c>
      <c r="I115" s="25">
        <v>3.1362370736869219E-2</v>
      </c>
      <c r="J115" s="25">
        <v>1.1592064637892452E-2</v>
      </c>
      <c r="K115" s="25">
        <v>3.05284261987974E-2</v>
      </c>
      <c r="L115" s="25">
        <v>0.99</v>
      </c>
      <c r="M115" s="24">
        <v>2</v>
      </c>
      <c r="N115" s="108">
        <v>0</v>
      </c>
      <c r="O115" s="24">
        <v>3</v>
      </c>
      <c r="P115" s="24">
        <v>0</v>
      </c>
      <c r="Q115" s="24">
        <v>3</v>
      </c>
      <c r="R115" s="24">
        <v>0</v>
      </c>
      <c r="S115" s="24">
        <v>0</v>
      </c>
      <c r="T115" s="24">
        <v>0</v>
      </c>
      <c r="U115" s="24">
        <v>507970770000</v>
      </c>
      <c r="V115" s="109">
        <v>0.12465824558469439</v>
      </c>
      <c r="W115" s="109">
        <v>0.7453434692708798</v>
      </c>
      <c r="X115" s="109">
        <v>0.1750495474375425</v>
      </c>
      <c r="Y115" s="109">
        <v>4.1267539862579097E-2</v>
      </c>
      <c r="Z115" s="109">
        <v>0.6427669766781432</v>
      </c>
      <c r="AA115" s="109">
        <v>1.6044275332491447</v>
      </c>
      <c r="AD115" s="111"/>
    </row>
    <row r="116" spans="1:30" ht="15" customHeight="1" x14ac:dyDescent="0.3">
      <c r="A116" s="22" t="s">
        <v>153</v>
      </c>
      <c r="B116" s="23">
        <v>15</v>
      </c>
      <c r="C116" s="3" t="s">
        <v>25</v>
      </c>
      <c r="D116" s="23">
        <v>2024</v>
      </c>
      <c r="E116" s="25">
        <v>2.6294710090361444</v>
      </c>
      <c r="F116" s="25">
        <v>0.13024002736835669</v>
      </c>
      <c r="G116" s="25">
        <v>0.63868056368850856</v>
      </c>
      <c r="H116" s="25">
        <v>1.7676341195714298</v>
      </c>
      <c r="I116" s="25">
        <v>-1.9929184146563635E-2</v>
      </c>
      <c r="J116" s="25">
        <v>-1.2307116971684203E-2</v>
      </c>
      <c r="K116" s="25">
        <v>-3.4061596844389815E-2</v>
      </c>
      <c r="L116" s="25">
        <v>0.99</v>
      </c>
      <c r="M116" s="24">
        <v>2</v>
      </c>
      <c r="N116" s="108">
        <v>0</v>
      </c>
      <c r="O116" s="24">
        <v>3</v>
      </c>
      <c r="P116" s="24">
        <v>0</v>
      </c>
      <c r="Q116" s="24">
        <v>3</v>
      </c>
      <c r="R116" s="24">
        <v>0</v>
      </c>
      <c r="S116" s="24">
        <v>0</v>
      </c>
      <c r="T116" s="24">
        <v>0</v>
      </c>
      <c r="U116" s="24">
        <v>516246820000</v>
      </c>
      <c r="V116" s="109">
        <v>0.69798388982385628</v>
      </c>
      <c r="W116" s="109">
        <v>0.86671711333737611</v>
      </c>
      <c r="X116" s="109">
        <v>0.25393349406006993</v>
      </c>
      <c r="Y116" s="109">
        <v>0.1659263807184323</v>
      </c>
      <c r="Z116" s="109">
        <v>0.59401433157138706</v>
      </c>
      <c r="AA116" s="109">
        <v>1.8805913196872655</v>
      </c>
      <c r="AD116" s="111"/>
    </row>
    <row r="117" spans="1:30" ht="15" customHeight="1" x14ac:dyDescent="0.3">
      <c r="A117" s="22" t="s">
        <v>153</v>
      </c>
      <c r="B117" s="23">
        <v>16</v>
      </c>
      <c r="C117" s="3" t="s">
        <v>44</v>
      </c>
      <c r="D117" s="23">
        <v>2015</v>
      </c>
      <c r="E117" s="25">
        <v>4.0696336930059687</v>
      </c>
      <c r="F117" s="25">
        <v>3.6142590114981936E-2</v>
      </c>
      <c r="G117" s="25">
        <v>0.62659369820928335</v>
      </c>
      <c r="H117" s="25">
        <v>1.6780480008087035</v>
      </c>
      <c r="I117" s="25">
        <v>0.19001760757961841</v>
      </c>
      <c r="J117" s="25">
        <v>3.9327219388493491E-2</v>
      </c>
      <c r="K117" s="25">
        <v>0.10532018126072028</v>
      </c>
      <c r="L117" s="25">
        <v>0.99</v>
      </c>
      <c r="M117" s="24">
        <v>1</v>
      </c>
      <c r="N117" s="108">
        <v>0</v>
      </c>
      <c r="O117" s="24">
        <v>3</v>
      </c>
      <c r="P117" s="24">
        <v>0</v>
      </c>
      <c r="Q117" s="24">
        <v>3</v>
      </c>
      <c r="R117" s="24">
        <v>3</v>
      </c>
      <c r="S117" s="24">
        <v>0</v>
      </c>
      <c r="T117" s="24">
        <v>3</v>
      </c>
      <c r="U117" s="24">
        <v>362414130000</v>
      </c>
      <c r="V117" s="109">
        <v>0</v>
      </c>
      <c r="W117" s="109">
        <v>3.0370645603691</v>
      </c>
      <c r="X117" s="109">
        <v>0.31778111741945597</v>
      </c>
      <c r="Y117" s="109">
        <v>0.30193503547999079</v>
      </c>
      <c r="Z117" s="109">
        <v>0.62572703492031956</v>
      </c>
      <c r="AA117" s="109">
        <v>4.2825077481888663</v>
      </c>
      <c r="AD117" s="111"/>
    </row>
    <row r="118" spans="1:30" ht="15" customHeight="1" x14ac:dyDescent="0.3">
      <c r="A118" s="22" t="s">
        <v>153</v>
      </c>
      <c r="B118" s="23">
        <v>16</v>
      </c>
      <c r="C118" s="3" t="s">
        <v>44</v>
      </c>
      <c r="D118" s="23">
        <v>2016</v>
      </c>
      <c r="E118" s="25">
        <v>13.762899676035117</v>
      </c>
      <c r="F118" s="25">
        <v>0.11288870800195068</v>
      </c>
      <c r="G118" s="25">
        <v>0.64106822609189074</v>
      </c>
      <c r="H118" s="25">
        <v>1.7860447937273218</v>
      </c>
      <c r="I118" s="25">
        <v>0.16108386101027092</v>
      </c>
      <c r="J118" s="25">
        <v>4.8595752280674524E-2</v>
      </c>
      <c r="K118" s="25">
        <v>0.13538994263883589</v>
      </c>
      <c r="L118" s="25">
        <v>0.99</v>
      </c>
      <c r="M118" s="24">
        <v>1</v>
      </c>
      <c r="N118" s="108">
        <v>0</v>
      </c>
      <c r="O118" s="24">
        <v>2</v>
      </c>
      <c r="P118" s="24">
        <v>0</v>
      </c>
      <c r="Q118" s="24">
        <v>2</v>
      </c>
      <c r="R118" s="24">
        <v>4</v>
      </c>
      <c r="S118" s="24">
        <v>0</v>
      </c>
      <c r="T118" s="24">
        <v>4</v>
      </c>
      <c r="U118" s="24">
        <v>436068360000</v>
      </c>
      <c r="V118" s="109">
        <v>0.75386571497478849</v>
      </c>
      <c r="W118" s="109">
        <v>4.2362855768760648</v>
      </c>
      <c r="X118" s="109">
        <v>0.42252837467960297</v>
      </c>
      <c r="Y118" s="109">
        <v>0.43117360039604796</v>
      </c>
      <c r="Z118" s="109">
        <v>0.58789119046042537</v>
      </c>
      <c r="AA118" s="109">
        <v>5.6778787424121404</v>
      </c>
      <c r="AD118" s="111"/>
    </row>
    <row r="119" spans="1:30" ht="15" customHeight="1" x14ac:dyDescent="0.3">
      <c r="A119" s="22" t="s">
        <v>153</v>
      </c>
      <c r="B119" s="23">
        <v>16</v>
      </c>
      <c r="C119" s="3" t="s">
        <v>44</v>
      </c>
      <c r="D119" s="23">
        <v>2017</v>
      </c>
      <c r="E119" s="25">
        <v>3.3967483784985095</v>
      </c>
      <c r="F119" s="25">
        <v>4.573372418035012E-3</v>
      </c>
      <c r="G119" s="25">
        <v>0.75727532134920994</v>
      </c>
      <c r="H119" s="25">
        <v>3.1198940470297796</v>
      </c>
      <c r="I119" s="25">
        <v>0.1573597352701385</v>
      </c>
      <c r="J119" s="25">
        <v>3.5232957471938921E-2</v>
      </c>
      <c r="K119" s="25">
        <v>0.14515604982360925</v>
      </c>
      <c r="L119" s="25">
        <v>0.99</v>
      </c>
      <c r="M119" s="24">
        <v>2</v>
      </c>
      <c r="N119" s="108">
        <v>0</v>
      </c>
      <c r="O119" s="24">
        <v>3</v>
      </c>
      <c r="P119" s="24">
        <v>0</v>
      </c>
      <c r="Q119" s="24">
        <v>3</v>
      </c>
      <c r="R119" s="24">
        <v>4</v>
      </c>
      <c r="S119" s="24">
        <v>0</v>
      </c>
      <c r="T119" s="24">
        <v>4</v>
      </c>
      <c r="U119" s="24">
        <v>754337470000</v>
      </c>
      <c r="V119" s="109">
        <v>0.2838678060094853</v>
      </c>
      <c r="W119" s="109">
        <v>3.7509363823594759</v>
      </c>
      <c r="X119" s="109">
        <v>0.35911517931092563</v>
      </c>
      <c r="Y119" s="109">
        <v>0.29748121725943166</v>
      </c>
      <c r="Z119" s="109">
        <v>0.33654989053222095</v>
      </c>
      <c r="AA119" s="109">
        <v>4.7440826694620535</v>
      </c>
      <c r="AD119" s="111"/>
    </row>
    <row r="120" spans="1:30" ht="15" customHeight="1" x14ac:dyDescent="0.3">
      <c r="A120" s="22" t="s">
        <v>153</v>
      </c>
      <c r="B120" s="23">
        <v>16</v>
      </c>
      <c r="C120" s="3" t="s">
        <v>44</v>
      </c>
      <c r="D120" s="23">
        <v>2018</v>
      </c>
      <c r="E120" s="25">
        <v>2.3502249696034578</v>
      </c>
      <c r="F120" s="25">
        <v>2.723230195398778E-3</v>
      </c>
      <c r="G120" s="25">
        <v>0.87300007377125355</v>
      </c>
      <c r="H120" s="25">
        <v>6.8738249454620837</v>
      </c>
      <c r="I120" s="25">
        <v>-0.5045879911224268</v>
      </c>
      <c r="J120" s="25">
        <v>-9.3307111148155167E-2</v>
      </c>
      <c r="K120" s="25">
        <v>-0.73468120733200304</v>
      </c>
      <c r="L120" s="25">
        <v>0.99</v>
      </c>
      <c r="M120" s="24">
        <v>3</v>
      </c>
      <c r="N120" s="108">
        <v>0</v>
      </c>
      <c r="O120" s="24">
        <v>4</v>
      </c>
      <c r="P120" s="24">
        <v>0</v>
      </c>
      <c r="Q120" s="24">
        <v>4</v>
      </c>
      <c r="R120" s="24">
        <v>4</v>
      </c>
      <c r="S120" s="24">
        <v>0</v>
      </c>
      <c r="T120" s="24">
        <v>4</v>
      </c>
      <c r="U120" s="24">
        <v>831082530000</v>
      </c>
      <c r="V120" s="109">
        <v>-9.008500462116785E-2</v>
      </c>
      <c r="W120" s="109">
        <v>2.9983611086133646</v>
      </c>
      <c r="X120" s="109">
        <v>3.4234563684066369E-2</v>
      </c>
      <c r="Y120" s="109">
        <v>-0.60532753877042755</v>
      </c>
      <c r="Z120" s="109">
        <v>0.15275338088049248</v>
      </c>
      <c r="AA120" s="109">
        <v>2.5800215144074961</v>
      </c>
      <c r="AD120" s="111"/>
    </row>
    <row r="121" spans="1:30" ht="15" customHeight="1" x14ac:dyDescent="0.3">
      <c r="A121" s="22" t="s">
        <v>153</v>
      </c>
      <c r="B121" s="23">
        <v>16</v>
      </c>
      <c r="C121" s="3" t="s">
        <v>44</v>
      </c>
      <c r="D121" s="23">
        <v>2019</v>
      </c>
      <c r="E121" s="25">
        <v>4.0658646309888811</v>
      </c>
      <c r="F121" s="25">
        <v>7.986775565090827E-2</v>
      </c>
      <c r="G121" s="25">
        <v>0.80295064003662908</v>
      </c>
      <c r="H121" s="25">
        <v>4.0748703247412639</v>
      </c>
      <c r="I121" s="25">
        <v>5.6262841402294948E-2</v>
      </c>
      <c r="J121" s="25">
        <v>7.8370841010809728E-3</v>
      </c>
      <c r="K121" s="25">
        <v>3.977218504308011E-2</v>
      </c>
      <c r="L121" s="25">
        <v>0.99</v>
      </c>
      <c r="M121" s="24">
        <v>2</v>
      </c>
      <c r="N121" s="108">
        <v>0</v>
      </c>
      <c r="O121" s="24">
        <v>4</v>
      </c>
      <c r="P121" s="24">
        <v>0</v>
      </c>
      <c r="Q121" s="24">
        <v>4</v>
      </c>
      <c r="R121" s="24">
        <v>2</v>
      </c>
      <c r="S121" s="24">
        <v>0</v>
      </c>
      <c r="T121" s="24">
        <v>2</v>
      </c>
      <c r="U121" s="24">
        <v>805109390000</v>
      </c>
      <c r="V121" s="109">
        <v>-0.27026403414226968</v>
      </c>
      <c r="W121" s="109">
        <v>3.8342289998629875</v>
      </c>
      <c r="X121" s="109">
        <v>3.8722728100339256E-2</v>
      </c>
      <c r="Y121" s="109">
        <v>2.6716926006787722E-2</v>
      </c>
      <c r="Z121" s="109">
        <v>0.25767691148961175</v>
      </c>
      <c r="AA121" s="109">
        <v>4.1573455654597256</v>
      </c>
      <c r="AD121" s="111"/>
    </row>
    <row r="122" spans="1:30" ht="15" customHeight="1" x14ac:dyDescent="0.3">
      <c r="A122" s="22" t="s">
        <v>153</v>
      </c>
      <c r="B122" s="23">
        <v>16</v>
      </c>
      <c r="C122" s="3" t="s">
        <v>44</v>
      </c>
      <c r="D122" s="23">
        <v>2020</v>
      </c>
      <c r="E122" s="25">
        <v>3.3488402381760634</v>
      </c>
      <c r="F122" s="25">
        <v>7.0505187542299619E-2</v>
      </c>
      <c r="G122" s="25">
        <v>0.81809736424428636</v>
      </c>
      <c r="H122" s="25">
        <v>4.4974464545030077</v>
      </c>
      <c r="I122" s="25">
        <v>0.10854630063553319</v>
      </c>
      <c r="J122" s="25">
        <v>1.6152304607982226E-2</v>
      </c>
      <c r="K122" s="25">
        <v>8.8796429699204496E-2</v>
      </c>
      <c r="L122" s="25">
        <v>0.99</v>
      </c>
      <c r="M122" s="24">
        <v>2</v>
      </c>
      <c r="N122" s="108">
        <v>0</v>
      </c>
      <c r="O122" s="24">
        <v>4</v>
      </c>
      <c r="P122" s="24">
        <v>0</v>
      </c>
      <c r="Q122" s="24">
        <v>4</v>
      </c>
      <c r="R122" s="24">
        <v>3</v>
      </c>
      <c r="S122" s="24">
        <v>0</v>
      </c>
      <c r="T122" s="24">
        <v>3</v>
      </c>
      <c r="U122" s="24">
        <v>972655010000</v>
      </c>
      <c r="V122" s="109">
        <v>0.29059672740301079</v>
      </c>
      <c r="W122" s="109">
        <v>3.7024867446063938</v>
      </c>
      <c r="X122" s="109">
        <v>9.3078025681479798E-2</v>
      </c>
      <c r="Y122" s="109">
        <v>0.11985201453905019</v>
      </c>
      <c r="Z122" s="109">
        <v>0.23346581457322332</v>
      </c>
      <c r="AA122" s="109">
        <v>4.1488825994001468</v>
      </c>
      <c r="AD122" s="111"/>
    </row>
    <row r="123" spans="1:30" ht="15" customHeight="1" x14ac:dyDescent="0.3">
      <c r="A123" s="22" t="s">
        <v>153</v>
      </c>
      <c r="B123" s="23">
        <v>16</v>
      </c>
      <c r="C123" s="3" t="s">
        <v>44</v>
      </c>
      <c r="D123" s="23">
        <v>2021</v>
      </c>
      <c r="E123" s="25">
        <v>3.2535780938833763</v>
      </c>
      <c r="F123" s="25">
        <v>2.6231939793881817E-2</v>
      </c>
      <c r="G123" s="25">
        <v>0.84198738743063917</v>
      </c>
      <c r="H123" s="25">
        <v>5.328608734072052</v>
      </c>
      <c r="I123" s="25">
        <v>5.930143784632784E-2</v>
      </c>
      <c r="J123" s="25">
        <v>1.3794235257473619E-2</v>
      </c>
      <c r="K123" s="25">
        <v>8.7298317730292188E-2</v>
      </c>
      <c r="L123" s="25">
        <v>0.99</v>
      </c>
      <c r="M123" s="24">
        <v>2</v>
      </c>
      <c r="N123" s="108">
        <v>0</v>
      </c>
      <c r="O123" s="24">
        <v>4</v>
      </c>
      <c r="P123" s="24">
        <v>0</v>
      </c>
      <c r="Q123" s="24">
        <v>4</v>
      </c>
      <c r="R123" s="24">
        <v>3</v>
      </c>
      <c r="S123" s="24">
        <v>0</v>
      </c>
      <c r="T123" s="24">
        <v>3</v>
      </c>
      <c r="U123" s="24">
        <v>1191013470000</v>
      </c>
      <c r="V123" s="109">
        <v>0.91412713871214457</v>
      </c>
      <c r="W123" s="109">
        <v>3.6490899294363146</v>
      </c>
      <c r="X123" s="109">
        <v>0.12257847310492634</v>
      </c>
      <c r="Y123" s="109">
        <v>0.15721016757266398</v>
      </c>
      <c r="Z123" s="109">
        <v>0.19704955878747807</v>
      </c>
      <c r="AA123" s="109">
        <v>4.1259281289013829</v>
      </c>
      <c r="AD123" s="111"/>
    </row>
    <row r="124" spans="1:30" ht="15" customHeight="1" x14ac:dyDescent="0.3">
      <c r="A124" s="22" t="s">
        <v>153</v>
      </c>
      <c r="B124" s="23">
        <v>16</v>
      </c>
      <c r="C124" s="3" t="s">
        <v>44</v>
      </c>
      <c r="D124" s="23">
        <v>2022</v>
      </c>
      <c r="E124" s="25">
        <v>6.1348568776127248</v>
      </c>
      <c r="F124" s="25">
        <v>6.3820298641245249E-2</v>
      </c>
      <c r="G124" s="25">
        <v>0.77547350706396811</v>
      </c>
      <c r="H124" s="25">
        <v>3.453817395548517</v>
      </c>
      <c r="I124" s="25">
        <v>7.0105890740730051E-2</v>
      </c>
      <c r="J124" s="25">
        <v>1.5865004449251461E-2</v>
      </c>
      <c r="K124" s="25">
        <v>7.0659832796530778E-2</v>
      </c>
      <c r="L124" s="25">
        <v>0.99</v>
      </c>
      <c r="M124" s="24">
        <v>2</v>
      </c>
      <c r="N124" s="108">
        <v>0</v>
      </c>
      <c r="O124" s="24">
        <v>4</v>
      </c>
      <c r="P124" s="24">
        <v>0</v>
      </c>
      <c r="Q124" s="24">
        <v>4</v>
      </c>
      <c r="R124" s="24">
        <v>3</v>
      </c>
      <c r="S124" s="24">
        <v>0</v>
      </c>
      <c r="T124" s="24">
        <v>3</v>
      </c>
      <c r="U124" s="24">
        <v>979771550000</v>
      </c>
      <c r="V124" s="109">
        <v>-0.19968412261710866</v>
      </c>
      <c r="W124" s="109">
        <v>3.7374062016803808</v>
      </c>
      <c r="X124" s="109">
        <v>0.20768829325570839</v>
      </c>
      <c r="Y124" s="109">
        <v>0.25488318782067104</v>
      </c>
      <c r="Z124" s="109">
        <v>0.30401144002381303</v>
      </c>
      <c r="AA124" s="109">
        <v>4.5039891227805731</v>
      </c>
      <c r="AD124" s="111"/>
    </row>
    <row r="125" spans="1:30" ht="15" customHeight="1" x14ac:dyDescent="0.3">
      <c r="A125" s="22" t="s">
        <v>153</v>
      </c>
      <c r="B125" s="23">
        <v>16</v>
      </c>
      <c r="C125" s="3" t="s">
        <v>44</v>
      </c>
      <c r="D125" s="23">
        <v>2023</v>
      </c>
      <c r="E125" s="25">
        <v>13.105246641894521</v>
      </c>
      <c r="F125" s="25">
        <v>0.24179114393261089</v>
      </c>
      <c r="G125" s="25">
        <v>0.77119376245650018</v>
      </c>
      <c r="H125" s="25">
        <v>3.3705102218198206</v>
      </c>
      <c r="I125" s="25">
        <v>5.9084165399124117E-2</v>
      </c>
      <c r="J125" s="25">
        <v>1.9815892969380005E-2</v>
      </c>
      <c r="K125" s="25">
        <v>8.6605562777162817E-2</v>
      </c>
      <c r="L125" s="25">
        <v>0.99</v>
      </c>
      <c r="M125" s="24">
        <v>2</v>
      </c>
      <c r="N125" s="108">
        <v>0</v>
      </c>
      <c r="O125" s="24">
        <v>4</v>
      </c>
      <c r="P125" s="24">
        <v>0</v>
      </c>
      <c r="Q125" s="24">
        <v>4</v>
      </c>
      <c r="R125" s="24">
        <v>3</v>
      </c>
      <c r="S125" s="24">
        <v>0</v>
      </c>
      <c r="T125" s="24">
        <v>3</v>
      </c>
      <c r="U125" s="24">
        <v>1073555960000</v>
      </c>
      <c r="V125" s="109">
        <v>0.62389041672199097</v>
      </c>
      <c r="W125" s="109">
        <v>2.9394140601669241</v>
      </c>
      <c r="X125" s="109">
        <v>0.24984370111456505</v>
      </c>
      <c r="Y125" s="109">
        <v>0.15362978339759764</v>
      </c>
      <c r="Z125" s="109">
        <v>0.31152553497763302</v>
      </c>
      <c r="AA125" s="109">
        <v>3.6544130796567194</v>
      </c>
      <c r="AD125" s="111"/>
    </row>
    <row r="126" spans="1:30" ht="15" customHeight="1" x14ac:dyDescent="0.3">
      <c r="A126" s="22" t="s">
        <v>153</v>
      </c>
      <c r="B126" s="23">
        <v>16</v>
      </c>
      <c r="C126" s="3" t="s">
        <v>44</v>
      </c>
      <c r="D126" s="23">
        <v>2024</v>
      </c>
      <c r="E126" s="25">
        <v>11.352236249469062</v>
      </c>
      <c r="F126" s="25">
        <v>0.76209444730805065</v>
      </c>
      <c r="G126" s="25">
        <v>0.78248372511400799</v>
      </c>
      <c r="H126" s="25">
        <v>3.5973573038160507</v>
      </c>
      <c r="I126" s="25">
        <v>-6.8930878756837913E-2</v>
      </c>
      <c r="J126" s="25">
        <v>-2.3194146857103255E-2</v>
      </c>
      <c r="K126" s="25">
        <v>-0.10663178149810799</v>
      </c>
      <c r="L126" s="25">
        <v>0.99</v>
      </c>
      <c r="M126" s="24">
        <v>2</v>
      </c>
      <c r="N126" s="108">
        <v>0</v>
      </c>
      <c r="O126" s="24">
        <v>4</v>
      </c>
      <c r="P126" s="24">
        <v>0</v>
      </c>
      <c r="Q126" s="24">
        <v>4</v>
      </c>
      <c r="R126" s="24">
        <v>3</v>
      </c>
      <c r="S126" s="24">
        <v>0</v>
      </c>
      <c r="T126" s="24">
        <v>0</v>
      </c>
      <c r="U126" s="24">
        <v>1026468020000</v>
      </c>
      <c r="V126" s="109">
        <v>-4.0725762932114065E-2</v>
      </c>
      <c r="W126" s="109">
        <v>1.9111795806361314</v>
      </c>
      <c r="X126" s="109">
        <v>0.19244206458570429</v>
      </c>
      <c r="Y126" s="109">
        <v>-0.17380117736157041</v>
      </c>
      <c r="Z126" s="109">
        <v>0.29188093128424236</v>
      </c>
      <c r="AA126" s="109">
        <v>2.2217013991445076</v>
      </c>
      <c r="AD126" s="111"/>
    </row>
    <row r="127" spans="1:30" ht="15" customHeight="1" x14ac:dyDescent="0.3">
      <c r="A127" s="22" t="s">
        <v>153</v>
      </c>
      <c r="B127" s="23">
        <v>17</v>
      </c>
      <c r="C127" s="3" t="s">
        <v>22</v>
      </c>
      <c r="D127" s="23">
        <v>2019</v>
      </c>
      <c r="E127" s="25">
        <v>0.10832736816988786</v>
      </c>
      <c r="F127" s="25">
        <v>6.2634216177523266E-2</v>
      </c>
      <c r="G127" s="25">
        <v>0.29972881731141732</v>
      </c>
      <c r="H127" s="25">
        <v>0.42801820883254826</v>
      </c>
      <c r="I127" s="25">
        <v>-8.339687380861608E-3</v>
      </c>
      <c r="J127" s="25">
        <v>5.8110576124854726E-3</v>
      </c>
      <c r="K127" s="25">
        <v>8.2982960832042492E-3</v>
      </c>
      <c r="L127" s="25">
        <v>0</v>
      </c>
      <c r="M127" s="24">
        <v>0</v>
      </c>
      <c r="N127" s="108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90345000000</v>
      </c>
      <c r="V127" s="109">
        <v>0</v>
      </c>
      <c r="W127" s="109">
        <v>-0.54269123913885653</v>
      </c>
      <c r="X127" s="109">
        <v>-2.2828840555647796</v>
      </c>
      <c r="Y127" s="109">
        <v>-8.2767311970778685</v>
      </c>
      <c r="Z127" s="109">
        <v>2.4531666605118359</v>
      </c>
      <c r="AA127" s="109">
        <v>-8.6491398312696681</v>
      </c>
      <c r="AD127" s="111"/>
    </row>
    <row r="128" spans="1:30" ht="15" customHeight="1" x14ac:dyDescent="0.3">
      <c r="A128" s="22" t="s">
        <v>153</v>
      </c>
      <c r="B128" s="23">
        <v>17</v>
      </c>
      <c r="C128" s="3" t="s">
        <v>22</v>
      </c>
      <c r="D128" s="23">
        <v>2021</v>
      </c>
      <c r="E128" s="25">
        <v>14.76418547895058</v>
      </c>
      <c r="F128" s="25">
        <v>14.550640634533252</v>
      </c>
      <c r="G128" s="25">
        <v>2.7416049847363358E-2</v>
      </c>
      <c r="H128" s="25">
        <v>2.8188877518553236E-2</v>
      </c>
      <c r="I128" s="25">
        <v>1.4371312166338859</v>
      </c>
      <c r="J128" s="25">
        <v>-0.3422238949525363</v>
      </c>
      <c r="K128" s="25">
        <v>-0.35187080241127555</v>
      </c>
      <c r="L128" s="25">
        <v>0.99</v>
      </c>
      <c r="M128" s="24">
        <v>2</v>
      </c>
      <c r="N128" s="108">
        <v>0</v>
      </c>
      <c r="O128" s="24">
        <v>3</v>
      </c>
      <c r="P128" s="24">
        <v>0</v>
      </c>
      <c r="Q128" s="24">
        <v>3</v>
      </c>
      <c r="R128" s="24">
        <v>3</v>
      </c>
      <c r="S128" s="24">
        <v>0</v>
      </c>
      <c r="T128" s="24">
        <v>0</v>
      </c>
      <c r="U128" s="24">
        <v>119565000000</v>
      </c>
      <c r="V128" s="109">
        <v>-2.869099980305915</v>
      </c>
      <c r="W128" s="109">
        <v>2.4754789445071714</v>
      </c>
      <c r="X128" s="109">
        <v>-3.3408422197131267</v>
      </c>
      <c r="Y128" s="109">
        <v>-2.2993511479111781</v>
      </c>
      <c r="Z128" s="109">
        <v>37.24873398413667</v>
      </c>
      <c r="AA128" s="109">
        <v>34.084019561019538</v>
      </c>
      <c r="AD128" s="111"/>
    </row>
    <row r="129" spans="1:30" ht="15" customHeight="1" x14ac:dyDescent="0.3">
      <c r="A129" s="22" t="s">
        <v>153</v>
      </c>
      <c r="B129" s="23">
        <v>17</v>
      </c>
      <c r="C129" s="3" t="s">
        <v>22</v>
      </c>
      <c r="D129" s="23">
        <v>2022</v>
      </c>
      <c r="E129" s="25">
        <v>8.2011014948859167</v>
      </c>
      <c r="F129" s="25">
        <v>3.5571990558615263</v>
      </c>
      <c r="G129" s="25">
        <v>0.21851821042853775</v>
      </c>
      <c r="H129" s="25">
        <v>0.27962034860513596</v>
      </c>
      <c r="I129" s="25">
        <v>-0.95020709526382141</v>
      </c>
      <c r="J129" s="25">
        <v>-7.3153655256554234E-2</v>
      </c>
      <c r="K129" s="25">
        <v>-9.3608905841131865E-2</v>
      </c>
      <c r="L129" s="25">
        <v>0.99</v>
      </c>
      <c r="M129" s="24">
        <v>2</v>
      </c>
      <c r="N129" s="108">
        <v>0</v>
      </c>
      <c r="O129" s="24">
        <v>3</v>
      </c>
      <c r="P129" s="24">
        <v>0</v>
      </c>
      <c r="Q129" s="24">
        <v>3</v>
      </c>
      <c r="R129" s="24">
        <v>3</v>
      </c>
      <c r="S129" s="24">
        <v>0</v>
      </c>
      <c r="T129" s="24">
        <v>0</v>
      </c>
      <c r="U129" s="24">
        <v>144258000000</v>
      </c>
      <c r="V129" s="109">
        <v>-1.3900674346726609</v>
      </c>
      <c r="W129" s="109">
        <v>2.0810303761316531</v>
      </c>
      <c r="X129" s="109">
        <v>-2.9876666805307157</v>
      </c>
      <c r="Y129" s="109">
        <v>-0.45190367258661562</v>
      </c>
      <c r="Z129" s="109">
        <v>3.7550915204771118</v>
      </c>
      <c r="AA129" s="109">
        <v>2.3965515434914337</v>
      </c>
      <c r="AD129" s="111"/>
    </row>
    <row r="130" spans="1:30" ht="15" customHeight="1" x14ac:dyDescent="0.3">
      <c r="A130" s="22" t="s">
        <v>153</v>
      </c>
      <c r="B130" s="23">
        <v>17</v>
      </c>
      <c r="C130" s="3" t="s">
        <v>22</v>
      </c>
      <c r="D130" s="23">
        <v>2023</v>
      </c>
      <c r="E130" s="25">
        <v>3.0942277468209745</v>
      </c>
      <c r="F130" s="25">
        <v>2.110015716530933</v>
      </c>
      <c r="G130" s="25">
        <v>0.3698692400446259</v>
      </c>
      <c r="H130" s="25">
        <v>0.58697220251685556</v>
      </c>
      <c r="I130" s="25">
        <v>0.49657002563454528</v>
      </c>
      <c r="J130" s="25">
        <v>0.20665407023699067</v>
      </c>
      <c r="K130" s="25">
        <v>0.32795426500307007</v>
      </c>
      <c r="L130" s="25">
        <v>0.99</v>
      </c>
      <c r="M130" s="24">
        <v>2</v>
      </c>
      <c r="N130" s="108">
        <v>0</v>
      </c>
      <c r="O130" s="24">
        <v>3</v>
      </c>
      <c r="P130" s="24">
        <v>0</v>
      </c>
      <c r="Q130" s="24">
        <v>3</v>
      </c>
      <c r="R130" s="24">
        <v>2</v>
      </c>
      <c r="S130" s="24">
        <v>0</v>
      </c>
      <c r="T130" s="24">
        <v>0</v>
      </c>
      <c r="U130" s="24">
        <v>266213000000</v>
      </c>
      <c r="V130" s="109">
        <v>8.975508734017648</v>
      </c>
      <c r="W130" s="109">
        <v>1.4447558909594949</v>
      </c>
      <c r="X130" s="109">
        <v>-0.94995826650088455</v>
      </c>
      <c r="Y130" s="109">
        <v>1.3790977901154338</v>
      </c>
      <c r="Z130" s="109">
        <v>1.7888410992850181</v>
      </c>
      <c r="AA130" s="109">
        <v>3.6627365138590622</v>
      </c>
      <c r="AD130" s="111"/>
    </row>
    <row r="131" spans="1:30" ht="15" customHeight="1" x14ac:dyDescent="0.3">
      <c r="A131" s="22" t="s">
        <v>153</v>
      </c>
      <c r="B131" s="23">
        <v>17</v>
      </c>
      <c r="C131" s="3" t="s">
        <v>22</v>
      </c>
      <c r="D131" s="23">
        <v>2024</v>
      </c>
      <c r="E131" s="25">
        <v>1.7040020664158986</v>
      </c>
      <c r="F131" s="25">
        <v>0.79813699691652007</v>
      </c>
      <c r="G131" s="25">
        <v>0.39750860872367583</v>
      </c>
      <c r="H131" s="25">
        <v>0.65976363758886758</v>
      </c>
      <c r="I131" s="25">
        <v>0.42370789249665575</v>
      </c>
      <c r="J131" s="25">
        <v>0.17682584875544627</v>
      </c>
      <c r="K131" s="25">
        <v>0.29348613497759357</v>
      </c>
      <c r="L131" s="25">
        <v>0.99</v>
      </c>
      <c r="M131" s="24">
        <v>2</v>
      </c>
      <c r="N131" s="108">
        <v>0</v>
      </c>
      <c r="O131" s="24">
        <v>3</v>
      </c>
      <c r="P131" s="24">
        <v>0</v>
      </c>
      <c r="Q131" s="24">
        <v>3</v>
      </c>
      <c r="R131" s="24">
        <v>3</v>
      </c>
      <c r="S131" s="24">
        <v>0</v>
      </c>
      <c r="T131" s="24">
        <v>0</v>
      </c>
      <c r="U131" s="24">
        <v>394077000000</v>
      </c>
      <c r="V131" s="109">
        <v>0.48445680037549194</v>
      </c>
      <c r="W131" s="109">
        <v>0.72592026431382695</v>
      </c>
      <c r="X131" s="109">
        <v>-6.2358067078261359E-2</v>
      </c>
      <c r="Y131" s="109">
        <v>1.397555097100313</v>
      </c>
      <c r="Z131" s="109">
        <v>1.5914790391256886</v>
      </c>
      <c r="AA131" s="109">
        <v>3.6525963334615672</v>
      </c>
      <c r="AD131" s="111"/>
    </row>
    <row r="132" spans="1:30" ht="15" customHeight="1" x14ac:dyDescent="0.3">
      <c r="A132" s="22" t="s">
        <v>153</v>
      </c>
      <c r="B132" s="23">
        <v>18</v>
      </c>
      <c r="C132" s="3" t="s">
        <v>45</v>
      </c>
      <c r="D132" s="23">
        <v>2015</v>
      </c>
      <c r="E132" s="25">
        <v>0.77944266283313057</v>
      </c>
      <c r="F132" s="25">
        <v>3.1018467322791111E-2</v>
      </c>
      <c r="G132" s="25">
        <v>0.48570554994166859</v>
      </c>
      <c r="H132" s="25">
        <v>0.94441141623554314</v>
      </c>
      <c r="I132" s="25">
        <v>-0.10027142303218302</v>
      </c>
      <c r="J132" s="25">
        <v>-1.6822867650566616E-2</v>
      </c>
      <c r="K132" s="25">
        <v>-3.2710575913581341E-2</v>
      </c>
      <c r="L132" s="25">
        <v>0.99990000000000001</v>
      </c>
      <c r="M132" s="24">
        <v>1</v>
      </c>
      <c r="N132" s="108">
        <v>0</v>
      </c>
      <c r="O132" s="24">
        <v>3</v>
      </c>
      <c r="P132" s="24">
        <v>0</v>
      </c>
      <c r="Q132" s="24">
        <v>3</v>
      </c>
      <c r="R132" s="24">
        <v>2</v>
      </c>
      <c r="S132" s="24">
        <v>0</v>
      </c>
      <c r="T132" s="24">
        <v>0</v>
      </c>
      <c r="U132" s="24">
        <v>461158000000</v>
      </c>
      <c r="V132" s="109">
        <v>6.5438321077418815E-2</v>
      </c>
      <c r="W132" s="109">
        <v>-5.6743762441505946E-2</v>
      </c>
      <c r="X132" s="109">
        <v>0.10618586254602543</v>
      </c>
      <c r="Y132" s="109">
        <v>0.15543965408818669</v>
      </c>
      <c r="Z132" s="109">
        <v>1.1118035868153062</v>
      </c>
      <c r="AA132" s="109">
        <v>1.3166853410080124</v>
      </c>
      <c r="AD132" s="111"/>
    </row>
    <row r="133" spans="1:30" ht="15" customHeight="1" x14ac:dyDescent="0.3">
      <c r="A133" s="22" t="s">
        <v>153</v>
      </c>
      <c r="B133" s="23">
        <v>18</v>
      </c>
      <c r="C133" s="3" t="s">
        <v>45</v>
      </c>
      <c r="D133" s="23">
        <v>2016</v>
      </c>
      <c r="E133" s="25">
        <v>1.4227873964942468</v>
      </c>
      <c r="F133" s="25">
        <v>0.19469835466179158</v>
      </c>
      <c r="G133" s="25">
        <v>0.50425664901572087</v>
      </c>
      <c r="H133" s="25">
        <v>1.0171727931691648</v>
      </c>
      <c r="I133" s="25">
        <v>4.2160614413016134E-2</v>
      </c>
      <c r="J133" s="25">
        <v>6.4999762774588417E-3</v>
      </c>
      <c r="K133" s="25">
        <v>1.311157530313496E-2</v>
      </c>
      <c r="L133" s="25">
        <v>0.99990000000000001</v>
      </c>
      <c r="M133" s="24">
        <v>2</v>
      </c>
      <c r="N133" s="108">
        <v>0</v>
      </c>
      <c r="O133" s="24">
        <v>4</v>
      </c>
      <c r="P133" s="24">
        <v>0</v>
      </c>
      <c r="Q133" s="24">
        <v>4</v>
      </c>
      <c r="R133" s="24">
        <v>3</v>
      </c>
      <c r="S133" s="24">
        <v>0</v>
      </c>
      <c r="T133" s="24">
        <v>0</v>
      </c>
      <c r="U133" s="24">
        <v>484771000000</v>
      </c>
      <c r="V133" s="109">
        <v>-3.4018353366938092E-2</v>
      </c>
      <c r="W133" s="109">
        <v>0.1064033945924983</v>
      </c>
      <c r="X133" s="109">
        <v>7.657557898471648E-2</v>
      </c>
      <c r="Y133" s="109">
        <v>-3.6249693154087187E-2</v>
      </c>
      <c r="Z133" s="109">
        <v>1.0322729894579239</v>
      </c>
      <c r="AA133" s="109">
        <v>1.1790022698810514</v>
      </c>
      <c r="AD133" s="111"/>
    </row>
    <row r="134" spans="1:30" ht="15" customHeight="1" x14ac:dyDescent="0.3">
      <c r="A134" s="22" t="s">
        <v>153</v>
      </c>
      <c r="B134" s="23">
        <v>18</v>
      </c>
      <c r="C134" s="3" t="s">
        <v>45</v>
      </c>
      <c r="D134" s="23">
        <v>2017</v>
      </c>
      <c r="E134" s="25">
        <v>0.88867978329056174</v>
      </c>
      <c r="F134" s="25">
        <v>0.46244653550042769</v>
      </c>
      <c r="G134" s="25">
        <v>0.49071112701913194</v>
      </c>
      <c r="H134" s="25">
        <v>0.96352218368133491</v>
      </c>
      <c r="I134" s="25">
        <v>0.25818637125697674</v>
      </c>
      <c r="J134" s="25">
        <v>4.6823463304429484E-2</v>
      </c>
      <c r="K134" s="25">
        <v>9.1938908915036241E-2</v>
      </c>
      <c r="L134" s="25">
        <v>0.99990000000000001</v>
      </c>
      <c r="M134" s="24">
        <v>2</v>
      </c>
      <c r="N134" s="108">
        <v>0</v>
      </c>
      <c r="O134" s="24">
        <v>4</v>
      </c>
      <c r="P134" s="24">
        <v>0</v>
      </c>
      <c r="Q134" s="24">
        <v>4</v>
      </c>
      <c r="R134" s="24">
        <v>3</v>
      </c>
      <c r="S134" s="24">
        <v>0</v>
      </c>
      <c r="T134" s="24">
        <v>0</v>
      </c>
      <c r="U134" s="24">
        <v>519654000000</v>
      </c>
      <c r="V134" s="109">
        <v>0.26096497096523857</v>
      </c>
      <c r="W134" s="109">
        <v>-2.4641626928687162E-2</v>
      </c>
      <c r="X134" s="109">
        <v>0.13843522805559083</v>
      </c>
      <c r="Y134" s="109">
        <v>0.14263644655867172</v>
      </c>
      <c r="Z134" s="109">
        <v>1.0897517647058823</v>
      </c>
      <c r="AA134" s="109">
        <v>1.3461818123914577</v>
      </c>
      <c r="AD134" s="111"/>
    </row>
    <row r="135" spans="1:30" ht="15" customHeight="1" x14ac:dyDescent="0.3">
      <c r="A135" s="22" t="s">
        <v>153</v>
      </c>
      <c r="B135" s="23">
        <v>18</v>
      </c>
      <c r="C135" s="3" t="s">
        <v>45</v>
      </c>
      <c r="D135" s="23">
        <v>2018</v>
      </c>
      <c r="E135" s="25">
        <v>0.35206398971019737</v>
      </c>
      <c r="F135" s="25">
        <v>0.17042485630451384</v>
      </c>
      <c r="G135" s="25">
        <v>0.51193635034233509</v>
      </c>
      <c r="H135" s="25">
        <v>1.0489130889002181</v>
      </c>
      <c r="I135" s="25">
        <v>-0.39228519704776493</v>
      </c>
      <c r="J135" s="25">
        <v>-5.170820849709061E-2</v>
      </c>
      <c r="K135" s="25">
        <v>-0.10594562519327043</v>
      </c>
      <c r="L135" s="25">
        <v>0.99990000000000001</v>
      </c>
      <c r="M135" s="24">
        <v>2</v>
      </c>
      <c r="N135" s="108">
        <v>0</v>
      </c>
      <c r="O135" s="24">
        <v>4</v>
      </c>
      <c r="P135" s="24">
        <v>0</v>
      </c>
      <c r="Q135" s="24">
        <v>4</v>
      </c>
      <c r="R135" s="24">
        <v>2</v>
      </c>
      <c r="S135" s="24">
        <v>0</v>
      </c>
      <c r="T135" s="24">
        <v>0</v>
      </c>
      <c r="U135" s="24">
        <v>490309000000</v>
      </c>
      <c r="V135" s="109">
        <v>-0.31422295791685234</v>
      </c>
      <c r="W135" s="109">
        <v>-0.2156746051979466</v>
      </c>
      <c r="X135" s="109">
        <v>-1.4447990960802267E-2</v>
      </c>
      <c r="Y135" s="109">
        <v>-0.32523490288777074</v>
      </c>
      <c r="Z135" s="109">
        <v>1.0010362260813443</v>
      </c>
      <c r="AA135" s="109">
        <v>0.44567872703482481</v>
      </c>
      <c r="AD135" s="111"/>
    </row>
    <row r="136" spans="1:30" ht="15" customHeight="1" x14ac:dyDescent="0.3">
      <c r="A136" s="22" t="s">
        <v>153</v>
      </c>
      <c r="B136" s="23">
        <v>18</v>
      </c>
      <c r="C136" s="3" t="s">
        <v>45</v>
      </c>
      <c r="D136" s="23">
        <v>2019</v>
      </c>
      <c r="E136" s="25">
        <v>0.62001365454013457</v>
      </c>
      <c r="F136" s="25">
        <v>0.16834097337364673</v>
      </c>
      <c r="G136" s="25">
        <v>0.51423203363231818</v>
      </c>
      <c r="H136" s="25">
        <v>1.0585960154546123</v>
      </c>
      <c r="I136" s="25">
        <v>5.9376572756379364E-2</v>
      </c>
      <c r="J136" s="25">
        <v>1.1001132848847014E-2</v>
      </c>
      <c r="K136" s="25">
        <v>2.2646888248123311E-2</v>
      </c>
      <c r="L136" s="25">
        <v>0.99990000000000001</v>
      </c>
      <c r="M136" s="24">
        <v>2</v>
      </c>
      <c r="N136" s="108">
        <v>0</v>
      </c>
      <c r="O136" s="24">
        <v>4</v>
      </c>
      <c r="P136" s="24">
        <v>0</v>
      </c>
      <c r="Q136" s="24">
        <v>4</v>
      </c>
      <c r="R136" s="24">
        <v>2</v>
      </c>
      <c r="S136" s="24">
        <v>0</v>
      </c>
      <c r="T136" s="24">
        <v>0</v>
      </c>
      <c r="U136" s="24">
        <v>504039000000</v>
      </c>
      <c r="V136" s="109">
        <v>0.4449705240681428</v>
      </c>
      <c r="W136" s="109">
        <v>-0.10141183519529243</v>
      </c>
      <c r="X136" s="109">
        <v>4.2952350909354238E-2</v>
      </c>
      <c r="Y136" s="109">
        <v>0.12509698654270798</v>
      </c>
      <c r="Z136" s="109">
        <v>0.9918797961364697</v>
      </c>
      <c r="AA136" s="109">
        <v>1.0585172983932396</v>
      </c>
      <c r="AD136" s="111"/>
    </row>
    <row r="137" spans="1:30" ht="15" customHeight="1" x14ac:dyDescent="0.3">
      <c r="A137" s="22" t="s">
        <v>153</v>
      </c>
      <c r="B137" s="23">
        <v>18</v>
      </c>
      <c r="C137" s="3" t="s">
        <v>45</v>
      </c>
      <c r="D137" s="23">
        <v>2020</v>
      </c>
      <c r="E137" s="25">
        <v>0.36266666666666669</v>
      </c>
      <c r="F137" s="25">
        <v>0.13917602996254683</v>
      </c>
      <c r="G137" s="25">
        <v>0.54494015712754207</v>
      </c>
      <c r="H137" s="25">
        <v>1.1975131747238692</v>
      </c>
      <c r="I137" s="25">
        <v>-0.25283817306289219</v>
      </c>
      <c r="J137" s="25">
        <v>-3.4655663471846648E-2</v>
      </c>
      <c r="K137" s="25">
        <v>-7.6156277058179761E-2</v>
      </c>
      <c r="L137" s="25">
        <v>0.99990000000000001</v>
      </c>
      <c r="M137" s="24">
        <v>2</v>
      </c>
      <c r="N137" s="108">
        <v>0</v>
      </c>
      <c r="O137" s="24">
        <v>3</v>
      </c>
      <c r="P137" s="24">
        <v>0</v>
      </c>
      <c r="Q137" s="24">
        <v>3</v>
      </c>
      <c r="R137" s="24">
        <v>3</v>
      </c>
      <c r="S137" s="24">
        <v>0</v>
      </c>
      <c r="T137" s="24">
        <v>0</v>
      </c>
      <c r="U137" s="24">
        <v>499976000000</v>
      </c>
      <c r="V137" s="109">
        <v>-0.26617195112810133</v>
      </c>
      <c r="W137" s="109">
        <v>-0.27908891626798082</v>
      </c>
      <c r="X137" s="109">
        <v>-6.0234651263260629E-2</v>
      </c>
      <c r="Y137" s="109">
        <v>-0.20953965790357937</v>
      </c>
      <c r="Z137" s="109">
        <v>0.8768170757220406</v>
      </c>
      <c r="AA137" s="109">
        <v>0.32795385028721979</v>
      </c>
      <c r="AD137" s="111"/>
    </row>
    <row r="138" spans="1:30" ht="15" customHeight="1" x14ac:dyDescent="0.3">
      <c r="A138" s="22" t="s">
        <v>153</v>
      </c>
      <c r="B138" s="23">
        <v>18</v>
      </c>
      <c r="C138" s="3" t="s">
        <v>45</v>
      </c>
      <c r="D138" s="23">
        <v>2021</v>
      </c>
      <c r="E138" s="25">
        <v>0.6678672010398613</v>
      </c>
      <c r="F138" s="25">
        <v>0.16800259965337955</v>
      </c>
      <c r="G138" s="25">
        <v>0.57667125442390876</v>
      </c>
      <c r="H138" s="25">
        <v>1.3622303244234923</v>
      </c>
      <c r="I138" s="25">
        <v>-0.15630118755118755</v>
      </c>
      <c r="J138" s="25">
        <v>-2.4014942980731421E-2</v>
      </c>
      <c r="K138" s="25">
        <v>-5.6728826548384848E-2</v>
      </c>
      <c r="L138" s="25">
        <v>0.99990000000000001</v>
      </c>
      <c r="M138" s="24">
        <v>2</v>
      </c>
      <c r="N138" s="108">
        <v>0</v>
      </c>
      <c r="O138" s="24">
        <v>3</v>
      </c>
      <c r="P138" s="24">
        <v>0</v>
      </c>
      <c r="Q138" s="24">
        <v>3</v>
      </c>
      <c r="R138" s="24">
        <v>3</v>
      </c>
      <c r="S138" s="24">
        <v>0</v>
      </c>
      <c r="T138" s="24">
        <v>0</v>
      </c>
      <c r="U138" s="24">
        <v>508600000000</v>
      </c>
      <c r="V138" s="109">
        <v>0.14028892455858749</v>
      </c>
      <c r="W138" s="109">
        <v>-0.1581958316948486</v>
      </c>
      <c r="X138" s="109">
        <v>-0.13269469130947698</v>
      </c>
      <c r="Y138" s="109">
        <v>-0.14905292961069602</v>
      </c>
      <c r="Z138" s="109">
        <v>0.77079476295197669</v>
      </c>
      <c r="AA138" s="109">
        <v>0.33085131033695503</v>
      </c>
      <c r="AD138" s="111"/>
    </row>
    <row r="139" spans="1:30" ht="15" customHeight="1" x14ac:dyDescent="0.3">
      <c r="A139" s="22" t="s">
        <v>153</v>
      </c>
      <c r="B139" s="23">
        <v>18</v>
      </c>
      <c r="C139" s="3" t="s">
        <v>45</v>
      </c>
      <c r="D139" s="23">
        <v>2022</v>
      </c>
      <c r="E139" s="25">
        <v>0.83515193554411338</v>
      </c>
      <c r="F139" s="25">
        <v>0.16594189365845849</v>
      </c>
      <c r="G139" s="25">
        <v>0.60181452433889582</v>
      </c>
      <c r="H139" s="25">
        <v>1.5113924568436554</v>
      </c>
      <c r="I139" s="25">
        <v>-0.27790371861843682</v>
      </c>
      <c r="J139" s="25">
        <v>-4.0185443084365606E-2</v>
      </c>
      <c r="K139" s="25">
        <v>-0.10092141863699583</v>
      </c>
      <c r="L139" s="25">
        <v>0.99990000000000001</v>
      </c>
      <c r="M139" s="24">
        <v>2</v>
      </c>
      <c r="N139" s="108">
        <v>0</v>
      </c>
      <c r="O139" s="24">
        <v>3</v>
      </c>
      <c r="P139" s="24">
        <v>0</v>
      </c>
      <c r="Q139" s="24">
        <v>3</v>
      </c>
      <c r="R139" s="24">
        <v>3</v>
      </c>
      <c r="S139" s="24">
        <v>0</v>
      </c>
      <c r="T139" s="24">
        <v>0</v>
      </c>
      <c r="U139" s="24">
        <v>491148000000</v>
      </c>
      <c r="V139" s="109">
        <v>-9.1152231777231779E-2</v>
      </c>
      <c r="W139" s="109">
        <v>-8.2529583750722793E-2</v>
      </c>
      <c r="X139" s="109">
        <v>-0.25772125713634181</v>
      </c>
      <c r="Y139" s="109">
        <v>-0.24577390114588676</v>
      </c>
      <c r="Z139" s="109">
        <v>0.69472359428919417</v>
      </c>
      <c r="AA139" s="109">
        <v>0.10869885225624276</v>
      </c>
      <c r="AD139" s="111"/>
    </row>
    <row r="140" spans="1:30" ht="15" customHeight="1" x14ac:dyDescent="0.3">
      <c r="A140" s="22" t="s">
        <v>153</v>
      </c>
      <c r="B140" s="23">
        <v>18</v>
      </c>
      <c r="C140" s="3" t="s">
        <v>45</v>
      </c>
      <c r="D140" s="23">
        <v>2023</v>
      </c>
      <c r="E140" s="25">
        <v>1.0142107330310279</v>
      </c>
      <c r="F140" s="25">
        <v>0.24709893955082657</v>
      </c>
      <c r="G140" s="25">
        <v>0.66215530002254708</v>
      </c>
      <c r="H140" s="25">
        <v>1.9599398778987442</v>
      </c>
      <c r="I140" s="25">
        <v>-0.2319008247977899</v>
      </c>
      <c r="J140" s="25">
        <v>-4.558813438029978E-2</v>
      </c>
      <c r="K140" s="25">
        <v>-0.13493813691125606</v>
      </c>
      <c r="L140" s="25">
        <v>0.99990000000000001</v>
      </c>
      <c r="M140" s="24">
        <v>2</v>
      </c>
      <c r="N140" s="108">
        <v>0</v>
      </c>
      <c r="O140" s="24">
        <v>3</v>
      </c>
      <c r="P140" s="24">
        <v>0</v>
      </c>
      <c r="Q140" s="24">
        <v>3</v>
      </c>
      <c r="R140" s="24">
        <v>3</v>
      </c>
      <c r="S140" s="24">
        <v>0</v>
      </c>
      <c r="T140" s="24">
        <v>0</v>
      </c>
      <c r="U140" s="24">
        <v>510045000000</v>
      </c>
      <c r="V140" s="109">
        <v>0.4117936948226581</v>
      </c>
      <c r="W140" s="109">
        <v>1.0237841759060473E-2</v>
      </c>
      <c r="X140" s="109">
        <v>-0.3980747973218049</v>
      </c>
      <c r="Y140" s="109">
        <v>-0.30549586801164602</v>
      </c>
      <c r="Z140" s="109">
        <v>0.53573071900843583</v>
      </c>
      <c r="AA140" s="109">
        <v>-0.15760210456595469</v>
      </c>
      <c r="AD140" s="111"/>
    </row>
    <row r="141" spans="1:30" ht="15" customHeight="1" x14ac:dyDescent="0.3">
      <c r="A141" s="22" t="s">
        <v>153</v>
      </c>
      <c r="B141" s="23">
        <v>18</v>
      </c>
      <c r="C141" s="3" t="s">
        <v>45</v>
      </c>
      <c r="D141" s="23">
        <v>2024</v>
      </c>
      <c r="E141" s="25">
        <v>1.1228026739291903</v>
      </c>
      <c r="F141" s="25">
        <v>0.26334901378228937</v>
      </c>
      <c r="G141" s="25">
        <v>0.70719916201745936</v>
      </c>
      <c r="H141" s="25">
        <v>2.4152907720148966</v>
      </c>
      <c r="I141" s="25">
        <v>-0.15876131698431256</v>
      </c>
      <c r="J141" s="25">
        <v>-5.9732852148046307E-2</v>
      </c>
      <c r="K141" s="25">
        <v>-0.20400505872735275</v>
      </c>
      <c r="L141" s="25">
        <v>0.99990000000000001</v>
      </c>
      <c r="M141" s="24">
        <v>1</v>
      </c>
      <c r="N141" s="108">
        <v>0</v>
      </c>
      <c r="O141" s="24">
        <v>2</v>
      </c>
      <c r="P141" s="24">
        <v>0</v>
      </c>
      <c r="Q141" s="24">
        <v>2</v>
      </c>
      <c r="R141" s="24">
        <v>1</v>
      </c>
      <c r="S141" s="24">
        <v>0</v>
      </c>
      <c r="T141" s="24">
        <v>0</v>
      </c>
      <c r="U141" s="24">
        <v>488793000000</v>
      </c>
      <c r="V141" s="109">
        <v>0.83415281199198144</v>
      </c>
      <c r="W141" s="109">
        <v>7.9880685689034003E-2</v>
      </c>
      <c r="X141" s="109">
        <v>-0.55783613922457975</v>
      </c>
      <c r="Y141" s="109">
        <v>-0.28736385341033932</v>
      </c>
      <c r="Z141" s="109">
        <v>0.43473026608885829</v>
      </c>
      <c r="AA141" s="109">
        <v>-0.33058904085702673</v>
      </c>
      <c r="AD141" s="111"/>
    </row>
    <row r="142" spans="1:30" ht="15" customHeight="1" x14ac:dyDescent="0.3">
      <c r="A142" s="22" t="s">
        <v>153</v>
      </c>
      <c r="B142" s="23">
        <v>19</v>
      </c>
      <c r="C142" s="3" t="s">
        <v>46</v>
      </c>
      <c r="D142" s="23">
        <v>2015</v>
      </c>
      <c r="E142" s="25">
        <v>1.0421112773644858</v>
      </c>
      <c r="F142" s="25">
        <v>0.2430296516406398</v>
      </c>
      <c r="G142" s="25">
        <v>0.63579511271114497</v>
      </c>
      <c r="H142" s="25">
        <v>1.7457072513331995</v>
      </c>
      <c r="I142" s="25">
        <v>0.14023971378986297</v>
      </c>
      <c r="J142" s="25">
        <v>3.4215784524520017E-2</v>
      </c>
      <c r="K142" s="25">
        <v>9.3946527679028877E-2</v>
      </c>
      <c r="L142" s="25">
        <v>0.68340000000000001</v>
      </c>
      <c r="M142" s="24">
        <v>2</v>
      </c>
      <c r="N142" s="108">
        <v>0</v>
      </c>
      <c r="O142" s="24">
        <v>5</v>
      </c>
      <c r="P142" s="24">
        <v>0</v>
      </c>
      <c r="Q142" s="24">
        <v>5</v>
      </c>
      <c r="R142" s="24">
        <v>5</v>
      </c>
      <c r="S142" s="24">
        <v>0</v>
      </c>
      <c r="T142" s="24">
        <v>0</v>
      </c>
      <c r="U142" s="24">
        <v>15369953000000</v>
      </c>
      <c r="V142" s="109">
        <v>-0.10230130966838284</v>
      </c>
      <c r="W142" s="109">
        <v>7.6756929575516591E-3</v>
      </c>
      <c r="X142" s="109">
        <v>9.2906466272213051E-2</v>
      </c>
      <c r="Y142" s="109">
        <v>0.34919885051047322</v>
      </c>
      <c r="Z142" s="109">
        <v>0.60147541874395793</v>
      </c>
      <c r="AA142" s="109">
        <v>1.0512564284841959</v>
      </c>
      <c r="AD142" s="111"/>
    </row>
    <row r="143" spans="1:30" ht="15" customHeight="1" x14ac:dyDescent="0.3">
      <c r="A143" s="22" t="s">
        <v>153</v>
      </c>
      <c r="B143" s="23">
        <v>19</v>
      </c>
      <c r="C143" s="3" t="s">
        <v>46</v>
      </c>
      <c r="D143" s="23">
        <v>2016</v>
      </c>
      <c r="E143" s="25">
        <v>0.98949429873528927</v>
      </c>
      <c r="F143" s="25">
        <v>0.32887359603687366</v>
      </c>
      <c r="G143" s="25">
        <v>0.65043836610461103</v>
      </c>
      <c r="H143" s="25">
        <v>1.8607258435554273</v>
      </c>
      <c r="I143" s="25">
        <v>0.18180163847377581</v>
      </c>
      <c r="J143" s="25">
        <v>5.1582605689141102E-2</v>
      </c>
      <c r="K143" s="25">
        <v>0.14756369317285517</v>
      </c>
      <c r="L143" s="25">
        <v>0.68340000000000001</v>
      </c>
      <c r="M143" s="24">
        <v>3</v>
      </c>
      <c r="N143" s="108">
        <v>0</v>
      </c>
      <c r="O143" s="24">
        <v>6</v>
      </c>
      <c r="P143" s="24">
        <v>0</v>
      </c>
      <c r="Q143" s="24">
        <v>6</v>
      </c>
      <c r="R143" s="24">
        <v>5</v>
      </c>
      <c r="S143" s="24">
        <v>0</v>
      </c>
      <c r="T143" s="24">
        <v>0</v>
      </c>
      <c r="U143" s="24">
        <v>16520666000000</v>
      </c>
      <c r="V143" s="109">
        <v>0.2499855998924792</v>
      </c>
      <c r="W143" s="109">
        <v>-2.0513071325332769E-3</v>
      </c>
      <c r="X143" s="109">
        <v>0.10948363340799941</v>
      </c>
      <c r="Y143" s="109">
        <v>0.33130379610604072</v>
      </c>
      <c r="Z143" s="109">
        <v>0.56429591905580612</v>
      </c>
      <c r="AA143" s="109">
        <v>1.0030320414373128</v>
      </c>
      <c r="AD143" s="111"/>
    </row>
    <row r="144" spans="1:30" ht="15" customHeight="1" x14ac:dyDescent="0.3">
      <c r="A144" s="22" t="s">
        <v>153</v>
      </c>
      <c r="B144" s="23">
        <v>19</v>
      </c>
      <c r="C144" s="3" t="s">
        <v>46</v>
      </c>
      <c r="D144" s="23">
        <v>2017</v>
      </c>
      <c r="E144" s="25">
        <v>0.43587609241152547</v>
      </c>
      <c r="F144" s="25">
        <v>0.1059202215107727</v>
      </c>
      <c r="G144" s="25">
        <v>0.658647487513906</v>
      </c>
      <c r="H144" s="25">
        <v>1.9295228932604915</v>
      </c>
      <c r="I144" s="25">
        <v>0.24918380257481046</v>
      </c>
      <c r="J144" s="25">
        <v>7.1933086494092732E-2</v>
      </c>
      <c r="K144" s="25">
        <v>0.21072962366733172</v>
      </c>
      <c r="L144" s="25">
        <v>0.68340000000000001</v>
      </c>
      <c r="M144" s="24">
        <v>3</v>
      </c>
      <c r="N144" s="108">
        <v>0</v>
      </c>
      <c r="O144" s="24">
        <v>6</v>
      </c>
      <c r="P144" s="24">
        <v>0</v>
      </c>
      <c r="Q144" s="24">
        <v>6</v>
      </c>
      <c r="R144" s="24">
        <v>5</v>
      </c>
      <c r="S144" s="24">
        <v>0</v>
      </c>
      <c r="T144" s="24">
        <v>0</v>
      </c>
      <c r="U144" s="24">
        <v>18732840000000</v>
      </c>
      <c r="V144" s="109">
        <v>0.15366435757393582</v>
      </c>
      <c r="W144" s="109">
        <v>-0.11415365956256499</v>
      </c>
      <c r="X144" s="109">
        <v>0.14422277561757854</v>
      </c>
      <c r="Y144" s="109">
        <v>0.36235756244114614</v>
      </c>
      <c r="Z144" s="109">
        <v>0.54417597410607499</v>
      </c>
      <c r="AA144" s="109">
        <v>0.93660265260223463</v>
      </c>
      <c r="AD144" s="111"/>
    </row>
    <row r="145" spans="1:30" ht="15" customHeight="1" x14ac:dyDescent="0.3">
      <c r="A145" s="22" t="s">
        <v>153</v>
      </c>
      <c r="B145" s="23">
        <v>19</v>
      </c>
      <c r="C145" s="3" t="s">
        <v>46</v>
      </c>
      <c r="D145" s="23">
        <v>2018</v>
      </c>
      <c r="E145" s="25">
        <v>0.403392939812311</v>
      </c>
      <c r="F145" s="25">
        <v>0.13081264124629893</v>
      </c>
      <c r="G145" s="25">
        <v>0.65405500541168282</v>
      </c>
      <c r="H145" s="25">
        <v>1.8906329492930631</v>
      </c>
      <c r="I145" s="25">
        <v>0.15449300626738058</v>
      </c>
      <c r="J145" s="25">
        <v>2.9300176060877942E-2</v>
      </c>
      <c r="K145" s="25">
        <v>8.4696054341661622E-2</v>
      </c>
      <c r="L145" s="25">
        <v>0.68340000000000001</v>
      </c>
      <c r="M145" s="24">
        <v>3</v>
      </c>
      <c r="N145" s="108">
        <v>0</v>
      </c>
      <c r="O145" s="24">
        <v>6</v>
      </c>
      <c r="P145" s="24">
        <v>0</v>
      </c>
      <c r="Q145" s="24">
        <v>6</v>
      </c>
      <c r="R145" s="24">
        <v>5</v>
      </c>
      <c r="S145" s="24">
        <v>0</v>
      </c>
      <c r="T145" s="24">
        <v>0</v>
      </c>
      <c r="U145" s="24">
        <v>18420333000000</v>
      </c>
      <c r="V145" s="109">
        <v>-0.35397939123460831</v>
      </c>
      <c r="W145" s="109">
        <v>-0.14732168848413327</v>
      </c>
      <c r="X145" s="109">
        <v>0.15589084192994773</v>
      </c>
      <c r="Y145" s="109">
        <v>0.22726906402832128</v>
      </c>
      <c r="Z145" s="109">
        <v>0.55536956572803375</v>
      </c>
      <c r="AA145" s="109">
        <v>0.79120778320216956</v>
      </c>
      <c r="AD145" s="111"/>
    </row>
    <row r="146" spans="1:30" ht="15" customHeight="1" x14ac:dyDescent="0.3">
      <c r="A146" s="22" t="s">
        <v>153</v>
      </c>
      <c r="B146" s="23">
        <v>19</v>
      </c>
      <c r="C146" s="3" t="s">
        <v>46</v>
      </c>
      <c r="D146" s="23">
        <v>2019</v>
      </c>
      <c r="E146" s="25">
        <v>0.42999661363357117</v>
      </c>
      <c r="F146" s="25">
        <v>0.10830528842551941</v>
      </c>
      <c r="G146" s="25">
        <v>0.65274539823010724</v>
      </c>
      <c r="H146" s="25">
        <v>1.8797314561223499</v>
      </c>
      <c r="I146" s="25">
        <v>0.21846342519928669</v>
      </c>
      <c r="J146" s="25">
        <v>5.1444674795826033E-2</v>
      </c>
      <c r="K146" s="25">
        <v>0.14814684825952487</v>
      </c>
      <c r="L146" s="25">
        <v>0.68340000000000001</v>
      </c>
      <c r="M146" s="24">
        <v>2</v>
      </c>
      <c r="N146" s="108">
        <v>0</v>
      </c>
      <c r="O146" s="24">
        <v>5</v>
      </c>
      <c r="P146" s="24">
        <v>0</v>
      </c>
      <c r="Q146" s="24">
        <v>5</v>
      </c>
      <c r="R146" s="24">
        <v>5</v>
      </c>
      <c r="S146" s="24">
        <v>0</v>
      </c>
      <c r="T146" s="24">
        <v>0</v>
      </c>
      <c r="U146" s="24">
        <v>18871652000000</v>
      </c>
      <c r="V146" s="109">
        <v>0.27207501964370823</v>
      </c>
      <c r="W146" s="109">
        <v>-0.13223482501690895</v>
      </c>
      <c r="X146" s="109">
        <v>0.1468431475951337</v>
      </c>
      <c r="Y146" s="109">
        <v>0.27250116735938112</v>
      </c>
      <c r="Z146" s="109">
        <v>0.55859042874454956</v>
      </c>
      <c r="AA146" s="109">
        <v>0.84569991868215544</v>
      </c>
      <c r="AD146" s="111"/>
    </row>
    <row r="147" spans="1:30" ht="15" customHeight="1" x14ac:dyDescent="0.3">
      <c r="A147" s="22" t="s">
        <v>153</v>
      </c>
      <c r="B147" s="23">
        <v>19</v>
      </c>
      <c r="C147" s="3" t="s">
        <v>46</v>
      </c>
      <c r="D147" s="23">
        <v>2020</v>
      </c>
      <c r="E147" s="25">
        <v>0.47615567230872652</v>
      </c>
      <c r="F147" s="25">
        <v>0.14002926253236811</v>
      </c>
      <c r="G147" s="25">
        <v>0.62654667834591304</v>
      </c>
      <c r="H147" s="25">
        <v>1.6777108195766837</v>
      </c>
      <c r="I147" s="25">
        <v>0.34174579325847065</v>
      </c>
      <c r="J147" s="25">
        <v>6.6814694246917647E-2</v>
      </c>
      <c r="K147" s="25">
        <v>0.17891042969167939</v>
      </c>
      <c r="L147" s="25">
        <v>0.68340000000000001</v>
      </c>
      <c r="M147" s="24">
        <v>2</v>
      </c>
      <c r="N147" s="108">
        <v>0</v>
      </c>
      <c r="O147" s="24">
        <v>5</v>
      </c>
      <c r="P147" s="24">
        <v>0</v>
      </c>
      <c r="Q147" s="24">
        <v>5</v>
      </c>
      <c r="R147" s="24">
        <v>5</v>
      </c>
      <c r="S147" s="24">
        <v>0</v>
      </c>
      <c r="T147" s="24">
        <v>0</v>
      </c>
      <c r="U147" s="24">
        <v>19996724000000</v>
      </c>
      <c r="V147" s="109">
        <v>-0.12025652709567448</v>
      </c>
      <c r="W147" s="109">
        <v>-0.12602741929127992</v>
      </c>
      <c r="X147" s="109">
        <v>0.18671236448530268</v>
      </c>
      <c r="Y147" s="109">
        <v>0.24236592353827557</v>
      </c>
      <c r="Z147" s="109">
        <v>0.62585279164196705</v>
      </c>
      <c r="AA147" s="109">
        <v>0.92890366037426542</v>
      </c>
      <c r="AD147" s="111"/>
    </row>
    <row r="148" spans="1:30" ht="15" customHeight="1" x14ac:dyDescent="0.3">
      <c r="A148" s="22" t="s">
        <v>153</v>
      </c>
      <c r="B148" s="23">
        <v>19</v>
      </c>
      <c r="C148" s="3" t="s">
        <v>46</v>
      </c>
      <c r="D148" s="23">
        <v>2021</v>
      </c>
      <c r="E148" s="25">
        <v>0.58500964063302896</v>
      </c>
      <c r="F148" s="25">
        <v>7.6039609094723348E-2</v>
      </c>
      <c r="G148" s="25">
        <v>0.64275102578719145</v>
      </c>
      <c r="H148" s="25">
        <v>1.8813860771708637</v>
      </c>
      <c r="I148" s="25">
        <v>5.5941215033262437E-2</v>
      </c>
      <c r="J148" s="25">
        <v>1.0462337220064932E-2</v>
      </c>
      <c r="K148" s="25">
        <v>3.0624137170982533E-2</v>
      </c>
      <c r="L148" s="25">
        <v>0.68340000000000001</v>
      </c>
      <c r="M148" s="24">
        <v>3</v>
      </c>
      <c r="N148" s="108">
        <v>0</v>
      </c>
      <c r="O148" s="24">
        <v>5</v>
      </c>
      <c r="P148" s="24">
        <v>0</v>
      </c>
      <c r="Q148" s="24">
        <v>5</v>
      </c>
      <c r="R148" s="24">
        <v>6</v>
      </c>
      <c r="S148" s="24">
        <v>0</v>
      </c>
      <c r="T148" s="24">
        <v>0</v>
      </c>
      <c r="U148" s="24">
        <v>19215974000000</v>
      </c>
      <c r="V148" s="109">
        <v>-8.0754397300155156E-2</v>
      </c>
      <c r="W148" s="109">
        <v>-0.12020629087029364</v>
      </c>
      <c r="X148" s="109">
        <v>0.15346993287980093</v>
      </c>
      <c r="Y148" s="109">
        <v>0.19784509700106798</v>
      </c>
      <c r="Z148" s="109">
        <v>0.55809916568476925</v>
      </c>
      <c r="AA148" s="109">
        <v>0.78920790469534452</v>
      </c>
      <c r="AD148" s="111"/>
    </row>
    <row r="149" spans="1:30" ht="15" customHeight="1" x14ac:dyDescent="0.3">
      <c r="A149" s="22" t="s">
        <v>153</v>
      </c>
      <c r="B149" s="23">
        <v>19</v>
      </c>
      <c r="C149" s="3" t="s">
        <v>46</v>
      </c>
      <c r="D149" s="23">
        <v>2022</v>
      </c>
      <c r="E149" s="25">
        <v>0.58422357984661166</v>
      </c>
      <c r="F149" s="25">
        <v>8.5761463567490204E-2</v>
      </c>
      <c r="G149" s="25">
        <v>0.62878019653862571</v>
      </c>
      <c r="H149" s="25">
        <v>1.6938218022736784</v>
      </c>
      <c r="I149" s="25">
        <v>9.6820855872272002E-2</v>
      </c>
      <c r="J149" s="25">
        <v>1.8081953863502302E-2</v>
      </c>
      <c r="K149" s="25">
        <v>4.8709561545209279E-2</v>
      </c>
      <c r="L149" s="25">
        <v>0.68340000000000001</v>
      </c>
      <c r="M149" s="24">
        <v>3</v>
      </c>
      <c r="N149" s="108">
        <v>0</v>
      </c>
      <c r="O149" s="24">
        <v>5</v>
      </c>
      <c r="P149" s="24">
        <v>0</v>
      </c>
      <c r="Q149" s="24">
        <v>5</v>
      </c>
      <c r="R149" s="24">
        <v>6</v>
      </c>
      <c r="S149" s="24">
        <v>0</v>
      </c>
      <c r="T149" s="24">
        <v>0</v>
      </c>
      <c r="U149" s="24">
        <v>19085714000000</v>
      </c>
      <c r="V149" s="109">
        <v>-8.1965160424325601E-3</v>
      </c>
      <c r="W149" s="109">
        <v>-0.12860796719473003</v>
      </c>
      <c r="X149" s="109">
        <v>0.23057833937991526</v>
      </c>
      <c r="Y149" s="109">
        <v>0.20355750484367521</v>
      </c>
      <c r="Z149" s="109">
        <v>0.6198999201631169</v>
      </c>
      <c r="AA149" s="109">
        <v>0.92542779719197732</v>
      </c>
      <c r="AD149" s="111"/>
    </row>
    <row r="150" spans="1:30" ht="15" customHeight="1" x14ac:dyDescent="0.3">
      <c r="A150" s="22" t="s">
        <v>153</v>
      </c>
      <c r="B150" s="23">
        <v>19</v>
      </c>
      <c r="C150" s="3" t="s">
        <v>46</v>
      </c>
      <c r="D150" s="23">
        <v>2023</v>
      </c>
      <c r="E150" s="25">
        <v>0.55557216312782576</v>
      </c>
      <c r="F150" s="25">
        <v>0.1088051973027187</v>
      </c>
      <c r="G150" s="25">
        <v>0.63593835431116885</v>
      </c>
      <c r="H150" s="25">
        <v>1.746787561507412</v>
      </c>
      <c r="I150" s="25">
        <v>0.10397954009303967</v>
      </c>
      <c r="J150" s="25">
        <v>2.1057082043760379E-2</v>
      </c>
      <c r="K150" s="25">
        <v>5.7839331039442082E-2</v>
      </c>
      <c r="L150" s="25">
        <v>0.68340000000000001</v>
      </c>
      <c r="M150" s="24">
        <v>3</v>
      </c>
      <c r="N150" s="108">
        <v>0</v>
      </c>
      <c r="O150" s="24">
        <v>6</v>
      </c>
      <c r="P150" s="24">
        <v>0</v>
      </c>
      <c r="Q150" s="24">
        <v>6</v>
      </c>
      <c r="R150" s="24">
        <v>6</v>
      </c>
      <c r="S150" s="24">
        <v>0</v>
      </c>
      <c r="T150" s="24">
        <v>0</v>
      </c>
      <c r="U150" s="24">
        <v>19037633000000</v>
      </c>
      <c r="V150" s="109">
        <v>8.1629183363086E-2</v>
      </c>
      <c r="W150" s="109">
        <v>-0.16085817391269175</v>
      </c>
      <c r="X150" s="109">
        <v>0.18676420225140383</v>
      </c>
      <c r="Y150" s="109">
        <v>0.10970599128578641</v>
      </c>
      <c r="Z150" s="109">
        <v>0.60110343303217106</v>
      </c>
      <c r="AA150" s="109">
        <v>0.73671545265666949</v>
      </c>
      <c r="AD150" s="111"/>
    </row>
    <row r="151" spans="1:30" ht="15" customHeight="1" x14ac:dyDescent="0.3">
      <c r="A151" s="22" t="s">
        <v>153</v>
      </c>
      <c r="B151" s="23">
        <v>19</v>
      </c>
      <c r="C151" s="3" t="s">
        <v>46</v>
      </c>
      <c r="D151" s="23">
        <v>2024</v>
      </c>
      <c r="E151" s="25">
        <v>0.51077008491243903</v>
      </c>
      <c r="F151" s="25">
        <v>7.7563684329297486E-2</v>
      </c>
      <c r="G151" s="25">
        <v>0.61601029984187239</v>
      </c>
      <c r="H151" s="25">
        <v>1.6042365188133907</v>
      </c>
      <c r="I151" s="25">
        <v>0.2066440496812188</v>
      </c>
      <c r="J151" s="25">
        <v>4.2331932251902168E-2</v>
      </c>
      <c r="K151" s="25">
        <v>0.11024236388233799</v>
      </c>
      <c r="L151" s="25">
        <v>0.68340000000000001</v>
      </c>
      <c r="M151" s="24">
        <v>3</v>
      </c>
      <c r="N151" s="108">
        <v>0</v>
      </c>
      <c r="O151" s="24">
        <v>6</v>
      </c>
      <c r="P151" s="24">
        <v>0</v>
      </c>
      <c r="Q151" s="24">
        <v>6</v>
      </c>
      <c r="R151" s="24">
        <v>6</v>
      </c>
      <c r="S151" s="24">
        <v>0</v>
      </c>
      <c r="T151" s="24">
        <v>0</v>
      </c>
      <c r="U151" s="24">
        <v>19145925000000</v>
      </c>
      <c r="V151" s="109">
        <v>1.732166641377101E-2</v>
      </c>
      <c r="W151" s="109">
        <v>-0.17753082392206174</v>
      </c>
      <c r="X151" s="109">
        <v>0.19591593824795617</v>
      </c>
      <c r="Y151" s="109">
        <v>0.16403062688274397</v>
      </c>
      <c r="Z151" s="109">
        <v>0.65451695413133726</v>
      </c>
      <c r="AA151" s="109">
        <v>0.83693269533997561</v>
      </c>
      <c r="AD151" s="111"/>
    </row>
    <row r="152" spans="1:30" ht="15" customHeight="1" x14ac:dyDescent="0.3">
      <c r="A152" s="22" t="s">
        <v>153</v>
      </c>
      <c r="B152" s="23">
        <v>20</v>
      </c>
      <c r="C152" s="3" t="s">
        <v>27</v>
      </c>
      <c r="D152" s="23">
        <v>2017</v>
      </c>
      <c r="E152" s="25">
        <v>0.91950160704595729</v>
      </c>
      <c r="F152" s="25">
        <v>0.9113828943523814</v>
      </c>
      <c r="G152" s="25">
        <v>1.1106442202178626</v>
      </c>
      <c r="H152" s="25">
        <v>-10.037977745524916</v>
      </c>
      <c r="I152" s="25">
        <v>-1.4542820347714103</v>
      </c>
      <c r="J152" s="25">
        <v>-8.0596668718607531E-2</v>
      </c>
      <c r="K152" s="25">
        <v>0.72843089824221896</v>
      </c>
      <c r="L152" s="25">
        <v>0</v>
      </c>
      <c r="M152" s="24">
        <v>0</v>
      </c>
      <c r="N152" s="108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112089000000</v>
      </c>
      <c r="V152" s="109">
        <v>0</v>
      </c>
      <c r="W152" s="109">
        <v>-0.45146124954277406</v>
      </c>
      <c r="X152" s="109">
        <v>-5.6249098484240196</v>
      </c>
      <c r="Y152" s="109">
        <v>-0.5416096137890426</v>
      </c>
      <c r="Z152" s="109">
        <v>-0.10460274236691811</v>
      </c>
      <c r="AA152" s="109">
        <v>-6.7225834541227547</v>
      </c>
      <c r="AD152" s="111"/>
    </row>
    <row r="153" spans="1:30" ht="15" customHeight="1" x14ac:dyDescent="0.3">
      <c r="A153" s="22" t="s">
        <v>153</v>
      </c>
      <c r="B153" s="23">
        <v>20</v>
      </c>
      <c r="C153" s="3" t="s">
        <v>27</v>
      </c>
      <c r="D153" s="23">
        <v>2018</v>
      </c>
      <c r="E153" s="25">
        <v>0.43110734332652562</v>
      </c>
      <c r="F153" s="25">
        <v>0.38660038791054935</v>
      </c>
      <c r="G153" s="25">
        <v>0.4916957835032999</v>
      </c>
      <c r="H153" s="25">
        <v>0.96732580125369072</v>
      </c>
      <c r="I153" s="25">
        <v>0.12717914660468205</v>
      </c>
      <c r="J153" s="25">
        <v>3.6265848554573946E-3</v>
      </c>
      <c r="K153" s="25">
        <v>7.1346739565772196E-3</v>
      </c>
      <c r="L153" s="25">
        <v>0.99990000000000001</v>
      </c>
      <c r="M153" s="24">
        <v>2</v>
      </c>
      <c r="N153" s="108">
        <v>0</v>
      </c>
      <c r="O153" s="24">
        <v>4</v>
      </c>
      <c r="P153" s="24">
        <v>0</v>
      </c>
      <c r="Q153" s="24">
        <v>4</v>
      </c>
      <c r="R153" s="24">
        <v>3</v>
      </c>
      <c r="S153" s="24">
        <v>0</v>
      </c>
      <c r="T153" s="24">
        <v>0</v>
      </c>
      <c r="U153" s="24">
        <v>211218000000</v>
      </c>
      <c r="V153" s="109">
        <v>-3.0424983902124919E-2</v>
      </c>
      <c r="W153" s="109">
        <v>-1.3755570074520163</v>
      </c>
      <c r="X153" s="109">
        <v>-2.9732154456533055</v>
      </c>
      <c r="Y153" s="109">
        <v>2.1030025850069595E-2</v>
      </c>
      <c r="Z153" s="109">
        <v>1.0854667565355542</v>
      </c>
      <c r="AA153" s="109">
        <v>-3.2422756707196978</v>
      </c>
      <c r="AD153" s="111"/>
    </row>
    <row r="154" spans="1:30" ht="15" customHeight="1" x14ac:dyDescent="0.3">
      <c r="A154" s="22" t="s">
        <v>153</v>
      </c>
      <c r="B154" s="23">
        <v>20</v>
      </c>
      <c r="C154" s="3" t="s">
        <v>27</v>
      </c>
      <c r="D154" s="23">
        <v>2019</v>
      </c>
      <c r="E154" s="25">
        <v>0.69534446407202688</v>
      </c>
      <c r="F154" s="25">
        <v>0.65514844150663853</v>
      </c>
      <c r="G154" s="25">
        <v>0.94857784973307158</v>
      </c>
      <c r="H154" s="25">
        <v>18.447012959325079</v>
      </c>
      <c r="I154" s="25">
        <v>8.4324316718348488E-3</v>
      </c>
      <c r="J154" s="25">
        <v>9.385467423371853E-3</v>
      </c>
      <c r="K154" s="25">
        <v>0.18251937807422297</v>
      </c>
      <c r="L154" s="25">
        <v>0.99990000000000001</v>
      </c>
      <c r="M154" s="24">
        <v>2</v>
      </c>
      <c r="N154" s="108">
        <v>0</v>
      </c>
      <c r="O154" s="24">
        <v>4</v>
      </c>
      <c r="P154" s="24">
        <v>0</v>
      </c>
      <c r="Q154" s="24">
        <v>4</v>
      </c>
      <c r="R154" s="24">
        <v>3</v>
      </c>
      <c r="S154" s="24">
        <v>0</v>
      </c>
      <c r="T154" s="24">
        <v>0</v>
      </c>
      <c r="U154" s="24">
        <v>2554055000000</v>
      </c>
      <c r="V154" s="109">
        <v>470.97658973933255</v>
      </c>
      <c r="W154" s="109">
        <v>-6.8660197215799967E-2</v>
      </c>
      <c r="X154" s="109">
        <v>-0.21439335488076802</v>
      </c>
      <c r="Y154" s="109">
        <v>6.3935976320008761E-2</v>
      </c>
      <c r="Z154" s="109">
        <v>5.6919784374587244E-2</v>
      </c>
      <c r="AA154" s="109">
        <v>-0.16219779140197202</v>
      </c>
      <c r="AD154" s="111"/>
    </row>
    <row r="155" spans="1:30" ht="15" customHeight="1" x14ac:dyDescent="0.3">
      <c r="A155" s="22" t="s">
        <v>153</v>
      </c>
      <c r="B155" s="23">
        <v>20</v>
      </c>
      <c r="C155" s="3" t="s">
        <v>27</v>
      </c>
      <c r="D155" s="23">
        <v>2020</v>
      </c>
      <c r="E155" s="25">
        <v>0.61688988512188292</v>
      </c>
      <c r="F155" s="25">
        <v>0.42547492294760436</v>
      </c>
      <c r="G155" s="25">
        <v>0.9347806339121022</v>
      </c>
      <c r="H155" s="25">
        <v>14.353694447673293</v>
      </c>
      <c r="I155" s="25">
        <v>1.1519428260213698E-2</v>
      </c>
      <c r="J155" s="25">
        <v>9.8914713816013588E-3</v>
      </c>
      <c r="K155" s="25">
        <v>0.15188500135611607</v>
      </c>
      <c r="L155" s="25">
        <v>0.99990000000000001</v>
      </c>
      <c r="M155" s="24">
        <v>2</v>
      </c>
      <c r="N155" s="108">
        <v>0</v>
      </c>
      <c r="O155" s="24">
        <v>4</v>
      </c>
      <c r="P155" s="24">
        <v>0</v>
      </c>
      <c r="Q155" s="24">
        <v>4</v>
      </c>
      <c r="R155" s="24">
        <v>3</v>
      </c>
      <c r="S155" s="24">
        <v>0</v>
      </c>
      <c r="T155" s="24">
        <v>0</v>
      </c>
      <c r="U155" s="24">
        <v>2377806000000</v>
      </c>
      <c r="V155" s="109">
        <v>-0.28175423846569214</v>
      </c>
      <c r="W155" s="109">
        <v>-9.4305624596792162E-2</v>
      </c>
      <c r="X155" s="109">
        <v>-0.18548143961281954</v>
      </c>
      <c r="Y155" s="109">
        <v>9.1575242050865369E-2</v>
      </c>
      <c r="Z155" s="109">
        <v>7.3151898546245223E-2</v>
      </c>
      <c r="AA155" s="109">
        <v>-0.1150599236125011</v>
      </c>
      <c r="AD155" s="111"/>
    </row>
    <row r="156" spans="1:30" ht="15" customHeight="1" x14ac:dyDescent="0.3">
      <c r="A156" s="22" t="s">
        <v>153</v>
      </c>
      <c r="B156" s="23">
        <v>20</v>
      </c>
      <c r="C156" s="3" t="s">
        <v>27</v>
      </c>
      <c r="D156" s="23">
        <v>2021</v>
      </c>
      <c r="E156" s="25">
        <v>9.9644056104851693</v>
      </c>
      <c r="F156" s="25">
        <v>9.3405610485168999</v>
      </c>
      <c r="G156" s="25">
        <v>0.94295655950448265</v>
      </c>
      <c r="H156" s="25">
        <v>16.530499410858333</v>
      </c>
      <c r="I156" s="25">
        <v>1.5228449371385597E-2</v>
      </c>
      <c r="J156" s="25">
        <v>1.2563436175480806E-2</v>
      </c>
      <c r="K156" s="25">
        <v>0.22024331047262255</v>
      </c>
      <c r="L156" s="25">
        <v>0.99990000000000001</v>
      </c>
      <c r="M156" s="24">
        <v>2</v>
      </c>
      <c r="N156" s="108">
        <v>0</v>
      </c>
      <c r="O156" s="24">
        <v>4</v>
      </c>
      <c r="P156" s="24">
        <v>0</v>
      </c>
      <c r="Q156" s="24">
        <v>4</v>
      </c>
      <c r="R156" s="24">
        <v>3</v>
      </c>
      <c r="S156" s="24">
        <v>0</v>
      </c>
      <c r="T156" s="24">
        <v>0</v>
      </c>
      <c r="U156" s="24">
        <v>3481452000000</v>
      </c>
      <c r="V156" s="109">
        <v>0.4067171196727542</v>
      </c>
      <c r="W156" s="109">
        <v>0.73460576793820509</v>
      </c>
      <c r="X156" s="109">
        <v>-9.4302055579108937E-2</v>
      </c>
      <c r="Y156" s="109">
        <v>6.7621716456237227E-2</v>
      </c>
      <c r="Z156" s="109">
        <v>6.351895208382452E-2</v>
      </c>
      <c r="AA156" s="109">
        <v>0.7714443808991579</v>
      </c>
      <c r="AD156" s="111"/>
    </row>
    <row r="157" spans="1:30" ht="15" customHeight="1" x14ac:dyDescent="0.3">
      <c r="A157" s="22" t="s">
        <v>153</v>
      </c>
      <c r="B157" s="23">
        <v>20</v>
      </c>
      <c r="C157" s="3" t="s">
        <v>27</v>
      </c>
      <c r="D157" s="23">
        <v>2022</v>
      </c>
      <c r="E157" s="25">
        <v>1.0241721105933252</v>
      </c>
      <c r="F157" s="25">
        <v>0.5694975085291174</v>
      </c>
      <c r="G157" s="25">
        <v>0.93617261992464584</v>
      </c>
      <c r="H157" s="25">
        <v>20.793746909417848</v>
      </c>
      <c r="I157" s="25">
        <v>5.5428776682228641E-3</v>
      </c>
      <c r="J157" s="25">
        <v>4.8284373649041396E-3</v>
      </c>
      <c r="K157" s="25">
        <v>0.10724657226342998</v>
      </c>
      <c r="L157" s="25">
        <v>0.99990000000000001</v>
      </c>
      <c r="M157" s="24">
        <v>2</v>
      </c>
      <c r="N157" s="108">
        <v>0</v>
      </c>
      <c r="O157" s="24">
        <v>4</v>
      </c>
      <c r="P157" s="24">
        <v>0</v>
      </c>
      <c r="Q157" s="24">
        <v>4</v>
      </c>
      <c r="R157" s="24">
        <v>3</v>
      </c>
      <c r="S157" s="24">
        <v>0</v>
      </c>
      <c r="T157" s="24">
        <v>0</v>
      </c>
      <c r="U157" s="24">
        <v>4940936000000</v>
      </c>
      <c r="V157" s="109">
        <v>0.49853665669750258</v>
      </c>
      <c r="W157" s="109">
        <v>2.9819775038575688E-3</v>
      </c>
      <c r="X157" s="109">
        <v>-4.6202075881978638E-2</v>
      </c>
      <c r="Y157" s="109">
        <v>4.1543221770126149E-2</v>
      </c>
      <c r="Z157" s="109">
        <v>5.0495949795581911E-2</v>
      </c>
      <c r="AA157" s="109">
        <v>4.8819073187586992E-2</v>
      </c>
      <c r="AD157" s="111"/>
    </row>
    <row r="158" spans="1:30" ht="15" customHeight="1" x14ac:dyDescent="0.3">
      <c r="A158" s="22" t="s">
        <v>153</v>
      </c>
      <c r="B158" s="23">
        <v>20</v>
      </c>
      <c r="C158" s="3" t="s">
        <v>27</v>
      </c>
      <c r="D158" s="23">
        <v>2023</v>
      </c>
      <c r="E158" s="25">
        <v>1.0638238814773693</v>
      </c>
      <c r="F158" s="25">
        <v>0.4927050986242909</v>
      </c>
      <c r="G158" s="25">
        <v>0.94019313593857579</v>
      </c>
      <c r="H158" s="25">
        <v>15.720488788259454</v>
      </c>
      <c r="I158" s="25">
        <v>1.5807340508043433E-2</v>
      </c>
      <c r="J158" s="25">
        <v>9.7692657383791036E-3</v>
      </c>
      <c r="K158" s="25">
        <v>0.16334689824809501</v>
      </c>
      <c r="L158" s="25">
        <v>0.99990000000000001</v>
      </c>
      <c r="M158" s="24">
        <v>2</v>
      </c>
      <c r="N158" s="108">
        <v>0</v>
      </c>
      <c r="O158" s="24">
        <v>4</v>
      </c>
      <c r="P158" s="24">
        <v>0</v>
      </c>
      <c r="Q158" s="24">
        <v>4</v>
      </c>
      <c r="R158" s="24">
        <v>3</v>
      </c>
      <c r="S158" s="24">
        <v>0</v>
      </c>
      <c r="T158" s="24">
        <v>0</v>
      </c>
      <c r="U158" s="24">
        <v>4445677000000</v>
      </c>
      <c r="V158" s="109">
        <v>-0.36164761730840628</v>
      </c>
      <c r="W158" s="109">
        <v>5.4286984861923165E-3</v>
      </c>
      <c r="X158" s="109">
        <v>-2.6980916517326831E-2</v>
      </c>
      <c r="Y158" s="109">
        <v>4.9924490690619223E-2</v>
      </c>
      <c r="Z158" s="109">
        <v>6.6791816345059998E-2</v>
      </c>
      <c r="AA158" s="109">
        <v>9.5164089004544705E-2</v>
      </c>
      <c r="AD158" s="111"/>
    </row>
    <row r="159" spans="1:30" ht="15" customHeight="1" x14ac:dyDescent="0.3">
      <c r="A159" s="22" t="s">
        <v>153</v>
      </c>
      <c r="B159" s="23">
        <v>20</v>
      </c>
      <c r="C159" s="3" t="s">
        <v>27</v>
      </c>
      <c r="D159" s="23">
        <v>2024</v>
      </c>
      <c r="E159" s="25">
        <v>6.0210516945946546</v>
      </c>
      <c r="F159" s="25">
        <v>4.8146738767607982</v>
      </c>
      <c r="G159" s="25">
        <v>0.94650421661933359</v>
      </c>
      <c r="H159" s="25">
        <v>17.693062084616631</v>
      </c>
      <c r="I159" s="25">
        <v>6.0067520566377767E-3</v>
      </c>
      <c r="J159" s="25">
        <v>3.3729184359627155E-3</v>
      </c>
      <c r="K159" s="25">
        <v>6.3050173729799069E-2</v>
      </c>
      <c r="L159" s="25">
        <v>0.99990000000000001</v>
      </c>
      <c r="M159" s="24">
        <v>2</v>
      </c>
      <c r="N159" s="108">
        <v>0</v>
      </c>
      <c r="O159" s="24">
        <v>4</v>
      </c>
      <c r="P159" s="24">
        <v>0</v>
      </c>
      <c r="Q159" s="24">
        <v>4</v>
      </c>
      <c r="R159" s="24">
        <v>3</v>
      </c>
      <c r="S159" s="24">
        <v>0</v>
      </c>
      <c r="T159" s="24">
        <v>0</v>
      </c>
      <c r="U159" s="24">
        <v>5304605000000</v>
      </c>
      <c r="V159" s="109">
        <v>8.4122013990065955E-2</v>
      </c>
      <c r="W159" s="109">
        <v>0.27902913789056866</v>
      </c>
      <c r="X159" s="109">
        <v>-1.3626032475556616E-2</v>
      </c>
      <c r="Y159" s="109">
        <v>1.8499428326897098E-2</v>
      </c>
      <c r="Z159" s="109">
        <v>5.934529562934901E-2</v>
      </c>
      <c r="AA159" s="109">
        <v>0.3432478293712582</v>
      </c>
      <c r="AD159" s="111"/>
    </row>
    <row r="160" spans="1:30" ht="15" customHeight="1" x14ac:dyDescent="0.3">
      <c r="A160" s="22" t="s">
        <v>153</v>
      </c>
      <c r="B160" s="23">
        <v>21</v>
      </c>
      <c r="C160" s="4" t="s">
        <v>52</v>
      </c>
      <c r="D160" s="23">
        <v>2015</v>
      </c>
      <c r="E160" s="25">
        <v>1.5390337685538629</v>
      </c>
      <c r="F160" s="25">
        <v>0.16153636801373353</v>
      </c>
      <c r="G160" s="25">
        <v>0.53761459994016414</v>
      </c>
      <c r="H160" s="25">
        <v>3.1812802386351233</v>
      </c>
      <c r="I160" s="25">
        <v>8.2353271001836301E-2</v>
      </c>
      <c r="J160" s="25">
        <v>1.2038885086536531E-2</v>
      </c>
      <c r="K160" s="25">
        <v>7.1238889764638838E-2</v>
      </c>
      <c r="L160" s="25">
        <v>0.68</v>
      </c>
      <c r="M160" s="24">
        <v>2</v>
      </c>
      <c r="N160" s="108">
        <v>0</v>
      </c>
      <c r="O160" s="24">
        <v>4</v>
      </c>
      <c r="P160" s="24">
        <v>0</v>
      </c>
      <c r="Q160" s="24">
        <v>4</v>
      </c>
      <c r="R160" s="24">
        <v>3</v>
      </c>
      <c r="S160" s="24">
        <v>0</v>
      </c>
      <c r="T160" s="24">
        <v>0</v>
      </c>
      <c r="U160" s="24">
        <v>488002000000</v>
      </c>
      <c r="V160" s="109">
        <v>5.5201384472022129E-2</v>
      </c>
      <c r="W160" s="109">
        <v>1.0383442690808644</v>
      </c>
      <c r="X160" s="109">
        <v>0.11669816926979806</v>
      </c>
      <c r="Y160" s="109">
        <v>9.3817976155835425E-2</v>
      </c>
      <c r="Z160" s="109">
        <v>0.33005580182728117</v>
      </c>
      <c r="AA160" s="109">
        <v>1.5789162163337793</v>
      </c>
      <c r="AD160" s="111"/>
    </row>
    <row r="161" spans="1:30" ht="15" customHeight="1" x14ac:dyDescent="0.3">
      <c r="A161" s="22" t="s">
        <v>153</v>
      </c>
      <c r="B161" s="23">
        <v>21</v>
      </c>
      <c r="C161" s="3" t="s">
        <v>52</v>
      </c>
      <c r="D161" s="23">
        <v>2016</v>
      </c>
      <c r="E161" s="25">
        <v>2.6243387939601832</v>
      </c>
      <c r="F161" s="25">
        <v>1.110954380790562</v>
      </c>
      <c r="G161" s="25">
        <v>0.35756289322702539</v>
      </c>
      <c r="H161" s="25">
        <v>1.3924177010253642</v>
      </c>
      <c r="I161" s="25">
        <v>8.1105105449540499E-2</v>
      </c>
      <c r="J161" s="25">
        <v>1.3065992849157881E-2</v>
      </c>
      <c r="K161" s="25">
        <v>5.0881453498830727E-2</v>
      </c>
      <c r="L161" s="25">
        <v>0.68</v>
      </c>
      <c r="M161" s="24">
        <v>2</v>
      </c>
      <c r="N161" s="108">
        <v>0</v>
      </c>
      <c r="O161" s="24">
        <v>4</v>
      </c>
      <c r="P161" s="24">
        <v>0</v>
      </c>
      <c r="Q161" s="24">
        <v>4</v>
      </c>
      <c r="R161" s="24">
        <v>3</v>
      </c>
      <c r="S161" s="24">
        <v>0</v>
      </c>
      <c r="T161" s="24">
        <v>0</v>
      </c>
      <c r="U161" s="24">
        <v>432956000000</v>
      </c>
      <c r="V161" s="109">
        <v>-2.2287949088156549E-2</v>
      </c>
      <c r="W161" s="109">
        <v>1.5354081246131246</v>
      </c>
      <c r="X161" s="109">
        <v>8.418130248801263E-2</v>
      </c>
      <c r="Y161" s="109">
        <v>0.10691007862230804</v>
      </c>
      <c r="Z161" s="109">
        <v>0.75408406487994883</v>
      </c>
      <c r="AA161" s="109">
        <v>2.4805835706033941</v>
      </c>
      <c r="AD161" s="111"/>
    </row>
    <row r="162" spans="1:30" ht="15" customHeight="1" x14ac:dyDescent="0.3">
      <c r="A162" s="22" t="s">
        <v>153</v>
      </c>
      <c r="B162" s="23">
        <v>21</v>
      </c>
      <c r="C162" s="3" t="s">
        <v>52</v>
      </c>
      <c r="D162" s="23">
        <v>2017</v>
      </c>
      <c r="E162" s="25">
        <v>2.7058428949691087</v>
      </c>
      <c r="F162" s="25">
        <v>0.66377758164165934</v>
      </c>
      <c r="G162" s="25">
        <v>0.59384760309533735</v>
      </c>
      <c r="H162" s="25">
        <v>4.0392569613708549</v>
      </c>
      <c r="I162" s="25">
        <v>2.5486989226099186E-2</v>
      </c>
      <c r="J162" s="25">
        <v>5.4362506294784591E-3</v>
      </c>
      <c r="K162" s="25">
        <v>3.6976512297806338E-2</v>
      </c>
      <c r="L162" s="25">
        <v>0.68</v>
      </c>
      <c r="M162" s="24">
        <v>3</v>
      </c>
      <c r="N162" s="108">
        <v>0</v>
      </c>
      <c r="O162" s="24">
        <v>5</v>
      </c>
      <c r="P162" s="24">
        <v>0</v>
      </c>
      <c r="Q162" s="24">
        <v>5</v>
      </c>
      <c r="R162" s="24">
        <v>3</v>
      </c>
      <c r="S162" s="24">
        <v>0</v>
      </c>
      <c r="T162" s="24">
        <v>0</v>
      </c>
      <c r="U162" s="24">
        <v>736721000000</v>
      </c>
      <c r="V162" s="109">
        <v>1.2529211888342484</v>
      </c>
      <c r="W162" s="109">
        <v>0.86047792855097105</v>
      </c>
      <c r="X162" s="109">
        <v>3.6780708029226797E-2</v>
      </c>
      <c r="Y162" s="109">
        <v>5.1664171375595369E-2</v>
      </c>
      <c r="Z162" s="109">
        <v>0.25994880000000004</v>
      </c>
      <c r="AA162" s="109">
        <v>1.2088716079557933</v>
      </c>
      <c r="AD162" s="111"/>
    </row>
    <row r="163" spans="1:30" ht="15" customHeight="1" x14ac:dyDescent="0.3">
      <c r="A163" s="22" t="s">
        <v>153</v>
      </c>
      <c r="B163" s="23">
        <v>21</v>
      </c>
      <c r="C163" s="3" t="s">
        <v>52</v>
      </c>
      <c r="D163" s="23">
        <v>2018</v>
      </c>
      <c r="E163" s="25">
        <v>1.2618377740760518</v>
      </c>
      <c r="F163" s="25">
        <v>0.20272262826081758</v>
      </c>
      <c r="G163" s="25">
        <v>0.57963917856364078</v>
      </c>
      <c r="H163" s="25">
        <v>3.4321709658125337</v>
      </c>
      <c r="I163" s="25">
        <v>2.7661660731795427E-2</v>
      </c>
      <c r="J163" s="25">
        <v>6.8752324880388916E-3</v>
      </c>
      <c r="K163" s="25">
        <v>4.0709762558031347E-2</v>
      </c>
      <c r="L163" s="25">
        <v>0.68</v>
      </c>
      <c r="M163" s="24">
        <v>3</v>
      </c>
      <c r="N163" s="108">
        <v>0</v>
      </c>
      <c r="O163" s="24">
        <v>5</v>
      </c>
      <c r="P163" s="24">
        <v>0</v>
      </c>
      <c r="Q163" s="24">
        <v>5</v>
      </c>
      <c r="R163" s="24">
        <v>3</v>
      </c>
      <c r="S163" s="24">
        <v>0</v>
      </c>
      <c r="T163" s="24">
        <v>0</v>
      </c>
      <c r="U163" s="24">
        <v>623688000000</v>
      </c>
      <c r="V163" s="109">
        <v>-1.3510331617230606E-2</v>
      </c>
      <c r="W163" s="109">
        <v>0.34553994946191041</v>
      </c>
      <c r="X163" s="109">
        <v>3.9813849232308463E-2</v>
      </c>
      <c r="Y163" s="109">
        <v>6.917304806249279E-2</v>
      </c>
      <c r="Z163" s="109">
        <v>0.305928816034787</v>
      </c>
      <c r="AA163" s="109">
        <v>0.76045566279149868</v>
      </c>
      <c r="AD163" s="111"/>
    </row>
    <row r="164" spans="1:30" ht="15" customHeight="1" x14ac:dyDescent="0.3">
      <c r="A164" s="22" t="s">
        <v>153</v>
      </c>
      <c r="B164" s="23">
        <v>21</v>
      </c>
      <c r="C164" s="3" t="s">
        <v>52</v>
      </c>
      <c r="D164" s="23">
        <v>2019</v>
      </c>
      <c r="E164" s="25">
        <v>2.5007631501013736</v>
      </c>
      <c r="F164" s="25">
        <v>0.80445132924801244</v>
      </c>
      <c r="G164" s="25">
        <v>0.77530984101513845</v>
      </c>
      <c r="H164" s="25">
        <v>7.1779329708213382</v>
      </c>
      <c r="I164" s="25">
        <v>2.805700664401278E-2</v>
      </c>
      <c r="J164" s="25">
        <v>5.3090924446201771E-3</v>
      </c>
      <c r="K164" s="25">
        <v>4.9152361659025486E-2</v>
      </c>
      <c r="L164" s="25">
        <v>0.68</v>
      </c>
      <c r="M164" s="24">
        <v>3</v>
      </c>
      <c r="N164" s="108">
        <v>0</v>
      </c>
      <c r="O164" s="24">
        <v>5</v>
      </c>
      <c r="P164" s="24">
        <v>0</v>
      </c>
      <c r="Q164" s="24">
        <v>5</v>
      </c>
      <c r="R164" s="24">
        <v>3</v>
      </c>
      <c r="S164" s="24">
        <v>0</v>
      </c>
      <c r="T164" s="24">
        <v>0</v>
      </c>
      <c r="U164" s="24">
        <v>1041986000000</v>
      </c>
      <c r="V164" s="109">
        <v>0.27193321979666613</v>
      </c>
      <c r="W164" s="109">
        <v>0.41475244389080079</v>
      </c>
      <c r="X164" s="109">
        <v>3.8735702782954851E-2</v>
      </c>
      <c r="Y164" s="109">
        <v>4.1778066116051456E-2</v>
      </c>
      <c r="Z164" s="109">
        <v>0.14628166691835984</v>
      </c>
      <c r="AA164" s="109">
        <v>0.64154787970816696</v>
      </c>
      <c r="AD164" s="111"/>
    </row>
    <row r="165" spans="1:30" ht="15" customHeight="1" x14ac:dyDescent="0.3">
      <c r="A165" s="22" t="s">
        <v>153</v>
      </c>
      <c r="B165" s="23">
        <v>21</v>
      </c>
      <c r="C165" s="3" t="s">
        <v>52</v>
      </c>
      <c r="D165" s="23">
        <v>2020</v>
      </c>
      <c r="E165" s="25">
        <v>3.1747151986662963</v>
      </c>
      <c r="F165" s="25">
        <v>0.77435398721867188</v>
      </c>
      <c r="G165" s="25">
        <v>0.80370551805742241</v>
      </c>
      <c r="H165" s="25">
        <v>8.5212018353318442</v>
      </c>
      <c r="I165" s="25">
        <v>1.7354102124015443E-2</v>
      </c>
      <c r="J165" s="25">
        <v>3.8795887619824435E-3</v>
      </c>
      <c r="K165" s="25">
        <v>4.113292510276835E-2</v>
      </c>
      <c r="L165" s="25">
        <v>0.68</v>
      </c>
      <c r="M165" s="24">
        <v>3</v>
      </c>
      <c r="N165" s="108">
        <v>0</v>
      </c>
      <c r="O165" s="24">
        <v>5</v>
      </c>
      <c r="P165" s="24">
        <v>11</v>
      </c>
      <c r="Q165" s="24">
        <v>5</v>
      </c>
      <c r="R165" s="24">
        <v>3</v>
      </c>
      <c r="S165" s="24">
        <v>11</v>
      </c>
      <c r="T165" s="24">
        <v>3</v>
      </c>
      <c r="U165" s="24">
        <v>1243173000000</v>
      </c>
      <c r="V165" s="109">
        <v>0.40952984733985903</v>
      </c>
      <c r="W165" s="109">
        <v>0.41300613832507616</v>
      </c>
      <c r="X165" s="109">
        <v>4.5117051287310771E-2</v>
      </c>
      <c r="Y165" s="109">
        <v>3.2714224005830239E-2</v>
      </c>
      <c r="Z165" s="109">
        <v>0.12322205485690266</v>
      </c>
      <c r="AA165" s="109">
        <v>0.61405946847511983</v>
      </c>
      <c r="AD165" s="111"/>
    </row>
    <row r="166" spans="1:30" ht="15" customHeight="1" x14ac:dyDescent="0.3">
      <c r="A166" s="22" t="s">
        <v>153</v>
      </c>
      <c r="B166" s="23">
        <v>21</v>
      </c>
      <c r="C166" s="3" t="s">
        <v>52</v>
      </c>
      <c r="D166" s="23">
        <v>2021</v>
      </c>
      <c r="E166" s="25">
        <v>4.7459290080649303</v>
      </c>
      <c r="F166" s="25">
        <v>0.7913905583808496</v>
      </c>
      <c r="G166" s="25">
        <v>0.80619868743995982</v>
      </c>
      <c r="H166" s="25">
        <v>8.3965874058004104</v>
      </c>
      <c r="I166" s="25">
        <v>2.2115612805546626E-2</v>
      </c>
      <c r="J166" s="25">
        <v>5.0444075048066452E-3</v>
      </c>
      <c r="K166" s="25">
        <v>5.2537679835578902E-2</v>
      </c>
      <c r="L166" s="25">
        <v>0.68</v>
      </c>
      <c r="M166" s="24">
        <v>3</v>
      </c>
      <c r="N166" s="108">
        <v>0</v>
      </c>
      <c r="O166" s="24">
        <v>5</v>
      </c>
      <c r="P166" s="24">
        <v>9</v>
      </c>
      <c r="Q166" s="24">
        <v>5</v>
      </c>
      <c r="R166" s="24">
        <v>3</v>
      </c>
      <c r="S166" s="24">
        <v>9</v>
      </c>
      <c r="T166" s="24">
        <v>3</v>
      </c>
      <c r="U166" s="24">
        <v>1459438000000</v>
      </c>
      <c r="V166" s="109">
        <v>0.19779286621545281</v>
      </c>
      <c r="W166" s="109">
        <v>0.65555141088556002</v>
      </c>
      <c r="X166" s="109">
        <v>2.1372391290346009E-2</v>
      </c>
      <c r="Y166" s="109">
        <v>3.7227480715179402E-2</v>
      </c>
      <c r="Z166" s="109">
        <v>0.12505080329118637</v>
      </c>
      <c r="AA166" s="109">
        <v>0.83920208618227177</v>
      </c>
      <c r="AD166" s="111"/>
    </row>
    <row r="167" spans="1:30" ht="15" customHeight="1" x14ac:dyDescent="0.3">
      <c r="A167" s="22" t="s">
        <v>153</v>
      </c>
      <c r="B167" s="23">
        <v>21</v>
      </c>
      <c r="C167" s="3" t="s">
        <v>52</v>
      </c>
      <c r="D167" s="23">
        <v>2022</v>
      </c>
      <c r="E167" s="25">
        <v>0.98209321672787775</v>
      </c>
      <c r="F167" s="25">
        <v>0.29455390296856926</v>
      </c>
      <c r="G167" s="25">
        <v>0.80001346855460342</v>
      </c>
      <c r="H167" s="25">
        <v>9.2440136009939184</v>
      </c>
      <c r="I167" s="25">
        <v>2.3571921757657543E-2</v>
      </c>
      <c r="J167" s="25">
        <v>7.2062426184681047E-3</v>
      </c>
      <c r="K167" s="25">
        <v>8.3266854116262348E-2</v>
      </c>
      <c r="L167" s="25">
        <v>0.68</v>
      </c>
      <c r="M167" s="24">
        <v>3</v>
      </c>
      <c r="N167" s="108">
        <v>0</v>
      </c>
      <c r="O167" s="24">
        <v>5</v>
      </c>
      <c r="P167" s="24">
        <v>9</v>
      </c>
      <c r="Q167" s="24">
        <v>5</v>
      </c>
      <c r="R167" s="24">
        <v>3</v>
      </c>
      <c r="S167" s="24">
        <v>9</v>
      </c>
      <c r="T167" s="24">
        <v>3</v>
      </c>
      <c r="U167" s="24">
        <v>1767079000000</v>
      </c>
      <c r="V167" s="109">
        <v>0.62282996932893142</v>
      </c>
      <c r="W167" s="109">
        <v>-6.5522820428515084E-3</v>
      </c>
      <c r="X167" s="109">
        <v>4.1143899056012775E-2</v>
      </c>
      <c r="Y167" s="109">
        <v>5.7514847949638917E-2</v>
      </c>
      <c r="Z167" s="109">
        <v>0.11358702456767304</v>
      </c>
      <c r="AA167" s="109">
        <v>0.20569348953047323</v>
      </c>
      <c r="AD167" s="111"/>
    </row>
    <row r="168" spans="1:30" ht="15" customHeight="1" x14ac:dyDescent="0.3">
      <c r="A168" s="22" t="s">
        <v>153</v>
      </c>
      <c r="B168" s="23">
        <v>21</v>
      </c>
      <c r="C168" s="3" t="s">
        <v>52</v>
      </c>
      <c r="D168" s="23">
        <v>2023</v>
      </c>
      <c r="E168" s="25">
        <v>1.1736863162605871</v>
      </c>
      <c r="F168" s="25">
        <v>0.23266900391273979</v>
      </c>
      <c r="G168" s="25">
        <v>0.82150001994125688</v>
      </c>
      <c r="H168" s="25">
        <v>9.7280275446000086</v>
      </c>
      <c r="I168" s="25">
        <v>5.2731162718325751E-2</v>
      </c>
      <c r="J168" s="25">
        <v>1.453310227205964E-2</v>
      </c>
      <c r="K168" s="25">
        <v>0.17209788895829206</v>
      </c>
      <c r="L168" s="25">
        <v>0.68</v>
      </c>
      <c r="M168" s="24">
        <v>4</v>
      </c>
      <c r="N168" s="108">
        <v>0</v>
      </c>
      <c r="O168" s="24">
        <v>6</v>
      </c>
      <c r="P168" s="24">
        <v>12</v>
      </c>
      <c r="Q168" s="24">
        <v>6</v>
      </c>
      <c r="R168" s="24">
        <v>3</v>
      </c>
      <c r="S168" s="24">
        <v>12</v>
      </c>
      <c r="T168" s="24">
        <v>3</v>
      </c>
      <c r="U168" s="24">
        <v>2331849000000</v>
      </c>
      <c r="V168" s="109">
        <v>0.18965641711972367</v>
      </c>
      <c r="W168" s="109">
        <v>7.2054957246374007E-2</v>
      </c>
      <c r="X168" s="109">
        <v>6.4576505597060518E-2</v>
      </c>
      <c r="Y168" s="109">
        <v>0.1184433468890996</v>
      </c>
      <c r="Z168" s="109">
        <v>0.10793554964622309</v>
      </c>
      <c r="AA168" s="109">
        <v>0.36301035937875725</v>
      </c>
      <c r="AD168" s="111"/>
    </row>
    <row r="169" spans="1:30" ht="15" customHeight="1" x14ac:dyDescent="0.3">
      <c r="A169" s="22" t="s">
        <v>153</v>
      </c>
      <c r="B169" s="23">
        <v>21</v>
      </c>
      <c r="C169" s="3" t="s">
        <v>52</v>
      </c>
      <c r="D169" s="23">
        <v>2024</v>
      </c>
      <c r="E169" s="25">
        <v>1.0219690316060492</v>
      </c>
      <c r="F169" s="25">
        <v>0.15424642371596664</v>
      </c>
      <c r="G169" s="25">
        <v>0.83526061321465728</v>
      </c>
      <c r="H169" s="25">
        <v>10.032314909436179</v>
      </c>
      <c r="I169" s="25">
        <v>5.8656989164285897E-2</v>
      </c>
      <c r="J169" s="25">
        <v>1.4504341487956984E-2</v>
      </c>
      <c r="K169" s="25">
        <v>0.17421164012649162</v>
      </c>
      <c r="L169" s="25">
        <v>0.68</v>
      </c>
      <c r="M169" s="24">
        <v>2</v>
      </c>
      <c r="N169" s="108">
        <v>0</v>
      </c>
      <c r="O169" s="24">
        <v>3</v>
      </c>
      <c r="P169" s="24">
        <v>7</v>
      </c>
      <c r="Q169" s="24">
        <v>3</v>
      </c>
      <c r="R169" s="24">
        <v>3</v>
      </c>
      <c r="S169" s="24">
        <v>7</v>
      </c>
      <c r="T169" s="24">
        <v>3</v>
      </c>
      <c r="U169" s="24">
        <v>2985382000000</v>
      </c>
      <c r="V169" s="109">
        <v>0.14864745011086475</v>
      </c>
      <c r="W169" s="109">
        <v>8.0248088854290682E-3</v>
      </c>
      <c r="X169" s="109">
        <v>4.7493814861883671E-2</v>
      </c>
      <c r="Y169" s="109">
        <v>0.11859451152314847</v>
      </c>
      <c r="Z169" s="109">
        <v>0.10466178638515351</v>
      </c>
      <c r="AA169" s="109">
        <v>0.27877492165561474</v>
      </c>
      <c r="AD169" s="111"/>
    </row>
    <row r="170" spans="1:30" ht="15" customHeight="1" x14ac:dyDescent="0.3">
      <c r="A170" s="22" t="s">
        <v>153</v>
      </c>
      <c r="B170" s="23">
        <v>22</v>
      </c>
      <c r="C170" s="3" t="s">
        <v>53</v>
      </c>
      <c r="D170" s="23">
        <v>2017</v>
      </c>
      <c r="E170" s="25">
        <v>1.0652359358864993</v>
      </c>
      <c r="F170" s="25">
        <v>0.89916041844385575</v>
      </c>
      <c r="G170" s="25">
        <v>0.13482891291308863</v>
      </c>
      <c r="H170" s="25">
        <v>1.7077531896871194</v>
      </c>
      <c r="I170" s="25">
        <v>-0.38146160198183321</v>
      </c>
      <c r="J170" s="25">
        <v>-9.6541476575708624E-3</v>
      </c>
      <c r="K170" s="25">
        <v>-0.12228016305786436</v>
      </c>
      <c r="L170" s="25">
        <v>1</v>
      </c>
      <c r="M170" s="24">
        <v>2</v>
      </c>
      <c r="N170" s="108">
        <v>0</v>
      </c>
      <c r="O170" s="24">
        <v>4</v>
      </c>
      <c r="P170" s="24">
        <v>0</v>
      </c>
      <c r="Q170" s="24">
        <v>4</v>
      </c>
      <c r="R170" s="24">
        <v>4</v>
      </c>
      <c r="S170" s="24">
        <v>0</v>
      </c>
      <c r="T170" s="24">
        <v>0</v>
      </c>
      <c r="U170" s="24">
        <v>956998000000</v>
      </c>
      <c r="V170" s="109">
        <v>14.986798679867986</v>
      </c>
      <c r="W170" s="109">
        <v>9.9599790177199946E-3</v>
      </c>
      <c r="X170" s="109">
        <v>-4.4389915130439141E-2</v>
      </c>
      <c r="Y170" s="109">
        <v>-6.4875872258876199E-2</v>
      </c>
      <c r="Z170" s="109">
        <v>0.61484294471871093</v>
      </c>
      <c r="AA170" s="109">
        <v>0.51553713634711562</v>
      </c>
      <c r="AD170" s="111"/>
    </row>
    <row r="171" spans="1:30" ht="15" customHeight="1" x14ac:dyDescent="0.3">
      <c r="A171" s="22" t="s">
        <v>153</v>
      </c>
      <c r="B171" s="23">
        <v>22</v>
      </c>
      <c r="C171" s="3" t="s">
        <v>53</v>
      </c>
      <c r="D171" s="23">
        <v>2018</v>
      </c>
      <c r="E171" s="25">
        <v>0.4876579638184001</v>
      </c>
      <c r="F171" s="25">
        <v>0.3560570602958833</v>
      </c>
      <c r="G171" s="25">
        <v>0.1355204414459194</v>
      </c>
      <c r="H171" s="25">
        <v>2.817950632261677</v>
      </c>
      <c r="I171" s="25">
        <v>-0.1823885166503551</v>
      </c>
      <c r="J171" s="25">
        <v>-8.1548112601023508E-3</v>
      </c>
      <c r="K171" s="25">
        <v>-0.16956744902244411</v>
      </c>
      <c r="L171" s="25">
        <v>0.99</v>
      </c>
      <c r="M171" s="24">
        <v>1</v>
      </c>
      <c r="N171" s="108">
        <v>0</v>
      </c>
      <c r="O171" s="24">
        <v>2</v>
      </c>
      <c r="P171" s="24">
        <v>0</v>
      </c>
      <c r="Q171" s="24">
        <v>2</v>
      </c>
      <c r="R171" s="24">
        <v>3</v>
      </c>
      <c r="S171" s="24">
        <v>0</v>
      </c>
      <c r="T171" s="24">
        <v>0</v>
      </c>
      <c r="U171" s="24">
        <v>891253000000</v>
      </c>
      <c r="V171" s="109">
        <v>0.64529314616019817</v>
      </c>
      <c r="W171" s="109">
        <v>-0.18531339585953704</v>
      </c>
      <c r="X171" s="109">
        <v>-7.4179610054608505E-2</v>
      </c>
      <c r="Y171" s="109">
        <v>-5.4800331667887794E-2</v>
      </c>
      <c r="Z171" s="109">
        <v>0.37261121184272622</v>
      </c>
      <c r="AA171" s="109">
        <v>5.8317874260692903E-2</v>
      </c>
      <c r="AD171" s="111"/>
    </row>
    <row r="172" spans="1:30" ht="15" customHeight="1" x14ac:dyDescent="0.3">
      <c r="A172" s="22" t="s">
        <v>153</v>
      </c>
      <c r="B172" s="23">
        <v>22</v>
      </c>
      <c r="C172" s="3" t="s">
        <v>53</v>
      </c>
      <c r="D172" s="23">
        <v>2019</v>
      </c>
      <c r="E172" s="25">
        <v>0.31662492567701483</v>
      </c>
      <c r="F172" s="25">
        <v>0.21929334606583664</v>
      </c>
      <c r="G172" s="25">
        <v>0.16444626709694893</v>
      </c>
      <c r="H172" s="25">
        <v>28.687096055270782</v>
      </c>
      <c r="I172" s="25">
        <v>-1.3422874013842505</v>
      </c>
      <c r="J172" s="25">
        <v>-3.5430576102981573E-2</v>
      </c>
      <c r="K172" s="25">
        <v>-6.1807443726320486</v>
      </c>
      <c r="L172" s="25">
        <v>0.99</v>
      </c>
      <c r="M172" s="24">
        <v>0</v>
      </c>
      <c r="N172" s="108">
        <v>0</v>
      </c>
      <c r="O172" s="24">
        <v>2</v>
      </c>
      <c r="P172" s="24">
        <v>0</v>
      </c>
      <c r="Q172" s="24">
        <v>2</v>
      </c>
      <c r="R172" s="24">
        <v>4</v>
      </c>
      <c r="S172" s="24">
        <v>0</v>
      </c>
      <c r="T172" s="24">
        <v>0</v>
      </c>
      <c r="U172" s="24">
        <v>782742000000</v>
      </c>
      <c r="V172" s="109">
        <v>-0.48151772942859294</v>
      </c>
      <c r="W172" s="109">
        <v>-0.3178667811360576</v>
      </c>
      <c r="X172" s="109">
        <v>-0.20012502203791288</v>
      </c>
      <c r="Y172" s="109">
        <v>-0.23809347141203616</v>
      </c>
      <c r="Z172" s="109">
        <v>3.660182257475586E-2</v>
      </c>
      <c r="AA172" s="109">
        <v>-0.71948345201125086</v>
      </c>
      <c r="AD172" s="111"/>
    </row>
    <row r="173" spans="1:30" ht="15" customHeight="1" x14ac:dyDescent="0.3">
      <c r="A173" s="22" t="s">
        <v>153</v>
      </c>
      <c r="B173" s="23">
        <v>22</v>
      </c>
      <c r="C173" s="3" t="s">
        <v>53</v>
      </c>
      <c r="D173" s="23">
        <v>2020</v>
      </c>
      <c r="E173" s="25">
        <v>0.6509499558378592</v>
      </c>
      <c r="F173" s="25">
        <v>0.59528686599139313</v>
      </c>
      <c r="G173" s="25">
        <v>0.18733976029575508</v>
      </c>
      <c r="H173" s="25">
        <v>-6.1925689172992406</v>
      </c>
      <c r="I173" s="25">
        <v>-1.1237573055371453</v>
      </c>
      <c r="J173" s="25">
        <v>-2.8178015074807487E-2</v>
      </c>
      <c r="K173" s="25">
        <v>0.93143228126248501</v>
      </c>
      <c r="L173" s="25">
        <v>0.99</v>
      </c>
      <c r="M173" s="24">
        <v>0</v>
      </c>
      <c r="N173" s="108">
        <v>0</v>
      </c>
      <c r="O173" s="24">
        <v>2</v>
      </c>
      <c r="P173" s="24">
        <v>0</v>
      </c>
      <c r="Q173" s="24">
        <v>2</v>
      </c>
      <c r="R173" s="24">
        <v>3</v>
      </c>
      <c r="S173" s="24">
        <v>0</v>
      </c>
      <c r="T173" s="24">
        <v>0</v>
      </c>
      <c r="U173" s="24">
        <v>661899000000</v>
      </c>
      <c r="V173" s="109">
        <v>-0.19669909491312135</v>
      </c>
      <c r="W173" s="109">
        <v>-0.18408464131234523</v>
      </c>
      <c r="X173" s="109">
        <v>-0.32034633682782421</v>
      </c>
      <c r="Y173" s="109">
        <v>-0.1893562613027063</v>
      </c>
      <c r="Z173" s="109">
        <v>-0.16955806451612904</v>
      </c>
      <c r="AA173" s="109">
        <v>-0.86334530395900488</v>
      </c>
      <c r="AD173" s="111"/>
    </row>
    <row r="174" spans="1:30" ht="15" customHeight="1" x14ac:dyDescent="0.3">
      <c r="A174" s="22" t="s">
        <v>153</v>
      </c>
      <c r="B174" s="23">
        <v>22</v>
      </c>
      <c r="C174" s="3" t="s">
        <v>53</v>
      </c>
      <c r="D174" s="23">
        <v>2021</v>
      </c>
      <c r="E174" s="25">
        <v>0.36353436523543536</v>
      </c>
      <c r="F174" s="25">
        <v>0.18877052443629433</v>
      </c>
      <c r="G174" s="25">
        <v>0.28227633876082231</v>
      </c>
      <c r="H174" s="25">
        <v>-4.4463058057636724</v>
      </c>
      <c r="I174" s="25">
        <v>-0.64827290543851057</v>
      </c>
      <c r="J174" s="25">
        <v>-1.88566644101614E-2</v>
      </c>
      <c r="K174" s="25">
        <v>0.29702275724668181</v>
      </c>
      <c r="L174" s="25">
        <v>0.99</v>
      </c>
      <c r="M174" s="24">
        <v>0</v>
      </c>
      <c r="N174" s="108">
        <v>0</v>
      </c>
      <c r="O174" s="24">
        <v>2</v>
      </c>
      <c r="P174" s="24">
        <v>0</v>
      </c>
      <c r="Q174" s="24">
        <v>2</v>
      </c>
      <c r="R174" s="24">
        <v>3</v>
      </c>
      <c r="S174" s="24">
        <v>0</v>
      </c>
      <c r="T174" s="24">
        <v>0</v>
      </c>
      <c r="U174" s="24">
        <v>561340000000</v>
      </c>
      <c r="V174" s="109">
        <v>-1.620774838826294E-2</v>
      </c>
      <c r="W174" s="109">
        <v>-0.61652360423272878</v>
      </c>
      <c r="X174" s="109">
        <v>-0.4391481455089607</v>
      </c>
      <c r="Y174" s="109">
        <v>-0.1267167848362846</v>
      </c>
      <c r="Z174" s="109">
        <v>-0.23615109843297383</v>
      </c>
      <c r="AA174" s="109">
        <v>-1.4185396330109479</v>
      </c>
      <c r="AD174" s="111"/>
    </row>
    <row r="175" spans="1:30" ht="15" customHeight="1" x14ac:dyDescent="0.3">
      <c r="A175" s="22" t="s">
        <v>153</v>
      </c>
      <c r="B175" s="23">
        <v>22</v>
      </c>
      <c r="C175" s="3" t="s">
        <v>53</v>
      </c>
      <c r="D175" s="23">
        <v>2022</v>
      </c>
      <c r="E175" s="25">
        <v>0.66086445218073042</v>
      </c>
      <c r="F175" s="25">
        <v>0.63417115443846073</v>
      </c>
      <c r="G175" s="25">
        <v>0.40906939878998289</v>
      </c>
      <c r="H175" s="25">
        <v>-3.419370288248337</v>
      </c>
      <c r="I175" s="25">
        <v>-0.4508950169327528</v>
      </c>
      <c r="J175" s="25">
        <v>-1.186674108137588E-2</v>
      </c>
      <c r="K175" s="25">
        <v>9.9192904656319289E-2</v>
      </c>
      <c r="L175" s="25">
        <v>0.99</v>
      </c>
      <c r="M175" s="24">
        <v>1</v>
      </c>
      <c r="N175" s="108">
        <v>0</v>
      </c>
      <c r="O175" s="24">
        <v>2</v>
      </c>
      <c r="P175" s="24">
        <v>0</v>
      </c>
      <c r="Q175" s="24">
        <v>2</v>
      </c>
      <c r="R175" s="24">
        <v>2</v>
      </c>
      <c r="S175" s="24">
        <v>0</v>
      </c>
      <c r="T175" s="24">
        <v>0</v>
      </c>
      <c r="U175" s="24">
        <v>471233000000</v>
      </c>
      <c r="V175" s="109">
        <v>-0.24044585987261147</v>
      </c>
      <c r="W175" s="109">
        <v>-0.50583078859078201</v>
      </c>
      <c r="X175" s="109">
        <v>-0.56181943964026282</v>
      </c>
      <c r="Y175" s="109">
        <v>-7.9744500066845914E-2</v>
      </c>
      <c r="Z175" s="109">
        <v>-0.30707408425716021</v>
      </c>
      <c r="AA175" s="109">
        <v>-1.4544688125550509</v>
      </c>
      <c r="AD175" s="111"/>
    </row>
    <row r="176" spans="1:30" ht="15" customHeight="1" x14ac:dyDescent="0.3">
      <c r="A176" s="22" t="s">
        <v>153</v>
      </c>
      <c r="B176" s="23">
        <v>22</v>
      </c>
      <c r="C176" s="3" t="s">
        <v>53</v>
      </c>
      <c r="D176" s="23">
        <v>2023</v>
      </c>
      <c r="E176" s="25">
        <v>0.1571817626895807</v>
      </c>
      <c r="F176" s="25">
        <v>0.13502684259128828</v>
      </c>
      <c r="G176" s="25">
        <v>0.4898739694091494</v>
      </c>
      <c r="H176" s="25">
        <v>-2.0589542370309348</v>
      </c>
      <c r="I176" s="25">
        <v>-1.1709304724571901</v>
      </c>
      <c r="J176" s="25">
        <v>-2.9273035333438207E-2</v>
      </c>
      <c r="K176" s="25">
        <v>0.12303540072405646</v>
      </c>
      <c r="L176" s="25">
        <v>0.99</v>
      </c>
      <c r="M176" s="24">
        <v>2</v>
      </c>
      <c r="N176" s="108">
        <v>0</v>
      </c>
      <c r="O176" s="24">
        <v>3</v>
      </c>
      <c r="P176" s="24">
        <v>0</v>
      </c>
      <c r="Q176" s="24">
        <v>3</v>
      </c>
      <c r="R176" s="24">
        <v>2</v>
      </c>
      <c r="S176" s="24">
        <v>0</v>
      </c>
      <c r="T176" s="24">
        <v>0</v>
      </c>
      <c r="U176" s="24">
        <v>387763000000</v>
      </c>
      <c r="V176" s="109">
        <v>-0.21835187872923723</v>
      </c>
      <c r="W176" s="109">
        <v>-1.8219693988338237</v>
      </c>
      <c r="X176" s="109">
        <v>-0.77822061413801724</v>
      </c>
      <c r="Y176" s="109">
        <v>-0.19671479744070475</v>
      </c>
      <c r="Z176" s="109">
        <v>-0.50996762391092632</v>
      </c>
      <c r="AA176" s="109">
        <v>-3.3068724343234717</v>
      </c>
      <c r="AD176" s="111"/>
    </row>
    <row r="177" spans="1:30" ht="15" customHeight="1" x14ac:dyDescent="0.3">
      <c r="A177" s="22" t="s">
        <v>153</v>
      </c>
      <c r="B177" s="23">
        <v>22</v>
      </c>
      <c r="C177" s="3" t="s">
        <v>53</v>
      </c>
      <c r="D177" s="23">
        <v>2024</v>
      </c>
      <c r="E177" s="25">
        <v>0.325911929017417</v>
      </c>
      <c r="F177" s="25">
        <v>0.20592343082484391</v>
      </c>
      <c r="G177" s="25">
        <v>0.2220790255530021</v>
      </c>
      <c r="H177" s="25">
        <v>-1.7759536676015231</v>
      </c>
      <c r="I177" s="25">
        <v>-0.6289096437880104</v>
      </c>
      <c r="J177" s="25">
        <v>-1.6511653104167974E-2</v>
      </c>
      <c r="K177" s="25">
        <v>0.13204277538363318</v>
      </c>
      <c r="L177" s="25">
        <v>0.99</v>
      </c>
      <c r="M177" s="24">
        <v>0</v>
      </c>
      <c r="N177" s="108">
        <v>0</v>
      </c>
      <c r="O177" s="24">
        <v>2</v>
      </c>
      <c r="P177" s="24">
        <v>0</v>
      </c>
      <c r="Q177" s="24">
        <v>2</v>
      </c>
      <c r="R177" s="24">
        <v>2</v>
      </c>
      <c r="S177" s="24">
        <v>0</v>
      </c>
      <c r="T177" s="24">
        <v>0</v>
      </c>
      <c r="U177" s="24">
        <v>350722000000</v>
      </c>
      <c r="V177" s="109">
        <v>-5.0134103569218075E-2</v>
      </c>
      <c r="W177" s="109">
        <v>-0.30693711828741854</v>
      </c>
      <c r="X177" s="109">
        <v>-0.65046258860293904</v>
      </c>
      <c r="Y177" s="109">
        <v>-0.11095830886000878</v>
      </c>
      <c r="Z177" s="109">
        <v>-0.59123164030402631</v>
      </c>
      <c r="AA177" s="109">
        <v>-1.6595896560543926</v>
      </c>
      <c r="AD177" s="111"/>
    </row>
    <row r="178" spans="1:30" ht="15" customHeight="1" x14ac:dyDescent="0.3">
      <c r="A178" s="22" t="s">
        <v>153</v>
      </c>
      <c r="B178" s="23">
        <v>23</v>
      </c>
      <c r="C178" s="4" t="s">
        <v>51</v>
      </c>
      <c r="D178" s="23">
        <v>2015</v>
      </c>
      <c r="E178" s="25">
        <v>20.180634201585505</v>
      </c>
      <c r="F178" s="25">
        <v>20.088335220838051</v>
      </c>
      <c r="G178" s="25">
        <v>4.3883337834188497E-2</v>
      </c>
      <c r="H178" s="25">
        <v>4.6321957399635759E-2</v>
      </c>
      <c r="I178" s="25">
        <v>0.406961398878258</v>
      </c>
      <c r="J178" s="25">
        <v>3.7012032286134366E-2</v>
      </c>
      <c r="K178" s="25">
        <v>3.906880988201758E-2</v>
      </c>
      <c r="L178" s="25">
        <v>0.88500000000000001</v>
      </c>
      <c r="M178" s="24">
        <v>0</v>
      </c>
      <c r="N178" s="108">
        <v>6.5000000000000002E-2</v>
      </c>
      <c r="O178" s="24">
        <v>4</v>
      </c>
      <c r="P178" s="24">
        <v>0</v>
      </c>
      <c r="Q178" s="24">
        <v>4</v>
      </c>
      <c r="R178" s="24">
        <v>3</v>
      </c>
      <c r="S178" s="24">
        <v>0</v>
      </c>
      <c r="T178" s="24">
        <v>0</v>
      </c>
      <c r="U178" s="24">
        <v>66654000000</v>
      </c>
      <c r="V178" s="109">
        <v>6.4932014833127321</v>
      </c>
      <c r="W178" s="109">
        <v>3.3337366099558916</v>
      </c>
      <c r="X178" s="109">
        <v>0.1538197257478921</v>
      </c>
      <c r="Y178" s="109">
        <v>0.24922495274102077</v>
      </c>
      <c r="Z178" s="109">
        <v>22.667435897435901</v>
      </c>
      <c r="AA178" s="109">
        <v>26.404217185880704</v>
      </c>
      <c r="AD178" s="111"/>
    </row>
    <row r="179" spans="1:30" ht="15" customHeight="1" x14ac:dyDescent="0.3">
      <c r="A179" s="22" t="s">
        <v>153</v>
      </c>
      <c r="B179" s="23">
        <v>23</v>
      </c>
      <c r="C179" s="3" t="s">
        <v>51</v>
      </c>
      <c r="D179" s="23">
        <v>2016</v>
      </c>
      <c r="E179" s="25">
        <v>3.1309523809523809</v>
      </c>
      <c r="F179" s="25">
        <v>2.4007936507936507</v>
      </c>
      <c r="G179" s="25">
        <v>6.1566863489179648E-2</v>
      </c>
      <c r="H179" s="25">
        <v>6.6458949499422715E-2</v>
      </c>
      <c r="I179" s="25">
        <v>2.2772734266810278E-2</v>
      </c>
      <c r="J179" s="25">
        <v>2.1684663960967604E-3</v>
      </c>
      <c r="K179" s="25">
        <v>2.340772138485141E-3</v>
      </c>
      <c r="L179" s="25">
        <v>0.88500000000000001</v>
      </c>
      <c r="M179" s="24">
        <v>0</v>
      </c>
      <c r="N179" s="108">
        <v>6.5000000000000002E-2</v>
      </c>
      <c r="O179" s="24">
        <v>4</v>
      </c>
      <c r="P179" s="24">
        <v>0</v>
      </c>
      <c r="Q179" s="24">
        <v>4</v>
      </c>
      <c r="R179" s="24">
        <v>3</v>
      </c>
      <c r="S179" s="24">
        <v>0</v>
      </c>
      <c r="T179" s="24">
        <v>0</v>
      </c>
      <c r="U179" s="24">
        <v>68251000000</v>
      </c>
      <c r="V179" s="109">
        <v>7.2088419663477399E-2</v>
      </c>
      <c r="W179" s="109">
        <v>0.25807094401547226</v>
      </c>
      <c r="X179" s="109">
        <v>0.15413722875855299</v>
      </c>
      <c r="Y179" s="109">
        <v>1.4965934565061317E-2</v>
      </c>
      <c r="Z179" s="109">
        <v>15.799226558781532</v>
      </c>
      <c r="AA179" s="109">
        <v>16.226400666120618</v>
      </c>
      <c r="AD179" s="111"/>
    </row>
    <row r="180" spans="1:30" ht="15" customHeight="1" x14ac:dyDescent="0.3">
      <c r="A180" s="22" t="s">
        <v>153</v>
      </c>
      <c r="B180" s="23">
        <v>23</v>
      </c>
      <c r="C180" s="3" t="s">
        <v>51</v>
      </c>
      <c r="D180" s="23">
        <v>2017</v>
      </c>
      <c r="E180" s="25">
        <v>5.0484842596191219</v>
      </c>
      <c r="F180" s="25">
        <v>4.2339681305868639</v>
      </c>
      <c r="G180" s="25">
        <v>0.30825118634485499</v>
      </c>
      <c r="H180" s="25">
        <v>0.45064230508832243</v>
      </c>
      <c r="I180" s="25">
        <v>-0.23694378661348622</v>
      </c>
      <c r="J180" s="25">
        <v>-1.1433417334768775E-2</v>
      </c>
      <c r="K180" s="25">
        <v>-1.6714879848062532E-2</v>
      </c>
      <c r="L180" s="25">
        <v>0.53100000000000003</v>
      </c>
      <c r="M180" s="24">
        <v>2</v>
      </c>
      <c r="N180" s="108">
        <v>3.9E-2</v>
      </c>
      <c r="O180" s="24">
        <v>4</v>
      </c>
      <c r="P180" s="24">
        <v>0</v>
      </c>
      <c r="Q180" s="24">
        <v>4</v>
      </c>
      <c r="R180" s="24">
        <v>3</v>
      </c>
      <c r="S180" s="24">
        <v>0</v>
      </c>
      <c r="T180" s="24">
        <v>0</v>
      </c>
      <c r="U180" s="24">
        <v>166267000000</v>
      </c>
      <c r="V180" s="109">
        <v>0.23449761501769503</v>
      </c>
      <c r="W180" s="109">
        <v>1.6439553248690357</v>
      </c>
      <c r="X180" s="109">
        <v>2.7645894855864361E-3</v>
      </c>
      <c r="Y180" s="109">
        <v>-7.3437543228662333E-2</v>
      </c>
      <c r="Z180" s="109">
        <v>2.3300076094591433</v>
      </c>
      <c r="AA180" s="109">
        <v>3.9032899805851029</v>
      </c>
      <c r="AD180" s="111"/>
    </row>
    <row r="181" spans="1:30" ht="15" customHeight="1" x14ac:dyDescent="0.3">
      <c r="A181" s="22" t="s">
        <v>153</v>
      </c>
      <c r="B181" s="23">
        <v>23</v>
      </c>
      <c r="C181" s="3" t="s">
        <v>51</v>
      </c>
      <c r="D181" s="23">
        <v>2018</v>
      </c>
      <c r="E181" s="25">
        <v>1.3349680170575693</v>
      </c>
      <c r="F181" s="25">
        <v>0.83411513859275055</v>
      </c>
      <c r="G181" s="25">
        <v>0.3617238778873279</v>
      </c>
      <c r="H181" s="25">
        <v>0.57394834340820056</v>
      </c>
      <c r="I181" s="25">
        <v>3.738254579868857E-2</v>
      </c>
      <c r="J181" s="25">
        <v>3.0891266095019972E-3</v>
      </c>
      <c r="K181" s="25">
        <v>4.9015262980624348E-3</v>
      </c>
      <c r="L181" s="25">
        <v>0.53100000000000003</v>
      </c>
      <c r="M181" s="24">
        <v>2</v>
      </c>
      <c r="N181" s="108">
        <v>3.9E-2</v>
      </c>
      <c r="O181" s="24">
        <v>4</v>
      </c>
      <c r="P181" s="24">
        <v>0</v>
      </c>
      <c r="Q181" s="24">
        <v>4</v>
      </c>
      <c r="R181" s="24">
        <v>3</v>
      </c>
      <c r="S181" s="24">
        <v>0</v>
      </c>
      <c r="T181" s="24">
        <v>0</v>
      </c>
      <c r="U181" s="24">
        <v>179015000000</v>
      </c>
      <c r="V181" s="109">
        <v>0.8438240059827995</v>
      </c>
      <c r="W181" s="109">
        <v>0.11513850794626149</v>
      </c>
      <c r="X181" s="109">
        <v>1.2638270535988604E-2</v>
      </c>
      <c r="Y181" s="109">
        <v>2.1847554674189314E-2</v>
      </c>
      <c r="Z181" s="109">
        <v>1.8294329307841986</v>
      </c>
      <c r="AA181" s="109">
        <v>1.9790572639406379</v>
      </c>
      <c r="AD181" s="111"/>
    </row>
    <row r="182" spans="1:30" ht="15" customHeight="1" x14ac:dyDescent="0.3">
      <c r="A182" s="22" t="s">
        <v>153</v>
      </c>
      <c r="B182" s="23">
        <v>23</v>
      </c>
      <c r="C182" s="3" t="s">
        <v>51</v>
      </c>
      <c r="D182" s="23">
        <v>2019</v>
      </c>
      <c r="E182" s="25">
        <v>1.7417658273617778</v>
      </c>
      <c r="F182" s="25">
        <v>0.5098284136480179</v>
      </c>
      <c r="G182" s="25">
        <v>0.49235477094610974</v>
      </c>
      <c r="H182" s="25">
        <v>0.8575524635437739</v>
      </c>
      <c r="I182" s="25">
        <v>4.0430482838859805E-2</v>
      </c>
      <c r="J182" s="25">
        <v>6.3171608628908461E-3</v>
      </c>
      <c r="K182" s="25">
        <v>1.1002832063888546E-2</v>
      </c>
      <c r="L182" s="25">
        <v>0.53100000000000003</v>
      </c>
      <c r="M182" s="24">
        <v>2</v>
      </c>
      <c r="N182" s="108">
        <v>3.9E-2</v>
      </c>
      <c r="O182" s="24">
        <v>4</v>
      </c>
      <c r="P182" s="24">
        <v>0</v>
      </c>
      <c r="Q182" s="24">
        <v>4</v>
      </c>
      <c r="R182" s="24">
        <v>2</v>
      </c>
      <c r="S182" s="24">
        <v>0</v>
      </c>
      <c r="T182" s="24">
        <v>0</v>
      </c>
      <c r="U182" s="24">
        <v>198032000000</v>
      </c>
      <c r="V182" s="109">
        <v>1.0916649766781585</v>
      </c>
      <c r="W182" s="109">
        <v>0.37376020037165708</v>
      </c>
      <c r="X182" s="109">
        <v>3.2002100670598686E-2</v>
      </c>
      <c r="Y182" s="109">
        <v>4.190837844388786E-2</v>
      </c>
      <c r="Z182" s="109">
        <v>1.2244148837972555</v>
      </c>
      <c r="AA182" s="109">
        <v>1.6720855632833991</v>
      </c>
      <c r="AD182" s="111"/>
    </row>
    <row r="183" spans="1:30" ht="15" customHeight="1" x14ac:dyDescent="0.3">
      <c r="A183" s="22" t="s">
        <v>153</v>
      </c>
      <c r="B183" s="23">
        <v>23</v>
      </c>
      <c r="C183" s="3" t="s">
        <v>51</v>
      </c>
      <c r="D183" s="23">
        <v>2020</v>
      </c>
      <c r="E183" s="25">
        <v>1.4605038883562373</v>
      </c>
      <c r="F183" s="25">
        <v>0.96668264621284761</v>
      </c>
      <c r="G183" s="25">
        <v>0.56616737953618923</v>
      </c>
      <c r="H183" s="25">
        <v>1.1653469517594766</v>
      </c>
      <c r="I183" s="25">
        <v>1.1932099599261561E-3</v>
      </c>
      <c r="J183" s="25">
        <v>2.2137940252623138E-4</v>
      </c>
      <c r="K183" s="25">
        <v>4.5566703635879053E-4</v>
      </c>
      <c r="L183" s="25">
        <v>0.53100000000000003</v>
      </c>
      <c r="M183" s="24">
        <v>2</v>
      </c>
      <c r="N183" s="108">
        <v>3.9E-2</v>
      </c>
      <c r="O183" s="24">
        <v>4</v>
      </c>
      <c r="P183" s="24">
        <v>0</v>
      </c>
      <c r="Q183" s="24">
        <v>4</v>
      </c>
      <c r="R183" s="24">
        <v>3</v>
      </c>
      <c r="S183" s="24">
        <v>0</v>
      </c>
      <c r="T183" s="24">
        <v>0</v>
      </c>
      <c r="U183" s="24">
        <v>239408000000</v>
      </c>
      <c r="V183" s="109">
        <v>0.43552452976536749</v>
      </c>
      <c r="W183" s="109">
        <v>0.47378934705607162</v>
      </c>
      <c r="X183" s="109">
        <v>2.7206609637104855E-2</v>
      </c>
      <c r="Y183" s="109">
        <v>7.3822094499766087E-3</v>
      </c>
      <c r="Z183" s="109">
        <v>0.90101921870965362</v>
      </c>
      <c r="AA183" s="109">
        <v>1.4093973848528067</v>
      </c>
      <c r="AD183" s="111"/>
    </row>
    <row r="184" spans="1:30" ht="15" customHeight="1" x14ac:dyDescent="0.3">
      <c r="A184" s="22" t="s">
        <v>153</v>
      </c>
      <c r="B184" s="23">
        <v>23</v>
      </c>
      <c r="C184" s="3" t="s">
        <v>51</v>
      </c>
      <c r="D184" s="23">
        <v>2021</v>
      </c>
      <c r="E184" s="25">
        <v>0.92558403888366259</v>
      </c>
      <c r="F184" s="25">
        <v>0.36290765130134839</v>
      </c>
      <c r="G184" s="25">
        <v>0.54342684831620836</v>
      </c>
      <c r="H184" s="25">
        <v>1.1700613815163827</v>
      </c>
      <c r="I184" s="25">
        <v>2.4215449607724805E-2</v>
      </c>
      <c r="J184" s="25">
        <v>5.1555705457918257E-3</v>
      </c>
      <c r="K184" s="25">
        <v>1.1100544652891847E-2</v>
      </c>
      <c r="L184" s="25">
        <v>0.57999999999999996</v>
      </c>
      <c r="M184" s="24">
        <v>2</v>
      </c>
      <c r="N184" s="108">
        <v>0.04</v>
      </c>
      <c r="O184" s="24">
        <v>4</v>
      </c>
      <c r="P184" s="24">
        <v>0</v>
      </c>
      <c r="Q184" s="24">
        <v>4</v>
      </c>
      <c r="R184" s="24">
        <v>2</v>
      </c>
      <c r="S184" s="24">
        <v>0</v>
      </c>
      <c r="T184" s="24">
        <v>0</v>
      </c>
      <c r="U184" s="24">
        <v>249051000000</v>
      </c>
      <c r="V184" s="109">
        <v>0.19375028141744338</v>
      </c>
      <c r="W184" s="109">
        <v>-0.10001292907878306</v>
      </c>
      <c r="X184" s="109">
        <v>4.2947267828677659E-2</v>
      </c>
      <c r="Y184" s="109">
        <v>5.0969801365985279E-2</v>
      </c>
      <c r="Z184" s="109">
        <v>0.89738881787484948</v>
      </c>
      <c r="AA184" s="109">
        <v>0.89129295799072938</v>
      </c>
      <c r="AD184" s="111"/>
    </row>
    <row r="185" spans="1:30" ht="15" customHeight="1" x14ac:dyDescent="0.3">
      <c r="A185" s="22" t="s">
        <v>153</v>
      </c>
      <c r="B185" s="23">
        <v>23</v>
      </c>
      <c r="C185" s="3" t="s">
        <v>51</v>
      </c>
      <c r="D185" s="23">
        <v>2022</v>
      </c>
      <c r="E185" s="25">
        <v>1.1495598043574922</v>
      </c>
      <c r="F185" s="25">
        <v>0.32821698532681193</v>
      </c>
      <c r="G185" s="25">
        <v>0.58156410667558245</v>
      </c>
      <c r="H185" s="25">
        <v>1.4640397134857517</v>
      </c>
      <c r="I185" s="25">
        <v>3.0738670107104092E-2</v>
      </c>
      <c r="J185" s="25">
        <v>5.1208919426978675E-3</v>
      </c>
      <c r="K185" s="25">
        <v>1.2891423467372074E-2</v>
      </c>
      <c r="L185" s="25">
        <v>0.57999999999999996</v>
      </c>
      <c r="M185" s="24">
        <v>2</v>
      </c>
      <c r="N185" s="108">
        <v>0.01</v>
      </c>
      <c r="O185" s="24">
        <v>4</v>
      </c>
      <c r="P185" s="24">
        <v>0</v>
      </c>
      <c r="Q185" s="24">
        <v>4</v>
      </c>
      <c r="R185" s="24">
        <v>3</v>
      </c>
      <c r="S185" s="24">
        <v>0</v>
      </c>
      <c r="T185" s="24">
        <v>0</v>
      </c>
      <c r="U185" s="24">
        <v>293113000000</v>
      </c>
      <c r="V185" s="109">
        <v>-7.9077398913699457E-2</v>
      </c>
      <c r="W185" s="109">
        <v>0.18819717992719528</v>
      </c>
      <c r="X185" s="109">
        <v>5.3185358547727317E-2</v>
      </c>
      <c r="Y185" s="109">
        <v>4.7984770378659419E-2</v>
      </c>
      <c r="Z185" s="109">
        <v>0.71719365965834436</v>
      </c>
      <c r="AA185" s="109">
        <v>1.0065609685119263</v>
      </c>
      <c r="AD185" s="111"/>
    </row>
    <row r="186" spans="1:30" ht="15" customHeight="1" x14ac:dyDescent="0.3">
      <c r="A186" s="22" t="s">
        <v>153</v>
      </c>
      <c r="B186" s="23">
        <v>23</v>
      </c>
      <c r="C186" s="3" t="s">
        <v>51</v>
      </c>
      <c r="D186" s="23">
        <v>2023</v>
      </c>
      <c r="E186" s="25">
        <v>0.77069216715617128</v>
      </c>
      <c r="F186" s="25">
        <v>8.5890705580351986E-2</v>
      </c>
      <c r="G186" s="25">
        <v>0.67962728328581989</v>
      </c>
      <c r="H186" s="25">
        <v>1.7135251152188742</v>
      </c>
      <c r="I186" s="25">
        <v>3.4785601211370365E-2</v>
      </c>
      <c r="J186" s="25">
        <v>8.3379526977087944E-3</v>
      </c>
      <c r="K186" s="25">
        <v>2.1022245145832986E-2</v>
      </c>
      <c r="L186" s="25">
        <v>0.57999999999999996</v>
      </c>
      <c r="M186" s="24">
        <v>2</v>
      </c>
      <c r="N186" s="108">
        <v>0.01</v>
      </c>
      <c r="O186" s="24">
        <v>4</v>
      </c>
      <c r="P186" s="24">
        <v>0</v>
      </c>
      <c r="Q186" s="24">
        <v>4</v>
      </c>
      <c r="R186" s="24">
        <v>3</v>
      </c>
      <c r="S186" s="24">
        <v>0</v>
      </c>
      <c r="T186" s="24">
        <v>0</v>
      </c>
      <c r="U186" s="24">
        <v>303072000000</v>
      </c>
      <c r="V186" s="109">
        <v>0.4876820052835289</v>
      </c>
      <c r="W186" s="109">
        <v>-0.4292424242424242</v>
      </c>
      <c r="X186" s="109">
        <v>7.8619403970013726E-2</v>
      </c>
      <c r="Y186" s="109">
        <v>7.791574279379157E-2</v>
      </c>
      <c r="Z186" s="109">
        <v>0.6127718763351071</v>
      </c>
      <c r="AA186" s="109">
        <v>0.34006459885648821</v>
      </c>
      <c r="AD186" s="111"/>
    </row>
    <row r="187" spans="1:30" ht="15" customHeight="1" x14ac:dyDescent="0.3">
      <c r="A187" s="22" t="s">
        <v>153</v>
      </c>
      <c r="B187" s="23">
        <v>23</v>
      </c>
      <c r="C187" s="3" t="s">
        <v>51</v>
      </c>
      <c r="D187" s="23">
        <v>2024</v>
      </c>
      <c r="E187" s="25">
        <v>0.62150786552322823</v>
      </c>
      <c r="F187" s="25">
        <v>7.6743655846091788E-2</v>
      </c>
      <c r="G187" s="25">
        <v>0.75599655100334451</v>
      </c>
      <c r="H187" s="25">
        <v>1.889596394984326</v>
      </c>
      <c r="I187" s="25">
        <v>3.5598338995847488E-2</v>
      </c>
      <c r="J187" s="25">
        <v>9.239783653846154E-3</v>
      </c>
      <c r="K187" s="25">
        <v>2.3094631661442006E-2</v>
      </c>
      <c r="L187" s="25">
        <v>0.57950000000000002</v>
      </c>
      <c r="M187" s="24">
        <v>2</v>
      </c>
      <c r="N187" s="108">
        <v>0</v>
      </c>
      <c r="O187" s="24">
        <v>3</v>
      </c>
      <c r="P187" s="24">
        <v>0</v>
      </c>
      <c r="Q187" s="24">
        <v>3</v>
      </c>
      <c r="R187" s="24">
        <v>3</v>
      </c>
      <c r="S187" s="24">
        <v>0</v>
      </c>
      <c r="T187" s="24">
        <v>0</v>
      </c>
      <c r="U187" s="24">
        <v>306176000000</v>
      </c>
      <c r="V187" s="109">
        <v>9.3950030972537679E-2</v>
      </c>
      <c r="W187" s="109">
        <v>-0.92481396321070219</v>
      </c>
      <c r="X187" s="109">
        <v>0.10794405831939799</v>
      </c>
      <c r="Y187" s="109">
        <v>8.2217809364548491E-2</v>
      </c>
      <c r="Z187" s="109">
        <v>0.55567421846648346</v>
      </c>
      <c r="AA187" s="109">
        <v>-0.17897787706027224</v>
      </c>
      <c r="AD187" s="111"/>
    </row>
    <row r="188" spans="1:30" ht="15" customHeight="1" x14ac:dyDescent="0.3">
      <c r="A188" s="22" t="s">
        <v>153</v>
      </c>
      <c r="B188" s="23">
        <v>24</v>
      </c>
      <c r="C188" s="4" t="s">
        <v>50</v>
      </c>
      <c r="D188" s="23">
        <v>2015</v>
      </c>
      <c r="E188" s="25">
        <v>0.9192417967505575</v>
      </c>
      <c r="F188" s="25">
        <v>0.44982478496336414</v>
      </c>
      <c r="G188" s="25">
        <v>0.14069142985007832</v>
      </c>
      <c r="H188" s="25">
        <v>0.1704853579175705</v>
      </c>
      <c r="I188" s="25">
        <v>-0.78562297177696927</v>
      </c>
      <c r="J188" s="25">
        <v>-0.11172801521593198</v>
      </c>
      <c r="K188" s="25">
        <v>-0.13538842190889372</v>
      </c>
      <c r="L188" s="25">
        <v>0.95</v>
      </c>
      <c r="M188" s="24">
        <v>1</v>
      </c>
      <c r="N188" s="108">
        <v>0</v>
      </c>
      <c r="O188" s="24">
        <v>3</v>
      </c>
      <c r="P188" s="24">
        <v>15</v>
      </c>
      <c r="Q188" s="24">
        <v>3</v>
      </c>
      <c r="R188" s="24">
        <v>3</v>
      </c>
      <c r="S188" s="24">
        <v>15</v>
      </c>
      <c r="T188" s="24">
        <v>10</v>
      </c>
      <c r="U188" s="24">
        <v>71504000000</v>
      </c>
      <c r="V188" s="109">
        <v>-0.28296432097024399</v>
      </c>
      <c r="W188" s="109">
        <v>-4.6513761467889901E-2</v>
      </c>
      <c r="X188" s="109">
        <v>-0.83428535466547327</v>
      </c>
      <c r="Y188" s="109">
        <v>-0.7508122622510629</v>
      </c>
      <c r="Z188" s="109">
        <v>6.1588866799204771</v>
      </c>
      <c r="AA188" s="109">
        <v>4.5272753015360507</v>
      </c>
      <c r="AD188" s="111"/>
    </row>
    <row r="189" spans="1:30" ht="15" customHeight="1" x14ac:dyDescent="0.3">
      <c r="A189" s="22" t="s">
        <v>153</v>
      </c>
      <c r="B189" s="23">
        <v>24</v>
      </c>
      <c r="C189" s="3" t="s">
        <v>50</v>
      </c>
      <c r="D189" s="23">
        <v>2016</v>
      </c>
      <c r="E189" s="25">
        <v>1.317629407351838</v>
      </c>
      <c r="F189" s="25">
        <v>0.78184546136534139</v>
      </c>
      <c r="G189" s="25">
        <v>0.15262081272033542</v>
      </c>
      <c r="H189" s="25">
        <v>0.19405297720061979</v>
      </c>
      <c r="I189" s="25">
        <v>-0.48119530079634154</v>
      </c>
      <c r="J189" s="25">
        <v>-8.8540382132339071E-2</v>
      </c>
      <c r="K189" s="25">
        <v>-0.11257655131705158</v>
      </c>
      <c r="L189" s="25">
        <v>0.95</v>
      </c>
      <c r="M189" s="24">
        <v>1</v>
      </c>
      <c r="N189" s="108">
        <v>0</v>
      </c>
      <c r="O189" s="24">
        <v>3</v>
      </c>
      <c r="P189" s="24">
        <v>15</v>
      </c>
      <c r="Q189" s="24">
        <v>3</v>
      </c>
      <c r="R189" s="24">
        <v>2</v>
      </c>
      <c r="S189" s="24">
        <v>15</v>
      </c>
      <c r="T189" s="24">
        <v>7</v>
      </c>
      <c r="U189" s="24">
        <v>68929000000</v>
      </c>
      <c r="V189" s="109">
        <v>0.24722194906087128</v>
      </c>
      <c r="W189" s="109">
        <v>0.20147572139447836</v>
      </c>
      <c r="X189" s="109">
        <v>-1.1540936325784501</v>
      </c>
      <c r="Y189" s="109">
        <v>-0.5949913679293185</v>
      </c>
      <c r="Z189" s="109">
        <v>5.410893536121673</v>
      </c>
      <c r="AA189" s="109">
        <v>3.8632842570083827</v>
      </c>
      <c r="AD189" s="111"/>
    </row>
    <row r="190" spans="1:30" ht="15" customHeight="1" x14ac:dyDescent="0.3">
      <c r="A190" s="22" t="s">
        <v>153</v>
      </c>
      <c r="B190" s="23">
        <v>24</v>
      </c>
      <c r="C190" s="3" t="s">
        <v>50</v>
      </c>
      <c r="D190" s="23">
        <v>2017</v>
      </c>
      <c r="E190" s="25">
        <v>0.99765210289914252</v>
      </c>
      <c r="F190" s="25">
        <v>0.49101674152715397</v>
      </c>
      <c r="G190" s="25">
        <v>0.31978665694162695</v>
      </c>
      <c r="H190" s="25">
        <v>0.55260152034345578</v>
      </c>
      <c r="I190" s="25">
        <v>-0.16961130742049471</v>
      </c>
      <c r="J190" s="25">
        <v>-2.8445741116404168E-2</v>
      </c>
      <c r="K190" s="25">
        <v>-4.9155145929339478E-2</v>
      </c>
      <c r="L190" s="25">
        <v>0.95</v>
      </c>
      <c r="M190" s="24">
        <v>2</v>
      </c>
      <c r="N190" s="108">
        <v>0</v>
      </c>
      <c r="O190" s="24">
        <v>4</v>
      </c>
      <c r="P190" s="24">
        <v>18</v>
      </c>
      <c r="Q190" s="24">
        <v>4</v>
      </c>
      <c r="R190" s="24">
        <v>2</v>
      </c>
      <c r="S190" s="24">
        <v>18</v>
      </c>
      <c r="T190" s="24">
        <v>7</v>
      </c>
      <c r="U190" s="24">
        <v>87746000000</v>
      </c>
      <c r="V190" s="109">
        <v>0.1602933060001577</v>
      </c>
      <c r="W190" s="109">
        <v>-1.7195085815877645E-3</v>
      </c>
      <c r="X190" s="109">
        <v>-0.99933307501196633</v>
      </c>
      <c r="Y190" s="109">
        <v>-0.22975406286326441</v>
      </c>
      <c r="Z190" s="109">
        <v>1.900103349964362</v>
      </c>
      <c r="AA190" s="109">
        <v>0.66929670350754344</v>
      </c>
      <c r="AD190" s="111"/>
    </row>
    <row r="191" spans="1:30" ht="15" customHeight="1" x14ac:dyDescent="0.3">
      <c r="A191" s="22" t="s">
        <v>153</v>
      </c>
      <c r="B191" s="23">
        <v>24</v>
      </c>
      <c r="C191" s="3" t="s">
        <v>50</v>
      </c>
      <c r="D191" s="23">
        <v>2018</v>
      </c>
      <c r="E191" s="25">
        <v>1.0981023988542786</v>
      </c>
      <c r="F191" s="25">
        <v>0.37173290368779088</v>
      </c>
      <c r="G191" s="25">
        <v>0.31807340870373241</v>
      </c>
      <c r="H191" s="25">
        <v>0.57863300839578524</v>
      </c>
      <c r="I191" s="25">
        <v>-0.26290602155399806</v>
      </c>
      <c r="J191" s="25">
        <v>-7.2035517009963343E-2</v>
      </c>
      <c r="K191" s="25">
        <v>-0.13104562273435885</v>
      </c>
      <c r="L191" s="25">
        <v>0.95</v>
      </c>
      <c r="M191" s="24">
        <v>1</v>
      </c>
      <c r="N191" s="108">
        <v>0</v>
      </c>
      <c r="O191" s="24">
        <v>3</v>
      </c>
      <c r="P191" s="24">
        <v>7</v>
      </c>
      <c r="Q191" s="24">
        <v>3</v>
      </c>
      <c r="R191" s="24">
        <v>3</v>
      </c>
      <c r="S191" s="24">
        <v>7</v>
      </c>
      <c r="T191" s="24">
        <v>5</v>
      </c>
      <c r="U191" s="24">
        <v>96855000000</v>
      </c>
      <c r="V191" s="109">
        <v>0.80334329980973096</v>
      </c>
      <c r="W191" s="109">
        <v>7.4232202777347572E-2</v>
      </c>
      <c r="X191" s="109">
        <v>-1.1401837798771357</v>
      </c>
      <c r="Y191" s="109">
        <v>-0.48047080687625832</v>
      </c>
      <c r="Z191" s="109">
        <v>1.8146216768916157</v>
      </c>
      <c r="AA191" s="109">
        <v>0.26819929291556943</v>
      </c>
      <c r="AD191" s="111"/>
    </row>
    <row r="192" spans="1:30" ht="15" customHeight="1" x14ac:dyDescent="0.3">
      <c r="A192" s="22" t="s">
        <v>153</v>
      </c>
      <c r="B192" s="23">
        <v>24</v>
      </c>
      <c r="C192" s="3" t="s">
        <v>50</v>
      </c>
      <c r="D192" s="23">
        <v>2019</v>
      </c>
      <c r="E192" s="25">
        <v>1.2402172990408284</v>
      </c>
      <c r="F192" s="25">
        <v>0.53374076903488665</v>
      </c>
      <c r="G192" s="25">
        <v>0.27979898345244009</v>
      </c>
      <c r="H192" s="25">
        <v>0.47434402332361514</v>
      </c>
      <c r="I192" s="25">
        <v>0.14674336047990585</v>
      </c>
      <c r="J192" s="25">
        <v>7.3852562387740281E-2</v>
      </c>
      <c r="K192" s="25">
        <v>0.12520246193715581</v>
      </c>
      <c r="L192" s="25">
        <v>0.95</v>
      </c>
      <c r="M192" s="24">
        <v>1</v>
      </c>
      <c r="N192" s="108">
        <v>0</v>
      </c>
      <c r="O192" s="24">
        <v>3</v>
      </c>
      <c r="P192" s="24">
        <v>10</v>
      </c>
      <c r="Q192" s="24">
        <v>3</v>
      </c>
      <c r="R192" s="24">
        <v>3</v>
      </c>
      <c r="S192" s="24">
        <v>10</v>
      </c>
      <c r="T192" s="24">
        <v>5</v>
      </c>
      <c r="U192" s="24">
        <v>104668000000</v>
      </c>
      <c r="V192" s="109">
        <v>0.98496495591227673</v>
      </c>
      <c r="W192" s="109">
        <v>0.17736844116635456</v>
      </c>
      <c r="X192" s="109">
        <v>-0.81431478579890693</v>
      </c>
      <c r="Y192" s="109">
        <v>0.50354415867313784</v>
      </c>
      <c r="Z192" s="109">
        <v>2.2135832821143206</v>
      </c>
      <c r="AA192" s="109">
        <v>2.0801810961549059</v>
      </c>
      <c r="AD192" s="111"/>
    </row>
    <row r="193" spans="1:30" ht="15" customHeight="1" x14ac:dyDescent="0.3">
      <c r="A193" s="22" t="s">
        <v>153</v>
      </c>
      <c r="B193" s="23">
        <v>24</v>
      </c>
      <c r="C193" s="3" t="s">
        <v>50</v>
      </c>
      <c r="D193" s="23">
        <v>2020</v>
      </c>
      <c r="E193" s="25">
        <v>1.6168233547748638</v>
      </c>
      <c r="F193" s="25">
        <v>0.80197921820880758</v>
      </c>
      <c r="G193" s="25">
        <v>0.31319100660066007</v>
      </c>
      <c r="H193" s="25">
        <v>0.58959324337442964</v>
      </c>
      <c r="I193" s="25">
        <v>1.470239506758359E-2</v>
      </c>
      <c r="J193" s="25">
        <v>4.4760726072607263E-3</v>
      </c>
      <c r="K193" s="25">
        <v>8.4263663721968734E-3</v>
      </c>
      <c r="L193" s="25">
        <v>0.95</v>
      </c>
      <c r="M193" s="24">
        <v>2</v>
      </c>
      <c r="N193" s="108">
        <v>0</v>
      </c>
      <c r="O193" s="24">
        <v>4</v>
      </c>
      <c r="P193" s="24">
        <v>13</v>
      </c>
      <c r="Q193" s="24">
        <v>4</v>
      </c>
      <c r="R193" s="24">
        <v>3</v>
      </c>
      <c r="S193" s="24">
        <v>13</v>
      </c>
      <c r="T193" s="24">
        <v>5</v>
      </c>
      <c r="U193" s="24">
        <v>96960000000</v>
      </c>
      <c r="V193" s="109">
        <v>-0.43962260569128842</v>
      </c>
      <c r="W193" s="109">
        <v>0.42170462046204615</v>
      </c>
      <c r="X193" s="109">
        <v>-0.86445812706270631</v>
      </c>
      <c r="Y193" s="109">
        <v>3.1534653465346535E-2</v>
      </c>
      <c r="Z193" s="109">
        <v>1.7808887937563804</v>
      </c>
      <c r="AA193" s="109">
        <v>1.3696699406210668</v>
      </c>
      <c r="AD193" s="111"/>
    </row>
    <row r="194" spans="1:30" ht="15" customHeight="1" x14ac:dyDescent="0.3">
      <c r="A194" s="22" t="s">
        <v>153</v>
      </c>
      <c r="B194" s="23">
        <v>24</v>
      </c>
      <c r="C194" s="3" t="s">
        <v>50</v>
      </c>
      <c r="D194" s="23">
        <v>2021</v>
      </c>
      <c r="E194" s="25">
        <v>1.565095660289314</v>
      </c>
      <c r="F194" s="25">
        <v>0.77706486234251049</v>
      </c>
      <c r="G194" s="25">
        <v>0.31765482829468739</v>
      </c>
      <c r="H194" s="25">
        <v>0.59193639755435312</v>
      </c>
      <c r="I194" s="25">
        <v>1.8213107701132943E-2</v>
      </c>
      <c r="J194" s="25">
        <v>5.3251708667030068E-3</v>
      </c>
      <c r="K194" s="25">
        <v>9.9232316918328681E-3</v>
      </c>
      <c r="L194" s="25">
        <v>0.95</v>
      </c>
      <c r="M194" s="24">
        <v>2</v>
      </c>
      <c r="N194" s="108">
        <v>0</v>
      </c>
      <c r="O194" s="24">
        <v>4</v>
      </c>
      <c r="P194" s="24">
        <v>13</v>
      </c>
      <c r="Q194" s="24">
        <v>4</v>
      </c>
      <c r="R194" s="24">
        <v>3</v>
      </c>
      <c r="S194" s="24">
        <v>13</v>
      </c>
      <c r="T194" s="24">
        <v>5</v>
      </c>
      <c r="U194" s="24">
        <v>95396000000</v>
      </c>
      <c r="V194" s="109">
        <v>-5.5117043260273044E-2</v>
      </c>
      <c r="W194" s="109">
        <v>0.33310243616084528</v>
      </c>
      <c r="X194" s="109">
        <v>-0.86127070317413723</v>
      </c>
      <c r="Y194" s="109">
        <v>3.8884649251540941E-2</v>
      </c>
      <c r="Z194" s="109">
        <v>1.773839223839224</v>
      </c>
      <c r="AA194" s="109">
        <v>1.284555606077473</v>
      </c>
      <c r="AD194" s="111"/>
    </row>
    <row r="195" spans="1:30" ht="15" customHeight="1" x14ac:dyDescent="0.3">
      <c r="A195" s="22" t="s">
        <v>153</v>
      </c>
      <c r="B195" s="23">
        <v>24</v>
      </c>
      <c r="C195" s="3" t="s">
        <v>50</v>
      </c>
      <c r="D195" s="23">
        <v>2022</v>
      </c>
      <c r="E195" s="25">
        <v>1.6095793732944388</v>
      </c>
      <c r="F195" s="25">
        <v>0.37988143408299613</v>
      </c>
      <c r="G195" s="25">
        <v>0.35673018042403642</v>
      </c>
      <c r="H195" s="25">
        <v>0.78703032913672588</v>
      </c>
      <c r="I195" s="25">
        <v>2.8292311596041612E-2</v>
      </c>
      <c r="J195" s="25">
        <v>9.8953664835506171E-3</v>
      </c>
      <c r="K195" s="25">
        <v>2.1831496093826484E-2</v>
      </c>
      <c r="L195" s="25">
        <v>0.95</v>
      </c>
      <c r="M195" s="24">
        <v>2</v>
      </c>
      <c r="N195" s="108">
        <v>0</v>
      </c>
      <c r="O195" s="24">
        <v>3</v>
      </c>
      <c r="P195" s="24">
        <v>10</v>
      </c>
      <c r="Q195" s="24">
        <v>3</v>
      </c>
      <c r="R195" s="24">
        <v>3</v>
      </c>
      <c r="S195" s="24">
        <v>10</v>
      </c>
      <c r="T195" s="24">
        <v>5</v>
      </c>
      <c r="U195" s="24">
        <v>112679000000</v>
      </c>
      <c r="V195" s="109">
        <v>0.4129499498063961</v>
      </c>
      <c r="W195" s="109">
        <v>0.37713930723559846</v>
      </c>
      <c r="X195" s="109">
        <v>-0.69505622165620917</v>
      </c>
      <c r="Y195" s="109">
        <v>7.3653475802944637E-2</v>
      </c>
      <c r="Z195" s="109">
        <v>1.3341290178127176</v>
      </c>
      <c r="AA195" s="109">
        <v>1.0898655791950516</v>
      </c>
      <c r="AD195" s="111"/>
    </row>
    <row r="196" spans="1:30" ht="15" customHeight="1" x14ac:dyDescent="0.3">
      <c r="A196" s="22" t="s">
        <v>153</v>
      </c>
      <c r="B196" s="23">
        <v>24</v>
      </c>
      <c r="C196" s="3" t="s">
        <v>50</v>
      </c>
      <c r="D196" s="23">
        <v>2023</v>
      </c>
      <c r="E196" s="25">
        <v>3.7024484813671288</v>
      </c>
      <c r="F196" s="25">
        <v>2.4570259208731242</v>
      </c>
      <c r="G196" s="25">
        <v>0.48375783815082146</v>
      </c>
      <c r="H196" s="25">
        <v>1.1955379937232711</v>
      </c>
      <c r="I196" s="25">
        <v>4.0921413561333997E-2</v>
      </c>
      <c r="J196" s="25">
        <v>1.6784992860949723E-2</v>
      </c>
      <c r="K196" s="25">
        <v>4.1481698294225731E-2</v>
      </c>
      <c r="L196" s="25">
        <v>0.95499999999999996</v>
      </c>
      <c r="M196" s="24">
        <v>2</v>
      </c>
      <c r="N196" s="108">
        <v>0</v>
      </c>
      <c r="O196" s="24">
        <v>3</v>
      </c>
      <c r="P196" s="24">
        <v>10</v>
      </c>
      <c r="Q196" s="24">
        <v>3</v>
      </c>
      <c r="R196" s="24">
        <v>2</v>
      </c>
      <c r="S196" s="24">
        <v>10</v>
      </c>
      <c r="T196" s="24">
        <v>2</v>
      </c>
      <c r="U196" s="24">
        <v>151981000000</v>
      </c>
      <c r="V196" s="109">
        <v>0.58180664805886828</v>
      </c>
      <c r="W196" s="109">
        <v>1.6245367513044393</v>
      </c>
      <c r="X196" s="109">
        <v>-0.46059691671985309</v>
      </c>
      <c r="Y196" s="109">
        <v>0.11708410919786025</v>
      </c>
      <c r="Z196" s="109">
        <v>0.87826568918146952</v>
      </c>
      <c r="AA196" s="109">
        <v>2.1592896329639162</v>
      </c>
      <c r="AD196" s="111"/>
    </row>
    <row r="197" spans="1:30" ht="15" customHeight="1" x14ac:dyDescent="0.3">
      <c r="A197" s="22" t="s">
        <v>153</v>
      </c>
      <c r="B197" s="23">
        <v>24</v>
      </c>
      <c r="C197" s="3" t="s">
        <v>50</v>
      </c>
      <c r="D197" s="23">
        <v>2024</v>
      </c>
      <c r="E197" s="25">
        <v>1.8554368932038834</v>
      </c>
      <c r="F197" s="25">
        <v>1.3521844660194176</v>
      </c>
      <c r="G197" s="25">
        <v>0.52397818193949441</v>
      </c>
      <c r="H197" s="25">
        <v>1.4549412545738061</v>
      </c>
      <c r="I197" s="25">
        <v>3.9112458654906285E-2</v>
      </c>
      <c r="J197" s="25">
        <v>1.5779728775486376E-2</v>
      </c>
      <c r="K197" s="25">
        <v>4.3815905266245694E-2</v>
      </c>
      <c r="L197" s="25">
        <v>0.95</v>
      </c>
      <c r="M197" s="24">
        <v>2</v>
      </c>
      <c r="N197" s="108">
        <v>0</v>
      </c>
      <c r="O197" s="24">
        <v>3</v>
      </c>
      <c r="P197" s="24">
        <v>10</v>
      </c>
      <c r="Q197" s="24">
        <v>3</v>
      </c>
      <c r="R197" s="24">
        <v>3</v>
      </c>
      <c r="S197" s="24">
        <v>10</v>
      </c>
      <c r="T197" s="24">
        <v>3</v>
      </c>
      <c r="U197" s="24">
        <v>179851000000</v>
      </c>
      <c r="V197" s="109">
        <v>0.16395835672692857</v>
      </c>
      <c r="W197" s="109">
        <v>0.64275605918232315</v>
      </c>
      <c r="X197" s="109">
        <v>-0.33779828858332728</v>
      </c>
      <c r="Y197" s="109">
        <v>0.12950453430895573</v>
      </c>
      <c r="Z197" s="109">
        <v>0.72167862221184664</v>
      </c>
      <c r="AA197" s="109">
        <v>1.1561409271197982</v>
      </c>
      <c r="AD197" s="111"/>
    </row>
    <row r="198" spans="1:30" ht="15" customHeight="1" x14ac:dyDescent="0.3">
      <c r="A198" s="22" t="s">
        <v>153</v>
      </c>
      <c r="B198" s="23">
        <v>25</v>
      </c>
      <c r="C198" s="3" t="s">
        <v>28</v>
      </c>
      <c r="D198" s="23">
        <v>2015</v>
      </c>
      <c r="E198" s="25">
        <v>1.0481539533263671</v>
      </c>
      <c r="F198" s="25">
        <v>3.178335074886799E-2</v>
      </c>
      <c r="G198" s="25">
        <v>0.86864114075246468</v>
      </c>
      <c r="H198" s="25">
        <v>6.6127335889510102</v>
      </c>
      <c r="I198" s="25">
        <v>0.14747404438900508</v>
      </c>
      <c r="J198" s="25">
        <v>1.5826609175424711E-2</v>
      </c>
      <c r="K198" s="25">
        <v>0.12048375926895596</v>
      </c>
      <c r="L198" s="25">
        <v>0.99970000000000003</v>
      </c>
      <c r="M198" s="24">
        <v>2</v>
      </c>
      <c r="N198" s="108">
        <v>0</v>
      </c>
      <c r="O198" s="24">
        <v>4</v>
      </c>
      <c r="P198" s="24">
        <v>8</v>
      </c>
      <c r="Q198" s="24">
        <v>4</v>
      </c>
      <c r="R198" s="24">
        <v>3</v>
      </c>
      <c r="S198" s="24">
        <v>8</v>
      </c>
      <c r="T198" s="24">
        <v>7</v>
      </c>
      <c r="U198" s="24">
        <v>2704180000000</v>
      </c>
      <c r="V198" s="109">
        <v>0.91911730668765168</v>
      </c>
      <c r="W198" s="109">
        <v>1.3415083315459768E-3</v>
      </c>
      <c r="X198" s="109">
        <v>6.6451833827629814E-2</v>
      </c>
      <c r="Y198" s="109">
        <v>0.11348439822792861</v>
      </c>
      <c r="Z198" s="109">
        <v>0.15878456101035268</v>
      </c>
      <c r="AA198" s="109">
        <v>0.34006230139745708</v>
      </c>
      <c r="AD198" s="111"/>
    </row>
    <row r="199" spans="1:30" ht="15" customHeight="1" x14ac:dyDescent="0.3">
      <c r="A199" s="22" t="s">
        <v>153</v>
      </c>
      <c r="B199" s="23">
        <v>25</v>
      </c>
      <c r="C199" s="3" t="s">
        <v>28</v>
      </c>
      <c r="D199" s="23">
        <v>2016</v>
      </c>
      <c r="E199" s="25">
        <v>3.8453787507245085</v>
      </c>
      <c r="F199" s="25">
        <v>3.3171340675018951E-2</v>
      </c>
      <c r="G199" s="25">
        <v>0.87025616978154652</v>
      </c>
      <c r="H199" s="25">
        <v>6.7074955958697311</v>
      </c>
      <c r="I199" s="25">
        <v>5.1880758428195187E-2</v>
      </c>
      <c r="J199" s="25">
        <v>9.9944275007054113E-3</v>
      </c>
      <c r="K199" s="25">
        <v>7.7032005944926291E-2</v>
      </c>
      <c r="L199" s="25">
        <v>0.99970000000000003</v>
      </c>
      <c r="M199" s="24">
        <v>2</v>
      </c>
      <c r="N199" s="108">
        <v>0</v>
      </c>
      <c r="O199" s="24">
        <v>4</v>
      </c>
      <c r="P199" s="24">
        <v>8</v>
      </c>
      <c r="Q199" s="24">
        <v>4</v>
      </c>
      <c r="R199" s="24">
        <v>3</v>
      </c>
      <c r="S199" s="24">
        <v>8</v>
      </c>
      <c r="T199" s="24">
        <v>7</v>
      </c>
      <c r="U199" s="24">
        <v>2966353000000</v>
      </c>
      <c r="V199" s="109">
        <v>0.96909447394446036</v>
      </c>
      <c r="W199" s="109">
        <v>0.14113378953887146</v>
      </c>
      <c r="X199" s="109">
        <v>0.12094633376405302</v>
      </c>
      <c r="Y199" s="109">
        <v>0.12867517790364127</v>
      </c>
      <c r="Z199" s="109">
        <v>0.15654128802508013</v>
      </c>
      <c r="AA199" s="109">
        <v>0.54729658923164592</v>
      </c>
      <c r="AD199" s="111"/>
    </row>
    <row r="200" spans="1:30" ht="15" customHeight="1" x14ac:dyDescent="0.3">
      <c r="A200" s="22" t="s">
        <v>153</v>
      </c>
      <c r="B200" s="23">
        <v>25</v>
      </c>
      <c r="C200" s="3" t="s">
        <v>28</v>
      </c>
      <c r="D200" s="23">
        <v>2017</v>
      </c>
      <c r="E200" s="25">
        <v>2.9556555495302406</v>
      </c>
      <c r="F200" s="25">
        <v>5.6465607778094833E-2</v>
      </c>
      <c r="G200" s="25">
        <v>0.85710345959809153</v>
      </c>
      <c r="H200" s="25">
        <v>5.9980700525528219</v>
      </c>
      <c r="I200" s="25">
        <v>0.1637620729612724</v>
      </c>
      <c r="J200" s="25">
        <v>3.2598952942711833E-2</v>
      </c>
      <c r="K200" s="25">
        <v>0.22812975633297039</v>
      </c>
      <c r="L200" s="25">
        <v>0.99970000000000003</v>
      </c>
      <c r="M200" s="24">
        <v>2</v>
      </c>
      <c r="N200" s="108">
        <v>0</v>
      </c>
      <c r="O200" s="24">
        <v>4</v>
      </c>
      <c r="P200" s="24">
        <v>6</v>
      </c>
      <c r="Q200" s="24">
        <v>4</v>
      </c>
      <c r="R200" s="24">
        <v>4</v>
      </c>
      <c r="S200" s="24">
        <v>6</v>
      </c>
      <c r="T200" s="24">
        <v>6</v>
      </c>
      <c r="U200" s="24">
        <v>3416166470000</v>
      </c>
      <c r="V200" s="109">
        <v>0.19002178687362739</v>
      </c>
      <c r="W200" s="109">
        <v>0.2034635980722567</v>
      </c>
      <c r="X200" s="109">
        <v>0.15801188622988854</v>
      </c>
      <c r="Y200" s="109">
        <v>0.12898696660997322</v>
      </c>
      <c r="Z200" s="109">
        <v>0.17505630824586857</v>
      </c>
      <c r="AA200" s="109">
        <v>0.66551875915798708</v>
      </c>
      <c r="AD200" s="111"/>
    </row>
    <row r="201" spans="1:30" ht="15" customHeight="1" x14ac:dyDescent="0.3">
      <c r="A201" s="22" t="s">
        <v>153</v>
      </c>
      <c r="B201" s="23">
        <v>25</v>
      </c>
      <c r="C201" s="3" t="s">
        <v>28</v>
      </c>
      <c r="D201" s="23">
        <v>2018</v>
      </c>
      <c r="E201" s="25">
        <v>6.9476704937811897</v>
      </c>
      <c r="F201" s="25">
        <v>2.1875481040862781E-2</v>
      </c>
      <c r="G201" s="25">
        <v>0.88271328036269869</v>
      </c>
      <c r="H201" s="25">
        <v>7.526114491840258</v>
      </c>
      <c r="I201" s="25">
        <v>-9.152390690995732E-2</v>
      </c>
      <c r="J201" s="25">
        <v>-1.953449023604116E-2</v>
      </c>
      <c r="K201" s="25">
        <v>-0.16655330029222257</v>
      </c>
      <c r="L201" s="25">
        <v>0.99970000000000003</v>
      </c>
      <c r="M201" s="24">
        <v>1</v>
      </c>
      <c r="N201" s="108">
        <v>0</v>
      </c>
      <c r="O201" s="24">
        <v>4</v>
      </c>
      <c r="P201" s="24">
        <v>9</v>
      </c>
      <c r="Q201" s="24">
        <v>4</v>
      </c>
      <c r="R201" s="24">
        <v>4</v>
      </c>
      <c r="S201" s="24">
        <v>9</v>
      </c>
      <c r="T201" s="24">
        <v>6</v>
      </c>
      <c r="U201" s="24">
        <v>3459841500000</v>
      </c>
      <c r="V201" s="109">
        <v>8.591138358194908E-2</v>
      </c>
      <c r="W201" s="109">
        <v>0.52453637451310986</v>
      </c>
      <c r="X201" s="109">
        <v>0.21553196890666809</v>
      </c>
      <c r="Y201" s="109">
        <v>0.14685713943832396</v>
      </c>
      <c r="Z201" s="109">
        <v>0.13951422093543756</v>
      </c>
      <c r="AA201" s="109">
        <v>1.0264397037935395</v>
      </c>
      <c r="AD201" s="111"/>
    </row>
    <row r="202" spans="1:30" ht="15" customHeight="1" x14ac:dyDescent="0.3">
      <c r="A202" s="22" t="s">
        <v>153</v>
      </c>
      <c r="B202" s="23">
        <v>25</v>
      </c>
      <c r="C202" s="3" t="s">
        <v>28</v>
      </c>
      <c r="D202" s="23">
        <v>2019</v>
      </c>
      <c r="E202" s="25">
        <v>4.2451146843445509</v>
      </c>
      <c r="F202" s="25">
        <v>2.2788829041884111E-2</v>
      </c>
      <c r="G202" s="25">
        <v>0.89270337319178694</v>
      </c>
      <c r="H202" s="25">
        <v>8.3199574837282277</v>
      </c>
      <c r="I202" s="25">
        <v>5.2690941389958522E-2</v>
      </c>
      <c r="J202" s="25">
        <v>2.027235074711169E-2</v>
      </c>
      <c r="K202" s="25">
        <v>0.18893744705830712</v>
      </c>
      <c r="L202" s="25">
        <v>0.99970000000000003</v>
      </c>
      <c r="M202" s="24">
        <v>2</v>
      </c>
      <c r="N202" s="108">
        <v>0</v>
      </c>
      <c r="O202" s="24">
        <v>6</v>
      </c>
      <c r="P202" s="24">
        <v>13</v>
      </c>
      <c r="Q202" s="24">
        <v>6</v>
      </c>
      <c r="R202" s="24">
        <v>5</v>
      </c>
      <c r="S202" s="24">
        <v>13</v>
      </c>
      <c r="T202" s="24">
        <v>9</v>
      </c>
      <c r="U202" s="24">
        <v>4490719460000</v>
      </c>
      <c r="V202" s="109">
        <v>1.3397009069577193</v>
      </c>
      <c r="W202" s="109">
        <v>0.20365561539664731</v>
      </c>
      <c r="X202" s="109">
        <v>0.19925123383236235</v>
      </c>
      <c r="Y202" s="109">
        <v>9.1490996144301562E-2</v>
      </c>
      <c r="Z202" s="109">
        <v>0.12620256798830276</v>
      </c>
      <c r="AA202" s="109">
        <v>0.62060041336161398</v>
      </c>
      <c r="AD202" s="111"/>
    </row>
    <row r="203" spans="1:30" ht="15" customHeight="1" x14ac:dyDescent="0.3">
      <c r="A203" s="22" t="s">
        <v>153</v>
      </c>
      <c r="B203" s="23">
        <v>25</v>
      </c>
      <c r="C203" s="3" t="s">
        <v>28</v>
      </c>
      <c r="D203" s="23">
        <v>2020</v>
      </c>
      <c r="E203" s="25">
        <v>3.2807192955529025</v>
      </c>
      <c r="F203" s="25">
        <v>3.6702654979618977E-2</v>
      </c>
      <c r="G203" s="25">
        <v>0.90192733143814019</v>
      </c>
      <c r="H203" s="25">
        <v>9.1965207500114623</v>
      </c>
      <c r="I203" s="25">
        <v>2.4327518704944998E-2</v>
      </c>
      <c r="J203" s="25">
        <v>6.5369607620849616E-3</v>
      </c>
      <c r="K203" s="25">
        <v>6.665425605261005E-2</v>
      </c>
      <c r="L203" s="25">
        <v>0.99970000000000003</v>
      </c>
      <c r="M203" s="24">
        <v>2</v>
      </c>
      <c r="N203" s="108">
        <v>0</v>
      </c>
      <c r="O203" s="24">
        <v>4</v>
      </c>
      <c r="P203" s="24">
        <v>11</v>
      </c>
      <c r="Q203" s="24">
        <v>4</v>
      </c>
      <c r="R203" s="24">
        <v>4</v>
      </c>
      <c r="S203" s="24">
        <v>11</v>
      </c>
      <c r="T203" s="24">
        <v>4</v>
      </c>
      <c r="U203" s="24">
        <v>5264244540000</v>
      </c>
      <c r="V203" s="109">
        <v>-0.1812901047565191</v>
      </c>
      <c r="W203" s="109">
        <v>0.18757908446251623</v>
      </c>
      <c r="X203" s="109">
        <v>0.17628568683475332</v>
      </c>
      <c r="Y203" s="109">
        <v>1.3220347548672197E-2</v>
      </c>
      <c r="Z203" s="109">
        <v>0.11417361288492622</v>
      </c>
      <c r="AA203" s="109">
        <v>0.49125873173086798</v>
      </c>
      <c r="AD203" s="111"/>
    </row>
    <row r="204" spans="1:30" ht="15" customHeight="1" x14ac:dyDescent="0.3">
      <c r="A204" s="22" t="s">
        <v>153</v>
      </c>
      <c r="B204" s="23">
        <v>25</v>
      </c>
      <c r="C204" s="3" t="s">
        <v>28</v>
      </c>
      <c r="D204" s="23">
        <v>2021</v>
      </c>
      <c r="E204" s="25">
        <v>3.0784094915399289</v>
      </c>
      <c r="F204" s="25">
        <v>3.4525936245558636E-2</v>
      </c>
      <c r="G204" s="25">
        <v>0.90374757857193855</v>
      </c>
      <c r="H204" s="25">
        <v>9.3893454529283567</v>
      </c>
      <c r="I204" s="25">
        <v>3.7739613117669199E-2</v>
      </c>
      <c r="J204" s="25">
        <v>1.0487663929425088E-2</v>
      </c>
      <c r="K204" s="25">
        <v>0.1089599595754267</v>
      </c>
      <c r="L204" s="25">
        <v>0.99970000000000003</v>
      </c>
      <c r="M204" s="24">
        <v>2</v>
      </c>
      <c r="N204" s="108">
        <v>0</v>
      </c>
      <c r="O204" s="24">
        <v>4</v>
      </c>
      <c r="P204" s="24">
        <v>13</v>
      </c>
      <c r="Q204" s="24">
        <v>4</v>
      </c>
      <c r="R204" s="24">
        <v>3</v>
      </c>
      <c r="S204" s="24">
        <v>13</v>
      </c>
      <c r="T204" s="24">
        <v>3</v>
      </c>
      <c r="U204" s="24">
        <v>6020512330000</v>
      </c>
      <c r="V204" s="109">
        <v>0.18277095271859287</v>
      </c>
      <c r="W204" s="109">
        <v>0.19900128120823898</v>
      </c>
      <c r="X204" s="109">
        <v>0.18828526385560942</v>
      </c>
      <c r="Y204" s="109">
        <v>7.1556161400636142E-2</v>
      </c>
      <c r="Z204" s="109">
        <v>0.11182888149807346</v>
      </c>
      <c r="AA204" s="109">
        <v>0.57067158796255801</v>
      </c>
      <c r="AD204" s="111"/>
    </row>
    <row r="205" spans="1:30" ht="15" customHeight="1" x14ac:dyDescent="0.3">
      <c r="A205" s="22" t="s">
        <v>153</v>
      </c>
      <c r="B205" s="23">
        <v>25</v>
      </c>
      <c r="C205" s="3" t="s">
        <v>28</v>
      </c>
      <c r="D205" s="23">
        <v>2022</v>
      </c>
      <c r="E205" s="25">
        <v>2.3071811350236491</v>
      </c>
      <c r="F205" s="25">
        <v>7.5288691575998351E-2</v>
      </c>
      <c r="G205" s="25">
        <v>0.90660716167232702</v>
      </c>
      <c r="H205" s="25">
        <v>9.707459293600909</v>
      </c>
      <c r="I205" s="25">
        <v>2.0276043512180448E-2</v>
      </c>
      <c r="J205" s="25">
        <v>5.5625403731052354E-3</v>
      </c>
      <c r="K205" s="25">
        <v>5.9560674704274078E-2</v>
      </c>
      <c r="L205" s="25">
        <v>0.99970000000000003</v>
      </c>
      <c r="M205" s="24">
        <v>2</v>
      </c>
      <c r="N205" s="108">
        <v>0</v>
      </c>
      <c r="O205" s="24">
        <v>4</v>
      </c>
      <c r="P205" s="24">
        <v>10</v>
      </c>
      <c r="Q205" s="24">
        <v>4</v>
      </c>
      <c r="R205" s="24">
        <v>4</v>
      </c>
      <c r="S205" s="24">
        <v>10</v>
      </c>
      <c r="T205" s="24">
        <v>4</v>
      </c>
      <c r="U205" s="24">
        <v>6600387150000</v>
      </c>
      <c r="V205" s="109">
        <v>8.2292385734167778E-2</v>
      </c>
      <c r="W205" s="109">
        <v>0.12192511852884265</v>
      </c>
      <c r="X205" s="109">
        <v>0.21441120122779464</v>
      </c>
      <c r="Y205" s="109">
        <v>8.7425961127143875E-2</v>
      </c>
      <c r="Z205" s="109">
        <v>0.10816424444778798</v>
      </c>
      <c r="AA205" s="109">
        <v>0.53192652533156914</v>
      </c>
      <c r="AD205" s="111"/>
    </row>
    <row r="206" spans="1:30" ht="15" customHeight="1" x14ac:dyDescent="0.3">
      <c r="A206" s="22" t="s">
        <v>153</v>
      </c>
      <c r="B206" s="23">
        <v>25</v>
      </c>
      <c r="C206" s="3" t="s">
        <v>28</v>
      </c>
      <c r="D206" s="23">
        <v>2023</v>
      </c>
      <c r="E206" s="25">
        <v>1.8002274968869225</v>
      </c>
      <c r="F206" s="25">
        <v>6.3523871726638745E-2</v>
      </c>
      <c r="G206" s="25">
        <v>0.90501492968510489</v>
      </c>
      <c r="H206" s="25">
        <v>9.5279703082262657</v>
      </c>
      <c r="I206" s="25">
        <v>5.4663308723193117E-2</v>
      </c>
      <c r="J206" s="25">
        <v>1.284617486492042E-2</v>
      </c>
      <c r="K206" s="25">
        <v>0.13524414755216474</v>
      </c>
      <c r="L206" s="25">
        <v>0.99970000000000003</v>
      </c>
      <c r="M206" s="24">
        <v>2</v>
      </c>
      <c r="N206" s="108">
        <v>0</v>
      </c>
      <c r="O206" s="24">
        <v>3</v>
      </c>
      <c r="P206" s="24">
        <v>9</v>
      </c>
      <c r="Q206" s="24">
        <v>3</v>
      </c>
      <c r="R206" s="24">
        <v>4</v>
      </c>
      <c r="S206" s="24">
        <v>9</v>
      </c>
      <c r="T206" s="24">
        <v>4</v>
      </c>
      <c r="U206" s="24">
        <v>7499012820000</v>
      </c>
      <c r="V206" s="109">
        <v>-2.6753976021233059E-2</v>
      </c>
      <c r="W206" s="109">
        <v>8.3160966459049232E-2</v>
      </c>
      <c r="X206" s="109">
        <v>0.22823204028073657</v>
      </c>
      <c r="Y206" s="109">
        <v>8.1355179334124672E-2</v>
      </c>
      <c r="Z206" s="109">
        <v>0.11020185475320492</v>
      </c>
      <c r="AA206" s="109">
        <v>0.50295004082711536</v>
      </c>
      <c r="AD206" s="111"/>
    </row>
    <row r="207" spans="1:30" ht="15" customHeight="1" x14ac:dyDescent="0.3">
      <c r="A207" s="22" t="s">
        <v>153</v>
      </c>
      <c r="B207" s="23">
        <v>25</v>
      </c>
      <c r="C207" s="3" t="s">
        <v>28</v>
      </c>
      <c r="D207" s="23">
        <v>2024</v>
      </c>
      <c r="E207" s="25">
        <v>1.5686213138836003</v>
      </c>
      <c r="F207" s="25">
        <v>9.1927050245253397E-2</v>
      </c>
      <c r="G207" s="25">
        <v>0.91830709383231524</v>
      </c>
      <c r="H207" s="25">
        <v>11.240964936996791</v>
      </c>
      <c r="I207" s="25">
        <v>-1.1075953452702089E-2</v>
      </c>
      <c r="J207" s="25">
        <v>-2.7511434508876156E-3</v>
      </c>
      <c r="K207" s="25">
        <v>-3.3676650518963652E-2</v>
      </c>
      <c r="L207" s="25">
        <v>0.99970000000000003</v>
      </c>
      <c r="M207" s="24">
        <v>2</v>
      </c>
      <c r="N207" s="108">
        <v>0</v>
      </c>
      <c r="O207" s="24">
        <v>3</v>
      </c>
      <c r="P207" s="24">
        <v>12</v>
      </c>
      <c r="Q207" s="24">
        <v>3</v>
      </c>
      <c r="R207" s="24">
        <v>4</v>
      </c>
      <c r="S207" s="24">
        <v>12</v>
      </c>
      <c r="T207" s="24">
        <v>6</v>
      </c>
      <c r="U207" s="24">
        <v>8435110859999.999</v>
      </c>
      <c r="V207" s="109">
        <v>0.18888787821975353</v>
      </c>
      <c r="W207" s="109">
        <v>6.2717418654056681E-2</v>
      </c>
      <c r="X207" s="109">
        <v>0.25295398891769871</v>
      </c>
      <c r="Y207" s="109">
        <v>0.10358086205401693</v>
      </c>
      <c r="Z207" s="109">
        <v>9.3408351141118742E-2</v>
      </c>
      <c r="AA207" s="109">
        <v>0.51266062076689112</v>
      </c>
      <c r="AD207" s="111"/>
    </row>
    <row r="208" spans="1:30" ht="15" customHeight="1" x14ac:dyDescent="0.3">
      <c r="A208" s="22" t="s">
        <v>153</v>
      </c>
      <c r="B208" s="23">
        <v>26</v>
      </c>
      <c r="C208" s="3" t="s">
        <v>42</v>
      </c>
      <c r="D208" s="23">
        <v>2022</v>
      </c>
      <c r="E208" s="25">
        <v>0.28210201728228235</v>
      </c>
      <c r="F208" s="25">
        <v>2.1536812480632363E-2</v>
      </c>
      <c r="G208" s="25">
        <v>3.47242483725171E-2</v>
      </c>
      <c r="H208" s="25">
        <v>3.5973397564344714E-2</v>
      </c>
      <c r="I208" s="25">
        <v>-1.8043807089337851</v>
      </c>
      <c r="J208" s="25">
        <v>-2.3149147903668746E-2</v>
      </c>
      <c r="K208" s="25">
        <v>-2.3981901404483242E-2</v>
      </c>
      <c r="L208" s="25">
        <v>0</v>
      </c>
      <c r="M208" s="24">
        <v>0</v>
      </c>
      <c r="N208" s="108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132949170000.00002</v>
      </c>
      <c r="V208" s="109">
        <v>0</v>
      </c>
      <c r="W208" s="109">
        <v>-0.13945823054028841</v>
      </c>
      <c r="X208" s="109">
        <v>-0.15944478780875426</v>
      </c>
      <c r="Y208" s="109">
        <v>-0.15556227391265395</v>
      </c>
      <c r="Z208" s="109">
        <v>29.188235504358225</v>
      </c>
      <c r="AA208" s="109">
        <v>28.733770212096527</v>
      </c>
      <c r="AD208" s="111"/>
    </row>
    <row r="209" spans="1:30" ht="15" customHeight="1" x14ac:dyDescent="0.3">
      <c r="A209" s="22" t="s">
        <v>153</v>
      </c>
      <c r="B209" s="23">
        <v>26</v>
      </c>
      <c r="C209" s="3" t="s">
        <v>42</v>
      </c>
      <c r="D209" s="23">
        <v>2023</v>
      </c>
      <c r="E209" s="25">
        <v>0.18811184776307224</v>
      </c>
      <c r="F209" s="25">
        <v>4.5966716031201321E-3</v>
      </c>
      <c r="G209" s="25">
        <v>3.0654309567703337E-2</v>
      </c>
      <c r="H209" s="25">
        <v>3.162371264479704E-2</v>
      </c>
      <c r="I209" s="25">
        <v>-0.52975451505622861</v>
      </c>
      <c r="J209" s="25">
        <v>-8.825924121510299E-3</v>
      </c>
      <c r="K209" s="25">
        <v>-9.105032609753724E-3</v>
      </c>
      <c r="L209" s="25">
        <v>0.98</v>
      </c>
      <c r="M209" s="24">
        <v>2</v>
      </c>
      <c r="N209" s="108">
        <v>0</v>
      </c>
      <c r="O209" s="24">
        <v>4</v>
      </c>
      <c r="P209" s="24">
        <v>0</v>
      </c>
      <c r="Q209" s="24">
        <v>4</v>
      </c>
      <c r="R209" s="24">
        <v>3</v>
      </c>
      <c r="S209" s="24">
        <v>0</v>
      </c>
      <c r="T209" s="24">
        <v>0</v>
      </c>
      <c r="U209" s="24">
        <v>132473380000</v>
      </c>
      <c r="V209" s="109">
        <v>0.29396245441647223</v>
      </c>
      <c r="W209" s="109">
        <v>-0.14632680467577711</v>
      </c>
      <c r="X209" s="109">
        <v>-0.19139405516791375</v>
      </c>
      <c r="Y209" s="109">
        <v>-5.9315282813800017E-2</v>
      </c>
      <c r="Z209" s="109">
        <v>33.202932615590711</v>
      </c>
      <c r="AA209" s="109">
        <v>32.80589647293322</v>
      </c>
      <c r="AD209" s="111"/>
    </row>
    <row r="210" spans="1:30" ht="15" customHeight="1" x14ac:dyDescent="0.3">
      <c r="A210" s="22" t="s">
        <v>153</v>
      </c>
      <c r="B210" s="23">
        <v>26</v>
      </c>
      <c r="C210" s="3" t="s">
        <v>42</v>
      </c>
      <c r="D210" s="23">
        <v>2024</v>
      </c>
      <c r="E210" s="25">
        <v>110.45465052050137</v>
      </c>
      <c r="F210" s="25">
        <v>109.8868918631825</v>
      </c>
      <c r="G210" s="25">
        <v>9.7512505579927817E-3</v>
      </c>
      <c r="H210" s="25">
        <v>9.8472744145529766E-3</v>
      </c>
      <c r="I210" s="25">
        <v>0.51046660845842406</v>
      </c>
      <c r="J210" s="25">
        <v>4.1136376597224016E-2</v>
      </c>
      <c r="K210" s="25">
        <v>4.1541460386455564E-2</v>
      </c>
      <c r="L210" s="25">
        <v>0.98</v>
      </c>
      <c r="M210" s="24">
        <v>2</v>
      </c>
      <c r="N210" s="108">
        <v>0</v>
      </c>
      <c r="O210" s="24">
        <v>3</v>
      </c>
      <c r="P210" s="24">
        <v>0</v>
      </c>
      <c r="Q210" s="24">
        <v>3</v>
      </c>
      <c r="R210" s="24">
        <v>3</v>
      </c>
      <c r="S210" s="24">
        <v>0</v>
      </c>
      <c r="T210" s="24">
        <v>0</v>
      </c>
      <c r="U210" s="24">
        <v>159746690000</v>
      </c>
      <c r="V210" s="109">
        <v>4.8327911339066452</v>
      </c>
      <c r="W210" s="109">
        <v>5.2892049631826481</v>
      </c>
      <c r="X210" s="109">
        <v>-2.3882469176669637E-2</v>
      </c>
      <c r="Y210" s="109">
        <v>0.27794243498879379</v>
      </c>
      <c r="Z210" s="109">
        <v>106.62848985382576</v>
      </c>
      <c r="AA210" s="109">
        <v>112.17175478282053</v>
      </c>
      <c r="AD210" s="111"/>
    </row>
    <row r="211" spans="1:30" ht="15" customHeight="1" x14ac:dyDescent="0.3">
      <c r="A211" s="22" t="s">
        <v>153</v>
      </c>
      <c r="B211" s="23">
        <v>27</v>
      </c>
      <c r="C211" s="3" t="s">
        <v>29</v>
      </c>
      <c r="D211" s="23">
        <v>2015</v>
      </c>
      <c r="E211" s="25">
        <v>1.3255208529272349</v>
      </c>
      <c r="F211" s="25">
        <v>0.44045836562408303</v>
      </c>
      <c r="G211" s="25">
        <v>0.54681140631466518</v>
      </c>
      <c r="H211" s="25">
        <v>1.2065868689853565</v>
      </c>
      <c r="I211" s="25">
        <v>4.9987534706450877E-2</v>
      </c>
      <c r="J211" s="25">
        <v>2.3616463597134141E-2</v>
      </c>
      <c r="K211" s="25">
        <v>5.2111778465306881E-2</v>
      </c>
      <c r="L211" s="25">
        <v>0.5</v>
      </c>
      <c r="M211" s="24">
        <v>2</v>
      </c>
      <c r="N211" s="108">
        <v>0</v>
      </c>
      <c r="O211" s="24">
        <v>4</v>
      </c>
      <c r="P211" s="24">
        <v>0</v>
      </c>
      <c r="Q211" s="24">
        <v>4</v>
      </c>
      <c r="R211" s="24">
        <v>0</v>
      </c>
      <c r="S211" s="24">
        <v>0</v>
      </c>
      <c r="T211" s="24">
        <v>0</v>
      </c>
      <c r="U211" s="24">
        <v>1239559000000</v>
      </c>
      <c r="V211" s="109">
        <v>-0.49424443594263179</v>
      </c>
      <c r="W211" s="109">
        <v>0.228961945337011</v>
      </c>
      <c r="X211" s="109">
        <v>0.14152644609897552</v>
      </c>
      <c r="Y211" s="109">
        <v>0.11937664927607319</v>
      </c>
      <c r="Z211" s="109">
        <v>0.87022329431031054</v>
      </c>
      <c r="AA211" s="109">
        <v>1.3600883350223703</v>
      </c>
      <c r="AD211" s="111"/>
    </row>
    <row r="212" spans="1:30" ht="15" customHeight="1" x14ac:dyDescent="0.3">
      <c r="A212" s="22" t="s">
        <v>153</v>
      </c>
      <c r="B212" s="23">
        <v>27</v>
      </c>
      <c r="C212" s="3" t="s">
        <v>29</v>
      </c>
      <c r="D212" s="23">
        <v>2016</v>
      </c>
      <c r="E212" s="25">
        <v>0.5256746351836914</v>
      </c>
      <c r="F212" s="25">
        <v>0.14481282540148127</v>
      </c>
      <c r="G212" s="25">
        <v>0.95386010305638536</v>
      </c>
      <c r="H212" s="25">
        <v>20.673899937731544</v>
      </c>
      <c r="I212" s="25">
        <v>3.069759850003493E-3</v>
      </c>
      <c r="J212" s="25">
        <v>3.1845713997002514E-3</v>
      </c>
      <c r="K212" s="25">
        <v>6.9022187059723211E-2</v>
      </c>
      <c r="L212" s="25">
        <v>0.5</v>
      </c>
      <c r="M212" s="24">
        <v>2</v>
      </c>
      <c r="N212" s="108">
        <v>0</v>
      </c>
      <c r="O212" s="24">
        <v>4</v>
      </c>
      <c r="P212" s="24">
        <v>0</v>
      </c>
      <c r="Q212" s="24">
        <v>4</v>
      </c>
      <c r="R212" s="24">
        <v>0</v>
      </c>
      <c r="S212" s="24">
        <v>0</v>
      </c>
      <c r="T212" s="24">
        <v>0</v>
      </c>
      <c r="U212" s="24">
        <v>13122331000000</v>
      </c>
      <c r="V212" s="109">
        <v>22.245410893642017</v>
      </c>
      <c r="W212" s="109">
        <v>-5.1737807863557167E-2</v>
      </c>
      <c r="X212" s="109">
        <v>2.5723339854786469E-2</v>
      </c>
      <c r="Y212" s="109">
        <v>2.4192823668294908E-2</v>
      </c>
      <c r="Z212" s="109">
        <v>5.0788675729423693E-2</v>
      </c>
      <c r="AA212" s="109">
        <v>4.8967031388947903E-2</v>
      </c>
      <c r="AD212" s="111"/>
    </row>
    <row r="213" spans="1:30" ht="15" customHeight="1" x14ac:dyDescent="0.3">
      <c r="A213" s="22" t="s">
        <v>153</v>
      </c>
      <c r="B213" s="23">
        <v>27</v>
      </c>
      <c r="C213" s="3" t="s">
        <v>29</v>
      </c>
      <c r="D213" s="23">
        <v>2017</v>
      </c>
      <c r="E213" s="25">
        <v>0.18432087335570729</v>
      </c>
      <c r="F213" s="25">
        <v>0.10604771824248736</v>
      </c>
      <c r="G213" s="25">
        <v>0.97299064937062263</v>
      </c>
      <c r="H213" s="25">
        <v>36.024268523362984</v>
      </c>
      <c r="I213" s="25">
        <v>6.3287158952273397E-3</v>
      </c>
      <c r="J213" s="25">
        <v>4.6471124287822485E-3</v>
      </c>
      <c r="K213" s="25">
        <v>0.17205594534849575</v>
      </c>
      <c r="L213" s="25">
        <v>0.99</v>
      </c>
      <c r="M213" s="24">
        <v>2</v>
      </c>
      <c r="N213" s="108">
        <v>0</v>
      </c>
      <c r="O213" s="24">
        <v>4</v>
      </c>
      <c r="P213" s="24">
        <v>0</v>
      </c>
      <c r="Q213" s="24">
        <v>4</v>
      </c>
      <c r="R213" s="24">
        <v>0</v>
      </c>
      <c r="S213" s="24">
        <v>0</v>
      </c>
      <c r="T213" s="24">
        <v>0</v>
      </c>
      <c r="U213" s="24">
        <v>24838435000000</v>
      </c>
      <c r="V213" s="109">
        <v>0.33978228498293228</v>
      </c>
      <c r="W213" s="109">
        <v>-0.22337996093554202</v>
      </c>
      <c r="X213" s="109">
        <v>2.2076079269889585E-2</v>
      </c>
      <c r="Y213" s="109">
        <v>3.0805728299709699E-2</v>
      </c>
      <c r="Z213" s="109">
        <v>2.9147017914299599E-2</v>
      </c>
      <c r="AA213" s="109">
        <v>-0.14135113545164313</v>
      </c>
      <c r="AD213" s="111"/>
    </row>
    <row r="214" spans="1:30" ht="15" customHeight="1" x14ac:dyDescent="0.3">
      <c r="A214" s="22" t="s">
        <v>153</v>
      </c>
      <c r="B214" s="23">
        <v>27</v>
      </c>
      <c r="C214" s="3" t="s">
        <v>29</v>
      </c>
      <c r="D214" s="23">
        <v>2018</v>
      </c>
      <c r="E214" s="25">
        <v>0.16597230333943336</v>
      </c>
      <c r="F214" s="25">
        <v>9.164124994051405E-2</v>
      </c>
      <c r="G214" s="25">
        <v>0.97435877031976137</v>
      </c>
      <c r="H214" s="25">
        <v>37.999689658826554</v>
      </c>
      <c r="I214" s="25">
        <v>6.0037962710582883E-3</v>
      </c>
      <c r="J214" s="25">
        <v>3.9401738713684149E-3</v>
      </c>
      <c r="K214" s="25">
        <v>0.15366555818518537</v>
      </c>
      <c r="L214" s="25">
        <v>0.99</v>
      </c>
      <c r="M214" s="24">
        <v>2</v>
      </c>
      <c r="N214" s="108">
        <v>0</v>
      </c>
      <c r="O214" s="24">
        <v>4</v>
      </c>
      <c r="P214" s="24">
        <v>0</v>
      </c>
      <c r="Q214" s="24">
        <v>4</v>
      </c>
      <c r="R214" s="24">
        <v>0</v>
      </c>
      <c r="S214" s="24">
        <v>0</v>
      </c>
      <c r="T214" s="24">
        <v>0</v>
      </c>
      <c r="U214" s="24">
        <v>30914118000000</v>
      </c>
      <c r="V214" s="109">
        <v>0.11238338134593898</v>
      </c>
      <c r="W214" s="109">
        <v>-0.20454351633127621</v>
      </c>
      <c r="X214" s="109">
        <v>3.0544588074613677E-2</v>
      </c>
      <c r="Y214" s="109">
        <v>2.6001044571286169E-2</v>
      </c>
      <c r="Z214" s="109">
        <v>2.7631804612807051E-2</v>
      </c>
      <c r="AA214" s="109">
        <v>-0.12036607907256931</v>
      </c>
      <c r="AD214" s="111"/>
    </row>
    <row r="215" spans="1:30" ht="15" customHeight="1" x14ac:dyDescent="0.3">
      <c r="A215" s="22" t="s">
        <v>153</v>
      </c>
      <c r="B215" s="23">
        <v>27</v>
      </c>
      <c r="C215" s="3" t="s">
        <v>29</v>
      </c>
      <c r="D215" s="23">
        <v>2019</v>
      </c>
      <c r="E215" s="25">
        <v>0.49366894559791857</v>
      </c>
      <c r="F215" s="25">
        <v>0.23097388493784993</v>
      </c>
      <c r="G215" s="25">
        <v>0.97338470360598561</v>
      </c>
      <c r="H215" s="25">
        <v>36.572378875513671</v>
      </c>
      <c r="I215" s="25">
        <v>6.7890226969505568E-3</v>
      </c>
      <c r="J215" s="25">
        <v>4.0848746428442002E-3</v>
      </c>
      <c r="K215" s="25">
        <v>0.15347845773992089</v>
      </c>
      <c r="L215" s="25">
        <v>0.99</v>
      </c>
      <c r="M215" s="24">
        <v>2</v>
      </c>
      <c r="N215" s="108">
        <v>0</v>
      </c>
      <c r="O215" s="24">
        <v>3</v>
      </c>
      <c r="P215" s="24">
        <v>0</v>
      </c>
      <c r="Q215" s="24">
        <v>3</v>
      </c>
      <c r="R215" s="24">
        <v>0</v>
      </c>
      <c r="S215" s="24">
        <v>0</v>
      </c>
      <c r="T215" s="24">
        <v>0</v>
      </c>
      <c r="U215" s="24">
        <v>35182475000000</v>
      </c>
      <c r="V215" s="109">
        <v>4.3401748690010462E-2</v>
      </c>
      <c r="W215" s="109">
        <v>-6.5896139484217631E-2</v>
      </c>
      <c r="X215" s="109">
        <v>4.0259928273948885E-2</v>
      </c>
      <c r="Y215" s="109">
        <v>2.7704011158964797E-2</v>
      </c>
      <c r="Z215" s="109">
        <v>2.8710191469196639E-2</v>
      </c>
      <c r="AA215" s="109">
        <v>3.077799141789269E-2</v>
      </c>
      <c r="AD215" s="111"/>
    </row>
    <row r="216" spans="1:30" ht="15" customHeight="1" x14ac:dyDescent="0.3">
      <c r="A216" s="22" t="s">
        <v>153</v>
      </c>
      <c r="B216" s="23">
        <v>27</v>
      </c>
      <c r="C216" s="3" t="s">
        <v>29</v>
      </c>
      <c r="D216" s="23">
        <v>2020</v>
      </c>
      <c r="E216" s="25">
        <v>0.75046242061779389</v>
      </c>
      <c r="F216" s="25">
        <v>0.31872874643698984</v>
      </c>
      <c r="G216" s="25">
        <v>0.96688957065248238</v>
      </c>
      <c r="H216" s="25">
        <v>29.201882035372517</v>
      </c>
      <c r="I216" s="25">
        <v>6.6826351364045839E-3</v>
      </c>
      <c r="J216" s="25">
        <v>4.0510449413748584E-3</v>
      </c>
      <c r="K216" s="25">
        <v>0.12234917004864423</v>
      </c>
      <c r="L216" s="25">
        <v>0.99</v>
      </c>
      <c r="M216" s="24">
        <v>2</v>
      </c>
      <c r="N216" s="108">
        <v>0</v>
      </c>
      <c r="O216" s="24">
        <v>3</v>
      </c>
      <c r="P216" s="24">
        <v>0</v>
      </c>
      <c r="Q216" s="24">
        <v>3</v>
      </c>
      <c r="R216" s="24">
        <v>0</v>
      </c>
      <c r="S216" s="24">
        <v>0</v>
      </c>
      <c r="T216" s="24">
        <v>0</v>
      </c>
      <c r="U216" s="24">
        <v>32223291000000</v>
      </c>
      <c r="V216" s="109">
        <v>-7.7234510150490251E-2</v>
      </c>
      <c r="W216" s="109">
        <v>-4.2844721229746516E-2</v>
      </c>
      <c r="X216" s="109">
        <v>5.7163552909601935E-2</v>
      </c>
      <c r="Y216" s="109">
        <v>2.7223022006039047E-2</v>
      </c>
      <c r="Z216" s="109">
        <v>3.5956586590142552E-2</v>
      </c>
      <c r="AA216" s="109">
        <v>7.7498440276037028E-2</v>
      </c>
      <c r="AD216" s="111"/>
    </row>
    <row r="217" spans="1:30" ht="15" customHeight="1" x14ac:dyDescent="0.3">
      <c r="A217" s="22" t="s">
        <v>153</v>
      </c>
      <c r="B217" s="23">
        <v>27</v>
      </c>
      <c r="C217" s="3" t="s">
        <v>29</v>
      </c>
      <c r="D217" s="23">
        <v>2021</v>
      </c>
      <c r="E217" s="25">
        <v>0.65577483722909635</v>
      </c>
      <c r="F217" s="25">
        <v>0.28704554403465021</v>
      </c>
      <c r="G217" s="25">
        <v>0.96713341740673719</v>
      </c>
      <c r="H217" s="25">
        <v>29.426041319093102</v>
      </c>
      <c r="I217" s="25">
        <v>5.1219179666334028E-3</v>
      </c>
      <c r="J217" s="25">
        <v>3.0894048520159591E-3</v>
      </c>
      <c r="K217" s="25">
        <v>9.399835967884429E-2</v>
      </c>
      <c r="L217" s="25">
        <v>0.99</v>
      </c>
      <c r="M217" s="24">
        <v>2</v>
      </c>
      <c r="N217" s="108">
        <v>0</v>
      </c>
      <c r="O217" s="24">
        <v>3</v>
      </c>
      <c r="P217" s="24">
        <v>0</v>
      </c>
      <c r="Q217" s="24">
        <v>3</v>
      </c>
      <c r="R217" s="24">
        <v>0</v>
      </c>
      <c r="S217" s="24">
        <v>0</v>
      </c>
      <c r="T217" s="24">
        <v>0</v>
      </c>
      <c r="U217" s="24">
        <v>33647581000000</v>
      </c>
      <c r="V217" s="109">
        <v>3.8979188550618458E-2</v>
      </c>
      <c r="W217" s="109">
        <v>-6.7493898001166855E-2</v>
      </c>
      <c r="X217" s="109">
        <v>5.8517670557060253E-2</v>
      </c>
      <c r="Y217" s="109">
        <v>2.0760800605547244E-2</v>
      </c>
      <c r="Z217" s="109">
        <v>3.568267945436164E-2</v>
      </c>
      <c r="AA217" s="109">
        <v>4.7467252615802286E-2</v>
      </c>
      <c r="AD217" s="111"/>
    </row>
    <row r="218" spans="1:30" ht="15" customHeight="1" x14ac:dyDescent="0.3">
      <c r="A218" s="22" t="s">
        <v>153</v>
      </c>
      <c r="B218" s="23">
        <v>27</v>
      </c>
      <c r="C218" s="3" t="s">
        <v>29</v>
      </c>
      <c r="D218" s="23">
        <v>2022</v>
      </c>
      <c r="E218" s="25">
        <v>1.0162437235959947</v>
      </c>
      <c r="F218" s="25">
        <v>0.27409051159620806</v>
      </c>
      <c r="G218" s="25">
        <v>0.9567052991340409</v>
      </c>
      <c r="H218" s="25">
        <v>22.097514938283354</v>
      </c>
      <c r="I218" s="25">
        <v>1.2436099727503392E-2</v>
      </c>
      <c r="J218" s="25">
        <v>6.7325558915889176E-3</v>
      </c>
      <c r="K218" s="25">
        <v>0.15550531027880263</v>
      </c>
      <c r="L218" s="25">
        <v>0.99</v>
      </c>
      <c r="M218" s="24">
        <v>2</v>
      </c>
      <c r="N218" s="108">
        <v>0</v>
      </c>
      <c r="O218" s="24">
        <v>3</v>
      </c>
      <c r="P218" s="24">
        <v>0</v>
      </c>
      <c r="Q218" s="24">
        <v>3</v>
      </c>
      <c r="R218" s="24">
        <v>0</v>
      </c>
      <c r="S218" s="24">
        <v>0</v>
      </c>
      <c r="T218" s="24">
        <v>0</v>
      </c>
      <c r="U218" s="24">
        <v>28879077000000</v>
      </c>
      <c r="V218" s="109">
        <v>-0.22965897519167836</v>
      </c>
      <c r="W218" s="109">
        <v>3.5949403784615412E-3</v>
      </c>
      <c r="X218" s="109">
        <v>8.4483997185921131E-2</v>
      </c>
      <c r="Y218" s="109">
        <v>4.5242775591477526E-2</v>
      </c>
      <c r="Z218" s="109">
        <v>4.7516655286016035E-2</v>
      </c>
      <c r="AA218" s="109">
        <v>0.18083836844187623</v>
      </c>
      <c r="AD218" s="111"/>
    </row>
    <row r="219" spans="1:30" ht="15" customHeight="1" x14ac:dyDescent="0.3">
      <c r="A219" s="22" t="s">
        <v>153</v>
      </c>
      <c r="B219" s="23">
        <v>27</v>
      </c>
      <c r="C219" s="3" t="s">
        <v>29</v>
      </c>
      <c r="D219" s="23">
        <v>2023</v>
      </c>
      <c r="E219" s="25">
        <v>0.52344669131150712</v>
      </c>
      <c r="F219" s="25">
        <v>0.33944557020106531</v>
      </c>
      <c r="G219" s="25">
        <v>0.94198882619546254</v>
      </c>
      <c r="H219" s="25">
        <v>16.238058367331018</v>
      </c>
      <c r="I219" s="25">
        <v>2.035870976998232E-2</v>
      </c>
      <c r="J219" s="25">
        <v>6.7614967005894325E-3</v>
      </c>
      <c r="K219" s="25">
        <v>0.11655507477527673</v>
      </c>
      <c r="L219" s="25">
        <v>0.99</v>
      </c>
      <c r="M219" s="24">
        <v>2</v>
      </c>
      <c r="N219" s="108">
        <v>0</v>
      </c>
      <c r="O219" s="24">
        <v>3</v>
      </c>
      <c r="P219" s="24">
        <v>0</v>
      </c>
      <c r="Q219" s="24">
        <v>3</v>
      </c>
      <c r="R219" s="24">
        <v>0</v>
      </c>
      <c r="S219" s="24">
        <v>0</v>
      </c>
      <c r="T219" s="24">
        <v>0</v>
      </c>
      <c r="U219" s="24">
        <v>23420850000000</v>
      </c>
      <c r="V219" s="109">
        <v>-0.50247356409356514</v>
      </c>
      <c r="W219" s="109">
        <v>-0.1181070849264651</v>
      </c>
      <c r="X219" s="109">
        <v>0.11925585365176754</v>
      </c>
      <c r="Y219" s="109">
        <v>4.5437257827960986E-2</v>
      </c>
      <c r="Z219" s="109">
        <v>6.4662903423999954E-2</v>
      </c>
      <c r="AA219" s="109">
        <v>0.11124892997726338</v>
      </c>
      <c r="AD219" s="111"/>
    </row>
    <row r="220" spans="1:30" ht="15" customHeight="1" x14ac:dyDescent="0.3">
      <c r="A220" s="22" t="s">
        <v>153</v>
      </c>
      <c r="B220" s="23">
        <v>27</v>
      </c>
      <c r="C220" s="3" t="s">
        <v>29</v>
      </c>
      <c r="D220" s="23">
        <v>2024</v>
      </c>
      <c r="E220" s="25">
        <v>0.5343228640274571</v>
      </c>
      <c r="F220" s="25">
        <v>0.2565992588399294</v>
      </c>
      <c r="G220" s="25">
        <v>0.93650731602206294</v>
      </c>
      <c r="H220" s="25">
        <v>14.749846082227169</v>
      </c>
      <c r="I220" s="25">
        <v>1.9518862055055021E-2</v>
      </c>
      <c r="J220" s="25">
        <v>6.9311523187475816E-3</v>
      </c>
      <c r="K220" s="25">
        <v>0.10916458219274636</v>
      </c>
      <c r="L220" s="25">
        <v>0.99</v>
      </c>
      <c r="M220" s="24">
        <v>2</v>
      </c>
      <c r="N220" s="108">
        <v>0</v>
      </c>
      <c r="O220" s="24">
        <v>3</v>
      </c>
      <c r="P220" s="24">
        <v>0</v>
      </c>
      <c r="Q220" s="24">
        <v>3</v>
      </c>
      <c r="R220" s="24">
        <v>0</v>
      </c>
      <c r="S220" s="24">
        <v>0</v>
      </c>
      <c r="T220" s="24">
        <v>0</v>
      </c>
      <c r="U220" s="24">
        <v>24021114000000</v>
      </c>
      <c r="V220" s="109">
        <v>9.6601537907940738E-2</v>
      </c>
      <c r="W220" s="109">
        <v>-0.12872433476648917</v>
      </c>
      <c r="X220" s="109">
        <v>0.1388713237862324</v>
      </c>
      <c r="Y220" s="109">
        <v>4.6577343581983746E-2</v>
      </c>
      <c r="Z220" s="109">
        <v>7.1187183523575739E-2</v>
      </c>
      <c r="AA220" s="109">
        <v>0.12791151612530272</v>
      </c>
      <c r="AD220" s="111"/>
    </row>
    <row r="221" spans="1:30" ht="15" customHeight="1" x14ac:dyDescent="0.3">
      <c r="A221" s="22" t="s">
        <v>153</v>
      </c>
      <c r="B221" s="23">
        <v>28</v>
      </c>
      <c r="C221" s="3" t="s">
        <v>149</v>
      </c>
      <c r="D221" s="23">
        <v>2016</v>
      </c>
      <c r="E221" s="25">
        <v>2.7557357253751942</v>
      </c>
      <c r="F221" s="25">
        <v>1.344143522511644</v>
      </c>
      <c r="G221" s="25">
        <v>0.11201457006826135</v>
      </c>
      <c r="H221" s="25">
        <v>0.12717148857882482</v>
      </c>
      <c r="I221" s="25">
        <v>7.109394263170872E-2</v>
      </c>
      <c r="J221" s="25">
        <v>1.2404634887856364E-2</v>
      </c>
      <c r="K221" s="25">
        <v>1.4083131176633399E-2</v>
      </c>
      <c r="L221" s="25">
        <v>0</v>
      </c>
      <c r="M221" s="24">
        <v>0</v>
      </c>
      <c r="N221" s="108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69732000000</v>
      </c>
      <c r="V221" s="109">
        <v>4.4880469102390617</v>
      </c>
      <c r="W221" s="109">
        <v>0.95748981816095913</v>
      </c>
      <c r="X221" s="109">
        <v>6.965811965811966E-2</v>
      </c>
      <c r="Y221" s="109">
        <v>8.3455515401824124E-2</v>
      </c>
      <c r="Z221" s="109">
        <v>8.2565676609909104</v>
      </c>
      <c r="AA221" s="109">
        <v>9.3671711142118141</v>
      </c>
      <c r="AD221" s="111"/>
    </row>
    <row r="222" spans="1:30" ht="15" customHeight="1" x14ac:dyDescent="0.3">
      <c r="A222" s="22" t="s">
        <v>153</v>
      </c>
      <c r="B222" s="23">
        <v>28</v>
      </c>
      <c r="C222" s="3" t="s">
        <v>149</v>
      </c>
      <c r="D222" s="23">
        <v>2017</v>
      </c>
      <c r="E222" s="25">
        <v>3.1578652315281981</v>
      </c>
      <c r="F222" s="25">
        <v>1.5956945845946855</v>
      </c>
      <c r="G222" s="25">
        <v>0.18094040868727934</v>
      </c>
      <c r="H222" s="25">
        <v>0.22286646131545571</v>
      </c>
      <c r="I222" s="25">
        <v>3.5676061362825542E-2</v>
      </c>
      <c r="J222" s="25">
        <v>6.6866374237723337E-3</v>
      </c>
      <c r="K222" s="25">
        <v>8.2360111350870541E-3</v>
      </c>
      <c r="L222" s="25">
        <v>0</v>
      </c>
      <c r="M222" s="24">
        <v>0</v>
      </c>
      <c r="N222" s="108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74776000000</v>
      </c>
      <c r="V222" s="109">
        <v>0.15188624969178927</v>
      </c>
      <c r="W222" s="109">
        <v>1.688426233015941</v>
      </c>
      <c r="X222" s="109">
        <v>3.4615919546378514E-2</v>
      </c>
      <c r="Y222" s="109">
        <v>4.1519204022681076E-2</v>
      </c>
      <c r="Z222" s="109">
        <v>4.7113414634146347</v>
      </c>
      <c r="AA222" s="109">
        <v>6.4759028199996349</v>
      </c>
      <c r="AD222" s="111"/>
    </row>
    <row r="223" spans="1:30" ht="15" customHeight="1" x14ac:dyDescent="0.3">
      <c r="A223" s="22" t="s">
        <v>153</v>
      </c>
      <c r="B223" s="23">
        <v>28</v>
      </c>
      <c r="C223" s="3" t="s">
        <v>149</v>
      </c>
      <c r="D223" s="23">
        <v>2018</v>
      </c>
      <c r="E223" s="25">
        <v>1.7118238391574916</v>
      </c>
      <c r="F223" s="25">
        <v>1.2112653582256263</v>
      </c>
      <c r="G223" s="25">
        <v>0.31918895618975113</v>
      </c>
      <c r="H223" s="25">
        <v>0.47795399678111589</v>
      </c>
      <c r="I223" s="25">
        <v>-0.1640795111329634</v>
      </c>
      <c r="J223" s="25">
        <v>-2.6154035625916679E-2</v>
      </c>
      <c r="K223" s="25">
        <v>-3.9163090128755365E-2</v>
      </c>
      <c r="L223" s="25">
        <v>0</v>
      </c>
      <c r="M223" s="24">
        <v>0</v>
      </c>
      <c r="N223" s="108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89317000000</v>
      </c>
      <c r="V223" s="109">
        <v>1.5840171245094542E-2</v>
      </c>
      <c r="W223" s="109">
        <v>0.98293135685255884</v>
      </c>
      <c r="X223" s="109">
        <v>-7.0917966344592853E-2</v>
      </c>
      <c r="Y223" s="109">
        <v>-0.17575511940616007</v>
      </c>
      <c r="Z223" s="109">
        <v>2.1968641481637379</v>
      </c>
      <c r="AA223" s="109">
        <v>2.9331224192655436</v>
      </c>
      <c r="AD223" s="111"/>
    </row>
    <row r="224" spans="1:30" ht="15" customHeight="1" x14ac:dyDescent="0.3">
      <c r="A224" s="22" t="s">
        <v>153</v>
      </c>
      <c r="B224" s="23">
        <v>28</v>
      </c>
      <c r="C224" s="3" t="s">
        <v>149</v>
      </c>
      <c r="D224" s="23">
        <v>2019</v>
      </c>
      <c r="E224" s="25">
        <v>2.4846997887275948</v>
      </c>
      <c r="F224" s="25">
        <v>0.98228037892728137</v>
      </c>
      <c r="G224" s="25">
        <v>0.37537142857142858</v>
      </c>
      <c r="H224" s="25">
        <v>0.60799679141085372</v>
      </c>
      <c r="I224" s="25">
        <v>0.13215088683487383</v>
      </c>
      <c r="J224" s="25">
        <v>2.519047619047619E-2</v>
      </c>
      <c r="K224" s="25">
        <v>4.0801530250208252E-2</v>
      </c>
      <c r="L224" s="25">
        <v>0.99</v>
      </c>
      <c r="M224" s="24">
        <v>2</v>
      </c>
      <c r="N224" s="108">
        <v>0</v>
      </c>
      <c r="O224" s="24">
        <v>3</v>
      </c>
      <c r="P224" s="24">
        <v>0</v>
      </c>
      <c r="Q224" s="24">
        <v>3</v>
      </c>
      <c r="R224" s="24">
        <v>3</v>
      </c>
      <c r="S224" s="24">
        <v>0</v>
      </c>
      <c r="T224" s="24">
        <v>0</v>
      </c>
      <c r="U224" s="24">
        <v>105000000000</v>
      </c>
      <c r="V224" s="109">
        <v>0.40584392779377676</v>
      </c>
      <c r="W224" s="109">
        <v>1.3610438095238095</v>
      </c>
      <c r="X224" s="109">
        <v>3.8623238095238092E-2</v>
      </c>
      <c r="Y224" s="109">
        <v>0.16927999999999999</v>
      </c>
      <c r="Z224" s="109">
        <v>1.7269827979905619</v>
      </c>
      <c r="AA224" s="109">
        <v>3.2959298456096091</v>
      </c>
      <c r="AD224" s="111"/>
    </row>
    <row r="225" spans="1:30" ht="15" customHeight="1" x14ac:dyDescent="0.3">
      <c r="A225" s="22" t="s">
        <v>153</v>
      </c>
      <c r="B225" s="23">
        <v>28</v>
      </c>
      <c r="C225" s="3" t="s">
        <v>149</v>
      </c>
      <c r="D225" s="23">
        <v>2020</v>
      </c>
      <c r="E225" s="25">
        <v>2.2821959979476656</v>
      </c>
      <c r="F225" s="25">
        <v>1.1924996501702505</v>
      </c>
      <c r="G225" s="25">
        <v>0.44370413684617982</v>
      </c>
      <c r="H225" s="25">
        <v>0.82565784432422495</v>
      </c>
      <c r="I225" s="25">
        <v>2.9567519858781994E-2</v>
      </c>
      <c r="J225" s="25">
        <v>4.9661920096194237E-3</v>
      </c>
      <c r="K225" s="25">
        <v>9.2412376821811165E-3</v>
      </c>
      <c r="L225" s="25">
        <v>0.99</v>
      </c>
      <c r="M225" s="24">
        <v>2</v>
      </c>
      <c r="N225" s="108">
        <v>0</v>
      </c>
      <c r="O225" s="24">
        <v>3</v>
      </c>
      <c r="P225" s="24">
        <v>0</v>
      </c>
      <c r="Q225" s="24">
        <v>3</v>
      </c>
      <c r="R225" s="24">
        <v>4</v>
      </c>
      <c r="S225" s="24">
        <v>0</v>
      </c>
      <c r="T225" s="24">
        <v>0</v>
      </c>
      <c r="U225" s="24">
        <v>121421000000</v>
      </c>
      <c r="V225" s="109">
        <v>1.8935798151386459E-2</v>
      </c>
      <c r="W225" s="109">
        <v>1.4851454031839633</v>
      </c>
      <c r="X225" s="109">
        <v>4.2743182810222283E-2</v>
      </c>
      <c r="Y225" s="109">
        <v>3.7579001984829642E-2</v>
      </c>
      <c r="Z225" s="109">
        <v>1.2717132250580048</v>
      </c>
      <c r="AA225" s="109">
        <v>2.83718081303702</v>
      </c>
      <c r="AD225" s="111"/>
    </row>
    <row r="226" spans="1:30" ht="15" customHeight="1" x14ac:dyDescent="0.3">
      <c r="A226" s="22" t="s">
        <v>153</v>
      </c>
      <c r="B226" s="23">
        <v>28</v>
      </c>
      <c r="C226" s="3" t="s">
        <v>149</v>
      </c>
      <c r="D226" s="23">
        <v>2021</v>
      </c>
      <c r="E226" s="25">
        <v>2.1308157099697884</v>
      </c>
      <c r="F226" s="25">
        <v>1.3393084927828129</v>
      </c>
      <c r="G226" s="25">
        <v>0.49949312506246696</v>
      </c>
      <c r="H226" s="25">
        <v>1.0645750281488695</v>
      </c>
      <c r="I226" s="25">
        <v>1.4890646812470917E-2</v>
      </c>
      <c r="J226" s="25">
        <v>2.0560560846409753E-3</v>
      </c>
      <c r="K226" s="25">
        <v>4.3820942758893517E-3</v>
      </c>
      <c r="L226" s="25">
        <v>0.99</v>
      </c>
      <c r="M226" s="24">
        <v>2</v>
      </c>
      <c r="N226" s="108">
        <v>0</v>
      </c>
      <c r="O226" s="24">
        <v>3</v>
      </c>
      <c r="P226" s="24">
        <v>0</v>
      </c>
      <c r="Q226" s="24">
        <v>3</v>
      </c>
      <c r="R226" s="24">
        <v>4</v>
      </c>
      <c r="S226" s="24">
        <v>0</v>
      </c>
      <c r="T226" s="24">
        <v>0</v>
      </c>
      <c r="U226" s="24">
        <v>140074000000</v>
      </c>
      <c r="V226" s="109">
        <v>-5.1632833186231242E-2</v>
      </c>
      <c r="W226" s="109">
        <v>1.5776426745862902</v>
      </c>
      <c r="X226" s="109">
        <v>2.1993374930393932E-2</v>
      </c>
      <c r="Y226" s="109">
        <v>1.9525679283807131E-2</v>
      </c>
      <c r="Z226" s="109">
        <v>0.98630906440270993</v>
      </c>
      <c r="AA226" s="109">
        <v>2.6054707932032013</v>
      </c>
      <c r="AD226" s="111"/>
    </row>
    <row r="227" spans="1:30" ht="15" customHeight="1" x14ac:dyDescent="0.3">
      <c r="A227" s="22" t="s">
        <v>153</v>
      </c>
      <c r="B227" s="23">
        <v>28</v>
      </c>
      <c r="C227" s="3" t="s">
        <v>149</v>
      </c>
      <c r="D227" s="23">
        <v>2022</v>
      </c>
      <c r="E227" s="25">
        <v>2.3559614909898792</v>
      </c>
      <c r="F227" s="25">
        <v>1.4689891384843248</v>
      </c>
      <c r="G227" s="25">
        <v>0.52891962127447234</v>
      </c>
      <c r="H227" s="25">
        <v>1.227215998797083</v>
      </c>
      <c r="I227" s="25">
        <v>4.8208841463414635E-2</v>
      </c>
      <c r="J227" s="25">
        <v>6.5583544492472797E-3</v>
      </c>
      <c r="K227" s="25">
        <v>1.5216900984888355E-2</v>
      </c>
      <c r="L227" s="25">
        <v>0.99</v>
      </c>
      <c r="M227" s="24">
        <v>2</v>
      </c>
      <c r="N227" s="108">
        <v>0</v>
      </c>
      <c r="O227" s="24">
        <v>3</v>
      </c>
      <c r="P227" s="24">
        <v>0</v>
      </c>
      <c r="Q227" s="24">
        <v>3</v>
      </c>
      <c r="R227" s="24">
        <v>4</v>
      </c>
      <c r="S227" s="24">
        <v>0</v>
      </c>
      <c r="T227" s="24">
        <v>0</v>
      </c>
      <c r="U227" s="24">
        <v>154307000000</v>
      </c>
      <c r="V227" s="109">
        <v>8.5362700997880153E-2</v>
      </c>
      <c r="W227" s="109">
        <v>1.8681760386761455</v>
      </c>
      <c r="X227" s="109">
        <v>3.1352044949354209E-2</v>
      </c>
      <c r="Y227" s="109">
        <v>4.1894664532393211E-2</v>
      </c>
      <c r="Z227" s="109">
        <v>0.85559510390119586</v>
      </c>
      <c r="AA227" s="109">
        <v>2.7970178520590889</v>
      </c>
      <c r="AD227" s="111"/>
    </row>
    <row r="228" spans="1:30" ht="15" customHeight="1" x14ac:dyDescent="0.3">
      <c r="A228" s="22" t="s">
        <v>153</v>
      </c>
      <c r="B228" s="23">
        <v>28</v>
      </c>
      <c r="C228" s="3" t="s">
        <v>149</v>
      </c>
      <c r="D228" s="23">
        <v>2023</v>
      </c>
      <c r="E228" s="25">
        <v>1.952051576529547</v>
      </c>
      <c r="F228" s="25">
        <v>1.3192733347254124</v>
      </c>
      <c r="G228" s="25">
        <v>0.49889482052143791</v>
      </c>
      <c r="H228" s="25">
        <v>1.135259945584234</v>
      </c>
      <c r="I228" s="25">
        <v>6.8229001724198601E-2</v>
      </c>
      <c r="J228" s="25">
        <v>1.2531830461590166E-2</v>
      </c>
      <c r="K228" s="25">
        <v>2.851680270608133E-2</v>
      </c>
      <c r="L228" s="25">
        <v>0.99</v>
      </c>
      <c r="M228" s="24">
        <v>2</v>
      </c>
      <c r="N228" s="108">
        <v>0</v>
      </c>
      <c r="O228" s="24">
        <v>3</v>
      </c>
      <c r="P228" s="24">
        <v>0</v>
      </c>
      <c r="Q228" s="24">
        <v>3</v>
      </c>
      <c r="R228" s="24">
        <v>3</v>
      </c>
      <c r="S228" s="24">
        <v>0</v>
      </c>
      <c r="T228" s="24">
        <v>0</v>
      </c>
      <c r="U228" s="24">
        <v>154726000000</v>
      </c>
      <c r="V228" s="109">
        <v>0.35380144817073172</v>
      </c>
      <c r="W228" s="109">
        <v>1.5464498532890398</v>
      </c>
      <c r="X228" s="109">
        <v>5.6487338908780681E-2</v>
      </c>
      <c r="Y228" s="109">
        <v>8.4561353618654911E-2</v>
      </c>
      <c r="Z228" s="109">
        <v>0.92489830552388852</v>
      </c>
      <c r="AA228" s="109">
        <v>2.6123968513403639</v>
      </c>
      <c r="AD228" s="111"/>
    </row>
    <row r="229" spans="1:30" ht="15" customHeight="1" x14ac:dyDescent="0.3">
      <c r="A229" s="22" t="s">
        <v>153</v>
      </c>
      <c r="B229" s="23">
        <v>28</v>
      </c>
      <c r="C229" s="3" t="s">
        <v>149</v>
      </c>
      <c r="D229" s="23">
        <v>2024</v>
      </c>
      <c r="E229" s="25">
        <v>1.9771125880765579</v>
      </c>
      <c r="F229" s="25">
        <v>1.2751986407475888</v>
      </c>
      <c r="G229" s="25">
        <v>0.39527094228239595</v>
      </c>
      <c r="H229" s="25">
        <v>0.85289231024838696</v>
      </c>
      <c r="I229" s="25">
        <v>0.22265398925175692</v>
      </c>
      <c r="J229" s="25">
        <v>3.4559979466777892E-2</v>
      </c>
      <c r="K229" s="25">
        <v>7.4571483953147069E-2</v>
      </c>
      <c r="L229" s="25">
        <v>0.99</v>
      </c>
      <c r="M229" s="24">
        <v>2</v>
      </c>
      <c r="N229" s="108">
        <v>0</v>
      </c>
      <c r="O229" s="24">
        <v>3</v>
      </c>
      <c r="P229" s="24">
        <v>0</v>
      </c>
      <c r="Q229" s="24">
        <v>3</v>
      </c>
      <c r="R229" s="24">
        <v>3</v>
      </c>
      <c r="S229" s="24">
        <v>0</v>
      </c>
      <c r="T229" s="24">
        <v>0</v>
      </c>
      <c r="U229" s="24">
        <v>155845000000</v>
      </c>
      <c r="V229" s="109">
        <v>-0.1488088954572645</v>
      </c>
      <c r="W229" s="109">
        <v>1.6460929769963746</v>
      </c>
      <c r="X229" s="109">
        <v>0.14847752574673553</v>
      </c>
      <c r="Y229" s="109">
        <v>0.24220372806313964</v>
      </c>
      <c r="Z229" s="109">
        <v>1.231105014528985</v>
      </c>
      <c r="AA229" s="109">
        <v>3.2678792453352346</v>
      </c>
      <c r="AD229" s="111"/>
    </row>
    <row r="230" spans="1:30" ht="15" customHeight="1" x14ac:dyDescent="0.3">
      <c r="A230" s="22" t="s">
        <v>153</v>
      </c>
      <c r="B230" s="23">
        <v>29</v>
      </c>
      <c r="C230" s="4" t="s">
        <v>55</v>
      </c>
      <c r="D230" s="23">
        <v>2015</v>
      </c>
      <c r="E230" s="25">
        <v>1.1028271356170238</v>
      </c>
      <c r="F230" s="25">
        <v>0</v>
      </c>
      <c r="G230" s="25">
        <v>0.22597302801659352</v>
      </c>
      <c r="H230" s="25">
        <v>1.4812344903601624</v>
      </c>
      <c r="I230" s="25">
        <v>4.8817563358169905E-2</v>
      </c>
      <c r="J230" s="25">
        <v>5.5208395959838877E-3</v>
      </c>
      <c r="K230" s="25">
        <v>3.6188646481813309E-2</v>
      </c>
      <c r="L230" s="25">
        <v>0.57240000000000002</v>
      </c>
      <c r="M230" s="24">
        <v>1</v>
      </c>
      <c r="N230" s="108">
        <v>0</v>
      </c>
      <c r="O230" s="24">
        <v>4</v>
      </c>
      <c r="P230" s="24">
        <v>0</v>
      </c>
      <c r="Q230" s="24">
        <v>4</v>
      </c>
      <c r="R230" s="24">
        <v>3</v>
      </c>
      <c r="S230" s="24">
        <v>0</v>
      </c>
      <c r="T230" s="24">
        <v>0</v>
      </c>
      <c r="U230" s="24">
        <v>1064512000000</v>
      </c>
      <c r="V230" s="109">
        <v>-8.0516921384872722E-2</v>
      </c>
      <c r="W230" s="109">
        <v>2.0755125353213489E-2</v>
      </c>
      <c r="X230" s="109">
        <v>8.1880354566223765E-2</v>
      </c>
      <c r="Y230" s="109">
        <v>0.12874225936391509</v>
      </c>
      <c r="Z230" s="109">
        <v>0.7088681817992859</v>
      </c>
      <c r="AA230" s="109">
        <v>0.94024592108263827</v>
      </c>
      <c r="AD230" s="111"/>
    </row>
    <row r="231" spans="1:30" ht="15" customHeight="1" x14ac:dyDescent="0.3">
      <c r="A231" s="22" t="s">
        <v>153</v>
      </c>
      <c r="B231" s="23">
        <v>29</v>
      </c>
      <c r="C231" s="3" t="s">
        <v>55</v>
      </c>
      <c r="D231" s="23">
        <v>2016</v>
      </c>
      <c r="E231" s="25">
        <v>1.9295085381091213</v>
      </c>
      <c r="F231" s="25">
        <v>1.3088990698320144</v>
      </c>
      <c r="G231" s="25">
        <v>0.22111133565811142</v>
      </c>
      <c r="H231" s="25">
        <v>1.3836459034037401</v>
      </c>
      <c r="I231" s="25">
        <v>0.17699503179800516</v>
      </c>
      <c r="J231" s="25">
        <v>2.0128393108222578E-2</v>
      </c>
      <c r="K231" s="25">
        <v>0.12595721781245794</v>
      </c>
      <c r="L231" s="25">
        <v>0.57240000000000002</v>
      </c>
      <c r="M231" s="24">
        <v>1</v>
      </c>
      <c r="N231" s="108">
        <v>0</v>
      </c>
      <c r="O231" s="24">
        <v>4</v>
      </c>
      <c r="P231" s="24">
        <v>0</v>
      </c>
      <c r="Q231" s="24">
        <v>4</v>
      </c>
      <c r="R231" s="24">
        <v>3</v>
      </c>
      <c r="S231" s="24">
        <v>0</v>
      </c>
      <c r="T231" s="24">
        <v>0</v>
      </c>
      <c r="U231" s="24">
        <v>1162835000000</v>
      </c>
      <c r="V231" s="109">
        <v>9.8465781188998819E-2</v>
      </c>
      <c r="W231" s="109">
        <v>0.15108193337833828</v>
      </c>
      <c r="X231" s="109">
        <v>0.12167440780506261</v>
      </c>
      <c r="Y231" s="109">
        <v>0.11831883285246832</v>
      </c>
      <c r="Z231" s="109">
        <v>0.75886467586614603</v>
      </c>
      <c r="AA231" s="109">
        <v>1.1499398499020153</v>
      </c>
      <c r="AD231" s="111"/>
    </row>
    <row r="232" spans="1:30" ht="15" customHeight="1" x14ac:dyDescent="0.3">
      <c r="A232" s="22" t="s">
        <v>153</v>
      </c>
      <c r="B232" s="23">
        <v>29</v>
      </c>
      <c r="C232" s="3" t="s">
        <v>55</v>
      </c>
      <c r="D232" s="23">
        <v>2017</v>
      </c>
      <c r="E232" s="25">
        <v>1.7046185908241136</v>
      </c>
      <c r="F232" s="25">
        <v>0.96331484262465905</v>
      </c>
      <c r="G232" s="25">
        <v>0.19986305923501058</v>
      </c>
      <c r="H232" s="25">
        <v>1.950899365154009</v>
      </c>
      <c r="I232" s="25">
        <v>0.15222582295753029</v>
      </c>
      <c r="J232" s="25">
        <v>9.6743772627745136E-3</v>
      </c>
      <c r="K232" s="25">
        <v>9.4433341170938156E-2</v>
      </c>
      <c r="L232" s="25">
        <v>0.57240000000000002</v>
      </c>
      <c r="M232" s="24">
        <v>1</v>
      </c>
      <c r="N232" s="108">
        <v>0</v>
      </c>
      <c r="O232" s="24">
        <v>4</v>
      </c>
      <c r="P232" s="24">
        <v>0</v>
      </c>
      <c r="Q232" s="24">
        <v>4</v>
      </c>
      <c r="R232" s="24">
        <v>2</v>
      </c>
      <c r="S232" s="24">
        <v>0</v>
      </c>
      <c r="T232" s="24">
        <v>0</v>
      </c>
      <c r="U232" s="24">
        <v>1660572000000</v>
      </c>
      <c r="V232" s="109">
        <v>-0.20195703299279347</v>
      </c>
      <c r="W232" s="109">
        <v>9.082470377677089E-2</v>
      </c>
      <c r="X232" s="109">
        <v>4.2416444454079681E-2</v>
      </c>
      <c r="Y232" s="109">
        <v>5.4498233138942483E-2</v>
      </c>
      <c r="Z232" s="109">
        <v>0.53821330754142227</v>
      </c>
      <c r="AA232" s="109">
        <v>0.72595268891121534</v>
      </c>
      <c r="AD232" s="111"/>
    </row>
    <row r="233" spans="1:30" ht="15" customHeight="1" x14ac:dyDescent="0.3">
      <c r="A233" s="22" t="s">
        <v>153</v>
      </c>
      <c r="B233" s="23">
        <v>29</v>
      </c>
      <c r="C233" s="3" t="s">
        <v>55</v>
      </c>
      <c r="D233" s="23">
        <v>2018</v>
      </c>
      <c r="E233" s="25">
        <v>0.86627739440357931</v>
      </c>
      <c r="F233" s="25">
        <v>0.25340107681807839</v>
      </c>
      <c r="G233" s="25">
        <v>0.21405904537432741</v>
      </c>
      <c r="H233" s="25">
        <v>2.1162661801554217</v>
      </c>
      <c r="I233" s="25">
        <v>0.1168208228501095</v>
      </c>
      <c r="J233" s="25">
        <v>7.5380552658349965E-3</v>
      </c>
      <c r="K233" s="25">
        <v>7.4523977229426233E-2</v>
      </c>
      <c r="L233" s="25">
        <v>0.57240000000000002</v>
      </c>
      <c r="M233" s="24">
        <v>2</v>
      </c>
      <c r="N233" s="108">
        <v>0</v>
      </c>
      <c r="O233" s="24">
        <v>4</v>
      </c>
      <c r="P233" s="24">
        <v>0</v>
      </c>
      <c r="Q233" s="24">
        <v>4</v>
      </c>
      <c r="R233" s="24">
        <v>3</v>
      </c>
      <c r="S233" s="24">
        <v>0</v>
      </c>
      <c r="T233" s="24">
        <v>0</v>
      </c>
      <c r="U233" s="24">
        <v>1712378000000</v>
      </c>
      <c r="V233" s="109">
        <v>4.6999071389315292E-2</v>
      </c>
      <c r="W233" s="109">
        <v>-3.3777308514825584E-2</v>
      </c>
      <c r="X233" s="109">
        <v>4.752419150444586E-2</v>
      </c>
      <c r="Y233" s="109">
        <v>3.9926511552939831E-2</v>
      </c>
      <c r="Z233" s="109">
        <v>0.49615686809439369</v>
      </c>
      <c r="AA233" s="109">
        <v>0.54983026263695378</v>
      </c>
      <c r="AD233" s="111"/>
    </row>
    <row r="234" spans="1:30" ht="15" customHeight="1" x14ac:dyDescent="0.3">
      <c r="A234" s="22" t="s">
        <v>153</v>
      </c>
      <c r="B234" s="23">
        <v>29</v>
      </c>
      <c r="C234" s="3" t="s">
        <v>55</v>
      </c>
      <c r="D234" s="23">
        <v>2019</v>
      </c>
      <c r="E234" s="25">
        <v>1.1120302246967588</v>
      </c>
      <c r="F234" s="25">
        <v>0.22529329886657387</v>
      </c>
      <c r="G234" s="25">
        <v>0.25861589479550651</v>
      </c>
      <c r="H234" s="25">
        <v>2.5308532208572325</v>
      </c>
      <c r="I234" s="25">
        <v>7.5174216027874566E-2</v>
      </c>
      <c r="J234" s="25">
        <v>5.2590059021857035E-3</v>
      </c>
      <c r="K234" s="25">
        <v>5.1465406009086279E-2</v>
      </c>
      <c r="L234" s="25">
        <v>0.57240000000000002</v>
      </c>
      <c r="M234" s="24">
        <v>2</v>
      </c>
      <c r="N234" s="108">
        <v>0</v>
      </c>
      <c r="O234" s="24">
        <v>4</v>
      </c>
      <c r="P234" s="24">
        <v>0</v>
      </c>
      <c r="Q234" s="24">
        <v>4</v>
      </c>
      <c r="R234" s="24">
        <v>3</v>
      </c>
      <c r="S234" s="24">
        <v>0</v>
      </c>
      <c r="T234" s="24">
        <v>0</v>
      </c>
      <c r="U234" s="24">
        <v>1805094000000</v>
      </c>
      <c r="V234" s="109">
        <v>0.14286748601734031</v>
      </c>
      <c r="W234" s="109">
        <v>3.0712284235613212E-2</v>
      </c>
      <c r="X234" s="109">
        <v>6.1427482446897497E-2</v>
      </c>
      <c r="Y234" s="109">
        <v>3.5105983400310459E-2</v>
      </c>
      <c r="Z234" s="109">
        <v>0.41487984816612616</v>
      </c>
      <c r="AA234" s="109">
        <v>0.54212559824894735</v>
      </c>
      <c r="AD234" s="111"/>
    </row>
    <row r="235" spans="1:30" ht="15" customHeight="1" x14ac:dyDescent="0.3">
      <c r="A235" s="22" t="s">
        <v>153</v>
      </c>
      <c r="B235" s="23">
        <v>29</v>
      </c>
      <c r="C235" s="3" t="s">
        <v>55</v>
      </c>
      <c r="D235" s="23">
        <v>2020</v>
      </c>
      <c r="E235" s="25">
        <v>1.0557930401190589</v>
      </c>
      <c r="F235" s="25">
        <v>0.36567873088249264</v>
      </c>
      <c r="G235" s="25">
        <v>0.27133384403752853</v>
      </c>
      <c r="H235" s="25">
        <v>2.4921091255730907</v>
      </c>
      <c r="I235" s="25">
        <v>9.472934472934473E-2</v>
      </c>
      <c r="J235" s="25">
        <v>5.8428953083857083E-3</v>
      </c>
      <c r="K235" s="25">
        <v>5.3665007288151836E-2</v>
      </c>
      <c r="L235" s="25">
        <v>0.57240000000000002</v>
      </c>
      <c r="M235" s="24">
        <v>2</v>
      </c>
      <c r="N235" s="108">
        <v>0</v>
      </c>
      <c r="O235" s="24">
        <v>3</v>
      </c>
      <c r="P235" s="24">
        <v>0</v>
      </c>
      <c r="Q235" s="24">
        <v>3</v>
      </c>
      <c r="R235" s="24">
        <v>3</v>
      </c>
      <c r="S235" s="24">
        <v>0</v>
      </c>
      <c r="T235" s="24">
        <v>0</v>
      </c>
      <c r="U235" s="24">
        <v>1821015000000</v>
      </c>
      <c r="V235" s="109">
        <v>-0.11054798859676908</v>
      </c>
      <c r="W235" s="109">
        <v>1.2694810311831587E-2</v>
      </c>
      <c r="X235" s="109">
        <v>8.0330321276870301E-2</v>
      </c>
      <c r="Y235" s="109">
        <v>4.1212708297295737E-2</v>
      </c>
      <c r="Z235" s="109">
        <v>0.42132986442098108</v>
      </c>
      <c r="AA235" s="109">
        <v>0.55556770430697866</v>
      </c>
      <c r="AD235" s="111"/>
    </row>
    <row r="236" spans="1:30" ht="15" customHeight="1" x14ac:dyDescent="0.3">
      <c r="A236" s="22" t="s">
        <v>153</v>
      </c>
      <c r="B236" s="23">
        <v>29</v>
      </c>
      <c r="C236" s="3" t="s">
        <v>55</v>
      </c>
      <c r="D236" s="23">
        <v>2021</v>
      </c>
      <c r="E236" s="25">
        <v>1.1683902236736385</v>
      </c>
      <c r="F236" s="25">
        <v>0.23547935619314206</v>
      </c>
      <c r="G236" s="25">
        <v>0.31590905346404152</v>
      </c>
      <c r="H236" s="25">
        <v>2.7149680701936556</v>
      </c>
      <c r="I236" s="25">
        <v>0.13652337510205531</v>
      </c>
      <c r="J236" s="25">
        <v>8.4488013839690256E-3</v>
      </c>
      <c r="K236" s="25">
        <v>7.2610220369942094E-2</v>
      </c>
      <c r="L236" s="25">
        <v>0.57240000000000002</v>
      </c>
      <c r="M236" s="24">
        <v>2</v>
      </c>
      <c r="N236" s="108">
        <v>0</v>
      </c>
      <c r="O236" s="24">
        <v>3</v>
      </c>
      <c r="P236" s="24">
        <v>0</v>
      </c>
      <c r="Q236" s="24">
        <v>3</v>
      </c>
      <c r="R236" s="24">
        <v>2</v>
      </c>
      <c r="S236" s="24">
        <v>0</v>
      </c>
      <c r="T236" s="24">
        <v>0</v>
      </c>
      <c r="U236" s="24">
        <v>1820850000000</v>
      </c>
      <c r="V236" s="109">
        <v>3.2407407407407406E-3</v>
      </c>
      <c r="W236" s="109">
        <v>4.6813652964274928E-2</v>
      </c>
      <c r="X236" s="109">
        <v>0.10699624900458576</v>
      </c>
      <c r="Y236" s="109">
        <v>6.0359502430183704E-2</v>
      </c>
      <c r="Z236" s="109">
        <v>0.38674487981182948</v>
      </c>
      <c r="AA236" s="109">
        <v>0.60091428421087389</v>
      </c>
      <c r="AD236" s="111"/>
    </row>
    <row r="237" spans="1:30" ht="15" customHeight="1" x14ac:dyDescent="0.3">
      <c r="A237" s="22" t="s">
        <v>153</v>
      </c>
      <c r="B237" s="23">
        <v>29</v>
      </c>
      <c r="C237" s="3" t="s">
        <v>55</v>
      </c>
      <c r="D237" s="23">
        <v>2022</v>
      </c>
      <c r="E237" s="25">
        <v>1.1267430392231241</v>
      </c>
      <c r="F237" s="25">
        <v>0.2983385175631591</v>
      </c>
      <c r="G237" s="25">
        <v>0.35121453813724018</v>
      </c>
      <c r="H237" s="25">
        <v>2.9539052847066762</v>
      </c>
      <c r="I237" s="25">
        <v>2.5218625520809487E-2</v>
      </c>
      <c r="J237" s="25">
        <v>1.4929313441315168E-3</v>
      </c>
      <c r="K237" s="25">
        <v>1.2556364581386124E-2</v>
      </c>
      <c r="L237" s="25">
        <v>0.57240000000000002</v>
      </c>
      <c r="M237" s="24">
        <v>2</v>
      </c>
      <c r="N237" s="108">
        <v>0</v>
      </c>
      <c r="O237" s="24">
        <v>4</v>
      </c>
      <c r="P237" s="24">
        <v>0</v>
      </c>
      <c r="Q237" s="24">
        <v>4</v>
      </c>
      <c r="R237" s="24">
        <v>2</v>
      </c>
      <c r="S237" s="24">
        <v>0</v>
      </c>
      <c r="T237" s="24">
        <v>0</v>
      </c>
      <c r="U237" s="24">
        <v>1844693000000</v>
      </c>
      <c r="V237" s="109">
        <v>-3.0873948386638744E-2</v>
      </c>
      <c r="W237" s="109">
        <v>2.9704498255265239E-2</v>
      </c>
      <c r="X237" s="109">
        <v>0.11879685129178676</v>
      </c>
      <c r="Y237" s="109">
        <v>1.4032383708291841E-2</v>
      </c>
      <c r="Z237" s="109">
        <v>0.35546163427655925</v>
      </c>
      <c r="AA237" s="109">
        <v>0.51799536753190312</v>
      </c>
      <c r="AD237" s="111"/>
    </row>
    <row r="238" spans="1:30" ht="15" customHeight="1" x14ac:dyDescent="0.3">
      <c r="A238" s="22" t="s">
        <v>153</v>
      </c>
      <c r="B238" s="23">
        <v>29</v>
      </c>
      <c r="C238" s="3" t="s">
        <v>55</v>
      </c>
      <c r="D238" s="23">
        <v>2023</v>
      </c>
      <c r="E238" s="25">
        <v>1.2624819782163583</v>
      </c>
      <c r="F238" s="25">
        <v>0.12325082688183768</v>
      </c>
      <c r="G238" s="25">
        <v>0.37707164740349058</v>
      </c>
      <c r="H238" s="25">
        <v>3.5787424102743426</v>
      </c>
      <c r="I238" s="25">
        <v>5.9465641793304123E-2</v>
      </c>
      <c r="J238" s="25">
        <v>3.9473507922613837E-3</v>
      </c>
      <c r="K238" s="25">
        <v>3.7463839526973332E-2</v>
      </c>
      <c r="L238" s="25">
        <v>0.57240000000000002</v>
      </c>
      <c r="M238" s="24">
        <v>2</v>
      </c>
      <c r="N238" s="108">
        <v>0</v>
      </c>
      <c r="O238" s="24">
        <v>3</v>
      </c>
      <c r="P238" s="24">
        <v>0</v>
      </c>
      <c r="Q238" s="24">
        <v>3</v>
      </c>
      <c r="R238" s="24">
        <v>3</v>
      </c>
      <c r="S238" s="24">
        <v>0</v>
      </c>
      <c r="T238" s="24">
        <v>0</v>
      </c>
      <c r="U238" s="24">
        <v>1791328000000</v>
      </c>
      <c r="V238" s="109">
        <v>8.8860400164827616E-2</v>
      </c>
      <c r="W238" s="109">
        <v>7.9339127172689747E-2</v>
      </c>
      <c r="X238" s="109">
        <v>6.6667623126529588E-2</v>
      </c>
      <c r="Y238" s="109">
        <v>3.6872577216456169E-2</v>
      </c>
      <c r="Z238" s="109">
        <v>0.29339915524110272</v>
      </c>
      <c r="AA238" s="109">
        <v>0.4762784827567782</v>
      </c>
      <c r="AD238" s="111"/>
    </row>
    <row r="239" spans="1:30" ht="15" customHeight="1" x14ac:dyDescent="0.3">
      <c r="A239" s="22" t="s">
        <v>153</v>
      </c>
      <c r="B239" s="23">
        <v>29</v>
      </c>
      <c r="C239" s="3" t="s">
        <v>55</v>
      </c>
      <c r="D239" s="23">
        <v>2024</v>
      </c>
      <c r="E239" s="25">
        <v>0.82602918152275451</v>
      </c>
      <c r="F239" s="25">
        <v>0.26108121620377073</v>
      </c>
      <c r="G239" s="25">
        <v>0.34045983760811288</v>
      </c>
      <c r="H239" s="25">
        <v>2.9071742313323572</v>
      </c>
      <c r="I239" s="25">
        <v>3.7807898720242192E-2</v>
      </c>
      <c r="J239" s="25">
        <v>3.3059551713682024E-3</v>
      </c>
      <c r="K239" s="25">
        <v>2.8229431558398192E-2</v>
      </c>
      <c r="L239" s="25">
        <v>0.57240000000000002</v>
      </c>
      <c r="M239" s="24">
        <v>2</v>
      </c>
      <c r="N239" s="108">
        <v>0</v>
      </c>
      <c r="O239" s="24">
        <v>4</v>
      </c>
      <c r="P239" s="24">
        <v>0</v>
      </c>
      <c r="Q239" s="24">
        <v>4</v>
      </c>
      <c r="R239" s="24">
        <v>3</v>
      </c>
      <c r="S239" s="24">
        <v>0</v>
      </c>
      <c r="T239" s="24">
        <v>0</v>
      </c>
      <c r="U239" s="24">
        <v>1662152000000</v>
      </c>
      <c r="V239" s="109">
        <v>0.22227922192601066</v>
      </c>
      <c r="W239" s="109">
        <v>-5.2187092395881957E-2</v>
      </c>
      <c r="X239" s="109">
        <v>0.10305914260548973</v>
      </c>
      <c r="Y239" s="109">
        <v>2.1892582627822243E-2</v>
      </c>
      <c r="Z239" s="109">
        <v>0.36117546333601935</v>
      </c>
      <c r="AA239" s="109">
        <v>0.43394009617344936</v>
      </c>
      <c r="AD239" s="111"/>
    </row>
    <row r="240" spans="1:30" ht="15" customHeight="1" x14ac:dyDescent="0.3">
      <c r="A240" s="22" t="s">
        <v>153</v>
      </c>
      <c r="B240" s="23">
        <v>30</v>
      </c>
      <c r="C240" s="3" t="s">
        <v>5</v>
      </c>
      <c r="D240" s="23">
        <v>2017</v>
      </c>
      <c r="E240" s="25">
        <v>0.29519544706195872</v>
      </c>
      <c r="F240" s="25">
        <v>7.9167954169793456E-2</v>
      </c>
      <c r="G240" s="25">
        <v>0.81168013424995633</v>
      </c>
      <c r="H240" s="25">
        <v>4.3101142357827333</v>
      </c>
      <c r="I240" s="25">
        <v>0.15999653285123455</v>
      </c>
      <c r="J240" s="25">
        <v>4.1388885939886974E-2</v>
      </c>
      <c r="K240" s="25">
        <v>0.21977971243258165</v>
      </c>
      <c r="L240" s="25">
        <v>0</v>
      </c>
      <c r="M240" s="24">
        <v>0</v>
      </c>
      <c r="N240" s="108">
        <v>0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10926484000000</v>
      </c>
      <c r="V240" s="109">
        <v>0</v>
      </c>
      <c r="W240" s="109">
        <v>-0.51763587994088489</v>
      </c>
      <c r="X240" s="109">
        <v>0.45226572976265739</v>
      </c>
      <c r="Y240" s="109">
        <v>0.11715259181270021</v>
      </c>
      <c r="Z240" s="109">
        <v>0.24361303263910267</v>
      </c>
      <c r="AA240" s="109">
        <v>0.29539547427357538</v>
      </c>
      <c r="AD240" s="111"/>
    </row>
    <row r="241" spans="1:30" ht="15" customHeight="1" x14ac:dyDescent="0.3">
      <c r="A241" s="22" t="s">
        <v>153</v>
      </c>
      <c r="B241" s="23">
        <v>30</v>
      </c>
      <c r="C241" s="3" t="s">
        <v>5</v>
      </c>
      <c r="D241" s="23">
        <v>2018</v>
      </c>
      <c r="E241" s="25">
        <v>0.34126152581855729</v>
      </c>
      <c r="F241" s="25">
        <v>5.1436088647586364E-2</v>
      </c>
      <c r="G241" s="25">
        <v>0.82489742663062848</v>
      </c>
      <c r="H241" s="25">
        <v>4.7109383417829145</v>
      </c>
      <c r="I241" s="25">
        <v>-0.10204243259067343</v>
      </c>
      <c r="J241" s="25">
        <v>-2.1160550552436201E-2</v>
      </c>
      <c r="K241" s="25">
        <v>-0.12084659948314355</v>
      </c>
      <c r="L241" s="25">
        <v>0.64929999999999999</v>
      </c>
      <c r="M241" s="24">
        <v>2</v>
      </c>
      <c r="N241" s="108">
        <v>0</v>
      </c>
      <c r="O241" s="24">
        <v>4</v>
      </c>
      <c r="P241" s="24">
        <v>0</v>
      </c>
      <c r="Q241" s="24">
        <v>4</v>
      </c>
      <c r="R241" s="24">
        <v>3</v>
      </c>
      <c r="S241" s="24">
        <v>0</v>
      </c>
      <c r="T241" s="24">
        <v>0</v>
      </c>
      <c r="U241" s="24">
        <v>10229507000000</v>
      </c>
      <c r="V241" s="109">
        <v>-0.24950593130092374</v>
      </c>
      <c r="W241" s="109">
        <v>-0.52535178479275679</v>
      </c>
      <c r="X241" s="109">
        <v>0.54651132258866431</v>
      </c>
      <c r="Y241" s="109">
        <v>0.10897895274914031</v>
      </c>
      <c r="Z241" s="109">
        <v>0.22288553231257408</v>
      </c>
      <c r="AA241" s="109">
        <v>0.35302402285762191</v>
      </c>
      <c r="AD241" s="111"/>
    </row>
    <row r="242" spans="1:30" ht="15" customHeight="1" x14ac:dyDescent="0.3">
      <c r="A242" s="22" t="s">
        <v>153</v>
      </c>
      <c r="B242" s="23">
        <v>30</v>
      </c>
      <c r="C242" s="3" t="s">
        <v>5</v>
      </c>
      <c r="D242" s="23">
        <v>2019</v>
      </c>
      <c r="E242" s="25">
        <v>0.46984143474728179</v>
      </c>
      <c r="F242" s="25">
        <v>5.6042877433680464E-2</v>
      </c>
      <c r="G242" s="25">
        <v>0.82330756021558871</v>
      </c>
      <c r="H242" s="25">
        <v>4.6595517115510754</v>
      </c>
      <c r="I242" s="25">
        <v>0.10114076473848864</v>
      </c>
      <c r="J242" s="25">
        <v>3.2914353645533787E-2</v>
      </c>
      <c r="K242" s="25">
        <v>0.18628048650917811</v>
      </c>
      <c r="L242" s="25">
        <v>0.64929999999999999</v>
      </c>
      <c r="M242" s="24">
        <v>2</v>
      </c>
      <c r="N242" s="108">
        <v>0</v>
      </c>
      <c r="O242" s="24">
        <v>4</v>
      </c>
      <c r="P242" s="24">
        <v>0</v>
      </c>
      <c r="Q242" s="24">
        <v>4</v>
      </c>
      <c r="R242" s="24">
        <v>4</v>
      </c>
      <c r="S242" s="24">
        <v>0</v>
      </c>
      <c r="T242" s="24">
        <v>0</v>
      </c>
      <c r="U242" s="24">
        <v>11985227000000</v>
      </c>
      <c r="V242" s="109">
        <v>0.83867299865082345</v>
      </c>
      <c r="W242" s="109">
        <v>-0.37427525736475409</v>
      </c>
      <c r="X242" s="109">
        <v>0.4807602442573678</v>
      </c>
      <c r="Y242" s="109">
        <v>8.0232532934086262E-2</v>
      </c>
      <c r="Z242" s="109">
        <v>0.22534356629137511</v>
      </c>
      <c r="AA242" s="109">
        <v>0.41206108611807513</v>
      </c>
      <c r="AD242" s="111"/>
    </row>
    <row r="243" spans="1:30" ht="15" customHeight="1" x14ac:dyDescent="0.3">
      <c r="A243" s="22" t="s">
        <v>153</v>
      </c>
      <c r="B243" s="23">
        <v>30</v>
      </c>
      <c r="C243" s="3" t="s">
        <v>5</v>
      </c>
      <c r="D243" s="23">
        <v>2020</v>
      </c>
      <c r="E243" s="25">
        <v>0.66404905999449138</v>
      </c>
      <c r="F243" s="25">
        <v>0.1360264956480251</v>
      </c>
      <c r="G243" s="25">
        <v>0.80426102433250379</v>
      </c>
      <c r="H243" s="25">
        <v>4.1088445547948007</v>
      </c>
      <c r="I243" s="25">
        <v>7.0834662461804671E-2</v>
      </c>
      <c r="J243" s="25">
        <v>1.1123920954575654E-2</v>
      </c>
      <c r="K243" s="25">
        <v>5.6830382996751617E-2</v>
      </c>
      <c r="L243" s="25">
        <v>0.64929999999999999</v>
      </c>
      <c r="M243" s="24">
        <v>2</v>
      </c>
      <c r="N243" s="108">
        <v>0</v>
      </c>
      <c r="O243" s="24">
        <v>3</v>
      </c>
      <c r="P243" s="24">
        <v>0</v>
      </c>
      <c r="Q243" s="24">
        <v>3</v>
      </c>
      <c r="R243" s="24">
        <v>3</v>
      </c>
      <c r="S243" s="24">
        <v>0</v>
      </c>
      <c r="T243" s="24">
        <v>0</v>
      </c>
      <c r="U243" s="24">
        <v>11238753000000</v>
      </c>
      <c r="V243" s="109">
        <v>-0.54749349163642591</v>
      </c>
      <c r="W243" s="109">
        <v>-0.26057238200714972</v>
      </c>
      <c r="X243" s="109">
        <v>0.51274931302431859</v>
      </c>
      <c r="Y243" s="109">
        <v>4.7785458048593112E-2</v>
      </c>
      <c r="Z243" s="109">
        <v>0.25554629434075488</v>
      </c>
      <c r="AA243" s="109">
        <v>0.55550868340651682</v>
      </c>
      <c r="AD243" s="111"/>
    </row>
    <row r="244" spans="1:30" ht="15" customHeight="1" x14ac:dyDescent="0.3">
      <c r="A244" s="22" t="s">
        <v>153</v>
      </c>
      <c r="B244" s="23">
        <v>30</v>
      </c>
      <c r="C244" s="3" t="s">
        <v>5</v>
      </c>
      <c r="D244" s="23">
        <v>2021</v>
      </c>
      <c r="E244" s="25">
        <v>0.53213256164437339</v>
      </c>
      <c r="F244" s="25">
        <v>2.6669181312201209E-2</v>
      </c>
      <c r="G244" s="25">
        <v>0.76866477411771206</v>
      </c>
      <c r="H244" s="25">
        <v>3.3227312061364893</v>
      </c>
      <c r="I244" s="25">
        <v>6.4032020520423658E-2</v>
      </c>
      <c r="J244" s="25">
        <v>8.0120550723742478E-3</v>
      </c>
      <c r="K244" s="25">
        <v>3.4633960486636306E-2</v>
      </c>
      <c r="L244" s="25">
        <v>0.64929999999999999</v>
      </c>
      <c r="M244" s="24">
        <v>2</v>
      </c>
      <c r="N244" s="108">
        <v>0</v>
      </c>
      <c r="O244" s="24">
        <v>3</v>
      </c>
      <c r="P244" s="24">
        <v>0</v>
      </c>
      <c r="Q244" s="24">
        <v>3</v>
      </c>
      <c r="R244" s="24">
        <v>3</v>
      </c>
      <c r="S244" s="24">
        <v>0</v>
      </c>
      <c r="T244" s="24">
        <v>0</v>
      </c>
      <c r="U244" s="24">
        <v>9745939000000</v>
      </c>
      <c r="V244" s="109">
        <v>-0.30906018954741266</v>
      </c>
      <c r="W244" s="109">
        <v>-0.36902620465816577</v>
      </c>
      <c r="X244" s="109">
        <v>0.61981698223229187</v>
      </c>
      <c r="Y244" s="109">
        <v>8.4313566912331384E-2</v>
      </c>
      <c r="Z244" s="109">
        <v>0.31600509787274944</v>
      </c>
      <c r="AA244" s="109">
        <v>0.65110944235920698</v>
      </c>
      <c r="AD244" s="111"/>
    </row>
    <row r="245" spans="1:30" ht="15" customHeight="1" x14ac:dyDescent="0.3">
      <c r="A245" s="22" t="s">
        <v>153</v>
      </c>
      <c r="B245" s="23">
        <v>30</v>
      </c>
      <c r="C245" s="3" t="s">
        <v>5</v>
      </c>
      <c r="D245" s="23">
        <v>2022</v>
      </c>
      <c r="E245" s="25">
        <v>0.47098832293077753</v>
      </c>
      <c r="F245" s="25">
        <v>5.504917528989995E-2</v>
      </c>
      <c r="G245" s="25">
        <v>0.72857929912822839</v>
      </c>
      <c r="H245" s="25">
        <v>2.6843173596859664</v>
      </c>
      <c r="I245" s="25">
        <v>-0.20044734961773525</v>
      </c>
      <c r="J245" s="25">
        <v>-4.223446499673264E-2</v>
      </c>
      <c r="K245" s="25">
        <v>-0.15560517256451137</v>
      </c>
      <c r="L245" s="25">
        <v>0.64929999999999999</v>
      </c>
      <c r="M245" s="24">
        <v>2</v>
      </c>
      <c r="N245" s="108">
        <v>0</v>
      </c>
      <c r="O245" s="24">
        <v>3</v>
      </c>
      <c r="P245" s="24">
        <v>0</v>
      </c>
      <c r="Q245" s="24">
        <v>3</v>
      </c>
      <c r="R245" s="24">
        <v>4</v>
      </c>
      <c r="S245" s="24">
        <v>0</v>
      </c>
      <c r="T245" s="24">
        <v>0</v>
      </c>
      <c r="U245" s="24">
        <v>7080639000000</v>
      </c>
      <c r="V245" s="109">
        <v>0.22340069604122453</v>
      </c>
      <c r="W245" s="109">
        <v>-0.51991090634616455</v>
      </c>
      <c r="X245" s="109">
        <v>0.88933568001419083</v>
      </c>
      <c r="Y245" s="109">
        <v>0.11726100991732526</v>
      </c>
      <c r="Z245" s="109">
        <v>0.39116090212330101</v>
      </c>
      <c r="AA245" s="109">
        <v>0.87784668570865254</v>
      </c>
      <c r="AD245" s="111"/>
    </row>
    <row r="246" spans="1:30" ht="15" customHeight="1" x14ac:dyDescent="0.3">
      <c r="A246" s="22" t="s">
        <v>153</v>
      </c>
      <c r="B246" s="23">
        <v>30</v>
      </c>
      <c r="C246" s="3" t="s">
        <v>5</v>
      </c>
      <c r="D246" s="23">
        <v>2023</v>
      </c>
      <c r="E246" s="25">
        <v>0.4902059118812267</v>
      </c>
      <c r="F246" s="25">
        <v>6.2206683136577734E-2</v>
      </c>
      <c r="G246" s="25">
        <v>0.67482339297760474</v>
      </c>
      <c r="H246" s="25">
        <v>2.0752519658682855</v>
      </c>
      <c r="I246" s="25">
        <v>0.14371740058789026</v>
      </c>
      <c r="J246" s="25">
        <v>2.4644417422994211E-2</v>
      </c>
      <c r="K246" s="25">
        <v>7.5787793127741573E-2</v>
      </c>
      <c r="L246" s="25">
        <v>0.64929999999999999</v>
      </c>
      <c r="M246" s="24">
        <v>2</v>
      </c>
      <c r="N246" s="108">
        <v>0</v>
      </c>
      <c r="O246" s="24">
        <v>2</v>
      </c>
      <c r="P246" s="24">
        <v>0</v>
      </c>
      <c r="Q246" s="24">
        <v>2</v>
      </c>
      <c r="R246" s="24">
        <v>3</v>
      </c>
      <c r="S246" s="24">
        <v>0</v>
      </c>
      <c r="T246" s="24">
        <v>0</v>
      </c>
      <c r="U246" s="24">
        <v>7019115000000</v>
      </c>
      <c r="V246" s="109">
        <v>-0.19322500599906964</v>
      </c>
      <c r="W246" s="109">
        <v>-0.50161915854064221</v>
      </c>
      <c r="X246" s="109">
        <v>0.91279294042055159</v>
      </c>
      <c r="Y246" s="109">
        <v>0.1245922541516986</v>
      </c>
      <c r="Z246" s="109">
        <v>0.50596265767693416</v>
      </c>
      <c r="AA246" s="109">
        <v>1.0417286937085422</v>
      </c>
      <c r="AD246" s="111"/>
    </row>
    <row r="247" spans="1:30" ht="15" customHeight="1" x14ac:dyDescent="0.3">
      <c r="A247" s="22" t="s">
        <v>153</v>
      </c>
      <c r="B247" s="23">
        <v>30</v>
      </c>
      <c r="C247" s="3" t="s">
        <v>5</v>
      </c>
      <c r="D247" s="23">
        <v>2024</v>
      </c>
      <c r="E247" s="25">
        <v>0.38744049112776813</v>
      </c>
      <c r="F247" s="25">
        <v>3.2322091657301634E-2</v>
      </c>
      <c r="G247" s="25">
        <v>0.67160585721975508</v>
      </c>
      <c r="H247" s="25">
        <v>2.0451213031201378</v>
      </c>
      <c r="I247" s="25">
        <v>-1.009162489346887E-2</v>
      </c>
      <c r="J247" s="25">
        <v>-1.5072966160471206E-3</v>
      </c>
      <c r="K247" s="25">
        <v>-4.5899010356459822E-3</v>
      </c>
      <c r="L247" s="25">
        <v>0.64929999999999999</v>
      </c>
      <c r="M247" s="24">
        <v>3</v>
      </c>
      <c r="N247" s="108">
        <v>0</v>
      </c>
      <c r="O247" s="24">
        <v>3</v>
      </c>
      <c r="P247" s="24">
        <v>0</v>
      </c>
      <c r="Q247" s="24">
        <v>3</v>
      </c>
      <c r="R247" s="24">
        <v>4</v>
      </c>
      <c r="S247" s="24">
        <v>0</v>
      </c>
      <c r="T247" s="24">
        <v>0</v>
      </c>
      <c r="U247" s="24">
        <v>6182592000000</v>
      </c>
      <c r="V247" s="109">
        <v>-0.23278576567804285</v>
      </c>
      <c r="W247" s="109">
        <v>-0.71484102460586108</v>
      </c>
      <c r="X247" s="109">
        <v>0.95495618989575892</v>
      </c>
      <c r="Y247" s="109">
        <v>0.11451818266513462</v>
      </c>
      <c r="Z247" s="109">
        <v>0.5134169784442949</v>
      </c>
      <c r="AA247" s="109">
        <v>0.86805032639932733</v>
      </c>
      <c r="AD247" s="111"/>
    </row>
    <row r="248" spans="1:30" ht="15" customHeight="1" x14ac:dyDescent="0.3">
      <c r="A248" s="22" t="s">
        <v>153</v>
      </c>
      <c r="B248" s="23">
        <v>31</v>
      </c>
      <c r="C248" s="3" t="s">
        <v>6</v>
      </c>
      <c r="D248" s="23">
        <v>2019</v>
      </c>
      <c r="E248" s="25">
        <v>0.8060158745961209</v>
      </c>
      <c r="F248" s="25">
        <v>0.23994714501633618</v>
      </c>
      <c r="G248" s="25">
        <v>0.84301237352545555</v>
      </c>
      <c r="H248" s="25">
        <v>5.3699287801013416</v>
      </c>
      <c r="I248" s="25">
        <v>-3.5750785207036356E-4</v>
      </c>
      <c r="J248" s="25">
        <v>-9.2794153417723654E-5</v>
      </c>
      <c r="K248" s="25">
        <v>-5.9109214848069723E-4</v>
      </c>
      <c r="L248" s="25">
        <v>0</v>
      </c>
      <c r="M248" s="24">
        <v>0</v>
      </c>
      <c r="N248" s="108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6174958000000</v>
      </c>
      <c r="V248" s="109">
        <v>0</v>
      </c>
      <c r="W248" s="109">
        <v>-9.1079978195803102E-2</v>
      </c>
      <c r="X248" s="109">
        <v>0.18867002172322467</v>
      </c>
      <c r="Y248" s="109">
        <v>-2.1499793196973968E-2</v>
      </c>
      <c r="Z248" s="109">
        <v>0.19553331952759798</v>
      </c>
      <c r="AA248" s="109">
        <v>0.27162356985804559</v>
      </c>
      <c r="AD248" s="111"/>
    </row>
    <row r="249" spans="1:30" ht="15" customHeight="1" x14ac:dyDescent="0.3">
      <c r="A249" s="22" t="s">
        <v>153</v>
      </c>
      <c r="B249" s="23">
        <v>31</v>
      </c>
      <c r="C249" s="3" t="s">
        <v>6</v>
      </c>
      <c r="D249" s="23">
        <v>2020</v>
      </c>
      <c r="E249" s="25">
        <v>0.66760669661659411</v>
      </c>
      <c r="F249" s="25">
        <v>8.6655903411483923E-2</v>
      </c>
      <c r="G249" s="25">
        <v>0.83763158304359941</v>
      </c>
      <c r="H249" s="25">
        <v>5.1588332185841406</v>
      </c>
      <c r="I249" s="25">
        <v>5.4740693640000088E-2</v>
      </c>
      <c r="J249" s="25">
        <v>1.168133378049281E-2</v>
      </c>
      <c r="K249" s="25">
        <v>7.1943386524668168E-2</v>
      </c>
      <c r="L249" s="25">
        <v>0.91159999999999997</v>
      </c>
      <c r="M249" s="24">
        <v>2</v>
      </c>
      <c r="N249" s="108">
        <v>0</v>
      </c>
      <c r="O249" s="24">
        <v>3</v>
      </c>
      <c r="P249" s="24">
        <v>0</v>
      </c>
      <c r="Q249" s="24">
        <v>3</v>
      </c>
      <c r="R249" s="24">
        <v>3</v>
      </c>
      <c r="S249" s="24">
        <v>0</v>
      </c>
      <c r="T249" s="24">
        <v>0</v>
      </c>
      <c r="U249" s="24">
        <v>6360147000000</v>
      </c>
      <c r="V249" s="109">
        <v>-0.15320116149496932</v>
      </c>
      <c r="W249" s="109">
        <v>-0.19536280529365121</v>
      </c>
      <c r="X249" s="109">
        <v>0.21435080981618823</v>
      </c>
      <c r="Y249" s="109">
        <v>0.11136874666576102</v>
      </c>
      <c r="Z249" s="109">
        <v>0.20353439537790993</v>
      </c>
      <c r="AA249" s="109">
        <v>0.333891146566208</v>
      </c>
      <c r="AD249" s="111"/>
    </row>
    <row r="250" spans="1:30" ht="15" customHeight="1" x14ac:dyDescent="0.3">
      <c r="A250" s="22" t="s">
        <v>153</v>
      </c>
      <c r="B250" s="23">
        <v>31</v>
      </c>
      <c r="C250" s="3" t="s">
        <v>6</v>
      </c>
      <c r="D250" s="23">
        <v>2021</v>
      </c>
      <c r="E250" s="25">
        <v>0.63284023185566174</v>
      </c>
      <c r="F250" s="25">
        <v>0.11965221650747</v>
      </c>
      <c r="G250" s="25">
        <v>0.82186757043072867</v>
      </c>
      <c r="H250" s="25">
        <v>4.6138009368536954</v>
      </c>
      <c r="I250" s="25">
        <v>8.8234007980826021E-2</v>
      </c>
      <c r="J250" s="25">
        <v>1.9693771222637727E-2</v>
      </c>
      <c r="K250" s="25">
        <v>0.11055691133982602</v>
      </c>
      <c r="L250" s="25">
        <v>0.91159999999999997</v>
      </c>
      <c r="M250" s="24">
        <v>2</v>
      </c>
      <c r="N250" s="108">
        <v>0</v>
      </c>
      <c r="O250" s="24">
        <v>3</v>
      </c>
      <c r="P250" s="24">
        <v>0</v>
      </c>
      <c r="Q250" s="24">
        <v>3</v>
      </c>
      <c r="R250" s="24">
        <v>3</v>
      </c>
      <c r="S250" s="24">
        <v>0</v>
      </c>
      <c r="T250" s="24">
        <v>0</v>
      </c>
      <c r="U250" s="24">
        <v>6454782000000</v>
      </c>
      <c r="V250" s="109">
        <v>6.1512639467380677E-2</v>
      </c>
      <c r="W250" s="109">
        <v>-0.22853250814667328</v>
      </c>
      <c r="X250" s="109">
        <v>0.269746711817688</v>
      </c>
      <c r="Y250" s="109">
        <v>0.1214887938895535</v>
      </c>
      <c r="Z250" s="109">
        <v>0.22757808894894152</v>
      </c>
      <c r="AA250" s="109">
        <v>0.39028108650950977</v>
      </c>
      <c r="AD250" s="111"/>
    </row>
    <row r="251" spans="1:30" ht="15" customHeight="1" x14ac:dyDescent="0.3">
      <c r="A251" s="22" t="s">
        <v>153</v>
      </c>
      <c r="B251" s="23">
        <v>31</v>
      </c>
      <c r="C251" s="3" t="s">
        <v>6</v>
      </c>
      <c r="D251" s="23">
        <v>2022</v>
      </c>
      <c r="E251" s="25">
        <v>0.70056592337227874</v>
      </c>
      <c r="F251" s="25">
        <v>6.1190541469286083E-2</v>
      </c>
      <c r="G251" s="25">
        <v>0.81659458969354171</v>
      </c>
      <c r="H251" s="25">
        <v>4.4524018584242748</v>
      </c>
      <c r="I251" s="25">
        <v>4.8291362559814394E-2</v>
      </c>
      <c r="J251" s="25">
        <v>1.0516005568880309E-2</v>
      </c>
      <c r="K251" s="25">
        <v>5.7337488306963023E-2</v>
      </c>
      <c r="L251" s="25">
        <v>0.91159999999999997</v>
      </c>
      <c r="M251" s="24">
        <v>2</v>
      </c>
      <c r="N251" s="108">
        <v>0</v>
      </c>
      <c r="O251" s="24">
        <v>3</v>
      </c>
      <c r="P251" s="24">
        <v>0</v>
      </c>
      <c r="Q251" s="24">
        <v>3</v>
      </c>
      <c r="R251" s="24">
        <v>3</v>
      </c>
      <c r="S251" s="24">
        <v>0</v>
      </c>
      <c r="T251" s="24">
        <v>0</v>
      </c>
      <c r="U251" s="24">
        <v>6650529000000</v>
      </c>
      <c r="V251" s="109">
        <v>5.2245327454721758E-3</v>
      </c>
      <c r="W251" s="109">
        <v>-0.24023275140969988</v>
      </c>
      <c r="X251" s="109">
        <v>0.29645405350461596</v>
      </c>
      <c r="Y251" s="109">
        <v>5.4473140407326988E-2</v>
      </c>
      <c r="Z251" s="109">
        <v>0.23582776968195765</v>
      </c>
      <c r="AA251" s="109">
        <v>0.34652221218420071</v>
      </c>
      <c r="AD251" s="111"/>
    </row>
    <row r="252" spans="1:30" ht="15" customHeight="1" x14ac:dyDescent="0.3">
      <c r="A252" s="22" t="s">
        <v>153</v>
      </c>
      <c r="B252" s="23">
        <v>31</v>
      </c>
      <c r="C252" s="3" t="s">
        <v>6</v>
      </c>
      <c r="D252" s="23">
        <v>2023</v>
      </c>
      <c r="E252" s="25">
        <v>0.73683013458797142</v>
      </c>
      <c r="F252" s="25">
        <v>7.6661456639082609E-2</v>
      </c>
      <c r="G252" s="25">
        <v>0.76060073506989578</v>
      </c>
      <c r="H252" s="25">
        <v>3.1771222659850835</v>
      </c>
      <c r="I252" s="25">
        <v>-4.1151479824923107E-2</v>
      </c>
      <c r="J252" s="25">
        <v>-9.7484480351186526E-3</v>
      </c>
      <c r="K252" s="25">
        <v>-4.0720459346292662E-2</v>
      </c>
      <c r="L252" s="25">
        <v>0.91159999999999997</v>
      </c>
      <c r="M252" s="24">
        <v>2</v>
      </c>
      <c r="N252" s="108">
        <v>0</v>
      </c>
      <c r="O252" s="24">
        <v>4</v>
      </c>
      <c r="P252" s="24">
        <v>0</v>
      </c>
      <c r="Q252" s="24">
        <v>4</v>
      </c>
      <c r="R252" s="24">
        <v>3</v>
      </c>
      <c r="S252" s="24">
        <v>0</v>
      </c>
      <c r="T252" s="24">
        <v>0</v>
      </c>
      <c r="U252" s="24">
        <v>7227612000000</v>
      </c>
      <c r="V252" s="109">
        <v>0.18224453298163965</v>
      </c>
      <c r="W252" s="109">
        <v>-0.18063477674230438</v>
      </c>
      <c r="X252" s="109">
        <v>0.24057096590132396</v>
      </c>
      <c r="Y252" s="109">
        <v>-6.4323187243587501E-2</v>
      </c>
      <c r="Z252" s="109">
        <v>0.33048775341179454</v>
      </c>
      <c r="AA252" s="109">
        <v>0.3261007553272266</v>
      </c>
      <c r="AD252" s="111"/>
    </row>
    <row r="253" spans="1:30" ht="15" customHeight="1" x14ac:dyDescent="0.3">
      <c r="A253" s="22" t="s">
        <v>153</v>
      </c>
      <c r="B253" s="23">
        <v>31</v>
      </c>
      <c r="C253" s="3" t="s">
        <v>6</v>
      </c>
      <c r="D253" s="23">
        <v>2024</v>
      </c>
      <c r="E253" s="25">
        <v>0.67019327074965929</v>
      </c>
      <c r="F253" s="25">
        <v>0.31128653808712337</v>
      </c>
      <c r="G253" s="25">
        <v>0.74830163787802562</v>
      </c>
      <c r="H253" s="25">
        <v>2.9730095641837928</v>
      </c>
      <c r="I253" s="25">
        <v>-2.9466864858842423E-2</v>
      </c>
      <c r="J253" s="25">
        <v>-8.0821361358003989E-3</v>
      </c>
      <c r="K253" s="25">
        <v>-3.2110404166570426E-2</v>
      </c>
      <c r="L253" s="25">
        <v>0.91159999999999997</v>
      </c>
      <c r="M253" s="24">
        <v>2</v>
      </c>
      <c r="N253" s="108">
        <v>0</v>
      </c>
      <c r="O253" s="24">
        <v>4</v>
      </c>
      <c r="P253" s="24">
        <v>0</v>
      </c>
      <c r="Q253" s="24">
        <v>4</v>
      </c>
      <c r="R253" s="24">
        <v>4</v>
      </c>
      <c r="S253" s="24">
        <v>0</v>
      </c>
      <c r="T253" s="24">
        <v>0</v>
      </c>
      <c r="U253" s="24">
        <v>6708375000000</v>
      </c>
      <c r="V253" s="109">
        <v>7.4644221750044676E-2</v>
      </c>
      <c r="W253" s="109">
        <v>-0.16067972347997836</v>
      </c>
      <c r="X253" s="109">
        <v>0.24756245737604113</v>
      </c>
      <c r="Y253" s="109">
        <v>-5.3005695119906084E-2</v>
      </c>
      <c r="Z253" s="109">
        <v>0.35317747129019611</v>
      </c>
      <c r="AA253" s="109">
        <v>0.38705451006635277</v>
      </c>
      <c r="AD253" s="111"/>
    </row>
    <row r="254" spans="1:30" ht="15" customHeight="1" x14ac:dyDescent="0.3">
      <c r="A254" s="22" t="s">
        <v>153</v>
      </c>
      <c r="B254" s="23">
        <v>32</v>
      </c>
      <c r="C254" s="3" t="s">
        <v>7</v>
      </c>
      <c r="D254" s="23">
        <v>2016</v>
      </c>
      <c r="E254" s="25">
        <v>14.984203067229064</v>
      </c>
      <c r="F254" s="25">
        <v>0.40014073483105717</v>
      </c>
      <c r="G254" s="25">
        <v>0.90979159664680542</v>
      </c>
      <c r="H254" s="25">
        <v>10.171484690979812</v>
      </c>
      <c r="I254" s="25">
        <v>0.12694548465445557</v>
      </c>
      <c r="J254" s="25">
        <v>5.0112764930043255E-2</v>
      </c>
      <c r="K254" s="25">
        <v>0.56026151833812365</v>
      </c>
      <c r="L254" s="25">
        <v>0</v>
      </c>
      <c r="M254" s="24">
        <v>0</v>
      </c>
      <c r="N254" s="108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25983699000000</v>
      </c>
      <c r="V254" s="109">
        <v>0</v>
      </c>
      <c r="W254" s="109">
        <v>6.0759351130106607</v>
      </c>
      <c r="X254" s="109">
        <v>0.27741360612282334</v>
      </c>
      <c r="Y254" s="109">
        <v>0.42892039967057805</v>
      </c>
      <c r="Z254" s="109">
        <v>0.10322976752166298</v>
      </c>
      <c r="AA254" s="109">
        <v>6.8854988863257249</v>
      </c>
      <c r="AD254" s="111"/>
    </row>
    <row r="255" spans="1:30" ht="15" customHeight="1" x14ac:dyDescent="0.3">
      <c r="A255" s="22" t="s">
        <v>153</v>
      </c>
      <c r="B255" s="23">
        <v>32</v>
      </c>
      <c r="C255" s="3" t="s">
        <v>7</v>
      </c>
      <c r="D255" s="23">
        <v>2017</v>
      </c>
      <c r="E255" s="25">
        <v>20.041664417975404</v>
      </c>
      <c r="F255" s="25">
        <v>0.80185665276142615</v>
      </c>
      <c r="G255" s="25">
        <v>0.92715714293417506</v>
      </c>
      <c r="H255" s="25">
        <v>12.914194294856228</v>
      </c>
      <c r="I255" s="25">
        <v>7.888352129826473E-2</v>
      </c>
      <c r="J255" s="25">
        <v>3.3301148514068013E-2</v>
      </c>
      <c r="K255" s="25">
        <v>0.46384532053707073</v>
      </c>
      <c r="L255" s="25">
        <v>0.51</v>
      </c>
      <c r="M255" s="24">
        <v>2</v>
      </c>
      <c r="N255" s="108">
        <v>0</v>
      </c>
      <c r="O255" s="24">
        <v>4</v>
      </c>
      <c r="P255" s="24">
        <v>0</v>
      </c>
      <c r="Q255" s="24">
        <v>4</v>
      </c>
      <c r="R255" s="24">
        <v>4</v>
      </c>
      <c r="S255" s="24">
        <v>0</v>
      </c>
      <c r="T255" s="24">
        <v>0</v>
      </c>
      <c r="U255" s="24">
        <v>30228537000000</v>
      </c>
      <c r="V255" s="109">
        <v>0.24410767107098696</v>
      </c>
      <c r="W255" s="109">
        <v>6.20205427738696</v>
      </c>
      <c r="X255" s="109">
        <v>0.21423571971081495</v>
      </c>
      <c r="Y255" s="109">
        <v>0.27681782151746209</v>
      </c>
      <c r="Z255" s="109">
        <v>8.1305885293844374E-2</v>
      </c>
      <c r="AA255" s="109">
        <v>6.7744137039090813</v>
      </c>
      <c r="AD255" s="111"/>
    </row>
    <row r="256" spans="1:30" ht="15" customHeight="1" x14ac:dyDescent="0.3">
      <c r="A256" s="22" t="s">
        <v>153</v>
      </c>
      <c r="B256" s="23">
        <v>32</v>
      </c>
      <c r="C256" s="3" t="s">
        <v>7</v>
      </c>
      <c r="D256" s="23">
        <v>2018</v>
      </c>
      <c r="E256" s="25">
        <v>22.508743209889747</v>
      </c>
      <c r="F256" s="25">
        <v>1.2255733637467123</v>
      </c>
      <c r="G256" s="25">
        <v>0.92169137074723684</v>
      </c>
      <c r="H256" s="25">
        <v>11.965356319387109</v>
      </c>
      <c r="I256" s="25">
        <v>0.12733761427955356</v>
      </c>
      <c r="J256" s="25">
        <v>3.2007239075345598E-2</v>
      </c>
      <c r="K256" s="25">
        <v>0.41551655195147508</v>
      </c>
      <c r="L256" s="25">
        <v>0.51</v>
      </c>
      <c r="M256" s="24">
        <v>2</v>
      </c>
      <c r="N256" s="108">
        <v>0</v>
      </c>
      <c r="O256" s="24">
        <v>4</v>
      </c>
      <c r="P256" s="24">
        <v>0</v>
      </c>
      <c r="Q256" s="24">
        <v>4</v>
      </c>
      <c r="R256" s="24">
        <v>3</v>
      </c>
      <c r="S256" s="24">
        <v>0</v>
      </c>
      <c r="T256" s="24">
        <v>0</v>
      </c>
      <c r="U256" s="24">
        <v>29576153000000</v>
      </c>
      <c r="V256" s="109">
        <v>-0.41743667913497184</v>
      </c>
      <c r="W256" s="109">
        <v>6.2451238469046322</v>
      </c>
      <c r="X256" s="109">
        <v>0.24530017342011992</v>
      </c>
      <c r="Y256" s="109">
        <v>0.28574302817543579</v>
      </c>
      <c r="Z256" s="109">
        <v>8.7753341561480833E-2</v>
      </c>
      <c r="AA256" s="109">
        <v>6.8639203900616685</v>
      </c>
      <c r="AD256" s="111"/>
    </row>
    <row r="257" spans="1:30" ht="15" customHeight="1" x14ac:dyDescent="0.3">
      <c r="A257" s="22" t="s">
        <v>153</v>
      </c>
      <c r="B257" s="23">
        <v>32</v>
      </c>
      <c r="C257" s="3" t="s">
        <v>7</v>
      </c>
      <c r="D257" s="23">
        <v>2019</v>
      </c>
      <c r="E257" s="25">
        <v>23.226904444058601</v>
      </c>
      <c r="F257" s="25">
        <v>0.8314364559109424</v>
      </c>
      <c r="G257" s="25">
        <v>0.91014230678728503</v>
      </c>
      <c r="H257" s="25">
        <v>10.260410740081801</v>
      </c>
      <c r="I257" s="25">
        <v>9.3481629513466599E-2</v>
      </c>
      <c r="J257" s="25">
        <v>3.0648844318941184E-2</v>
      </c>
      <c r="K257" s="25">
        <v>0.34551710109071532</v>
      </c>
      <c r="L257" s="25">
        <v>0.51</v>
      </c>
      <c r="M257" s="24">
        <v>2</v>
      </c>
      <c r="N257" s="108">
        <v>0</v>
      </c>
      <c r="O257" s="24">
        <v>4</v>
      </c>
      <c r="P257" s="24">
        <v>0</v>
      </c>
      <c r="Q257" s="24">
        <v>4</v>
      </c>
      <c r="R257" s="24">
        <v>4</v>
      </c>
      <c r="S257" s="24">
        <v>0</v>
      </c>
      <c r="T257" s="24">
        <v>0</v>
      </c>
      <c r="U257" s="24">
        <v>32753111000000</v>
      </c>
      <c r="V257" s="109">
        <v>0.44446557805552783</v>
      </c>
      <c r="W257" s="109">
        <v>6.2560014210558501</v>
      </c>
      <c r="X257" s="109">
        <v>0.27412323733156213</v>
      </c>
      <c r="Y257" s="109">
        <v>0.2392899092852584</v>
      </c>
      <c r="Z257" s="109">
        <v>0.10233508449113304</v>
      </c>
      <c r="AA257" s="109">
        <v>6.8717496521638033</v>
      </c>
      <c r="AD257" s="111"/>
    </row>
    <row r="258" spans="1:30" ht="15" customHeight="1" x14ac:dyDescent="0.3">
      <c r="A258" s="22" t="s">
        <v>153</v>
      </c>
      <c r="B258" s="23">
        <v>32</v>
      </c>
      <c r="C258" s="3" t="s">
        <v>7</v>
      </c>
      <c r="D258" s="23">
        <v>2020</v>
      </c>
      <c r="E258" s="25">
        <v>0.72000956601526656</v>
      </c>
      <c r="F258" s="25">
        <v>0.54651182086172223</v>
      </c>
      <c r="G258" s="25">
        <v>0.91917334840132425</v>
      </c>
      <c r="H258" s="25">
        <v>11.538930998658936</v>
      </c>
      <c r="I258" s="25">
        <v>8.2510722970605355E-2</v>
      </c>
      <c r="J258" s="25">
        <v>2.6684584092056044E-2</v>
      </c>
      <c r="K258" s="25">
        <v>0.33498749186068433</v>
      </c>
      <c r="L258" s="25">
        <v>0.51</v>
      </c>
      <c r="M258" s="24">
        <v>2</v>
      </c>
      <c r="N258" s="108">
        <v>0</v>
      </c>
      <c r="O258" s="24">
        <v>4</v>
      </c>
      <c r="P258" s="24">
        <v>12</v>
      </c>
      <c r="Q258" s="24">
        <v>4</v>
      </c>
      <c r="R258" s="24">
        <v>5</v>
      </c>
      <c r="S258" s="24">
        <v>12</v>
      </c>
      <c r="T258" s="24">
        <v>13</v>
      </c>
      <c r="U258" s="24">
        <v>37555991000000</v>
      </c>
      <c r="V258" s="109">
        <v>0.13106844396102965</v>
      </c>
      <c r="W258" s="109">
        <v>-0.10020578820566869</v>
      </c>
      <c r="X258" s="109">
        <v>0.23926284251159821</v>
      </c>
      <c r="Y258" s="109">
        <v>0.20178989605147152</v>
      </c>
      <c r="Z258" s="109">
        <v>9.0996297674544729E-2</v>
      </c>
      <c r="AA258" s="109">
        <v>0.43184324803194574</v>
      </c>
      <c r="AD258" s="111"/>
    </row>
    <row r="259" spans="1:30" ht="15" customHeight="1" x14ac:dyDescent="0.3">
      <c r="A259" s="22" t="s">
        <v>153</v>
      </c>
      <c r="B259" s="23">
        <v>32</v>
      </c>
      <c r="C259" s="3" t="s">
        <v>7</v>
      </c>
      <c r="D259" s="23">
        <v>2021</v>
      </c>
      <c r="E259" s="25">
        <v>0.55296865279627505</v>
      </c>
      <c r="F259" s="25">
        <v>0.39163626672368046</v>
      </c>
      <c r="G259" s="25">
        <v>0.9254505259142044</v>
      </c>
      <c r="H259" s="25">
        <v>12.56232342077454</v>
      </c>
      <c r="I259" s="25">
        <v>6.9056214048364234E-2</v>
      </c>
      <c r="J259" s="25">
        <v>2.5209859831189042E-2</v>
      </c>
      <c r="K259" s="25">
        <v>0.34220566494242732</v>
      </c>
      <c r="L259" s="25">
        <v>0.51</v>
      </c>
      <c r="M259" s="24">
        <v>2</v>
      </c>
      <c r="N259" s="108">
        <v>0</v>
      </c>
      <c r="O259" s="24">
        <v>4</v>
      </c>
      <c r="P259" s="24">
        <v>13</v>
      </c>
      <c r="Q259" s="24">
        <v>4</v>
      </c>
      <c r="R259" s="24">
        <v>4</v>
      </c>
      <c r="S259" s="24">
        <v>13</v>
      </c>
      <c r="T259" s="24">
        <v>10</v>
      </c>
      <c r="U259" s="24">
        <v>41079324000000</v>
      </c>
      <c r="V259" s="109">
        <v>0.23470066577264667</v>
      </c>
      <c r="W259" s="109">
        <v>-0.19232230793281796</v>
      </c>
      <c r="X259" s="109">
        <v>0.2218864093284495</v>
      </c>
      <c r="Y259" s="109">
        <v>0.19071323763750347</v>
      </c>
      <c r="Z259" s="109">
        <v>8.358326440343003E-2</v>
      </c>
      <c r="AA259" s="109">
        <v>0.30386060343656507</v>
      </c>
      <c r="AD259" s="111"/>
    </row>
    <row r="260" spans="1:30" ht="15" customHeight="1" x14ac:dyDescent="0.3">
      <c r="A260" s="22" t="s">
        <v>153</v>
      </c>
      <c r="B260" s="23">
        <v>32</v>
      </c>
      <c r="C260" s="3" t="s">
        <v>7</v>
      </c>
      <c r="D260" s="23">
        <v>2022</v>
      </c>
      <c r="E260" s="25">
        <v>1.0541624870522257</v>
      </c>
      <c r="F260" s="25">
        <v>0.86342239984362479</v>
      </c>
      <c r="G260" s="25">
        <v>0.91846496289064516</v>
      </c>
      <c r="H260" s="25">
        <v>11.395200799887284</v>
      </c>
      <c r="I260" s="25">
        <v>8.0109770540684591E-2</v>
      </c>
      <c r="J260" s="25">
        <v>2.9182976571265853E-2</v>
      </c>
      <c r="K260" s="25">
        <v>0.36206702640171845</v>
      </c>
      <c r="L260" s="25">
        <v>0.51</v>
      </c>
      <c r="M260" s="24">
        <v>2</v>
      </c>
      <c r="N260" s="108">
        <v>0</v>
      </c>
      <c r="O260" s="24">
        <v>4</v>
      </c>
      <c r="P260" s="24">
        <v>16</v>
      </c>
      <c r="Q260" s="24">
        <v>4</v>
      </c>
      <c r="R260" s="24">
        <v>5</v>
      </c>
      <c r="S260" s="24">
        <v>16</v>
      </c>
      <c r="T260" s="24">
        <v>11</v>
      </c>
      <c r="U260" s="24">
        <v>40154026000000</v>
      </c>
      <c r="V260" s="109">
        <v>-2.4601147891753137E-2</v>
      </c>
      <c r="W260" s="109">
        <v>2.1638314424561062E-2</v>
      </c>
      <c r="X260" s="109">
        <v>0.24886439382192957</v>
      </c>
      <c r="Y260" s="109">
        <v>0.23727907333625775</v>
      </c>
      <c r="Z260" s="109">
        <v>9.2144054189057037E-2</v>
      </c>
      <c r="AA260" s="109">
        <v>0.59992583577180536</v>
      </c>
      <c r="AD260" s="111"/>
    </row>
    <row r="261" spans="1:30" ht="15" customHeight="1" x14ac:dyDescent="0.3">
      <c r="A261" s="22" t="s">
        <v>153</v>
      </c>
      <c r="B261" s="23">
        <v>32</v>
      </c>
      <c r="C261" s="3" t="s">
        <v>7</v>
      </c>
      <c r="D261" s="23">
        <v>2023</v>
      </c>
      <c r="E261" s="25">
        <v>0.87467554792993263</v>
      </c>
      <c r="F261" s="25">
        <v>0.65082311691478623</v>
      </c>
      <c r="G261" s="25">
        <v>0.91079126807730215</v>
      </c>
      <c r="H261" s="25">
        <v>10.346522419669242</v>
      </c>
      <c r="I261" s="25">
        <v>9.4625979382737077E-2</v>
      </c>
      <c r="J261" s="25">
        <v>3.2277198348134001E-2</v>
      </c>
      <c r="K261" s="25">
        <v>0.36666662061667388</v>
      </c>
      <c r="L261" s="25">
        <v>0.51</v>
      </c>
      <c r="M261" s="24">
        <v>2</v>
      </c>
      <c r="N261" s="108">
        <v>0</v>
      </c>
      <c r="O261" s="24">
        <v>4</v>
      </c>
      <c r="P261" s="24">
        <v>16</v>
      </c>
      <c r="Q261" s="24">
        <v>4</v>
      </c>
      <c r="R261" s="24">
        <v>5</v>
      </c>
      <c r="S261" s="24">
        <v>16</v>
      </c>
      <c r="T261" s="24">
        <v>11</v>
      </c>
      <c r="U261" s="24">
        <v>41114473000000</v>
      </c>
      <c r="V261" s="109">
        <v>-4.1246467979308164E-2</v>
      </c>
      <c r="W261" s="109">
        <v>-5.4612161513051614E-2</v>
      </c>
      <c r="X261" s="109">
        <v>0.27119147021536671</v>
      </c>
      <c r="Y261" s="109">
        <v>0.25580490451622717</v>
      </c>
      <c r="Z261" s="109">
        <v>0.10148337358298272</v>
      </c>
      <c r="AA261" s="109">
        <v>0.57386758680152505</v>
      </c>
      <c r="AD261" s="111"/>
    </row>
    <row r="262" spans="1:30" ht="15" customHeight="1" x14ac:dyDescent="0.3">
      <c r="A262" s="22" t="s">
        <v>153</v>
      </c>
      <c r="B262" s="23">
        <v>32</v>
      </c>
      <c r="C262" s="3" t="s">
        <v>7</v>
      </c>
      <c r="D262" s="23">
        <v>2024</v>
      </c>
      <c r="E262" s="25">
        <v>1.175834430553564</v>
      </c>
      <c r="F262" s="25">
        <v>0.85029353357059367</v>
      </c>
      <c r="G262" s="25">
        <v>0.89385356275945305</v>
      </c>
      <c r="H262" s="25">
        <v>9.8266075475261232</v>
      </c>
      <c r="I262" s="25">
        <v>0.10452970566039432</v>
      </c>
      <c r="J262" s="25">
        <v>3.1070339846857805E-2</v>
      </c>
      <c r="K262" s="25">
        <v>0.34157276847538715</v>
      </c>
      <c r="L262" s="25">
        <v>0.51</v>
      </c>
      <c r="M262" s="24">
        <v>2</v>
      </c>
      <c r="N262" s="108">
        <v>0</v>
      </c>
      <c r="O262" s="24">
        <v>4</v>
      </c>
      <c r="P262" s="24">
        <v>16</v>
      </c>
      <c r="Q262" s="24">
        <v>4</v>
      </c>
      <c r="R262" s="24">
        <v>5</v>
      </c>
      <c r="S262" s="24">
        <v>16</v>
      </c>
      <c r="T262" s="24">
        <v>11</v>
      </c>
      <c r="U262" s="24">
        <v>41914379000000</v>
      </c>
      <c r="V262" s="109">
        <v>-0.11163970280942312</v>
      </c>
      <c r="W262" s="109">
        <v>7.5996491800582322E-2</v>
      </c>
      <c r="X262" s="109">
        <v>0.28463126651596105</v>
      </c>
      <c r="Y262" s="109">
        <v>0.25320674606678534</v>
      </c>
      <c r="Z262" s="109">
        <v>0.10685274596769061</v>
      </c>
      <c r="AA262" s="109">
        <v>0.72068725035101922</v>
      </c>
      <c r="AD262" s="111"/>
    </row>
    <row r="263" spans="1:30" ht="15" customHeight="1" x14ac:dyDescent="0.3">
      <c r="A263" s="22" t="s">
        <v>153</v>
      </c>
      <c r="B263" s="23">
        <v>33</v>
      </c>
      <c r="C263" s="3" t="s">
        <v>30</v>
      </c>
      <c r="D263" s="23">
        <v>2017</v>
      </c>
      <c r="E263" s="25">
        <v>0.284326275612032</v>
      </c>
      <c r="F263" s="25">
        <v>0.13059896999649534</v>
      </c>
      <c r="G263" s="25">
        <v>0.50594478976654034</v>
      </c>
      <c r="H263" s="25">
        <v>1.0240652851883951</v>
      </c>
      <c r="I263" s="25">
        <v>0</v>
      </c>
      <c r="J263" s="25">
        <v>0</v>
      </c>
      <c r="K263" s="25">
        <v>0</v>
      </c>
      <c r="L263" s="25">
        <v>0.99990000000000001</v>
      </c>
      <c r="M263" s="24">
        <v>2</v>
      </c>
      <c r="N263" s="108">
        <v>0</v>
      </c>
      <c r="O263" s="24">
        <v>2</v>
      </c>
      <c r="P263" s="24">
        <v>4</v>
      </c>
      <c r="Q263" s="24">
        <v>2</v>
      </c>
      <c r="R263" s="24">
        <v>4</v>
      </c>
      <c r="S263" s="24">
        <v>4</v>
      </c>
      <c r="T263" s="24">
        <v>0</v>
      </c>
      <c r="U263" s="24">
        <v>1237823420000</v>
      </c>
      <c r="V263" s="109">
        <v>0</v>
      </c>
      <c r="W263" s="109">
        <v>-0.34890717449828185</v>
      </c>
      <c r="X263" s="109">
        <v>-0.12515532126545156</v>
      </c>
      <c r="Y263" s="109">
        <v>-0.3025056792026119</v>
      </c>
      <c r="Z263" s="109">
        <v>1.0253252553198635</v>
      </c>
      <c r="AA263" s="109">
        <v>0.24875708035351818</v>
      </c>
      <c r="AD263" s="111"/>
    </row>
    <row r="264" spans="1:30" ht="15" customHeight="1" x14ac:dyDescent="0.3">
      <c r="A264" s="22" t="s">
        <v>153</v>
      </c>
      <c r="B264" s="23">
        <v>33</v>
      </c>
      <c r="C264" s="3" t="s">
        <v>30</v>
      </c>
      <c r="D264" s="23">
        <v>2018</v>
      </c>
      <c r="E264" s="25">
        <v>0.67324817781626611</v>
      </c>
      <c r="F264" s="25">
        <v>0.10412787760698564</v>
      </c>
      <c r="G264" s="25">
        <v>0.62508947681225535</v>
      </c>
      <c r="H264" s="25">
        <v>1.6673030980760921</v>
      </c>
      <c r="I264" s="25">
        <v>1.6914239103570702E-2</v>
      </c>
      <c r="J264" s="25">
        <v>1.0718756364615181E-2</v>
      </c>
      <c r="K264" s="25">
        <v>2.8590172058860903E-2</v>
      </c>
      <c r="L264" s="25">
        <v>0.99990000000000001</v>
      </c>
      <c r="M264" s="24">
        <v>2</v>
      </c>
      <c r="N264" s="108">
        <v>0</v>
      </c>
      <c r="O264" s="24">
        <v>3</v>
      </c>
      <c r="P264" s="24">
        <v>5</v>
      </c>
      <c r="Q264" s="24">
        <v>3</v>
      </c>
      <c r="R264" s="24">
        <v>4</v>
      </c>
      <c r="S264" s="24">
        <v>5</v>
      </c>
      <c r="T264" s="24">
        <v>0</v>
      </c>
      <c r="U264" s="24">
        <v>1679206000000</v>
      </c>
      <c r="V264" s="109">
        <v>0</v>
      </c>
      <c r="W264" s="109">
        <v>-0.17688340799163413</v>
      </c>
      <c r="X264" s="109">
        <v>-7.7946958264798957E-2</v>
      </c>
      <c r="Y264" s="109">
        <v>3.7557750508275936E-2</v>
      </c>
      <c r="Z264" s="109">
        <v>0.62975952075636354</v>
      </c>
      <c r="AA264" s="109">
        <v>0.41248690500820639</v>
      </c>
      <c r="AD264" s="111"/>
    </row>
    <row r="265" spans="1:30" ht="15" customHeight="1" x14ac:dyDescent="0.3">
      <c r="A265" s="22" t="s">
        <v>153</v>
      </c>
      <c r="B265" s="23">
        <v>33</v>
      </c>
      <c r="C265" s="3" t="s">
        <v>30</v>
      </c>
      <c r="D265" s="23">
        <v>2019</v>
      </c>
      <c r="E265" s="25">
        <v>0.80261632881028711</v>
      </c>
      <c r="F265" s="25">
        <v>9.1432685385169188E-2</v>
      </c>
      <c r="G265" s="25">
        <v>0.65622255030125076</v>
      </c>
      <c r="H265" s="25">
        <v>1.9088586260567584</v>
      </c>
      <c r="I265" s="25">
        <v>3.48214127539275E-2</v>
      </c>
      <c r="J265" s="25">
        <v>1.9251388722787425E-2</v>
      </c>
      <c r="K265" s="25">
        <v>5.5999568149851998E-2</v>
      </c>
      <c r="L265" s="25">
        <v>0.99990000000000001</v>
      </c>
      <c r="M265" s="24">
        <v>2</v>
      </c>
      <c r="N265" s="108">
        <v>0</v>
      </c>
      <c r="O265" s="24">
        <v>3</v>
      </c>
      <c r="P265" s="24">
        <v>5</v>
      </c>
      <c r="Q265" s="24">
        <v>3</v>
      </c>
      <c r="R265" s="24">
        <v>4</v>
      </c>
      <c r="S265" s="24">
        <v>5</v>
      </c>
      <c r="T265" s="24">
        <v>0</v>
      </c>
      <c r="U265" s="24">
        <v>1939912000000</v>
      </c>
      <c r="V265" s="109">
        <v>7.8636786942985516E-3</v>
      </c>
      <c r="W265" s="109">
        <v>-0.20674744009006593</v>
      </c>
      <c r="X265" s="109">
        <v>-2.2453008177690532E-2</v>
      </c>
      <c r="Y265" s="109">
        <v>0.11595643513726396</v>
      </c>
      <c r="Z265" s="109">
        <v>0.55006692777927035</v>
      </c>
      <c r="AA265" s="109">
        <v>0.43682291464877787</v>
      </c>
      <c r="AD265" s="111"/>
    </row>
    <row r="266" spans="1:30" ht="15" customHeight="1" x14ac:dyDescent="0.3">
      <c r="A266" s="22" t="s">
        <v>153</v>
      </c>
      <c r="B266" s="23">
        <v>33</v>
      </c>
      <c r="C266" s="3" t="s">
        <v>30</v>
      </c>
      <c r="D266" s="23">
        <v>2020</v>
      </c>
      <c r="E266" s="25">
        <v>4.4763126660261117</v>
      </c>
      <c r="F266" s="25">
        <v>0.37284801899056125</v>
      </c>
      <c r="G266" s="25">
        <v>0.73666906316703107</v>
      </c>
      <c r="H266" s="25">
        <v>2.7975029141156367</v>
      </c>
      <c r="I266" s="25">
        <v>-0.45790829408954908</v>
      </c>
      <c r="J266" s="25">
        <v>-0.23283255167686731</v>
      </c>
      <c r="K266" s="25">
        <v>-0.88418229349388322</v>
      </c>
      <c r="L266" s="25">
        <v>0.99990000000000001</v>
      </c>
      <c r="M266" s="24">
        <v>2</v>
      </c>
      <c r="N266" s="108">
        <v>0</v>
      </c>
      <c r="O266" s="24">
        <v>3</v>
      </c>
      <c r="P266" s="24">
        <v>5</v>
      </c>
      <c r="Q266" s="24">
        <v>3</v>
      </c>
      <c r="R266" s="24">
        <v>4</v>
      </c>
      <c r="S266" s="24">
        <v>5</v>
      </c>
      <c r="T266" s="24">
        <v>0</v>
      </c>
      <c r="U266" s="24">
        <v>1342235000000</v>
      </c>
      <c r="V266" s="109">
        <v>-0.36365001058274071</v>
      </c>
      <c r="W266" s="109">
        <v>1.5030228834742052</v>
      </c>
      <c r="X266" s="109">
        <v>-0.32429863622987026</v>
      </c>
      <c r="Y266" s="109">
        <v>-0.99746992143700619</v>
      </c>
      <c r="Z266" s="109">
        <v>0.37533472966262565</v>
      </c>
      <c r="AA266" s="109">
        <v>0.55658905546995441</v>
      </c>
      <c r="AD266" s="111"/>
    </row>
    <row r="267" spans="1:30" ht="15" customHeight="1" x14ac:dyDescent="0.3">
      <c r="A267" s="22" t="s">
        <v>153</v>
      </c>
      <c r="B267" s="23">
        <v>33</v>
      </c>
      <c r="C267" s="3" t="s">
        <v>30</v>
      </c>
      <c r="D267" s="23">
        <v>2021</v>
      </c>
      <c r="E267" s="25">
        <v>0.20942097237172588</v>
      </c>
      <c r="F267" s="25">
        <v>0.11183620380337281</v>
      </c>
      <c r="G267" s="25">
        <v>0.71217771323002133</v>
      </c>
      <c r="H267" s="25">
        <v>2.4743661139735793</v>
      </c>
      <c r="I267" s="25">
        <v>9.4579872635741399E-2</v>
      </c>
      <c r="J267" s="25">
        <v>4.1504145466608036E-2</v>
      </c>
      <c r="K267" s="25">
        <v>0.14420059659861309</v>
      </c>
      <c r="L267" s="25">
        <v>0.99990000000000001</v>
      </c>
      <c r="M267" s="24">
        <v>2</v>
      </c>
      <c r="N267" s="108">
        <v>0</v>
      </c>
      <c r="O267" s="24">
        <v>3</v>
      </c>
      <c r="P267" s="24">
        <v>5</v>
      </c>
      <c r="Q267" s="24">
        <v>3</v>
      </c>
      <c r="R267" s="24">
        <v>4</v>
      </c>
      <c r="S267" s="24">
        <v>5</v>
      </c>
      <c r="T267" s="24">
        <v>0</v>
      </c>
      <c r="U267" s="24">
        <v>1434941000000</v>
      </c>
      <c r="V267" s="109">
        <v>-7.7358363395000046E-2</v>
      </c>
      <c r="W267" s="109">
        <v>-0.32233096691780355</v>
      </c>
      <c r="X267" s="109">
        <v>-0.39988554233240248</v>
      </c>
      <c r="Y267" s="109">
        <v>-0.19899979162906348</v>
      </c>
      <c r="Z267" s="109">
        <v>0.42435110716651681</v>
      </c>
      <c r="AA267" s="109">
        <v>-0.49686519371275262</v>
      </c>
      <c r="AD267" s="111"/>
    </row>
    <row r="268" spans="1:30" ht="15" customHeight="1" x14ac:dyDescent="0.3">
      <c r="A268" s="22" t="s">
        <v>153</v>
      </c>
      <c r="B268" s="23">
        <v>33</v>
      </c>
      <c r="C268" s="3" t="s">
        <v>30</v>
      </c>
      <c r="D268" s="23">
        <v>2022</v>
      </c>
      <c r="E268" s="25">
        <v>0.26699529824655405</v>
      </c>
      <c r="F268" s="25">
        <v>0.19993838157877111</v>
      </c>
      <c r="G268" s="25">
        <v>0.50983907906529191</v>
      </c>
      <c r="H268" s="25">
        <v>2.644270688751118</v>
      </c>
      <c r="I268" s="25">
        <v>-0.11712056303549571</v>
      </c>
      <c r="J268" s="25">
        <v>-5.2808519014765902E-2</v>
      </c>
      <c r="K268" s="25">
        <v>-0.27389037969217483</v>
      </c>
      <c r="L268" s="25">
        <v>0.99990000000000001</v>
      </c>
      <c r="M268" s="24">
        <v>2</v>
      </c>
      <c r="N268" s="108">
        <v>0</v>
      </c>
      <c r="O268" s="24">
        <v>3</v>
      </c>
      <c r="P268" s="24">
        <v>5</v>
      </c>
      <c r="Q268" s="24">
        <v>3</v>
      </c>
      <c r="R268" s="24">
        <v>4</v>
      </c>
      <c r="S268" s="24">
        <v>5</v>
      </c>
      <c r="T268" s="24">
        <v>0</v>
      </c>
      <c r="U268" s="24">
        <v>1681509000000</v>
      </c>
      <c r="V268" s="109">
        <v>0.20404643554765042</v>
      </c>
      <c r="W268" s="109">
        <v>-0.21348072475377772</v>
      </c>
      <c r="X268" s="109">
        <v>-0.30412738795926753</v>
      </c>
      <c r="Y268" s="109">
        <v>7.7718192409318057E-2</v>
      </c>
      <c r="Z268" s="109">
        <v>0.39708491436476656</v>
      </c>
      <c r="AA268" s="109">
        <v>-4.2805005938960583E-2</v>
      </c>
      <c r="AD268" s="111"/>
    </row>
    <row r="269" spans="1:30" ht="15" customHeight="1" x14ac:dyDescent="0.3">
      <c r="A269" s="22" t="s">
        <v>153</v>
      </c>
      <c r="B269" s="23">
        <v>33</v>
      </c>
      <c r="C269" s="3" t="s">
        <v>30</v>
      </c>
      <c r="D269" s="23">
        <v>2023</v>
      </c>
      <c r="E269" s="25">
        <v>0.29637161726804123</v>
      </c>
      <c r="F269" s="25">
        <v>0.17745248067010308</v>
      </c>
      <c r="G269" s="25">
        <v>0.52895633022538302</v>
      </c>
      <c r="H269" s="25">
        <v>2.8486952512678654</v>
      </c>
      <c r="I269" s="25">
        <v>1.3767999545897559E-3</v>
      </c>
      <c r="J269" s="25">
        <v>6.5062068642765297E-4</v>
      </c>
      <c r="K269" s="25">
        <v>3.5039188566159522E-3</v>
      </c>
      <c r="L269" s="25">
        <v>0.99990000000000001</v>
      </c>
      <c r="M269" s="24">
        <v>2</v>
      </c>
      <c r="N269" s="108">
        <v>0</v>
      </c>
      <c r="O269" s="24">
        <v>3</v>
      </c>
      <c r="P269" s="24">
        <v>5</v>
      </c>
      <c r="Q269" s="24">
        <v>3</v>
      </c>
      <c r="R269" s="24">
        <v>4</v>
      </c>
      <c r="S269" s="24">
        <v>5</v>
      </c>
      <c r="T269" s="24">
        <v>0</v>
      </c>
      <c r="U269" s="24">
        <v>1752173000000</v>
      </c>
      <c r="V269" s="109">
        <v>9.2103944202929139E-2</v>
      </c>
      <c r="W269" s="109">
        <v>-0.13083137338607545</v>
      </c>
      <c r="X269" s="109">
        <v>-0.27250499807952749</v>
      </c>
      <c r="Y269" s="109">
        <v>3.9897978110608939E-2</v>
      </c>
      <c r="Z269" s="109">
        <v>0.36858979546256404</v>
      </c>
      <c r="AA269" s="109">
        <v>5.1514021075699801E-3</v>
      </c>
      <c r="AD269" s="111"/>
    </row>
    <row r="270" spans="1:30" ht="15" customHeight="1" x14ac:dyDescent="0.3">
      <c r="A270" s="22" t="s">
        <v>153</v>
      </c>
      <c r="B270" s="23">
        <v>33</v>
      </c>
      <c r="C270" s="3" t="s">
        <v>30</v>
      </c>
      <c r="D270" s="23">
        <v>2024</v>
      </c>
      <c r="E270" s="25">
        <v>0.72740186141485286</v>
      </c>
      <c r="F270" s="25">
        <v>0.30509151709749494</v>
      </c>
      <c r="G270" s="25">
        <v>0.73979584368694173</v>
      </c>
      <c r="H270" s="25">
        <v>2.8431361518948011</v>
      </c>
      <c r="I270" s="25">
        <v>4.846066019338998E-2</v>
      </c>
      <c r="J270" s="25">
        <v>3.3430334881873025E-2</v>
      </c>
      <c r="K270" s="25">
        <v>0.12847732855447602</v>
      </c>
      <c r="L270" s="25">
        <v>0.99990000000000001</v>
      </c>
      <c r="M270" s="24">
        <v>2</v>
      </c>
      <c r="N270" s="108">
        <v>0</v>
      </c>
      <c r="O270" s="24">
        <v>3</v>
      </c>
      <c r="P270" s="24">
        <v>5</v>
      </c>
      <c r="Q270" s="24">
        <v>3</v>
      </c>
      <c r="R270" s="24">
        <v>4</v>
      </c>
      <c r="S270" s="24">
        <v>5</v>
      </c>
      <c r="T270" s="24">
        <v>0</v>
      </c>
      <c r="U270" s="24">
        <v>1434685000000</v>
      </c>
      <c r="V270" s="109">
        <v>0.19529182724300639</v>
      </c>
      <c r="W270" s="109">
        <v>-8.4237919822121227E-2</v>
      </c>
      <c r="X270" s="109">
        <v>-6.4457647497534298E-2</v>
      </c>
      <c r="Y270" s="109">
        <v>0.55317040325925204</v>
      </c>
      <c r="Z270" s="109">
        <v>0.36931048810315686</v>
      </c>
      <c r="AA270" s="109">
        <v>0.77378532404275346</v>
      </c>
      <c r="AD270" s="111"/>
    </row>
    <row r="271" spans="1:30" ht="15" customHeight="1" x14ac:dyDescent="0.3">
      <c r="A271" s="22" t="s">
        <v>153</v>
      </c>
      <c r="B271" s="23">
        <v>34</v>
      </c>
      <c r="C271" s="3" t="s">
        <v>9</v>
      </c>
      <c r="D271" s="23">
        <v>2015</v>
      </c>
      <c r="E271" s="25">
        <v>1.1851448382592606</v>
      </c>
      <c r="F271" s="25">
        <v>0.49069931309358611</v>
      </c>
      <c r="G271" s="25">
        <v>0.51359350900112366</v>
      </c>
      <c r="H271" s="25">
        <v>1.0558936167698267</v>
      </c>
      <c r="I271" s="25">
        <v>5.2460338911427797E-2</v>
      </c>
      <c r="J271" s="25">
        <v>1.9280616053511571E-2</v>
      </c>
      <c r="K271" s="25">
        <v>3.9638895471804284E-2</v>
      </c>
      <c r="L271" s="25">
        <v>0.6</v>
      </c>
      <c r="M271" s="24">
        <v>3</v>
      </c>
      <c r="N271" s="108">
        <v>0</v>
      </c>
      <c r="O271" s="24">
        <v>5</v>
      </c>
      <c r="P271" s="24">
        <v>13</v>
      </c>
      <c r="Q271" s="24">
        <v>5</v>
      </c>
      <c r="R271" s="24">
        <v>4</v>
      </c>
      <c r="S271" s="24">
        <v>13</v>
      </c>
      <c r="T271" s="24">
        <v>8</v>
      </c>
      <c r="U271" s="24">
        <v>9915762000000</v>
      </c>
      <c r="V271" s="109">
        <v>0.86873765478312415</v>
      </c>
      <c r="W271" s="109">
        <v>2.8334508230431509E-2</v>
      </c>
      <c r="X271" s="109">
        <v>0.11122534808721708</v>
      </c>
      <c r="Y271" s="109">
        <v>0.10468907987101747</v>
      </c>
      <c r="Z271" s="109">
        <v>0.99441836120966787</v>
      </c>
      <c r="AA271" s="109">
        <v>1.2386672973983339</v>
      </c>
      <c r="AD271" s="111"/>
    </row>
    <row r="272" spans="1:30" ht="15" customHeight="1" x14ac:dyDescent="0.3">
      <c r="A272" s="22" t="s">
        <v>153</v>
      </c>
      <c r="B272" s="23">
        <v>34</v>
      </c>
      <c r="C272" s="3" t="s">
        <v>9</v>
      </c>
      <c r="D272" s="23">
        <v>2016</v>
      </c>
      <c r="E272" s="25">
        <v>1.6420628559761326</v>
      </c>
      <c r="F272" s="25">
        <v>0.7968166705775156</v>
      </c>
      <c r="G272" s="25">
        <v>0.62457775773066704</v>
      </c>
      <c r="H272" s="25">
        <v>1.6636674320499814</v>
      </c>
      <c r="I272" s="25">
        <v>2.2965472702120019E-2</v>
      </c>
      <c r="J272" s="25">
        <v>1.0053779052529169E-2</v>
      </c>
      <c r="K272" s="25">
        <v>2.6779923831248265E-2</v>
      </c>
      <c r="L272" s="25">
        <v>0.6</v>
      </c>
      <c r="M272" s="24">
        <v>2</v>
      </c>
      <c r="N272" s="108">
        <v>0</v>
      </c>
      <c r="O272" s="24">
        <v>5</v>
      </c>
      <c r="P272" s="24">
        <v>13</v>
      </c>
      <c r="Q272" s="24">
        <v>5</v>
      </c>
      <c r="R272" s="24">
        <v>5</v>
      </c>
      <c r="S272" s="24">
        <v>13</v>
      </c>
      <c r="T272" s="24">
        <v>9</v>
      </c>
      <c r="U272" s="24">
        <v>13069215000000</v>
      </c>
      <c r="V272" s="109">
        <v>0.56995621948157615</v>
      </c>
      <c r="W272" s="109">
        <v>0.10575485673776122</v>
      </c>
      <c r="X272" s="109">
        <v>0.11829646692628439</v>
      </c>
      <c r="Y272" s="109">
        <v>8.8288724303640265E-2</v>
      </c>
      <c r="Z272" s="109">
        <v>0.63113575452167359</v>
      </c>
      <c r="AA272" s="109">
        <v>0.94347580248935947</v>
      </c>
      <c r="AD272" s="111"/>
    </row>
    <row r="273" spans="1:30" ht="15" customHeight="1" x14ac:dyDescent="0.3">
      <c r="A273" s="22" t="s">
        <v>153</v>
      </c>
      <c r="B273" s="23">
        <v>34</v>
      </c>
      <c r="C273" s="3" t="s">
        <v>9</v>
      </c>
      <c r="D273" s="23">
        <v>2017</v>
      </c>
      <c r="E273" s="25">
        <v>1.0404218831862257</v>
      </c>
      <c r="F273" s="25">
        <v>0.37508266746065599</v>
      </c>
      <c r="G273" s="25">
        <v>0.66863565312263129</v>
      </c>
      <c r="H273" s="25">
        <v>2.01782617660457</v>
      </c>
      <c r="I273" s="25">
        <v>6.7964874883819401E-2</v>
      </c>
      <c r="J273" s="25">
        <v>3.0093084868042803E-2</v>
      </c>
      <c r="K273" s="25">
        <v>9.081569924956244E-2</v>
      </c>
      <c r="L273" s="25">
        <v>0.6</v>
      </c>
      <c r="M273" s="24">
        <v>2</v>
      </c>
      <c r="N273" s="108">
        <v>0</v>
      </c>
      <c r="O273" s="24">
        <v>4</v>
      </c>
      <c r="P273" s="24">
        <v>13</v>
      </c>
      <c r="Q273" s="24">
        <v>4</v>
      </c>
      <c r="R273" s="24">
        <v>4</v>
      </c>
      <c r="S273" s="24">
        <v>13</v>
      </c>
      <c r="T273" s="24">
        <v>8</v>
      </c>
      <c r="U273" s="24">
        <v>15733814000000</v>
      </c>
      <c r="V273" s="109">
        <v>0.21762273843096508</v>
      </c>
      <c r="W273" s="109">
        <v>5.8867252403009213E-3</v>
      </c>
      <c r="X273" s="109">
        <v>0.13386794835632351</v>
      </c>
      <c r="Y273" s="109">
        <v>0.14205916505686414</v>
      </c>
      <c r="Z273" s="109">
        <v>0.52036196783156652</v>
      </c>
      <c r="AA273" s="109">
        <v>0.80217580648505504</v>
      </c>
      <c r="AD273" s="111"/>
    </row>
    <row r="274" spans="1:30" ht="15" customHeight="1" x14ac:dyDescent="0.3">
      <c r="A274" s="22" t="s">
        <v>153</v>
      </c>
      <c r="B274" s="23">
        <v>34</v>
      </c>
      <c r="C274" s="3" t="s">
        <v>9</v>
      </c>
      <c r="D274" s="23">
        <v>2018</v>
      </c>
      <c r="E274" s="25">
        <v>0.65790732520895001</v>
      </c>
      <c r="F274" s="25">
        <v>7.9544336250546605E-2</v>
      </c>
      <c r="G274" s="25">
        <v>0.69264576755769436</v>
      </c>
      <c r="H274" s="25">
        <v>2.253574847672589</v>
      </c>
      <c r="I274" s="25">
        <v>-6.2402615843970433E-3</v>
      </c>
      <c r="J274" s="25">
        <v>-2.3196612278378287E-3</v>
      </c>
      <c r="K274" s="25">
        <v>-7.5471914260144745E-3</v>
      </c>
      <c r="L274" s="25">
        <v>0.6</v>
      </c>
      <c r="M274" s="24">
        <v>3</v>
      </c>
      <c r="N274" s="108">
        <v>0</v>
      </c>
      <c r="O274" s="24">
        <v>5</v>
      </c>
      <c r="P274" s="24">
        <v>16</v>
      </c>
      <c r="Q274" s="24">
        <v>5</v>
      </c>
      <c r="R274" s="24">
        <v>4</v>
      </c>
      <c r="S274" s="24">
        <v>16</v>
      </c>
      <c r="T274" s="24">
        <v>8</v>
      </c>
      <c r="U274" s="24">
        <v>16472664000000</v>
      </c>
      <c r="V274" s="109">
        <v>-0.12103939912653726</v>
      </c>
      <c r="W274" s="109">
        <v>-0.15919982827307105</v>
      </c>
      <c r="X274" s="109">
        <v>0.13961052201392563</v>
      </c>
      <c r="Y274" s="109">
        <v>6.5804962694558697E-2</v>
      </c>
      <c r="Z274" s="109">
        <v>0.46592639294159777</v>
      </c>
      <c r="AA274" s="109">
        <v>0.51214204937701102</v>
      </c>
      <c r="AD274" s="111"/>
    </row>
    <row r="275" spans="1:30" ht="15" customHeight="1" x14ac:dyDescent="0.3">
      <c r="A275" s="22" t="s">
        <v>153</v>
      </c>
      <c r="B275" s="23">
        <v>34</v>
      </c>
      <c r="C275" s="3" t="s">
        <v>9</v>
      </c>
      <c r="D275" s="23">
        <v>2019</v>
      </c>
      <c r="E275" s="25">
        <v>0.85820950779497784</v>
      </c>
      <c r="F275" s="25">
        <v>3.3532616614158746E-2</v>
      </c>
      <c r="G275" s="25">
        <v>0.686440003194142</v>
      </c>
      <c r="H275" s="25">
        <v>2.1891823261471521</v>
      </c>
      <c r="I275" s="25">
        <v>7.0331990967530164E-2</v>
      </c>
      <c r="J275" s="25">
        <v>2.5059841189382311E-2</v>
      </c>
      <c r="K275" s="25">
        <v>7.9920402617232503E-2</v>
      </c>
      <c r="L275" s="25">
        <v>0.6</v>
      </c>
      <c r="M275" s="24">
        <v>3</v>
      </c>
      <c r="N275" s="108">
        <v>0</v>
      </c>
      <c r="O275" s="24">
        <v>5</v>
      </c>
      <c r="P275" s="24">
        <v>16</v>
      </c>
      <c r="Q275" s="24">
        <v>5</v>
      </c>
      <c r="R275" s="24">
        <v>5</v>
      </c>
      <c r="S275" s="24">
        <v>16</v>
      </c>
      <c r="T275" s="24">
        <v>11</v>
      </c>
      <c r="U275" s="24">
        <v>17356774000000</v>
      </c>
      <c r="V275" s="109">
        <v>9.9707657683331258E-3</v>
      </c>
      <c r="W275" s="109">
        <v>-2.2436270703300048E-2</v>
      </c>
      <c r="X275" s="109">
        <v>0.17587794713464608</v>
      </c>
      <c r="Y275" s="109">
        <v>0.11286858721557359</v>
      </c>
      <c r="Z275" s="109">
        <v>0.47963113325875684</v>
      </c>
      <c r="AA275" s="109">
        <v>0.74594139690567651</v>
      </c>
      <c r="AD275" s="111"/>
    </row>
    <row r="276" spans="1:30" ht="15" customHeight="1" x14ac:dyDescent="0.3">
      <c r="A276" s="22" t="s">
        <v>153</v>
      </c>
      <c r="B276" s="23">
        <v>34</v>
      </c>
      <c r="C276" s="3" t="s">
        <v>9</v>
      </c>
      <c r="D276" s="23">
        <v>2020</v>
      </c>
      <c r="E276" s="25">
        <v>0.87191012370868481</v>
      </c>
      <c r="F276" s="25">
        <v>0.12364050493546896</v>
      </c>
      <c r="G276" s="25">
        <v>0.70974479175329486</v>
      </c>
      <c r="H276" s="25">
        <v>2.4452439494213678</v>
      </c>
      <c r="I276" s="25">
        <v>5.9080609089642792E-2</v>
      </c>
      <c r="J276" s="25">
        <v>1.6366848900392403E-2</v>
      </c>
      <c r="K276" s="25">
        <v>5.638778714517069E-2</v>
      </c>
      <c r="L276" s="25">
        <v>0.6</v>
      </c>
      <c r="M276" s="24">
        <v>3</v>
      </c>
      <c r="N276" s="108">
        <v>0</v>
      </c>
      <c r="O276" s="24">
        <v>5</v>
      </c>
      <c r="P276" s="24">
        <v>16</v>
      </c>
      <c r="Q276" s="24">
        <v>5</v>
      </c>
      <c r="R276" s="24">
        <v>5</v>
      </c>
      <c r="S276" s="24">
        <v>16</v>
      </c>
      <c r="T276" s="24">
        <v>11</v>
      </c>
      <c r="U276" s="24">
        <v>19539925000000</v>
      </c>
      <c r="V276" s="109">
        <v>-0.12471680555207455</v>
      </c>
      <c r="W276" s="109">
        <v>-1.7029543358022103E-2</v>
      </c>
      <c r="X276" s="109">
        <v>0.1632387033215327</v>
      </c>
      <c r="Y276" s="109">
        <v>4.703605361842484E-2</v>
      </c>
      <c r="Z276" s="109">
        <v>0.42940500895563716</v>
      </c>
      <c r="AA276" s="109">
        <v>0.62265022253757263</v>
      </c>
      <c r="AD276" s="111"/>
    </row>
    <row r="277" spans="1:30" ht="15" customHeight="1" x14ac:dyDescent="0.3">
      <c r="A277" s="22" t="s">
        <v>153</v>
      </c>
      <c r="B277" s="23">
        <v>34</v>
      </c>
      <c r="C277" s="3" t="s">
        <v>9</v>
      </c>
      <c r="D277" s="23">
        <v>2021</v>
      </c>
      <c r="E277" s="25">
        <v>0.71668334114480059</v>
      </c>
      <c r="F277" s="25">
        <v>4.6364813546285945E-2</v>
      </c>
      <c r="G277" s="25">
        <v>0.73677239753290702</v>
      </c>
      <c r="H277" s="25">
        <v>2.7989936869368153</v>
      </c>
      <c r="I277" s="25">
        <v>1.4286492949925565E-2</v>
      </c>
      <c r="J277" s="25">
        <v>3.8677851458586258E-3</v>
      </c>
      <c r="K277" s="25">
        <v>1.469369135154491E-2</v>
      </c>
      <c r="L277" s="25">
        <v>0.6</v>
      </c>
      <c r="M277" s="24">
        <v>3</v>
      </c>
      <c r="N277" s="108">
        <v>0</v>
      </c>
      <c r="O277" s="24">
        <v>5</v>
      </c>
      <c r="P277" s="24">
        <v>17</v>
      </c>
      <c r="Q277" s="24">
        <v>5</v>
      </c>
      <c r="R277" s="24">
        <v>5</v>
      </c>
      <c r="S277" s="24">
        <v>17</v>
      </c>
      <c r="T277" s="24">
        <v>11</v>
      </c>
      <c r="U277" s="24">
        <v>21685279000000</v>
      </c>
      <c r="V277" s="109">
        <v>8.4572835116242889E-2</v>
      </c>
      <c r="W277" s="109">
        <v>-0.11410683533285414</v>
      </c>
      <c r="X277" s="109">
        <v>0.16187071054054689</v>
      </c>
      <c r="Y277" s="109">
        <v>2.8972015531826913E-2</v>
      </c>
      <c r="Z277" s="109">
        <v>0.37513482252584401</v>
      </c>
      <c r="AA277" s="109">
        <v>0.45187071326536365</v>
      </c>
      <c r="AD277" s="111"/>
    </row>
    <row r="278" spans="1:30" ht="15" customHeight="1" x14ac:dyDescent="0.3">
      <c r="A278" s="22" t="s">
        <v>153</v>
      </c>
      <c r="B278" s="23">
        <v>34</v>
      </c>
      <c r="C278" s="3" t="s">
        <v>9</v>
      </c>
      <c r="D278" s="23">
        <v>2022</v>
      </c>
      <c r="E278" s="25">
        <v>0.78704286752240249</v>
      </c>
      <c r="F278" s="25">
        <v>6.1833979171712281E-2</v>
      </c>
      <c r="G278" s="25">
        <v>0.74185275354739866</v>
      </c>
      <c r="H278" s="25">
        <v>2.873758150597244</v>
      </c>
      <c r="I278" s="25">
        <v>5.3919276488833261E-2</v>
      </c>
      <c r="J278" s="25">
        <v>1.5663284194831123E-2</v>
      </c>
      <c r="K278" s="25">
        <v>6.1330952796489313E-2</v>
      </c>
      <c r="L278" s="25">
        <v>0</v>
      </c>
      <c r="M278" s="24">
        <v>0</v>
      </c>
      <c r="N278" s="108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22212474000000</v>
      </c>
      <c r="V278" s="109">
        <v>0.16785990468176723</v>
      </c>
      <c r="W278" s="109">
        <v>-4.154932404197749E-2</v>
      </c>
      <c r="X278" s="109">
        <v>0.17994281771584739</v>
      </c>
      <c r="Y278" s="109">
        <v>4.4337984143504226E-2</v>
      </c>
      <c r="Z278" s="109">
        <v>0.36537521425795066</v>
      </c>
      <c r="AA278" s="109">
        <v>0.54810669207532481</v>
      </c>
      <c r="AD278" s="111"/>
    </row>
    <row r="279" spans="1:30" ht="15" customHeight="1" x14ac:dyDescent="0.3">
      <c r="A279" s="22" t="s">
        <v>153</v>
      </c>
      <c r="B279" s="23">
        <v>34</v>
      </c>
      <c r="C279" s="3" t="s">
        <v>9</v>
      </c>
      <c r="D279" s="23">
        <v>2023</v>
      </c>
      <c r="E279" s="25">
        <v>0.55621093240322128</v>
      </c>
      <c r="F279" s="25">
        <v>6.0844230000955041E-2</v>
      </c>
      <c r="G279" s="25">
        <v>0.74461045392844905</v>
      </c>
      <c r="H279" s="25">
        <v>2.9155870527286036</v>
      </c>
      <c r="I279" s="25">
        <v>0</v>
      </c>
      <c r="J279" s="25">
        <v>0</v>
      </c>
      <c r="K279" s="25">
        <v>0</v>
      </c>
      <c r="L279" s="25">
        <v>0.6</v>
      </c>
      <c r="M279" s="24">
        <v>3</v>
      </c>
      <c r="N279" s="108">
        <v>0</v>
      </c>
      <c r="O279" s="24">
        <v>5</v>
      </c>
      <c r="P279" s="24">
        <v>0</v>
      </c>
      <c r="Q279" s="24">
        <v>5</v>
      </c>
      <c r="R279" s="24">
        <v>4</v>
      </c>
      <c r="S279" s="24">
        <v>0</v>
      </c>
      <c r="T279" s="24">
        <v>0</v>
      </c>
      <c r="U279" s="24">
        <v>23602266000000</v>
      </c>
      <c r="V279" s="109">
        <v>0</v>
      </c>
      <c r="W279" s="109">
        <v>-9.1698605549145148E-2</v>
      </c>
      <c r="X279" s="109">
        <v>0.19658039783129297</v>
      </c>
      <c r="Y279" s="109">
        <v>8.1001822452132347E-2</v>
      </c>
      <c r="Z279" s="109">
        <v>0.36013330454919501</v>
      </c>
      <c r="AA279" s="109">
        <v>0.54601691928347518</v>
      </c>
      <c r="AD279" s="111"/>
    </row>
    <row r="280" spans="1:30" ht="15" customHeight="1" x14ac:dyDescent="0.3">
      <c r="A280" s="22" t="s">
        <v>153</v>
      </c>
      <c r="B280" s="23">
        <v>34</v>
      </c>
      <c r="C280" s="3" t="s">
        <v>9</v>
      </c>
      <c r="D280" s="23">
        <v>2024</v>
      </c>
      <c r="E280" s="25">
        <v>0.38628738482566238</v>
      </c>
      <c r="F280" s="25">
        <v>1.8193099231271867E-2</v>
      </c>
      <c r="G280" s="25">
        <v>0.76236746348207274</v>
      </c>
      <c r="H280" s="25">
        <v>3.2081779484122062</v>
      </c>
      <c r="I280" s="25">
        <v>1.0057024933513398E-2</v>
      </c>
      <c r="J280" s="25">
        <v>2.6883977197924699E-3</v>
      </c>
      <c r="K280" s="25">
        <v>1.131325600099233E-2</v>
      </c>
      <c r="L280" s="25">
        <v>0.6</v>
      </c>
      <c r="M280" s="24">
        <v>1</v>
      </c>
      <c r="N280" s="108">
        <v>0</v>
      </c>
      <c r="O280" s="24">
        <v>3</v>
      </c>
      <c r="P280" s="24">
        <v>10</v>
      </c>
      <c r="Q280" s="24">
        <v>3</v>
      </c>
      <c r="R280" s="24">
        <v>4</v>
      </c>
      <c r="S280" s="24">
        <v>10</v>
      </c>
      <c r="T280" s="24">
        <v>8</v>
      </c>
      <c r="U280" s="24">
        <v>25240685000000</v>
      </c>
      <c r="V280" s="109">
        <v>0</v>
      </c>
      <c r="W280" s="109">
        <v>-0.15964200020720512</v>
      </c>
      <c r="X280" s="109">
        <v>0.20777854642217514</v>
      </c>
      <c r="Y280" s="109">
        <v>8.9029596463011992E-2</v>
      </c>
      <c r="Z280" s="109">
        <v>0.3272885784030985</v>
      </c>
      <c r="AA280" s="109">
        <v>0.46445472108108049</v>
      </c>
      <c r="AD280" s="111"/>
    </row>
    <row r="281" spans="1:30" ht="15" customHeight="1" x14ac:dyDescent="0.3">
      <c r="A281" s="22" t="s">
        <v>153</v>
      </c>
      <c r="B281" s="23">
        <v>35</v>
      </c>
      <c r="C281" s="3" t="s">
        <v>31</v>
      </c>
      <c r="D281" s="23">
        <v>2020</v>
      </c>
      <c r="E281" s="25">
        <v>1.6976291927354445</v>
      </c>
      <c r="F281" s="25">
        <v>1.141802405543261</v>
      </c>
      <c r="G281" s="25">
        <v>0.73358472817869624</v>
      </c>
      <c r="H281" s="25">
        <v>2.7535399315220204</v>
      </c>
      <c r="I281" s="25">
        <v>9.003738274967402E-3</v>
      </c>
      <c r="J281" s="25">
        <v>1.3377193628338564E-2</v>
      </c>
      <c r="K281" s="25">
        <v>5.0211837041350613E-2</v>
      </c>
      <c r="L281" s="25">
        <v>0</v>
      </c>
      <c r="M281" s="24">
        <v>0</v>
      </c>
      <c r="N281" s="108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6861957190000</v>
      </c>
      <c r="V281" s="109">
        <v>0</v>
      </c>
      <c r="W281" s="109">
        <v>3.9743953459435669E-2</v>
      </c>
      <c r="X281" s="109">
        <v>0.1159483480834715</v>
      </c>
      <c r="Y281" s="109">
        <v>7.524184743565851E-2</v>
      </c>
      <c r="Z281" s="109">
        <v>0.38132731905566081</v>
      </c>
      <c r="AA281" s="109">
        <v>0.61226146803422643</v>
      </c>
      <c r="AD281" s="111"/>
    </row>
    <row r="282" spans="1:30" ht="15" customHeight="1" x14ac:dyDescent="0.3">
      <c r="A282" s="22" t="s">
        <v>153</v>
      </c>
      <c r="B282" s="23">
        <v>35</v>
      </c>
      <c r="C282" s="3" t="s">
        <v>31</v>
      </c>
      <c r="D282" s="23">
        <v>2021</v>
      </c>
      <c r="E282" s="25">
        <v>0.46823589104073765</v>
      </c>
      <c r="F282" s="25">
        <v>0.26933935019587357</v>
      </c>
      <c r="G282" s="25">
        <v>0.7185347840522206</v>
      </c>
      <c r="H282" s="25">
        <v>2.5528368812206317</v>
      </c>
      <c r="I282" s="25">
        <v>9.9189804281044174E-3</v>
      </c>
      <c r="J282" s="25">
        <v>1.9396689556566243E-2</v>
      </c>
      <c r="K282" s="25">
        <v>6.8913274030155597E-2</v>
      </c>
      <c r="L282" s="25">
        <v>0.99990000000000001</v>
      </c>
      <c r="M282" s="24">
        <v>2</v>
      </c>
      <c r="N282" s="108">
        <v>0</v>
      </c>
      <c r="O282" s="24">
        <v>4</v>
      </c>
      <c r="P282" s="24">
        <v>0</v>
      </c>
      <c r="Q282" s="24">
        <v>4</v>
      </c>
      <c r="R282" s="24">
        <v>3</v>
      </c>
      <c r="S282" s="24">
        <v>0</v>
      </c>
      <c r="T282" s="24">
        <v>0</v>
      </c>
      <c r="U282" s="24">
        <v>6975768190000</v>
      </c>
      <c r="V282" s="109">
        <v>0.33801957314329695</v>
      </c>
      <c r="W282" s="109">
        <v>-0.12451864573785384</v>
      </c>
      <c r="X282" s="109">
        <v>0.15107087782972903</v>
      </c>
      <c r="Y282" s="109">
        <v>7.6386869042447347E-2</v>
      </c>
      <c r="Z282" s="109">
        <v>0.41130712570164119</v>
      </c>
      <c r="AA282" s="109">
        <v>0.51424622683596377</v>
      </c>
      <c r="AD282" s="111"/>
    </row>
    <row r="283" spans="1:30" ht="15" customHeight="1" x14ac:dyDescent="0.3">
      <c r="A283" s="22" t="s">
        <v>153</v>
      </c>
      <c r="B283" s="23">
        <v>35</v>
      </c>
      <c r="C283" s="3" t="s">
        <v>31</v>
      </c>
      <c r="D283" s="23">
        <v>2022</v>
      </c>
      <c r="E283" s="25">
        <v>0.43567949971850739</v>
      </c>
      <c r="F283" s="25">
        <v>0.29585332676386022</v>
      </c>
      <c r="G283" s="25">
        <v>0.66952666549719408</v>
      </c>
      <c r="H283" s="25">
        <v>2.0259627497767436</v>
      </c>
      <c r="I283" s="25">
        <v>5.2518070045907989E-3</v>
      </c>
      <c r="J283" s="25">
        <v>7.9483213319488169E-3</v>
      </c>
      <c r="K283" s="25">
        <v>2.4051324273732994E-2</v>
      </c>
      <c r="L283" s="25">
        <v>0.99990000000000001</v>
      </c>
      <c r="M283" s="24">
        <v>2</v>
      </c>
      <c r="N283" s="108">
        <v>0</v>
      </c>
      <c r="O283" s="24">
        <v>4</v>
      </c>
      <c r="P283" s="24">
        <v>0</v>
      </c>
      <c r="Q283" s="24">
        <v>4</v>
      </c>
      <c r="R283" s="24">
        <v>3</v>
      </c>
      <c r="S283" s="24">
        <v>0</v>
      </c>
      <c r="T283" s="24">
        <v>0</v>
      </c>
      <c r="U283" s="24">
        <v>6087701790000</v>
      </c>
      <c r="V283" s="109">
        <v>-0.32459012446383911</v>
      </c>
      <c r="W283" s="109">
        <v>-0.20854227079345816</v>
      </c>
      <c r="X283" s="109">
        <v>0.19780474864554756</v>
      </c>
      <c r="Y283" s="109">
        <v>5.1011901619445126E-2</v>
      </c>
      <c r="Z283" s="109">
        <v>0.51827211537611328</v>
      </c>
      <c r="AA283" s="109">
        <v>0.55854649484764785</v>
      </c>
      <c r="AD283" s="111"/>
    </row>
    <row r="284" spans="1:30" ht="15" customHeight="1" x14ac:dyDescent="0.3">
      <c r="A284" s="22" t="s">
        <v>153</v>
      </c>
      <c r="B284" s="23">
        <v>35</v>
      </c>
      <c r="C284" s="3" t="s">
        <v>31</v>
      </c>
      <c r="D284" s="23">
        <v>2023</v>
      </c>
      <c r="E284" s="25">
        <v>0.65909065667294808</v>
      </c>
      <c r="F284" s="25">
        <v>0.31595780312115701</v>
      </c>
      <c r="G284" s="25">
        <v>0.61935230821927301</v>
      </c>
      <c r="H284" s="25">
        <v>1.9869019579596316</v>
      </c>
      <c r="I284" s="25">
        <v>9.5320331577399917E-3</v>
      </c>
      <c r="J284" s="25">
        <v>1.2049841805897106E-2</v>
      </c>
      <c r="K284" s="25">
        <v>3.865627682260047E-2</v>
      </c>
      <c r="L284" s="25">
        <v>0.99990000000000001</v>
      </c>
      <c r="M284" s="24">
        <v>2</v>
      </c>
      <c r="N284" s="108">
        <v>0</v>
      </c>
      <c r="O284" s="24">
        <v>4</v>
      </c>
      <c r="P284" s="24">
        <v>0</v>
      </c>
      <c r="Q284" s="24">
        <v>4</v>
      </c>
      <c r="R284" s="24">
        <v>3</v>
      </c>
      <c r="S284" s="24">
        <v>0</v>
      </c>
      <c r="T284" s="24">
        <v>0</v>
      </c>
      <c r="U284" s="24">
        <v>4352235559999.9995</v>
      </c>
      <c r="V284" s="109">
        <v>-0.40284349749908238</v>
      </c>
      <c r="W284" s="109">
        <v>-9.438165465474023E-2</v>
      </c>
      <c r="X284" s="109">
        <v>4.9188295589405094E-2</v>
      </c>
      <c r="Y284" s="109">
        <v>7.3638675200751319E-2</v>
      </c>
      <c r="Z284" s="109">
        <v>0.52846090155261349</v>
      </c>
      <c r="AA284" s="109">
        <v>0.55690621768802973</v>
      </c>
      <c r="AD284" s="111"/>
    </row>
    <row r="285" spans="1:30" ht="15" customHeight="1" x14ac:dyDescent="0.3">
      <c r="A285" s="22" t="s">
        <v>153</v>
      </c>
      <c r="B285" s="23">
        <v>35</v>
      </c>
      <c r="C285" s="3" t="s">
        <v>31</v>
      </c>
      <c r="D285" s="23">
        <v>2024</v>
      </c>
      <c r="E285" s="25">
        <v>0.56652068247003529</v>
      </c>
      <c r="F285" s="25">
        <v>0.33213097672072112</v>
      </c>
      <c r="G285" s="25">
        <v>0.64886155843765159</v>
      </c>
      <c r="H285" s="25">
        <v>2.3113380778891575</v>
      </c>
      <c r="I285" s="25">
        <v>-3.6204173768192377E-2</v>
      </c>
      <c r="J285" s="25">
        <v>-3.7673938857875296E-2</v>
      </c>
      <c r="K285" s="25">
        <v>-0.13419998194367108</v>
      </c>
      <c r="L285" s="25">
        <v>0.99990000000000001</v>
      </c>
      <c r="M285" s="24">
        <v>2</v>
      </c>
      <c r="N285" s="108">
        <v>0</v>
      </c>
      <c r="O285" s="24">
        <v>4</v>
      </c>
      <c r="P285" s="24">
        <v>0</v>
      </c>
      <c r="Q285" s="24">
        <v>4</v>
      </c>
      <c r="R285" s="24">
        <v>3</v>
      </c>
      <c r="S285" s="24">
        <v>0</v>
      </c>
      <c r="T285" s="24">
        <v>0</v>
      </c>
      <c r="U285" s="24">
        <v>4260842769999.9995</v>
      </c>
      <c r="V285" s="109">
        <v>-0.19412125319802609</v>
      </c>
      <c r="W285" s="109">
        <v>-0.12614949825994165</v>
      </c>
      <c r="X285" s="109">
        <v>-7.2573682553416535E-2</v>
      </c>
      <c r="Y285" s="109">
        <v>-3.4903100637060119E-2</v>
      </c>
      <c r="Z285" s="109">
        <v>0.45428230947456999</v>
      </c>
      <c r="AA285" s="109">
        <v>0.22065602802415168</v>
      </c>
      <c r="AD285" s="111"/>
    </row>
    <row r="286" spans="1:30" ht="15" customHeight="1" x14ac:dyDescent="0.3">
      <c r="A286" s="22" t="s">
        <v>153</v>
      </c>
      <c r="B286" s="23">
        <v>36</v>
      </c>
      <c r="C286" s="3" t="s">
        <v>54</v>
      </c>
      <c r="D286" s="23">
        <v>2016</v>
      </c>
      <c r="E286" s="25">
        <v>0.397708491535266</v>
      </c>
      <c r="F286" s="25">
        <v>0.397708491535266</v>
      </c>
      <c r="G286" s="25">
        <v>1.6656932079865773E-2</v>
      </c>
      <c r="H286" s="25">
        <v>1.693908527274901E-2</v>
      </c>
      <c r="I286" s="25">
        <v>0.43688459787738676</v>
      </c>
      <c r="J286" s="25">
        <v>6.7842009516333648E-3</v>
      </c>
      <c r="K286" s="25">
        <v>6.899119110060547E-3</v>
      </c>
      <c r="L286" s="25">
        <v>0</v>
      </c>
      <c r="M286" s="24">
        <v>0</v>
      </c>
      <c r="N286" s="108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53760200000</v>
      </c>
      <c r="V286" s="109">
        <v>0</v>
      </c>
      <c r="W286" s="109">
        <v>-6.5812076591976965E-2</v>
      </c>
      <c r="X286" s="109">
        <v>2.2116495102324767E-2</v>
      </c>
      <c r="Y286" s="109">
        <v>2.5958653427628615E-2</v>
      </c>
      <c r="Z286" s="109">
        <v>61.986818242730159</v>
      </c>
      <c r="AA286" s="109">
        <v>61.969081314668138</v>
      </c>
      <c r="AD286" s="111"/>
    </row>
    <row r="287" spans="1:30" ht="15" customHeight="1" x14ac:dyDescent="0.3">
      <c r="A287" s="22" t="s">
        <v>153</v>
      </c>
      <c r="B287" s="23">
        <v>36</v>
      </c>
      <c r="C287" s="3" t="s">
        <v>54</v>
      </c>
      <c r="D287" s="23">
        <v>2017</v>
      </c>
      <c r="E287" s="25">
        <v>3.6944998361800323</v>
      </c>
      <c r="F287" s="25">
        <v>3.6944998361800323</v>
      </c>
      <c r="G287" s="25">
        <v>2.5003934928454569E-2</v>
      </c>
      <c r="H287" s="25">
        <v>0.34321326587197681</v>
      </c>
      <c r="I287" s="25">
        <v>0.26790992783062434</v>
      </c>
      <c r="J287" s="25">
        <v>4.9445540866369184E-3</v>
      </c>
      <c r="K287" s="25">
        <v>6.7870779587738114E-2</v>
      </c>
      <c r="L287" s="25">
        <v>0.99990000000000001</v>
      </c>
      <c r="M287" s="24">
        <v>2</v>
      </c>
      <c r="N287" s="108">
        <v>0</v>
      </c>
      <c r="O287" s="24">
        <v>3</v>
      </c>
      <c r="P287" s="24">
        <v>5</v>
      </c>
      <c r="Q287" s="24">
        <v>3</v>
      </c>
      <c r="R287" s="24">
        <v>3</v>
      </c>
      <c r="S287" s="24">
        <v>5</v>
      </c>
      <c r="T287" s="24">
        <v>5</v>
      </c>
      <c r="U287" s="24">
        <v>778476670000</v>
      </c>
      <c r="V287" s="109">
        <v>16.210404638125585</v>
      </c>
      <c r="W287" s="109">
        <v>0.43382432616766792</v>
      </c>
      <c r="X287" s="109">
        <v>7.8596202504051908E-3</v>
      </c>
      <c r="Y287" s="109">
        <v>1.4408681508721386E-2</v>
      </c>
      <c r="Z287" s="109">
        <v>3.0593223060080206</v>
      </c>
      <c r="AA287" s="109">
        <v>3.5154149339348151</v>
      </c>
      <c r="AD287" s="111"/>
    </row>
    <row r="288" spans="1:30" ht="15" customHeight="1" x14ac:dyDescent="0.3">
      <c r="A288" s="22" t="s">
        <v>153</v>
      </c>
      <c r="B288" s="23">
        <v>36</v>
      </c>
      <c r="C288" s="3" t="s">
        <v>54</v>
      </c>
      <c r="D288" s="23">
        <v>2018</v>
      </c>
      <c r="E288" s="25">
        <v>0.62306890543339222</v>
      </c>
      <c r="F288" s="25">
        <v>0.62294329761716949</v>
      </c>
      <c r="G288" s="25">
        <v>4.1163005747256537E-2</v>
      </c>
      <c r="H288" s="25">
        <v>0.14162800654564747</v>
      </c>
      <c r="I288" s="25">
        <v>0.2985747305867813</v>
      </c>
      <c r="J288" s="25">
        <v>7.3046653036156952E-3</v>
      </c>
      <c r="K288" s="25">
        <v>2.5132887325731768E-2</v>
      </c>
      <c r="L288" s="25">
        <v>0.99990000000000001</v>
      </c>
      <c r="M288" s="24">
        <v>2</v>
      </c>
      <c r="N288" s="108">
        <v>0</v>
      </c>
      <c r="O288" s="24">
        <v>3</v>
      </c>
      <c r="P288" s="24">
        <v>5</v>
      </c>
      <c r="Q288" s="24">
        <v>3</v>
      </c>
      <c r="R288" s="24">
        <v>3</v>
      </c>
      <c r="S288" s="24">
        <v>5</v>
      </c>
      <c r="T288" s="24">
        <v>7</v>
      </c>
      <c r="U288" s="24">
        <v>1964847040000</v>
      </c>
      <c r="V288" s="109">
        <v>2.345739264553067</v>
      </c>
      <c r="W288" s="109">
        <v>-0.1001890809780287</v>
      </c>
      <c r="X288" s="109">
        <v>2.7030772431018348E-2</v>
      </c>
      <c r="Y288" s="109">
        <v>5.3867814565351606E-2</v>
      </c>
      <c r="Z288" s="109">
        <v>7.4137878913206281</v>
      </c>
      <c r="AA288" s="109">
        <v>7.3944973973389692</v>
      </c>
      <c r="AD288" s="111"/>
    </row>
    <row r="289" spans="1:30" ht="15" customHeight="1" x14ac:dyDescent="0.3">
      <c r="A289" s="22" t="s">
        <v>153</v>
      </c>
      <c r="B289" s="23">
        <v>36</v>
      </c>
      <c r="C289" s="3" t="s">
        <v>54</v>
      </c>
      <c r="D289" s="23">
        <v>2019</v>
      </c>
      <c r="E289" s="25">
        <v>0.61889121337610598</v>
      </c>
      <c r="F289" s="25">
        <v>0.61702656586115856</v>
      </c>
      <c r="G289" s="25">
        <v>6.2304325865975431E-2</v>
      </c>
      <c r="H289" s="25">
        <v>0.36318017207067821</v>
      </c>
      <c r="I289" s="25">
        <v>-0.18516283627138233</v>
      </c>
      <c r="J289" s="25">
        <v>-6.4792471807558422E-3</v>
      </c>
      <c r="K289" s="25">
        <v>-3.7768390449440956E-2</v>
      </c>
      <c r="L289" s="25">
        <v>0.99990000000000001</v>
      </c>
      <c r="M289" s="24">
        <v>2</v>
      </c>
      <c r="N289" s="108">
        <v>0</v>
      </c>
      <c r="O289" s="24">
        <v>3</v>
      </c>
      <c r="P289" s="24">
        <v>5</v>
      </c>
      <c r="Q289" s="24">
        <v>3</v>
      </c>
      <c r="R289" s="24">
        <v>3</v>
      </c>
      <c r="S289" s="24">
        <v>5</v>
      </c>
      <c r="T289" s="24">
        <v>7</v>
      </c>
      <c r="U289" s="24">
        <v>3207673580000</v>
      </c>
      <c r="V289" s="109">
        <v>1.3349891752085128</v>
      </c>
      <c r="W289" s="109">
        <v>-0.15033428183175671</v>
      </c>
      <c r="X289" s="109">
        <v>3.279448590277069E-2</v>
      </c>
      <c r="Y289" s="109">
        <v>3.6355547624019775E-2</v>
      </c>
      <c r="Z289" s="109">
        <v>2.8911269963153723</v>
      </c>
      <c r="AA289" s="109">
        <v>2.809942748010406</v>
      </c>
      <c r="AD289" s="111"/>
    </row>
    <row r="290" spans="1:30" ht="15" customHeight="1" x14ac:dyDescent="0.3">
      <c r="A290" s="22" t="s">
        <v>153</v>
      </c>
      <c r="B290" s="23">
        <v>36</v>
      </c>
      <c r="C290" s="3" t="s">
        <v>54</v>
      </c>
      <c r="D290" s="23">
        <v>2020</v>
      </c>
      <c r="E290" s="25">
        <v>0.5073165669436378</v>
      </c>
      <c r="F290" s="25">
        <v>0.50162932806085758</v>
      </c>
      <c r="G290" s="25">
        <v>0.12086913738046649</v>
      </c>
      <c r="H290" s="25">
        <v>0.64259234853586589</v>
      </c>
      <c r="I290" s="25">
        <v>0.21633012346980679</v>
      </c>
      <c r="J290" s="25">
        <v>7.9913085424078642E-3</v>
      </c>
      <c r="K290" s="25">
        <v>4.2485235151272643E-2</v>
      </c>
      <c r="L290" s="25">
        <v>0.99990000000000001</v>
      </c>
      <c r="M290" s="24">
        <v>2</v>
      </c>
      <c r="N290" s="108">
        <v>0</v>
      </c>
      <c r="O290" s="24">
        <v>3</v>
      </c>
      <c r="P290" s="24">
        <v>5</v>
      </c>
      <c r="Q290" s="24">
        <v>3</v>
      </c>
      <c r="R290" s="24">
        <v>3</v>
      </c>
      <c r="S290" s="24">
        <v>5</v>
      </c>
      <c r="T290" s="24">
        <v>7</v>
      </c>
      <c r="U290" s="24">
        <v>3055349430000</v>
      </c>
      <c r="V290" s="109">
        <v>5.5435766301490099E-3</v>
      </c>
      <c r="W290" s="109">
        <v>-0.38030927284150273</v>
      </c>
      <c r="X290" s="109">
        <v>5.4447510444001812E-2</v>
      </c>
      <c r="Y290" s="109">
        <v>4.7385669795549375E-2</v>
      </c>
      <c r="Z290" s="109">
        <v>1.634006384284538</v>
      </c>
      <c r="AA290" s="109">
        <v>1.3555302916825864</v>
      </c>
      <c r="AD290" s="111"/>
    </row>
    <row r="291" spans="1:30" ht="15" customHeight="1" x14ac:dyDescent="0.3">
      <c r="A291" s="22" t="s">
        <v>153</v>
      </c>
      <c r="B291" s="23">
        <v>36</v>
      </c>
      <c r="C291" s="3" t="s">
        <v>54</v>
      </c>
      <c r="D291" s="23">
        <v>2021</v>
      </c>
      <c r="E291" s="25">
        <v>0.18300919957736872</v>
      </c>
      <c r="F291" s="25">
        <v>0.18040867018540407</v>
      </c>
      <c r="G291" s="25">
        <v>9.8968769364724096E-2</v>
      </c>
      <c r="H291" s="25">
        <v>0.70658037951832575</v>
      </c>
      <c r="I291" s="25">
        <v>-9.296635052515341E-2</v>
      </c>
      <c r="J291" s="25">
        <v>-4.0153609816163767E-3</v>
      </c>
      <c r="K291" s="25">
        <v>-2.8667379664365559E-2</v>
      </c>
      <c r="L291" s="25">
        <v>0.99990000000000001</v>
      </c>
      <c r="M291" s="24">
        <v>2</v>
      </c>
      <c r="N291" s="108">
        <v>0</v>
      </c>
      <c r="O291" s="24">
        <v>3</v>
      </c>
      <c r="P291" s="24">
        <v>5</v>
      </c>
      <c r="Q291" s="24">
        <v>3</v>
      </c>
      <c r="R291" s="24">
        <v>3</v>
      </c>
      <c r="S291" s="24">
        <v>5</v>
      </c>
      <c r="T291" s="24">
        <v>9</v>
      </c>
      <c r="U291" s="24">
        <v>3988679990000</v>
      </c>
      <c r="V291" s="109">
        <v>0.52639248522468973</v>
      </c>
      <c r="W291" s="109">
        <v>-0.50557081747738819</v>
      </c>
      <c r="X291" s="109">
        <v>5.7512002661311519E-2</v>
      </c>
      <c r="Y291" s="109">
        <v>3.7252560038039048E-2</v>
      </c>
      <c r="Z291" s="109">
        <v>1.4860305075493077</v>
      </c>
      <c r="AA291" s="109">
        <v>1.0752242527712701</v>
      </c>
      <c r="AD291" s="111"/>
    </row>
    <row r="292" spans="1:30" ht="15" customHeight="1" x14ac:dyDescent="0.3">
      <c r="A292" s="22" t="s">
        <v>153</v>
      </c>
      <c r="B292" s="23">
        <v>36</v>
      </c>
      <c r="C292" s="3" t="s">
        <v>54</v>
      </c>
      <c r="D292" s="23">
        <v>2022</v>
      </c>
      <c r="E292" s="25">
        <v>0.19407519485967975</v>
      </c>
      <c r="F292" s="25">
        <v>0.20289623260175671</v>
      </c>
      <c r="G292" s="25">
        <v>7.9013793309005056E-2</v>
      </c>
      <c r="H292" s="25">
        <v>0.59972513495685187</v>
      </c>
      <c r="I292" s="25">
        <v>3.0869834846196527E-3</v>
      </c>
      <c r="J292" s="25">
        <v>1.554967090290774E-4</v>
      </c>
      <c r="K292" s="25">
        <v>1.1802405744919683E-3</v>
      </c>
      <c r="L292" s="25">
        <v>0.99990000000000001</v>
      </c>
      <c r="M292" s="24">
        <v>2</v>
      </c>
      <c r="N292" s="108">
        <v>0</v>
      </c>
      <c r="O292" s="24">
        <v>3</v>
      </c>
      <c r="P292" s="24">
        <v>7</v>
      </c>
      <c r="Q292" s="24">
        <v>3</v>
      </c>
      <c r="R292" s="24">
        <v>3</v>
      </c>
      <c r="S292" s="24">
        <v>7</v>
      </c>
      <c r="T292" s="24">
        <v>9</v>
      </c>
      <c r="U292" s="24">
        <v>4245491780000.0005</v>
      </c>
      <c r="V292" s="109">
        <v>0.2413289784932755</v>
      </c>
      <c r="W292" s="109">
        <v>-0.34746550845989382</v>
      </c>
      <c r="X292" s="109">
        <v>7.5329258793194492E-2</v>
      </c>
      <c r="Y292" s="109">
        <v>4.9493216354784694E-2</v>
      </c>
      <c r="Z292" s="109">
        <v>1.7508020571382987</v>
      </c>
      <c r="AA292" s="109">
        <v>1.528159023826384</v>
      </c>
      <c r="AD292" s="111"/>
    </row>
    <row r="293" spans="1:30" ht="15" customHeight="1" x14ac:dyDescent="0.3">
      <c r="A293" s="22" t="s">
        <v>153</v>
      </c>
      <c r="B293" s="23">
        <v>36</v>
      </c>
      <c r="C293" s="3" t="s">
        <v>54</v>
      </c>
      <c r="D293" s="23">
        <v>2023</v>
      </c>
      <c r="E293" s="25">
        <v>0.13884583147586321</v>
      </c>
      <c r="F293" s="25">
        <v>0.1271337748188901</v>
      </c>
      <c r="G293" s="25">
        <v>8.8577780241511792E-2</v>
      </c>
      <c r="H293" s="25">
        <v>0.47335635206335841</v>
      </c>
      <c r="I293" s="25">
        <v>0.22200378683834446</v>
      </c>
      <c r="J293" s="25">
        <v>1.4532225391528384E-2</v>
      </c>
      <c r="K293" s="25">
        <v>7.7659670178465298E-2</v>
      </c>
      <c r="L293" s="25">
        <v>0.99990000000000001</v>
      </c>
      <c r="M293" s="24">
        <v>2</v>
      </c>
      <c r="N293" s="108">
        <v>0</v>
      </c>
      <c r="O293" s="24">
        <v>3</v>
      </c>
      <c r="P293" s="24">
        <v>7</v>
      </c>
      <c r="Q293" s="24">
        <v>3</v>
      </c>
      <c r="R293" s="24">
        <v>3</v>
      </c>
      <c r="S293" s="24">
        <v>7</v>
      </c>
      <c r="T293" s="24">
        <v>9</v>
      </c>
      <c r="U293" s="24">
        <v>3240789950000</v>
      </c>
      <c r="V293" s="109">
        <v>-8.0090144257184779E-3</v>
      </c>
      <c r="W293" s="109">
        <v>-0.34750092458167481</v>
      </c>
      <c r="X293" s="109">
        <v>0.12902117707443519</v>
      </c>
      <c r="Y293" s="109">
        <v>6.7256754607005614E-2</v>
      </c>
      <c r="Z293" s="109">
        <v>2.2182019855084953</v>
      </c>
      <c r="AA293" s="109">
        <v>2.0669789926082611</v>
      </c>
      <c r="AD293" s="111"/>
    </row>
    <row r="294" spans="1:30" ht="15" customHeight="1" x14ac:dyDescent="0.3">
      <c r="A294" s="22" t="s">
        <v>153</v>
      </c>
      <c r="B294" s="23">
        <v>37</v>
      </c>
      <c r="C294" s="3" t="s">
        <v>10</v>
      </c>
      <c r="D294" s="23">
        <v>2017</v>
      </c>
      <c r="E294" s="25">
        <v>1.5539462912099429</v>
      </c>
      <c r="F294" s="25">
        <v>5.8440651256101685E-2</v>
      </c>
      <c r="G294" s="25">
        <v>0.18226340629906845</v>
      </c>
      <c r="H294" s="25">
        <v>0.22288767275801666</v>
      </c>
      <c r="I294" s="25">
        <v>-0.59777759634514926</v>
      </c>
      <c r="J294" s="25">
        <v>-0.16831460069597415</v>
      </c>
      <c r="K294" s="25">
        <v>-0.20582985033629467</v>
      </c>
      <c r="L294" s="25">
        <v>0</v>
      </c>
      <c r="M294" s="24">
        <v>0</v>
      </c>
      <c r="N294" s="108">
        <v>0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140505220000</v>
      </c>
      <c r="V294" s="109">
        <v>0</v>
      </c>
      <c r="W294" s="109">
        <v>0.18512379255375716</v>
      </c>
      <c r="X294" s="109">
        <v>-1.883481453571618</v>
      </c>
      <c r="Y294" s="109">
        <v>-1.0216612763568498</v>
      </c>
      <c r="Z294" s="109">
        <v>4.7108931014769828</v>
      </c>
      <c r="AA294" s="109">
        <v>1.990874164102272</v>
      </c>
      <c r="AD294" s="111"/>
    </row>
    <row r="295" spans="1:30" ht="15" customHeight="1" x14ac:dyDescent="0.3">
      <c r="A295" s="22" t="s">
        <v>153</v>
      </c>
      <c r="B295" s="23">
        <v>37</v>
      </c>
      <c r="C295" s="3" t="s">
        <v>10</v>
      </c>
      <c r="D295" s="23">
        <v>2018</v>
      </c>
      <c r="E295" s="25">
        <v>0.90910034276671436</v>
      </c>
      <c r="F295" s="25">
        <v>8.8154064504134058E-2</v>
      </c>
      <c r="G295" s="25">
        <v>0.21978322556571039</v>
      </c>
      <c r="H295" s="25">
        <v>0.28169507855694109</v>
      </c>
      <c r="I295" s="25">
        <v>-0.54843277460144757</v>
      </c>
      <c r="J295" s="25">
        <v>-0.15889493631406881</v>
      </c>
      <c r="K295" s="25">
        <v>-0.20365485788136059</v>
      </c>
      <c r="L295" s="25">
        <v>0.84</v>
      </c>
      <c r="M295" s="24">
        <v>2</v>
      </c>
      <c r="N295" s="108">
        <v>0</v>
      </c>
      <c r="O295" s="24">
        <v>4</v>
      </c>
      <c r="P295" s="24">
        <v>0</v>
      </c>
      <c r="Q295" s="24">
        <v>4</v>
      </c>
      <c r="R295" s="24">
        <v>3</v>
      </c>
      <c r="S295" s="24">
        <v>0</v>
      </c>
      <c r="T295" s="24">
        <v>0</v>
      </c>
      <c r="U295" s="24">
        <v>143642400000</v>
      </c>
      <c r="V295" s="109">
        <v>5.1949020352275319E-2</v>
      </c>
      <c r="W295" s="109">
        <v>-3.8404404270605333E-2</v>
      </c>
      <c r="X295" s="109">
        <v>-2.4911723488329351</v>
      </c>
      <c r="Y295" s="109">
        <v>-1.3374578870862641</v>
      </c>
      <c r="Z295" s="109">
        <v>3.7274346622557548</v>
      </c>
      <c r="AA295" s="109">
        <v>-0.13959997793404977</v>
      </c>
      <c r="AD295" s="111"/>
    </row>
    <row r="296" spans="1:30" ht="15" customHeight="1" x14ac:dyDescent="0.3">
      <c r="A296" s="22" t="s">
        <v>153</v>
      </c>
      <c r="B296" s="23">
        <v>37</v>
      </c>
      <c r="C296" s="3" t="s">
        <v>10</v>
      </c>
      <c r="D296" s="23">
        <v>2019</v>
      </c>
      <c r="E296" s="25">
        <v>0.76598305017103374</v>
      </c>
      <c r="F296" s="25">
        <v>0.11186900646187709</v>
      </c>
      <c r="G296" s="25">
        <v>0.24932694257684987</v>
      </c>
      <c r="H296" s="25">
        <v>0.3321378596332194</v>
      </c>
      <c r="I296" s="25">
        <v>-0.67972854680637318</v>
      </c>
      <c r="J296" s="25">
        <v>-0.21428715559980985</v>
      </c>
      <c r="K296" s="25">
        <v>-0.28546003280762133</v>
      </c>
      <c r="L296" s="25">
        <v>0.85</v>
      </c>
      <c r="M296" s="24">
        <v>2</v>
      </c>
      <c r="N296" s="108">
        <v>0</v>
      </c>
      <c r="O296" s="24">
        <v>3</v>
      </c>
      <c r="P296" s="24">
        <v>0</v>
      </c>
      <c r="Q296" s="24">
        <v>3</v>
      </c>
      <c r="R296" s="24">
        <v>3</v>
      </c>
      <c r="S296" s="24">
        <v>0</v>
      </c>
      <c r="T296" s="24">
        <v>0</v>
      </c>
      <c r="U296" s="24">
        <v>157594280000</v>
      </c>
      <c r="V296" s="109">
        <v>0.19380054141518605</v>
      </c>
      <c r="W296" s="109">
        <v>-0.1440097140581498</v>
      </c>
      <c r="X296" s="109">
        <v>-2.998770814524486</v>
      </c>
      <c r="Y296" s="109">
        <v>-1.5009570956509335</v>
      </c>
      <c r="Z296" s="109">
        <v>3.1613378889100976</v>
      </c>
      <c r="AA296" s="109">
        <v>-1.4823997353234719</v>
      </c>
      <c r="AD296" s="111"/>
    </row>
    <row r="297" spans="1:30" ht="15" customHeight="1" x14ac:dyDescent="0.3">
      <c r="A297" s="22" t="s">
        <v>153</v>
      </c>
      <c r="B297" s="23">
        <v>37</v>
      </c>
      <c r="C297" s="3" t="s">
        <v>10</v>
      </c>
      <c r="D297" s="23">
        <v>2020</v>
      </c>
      <c r="E297" s="25">
        <v>0.69795396051704539</v>
      </c>
      <c r="F297" s="25">
        <v>4.2017920427699709E-2</v>
      </c>
      <c r="G297" s="25">
        <v>0.28321208405993159</v>
      </c>
      <c r="H297" s="25">
        <v>0.39511280500383228</v>
      </c>
      <c r="I297" s="25">
        <v>-0.63070441108017194</v>
      </c>
      <c r="J297" s="25">
        <v>-0.18629765195412468</v>
      </c>
      <c r="K297" s="25">
        <v>-0.25990623978334654</v>
      </c>
      <c r="L297" s="25">
        <v>0</v>
      </c>
      <c r="M297" s="24">
        <v>0</v>
      </c>
      <c r="N297" s="108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169752220000</v>
      </c>
      <c r="V297" s="109">
        <v>9.2433451558031916E-3</v>
      </c>
      <c r="W297" s="109">
        <v>-0.18671544678473137</v>
      </c>
      <c r="X297" s="109">
        <v>-3.3610093228824933</v>
      </c>
      <c r="Y297" s="109">
        <v>-1.1894307785783302</v>
      </c>
      <c r="Z297" s="109">
        <v>2.6574689220457328</v>
      </c>
      <c r="AA297" s="109">
        <v>-2.0796866261998224</v>
      </c>
      <c r="AD297" s="111"/>
    </row>
    <row r="298" spans="1:30" ht="15" customHeight="1" x14ac:dyDescent="0.3">
      <c r="A298" s="22" t="s">
        <v>153</v>
      </c>
      <c r="B298" s="23">
        <v>37</v>
      </c>
      <c r="C298" s="3" t="s">
        <v>10</v>
      </c>
      <c r="D298" s="23">
        <v>2021</v>
      </c>
      <c r="E298" s="25">
        <v>0.64057352871519058</v>
      </c>
      <c r="F298" s="25">
        <v>3.8899103901752149E-2</v>
      </c>
      <c r="G298" s="25">
        <v>0.25670895956759193</v>
      </c>
      <c r="H298" s="25">
        <v>0.34536802625557278</v>
      </c>
      <c r="I298" s="25">
        <v>-0.57472553881002575</v>
      </c>
      <c r="J298" s="25">
        <v>-0.14078984933073901</v>
      </c>
      <c r="K298" s="25">
        <v>-0.1894141617109158</v>
      </c>
      <c r="L298" s="25">
        <v>0.67300000000000004</v>
      </c>
      <c r="M298" s="24">
        <v>2</v>
      </c>
      <c r="N298" s="108">
        <v>0</v>
      </c>
      <c r="O298" s="24">
        <v>3</v>
      </c>
      <c r="P298" s="24">
        <v>0</v>
      </c>
      <c r="Q298" s="24">
        <v>3</v>
      </c>
      <c r="R298" s="24">
        <v>3</v>
      </c>
      <c r="S298" s="24">
        <v>0</v>
      </c>
      <c r="T298" s="24">
        <v>0</v>
      </c>
      <c r="U298" s="24">
        <v>171563860000</v>
      </c>
      <c r="V298" s="109">
        <v>-0.16181539189325561</v>
      </c>
      <c r="W298" s="109">
        <v>-0.12766284927373397</v>
      </c>
      <c r="X298" s="109">
        <v>-3.8070995278376225</v>
      </c>
      <c r="Y298" s="109">
        <v>-0.99270725198185683</v>
      </c>
      <c r="Z298" s="109">
        <v>3.0402351120453712</v>
      </c>
      <c r="AA298" s="109">
        <v>-1.8872345170478422</v>
      </c>
      <c r="AD298" s="111"/>
    </row>
    <row r="299" spans="1:30" ht="15" customHeight="1" x14ac:dyDescent="0.3">
      <c r="A299" s="22" t="s">
        <v>153</v>
      </c>
      <c r="B299" s="23">
        <v>37</v>
      </c>
      <c r="C299" s="3" t="s">
        <v>10</v>
      </c>
      <c r="D299" s="23">
        <v>2022</v>
      </c>
      <c r="E299" s="25">
        <v>0.63301037828924112</v>
      </c>
      <c r="F299" s="25">
        <v>8.5468328324212486E-2</v>
      </c>
      <c r="G299" s="25">
        <v>0.26748021657359583</v>
      </c>
      <c r="H299" s="25">
        <v>0.36515084319285068</v>
      </c>
      <c r="I299" s="25">
        <v>-0.52681457971480794</v>
      </c>
      <c r="J299" s="25">
        <v>-0.13131136356659773</v>
      </c>
      <c r="K299" s="25">
        <v>-0.17925981869374386</v>
      </c>
      <c r="L299" s="25">
        <v>0.61450000000000005</v>
      </c>
      <c r="M299" s="24">
        <v>2</v>
      </c>
      <c r="N299" s="108">
        <v>0</v>
      </c>
      <c r="O299" s="24">
        <v>3</v>
      </c>
      <c r="P299" s="24">
        <v>0</v>
      </c>
      <c r="Q299" s="24">
        <v>3</v>
      </c>
      <c r="R299" s="24">
        <v>3</v>
      </c>
      <c r="S299" s="24">
        <v>0</v>
      </c>
      <c r="T299" s="24">
        <v>0</v>
      </c>
      <c r="U299" s="24">
        <v>176564460000</v>
      </c>
      <c r="V299" s="109">
        <v>4.7155454246950827E-2</v>
      </c>
      <c r="W299" s="109">
        <v>-0.12534945707646938</v>
      </c>
      <c r="X299" s="109">
        <v>-4.1467363749193922</v>
      </c>
      <c r="Y299" s="109">
        <v>-0.9223716800085362</v>
      </c>
      <c r="Z299" s="109">
        <v>2.8755239637922818</v>
      </c>
      <c r="AA299" s="109">
        <v>-2.3189335482121161</v>
      </c>
      <c r="AD299" s="111"/>
    </row>
    <row r="300" spans="1:30" ht="15" customHeight="1" x14ac:dyDescent="0.3">
      <c r="A300" s="22" t="s">
        <v>153</v>
      </c>
      <c r="B300" s="23">
        <v>37</v>
      </c>
      <c r="C300" s="3" t="s">
        <v>10</v>
      </c>
      <c r="D300" s="23">
        <v>2023</v>
      </c>
      <c r="E300" s="25">
        <v>0.99159946478875083</v>
      </c>
      <c r="F300" s="25">
        <v>5.9917568027355823E-2</v>
      </c>
      <c r="G300" s="25">
        <v>0.34149184657241632</v>
      </c>
      <c r="H300" s="25">
        <v>0.51858408251276156</v>
      </c>
      <c r="I300" s="25">
        <v>-0.84631222517709703</v>
      </c>
      <c r="J300" s="25">
        <v>-0.19310623500065027</v>
      </c>
      <c r="K300" s="25">
        <v>-0.29324805470595622</v>
      </c>
      <c r="L300" s="25">
        <v>0.57299999999999995</v>
      </c>
      <c r="M300" s="24">
        <v>2</v>
      </c>
      <c r="N300" s="108">
        <v>0</v>
      </c>
      <c r="O300" s="24">
        <v>3</v>
      </c>
      <c r="P300" s="24">
        <v>0</v>
      </c>
      <c r="Q300" s="24">
        <v>3</v>
      </c>
      <c r="R300" s="24">
        <v>4</v>
      </c>
      <c r="S300" s="24">
        <v>0</v>
      </c>
      <c r="T300" s="24">
        <v>0</v>
      </c>
      <c r="U300" s="24">
        <v>181228690000</v>
      </c>
      <c r="V300" s="109">
        <v>-6.0396085948442202E-2</v>
      </c>
      <c r="W300" s="109">
        <v>-4.6383296154709278E-3</v>
      </c>
      <c r="X300" s="109">
        <v>-4.6175059754611691</v>
      </c>
      <c r="Y300" s="109">
        <v>-1.1904149083679851</v>
      </c>
      <c r="Z300" s="109">
        <v>2.0247439815589812</v>
      </c>
      <c r="AA300" s="109">
        <v>-3.7878152318856437</v>
      </c>
      <c r="AD300" s="111"/>
    </row>
    <row r="301" spans="1:30" ht="15" customHeight="1" x14ac:dyDescent="0.3">
      <c r="A301" s="22" t="s">
        <v>153</v>
      </c>
      <c r="B301" s="23">
        <v>37</v>
      </c>
      <c r="C301" s="3" t="s">
        <v>10</v>
      </c>
      <c r="D301" s="23">
        <v>2024</v>
      </c>
      <c r="E301" s="25">
        <v>1.8296231266068852</v>
      </c>
      <c r="F301" s="25">
        <v>0.19389226813820781</v>
      </c>
      <c r="G301" s="25">
        <v>0.40768086688622118</v>
      </c>
      <c r="H301" s="25">
        <v>0.68827346692537217</v>
      </c>
      <c r="I301" s="25">
        <v>-0.90244562543056783</v>
      </c>
      <c r="J301" s="25">
        <v>-0.17711965077310876</v>
      </c>
      <c r="K301" s="25">
        <v>-0.29902496290619751</v>
      </c>
      <c r="L301" s="25">
        <v>0.4874</v>
      </c>
      <c r="M301" s="24">
        <v>2</v>
      </c>
      <c r="N301" s="108">
        <v>0</v>
      </c>
      <c r="O301" s="24">
        <v>3</v>
      </c>
      <c r="P301" s="24">
        <v>0</v>
      </c>
      <c r="Q301" s="24">
        <v>3</v>
      </c>
      <c r="R301" s="24">
        <v>4</v>
      </c>
      <c r="S301" s="24">
        <v>0</v>
      </c>
      <c r="T301" s="24">
        <v>0</v>
      </c>
      <c r="U301" s="24">
        <v>207086000000</v>
      </c>
      <c r="V301" s="109">
        <v>-1.7112505601351143E-2</v>
      </c>
      <c r="W301" s="109">
        <v>0.41909544826786932</v>
      </c>
      <c r="X301" s="109">
        <v>-4.604388321760041</v>
      </c>
      <c r="Y301" s="109">
        <v>-1.161428198912529</v>
      </c>
      <c r="Z301" s="109">
        <v>1.5255564110156943</v>
      </c>
      <c r="AA301" s="109">
        <v>-3.8211646613890062</v>
      </c>
      <c r="AD301" s="111"/>
    </row>
    <row r="302" spans="1:30" ht="15" customHeight="1" x14ac:dyDescent="0.3">
      <c r="A302" s="22" t="s">
        <v>153</v>
      </c>
      <c r="B302" s="23">
        <v>38</v>
      </c>
      <c r="C302" s="3" t="s">
        <v>32</v>
      </c>
      <c r="D302" s="23">
        <v>2018</v>
      </c>
      <c r="E302" s="25">
        <v>0.64102564102564108</v>
      </c>
      <c r="F302" s="25">
        <v>0.37149270482603813</v>
      </c>
      <c r="G302" s="25">
        <v>3.02845698508649E-2</v>
      </c>
      <c r="H302" s="25">
        <v>3.1230368115527825E-2</v>
      </c>
      <c r="I302" s="25">
        <v>-0.73612999728039163</v>
      </c>
      <c r="J302" s="25">
        <v>-2.830795456922337E-2</v>
      </c>
      <c r="K302" s="25">
        <v>-2.9192022411017853E-2</v>
      </c>
      <c r="L302" s="25">
        <v>0.8</v>
      </c>
      <c r="M302" s="24">
        <v>2</v>
      </c>
      <c r="N302" s="108">
        <v>0</v>
      </c>
      <c r="O302" s="24">
        <v>4</v>
      </c>
      <c r="P302" s="24">
        <v>0</v>
      </c>
      <c r="Q302" s="24">
        <v>4</v>
      </c>
      <c r="R302" s="24">
        <v>4</v>
      </c>
      <c r="S302" s="24">
        <v>0</v>
      </c>
      <c r="T302" s="24">
        <v>0</v>
      </c>
      <c r="U302" s="24">
        <v>382472000000</v>
      </c>
      <c r="V302" s="109">
        <v>0.87196130838742525</v>
      </c>
      <c r="W302" s="109">
        <v>-7.1316279361626461E-2</v>
      </c>
      <c r="X302" s="109">
        <v>-8.0419220230500521E-2</v>
      </c>
      <c r="Y302" s="109">
        <v>-0.15566943462527977</v>
      </c>
      <c r="Z302" s="109">
        <v>33.621121471121477</v>
      </c>
      <c r="AA302" s="109">
        <v>33.313716536904067</v>
      </c>
      <c r="AD302" s="111"/>
    </row>
    <row r="303" spans="1:30" ht="15" customHeight="1" x14ac:dyDescent="0.3">
      <c r="A303" s="22" t="s">
        <v>153</v>
      </c>
      <c r="B303" s="23">
        <v>38</v>
      </c>
      <c r="C303" s="3" t="s">
        <v>32</v>
      </c>
      <c r="D303" s="23">
        <v>2019</v>
      </c>
      <c r="E303" s="25">
        <v>0.926563721130784</v>
      </c>
      <c r="F303" s="25">
        <v>6.7453580187026713E-2</v>
      </c>
      <c r="G303" s="25">
        <v>0.12588945599723525</v>
      </c>
      <c r="H303" s="25">
        <v>0.1440200634358634</v>
      </c>
      <c r="I303" s="25">
        <v>-1.1605547890494516</v>
      </c>
      <c r="J303" s="25">
        <v>-8.2437322205515598E-2</v>
      </c>
      <c r="K303" s="25">
        <v>-9.4309950579036655E-2</v>
      </c>
      <c r="L303" s="25">
        <v>0.8</v>
      </c>
      <c r="M303" s="24">
        <v>2</v>
      </c>
      <c r="N303" s="108">
        <v>0</v>
      </c>
      <c r="O303" s="24">
        <v>3</v>
      </c>
      <c r="P303" s="24">
        <v>0</v>
      </c>
      <c r="Q303" s="24">
        <v>3</v>
      </c>
      <c r="R303" s="24">
        <v>4</v>
      </c>
      <c r="S303" s="24">
        <v>0</v>
      </c>
      <c r="T303" s="24">
        <v>0</v>
      </c>
      <c r="U303" s="24">
        <v>387737000000</v>
      </c>
      <c r="V303" s="109">
        <v>0.87258634756595055</v>
      </c>
      <c r="W303" s="109">
        <v>-4.6103415459448023E-2</v>
      </c>
      <c r="X303" s="109">
        <v>-0.34807289477145587</v>
      </c>
      <c r="Y303" s="109">
        <v>-0.48928093011500062</v>
      </c>
      <c r="Z303" s="109">
        <v>7.2906508645415062</v>
      </c>
      <c r="AA303" s="109">
        <v>6.4071936241956013</v>
      </c>
      <c r="AD303" s="111"/>
    </row>
    <row r="304" spans="1:30" ht="15" customHeight="1" x14ac:dyDescent="0.3">
      <c r="A304" s="22" t="s">
        <v>153</v>
      </c>
      <c r="B304" s="23">
        <v>38</v>
      </c>
      <c r="C304" s="3" t="s">
        <v>32</v>
      </c>
      <c r="D304" s="23">
        <v>2020</v>
      </c>
      <c r="E304" s="25">
        <v>0.74791470268851212</v>
      </c>
      <c r="F304" s="25">
        <v>9.5846111621579688E-2</v>
      </c>
      <c r="G304" s="25">
        <v>0.30902954675399508</v>
      </c>
      <c r="H304" s="25">
        <v>0.44723988602154002</v>
      </c>
      <c r="I304" s="25">
        <v>-0.80971428571428572</v>
      </c>
      <c r="J304" s="25">
        <v>-6.3049093307763676E-2</v>
      </c>
      <c r="K304" s="25">
        <v>-9.124716261248933E-2</v>
      </c>
      <c r="L304" s="25">
        <v>0.8</v>
      </c>
      <c r="M304" s="24">
        <v>2</v>
      </c>
      <c r="N304" s="108">
        <v>0</v>
      </c>
      <c r="O304" s="24">
        <v>3</v>
      </c>
      <c r="P304" s="24">
        <v>0</v>
      </c>
      <c r="Q304" s="24">
        <v>3</v>
      </c>
      <c r="R304" s="24">
        <v>4</v>
      </c>
      <c r="S304" s="24">
        <v>0</v>
      </c>
      <c r="T304" s="24">
        <v>0</v>
      </c>
      <c r="U304" s="24">
        <v>449491000000</v>
      </c>
      <c r="V304" s="109">
        <v>0.27078643526250817</v>
      </c>
      <c r="W304" s="109">
        <v>-0.30830428195447734</v>
      </c>
      <c r="X304" s="109">
        <v>-0.5057924185356325</v>
      </c>
      <c r="Y304" s="109">
        <v>-0.3835485026396524</v>
      </c>
      <c r="Z304" s="109">
        <v>2.3477333592501406</v>
      </c>
      <c r="AA304" s="109">
        <v>1.1500881561203784</v>
      </c>
      <c r="AD304" s="111"/>
    </row>
    <row r="305" spans="1:30" ht="15" customHeight="1" x14ac:dyDescent="0.3">
      <c r="A305" s="22" t="s">
        <v>153</v>
      </c>
      <c r="B305" s="23">
        <v>38</v>
      </c>
      <c r="C305" s="3" t="s">
        <v>32</v>
      </c>
      <c r="D305" s="23">
        <v>2021</v>
      </c>
      <c r="E305" s="25">
        <v>2.8422383350398062</v>
      </c>
      <c r="F305" s="25">
        <v>0.7929038594145057</v>
      </c>
      <c r="G305" s="25">
        <v>0.38689364464788933</v>
      </c>
      <c r="H305" s="25">
        <v>0.6310383855435554</v>
      </c>
      <c r="I305" s="25">
        <v>-0.96928147123443731</v>
      </c>
      <c r="J305" s="25">
        <v>-5.6038031435681993E-2</v>
      </c>
      <c r="K305" s="25">
        <v>-9.1400180321893759E-2</v>
      </c>
      <c r="L305" s="25">
        <v>0.8</v>
      </c>
      <c r="M305" s="24">
        <v>2</v>
      </c>
      <c r="N305" s="108">
        <v>0</v>
      </c>
      <c r="O305" s="24">
        <v>4</v>
      </c>
      <c r="P305" s="24">
        <v>0</v>
      </c>
      <c r="Q305" s="24">
        <v>4</v>
      </c>
      <c r="R305" s="24">
        <v>4</v>
      </c>
      <c r="S305" s="24">
        <v>0</v>
      </c>
      <c r="T305" s="24">
        <v>0</v>
      </c>
      <c r="U305" s="24">
        <v>425122000000</v>
      </c>
      <c r="V305" s="109">
        <v>-0.29777142857142858</v>
      </c>
      <c r="W305" s="109">
        <v>1.3604467423469027</v>
      </c>
      <c r="X305" s="109">
        <v>-0.91774488264545229</v>
      </c>
      <c r="Y305" s="109">
        <v>-0.34210000893861053</v>
      </c>
      <c r="Z305" s="109">
        <v>1.6639241352894325</v>
      </c>
      <c r="AA305" s="109">
        <v>1.7645259860522724</v>
      </c>
      <c r="AD305" s="111"/>
    </row>
    <row r="306" spans="1:30" ht="15" customHeight="1" x14ac:dyDescent="0.3">
      <c r="A306" s="22" t="s">
        <v>153</v>
      </c>
      <c r="B306" s="23">
        <v>38</v>
      </c>
      <c r="C306" s="3" t="s">
        <v>32</v>
      </c>
      <c r="D306" s="23">
        <v>2022</v>
      </c>
      <c r="E306" s="25">
        <v>8.4626577077391598</v>
      </c>
      <c r="F306" s="25">
        <v>2.2736984579687727</v>
      </c>
      <c r="G306" s="25">
        <v>0.42833621742671008</v>
      </c>
      <c r="H306" s="25">
        <v>0.74927996225088034</v>
      </c>
      <c r="I306" s="25">
        <v>-1.3393846955098396</v>
      </c>
      <c r="J306" s="25">
        <v>-9.1622557003257332E-2</v>
      </c>
      <c r="K306" s="25">
        <v>-0.16027350305598712</v>
      </c>
      <c r="L306" s="25">
        <v>0.8</v>
      </c>
      <c r="M306" s="24">
        <v>2</v>
      </c>
      <c r="N306" s="108">
        <v>0</v>
      </c>
      <c r="O306" s="24">
        <v>4</v>
      </c>
      <c r="P306" s="24">
        <v>0</v>
      </c>
      <c r="Q306" s="24">
        <v>4</v>
      </c>
      <c r="R306" s="24">
        <v>5</v>
      </c>
      <c r="S306" s="24">
        <v>0</v>
      </c>
      <c r="T306" s="24">
        <v>0</v>
      </c>
      <c r="U306" s="24">
        <v>392960000000</v>
      </c>
      <c r="V306" s="109">
        <v>9.3701684433232971E-2</v>
      </c>
      <c r="W306" s="109">
        <v>2.5771905537459281</v>
      </c>
      <c r="X306" s="109">
        <v>-1.2915476893322475</v>
      </c>
      <c r="Y306" s="109">
        <v>-0.60833306188925085</v>
      </c>
      <c r="Z306" s="109">
        <v>1.4013453620803356</v>
      </c>
      <c r="AA306" s="109">
        <v>2.0786551646047653</v>
      </c>
      <c r="AD306" s="111"/>
    </row>
    <row r="307" spans="1:30" ht="15" customHeight="1" x14ac:dyDescent="0.3">
      <c r="A307" s="22" t="s">
        <v>153</v>
      </c>
      <c r="B307" s="23">
        <v>38</v>
      </c>
      <c r="C307" s="3" t="s">
        <v>32</v>
      </c>
      <c r="D307" s="23">
        <v>2023</v>
      </c>
      <c r="E307" s="25">
        <v>12.899992277395938</v>
      </c>
      <c r="F307" s="25">
        <v>3.1741447216001237</v>
      </c>
      <c r="G307" s="25">
        <v>0.53241305108282011</v>
      </c>
      <c r="H307" s="25">
        <v>1.138639674002369</v>
      </c>
      <c r="I307" s="25">
        <v>-0.87400546666898793</v>
      </c>
      <c r="J307" s="25">
        <v>-0.13303899848415787</v>
      </c>
      <c r="K307" s="25">
        <v>-0.28452248034776101</v>
      </c>
      <c r="L307" s="25">
        <v>0.8</v>
      </c>
      <c r="M307" s="24">
        <v>2</v>
      </c>
      <c r="N307" s="108">
        <v>0</v>
      </c>
      <c r="O307" s="24">
        <v>3</v>
      </c>
      <c r="P307" s="24">
        <v>0</v>
      </c>
      <c r="Q307" s="24">
        <v>3</v>
      </c>
      <c r="R307" s="24">
        <v>4</v>
      </c>
      <c r="S307" s="24">
        <v>0</v>
      </c>
      <c r="T307" s="24">
        <v>0</v>
      </c>
      <c r="U307" s="24">
        <v>377348000000</v>
      </c>
      <c r="V307" s="109">
        <v>1.1367880659201666</v>
      </c>
      <c r="W307" s="109">
        <v>2.6788271833956983</v>
      </c>
      <c r="X307" s="109">
        <v>-1.7613769252785225</v>
      </c>
      <c r="Y307" s="109">
        <v>-0.87183268494864163</v>
      </c>
      <c r="Z307" s="109">
        <v>0.92215300764042707</v>
      </c>
      <c r="AA307" s="109">
        <v>0.96777058080896117</v>
      </c>
      <c r="AD307" s="111"/>
    </row>
    <row r="308" spans="1:30" ht="15" customHeight="1" x14ac:dyDescent="0.3">
      <c r="A308" s="22" t="s">
        <v>153</v>
      </c>
      <c r="B308" s="23">
        <v>38</v>
      </c>
      <c r="C308" s="3" t="s">
        <v>32</v>
      </c>
      <c r="D308" s="23">
        <v>2024</v>
      </c>
      <c r="E308" s="25">
        <v>6.2974802063142681</v>
      </c>
      <c r="F308" s="25">
        <v>1.9366273530667892</v>
      </c>
      <c r="G308" s="25">
        <v>0.66499616939212214</v>
      </c>
      <c r="H308" s="25">
        <v>1.985040493971248</v>
      </c>
      <c r="I308" s="25">
        <v>-1.1562995061038115</v>
      </c>
      <c r="J308" s="25">
        <v>-0.13112038675930573</v>
      </c>
      <c r="K308" s="25">
        <v>-0.39139966406169907</v>
      </c>
      <c r="L308" s="25">
        <v>0.8</v>
      </c>
      <c r="M308" s="24">
        <v>2</v>
      </c>
      <c r="N308" s="108">
        <v>0</v>
      </c>
      <c r="O308" s="24">
        <v>4</v>
      </c>
      <c r="P308" s="24">
        <v>0</v>
      </c>
      <c r="Q308" s="24">
        <v>4</v>
      </c>
      <c r="R308" s="24">
        <v>4</v>
      </c>
      <c r="S308" s="24">
        <v>0</v>
      </c>
      <c r="T308" s="24">
        <v>0</v>
      </c>
      <c r="U308" s="24">
        <v>378530000000</v>
      </c>
      <c r="V308" s="109">
        <v>-0.25270286738975262</v>
      </c>
      <c r="W308" s="109">
        <v>2.7944944918500512</v>
      </c>
      <c r="X308" s="109">
        <v>2.1833379124507966</v>
      </c>
      <c r="Y308" s="109">
        <v>-0.84736300953689259</v>
      </c>
      <c r="Z308" s="109">
        <v>0.52895646370386262</v>
      </c>
      <c r="AA308" s="109">
        <v>4.6594258584678183</v>
      </c>
      <c r="AD308" s="111"/>
    </row>
    <row r="309" spans="1:30" ht="15" customHeight="1" x14ac:dyDescent="0.3">
      <c r="A309" s="22" t="s">
        <v>153</v>
      </c>
      <c r="B309" s="23">
        <v>39</v>
      </c>
      <c r="C309" s="3" t="s">
        <v>33</v>
      </c>
      <c r="D309" s="23">
        <v>2015</v>
      </c>
      <c r="E309" s="25">
        <v>1.0704179974225361</v>
      </c>
      <c r="F309" s="25">
        <v>0.16620440410152967</v>
      </c>
      <c r="G309" s="25">
        <v>0.7508774322299655</v>
      </c>
      <c r="H309" s="25">
        <v>3.029040996308785</v>
      </c>
      <c r="I309" s="25">
        <v>-4.7673013784003036E-2</v>
      </c>
      <c r="J309" s="25">
        <v>-3.3343946737352345E-2</v>
      </c>
      <c r="K309" s="25">
        <v>-0.13450954484838512</v>
      </c>
      <c r="L309" s="25">
        <v>0.98219999999999996</v>
      </c>
      <c r="M309" s="24">
        <v>2</v>
      </c>
      <c r="N309" s="108">
        <v>0</v>
      </c>
      <c r="O309" s="24">
        <v>4</v>
      </c>
      <c r="P309" s="24">
        <v>0</v>
      </c>
      <c r="Q309" s="24">
        <v>4</v>
      </c>
      <c r="R309" s="24">
        <v>3</v>
      </c>
      <c r="S309" s="24">
        <v>0</v>
      </c>
      <c r="T309" s="24">
        <v>0</v>
      </c>
      <c r="U309" s="24">
        <v>1642577000000</v>
      </c>
      <c r="V309" s="109">
        <v>8.1003670565564428E-2</v>
      </c>
      <c r="W309" s="109">
        <v>4.0152906073809627E-2</v>
      </c>
      <c r="X309" s="109">
        <v>-0.24519607908792099</v>
      </c>
      <c r="Y309" s="109">
        <v>-0.17193393064678245</v>
      </c>
      <c r="Z309" s="109">
        <v>0.34664436740193971</v>
      </c>
      <c r="AA309" s="109">
        <v>-3.0332736258954052E-2</v>
      </c>
      <c r="AD309" s="111"/>
    </row>
    <row r="310" spans="1:30" ht="15" customHeight="1" x14ac:dyDescent="0.3">
      <c r="A310" s="22" t="s">
        <v>153</v>
      </c>
      <c r="B310" s="23">
        <v>39</v>
      </c>
      <c r="C310" s="3" t="s">
        <v>33</v>
      </c>
      <c r="D310" s="23">
        <v>2016</v>
      </c>
      <c r="E310" s="25">
        <v>0.91590143902325849</v>
      </c>
      <c r="F310" s="25">
        <v>4.9172213600342352E-2</v>
      </c>
      <c r="G310" s="25">
        <v>0.80991653227058946</v>
      </c>
      <c r="H310" s="25">
        <v>4.2605926048885756</v>
      </c>
      <c r="I310" s="25">
        <v>-1.6667372954814252E-2</v>
      </c>
      <c r="J310" s="25">
        <v>-1.0665567503151795E-2</v>
      </c>
      <c r="K310" s="25">
        <v>-5.6106569282483296E-2</v>
      </c>
      <c r="L310" s="25">
        <v>0.98219999999999996</v>
      </c>
      <c r="M310" s="24">
        <v>2</v>
      </c>
      <c r="N310" s="108">
        <v>0</v>
      </c>
      <c r="O310" s="24">
        <v>4</v>
      </c>
      <c r="P310" s="24">
        <v>0</v>
      </c>
      <c r="Q310" s="24">
        <v>4</v>
      </c>
      <c r="R310" s="24">
        <v>4</v>
      </c>
      <c r="S310" s="24">
        <v>0</v>
      </c>
      <c r="T310" s="24">
        <v>0</v>
      </c>
      <c r="U310" s="24">
        <v>2028209000000</v>
      </c>
      <c r="V310" s="109">
        <v>0.12969026903003653</v>
      </c>
      <c r="W310" s="109">
        <v>-5.2755983234469415E-2</v>
      </c>
      <c r="X310" s="109">
        <v>-0.25256931608133082</v>
      </c>
      <c r="Y310" s="109">
        <v>-0.1257948465863232</v>
      </c>
      <c r="Z310" s="109">
        <v>0.24644459054715467</v>
      </c>
      <c r="AA310" s="109">
        <v>-0.18467555535496877</v>
      </c>
      <c r="AD310" s="111"/>
    </row>
    <row r="311" spans="1:30" ht="15" customHeight="1" x14ac:dyDescent="0.3">
      <c r="A311" s="22" t="s">
        <v>153</v>
      </c>
      <c r="B311" s="23">
        <v>39</v>
      </c>
      <c r="C311" s="3" t="s">
        <v>33</v>
      </c>
      <c r="D311" s="23">
        <v>2017</v>
      </c>
      <c r="E311" s="25">
        <v>0.81470606072858121</v>
      </c>
      <c r="F311" s="25">
        <v>0.15632454615291311</v>
      </c>
      <c r="G311" s="25">
        <v>0.80584241566820314</v>
      </c>
      <c r="H311" s="25">
        <v>4.1503497120537425</v>
      </c>
      <c r="I311" s="25">
        <v>7.8674559475195249E-2</v>
      </c>
      <c r="J311" s="25">
        <v>4.7376113551299219E-2</v>
      </c>
      <c r="K311" s="25">
        <v>0.24400234513942404</v>
      </c>
      <c r="L311" s="25">
        <v>0.98219999999999996</v>
      </c>
      <c r="M311" s="24">
        <v>2</v>
      </c>
      <c r="N311" s="108">
        <v>0</v>
      </c>
      <c r="O311" s="24">
        <v>5</v>
      </c>
      <c r="P311" s="24">
        <v>0</v>
      </c>
      <c r="Q311" s="24">
        <v>5</v>
      </c>
      <c r="R311" s="24">
        <v>4</v>
      </c>
      <c r="S311" s="24">
        <v>0</v>
      </c>
      <c r="T311" s="24">
        <v>0</v>
      </c>
      <c r="U311" s="24">
        <v>2626619000000</v>
      </c>
      <c r="V311" s="109">
        <v>0.21868838438512481</v>
      </c>
      <c r="W311" s="109">
        <v>-9.1566108369733099E-2</v>
      </c>
      <c r="X311" s="109">
        <v>-8.0882564239427177E-2</v>
      </c>
      <c r="Y311" s="109">
        <v>0.28925263999080186</v>
      </c>
      <c r="Z311" s="109">
        <v>0.25299072917892079</v>
      </c>
      <c r="AA311" s="109">
        <v>0.36979469656056241</v>
      </c>
      <c r="AD311" s="111"/>
    </row>
    <row r="312" spans="1:30" ht="15" customHeight="1" x14ac:dyDescent="0.3">
      <c r="A312" s="22" t="s">
        <v>153</v>
      </c>
      <c r="B312" s="23">
        <v>39</v>
      </c>
      <c r="C312" s="3" t="s">
        <v>33</v>
      </c>
      <c r="D312" s="23">
        <v>2018</v>
      </c>
      <c r="E312" s="25">
        <v>1.1885560026600841</v>
      </c>
      <c r="F312" s="25">
        <v>0.6058848724624939</v>
      </c>
      <c r="G312" s="25">
        <v>0.78071185486553574</v>
      </c>
      <c r="H312" s="25">
        <v>3.5603346674912775</v>
      </c>
      <c r="I312" s="25">
        <v>3.087550620380717E-2</v>
      </c>
      <c r="J312" s="25">
        <v>1.0536481426513707E-2</v>
      </c>
      <c r="K312" s="25">
        <v>5.7259120310183077E-2</v>
      </c>
      <c r="L312" s="25">
        <v>0.98219999999999996</v>
      </c>
      <c r="M312" s="24">
        <v>2</v>
      </c>
      <c r="N312" s="108">
        <v>0</v>
      </c>
      <c r="O312" s="24">
        <v>4</v>
      </c>
      <c r="P312" s="24">
        <v>0</v>
      </c>
      <c r="Q312" s="24">
        <v>4</v>
      </c>
      <c r="R312" s="24">
        <v>4</v>
      </c>
      <c r="S312" s="24">
        <v>0</v>
      </c>
      <c r="T312" s="24">
        <v>0</v>
      </c>
      <c r="U312" s="24">
        <v>2735670000000</v>
      </c>
      <c r="V312" s="109">
        <v>-0.48682898640886696</v>
      </c>
      <c r="W312" s="109">
        <v>8.0228214660393968E-2</v>
      </c>
      <c r="X312" s="109">
        <v>7.071097025591537E-2</v>
      </c>
      <c r="Y312" s="109">
        <v>0.380246564826898</v>
      </c>
      <c r="Z312" s="109">
        <v>0.29491609583428929</v>
      </c>
      <c r="AA312" s="109">
        <v>0.82610184557749666</v>
      </c>
      <c r="AD312" s="111"/>
    </row>
    <row r="313" spans="1:30" ht="15" customHeight="1" x14ac:dyDescent="0.3">
      <c r="A313" s="22" t="s">
        <v>153</v>
      </c>
      <c r="B313" s="23">
        <v>39</v>
      </c>
      <c r="C313" s="3" t="s">
        <v>33</v>
      </c>
      <c r="D313" s="23">
        <v>2019</v>
      </c>
      <c r="E313" s="25">
        <v>0.89955797219745581</v>
      </c>
      <c r="F313" s="25">
        <v>0.49159268142604196</v>
      </c>
      <c r="G313" s="25">
        <v>0.7418345111453527</v>
      </c>
      <c r="H313" s="25">
        <v>2.8720603458926139</v>
      </c>
      <c r="I313" s="25">
        <v>4.7453134039668762E-2</v>
      </c>
      <c r="J313" s="25">
        <v>1.7637638087413105E-2</v>
      </c>
      <c r="K313" s="25">
        <v>9.4000829595166105E-2</v>
      </c>
      <c r="L313" s="25">
        <v>0.98219999999999996</v>
      </c>
      <c r="M313" s="24">
        <v>2</v>
      </c>
      <c r="N313" s="108">
        <v>0</v>
      </c>
      <c r="O313" s="24">
        <v>3</v>
      </c>
      <c r="P313" s="24">
        <v>0</v>
      </c>
      <c r="Q313" s="24">
        <v>3</v>
      </c>
      <c r="R313" s="24">
        <v>4</v>
      </c>
      <c r="S313" s="24">
        <v>0</v>
      </c>
      <c r="T313" s="24">
        <v>0</v>
      </c>
      <c r="U313" s="24">
        <v>2726383000000</v>
      </c>
      <c r="V313" s="109">
        <v>0.14142659844593738</v>
      </c>
      <c r="W313" s="109">
        <v>-3.8490674274304082E-2</v>
      </c>
      <c r="X313" s="109">
        <v>0.17104225635209724</v>
      </c>
      <c r="Y313" s="109">
        <v>0.25270157567737178</v>
      </c>
      <c r="Z313" s="109">
        <v>0.36559120406422668</v>
      </c>
      <c r="AA313" s="109">
        <v>0.75084436181939163</v>
      </c>
      <c r="AD313" s="111"/>
    </row>
    <row r="314" spans="1:30" ht="15" customHeight="1" x14ac:dyDescent="0.3">
      <c r="A314" s="22" t="s">
        <v>153</v>
      </c>
      <c r="B314" s="23">
        <v>39</v>
      </c>
      <c r="C314" s="3" t="s">
        <v>33</v>
      </c>
      <c r="D314" s="23">
        <v>2020</v>
      </c>
      <c r="E314" s="25">
        <v>1.0045356096318003</v>
      </c>
      <c r="F314" s="25">
        <v>0.76008153904956044</v>
      </c>
      <c r="G314" s="25">
        <v>0.69572559401405865</v>
      </c>
      <c r="H314" s="25">
        <v>2.2866277396767543</v>
      </c>
      <c r="I314" s="25">
        <v>4.3641773722582676E-2</v>
      </c>
      <c r="J314" s="25">
        <v>1.465078030834324E-2</v>
      </c>
      <c r="K314" s="25">
        <v>7.8940786035563218E-2</v>
      </c>
      <c r="L314" s="25">
        <v>0.98219999999999996</v>
      </c>
      <c r="M314" s="24">
        <v>2</v>
      </c>
      <c r="N314" s="108">
        <v>0</v>
      </c>
      <c r="O314" s="24">
        <v>3</v>
      </c>
      <c r="P314" s="24">
        <v>0</v>
      </c>
      <c r="Q314" s="24">
        <v>3</v>
      </c>
      <c r="R314" s="24">
        <v>3</v>
      </c>
      <c r="S314" s="24">
        <v>0</v>
      </c>
      <c r="T314" s="24">
        <v>0</v>
      </c>
      <c r="U314" s="24">
        <v>2741223000000</v>
      </c>
      <c r="V314" s="109">
        <v>-0.12578577658040394</v>
      </c>
      <c r="W314" s="109">
        <v>2.1298522593747389E-3</v>
      </c>
      <c r="X314" s="109">
        <v>0.26606143316322678</v>
      </c>
      <c r="Y314" s="109">
        <v>0.23240826448632601</v>
      </c>
      <c r="Z314" s="109">
        <v>0.4591914904996437</v>
      </c>
      <c r="AA314" s="109">
        <v>0.95979104040857122</v>
      </c>
      <c r="AD314" s="111"/>
    </row>
    <row r="315" spans="1:30" ht="15" customHeight="1" x14ac:dyDescent="0.3">
      <c r="A315" s="22" t="s">
        <v>153</v>
      </c>
      <c r="B315" s="23">
        <v>39</v>
      </c>
      <c r="C315" s="3" t="s">
        <v>33</v>
      </c>
      <c r="D315" s="23">
        <v>2021</v>
      </c>
      <c r="E315" s="25">
        <v>0.88031223625148536</v>
      </c>
      <c r="F315" s="25">
        <v>0.51860358676984963</v>
      </c>
      <c r="G315" s="25">
        <v>0.67894913113409217</v>
      </c>
      <c r="H315" s="25">
        <v>2.1184134833962718</v>
      </c>
      <c r="I315" s="25">
        <v>3.5549091082267919E-3</v>
      </c>
      <c r="J315" s="25">
        <v>1.4585786856997005E-3</v>
      </c>
      <c r="K315" s="25">
        <v>8.3752524496970605E-3</v>
      </c>
      <c r="L315" s="25">
        <v>0.98219999999999996</v>
      </c>
      <c r="M315" s="24">
        <v>1</v>
      </c>
      <c r="N315" s="108">
        <v>0</v>
      </c>
      <c r="O315" s="24">
        <v>2</v>
      </c>
      <c r="P315" s="24">
        <v>0</v>
      </c>
      <c r="Q315" s="24">
        <v>2</v>
      </c>
      <c r="R315" s="24">
        <v>2</v>
      </c>
      <c r="S315" s="24">
        <v>0</v>
      </c>
      <c r="T315" s="24">
        <v>0</v>
      </c>
      <c r="U315" s="24">
        <v>2690231000000</v>
      </c>
      <c r="V315" s="109">
        <v>0.24442331792057387</v>
      </c>
      <c r="W315" s="109">
        <v>-6.9505644682556988E-2</v>
      </c>
      <c r="X315" s="109">
        <v>0.31898360401021325</v>
      </c>
      <c r="Y315" s="109">
        <v>8.6800456912436152E-2</v>
      </c>
      <c r="Z315" s="109">
        <v>0.49565394491193687</v>
      </c>
      <c r="AA315" s="109">
        <v>0.83193236115202929</v>
      </c>
      <c r="AD315" s="111"/>
    </row>
    <row r="316" spans="1:30" ht="15" customHeight="1" x14ac:dyDescent="0.3">
      <c r="A316" s="22" t="s">
        <v>153</v>
      </c>
      <c r="B316" s="23">
        <v>39</v>
      </c>
      <c r="C316" s="3" t="s">
        <v>33</v>
      </c>
      <c r="D316" s="23">
        <v>2022</v>
      </c>
      <c r="E316" s="25">
        <v>0.50675226389355421</v>
      </c>
      <c r="F316" s="25">
        <v>0.23262063245062622</v>
      </c>
      <c r="G316" s="25">
        <v>0.6979849132644782</v>
      </c>
      <c r="H316" s="25">
        <v>2.3111939403329718</v>
      </c>
      <c r="I316" s="25">
        <v>-2.6333926094836168E-3</v>
      </c>
      <c r="J316" s="25">
        <v>-9.6664187597235158E-4</v>
      </c>
      <c r="K316" s="25">
        <v>-5.0806314264549872E-3</v>
      </c>
      <c r="L316" s="25">
        <v>0.98219999999999996</v>
      </c>
      <c r="M316" s="24">
        <v>2</v>
      </c>
      <c r="N316" s="108">
        <v>0</v>
      </c>
      <c r="O316" s="24">
        <v>3</v>
      </c>
      <c r="P316" s="24">
        <v>0</v>
      </c>
      <c r="Q316" s="24">
        <v>3</v>
      </c>
      <c r="R316" s="24">
        <v>4</v>
      </c>
      <c r="S316" s="24">
        <v>0</v>
      </c>
      <c r="T316" s="24">
        <v>0</v>
      </c>
      <c r="U316" s="24">
        <v>2650010000000</v>
      </c>
      <c r="V316" s="109">
        <v>-6.7139463955821099E-2</v>
      </c>
      <c r="W316" s="109">
        <v>-0.35623636137222126</v>
      </c>
      <c r="X316" s="109">
        <v>0.29695535488545327</v>
      </c>
      <c r="Y316" s="109">
        <v>-6.1068086535522509E-2</v>
      </c>
      <c r="Z316" s="109">
        <v>0.45431064078020528</v>
      </c>
      <c r="AA316" s="109">
        <v>0.33396154775791476</v>
      </c>
      <c r="AD316" s="111"/>
    </row>
    <row r="317" spans="1:30" ht="15" customHeight="1" x14ac:dyDescent="0.3">
      <c r="A317" s="22" t="s">
        <v>153</v>
      </c>
      <c r="B317" s="23">
        <v>39</v>
      </c>
      <c r="C317" s="3" t="s">
        <v>33</v>
      </c>
      <c r="D317" s="23">
        <v>2023</v>
      </c>
      <c r="E317" s="25">
        <v>0.86196678273582605</v>
      </c>
      <c r="F317" s="25">
        <v>0.41027762275689145</v>
      </c>
      <c r="G317" s="25">
        <v>0.70593720989322828</v>
      </c>
      <c r="H317" s="25">
        <v>2.4046291481696649</v>
      </c>
      <c r="I317" s="25">
        <v>-5.6274540856013001E-2</v>
      </c>
      <c r="J317" s="25">
        <v>-1.9471595210649163E-2</v>
      </c>
      <c r="K317" s="25">
        <v>-0.11008077191160191</v>
      </c>
      <c r="L317" s="25">
        <v>0.59350000000000003</v>
      </c>
      <c r="M317" s="24">
        <v>3</v>
      </c>
      <c r="N317" s="108">
        <v>0</v>
      </c>
      <c r="O317" s="24">
        <v>4</v>
      </c>
      <c r="P317" s="24">
        <v>0</v>
      </c>
      <c r="Q317" s="24">
        <v>4</v>
      </c>
      <c r="R317" s="24">
        <v>6</v>
      </c>
      <c r="S317" s="24">
        <v>0</v>
      </c>
      <c r="T317" s="24">
        <v>0</v>
      </c>
      <c r="U317" s="24">
        <v>4022226000000</v>
      </c>
      <c r="V317" s="109">
        <v>-8.6638191425095087E-2</v>
      </c>
      <c r="W317" s="109">
        <v>-0.11456358742646486</v>
      </c>
      <c r="X317" s="109">
        <v>0.11109313101750126</v>
      </c>
      <c r="Y317" s="109">
        <v>-0.13653597783913685</v>
      </c>
      <c r="Z317" s="109">
        <v>0.43665776936923106</v>
      </c>
      <c r="AA317" s="109">
        <v>0.29665133512113062</v>
      </c>
      <c r="AD317" s="111"/>
    </row>
    <row r="318" spans="1:30" ht="15" customHeight="1" x14ac:dyDescent="0.3">
      <c r="A318" s="22" t="s">
        <v>153</v>
      </c>
      <c r="B318" s="23">
        <v>39</v>
      </c>
      <c r="C318" s="3" t="s">
        <v>33</v>
      </c>
      <c r="D318" s="23">
        <v>2024</v>
      </c>
      <c r="E318" s="25">
        <v>0.49053747423483968</v>
      </c>
      <c r="F318" s="25">
        <v>0.16937107027176831</v>
      </c>
      <c r="G318" s="25">
        <v>0.71882335164007949</v>
      </c>
      <c r="H318" s="25">
        <v>2.5594528028705423</v>
      </c>
      <c r="I318" s="25">
        <v>2.6342025361446617E-4</v>
      </c>
      <c r="J318" s="25">
        <v>8.9000288292799879E-5</v>
      </c>
      <c r="K318" s="25">
        <v>4.758402906951594E-4</v>
      </c>
      <c r="L318" s="25">
        <v>0.59350000000000003</v>
      </c>
      <c r="M318" s="24">
        <v>2</v>
      </c>
      <c r="N318" s="108">
        <v>0</v>
      </c>
      <c r="O318" s="24">
        <v>4</v>
      </c>
      <c r="P318" s="24">
        <v>0</v>
      </c>
      <c r="Q318" s="24">
        <v>4</v>
      </c>
      <c r="R318" s="24">
        <v>5</v>
      </c>
      <c r="S318" s="24">
        <v>0</v>
      </c>
      <c r="T318" s="24">
        <v>0</v>
      </c>
      <c r="U318" s="24">
        <v>3619977000000</v>
      </c>
      <c r="V318" s="109">
        <v>-7.6112169469894214E-2</v>
      </c>
      <c r="W318" s="109">
        <v>-0.53300882298423446</v>
      </c>
      <c r="X318" s="109">
        <v>9.9817871771008485E-3</v>
      </c>
      <c r="Y318" s="109">
        <v>-0.25450769438590354</v>
      </c>
      <c r="Z318" s="109">
        <v>0.41024393918199137</v>
      </c>
      <c r="AA318" s="109">
        <v>-0.36729079101104573</v>
      </c>
      <c r="AD318" s="111"/>
    </row>
    <row r="319" spans="1:30" ht="15" customHeight="1" x14ac:dyDescent="0.3">
      <c r="A319" s="22" t="s">
        <v>153</v>
      </c>
      <c r="B319" s="23">
        <v>40</v>
      </c>
      <c r="C319" s="3" t="s">
        <v>12</v>
      </c>
      <c r="D319" s="23">
        <v>2018</v>
      </c>
      <c r="E319" s="25">
        <v>1.1839644019611884</v>
      </c>
      <c r="F319" s="25">
        <v>0.15276461620864407</v>
      </c>
      <c r="G319" s="25">
        <v>0.81598597097832326</v>
      </c>
      <c r="H319" s="25">
        <v>4.43436826700969</v>
      </c>
      <c r="I319" s="25">
        <v>0</v>
      </c>
      <c r="J319" s="25">
        <v>0</v>
      </c>
      <c r="K319" s="25">
        <v>0</v>
      </c>
      <c r="L319" s="25">
        <v>0</v>
      </c>
      <c r="M319" s="24">
        <v>0</v>
      </c>
      <c r="N319" s="108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2378498000000</v>
      </c>
      <c r="V319" s="109">
        <v>0</v>
      </c>
      <c r="W319" s="109">
        <v>4.9258649786545962E-2</v>
      </c>
      <c r="X319" s="109">
        <v>0.25658969652276353</v>
      </c>
      <c r="Y319" s="109">
        <v>7.4766243234175508E-2</v>
      </c>
      <c r="Z319" s="109">
        <v>0.23678682887293573</v>
      </c>
      <c r="AA319" s="109">
        <v>0.61740141841642071</v>
      </c>
      <c r="AD319" s="111"/>
    </row>
    <row r="320" spans="1:30" ht="15" customHeight="1" x14ac:dyDescent="0.3">
      <c r="A320" s="22" t="s">
        <v>153</v>
      </c>
      <c r="B320" s="23">
        <v>40</v>
      </c>
      <c r="C320" s="3" t="s">
        <v>12</v>
      </c>
      <c r="D320" s="23">
        <v>2019</v>
      </c>
      <c r="E320" s="25">
        <v>1.1801565120178872</v>
      </c>
      <c r="F320" s="25">
        <v>0.10628842929010621</v>
      </c>
      <c r="G320" s="25">
        <v>0.81236720821110608</v>
      </c>
      <c r="H320" s="25">
        <v>4.3295588178696507</v>
      </c>
      <c r="I320" s="25">
        <v>0</v>
      </c>
      <c r="J320" s="25">
        <v>0</v>
      </c>
      <c r="K320" s="25">
        <v>0</v>
      </c>
      <c r="L320" s="25">
        <v>0.58230000000000004</v>
      </c>
      <c r="M320" s="24">
        <v>1</v>
      </c>
      <c r="N320" s="108">
        <v>0</v>
      </c>
      <c r="O320" s="24">
        <v>3</v>
      </c>
      <c r="P320" s="24">
        <v>0</v>
      </c>
      <c r="Q320" s="24">
        <v>3</v>
      </c>
      <c r="R320" s="24">
        <v>6</v>
      </c>
      <c r="S320" s="24">
        <v>0</v>
      </c>
      <c r="T320" s="24">
        <v>0</v>
      </c>
      <c r="U320" s="24">
        <v>2492624000000</v>
      </c>
      <c r="V320" s="109">
        <v>0</v>
      </c>
      <c r="W320" s="109">
        <v>5.0893066904595316E-2</v>
      </c>
      <c r="X320" s="109">
        <v>0.26971970100584763</v>
      </c>
      <c r="Y320" s="109">
        <v>8.8872128327417213E-2</v>
      </c>
      <c r="Z320" s="109">
        <v>0.24251893649446943</v>
      </c>
      <c r="AA320" s="109">
        <v>0.65200383273232965</v>
      </c>
      <c r="AD320" s="111"/>
    </row>
    <row r="321" spans="1:30" ht="15" customHeight="1" x14ac:dyDescent="0.3">
      <c r="A321" s="22" t="s">
        <v>153</v>
      </c>
      <c r="B321" s="23">
        <v>40</v>
      </c>
      <c r="C321" s="3" t="s">
        <v>12</v>
      </c>
      <c r="D321" s="23">
        <v>2020</v>
      </c>
      <c r="E321" s="25">
        <v>0.94629660565273765</v>
      </c>
      <c r="F321" s="25">
        <v>0.17470507282692568</v>
      </c>
      <c r="G321" s="25">
        <v>0.81440797534315168</v>
      </c>
      <c r="H321" s="25">
        <v>4.3881625670551134</v>
      </c>
      <c r="I321" s="25">
        <v>0</v>
      </c>
      <c r="J321" s="25">
        <v>0</v>
      </c>
      <c r="K321" s="25">
        <v>0</v>
      </c>
      <c r="L321" s="25">
        <v>0.58230000000000004</v>
      </c>
      <c r="M321" s="24">
        <v>2</v>
      </c>
      <c r="N321" s="108">
        <v>0</v>
      </c>
      <c r="O321" s="24">
        <v>4</v>
      </c>
      <c r="P321" s="24">
        <v>0</v>
      </c>
      <c r="Q321" s="24">
        <v>4</v>
      </c>
      <c r="R321" s="24">
        <v>6</v>
      </c>
      <c r="S321" s="24">
        <v>0</v>
      </c>
      <c r="T321" s="24">
        <v>0</v>
      </c>
      <c r="U321" s="24">
        <v>2412636000000</v>
      </c>
      <c r="V321" s="109">
        <v>0</v>
      </c>
      <c r="W321" s="109">
        <v>-1.8356088527237427E-2</v>
      </c>
      <c r="X321" s="109">
        <v>0.24074671852695556</v>
      </c>
      <c r="Y321" s="109">
        <v>7.5811253749011445E-2</v>
      </c>
      <c r="Z321" s="109">
        <v>0.23928010504511749</v>
      </c>
      <c r="AA321" s="109">
        <v>0.53748198879384712</v>
      </c>
      <c r="AD321" s="111"/>
    </row>
    <row r="322" spans="1:30" ht="15" customHeight="1" x14ac:dyDescent="0.3">
      <c r="A322" s="22" t="s">
        <v>153</v>
      </c>
      <c r="B322" s="23">
        <v>40</v>
      </c>
      <c r="C322" s="3" t="s">
        <v>12</v>
      </c>
      <c r="D322" s="23">
        <v>2021</v>
      </c>
      <c r="E322" s="25">
        <v>1.5737110019685432</v>
      </c>
      <c r="F322" s="25">
        <v>0.12028991270803921</v>
      </c>
      <c r="G322" s="25">
        <v>0.82584660051023795</v>
      </c>
      <c r="H322" s="25">
        <v>4.7420641970229633</v>
      </c>
      <c r="I322" s="25">
        <v>0</v>
      </c>
      <c r="J322" s="25">
        <v>0</v>
      </c>
      <c r="K322" s="25">
        <v>0</v>
      </c>
      <c r="L322" s="25">
        <v>0.58230000000000004</v>
      </c>
      <c r="M322" s="24">
        <v>2</v>
      </c>
      <c r="N322" s="108">
        <v>0</v>
      </c>
      <c r="O322" s="24">
        <v>4</v>
      </c>
      <c r="P322" s="24">
        <v>0</v>
      </c>
      <c r="Q322" s="24">
        <v>4</v>
      </c>
      <c r="R322" s="24">
        <v>6</v>
      </c>
      <c r="S322" s="24">
        <v>0</v>
      </c>
      <c r="T322" s="24">
        <v>0</v>
      </c>
      <c r="U322" s="24">
        <v>2456501000000</v>
      </c>
      <c r="V322" s="109">
        <v>0</v>
      </c>
      <c r="W322" s="109">
        <v>0.15409918416479373</v>
      </c>
      <c r="X322" s="109">
        <v>0.22558022976583358</v>
      </c>
      <c r="Y322" s="109">
        <v>4.2308763562481755E-2</v>
      </c>
      <c r="Z322" s="109">
        <v>0.22142256122538009</v>
      </c>
      <c r="AA322" s="109">
        <v>0.64341073871848919</v>
      </c>
      <c r="AD322" s="111"/>
    </row>
    <row r="323" spans="1:30" ht="15" customHeight="1" x14ac:dyDescent="0.3">
      <c r="A323" s="22" t="s">
        <v>153</v>
      </c>
      <c r="B323" s="23">
        <v>40</v>
      </c>
      <c r="C323" s="3" t="s">
        <v>12</v>
      </c>
      <c r="D323" s="23">
        <v>2022</v>
      </c>
      <c r="E323" s="25">
        <v>1.7426905379231188</v>
      </c>
      <c r="F323" s="25">
        <v>0.11652097275028439</v>
      </c>
      <c r="G323" s="25">
        <v>0.80973981483108171</v>
      </c>
      <c r="H323" s="25">
        <v>4.2559604055476559</v>
      </c>
      <c r="I323" s="25">
        <v>0</v>
      </c>
      <c r="J323" s="25">
        <v>0</v>
      </c>
      <c r="K323" s="25">
        <v>0</v>
      </c>
      <c r="L323" s="25">
        <v>0.61870000000000003</v>
      </c>
      <c r="M323" s="24">
        <v>2</v>
      </c>
      <c r="N323" s="108">
        <v>0</v>
      </c>
      <c r="O323" s="24">
        <v>4</v>
      </c>
      <c r="P323" s="24">
        <v>0</v>
      </c>
      <c r="Q323" s="24">
        <v>4</v>
      </c>
      <c r="R323" s="24">
        <v>6</v>
      </c>
      <c r="S323" s="24">
        <v>0</v>
      </c>
      <c r="T323" s="24">
        <v>0</v>
      </c>
      <c r="U323" s="24">
        <v>2561445000000</v>
      </c>
      <c r="V323" s="109">
        <v>0</v>
      </c>
      <c r="W323" s="109">
        <v>0.18560217377300703</v>
      </c>
      <c r="X323" s="109">
        <v>0.23039397683729301</v>
      </c>
      <c r="Y323" s="109">
        <v>2.8974145453054819E-2</v>
      </c>
      <c r="Z323" s="109">
        <v>0.24671282153643212</v>
      </c>
      <c r="AA323" s="109">
        <v>0.69168311759978696</v>
      </c>
      <c r="AD323" s="111"/>
    </row>
    <row r="324" spans="1:30" ht="15" customHeight="1" x14ac:dyDescent="0.3">
      <c r="A324" s="22" t="s">
        <v>153</v>
      </c>
      <c r="B324" s="23">
        <v>40</v>
      </c>
      <c r="C324" s="3" t="s">
        <v>12</v>
      </c>
      <c r="D324" s="23">
        <v>2023</v>
      </c>
      <c r="E324" s="25">
        <v>1.0666055521603053</v>
      </c>
      <c r="F324" s="25">
        <v>0.13491490267977851</v>
      </c>
      <c r="G324" s="25">
        <v>0.82311538270929441</v>
      </c>
      <c r="H324" s="25">
        <v>4.653402852756404</v>
      </c>
      <c r="I324" s="25">
        <v>0</v>
      </c>
      <c r="J324" s="25">
        <v>0</v>
      </c>
      <c r="K324" s="25">
        <v>0</v>
      </c>
      <c r="L324" s="25">
        <v>0.61870000000000003</v>
      </c>
      <c r="M324" s="24">
        <v>2</v>
      </c>
      <c r="N324" s="108">
        <v>0</v>
      </c>
      <c r="O324" s="24">
        <v>4</v>
      </c>
      <c r="P324" s="24">
        <v>0</v>
      </c>
      <c r="Q324" s="24">
        <v>4</v>
      </c>
      <c r="R324" s="24">
        <v>6</v>
      </c>
      <c r="S324" s="24">
        <v>0</v>
      </c>
      <c r="T324" s="24">
        <v>0</v>
      </c>
      <c r="U324" s="24">
        <v>2481923000000</v>
      </c>
      <c r="V324" s="109">
        <v>0</v>
      </c>
      <c r="W324" s="109">
        <v>1.9011903270165914E-2</v>
      </c>
      <c r="X324" s="109">
        <v>0.16662242946296077</v>
      </c>
      <c r="Y324" s="109">
        <v>-0.14667220538268108</v>
      </c>
      <c r="Z324" s="109">
        <v>0.22564132812572663</v>
      </c>
      <c r="AA324" s="109">
        <v>0.26460345547617226</v>
      </c>
      <c r="AD324" s="111"/>
    </row>
    <row r="325" spans="1:30" ht="15" customHeight="1" x14ac:dyDescent="0.3">
      <c r="A325" s="22" t="s">
        <v>153</v>
      </c>
      <c r="B325" s="23">
        <v>40</v>
      </c>
      <c r="C325" s="3" t="s">
        <v>12</v>
      </c>
      <c r="D325" s="23">
        <v>2024</v>
      </c>
      <c r="E325" s="25">
        <v>0.90080317351486361</v>
      </c>
      <c r="F325" s="25">
        <v>7.1306136441549539E-2</v>
      </c>
      <c r="G325" s="25">
        <v>0.81296184868503141</v>
      </c>
      <c r="H325" s="25">
        <v>4.346502801538171</v>
      </c>
      <c r="I325" s="25">
        <v>0</v>
      </c>
      <c r="J325" s="25">
        <v>0</v>
      </c>
      <c r="K325" s="25">
        <v>0</v>
      </c>
      <c r="L325" s="25">
        <v>0.61870000000000003</v>
      </c>
      <c r="M325" s="24">
        <v>2</v>
      </c>
      <c r="N325" s="108">
        <v>0</v>
      </c>
      <c r="O325" s="24">
        <v>4</v>
      </c>
      <c r="P325" s="24">
        <v>0</v>
      </c>
      <c r="Q325" s="24">
        <v>4</v>
      </c>
      <c r="R325" s="24">
        <v>6</v>
      </c>
      <c r="S325" s="24">
        <v>0</v>
      </c>
      <c r="T325" s="24">
        <v>0</v>
      </c>
      <c r="U325" s="24">
        <v>2348307000000</v>
      </c>
      <c r="V325" s="109">
        <v>0</v>
      </c>
      <c r="W325" s="109">
        <v>-3.3949428247669486E-2</v>
      </c>
      <c r="X325" s="109">
        <v>0.10637760735713003</v>
      </c>
      <c r="Y325" s="109">
        <v>1.6980948402402239E-2</v>
      </c>
      <c r="Z325" s="109">
        <v>0.24157352426608783</v>
      </c>
      <c r="AA325" s="109">
        <v>0.33098265177795061</v>
      </c>
      <c r="AD325" s="111"/>
    </row>
    <row r="326" spans="1:30" ht="15" customHeight="1" x14ac:dyDescent="0.3">
      <c r="A326" s="22" t="s">
        <v>153</v>
      </c>
      <c r="B326" s="23">
        <v>41</v>
      </c>
      <c r="C326" s="3" t="s">
        <v>34</v>
      </c>
      <c r="D326" s="23">
        <v>2018</v>
      </c>
      <c r="E326" s="25">
        <v>1.0052786948046826</v>
      </c>
      <c r="F326" s="25">
        <v>0.18624722544590042</v>
      </c>
      <c r="G326" s="25">
        <v>0.73756760344076</v>
      </c>
      <c r="H326" s="25">
        <v>3.6516513611512327</v>
      </c>
      <c r="I326" s="25">
        <v>-0.8093721542419523</v>
      </c>
      <c r="J326" s="25">
        <v>-0.32875939811630051</v>
      </c>
      <c r="K326" s="25">
        <v>-1.6276673460469739</v>
      </c>
      <c r="L326" s="25">
        <v>0</v>
      </c>
      <c r="M326" s="24">
        <v>0</v>
      </c>
      <c r="N326" s="108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1484207000000</v>
      </c>
      <c r="V326" s="109">
        <v>0</v>
      </c>
      <c r="W326" s="109">
        <v>8.2828338634705258E-3</v>
      </c>
      <c r="X326" s="109">
        <v>-3.6923070838501637</v>
      </c>
      <c r="Y326" s="109">
        <v>-2.1715069124455009</v>
      </c>
      <c r="Z326" s="109">
        <v>0.28754114129585834</v>
      </c>
      <c r="AA326" s="109">
        <v>-5.5679900211363353</v>
      </c>
      <c r="AD326" s="111"/>
    </row>
    <row r="327" spans="1:30" ht="15" customHeight="1" x14ac:dyDescent="0.3">
      <c r="A327" s="22" t="s">
        <v>153</v>
      </c>
      <c r="B327" s="23">
        <v>41</v>
      </c>
      <c r="C327" s="3" t="s">
        <v>34</v>
      </c>
      <c r="D327" s="23">
        <v>2019</v>
      </c>
      <c r="E327" s="25">
        <v>10.65590975487007</v>
      </c>
      <c r="F327" s="25">
        <v>9.9807617107014401</v>
      </c>
      <c r="G327" s="25">
        <v>0.20194526433745719</v>
      </c>
      <c r="H327" s="25">
        <v>0.26082899917525648</v>
      </c>
      <c r="I327" s="25">
        <v>-0.33732492238034267</v>
      </c>
      <c r="J327" s="25">
        <v>-4.5813964963700389E-2</v>
      </c>
      <c r="K327" s="25">
        <v>-5.9172522163055262E-2</v>
      </c>
      <c r="L327" s="25">
        <v>0.79049999999999998</v>
      </c>
      <c r="M327" s="24">
        <v>2</v>
      </c>
      <c r="N327" s="108">
        <v>0</v>
      </c>
      <c r="O327" s="24">
        <v>6</v>
      </c>
      <c r="P327" s="24">
        <v>0</v>
      </c>
      <c r="Q327" s="24">
        <v>6</v>
      </c>
      <c r="R327" s="24">
        <v>4</v>
      </c>
      <c r="S327" s="24">
        <v>0</v>
      </c>
      <c r="T327" s="24">
        <v>0</v>
      </c>
      <c r="U327" s="24">
        <v>7538924000000</v>
      </c>
      <c r="V327" s="109">
        <v>0.69837826002577663</v>
      </c>
      <c r="W327" s="109">
        <v>4.7914552474597167</v>
      </c>
      <c r="X327" s="109">
        <v>-0.87904522449092193</v>
      </c>
      <c r="Y327" s="109">
        <v>-0.30793669759769432</v>
      </c>
      <c r="Z327" s="109">
        <v>4.0256259975697066</v>
      </c>
      <c r="AA327" s="109">
        <v>7.6300993229408069</v>
      </c>
      <c r="AD327" s="111"/>
    </row>
    <row r="328" spans="1:30" ht="15" customHeight="1" x14ac:dyDescent="0.3">
      <c r="A328" s="22" t="s">
        <v>153</v>
      </c>
      <c r="B328" s="23">
        <v>41</v>
      </c>
      <c r="C328" s="3" t="s">
        <v>34</v>
      </c>
      <c r="D328" s="23">
        <v>2020</v>
      </c>
      <c r="E328" s="25">
        <v>1.7517706895010281</v>
      </c>
      <c r="F328" s="25">
        <v>1.3084834156178291</v>
      </c>
      <c r="G328" s="25">
        <v>0.58192684278135143</v>
      </c>
      <c r="H328" s="25">
        <v>1.3919258692731831</v>
      </c>
      <c r="I328" s="25">
        <v>-0.12218618400710259</v>
      </c>
      <c r="J328" s="25">
        <v>-2.6951676940754656E-2</v>
      </c>
      <c r="K328" s="25">
        <v>-6.4466413294884589E-2</v>
      </c>
      <c r="L328" s="25">
        <v>0.79049999999999998</v>
      </c>
      <c r="M328" s="24">
        <v>3</v>
      </c>
      <c r="N328" s="108">
        <v>0</v>
      </c>
      <c r="O328" s="24">
        <v>6</v>
      </c>
      <c r="P328" s="24">
        <v>0</v>
      </c>
      <c r="Q328" s="24">
        <v>6</v>
      </c>
      <c r="R328" s="24">
        <v>5</v>
      </c>
      <c r="S328" s="24">
        <v>0</v>
      </c>
      <c r="T328" s="24">
        <v>0</v>
      </c>
      <c r="U328" s="24">
        <v>13444989000000</v>
      </c>
      <c r="V328" s="109">
        <v>1.8964452687412772</v>
      </c>
      <c r="W328" s="109">
        <v>0.36924608863569913</v>
      </c>
      <c r="X328" s="109">
        <v>-0.58549065975435155</v>
      </c>
      <c r="Y328" s="109">
        <v>-0.22213954061249136</v>
      </c>
      <c r="Z328" s="109">
        <v>0.75435051763803684</v>
      </c>
      <c r="AA328" s="109">
        <v>0.31596640590689307</v>
      </c>
      <c r="AD328" s="111"/>
    </row>
    <row r="329" spans="1:30" ht="15" customHeight="1" x14ac:dyDescent="0.3">
      <c r="A329" s="22" t="s">
        <v>153</v>
      </c>
      <c r="B329" s="23">
        <v>41</v>
      </c>
      <c r="C329" s="3" t="s">
        <v>34</v>
      </c>
      <c r="D329" s="23">
        <v>2021</v>
      </c>
      <c r="E329" s="25">
        <v>1.0900580306783425</v>
      </c>
      <c r="F329" s="25">
        <v>0.49067361329162257</v>
      </c>
      <c r="G329" s="25">
        <v>0.58978197102027774</v>
      </c>
      <c r="H329" s="25">
        <v>1.4377283174498614</v>
      </c>
      <c r="I329" s="25">
        <v>-6.1175022096812845E-2</v>
      </c>
      <c r="J329" s="25">
        <v>-1.3178328556347107E-2</v>
      </c>
      <c r="K329" s="25">
        <v>-3.2125187057416779E-2</v>
      </c>
      <c r="L329" s="25">
        <v>0.79049999999999998</v>
      </c>
      <c r="M329" s="24">
        <v>3</v>
      </c>
      <c r="N329" s="108">
        <v>0</v>
      </c>
      <c r="O329" s="24">
        <v>6</v>
      </c>
      <c r="P329" s="24">
        <v>0</v>
      </c>
      <c r="Q329" s="24">
        <v>6</v>
      </c>
      <c r="R329" s="24">
        <v>4</v>
      </c>
      <c r="S329" s="24">
        <v>0</v>
      </c>
      <c r="T329" s="24">
        <v>0</v>
      </c>
      <c r="U329" s="24">
        <v>13618419000000</v>
      </c>
      <c r="V329" s="109">
        <v>-1.0789434729787007E-2</v>
      </c>
      <c r="W329" s="109">
        <v>5.5954336549639133E-2</v>
      </c>
      <c r="X329" s="109">
        <v>-0.62502005702717767</v>
      </c>
      <c r="Y329" s="109">
        <v>-7.0801593048356051E-2</v>
      </c>
      <c r="Z329" s="109">
        <v>0.73031878641885151</v>
      </c>
      <c r="AA329" s="109">
        <v>9.0451472892956852E-2</v>
      </c>
      <c r="AD329" s="111"/>
    </row>
    <row r="330" spans="1:30" ht="15" customHeight="1" x14ac:dyDescent="0.3">
      <c r="A330" s="22" t="s">
        <v>153</v>
      </c>
      <c r="B330" s="23">
        <v>41</v>
      </c>
      <c r="C330" s="3" t="s">
        <v>34</v>
      </c>
      <c r="D330" s="23">
        <v>2022</v>
      </c>
      <c r="E330" s="25">
        <v>0.992425306713282</v>
      </c>
      <c r="F330" s="25">
        <v>0.40408441261672357</v>
      </c>
      <c r="G330" s="25">
        <v>0.58170404362898875</v>
      </c>
      <c r="H330" s="25">
        <v>1.3906521129948375</v>
      </c>
      <c r="I330" s="25">
        <v>-0.15311967942507221</v>
      </c>
      <c r="J330" s="25">
        <v>-3.145136008905873E-2</v>
      </c>
      <c r="K330" s="25">
        <v>-7.5189266506641456E-2</v>
      </c>
      <c r="L330" s="25">
        <v>0.79049999999999998</v>
      </c>
      <c r="M330" s="24">
        <v>3</v>
      </c>
      <c r="N330" s="108">
        <v>0</v>
      </c>
      <c r="O330" s="24">
        <v>8</v>
      </c>
      <c r="P330" s="24">
        <v>0</v>
      </c>
      <c r="Q330" s="24">
        <v>8</v>
      </c>
      <c r="R330" s="24">
        <v>4</v>
      </c>
      <c r="S330" s="24">
        <v>0</v>
      </c>
      <c r="T330" s="24">
        <v>0</v>
      </c>
      <c r="U330" s="24">
        <v>12421466000000</v>
      </c>
      <c r="V330" s="109">
        <v>-0.13030216986782134</v>
      </c>
      <c r="W330" s="109">
        <v>-4.4990373922047531E-3</v>
      </c>
      <c r="X330" s="109">
        <v>-0.75868883431311562</v>
      </c>
      <c r="Y330" s="109">
        <v>-0.14332252247842564</v>
      </c>
      <c r="Z330" s="109">
        <v>0.75504145874324646</v>
      </c>
      <c r="AA330" s="109">
        <v>-0.15146893544049955</v>
      </c>
      <c r="AD330" s="111"/>
    </row>
    <row r="331" spans="1:30" ht="15" customHeight="1" x14ac:dyDescent="0.3">
      <c r="A331" s="22" t="s">
        <v>153</v>
      </c>
      <c r="B331" s="23">
        <v>41</v>
      </c>
      <c r="C331" s="3" t="s">
        <v>34</v>
      </c>
      <c r="D331" s="23">
        <v>2023</v>
      </c>
      <c r="E331" s="25">
        <v>0.91376773728285743</v>
      </c>
      <c r="F331" s="25">
        <v>0.43791975102726322</v>
      </c>
      <c r="G331" s="25">
        <v>0.66092982405718181</v>
      </c>
      <c r="H331" s="25">
        <v>1.9487658371763956</v>
      </c>
      <c r="I331" s="25">
        <v>-0.65665204269826194</v>
      </c>
      <c r="J331" s="25">
        <v>-0.19227752368622303</v>
      </c>
      <c r="K331" s="25">
        <v>-0.5669344244695006</v>
      </c>
      <c r="L331" s="25">
        <v>0.79049999999999998</v>
      </c>
      <c r="M331" s="24">
        <v>3</v>
      </c>
      <c r="N331" s="108">
        <v>0</v>
      </c>
      <c r="O331" s="24">
        <v>7</v>
      </c>
      <c r="P331" s="24">
        <v>0</v>
      </c>
      <c r="Q331" s="24">
        <v>7</v>
      </c>
      <c r="R331" s="24">
        <v>3</v>
      </c>
      <c r="S331" s="24">
        <v>0</v>
      </c>
      <c r="T331" s="24">
        <v>0</v>
      </c>
      <c r="U331" s="24">
        <v>9777097000000</v>
      </c>
      <c r="V331" s="109">
        <v>0.12207495759217626</v>
      </c>
      <c r="W331" s="109">
        <v>-6.0011629218775259E-2</v>
      </c>
      <c r="X331" s="109">
        <v>-1.5990833229945454</v>
      </c>
      <c r="Y331" s="109">
        <v>-1.2992737128413474</v>
      </c>
      <c r="Z331" s="109">
        <v>0.53880254875637867</v>
      </c>
      <c r="AA331" s="109">
        <v>-2.4195661162982898</v>
      </c>
      <c r="AD331" s="111"/>
    </row>
    <row r="332" spans="1:30" ht="15" customHeight="1" x14ac:dyDescent="0.3">
      <c r="A332" s="22" t="s">
        <v>153</v>
      </c>
      <c r="B332" s="23">
        <v>41</v>
      </c>
      <c r="C332" s="3" t="s">
        <v>34</v>
      </c>
      <c r="D332" s="23">
        <v>2024</v>
      </c>
      <c r="E332" s="25">
        <v>0.97158585281363841</v>
      </c>
      <c r="F332" s="25">
        <v>0.30000053075832983</v>
      </c>
      <c r="G332" s="25">
        <v>0.68342108611826335</v>
      </c>
      <c r="H332" s="25">
        <v>2.1587700764352453</v>
      </c>
      <c r="I332" s="25">
        <v>-0.35493079444719494</v>
      </c>
      <c r="J332" s="25">
        <v>-0.10621703851627709</v>
      </c>
      <c r="K332" s="25">
        <v>-0.33551520287278597</v>
      </c>
      <c r="L332" s="25">
        <v>0.79049999999999998</v>
      </c>
      <c r="M332" s="24">
        <v>2</v>
      </c>
      <c r="N332" s="108">
        <v>0</v>
      </c>
      <c r="O332" s="24">
        <v>5</v>
      </c>
      <c r="P332" s="24">
        <v>0</v>
      </c>
      <c r="Q332" s="24">
        <v>5</v>
      </c>
      <c r="R332" s="24">
        <v>5</v>
      </c>
      <c r="S332" s="24">
        <v>0</v>
      </c>
      <c r="T332" s="24">
        <v>0</v>
      </c>
      <c r="U332" s="24">
        <v>7842866000000</v>
      </c>
      <c r="V332" s="109">
        <v>-0.18017311239032024</v>
      </c>
      <c r="W332" s="109">
        <v>-2.6866933592898306E-2</v>
      </c>
      <c r="X332" s="109">
        <v>-2.3257298875181593</v>
      </c>
      <c r="Y332" s="109">
        <v>-0.67328987133019991</v>
      </c>
      <c r="Z332" s="109">
        <v>0.48638806488083913</v>
      </c>
      <c r="AA332" s="109">
        <v>-2.5394986275604183</v>
      </c>
      <c r="AD332" s="111"/>
    </row>
    <row r="333" spans="1:30" ht="15" customHeight="1" x14ac:dyDescent="0.3">
      <c r="A333" s="22" t="s">
        <v>153</v>
      </c>
      <c r="B333" s="23">
        <v>42</v>
      </c>
      <c r="C333" s="3" t="s">
        <v>14</v>
      </c>
      <c r="D333" s="23">
        <v>2015</v>
      </c>
      <c r="E333" s="25">
        <v>0.53011376975197011</v>
      </c>
      <c r="F333" s="25">
        <v>0.14425144057308065</v>
      </c>
      <c r="G333" s="25">
        <v>0.94971852101755572</v>
      </c>
      <c r="H333" s="25">
        <v>19.58392467778846</v>
      </c>
      <c r="I333" s="25">
        <v>-4.1146548648104672E-2</v>
      </c>
      <c r="J333" s="25">
        <v>-1.5230794240850172E-2</v>
      </c>
      <c r="K333" s="25">
        <v>-0.31407066472297457</v>
      </c>
      <c r="L333" s="25">
        <v>0.99160000000000004</v>
      </c>
      <c r="M333" s="24">
        <v>2</v>
      </c>
      <c r="N333" s="108">
        <v>0</v>
      </c>
      <c r="O333" s="24">
        <v>4</v>
      </c>
      <c r="P333" s="24">
        <v>11</v>
      </c>
      <c r="Q333" s="24">
        <v>4</v>
      </c>
      <c r="R333" s="24">
        <v>4</v>
      </c>
      <c r="S333" s="24">
        <v>11</v>
      </c>
      <c r="T333" s="24">
        <v>6</v>
      </c>
      <c r="U333" s="24">
        <v>2405430040000</v>
      </c>
      <c r="V333" s="109">
        <v>-0.29225979205999941</v>
      </c>
      <c r="W333" s="109">
        <v>-0.20878762385456862</v>
      </c>
      <c r="X333" s="109">
        <v>-0.43826483916364489</v>
      </c>
      <c r="Y333" s="109">
        <v>7.3691671365341382E-4</v>
      </c>
      <c r="Z333" s="109">
        <v>5.3615402289147934E-2</v>
      </c>
      <c r="AA333" s="109">
        <v>-0.59270014401541216</v>
      </c>
      <c r="AD333" s="111"/>
    </row>
    <row r="334" spans="1:30" ht="15" customHeight="1" x14ac:dyDescent="0.3">
      <c r="A334" s="22" t="s">
        <v>153</v>
      </c>
      <c r="B334" s="23">
        <v>42</v>
      </c>
      <c r="C334" s="3" t="s">
        <v>14</v>
      </c>
      <c r="D334" s="23">
        <v>2016</v>
      </c>
      <c r="E334" s="25">
        <v>0.91348108116209481</v>
      </c>
      <c r="F334" s="25">
        <v>0.31532922414062742</v>
      </c>
      <c r="G334" s="25">
        <v>0.89211259815773181</v>
      </c>
      <c r="H334" s="25">
        <v>8.4066090432845293</v>
      </c>
      <c r="I334" s="25">
        <v>-5.2841565787908287E-2</v>
      </c>
      <c r="J334" s="25">
        <v>-2.3766013210337118E-2</v>
      </c>
      <c r="K334" s="25">
        <v>-0.22395332381744379</v>
      </c>
      <c r="L334" s="25">
        <v>0.99160000000000004</v>
      </c>
      <c r="M334" s="24">
        <v>2</v>
      </c>
      <c r="N334" s="108">
        <v>0</v>
      </c>
      <c r="O334" s="24">
        <v>4</v>
      </c>
      <c r="P334" s="24">
        <v>6</v>
      </c>
      <c r="Q334" s="24">
        <v>4</v>
      </c>
      <c r="R334" s="24">
        <v>4</v>
      </c>
      <c r="S334" s="24">
        <v>6</v>
      </c>
      <c r="T334" s="24">
        <v>6</v>
      </c>
      <c r="U334" s="24">
        <v>2607832010000</v>
      </c>
      <c r="V334" s="109">
        <v>0.31728091341031811</v>
      </c>
      <c r="W334" s="109">
        <v>-2.671915726657562E-2</v>
      </c>
      <c r="X334" s="109">
        <v>-0.51676887431104124</v>
      </c>
      <c r="Y334" s="109">
        <v>-0.22020178638730642</v>
      </c>
      <c r="Z334" s="109">
        <v>0.12490172846074885</v>
      </c>
      <c r="AA334" s="109">
        <v>-0.63878808950417432</v>
      </c>
      <c r="AD334" s="111"/>
    </row>
    <row r="335" spans="1:30" ht="15" customHeight="1" x14ac:dyDescent="0.3">
      <c r="A335" s="22" t="s">
        <v>153</v>
      </c>
      <c r="B335" s="23">
        <v>42</v>
      </c>
      <c r="C335" s="3" t="s">
        <v>14</v>
      </c>
      <c r="D335" s="23">
        <v>2017</v>
      </c>
      <c r="E335" s="25">
        <v>0.68837770683416899</v>
      </c>
      <c r="F335" s="25">
        <v>0.40619798147867436</v>
      </c>
      <c r="G335" s="25">
        <v>0.81646750177373839</v>
      </c>
      <c r="H335" s="25">
        <v>4.4578153727483407</v>
      </c>
      <c r="I335" s="25">
        <v>2.265309848082194E-3</v>
      </c>
      <c r="J335" s="25">
        <v>9.3551898987274994E-4</v>
      </c>
      <c r="K335" s="25">
        <v>5.1078223266606496E-3</v>
      </c>
      <c r="L335" s="25">
        <v>0.99480000000000002</v>
      </c>
      <c r="M335" s="24">
        <v>2</v>
      </c>
      <c r="N335" s="108">
        <v>0</v>
      </c>
      <c r="O335" s="24">
        <v>3</v>
      </c>
      <c r="P335" s="24">
        <v>5</v>
      </c>
      <c r="Q335" s="24">
        <v>3</v>
      </c>
      <c r="R335" s="24">
        <v>5</v>
      </c>
      <c r="S335" s="24">
        <v>5</v>
      </c>
      <c r="T335" s="24">
        <v>6</v>
      </c>
      <c r="U335" s="24">
        <v>3661165660000</v>
      </c>
      <c r="V335" s="109">
        <v>0.28909257467780275</v>
      </c>
      <c r="W335" s="109">
        <v>-0.10295426358828026</v>
      </c>
      <c r="X335" s="109">
        <v>-0.41643764335973804</v>
      </c>
      <c r="Y335" s="109">
        <v>-8.4440036837885118E-2</v>
      </c>
      <c r="Z335" s="109">
        <v>0.23554138343613187</v>
      </c>
      <c r="AA335" s="109">
        <v>-0.36829056034977159</v>
      </c>
      <c r="AD335" s="111"/>
    </row>
    <row r="336" spans="1:30" ht="15" customHeight="1" x14ac:dyDescent="0.3">
      <c r="A336" s="22" t="s">
        <v>153</v>
      </c>
      <c r="B336" s="23">
        <v>42</v>
      </c>
      <c r="C336" s="3" t="s">
        <v>14</v>
      </c>
      <c r="D336" s="23">
        <v>2018</v>
      </c>
      <c r="E336" s="25">
        <v>1.0543324173302007</v>
      </c>
      <c r="F336" s="25">
        <v>0.54410816335025125</v>
      </c>
      <c r="G336" s="25">
        <v>0.87349973076692711</v>
      </c>
      <c r="H336" s="25">
        <v>6.9217683425658061</v>
      </c>
      <c r="I336" s="25">
        <v>-5.0413126645102661E-2</v>
      </c>
      <c r="J336" s="25">
        <v>-2.1089784568360345E-2</v>
      </c>
      <c r="K336" s="25">
        <v>-0.16711923087674135</v>
      </c>
      <c r="L336" s="25">
        <v>0.99480000000000002</v>
      </c>
      <c r="M336" s="24">
        <v>2</v>
      </c>
      <c r="N336" s="108">
        <v>0</v>
      </c>
      <c r="O336" s="24">
        <v>4</v>
      </c>
      <c r="P336" s="24">
        <v>6</v>
      </c>
      <c r="Q336" s="24">
        <v>4</v>
      </c>
      <c r="R336" s="24">
        <v>4</v>
      </c>
      <c r="S336" s="24">
        <v>6</v>
      </c>
      <c r="T336" s="24">
        <v>6</v>
      </c>
      <c r="U336" s="24">
        <v>4552765330000</v>
      </c>
      <c r="V336" s="109">
        <v>0.25967758258940637</v>
      </c>
      <c r="W336" s="109">
        <v>1.3259966377401665E-2</v>
      </c>
      <c r="X336" s="109">
        <v>-0.32836179017379746</v>
      </c>
      <c r="Y336" s="109">
        <v>1.3444072857583457E-2</v>
      </c>
      <c r="Z336" s="109">
        <v>0.15169533969274379</v>
      </c>
      <c r="AA336" s="109">
        <v>-0.14996241124606852</v>
      </c>
      <c r="AD336" s="111"/>
    </row>
    <row r="337" spans="1:30" ht="15" customHeight="1" x14ac:dyDescent="0.3">
      <c r="A337" s="22" t="s">
        <v>153</v>
      </c>
      <c r="B337" s="23">
        <v>42</v>
      </c>
      <c r="C337" s="3" t="s">
        <v>14</v>
      </c>
      <c r="D337" s="23">
        <v>2019</v>
      </c>
      <c r="E337" s="25">
        <v>1.3869638002805902</v>
      </c>
      <c r="F337" s="25">
        <v>0.84780703802266433</v>
      </c>
      <c r="G337" s="25">
        <v>0.87267840048737311</v>
      </c>
      <c r="H337" s="25">
        <v>6.866714093331046</v>
      </c>
      <c r="I337" s="25">
        <v>8.118942992423353E-2</v>
      </c>
      <c r="J337" s="25">
        <v>3.0277861660996653E-2</v>
      </c>
      <c r="K337" s="25">
        <v>0.23824288451207257</v>
      </c>
      <c r="L337" s="25">
        <v>0.99480000000000002</v>
      </c>
      <c r="M337" s="24">
        <v>2</v>
      </c>
      <c r="N337" s="108">
        <v>0</v>
      </c>
      <c r="O337" s="24">
        <v>4</v>
      </c>
      <c r="P337" s="24">
        <v>6</v>
      </c>
      <c r="Q337" s="24">
        <v>4</v>
      </c>
      <c r="R337" s="24">
        <v>4</v>
      </c>
      <c r="S337" s="24">
        <v>6</v>
      </c>
      <c r="T337" s="24">
        <v>6</v>
      </c>
      <c r="U337" s="24">
        <v>5934705760000</v>
      </c>
      <c r="V337" s="109">
        <v>0.16204012561209835</v>
      </c>
      <c r="W337" s="109">
        <v>7.3836410855186149E-2</v>
      </c>
      <c r="X337" s="109">
        <v>-0.24876355423558522</v>
      </c>
      <c r="Y337" s="109">
        <v>6.4659343111224434E-3</v>
      </c>
      <c r="Z337" s="109">
        <v>0.15291156523026936</v>
      </c>
      <c r="AA337" s="109">
        <v>-1.5549643839007254E-2</v>
      </c>
      <c r="AD337" s="111"/>
    </row>
    <row r="338" spans="1:30" ht="15" customHeight="1" x14ac:dyDescent="0.3">
      <c r="A338" s="22" t="s">
        <v>153</v>
      </c>
      <c r="B338" s="23">
        <v>42</v>
      </c>
      <c r="C338" s="3" t="s">
        <v>14</v>
      </c>
      <c r="D338" s="23">
        <v>2020</v>
      </c>
      <c r="E338" s="25">
        <v>1.350500809643423</v>
      </c>
      <c r="F338" s="25">
        <v>0.69167068927767184</v>
      </c>
      <c r="G338" s="25">
        <v>0.87791952981059118</v>
      </c>
      <c r="H338" s="25">
        <v>7.2029381169999622</v>
      </c>
      <c r="I338" s="25">
        <v>5.2955498367623102E-2</v>
      </c>
      <c r="J338" s="25">
        <v>1.464374980497654E-2</v>
      </c>
      <c r="K338" s="25">
        <v>0.12014543482001463</v>
      </c>
      <c r="L338" s="25">
        <v>0.99480000000000002</v>
      </c>
      <c r="M338" s="24">
        <v>2</v>
      </c>
      <c r="N338" s="108">
        <v>0</v>
      </c>
      <c r="O338" s="24">
        <v>4</v>
      </c>
      <c r="P338" s="24">
        <v>6</v>
      </c>
      <c r="Q338" s="24">
        <v>4</v>
      </c>
      <c r="R338" s="24">
        <v>4</v>
      </c>
      <c r="S338" s="24">
        <v>6</v>
      </c>
      <c r="T338" s="24">
        <v>6</v>
      </c>
      <c r="U338" s="24">
        <v>7033128220000</v>
      </c>
      <c r="V338" s="109">
        <v>-0.12125093574000904</v>
      </c>
      <c r="W338" s="109">
        <v>6.7773348912441744E-2</v>
      </c>
      <c r="X338" s="109">
        <v>-0.2003732226852534</v>
      </c>
      <c r="Y338" s="109">
        <v>1.96628985103303E-2</v>
      </c>
      <c r="Z338" s="109">
        <v>0.1457738471363304</v>
      </c>
      <c r="AA338" s="109">
        <v>3.2836871873849052E-2</v>
      </c>
      <c r="AD338" s="111"/>
    </row>
    <row r="339" spans="1:30" ht="15" customHeight="1" x14ac:dyDescent="0.3">
      <c r="A339" s="22" t="s">
        <v>153</v>
      </c>
      <c r="B339" s="23">
        <v>42</v>
      </c>
      <c r="C339" s="3" t="s">
        <v>14</v>
      </c>
      <c r="D339" s="23">
        <v>2021</v>
      </c>
      <c r="E339" s="25">
        <v>1.8002373641641889</v>
      </c>
      <c r="F339" s="25">
        <v>0.91398024432062774</v>
      </c>
      <c r="G339" s="25">
        <v>0.89854731279134115</v>
      </c>
      <c r="H339" s="25">
        <v>8.8716640560135236</v>
      </c>
      <c r="I339" s="25">
        <v>-1.2546681942035226E-2</v>
      </c>
      <c r="J339" s="25">
        <v>-3.8349295392344921E-3</v>
      </c>
      <c r="K339" s="25">
        <v>-3.7863567189223471E-2</v>
      </c>
      <c r="L339" s="25">
        <v>0.99480000000000002</v>
      </c>
      <c r="M339" s="24">
        <v>2</v>
      </c>
      <c r="N339" s="108">
        <v>0</v>
      </c>
      <c r="O339" s="24">
        <v>4</v>
      </c>
      <c r="P339" s="24">
        <v>8</v>
      </c>
      <c r="Q339" s="24">
        <v>4</v>
      </c>
      <c r="R339" s="24">
        <v>5</v>
      </c>
      <c r="S339" s="24">
        <v>8</v>
      </c>
      <c r="T339" s="24">
        <v>9</v>
      </c>
      <c r="U339" s="24">
        <v>8154877340000</v>
      </c>
      <c r="V339" s="109">
        <v>0.28161079711382336</v>
      </c>
      <c r="W339" s="109">
        <v>0.13691815622085121</v>
      </c>
      <c r="X339" s="109">
        <v>-0.16089886261857617</v>
      </c>
      <c r="Y339" s="109">
        <v>2.4501801666583986E-2</v>
      </c>
      <c r="Z339" s="109">
        <v>0.11835434630646022</v>
      </c>
      <c r="AA339" s="109">
        <v>0.11887544157531925</v>
      </c>
      <c r="AD339" s="111"/>
    </row>
    <row r="340" spans="1:30" ht="15" customHeight="1" x14ac:dyDescent="0.3">
      <c r="A340" s="22" t="s">
        <v>153</v>
      </c>
      <c r="B340" s="23">
        <v>42</v>
      </c>
      <c r="C340" s="3" t="s">
        <v>14</v>
      </c>
      <c r="D340" s="23">
        <v>2022</v>
      </c>
      <c r="E340" s="25">
        <v>1.7445185191581964</v>
      </c>
      <c r="F340" s="25">
        <v>0.74610829745370943</v>
      </c>
      <c r="G340" s="25">
        <v>0.95729183148450669</v>
      </c>
      <c r="H340" s="25">
        <v>22.488203943533403</v>
      </c>
      <c r="I340" s="25">
        <v>-0.10175445221026747</v>
      </c>
      <c r="J340" s="25">
        <v>-4.0630533474937211E-2</v>
      </c>
      <c r="K340" s="25">
        <v>-0.95447145067772043</v>
      </c>
      <c r="L340" s="25">
        <v>0.99480000000000002</v>
      </c>
      <c r="M340" s="24">
        <v>2</v>
      </c>
      <c r="N340" s="108">
        <v>0</v>
      </c>
      <c r="O340" s="24">
        <v>4</v>
      </c>
      <c r="P340" s="24">
        <v>8</v>
      </c>
      <c r="Q340" s="24">
        <v>4</v>
      </c>
      <c r="R340" s="24">
        <v>4</v>
      </c>
      <c r="S340" s="24">
        <v>8</v>
      </c>
      <c r="T340" s="24">
        <v>9</v>
      </c>
      <c r="U340" s="24">
        <v>9927373960000</v>
      </c>
      <c r="V340" s="109">
        <v>0.5903311026845196</v>
      </c>
      <c r="W340" s="109">
        <v>0.1082438852741677</v>
      </c>
      <c r="X340" s="109">
        <v>-0.11026183740135843</v>
      </c>
      <c r="Y340" s="109">
        <v>4.5162351152126835E-2</v>
      </c>
      <c r="Z340" s="109">
        <v>4.6691145395003096E-2</v>
      </c>
      <c r="AA340" s="109">
        <v>8.9835544419939198E-2</v>
      </c>
      <c r="AD340" s="111"/>
    </row>
    <row r="341" spans="1:30" ht="15" customHeight="1" x14ac:dyDescent="0.3">
      <c r="A341" s="22" t="s">
        <v>153</v>
      </c>
      <c r="B341" s="23">
        <v>42</v>
      </c>
      <c r="C341" s="3" t="s">
        <v>14</v>
      </c>
      <c r="D341" s="23">
        <v>2023</v>
      </c>
      <c r="E341" s="25">
        <v>0.8698877415287869</v>
      </c>
      <c r="F341" s="25">
        <v>0.4359089493587735</v>
      </c>
      <c r="G341" s="25">
        <v>0.90956783462850066</v>
      </c>
      <c r="H341" s="25">
        <v>10.070652500843398</v>
      </c>
      <c r="I341" s="25">
        <v>9.87413716237832E-2</v>
      </c>
      <c r="J341" s="25">
        <v>3.3225710290688992E-2</v>
      </c>
      <c r="K341" s="25">
        <v>0.3678720483424851</v>
      </c>
      <c r="L341" s="25">
        <v>0.99480000000000002</v>
      </c>
      <c r="M341" s="24">
        <v>2</v>
      </c>
      <c r="N341" s="108">
        <v>0</v>
      </c>
      <c r="O341" s="24">
        <v>4</v>
      </c>
      <c r="P341" s="24">
        <v>10</v>
      </c>
      <c r="Q341" s="24">
        <v>4</v>
      </c>
      <c r="R341" s="24">
        <v>3</v>
      </c>
      <c r="S341" s="24">
        <v>10</v>
      </c>
      <c r="T341" s="24">
        <v>6</v>
      </c>
      <c r="U341" s="24">
        <v>12202897890000</v>
      </c>
      <c r="V341" s="109">
        <v>3.5868459225012729E-2</v>
      </c>
      <c r="W341" s="109">
        <v>-3.7754387273660976E-2</v>
      </c>
      <c r="X341" s="109">
        <v>3.9049382573011104E-2</v>
      </c>
      <c r="Y341" s="109">
        <v>0.11445281143789034</v>
      </c>
      <c r="Z341" s="109">
        <v>0.10426335333406296</v>
      </c>
      <c r="AA341" s="109">
        <v>0.22001116007130345</v>
      </c>
      <c r="AD341" s="111"/>
    </row>
    <row r="342" spans="1:30" ht="15" customHeight="1" x14ac:dyDescent="0.3">
      <c r="A342" s="22" t="s">
        <v>153</v>
      </c>
      <c r="B342" s="23">
        <v>42</v>
      </c>
      <c r="C342" s="3" t="s">
        <v>14</v>
      </c>
      <c r="D342" s="23">
        <v>2024</v>
      </c>
      <c r="E342" s="25">
        <v>0.93455933335584762</v>
      </c>
      <c r="F342" s="25">
        <v>0.36967112799214175</v>
      </c>
      <c r="G342" s="25">
        <v>0.92778139427669337</v>
      </c>
      <c r="H342" s="25">
        <v>12.864591692110157</v>
      </c>
      <c r="I342" s="25">
        <v>-2.2891746088491108E-2</v>
      </c>
      <c r="J342" s="25">
        <v>-7.144913589841019E-3</v>
      </c>
      <c r="K342" s="25">
        <v>-9.9071178378579761E-2</v>
      </c>
      <c r="L342" s="25">
        <v>0.99480000000000002</v>
      </c>
      <c r="M342" s="24">
        <v>2</v>
      </c>
      <c r="N342" s="108">
        <v>0</v>
      </c>
      <c r="O342" s="24">
        <v>3</v>
      </c>
      <c r="P342" s="24">
        <v>7</v>
      </c>
      <c r="Q342" s="24">
        <v>3</v>
      </c>
      <c r="R342" s="24">
        <v>5</v>
      </c>
      <c r="S342" s="24">
        <v>7</v>
      </c>
      <c r="T342" s="24">
        <v>8</v>
      </c>
      <c r="U342" s="24">
        <v>13904807770000</v>
      </c>
      <c r="V342" s="109">
        <v>5.6926907650779533E-2</v>
      </c>
      <c r="W342" s="109">
        <v>-1.5285294375558273E-2</v>
      </c>
      <c r="X342" s="109">
        <v>7.1757952753057005E-2</v>
      </c>
      <c r="Y342" s="109">
        <v>7.2536996921029703E-2</v>
      </c>
      <c r="Z342" s="109">
        <v>8.1619380166100736E-2</v>
      </c>
      <c r="AA342" s="109">
        <v>0.21062903546462916</v>
      </c>
      <c r="AD342" s="111"/>
    </row>
    <row r="343" spans="1:30" ht="15" customHeight="1" x14ac:dyDescent="0.3">
      <c r="A343" s="22" t="s">
        <v>153</v>
      </c>
      <c r="B343" s="23">
        <v>43</v>
      </c>
      <c r="C343" s="3" t="s">
        <v>15</v>
      </c>
      <c r="D343" s="23">
        <v>2015</v>
      </c>
      <c r="E343" s="25">
        <v>2.9854590005732393</v>
      </c>
      <c r="F343" s="25">
        <v>1.1216139966633321</v>
      </c>
      <c r="G343" s="25">
        <v>0.26377833332695722</v>
      </c>
      <c r="H343" s="25">
        <v>0.3582865790090391</v>
      </c>
      <c r="I343" s="25">
        <v>-1.131871391191354</v>
      </c>
      <c r="J343" s="25">
        <v>-0.18297281643634486</v>
      </c>
      <c r="K343" s="25">
        <v>-0.24852952714417356</v>
      </c>
      <c r="L343" s="25">
        <v>0.98129999999999995</v>
      </c>
      <c r="M343" s="24">
        <v>2</v>
      </c>
      <c r="N343" s="108">
        <v>0</v>
      </c>
      <c r="O343" s="24">
        <v>4</v>
      </c>
      <c r="P343" s="24">
        <v>0</v>
      </c>
      <c r="Q343" s="24">
        <v>4</v>
      </c>
      <c r="R343" s="24">
        <v>3</v>
      </c>
      <c r="S343" s="24">
        <v>0</v>
      </c>
      <c r="T343" s="24">
        <v>0</v>
      </c>
      <c r="U343" s="24">
        <v>397316560000</v>
      </c>
      <c r="V343" s="109">
        <v>3.1345373576481359</v>
      </c>
      <c r="W343" s="109">
        <v>1.020776505263209</v>
      </c>
      <c r="X343" s="109">
        <v>-1.3824173812438123</v>
      </c>
      <c r="Y343" s="109">
        <v>-1.3064121565937248</v>
      </c>
      <c r="Z343" s="109">
        <v>2.9306149365240666</v>
      </c>
      <c r="AA343" s="109">
        <v>1.2625619039497384</v>
      </c>
      <c r="AD343" s="111"/>
    </row>
    <row r="344" spans="1:30" ht="15" customHeight="1" x14ac:dyDescent="0.3">
      <c r="A344" s="22" t="s">
        <v>153</v>
      </c>
      <c r="B344" s="23">
        <v>43</v>
      </c>
      <c r="C344" s="3" t="s">
        <v>15</v>
      </c>
      <c r="D344" s="23">
        <v>2016</v>
      </c>
      <c r="E344" s="25">
        <v>2.7465185696628782</v>
      </c>
      <c r="F344" s="25">
        <v>1.0589387515102917</v>
      </c>
      <c r="G344" s="25">
        <v>0.13683985382663974</v>
      </c>
      <c r="H344" s="25">
        <v>0.15853356347983696</v>
      </c>
      <c r="I344" s="25">
        <v>-0.68419559233062788</v>
      </c>
      <c r="J344" s="25">
        <v>-6.0372455965826591E-2</v>
      </c>
      <c r="K344" s="25">
        <v>-6.994351654611862E-2</v>
      </c>
      <c r="L344" s="25">
        <v>0.99609999999999999</v>
      </c>
      <c r="M344" s="24">
        <v>2</v>
      </c>
      <c r="N344" s="108">
        <v>0</v>
      </c>
      <c r="O344" s="24">
        <v>4</v>
      </c>
      <c r="P344" s="24">
        <v>0</v>
      </c>
      <c r="Q344" s="24">
        <v>4</v>
      </c>
      <c r="R344" s="24">
        <v>3</v>
      </c>
      <c r="S344" s="24">
        <v>0</v>
      </c>
      <c r="T344" s="24">
        <v>0</v>
      </c>
      <c r="U344" s="24">
        <v>2179146730000</v>
      </c>
      <c r="V344" s="109">
        <v>1.9937731459640975</v>
      </c>
      <c r="W344" s="109">
        <v>0.50394810522924238</v>
      </c>
      <c r="X344" s="109">
        <v>-0.44839350308457654</v>
      </c>
      <c r="Y344" s="109">
        <v>-0.40373348149897187</v>
      </c>
      <c r="Z344" s="109">
        <v>6.6232031687948778</v>
      </c>
      <c r="AA344" s="109">
        <v>6.2750242894405721</v>
      </c>
      <c r="AD344" s="111"/>
    </row>
    <row r="345" spans="1:30" ht="15" customHeight="1" x14ac:dyDescent="0.3">
      <c r="A345" s="22" t="s">
        <v>153</v>
      </c>
      <c r="B345" s="23">
        <v>43</v>
      </c>
      <c r="C345" s="3" t="s">
        <v>15</v>
      </c>
      <c r="D345" s="23">
        <v>2017</v>
      </c>
      <c r="E345" s="25">
        <v>4.1638129249432581</v>
      </c>
      <c r="F345" s="25">
        <v>1.9344020443495138</v>
      </c>
      <c r="G345" s="25">
        <v>0.12812199998605206</v>
      </c>
      <c r="H345" s="25">
        <v>0.14694945770117879</v>
      </c>
      <c r="I345" s="25">
        <v>-0.22998851284162822</v>
      </c>
      <c r="J345" s="25">
        <v>-2.7211764095901904E-2</v>
      </c>
      <c r="K345" s="25">
        <v>-3.1210517923701744E-2</v>
      </c>
      <c r="L345" s="25">
        <v>0.99609999999999999</v>
      </c>
      <c r="M345" s="24">
        <v>2</v>
      </c>
      <c r="N345" s="108">
        <v>0</v>
      </c>
      <c r="O345" s="24">
        <v>3</v>
      </c>
      <c r="P345" s="24">
        <v>0</v>
      </c>
      <c r="Q345" s="24">
        <v>3</v>
      </c>
      <c r="R345" s="24">
        <v>3</v>
      </c>
      <c r="S345" s="24">
        <v>0</v>
      </c>
      <c r="T345" s="24">
        <v>0</v>
      </c>
      <c r="U345" s="24">
        <v>2092063190000</v>
      </c>
      <c r="V345" s="109">
        <v>0.2873015886223792</v>
      </c>
      <c r="W345" s="109">
        <v>0.56237131154723852</v>
      </c>
      <c r="X345" s="109">
        <v>-0.55470702641634828</v>
      </c>
      <c r="Y345" s="109">
        <v>-0.18685696544376368</v>
      </c>
      <c r="Z345" s="109">
        <v>7.1453138815603623</v>
      </c>
      <c r="AA345" s="109">
        <v>6.9661212012474891</v>
      </c>
      <c r="AD345" s="111"/>
    </row>
    <row r="346" spans="1:30" ht="15" customHeight="1" x14ac:dyDescent="0.3">
      <c r="A346" s="22" t="s">
        <v>153</v>
      </c>
      <c r="B346" s="23">
        <v>43</v>
      </c>
      <c r="C346" s="3" t="s">
        <v>15</v>
      </c>
      <c r="D346" s="23">
        <v>2018</v>
      </c>
      <c r="E346" s="25">
        <v>1.5215607994912772</v>
      </c>
      <c r="F346" s="25">
        <v>0.53582988494795725</v>
      </c>
      <c r="G346" s="25">
        <v>0.10777812349190065</v>
      </c>
      <c r="H346" s="25">
        <v>0.1207974454893589</v>
      </c>
      <c r="I346" s="25">
        <v>-1.286473257751039E-2</v>
      </c>
      <c r="J346" s="25">
        <v>-1.2334076956949935E-3</v>
      </c>
      <c r="K346" s="25">
        <v>-1.3824001945818652E-3</v>
      </c>
      <c r="L346" s="25">
        <v>0.99609999999999999</v>
      </c>
      <c r="M346" s="24">
        <v>2</v>
      </c>
      <c r="N346" s="108">
        <v>0</v>
      </c>
      <c r="O346" s="24">
        <v>3</v>
      </c>
      <c r="P346" s="24">
        <v>0</v>
      </c>
      <c r="Q346" s="24">
        <v>3</v>
      </c>
      <c r="R346" s="24">
        <v>3</v>
      </c>
      <c r="S346" s="24">
        <v>0</v>
      </c>
      <c r="T346" s="24">
        <v>0</v>
      </c>
      <c r="U346" s="24">
        <v>2041539070000</v>
      </c>
      <c r="V346" s="109">
        <v>-0.20925175589824818</v>
      </c>
      <c r="W346" s="109">
        <v>0.13931158633177659</v>
      </c>
      <c r="X346" s="109">
        <v>-0.57245587114823127</v>
      </c>
      <c r="Y346" s="109">
        <v>-1.1504788492732593E-2</v>
      </c>
      <c r="Z346" s="109">
        <v>8.692236791484925</v>
      </c>
      <c r="AA346" s="109">
        <v>8.2475877181757369</v>
      </c>
      <c r="AD346" s="111"/>
    </row>
    <row r="347" spans="1:30" ht="15" customHeight="1" x14ac:dyDescent="0.3">
      <c r="A347" s="22" t="s">
        <v>153</v>
      </c>
      <c r="B347" s="23">
        <v>43</v>
      </c>
      <c r="C347" s="3" t="s">
        <v>15</v>
      </c>
      <c r="D347" s="23">
        <v>2019</v>
      </c>
      <c r="E347" s="25">
        <v>1.8277286045026937</v>
      </c>
      <c r="F347" s="25">
        <v>0.37935949412463504</v>
      </c>
      <c r="G347" s="25">
        <v>9.4331021287049857E-2</v>
      </c>
      <c r="H347" s="25">
        <v>0.10415618013228636</v>
      </c>
      <c r="I347" s="25">
        <v>0.149413169050754</v>
      </c>
      <c r="J347" s="25">
        <v>1.3859082971289375E-2</v>
      </c>
      <c r="K347" s="25">
        <v>1.5302592113715294E-2</v>
      </c>
      <c r="L347" s="25">
        <v>0.99609999999999999</v>
      </c>
      <c r="M347" s="24">
        <v>2</v>
      </c>
      <c r="N347" s="108">
        <v>0</v>
      </c>
      <c r="O347" s="24">
        <v>3</v>
      </c>
      <c r="P347" s="24">
        <v>0</v>
      </c>
      <c r="Q347" s="24">
        <v>3</v>
      </c>
      <c r="R347" s="24">
        <v>3</v>
      </c>
      <c r="S347" s="24">
        <v>0</v>
      </c>
      <c r="T347" s="24">
        <v>3</v>
      </c>
      <c r="U347" s="24">
        <v>2042482180000</v>
      </c>
      <c r="V347" s="109">
        <v>-3.2078120380340976E-2</v>
      </c>
      <c r="W347" s="109">
        <v>0.14358071941660708</v>
      </c>
      <c r="X347" s="109">
        <v>-0.52701093088606521</v>
      </c>
      <c r="Y347" s="109">
        <v>5.613856371564524E-2</v>
      </c>
      <c r="Z347" s="109">
        <v>10.081014863125926</v>
      </c>
      <c r="AA347" s="109">
        <v>9.7537232153721138</v>
      </c>
      <c r="AD347" s="111"/>
    </row>
    <row r="348" spans="1:30" ht="15" customHeight="1" x14ac:dyDescent="0.3">
      <c r="A348" s="22" t="s">
        <v>153</v>
      </c>
      <c r="B348" s="23">
        <v>43</v>
      </c>
      <c r="C348" s="3" t="s">
        <v>15</v>
      </c>
      <c r="D348" s="23">
        <v>2020</v>
      </c>
      <c r="E348" s="25">
        <v>1.580139654098023</v>
      </c>
      <c r="F348" s="25">
        <v>0.68144510897464861</v>
      </c>
      <c r="G348" s="25">
        <v>9.8790085669894279E-2</v>
      </c>
      <c r="H348" s="25">
        <v>0.10961939451444684</v>
      </c>
      <c r="I348" s="25">
        <v>0.1676221186377039</v>
      </c>
      <c r="J348" s="25">
        <v>1.6315180947676918E-2</v>
      </c>
      <c r="K348" s="25">
        <v>1.8103641116924408E-2</v>
      </c>
      <c r="L348" s="25">
        <v>0.99609999999999999</v>
      </c>
      <c r="M348" s="24">
        <v>2</v>
      </c>
      <c r="N348" s="108">
        <v>0</v>
      </c>
      <c r="O348" s="24">
        <v>3</v>
      </c>
      <c r="P348" s="24">
        <v>0</v>
      </c>
      <c r="Q348" s="24">
        <v>3</v>
      </c>
      <c r="R348" s="24">
        <v>4</v>
      </c>
      <c r="S348" s="24">
        <v>0</v>
      </c>
      <c r="T348" s="24">
        <v>0</v>
      </c>
      <c r="U348" s="24">
        <v>2065906600000</v>
      </c>
      <c r="V348" s="109">
        <v>6.1371345716811014E-2</v>
      </c>
      <c r="W348" s="109">
        <v>0.1308714707625214</v>
      </c>
      <c r="X348" s="109">
        <v>-0.50209501475042473</v>
      </c>
      <c r="Y348" s="109">
        <v>5.7349498375192758E-2</v>
      </c>
      <c r="Z348" s="109">
        <v>9.5785969686378767</v>
      </c>
      <c r="AA348" s="109">
        <v>9.2647229230251664</v>
      </c>
      <c r="AD348" s="111"/>
    </row>
    <row r="349" spans="1:30" ht="15" customHeight="1" x14ac:dyDescent="0.3">
      <c r="A349" s="22" t="s">
        <v>153</v>
      </c>
      <c r="B349" s="23">
        <v>43</v>
      </c>
      <c r="C349" s="3" t="s">
        <v>15</v>
      </c>
      <c r="D349" s="23">
        <v>2021</v>
      </c>
      <c r="E349" s="25">
        <v>0.85256438824180281</v>
      </c>
      <c r="F349" s="25">
        <v>0.31570385311819538</v>
      </c>
      <c r="G349" s="25">
        <v>8.1440822846226391E-2</v>
      </c>
      <c r="H349" s="25">
        <v>8.8661487329076666E-2</v>
      </c>
      <c r="I349" s="25">
        <v>4.6135633982086408E-2</v>
      </c>
      <c r="J349" s="25">
        <v>5.0651931101500045E-3</v>
      </c>
      <c r="K349" s="25">
        <v>5.5142806649048958E-3</v>
      </c>
      <c r="L349" s="25">
        <v>0.99609999999999999</v>
      </c>
      <c r="M349" s="24">
        <v>2</v>
      </c>
      <c r="N349" s="108">
        <v>0</v>
      </c>
      <c r="O349" s="24">
        <v>3</v>
      </c>
      <c r="P349" s="24">
        <v>0</v>
      </c>
      <c r="Q349" s="24">
        <v>3</v>
      </c>
      <c r="R349" s="24">
        <v>4</v>
      </c>
      <c r="S349" s="24">
        <v>0</v>
      </c>
      <c r="T349" s="24">
        <v>4</v>
      </c>
      <c r="U349" s="24">
        <v>2038125650000</v>
      </c>
      <c r="V349" s="109">
        <v>0.11280538051562281</v>
      </c>
      <c r="W349" s="109">
        <v>-3.343520493940106E-2</v>
      </c>
      <c r="X349" s="109">
        <v>-0.49258100039121727</v>
      </c>
      <c r="Y349" s="109">
        <v>4.5662618298337003E-2</v>
      </c>
      <c r="Z349" s="109">
        <v>11.842797043352228</v>
      </c>
      <c r="AA349" s="109">
        <v>11.362443456319946</v>
      </c>
      <c r="AD349" s="111"/>
    </row>
    <row r="350" spans="1:30" ht="15" customHeight="1" x14ac:dyDescent="0.3">
      <c r="A350" s="22" t="s">
        <v>153</v>
      </c>
      <c r="B350" s="23">
        <v>43</v>
      </c>
      <c r="C350" s="3" t="s">
        <v>15</v>
      </c>
      <c r="D350" s="23">
        <v>2022</v>
      </c>
      <c r="E350" s="25">
        <v>2.6850556656601023</v>
      </c>
      <c r="F350" s="25">
        <v>2.4319454716219417</v>
      </c>
      <c r="G350" s="25">
        <v>0.1243867522838322</v>
      </c>
      <c r="H350" s="25">
        <v>0.14205672722319579</v>
      </c>
      <c r="I350" s="25">
        <v>-0.30361702555441622</v>
      </c>
      <c r="J350" s="25">
        <v>-3.1764760952778137E-2</v>
      </c>
      <c r="K350" s="25">
        <v>-3.6277158934756963E-2</v>
      </c>
      <c r="L350" s="25">
        <v>0.99609999999999999</v>
      </c>
      <c r="M350" s="24">
        <v>2</v>
      </c>
      <c r="N350" s="108">
        <v>0</v>
      </c>
      <c r="O350" s="24">
        <v>3</v>
      </c>
      <c r="P350" s="24">
        <v>9</v>
      </c>
      <c r="Q350" s="24">
        <v>3</v>
      </c>
      <c r="R350" s="24">
        <v>4</v>
      </c>
      <c r="S350" s="24">
        <v>9</v>
      </c>
      <c r="T350" s="24">
        <v>4</v>
      </c>
      <c r="U350" s="24">
        <v>2063240460000</v>
      </c>
      <c r="V350" s="109">
        <v>-3.5329835930361132E-2</v>
      </c>
      <c r="W350" s="109">
        <v>0.6166984918471401</v>
      </c>
      <c r="X350" s="109">
        <v>-0.59013819096975251</v>
      </c>
      <c r="Y350" s="109">
        <v>-0.17099957336044097</v>
      </c>
      <c r="Z350" s="109">
        <v>7.3914134200083863</v>
      </c>
      <c r="AA350" s="109">
        <v>7.2469741475253331</v>
      </c>
      <c r="AD350" s="111"/>
    </row>
    <row r="351" spans="1:30" ht="15" customHeight="1" x14ac:dyDescent="0.3">
      <c r="A351" s="22" t="s">
        <v>153</v>
      </c>
      <c r="B351" s="23">
        <v>43</v>
      </c>
      <c r="C351" s="3" t="s">
        <v>15</v>
      </c>
      <c r="D351" s="23">
        <v>2023</v>
      </c>
      <c r="E351" s="25">
        <v>0.60608113210912895</v>
      </c>
      <c r="F351" s="25">
        <v>0.25009381838927119</v>
      </c>
      <c r="G351" s="25">
        <v>0.165159173679195</v>
      </c>
      <c r="H351" s="25">
        <v>0.19783312994773106</v>
      </c>
      <c r="I351" s="25">
        <v>-0.14413861441762899</v>
      </c>
      <c r="J351" s="25">
        <v>-1.7379557920910976E-2</v>
      </c>
      <c r="K351" s="25">
        <v>-2.0817810261512679E-2</v>
      </c>
      <c r="L351" s="25">
        <v>0.99609999999999999</v>
      </c>
      <c r="M351" s="24">
        <v>2</v>
      </c>
      <c r="N351" s="108">
        <v>0</v>
      </c>
      <c r="O351" s="24">
        <v>3</v>
      </c>
      <c r="P351" s="24">
        <v>9</v>
      </c>
      <c r="Q351" s="24">
        <v>3</v>
      </c>
      <c r="R351" s="24">
        <v>4</v>
      </c>
      <c r="S351" s="24">
        <v>9</v>
      </c>
      <c r="T351" s="24">
        <v>6</v>
      </c>
      <c r="U351" s="24">
        <v>2119874980000</v>
      </c>
      <c r="V351" s="109">
        <v>0.18412981313969545</v>
      </c>
      <c r="W351" s="109">
        <v>-0.14623721253599589</v>
      </c>
      <c r="X351" s="109">
        <v>-0.63102943457542948</v>
      </c>
      <c r="Y351" s="109">
        <v>-0.13331849296131604</v>
      </c>
      <c r="Z351" s="109">
        <v>5.3075033503105251</v>
      </c>
      <c r="AA351" s="109">
        <v>4.396918210237784</v>
      </c>
      <c r="AD351" s="111"/>
    </row>
    <row r="352" spans="1:30" ht="15" customHeight="1" x14ac:dyDescent="0.3">
      <c r="A352" s="22" t="s">
        <v>153</v>
      </c>
      <c r="B352" s="23">
        <v>43</v>
      </c>
      <c r="C352" s="3" t="s">
        <v>15</v>
      </c>
      <c r="D352" s="23">
        <v>2024</v>
      </c>
      <c r="E352" s="25">
        <v>0.69630954187689331</v>
      </c>
      <c r="F352" s="25">
        <v>0.23642392037142382</v>
      </c>
      <c r="G352" s="25">
        <v>0.20042341367740635</v>
      </c>
      <c r="H352" s="25">
        <v>0.25066193421094557</v>
      </c>
      <c r="I352" s="25">
        <v>-0.28876847638594522</v>
      </c>
      <c r="J352" s="25">
        <v>-3.8446150939227243E-2</v>
      </c>
      <c r="K352" s="25">
        <v>-4.8083137496619917E-2</v>
      </c>
      <c r="L352" s="25">
        <v>0.99609999999999999</v>
      </c>
      <c r="M352" s="24">
        <v>2</v>
      </c>
      <c r="N352" s="108">
        <v>0</v>
      </c>
      <c r="O352" s="24">
        <v>3</v>
      </c>
      <c r="P352" s="24">
        <v>9</v>
      </c>
      <c r="Q352" s="24">
        <v>3</v>
      </c>
      <c r="R352" s="24">
        <v>4</v>
      </c>
      <c r="S352" s="24">
        <v>9</v>
      </c>
      <c r="T352" s="24">
        <v>6</v>
      </c>
      <c r="U352" s="24">
        <v>2111825970000.0002</v>
      </c>
      <c r="V352" s="109">
        <v>9.9999733964078422E-2</v>
      </c>
      <c r="W352" s="109">
        <v>-0.10964812900752426</v>
      </c>
      <c r="X352" s="109">
        <v>-0.75876899117780983</v>
      </c>
      <c r="Y352" s="109">
        <v>-0.2616481508653859</v>
      </c>
      <c r="Z352" s="109">
        <v>4.1889088716452987</v>
      </c>
      <c r="AA352" s="109">
        <v>3.0588436005945789</v>
      </c>
      <c r="AD352" s="111"/>
    </row>
    <row r="353" spans="1:30" ht="15" customHeight="1" x14ac:dyDescent="0.3">
      <c r="A353" s="22" t="s">
        <v>153</v>
      </c>
      <c r="B353" s="23">
        <v>44</v>
      </c>
      <c r="C353" s="3" t="s">
        <v>35</v>
      </c>
      <c r="D353" s="23">
        <v>2015</v>
      </c>
      <c r="E353" s="25">
        <v>7.4606027094277021</v>
      </c>
      <c r="F353" s="25">
        <v>0.51320154824440145</v>
      </c>
      <c r="G353" s="25">
        <v>0.85078006468589329</v>
      </c>
      <c r="H353" s="25">
        <v>5.7015800511677446</v>
      </c>
      <c r="I353" s="25">
        <v>8.5576359189923845E-2</v>
      </c>
      <c r="J353" s="25">
        <v>3.472175877466753E-2</v>
      </c>
      <c r="K353" s="25">
        <v>0.15862077237349581</v>
      </c>
      <c r="L353" s="25">
        <v>0.56499999999999995</v>
      </c>
      <c r="M353" s="24">
        <v>2</v>
      </c>
      <c r="N353" s="108">
        <v>0</v>
      </c>
      <c r="O353" s="24">
        <v>6</v>
      </c>
      <c r="P353" s="24">
        <v>0</v>
      </c>
      <c r="Q353" s="24">
        <v>6</v>
      </c>
      <c r="R353" s="24">
        <v>3</v>
      </c>
      <c r="S353" s="24">
        <v>0</v>
      </c>
      <c r="T353" s="24">
        <v>0</v>
      </c>
      <c r="U353" s="24">
        <v>610334000000</v>
      </c>
      <c r="V353" s="109">
        <v>3.5709570967383461E-2</v>
      </c>
      <c r="W353" s="109">
        <v>1.0046569910901244</v>
      </c>
      <c r="X353" s="109">
        <v>-9.7976157317141099E-2</v>
      </c>
      <c r="Y353" s="109">
        <v>-0.24010302555649857</v>
      </c>
      <c r="Z353" s="109">
        <v>0.18415947694796442</v>
      </c>
      <c r="AA353" s="109">
        <v>0.85073728516444913</v>
      </c>
      <c r="AD353" s="111"/>
    </row>
    <row r="354" spans="1:30" ht="15" customHeight="1" x14ac:dyDescent="0.3">
      <c r="A354" s="22" t="s">
        <v>153</v>
      </c>
      <c r="B354" s="23">
        <v>44</v>
      </c>
      <c r="C354" s="3" t="s">
        <v>35</v>
      </c>
      <c r="D354" s="23">
        <v>2016</v>
      </c>
      <c r="E354" s="25">
        <v>2.6135395791583167</v>
      </c>
      <c r="F354" s="25">
        <v>0.33801978957915829</v>
      </c>
      <c r="G354" s="25">
        <v>0.79430202340582978</v>
      </c>
      <c r="H354" s="25">
        <v>4.4241820768136559</v>
      </c>
      <c r="I354" s="25">
        <v>7.413910247354577E-2</v>
      </c>
      <c r="J354" s="25">
        <v>2.7459617842647246E-2</v>
      </c>
      <c r="K354" s="25">
        <v>0.15294729903202303</v>
      </c>
      <c r="L354" s="25">
        <v>0.54</v>
      </c>
      <c r="M354" s="24">
        <v>3</v>
      </c>
      <c r="N354" s="108">
        <v>0</v>
      </c>
      <c r="O354" s="24">
        <v>7</v>
      </c>
      <c r="P354" s="24">
        <v>0</v>
      </c>
      <c r="Q354" s="24">
        <v>7</v>
      </c>
      <c r="R354" s="24">
        <v>3</v>
      </c>
      <c r="S354" s="24">
        <v>0</v>
      </c>
      <c r="T354" s="24">
        <v>0</v>
      </c>
      <c r="U354" s="24">
        <v>802706000000</v>
      </c>
      <c r="V354" s="109">
        <v>-0.97762986044113653</v>
      </c>
      <c r="W354" s="109">
        <v>0.84224311267138885</v>
      </c>
      <c r="X354" s="109">
        <v>0.11100649552887358</v>
      </c>
      <c r="Y354" s="109">
        <v>0.21142684868432524</v>
      </c>
      <c r="Z354" s="109">
        <v>0.23733200437270915</v>
      </c>
      <c r="AA354" s="109">
        <v>1.4020084612572967</v>
      </c>
      <c r="AD354" s="111"/>
    </row>
    <row r="355" spans="1:30" ht="15" customHeight="1" x14ac:dyDescent="0.3">
      <c r="A355" s="22" t="s">
        <v>153</v>
      </c>
      <c r="B355" s="23">
        <v>44</v>
      </c>
      <c r="C355" s="3" t="s">
        <v>35</v>
      </c>
      <c r="D355" s="23">
        <v>2017</v>
      </c>
      <c r="E355" s="25">
        <v>2.992207183453448</v>
      </c>
      <c r="F355" s="25">
        <v>0.42180816780922248</v>
      </c>
      <c r="G355" s="25">
        <v>0.79218165669648011</v>
      </c>
      <c r="H355" s="25">
        <v>4.2509255044341945</v>
      </c>
      <c r="I355" s="25">
        <v>5.8248019535235653E-2</v>
      </c>
      <c r="J355" s="25">
        <v>2.5964389416782415E-2</v>
      </c>
      <c r="K355" s="25">
        <v>0.13932749420017221</v>
      </c>
      <c r="L355" s="25">
        <v>0.54</v>
      </c>
      <c r="M355" s="24">
        <v>3</v>
      </c>
      <c r="N355" s="108">
        <v>0</v>
      </c>
      <c r="O355" s="24">
        <v>5</v>
      </c>
      <c r="P355" s="24">
        <v>0</v>
      </c>
      <c r="Q355" s="24">
        <v>5</v>
      </c>
      <c r="R355" s="24">
        <v>3</v>
      </c>
      <c r="S355" s="24">
        <v>0</v>
      </c>
      <c r="T355" s="24">
        <v>0</v>
      </c>
      <c r="U355" s="24">
        <v>978417000000</v>
      </c>
      <c r="V355" s="109">
        <v>0.46695660363396635</v>
      </c>
      <c r="W355" s="109">
        <v>0.68390030017875814</v>
      </c>
      <c r="X355" s="109">
        <v>0.17761426876270547</v>
      </c>
      <c r="Y355" s="109">
        <v>0.20746197173597758</v>
      </c>
      <c r="Z355" s="109">
        <v>0.24700503429305729</v>
      </c>
      <c r="AA355" s="109">
        <v>1.3159815749704984</v>
      </c>
      <c r="AD355" s="111"/>
    </row>
    <row r="356" spans="1:30" ht="15" customHeight="1" x14ac:dyDescent="0.3">
      <c r="A356" s="22" t="s">
        <v>153</v>
      </c>
      <c r="B356" s="23">
        <v>44</v>
      </c>
      <c r="C356" s="3" t="s">
        <v>35</v>
      </c>
      <c r="D356" s="23">
        <v>2018</v>
      </c>
      <c r="E356" s="25">
        <v>2.3663397759370337</v>
      </c>
      <c r="F356" s="25">
        <v>0.71159562876215265</v>
      </c>
      <c r="G356" s="25">
        <v>0.80350896877919731</v>
      </c>
      <c r="H356" s="25">
        <v>4.1043146965677879</v>
      </c>
      <c r="I356" s="25">
        <v>0</v>
      </c>
      <c r="J356" s="25">
        <v>0</v>
      </c>
      <c r="K356" s="25">
        <v>0</v>
      </c>
      <c r="L356" s="25">
        <v>0.65039999999999998</v>
      </c>
      <c r="M356" s="24">
        <v>2</v>
      </c>
      <c r="N356" s="108">
        <v>0</v>
      </c>
      <c r="O356" s="24">
        <v>4</v>
      </c>
      <c r="P356" s="24">
        <v>0</v>
      </c>
      <c r="Q356" s="24">
        <v>4</v>
      </c>
      <c r="R356" s="24">
        <v>5</v>
      </c>
      <c r="S356" s="24">
        <v>0</v>
      </c>
      <c r="T356" s="24">
        <v>0</v>
      </c>
      <c r="U356" s="24">
        <v>1390323000000</v>
      </c>
      <c r="V356" s="109">
        <v>0</v>
      </c>
      <c r="W356" s="109">
        <v>0.60940037674698611</v>
      </c>
      <c r="X356" s="109">
        <v>0.22407879320129204</v>
      </c>
      <c r="Y356" s="109">
        <v>0.22434752212255712</v>
      </c>
      <c r="Z356" s="109">
        <v>0.25582833618437134</v>
      </c>
      <c r="AA356" s="109">
        <v>1.3136550282552066</v>
      </c>
      <c r="AD356" s="111"/>
    </row>
    <row r="357" spans="1:30" ht="15" customHeight="1" x14ac:dyDescent="0.3">
      <c r="A357" s="22" t="s">
        <v>153</v>
      </c>
      <c r="B357" s="23">
        <v>44</v>
      </c>
      <c r="C357" s="3" t="s">
        <v>35</v>
      </c>
      <c r="D357" s="23">
        <v>2019</v>
      </c>
      <c r="E357" s="25">
        <v>2.6888513675719796</v>
      </c>
      <c r="F357" s="25">
        <v>0.5656898676439992</v>
      </c>
      <c r="G357" s="25">
        <v>0.82704623890386497</v>
      </c>
      <c r="H357" s="25">
        <v>4.7818921870346474</v>
      </c>
      <c r="I357" s="25">
        <v>0</v>
      </c>
      <c r="J357" s="25">
        <v>0</v>
      </c>
      <c r="K357" s="25">
        <v>0</v>
      </c>
      <c r="L357" s="25">
        <v>0.65310000000000001</v>
      </c>
      <c r="M357" s="24">
        <v>2</v>
      </c>
      <c r="N357" s="108">
        <v>0</v>
      </c>
      <c r="O357" s="24">
        <v>3</v>
      </c>
      <c r="P357" s="24">
        <v>0</v>
      </c>
      <c r="Q357" s="24">
        <v>3</v>
      </c>
      <c r="R357" s="24">
        <v>3</v>
      </c>
      <c r="S357" s="24">
        <v>0</v>
      </c>
      <c r="T357" s="24">
        <v>0</v>
      </c>
      <c r="U357" s="24">
        <v>1106579000000</v>
      </c>
      <c r="V357" s="109">
        <v>0</v>
      </c>
      <c r="W357" s="109">
        <v>1.2511365569019472</v>
      </c>
      <c r="X357" s="109">
        <v>8.7378849589590982E-2</v>
      </c>
      <c r="Y357" s="109">
        <v>4.6499201593379232E-2</v>
      </c>
      <c r="Z357" s="109">
        <v>0.21957835077229695</v>
      </c>
      <c r="AA357" s="109">
        <v>1.6045929588572145</v>
      </c>
      <c r="AD357" s="111"/>
    </row>
    <row r="358" spans="1:30" ht="15" customHeight="1" x14ac:dyDescent="0.3">
      <c r="A358" s="22" t="s">
        <v>153</v>
      </c>
      <c r="B358" s="23">
        <v>44</v>
      </c>
      <c r="C358" s="3" t="s">
        <v>35</v>
      </c>
      <c r="D358" s="23">
        <v>2020</v>
      </c>
      <c r="E358" s="25">
        <v>2.3063121337913621</v>
      </c>
      <c r="F358" s="25">
        <v>0.73534380436216107</v>
      </c>
      <c r="G358" s="25">
        <v>0.80199149807304948</v>
      </c>
      <c r="H358" s="25">
        <v>4.0502881960539305</v>
      </c>
      <c r="I358" s="25">
        <v>1.3795509015512807E-2</v>
      </c>
      <c r="J358" s="25">
        <v>1.1324263414079359E-2</v>
      </c>
      <c r="K358" s="25">
        <v>5.7190793849130374E-2</v>
      </c>
      <c r="L358" s="25">
        <v>0.65310000000000001</v>
      </c>
      <c r="M358" s="24">
        <v>2</v>
      </c>
      <c r="N358" s="108">
        <v>0</v>
      </c>
      <c r="O358" s="24">
        <v>3</v>
      </c>
      <c r="P358" s="24">
        <v>0</v>
      </c>
      <c r="Q358" s="24">
        <v>3</v>
      </c>
      <c r="R358" s="24">
        <v>3</v>
      </c>
      <c r="S358" s="24">
        <v>0</v>
      </c>
      <c r="T358" s="24">
        <v>0</v>
      </c>
      <c r="U358" s="24">
        <v>1002361000000</v>
      </c>
      <c r="V358" s="109">
        <v>0</v>
      </c>
      <c r="W358" s="109">
        <v>1.3613184072405051</v>
      </c>
      <c r="X358" s="109">
        <v>0.12171812351039195</v>
      </c>
      <c r="Y358" s="109">
        <v>5.580552315981966E-2</v>
      </c>
      <c r="Z358" s="109">
        <v>0.25924081180765907</v>
      </c>
      <c r="AA358" s="109">
        <v>1.7980828657183756</v>
      </c>
      <c r="AD358" s="111"/>
    </row>
    <row r="359" spans="1:30" ht="15" customHeight="1" x14ac:dyDescent="0.3">
      <c r="A359" s="22" t="s">
        <v>153</v>
      </c>
      <c r="B359" s="23">
        <v>44</v>
      </c>
      <c r="C359" s="3" t="s">
        <v>35</v>
      </c>
      <c r="D359" s="23">
        <v>2021</v>
      </c>
      <c r="E359" s="25">
        <v>1.9483879175401431</v>
      </c>
      <c r="F359" s="25">
        <v>0.56756143834593531</v>
      </c>
      <c r="G359" s="25">
        <v>0.78441198171542303</v>
      </c>
      <c r="H359" s="25">
        <v>3.6384767017988748</v>
      </c>
      <c r="I359" s="25">
        <v>7.1220034059950215E-3</v>
      </c>
      <c r="J359" s="25">
        <v>1.0989539009553382E-2</v>
      </c>
      <c r="K359" s="25">
        <v>5.0974720659323243E-2</v>
      </c>
      <c r="L359" s="25">
        <v>0.65310000000000001</v>
      </c>
      <c r="M359" s="24">
        <v>2</v>
      </c>
      <c r="N359" s="108">
        <v>0</v>
      </c>
      <c r="O359" s="24">
        <v>3</v>
      </c>
      <c r="P359" s="24">
        <v>0</v>
      </c>
      <c r="Q359" s="24">
        <v>3</v>
      </c>
      <c r="R359" s="24">
        <v>3</v>
      </c>
      <c r="S359" s="24">
        <v>0</v>
      </c>
      <c r="T359" s="24">
        <v>0</v>
      </c>
      <c r="U359" s="24">
        <v>936527000000</v>
      </c>
      <c r="V359" s="109">
        <v>0.7563101297514353</v>
      </c>
      <c r="W359" s="109">
        <v>1.2010092608114875</v>
      </c>
      <c r="X359" s="109">
        <v>0.13884101579559371</v>
      </c>
      <c r="Y359" s="109">
        <v>6.2670355472933509E-2</v>
      </c>
      <c r="Z359" s="109">
        <v>0.28858230684310188</v>
      </c>
      <c r="AA359" s="109">
        <v>1.6911029389231167</v>
      </c>
      <c r="AD359" s="111"/>
    </row>
    <row r="360" spans="1:30" ht="15" customHeight="1" x14ac:dyDescent="0.3">
      <c r="A360" s="22" t="s">
        <v>153</v>
      </c>
      <c r="B360" s="23">
        <v>44</v>
      </c>
      <c r="C360" s="3" t="s">
        <v>35</v>
      </c>
      <c r="D360" s="23">
        <v>2022</v>
      </c>
      <c r="E360" s="25">
        <v>2.079044060407909</v>
      </c>
      <c r="F360" s="25">
        <v>0.46144325081737508</v>
      </c>
      <c r="G360" s="25">
        <v>0.69136302642795089</v>
      </c>
      <c r="H360" s="25">
        <v>2.2400525070809674</v>
      </c>
      <c r="I360" s="25">
        <v>1.2229335101634828E-2</v>
      </c>
      <c r="J360" s="25">
        <v>1.6949290799908097E-2</v>
      </c>
      <c r="K360" s="25">
        <v>5.4916592149486604E-2</v>
      </c>
      <c r="L360" s="25">
        <v>0.65310000000000001</v>
      </c>
      <c r="M360" s="24">
        <v>2</v>
      </c>
      <c r="N360" s="108">
        <v>0</v>
      </c>
      <c r="O360" s="24">
        <v>3</v>
      </c>
      <c r="P360" s="24">
        <v>0</v>
      </c>
      <c r="Q360" s="24">
        <v>3</v>
      </c>
      <c r="R360" s="24">
        <v>3</v>
      </c>
      <c r="S360" s="24">
        <v>0</v>
      </c>
      <c r="T360" s="24">
        <v>0</v>
      </c>
      <c r="U360" s="24">
        <v>735547000000</v>
      </c>
      <c r="V360" s="109">
        <v>-0.29455767390331045</v>
      </c>
      <c r="W360" s="109">
        <v>1.23623349697572</v>
      </c>
      <c r="X360" s="109">
        <v>0.18212728758325436</v>
      </c>
      <c r="Y360" s="109">
        <v>0.11779119485226641</v>
      </c>
      <c r="Z360" s="109">
        <v>0.46873901244764321</v>
      </c>
      <c r="AA360" s="109">
        <v>2.004890991858884</v>
      </c>
      <c r="AD360" s="111"/>
    </row>
    <row r="361" spans="1:30" ht="15" customHeight="1" x14ac:dyDescent="0.3">
      <c r="A361" s="22" t="s">
        <v>153</v>
      </c>
      <c r="B361" s="23">
        <v>44</v>
      </c>
      <c r="C361" s="3" t="s">
        <v>35</v>
      </c>
      <c r="D361" s="23">
        <v>2023</v>
      </c>
      <c r="E361" s="25">
        <v>2.1910736196319021</v>
      </c>
      <c r="F361" s="25">
        <v>0.32983640081799592</v>
      </c>
      <c r="G361" s="25">
        <v>0.75861571138496375</v>
      </c>
      <c r="H361" s="25">
        <v>3.1427717012469558</v>
      </c>
      <c r="I361" s="25">
        <v>1.0206272531279427E-2</v>
      </c>
      <c r="J361" s="25">
        <v>1.3182316253031507E-2</v>
      </c>
      <c r="K361" s="25">
        <v>5.461132672994673E-2</v>
      </c>
      <c r="L361" s="25">
        <v>0.74850000000000005</v>
      </c>
      <c r="M361" s="24">
        <v>2</v>
      </c>
      <c r="N361" s="108">
        <v>0</v>
      </c>
      <c r="O361" s="24">
        <v>3</v>
      </c>
      <c r="P361" s="24">
        <v>0</v>
      </c>
      <c r="Q361" s="24">
        <v>3</v>
      </c>
      <c r="R361" s="24">
        <v>3</v>
      </c>
      <c r="S361" s="24">
        <v>0</v>
      </c>
      <c r="T361" s="24">
        <v>0</v>
      </c>
      <c r="U361" s="24">
        <v>962805000000</v>
      </c>
      <c r="V361" s="109">
        <v>0.21984257931361911</v>
      </c>
      <c r="W361" s="109">
        <v>0.79367547945845729</v>
      </c>
      <c r="X361" s="109">
        <v>0.16197659962297661</v>
      </c>
      <c r="Y361" s="109">
        <v>9.2933460046426844E-2</v>
      </c>
      <c r="Z361" s="109">
        <v>0.33409999192222334</v>
      </c>
      <c r="AA361" s="109">
        <v>1.3826855310500841</v>
      </c>
      <c r="AD361" s="111"/>
    </row>
    <row r="362" spans="1:30" ht="15" customHeight="1" x14ac:dyDescent="0.3">
      <c r="A362" s="22" t="s">
        <v>153</v>
      </c>
      <c r="B362" s="23">
        <v>44</v>
      </c>
      <c r="C362" s="3" t="s">
        <v>35</v>
      </c>
      <c r="D362" s="23">
        <v>2024</v>
      </c>
      <c r="E362" s="25">
        <v>2.2626424118658641</v>
      </c>
      <c r="F362" s="25">
        <v>0.14730223559759242</v>
      </c>
      <c r="G362" s="25">
        <v>0.76238300739735121</v>
      </c>
      <c r="H362" s="25">
        <v>3.2084532299095043</v>
      </c>
      <c r="I362" s="25">
        <v>1.3695781676763816E-2</v>
      </c>
      <c r="J362" s="25">
        <v>1.6904409178066581E-2</v>
      </c>
      <c r="K362" s="25">
        <v>7.1141415405146166E-2</v>
      </c>
      <c r="L362" s="25">
        <v>0.74850000000000005</v>
      </c>
      <c r="M362" s="24">
        <v>2</v>
      </c>
      <c r="N362" s="108">
        <v>0</v>
      </c>
      <c r="O362" s="24">
        <v>3</v>
      </c>
      <c r="P362" s="24">
        <v>0</v>
      </c>
      <c r="Q362" s="24">
        <v>3</v>
      </c>
      <c r="R362" s="24">
        <v>3</v>
      </c>
      <c r="S362" s="24">
        <v>0</v>
      </c>
      <c r="T362" s="24">
        <v>0</v>
      </c>
      <c r="U362" s="24">
        <v>1009145000000</v>
      </c>
      <c r="V362" s="109">
        <v>1.6219706662141983E-3</v>
      </c>
      <c r="W362" s="109">
        <v>0.61092841960273303</v>
      </c>
      <c r="X362" s="109">
        <v>0.18914328466176811</v>
      </c>
      <c r="Y362" s="109">
        <v>9.7695692888534358E-2</v>
      </c>
      <c r="Z362" s="109">
        <v>0.32726049742966512</v>
      </c>
      <c r="AA362" s="109">
        <v>1.2250278945827007</v>
      </c>
      <c r="AD362" s="111"/>
    </row>
    <row r="363" spans="1:30" ht="15" customHeight="1" x14ac:dyDescent="0.3">
      <c r="A363" s="22" t="s">
        <v>153</v>
      </c>
      <c r="B363" s="23">
        <v>45</v>
      </c>
      <c r="C363" s="3" t="s">
        <v>36</v>
      </c>
      <c r="D363" s="23">
        <v>2018</v>
      </c>
      <c r="E363" s="25">
        <v>42.871001257724068</v>
      </c>
      <c r="F363" s="25">
        <v>2.319543938316837</v>
      </c>
      <c r="G363" s="25">
        <v>0.78814188879062985</v>
      </c>
      <c r="H363" s="25">
        <v>3.7201402594009902</v>
      </c>
      <c r="I363" s="25">
        <v>0</v>
      </c>
      <c r="J363" s="25">
        <v>0</v>
      </c>
      <c r="K363" s="25">
        <v>0</v>
      </c>
      <c r="L363" s="25">
        <v>0</v>
      </c>
      <c r="M363" s="24">
        <v>0</v>
      </c>
      <c r="N363" s="108">
        <v>0</v>
      </c>
      <c r="O363" s="24">
        <v>0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28475766000000</v>
      </c>
      <c r="V363" s="109">
        <v>0</v>
      </c>
      <c r="W363" s="109">
        <v>0.35278834641357848</v>
      </c>
      <c r="X363" s="109">
        <v>0.10613186876166913</v>
      </c>
      <c r="Y363" s="109">
        <v>2.7123998701211405E-2</v>
      </c>
      <c r="Z363" s="109">
        <v>0.28224742261977753</v>
      </c>
      <c r="AA363" s="109">
        <v>0.76829163649623655</v>
      </c>
      <c r="AD363" s="111"/>
    </row>
    <row r="364" spans="1:30" ht="15" customHeight="1" x14ac:dyDescent="0.3">
      <c r="A364" s="22" t="s">
        <v>153</v>
      </c>
      <c r="B364" s="23">
        <v>45</v>
      </c>
      <c r="C364" s="3" t="s">
        <v>36</v>
      </c>
      <c r="D364" s="23">
        <v>2019</v>
      </c>
      <c r="E364" s="25">
        <v>23.821478615497227</v>
      </c>
      <c r="F364" s="25">
        <v>1.6747673324270627</v>
      </c>
      <c r="G364" s="25">
        <v>0.78110206970301421</v>
      </c>
      <c r="H364" s="25">
        <v>3.5683392193031174</v>
      </c>
      <c r="I364" s="25">
        <v>0</v>
      </c>
      <c r="J364" s="25">
        <v>0</v>
      </c>
      <c r="K364" s="25">
        <v>0</v>
      </c>
      <c r="L364" s="25">
        <v>0.49730000000000002</v>
      </c>
      <c r="M364" s="24">
        <v>2</v>
      </c>
      <c r="N364" s="108">
        <v>0</v>
      </c>
      <c r="O364" s="24">
        <v>4</v>
      </c>
      <c r="P364" s="24">
        <v>0</v>
      </c>
      <c r="Q364" s="24">
        <v>4</v>
      </c>
      <c r="R364" s="24">
        <v>3</v>
      </c>
      <c r="S364" s="24">
        <v>0</v>
      </c>
      <c r="T364" s="24">
        <v>0</v>
      </c>
      <c r="U364" s="24">
        <v>32755714000000</v>
      </c>
      <c r="V364" s="109">
        <v>0</v>
      </c>
      <c r="W364" s="109">
        <v>0.21853686474365966</v>
      </c>
      <c r="X364" s="109">
        <v>0.10760303377908353</v>
      </c>
      <c r="Y364" s="109">
        <v>3.1618495631021815E-2</v>
      </c>
      <c r="Z364" s="109">
        <v>0.29425453564503351</v>
      </c>
      <c r="AA364" s="109">
        <v>0.65201292979879844</v>
      </c>
      <c r="AD364" s="111"/>
    </row>
    <row r="365" spans="1:30" ht="15" customHeight="1" x14ac:dyDescent="0.3">
      <c r="A365" s="22" t="s">
        <v>153</v>
      </c>
      <c r="B365" s="23">
        <v>45</v>
      </c>
      <c r="C365" s="3" t="s">
        <v>36</v>
      </c>
      <c r="D365" s="23">
        <v>2020</v>
      </c>
      <c r="E365" s="25">
        <v>2.7400324493975585</v>
      </c>
      <c r="F365" s="25">
        <v>2.3101976221507035</v>
      </c>
      <c r="G365" s="25">
        <v>0.82333240845546563</v>
      </c>
      <c r="H365" s="25">
        <v>0.82333240845546563</v>
      </c>
      <c r="I365" s="25">
        <v>-0.16027091247656533</v>
      </c>
      <c r="J365" s="25">
        <v>-7.0746462704469631E-2</v>
      </c>
      <c r="K365" s="25">
        <v>-7.0746462704469631E-2</v>
      </c>
      <c r="L365" s="25">
        <v>0.49730000000000002</v>
      </c>
      <c r="M365" s="24">
        <v>2</v>
      </c>
      <c r="N365" s="108">
        <v>0</v>
      </c>
      <c r="O365" s="24">
        <v>3</v>
      </c>
      <c r="P365" s="24">
        <v>0</v>
      </c>
      <c r="Q365" s="24">
        <v>3</v>
      </c>
      <c r="R365" s="24">
        <v>3</v>
      </c>
      <c r="S365" s="24">
        <v>0</v>
      </c>
      <c r="T365" s="24">
        <v>0</v>
      </c>
      <c r="U365" s="24">
        <v>28980403000000</v>
      </c>
      <c r="V365" s="109">
        <v>0</v>
      </c>
      <c r="W365" s="109">
        <v>2.9616924236698844E-2</v>
      </c>
      <c r="X365" s="109">
        <v>0.23749107215658802</v>
      </c>
      <c r="Y365" s="109">
        <v>0.23884954808944514</v>
      </c>
      <c r="Z365" s="109">
        <v>1.275305076317538</v>
      </c>
      <c r="AA365" s="109">
        <v>1.78126262080027</v>
      </c>
      <c r="AD365" s="111"/>
    </row>
    <row r="366" spans="1:30" ht="15" customHeight="1" x14ac:dyDescent="0.3">
      <c r="A366" s="22" t="s">
        <v>153</v>
      </c>
      <c r="B366" s="23">
        <v>45</v>
      </c>
      <c r="C366" s="3" t="s">
        <v>36</v>
      </c>
      <c r="D366" s="23">
        <v>2021</v>
      </c>
      <c r="E366" s="25">
        <v>1.8141684098785475</v>
      </c>
      <c r="F366" s="25">
        <v>1.3552561740922289</v>
      </c>
      <c r="G366" s="25">
        <v>0.60797490546948973</v>
      </c>
      <c r="H366" s="25">
        <v>1.5508570295320623</v>
      </c>
      <c r="I366" s="25">
        <v>0.87641055774441334</v>
      </c>
      <c r="J366" s="25">
        <v>0.2868318167558338</v>
      </c>
      <c r="K366" s="25">
        <v>0.73166694103225716</v>
      </c>
      <c r="L366" s="25">
        <v>0.49730000000000002</v>
      </c>
      <c r="M366" s="24">
        <v>2</v>
      </c>
      <c r="N366" s="108">
        <v>0</v>
      </c>
      <c r="O366" s="24">
        <v>3</v>
      </c>
      <c r="P366" s="24">
        <v>0</v>
      </c>
      <c r="Q366" s="24">
        <v>3</v>
      </c>
      <c r="R366" s="24">
        <v>3</v>
      </c>
      <c r="S366" s="24">
        <v>0</v>
      </c>
      <c r="T366" s="24">
        <v>0</v>
      </c>
      <c r="U366" s="24">
        <v>48671323000000</v>
      </c>
      <c r="V366" s="109">
        <v>0.24519805438683426</v>
      </c>
      <c r="W366" s="109">
        <v>7.0294008650638069E-3</v>
      </c>
      <c r="X366" s="109">
        <v>0.15609751105389102</v>
      </c>
      <c r="Y366" s="109">
        <v>3.0277146976259509E-2</v>
      </c>
      <c r="Z366" s="109">
        <v>0.67704500157362335</v>
      </c>
      <c r="AA366" s="109">
        <v>0.87044906046883774</v>
      </c>
      <c r="AD366" s="111"/>
    </row>
    <row r="367" spans="1:30" ht="15" customHeight="1" x14ac:dyDescent="0.3">
      <c r="A367" s="22" t="s">
        <v>153</v>
      </c>
      <c r="B367" s="23">
        <v>45</v>
      </c>
      <c r="C367" s="3" t="s">
        <v>36</v>
      </c>
      <c r="D367" s="23">
        <v>2022</v>
      </c>
      <c r="E367" s="25">
        <v>3.3603221485729984</v>
      </c>
      <c r="F367" s="25">
        <v>2.7985369371844628</v>
      </c>
      <c r="G367" s="25">
        <v>0.64648511070745063</v>
      </c>
      <c r="H367" s="25">
        <v>1.8290303364722025</v>
      </c>
      <c r="I367" s="25">
        <v>-3.1568507221936618E-2</v>
      </c>
      <c r="J367" s="25">
        <v>-9.3304344320405044E-3</v>
      </c>
      <c r="K367" s="25">
        <v>-2.639758804343054E-2</v>
      </c>
      <c r="L367" s="25">
        <v>0.49730000000000002</v>
      </c>
      <c r="M367" s="24">
        <v>2</v>
      </c>
      <c r="N367" s="108">
        <v>0</v>
      </c>
      <c r="O367" s="24">
        <v>3</v>
      </c>
      <c r="P367" s="24">
        <v>0</v>
      </c>
      <c r="Q367" s="24">
        <v>3</v>
      </c>
      <c r="R367" s="24">
        <v>3</v>
      </c>
      <c r="S367" s="24">
        <v>0</v>
      </c>
      <c r="T367" s="24">
        <v>0</v>
      </c>
      <c r="U367" s="24">
        <v>52585440000000</v>
      </c>
      <c r="V367" s="109">
        <v>-2.4290671950058886E-2</v>
      </c>
      <c r="W367" s="109">
        <v>1.7146924319735652E-2</v>
      </c>
      <c r="X367" s="109">
        <v>0.16078766974280331</v>
      </c>
      <c r="Y367" s="109">
        <v>3.3618632077624527E-2</v>
      </c>
      <c r="Z367" s="109">
        <v>0.57407467720038974</v>
      </c>
      <c r="AA367" s="109">
        <v>0.78562790334055321</v>
      </c>
      <c r="AD367" s="111"/>
    </row>
    <row r="368" spans="1:30" ht="15" customHeight="1" x14ac:dyDescent="0.3">
      <c r="A368" s="22" t="s">
        <v>153</v>
      </c>
      <c r="B368" s="23">
        <v>45</v>
      </c>
      <c r="C368" s="3" t="s">
        <v>36</v>
      </c>
      <c r="D368" s="23">
        <v>2023</v>
      </c>
      <c r="E368" s="25">
        <v>7.4629906231847976</v>
      </c>
      <c r="F368" s="25">
        <v>5.8198489751887807</v>
      </c>
      <c r="G368" s="25">
        <v>0.67624655130135702</v>
      </c>
      <c r="H368" s="25">
        <v>2.0887701861388437</v>
      </c>
      <c r="I368" s="25">
        <v>-3.3771643963623796E-2</v>
      </c>
      <c r="J368" s="25">
        <v>-9.2226929251681428E-3</v>
      </c>
      <c r="K368" s="25">
        <v>-2.8486778943172999E-2</v>
      </c>
      <c r="L368" s="25">
        <v>0.49730000000000002</v>
      </c>
      <c r="M368" s="24">
        <v>2</v>
      </c>
      <c r="N368" s="108">
        <v>0</v>
      </c>
      <c r="O368" s="24">
        <v>3</v>
      </c>
      <c r="P368" s="24">
        <v>0</v>
      </c>
      <c r="Q368" s="24">
        <v>3</v>
      </c>
      <c r="R368" s="24">
        <v>3</v>
      </c>
      <c r="S368" s="24">
        <v>0</v>
      </c>
      <c r="T368" s="24">
        <v>0</v>
      </c>
      <c r="U368" s="24">
        <v>55829030000000</v>
      </c>
      <c r="V368" s="109">
        <v>-1.9037744261923804E-2</v>
      </c>
      <c r="W368" s="109">
        <v>1.8303340753009677E-2</v>
      </c>
      <c r="X368" s="109">
        <v>0.17080577147767032</v>
      </c>
      <c r="Y368" s="109">
        <v>3.9906997488582556E-2</v>
      </c>
      <c r="Z368" s="109">
        <v>0.50268814011605445</v>
      </c>
      <c r="AA368" s="109">
        <v>0.73170424983531701</v>
      </c>
      <c r="AD368" s="111"/>
    </row>
    <row r="369" spans="1:30" ht="15" customHeight="1" x14ac:dyDescent="0.3">
      <c r="A369" s="22" t="s">
        <v>153</v>
      </c>
      <c r="B369" s="23">
        <v>45</v>
      </c>
      <c r="C369" s="3" t="s">
        <v>36</v>
      </c>
      <c r="D369" s="23">
        <v>2024</v>
      </c>
      <c r="E369" s="25">
        <v>9.5844237972466804</v>
      </c>
      <c r="F369" s="25">
        <v>7.1475409836065573</v>
      </c>
      <c r="G369" s="25">
        <v>0.68479318653688015</v>
      </c>
      <c r="H369" s="25">
        <v>2.1725202542837891</v>
      </c>
      <c r="I369" s="25">
        <v>6.2443872744428225E-2</v>
      </c>
      <c r="J369" s="25">
        <v>1.6934117178321741E-2</v>
      </c>
      <c r="K369" s="25">
        <v>5.3723829736640777E-2</v>
      </c>
      <c r="L369" s="25">
        <v>0.49730000000000002</v>
      </c>
      <c r="M369" s="24">
        <v>2</v>
      </c>
      <c r="N369" s="108">
        <v>0</v>
      </c>
      <c r="O369" s="24">
        <v>3</v>
      </c>
      <c r="P369" s="24">
        <v>0</v>
      </c>
      <c r="Q369" s="24">
        <v>3</v>
      </c>
      <c r="R369" s="24">
        <v>3</v>
      </c>
      <c r="S369" s="24">
        <v>0</v>
      </c>
      <c r="T369" s="24">
        <v>0</v>
      </c>
      <c r="U369" s="24">
        <v>60598376000000</v>
      </c>
      <c r="V369" s="109">
        <v>7.7874225691265855E-2</v>
      </c>
      <c r="W369" s="109">
        <v>1.910353505183043E-2</v>
      </c>
      <c r="X369" s="109">
        <v>0.17235904374731098</v>
      </c>
      <c r="Y369" s="109">
        <v>3.0912939317053641E-2</v>
      </c>
      <c r="Z369" s="109">
        <v>0.48330964828963197</v>
      </c>
      <c r="AA369" s="109">
        <v>0.70568516640582701</v>
      </c>
      <c r="AD369" s="111"/>
    </row>
    <row r="370" spans="1:30" ht="15" customHeight="1" x14ac:dyDescent="0.3">
      <c r="A370" s="22" t="s">
        <v>153</v>
      </c>
      <c r="B370" s="23">
        <v>46</v>
      </c>
      <c r="C370" s="3" t="s">
        <v>16</v>
      </c>
      <c r="D370" s="23">
        <v>2016</v>
      </c>
      <c r="E370" s="25">
        <v>0.40660822656776802</v>
      </c>
      <c r="F370" s="25">
        <v>0.20895144976399191</v>
      </c>
      <c r="G370" s="25">
        <v>0.17674361686319415</v>
      </c>
      <c r="H370" s="25">
        <v>0.21469070523029879</v>
      </c>
      <c r="I370" s="25">
        <v>-0.37513306719893547</v>
      </c>
      <c r="J370" s="25">
        <v>-0.13875865972658027</v>
      </c>
      <c r="K370" s="25">
        <v>-0.22546912333669908</v>
      </c>
      <c r="L370" s="25">
        <v>0</v>
      </c>
      <c r="M370" s="24">
        <v>0</v>
      </c>
      <c r="N370" s="108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114403000000</v>
      </c>
      <c r="V370" s="109">
        <v>2.4166856103659922</v>
      </c>
      <c r="W370" s="109">
        <v>-0.40368172163317395</v>
      </c>
      <c r="X370" s="109">
        <v>-0.56472889696948503</v>
      </c>
      <c r="Y370" s="109">
        <v>-0.57623663715112361</v>
      </c>
      <c r="Z370" s="109">
        <v>4.8907566765578636</v>
      </c>
      <c r="AA370" s="109">
        <v>3.3461094208040811</v>
      </c>
      <c r="AD370" s="111"/>
    </row>
    <row r="371" spans="1:30" ht="15" customHeight="1" x14ac:dyDescent="0.3">
      <c r="A371" s="22" t="s">
        <v>153</v>
      </c>
      <c r="B371" s="23">
        <v>46</v>
      </c>
      <c r="C371" s="3" t="s">
        <v>16</v>
      </c>
      <c r="D371" s="23">
        <v>2017</v>
      </c>
      <c r="E371" s="25">
        <v>1.8867264710354266</v>
      </c>
      <c r="F371" s="25">
        <v>0.65455374790938115</v>
      </c>
      <c r="G371" s="25">
        <v>0.21543173862310386</v>
      </c>
      <c r="H371" s="25">
        <v>0.27458635434095557</v>
      </c>
      <c r="I371" s="25">
        <v>0</v>
      </c>
      <c r="J371" s="25">
        <v>0</v>
      </c>
      <c r="K371" s="25">
        <v>0</v>
      </c>
      <c r="L371" s="25">
        <v>0.99990000000000001</v>
      </c>
      <c r="M371" s="24">
        <v>2</v>
      </c>
      <c r="N371" s="108">
        <v>0</v>
      </c>
      <c r="O371" s="24">
        <v>4</v>
      </c>
      <c r="P371" s="24">
        <v>0</v>
      </c>
      <c r="Q371" s="24">
        <v>4</v>
      </c>
      <c r="R371" s="24">
        <v>4</v>
      </c>
      <c r="S371" s="24">
        <v>0</v>
      </c>
      <c r="T371" s="24">
        <v>0</v>
      </c>
      <c r="U371" s="24">
        <v>137120000000</v>
      </c>
      <c r="V371" s="109">
        <v>0</v>
      </c>
      <c r="W371" s="109">
        <v>0.27901050175029168</v>
      </c>
      <c r="X371" s="109">
        <v>-0.56805119603267207</v>
      </c>
      <c r="Y371" s="109">
        <v>-0.17657642940490081</v>
      </c>
      <c r="Z371" s="109">
        <v>3.8239336492890996</v>
      </c>
      <c r="AA371" s="109">
        <v>3.3583165256018184</v>
      </c>
      <c r="AD371" s="111"/>
    </row>
    <row r="372" spans="1:30" ht="15" customHeight="1" x14ac:dyDescent="0.3">
      <c r="A372" s="22" t="s">
        <v>153</v>
      </c>
      <c r="B372" s="23">
        <v>46</v>
      </c>
      <c r="C372" s="3" t="s">
        <v>16</v>
      </c>
      <c r="D372" s="23">
        <v>2018</v>
      </c>
      <c r="E372" s="25">
        <v>2.394532693018101</v>
      </c>
      <c r="F372" s="25">
        <v>0.31904937815539958</v>
      </c>
      <c r="G372" s="25">
        <v>0.38457799598853165</v>
      </c>
      <c r="H372" s="25">
        <v>0.62490127665530304</v>
      </c>
      <c r="I372" s="25">
        <v>0</v>
      </c>
      <c r="J372" s="25">
        <v>0</v>
      </c>
      <c r="K372" s="25">
        <v>0</v>
      </c>
      <c r="L372" s="25">
        <v>1</v>
      </c>
      <c r="M372" s="24">
        <v>3</v>
      </c>
      <c r="N372" s="108">
        <v>0</v>
      </c>
      <c r="O372" s="24">
        <v>4</v>
      </c>
      <c r="P372" s="24">
        <v>0</v>
      </c>
      <c r="Q372" s="24">
        <v>4</v>
      </c>
      <c r="R372" s="24">
        <v>3</v>
      </c>
      <c r="S372" s="24">
        <v>0</v>
      </c>
      <c r="T372" s="24">
        <v>0</v>
      </c>
      <c r="U372" s="24">
        <v>162534000000</v>
      </c>
      <c r="V372" s="109">
        <v>0</v>
      </c>
      <c r="W372" s="109">
        <v>0.45708590202665289</v>
      </c>
      <c r="X372" s="109">
        <v>-0.5397831838261532</v>
      </c>
      <c r="Y372" s="109">
        <v>-9.3233415777621911E-2</v>
      </c>
      <c r="Z372" s="109">
        <v>1.6802654102740493</v>
      </c>
      <c r="AA372" s="109">
        <v>1.5043347126969271</v>
      </c>
      <c r="AD372" s="111"/>
    </row>
    <row r="373" spans="1:30" ht="15" customHeight="1" x14ac:dyDescent="0.3">
      <c r="A373" s="22" t="s">
        <v>153</v>
      </c>
      <c r="B373" s="23">
        <v>46</v>
      </c>
      <c r="C373" s="3" t="s">
        <v>16</v>
      </c>
      <c r="D373" s="23">
        <v>2019</v>
      </c>
      <c r="E373" s="25">
        <v>1.5926044501360652</v>
      </c>
      <c r="F373" s="25">
        <v>0.42276292620457817</v>
      </c>
      <c r="G373" s="25">
        <v>0.39874576151869623</v>
      </c>
      <c r="H373" s="25">
        <v>0.66318993862875764</v>
      </c>
      <c r="I373" s="25">
        <v>-0.27255805437734582</v>
      </c>
      <c r="J373" s="25">
        <v>-5.2398775093569244E-2</v>
      </c>
      <c r="K373" s="25">
        <v>-8.7149115532095506E-2</v>
      </c>
      <c r="L373" s="25">
        <v>1</v>
      </c>
      <c r="M373" s="24">
        <v>2</v>
      </c>
      <c r="N373" s="108">
        <v>0</v>
      </c>
      <c r="O373" s="24">
        <v>4</v>
      </c>
      <c r="P373" s="24">
        <v>0</v>
      </c>
      <c r="Q373" s="24">
        <v>4</v>
      </c>
      <c r="R373" s="24">
        <v>3</v>
      </c>
      <c r="S373" s="24">
        <v>0</v>
      </c>
      <c r="T373" s="24">
        <v>0</v>
      </c>
      <c r="U373" s="24">
        <v>170462000000</v>
      </c>
      <c r="V373" s="109">
        <v>0</v>
      </c>
      <c r="W373" s="109">
        <v>0.28493294693245413</v>
      </c>
      <c r="X373" s="109">
        <v>-0.6626446950053384</v>
      </c>
      <c r="Y373" s="109">
        <v>-0.37261935211366753</v>
      </c>
      <c r="Z373" s="109">
        <v>1.5832568301187271</v>
      </c>
      <c r="AA373" s="109">
        <v>0.83292572993217528</v>
      </c>
      <c r="AD373" s="111"/>
    </row>
    <row r="374" spans="1:30" ht="15" customHeight="1" x14ac:dyDescent="0.3">
      <c r="A374" s="22" t="s">
        <v>153</v>
      </c>
      <c r="B374" s="23">
        <v>46</v>
      </c>
      <c r="C374" s="3" t="s">
        <v>16</v>
      </c>
      <c r="D374" s="23">
        <v>2020</v>
      </c>
      <c r="E374" s="25">
        <v>1.6950073515310362</v>
      </c>
      <c r="F374" s="25">
        <v>0.23524899315987982</v>
      </c>
      <c r="G374" s="25">
        <v>0.43539875642065423</v>
      </c>
      <c r="H374" s="25">
        <v>0.7711615257175144</v>
      </c>
      <c r="I374" s="25">
        <v>-0.80441654423222475</v>
      </c>
      <c r="J374" s="25">
        <v>-9.7691267910246016E-2</v>
      </c>
      <c r="K374" s="25">
        <v>-0.17302701512118979</v>
      </c>
      <c r="L374" s="25">
        <v>1</v>
      </c>
      <c r="M374" s="24">
        <v>2</v>
      </c>
      <c r="N374" s="108">
        <v>0</v>
      </c>
      <c r="O374" s="24">
        <v>3</v>
      </c>
      <c r="P374" s="24">
        <v>0</v>
      </c>
      <c r="Q374" s="24">
        <v>3</v>
      </c>
      <c r="R374" s="24">
        <v>2</v>
      </c>
      <c r="S374" s="24">
        <v>0</v>
      </c>
      <c r="T374" s="24">
        <v>0</v>
      </c>
      <c r="U374" s="24">
        <v>184950000000</v>
      </c>
      <c r="V374" s="109">
        <v>-0.31460742729852614</v>
      </c>
      <c r="W374" s="109">
        <v>0.38561946472019459</v>
      </c>
      <c r="X374" s="109">
        <v>-1.0527535009462015</v>
      </c>
      <c r="Y374" s="109">
        <v>-0.9295727493917274</v>
      </c>
      <c r="Z374" s="109">
        <v>1.361582450606629</v>
      </c>
      <c r="AA374" s="109">
        <v>-0.23512433501110519</v>
      </c>
      <c r="AD374" s="111"/>
    </row>
    <row r="375" spans="1:30" ht="15" customHeight="1" x14ac:dyDescent="0.3">
      <c r="A375" s="22" t="s">
        <v>153</v>
      </c>
      <c r="B375" s="23">
        <v>46</v>
      </c>
      <c r="C375" s="3" t="s">
        <v>16</v>
      </c>
      <c r="D375" s="23">
        <v>2021</v>
      </c>
      <c r="E375" s="25">
        <v>1.3990651566960504</v>
      </c>
      <c r="F375" s="25">
        <v>7.5916805220064623E-2</v>
      </c>
      <c r="G375" s="25">
        <v>0.54581223498851883</v>
      </c>
      <c r="H375" s="25">
        <v>1.2017325807416268</v>
      </c>
      <c r="I375" s="25">
        <v>-0.40842824601366745</v>
      </c>
      <c r="J375" s="25">
        <v>-0.10654363484335938</v>
      </c>
      <c r="K375" s="25">
        <v>-0.23458059210526316</v>
      </c>
      <c r="L375" s="25">
        <v>0.99990000000000001</v>
      </c>
      <c r="M375" s="24">
        <v>2</v>
      </c>
      <c r="N375" s="108">
        <v>0</v>
      </c>
      <c r="O375" s="24">
        <v>3</v>
      </c>
      <c r="P375" s="24">
        <v>0</v>
      </c>
      <c r="Q375" s="24">
        <v>3</v>
      </c>
      <c r="R375" s="24">
        <v>3</v>
      </c>
      <c r="S375" s="24">
        <v>0</v>
      </c>
      <c r="T375" s="24">
        <v>0</v>
      </c>
      <c r="U375" s="24">
        <v>235603000000</v>
      </c>
      <c r="V375" s="109">
        <v>1.7362984729085971</v>
      </c>
      <c r="W375" s="109">
        <v>0.35419650853342272</v>
      </c>
      <c r="X375" s="109">
        <v>-1.4788533252972158</v>
      </c>
      <c r="Y375" s="109">
        <v>-1.3704232968171033</v>
      </c>
      <c r="Z375" s="109">
        <v>0.87373848127843234</v>
      </c>
      <c r="AA375" s="109">
        <v>-1.6213416323024641</v>
      </c>
      <c r="AD375" s="111"/>
    </row>
    <row r="376" spans="1:30" ht="15" customHeight="1" x14ac:dyDescent="0.3">
      <c r="A376" s="22" t="s">
        <v>153</v>
      </c>
      <c r="B376" s="23">
        <v>46</v>
      </c>
      <c r="C376" s="3" t="s">
        <v>16</v>
      </c>
      <c r="D376" s="23">
        <v>2022</v>
      </c>
      <c r="E376" s="25">
        <v>1.2359128474830954</v>
      </c>
      <c r="F376" s="25">
        <v>0.12697220135236664</v>
      </c>
      <c r="G376" s="25">
        <v>0.55043965296949027</v>
      </c>
      <c r="H376" s="25">
        <v>1.2243954712761496</v>
      </c>
      <c r="I376" s="25">
        <v>-0.11150639244024459</v>
      </c>
      <c r="J376" s="25">
        <v>-2.9412134338174613E-2</v>
      </c>
      <c r="K376" s="25">
        <v>-6.5424218422401342E-2</v>
      </c>
      <c r="L376" s="25">
        <v>1</v>
      </c>
      <c r="M376" s="24">
        <v>2</v>
      </c>
      <c r="N376" s="108">
        <v>0</v>
      </c>
      <c r="O376" s="24">
        <v>3</v>
      </c>
      <c r="P376" s="24">
        <v>0</v>
      </c>
      <c r="Q376" s="24">
        <v>3</v>
      </c>
      <c r="R376" s="24">
        <v>3</v>
      </c>
      <c r="S376" s="24">
        <v>0</v>
      </c>
      <c r="T376" s="24">
        <v>0</v>
      </c>
      <c r="U376" s="24">
        <v>238711000000</v>
      </c>
      <c r="V376" s="109">
        <v>2.44874715261959E-2</v>
      </c>
      <c r="W376" s="109">
        <v>0.13806418640112939</v>
      </c>
      <c r="X376" s="109">
        <v>-1.5820445643476839</v>
      </c>
      <c r="Y376" s="109">
        <v>-0.17453741134677497</v>
      </c>
      <c r="Z376" s="109">
        <v>0.85756605984961487</v>
      </c>
      <c r="AA376" s="109">
        <v>-0.7609517294437147</v>
      </c>
      <c r="AD376" s="111"/>
    </row>
    <row r="377" spans="1:30" ht="15" customHeight="1" x14ac:dyDescent="0.3">
      <c r="A377" s="22" t="s">
        <v>153</v>
      </c>
      <c r="B377" s="23">
        <v>46</v>
      </c>
      <c r="C377" s="3" t="s">
        <v>16</v>
      </c>
      <c r="D377" s="23">
        <v>2023</v>
      </c>
      <c r="E377" s="25">
        <v>1.7220045927326759</v>
      </c>
      <c r="F377" s="25">
        <v>0.48201179701922642</v>
      </c>
      <c r="G377" s="25">
        <v>0.57749634680954698</v>
      </c>
      <c r="H377" s="25">
        <v>1.3668321845895401</v>
      </c>
      <c r="I377" s="25">
        <v>-0.1861500731434472</v>
      </c>
      <c r="J377" s="25">
        <v>-6.021153712337346E-2</v>
      </c>
      <c r="K377" s="25">
        <v>-0.14251010812190684</v>
      </c>
      <c r="L377" s="25">
        <v>0.99990000000000001</v>
      </c>
      <c r="M377" s="24">
        <v>2</v>
      </c>
      <c r="N377" s="108">
        <v>0</v>
      </c>
      <c r="O377" s="24">
        <v>3</v>
      </c>
      <c r="P377" s="24">
        <v>0</v>
      </c>
      <c r="Q377" s="24">
        <v>3</v>
      </c>
      <c r="R377" s="24">
        <v>3</v>
      </c>
      <c r="S377" s="24">
        <v>0</v>
      </c>
      <c r="T377" s="24">
        <v>0</v>
      </c>
      <c r="U377" s="24">
        <v>287420000000</v>
      </c>
      <c r="V377" s="109">
        <v>0.47650281902644326</v>
      </c>
      <c r="W377" s="109">
        <v>0.3659787071185025</v>
      </c>
      <c r="X377" s="109">
        <v>-1.5428458701551735</v>
      </c>
      <c r="Y377" s="109">
        <v>-0.40932099366780322</v>
      </c>
      <c r="Z377" s="109">
        <v>0.76819964574898791</v>
      </c>
      <c r="AA377" s="109">
        <v>-0.8179885109554863</v>
      </c>
      <c r="AD377" s="111"/>
    </row>
    <row r="378" spans="1:30" ht="15" customHeight="1" x14ac:dyDescent="0.3">
      <c r="A378" s="22" t="s">
        <v>153</v>
      </c>
      <c r="B378" s="23">
        <v>46</v>
      </c>
      <c r="C378" s="3" t="s">
        <v>16</v>
      </c>
      <c r="D378" s="23">
        <v>2024</v>
      </c>
      <c r="E378" s="25">
        <v>1.2870719839934519</v>
      </c>
      <c r="F378" s="25">
        <v>0.25924241735255332</v>
      </c>
      <c r="G378" s="25">
        <v>0.5815758129517532</v>
      </c>
      <c r="H378" s="25">
        <v>1.3899192038931869</v>
      </c>
      <c r="I378" s="25">
        <v>-7.4060972472343709E-2</v>
      </c>
      <c r="J378" s="25">
        <v>-3.006085920801449E-2</v>
      </c>
      <c r="K378" s="25">
        <v>-7.1843024706763167E-2</v>
      </c>
      <c r="L378" s="25">
        <v>0.99990000000000001</v>
      </c>
      <c r="M378" s="24">
        <v>2</v>
      </c>
      <c r="N378" s="108">
        <v>0</v>
      </c>
      <c r="O378" s="24">
        <v>3</v>
      </c>
      <c r="P378" s="24">
        <v>0</v>
      </c>
      <c r="Q378" s="24">
        <v>3</v>
      </c>
      <c r="R378" s="24">
        <v>2</v>
      </c>
      <c r="S378" s="24">
        <v>0</v>
      </c>
      <c r="T378" s="24">
        <v>0</v>
      </c>
      <c r="U378" s="24">
        <v>306445000000</v>
      </c>
      <c r="V378" s="109">
        <v>0.33792272609930296</v>
      </c>
      <c r="W378" s="109">
        <v>0.13514098777920996</v>
      </c>
      <c r="X378" s="109">
        <v>-1.5507406549299221</v>
      </c>
      <c r="Y378" s="109">
        <v>-0.24722635383184582</v>
      </c>
      <c r="Z378" s="109">
        <v>0.75543959466056188</v>
      </c>
      <c r="AA378" s="109">
        <v>-0.90738642632199595</v>
      </c>
      <c r="AD378" s="111"/>
    </row>
    <row r="379" spans="1:30" ht="15" customHeight="1" x14ac:dyDescent="0.3">
      <c r="A379" s="22" t="s">
        <v>153</v>
      </c>
      <c r="B379" s="23">
        <v>47</v>
      </c>
      <c r="C379" s="3" t="s">
        <v>17</v>
      </c>
      <c r="D379" s="23">
        <v>2019</v>
      </c>
      <c r="E379" s="25">
        <v>5.4332525713387936</v>
      </c>
      <c r="F379" s="25">
        <v>2.4212095420576349</v>
      </c>
      <c r="G379" s="25">
        <v>0.78559829145627358</v>
      </c>
      <c r="H379" s="25">
        <v>3.6641419361453162</v>
      </c>
      <c r="I379" s="25">
        <v>-4.948533297387956E-2</v>
      </c>
      <c r="J379" s="25">
        <v>-3.6211566316650519E-2</v>
      </c>
      <c r="K379" s="25">
        <v>-0.16889588503099684</v>
      </c>
      <c r="L379" s="25">
        <v>0</v>
      </c>
      <c r="M379" s="24">
        <v>0</v>
      </c>
      <c r="N379" s="108">
        <v>0</v>
      </c>
      <c r="O379" s="24">
        <v>0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504064360000</v>
      </c>
      <c r="V379" s="109">
        <v>0</v>
      </c>
      <c r="W379" s="109">
        <v>1.8214476452967234</v>
      </c>
      <c r="X379" s="109">
        <v>-1.1261394283063377</v>
      </c>
      <c r="Y379" s="109">
        <v>-0.29772451438542491</v>
      </c>
      <c r="Z379" s="109">
        <v>0.28656095159474143</v>
      </c>
      <c r="AA379" s="109">
        <v>0.68414465419970227</v>
      </c>
      <c r="AD379" s="111"/>
    </row>
    <row r="380" spans="1:30" ht="15" customHeight="1" x14ac:dyDescent="0.3">
      <c r="A380" s="22" t="s">
        <v>153</v>
      </c>
      <c r="B380" s="23">
        <v>47</v>
      </c>
      <c r="C380" s="3" t="s">
        <v>17</v>
      </c>
      <c r="D380" s="23">
        <v>2020</v>
      </c>
      <c r="E380" s="25">
        <v>1.6612069313328708</v>
      </c>
      <c r="F380" s="25">
        <v>1.0496711128983933</v>
      </c>
      <c r="G380" s="25">
        <v>0.7393815913208589</v>
      </c>
      <c r="H380" s="25">
        <v>2.837027495748178</v>
      </c>
      <c r="I380" s="25">
        <v>-6.4999747690826115E-2</v>
      </c>
      <c r="J380" s="25">
        <v>-4.6544934796867103E-2</v>
      </c>
      <c r="K380" s="25">
        <v>-0.17859419460338521</v>
      </c>
      <c r="L380" s="25">
        <v>0.99980000000000002</v>
      </c>
      <c r="M380" s="24">
        <v>2</v>
      </c>
      <c r="N380" s="108">
        <v>0</v>
      </c>
      <c r="O380" s="24">
        <v>3</v>
      </c>
      <c r="P380" s="24">
        <v>0</v>
      </c>
      <c r="Q380" s="24">
        <v>3</v>
      </c>
      <c r="R380" s="24">
        <v>3</v>
      </c>
      <c r="S380" s="24">
        <v>0</v>
      </c>
      <c r="T380" s="24">
        <v>0</v>
      </c>
      <c r="U380" s="24">
        <v>384395640000</v>
      </c>
      <c r="V380" s="109">
        <v>-0.25375333504167857</v>
      </c>
      <c r="W380" s="109">
        <v>0.85302299474572607</v>
      </c>
      <c r="X380" s="109">
        <v>-1.6284618290675721</v>
      </c>
      <c r="Y380" s="109">
        <v>-0.25590134164893236</v>
      </c>
      <c r="Z380" s="109">
        <v>0.37010568335119187</v>
      </c>
      <c r="AA380" s="109">
        <v>-0.66123449261958644</v>
      </c>
      <c r="AD380" s="111"/>
    </row>
    <row r="381" spans="1:30" ht="15" customHeight="1" x14ac:dyDescent="0.3">
      <c r="A381" s="22" t="s">
        <v>153</v>
      </c>
      <c r="B381" s="23">
        <v>47</v>
      </c>
      <c r="C381" s="3" t="s">
        <v>17</v>
      </c>
      <c r="D381" s="23">
        <v>2021</v>
      </c>
      <c r="E381" s="25">
        <v>3.0817718977638573</v>
      </c>
      <c r="F381" s="25">
        <v>1.4674658333495811</v>
      </c>
      <c r="G381" s="25">
        <v>0.70313206275718665</v>
      </c>
      <c r="H381" s="25">
        <v>2.3685011904201807</v>
      </c>
      <c r="I381" s="25">
        <v>-1.5058490820844407E-2</v>
      </c>
      <c r="J381" s="25">
        <v>-8.9742646421349607E-3</v>
      </c>
      <c r="K381" s="25">
        <v>-3.0229821130177352E-2</v>
      </c>
      <c r="L381" s="25">
        <v>0.99980000000000002</v>
      </c>
      <c r="M381" s="24">
        <v>2</v>
      </c>
      <c r="N381" s="108">
        <v>0</v>
      </c>
      <c r="O381" s="24">
        <v>3</v>
      </c>
      <c r="P381" s="24">
        <v>0</v>
      </c>
      <c r="Q381" s="24">
        <v>3</v>
      </c>
      <c r="R381" s="24">
        <v>3</v>
      </c>
      <c r="S381" s="24">
        <v>0</v>
      </c>
      <c r="T381" s="24">
        <v>0</v>
      </c>
      <c r="U381" s="24">
        <v>376601330000</v>
      </c>
      <c r="V381" s="109">
        <v>-0.18461998115001613</v>
      </c>
      <c r="W381" s="109">
        <v>1.2274876756276989</v>
      </c>
      <c r="X381" s="109">
        <v>-1.6914213080447698</v>
      </c>
      <c r="Y381" s="109">
        <v>0.26807691199603567</v>
      </c>
      <c r="Z381" s="109">
        <v>0.44331833323407632</v>
      </c>
      <c r="AA381" s="109">
        <v>0.24746161281304113</v>
      </c>
      <c r="AD381" s="111"/>
    </row>
    <row r="382" spans="1:30" ht="15" customHeight="1" x14ac:dyDescent="0.3">
      <c r="A382" s="22" t="s">
        <v>153</v>
      </c>
      <c r="B382" s="23">
        <v>47</v>
      </c>
      <c r="C382" s="3" t="s">
        <v>17</v>
      </c>
      <c r="D382" s="23">
        <v>2022</v>
      </c>
      <c r="E382" s="25">
        <v>4.4487982584743877</v>
      </c>
      <c r="F382" s="25">
        <v>2.6185081522946376</v>
      </c>
      <c r="G382" s="25">
        <v>0.69357930365164844</v>
      </c>
      <c r="H382" s="25">
        <v>2.2635069925775149</v>
      </c>
      <c r="I382" s="25">
        <v>7.7808634363752682E-3</v>
      </c>
      <c r="J382" s="25">
        <v>5.8526382574891995E-3</v>
      </c>
      <c r="K382" s="25">
        <v>1.9100177227184195E-2</v>
      </c>
      <c r="L382" s="25">
        <v>0.99980000000000002</v>
      </c>
      <c r="M382" s="24">
        <v>2</v>
      </c>
      <c r="N382" s="108">
        <v>0</v>
      </c>
      <c r="O382" s="24">
        <v>3</v>
      </c>
      <c r="P382" s="24">
        <v>0</v>
      </c>
      <c r="Q382" s="24">
        <v>3</v>
      </c>
      <c r="R382" s="24">
        <v>3</v>
      </c>
      <c r="S382" s="24">
        <v>0</v>
      </c>
      <c r="T382" s="24">
        <v>0</v>
      </c>
      <c r="U382" s="24">
        <v>371969000000</v>
      </c>
      <c r="V382" s="109">
        <v>0.24661217150333037</v>
      </c>
      <c r="W382" s="109">
        <v>1.369055593342456</v>
      </c>
      <c r="X382" s="109">
        <v>-1.6561741973121413</v>
      </c>
      <c r="Y382" s="109">
        <v>0.21569023225053699</v>
      </c>
      <c r="Z382" s="109">
        <v>0.46388193340827166</v>
      </c>
      <c r="AA382" s="109">
        <v>0.39245356168912326</v>
      </c>
      <c r="AD382" s="111"/>
    </row>
    <row r="383" spans="1:30" ht="15" customHeight="1" x14ac:dyDescent="0.3">
      <c r="A383" s="22" t="s">
        <v>153</v>
      </c>
      <c r="B383" s="23">
        <v>47</v>
      </c>
      <c r="C383" s="3" t="s">
        <v>17</v>
      </c>
      <c r="D383" s="23">
        <v>2023</v>
      </c>
      <c r="E383" s="25">
        <v>5.3345391256867893</v>
      </c>
      <c r="F383" s="25">
        <v>3.9019554311845202</v>
      </c>
      <c r="G383" s="25">
        <v>0.69657406837080382</v>
      </c>
      <c r="H383" s="25">
        <v>2.2956972221545557</v>
      </c>
      <c r="I383" s="25">
        <v>1.0446037579414561E-2</v>
      </c>
      <c r="J383" s="25">
        <v>7.8226054819833697E-3</v>
      </c>
      <c r="K383" s="25">
        <v>2.5780939156983589E-2</v>
      </c>
      <c r="L383" s="25">
        <v>0.99980000000000002</v>
      </c>
      <c r="M383" s="24">
        <v>2</v>
      </c>
      <c r="N383" s="108">
        <v>0</v>
      </c>
      <c r="O383" s="24">
        <v>2</v>
      </c>
      <c r="P383" s="24">
        <v>0</v>
      </c>
      <c r="Q383" s="24">
        <v>2</v>
      </c>
      <c r="R383" s="24">
        <v>3</v>
      </c>
      <c r="S383" s="24">
        <v>0</v>
      </c>
      <c r="T383" s="24">
        <v>0</v>
      </c>
      <c r="U383" s="24">
        <v>405875000000</v>
      </c>
      <c r="V383" s="109">
        <v>8.6329341039140209E-2</v>
      </c>
      <c r="W383" s="109">
        <v>2.0528941176470585</v>
      </c>
      <c r="X383" s="109">
        <v>-1.415179353249153</v>
      </c>
      <c r="Y383" s="109">
        <v>0.32621905759162306</v>
      </c>
      <c r="Z383" s="109">
        <v>0.45737738838859376</v>
      </c>
      <c r="AA383" s="109">
        <v>1.4213112103781222</v>
      </c>
      <c r="AD383" s="111"/>
    </row>
    <row r="384" spans="1:30" ht="15" customHeight="1" x14ac:dyDescent="0.3">
      <c r="A384" s="22" t="s">
        <v>153</v>
      </c>
      <c r="B384" s="23">
        <v>47</v>
      </c>
      <c r="C384" s="3" t="s">
        <v>17</v>
      </c>
      <c r="D384" s="23">
        <v>2024</v>
      </c>
      <c r="E384" s="25">
        <v>2.70767306088407</v>
      </c>
      <c r="F384" s="25">
        <v>1.6674311926605505</v>
      </c>
      <c r="G384" s="25">
        <v>0.75339237632915246</v>
      </c>
      <c r="H384" s="25">
        <v>3.0550246789398581</v>
      </c>
      <c r="I384" s="25">
        <v>6.8770383274753794E-2</v>
      </c>
      <c r="J384" s="25">
        <v>6.8089813424710086E-2</v>
      </c>
      <c r="K384" s="25">
        <v>0.27610587382160984</v>
      </c>
      <c r="L384" s="25">
        <v>0.99980000000000002</v>
      </c>
      <c r="M384" s="24">
        <v>3</v>
      </c>
      <c r="N384" s="108">
        <v>0</v>
      </c>
      <c r="O384" s="24">
        <v>3</v>
      </c>
      <c r="P384" s="24">
        <v>0</v>
      </c>
      <c r="Q384" s="24">
        <v>3</v>
      </c>
      <c r="R384" s="24">
        <v>3</v>
      </c>
      <c r="S384" s="24">
        <v>0</v>
      </c>
      <c r="T384" s="24">
        <v>0</v>
      </c>
      <c r="U384" s="24">
        <v>693393000000</v>
      </c>
      <c r="V384" s="109">
        <v>1.2587491733647427</v>
      </c>
      <c r="W384" s="109">
        <v>0.54238332374281251</v>
      </c>
      <c r="X384" s="109">
        <v>-0.59790150751449755</v>
      </c>
      <c r="Y384" s="109">
        <v>0.59880708342887801</v>
      </c>
      <c r="Z384" s="109">
        <v>0.3436960778871242</v>
      </c>
      <c r="AA384" s="109">
        <v>0.88698497754431715</v>
      </c>
      <c r="AD384" s="111"/>
    </row>
    <row r="385" spans="1:30" ht="15" customHeight="1" x14ac:dyDescent="0.3">
      <c r="A385" s="22" t="s">
        <v>153</v>
      </c>
      <c r="B385" s="23">
        <v>48</v>
      </c>
      <c r="C385" s="3" t="s">
        <v>26</v>
      </c>
      <c r="D385" s="23">
        <v>2015</v>
      </c>
      <c r="E385" s="25">
        <v>0.90076707506006493</v>
      </c>
      <c r="F385" s="25">
        <v>0.72087872829870925</v>
      </c>
      <c r="G385" s="25">
        <v>0.52937409070122554</v>
      </c>
      <c r="H385" s="25">
        <v>1.1248298919411066</v>
      </c>
      <c r="I385" s="25">
        <v>-0.2237676025893027</v>
      </c>
      <c r="J385" s="25">
        <v>-0.12140227277219394</v>
      </c>
      <c r="K385" s="25">
        <v>-0.2579591781359456</v>
      </c>
      <c r="L385" s="25">
        <v>0.5</v>
      </c>
      <c r="M385" s="24">
        <v>2</v>
      </c>
      <c r="N385" s="108">
        <v>0</v>
      </c>
      <c r="O385" s="24">
        <v>4</v>
      </c>
      <c r="P385" s="24">
        <v>0</v>
      </c>
      <c r="Q385" s="24">
        <v>4</v>
      </c>
      <c r="R385" s="24">
        <v>8</v>
      </c>
      <c r="S385" s="24">
        <v>0</v>
      </c>
      <c r="T385" s="24">
        <v>0</v>
      </c>
      <c r="U385" s="24">
        <v>15348592390000</v>
      </c>
      <c r="V385" s="109">
        <v>0</v>
      </c>
      <c r="W385" s="109">
        <v>-1.5602080836808278E-2</v>
      </c>
      <c r="X385" s="109">
        <v>5.1451651039642984E-2</v>
      </c>
      <c r="Y385" s="109">
        <v>-0.81203520969912213</v>
      </c>
      <c r="Z385" s="109">
        <v>0.93347448136182309</v>
      </c>
      <c r="AA385" s="109">
        <v>0.15728884186553571</v>
      </c>
      <c r="AD385" s="111"/>
    </row>
    <row r="386" spans="1:30" ht="15" customHeight="1" x14ac:dyDescent="0.3">
      <c r="A386" s="22" t="s">
        <v>153</v>
      </c>
      <c r="B386" s="23">
        <v>48</v>
      </c>
      <c r="C386" s="3" t="s">
        <v>26</v>
      </c>
      <c r="D386" s="23">
        <v>2016</v>
      </c>
      <c r="E386" s="25">
        <v>0.63687750378934638</v>
      </c>
      <c r="F386" s="25">
        <v>0.55513392346769386</v>
      </c>
      <c r="G386" s="25">
        <v>0.50985520421684505</v>
      </c>
      <c r="H386" s="25">
        <v>1.0402134401982108</v>
      </c>
      <c r="I386" s="25">
        <v>0.98575651706530498</v>
      </c>
      <c r="J386" s="25">
        <v>2.8036383092562869E-2</v>
      </c>
      <c r="K386" s="25">
        <v>3.3754187065189387E-2</v>
      </c>
      <c r="L386" s="25">
        <v>0.5</v>
      </c>
      <c r="M386" s="24">
        <v>2</v>
      </c>
      <c r="N386" s="108">
        <v>0</v>
      </c>
      <c r="O386" s="24">
        <v>4</v>
      </c>
      <c r="P386" s="24">
        <v>0</v>
      </c>
      <c r="Q386" s="24">
        <v>4</v>
      </c>
      <c r="R386" s="24">
        <v>5</v>
      </c>
      <c r="S386" s="24">
        <v>0</v>
      </c>
      <c r="T386" s="24">
        <v>0</v>
      </c>
      <c r="U386" s="24">
        <v>15860037150000</v>
      </c>
      <c r="V386" s="109">
        <v>-0.99955315026064029</v>
      </c>
      <c r="W386" s="109">
        <v>-9.6430127920601988E-2</v>
      </c>
      <c r="X386" s="109">
        <v>0.11315662475607756</v>
      </c>
      <c r="Y386" s="109">
        <v>0.14360408067518302</v>
      </c>
      <c r="Z386" s="109">
        <v>1.0094082227969716</v>
      </c>
      <c r="AA386" s="109">
        <v>1.1697388003076301</v>
      </c>
      <c r="AD386" s="111"/>
    </row>
    <row r="387" spans="1:30" ht="15" customHeight="1" x14ac:dyDescent="0.3">
      <c r="A387" s="22" t="s">
        <v>153</v>
      </c>
      <c r="B387" s="23">
        <v>48</v>
      </c>
      <c r="C387" s="3" t="s">
        <v>26</v>
      </c>
      <c r="D387" s="23">
        <v>2017</v>
      </c>
      <c r="E387" s="25">
        <v>1.5414063908903672</v>
      </c>
      <c r="F387" s="25">
        <v>1.3718565004822125</v>
      </c>
      <c r="G387" s="25">
        <v>0.45216390633687603</v>
      </c>
      <c r="H387" s="25">
        <v>0.82536348292327233</v>
      </c>
      <c r="I387" s="25">
        <v>0.21519246519246518</v>
      </c>
      <c r="J387" s="25">
        <v>1.8463538464241168E-2</v>
      </c>
      <c r="K387" s="25">
        <v>1.8976257109325628E-2</v>
      </c>
      <c r="L387" s="25">
        <v>0.5</v>
      </c>
      <c r="M387" s="24">
        <v>2</v>
      </c>
      <c r="N387" s="108">
        <v>0</v>
      </c>
      <c r="O387" s="24">
        <v>4</v>
      </c>
      <c r="P387" s="24">
        <v>0</v>
      </c>
      <c r="Q387" s="24">
        <v>4</v>
      </c>
      <c r="R387" s="24">
        <v>5</v>
      </c>
      <c r="S387" s="24">
        <v>0</v>
      </c>
      <c r="T387" s="24">
        <v>0</v>
      </c>
      <c r="U387" s="24">
        <v>15534781440000</v>
      </c>
      <c r="V387" s="109">
        <v>1.6251007793603869</v>
      </c>
      <c r="W387" s="109">
        <v>0.10788482441630025</v>
      </c>
      <c r="X387" s="109">
        <v>0.19726423790613687</v>
      </c>
      <c r="Y387" s="109">
        <v>0.22542541359371709</v>
      </c>
      <c r="Z387" s="109">
        <v>1.2721667746689134</v>
      </c>
      <c r="AA387" s="109">
        <v>1.8027412505850675</v>
      </c>
      <c r="AD387" s="111"/>
    </row>
    <row r="388" spans="1:30" ht="15" customHeight="1" x14ac:dyDescent="0.3">
      <c r="A388" s="22" t="s">
        <v>153</v>
      </c>
      <c r="B388" s="23">
        <v>48</v>
      </c>
      <c r="C388" s="3" t="s">
        <v>26</v>
      </c>
      <c r="D388" s="23">
        <v>2018</v>
      </c>
      <c r="E388" s="25">
        <v>1.1867464175816447</v>
      </c>
      <c r="F388" s="25">
        <v>1.0043013465400976</v>
      </c>
      <c r="G388" s="25">
        <v>0.51502113350768375</v>
      </c>
      <c r="H388" s="25">
        <v>1.0619455178174109</v>
      </c>
      <c r="I388" s="25">
        <v>-2.8961620109982347E-2</v>
      </c>
      <c r="J388" s="25">
        <v>-1.0553343077821702E-2</v>
      </c>
      <c r="K388" s="25">
        <v>-2.1760418457303862E-2</v>
      </c>
      <c r="L388" s="25">
        <v>0.5</v>
      </c>
      <c r="M388" s="24">
        <v>2</v>
      </c>
      <c r="N388" s="108">
        <v>0</v>
      </c>
      <c r="O388" s="24">
        <v>4</v>
      </c>
      <c r="P388" s="24">
        <v>0</v>
      </c>
      <c r="Q388" s="24">
        <v>4</v>
      </c>
      <c r="R388" s="24">
        <v>6</v>
      </c>
      <c r="S388" s="24">
        <v>0</v>
      </c>
      <c r="T388" s="24">
        <v>0</v>
      </c>
      <c r="U388" s="24">
        <v>14646070810000</v>
      </c>
      <c r="V388" s="109">
        <v>545.36476351351348</v>
      </c>
      <c r="W388" s="109">
        <v>5.532896095563803E-2</v>
      </c>
      <c r="X388" s="109">
        <v>5.6457469223446964E-3</v>
      </c>
      <c r="Y388" s="109">
        <v>0.16827025765281001</v>
      </c>
      <c r="Z388" s="109">
        <v>0.98875128938633117</v>
      </c>
      <c r="AA388" s="109">
        <v>1.2179962549171239</v>
      </c>
      <c r="AD388" s="111"/>
    </row>
    <row r="389" spans="1:30" ht="15" customHeight="1" x14ac:dyDescent="0.3">
      <c r="A389" s="22" t="s">
        <v>153</v>
      </c>
      <c r="B389" s="23">
        <v>48</v>
      </c>
      <c r="C389" s="3" t="s">
        <v>26</v>
      </c>
      <c r="D389" s="23">
        <v>2019</v>
      </c>
      <c r="E389" s="25">
        <v>1.6744618887175324</v>
      </c>
      <c r="F389" s="25">
        <v>1.4599236225774261</v>
      </c>
      <c r="G389" s="25">
        <v>0.50116667232096401</v>
      </c>
      <c r="H389" s="25">
        <v>1.004677603745493</v>
      </c>
      <c r="I389" s="25">
        <v>0.1339317517645531</v>
      </c>
      <c r="J389" s="25">
        <v>4.0188854671414122E-2</v>
      </c>
      <c r="K389" s="25">
        <v>8.0565696879966314E-2</v>
      </c>
      <c r="L389" s="25">
        <v>0.8</v>
      </c>
      <c r="M389" s="24">
        <v>2</v>
      </c>
      <c r="N389" s="108">
        <v>0</v>
      </c>
      <c r="O389" s="24">
        <v>5</v>
      </c>
      <c r="P389" s="24">
        <v>11</v>
      </c>
      <c r="Q389" s="24">
        <v>5</v>
      </c>
      <c r="R389" s="24">
        <v>5</v>
      </c>
      <c r="S389" s="24">
        <v>11</v>
      </c>
      <c r="T389" s="24">
        <v>9</v>
      </c>
      <c r="U389" s="24">
        <v>15520643350000</v>
      </c>
      <c r="V389" s="109">
        <v>-0.12734322262279063</v>
      </c>
      <c r="W389" s="109">
        <v>0.11994992390569943</v>
      </c>
      <c r="X389" s="109">
        <v>5.8014827871165527E-2</v>
      </c>
      <c r="Y389" s="109">
        <v>0.11548453096823463</v>
      </c>
      <c r="Z389" s="109">
        <v>1.0451113830800476</v>
      </c>
      <c r="AA389" s="109">
        <v>1.3385606658251472</v>
      </c>
      <c r="AD389" s="111"/>
    </row>
    <row r="390" spans="1:30" ht="15" customHeight="1" x14ac:dyDescent="0.3">
      <c r="A390" s="22" t="s">
        <v>153</v>
      </c>
      <c r="B390" s="23">
        <v>48</v>
      </c>
      <c r="C390" s="3" t="s">
        <v>26</v>
      </c>
      <c r="D390" s="23">
        <v>2020</v>
      </c>
      <c r="E390" s="25">
        <v>2.2627110962356181</v>
      </c>
      <c r="F390" s="25">
        <v>1.430079637916688</v>
      </c>
      <c r="G390" s="25">
        <v>0.47142347169363608</v>
      </c>
      <c r="H390" s="25">
        <v>0.8918736388165881</v>
      </c>
      <c r="I390" s="25">
        <v>9.179156858416386E-2</v>
      </c>
      <c r="J390" s="25">
        <v>2.8151226232468018E-2</v>
      </c>
      <c r="K390" s="25">
        <v>5.3258562809568262E-2</v>
      </c>
      <c r="L390" s="25">
        <v>0.8</v>
      </c>
      <c r="M390" s="24">
        <v>3</v>
      </c>
      <c r="N390" s="108">
        <v>0</v>
      </c>
      <c r="O390" s="24">
        <v>6</v>
      </c>
      <c r="P390" s="24">
        <v>14</v>
      </c>
      <c r="Q390" s="24">
        <v>6</v>
      </c>
      <c r="R390" s="24">
        <v>6</v>
      </c>
      <c r="S390" s="24">
        <v>14</v>
      </c>
      <c r="T390" s="24">
        <v>10</v>
      </c>
      <c r="U390" s="24">
        <v>15214292140000</v>
      </c>
      <c r="V390" s="109">
        <v>1.8771624331126175E-3</v>
      </c>
      <c r="W390" s="109">
        <v>0.2718508081967197</v>
      </c>
      <c r="X390" s="109">
        <v>0.10292276338529674</v>
      </c>
      <c r="Y390" s="109">
        <v>0.16262585077454678</v>
      </c>
      <c r="Z390" s="109">
        <v>1.1772968213223871</v>
      </c>
      <c r="AA390" s="109">
        <v>1.7146962436789503</v>
      </c>
      <c r="AD390" s="111"/>
    </row>
    <row r="391" spans="1:30" ht="15" customHeight="1" x14ac:dyDescent="0.3">
      <c r="A391" s="22" t="s">
        <v>153</v>
      </c>
      <c r="B391" s="23">
        <v>48</v>
      </c>
      <c r="C391" s="3" t="s">
        <v>26</v>
      </c>
      <c r="D391" s="23">
        <v>2021</v>
      </c>
      <c r="E391" s="25">
        <v>2.3552768808472022</v>
      </c>
      <c r="F391" s="25">
        <v>2.0984320724369505</v>
      </c>
      <c r="G391" s="25">
        <v>0.51904820136168706</v>
      </c>
      <c r="H391" s="25">
        <v>1.0792104382003229</v>
      </c>
      <c r="I391" s="25">
        <v>1.381344566364151E-2</v>
      </c>
      <c r="J391" s="25">
        <v>3.8331057364035829E-3</v>
      </c>
      <c r="K391" s="25">
        <v>7.9698334578558652E-3</v>
      </c>
      <c r="L391" s="25">
        <v>0.8</v>
      </c>
      <c r="M391" s="24">
        <v>3</v>
      </c>
      <c r="N391" s="108">
        <v>0</v>
      </c>
      <c r="O391" s="24">
        <v>6</v>
      </c>
      <c r="P391" s="24">
        <v>14</v>
      </c>
      <c r="Q391" s="24">
        <v>6</v>
      </c>
      <c r="R391" s="24">
        <v>7</v>
      </c>
      <c r="S391" s="24">
        <v>14</v>
      </c>
      <c r="T391" s="24">
        <v>13</v>
      </c>
      <c r="U391" s="24">
        <v>15792655920000</v>
      </c>
      <c r="V391" s="109">
        <v>-6.0800889954833466E-2</v>
      </c>
      <c r="W391" s="109">
        <v>0.37584233935491196</v>
      </c>
      <c r="X391" s="109">
        <v>1.5860122722157047E-2</v>
      </c>
      <c r="Y391" s="109">
        <v>4.2100544972805305E-2</v>
      </c>
      <c r="Z391" s="109">
        <v>0.97293351030867181</v>
      </c>
      <c r="AA391" s="109">
        <v>1.4067365173585462</v>
      </c>
      <c r="AD391" s="111"/>
    </row>
    <row r="392" spans="1:30" ht="15" customHeight="1" x14ac:dyDescent="0.3">
      <c r="A392" s="22" t="s">
        <v>153</v>
      </c>
      <c r="B392" s="23">
        <v>48</v>
      </c>
      <c r="C392" s="3" t="s">
        <v>26</v>
      </c>
      <c r="D392" s="23">
        <v>2022</v>
      </c>
      <c r="E392" s="25">
        <v>2.4287204592362985</v>
      </c>
      <c r="F392" s="25">
        <v>2.0063648641206928</v>
      </c>
      <c r="G392" s="25">
        <v>0.49058041671762231</v>
      </c>
      <c r="H392" s="25">
        <v>0.96301836995867396</v>
      </c>
      <c r="I392" s="25">
        <v>1.0915666408534983E-2</v>
      </c>
      <c r="J392" s="25">
        <v>2.8524045683814437E-3</v>
      </c>
      <c r="K392" s="25">
        <v>5.5993225662868164E-3</v>
      </c>
      <c r="L392" s="25">
        <v>0.8</v>
      </c>
      <c r="M392" s="24">
        <v>3</v>
      </c>
      <c r="N392" s="108">
        <v>0</v>
      </c>
      <c r="O392" s="24">
        <v>6</v>
      </c>
      <c r="P392" s="24">
        <v>14</v>
      </c>
      <c r="Q392" s="24">
        <v>6</v>
      </c>
      <c r="R392" s="24">
        <v>6</v>
      </c>
      <c r="S392" s="24">
        <v>14</v>
      </c>
      <c r="T392" s="24">
        <v>10</v>
      </c>
      <c r="U392" s="24">
        <v>14863256240000</v>
      </c>
      <c r="V392" s="109">
        <v>-0.11372013181853075</v>
      </c>
      <c r="W392" s="109">
        <v>0.41611841750768325</v>
      </c>
      <c r="X392" s="109">
        <v>7.8842386693590366E-2</v>
      </c>
      <c r="Y392" s="109">
        <v>0.1687955053380685</v>
      </c>
      <c r="Z392" s="109">
        <v>1.0903218804071815</v>
      </c>
      <c r="AA392" s="109">
        <v>1.7540781899465236</v>
      </c>
      <c r="AD392" s="111"/>
    </row>
    <row r="393" spans="1:30" ht="15" customHeight="1" x14ac:dyDescent="0.3">
      <c r="A393" s="22" t="s">
        <v>153</v>
      </c>
      <c r="B393" s="23">
        <v>48</v>
      </c>
      <c r="C393" s="3" t="s">
        <v>26</v>
      </c>
      <c r="D393" s="23">
        <v>2023</v>
      </c>
      <c r="E393" s="25">
        <v>1.2417999223527998</v>
      </c>
      <c r="F393" s="25">
        <v>0.93686659140942075</v>
      </c>
      <c r="G393" s="25">
        <v>0.48211631270568367</v>
      </c>
      <c r="H393" s="25">
        <v>0.93093550643485345</v>
      </c>
      <c r="I393" s="25">
        <v>3.3347075171134902E-2</v>
      </c>
      <c r="J393" s="25">
        <v>8.7256745890498897E-3</v>
      </c>
      <c r="K393" s="25">
        <v>1.6848714881592782E-2</v>
      </c>
      <c r="L393" s="25">
        <v>0.8</v>
      </c>
      <c r="M393" s="24">
        <v>3</v>
      </c>
      <c r="N393" s="108">
        <v>0</v>
      </c>
      <c r="O393" s="24">
        <v>6</v>
      </c>
      <c r="P393" s="24">
        <v>14</v>
      </c>
      <c r="Q393" s="24">
        <v>6</v>
      </c>
      <c r="R393" s="24">
        <v>6</v>
      </c>
      <c r="S393" s="24">
        <v>14</v>
      </c>
      <c r="T393" s="24">
        <v>10</v>
      </c>
      <c r="U393" s="24">
        <v>14368742350000</v>
      </c>
      <c r="V393" s="109">
        <v>-3.1978088264722843E-2</v>
      </c>
      <c r="W393" s="109">
        <v>8.9486181537662551E-2</v>
      </c>
      <c r="X393" s="109">
        <v>4.1215429129049699E-2</v>
      </c>
      <c r="Y393" s="109">
        <v>6.3197848348919686E-2</v>
      </c>
      <c r="Z393" s="109">
        <v>1.1278976822155173</v>
      </c>
      <c r="AA393" s="109">
        <v>1.3217971412311493</v>
      </c>
      <c r="AD393" s="111"/>
    </row>
    <row r="394" spans="1:30" ht="15" customHeight="1" x14ac:dyDescent="0.3">
      <c r="A394" s="22" t="s">
        <v>153</v>
      </c>
      <c r="B394" s="23">
        <v>48</v>
      </c>
      <c r="C394" s="3" t="s">
        <v>26</v>
      </c>
      <c r="D394" s="23">
        <v>2024</v>
      </c>
      <c r="E394" s="25">
        <v>1.0432044183396361</v>
      </c>
      <c r="F394" s="25">
        <v>0.70172528559966263</v>
      </c>
      <c r="G394" s="25">
        <v>0.4604499748223192</v>
      </c>
      <c r="H394" s="25">
        <v>0.8533962623218988</v>
      </c>
      <c r="I394" s="25">
        <v>5.5876400109476816E-2</v>
      </c>
      <c r="J394" s="25">
        <v>1.6077795817525886E-2</v>
      </c>
      <c r="K394" s="25">
        <v>2.9798526674577133E-2</v>
      </c>
      <c r="L394" s="25">
        <v>0.8</v>
      </c>
      <c r="M394" s="24">
        <v>3</v>
      </c>
      <c r="N394" s="108">
        <v>0</v>
      </c>
      <c r="O394" s="24">
        <v>6</v>
      </c>
      <c r="P394" s="24">
        <v>14</v>
      </c>
      <c r="Q394" s="24">
        <v>6</v>
      </c>
      <c r="R394" s="24">
        <v>6</v>
      </c>
      <c r="S394" s="24">
        <v>14</v>
      </c>
      <c r="T394" s="24">
        <v>10</v>
      </c>
      <c r="U394" s="24">
        <v>14072702040000</v>
      </c>
      <c r="V394" s="109">
        <v>7.6999648317895436E-2</v>
      </c>
      <c r="W394" s="109">
        <v>1.7589264612895904E-2</v>
      </c>
      <c r="X394" s="109">
        <v>0.1034075315645637</v>
      </c>
      <c r="Y394" s="109">
        <v>0.18826929620688537</v>
      </c>
      <c r="Z394" s="109">
        <v>1.2303780158858286</v>
      </c>
      <c r="AA394" s="109">
        <v>1.5396441082701737</v>
      </c>
      <c r="AD394" s="111"/>
    </row>
    <row r="395" spans="1:30" ht="15" customHeight="1" x14ac:dyDescent="0.3">
      <c r="A395" s="22" t="s">
        <v>153</v>
      </c>
      <c r="B395" s="23">
        <v>49</v>
      </c>
      <c r="C395" s="3" t="s">
        <v>38</v>
      </c>
      <c r="D395" s="23">
        <v>2016</v>
      </c>
      <c r="E395" s="25">
        <v>0.2223174803718076</v>
      </c>
      <c r="F395" s="25">
        <v>0.15111452035014891</v>
      </c>
      <c r="G395" s="25">
        <v>0.16939539860888175</v>
      </c>
      <c r="H395" s="25">
        <v>0.20394228291677402</v>
      </c>
      <c r="I395" s="25">
        <v>0</v>
      </c>
      <c r="J395" s="25">
        <v>0</v>
      </c>
      <c r="K395" s="25">
        <v>0</v>
      </c>
      <c r="L395" s="25">
        <v>0</v>
      </c>
      <c r="M395" s="24">
        <v>0</v>
      </c>
      <c r="N395" s="108">
        <v>0</v>
      </c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130830000000</v>
      </c>
      <c r="V395" s="109">
        <v>0</v>
      </c>
      <c r="W395" s="109">
        <v>-0.86418711304746609</v>
      </c>
      <c r="X395" s="109">
        <v>9.1398608881754939E-2</v>
      </c>
      <c r="Y395" s="109">
        <v>0.18840449438202247</v>
      </c>
      <c r="Z395" s="109">
        <v>5.1485154769425145</v>
      </c>
      <c r="AA395" s="109">
        <v>4.564131467158826</v>
      </c>
      <c r="AD395" s="111"/>
    </row>
    <row r="396" spans="1:30" ht="15" customHeight="1" x14ac:dyDescent="0.3">
      <c r="A396" s="22" t="s">
        <v>153</v>
      </c>
      <c r="B396" s="23">
        <v>49</v>
      </c>
      <c r="C396" s="3" t="s">
        <v>38</v>
      </c>
      <c r="D396" s="23">
        <v>2017</v>
      </c>
      <c r="E396" s="25">
        <v>12.330985915492958</v>
      </c>
      <c r="F396" s="25">
        <v>6.373239436619718</v>
      </c>
      <c r="G396" s="25">
        <v>2.7018955431020852E-2</v>
      </c>
      <c r="H396" s="25">
        <v>2.7769251602419429E-2</v>
      </c>
      <c r="I396" s="25">
        <v>0</v>
      </c>
      <c r="J396" s="25">
        <v>0</v>
      </c>
      <c r="K396" s="25">
        <v>0</v>
      </c>
      <c r="L396" s="25">
        <v>0.99990000000000001</v>
      </c>
      <c r="M396" s="24">
        <v>2</v>
      </c>
      <c r="N396" s="108">
        <v>0</v>
      </c>
      <c r="O396" s="24">
        <v>3</v>
      </c>
      <c r="P396" s="24">
        <v>0</v>
      </c>
      <c r="Q396" s="24">
        <v>3</v>
      </c>
      <c r="R396" s="24">
        <v>3</v>
      </c>
      <c r="S396" s="24">
        <v>0</v>
      </c>
      <c r="T396" s="24">
        <v>0</v>
      </c>
      <c r="U396" s="24">
        <v>113846000000</v>
      </c>
      <c r="V396" s="109">
        <v>0</v>
      </c>
      <c r="W396" s="109">
        <v>9.2713314477452E-2</v>
      </c>
      <c r="X396" s="109">
        <v>0.10795460534406126</v>
      </c>
      <c r="Y396" s="109">
        <v>5.7256293589585932E-3</v>
      </c>
      <c r="Z396" s="109">
        <v>37.811605981794543</v>
      </c>
      <c r="AA396" s="109">
        <v>38.017999530975011</v>
      </c>
      <c r="AD396" s="111"/>
    </row>
    <row r="397" spans="1:30" ht="15" customHeight="1" x14ac:dyDescent="0.3">
      <c r="A397" s="22" t="s">
        <v>153</v>
      </c>
      <c r="B397" s="23">
        <v>49</v>
      </c>
      <c r="C397" s="3" t="s">
        <v>38</v>
      </c>
      <c r="D397" s="23">
        <v>2018</v>
      </c>
      <c r="E397" s="25">
        <v>1.042461703843053</v>
      </c>
      <c r="F397" s="25">
        <v>0.76941682343456064</v>
      </c>
      <c r="G397" s="25">
        <v>0.57489196147170984</v>
      </c>
      <c r="H397" s="25">
        <v>1.3523431913025374</v>
      </c>
      <c r="I397" s="25">
        <v>-1.5997287877022174E-3</v>
      </c>
      <c r="J397" s="25">
        <v>-1.1621597700309011E-3</v>
      </c>
      <c r="K397" s="25">
        <v>-2.7337986222379131E-3</v>
      </c>
      <c r="L397" s="25">
        <v>0.99990000000000001</v>
      </c>
      <c r="M397" s="24">
        <v>2</v>
      </c>
      <c r="N397" s="108">
        <v>0</v>
      </c>
      <c r="O397" s="24">
        <v>3</v>
      </c>
      <c r="P397" s="24">
        <v>0</v>
      </c>
      <c r="Q397" s="24">
        <v>3</v>
      </c>
      <c r="R397" s="24">
        <v>3</v>
      </c>
      <c r="S397" s="24">
        <v>0</v>
      </c>
      <c r="T397" s="24">
        <v>0</v>
      </c>
      <c r="U397" s="24">
        <v>259861000000</v>
      </c>
      <c r="V397" s="109">
        <v>0</v>
      </c>
      <c r="W397" s="109">
        <v>3.9885939021245967E-3</v>
      </c>
      <c r="X397" s="109">
        <v>7.1106014369220469E-2</v>
      </c>
      <c r="Y397" s="109">
        <v>4.7349621528432508E-2</v>
      </c>
      <c r="Z397" s="109">
        <v>0.77643013012744999</v>
      </c>
      <c r="AA397" s="109">
        <v>0.89887435992722753</v>
      </c>
      <c r="AD397" s="111"/>
    </row>
    <row r="398" spans="1:30" ht="15" customHeight="1" x14ac:dyDescent="0.3">
      <c r="A398" s="22" t="s">
        <v>153</v>
      </c>
      <c r="B398" s="23">
        <v>49</v>
      </c>
      <c r="C398" s="3" t="s">
        <v>38</v>
      </c>
      <c r="D398" s="23">
        <v>2019</v>
      </c>
      <c r="E398" s="25">
        <v>0.2838638310019983</v>
      </c>
      <c r="F398" s="25">
        <v>0.16892663431344562</v>
      </c>
      <c r="G398" s="25">
        <v>0.82643055927291353</v>
      </c>
      <c r="H398" s="25">
        <v>4.7613828552478861</v>
      </c>
      <c r="I398" s="25">
        <v>2.1117304713180952E-2</v>
      </c>
      <c r="J398" s="25">
        <v>1.9628609554617343E-2</v>
      </c>
      <c r="K398" s="25">
        <v>0.1130879345603272</v>
      </c>
      <c r="L398" s="25">
        <v>0.99990000000000001</v>
      </c>
      <c r="M398" s="24">
        <v>2</v>
      </c>
      <c r="N398" s="108">
        <v>0</v>
      </c>
      <c r="O398" s="24">
        <v>3</v>
      </c>
      <c r="P398" s="24">
        <v>0</v>
      </c>
      <c r="Q398" s="24">
        <v>3</v>
      </c>
      <c r="R398" s="24">
        <v>3</v>
      </c>
      <c r="S398" s="24">
        <v>0</v>
      </c>
      <c r="T398" s="24">
        <v>0</v>
      </c>
      <c r="U398" s="24">
        <v>1042407000000</v>
      </c>
      <c r="V398" s="109">
        <v>4.1324861480437756</v>
      </c>
      <c r="W398" s="109">
        <v>-0.12629677275766568</v>
      </c>
      <c r="X398" s="109">
        <v>2.2639084349970789E-2</v>
      </c>
      <c r="Y398" s="109">
        <v>9.5861213518328263E-3</v>
      </c>
      <c r="Z398" s="109">
        <v>0.22052416953673748</v>
      </c>
      <c r="AA398" s="109">
        <v>0.12645260248087542</v>
      </c>
      <c r="AD398" s="111"/>
    </row>
    <row r="399" spans="1:30" ht="15" customHeight="1" x14ac:dyDescent="0.3">
      <c r="A399" s="22" t="s">
        <v>153</v>
      </c>
      <c r="B399" s="23">
        <v>49</v>
      </c>
      <c r="C399" s="3" t="s">
        <v>38</v>
      </c>
      <c r="D399" s="23">
        <v>2020</v>
      </c>
      <c r="E399" s="25">
        <v>0.45381882770870335</v>
      </c>
      <c r="F399" s="25">
        <v>0.12514801657785671</v>
      </c>
      <c r="G399" s="25">
        <v>0.81662795074226047</v>
      </c>
      <c r="H399" s="25">
        <v>4.4533938190026161</v>
      </c>
      <c r="I399" s="25">
        <v>3.3707386185538573E-3</v>
      </c>
      <c r="J399" s="25">
        <v>3.879866718698406E-3</v>
      </c>
      <c r="K399" s="25">
        <v>2.1158441182303849E-2</v>
      </c>
      <c r="L399" s="25">
        <v>0.99990000000000001</v>
      </c>
      <c r="M399" s="24">
        <v>2</v>
      </c>
      <c r="N399" s="108">
        <v>0</v>
      </c>
      <c r="O399" s="24">
        <v>3</v>
      </c>
      <c r="P399" s="24">
        <v>0</v>
      </c>
      <c r="Q399" s="24">
        <v>3</v>
      </c>
      <c r="R399" s="24">
        <v>2</v>
      </c>
      <c r="S399" s="24">
        <v>0</v>
      </c>
      <c r="T399" s="24">
        <v>0</v>
      </c>
      <c r="U399" s="24">
        <v>1732276000000</v>
      </c>
      <c r="V399" s="109">
        <v>1.0578819119412213</v>
      </c>
      <c r="W399" s="109">
        <v>-2.7947509519268287E-2</v>
      </c>
      <c r="X399" s="109">
        <v>2.5119830789089036E-2</v>
      </c>
      <c r="Y399" s="109">
        <v>2.3252460924240711E-2</v>
      </c>
      <c r="Z399" s="109">
        <v>0.23577524078819476</v>
      </c>
      <c r="AA399" s="109">
        <v>0.25620002298225619</v>
      </c>
      <c r="AD399" s="111"/>
    </row>
    <row r="400" spans="1:30" ht="15" customHeight="1" x14ac:dyDescent="0.3">
      <c r="A400" s="22" t="s">
        <v>153</v>
      </c>
      <c r="B400" s="23">
        <v>49</v>
      </c>
      <c r="C400" s="3" t="s">
        <v>38</v>
      </c>
      <c r="D400" s="23">
        <v>2021</v>
      </c>
      <c r="E400" s="25">
        <v>0.9023304281924972</v>
      </c>
      <c r="F400" s="25">
        <v>0.16445623342175067</v>
      </c>
      <c r="G400" s="25">
        <v>0.85262124470663037</v>
      </c>
      <c r="H400" s="25">
        <v>5.7852384694755861</v>
      </c>
      <c r="I400" s="25">
        <v>3.109884267103041E-2</v>
      </c>
      <c r="J400" s="25">
        <v>2.2236387338539672E-2</v>
      </c>
      <c r="K400" s="25">
        <v>0.15087919079161921</v>
      </c>
      <c r="L400" s="25">
        <v>0.99990000000000001</v>
      </c>
      <c r="M400" s="24">
        <v>2</v>
      </c>
      <c r="N400" s="108">
        <v>0</v>
      </c>
      <c r="O400" s="24">
        <v>3</v>
      </c>
      <c r="P400" s="24">
        <v>0</v>
      </c>
      <c r="Q400" s="24">
        <v>3</v>
      </c>
      <c r="R400" s="24">
        <v>3</v>
      </c>
      <c r="S400" s="24">
        <v>0</v>
      </c>
      <c r="T400" s="24">
        <v>0</v>
      </c>
      <c r="U400" s="24">
        <v>2538317000000</v>
      </c>
      <c r="V400" s="109">
        <v>-8.975763882793987E-2</v>
      </c>
      <c r="W400" s="109">
        <v>-2.6645056547310677E-3</v>
      </c>
      <c r="X400" s="109">
        <v>2.7614068691971885E-2</v>
      </c>
      <c r="Y400" s="109">
        <v>2.0771684545310927E-2</v>
      </c>
      <c r="Z400" s="109">
        <v>0.18149640771768899</v>
      </c>
      <c r="AA400" s="109">
        <v>0.22721765530024074</v>
      </c>
      <c r="AD400" s="111"/>
    </row>
    <row r="401" spans="1:30" ht="15" customHeight="1" x14ac:dyDescent="0.3">
      <c r="A401" s="22" t="s">
        <v>153</v>
      </c>
      <c r="B401" s="23">
        <v>49</v>
      </c>
      <c r="C401" s="3" t="s">
        <v>38</v>
      </c>
      <c r="D401" s="23">
        <v>2022</v>
      </c>
      <c r="E401" s="25">
        <v>1.9663586485706035</v>
      </c>
      <c r="F401" s="25">
        <v>0.71065550101068442</v>
      </c>
      <c r="G401" s="25">
        <v>0.86214878763917191</v>
      </c>
      <c r="H401" s="25">
        <v>6.2541980797563195</v>
      </c>
      <c r="I401" s="25">
        <v>4.102356471065766E-3</v>
      </c>
      <c r="J401" s="25">
        <v>2.902119394887364E-3</v>
      </c>
      <c r="K401" s="25">
        <v>2.1052548941615484E-2</v>
      </c>
      <c r="L401" s="25">
        <v>0.99990000000000001</v>
      </c>
      <c r="M401" s="24">
        <v>2</v>
      </c>
      <c r="N401" s="108">
        <v>0</v>
      </c>
      <c r="O401" s="24">
        <v>3</v>
      </c>
      <c r="P401" s="24">
        <v>0</v>
      </c>
      <c r="Q401" s="24">
        <v>3</v>
      </c>
      <c r="R401" s="24">
        <v>3</v>
      </c>
      <c r="S401" s="24">
        <v>0</v>
      </c>
      <c r="T401" s="24">
        <v>0</v>
      </c>
      <c r="U401" s="24">
        <v>2772112000000</v>
      </c>
      <c r="V401" s="109">
        <v>8.0505026295417795E-2</v>
      </c>
      <c r="W401" s="109">
        <v>1.5838494259972181E-2</v>
      </c>
      <c r="X401" s="109">
        <v>3.5376391718660714E-2</v>
      </c>
      <c r="Y401" s="109">
        <v>1.9904650317158903E-2</v>
      </c>
      <c r="Z401" s="109">
        <v>0.16788723136202796</v>
      </c>
      <c r="AA401" s="109">
        <v>0.23900676765781975</v>
      </c>
      <c r="AD401" s="111"/>
    </row>
    <row r="402" spans="1:30" ht="15" customHeight="1" x14ac:dyDescent="0.3">
      <c r="A402" s="22" t="s">
        <v>153</v>
      </c>
      <c r="B402" s="23">
        <v>49</v>
      </c>
      <c r="C402" s="3" t="s">
        <v>38</v>
      </c>
      <c r="D402" s="23">
        <v>2023</v>
      </c>
      <c r="E402" s="25">
        <v>8.3381278000471593</v>
      </c>
      <c r="F402" s="25">
        <v>6.4846734260787553</v>
      </c>
      <c r="G402" s="25">
        <v>0.82162916465278113</v>
      </c>
      <c r="H402" s="25">
        <v>6.4571877076055975</v>
      </c>
      <c r="I402" s="25">
        <v>-6.0132238546536265E-2</v>
      </c>
      <c r="J402" s="25">
        <v>-3.7096623557586444E-2</v>
      </c>
      <c r="K402" s="25">
        <v>-0.2915425497717678</v>
      </c>
      <c r="L402" s="25">
        <v>0.99990000000000001</v>
      </c>
      <c r="M402" s="24">
        <v>2</v>
      </c>
      <c r="N402" s="108">
        <v>0</v>
      </c>
      <c r="O402" s="24">
        <v>3</v>
      </c>
      <c r="P402" s="24">
        <v>0</v>
      </c>
      <c r="Q402" s="24">
        <v>3</v>
      </c>
      <c r="R402" s="24">
        <v>3</v>
      </c>
      <c r="S402" s="24">
        <v>0</v>
      </c>
      <c r="T402" s="24">
        <v>0</v>
      </c>
      <c r="U402" s="24">
        <v>2933798000000</v>
      </c>
      <c r="V402" s="109">
        <v>-7.7078918222111631E-2</v>
      </c>
      <c r="W402" s="109">
        <v>0.13917369907539645</v>
      </c>
      <c r="X402" s="109">
        <v>4.4040809898977358E-2</v>
      </c>
      <c r="Y402" s="109">
        <v>2.0926430517711168E-2</v>
      </c>
      <c r="Z402" s="109">
        <v>0.16260949000495334</v>
      </c>
      <c r="AA402" s="109">
        <v>0.36675042949703829</v>
      </c>
      <c r="AD402" s="111"/>
    </row>
    <row r="403" spans="1:30" ht="15" customHeight="1" x14ac:dyDescent="0.3">
      <c r="A403" s="22" t="s">
        <v>153</v>
      </c>
      <c r="B403" s="23">
        <v>49</v>
      </c>
      <c r="C403" s="3" t="s">
        <v>38</v>
      </c>
      <c r="D403" s="23">
        <v>2024</v>
      </c>
      <c r="E403" s="25">
        <v>1.9240404689256463</v>
      </c>
      <c r="F403" s="25">
        <v>1.5065842299662759</v>
      </c>
      <c r="G403" s="25">
        <v>0.7870470291857804</v>
      </c>
      <c r="H403" s="25">
        <v>7.2157031877117319</v>
      </c>
      <c r="I403" s="25">
        <v>-4.5020317097845299E-2</v>
      </c>
      <c r="J403" s="25">
        <v>-2.5464842674112698E-2</v>
      </c>
      <c r="K403" s="25">
        <v>-0.23346349029264907</v>
      </c>
      <c r="L403" s="25">
        <v>0.99990000000000001</v>
      </c>
      <c r="M403" s="24">
        <v>2</v>
      </c>
      <c r="N403" s="108">
        <v>0</v>
      </c>
      <c r="O403" s="24">
        <v>3</v>
      </c>
      <c r="P403" s="24">
        <v>0</v>
      </c>
      <c r="Q403" s="24">
        <v>3</v>
      </c>
      <c r="R403" s="24">
        <v>3</v>
      </c>
      <c r="S403" s="24">
        <v>0</v>
      </c>
      <c r="T403" s="24">
        <v>0</v>
      </c>
      <c r="U403" s="24">
        <v>3369312000000</v>
      </c>
      <c r="V403" s="109">
        <v>5.2971112944227641E-2</v>
      </c>
      <c r="W403" s="109">
        <v>2.2405903638487618E-2</v>
      </c>
      <c r="X403" s="109">
        <v>7.9397693060185588E-3</v>
      </c>
      <c r="Y403" s="109">
        <v>-6.4473316807704364E-2</v>
      </c>
      <c r="Z403" s="109">
        <v>0.14551596326580329</v>
      </c>
      <c r="AA403" s="109">
        <v>0.1113883194026051</v>
      </c>
      <c r="AD403" s="111"/>
    </row>
    <row r="404" spans="1:30" ht="15" customHeight="1" x14ac:dyDescent="0.3">
      <c r="A404" s="22" t="s">
        <v>153</v>
      </c>
      <c r="B404" s="23">
        <v>50</v>
      </c>
      <c r="C404" s="3" t="s">
        <v>39</v>
      </c>
      <c r="D404" s="23">
        <v>2015</v>
      </c>
      <c r="E404" s="25">
        <v>0.65931034482758621</v>
      </c>
      <c r="F404" s="25">
        <v>0.32789689313758963</v>
      </c>
      <c r="G404" s="25">
        <v>0.48180148920227095</v>
      </c>
      <c r="H404" s="25">
        <v>0.92976239638468361</v>
      </c>
      <c r="I404" s="25">
        <v>7.4479021979657098E-2</v>
      </c>
      <c r="J404" s="25">
        <v>3.598657962776694E-2</v>
      </c>
      <c r="K404" s="25">
        <v>6.9445548140167762E-2</v>
      </c>
      <c r="L404" s="25">
        <v>0.95</v>
      </c>
      <c r="M404" s="24">
        <v>4</v>
      </c>
      <c r="N404" s="108">
        <v>0</v>
      </c>
      <c r="O404" s="24">
        <v>8</v>
      </c>
      <c r="P404" s="24">
        <v>0</v>
      </c>
      <c r="Q404" s="24">
        <v>8</v>
      </c>
      <c r="R404" s="24">
        <v>5</v>
      </c>
      <c r="S404" s="24">
        <v>0</v>
      </c>
      <c r="T404" s="24">
        <v>0</v>
      </c>
      <c r="U404" s="24">
        <v>8887980000000</v>
      </c>
      <c r="V404" s="109">
        <v>-4.9378422769914602E-2</v>
      </c>
      <c r="W404" s="109">
        <v>-7.3651074822400589E-2</v>
      </c>
      <c r="X404" s="109">
        <v>0.24976761873901604</v>
      </c>
      <c r="Y404" s="109">
        <v>0.26068260279613592</v>
      </c>
      <c r="Z404" s="109">
        <v>1.1293207857005747</v>
      </c>
      <c r="AA404" s="109">
        <v>1.5661199324133261</v>
      </c>
      <c r="AD404" s="111"/>
    </row>
    <row r="405" spans="1:30" ht="15" customHeight="1" x14ac:dyDescent="0.3">
      <c r="A405" s="22" t="s">
        <v>153</v>
      </c>
      <c r="B405" s="23">
        <v>50</v>
      </c>
      <c r="C405" s="3" t="s">
        <v>39</v>
      </c>
      <c r="D405" s="23">
        <v>2016</v>
      </c>
      <c r="E405" s="25">
        <v>0.72563862735606999</v>
      </c>
      <c r="F405" s="25">
        <v>0.27049994722839915</v>
      </c>
      <c r="G405" s="25">
        <v>0.47594162789268446</v>
      </c>
      <c r="H405" s="25">
        <v>0.90818438026064419</v>
      </c>
      <c r="I405" s="25">
        <v>1.0718147735926424</v>
      </c>
      <c r="J405" s="25">
        <v>4.0303684921552209E-2</v>
      </c>
      <c r="K405" s="25">
        <v>7.6906862034252371E-2</v>
      </c>
      <c r="L405" s="25">
        <v>0.95</v>
      </c>
      <c r="M405" s="24">
        <v>4</v>
      </c>
      <c r="N405" s="108">
        <v>0</v>
      </c>
      <c r="O405" s="24">
        <v>8</v>
      </c>
      <c r="P405" s="24">
        <v>0</v>
      </c>
      <c r="Q405" s="24">
        <v>8</v>
      </c>
      <c r="R405" s="24">
        <v>5</v>
      </c>
      <c r="S405" s="24">
        <v>0</v>
      </c>
      <c r="T405" s="24">
        <v>0</v>
      </c>
      <c r="U405" s="24">
        <v>9079542000000</v>
      </c>
      <c r="V405" s="109">
        <v>-0.92049777492967122</v>
      </c>
      <c r="W405" s="109">
        <v>-5.4466641599322956E-2</v>
      </c>
      <c r="X405" s="109">
        <v>0.29185473232019848</v>
      </c>
      <c r="Y405" s="109">
        <v>0.25269362705740001</v>
      </c>
      <c r="Z405" s="109">
        <v>1.1561528945241883</v>
      </c>
      <c r="AA405" s="109">
        <v>1.6462346123024638</v>
      </c>
      <c r="AD405" s="111"/>
    </row>
    <row r="406" spans="1:30" ht="15" customHeight="1" x14ac:dyDescent="0.3">
      <c r="A406" s="22" t="s">
        <v>153</v>
      </c>
      <c r="B406" s="23">
        <v>50</v>
      </c>
      <c r="C406" s="3" t="s">
        <v>39</v>
      </c>
      <c r="D406" s="23">
        <v>2017</v>
      </c>
      <c r="E406" s="25">
        <v>0.61606488882661281</v>
      </c>
      <c r="F406" s="25">
        <v>0.24891883801359174</v>
      </c>
      <c r="G406" s="25">
        <v>0.45712391843929234</v>
      </c>
      <c r="H406" s="25">
        <v>0.8420409997160172</v>
      </c>
      <c r="I406" s="25">
        <v>9.3345944446758519E-2</v>
      </c>
      <c r="J406" s="25">
        <v>5.0160112529153429E-2</v>
      </c>
      <c r="K406" s="25">
        <v>9.2396983829069704E-2</v>
      </c>
      <c r="L406" s="25">
        <v>0.95</v>
      </c>
      <c r="M406" s="24">
        <v>4</v>
      </c>
      <c r="N406" s="108">
        <v>0</v>
      </c>
      <c r="O406" s="24">
        <v>8</v>
      </c>
      <c r="P406" s="24">
        <v>0</v>
      </c>
      <c r="Q406" s="24">
        <v>8</v>
      </c>
      <c r="R406" s="24">
        <v>5</v>
      </c>
      <c r="S406" s="24">
        <v>0</v>
      </c>
      <c r="T406" s="24">
        <v>0</v>
      </c>
      <c r="U406" s="24">
        <v>9158871000000</v>
      </c>
      <c r="V406" s="109">
        <v>13.415045984418018</v>
      </c>
      <c r="W406" s="109">
        <v>-8.6351271898031975E-2</v>
      </c>
      <c r="X406" s="109">
        <v>0.33142269609431119</v>
      </c>
      <c r="Y406" s="109">
        <v>0.26807814194566121</v>
      </c>
      <c r="Z406" s="109">
        <v>1.2469701598308374</v>
      </c>
      <c r="AA406" s="109">
        <v>1.7601197259727779</v>
      </c>
      <c r="AD406" s="111"/>
    </row>
    <row r="407" spans="1:30" ht="15" customHeight="1" x14ac:dyDescent="0.3">
      <c r="A407" s="22" t="s">
        <v>153</v>
      </c>
      <c r="B407" s="23">
        <v>50</v>
      </c>
      <c r="C407" s="3" t="s">
        <v>39</v>
      </c>
      <c r="D407" s="23">
        <v>2018</v>
      </c>
      <c r="E407" s="25">
        <v>0.67714995440681691</v>
      </c>
      <c r="F407" s="25">
        <v>0.2084237336100368</v>
      </c>
      <c r="G407" s="25">
        <v>0.46329798613101342</v>
      </c>
      <c r="H407" s="25">
        <v>0.86323131674349984</v>
      </c>
      <c r="I407" s="25">
        <v>6.5591192449204472E-2</v>
      </c>
      <c r="J407" s="25">
        <v>3.0395481805969612E-2</v>
      </c>
      <c r="K407" s="25">
        <v>5.6633813588389849E-2</v>
      </c>
      <c r="L407" s="25">
        <v>0.95</v>
      </c>
      <c r="M407" s="24">
        <v>4</v>
      </c>
      <c r="N407" s="108">
        <v>0</v>
      </c>
      <c r="O407" s="24">
        <v>8</v>
      </c>
      <c r="P407" s="24">
        <v>0</v>
      </c>
      <c r="Q407" s="24">
        <v>8</v>
      </c>
      <c r="R407" s="24">
        <v>5</v>
      </c>
      <c r="S407" s="24">
        <v>0</v>
      </c>
      <c r="T407" s="24">
        <v>0</v>
      </c>
      <c r="U407" s="24">
        <v>9082567000000</v>
      </c>
      <c r="V407" s="109">
        <v>-0.14480111590067021</v>
      </c>
      <c r="W407" s="109">
        <v>-7.415905217104371E-2</v>
      </c>
      <c r="X407" s="109">
        <v>0.34655635130464763</v>
      </c>
      <c r="Y407" s="109">
        <v>0.29462867050691727</v>
      </c>
      <c r="Z407" s="109">
        <v>1.2163599485258207</v>
      </c>
      <c r="AA407" s="109">
        <v>1.7833859181663418</v>
      </c>
      <c r="AD407" s="111"/>
    </row>
    <row r="408" spans="1:30" ht="15" customHeight="1" x14ac:dyDescent="0.3">
      <c r="A408" s="22" t="s">
        <v>153</v>
      </c>
      <c r="B408" s="23">
        <v>50</v>
      </c>
      <c r="C408" s="3" t="s">
        <v>39</v>
      </c>
      <c r="D408" s="23">
        <v>2019</v>
      </c>
      <c r="E408" s="25">
        <v>0.72857360132604321</v>
      </c>
      <c r="F408" s="25">
        <v>0.2133346738124515</v>
      </c>
      <c r="G408" s="25">
        <v>0.45316284227938763</v>
      </c>
      <c r="H408" s="25">
        <v>0.82869796955333386</v>
      </c>
      <c r="I408" s="25">
        <v>0.11829749104767409</v>
      </c>
      <c r="J408" s="25">
        <v>5.6415702202365109E-2</v>
      </c>
      <c r="K408" s="25">
        <v>0.10316728006839061</v>
      </c>
      <c r="L408" s="25">
        <v>0.95</v>
      </c>
      <c r="M408" s="24">
        <v>4</v>
      </c>
      <c r="N408" s="108">
        <v>0</v>
      </c>
      <c r="O408" s="24">
        <v>8</v>
      </c>
      <c r="P408" s="24">
        <v>0</v>
      </c>
      <c r="Q408" s="24">
        <v>8</v>
      </c>
      <c r="R408" s="24">
        <v>5</v>
      </c>
      <c r="S408" s="24">
        <v>0</v>
      </c>
      <c r="T408" s="24">
        <v>0</v>
      </c>
      <c r="U408" s="24">
        <v>9112658000000</v>
      </c>
      <c r="V408" s="109">
        <v>3.2517497304543147E-2</v>
      </c>
      <c r="W408" s="109">
        <v>-7.5797371085362789E-2</v>
      </c>
      <c r="X408" s="109">
        <v>0.34898906773413418</v>
      </c>
      <c r="Y408" s="109">
        <v>0.30745835956973255</v>
      </c>
      <c r="Z408" s="109">
        <v>1.2670478733837702</v>
      </c>
      <c r="AA408" s="109">
        <v>1.8476979296022742</v>
      </c>
      <c r="AD408" s="111"/>
    </row>
    <row r="409" spans="1:30" ht="15" customHeight="1" x14ac:dyDescent="0.3">
      <c r="A409" s="22" t="s">
        <v>153</v>
      </c>
      <c r="B409" s="23">
        <v>50</v>
      </c>
      <c r="C409" s="3" t="s">
        <v>39</v>
      </c>
      <c r="D409" s="23">
        <v>2020</v>
      </c>
      <c r="E409" s="25">
        <v>0.76986899232442019</v>
      </c>
      <c r="F409" s="25">
        <v>0.19410200262166893</v>
      </c>
      <c r="G409" s="25">
        <v>0.4433074855536443</v>
      </c>
      <c r="H409" s="25">
        <v>0.81144155680199104</v>
      </c>
      <c r="I409" s="25">
        <v>0.17823391626093751</v>
      </c>
      <c r="J409" s="25">
        <v>5.1629042788593926E-2</v>
      </c>
      <c r="K409" s="25">
        <v>9.4503143352637375E-2</v>
      </c>
      <c r="L409" s="25">
        <v>0.95</v>
      </c>
      <c r="M409" s="24">
        <v>4</v>
      </c>
      <c r="N409" s="108">
        <v>0</v>
      </c>
      <c r="O409" s="24">
        <v>7</v>
      </c>
      <c r="P409" s="24">
        <v>0</v>
      </c>
      <c r="Q409" s="24">
        <v>7</v>
      </c>
      <c r="R409" s="24">
        <v>4</v>
      </c>
      <c r="S409" s="24">
        <v>0</v>
      </c>
      <c r="T409" s="24">
        <v>0</v>
      </c>
      <c r="U409" s="24">
        <v>9641705000000</v>
      </c>
      <c r="V409" s="109">
        <v>-0.35733000015187083</v>
      </c>
      <c r="W409" s="109">
        <v>-8.2657712510391043E-2</v>
      </c>
      <c r="X409" s="109">
        <v>0.40287624232436064</v>
      </c>
      <c r="Y409" s="109">
        <v>0.30330974034156821</v>
      </c>
      <c r="Z409" s="109">
        <v>1.2939933766002845</v>
      </c>
      <c r="AA409" s="109">
        <v>1.9175216467558223</v>
      </c>
      <c r="AD409" s="111"/>
    </row>
    <row r="410" spans="1:30" ht="15" customHeight="1" x14ac:dyDescent="0.3">
      <c r="A410" s="22" t="s">
        <v>153</v>
      </c>
      <c r="B410" s="23">
        <v>50</v>
      </c>
      <c r="C410" s="3" t="s">
        <v>39</v>
      </c>
      <c r="D410" s="23">
        <v>2021</v>
      </c>
      <c r="E410" s="25">
        <v>1.201314260910147</v>
      </c>
      <c r="F410" s="25">
        <v>0.28577522073712019</v>
      </c>
      <c r="G410" s="25">
        <v>0.45708675621452771</v>
      </c>
      <c r="H410" s="25">
        <v>0.84191491264328377</v>
      </c>
      <c r="I410" s="25">
        <v>0.14352435639639144</v>
      </c>
      <c r="J410" s="25">
        <v>4.0281743523504727E-2</v>
      </c>
      <c r="K410" s="25">
        <v>7.4195544103215369E-2</v>
      </c>
      <c r="L410" s="25">
        <v>0.95</v>
      </c>
      <c r="M410" s="24">
        <v>4</v>
      </c>
      <c r="N410" s="108">
        <v>0</v>
      </c>
      <c r="O410" s="24">
        <v>7</v>
      </c>
      <c r="P410" s="24">
        <v>0</v>
      </c>
      <c r="Q410" s="24">
        <v>7</v>
      </c>
      <c r="R410" s="24">
        <v>5</v>
      </c>
      <c r="S410" s="24">
        <v>0</v>
      </c>
      <c r="T410" s="24">
        <v>0</v>
      </c>
      <c r="U410" s="24">
        <v>9598517000000</v>
      </c>
      <c r="V410" s="109">
        <v>-3.5440045772981196E-2</v>
      </c>
      <c r="W410" s="109">
        <v>5.4835037537569603E-2</v>
      </c>
      <c r="X410" s="109">
        <v>0.39264106111391994</v>
      </c>
      <c r="Y410" s="109">
        <v>0.28500422721551671</v>
      </c>
      <c r="Z410" s="109">
        <v>1.2471569088892966</v>
      </c>
      <c r="AA410" s="109">
        <v>1.9796372347563029</v>
      </c>
      <c r="AD410" s="111"/>
    </row>
    <row r="411" spans="1:30" ht="15" customHeight="1" x14ac:dyDescent="0.3">
      <c r="A411" s="22" t="s">
        <v>153</v>
      </c>
      <c r="B411" s="23">
        <v>50</v>
      </c>
      <c r="C411" s="3" t="s">
        <v>39</v>
      </c>
      <c r="D411" s="23">
        <v>2022</v>
      </c>
      <c r="E411" s="25">
        <v>1.3525138625283764</v>
      </c>
      <c r="F411" s="25">
        <v>0.3753910659571037</v>
      </c>
      <c r="G411" s="25">
        <v>0.47688055881119801</v>
      </c>
      <c r="H411" s="25">
        <v>0.91160932143426943</v>
      </c>
      <c r="I411" s="25">
        <v>0.15347433410362324</v>
      </c>
      <c r="J411" s="25">
        <v>4.5625759395699329E-2</v>
      </c>
      <c r="K411" s="25">
        <v>8.7218626958336043E-2</v>
      </c>
      <c r="L411" s="25">
        <v>0.95</v>
      </c>
      <c r="M411" s="24">
        <v>4</v>
      </c>
      <c r="N411" s="108">
        <v>0</v>
      </c>
      <c r="O411" s="24">
        <v>8</v>
      </c>
      <c r="P411" s="24">
        <v>0</v>
      </c>
      <c r="Q411" s="24">
        <v>8</v>
      </c>
      <c r="R411" s="24">
        <v>4</v>
      </c>
      <c r="S411" s="24">
        <v>0</v>
      </c>
      <c r="T411" s="24">
        <v>0</v>
      </c>
      <c r="U411" s="24">
        <v>8650793000000</v>
      </c>
      <c r="V411" s="109">
        <v>-4.535153621118268E-2</v>
      </c>
      <c r="W411" s="109">
        <v>0.10774551650929573</v>
      </c>
      <c r="X411" s="109">
        <v>0.19930189752546384</v>
      </c>
      <c r="Y411" s="109">
        <v>0.33808366932372552</v>
      </c>
      <c r="Z411" s="109">
        <v>1.1518091964527033</v>
      </c>
      <c r="AA411" s="109">
        <v>1.7969402798111884</v>
      </c>
      <c r="AD411" s="111"/>
    </row>
    <row r="412" spans="1:30" ht="15" customHeight="1" x14ac:dyDescent="0.3">
      <c r="A412" s="22" t="s">
        <v>153</v>
      </c>
      <c r="B412" s="23">
        <v>50</v>
      </c>
      <c r="C412" s="3" t="s">
        <v>39</v>
      </c>
      <c r="D412" s="23">
        <v>2023</v>
      </c>
      <c r="E412" s="25">
        <v>1.372924288753812</v>
      </c>
      <c r="F412" s="25">
        <v>0.38935301598014727</v>
      </c>
      <c r="G412" s="25">
        <v>0.47189299025491199</v>
      </c>
      <c r="H412" s="25">
        <v>0.89355562707393332</v>
      </c>
      <c r="I412" s="25">
        <v>0.17686885367310246</v>
      </c>
      <c r="J412" s="25">
        <v>5.000661582505353E-2</v>
      </c>
      <c r="K412" s="25">
        <v>9.4690308786454513E-2</v>
      </c>
      <c r="L412" s="25">
        <v>0.95</v>
      </c>
      <c r="M412" s="24">
        <v>4</v>
      </c>
      <c r="N412" s="108">
        <v>0</v>
      </c>
      <c r="O412" s="24">
        <v>8</v>
      </c>
      <c r="P412" s="24">
        <v>0</v>
      </c>
      <c r="Q412" s="24">
        <v>8</v>
      </c>
      <c r="R412" s="24">
        <v>3</v>
      </c>
      <c r="S412" s="24">
        <v>0</v>
      </c>
      <c r="T412" s="24">
        <v>0</v>
      </c>
      <c r="U412" s="24">
        <v>8978472000000</v>
      </c>
      <c r="V412" s="109">
        <v>-1.2929283031574887E-2</v>
      </c>
      <c r="W412" s="109">
        <v>0.13241545777499777</v>
      </c>
      <c r="X412" s="109">
        <v>0.25624983404748602</v>
      </c>
      <c r="Y412" s="109">
        <v>0.32759288217416055</v>
      </c>
      <c r="Z412" s="109">
        <v>1.1750807316141745</v>
      </c>
      <c r="AA412" s="109">
        <v>1.8913389056108187</v>
      </c>
      <c r="AD412" s="111"/>
    </row>
    <row r="413" spans="1:30" ht="15" customHeight="1" x14ac:dyDescent="0.3">
      <c r="A413" s="22" t="s">
        <v>153</v>
      </c>
      <c r="B413" s="23">
        <v>50</v>
      </c>
      <c r="C413" s="3" t="s">
        <v>39</v>
      </c>
      <c r="D413" s="23">
        <v>2024</v>
      </c>
      <c r="E413" s="25">
        <v>1.224754654940402</v>
      </c>
      <c r="F413" s="25">
        <v>0.42297131682122141</v>
      </c>
      <c r="G413" s="25">
        <v>0.47567552589743139</v>
      </c>
      <c r="H413" s="25">
        <v>0.90721595003093358</v>
      </c>
      <c r="I413" s="25">
        <v>0.11968542752789985</v>
      </c>
      <c r="J413" s="25">
        <v>3.177295822131971E-2</v>
      </c>
      <c r="K413" s="25">
        <v>6.0597892699367426E-2</v>
      </c>
      <c r="L413" s="25">
        <v>0.95</v>
      </c>
      <c r="M413" s="24">
        <v>2</v>
      </c>
      <c r="N413" s="108">
        <v>0</v>
      </c>
      <c r="O413" s="24">
        <v>4</v>
      </c>
      <c r="P413" s="24">
        <v>0</v>
      </c>
      <c r="Q413" s="24">
        <v>4</v>
      </c>
      <c r="R413" s="24">
        <v>4</v>
      </c>
      <c r="S413" s="24">
        <v>0</v>
      </c>
      <c r="T413" s="24">
        <v>0</v>
      </c>
      <c r="U413" s="24">
        <v>8986258000000</v>
      </c>
      <c r="V413" s="109">
        <v>-6.0240503476845453E-2</v>
      </c>
      <c r="W413" s="109">
        <v>8.7420841912173003E-2</v>
      </c>
      <c r="X413" s="109">
        <v>0.27370770569907965</v>
      </c>
      <c r="Y413" s="109">
        <v>0.27065582136635735</v>
      </c>
      <c r="Z413" s="109">
        <v>1.1573870586867416</v>
      </c>
      <c r="AA413" s="109">
        <v>1.7891714276643516</v>
      </c>
      <c r="AD413" s="111"/>
    </row>
    <row r="414" spans="1:30" ht="15" customHeight="1" x14ac:dyDescent="0.3">
      <c r="A414" s="22" t="s">
        <v>153</v>
      </c>
      <c r="B414" s="23">
        <v>51</v>
      </c>
      <c r="C414" s="3" t="s">
        <v>48</v>
      </c>
      <c r="D414" s="23">
        <v>2019</v>
      </c>
      <c r="E414" s="25">
        <v>2.2279390241156469</v>
      </c>
      <c r="F414" s="25">
        <v>0.18423363581094773</v>
      </c>
      <c r="G414" s="25">
        <v>0.90358865750297568</v>
      </c>
      <c r="H414" s="25">
        <v>9.3722235797189981</v>
      </c>
      <c r="I414" s="25">
        <v>-5.6534779925661229E-2</v>
      </c>
      <c r="J414" s="25">
        <v>-2.3201151046596067E-2</v>
      </c>
      <c r="K414" s="25">
        <v>-0.24064752596212585</v>
      </c>
      <c r="L414" s="25">
        <v>0</v>
      </c>
      <c r="M414" s="24">
        <v>0</v>
      </c>
      <c r="N414" s="108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1697933000000</v>
      </c>
      <c r="V414" s="109">
        <v>0</v>
      </c>
      <c r="W414" s="109">
        <v>0.21069326057035229</v>
      </c>
      <c r="X414" s="109">
        <v>-0.45245132758477513</v>
      </c>
      <c r="Y414" s="109">
        <v>1.5158195288035511E-3</v>
      </c>
      <c r="Z414" s="109">
        <v>0.11203317879357308</v>
      </c>
      <c r="AA414" s="109">
        <v>-0.12820906869204621</v>
      </c>
      <c r="AD414" s="111"/>
    </row>
    <row r="415" spans="1:30" ht="15" customHeight="1" x14ac:dyDescent="0.3">
      <c r="A415" s="22" t="s">
        <v>153</v>
      </c>
      <c r="B415" s="23">
        <v>51</v>
      </c>
      <c r="C415" s="3" t="s">
        <v>48</v>
      </c>
      <c r="D415" s="23">
        <v>2020</v>
      </c>
      <c r="E415" s="25">
        <v>1.7728389126367827</v>
      </c>
      <c r="F415" s="25">
        <v>0.30657079252934227</v>
      </c>
      <c r="G415" s="25">
        <v>0.83169727247142666</v>
      </c>
      <c r="H415" s="25">
        <v>4.9416743548034665</v>
      </c>
      <c r="I415" s="25">
        <v>4.2482619392158284E-2</v>
      </c>
      <c r="J415" s="25">
        <v>1.1651027937235329E-2</v>
      </c>
      <c r="K415" s="25">
        <v>6.9226613901769887E-2</v>
      </c>
      <c r="L415" s="25">
        <v>0.71389999999999998</v>
      </c>
      <c r="M415" s="24">
        <v>2</v>
      </c>
      <c r="N415" s="108">
        <v>0</v>
      </c>
      <c r="O415" s="24">
        <v>4</v>
      </c>
      <c r="P415" s="24">
        <v>12</v>
      </c>
      <c r="Q415" s="24">
        <v>4</v>
      </c>
      <c r="R415" s="24">
        <v>4</v>
      </c>
      <c r="S415" s="24">
        <v>12</v>
      </c>
      <c r="T415" s="24">
        <v>10</v>
      </c>
      <c r="U415" s="24">
        <v>1957853000000</v>
      </c>
      <c r="V415" s="109">
        <v>-0.22941834933482586</v>
      </c>
      <c r="W415" s="109">
        <v>0.24776413755271717</v>
      </c>
      <c r="X415" s="109">
        <v>-0.36176894792407804</v>
      </c>
      <c r="Y415" s="109">
        <v>-6.0546322936400228E-3</v>
      </c>
      <c r="Z415" s="109">
        <v>0.2124785901724516</v>
      </c>
      <c r="AA415" s="109">
        <v>9.2419147507450713E-2</v>
      </c>
      <c r="AD415" s="111"/>
    </row>
    <row r="416" spans="1:30" ht="15" customHeight="1" x14ac:dyDescent="0.3">
      <c r="A416" s="22" t="s">
        <v>153</v>
      </c>
      <c r="B416" s="23">
        <v>51</v>
      </c>
      <c r="C416" s="3" t="s">
        <v>48</v>
      </c>
      <c r="D416" s="23">
        <v>2021</v>
      </c>
      <c r="E416" s="25">
        <v>3.4687029816062065</v>
      </c>
      <c r="F416" s="25">
        <v>0.57377735764832538</v>
      </c>
      <c r="G416" s="25">
        <v>0.83038426247992403</v>
      </c>
      <c r="H416" s="25">
        <v>4.8956793433253143</v>
      </c>
      <c r="I416" s="25">
        <v>4.7109872471028172E-2</v>
      </c>
      <c r="J416" s="25">
        <v>1.2717168701518414E-2</v>
      </c>
      <c r="K416" s="25">
        <v>7.4976348819125307E-2</v>
      </c>
      <c r="L416" s="25">
        <v>0.71389999999999998</v>
      </c>
      <c r="M416" s="24">
        <v>2</v>
      </c>
      <c r="N416" s="108">
        <v>0</v>
      </c>
      <c r="O416" s="24">
        <v>4</v>
      </c>
      <c r="P416" s="24">
        <v>12</v>
      </c>
      <c r="Q416" s="24">
        <v>4</v>
      </c>
      <c r="R416" s="24">
        <v>3</v>
      </c>
      <c r="S416" s="24">
        <v>12</v>
      </c>
      <c r="T416" s="24">
        <v>9</v>
      </c>
      <c r="U416" s="24">
        <v>2100153000000</v>
      </c>
      <c r="V416" s="109">
        <v>5.5835842882657381E-2</v>
      </c>
      <c r="W416" s="109">
        <v>0.58733867103968118</v>
      </c>
      <c r="X416" s="109">
        <v>-0.26126686008114641</v>
      </c>
      <c r="Y416" s="109">
        <v>0.15918200245410691</v>
      </c>
      <c r="Z416" s="109">
        <v>0.2144748310429179</v>
      </c>
      <c r="AA416" s="109">
        <v>0.6997286444555596</v>
      </c>
      <c r="AD416" s="111"/>
    </row>
    <row r="417" spans="1:30" ht="15" customHeight="1" x14ac:dyDescent="0.3">
      <c r="A417" s="22" t="s">
        <v>153</v>
      </c>
      <c r="B417" s="23">
        <v>51</v>
      </c>
      <c r="C417" s="3" t="s">
        <v>48</v>
      </c>
      <c r="D417" s="23">
        <v>2022</v>
      </c>
      <c r="E417" s="25">
        <v>2.0671088437006571</v>
      </c>
      <c r="F417" s="25">
        <v>0.59457773213094456</v>
      </c>
      <c r="G417" s="25">
        <v>0.82238698871843019</v>
      </c>
      <c r="H417" s="25">
        <v>4.6302071862782013</v>
      </c>
      <c r="I417" s="25">
        <v>8.3274504069304228E-2</v>
      </c>
      <c r="J417" s="25">
        <v>2.7784577620413996E-2</v>
      </c>
      <c r="K417" s="25">
        <v>0.15643286278911708</v>
      </c>
      <c r="L417" s="25">
        <v>0.71389999999999998</v>
      </c>
      <c r="M417" s="24">
        <v>2</v>
      </c>
      <c r="N417" s="108">
        <v>0</v>
      </c>
      <c r="O417" s="24">
        <v>4</v>
      </c>
      <c r="P417" s="24">
        <v>12</v>
      </c>
      <c r="Q417" s="24">
        <v>4</v>
      </c>
      <c r="R417" s="24">
        <v>4</v>
      </c>
      <c r="S417" s="24">
        <v>12</v>
      </c>
      <c r="T417" s="24">
        <v>10</v>
      </c>
      <c r="U417" s="24">
        <v>2377506000000</v>
      </c>
      <c r="V417" s="109">
        <v>0.39921330675744798</v>
      </c>
      <c r="W417" s="109">
        <v>0.61349572198766267</v>
      </c>
      <c r="X417" s="109">
        <v>-0.11975653478897633</v>
      </c>
      <c r="Y417" s="109">
        <v>0.20355259671268969</v>
      </c>
      <c r="Z417" s="109">
        <v>0.2267717097221299</v>
      </c>
      <c r="AA417" s="109">
        <v>0.92406349363350593</v>
      </c>
      <c r="AD417" s="111"/>
    </row>
    <row r="418" spans="1:30" ht="15" customHeight="1" x14ac:dyDescent="0.3">
      <c r="A418" s="22" t="s">
        <v>153</v>
      </c>
      <c r="B418" s="23">
        <v>51</v>
      </c>
      <c r="C418" s="3" t="s">
        <v>48</v>
      </c>
      <c r="D418" s="23">
        <v>2023</v>
      </c>
      <c r="E418" s="25">
        <v>1.9649803134001005</v>
      </c>
      <c r="F418" s="25">
        <v>0.17365827233570277</v>
      </c>
      <c r="G418" s="25">
        <v>0.80826809671224109</v>
      </c>
      <c r="H418" s="25">
        <v>4.5098560036604969</v>
      </c>
      <c r="I418" s="25">
        <v>8.7340405259480405E-2</v>
      </c>
      <c r="J418" s="25">
        <v>3.2489453089573246E-2</v>
      </c>
      <c r="K418" s="25">
        <v>0.18127989421784996</v>
      </c>
      <c r="L418" s="25">
        <v>0.71389999999999998</v>
      </c>
      <c r="M418" s="24">
        <v>2</v>
      </c>
      <c r="N418" s="108">
        <v>0</v>
      </c>
      <c r="O418" s="24">
        <v>4</v>
      </c>
      <c r="P418" s="24">
        <v>12</v>
      </c>
      <c r="Q418" s="24">
        <v>4</v>
      </c>
      <c r="R418" s="24">
        <v>3</v>
      </c>
      <c r="S418" s="24">
        <v>12</v>
      </c>
      <c r="T418" s="24">
        <v>7</v>
      </c>
      <c r="U418" s="24">
        <v>2877857000000</v>
      </c>
      <c r="V418" s="109">
        <v>0.34953155097471689</v>
      </c>
      <c r="W418" s="109">
        <v>0.33296503613626388</v>
      </c>
      <c r="X418" s="109">
        <v>3.5796080208293874E-4</v>
      </c>
      <c r="Y418" s="109">
        <v>0.21509972177213807</v>
      </c>
      <c r="Z418" s="109">
        <v>0.23282339816343378</v>
      </c>
      <c r="AA418" s="109">
        <v>0.78124611687391865</v>
      </c>
      <c r="AD418" s="111"/>
    </row>
    <row r="419" spans="1:30" ht="15" customHeight="1" x14ac:dyDescent="0.3">
      <c r="A419" s="22" t="s">
        <v>153</v>
      </c>
      <c r="B419" s="23">
        <v>51</v>
      </c>
      <c r="C419" s="3" t="s">
        <v>48</v>
      </c>
      <c r="D419" s="23">
        <v>2024</v>
      </c>
      <c r="E419" s="25">
        <v>1.886632984031936</v>
      </c>
      <c r="F419" s="25">
        <v>5.3985778443113773E-2</v>
      </c>
      <c r="G419" s="25">
        <v>0.80523070653937945</v>
      </c>
      <c r="H419" s="25">
        <v>4.1342727265227328</v>
      </c>
      <c r="I419" s="25">
        <v>6.6072695216605706E-2</v>
      </c>
      <c r="J419" s="25">
        <v>2.9096937945857285E-2</v>
      </c>
      <c r="K419" s="25">
        <v>0.14939156691113989</v>
      </c>
      <c r="L419" s="25">
        <v>0.71389999999999998</v>
      </c>
      <c r="M419" s="24">
        <v>2</v>
      </c>
      <c r="N419" s="108">
        <v>0</v>
      </c>
      <c r="O419" s="24">
        <v>3</v>
      </c>
      <c r="P419" s="24">
        <v>0</v>
      </c>
      <c r="Q419" s="24">
        <v>3</v>
      </c>
      <c r="R419" s="24">
        <v>3</v>
      </c>
      <c r="S419" s="24">
        <v>0</v>
      </c>
      <c r="T419" s="24">
        <v>0</v>
      </c>
      <c r="U419" s="24">
        <v>3111702000000</v>
      </c>
      <c r="V419" s="109">
        <v>0.2800497700191682</v>
      </c>
      <c r="W419" s="109">
        <v>0.23973277646766944</v>
      </c>
      <c r="X419" s="109">
        <v>0.10178418113302623</v>
      </c>
      <c r="Y419" s="109">
        <v>0.22277464872921637</v>
      </c>
      <c r="Z419" s="109">
        <v>0.2539745366250033</v>
      </c>
      <c r="AA419" s="109">
        <v>0.8182661429549154</v>
      </c>
      <c r="AD419" s="111"/>
    </row>
    <row r="420" spans="1:30" ht="15" customHeight="1" x14ac:dyDescent="0.3">
      <c r="A420" s="22" t="s">
        <v>153</v>
      </c>
      <c r="B420" s="23">
        <v>52</v>
      </c>
      <c r="C420" s="3" t="s">
        <v>37</v>
      </c>
      <c r="D420" s="23">
        <v>2015</v>
      </c>
      <c r="E420" s="25">
        <v>1.0197289517869992</v>
      </c>
      <c r="F420" s="25">
        <v>0.63894219237227157</v>
      </c>
      <c r="G420" s="25">
        <v>0.389758276517985</v>
      </c>
      <c r="H420" s="25">
        <v>0.63869489993905981</v>
      </c>
      <c r="I420" s="25">
        <v>0.18622677482147951</v>
      </c>
      <c r="J420" s="25">
        <v>0.15907585116159781</v>
      </c>
      <c r="K420" s="25">
        <v>0.2606767860019753</v>
      </c>
      <c r="L420" s="25">
        <v>0</v>
      </c>
      <c r="M420" s="24">
        <v>0</v>
      </c>
      <c r="N420" s="108">
        <v>0</v>
      </c>
      <c r="O420" s="24">
        <v>0</v>
      </c>
      <c r="P420" s="24">
        <v>0</v>
      </c>
      <c r="Q420" s="24">
        <v>0</v>
      </c>
      <c r="R420" s="24">
        <v>0</v>
      </c>
      <c r="S420" s="24">
        <v>0</v>
      </c>
      <c r="T420" s="24">
        <v>0</v>
      </c>
      <c r="U420" s="24">
        <v>233945000000</v>
      </c>
      <c r="V420" s="109">
        <v>3.1686066498451351</v>
      </c>
      <c r="W420" s="109">
        <v>9.2254162303105434E-3</v>
      </c>
      <c r="X420" s="109">
        <v>0.59818341917972173</v>
      </c>
      <c r="Y420" s="109">
        <v>1.330815362585223</v>
      </c>
      <c r="Z420" s="109">
        <v>1.6439774297558729</v>
      </c>
      <c r="AA420" s="109">
        <v>3.5822016277511279</v>
      </c>
      <c r="AD420" s="111"/>
    </row>
    <row r="421" spans="1:30" ht="15" customHeight="1" x14ac:dyDescent="0.3">
      <c r="A421" s="22" t="s">
        <v>153</v>
      </c>
      <c r="B421" s="23">
        <v>52</v>
      </c>
      <c r="C421" s="3" t="s">
        <v>37</v>
      </c>
      <c r="D421" s="23">
        <v>2016</v>
      </c>
      <c r="E421" s="25">
        <v>2.773034419652284</v>
      </c>
      <c r="F421" s="25">
        <v>2.2940803829098333</v>
      </c>
      <c r="G421" s="25">
        <v>0.48890374584215301</v>
      </c>
      <c r="H421" s="25">
        <v>0.95657861286371304</v>
      </c>
      <c r="I421" s="25">
        <v>0.20063258350374916</v>
      </c>
      <c r="J421" s="25">
        <v>0.17383107801632899</v>
      </c>
      <c r="K421" s="25">
        <v>0.34011416949779288</v>
      </c>
      <c r="L421" s="25">
        <v>0.99990000000000001</v>
      </c>
      <c r="M421" s="24">
        <v>2</v>
      </c>
      <c r="N421" s="108">
        <v>0</v>
      </c>
      <c r="O421" s="24">
        <v>3</v>
      </c>
      <c r="P421" s="24">
        <v>0</v>
      </c>
      <c r="Q421" s="24">
        <v>3</v>
      </c>
      <c r="R421" s="24">
        <v>4</v>
      </c>
      <c r="S421" s="24">
        <v>0</v>
      </c>
      <c r="T421" s="24">
        <v>0</v>
      </c>
      <c r="U421" s="24">
        <v>423296000000</v>
      </c>
      <c r="V421" s="109">
        <v>0.83524572526609187</v>
      </c>
      <c r="W421" s="109">
        <v>0.78074501058361045</v>
      </c>
      <c r="X421" s="109">
        <v>0.89876885205624435</v>
      </c>
      <c r="Y421" s="109">
        <v>1.5003220441487752</v>
      </c>
      <c r="Z421" s="109">
        <v>1.0976620069485046</v>
      </c>
      <c r="AA421" s="109">
        <v>4.2774979137371343</v>
      </c>
      <c r="AD421" s="111"/>
    </row>
    <row r="422" spans="1:30" ht="15" customHeight="1" x14ac:dyDescent="0.3">
      <c r="A422" s="22" t="s">
        <v>153</v>
      </c>
      <c r="B422" s="23">
        <v>52</v>
      </c>
      <c r="C422" s="3" t="s">
        <v>37</v>
      </c>
      <c r="D422" s="23">
        <v>2017</v>
      </c>
      <c r="E422" s="25">
        <v>1.6816467414908451</v>
      </c>
      <c r="F422" s="25">
        <v>1.3861293345829429</v>
      </c>
      <c r="G422" s="25">
        <v>0.59111596872238081</v>
      </c>
      <c r="H422" s="25">
        <v>1.4456812286734471</v>
      </c>
      <c r="I422" s="25">
        <v>0.14149889329107668</v>
      </c>
      <c r="J422" s="25">
        <v>0.11705493823412337</v>
      </c>
      <c r="K422" s="25">
        <v>0.28627906516272533</v>
      </c>
      <c r="L422" s="25">
        <v>0.51</v>
      </c>
      <c r="M422" s="24">
        <v>2</v>
      </c>
      <c r="N422" s="108">
        <v>0</v>
      </c>
      <c r="O422" s="24">
        <v>4</v>
      </c>
      <c r="P422" s="24">
        <v>0</v>
      </c>
      <c r="Q422" s="24">
        <v>4</v>
      </c>
      <c r="R422" s="24">
        <v>4</v>
      </c>
      <c r="S422" s="24">
        <v>0</v>
      </c>
      <c r="T422" s="24">
        <v>0</v>
      </c>
      <c r="U422" s="24">
        <v>741105000000</v>
      </c>
      <c r="V422" s="109">
        <v>0.67165371506475802</v>
      </c>
      <c r="W422" s="109">
        <v>0.26395611957819737</v>
      </c>
      <c r="X422" s="109">
        <v>0.38427359146139883</v>
      </c>
      <c r="Y422" s="109">
        <v>0.98569611593498896</v>
      </c>
      <c r="Z422" s="109">
        <v>0.72630119225071277</v>
      </c>
      <c r="AA422" s="109">
        <v>2.3602270192252979</v>
      </c>
      <c r="AD422" s="111"/>
    </row>
    <row r="423" spans="1:30" ht="15" customHeight="1" x14ac:dyDescent="0.3">
      <c r="A423" s="22" t="s">
        <v>153</v>
      </c>
      <c r="B423" s="23">
        <v>52</v>
      </c>
      <c r="C423" s="3" t="s">
        <v>37</v>
      </c>
      <c r="D423" s="23">
        <v>2018</v>
      </c>
      <c r="E423" s="25">
        <v>1.1239653613410308</v>
      </c>
      <c r="F423" s="25">
        <v>0.79524587883424913</v>
      </c>
      <c r="G423" s="25">
        <v>0.72802708463652455</v>
      </c>
      <c r="H423" s="25">
        <v>2.6768367124482233</v>
      </c>
      <c r="I423" s="25">
        <v>8.1516300933144062E-2</v>
      </c>
      <c r="J423" s="25">
        <v>5.8848408846778312E-2</v>
      </c>
      <c r="K423" s="25">
        <v>0.21637599011699732</v>
      </c>
      <c r="L423" s="25">
        <v>0.51</v>
      </c>
      <c r="M423" s="24">
        <v>2</v>
      </c>
      <c r="N423" s="108">
        <v>0</v>
      </c>
      <c r="O423" s="24">
        <v>4</v>
      </c>
      <c r="P423" s="24">
        <v>0</v>
      </c>
      <c r="Q423" s="24">
        <v>4</v>
      </c>
      <c r="R423" s="24">
        <v>3</v>
      </c>
      <c r="S423" s="24">
        <v>0</v>
      </c>
      <c r="T423" s="24">
        <v>0</v>
      </c>
      <c r="U423" s="24">
        <v>1011939000000</v>
      </c>
      <c r="V423" s="109">
        <v>0.19159357929402246</v>
      </c>
      <c r="W423" s="109">
        <v>4.6214485260475183E-2</v>
      </c>
      <c r="X423" s="109">
        <v>0.19343725264072242</v>
      </c>
      <c r="Y423" s="109">
        <v>0.58302834459389352</v>
      </c>
      <c r="Z423" s="109">
        <v>0.39225403444189716</v>
      </c>
      <c r="AA423" s="109">
        <v>1.2149341169369883</v>
      </c>
      <c r="AD423" s="111"/>
    </row>
    <row r="424" spans="1:30" ht="15" customHeight="1" x14ac:dyDescent="0.3">
      <c r="A424" s="22" t="s">
        <v>153</v>
      </c>
      <c r="B424" s="23">
        <v>52</v>
      </c>
      <c r="C424" s="3" t="s">
        <v>37</v>
      </c>
      <c r="D424" s="23">
        <v>2019</v>
      </c>
      <c r="E424" s="25">
        <v>0.76513177263359899</v>
      </c>
      <c r="F424" s="25">
        <v>0.48213409514671085</v>
      </c>
      <c r="G424" s="25">
        <v>0.79864476687414254</v>
      </c>
      <c r="H424" s="25">
        <v>3.9663472087410234</v>
      </c>
      <c r="I424" s="25">
        <v>6.823378180635721E-2</v>
      </c>
      <c r="J424" s="25">
        <v>4.0225667507353513E-2</v>
      </c>
      <c r="K424" s="25">
        <v>0.19977463154488961</v>
      </c>
      <c r="L424" s="25">
        <v>0.51</v>
      </c>
      <c r="M424" s="24">
        <v>3</v>
      </c>
      <c r="N424" s="108">
        <v>0</v>
      </c>
      <c r="O424" s="24">
        <v>5</v>
      </c>
      <c r="P424" s="24">
        <v>0</v>
      </c>
      <c r="Q424" s="24">
        <v>5</v>
      </c>
      <c r="R424" s="24">
        <v>4</v>
      </c>
      <c r="S424" s="24">
        <v>0</v>
      </c>
      <c r="T424" s="24">
        <v>0</v>
      </c>
      <c r="U424" s="24">
        <v>1335416000000</v>
      </c>
      <c r="V424" s="109">
        <v>7.7645197189480125E-2</v>
      </c>
      <c r="W424" s="109">
        <v>-0.10581152240200806</v>
      </c>
      <c r="X424" s="109">
        <v>0.13410904167690069</v>
      </c>
      <c r="Y424" s="109">
        <v>0.35647678326454074</v>
      </c>
      <c r="Z424" s="109">
        <v>0.26472720232006247</v>
      </c>
      <c r="AA424" s="109">
        <v>0.64950150485949587</v>
      </c>
      <c r="AD424" s="111"/>
    </row>
    <row r="425" spans="1:30" ht="15" customHeight="1" x14ac:dyDescent="0.3">
      <c r="A425" s="22" t="s">
        <v>153</v>
      </c>
      <c r="B425" s="23">
        <v>52</v>
      </c>
      <c r="C425" s="3" t="s">
        <v>37</v>
      </c>
      <c r="D425" s="23">
        <v>2020</v>
      </c>
      <c r="E425" s="25">
        <v>0.57453690555082204</v>
      </c>
      <c r="F425" s="25">
        <v>0.37694468111963142</v>
      </c>
      <c r="G425" s="25">
        <v>0.81997784436085031</v>
      </c>
      <c r="H425" s="25">
        <v>4.5548718236908412</v>
      </c>
      <c r="I425" s="25">
        <v>5.8629443940092063E-2</v>
      </c>
      <c r="J425" s="25">
        <v>2.8892819425920525E-2</v>
      </c>
      <c r="K425" s="25">
        <v>0.16049590853603329</v>
      </c>
      <c r="L425" s="25">
        <v>0.51</v>
      </c>
      <c r="M425" s="24">
        <v>2</v>
      </c>
      <c r="N425" s="108">
        <v>0</v>
      </c>
      <c r="O425" s="24">
        <v>4</v>
      </c>
      <c r="P425" s="24">
        <v>0</v>
      </c>
      <c r="Q425" s="24">
        <v>4</v>
      </c>
      <c r="R425" s="24">
        <v>3</v>
      </c>
      <c r="S425" s="24">
        <v>0</v>
      </c>
      <c r="T425" s="24">
        <v>0</v>
      </c>
      <c r="U425" s="24">
        <v>1779231000000</v>
      </c>
      <c r="V425" s="109">
        <v>0.11374583367205918</v>
      </c>
      <c r="W425" s="109">
        <v>-0.19883916141299246</v>
      </c>
      <c r="X425" s="109">
        <v>0.19297647129574516</v>
      </c>
      <c r="Y425" s="109">
        <v>0.22820483680871118</v>
      </c>
      <c r="Z425" s="109">
        <v>0.23052240340523536</v>
      </c>
      <c r="AA425" s="109">
        <v>0.45286455009669924</v>
      </c>
      <c r="AD425" s="111"/>
    </row>
    <row r="426" spans="1:30" ht="15" customHeight="1" x14ac:dyDescent="0.3">
      <c r="A426" s="22" t="s">
        <v>153</v>
      </c>
      <c r="B426" s="23">
        <v>52</v>
      </c>
      <c r="C426" s="3" t="s">
        <v>37</v>
      </c>
      <c r="D426" s="23">
        <v>2021</v>
      </c>
      <c r="E426" s="25">
        <v>0.90021341489756945</v>
      </c>
      <c r="F426" s="25">
        <v>0.51495200324874502</v>
      </c>
      <c r="G426" s="25">
        <v>0.82304623282732625</v>
      </c>
      <c r="H426" s="25">
        <v>4.6511936195412416</v>
      </c>
      <c r="I426" s="25">
        <v>4.8744713793113993E-2</v>
      </c>
      <c r="J426" s="25">
        <v>2.2988069257909766E-2</v>
      </c>
      <c r="K426" s="25">
        <v>0.12991003031587184</v>
      </c>
      <c r="L426" s="25">
        <v>0.51</v>
      </c>
      <c r="M426" s="24">
        <v>2</v>
      </c>
      <c r="N426" s="108">
        <v>0</v>
      </c>
      <c r="O426" s="24">
        <v>4</v>
      </c>
      <c r="P426" s="24">
        <v>0</v>
      </c>
      <c r="Q426" s="24">
        <v>4</v>
      </c>
      <c r="R426" s="24">
        <v>3</v>
      </c>
      <c r="S426" s="24">
        <v>0</v>
      </c>
      <c r="T426" s="24">
        <v>0</v>
      </c>
      <c r="U426" s="24">
        <v>2080340000000</v>
      </c>
      <c r="V426" s="109">
        <v>0.11892971355319042</v>
      </c>
      <c r="W426" s="109">
        <v>-3.6417816318486396E-2</v>
      </c>
      <c r="X426" s="109">
        <v>0.23889230606535472</v>
      </c>
      <c r="Y426" s="109">
        <v>0.18300285530249863</v>
      </c>
      <c r="Z426" s="109">
        <v>0.22574850369345925</v>
      </c>
      <c r="AA426" s="109">
        <v>0.61122584874282615</v>
      </c>
      <c r="AD426" s="111"/>
    </row>
    <row r="427" spans="1:30" ht="15" customHeight="1" x14ac:dyDescent="0.3">
      <c r="A427" s="22" t="s">
        <v>153</v>
      </c>
      <c r="B427" s="23">
        <v>52</v>
      </c>
      <c r="C427" s="3" t="s">
        <v>37</v>
      </c>
      <c r="D427" s="23">
        <v>2022</v>
      </c>
      <c r="E427" s="25">
        <v>0.60446310610317233</v>
      </c>
      <c r="F427" s="25">
        <v>0.2423425612367314</v>
      </c>
      <c r="G427" s="25">
        <v>0.78527740448256245</v>
      </c>
      <c r="H427" s="25">
        <v>3.6571717223807059</v>
      </c>
      <c r="I427" s="25">
        <v>0.10806321686177131</v>
      </c>
      <c r="J427" s="25">
        <v>2.9438647882786981E-2</v>
      </c>
      <c r="K427" s="25">
        <v>0.13710083846483814</v>
      </c>
      <c r="L427" s="25">
        <v>0.51</v>
      </c>
      <c r="M427" s="24">
        <v>2</v>
      </c>
      <c r="N427" s="108">
        <v>0</v>
      </c>
      <c r="O427" s="24">
        <v>3</v>
      </c>
      <c r="P427" s="24">
        <v>0</v>
      </c>
      <c r="Q427" s="24">
        <v>3</v>
      </c>
      <c r="R427" s="24">
        <v>4</v>
      </c>
      <c r="S427" s="24">
        <v>0</v>
      </c>
      <c r="T427" s="24">
        <v>0</v>
      </c>
      <c r="U427" s="24">
        <v>1986810000000</v>
      </c>
      <c r="V427" s="109">
        <v>-0.44832028833207116</v>
      </c>
      <c r="W427" s="109">
        <v>-0.17199937588395467</v>
      </c>
      <c r="X427" s="109">
        <v>0.35151148826510836</v>
      </c>
      <c r="Y427" s="109">
        <v>0.25324680266356625</v>
      </c>
      <c r="Z427" s="109">
        <v>0.28710710890996455</v>
      </c>
      <c r="AA427" s="109">
        <v>0.71986602395468458</v>
      </c>
      <c r="AD427" s="111"/>
    </row>
    <row r="428" spans="1:30" ht="15" customHeight="1" x14ac:dyDescent="0.3">
      <c r="A428" s="22" t="s">
        <v>153</v>
      </c>
      <c r="B428" s="23">
        <v>52</v>
      </c>
      <c r="C428" s="3" t="s">
        <v>37</v>
      </c>
      <c r="D428" s="23">
        <v>2023</v>
      </c>
      <c r="E428" s="25">
        <v>0.67665124183730962</v>
      </c>
      <c r="F428" s="25">
        <v>0.31732660921610462</v>
      </c>
      <c r="G428" s="25">
        <v>0.78178107834838118</v>
      </c>
      <c r="H428" s="25">
        <v>3.5825540353300593</v>
      </c>
      <c r="I428" s="25">
        <v>5.5735708155244201E-2</v>
      </c>
      <c r="J428" s="25">
        <v>2.0986198290979214E-2</v>
      </c>
      <c r="K428" s="25">
        <v>9.6170387664563581E-2</v>
      </c>
      <c r="L428" s="25">
        <v>0.51</v>
      </c>
      <c r="M428" s="24">
        <v>2</v>
      </c>
      <c r="N428" s="108">
        <v>0</v>
      </c>
      <c r="O428" s="24">
        <v>3</v>
      </c>
      <c r="P428" s="24">
        <v>0</v>
      </c>
      <c r="Q428" s="24">
        <v>3</v>
      </c>
      <c r="R428" s="24">
        <v>4</v>
      </c>
      <c r="S428" s="24">
        <v>0</v>
      </c>
      <c r="T428" s="24">
        <v>0</v>
      </c>
      <c r="U428" s="24">
        <v>2162993000000</v>
      </c>
      <c r="V428" s="109">
        <v>0.50473165720704738</v>
      </c>
      <c r="W428" s="109">
        <v>-0.10617347351563321</v>
      </c>
      <c r="X428" s="109">
        <v>0.38253955514419136</v>
      </c>
      <c r="Y428" s="109">
        <v>0.13938996566331929</v>
      </c>
      <c r="Z428" s="109">
        <v>0.29308699593787535</v>
      </c>
      <c r="AA428" s="109">
        <v>0.70884304322975278</v>
      </c>
      <c r="AD428" s="111"/>
    </row>
    <row r="429" spans="1:30" ht="15" customHeight="1" x14ac:dyDescent="0.3">
      <c r="A429" s="22" t="s">
        <v>153</v>
      </c>
      <c r="B429" s="23">
        <v>52</v>
      </c>
      <c r="C429" s="3" t="s">
        <v>37</v>
      </c>
      <c r="D429" s="23">
        <v>2024</v>
      </c>
      <c r="E429" s="25">
        <v>0.77962111787361155</v>
      </c>
      <c r="F429" s="25">
        <v>0.36325305243710748</v>
      </c>
      <c r="G429" s="25">
        <v>0.75318222792179212</v>
      </c>
      <c r="H429" s="25">
        <v>3.0515721034996424</v>
      </c>
      <c r="I429" s="25">
        <v>5.7768600514114053E-2</v>
      </c>
      <c r="J429" s="25">
        <v>1.4188249105595211E-2</v>
      </c>
      <c r="K429" s="25">
        <v>5.7484714273733313E-2</v>
      </c>
      <c r="L429" s="25">
        <v>0.51</v>
      </c>
      <c r="M429" s="24">
        <v>2</v>
      </c>
      <c r="N429" s="108">
        <v>0</v>
      </c>
      <c r="O429" s="24">
        <v>3</v>
      </c>
      <c r="P429" s="24">
        <v>0</v>
      </c>
      <c r="Q429" s="24">
        <v>3</v>
      </c>
      <c r="R429" s="24">
        <v>3</v>
      </c>
      <c r="S429" s="24">
        <v>0</v>
      </c>
      <c r="T429" s="24">
        <v>0</v>
      </c>
      <c r="U429" s="24">
        <v>2029003000000</v>
      </c>
      <c r="V429" s="109">
        <v>-0.38812277989718003</v>
      </c>
      <c r="W429" s="109">
        <v>-9.5645240544247598E-2</v>
      </c>
      <c r="X429" s="109">
        <v>0.47430921491983996</v>
      </c>
      <c r="Y429" s="109">
        <v>0.14315665378513487</v>
      </c>
      <c r="Z429" s="109">
        <v>0.34408493864386352</v>
      </c>
      <c r="AA429" s="109">
        <v>0.86590556680459074</v>
      </c>
      <c r="AD429" s="111"/>
    </row>
    <row r="430" spans="1:30" ht="15" customHeight="1" x14ac:dyDescent="0.3">
      <c r="A430" s="22" t="s">
        <v>153</v>
      </c>
      <c r="B430" s="23">
        <v>53</v>
      </c>
      <c r="C430" s="3" t="s">
        <v>43</v>
      </c>
      <c r="D430" s="23">
        <v>2016</v>
      </c>
      <c r="E430" s="25">
        <v>1.0066416724848135</v>
      </c>
      <c r="F430" s="25">
        <v>0.22210101545242109</v>
      </c>
      <c r="G430" s="25">
        <v>0.89180135111330494</v>
      </c>
      <c r="H430" s="25">
        <v>8.2673970492928213</v>
      </c>
      <c r="I430" s="25">
        <v>0.16954628616957371</v>
      </c>
      <c r="J430" s="25">
        <v>8.1375582459592199E-2</v>
      </c>
      <c r="K430" s="25">
        <v>0.75438801418169343</v>
      </c>
      <c r="L430" s="25">
        <v>0</v>
      </c>
      <c r="M430" s="24">
        <v>0</v>
      </c>
      <c r="N430" s="108">
        <v>0</v>
      </c>
      <c r="O430" s="24">
        <v>0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60793273000000</v>
      </c>
      <c r="V430" s="109">
        <v>0</v>
      </c>
      <c r="W430" s="109">
        <v>2.1536014354746123E-3</v>
      </c>
      <c r="X430" s="109">
        <v>0.34621223634397835</v>
      </c>
      <c r="Y430" s="109">
        <v>0.70419100218538977</v>
      </c>
      <c r="Z430" s="109">
        <v>0.12700490780103699</v>
      </c>
      <c r="AA430" s="109">
        <v>1.1795617477658795</v>
      </c>
      <c r="AD430" s="111"/>
    </row>
    <row r="431" spans="1:30" ht="15" customHeight="1" x14ac:dyDescent="0.3">
      <c r="A431" s="22" t="s">
        <v>153</v>
      </c>
      <c r="B431" s="23">
        <v>53</v>
      </c>
      <c r="C431" s="3" t="s">
        <v>43</v>
      </c>
      <c r="D431" s="23">
        <v>2017</v>
      </c>
      <c r="E431" s="25">
        <v>0.83564946202719026</v>
      </c>
      <c r="F431" s="25">
        <v>0.25489988886900578</v>
      </c>
      <c r="G431" s="25">
        <v>0.91241745729259838</v>
      </c>
      <c r="H431" s="25">
        <v>10.417800500960901</v>
      </c>
      <c r="I431" s="25">
        <v>0.15316622947088304</v>
      </c>
      <c r="J431" s="25">
        <v>7.5959414084915924E-2</v>
      </c>
      <c r="K431" s="25">
        <v>0.86728943619144971</v>
      </c>
      <c r="L431" s="25">
        <v>0.94599999999999995</v>
      </c>
      <c r="M431" s="24">
        <v>3</v>
      </c>
      <c r="N431" s="108">
        <v>0</v>
      </c>
      <c r="O431" s="24">
        <v>6</v>
      </c>
      <c r="P431" s="24">
        <v>0</v>
      </c>
      <c r="Q431" s="24">
        <v>6</v>
      </c>
      <c r="R431" s="24">
        <v>7</v>
      </c>
      <c r="S431" s="24">
        <v>0</v>
      </c>
      <c r="T431" s="24">
        <v>0</v>
      </c>
      <c r="U431" s="24">
        <v>71757702000000</v>
      </c>
      <c r="V431" s="109">
        <v>0.21962341173564329</v>
      </c>
      <c r="W431" s="109">
        <v>-4.5926864268869695E-2</v>
      </c>
      <c r="X431" s="109">
        <v>0.27999926363305222</v>
      </c>
      <c r="Y431" s="109">
        <v>0.63493110189063739</v>
      </c>
      <c r="Z431" s="109">
        <v>0.10078902930644063</v>
      </c>
      <c r="AA431" s="109">
        <v>0.96979253056126058</v>
      </c>
      <c r="AD431" s="111"/>
    </row>
    <row r="432" spans="1:30" ht="15" customHeight="1" x14ac:dyDescent="0.3">
      <c r="A432" s="22" t="s">
        <v>153</v>
      </c>
      <c r="B432" s="23">
        <v>53</v>
      </c>
      <c r="C432" s="3" t="s">
        <v>43</v>
      </c>
      <c r="D432" s="23">
        <v>2018</v>
      </c>
      <c r="E432" s="25">
        <v>0.58060770629193448</v>
      </c>
      <c r="F432" s="25">
        <v>0.15017727055149521</v>
      </c>
      <c r="G432" s="25">
        <v>0.94698871059754175</v>
      </c>
      <c r="H432" s="25">
        <v>11.475347199125681</v>
      </c>
      <c r="I432" s="25">
        <v>0.21078929654629422</v>
      </c>
      <c r="J432" s="25">
        <v>6.8519070510881394E-2</v>
      </c>
      <c r="K432" s="25">
        <v>0.83029513982020098</v>
      </c>
      <c r="L432" s="25">
        <v>0.94599999999999995</v>
      </c>
      <c r="M432" s="24">
        <v>3</v>
      </c>
      <c r="N432" s="108">
        <v>0</v>
      </c>
      <c r="O432" s="24">
        <v>6</v>
      </c>
      <c r="P432" s="24">
        <v>0</v>
      </c>
      <c r="Q432" s="24">
        <v>6</v>
      </c>
      <c r="R432" s="24">
        <v>7</v>
      </c>
      <c r="S432" s="24">
        <v>0</v>
      </c>
      <c r="T432" s="24">
        <v>0</v>
      </c>
      <c r="U432" s="24">
        <v>67767980000000</v>
      </c>
      <c r="V432" s="109">
        <v>-0.38098618442590126</v>
      </c>
      <c r="W432" s="109">
        <v>-0.13010318796576198</v>
      </c>
      <c r="X432" s="109">
        <v>0.26318263699168842</v>
      </c>
      <c r="Y432" s="109">
        <v>0.59418608965473074</v>
      </c>
      <c r="Z432" s="109">
        <v>9.1500499442840444E-2</v>
      </c>
      <c r="AA432" s="109">
        <v>0.81876603812349769</v>
      </c>
      <c r="AD432" s="111"/>
    </row>
    <row r="433" spans="1:30" ht="15" customHeight="1" x14ac:dyDescent="0.3">
      <c r="A433" s="22" t="s">
        <v>153</v>
      </c>
      <c r="B433" s="23">
        <v>53</v>
      </c>
      <c r="C433" s="3" t="s">
        <v>43</v>
      </c>
      <c r="D433" s="23">
        <v>2019</v>
      </c>
      <c r="E433" s="25">
        <v>0.3210470893545222</v>
      </c>
      <c r="F433" s="25">
        <v>0.10021759151540065</v>
      </c>
      <c r="G433" s="25">
        <v>0.92403245093737729</v>
      </c>
      <c r="H433" s="25">
        <v>12.163515373856082</v>
      </c>
      <c r="I433" s="25">
        <v>0.1483186333793618</v>
      </c>
      <c r="J433" s="25">
        <v>5.7104475140742073E-2</v>
      </c>
      <c r="K433" s="25">
        <v>0.75169563643114068</v>
      </c>
      <c r="L433" s="25">
        <v>0.94599999999999995</v>
      </c>
      <c r="M433" s="24">
        <v>3</v>
      </c>
      <c r="N433" s="108">
        <v>0</v>
      </c>
      <c r="O433" s="24">
        <v>6</v>
      </c>
      <c r="P433" s="24">
        <v>0</v>
      </c>
      <c r="Q433" s="24">
        <v>6</v>
      </c>
      <c r="R433" s="24">
        <v>5</v>
      </c>
      <c r="S433" s="24">
        <v>0</v>
      </c>
      <c r="T433" s="24">
        <v>0</v>
      </c>
      <c r="U433" s="24">
        <v>71619133000000</v>
      </c>
      <c r="V433" s="109">
        <v>0.2517455013539654</v>
      </c>
      <c r="W433" s="109">
        <v>-0.27503183318345947</v>
      </c>
      <c r="X433" s="109">
        <v>0.2421237045692804</v>
      </c>
      <c r="Y433" s="109">
        <v>0.49226434952793963</v>
      </c>
      <c r="Z433" s="109">
        <v>8.6323728603725905E-2</v>
      </c>
      <c r="AA433" s="109">
        <v>0.54567994951748644</v>
      </c>
      <c r="AD433" s="111"/>
    </row>
    <row r="434" spans="1:30" ht="15" customHeight="1" x14ac:dyDescent="0.3">
      <c r="A434" s="22" t="s">
        <v>153</v>
      </c>
      <c r="B434" s="23">
        <v>53</v>
      </c>
      <c r="C434" s="3" t="s">
        <v>43</v>
      </c>
      <c r="D434" s="23">
        <v>2020</v>
      </c>
      <c r="E434" s="25">
        <v>0.39401427640083236</v>
      </c>
      <c r="F434" s="25">
        <v>0.16419759557043298</v>
      </c>
      <c r="G434" s="25">
        <v>0.92029569277633427</v>
      </c>
      <c r="H434" s="25">
        <v>11.546373399793888</v>
      </c>
      <c r="I434" s="25">
        <v>0.21280467890792693</v>
      </c>
      <c r="J434" s="25">
        <v>6.4195760656503273E-2</v>
      </c>
      <c r="K434" s="25">
        <v>0.80542398388028758</v>
      </c>
      <c r="L434" s="25">
        <v>0.94599999999999995</v>
      </c>
      <c r="M434" s="24">
        <v>4</v>
      </c>
      <c r="N434" s="108">
        <v>0</v>
      </c>
      <c r="O434" s="24">
        <v>7</v>
      </c>
      <c r="P434" s="24">
        <v>0</v>
      </c>
      <c r="Q434" s="24">
        <v>7</v>
      </c>
      <c r="R434" s="24">
        <v>8</v>
      </c>
      <c r="S434" s="24">
        <v>0</v>
      </c>
      <c r="T434" s="24">
        <v>0</v>
      </c>
      <c r="U434" s="24">
        <v>67396709000000</v>
      </c>
      <c r="V434" s="109">
        <v>-0.26267259045726599</v>
      </c>
      <c r="W434" s="109">
        <v>-0.22057305617103645</v>
      </c>
      <c r="X434" s="109">
        <v>0.24283387605765736</v>
      </c>
      <c r="Y434" s="109">
        <v>0.55101625570471102</v>
      </c>
      <c r="Z434" s="109">
        <v>9.0937644543761548E-2</v>
      </c>
      <c r="AA434" s="109">
        <v>0.66421472013509342</v>
      </c>
      <c r="AD434" s="111"/>
    </row>
    <row r="435" spans="1:30" ht="15" customHeight="1" x14ac:dyDescent="0.3">
      <c r="A435" s="22" t="s">
        <v>153</v>
      </c>
      <c r="B435" s="23">
        <v>53</v>
      </c>
      <c r="C435" s="3" t="s">
        <v>43</v>
      </c>
      <c r="D435" s="23">
        <v>2021</v>
      </c>
      <c r="E435" s="25">
        <v>0.60546271381608385</v>
      </c>
      <c r="F435" s="25">
        <v>0.2814934361122215</v>
      </c>
      <c r="G435" s="25">
        <v>0.92301247712135437</v>
      </c>
      <c r="H435" s="25">
        <v>11.989117750629354</v>
      </c>
      <c r="I435" s="25">
        <v>0.12761732334678375</v>
      </c>
      <c r="J435" s="25">
        <v>4.5357219278355766E-2</v>
      </c>
      <c r="K435" s="25">
        <v>0.58915026204767884</v>
      </c>
      <c r="L435" s="25">
        <v>0.94599999999999995</v>
      </c>
      <c r="M435" s="24">
        <v>5</v>
      </c>
      <c r="N435" s="108">
        <v>0</v>
      </c>
      <c r="O435" s="24">
        <v>8</v>
      </c>
      <c r="P435" s="24">
        <v>0</v>
      </c>
      <c r="Q435" s="24">
        <v>8</v>
      </c>
      <c r="R435" s="24">
        <v>6</v>
      </c>
      <c r="S435" s="24">
        <v>0</v>
      </c>
      <c r="T435" s="24">
        <v>0</v>
      </c>
      <c r="U435" s="24">
        <v>64403397000000</v>
      </c>
      <c r="V435" s="109">
        <v>0.12585302224556888</v>
      </c>
      <c r="W435" s="109">
        <v>-0.12124196243872043</v>
      </c>
      <c r="X435" s="109">
        <v>0.24482918315628596</v>
      </c>
      <c r="Y435" s="109">
        <v>0.3335164596985466</v>
      </c>
      <c r="Z435" s="109">
        <v>8.7579421758943149E-2</v>
      </c>
      <c r="AA435" s="109">
        <v>0.54468310217505533</v>
      </c>
      <c r="AD435" s="111"/>
    </row>
    <row r="436" spans="1:30" ht="15" customHeight="1" x14ac:dyDescent="0.3">
      <c r="A436" s="22" t="s">
        <v>153</v>
      </c>
      <c r="B436" s="23">
        <v>53</v>
      </c>
      <c r="C436" s="3" t="s">
        <v>43</v>
      </c>
      <c r="D436" s="23">
        <v>2022</v>
      </c>
      <c r="E436" s="25">
        <v>0.69826250874102147</v>
      </c>
      <c r="F436" s="25">
        <v>0.36007725118448636</v>
      </c>
      <c r="G436" s="25">
        <v>0.90706526643337559</v>
      </c>
      <c r="H436" s="25">
        <v>9.7602395963518394</v>
      </c>
      <c r="I436" s="25">
        <v>0.10930832202722199</v>
      </c>
      <c r="J436" s="25">
        <v>3.7312566184020984E-2</v>
      </c>
      <c r="K436" s="25">
        <v>0.40149215209480127</v>
      </c>
      <c r="L436" s="25">
        <v>0.94620000000000004</v>
      </c>
      <c r="M436" s="24">
        <v>4</v>
      </c>
      <c r="N436" s="108">
        <v>0</v>
      </c>
      <c r="O436" s="24">
        <v>7</v>
      </c>
      <c r="P436" s="24">
        <v>0</v>
      </c>
      <c r="Q436" s="24">
        <v>7</v>
      </c>
      <c r="R436" s="24">
        <v>6</v>
      </c>
      <c r="S436" s="24">
        <v>0</v>
      </c>
      <c r="T436" s="24">
        <v>0</v>
      </c>
      <c r="U436" s="24">
        <v>61327114000000</v>
      </c>
      <c r="V436" s="109">
        <v>-8.5447052222133099E-2</v>
      </c>
      <c r="W436" s="109">
        <v>-8.7973386779622464E-2</v>
      </c>
      <c r="X436" s="109">
        <v>0.29151305212242662</v>
      </c>
      <c r="Y436" s="109">
        <v>0.29991205521264214</v>
      </c>
      <c r="Z436" s="109">
        <v>0.10757932626904639</v>
      </c>
      <c r="AA436" s="109">
        <v>0.61103104682449272</v>
      </c>
      <c r="AD436" s="111"/>
    </row>
    <row r="437" spans="1:30" ht="15" customHeight="1" x14ac:dyDescent="0.3">
      <c r="A437" s="22" t="s">
        <v>153</v>
      </c>
      <c r="B437" s="23">
        <v>53</v>
      </c>
      <c r="C437" s="3" t="s">
        <v>43</v>
      </c>
      <c r="D437" s="23">
        <v>2023</v>
      </c>
      <c r="E437" s="25">
        <v>1.0146585459194732</v>
      </c>
      <c r="F437" s="25">
        <v>0.61661216551561282</v>
      </c>
      <c r="G437" s="25">
        <v>0.89785407467336065</v>
      </c>
      <c r="H437" s="25">
        <v>8.7899157191266131</v>
      </c>
      <c r="I437" s="25">
        <v>8.4132782924197708E-2</v>
      </c>
      <c r="J437" s="25">
        <v>3.3011599405176423E-2</v>
      </c>
      <c r="K437" s="25">
        <v>0.32318077593024741</v>
      </c>
      <c r="L437" s="25">
        <v>0.94620000000000004</v>
      </c>
      <c r="M437" s="24">
        <v>4</v>
      </c>
      <c r="N437" s="108">
        <v>0</v>
      </c>
      <c r="O437" s="24">
        <v>7</v>
      </c>
      <c r="P437" s="24">
        <v>0</v>
      </c>
      <c r="Q437" s="24">
        <v>7</v>
      </c>
      <c r="R437" s="24">
        <v>6</v>
      </c>
      <c r="S437" s="24">
        <v>0</v>
      </c>
      <c r="T437" s="24">
        <v>0</v>
      </c>
      <c r="U437" s="24">
        <v>60222226000000</v>
      </c>
      <c r="V437" s="109">
        <v>0.12876542232087676</v>
      </c>
      <c r="W437" s="109">
        <v>3.8677733367079459E-3</v>
      </c>
      <c r="X437" s="109">
        <v>0.32111150159079144</v>
      </c>
      <c r="Y437" s="109">
        <v>0.2665210601813357</v>
      </c>
      <c r="Z437" s="109">
        <v>0.11945507028187188</v>
      </c>
      <c r="AA437" s="109">
        <v>0.7109554053907069</v>
      </c>
      <c r="AD437" s="111"/>
    </row>
    <row r="438" spans="1:30" ht="15" customHeight="1" x14ac:dyDescent="0.3">
      <c r="A438" s="22" t="s">
        <v>153</v>
      </c>
      <c r="B438" s="23">
        <v>53</v>
      </c>
      <c r="C438" s="3" t="s">
        <v>43</v>
      </c>
      <c r="D438" s="23">
        <v>2024</v>
      </c>
      <c r="E438" s="25">
        <v>1.1447088176468656</v>
      </c>
      <c r="F438" s="25">
        <v>0.69308179001968795</v>
      </c>
      <c r="G438" s="25">
        <v>0.88524841277426169</v>
      </c>
      <c r="H438" s="25">
        <v>7.7144764109694561</v>
      </c>
      <c r="I438" s="25">
        <v>7.0657347435960097E-2</v>
      </c>
      <c r="J438" s="25">
        <v>2.6974433279847717E-2</v>
      </c>
      <c r="K438" s="25">
        <v>0.23506806251650239</v>
      </c>
      <c r="L438" s="25">
        <v>0.94620000000000004</v>
      </c>
      <c r="M438" s="24">
        <v>3</v>
      </c>
      <c r="N438" s="108">
        <v>0</v>
      </c>
      <c r="O438" s="24">
        <v>6</v>
      </c>
      <c r="P438" s="24">
        <v>0</v>
      </c>
      <c r="Q438" s="24">
        <v>6</v>
      </c>
      <c r="R438" s="24">
        <v>6</v>
      </c>
      <c r="S438" s="24">
        <v>0</v>
      </c>
      <c r="T438" s="24">
        <v>0</v>
      </c>
      <c r="U438" s="24">
        <v>57560023000000</v>
      </c>
      <c r="V438" s="109">
        <v>-7.0053760744690108E-2</v>
      </c>
      <c r="W438" s="109">
        <v>4.2185592594360152E-2</v>
      </c>
      <c r="X438" s="109">
        <v>0.36149857097868077</v>
      </c>
      <c r="Y438" s="109">
        <v>0.20325610224304461</v>
      </c>
      <c r="Z438" s="109">
        <v>0.13610774653571719</v>
      </c>
      <c r="AA438" s="109">
        <v>0.74304801235180273</v>
      </c>
      <c r="AD438" s="111"/>
    </row>
    <row r="439" spans="1:30" ht="15" customHeight="1" x14ac:dyDescent="0.3">
      <c r="A439" s="22" t="s">
        <v>153</v>
      </c>
      <c r="B439" s="23">
        <v>54</v>
      </c>
      <c r="C439" s="3" t="s">
        <v>150</v>
      </c>
      <c r="D439" s="23">
        <v>2022</v>
      </c>
      <c r="E439" s="25">
        <v>2.2030779313826061</v>
      </c>
      <c r="F439" s="25">
        <v>1.8502352922019767</v>
      </c>
      <c r="G439" s="25">
        <v>0.21509576270655265</v>
      </c>
      <c r="H439" s="25">
        <v>2.9349785372767183</v>
      </c>
      <c r="I439" s="25">
        <v>-5.0029587132809319E-2</v>
      </c>
      <c r="J439" s="25">
        <v>-1.1977387000558308E-2</v>
      </c>
      <c r="K439" s="25">
        <v>-3.4662051768322516E-2</v>
      </c>
      <c r="L439" s="25">
        <v>0.99990000000000001</v>
      </c>
      <c r="M439" s="24">
        <v>2</v>
      </c>
      <c r="N439" s="108">
        <v>0</v>
      </c>
      <c r="O439" s="24">
        <v>3</v>
      </c>
      <c r="P439" s="24">
        <v>0</v>
      </c>
      <c r="Q439" s="24">
        <v>3</v>
      </c>
      <c r="R439" s="24">
        <v>3</v>
      </c>
      <c r="S439" s="24">
        <v>0</v>
      </c>
      <c r="T439" s="24">
        <v>0</v>
      </c>
      <c r="U439" s="24">
        <v>6700834000000</v>
      </c>
      <c r="V439" s="109">
        <v>8.1936441295349924E-2</v>
      </c>
      <c r="W439" s="109">
        <v>0.57865410783195048</v>
      </c>
      <c r="X439" s="109">
        <v>0.19021289290258495</v>
      </c>
      <c r="Y439" s="109">
        <v>0.46679533920703004</v>
      </c>
      <c r="Z439" s="109">
        <v>0.3577538938237908</v>
      </c>
      <c r="AA439" s="109">
        <v>1.5934162337653561</v>
      </c>
      <c r="AD439" s="111"/>
    </row>
    <row r="440" spans="1:30" ht="15" customHeight="1" x14ac:dyDescent="0.3">
      <c r="A440" s="22" t="s">
        <v>153</v>
      </c>
      <c r="B440" s="23">
        <v>54</v>
      </c>
      <c r="C440" s="3" t="s">
        <v>150</v>
      </c>
      <c r="D440" s="23">
        <v>2023</v>
      </c>
      <c r="E440" s="25">
        <v>1.6735629389753697</v>
      </c>
      <c r="F440" s="25">
        <v>1.3512341230910812</v>
      </c>
      <c r="G440" s="25">
        <v>0.25821778901864917</v>
      </c>
      <c r="H440" s="25">
        <v>2.3838244083855402</v>
      </c>
      <c r="I440" s="25">
        <v>-2.9597401977593869E-2</v>
      </c>
      <c r="J440" s="25">
        <v>-6.5257447462651798E-3</v>
      </c>
      <c r="K440" s="25">
        <v>-1.8985658036487104E-2</v>
      </c>
      <c r="L440" s="25">
        <v>0.99990000000000001</v>
      </c>
      <c r="M440" s="24">
        <v>2</v>
      </c>
      <c r="N440" s="108">
        <v>0</v>
      </c>
      <c r="O440" s="24">
        <v>3</v>
      </c>
      <c r="P440" s="24">
        <v>0</v>
      </c>
      <c r="Q440" s="24">
        <v>3</v>
      </c>
      <c r="R440" s="24">
        <v>2</v>
      </c>
      <c r="S440" s="24">
        <v>0</v>
      </c>
      <c r="T440" s="24">
        <v>0</v>
      </c>
      <c r="U440" s="24">
        <v>6672476000000</v>
      </c>
      <c r="V440" s="109">
        <v>-9.704300249345911E-2</v>
      </c>
      <c r="W440" s="109">
        <v>0.38137602892839179</v>
      </c>
      <c r="X440" s="109">
        <v>0.30400604812965981</v>
      </c>
      <c r="Y440" s="109">
        <v>0.66032584006296913</v>
      </c>
      <c r="Z440" s="109">
        <v>0.44046868397958855</v>
      </c>
      <c r="AA440" s="109">
        <v>1.7861766011006095</v>
      </c>
      <c r="AD440" s="111"/>
    </row>
    <row r="441" spans="1:30" ht="15" customHeight="1" x14ac:dyDescent="0.3">
      <c r="A441" s="22" t="s">
        <v>153</v>
      </c>
      <c r="B441" s="23">
        <v>54</v>
      </c>
      <c r="C441" s="3" t="s">
        <v>150</v>
      </c>
      <c r="D441" s="23">
        <v>2024</v>
      </c>
      <c r="E441" s="25">
        <v>1.7606337382873696</v>
      </c>
      <c r="F441" s="25">
        <v>1.3755930211935798</v>
      </c>
      <c r="G441" s="25">
        <v>0.31793270238995075</v>
      </c>
      <c r="H441" s="25">
        <v>2.6836397349104226</v>
      </c>
      <c r="I441" s="25">
        <v>6.0631621465064784E-3</v>
      </c>
      <c r="J441" s="25">
        <v>1.1365438983908357E-3</v>
      </c>
      <c r="K441" s="25">
        <v>3.1219243125507404E-3</v>
      </c>
      <c r="L441" s="25">
        <v>0.99990000000000001</v>
      </c>
      <c r="M441" s="24">
        <v>1</v>
      </c>
      <c r="N441" s="108">
        <v>0</v>
      </c>
      <c r="O441" s="24">
        <v>2</v>
      </c>
      <c r="P441" s="24">
        <v>0</v>
      </c>
      <c r="Q441" s="24">
        <v>2</v>
      </c>
      <c r="R441" s="24">
        <v>3</v>
      </c>
      <c r="S441" s="24">
        <v>0</v>
      </c>
      <c r="T441" s="24">
        <v>0</v>
      </c>
      <c r="U441" s="24">
        <v>6628170000000</v>
      </c>
      <c r="V441" s="109">
        <v>-0.19479003531670136</v>
      </c>
      <c r="W441" s="109">
        <v>0.40749342276978412</v>
      </c>
      <c r="X441" s="109">
        <v>0.33658980985701936</v>
      </c>
      <c r="Y441" s="109">
        <v>0.25142476430145877</v>
      </c>
      <c r="Z441" s="109">
        <v>0.39125967108809712</v>
      </c>
      <c r="AA441" s="109">
        <v>1.3867676680163594</v>
      </c>
      <c r="AD441" s="111"/>
    </row>
    <row r="442" spans="1:30" ht="15" customHeight="1" x14ac:dyDescent="0.3">
      <c r="A442" s="22" t="s">
        <v>153</v>
      </c>
      <c r="B442" s="23">
        <v>55</v>
      </c>
      <c r="C442" s="3" t="s">
        <v>40</v>
      </c>
      <c r="D442" s="23">
        <v>2015</v>
      </c>
      <c r="E442" s="25">
        <v>1.1974240063655772</v>
      </c>
      <c r="F442" s="25">
        <v>0.32305608450182371</v>
      </c>
      <c r="G442" s="25">
        <v>0.82408559248689639</v>
      </c>
      <c r="H442" s="25">
        <v>4.6845431667059056</v>
      </c>
      <c r="I442" s="25">
        <v>0</v>
      </c>
      <c r="J442" s="25">
        <v>0</v>
      </c>
      <c r="K442" s="25">
        <v>0</v>
      </c>
      <c r="L442" s="25">
        <v>0.97870000000000001</v>
      </c>
      <c r="M442" s="24">
        <v>1</v>
      </c>
      <c r="N442" s="108">
        <v>0</v>
      </c>
      <c r="O442" s="24">
        <v>3</v>
      </c>
      <c r="P442" s="24">
        <v>0</v>
      </c>
      <c r="Q442" s="24">
        <v>3</v>
      </c>
      <c r="R442" s="24">
        <v>4</v>
      </c>
      <c r="S442" s="24">
        <v>0</v>
      </c>
      <c r="T442" s="24">
        <v>0</v>
      </c>
      <c r="U442" s="24">
        <v>6060345000000</v>
      </c>
      <c r="V442" s="109">
        <v>0.51608152001178309</v>
      </c>
      <c r="W442" s="109">
        <v>7.0365525395006387E-2</v>
      </c>
      <c r="X442" s="109">
        <v>0.25838601597763822</v>
      </c>
      <c r="Y442" s="109">
        <v>0.10748172257519992</v>
      </c>
      <c r="Z442" s="109">
        <v>0.22414138639229209</v>
      </c>
      <c r="AA442" s="109">
        <v>0.66037465034013665</v>
      </c>
      <c r="AD442" s="111"/>
    </row>
    <row r="443" spans="1:30" ht="15" customHeight="1" x14ac:dyDescent="0.3">
      <c r="A443" s="22" t="s">
        <v>153</v>
      </c>
      <c r="B443" s="23">
        <v>55</v>
      </c>
      <c r="C443" s="3" t="s">
        <v>40</v>
      </c>
      <c r="D443" s="23">
        <v>2016</v>
      </c>
      <c r="E443" s="25">
        <v>0.83624717970051243</v>
      </c>
      <c r="F443" s="25">
        <v>0.22688307089927265</v>
      </c>
      <c r="G443" s="25">
        <v>0.8660263402195354</v>
      </c>
      <c r="H443" s="25">
        <v>6.4641537869357775</v>
      </c>
      <c r="I443" s="25">
        <v>0</v>
      </c>
      <c r="J443" s="25">
        <v>0</v>
      </c>
      <c r="K443" s="25">
        <v>0</v>
      </c>
      <c r="L443" s="25">
        <v>0.97609999999999997</v>
      </c>
      <c r="M443" s="24">
        <v>1</v>
      </c>
      <c r="N443" s="108">
        <v>0</v>
      </c>
      <c r="O443" s="24">
        <v>3</v>
      </c>
      <c r="P443" s="24">
        <v>0</v>
      </c>
      <c r="Q443" s="24">
        <v>3</v>
      </c>
      <c r="R443" s="24">
        <v>3</v>
      </c>
      <c r="S443" s="24">
        <v>0</v>
      </c>
      <c r="T443" s="24">
        <v>0</v>
      </c>
      <c r="U443" s="24">
        <v>9618219000000</v>
      </c>
      <c r="V443" s="109">
        <v>0</v>
      </c>
      <c r="W443" s="109">
        <v>-7.0340723162988894E-2</v>
      </c>
      <c r="X443" s="109">
        <v>7.6459799886028787E-2</v>
      </c>
      <c r="Y443" s="109">
        <v>-0.1775058272222747</v>
      </c>
      <c r="Z443" s="109">
        <v>0.16243425429049621</v>
      </c>
      <c r="AA443" s="109">
        <v>-8.9524962087385862E-3</v>
      </c>
      <c r="AD443" s="111"/>
    </row>
    <row r="444" spans="1:30" ht="15" customHeight="1" x14ac:dyDescent="0.3">
      <c r="A444" s="22" t="s">
        <v>153</v>
      </c>
      <c r="B444" s="23">
        <v>55</v>
      </c>
      <c r="C444" s="3" t="s">
        <v>40</v>
      </c>
      <c r="D444" s="23">
        <v>2017</v>
      </c>
      <c r="E444" s="25">
        <v>0.53915014830766184</v>
      </c>
      <c r="F444" s="25">
        <v>0.14914444056799361</v>
      </c>
      <c r="G444" s="25">
        <v>0.86792092111544716</v>
      </c>
      <c r="H444" s="25">
        <v>6.5712217895922507</v>
      </c>
      <c r="I444" s="25">
        <v>0</v>
      </c>
      <c r="J444" s="25">
        <v>0</v>
      </c>
      <c r="K444" s="25">
        <v>0</v>
      </c>
      <c r="L444" s="25">
        <v>0.97609999999999997</v>
      </c>
      <c r="M444" s="24">
        <v>2</v>
      </c>
      <c r="N444" s="108">
        <v>0</v>
      </c>
      <c r="O444" s="24">
        <v>3</v>
      </c>
      <c r="P444" s="24">
        <v>0</v>
      </c>
      <c r="Q444" s="24">
        <v>3</v>
      </c>
      <c r="R444" s="24">
        <v>5</v>
      </c>
      <c r="S444" s="24">
        <v>0</v>
      </c>
      <c r="T444" s="24">
        <v>0</v>
      </c>
      <c r="U444" s="24">
        <v>11742806000000</v>
      </c>
      <c r="V444" s="109">
        <v>0</v>
      </c>
      <c r="W444" s="109">
        <v>-0.19259948601722621</v>
      </c>
      <c r="X444" s="109">
        <v>-3.5222073838229125E-2</v>
      </c>
      <c r="Y444" s="109">
        <v>-0.20112949494354246</v>
      </c>
      <c r="Z444" s="109">
        <v>0.15978763670144716</v>
      </c>
      <c r="AA444" s="109">
        <v>-0.26916341809755062</v>
      </c>
      <c r="AD444" s="111"/>
    </row>
    <row r="445" spans="1:30" ht="15" customHeight="1" x14ac:dyDescent="0.3">
      <c r="A445" s="22" t="s">
        <v>153</v>
      </c>
      <c r="B445" s="23">
        <v>55</v>
      </c>
      <c r="C445" s="3" t="s">
        <v>40</v>
      </c>
      <c r="D445" s="23">
        <v>2018</v>
      </c>
      <c r="E445" s="25">
        <v>0.56901007124720504</v>
      </c>
      <c r="F445" s="25">
        <v>0.16736342706635843</v>
      </c>
      <c r="G445" s="25">
        <v>0.87530500733451411</v>
      </c>
      <c r="H445" s="25">
        <v>7.0195682170065865</v>
      </c>
      <c r="I445" s="25">
        <v>0</v>
      </c>
      <c r="J445" s="25">
        <v>0</v>
      </c>
      <c r="K445" s="25">
        <v>0</v>
      </c>
      <c r="L445" s="25">
        <v>0.95860000000000001</v>
      </c>
      <c r="M445" s="24">
        <v>2</v>
      </c>
      <c r="N445" s="108">
        <v>0</v>
      </c>
      <c r="O445" s="24">
        <v>4</v>
      </c>
      <c r="P445" s="24">
        <v>0</v>
      </c>
      <c r="Q445" s="24">
        <v>4</v>
      </c>
      <c r="R445" s="24">
        <v>5</v>
      </c>
      <c r="S445" s="24">
        <v>0</v>
      </c>
      <c r="T445" s="24">
        <v>0</v>
      </c>
      <c r="U445" s="24">
        <v>11996023000000</v>
      </c>
      <c r="V445" s="109">
        <v>0</v>
      </c>
      <c r="W445" s="109">
        <v>-0.19900943504359736</v>
      </c>
      <c r="X445" s="109">
        <v>1.3616099268899368E-2</v>
      </c>
      <c r="Y445" s="109">
        <v>9.9892305975071899E-2</v>
      </c>
      <c r="Z445" s="109">
        <v>0.14958184998560503</v>
      </c>
      <c r="AA445" s="109">
        <v>6.4080820185978937E-2</v>
      </c>
      <c r="AD445" s="111"/>
    </row>
    <row r="446" spans="1:30" ht="15" customHeight="1" x14ac:dyDescent="0.3">
      <c r="A446" s="22" t="s">
        <v>153</v>
      </c>
      <c r="B446" s="23">
        <v>55</v>
      </c>
      <c r="C446" s="3" t="s">
        <v>40</v>
      </c>
      <c r="D446" s="23">
        <v>2019</v>
      </c>
      <c r="E446" s="25">
        <v>0.4755726391156565</v>
      </c>
      <c r="F446" s="25">
        <v>0.16686124406036351</v>
      </c>
      <c r="G446" s="25">
        <v>0.89659273493378022</v>
      </c>
      <c r="H446" s="25">
        <v>8.6705004175443765</v>
      </c>
      <c r="I446" s="25">
        <v>0</v>
      </c>
      <c r="J446" s="25">
        <v>0</v>
      </c>
      <c r="K446" s="25">
        <v>0</v>
      </c>
      <c r="L446" s="25">
        <v>0.95860000000000001</v>
      </c>
      <c r="M446" s="24">
        <v>2</v>
      </c>
      <c r="N446" s="108">
        <v>0</v>
      </c>
      <c r="O446" s="24">
        <v>4</v>
      </c>
      <c r="P446" s="24">
        <v>0</v>
      </c>
      <c r="Q446" s="24">
        <v>4</v>
      </c>
      <c r="R446" s="24">
        <v>6</v>
      </c>
      <c r="S446" s="24">
        <v>0</v>
      </c>
      <c r="T446" s="24">
        <v>0</v>
      </c>
      <c r="U446" s="24">
        <v>13386719000000</v>
      </c>
      <c r="V446" s="109">
        <v>0</v>
      </c>
      <c r="W446" s="109">
        <v>-0.23861661696193068</v>
      </c>
      <c r="X446" s="109">
        <v>-6.1350508664595113E-2</v>
      </c>
      <c r="Y446" s="109">
        <v>-0.15161706464444349</v>
      </c>
      <c r="Z446" s="109">
        <v>0.12110027673551242</v>
      </c>
      <c r="AA446" s="109">
        <v>-0.33048391353545686</v>
      </c>
      <c r="AD446" s="111"/>
    </row>
    <row r="447" spans="1:30" ht="15" customHeight="1" x14ac:dyDescent="0.3">
      <c r="A447" s="22" t="s">
        <v>153</v>
      </c>
      <c r="B447" s="23">
        <v>55</v>
      </c>
      <c r="C447" s="3" t="s">
        <v>40</v>
      </c>
      <c r="D447" s="23">
        <v>2020</v>
      </c>
      <c r="E447" s="25">
        <v>0.52127422902500042</v>
      </c>
      <c r="F447" s="25">
        <v>0.21499116656683964</v>
      </c>
      <c r="G447" s="25">
        <v>0.92236654550045849</v>
      </c>
      <c r="H447" s="25">
        <v>11.881044730605236</v>
      </c>
      <c r="I447" s="25">
        <v>0</v>
      </c>
      <c r="J447" s="25">
        <v>0</v>
      </c>
      <c r="K447" s="25">
        <v>0</v>
      </c>
      <c r="L447" s="25">
        <v>0.95860000000000001</v>
      </c>
      <c r="M447" s="24">
        <v>2</v>
      </c>
      <c r="N447" s="108">
        <v>0</v>
      </c>
      <c r="O447" s="24">
        <v>4</v>
      </c>
      <c r="P447" s="24">
        <v>0</v>
      </c>
      <c r="Q447" s="24">
        <v>4</v>
      </c>
      <c r="R447" s="24">
        <v>6</v>
      </c>
      <c r="S447" s="24">
        <v>0</v>
      </c>
      <c r="T447" s="24">
        <v>0</v>
      </c>
      <c r="U447" s="24">
        <v>14446272000000</v>
      </c>
      <c r="V447" s="109">
        <v>0</v>
      </c>
      <c r="W447" s="109">
        <v>-0.21594962631189557</v>
      </c>
      <c r="X447" s="109">
        <v>-0.12898804895823643</v>
      </c>
      <c r="Y447" s="109">
        <v>-0.14033678446591619</v>
      </c>
      <c r="Z447" s="109">
        <v>8.8376066567212697E-2</v>
      </c>
      <c r="AA447" s="109">
        <v>-0.39689839316883546</v>
      </c>
      <c r="AD447" s="111"/>
    </row>
    <row r="448" spans="1:30" ht="15" customHeight="1" x14ac:dyDescent="0.3">
      <c r="A448" s="22" t="s">
        <v>153</v>
      </c>
      <c r="B448" s="23">
        <v>55</v>
      </c>
      <c r="C448" s="3" t="s">
        <v>40</v>
      </c>
      <c r="D448" s="23">
        <v>2021</v>
      </c>
      <c r="E448" s="25">
        <v>0.93612033092796898</v>
      </c>
      <c r="F448" s="25">
        <v>0.54885039708668715</v>
      </c>
      <c r="G448" s="25">
        <v>0.91960047190751903</v>
      </c>
      <c r="H448" s="25">
        <v>11.437883949390004</v>
      </c>
      <c r="I448" s="25">
        <v>0</v>
      </c>
      <c r="J448" s="25">
        <v>0</v>
      </c>
      <c r="K448" s="25">
        <v>0</v>
      </c>
      <c r="L448" s="25">
        <v>0.95860000000000001</v>
      </c>
      <c r="M448" s="24">
        <v>2</v>
      </c>
      <c r="N448" s="108">
        <v>0</v>
      </c>
      <c r="O448" s="24">
        <v>4</v>
      </c>
      <c r="P448" s="24">
        <v>0</v>
      </c>
      <c r="Q448" s="24">
        <v>4</v>
      </c>
      <c r="R448" s="24">
        <v>6</v>
      </c>
      <c r="S448" s="24">
        <v>0</v>
      </c>
      <c r="T448" s="24">
        <v>0</v>
      </c>
      <c r="U448" s="24">
        <v>15389456000000</v>
      </c>
      <c r="V448" s="109">
        <v>0</v>
      </c>
      <c r="W448" s="109">
        <v>-3.039531481814562E-2</v>
      </c>
      <c r="X448" s="109">
        <v>-0.14966407389578942</v>
      </c>
      <c r="Y448" s="109">
        <v>-6.1753699416015745E-2</v>
      </c>
      <c r="Z448" s="109">
        <v>9.1800197015987184E-2</v>
      </c>
      <c r="AA448" s="109">
        <v>-0.1500128911139636</v>
      </c>
      <c r="AD448" s="111"/>
    </row>
    <row r="449" spans="1:30" ht="15" customHeight="1" x14ac:dyDescent="0.3">
      <c r="A449" s="22" t="s">
        <v>153</v>
      </c>
      <c r="B449" s="23">
        <v>55</v>
      </c>
      <c r="C449" s="3" t="s">
        <v>40</v>
      </c>
      <c r="D449" s="23">
        <v>2022</v>
      </c>
      <c r="E449" s="25">
        <v>0.51224626464227296</v>
      </c>
      <c r="F449" s="25">
        <v>0.18107931071077005</v>
      </c>
      <c r="G449" s="25">
        <v>0.65445245190290824</v>
      </c>
      <c r="H449" s="25">
        <v>1.8939577360827364</v>
      </c>
      <c r="I449" s="25">
        <v>0</v>
      </c>
      <c r="J449" s="25">
        <v>0</v>
      </c>
      <c r="K449" s="25">
        <v>0</v>
      </c>
      <c r="L449" s="25">
        <v>0.95860000000000001</v>
      </c>
      <c r="M449" s="24">
        <v>2</v>
      </c>
      <c r="N449" s="108">
        <v>0</v>
      </c>
      <c r="O449" s="24">
        <v>4</v>
      </c>
      <c r="P449" s="24">
        <v>0</v>
      </c>
      <c r="Q449" s="24">
        <v>4</v>
      </c>
      <c r="R449" s="24">
        <v>7</v>
      </c>
      <c r="S449" s="24">
        <v>0</v>
      </c>
      <c r="T449" s="24">
        <v>0</v>
      </c>
      <c r="U449" s="24">
        <v>20936453000000</v>
      </c>
      <c r="V449" s="109">
        <v>0</v>
      </c>
      <c r="W449" s="109">
        <v>-0.16705078362605164</v>
      </c>
      <c r="X449" s="109">
        <v>-0.12244821985844496</v>
      </c>
      <c r="Y449" s="109">
        <v>-1.8365976318911327E-2</v>
      </c>
      <c r="Z449" s="109">
        <v>0.55439463088110408</v>
      </c>
      <c r="AA449" s="109">
        <v>0.24652965107769614</v>
      </c>
      <c r="AD449" s="111"/>
    </row>
    <row r="450" spans="1:30" ht="15" customHeight="1" x14ac:dyDescent="0.3">
      <c r="A450" s="22" t="s">
        <v>153</v>
      </c>
      <c r="B450" s="23">
        <v>55</v>
      </c>
      <c r="C450" s="3" t="s">
        <v>40</v>
      </c>
      <c r="D450" s="23">
        <v>2023</v>
      </c>
      <c r="E450" s="25">
        <v>0.85564749963820996</v>
      </c>
      <c r="F450" s="25">
        <v>0.49765315925563652</v>
      </c>
      <c r="G450" s="25">
        <v>0.62123925673299452</v>
      </c>
      <c r="H450" s="25">
        <v>1.8074007712183915</v>
      </c>
      <c r="I450" s="25">
        <v>0</v>
      </c>
      <c r="J450" s="25">
        <v>0</v>
      </c>
      <c r="K450" s="25">
        <v>0</v>
      </c>
      <c r="L450" s="25">
        <v>0.95860000000000001</v>
      </c>
      <c r="M450" s="24">
        <v>2</v>
      </c>
      <c r="N450" s="108">
        <v>0</v>
      </c>
      <c r="O450" s="24">
        <v>3</v>
      </c>
      <c r="P450" s="24">
        <v>0</v>
      </c>
      <c r="Q450" s="24">
        <v>3</v>
      </c>
      <c r="R450" s="24">
        <v>8</v>
      </c>
      <c r="S450" s="24">
        <v>0</v>
      </c>
      <c r="T450" s="24">
        <v>0</v>
      </c>
      <c r="U450" s="24">
        <v>20527159000000</v>
      </c>
      <c r="V450" s="109">
        <v>0</v>
      </c>
      <c r="W450" s="109">
        <v>-5.2916454731996763E-2</v>
      </c>
      <c r="X450" s="109">
        <v>-0.15730239727767489</v>
      </c>
      <c r="Y450" s="109">
        <v>-5.1035855473229391E-2</v>
      </c>
      <c r="Z450" s="109">
        <v>0.58094475598357853</v>
      </c>
      <c r="AA450" s="109">
        <v>0.3196900485006775</v>
      </c>
      <c r="AD450" s="111"/>
    </row>
    <row r="451" spans="1:30" ht="15" customHeight="1" x14ac:dyDescent="0.3">
      <c r="A451" s="22" t="s">
        <v>153</v>
      </c>
      <c r="B451" s="23">
        <v>55</v>
      </c>
      <c r="C451" s="3" t="s">
        <v>40</v>
      </c>
      <c r="D451" s="23">
        <v>2024</v>
      </c>
      <c r="E451" s="25">
        <v>0.87395266914148284</v>
      </c>
      <c r="F451" s="25">
        <v>0.48301559395587157</v>
      </c>
      <c r="G451" s="25">
        <v>0.59042714833852461</v>
      </c>
      <c r="H451" s="25">
        <v>1.6218193347373704</v>
      </c>
      <c r="I451" s="25">
        <v>0</v>
      </c>
      <c r="J451" s="25">
        <v>0</v>
      </c>
      <c r="K451" s="25">
        <v>0</v>
      </c>
      <c r="L451" s="25">
        <v>0.95860000000000001</v>
      </c>
      <c r="M451" s="24">
        <v>3</v>
      </c>
      <c r="N451" s="108">
        <v>0</v>
      </c>
      <c r="O451" s="24">
        <v>6</v>
      </c>
      <c r="P451" s="24">
        <v>0</v>
      </c>
      <c r="Q451" s="24">
        <v>6</v>
      </c>
      <c r="R451" s="24">
        <v>7</v>
      </c>
      <c r="S451" s="24">
        <v>0</v>
      </c>
      <c r="T451" s="24">
        <v>0</v>
      </c>
      <c r="U451" s="24">
        <v>19441396000000</v>
      </c>
      <c r="V451" s="109">
        <v>0</v>
      </c>
      <c r="W451" s="109">
        <v>-5.2061199720431592E-2</v>
      </c>
      <c r="X451" s="109">
        <v>-0.15737509281740877</v>
      </c>
      <c r="Y451" s="109">
        <v>1.6971620762212754E-2</v>
      </c>
      <c r="Z451" s="109">
        <v>0.64742106442455993</v>
      </c>
      <c r="AA451" s="109">
        <v>0.45495639264893234</v>
      </c>
      <c r="AD451" s="111"/>
    </row>
    <row r="452" spans="1:30" ht="15" customHeight="1" x14ac:dyDescent="0.3">
      <c r="A452" s="22" t="s">
        <v>153</v>
      </c>
      <c r="B452" s="23">
        <v>56</v>
      </c>
      <c r="C452" s="3" t="s">
        <v>47</v>
      </c>
      <c r="D452" s="23">
        <v>2015</v>
      </c>
      <c r="E452" s="25">
        <v>0.57294943847584912</v>
      </c>
      <c r="F452" s="25">
        <v>0.31756065727059329</v>
      </c>
      <c r="G452" s="25">
        <v>0.38191321090346775</v>
      </c>
      <c r="H452" s="25">
        <v>0.61789576745640629</v>
      </c>
      <c r="I452" s="25">
        <v>0</v>
      </c>
      <c r="J452" s="25">
        <v>0</v>
      </c>
      <c r="K452" s="25">
        <v>0</v>
      </c>
      <c r="L452" s="25">
        <v>0.96199999999999997</v>
      </c>
      <c r="M452" s="24">
        <v>2</v>
      </c>
      <c r="N452" s="108">
        <v>0</v>
      </c>
      <c r="O452" s="24">
        <v>4</v>
      </c>
      <c r="P452" s="24">
        <v>0</v>
      </c>
      <c r="Q452" s="24">
        <v>4</v>
      </c>
      <c r="R452" s="24">
        <v>5</v>
      </c>
      <c r="S452" s="24">
        <v>0</v>
      </c>
      <c r="T452" s="24">
        <v>0</v>
      </c>
      <c r="U452" s="24">
        <v>791528000000</v>
      </c>
      <c r="V452" s="109">
        <v>0</v>
      </c>
      <c r="W452" s="109">
        <v>-0.3633688764010875</v>
      </c>
      <c r="X452" s="109">
        <v>-2.214250411861614</v>
      </c>
      <c r="Y452" s="109">
        <v>-1.0992308547518219</v>
      </c>
      <c r="Z452" s="109">
        <v>1.69931573463008</v>
      </c>
      <c r="AA452" s="109">
        <v>-1.9775344083844437</v>
      </c>
      <c r="AD452" s="111"/>
    </row>
    <row r="453" spans="1:30" ht="15" customHeight="1" x14ac:dyDescent="0.3">
      <c r="A453" s="22" t="s">
        <v>153</v>
      </c>
      <c r="B453" s="23">
        <v>56</v>
      </c>
      <c r="C453" s="3" t="s">
        <v>47</v>
      </c>
      <c r="D453" s="23">
        <v>2016</v>
      </c>
      <c r="E453" s="25">
        <v>0.48948055954889491</v>
      </c>
      <c r="F453" s="25">
        <v>0.30496858937749854</v>
      </c>
      <c r="G453" s="25">
        <v>0.4850481572485692</v>
      </c>
      <c r="H453" s="25">
        <v>0.94192916109769853</v>
      </c>
      <c r="I453" s="25">
        <v>-0.65782114183764495</v>
      </c>
      <c r="J453" s="25">
        <v>-0.24727651037881132</v>
      </c>
      <c r="K453" s="25">
        <v>-0.48019346635909138</v>
      </c>
      <c r="L453" s="25">
        <v>0.96199999999999997</v>
      </c>
      <c r="M453" s="24">
        <v>2</v>
      </c>
      <c r="N453" s="108">
        <v>0</v>
      </c>
      <c r="O453" s="24">
        <v>4</v>
      </c>
      <c r="P453" s="24">
        <v>0</v>
      </c>
      <c r="Q453" s="24">
        <v>4</v>
      </c>
      <c r="R453" s="24">
        <v>6</v>
      </c>
      <c r="S453" s="24">
        <v>0</v>
      </c>
      <c r="T453" s="24">
        <v>0</v>
      </c>
      <c r="U453" s="24">
        <v>1192863000000</v>
      </c>
      <c r="V453" s="109">
        <v>0</v>
      </c>
      <c r="W453" s="109">
        <v>-0.42769183049520354</v>
      </c>
      <c r="X453" s="109">
        <v>-2.2833579883020931</v>
      </c>
      <c r="Y453" s="109">
        <v>-1.6498790556836787</v>
      </c>
      <c r="Z453" s="109">
        <v>1.1147335100830287</v>
      </c>
      <c r="AA453" s="109">
        <v>-3.2461953643979466</v>
      </c>
      <c r="AD453" s="111"/>
    </row>
    <row r="454" spans="1:30" ht="15" customHeight="1" x14ac:dyDescent="0.3">
      <c r="A454" s="22" t="s">
        <v>153</v>
      </c>
      <c r="B454" s="23">
        <v>56</v>
      </c>
      <c r="C454" s="3" t="s">
        <v>47</v>
      </c>
      <c r="D454" s="23">
        <v>2017</v>
      </c>
      <c r="E454" s="25">
        <v>0.4540068519615672</v>
      </c>
      <c r="F454" s="25">
        <v>0.16058318951083175</v>
      </c>
      <c r="G454" s="25">
        <v>0.364490234877623</v>
      </c>
      <c r="H454" s="25">
        <v>0.57353994365048799</v>
      </c>
      <c r="I454" s="25">
        <v>-0.44252106601060304</v>
      </c>
      <c r="J454" s="25">
        <v>-0.11055966879264416</v>
      </c>
      <c r="K454" s="25">
        <v>-0.17397005500199392</v>
      </c>
      <c r="L454" s="25">
        <v>0.97799999999999998</v>
      </c>
      <c r="M454" s="24">
        <v>2</v>
      </c>
      <c r="N454" s="108">
        <v>0</v>
      </c>
      <c r="O454" s="24">
        <v>4</v>
      </c>
      <c r="P454" s="24">
        <v>0</v>
      </c>
      <c r="Q454" s="24">
        <v>4</v>
      </c>
      <c r="R454" s="24">
        <v>5</v>
      </c>
      <c r="S454" s="24">
        <v>0</v>
      </c>
      <c r="T454" s="24">
        <v>0</v>
      </c>
      <c r="U454" s="24">
        <v>2300432000000</v>
      </c>
      <c r="V454" s="109">
        <v>0.28175958965209635</v>
      </c>
      <c r="W454" s="109">
        <v>-0.24177330171028744</v>
      </c>
      <c r="X454" s="109">
        <v>-1.5524464100655875</v>
      </c>
      <c r="Y454" s="109">
        <v>-0.75435069586929759</v>
      </c>
      <c r="Z454" s="109">
        <v>1.8307356124438721</v>
      </c>
      <c r="AA454" s="109">
        <v>-0.71783479520130045</v>
      </c>
      <c r="AD454" s="111"/>
    </row>
    <row r="455" spans="1:30" ht="15" customHeight="1" x14ac:dyDescent="0.3">
      <c r="A455" s="22" t="s">
        <v>153</v>
      </c>
      <c r="B455" s="23">
        <v>56</v>
      </c>
      <c r="C455" s="3" t="s">
        <v>47</v>
      </c>
      <c r="D455" s="23">
        <v>2018</v>
      </c>
      <c r="E455" s="25">
        <v>0.54873737047885729</v>
      </c>
      <c r="F455" s="25">
        <v>0.18397486354310488</v>
      </c>
      <c r="G455" s="25">
        <v>0.4453645975837135</v>
      </c>
      <c r="H455" s="25">
        <v>0.80298624221149362</v>
      </c>
      <c r="I455" s="25">
        <v>-0.42014697848192728</v>
      </c>
      <c r="J455" s="25">
        <v>-0.10081773482758723</v>
      </c>
      <c r="K455" s="25">
        <v>-0.18177298886506632</v>
      </c>
      <c r="L455" s="25">
        <v>0.97799999999999998</v>
      </c>
      <c r="M455" s="24">
        <v>2</v>
      </c>
      <c r="N455" s="108">
        <v>0</v>
      </c>
      <c r="O455" s="24">
        <v>4</v>
      </c>
      <c r="P455" s="24">
        <v>0</v>
      </c>
      <c r="Q455" s="24">
        <v>4</v>
      </c>
      <c r="R455" s="24">
        <v>5</v>
      </c>
      <c r="S455" s="24">
        <v>0</v>
      </c>
      <c r="T455" s="24">
        <v>0</v>
      </c>
      <c r="U455" s="24">
        <v>2364703000000</v>
      </c>
      <c r="V455" s="109">
        <v>-1.2720512369919668E-2</v>
      </c>
      <c r="W455" s="109">
        <v>-0.19403116585888375</v>
      </c>
      <c r="X455" s="109">
        <v>-1.8193594798162813</v>
      </c>
      <c r="Y455" s="109">
        <v>-0.5985018160843032</v>
      </c>
      <c r="Z455" s="109">
        <v>1.3076189164937735</v>
      </c>
      <c r="AA455" s="109">
        <v>-1.3042735452656946</v>
      </c>
      <c r="AD455" s="111"/>
    </row>
    <row r="456" spans="1:30" ht="15" customHeight="1" x14ac:dyDescent="0.3">
      <c r="A456" s="22" t="s">
        <v>153</v>
      </c>
      <c r="B456" s="23">
        <v>56</v>
      </c>
      <c r="C456" s="3" t="s">
        <v>47</v>
      </c>
      <c r="D456" s="23">
        <v>2019</v>
      </c>
      <c r="E456" s="25">
        <v>0.61034636705234568</v>
      </c>
      <c r="F456" s="25">
        <v>0.24499299329092103</v>
      </c>
      <c r="G456" s="25">
        <v>0.52837817851122892</v>
      </c>
      <c r="H456" s="25">
        <v>1.1203429409676056</v>
      </c>
      <c r="I456" s="25">
        <v>0.19707775131709776</v>
      </c>
      <c r="J456" s="25">
        <v>6.274902386921416E-2</v>
      </c>
      <c r="K456" s="25">
        <v>0.13304944981369604</v>
      </c>
      <c r="L456" s="25">
        <v>0.97799999999999998</v>
      </c>
      <c r="M456" s="24">
        <v>2</v>
      </c>
      <c r="N456" s="108">
        <v>0</v>
      </c>
      <c r="O456" s="24">
        <v>4</v>
      </c>
      <c r="P456" s="24">
        <v>0</v>
      </c>
      <c r="Q456" s="24">
        <v>4</v>
      </c>
      <c r="R456" s="24">
        <v>6</v>
      </c>
      <c r="S456" s="24">
        <v>0</v>
      </c>
      <c r="T456" s="24">
        <v>0</v>
      </c>
      <c r="U456" s="24">
        <v>2454333000000</v>
      </c>
      <c r="V456" s="109">
        <v>0.37717956399908359</v>
      </c>
      <c r="W456" s="109">
        <v>-0.16796292923576384</v>
      </c>
      <c r="X456" s="109">
        <v>-2.0031124301388603</v>
      </c>
      <c r="Y456" s="109">
        <v>-0.47490866153859318</v>
      </c>
      <c r="Z456" s="109">
        <v>0.93721302790835403</v>
      </c>
      <c r="AA456" s="109">
        <v>-1.7087709930048636</v>
      </c>
      <c r="AD456" s="111"/>
    </row>
    <row r="457" spans="1:30" ht="15" customHeight="1" x14ac:dyDescent="0.3">
      <c r="A457" s="22" t="s">
        <v>153</v>
      </c>
      <c r="B457" s="23">
        <v>56</v>
      </c>
      <c r="C457" s="3" t="s">
        <v>47</v>
      </c>
      <c r="D457" s="23">
        <v>2020</v>
      </c>
      <c r="E457" s="25">
        <v>0.50854835461600822</v>
      </c>
      <c r="F457" s="25">
        <v>0.1762133190129245</v>
      </c>
      <c r="G457" s="25">
        <v>0.57760482729093476</v>
      </c>
      <c r="H457" s="25">
        <v>1.366154715557081</v>
      </c>
      <c r="I457" s="25">
        <v>-0.17004636529226694</v>
      </c>
      <c r="J457" s="25">
        <v>-4.1167231379315321E-2</v>
      </c>
      <c r="K457" s="25">
        <v>-9.7369004928611932E-2</v>
      </c>
      <c r="L457" s="25">
        <v>0.97799999999999998</v>
      </c>
      <c r="M457" s="24">
        <v>2</v>
      </c>
      <c r="N457" s="108">
        <v>0</v>
      </c>
      <c r="O457" s="24">
        <v>4</v>
      </c>
      <c r="P457" s="24">
        <v>0</v>
      </c>
      <c r="Q457" s="24">
        <v>4</v>
      </c>
      <c r="R457" s="24">
        <v>6</v>
      </c>
      <c r="S457" s="24">
        <v>0</v>
      </c>
      <c r="T457" s="24">
        <v>0</v>
      </c>
      <c r="U457" s="24">
        <v>2494484000000</v>
      </c>
      <c r="V457" s="109">
        <v>-0.22720880206487146</v>
      </c>
      <c r="W457" s="109">
        <v>-0.2502940728423193</v>
      </c>
      <c r="X457" s="109">
        <v>-2.1393918261251623</v>
      </c>
      <c r="Y457" s="109">
        <v>-0.32289073010690789</v>
      </c>
      <c r="Z457" s="109">
        <v>0.76858059196599737</v>
      </c>
      <c r="AA457" s="109">
        <v>-1.9439960371083924</v>
      </c>
      <c r="AD457" s="111"/>
    </row>
    <row r="458" spans="1:30" ht="15" customHeight="1" x14ac:dyDescent="0.3">
      <c r="A458" s="22" t="s">
        <v>153</v>
      </c>
      <c r="B458" s="23">
        <v>56</v>
      </c>
      <c r="C458" s="3" t="s">
        <v>47</v>
      </c>
      <c r="D458" s="23">
        <v>2021</v>
      </c>
      <c r="E458" s="25">
        <v>0.57479214664930378</v>
      </c>
      <c r="F458" s="25">
        <v>0.16311229089452067</v>
      </c>
      <c r="G458" s="25">
        <v>0.63623691024834095</v>
      </c>
      <c r="H458" s="25">
        <v>1.7490419676243119</v>
      </c>
      <c r="I458" s="25">
        <v>-0.32279953761390762</v>
      </c>
      <c r="J458" s="25">
        <v>-8.1745947932463425E-2</v>
      </c>
      <c r="K458" s="25">
        <v>-0.22472304154957382</v>
      </c>
      <c r="L458" s="25">
        <v>0.98</v>
      </c>
      <c r="M458" s="24">
        <v>2</v>
      </c>
      <c r="N458" s="108">
        <v>0</v>
      </c>
      <c r="O458" s="24">
        <v>3</v>
      </c>
      <c r="P458" s="24">
        <v>0</v>
      </c>
      <c r="Q458" s="24">
        <v>3</v>
      </c>
      <c r="R458" s="24">
        <v>6</v>
      </c>
      <c r="S458" s="24">
        <v>0</v>
      </c>
      <c r="T458" s="24">
        <v>0</v>
      </c>
      <c r="U458" s="24">
        <v>2367310000000</v>
      </c>
      <c r="V458" s="109">
        <v>-7.2876304023845005E-3</v>
      </c>
      <c r="W458" s="109">
        <v>-0.23525618529047734</v>
      </c>
      <c r="X458" s="109">
        <v>-2.5455585875952029</v>
      </c>
      <c r="Y458" s="109">
        <v>-0.58524755946622953</v>
      </c>
      <c r="Z458" s="109">
        <v>0.60032864816056619</v>
      </c>
      <c r="AA458" s="109">
        <v>-2.7657336841913436</v>
      </c>
      <c r="AD458" s="111"/>
    </row>
    <row r="459" spans="1:30" ht="15" customHeight="1" x14ac:dyDescent="0.3">
      <c r="A459" s="22" t="s">
        <v>153</v>
      </c>
      <c r="B459" s="23">
        <v>56</v>
      </c>
      <c r="C459" s="3" t="s">
        <v>47</v>
      </c>
      <c r="D459" s="23">
        <v>2022</v>
      </c>
      <c r="E459" s="25">
        <v>0.8800322360014633</v>
      </c>
      <c r="F459" s="25">
        <v>0.28465237607961447</v>
      </c>
      <c r="G459" s="25">
        <v>0.69303765409278983</v>
      </c>
      <c r="H459" s="25">
        <v>2.2577285563952656</v>
      </c>
      <c r="I459" s="25">
        <v>-0.20630122913582521</v>
      </c>
      <c r="J459" s="25">
        <v>-7.5665869246847053E-2</v>
      </c>
      <c r="K459" s="25">
        <v>-0.24649886298992396</v>
      </c>
      <c r="L459" s="25">
        <v>0.97799999999999998</v>
      </c>
      <c r="M459" s="24">
        <v>2</v>
      </c>
      <c r="N459" s="108">
        <v>0</v>
      </c>
      <c r="O459" s="24">
        <v>4</v>
      </c>
      <c r="P459" s="24">
        <v>0</v>
      </c>
      <c r="Q459" s="24">
        <v>4</v>
      </c>
      <c r="R459" s="24">
        <v>6</v>
      </c>
      <c r="S459" s="24">
        <v>0</v>
      </c>
      <c r="T459" s="24">
        <v>0</v>
      </c>
      <c r="U459" s="24">
        <v>2250592000000</v>
      </c>
      <c r="V459" s="109">
        <v>0.37691305573487194</v>
      </c>
      <c r="W459" s="109">
        <v>-6.5952922608806933E-2</v>
      </c>
      <c r="X459" s="109">
        <v>-2.8121894772575393</v>
      </c>
      <c r="Y459" s="109">
        <v>-0.26141985753081853</v>
      </c>
      <c r="Z459" s="109">
        <v>0.46506919400286584</v>
      </c>
      <c r="AA459" s="109">
        <v>-2.6744930633942987</v>
      </c>
      <c r="AD459" s="111"/>
    </row>
    <row r="460" spans="1:30" ht="15" customHeight="1" x14ac:dyDescent="0.3">
      <c r="A460" s="22" t="s">
        <v>153</v>
      </c>
      <c r="B460" s="23">
        <v>56</v>
      </c>
      <c r="C460" s="3" t="s">
        <v>47</v>
      </c>
      <c r="D460" s="23">
        <v>2023</v>
      </c>
      <c r="E460" s="25">
        <v>0.73590821454533961</v>
      </c>
      <c r="F460" s="25">
        <v>0.26843452700780684</v>
      </c>
      <c r="G460" s="25">
        <v>0.7582862530458313</v>
      </c>
      <c r="H460" s="25">
        <v>3.1371250605353862</v>
      </c>
      <c r="I460" s="25">
        <v>-0.27500313558259126</v>
      </c>
      <c r="J460" s="25">
        <v>-9.6650626308636078E-2</v>
      </c>
      <c r="K460" s="25">
        <v>-0.399855728217899</v>
      </c>
      <c r="L460" s="25">
        <v>0.97799999999999998</v>
      </c>
      <c r="M460" s="24">
        <v>2</v>
      </c>
      <c r="N460" s="108">
        <v>0</v>
      </c>
      <c r="O460" s="24">
        <v>4</v>
      </c>
      <c r="P460" s="24">
        <v>0</v>
      </c>
      <c r="Q460" s="24">
        <v>4</v>
      </c>
      <c r="R460" s="24">
        <v>6</v>
      </c>
      <c r="S460" s="24">
        <v>0</v>
      </c>
      <c r="T460" s="24">
        <v>0</v>
      </c>
      <c r="U460" s="24">
        <v>2041725000000</v>
      </c>
      <c r="V460" s="109">
        <v>-0.13070077460028251</v>
      </c>
      <c r="W460" s="109">
        <v>-0.13423143665283033</v>
      </c>
      <c r="X460" s="109">
        <v>-3.419022248343925</v>
      </c>
      <c r="Y460" s="109">
        <v>-0.6353822576497814</v>
      </c>
      <c r="Z460" s="109">
        <v>0.33470135226958581</v>
      </c>
      <c r="AA460" s="109">
        <v>-3.8539345903769506</v>
      </c>
      <c r="AD460" s="111"/>
    </row>
    <row r="461" spans="1:30" ht="15" customHeight="1" x14ac:dyDescent="0.3">
      <c r="A461" s="22" t="s">
        <v>153</v>
      </c>
      <c r="B461" s="23">
        <v>56</v>
      </c>
      <c r="C461" s="3" t="s">
        <v>47</v>
      </c>
      <c r="D461" s="23">
        <v>2024</v>
      </c>
      <c r="E461" s="25">
        <v>0.77439614763966091</v>
      </c>
      <c r="F461" s="25">
        <v>0.286888143234036</v>
      </c>
      <c r="G461" s="25">
        <v>0.8315812930541695</v>
      </c>
      <c r="H461" s="25">
        <v>4.9375984761563858</v>
      </c>
      <c r="I461" s="25">
        <v>-0.25268007157116618</v>
      </c>
      <c r="J461" s="25">
        <v>-9.7220203742637928E-2</v>
      </c>
      <c r="K461" s="25">
        <v>-0.5772548443077985</v>
      </c>
      <c r="L461" s="25">
        <v>0.97799999999999998</v>
      </c>
      <c r="M461" s="24">
        <v>2</v>
      </c>
      <c r="N461" s="108">
        <v>0</v>
      </c>
      <c r="O461" s="24">
        <v>4</v>
      </c>
      <c r="P461" s="24">
        <v>0</v>
      </c>
      <c r="Q461" s="24">
        <v>4</v>
      </c>
      <c r="R461" s="24">
        <v>6</v>
      </c>
      <c r="S461" s="24">
        <v>0</v>
      </c>
      <c r="T461" s="24">
        <v>0</v>
      </c>
      <c r="U461" s="24">
        <v>1857834000000</v>
      </c>
      <c r="V461" s="109">
        <v>-3.8421338684727622E-3</v>
      </c>
      <c r="W461" s="109">
        <v>-0.15550142800702321</v>
      </c>
      <c r="X461" s="109">
        <v>-4.0771346309734886</v>
      </c>
      <c r="Y461" s="109">
        <v>-0.63774447017333091</v>
      </c>
      <c r="Z461" s="109">
        <v>0.21265398656258494</v>
      </c>
      <c r="AA461" s="109">
        <v>-4.6577265425912575</v>
      </c>
      <c r="AD461" s="111"/>
    </row>
    <row r="462" spans="1:30" ht="15" customHeight="1" x14ac:dyDescent="0.3">
      <c r="A462" s="22" t="s">
        <v>153</v>
      </c>
      <c r="B462" s="23">
        <v>57</v>
      </c>
      <c r="C462" s="3" t="s">
        <v>41</v>
      </c>
      <c r="D462" s="23">
        <v>2017</v>
      </c>
      <c r="E462" s="25">
        <v>0.41984304932735428</v>
      </c>
      <c r="F462" s="25">
        <v>0.25</v>
      </c>
      <c r="G462" s="25">
        <v>0.13993046995668207</v>
      </c>
      <c r="H462" s="25">
        <v>0.16269669494004094</v>
      </c>
      <c r="I462" s="25">
        <v>0.56155351567960488</v>
      </c>
      <c r="J462" s="25">
        <v>0.1212650241745194</v>
      </c>
      <c r="K462" s="25">
        <v>0.14099444281953788</v>
      </c>
      <c r="L462" s="25">
        <v>0</v>
      </c>
      <c r="M462" s="24">
        <v>0</v>
      </c>
      <c r="N462" s="108">
        <v>0</v>
      </c>
      <c r="O462" s="24">
        <v>0</v>
      </c>
      <c r="P462" s="24">
        <v>0</v>
      </c>
      <c r="Q462" s="24">
        <v>0</v>
      </c>
      <c r="R462" s="24">
        <v>0</v>
      </c>
      <c r="S462" s="24">
        <v>0</v>
      </c>
      <c r="T462" s="24">
        <v>0</v>
      </c>
      <c r="U462" s="24">
        <v>198763000000</v>
      </c>
      <c r="V462" s="109">
        <v>0</v>
      </c>
      <c r="W462" s="109">
        <v>-3.4159275116596145E-2</v>
      </c>
      <c r="X462" s="109">
        <v>0.18325332179530396</v>
      </c>
      <c r="Y462" s="109">
        <v>0.34836906265250572</v>
      </c>
      <c r="Z462" s="109">
        <v>6.4537266745766377</v>
      </c>
      <c r="AA462" s="109">
        <v>6.9511897839078509</v>
      </c>
      <c r="AD462" s="111"/>
    </row>
    <row r="463" spans="1:30" ht="15" customHeight="1" x14ac:dyDescent="0.3">
      <c r="A463" s="22" t="s">
        <v>153</v>
      </c>
      <c r="B463" s="23">
        <v>57</v>
      </c>
      <c r="C463" s="3" t="s">
        <v>41</v>
      </c>
      <c r="D463" s="23">
        <v>2018</v>
      </c>
      <c r="E463" s="25">
        <v>3.8921282798833818</v>
      </c>
      <c r="F463" s="25">
        <v>2.545189504373178</v>
      </c>
      <c r="G463" s="25">
        <v>0.60474514563106796</v>
      </c>
      <c r="H463" s="25">
        <v>1.5300132027388007</v>
      </c>
      <c r="I463" s="25">
        <v>-3.0947989812555605E-2</v>
      </c>
      <c r="J463" s="25">
        <v>-1.9672330097087378E-2</v>
      </c>
      <c r="K463" s="25">
        <v>-4.9771254874266938E-2</v>
      </c>
      <c r="L463" s="25">
        <v>0.99329999999999996</v>
      </c>
      <c r="M463" s="24">
        <v>2</v>
      </c>
      <c r="N463" s="108">
        <v>0</v>
      </c>
      <c r="O463" s="24">
        <v>3</v>
      </c>
      <c r="P463" s="24">
        <v>0</v>
      </c>
      <c r="Q463" s="24">
        <v>3</v>
      </c>
      <c r="R463" s="24">
        <v>2</v>
      </c>
      <c r="S463" s="24">
        <v>0</v>
      </c>
      <c r="T463" s="24">
        <v>0</v>
      </c>
      <c r="U463" s="24">
        <v>412000000000</v>
      </c>
      <c r="V463" s="109">
        <v>5.1015563114486744</v>
      </c>
      <c r="W463" s="109">
        <v>3.1589902912621357E-2</v>
      </c>
      <c r="X463" s="109">
        <v>9.1944660194174757E-2</v>
      </c>
      <c r="Y463" s="109">
        <v>2.6178640776699028E-2</v>
      </c>
      <c r="Z463" s="109">
        <v>0.68626858782685485</v>
      </c>
      <c r="AA463" s="109">
        <v>0.83598179171035003</v>
      </c>
      <c r="AD463" s="111"/>
    </row>
    <row r="464" spans="1:30" ht="15" customHeight="1" x14ac:dyDescent="0.3">
      <c r="A464" s="22" t="s">
        <v>153</v>
      </c>
      <c r="B464" s="23">
        <v>57</v>
      </c>
      <c r="C464" s="3" t="s">
        <v>41</v>
      </c>
      <c r="D464" s="23">
        <v>2019</v>
      </c>
      <c r="E464" s="25">
        <v>1.08207343412527</v>
      </c>
      <c r="F464" s="25">
        <v>0.93995680345572352</v>
      </c>
      <c r="G464" s="25">
        <v>0.55231358959448396</v>
      </c>
      <c r="H464" s="25">
        <v>1.2337260224585662</v>
      </c>
      <c r="I464" s="25">
        <v>6.6782064304815605E-2</v>
      </c>
      <c r="J464" s="25">
        <v>6.1170383204965408E-2</v>
      </c>
      <c r="K464" s="25">
        <v>0.13663884971423118</v>
      </c>
      <c r="L464" s="25">
        <v>0.99329999999999996</v>
      </c>
      <c r="M464" s="24">
        <v>2</v>
      </c>
      <c r="N464" s="108">
        <v>0</v>
      </c>
      <c r="O464" s="24">
        <v>3</v>
      </c>
      <c r="P464" s="24">
        <v>0</v>
      </c>
      <c r="Q464" s="24">
        <v>3</v>
      </c>
      <c r="R464" s="24">
        <v>4</v>
      </c>
      <c r="S464" s="24">
        <v>0</v>
      </c>
      <c r="T464" s="24">
        <v>0</v>
      </c>
      <c r="U464" s="24">
        <v>421315000000</v>
      </c>
      <c r="V464" s="109">
        <v>0.47355961067772473</v>
      </c>
      <c r="W464" s="109">
        <v>1.4791782870298946E-2</v>
      </c>
      <c r="X464" s="109">
        <v>0.31712875164663018</v>
      </c>
      <c r="Y464" s="109">
        <v>0.47387631582070422</v>
      </c>
      <c r="Z464" s="109">
        <v>0.85108037026532246</v>
      </c>
      <c r="AA464" s="109">
        <v>1.6568772206029558</v>
      </c>
      <c r="AD464" s="111"/>
    </row>
    <row r="465" spans="1:30" ht="15" customHeight="1" x14ac:dyDescent="0.3">
      <c r="A465" s="22" t="s">
        <v>153</v>
      </c>
      <c r="B465" s="23">
        <v>57</v>
      </c>
      <c r="C465" s="3" t="s">
        <v>41</v>
      </c>
      <c r="D465" s="23">
        <v>2020</v>
      </c>
      <c r="E465" s="25">
        <v>2.4379900213827512</v>
      </c>
      <c r="F465" s="25">
        <v>1.5138987883107626</v>
      </c>
      <c r="G465" s="25">
        <v>0.35801250155491976</v>
      </c>
      <c r="H465" s="25">
        <v>0.52582658193880638</v>
      </c>
      <c r="I465" s="25">
        <v>1.0400761916279913E-2</v>
      </c>
      <c r="J465" s="25">
        <v>5.348923995521831E-3</v>
      </c>
      <c r="K465" s="25">
        <v>7.8561681768094596E-3</v>
      </c>
      <c r="L465" s="25">
        <v>0.99329999999999996</v>
      </c>
      <c r="M465" s="24">
        <v>2</v>
      </c>
      <c r="N465" s="108">
        <v>0</v>
      </c>
      <c r="O465" s="24">
        <v>3</v>
      </c>
      <c r="P465" s="24">
        <v>0</v>
      </c>
      <c r="Q465" s="24">
        <v>3</v>
      </c>
      <c r="R465" s="24">
        <v>4</v>
      </c>
      <c r="S465" s="24">
        <v>0</v>
      </c>
      <c r="T465" s="24">
        <v>0</v>
      </c>
      <c r="U465" s="24">
        <v>257248000000</v>
      </c>
      <c r="V465" s="109">
        <v>-0.6571809117104418</v>
      </c>
      <c r="W465" s="109">
        <v>0.1028952606045528</v>
      </c>
      <c r="X465" s="109">
        <v>0.22748577248413981</v>
      </c>
      <c r="Y465" s="109">
        <v>0.2863565120039806</v>
      </c>
      <c r="Z465" s="109">
        <v>1.9968560663640904</v>
      </c>
      <c r="AA465" s="109">
        <v>2.6135936114567637</v>
      </c>
      <c r="AD465" s="111"/>
    </row>
    <row r="466" spans="1:30" ht="15" customHeight="1" x14ac:dyDescent="0.3">
      <c r="A466" s="22" t="s">
        <v>153</v>
      </c>
      <c r="B466" s="23">
        <v>57</v>
      </c>
      <c r="C466" s="3" t="s">
        <v>41</v>
      </c>
      <c r="D466" s="23">
        <v>2021</v>
      </c>
      <c r="E466" s="25">
        <v>1.8158168574401665</v>
      </c>
      <c r="F466" s="25">
        <v>1.5797086368366284</v>
      </c>
      <c r="G466" s="25">
        <v>0.45669597198260276</v>
      </c>
      <c r="H466" s="25">
        <v>0.84059007191453916</v>
      </c>
      <c r="I466" s="25">
        <v>0.31486840736875704</v>
      </c>
      <c r="J466" s="25">
        <v>0.181414713265907</v>
      </c>
      <c r="K466" s="25">
        <v>0.33391012013645127</v>
      </c>
      <c r="L466" s="25">
        <v>0.99329999999999996</v>
      </c>
      <c r="M466" s="24">
        <v>2</v>
      </c>
      <c r="N466" s="108">
        <v>0</v>
      </c>
      <c r="O466" s="24">
        <v>3</v>
      </c>
      <c r="P466" s="24">
        <v>0</v>
      </c>
      <c r="Q466" s="24">
        <v>3</v>
      </c>
      <c r="R466" s="24">
        <v>3</v>
      </c>
      <c r="S466" s="24">
        <v>0</v>
      </c>
      <c r="T466" s="24">
        <v>0</v>
      </c>
      <c r="U466" s="24">
        <v>483985000000</v>
      </c>
      <c r="V466" s="109">
        <v>1.107764289709595</v>
      </c>
      <c r="W466" s="109">
        <v>0.10626445034453547</v>
      </c>
      <c r="X466" s="109">
        <v>0.13638538384454063</v>
      </c>
      <c r="Y466" s="109">
        <v>3.3989813733896708E-2</v>
      </c>
      <c r="Z466" s="109">
        <v>1.2491225331849398</v>
      </c>
      <c r="AA466" s="109">
        <v>1.5257621811079125</v>
      </c>
      <c r="AD466" s="111"/>
    </row>
    <row r="467" spans="1:30" ht="15" customHeight="1" x14ac:dyDescent="0.3">
      <c r="A467" s="22" t="s">
        <v>153</v>
      </c>
      <c r="B467" s="23">
        <v>57</v>
      </c>
      <c r="C467" s="3" t="s">
        <v>41</v>
      </c>
      <c r="D467" s="23">
        <v>2022</v>
      </c>
      <c r="E467" s="25">
        <v>1.3778846153846154</v>
      </c>
      <c r="F467" s="25">
        <v>0.25</v>
      </c>
      <c r="G467" s="25">
        <v>0.5761361899980354</v>
      </c>
      <c r="H467" s="25">
        <v>1.3592483632782073</v>
      </c>
      <c r="I467" s="25">
        <v>-0.25002283052898333</v>
      </c>
      <c r="J467" s="25">
        <v>-0.23905284756936107</v>
      </c>
      <c r="K467" s="25">
        <v>-0.56398503936500988</v>
      </c>
      <c r="L467" s="25">
        <v>0.99329999999999996</v>
      </c>
      <c r="M467" s="24">
        <v>2</v>
      </c>
      <c r="N467" s="108">
        <v>0</v>
      </c>
      <c r="O467" s="24">
        <v>3</v>
      </c>
      <c r="P467" s="24">
        <v>0</v>
      </c>
      <c r="Q467" s="24">
        <v>3</v>
      </c>
      <c r="R467" s="24">
        <v>3</v>
      </c>
      <c r="S467" s="24">
        <v>0</v>
      </c>
      <c r="T467" s="24">
        <v>0</v>
      </c>
      <c r="U467" s="24">
        <v>366488000000</v>
      </c>
      <c r="V467" s="109">
        <v>0.2566047343941073</v>
      </c>
      <c r="W467" s="109">
        <v>1.4069110039073582E-2</v>
      </c>
      <c r="X467" s="109">
        <v>6.6785488201523649E-2</v>
      </c>
      <c r="Y467" s="109">
        <v>0.12549300386370085</v>
      </c>
      <c r="Z467" s="109">
        <v>0.77248575636878569</v>
      </c>
      <c r="AA467" s="109">
        <v>0.97883335847308373</v>
      </c>
      <c r="AD467" s="111"/>
    </row>
    <row r="468" spans="1:30" ht="15" customHeight="1" x14ac:dyDescent="0.3">
      <c r="A468" s="22" t="s">
        <v>153</v>
      </c>
      <c r="B468" s="23">
        <v>57</v>
      </c>
      <c r="C468" s="3" t="s">
        <v>41</v>
      </c>
      <c r="D468" s="23">
        <v>2023</v>
      </c>
      <c r="E468" s="25">
        <v>0.82675601886324146</v>
      </c>
      <c r="F468" s="25">
        <v>0.35691238520724744</v>
      </c>
      <c r="G468" s="25">
        <v>0.14874839754402536</v>
      </c>
      <c r="H468" s="25">
        <v>0.1747408135442757</v>
      </c>
      <c r="I468" s="25">
        <v>-1.025805997960834</v>
      </c>
      <c r="J468" s="25">
        <v>-0.19686255988124957</v>
      </c>
      <c r="K468" s="25">
        <v>-0.23126248375130781</v>
      </c>
      <c r="L468" s="25">
        <v>0.99329999999999996</v>
      </c>
      <c r="M468" s="24">
        <v>2</v>
      </c>
      <c r="N468" s="108">
        <v>0</v>
      </c>
      <c r="O468" s="24">
        <v>3</v>
      </c>
      <c r="P468" s="24">
        <v>0</v>
      </c>
      <c r="Q468" s="24">
        <v>3</v>
      </c>
      <c r="R468" s="24">
        <v>3</v>
      </c>
      <c r="S468" s="24">
        <v>0</v>
      </c>
      <c r="T468" s="24">
        <v>0</v>
      </c>
      <c r="U468" s="24">
        <v>148210000000</v>
      </c>
      <c r="V468" s="109">
        <v>-0.91882890801579875</v>
      </c>
      <c r="W468" s="109">
        <v>-3.0894541528911679E-2</v>
      </c>
      <c r="X468" s="109">
        <v>0.19079171445921325</v>
      </c>
      <c r="Y468" s="109">
        <v>4.6383914715606232E-2</v>
      </c>
      <c r="Z468" s="109">
        <v>6.0088995736187973</v>
      </c>
      <c r="AA468" s="109">
        <v>6.2151806612647054</v>
      </c>
      <c r="AD468" s="111"/>
    </row>
    <row r="469" spans="1:30" ht="15" customHeight="1" x14ac:dyDescent="0.3">
      <c r="A469" s="22" t="s">
        <v>153</v>
      </c>
      <c r="B469" s="23">
        <v>57</v>
      </c>
      <c r="C469" s="3" t="s">
        <v>41</v>
      </c>
      <c r="D469" s="23">
        <v>2024</v>
      </c>
      <c r="E469" s="25">
        <v>6.5881164106709784</v>
      </c>
      <c r="F469" s="25">
        <v>1.2694017784963623</v>
      </c>
      <c r="G469" s="25">
        <v>0.26053605672746732</v>
      </c>
      <c r="H469" s="25">
        <v>0.35232301301912539</v>
      </c>
      <c r="I469" s="25">
        <v>0.13803302408715634</v>
      </c>
      <c r="J469" s="25">
        <v>3.6162645497926235E-2</v>
      </c>
      <c r="K469" s="25">
        <v>4.8902759873653424E-2</v>
      </c>
      <c r="L469" s="25">
        <v>0.99329999999999996</v>
      </c>
      <c r="M469" s="24">
        <v>2</v>
      </c>
      <c r="N469" s="108">
        <v>0</v>
      </c>
      <c r="O469" s="24">
        <v>3</v>
      </c>
      <c r="P469" s="24">
        <v>0</v>
      </c>
      <c r="Q469" s="24">
        <v>3</v>
      </c>
      <c r="R469" s="24">
        <v>3</v>
      </c>
      <c r="S469" s="24">
        <v>0</v>
      </c>
      <c r="T469" s="24">
        <v>0</v>
      </c>
      <c r="U469" s="24">
        <v>179384000000</v>
      </c>
      <c r="V469" s="109">
        <v>0.6522870302007524</v>
      </c>
      <c r="W469" s="109">
        <v>1.0111492663782722</v>
      </c>
      <c r="X469" s="109">
        <v>0.32533849172724433</v>
      </c>
      <c r="Y469" s="109">
        <v>0.28272220487891897</v>
      </c>
      <c r="Z469" s="109">
        <v>2.9802197449503596</v>
      </c>
      <c r="AA469" s="109">
        <v>4.599429707934795</v>
      </c>
      <c r="AD469" s="111"/>
    </row>
    <row r="470" spans="1:30" ht="15" customHeight="1" x14ac:dyDescent="0.3">
      <c r="A470" s="22" t="s">
        <v>153</v>
      </c>
      <c r="B470" s="23">
        <v>58</v>
      </c>
      <c r="C470" s="3" t="s">
        <v>49</v>
      </c>
      <c r="D470" s="23">
        <v>2020</v>
      </c>
      <c r="E470" s="25">
        <v>0.54689376083959618</v>
      </c>
      <c r="F470" s="25">
        <v>0.1542758037977498</v>
      </c>
      <c r="G470" s="25">
        <v>0.74771831761115415</v>
      </c>
      <c r="H470" s="25">
        <v>2.9638232571268639</v>
      </c>
      <c r="I470" s="25">
        <v>-0.32745394771173614</v>
      </c>
      <c r="J470" s="25">
        <v>-0.14769152221392745</v>
      </c>
      <c r="K470" s="25">
        <v>-0.58542309063203446</v>
      </c>
      <c r="L470" s="25">
        <v>0.8367</v>
      </c>
      <c r="M470" s="24">
        <v>2</v>
      </c>
      <c r="N470" s="108">
        <v>0</v>
      </c>
      <c r="O470" s="24">
        <v>4</v>
      </c>
      <c r="P470" s="24">
        <v>10</v>
      </c>
      <c r="Q470" s="24">
        <v>4</v>
      </c>
      <c r="R470" s="24">
        <v>5</v>
      </c>
      <c r="S470" s="24">
        <v>10</v>
      </c>
      <c r="T470" s="24">
        <v>9</v>
      </c>
      <c r="U470" s="24">
        <v>1657001000000</v>
      </c>
      <c r="V470" s="109">
        <v>0</v>
      </c>
      <c r="W470" s="109">
        <v>-0.40337839265033631</v>
      </c>
      <c r="X470" s="109">
        <v>-4.3223462025671671</v>
      </c>
      <c r="Y470" s="109">
        <v>-1.0497671878290959</v>
      </c>
      <c r="Z470" s="109">
        <v>0.35427213733988722</v>
      </c>
      <c r="AA470" s="109">
        <v>-5.4212196457067119</v>
      </c>
      <c r="AD470" s="111"/>
    </row>
    <row r="471" spans="1:30" ht="15" customHeight="1" x14ac:dyDescent="0.3">
      <c r="A471" s="22" t="s">
        <v>153</v>
      </c>
      <c r="B471" s="23">
        <v>58</v>
      </c>
      <c r="C471" s="3" t="s">
        <v>49</v>
      </c>
      <c r="D471" s="23">
        <v>2021</v>
      </c>
      <c r="E471" s="25">
        <v>0.7131679922009424</v>
      </c>
      <c r="F471" s="25">
        <v>0.18552341592057625</v>
      </c>
      <c r="G471" s="25">
        <v>0.85375968249447198</v>
      </c>
      <c r="H471" s="25">
        <v>5.8380595519576808</v>
      </c>
      <c r="I471" s="25">
        <v>-0.36031634178859312</v>
      </c>
      <c r="J471" s="25">
        <v>-0.1720095106314771</v>
      </c>
      <c r="K471" s="25">
        <v>-1.1762112772011382</v>
      </c>
      <c r="L471" s="25">
        <v>0.84</v>
      </c>
      <c r="M471" s="24">
        <v>0</v>
      </c>
      <c r="N471" s="108">
        <v>0</v>
      </c>
      <c r="O471" s="24">
        <v>2</v>
      </c>
      <c r="P471" s="24">
        <v>4</v>
      </c>
      <c r="Q471" s="24">
        <v>2</v>
      </c>
      <c r="R471" s="24">
        <v>5</v>
      </c>
      <c r="S471" s="24">
        <v>4</v>
      </c>
      <c r="T471" s="24">
        <v>11</v>
      </c>
      <c r="U471" s="24">
        <v>1706301000000</v>
      </c>
      <c r="V471" s="109">
        <v>8.9923557282530306E-2</v>
      </c>
      <c r="W471" s="109">
        <v>-0.26469121216010538</v>
      </c>
      <c r="X471" s="109">
        <v>-4.7531452305308379</v>
      </c>
      <c r="Y471" s="109">
        <v>-1.1496222530491396</v>
      </c>
      <c r="Z471" s="109">
        <v>0.17985428046000365</v>
      </c>
      <c r="AA471" s="109">
        <v>-5.9876044152800798</v>
      </c>
      <c r="AD471" s="111"/>
    </row>
    <row r="472" spans="1:30" ht="15" customHeight="1" x14ac:dyDescent="0.3">
      <c r="A472" s="22" t="s">
        <v>153</v>
      </c>
      <c r="B472" s="23">
        <v>58</v>
      </c>
      <c r="C472" s="3" t="s">
        <v>49</v>
      </c>
      <c r="D472" s="23">
        <v>2022</v>
      </c>
      <c r="E472" s="25">
        <v>0.54180901074515297</v>
      </c>
      <c r="F472" s="25">
        <v>0.13992057930390095</v>
      </c>
      <c r="G472" s="25">
        <v>0.82554579742325473</v>
      </c>
      <c r="H472" s="25">
        <v>4.7321634287375991</v>
      </c>
      <c r="I472" s="25">
        <v>-1.9808769587946235E-3</v>
      </c>
      <c r="J472" s="25">
        <v>-9.2437761825692134E-4</v>
      </c>
      <c r="K472" s="25">
        <v>-5.2986835777158901E-3</v>
      </c>
      <c r="L472" s="25">
        <v>0.84</v>
      </c>
      <c r="M472" s="24">
        <v>2</v>
      </c>
      <c r="N472" s="108">
        <v>0</v>
      </c>
      <c r="O472" s="24">
        <v>4</v>
      </c>
      <c r="P472" s="24">
        <v>8</v>
      </c>
      <c r="Q472" s="24">
        <v>4</v>
      </c>
      <c r="R472" s="24">
        <v>5</v>
      </c>
      <c r="S472" s="24">
        <v>8</v>
      </c>
      <c r="T472" s="24">
        <v>11</v>
      </c>
      <c r="U472" s="24">
        <v>2050028000000</v>
      </c>
      <c r="V472" s="109">
        <v>0.1744311666883552</v>
      </c>
      <c r="W472" s="109">
        <v>-0.40171291318947838</v>
      </c>
      <c r="X472" s="109">
        <v>-3.9499496982480236</v>
      </c>
      <c r="Y472" s="109">
        <v>1.2397411157311022E-2</v>
      </c>
      <c r="Z472" s="109">
        <v>0.22188582786966612</v>
      </c>
      <c r="AA472" s="109">
        <v>-4.1173793724105243</v>
      </c>
      <c r="AD472" s="111"/>
    </row>
    <row r="473" spans="1:30" ht="15" customHeight="1" x14ac:dyDescent="0.3">
      <c r="A473" s="22" t="s">
        <v>153</v>
      </c>
      <c r="B473" s="23">
        <v>58</v>
      </c>
      <c r="C473" s="3" t="s">
        <v>49</v>
      </c>
      <c r="D473" s="23">
        <v>2023</v>
      </c>
      <c r="E473" s="25">
        <v>0.90966386554621848</v>
      </c>
      <c r="F473" s="25">
        <v>0.46733787854764547</v>
      </c>
      <c r="G473" s="25">
        <v>0.88660577967391674</v>
      </c>
      <c r="H473" s="25">
        <v>7.8187916202813481</v>
      </c>
      <c r="I473" s="25">
        <v>-0.12359541773192927</v>
      </c>
      <c r="J473" s="25">
        <v>-5.0773894610050579E-2</v>
      </c>
      <c r="K473" s="25">
        <v>-0.44776439631616233</v>
      </c>
      <c r="L473" s="25">
        <v>0.84</v>
      </c>
      <c r="M473" s="24">
        <v>2</v>
      </c>
      <c r="N473" s="108">
        <v>0</v>
      </c>
      <c r="O473" s="24">
        <v>5</v>
      </c>
      <c r="P473" s="24">
        <v>13</v>
      </c>
      <c r="Q473" s="24">
        <v>5</v>
      </c>
      <c r="R473" s="24">
        <v>4</v>
      </c>
      <c r="S473" s="24">
        <v>13</v>
      </c>
      <c r="T473" s="24">
        <v>8</v>
      </c>
      <c r="U473" s="24">
        <v>2178462000000</v>
      </c>
      <c r="V473" s="109">
        <v>-6.4515960432636077E-2</v>
      </c>
      <c r="W473" s="109">
        <v>-7.5490249543026217E-2</v>
      </c>
      <c r="X473" s="109">
        <v>-3.9106002032626686</v>
      </c>
      <c r="Y473" s="109">
        <v>-0.40259933843234358</v>
      </c>
      <c r="Z473" s="109">
        <v>0.13429185109325337</v>
      </c>
      <c r="AA473" s="109">
        <v>-4.2543979401447842</v>
      </c>
      <c r="AD473" s="111"/>
    </row>
    <row r="474" spans="1:30" ht="15" customHeight="1" x14ac:dyDescent="0.3">
      <c r="A474" s="22" t="s">
        <v>153</v>
      </c>
      <c r="B474" s="23">
        <v>58</v>
      </c>
      <c r="C474" s="3" t="s">
        <v>49</v>
      </c>
      <c r="D474" s="23">
        <v>2024</v>
      </c>
      <c r="E474" s="25">
        <v>0.80682149046793761</v>
      </c>
      <c r="F474" s="25">
        <v>0.15859041016753322</v>
      </c>
      <c r="G474" s="25">
        <v>0.87658063944553677</v>
      </c>
      <c r="H474" s="25">
        <v>7.1024564987817591</v>
      </c>
      <c r="I474" s="25">
        <v>-0.11424151806793063</v>
      </c>
      <c r="J474" s="25">
        <v>-4.1428427828113658E-2</v>
      </c>
      <c r="K474" s="25">
        <v>-0.33567203429021059</v>
      </c>
      <c r="L474" s="25">
        <v>0.84</v>
      </c>
      <c r="M474" s="24">
        <v>2</v>
      </c>
      <c r="N474" s="108">
        <v>0</v>
      </c>
      <c r="O474" s="24">
        <v>4</v>
      </c>
      <c r="P474" s="24">
        <v>10</v>
      </c>
      <c r="Q474" s="24">
        <v>4</v>
      </c>
      <c r="R474" s="24">
        <v>4</v>
      </c>
      <c r="S474" s="24">
        <v>10</v>
      </c>
      <c r="T474" s="24">
        <v>8</v>
      </c>
      <c r="U474" s="24">
        <v>2347784000000</v>
      </c>
      <c r="V474" s="109">
        <v>-4.8640784510038795E-2</v>
      </c>
      <c r="W474" s="109">
        <v>-0.11679159581971765</v>
      </c>
      <c r="X474" s="109">
        <v>-3.7307273241490697</v>
      </c>
      <c r="Y474" s="109">
        <v>-0.22417612523128191</v>
      </c>
      <c r="Z474" s="109">
        <v>0.14783617473476962</v>
      </c>
      <c r="AA474" s="109">
        <v>-3.9238588704652999</v>
      </c>
      <c r="AD474" s="111"/>
    </row>
    <row r="475" spans="1:30" ht="15" customHeight="1" x14ac:dyDescent="0.3">
      <c r="A475" s="22" t="s">
        <v>154</v>
      </c>
      <c r="B475" s="23">
        <v>59</v>
      </c>
      <c r="C475" s="3" t="s">
        <v>59</v>
      </c>
      <c r="D475" s="23">
        <v>2019</v>
      </c>
      <c r="E475" s="25">
        <v>0.26895299002953388</v>
      </c>
      <c r="F475" s="25">
        <v>0.39507028179335152</v>
      </c>
      <c r="G475" s="25">
        <v>0.68424952220353108</v>
      </c>
      <c r="H475" s="25">
        <v>2.1670577570577572</v>
      </c>
      <c r="I475" s="25">
        <v>0.29934931014084959</v>
      </c>
      <c r="J475" s="25">
        <v>6.1249541012805844E-2</v>
      </c>
      <c r="K475" s="25">
        <v>0.19398083398083399</v>
      </c>
      <c r="L475" s="25">
        <v>0</v>
      </c>
      <c r="M475" s="24">
        <v>0</v>
      </c>
      <c r="N475" s="108">
        <v>0</v>
      </c>
      <c r="O475" s="24">
        <v>0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1222801000000</v>
      </c>
      <c r="V475" s="109">
        <v>0</v>
      </c>
      <c r="W475" s="109">
        <v>-0.88306819507017087</v>
      </c>
      <c r="X475" s="109">
        <v>0.20528012325799536</v>
      </c>
      <c r="Y475" s="109">
        <v>0.47259784707405378</v>
      </c>
      <c r="Z475" s="109">
        <v>0.48452792574647341</v>
      </c>
      <c r="AA475" s="109">
        <v>0.2793377010083517</v>
      </c>
      <c r="AD475" s="111"/>
    </row>
    <row r="476" spans="1:30" ht="15" customHeight="1" x14ac:dyDescent="0.3">
      <c r="A476" s="22" t="s">
        <v>154</v>
      </c>
      <c r="B476" s="23">
        <v>59</v>
      </c>
      <c r="C476" s="3" t="s">
        <v>59</v>
      </c>
      <c r="D476" s="23">
        <v>2020</v>
      </c>
      <c r="E476" s="25">
        <v>3.2900263980338016</v>
      </c>
      <c r="F476" s="25">
        <v>9.8249233850168399E-2</v>
      </c>
      <c r="G476" s="25">
        <v>0.6628567218642063</v>
      </c>
      <c r="H476" s="25">
        <v>1.9660979911253709</v>
      </c>
      <c r="I476" s="25">
        <v>0.51112712030912311</v>
      </c>
      <c r="J476" s="25">
        <v>6.7644649767927639E-2</v>
      </c>
      <c r="K476" s="25">
        <v>0.20064065978702947</v>
      </c>
      <c r="L476" s="25">
        <v>0.99990000000000001</v>
      </c>
      <c r="M476" s="24">
        <v>2</v>
      </c>
      <c r="N476" s="108">
        <v>0</v>
      </c>
      <c r="O476" s="24">
        <v>3</v>
      </c>
      <c r="P476" s="24">
        <v>0</v>
      </c>
      <c r="Q476" s="24">
        <v>3</v>
      </c>
      <c r="R476" s="24">
        <v>3</v>
      </c>
      <c r="S476" s="24">
        <v>0</v>
      </c>
      <c r="T476" s="24">
        <v>0</v>
      </c>
      <c r="U476" s="24">
        <v>1153735000000</v>
      </c>
      <c r="V476" s="109">
        <v>-0.38971846072679017</v>
      </c>
      <c r="W476" s="109">
        <v>2.1456354535486919</v>
      </c>
      <c r="X476" s="109">
        <v>0.22086063090744407</v>
      </c>
      <c r="Y476" s="109">
        <v>0.5499725326873155</v>
      </c>
      <c r="Z476" s="109">
        <v>0.5340527301993695</v>
      </c>
      <c r="AA476" s="109">
        <v>3.4505213473428209</v>
      </c>
      <c r="AD476" s="111"/>
    </row>
    <row r="477" spans="1:30" ht="15" customHeight="1" x14ac:dyDescent="0.3">
      <c r="A477" s="22" t="s">
        <v>154</v>
      </c>
      <c r="B477" s="23">
        <v>59</v>
      </c>
      <c r="C477" s="3" t="s">
        <v>59</v>
      </c>
      <c r="D477" s="23">
        <v>2021</v>
      </c>
      <c r="E477" s="25">
        <v>2.8036544956349965</v>
      </c>
      <c r="F477" s="25">
        <v>0.12844367977229762</v>
      </c>
      <c r="G477" s="25">
        <v>0.66404566583199753</v>
      </c>
      <c r="H477" s="25">
        <v>1.9766001626865632</v>
      </c>
      <c r="I477" s="25">
        <v>0.47416441796467979</v>
      </c>
      <c r="J477" s="25">
        <v>6.1980296220240899E-2</v>
      </c>
      <c r="K477" s="25">
        <v>0.18449072088859089</v>
      </c>
      <c r="L477" s="25">
        <v>0.99990000000000001</v>
      </c>
      <c r="M477" s="24">
        <v>2</v>
      </c>
      <c r="N477" s="108">
        <v>0</v>
      </c>
      <c r="O477" s="24">
        <v>3</v>
      </c>
      <c r="P477" s="24">
        <v>0</v>
      </c>
      <c r="Q477" s="24">
        <v>3</v>
      </c>
      <c r="R477" s="24">
        <v>3</v>
      </c>
      <c r="S477" s="24">
        <v>0</v>
      </c>
      <c r="T477" s="24">
        <v>0</v>
      </c>
      <c r="U477" s="24">
        <v>1145364000000</v>
      </c>
      <c r="V477" s="109">
        <v>-1.9477372453991747E-2</v>
      </c>
      <c r="W477" s="109">
        <v>1.9453640240133268</v>
      </c>
      <c r="X477" s="109">
        <v>0.21707830872980116</v>
      </c>
      <c r="Y477" s="109">
        <v>0.53288799019351052</v>
      </c>
      <c r="Z477" s="109">
        <v>0.53121517432886212</v>
      </c>
      <c r="AA477" s="109">
        <v>3.2265454972655001</v>
      </c>
      <c r="AD477" s="111"/>
    </row>
    <row r="478" spans="1:30" ht="15" customHeight="1" x14ac:dyDescent="0.3">
      <c r="A478" s="22" t="s">
        <v>154</v>
      </c>
      <c r="B478" s="23">
        <v>59</v>
      </c>
      <c r="C478" s="3" t="s">
        <v>59</v>
      </c>
      <c r="D478" s="23">
        <v>2022</v>
      </c>
      <c r="E478" s="25">
        <v>3.2581465194706682</v>
      </c>
      <c r="F478" s="25">
        <v>0.24450321350595036</v>
      </c>
      <c r="G478" s="25">
        <v>0.67385654604334577</v>
      </c>
      <c r="H478" s="25">
        <v>2.0661354317198839</v>
      </c>
      <c r="I478" s="25">
        <v>0.48951457667604775</v>
      </c>
      <c r="J478" s="25">
        <v>6.4163490579156823E-2</v>
      </c>
      <c r="K478" s="25">
        <v>0.19673395188757767</v>
      </c>
      <c r="L478" s="25">
        <v>0.99990000000000001</v>
      </c>
      <c r="M478" s="24">
        <v>2</v>
      </c>
      <c r="N478" s="108">
        <v>0</v>
      </c>
      <c r="O478" s="24">
        <v>3</v>
      </c>
      <c r="P478" s="24">
        <v>0</v>
      </c>
      <c r="Q478" s="24">
        <v>3</v>
      </c>
      <c r="R478" s="24">
        <v>4</v>
      </c>
      <c r="S478" s="24">
        <v>0</v>
      </c>
      <c r="T478" s="24">
        <v>0</v>
      </c>
      <c r="U478" s="24">
        <v>1200901000000</v>
      </c>
      <c r="V478" s="109">
        <v>5.1383953618851695E-2</v>
      </c>
      <c r="W478" s="109">
        <v>2.4067843727334726</v>
      </c>
      <c r="X478" s="109">
        <v>0.23451403571151994</v>
      </c>
      <c r="Y478" s="109">
        <v>0.55528227555810172</v>
      </c>
      <c r="Z478" s="109">
        <v>0.50819514726871673</v>
      </c>
      <c r="AA478" s="109">
        <v>3.7047758312718111</v>
      </c>
      <c r="AD478" s="111"/>
    </row>
    <row r="479" spans="1:30" ht="15" customHeight="1" x14ac:dyDescent="0.3">
      <c r="A479" s="22" t="s">
        <v>154</v>
      </c>
      <c r="B479" s="23">
        <v>59</v>
      </c>
      <c r="C479" s="3" t="s">
        <v>59</v>
      </c>
      <c r="D479" s="23">
        <v>2023</v>
      </c>
      <c r="E479" s="25">
        <v>3.5579959420067926</v>
      </c>
      <c r="F479" s="25">
        <v>0.25787945244436666</v>
      </c>
      <c r="G479" s="25">
        <v>0.63636149167257139</v>
      </c>
      <c r="H479" s="25">
        <v>1.7499837808694796</v>
      </c>
      <c r="I479" s="25">
        <v>0.66758848447130148</v>
      </c>
      <c r="J479" s="25">
        <v>0.10820654203250597</v>
      </c>
      <c r="K479" s="25">
        <v>0.29756623557336304</v>
      </c>
      <c r="L479" s="25">
        <v>0.99990000000000001</v>
      </c>
      <c r="M479" s="24">
        <v>3</v>
      </c>
      <c r="N479" s="108">
        <v>0</v>
      </c>
      <c r="O479" s="24">
        <v>4</v>
      </c>
      <c r="P479" s="24">
        <v>0</v>
      </c>
      <c r="Q479" s="24">
        <v>4</v>
      </c>
      <c r="R479" s="24">
        <v>4</v>
      </c>
      <c r="S479" s="24">
        <v>0</v>
      </c>
      <c r="T479" s="24">
        <v>0</v>
      </c>
      <c r="U479" s="24">
        <v>1229251000000</v>
      </c>
      <c r="V479" s="109">
        <v>0.26577260512423051</v>
      </c>
      <c r="W479" s="109">
        <v>2.4960639608997672</v>
      </c>
      <c r="X479" s="109">
        <v>0.3715402468657743</v>
      </c>
      <c r="Y479" s="109">
        <v>0.88811622687311209</v>
      </c>
      <c r="Z479" s="109">
        <v>0.60000556089628865</v>
      </c>
      <c r="AA479" s="109">
        <v>4.3557259955349421</v>
      </c>
      <c r="AD479" s="111"/>
    </row>
    <row r="480" spans="1:30" ht="15" customHeight="1" x14ac:dyDescent="0.3">
      <c r="A480" s="22" t="s">
        <v>154</v>
      </c>
      <c r="B480" s="23">
        <v>59</v>
      </c>
      <c r="C480" s="3" t="s">
        <v>59</v>
      </c>
      <c r="D480" s="23">
        <v>2024</v>
      </c>
      <c r="E480" s="25">
        <v>3.7194586822769327</v>
      </c>
      <c r="F480" s="25">
        <v>0.43950088227880008</v>
      </c>
      <c r="G480" s="25">
        <v>0.58955452791406882</v>
      </c>
      <c r="H480" s="25">
        <v>1.4363772242823993</v>
      </c>
      <c r="I480" s="25">
        <v>0.68817081993020512</v>
      </c>
      <c r="J480" s="25">
        <v>0.10355983288121064</v>
      </c>
      <c r="K480" s="25">
        <v>0.25231081818227313</v>
      </c>
      <c r="L480" s="25">
        <v>0.99990000000000001</v>
      </c>
      <c r="M480" s="24">
        <v>3</v>
      </c>
      <c r="N480" s="108">
        <v>0</v>
      </c>
      <c r="O480" s="24">
        <v>4</v>
      </c>
      <c r="P480" s="24">
        <v>0</v>
      </c>
      <c r="Q480" s="24">
        <v>4</v>
      </c>
      <c r="R480" s="24">
        <v>4</v>
      </c>
      <c r="S480" s="24">
        <v>0</v>
      </c>
      <c r="T480" s="24">
        <v>0</v>
      </c>
      <c r="U480" s="24">
        <v>1460518000000</v>
      </c>
      <c r="V480" s="109">
        <v>0.10310473590170846</v>
      </c>
      <c r="W480" s="109">
        <v>2.6165880324651938</v>
      </c>
      <c r="X480" s="109">
        <v>0.65977077995615252</v>
      </c>
      <c r="Y480" s="109">
        <v>0.87567813611335155</v>
      </c>
      <c r="Z480" s="109">
        <v>0.73100574295486354</v>
      </c>
      <c r="AA480" s="109">
        <v>4.8830426914895613</v>
      </c>
      <c r="AD480" s="111"/>
    </row>
    <row r="481" spans="1:30" ht="15" customHeight="1" x14ac:dyDescent="0.3">
      <c r="A481" s="22" t="s">
        <v>154</v>
      </c>
      <c r="B481" s="23">
        <v>60</v>
      </c>
      <c r="C481" s="3" t="s">
        <v>63</v>
      </c>
      <c r="D481" s="23">
        <v>2020</v>
      </c>
      <c r="E481" s="25">
        <v>1.598297231825772</v>
      </c>
      <c r="F481" s="25">
        <v>0.4191537900703215</v>
      </c>
      <c r="G481" s="25">
        <v>0.46931802202952894</v>
      </c>
      <c r="H481" s="25">
        <v>0.88436774096678183</v>
      </c>
      <c r="I481" s="25">
        <v>0.10357912809357045</v>
      </c>
      <c r="J481" s="25">
        <v>2.4883993438012654E-2</v>
      </c>
      <c r="K481" s="25">
        <v>4.6890594501020129E-2</v>
      </c>
      <c r="L481" s="25">
        <v>0</v>
      </c>
      <c r="M481" s="24">
        <v>0</v>
      </c>
      <c r="N481" s="108">
        <v>0</v>
      </c>
      <c r="O481" s="24">
        <v>0</v>
      </c>
      <c r="P481" s="24">
        <v>0</v>
      </c>
      <c r="Q481" s="24">
        <v>0</v>
      </c>
      <c r="R481" s="24">
        <v>0</v>
      </c>
      <c r="S481" s="24">
        <v>0</v>
      </c>
      <c r="T481" s="24">
        <v>0</v>
      </c>
      <c r="U481" s="24">
        <v>426700000000</v>
      </c>
      <c r="V481" s="109">
        <v>0</v>
      </c>
      <c r="W481" s="109">
        <v>0.78218814155144123</v>
      </c>
      <c r="X481" s="109">
        <v>0.82224274666041719</v>
      </c>
      <c r="Y481" s="109">
        <v>0.12788000937426763</v>
      </c>
      <c r="Z481" s="109">
        <v>1.187288897322454</v>
      </c>
      <c r="AA481" s="109">
        <v>2.9195997949085801</v>
      </c>
      <c r="AD481" s="111"/>
    </row>
    <row r="482" spans="1:30" ht="15" customHeight="1" x14ac:dyDescent="0.3">
      <c r="A482" s="22" t="s">
        <v>154</v>
      </c>
      <c r="B482" s="23">
        <v>60</v>
      </c>
      <c r="C482" s="3" t="s">
        <v>63</v>
      </c>
      <c r="D482" s="23">
        <v>2021</v>
      </c>
      <c r="E482" s="25">
        <v>4.4111592863742981</v>
      </c>
      <c r="F482" s="25">
        <v>0.23556755988343167</v>
      </c>
      <c r="G482" s="25">
        <v>0.68153973904343146</v>
      </c>
      <c r="H482" s="25">
        <v>2.1365246335374573</v>
      </c>
      <c r="I482" s="25">
        <v>0.11568608933799225</v>
      </c>
      <c r="J482" s="25">
        <v>1.8760081948802416E-2</v>
      </c>
      <c r="K482" s="25">
        <v>5.8810036912966476E-2</v>
      </c>
      <c r="L482" s="25">
        <v>0.65</v>
      </c>
      <c r="M482" s="24">
        <v>2</v>
      </c>
      <c r="N482" s="108">
        <v>0</v>
      </c>
      <c r="O482" s="24">
        <v>4</v>
      </c>
      <c r="P482" s="24">
        <v>0</v>
      </c>
      <c r="Q482" s="24">
        <v>4</v>
      </c>
      <c r="R482" s="24">
        <v>3</v>
      </c>
      <c r="S482" s="24">
        <v>0</v>
      </c>
      <c r="T482" s="24">
        <v>0</v>
      </c>
      <c r="U482" s="24">
        <v>587684000000</v>
      </c>
      <c r="V482" s="109">
        <v>-7.0333915384690429E-2</v>
      </c>
      <c r="W482" s="109">
        <v>2.6785219267497498</v>
      </c>
      <c r="X482" s="109">
        <v>0.38648443721455744</v>
      </c>
      <c r="Y482" s="109">
        <v>0.17490542536465176</v>
      </c>
      <c r="Z482" s="109">
        <v>0.49145232566848929</v>
      </c>
      <c r="AA482" s="109">
        <v>3.7313641149974481</v>
      </c>
      <c r="AD482" s="111"/>
    </row>
    <row r="483" spans="1:30" ht="15" customHeight="1" x14ac:dyDescent="0.3">
      <c r="A483" s="22" t="s">
        <v>154</v>
      </c>
      <c r="B483" s="23">
        <v>60</v>
      </c>
      <c r="C483" s="3" t="s">
        <v>63</v>
      </c>
      <c r="D483" s="23">
        <v>2022</v>
      </c>
      <c r="E483" s="25">
        <v>3.7978737988708451</v>
      </c>
      <c r="F483" s="25">
        <v>0.27958423171354863</v>
      </c>
      <c r="G483" s="25">
        <v>0.65569776922094636</v>
      </c>
      <c r="H483" s="25">
        <v>1.9044249807423468</v>
      </c>
      <c r="I483" s="25">
        <v>0.20896655839699896</v>
      </c>
      <c r="J483" s="25">
        <v>3.739084309892636E-2</v>
      </c>
      <c r="K483" s="25">
        <v>0.10859889874753929</v>
      </c>
      <c r="L483" s="25">
        <v>0.65300000000000002</v>
      </c>
      <c r="M483" s="24">
        <v>2</v>
      </c>
      <c r="N483" s="108">
        <v>0</v>
      </c>
      <c r="O483" s="24">
        <v>4</v>
      </c>
      <c r="P483" s="24">
        <v>0</v>
      </c>
      <c r="Q483" s="24">
        <v>4</v>
      </c>
      <c r="R483" s="24">
        <v>3</v>
      </c>
      <c r="S483" s="24">
        <v>0</v>
      </c>
      <c r="T483" s="24">
        <v>0</v>
      </c>
      <c r="U483" s="24">
        <v>610818000000</v>
      </c>
      <c r="V483" s="109">
        <v>0.14684001217196041</v>
      </c>
      <c r="W483" s="109">
        <v>2.4109867096254529</v>
      </c>
      <c r="X483" s="109">
        <v>0.48464652318693946</v>
      </c>
      <c r="Y483" s="109">
        <v>0.30474543972181561</v>
      </c>
      <c r="Z483" s="109">
        <v>0.55134752516778529</v>
      </c>
      <c r="AA483" s="109">
        <v>3.7517261977019931</v>
      </c>
      <c r="AD483" s="111"/>
    </row>
    <row r="484" spans="1:30" ht="15" customHeight="1" x14ac:dyDescent="0.3">
      <c r="A484" s="22" t="s">
        <v>154</v>
      </c>
      <c r="B484" s="23">
        <v>60</v>
      </c>
      <c r="C484" s="3" t="s">
        <v>63</v>
      </c>
      <c r="D484" s="23">
        <v>2023</v>
      </c>
      <c r="E484" s="25">
        <v>2.2739861161856045</v>
      </c>
      <c r="F484" s="25">
        <v>0.14520460358056267</v>
      </c>
      <c r="G484" s="25">
        <v>0.6338895406870757</v>
      </c>
      <c r="H484" s="25">
        <v>1.7314160919540229</v>
      </c>
      <c r="I484" s="25">
        <v>6.6146178179945558E-2</v>
      </c>
      <c r="J484" s="25">
        <v>1.2107735787760296E-2</v>
      </c>
      <c r="K484" s="25">
        <v>3.3071264367816093E-2</v>
      </c>
      <c r="L484" s="25">
        <v>0.65</v>
      </c>
      <c r="M484" s="24">
        <v>2</v>
      </c>
      <c r="N484" s="108">
        <v>0</v>
      </c>
      <c r="O484" s="24">
        <v>4</v>
      </c>
      <c r="P484" s="24">
        <v>0</v>
      </c>
      <c r="Q484" s="24">
        <v>4</v>
      </c>
      <c r="R484" s="24">
        <v>3</v>
      </c>
      <c r="S484" s="24">
        <v>0</v>
      </c>
      <c r="T484" s="24">
        <v>0</v>
      </c>
      <c r="U484" s="24">
        <v>594083000000</v>
      </c>
      <c r="V484" s="109">
        <v>-5.0414017109657351E-3</v>
      </c>
      <c r="W484" s="109">
        <v>1.5401258073366852</v>
      </c>
      <c r="X484" s="109">
        <v>0.54203372256065219</v>
      </c>
      <c r="Y484" s="109">
        <v>0.13414368026016565</v>
      </c>
      <c r="Z484" s="109">
        <v>0.60644001455190488</v>
      </c>
      <c r="AA484" s="109">
        <v>2.8227432247094075</v>
      </c>
      <c r="AD484" s="111"/>
    </row>
    <row r="485" spans="1:30" ht="15" customHeight="1" x14ac:dyDescent="0.3">
      <c r="A485" s="22" t="s">
        <v>154</v>
      </c>
      <c r="B485" s="23">
        <v>60</v>
      </c>
      <c r="C485" s="3" t="s">
        <v>63</v>
      </c>
      <c r="D485" s="23">
        <v>2024</v>
      </c>
      <c r="E485" s="25">
        <v>2.709921607481184</v>
      </c>
      <c r="F485" s="25">
        <v>0.20242999426396205</v>
      </c>
      <c r="G485" s="25">
        <v>0.61591073451951872</v>
      </c>
      <c r="H485" s="25">
        <v>1.6035614370764504</v>
      </c>
      <c r="I485" s="25">
        <v>0.24459174564585667</v>
      </c>
      <c r="J485" s="25">
        <v>3.7705354816231045E-2</v>
      </c>
      <c r="K485" s="25">
        <v>9.8168207770823968E-2</v>
      </c>
      <c r="L485" s="25">
        <v>0.65</v>
      </c>
      <c r="M485" s="24">
        <v>2</v>
      </c>
      <c r="N485" s="108">
        <v>0</v>
      </c>
      <c r="O485" s="24">
        <v>4</v>
      </c>
      <c r="P485" s="24">
        <v>0</v>
      </c>
      <c r="Q485" s="24">
        <v>4</v>
      </c>
      <c r="R485" s="24">
        <v>4</v>
      </c>
      <c r="S485" s="24">
        <v>0</v>
      </c>
      <c r="T485" s="24">
        <v>0</v>
      </c>
      <c r="U485" s="24">
        <v>683086000000</v>
      </c>
      <c r="V485" s="109">
        <v>-3.1652321047598027E-2</v>
      </c>
      <c r="W485" s="109">
        <v>1.8894550905742469</v>
      </c>
      <c r="X485" s="109">
        <v>0.58384355703381408</v>
      </c>
      <c r="Y485" s="109">
        <v>8.2705603686797857E-2</v>
      </c>
      <c r="Z485" s="109">
        <v>0.65479249857387334</v>
      </c>
      <c r="AA485" s="109">
        <v>3.2107967498687322</v>
      </c>
      <c r="AD485" s="111"/>
    </row>
    <row r="486" spans="1:30" ht="15" customHeight="1" x14ac:dyDescent="0.3">
      <c r="A486" s="22" t="s">
        <v>154</v>
      </c>
      <c r="B486" s="23">
        <v>61</v>
      </c>
      <c r="C486" s="2" t="s">
        <v>61</v>
      </c>
      <c r="D486" s="23">
        <v>2015</v>
      </c>
      <c r="E486" s="25">
        <v>4.7370243789567912</v>
      </c>
      <c r="F486" s="25">
        <v>0.19410990444905529</v>
      </c>
      <c r="G486" s="25">
        <v>0.78860853461788716</v>
      </c>
      <c r="H486" s="25">
        <v>3.7305599504331566</v>
      </c>
      <c r="I486" s="25">
        <v>8.663575572229669E-2</v>
      </c>
      <c r="J486" s="25">
        <v>2.0950402070154937E-2</v>
      </c>
      <c r="K486" s="25">
        <v>9.9107132978546855E-2</v>
      </c>
      <c r="L486" s="25">
        <v>0.97750000000000004</v>
      </c>
      <c r="M486" s="24">
        <v>3</v>
      </c>
      <c r="N486" s="108">
        <v>0</v>
      </c>
      <c r="O486" s="24">
        <v>5</v>
      </c>
      <c r="P486" s="24">
        <v>0</v>
      </c>
      <c r="Q486" s="24">
        <v>5</v>
      </c>
      <c r="R486" s="24">
        <v>4</v>
      </c>
      <c r="S486" s="24">
        <v>0</v>
      </c>
      <c r="T486" s="24">
        <v>0</v>
      </c>
      <c r="U486" s="24">
        <v>2137811000000</v>
      </c>
      <c r="V486" s="109">
        <v>0.17950010837449662</v>
      </c>
      <c r="W486" s="109">
        <v>3.0231078799762932</v>
      </c>
      <c r="X486" s="109">
        <v>0.40678728849276197</v>
      </c>
      <c r="Y486" s="109">
        <v>0.11759153638932533</v>
      </c>
      <c r="Z486" s="109">
        <v>0.28145908763055372</v>
      </c>
      <c r="AA486" s="109">
        <v>3.8289457924889345</v>
      </c>
      <c r="AD486" s="111"/>
    </row>
    <row r="487" spans="1:30" ht="15" customHeight="1" x14ac:dyDescent="0.3">
      <c r="A487" s="22" t="s">
        <v>154</v>
      </c>
      <c r="B487" s="23">
        <v>61</v>
      </c>
      <c r="C487" s="3" t="s">
        <v>61</v>
      </c>
      <c r="D487" s="23">
        <v>2016</v>
      </c>
      <c r="E487" s="25">
        <v>3.4012834850231406</v>
      </c>
      <c r="F487" s="25">
        <v>8.2204979096054911E-2</v>
      </c>
      <c r="G487" s="25">
        <v>0.79083473813079674</v>
      </c>
      <c r="H487" s="25">
        <v>3.7809086033861949</v>
      </c>
      <c r="I487" s="25">
        <v>-0.12216830772844917</v>
      </c>
      <c r="J487" s="25">
        <v>-3.2222207978394965E-2</v>
      </c>
      <c r="K487" s="25">
        <v>-0.15405143134400776</v>
      </c>
      <c r="L487" s="25">
        <v>0.97750000000000004</v>
      </c>
      <c r="M487" s="24">
        <v>3</v>
      </c>
      <c r="N487" s="108">
        <v>0</v>
      </c>
      <c r="O487" s="24">
        <v>5</v>
      </c>
      <c r="P487" s="24">
        <v>0</v>
      </c>
      <c r="Q487" s="24">
        <v>5</v>
      </c>
      <c r="R487" s="24">
        <v>3</v>
      </c>
      <c r="S487" s="24">
        <v>0</v>
      </c>
      <c r="T487" s="24">
        <v>0</v>
      </c>
      <c r="U487" s="24">
        <v>1872156000000</v>
      </c>
      <c r="V487" s="109">
        <v>-4.4844081560016173E-2</v>
      </c>
      <c r="W487" s="109">
        <v>2.445249989851273</v>
      </c>
      <c r="X487" s="109">
        <v>0.3493864613846282</v>
      </c>
      <c r="Y487" s="109">
        <v>-0.16709222949369604</v>
      </c>
      <c r="Z487" s="109">
        <v>0.27771102402729769</v>
      </c>
      <c r="AA487" s="109">
        <v>2.9052552457695029</v>
      </c>
      <c r="AD487" s="111"/>
    </row>
    <row r="488" spans="1:30" ht="15" customHeight="1" x14ac:dyDescent="0.3">
      <c r="A488" s="22" t="s">
        <v>154</v>
      </c>
      <c r="B488" s="23">
        <v>61</v>
      </c>
      <c r="C488" s="3" t="s">
        <v>61</v>
      </c>
      <c r="D488" s="23">
        <v>2017</v>
      </c>
      <c r="E488" s="25">
        <v>1.8938343738515091</v>
      </c>
      <c r="F488" s="25">
        <v>4.6515493069844635E-2</v>
      </c>
      <c r="G488" s="25">
        <v>0.5914088656959704</v>
      </c>
      <c r="H488" s="25">
        <v>1.4474344057987014</v>
      </c>
      <c r="I488" s="25">
        <v>-5.8415788978939578E-2</v>
      </c>
      <c r="J488" s="25">
        <v>-1.23990834064558E-2</v>
      </c>
      <c r="K488" s="25">
        <v>-3.034594332932769E-2</v>
      </c>
      <c r="L488" s="25">
        <v>0.97750000000000004</v>
      </c>
      <c r="M488" s="24">
        <v>3</v>
      </c>
      <c r="N488" s="108">
        <v>0</v>
      </c>
      <c r="O488" s="24">
        <v>4</v>
      </c>
      <c r="P488" s="24">
        <v>0</v>
      </c>
      <c r="Q488" s="24">
        <v>4</v>
      </c>
      <c r="R488" s="24">
        <v>3</v>
      </c>
      <c r="S488" s="24">
        <v>0</v>
      </c>
      <c r="T488" s="24">
        <v>0</v>
      </c>
      <c r="U488" s="24">
        <v>2305493000000</v>
      </c>
      <c r="V488" s="109">
        <v>-8.9755481119351294E-3</v>
      </c>
      <c r="W488" s="109">
        <v>1.0864736002234663</v>
      </c>
      <c r="X488" s="109">
        <v>0.22113769159134294</v>
      </c>
      <c r="Y488" s="109">
        <v>-0.11320122854417687</v>
      </c>
      <c r="Z488" s="109">
        <v>0.72542147388061073</v>
      </c>
      <c r="AA488" s="109">
        <v>1.9198315371512433</v>
      </c>
      <c r="AD488" s="111"/>
    </row>
    <row r="489" spans="1:30" ht="15" customHeight="1" x14ac:dyDescent="0.3">
      <c r="A489" s="22" t="s">
        <v>154</v>
      </c>
      <c r="B489" s="23">
        <v>61</v>
      </c>
      <c r="C489" s="3" t="s">
        <v>61</v>
      </c>
      <c r="D489" s="23">
        <v>2018</v>
      </c>
      <c r="E489" s="25">
        <v>2.8750050718169278</v>
      </c>
      <c r="F489" s="25">
        <v>4.7413880548567718E-2</v>
      </c>
      <c r="G489" s="25">
        <v>0.63891403921464063</v>
      </c>
      <c r="H489" s="25">
        <v>1.7867762686066326</v>
      </c>
      <c r="I489" s="25">
        <v>-5.4938194986967281E-2</v>
      </c>
      <c r="J489" s="25">
        <v>-1.1802114404986862E-2</v>
      </c>
      <c r="K489" s="25">
        <v>-3.3005594874910352E-2</v>
      </c>
      <c r="L489" s="25">
        <v>0.97750000000000004</v>
      </c>
      <c r="M489" s="24">
        <v>3</v>
      </c>
      <c r="N489" s="108">
        <v>0</v>
      </c>
      <c r="O489" s="24">
        <v>5</v>
      </c>
      <c r="P489" s="24">
        <v>0</v>
      </c>
      <c r="Q489" s="24">
        <v>5</v>
      </c>
      <c r="R489" s="24">
        <v>3</v>
      </c>
      <c r="S489" s="24">
        <v>0</v>
      </c>
      <c r="T489" s="24">
        <v>0</v>
      </c>
      <c r="U489" s="24">
        <v>2550221000000</v>
      </c>
      <c r="V489" s="109">
        <v>0.11954127278003245</v>
      </c>
      <c r="W489" s="109">
        <v>1.9019316051432404</v>
      </c>
      <c r="X489" s="109">
        <v>0.20566772056225713</v>
      </c>
      <c r="Y489" s="109">
        <v>-4.4142621364971893E-2</v>
      </c>
      <c r="Z489" s="109">
        <v>0.58765051811372726</v>
      </c>
      <c r="AA489" s="109">
        <v>2.6511072224542529</v>
      </c>
      <c r="AD489" s="111"/>
    </row>
    <row r="490" spans="1:30" ht="15" customHeight="1" x14ac:dyDescent="0.3">
      <c r="A490" s="22" t="s">
        <v>154</v>
      </c>
      <c r="B490" s="23">
        <v>61</v>
      </c>
      <c r="C490" s="3" t="s">
        <v>61</v>
      </c>
      <c r="D490" s="23">
        <v>2019</v>
      </c>
      <c r="E490" s="25">
        <v>1.5481815078883494</v>
      </c>
      <c r="F490" s="25">
        <v>4.6455931432038834E-2</v>
      </c>
      <c r="G490" s="25">
        <v>0.61314491794840487</v>
      </c>
      <c r="H490" s="25">
        <v>1.6016406265150585</v>
      </c>
      <c r="I490" s="25">
        <v>2.5013255058053314E-2</v>
      </c>
      <c r="J490" s="25">
        <v>6.7129373761637108E-3</v>
      </c>
      <c r="K490" s="25">
        <v>1.7535354057717129E-2</v>
      </c>
      <c r="L490" s="25">
        <v>0.97750000000000004</v>
      </c>
      <c r="M490" s="24">
        <v>3</v>
      </c>
      <c r="N490" s="108">
        <v>0</v>
      </c>
      <c r="O490" s="24">
        <v>4</v>
      </c>
      <c r="P490" s="24">
        <v>0</v>
      </c>
      <c r="Q490" s="24">
        <v>4</v>
      </c>
      <c r="R490" s="24">
        <v>4</v>
      </c>
      <c r="S490" s="24">
        <v>0</v>
      </c>
      <c r="T490" s="24">
        <v>0</v>
      </c>
      <c r="U490" s="24">
        <v>2424572000000</v>
      </c>
      <c r="V490" s="109">
        <v>0.18772040624110162</v>
      </c>
      <c r="W490" s="109">
        <v>0.78216849819267065</v>
      </c>
      <c r="X490" s="109">
        <v>0.20392244074418081</v>
      </c>
      <c r="Y490" s="109">
        <v>-2.9528873549640927E-2</v>
      </c>
      <c r="Z490" s="109">
        <v>0.65557777607368162</v>
      </c>
      <c r="AA490" s="109">
        <v>1.6121398414608921</v>
      </c>
      <c r="AD490" s="111"/>
    </row>
    <row r="491" spans="1:30" ht="15" customHeight="1" x14ac:dyDescent="0.3">
      <c r="A491" s="22" t="s">
        <v>154</v>
      </c>
      <c r="B491" s="23">
        <v>61</v>
      </c>
      <c r="C491" s="3" t="s">
        <v>61</v>
      </c>
      <c r="D491" s="23">
        <v>2020</v>
      </c>
      <c r="E491" s="25">
        <v>1.7916718902552531</v>
      </c>
      <c r="F491" s="25">
        <v>0.12877190583104445</v>
      </c>
      <c r="G491" s="25">
        <v>0.62416250743703316</v>
      </c>
      <c r="H491" s="25">
        <v>1.6803347159330435</v>
      </c>
      <c r="I491" s="25">
        <v>-6.069900365430865E-2</v>
      </c>
      <c r="J491" s="25">
        <v>-1.2044275137171944E-2</v>
      </c>
      <c r="K491" s="25">
        <v>-3.2424910820650236E-2</v>
      </c>
      <c r="L491" s="25">
        <v>0.97750000000000004</v>
      </c>
      <c r="M491" s="24">
        <v>3</v>
      </c>
      <c r="N491" s="108">
        <v>0</v>
      </c>
      <c r="O491" s="24">
        <v>4</v>
      </c>
      <c r="P491" s="24">
        <v>0</v>
      </c>
      <c r="Q491" s="24">
        <v>4</v>
      </c>
      <c r="R491" s="24">
        <v>4</v>
      </c>
      <c r="S491" s="24">
        <v>0</v>
      </c>
      <c r="T491" s="24">
        <v>0</v>
      </c>
      <c r="U491" s="24">
        <v>2420320000000</v>
      </c>
      <c r="V491" s="109">
        <v>-0.26193531531669983</v>
      </c>
      <c r="W491" s="109">
        <v>1.1296398492761288</v>
      </c>
      <c r="X491" s="109">
        <v>0.14115550009916042</v>
      </c>
      <c r="Y491" s="109">
        <v>-0.14810087922258214</v>
      </c>
      <c r="Z491" s="109">
        <v>0.62487550250782276</v>
      </c>
      <c r="AA491" s="109">
        <v>1.7475699726605298</v>
      </c>
      <c r="AD491" s="111"/>
    </row>
    <row r="492" spans="1:30" ht="15" customHeight="1" x14ac:dyDescent="0.3">
      <c r="A492" s="22" t="s">
        <v>154</v>
      </c>
      <c r="B492" s="23">
        <v>61</v>
      </c>
      <c r="C492" s="3" t="s">
        <v>61</v>
      </c>
      <c r="D492" s="23">
        <v>2021</v>
      </c>
      <c r="E492" s="25">
        <v>1.8072230691855531</v>
      </c>
      <c r="F492" s="25">
        <v>0.10165459089051646</v>
      </c>
      <c r="G492" s="25">
        <v>0.60294711261318301</v>
      </c>
      <c r="H492" s="25">
        <v>1.5400859401454912</v>
      </c>
      <c r="I492" s="25">
        <v>-0.16338711717824572</v>
      </c>
      <c r="J492" s="25">
        <v>-1.9483912435079912E-2</v>
      </c>
      <c r="K492" s="25">
        <v>-4.976705082845833E-2</v>
      </c>
      <c r="L492" s="25">
        <v>0.97750000000000004</v>
      </c>
      <c r="M492" s="24">
        <v>3</v>
      </c>
      <c r="N492" s="108">
        <v>0</v>
      </c>
      <c r="O492" s="24">
        <v>5</v>
      </c>
      <c r="P492" s="24">
        <v>0</v>
      </c>
      <c r="Q492" s="24">
        <v>5</v>
      </c>
      <c r="R492" s="24">
        <v>3</v>
      </c>
      <c r="S492" s="24">
        <v>0</v>
      </c>
      <c r="T492" s="24">
        <v>0</v>
      </c>
      <c r="U492" s="24">
        <v>2187497000000</v>
      </c>
      <c r="V492" s="109">
        <v>-0.45683230783646189</v>
      </c>
      <c r="W492" s="109">
        <v>1.2321811092769497</v>
      </c>
      <c r="X492" s="109">
        <v>0.11694586095432359</v>
      </c>
      <c r="Y492" s="109">
        <v>-7.7647978488656219E-2</v>
      </c>
      <c r="Z492" s="109">
        <v>0.68178013488052958</v>
      </c>
      <c r="AA492" s="109">
        <v>1.9532591266231467</v>
      </c>
      <c r="AD492" s="111"/>
    </row>
    <row r="493" spans="1:30" ht="15" customHeight="1" x14ac:dyDescent="0.3">
      <c r="A493" s="22" t="s">
        <v>154</v>
      </c>
      <c r="B493" s="23">
        <v>61</v>
      </c>
      <c r="C493" s="3" t="s">
        <v>61</v>
      </c>
      <c r="D493" s="23">
        <v>2022</v>
      </c>
      <c r="E493" s="25">
        <v>1.7791711253537728</v>
      </c>
      <c r="F493" s="25">
        <v>0.19013802511645375</v>
      </c>
      <c r="G493" s="25">
        <v>0.58238853070050089</v>
      </c>
      <c r="H493" s="25">
        <v>1.4155662473395305</v>
      </c>
      <c r="I493" s="25">
        <v>-8.6460859179906632E-2</v>
      </c>
      <c r="J493" s="25">
        <v>-1.059502855104201E-2</v>
      </c>
      <c r="K493" s="25">
        <v>-2.5752507159462888E-2</v>
      </c>
      <c r="L493" s="25">
        <v>0.97750000000000004</v>
      </c>
      <c r="M493" s="24">
        <v>2</v>
      </c>
      <c r="N493" s="108">
        <v>0</v>
      </c>
      <c r="O493" s="24">
        <v>4</v>
      </c>
      <c r="P493" s="24">
        <v>0</v>
      </c>
      <c r="Q493" s="24">
        <v>4</v>
      </c>
      <c r="R493" s="24">
        <v>4</v>
      </c>
      <c r="S493" s="24">
        <v>0</v>
      </c>
      <c r="T493" s="24">
        <v>0</v>
      </c>
      <c r="U493" s="24">
        <v>2029348000000</v>
      </c>
      <c r="V493" s="109">
        <v>-4.6691891021586371E-2</v>
      </c>
      <c r="W493" s="109">
        <v>1.1133278274598541</v>
      </c>
      <c r="X493" s="109">
        <v>0.13497041414286756</v>
      </c>
      <c r="Y493" s="109">
        <v>1.504041692208532E-2</v>
      </c>
      <c r="Z493" s="109">
        <v>0.74175263925189683</v>
      </c>
      <c r="AA493" s="109">
        <v>2.0050912977767039</v>
      </c>
      <c r="AD493" s="111"/>
    </row>
    <row r="494" spans="1:30" ht="15" customHeight="1" x14ac:dyDescent="0.3">
      <c r="A494" s="22" t="s">
        <v>154</v>
      </c>
      <c r="B494" s="23">
        <v>61</v>
      </c>
      <c r="C494" s="3" t="s">
        <v>61</v>
      </c>
      <c r="D494" s="23">
        <v>2023</v>
      </c>
      <c r="E494" s="25">
        <v>1.7286168485613782</v>
      </c>
      <c r="F494" s="25">
        <v>0.13571299720393254</v>
      </c>
      <c r="G494" s="25">
        <v>0.57845595971815156</v>
      </c>
      <c r="H494" s="25">
        <v>1.3925235176313471</v>
      </c>
      <c r="I494" s="25">
        <v>6.6310736543523027E-2</v>
      </c>
      <c r="J494" s="25">
        <v>9.4568601862782663E-3</v>
      </c>
      <c r="K494" s="25">
        <v>2.2765605559255536E-2</v>
      </c>
      <c r="L494" s="25">
        <v>0.97750000000000004</v>
      </c>
      <c r="M494" s="24">
        <v>1</v>
      </c>
      <c r="N494" s="108">
        <v>0</v>
      </c>
      <c r="O494" s="24">
        <v>3</v>
      </c>
      <c r="P494" s="24">
        <v>0</v>
      </c>
      <c r="Q494" s="24">
        <v>3</v>
      </c>
      <c r="R494" s="24">
        <v>4</v>
      </c>
      <c r="S494" s="24">
        <v>0</v>
      </c>
      <c r="T494" s="24">
        <v>0</v>
      </c>
      <c r="U494" s="24">
        <v>2056708000000</v>
      </c>
      <c r="V494" s="109">
        <v>0.17949645929089308</v>
      </c>
      <c r="W494" s="109">
        <v>1.0306339645686213</v>
      </c>
      <c r="X494" s="109">
        <v>0.15977694451521557</v>
      </c>
      <c r="Y494" s="109">
        <v>5.4127041855236611E-2</v>
      </c>
      <c r="Z494" s="109">
        <v>0.75402676271207814</v>
      </c>
      <c r="AA494" s="109">
        <v>1.9985647136511515</v>
      </c>
      <c r="AD494" s="111"/>
    </row>
    <row r="495" spans="1:30" ht="15" customHeight="1" x14ac:dyDescent="0.3">
      <c r="A495" s="22" t="s">
        <v>154</v>
      </c>
      <c r="B495" s="23">
        <v>61</v>
      </c>
      <c r="C495" s="3" t="s">
        <v>61</v>
      </c>
      <c r="D495" s="23">
        <v>2024</v>
      </c>
      <c r="E495" s="25">
        <v>2.079033461029935</v>
      </c>
      <c r="F495" s="25">
        <v>0.26868551604117935</v>
      </c>
      <c r="G495" s="25">
        <v>0.55701122155820493</v>
      </c>
      <c r="H495" s="25">
        <v>1.2759781878386651</v>
      </c>
      <c r="I495" s="25">
        <v>7.8849783134125745E-2</v>
      </c>
      <c r="J495" s="25">
        <v>1.1919777370691812E-2</v>
      </c>
      <c r="K495" s="25">
        <v>2.7305331275639954E-2</v>
      </c>
      <c r="L495" s="25">
        <v>0.97750000000000004</v>
      </c>
      <c r="M495" s="24">
        <v>2</v>
      </c>
      <c r="N495" s="108">
        <v>0</v>
      </c>
      <c r="O495" s="24">
        <v>3</v>
      </c>
      <c r="P495" s="24">
        <v>0</v>
      </c>
      <c r="Q495" s="24">
        <v>3</v>
      </c>
      <c r="R495" s="24">
        <v>4</v>
      </c>
      <c r="S495" s="24">
        <v>0</v>
      </c>
      <c r="T495" s="24">
        <v>0</v>
      </c>
      <c r="U495" s="24">
        <v>1997940000000</v>
      </c>
      <c r="V495" s="109">
        <v>2.9708573688445226E-2</v>
      </c>
      <c r="W495" s="109">
        <v>1.2540515931409351</v>
      </c>
      <c r="X495" s="109">
        <v>0.1833486891498243</v>
      </c>
      <c r="Y495" s="109">
        <v>9.1476140424637378E-2</v>
      </c>
      <c r="Z495" s="109">
        <v>0.82289807929911263</v>
      </c>
      <c r="AA495" s="109">
        <v>2.3517745020145093</v>
      </c>
      <c r="AD495" s="111"/>
    </row>
    <row r="496" spans="1:30" ht="15" customHeight="1" x14ac:dyDescent="0.3">
      <c r="A496" s="22" t="s">
        <v>154</v>
      </c>
      <c r="B496" s="23">
        <v>62</v>
      </c>
      <c r="C496" s="3" t="s">
        <v>62</v>
      </c>
      <c r="D496" s="23">
        <v>2018</v>
      </c>
      <c r="E496" s="25">
        <v>0.9237570000266172</v>
      </c>
      <c r="F496" s="25">
        <v>7.0102643073485363E-2</v>
      </c>
      <c r="G496" s="25">
        <v>0.54796632187986616</v>
      </c>
      <c r="H496" s="25">
        <v>1.2122245496368458</v>
      </c>
      <c r="I496" s="25">
        <v>9.3740259093535075E-2</v>
      </c>
      <c r="J496" s="25">
        <v>1.7425228581553338E-2</v>
      </c>
      <c r="K496" s="25">
        <v>3.854851845114593E-2</v>
      </c>
      <c r="L496" s="25">
        <v>0</v>
      </c>
      <c r="M496" s="24">
        <v>0</v>
      </c>
      <c r="N496" s="108">
        <v>0</v>
      </c>
      <c r="O496" s="24">
        <v>0</v>
      </c>
      <c r="P496" s="24">
        <v>0</v>
      </c>
      <c r="Q496" s="24">
        <v>0</v>
      </c>
      <c r="R496" s="24">
        <v>0</v>
      </c>
      <c r="S496" s="24">
        <v>0</v>
      </c>
      <c r="T496" s="24">
        <v>0</v>
      </c>
      <c r="U496" s="24">
        <v>341369410000</v>
      </c>
      <c r="V496" s="109">
        <v>0</v>
      </c>
      <c r="W496" s="109">
        <v>-0.15577783375493398</v>
      </c>
      <c r="X496" s="109">
        <v>0.90198369150885538</v>
      </c>
      <c r="Y496" s="109">
        <v>0.21535140128695188</v>
      </c>
      <c r="Z496" s="109">
        <v>0.86617615549409188</v>
      </c>
      <c r="AA496" s="109">
        <v>1.8277334145349653</v>
      </c>
      <c r="AD496" s="111"/>
    </row>
    <row r="497" spans="1:30" ht="15" customHeight="1" x14ac:dyDescent="0.3">
      <c r="A497" s="22" t="s">
        <v>154</v>
      </c>
      <c r="B497" s="23">
        <v>62</v>
      </c>
      <c r="C497" s="3" t="s">
        <v>62</v>
      </c>
      <c r="D497" s="23">
        <v>2019</v>
      </c>
      <c r="E497" s="25">
        <v>1.1244989061579698</v>
      </c>
      <c r="F497" s="25">
        <v>0.11711753843472407</v>
      </c>
      <c r="G497" s="25">
        <v>0.54488357043680358</v>
      </c>
      <c r="H497" s="25">
        <v>1.1972400191106054</v>
      </c>
      <c r="I497" s="25">
        <v>0.18409602664695249</v>
      </c>
      <c r="J497" s="25">
        <v>3.7633840016754447E-2</v>
      </c>
      <c r="K497" s="25">
        <v>8.2690581594789175E-2</v>
      </c>
      <c r="L497" s="25">
        <v>0.5</v>
      </c>
      <c r="M497" s="24">
        <v>2</v>
      </c>
      <c r="N497" s="108">
        <v>0</v>
      </c>
      <c r="O497" s="24">
        <v>4</v>
      </c>
      <c r="P497" s="24">
        <v>0</v>
      </c>
      <c r="Q497" s="24">
        <v>4</v>
      </c>
      <c r="R497" s="24">
        <v>4</v>
      </c>
      <c r="S497" s="24">
        <v>0</v>
      </c>
      <c r="T497" s="24">
        <v>0</v>
      </c>
      <c r="U497" s="24">
        <v>369621330000</v>
      </c>
      <c r="V497" s="109">
        <v>0.19073250355912433</v>
      </c>
      <c r="W497" s="109">
        <v>0.23529305302808118</v>
      </c>
      <c r="X497" s="109">
        <v>0.42922135202532813</v>
      </c>
      <c r="Y497" s="109">
        <v>0.17241386799836469</v>
      </c>
      <c r="Z497" s="109">
        <v>0.87701712542152932</v>
      </c>
      <c r="AA497" s="109">
        <v>1.7139453984733033</v>
      </c>
      <c r="AD497" s="111"/>
    </row>
    <row r="498" spans="1:30" ht="15" customHeight="1" x14ac:dyDescent="0.3">
      <c r="A498" s="22" t="s">
        <v>154</v>
      </c>
      <c r="B498" s="23">
        <v>62</v>
      </c>
      <c r="C498" s="3" t="s">
        <v>62</v>
      </c>
      <c r="D498" s="23">
        <v>2020</v>
      </c>
      <c r="E498" s="25">
        <v>1.4937679240496879</v>
      </c>
      <c r="F498" s="25">
        <v>0.11599047073691796</v>
      </c>
      <c r="G498" s="25">
        <v>0.51970674602319378</v>
      </c>
      <c r="H498" s="25">
        <v>1.0820613067538336</v>
      </c>
      <c r="I498" s="25">
        <v>0.23219113635634286</v>
      </c>
      <c r="J498" s="25">
        <v>4.6630458309105005E-2</v>
      </c>
      <c r="K498" s="25">
        <v>9.7087472961585319E-2</v>
      </c>
      <c r="L498" s="25">
        <v>0.5</v>
      </c>
      <c r="M498" s="24">
        <v>2</v>
      </c>
      <c r="N498" s="108">
        <v>0</v>
      </c>
      <c r="O498" s="24">
        <v>4</v>
      </c>
      <c r="P498" s="24">
        <v>0</v>
      </c>
      <c r="Q498" s="24">
        <v>4</v>
      </c>
      <c r="R498" s="24">
        <v>3</v>
      </c>
      <c r="S498" s="24">
        <v>0</v>
      </c>
      <c r="T498" s="24">
        <v>0</v>
      </c>
      <c r="U498" s="24">
        <v>387906760000</v>
      </c>
      <c r="V498" s="109">
        <v>3.1003763109142872E-2</v>
      </c>
      <c r="W498" s="109">
        <v>0.812095921195083</v>
      </c>
      <c r="X498" s="109">
        <v>0.52255082432695943</v>
      </c>
      <c r="Y498" s="109">
        <v>0.25344664578673493</v>
      </c>
      <c r="Z498" s="109">
        <v>0.97037015689063211</v>
      </c>
      <c r="AA498" s="109">
        <v>2.5584635481994096</v>
      </c>
      <c r="AD498" s="111"/>
    </row>
    <row r="499" spans="1:30" ht="15" customHeight="1" x14ac:dyDescent="0.3">
      <c r="A499" s="22" t="s">
        <v>154</v>
      </c>
      <c r="B499" s="23">
        <v>62</v>
      </c>
      <c r="C499" s="3" t="s">
        <v>62</v>
      </c>
      <c r="D499" s="23">
        <v>2021</v>
      </c>
      <c r="E499" s="25">
        <v>2.4187204588833477</v>
      </c>
      <c r="F499" s="25">
        <v>0.2799888123796937</v>
      </c>
      <c r="G499" s="25">
        <v>0.582787447759751</v>
      </c>
      <c r="H499" s="25">
        <v>1.3968598131346657</v>
      </c>
      <c r="I499" s="25">
        <v>0.22594870503499959</v>
      </c>
      <c r="J499" s="25">
        <v>4.1800903934684192E-2</v>
      </c>
      <c r="K499" s="25">
        <v>0.10019090679374726</v>
      </c>
      <c r="L499" s="25">
        <v>0.5</v>
      </c>
      <c r="M499" s="24">
        <v>2</v>
      </c>
      <c r="N499" s="108">
        <v>0</v>
      </c>
      <c r="O499" s="24">
        <v>4</v>
      </c>
      <c r="P499" s="24">
        <v>0</v>
      </c>
      <c r="Q499" s="24">
        <v>4</v>
      </c>
      <c r="R499" s="24">
        <v>3</v>
      </c>
      <c r="S499" s="24">
        <v>0</v>
      </c>
      <c r="T499" s="24">
        <v>0</v>
      </c>
      <c r="U499" s="24">
        <v>496279220000</v>
      </c>
      <c r="V499" s="109">
        <v>0.17855678572574693</v>
      </c>
      <c r="W499" s="109">
        <v>1.9645562721727499</v>
      </c>
      <c r="X499" s="109">
        <v>0.55606196689033238</v>
      </c>
      <c r="Y499" s="109">
        <v>0.34312960514445878</v>
      </c>
      <c r="Z499" s="109">
        <v>0.75168602470115864</v>
      </c>
      <c r="AA499" s="109">
        <v>3.6154338689086996</v>
      </c>
      <c r="AD499" s="111"/>
    </row>
    <row r="500" spans="1:30" ht="15" customHeight="1" x14ac:dyDescent="0.3">
      <c r="A500" s="22" t="s">
        <v>154</v>
      </c>
      <c r="B500" s="23">
        <v>62</v>
      </c>
      <c r="C500" s="3" t="s">
        <v>62</v>
      </c>
      <c r="D500" s="23">
        <v>2022</v>
      </c>
      <c r="E500" s="25">
        <v>2.0738632311289389</v>
      </c>
      <c r="F500" s="25">
        <v>0.26407328103488947</v>
      </c>
      <c r="G500" s="25">
        <v>0.57327197284593001</v>
      </c>
      <c r="H500" s="25">
        <v>1.3434129852430583</v>
      </c>
      <c r="I500" s="25">
        <v>0.14257077690691555</v>
      </c>
      <c r="J500" s="25">
        <v>3.0176476942466866E-2</v>
      </c>
      <c r="K500" s="25">
        <v>7.0715947915864594E-2</v>
      </c>
      <c r="L500" s="25">
        <v>0.5</v>
      </c>
      <c r="M500" s="24">
        <v>2</v>
      </c>
      <c r="N500" s="108">
        <v>0</v>
      </c>
      <c r="O500" s="24">
        <v>4</v>
      </c>
      <c r="P500" s="24">
        <v>0</v>
      </c>
      <c r="Q500" s="24">
        <v>4</v>
      </c>
      <c r="R500" s="24">
        <v>3</v>
      </c>
      <c r="S500" s="24">
        <v>0</v>
      </c>
      <c r="T500" s="24">
        <v>0</v>
      </c>
      <c r="U500" s="24">
        <v>516469170000</v>
      </c>
      <c r="V500" s="109">
        <v>0.19064012184830564</v>
      </c>
      <c r="W500" s="109">
        <v>1.6542655492872889</v>
      </c>
      <c r="X500" s="109">
        <v>0.71217395144806028</v>
      </c>
      <c r="Y500" s="109">
        <v>0.45271744836192251</v>
      </c>
      <c r="Z500" s="109">
        <v>0.7815913732663734</v>
      </c>
      <c r="AA500" s="109">
        <v>3.6007483223636449</v>
      </c>
      <c r="AD500" s="111"/>
    </row>
    <row r="501" spans="1:30" ht="15" customHeight="1" x14ac:dyDescent="0.3">
      <c r="A501" s="22" t="s">
        <v>154</v>
      </c>
      <c r="B501" s="23">
        <v>62</v>
      </c>
      <c r="C501" s="3" t="s">
        <v>62</v>
      </c>
      <c r="D501" s="23">
        <v>2023</v>
      </c>
      <c r="E501" s="25">
        <v>2.3194466475527746</v>
      </c>
      <c r="F501" s="25">
        <v>0.17070216918421297</v>
      </c>
      <c r="G501" s="25">
        <v>0.59173566117259058</v>
      </c>
      <c r="H501" s="25">
        <v>1.4487977592475165</v>
      </c>
      <c r="I501" s="25">
        <v>0.18422729164756133</v>
      </c>
      <c r="J501" s="25">
        <v>4.3303769303802815E-2</v>
      </c>
      <c r="K501" s="25">
        <v>0.10602437549563554</v>
      </c>
      <c r="L501" s="25">
        <v>0.5</v>
      </c>
      <c r="M501" s="24">
        <v>2</v>
      </c>
      <c r="N501" s="108">
        <v>0</v>
      </c>
      <c r="O501" s="24">
        <v>4</v>
      </c>
      <c r="P501" s="24">
        <v>0</v>
      </c>
      <c r="Q501" s="24">
        <v>4</v>
      </c>
      <c r="R501" s="24">
        <v>3</v>
      </c>
      <c r="S501" s="24">
        <v>0</v>
      </c>
      <c r="T501" s="24">
        <v>0</v>
      </c>
      <c r="U501" s="24">
        <v>595658540000</v>
      </c>
      <c r="V501" s="109">
        <v>0.28081582448335174</v>
      </c>
      <c r="W501" s="109">
        <v>1.9365777366341468</v>
      </c>
      <c r="X501" s="109">
        <v>0.74581502415796797</v>
      </c>
      <c r="Y501" s="109">
        <v>0.35275156400846697</v>
      </c>
      <c r="Z501" s="109">
        <v>0.72473883487047497</v>
      </c>
      <c r="AA501" s="109">
        <v>3.7598831596710567</v>
      </c>
      <c r="AD501" s="111"/>
    </row>
    <row r="502" spans="1:30" ht="15" customHeight="1" x14ac:dyDescent="0.3">
      <c r="A502" s="22" t="s">
        <v>154</v>
      </c>
      <c r="B502" s="23">
        <v>62</v>
      </c>
      <c r="C502" s="3" t="s">
        <v>62</v>
      </c>
      <c r="D502" s="23">
        <v>2024</v>
      </c>
      <c r="E502" s="25">
        <v>2.3338441631641311</v>
      </c>
      <c r="F502" s="25">
        <v>0.15627235234046163</v>
      </c>
      <c r="G502" s="25">
        <v>0.63242179210109684</v>
      </c>
      <c r="H502" s="25">
        <v>1.7205094820937668</v>
      </c>
      <c r="I502" s="25">
        <v>7.8579840736778414E-2</v>
      </c>
      <c r="J502" s="25">
        <v>1.8725615327413805E-2</v>
      </c>
      <c r="K502" s="25">
        <v>5.0943214056269628E-2</v>
      </c>
      <c r="L502" s="25">
        <v>0.5</v>
      </c>
      <c r="M502" s="24">
        <v>2</v>
      </c>
      <c r="N502" s="108">
        <v>0</v>
      </c>
      <c r="O502" s="24">
        <v>4</v>
      </c>
      <c r="P502" s="24">
        <v>0</v>
      </c>
      <c r="Q502" s="24">
        <v>4</v>
      </c>
      <c r="R502" s="24">
        <v>3</v>
      </c>
      <c r="S502" s="24">
        <v>0</v>
      </c>
      <c r="T502" s="24">
        <v>0</v>
      </c>
      <c r="U502" s="24">
        <v>697102860000</v>
      </c>
      <c r="V502" s="109">
        <v>0.18645893774045941</v>
      </c>
      <c r="W502" s="109">
        <v>2.0710696082928139</v>
      </c>
      <c r="X502" s="109">
        <v>0.73076502741647054</v>
      </c>
      <c r="Y502" s="109">
        <v>0.22141118629179057</v>
      </c>
      <c r="Z502" s="109">
        <v>0.61028434363651807</v>
      </c>
      <c r="AA502" s="109">
        <v>3.6335301656375933</v>
      </c>
      <c r="AD502" s="111"/>
    </row>
    <row r="503" spans="1:30" ht="15" customHeight="1" x14ac:dyDescent="0.3">
      <c r="A503" s="22" t="s">
        <v>154</v>
      </c>
      <c r="B503" s="23">
        <v>63</v>
      </c>
      <c r="C503" s="2" t="s">
        <v>60</v>
      </c>
      <c r="D503" s="23">
        <v>2015</v>
      </c>
      <c r="E503" s="25">
        <v>1.0314385962900923</v>
      </c>
      <c r="F503" s="25">
        <v>5.4323371763479726E-2</v>
      </c>
      <c r="G503" s="25">
        <v>0.71764677852808823</v>
      </c>
      <c r="H503" s="25">
        <v>2.5416631508115408</v>
      </c>
      <c r="I503" s="25">
        <v>0.10681073562100819</v>
      </c>
      <c r="J503" s="25">
        <v>2.0657245818036966E-2</v>
      </c>
      <c r="K503" s="25">
        <v>7.3161006310997326E-2</v>
      </c>
      <c r="L503" s="25">
        <v>0.99990000000000001</v>
      </c>
      <c r="M503" s="24">
        <v>0</v>
      </c>
      <c r="N503" s="108">
        <v>0</v>
      </c>
      <c r="O503" s="24">
        <v>4</v>
      </c>
      <c r="P503" s="24">
        <v>6</v>
      </c>
      <c r="Q503" s="24">
        <v>4</v>
      </c>
      <c r="R503" s="24">
        <v>4</v>
      </c>
      <c r="S503" s="24">
        <v>6</v>
      </c>
      <c r="T503" s="24">
        <v>10</v>
      </c>
      <c r="U503" s="24">
        <v>2091538245349</v>
      </c>
      <c r="V503" s="109">
        <v>35.812785118589709</v>
      </c>
      <c r="W503" s="109">
        <v>0.14401962031169893</v>
      </c>
      <c r="X503" s="109">
        <v>0.11384491228749589</v>
      </c>
      <c r="Y503" s="109">
        <v>0.12389935146479673</v>
      </c>
      <c r="Z503" s="109">
        <v>0.41311532555552849</v>
      </c>
      <c r="AA503" s="109">
        <v>0.79487920961952008</v>
      </c>
      <c r="AD503" s="111"/>
    </row>
    <row r="504" spans="1:30" ht="15" customHeight="1" x14ac:dyDescent="0.3">
      <c r="A504" s="22" t="s">
        <v>154</v>
      </c>
      <c r="B504" s="23">
        <v>63</v>
      </c>
      <c r="C504" s="3" t="s">
        <v>60</v>
      </c>
      <c r="D504" s="23">
        <v>2016</v>
      </c>
      <c r="E504" s="25">
        <v>1.4930066760660285</v>
      </c>
      <c r="F504" s="25">
        <v>6.0528151615165622E-2</v>
      </c>
      <c r="G504" s="25">
        <v>0.67407748262739298</v>
      </c>
      <c r="H504" s="25">
        <v>2.0682139057509858</v>
      </c>
      <c r="I504" s="25">
        <v>6.2434215445828861E-2</v>
      </c>
      <c r="J504" s="25">
        <v>7.967031975703049E-3</v>
      </c>
      <c r="K504" s="25">
        <v>2.4444558295414847E-2</v>
      </c>
      <c r="L504" s="25">
        <v>0.99990000000000001</v>
      </c>
      <c r="M504" s="24">
        <v>1</v>
      </c>
      <c r="N504" s="108">
        <v>0</v>
      </c>
      <c r="O504" s="24">
        <v>4</v>
      </c>
      <c r="P504" s="24">
        <v>6</v>
      </c>
      <c r="Q504" s="24">
        <v>4</v>
      </c>
      <c r="R504" s="24">
        <v>4</v>
      </c>
      <c r="S504" s="24">
        <v>6</v>
      </c>
      <c r="T504" s="24">
        <v>11</v>
      </c>
      <c r="U504" s="24">
        <v>1847306963482</v>
      </c>
      <c r="V504" s="109">
        <v>-0.41724011760556168</v>
      </c>
      <c r="W504" s="109">
        <v>2.0986673028055285</v>
      </c>
      <c r="X504" s="109">
        <v>0.15105650283472177</v>
      </c>
      <c r="Y504" s="109">
        <v>3.7983320826800795E-2</v>
      </c>
      <c r="Z504" s="109">
        <v>0.50768443103506566</v>
      </c>
      <c r="AA504" s="109">
        <v>2.7953915575021169</v>
      </c>
      <c r="AD504" s="111"/>
    </row>
    <row r="505" spans="1:30" ht="15" customHeight="1" x14ac:dyDescent="0.3">
      <c r="A505" s="22" t="s">
        <v>154</v>
      </c>
      <c r="B505" s="23">
        <v>63</v>
      </c>
      <c r="C505" s="3" t="s">
        <v>60</v>
      </c>
      <c r="D505" s="23">
        <v>2017</v>
      </c>
      <c r="E505" s="25">
        <v>1.6738914465458137</v>
      </c>
      <c r="F505" s="25">
        <v>0.14897850811301636</v>
      </c>
      <c r="G505" s="25">
        <v>0.72135329726192721</v>
      </c>
      <c r="H505" s="25">
        <v>2.5887738493715369</v>
      </c>
      <c r="I505" s="25">
        <v>-0.72242670105538365</v>
      </c>
      <c r="J505" s="25">
        <v>-0.11071265426118933</v>
      </c>
      <c r="K505" s="25">
        <v>-0.39732267840706847</v>
      </c>
      <c r="L505" s="25">
        <v>0.99990000000000001</v>
      </c>
      <c r="M505" s="24">
        <v>1</v>
      </c>
      <c r="N505" s="108">
        <v>0</v>
      </c>
      <c r="O505" s="24">
        <v>4</v>
      </c>
      <c r="P505" s="24">
        <v>6</v>
      </c>
      <c r="Q505" s="24">
        <v>4</v>
      </c>
      <c r="R505" s="24">
        <v>4</v>
      </c>
      <c r="S505" s="24">
        <v>6</v>
      </c>
      <c r="T505" s="24">
        <v>11</v>
      </c>
      <c r="U505" s="24">
        <v>1558769299360</v>
      </c>
      <c r="V505" s="109">
        <v>1.3380045514107014E-2</v>
      </c>
      <c r="W505" s="109">
        <v>2.5211757501923295</v>
      </c>
      <c r="X505" s="109">
        <v>-0.23254612893381302</v>
      </c>
      <c r="Y505" s="109">
        <v>-0.82495823321989548</v>
      </c>
      <c r="Z505" s="109">
        <v>0.40559742221395784</v>
      </c>
      <c r="AA505" s="109">
        <v>1.8692688102525787</v>
      </c>
      <c r="AD505" s="111"/>
    </row>
    <row r="506" spans="1:30" ht="15" customHeight="1" x14ac:dyDescent="0.3">
      <c r="A506" s="22" t="s">
        <v>154</v>
      </c>
      <c r="B506" s="23">
        <v>63</v>
      </c>
      <c r="C506" s="3" t="s">
        <v>60</v>
      </c>
      <c r="D506" s="23">
        <v>2018</v>
      </c>
      <c r="E506" s="25">
        <v>1.8813673773323014</v>
      </c>
      <c r="F506" s="25">
        <v>7.282570494633718E-2</v>
      </c>
      <c r="G506" s="25">
        <v>0.70819141309699318</v>
      </c>
      <c r="H506" s="25">
        <v>2.4269039530779342</v>
      </c>
      <c r="I506" s="25">
        <v>2.1069975002536576E-2</v>
      </c>
      <c r="J506" s="25">
        <v>2.4034479368011908E-3</v>
      </c>
      <c r="K506" s="25">
        <v>8.2363852356410073E-3</v>
      </c>
      <c r="L506" s="25">
        <v>0.99990000000000001</v>
      </c>
      <c r="M506" s="24">
        <v>1</v>
      </c>
      <c r="N506" s="108">
        <v>0</v>
      </c>
      <c r="O506" s="24">
        <v>4</v>
      </c>
      <c r="P506" s="24">
        <v>8</v>
      </c>
      <c r="Q506" s="24">
        <v>4</v>
      </c>
      <c r="R506" s="24">
        <v>3</v>
      </c>
      <c r="S506" s="24">
        <v>8</v>
      </c>
      <c r="T506" s="24">
        <v>9</v>
      </c>
      <c r="U506" s="24">
        <v>1504014425963</v>
      </c>
      <c r="V506" s="109">
        <v>-0.28181325857955769</v>
      </c>
      <c r="W506" s="109">
        <v>2.9368830563815513</v>
      </c>
      <c r="X506" s="109">
        <v>-0.20927074127392908</v>
      </c>
      <c r="Y506" s="109">
        <v>7.3200463412781392E-4</v>
      </c>
      <c r="Z506" s="109">
        <v>0.43265000193696657</v>
      </c>
      <c r="AA506" s="109">
        <v>3.1609943216787171</v>
      </c>
      <c r="AD506" s="111"/>
    </row>
    <row r="507" spans="1:30" ht="15" customHeight="1" x14ac:dyDescent="0.3">
      <c r="A507" s="22" t="s">
        <v>154</v>
      </c>
      <c r="B507" s="23">
        <v>63</v>
      </c>
      <c r="C507" s="3" t="s">
        <v>60</v>
      </c>
      <c r="D507" s="23">
        <v>2019</v>
      </c>
      <c r="E507" s="25">
        <v>1.8881401030175224</v>
      </c>
      <c r="F507" s="25">
        <v>0.22451074995469514</v>
      </c>
      <c r="G507" s="25">
        <v>0.75237331459833523</v>
      </c>
      <c r="H507" s="25">
        <v>3.0383369763963124</v>
      </c>
      <c r="I507" s="25">
        <v>3.7184487282231525E-2</v>
      </c>
      <c r="J507" s="25">
        <v>3.7283871255172334E-3</v>
      </c>
      <c r="K507" s="25">
        <v>1.5056483591296204E-2</v>
      </c>
      <c r="L507" s="25">
        <v>0.99990000000000001</v>
      </c>
      <c r="M507" s="24">
        <v>0</v>
      </c>
      <c r="N507" s="108">
        <v>0</v>
      </c>
      <c r="O507" s="24">
        <v>2</v>
      </c>
      <c r="P507" s="24">
        <v>6</v>
      </c>
      <c r="Q507" s="24">
        <v>2</v>
      </c>
      <c r="R507" s="24">
        <v>2</v>
      </c>
      <c r="S507" s="24">
        <v>6</v>
      </c>
      <c r="T507" s="24">
        <v>6</v>
      </c>
      <c r="U507" s="24">
        <v>1814324020621</v>
      </c>
      <c r="V507" s="109">
        <v>6.035515485689541E-2</v>
      </c>
      <c r="W507" s="109">
        <v>2.980911046822901</v>
      </c>
      <c r="X507" s="109">
        <v>-0.16912740839243912</v>
      </c>
      <c r="Y507" s="109">
        <v>4.1984874552235374E-2</v>
      </c>
      <c r="Z507" s="109">
        <v>0.34558378749857299</v>
      </c>
      <c r="AA507" s="109">
        <v>3.1993523004812703</v>
      </c>
      <c r="AD507" s="111"/>
    </row>
    <row r="508" spans="1:30" ht="15" customHeight="1" x14ac:dyDescent="0.3">
      <c r="A508" s="22" t="s">
        <v>154</v>
      </c>
      <c r="B508" s="23">
        <v>63</v>
      </c>
      <c r="C508" s="3" t="s">
        <v>60</v>
      </c>
      <c r="D508" s="23">
        <v>2020</v>
      </c>
      <c r="E508" s="25">
        <v>2.0276656100908155</v>
      </c>
      <c r="F508" s="25">
        <v>4.175896472310571E-2</v>
      </c>
      <c r="G508" s="25">
        <v>0.73014099741349581</v>
      </c>
      <c r="H508" s="25">
        <v>2.7056388351522451</v>
      </c>
      <c r="I508" s="25">
        <v>1.6464930670884878E-2</v>
      </c>
      <c r="J508" s="25">
        <v>1.23849762563561E-3</v>
      </c>
      <c r="K508" s="25">
        <v>4.5894248987991635E-3</v>
      </c>
      <c r="L508" s="25">
        <v>0.99990000000000001</v>
      </c>
      <c r="M508" s="24">
        <v>1</v>
      </c>
      <c r="N508" s="108">
        <v>0</v>
      </c>
      <c r="O508" s="24">
        <v>3</v>
      </c>
      <c r="P508" s="24">
        <v>9</v>
      </c>
      <c r="Q508" s="24">
        <v>3</v>
      </c>
      <c r="R508" s="24">
        <v>3</v>
      </c>
      <c r="S508" s="24">
        <v>9</v>
      </c>
      <c r="T508" s="24">
        <v>7</v>
      </c>
      <c r="U508" s="24">
        <v>1696979239602</v>
      </c>
      <c r="V508" s="109">
        <v>-0.29832217986482951</v>
      </c>
      <c r="W508" s="109">
        <v>3.2137487466451455</v>
      </c>
      <c r="X508" s="109">
        <v>-0.17334924822184211</v>
      </c>
      <c r="Y508" s="109">
        <v>1.4777897095666064E-2</v>
      </c>
      <c r="Z508" s="109">
        <v>0.38807840365024809</v>
      </c>
      <c r="AA508" s="109">
        <v>3.4432557991692176</v>
      </c>
      <c r="AD508" s="111"/>
    </row>
    <row r="509" spans="1:30" ht="15" customHeight="1" x14ac:dyDescent="0.3">
      <c r="A509" s="22" t="s">
        <v>154</v>
      </c>
      <c r="B509" s="23">
        <v>63</v>
      </c>
      <c r="C509" s="3" t="s">
        <v>60</v>
      </c>
      <c r="D509" s="23">
        <v>2021</v>
      </c>
      <c r="E509" s="25">
        <v>2.0769963612013886</v>
      </c>
      <c r="F509" s="25">
        <v>0.12712176077406506</v>
      </c>
      <c r="G509" s="25">
        <v>0.71911382604500451</v>
      </c>
      <c r="H509" s="25">
        <v>2.5601609930441902</v>
      </c>
      <c r="I509" s="25">
        <v>9.6346254086790775E-2</v>
      </c>
      <c r="J509" s="25">
        <v>9.893747667833637E-3</v>
      </c>
      <c r="K509" s="25">
        <v>3.5223334522043244E-2</v>
      </c>
      <c r="L509" s="25">
        <v>0.99990000000000001</v>
      </c>
      <c r="M509" s="24">
        <v>1</v>
      </c>
      <c r="N509" s="108">
        <v>0</v>
      </c>
      <c r="O509" s="24">
        <v>3</v>
      </c>
      <c r="P509" s="24">
        <v>9</v>
      </c>
      <c r="Q509" s="24">
        <v>3</v>
      </c>
      <c r="R509" s="24">
        <v>4</v>
      </c>
      <c r="S509" s="24">
        <v>9</v>
      </c>
      <c r="T509" s="24">
        <v>10</v>
      </c>
      <c r="U509" s="24">
        <v>1696009882944</v>
      </c>
      <c r="V509" s="109">
        <v>0.36440270932209634</v>
      </c>
      <c r="W509" s="109">
        <v>3.2771079700849111</v>
      </c>
      <c r="X509" s="109">
        <v>-0.14414685850068965</v>
      </c>
      <c r="Y509" s="109">
        <v>5.185087169892609E-2</v>
      </c>
      <c r="Z509" s="109">
        <v>0.41013045775355128</v>
      </c>
      <c r="AA509" s="109">
        <v>3.5949424410366984</v>
      </c>
      <c r="AD509" s="111"/>
    </row>
    <row r="510" spans="1:30" ht="15" customHeight="1" x14ac:dyDescent="0.3">
      <c r="A510" s="22" t="s">
        <v>154</v>
      </c>
      <c r="B510" s="23">
        <v>63</v>
      </c>
      <c r="C510" s="3" t="s">
        <v>60</v>
      </c>
      <c r="D510" s="23">
        <v>2022</v>
      </c>
      <c r="E510" s="25">
        <v>1.9578949221989086</v>
      </c>
      <c r="F510" s="25">
        <v>4.1194623898332255E-2</v>
      </c>
      <c r="G510" s="25">
        <v>0.72776308953373181</v>
      </c>
      <c r="H510" s="25">
        <v>2.6732711897415768</v>
      </c>
      <c r="I510" s="25">
        <v>7.96584863661704E-2</v>
      </c>
      <c r="J510" s="25">
        <v>7.5173327931558481E-3</v>
      </c>
      <c r="K510" s="25">
        <v>2.7613201972798953E-2</v>
      </c>
      <c r="L510" s="25">
        <v>0.99990000000000001</v>
      </c>
      <c r="M510" s="24">
        <v>1</v>
      </c>
      <c r="N510" s="108">
        <v>0</v>
      </c>
      <c r="O510" s="24">
        <v>3</v>
      </c>
      <c r="P510" s="24">
        <v>7</v>
      </c>
      <c r="Q510" s="24">
        <v>3</v>
      </c>
      <c r="R510" s="24">
        <v>4</v>
      </c>
      <c r="S510" s="24">
        <v>7</v>
      </c>
      <c r="T510" s="24">
        <v>12</v>
      </c>
      <c r="U510" s="24">
        <v>1806935158886</v>
      </c>
      <c r="V510" s="109">
        <v>-2.0916073148776988E-2</v>
      </c>
      <c r="W510" s="109">
        <v>3.0905988859732005</v>
      </c>
      <c r="X510" s="109">
        <v>-0.10451867342452607</v>
      </c>
      <c r="Y510" s="109">
        <v>2.0065430328221015E-2</v>
      </c>
      <c r="Z510" s="109">
        <v>0.39277721019448936</v>
      </c>
      <c r="AA510" s="109">
        <v>3.3989228530713849</v>
      </c>
      <c r="AD510" s="111"/>
    </row>
    <row r="511" spans="1:30" ht="15" customHeight="1" x14ac:dyDescent="0.3">
      <c r="A511" s="22" t="s">
        <v>154</v>
      </c>
      <c r="B511" s="23">
        <v>63</v>
      </c>
      <c r="C511" s="3" t="s">
        <v>60</v>
      </c>
      <c r="D511" s="23">
        <v>2023</v>
      </c>
      <c r="E511" s="25">
        <v>1.6242313631381708</v>
      </c>
      <c r="F511" s="25">
        <v>3.5016659228792324E-2</v>
      </c>
      <c r="G511" s="25">
        <v>0.79117588710589248</v>
      </c>
      <c r="H511" s="25">
        <v>3.7887190140110376</v>
      </c>
      <c r="I511" s="25">
        <v>6.1025082648351568E-2</v>
      </c>
      <c r="J511" s="25">
        <v>3.4189243955922892E-3</v>
      </c>
      <c r="K511" s="25">
        <v>1.6372268260638992E-2</v>
      </c>
      <c r="L511" s="25">
        <v>0.99990000000000001</v>
      </c>
      <c r="M511" s="24">
        <v>1</v>
      </c>
      <c r="N511" s="108">
        <v>0</v>
      </c>
      <c r="O511" s="24">
        <v>3</v>
      </c>
      <c r="P511" s="24">
        <v>7</v>
      </c>
      <c r="Q511" s="24">
        <v>3</v>
      </c>
      <c r="R511" s="24">
        <v>3</v>
      </c>
      <c r="S511" s="24">
        <v>7</v>
      </c>
      <c r="T511" s="24">
        <v>9</v>
      </c>
      <c r="U511" s="24">
        <v>2234736630576</v>
      </c>
      <c r="V511" s="109">
        <v>-0.26576822857591414</v>
      </c>
      <c r="W511" s="109">
        <v>2.4477449085545704</v>
      </c>
      <c r="X511" s="109">
        <v>-0.12694561430620097</v>
      </c>
      <c r="Y511" s="109">
        <v>4.9145784117787528E-3</v>
      </c>
      <c r="Z511" s="109">
        <v>0.2771385252157792</v>
      </c>
      <c r="AA511" s="109">
        <v>2.6028523978759273</v>
      </c>
      <c r="AD511" s="111"/>
    </row>
    <row r="512" spans="1:30" ht="15" customHeight="1" x14ac:dyDescent="0.3">
      <c r="A512" s="22" t="s">
        <v>154</v>
      </c>
      <c r="B512" s="23">
        <v>63</v>
      </c>
      <c r="C512" s="3" t="s">
        <v>60</v>
      </c>
      <c r="D512" s="23">
        <v>2024</v>
      </c>
      <c r="E512" s="25">
        <v>16.244</v>
      </c>
      <c r="F512" s="25">
        <v>0.14561204013377926</v>
      </c>
      <c r="G512" s="25">
        <v>0.69544039292170745</v>
      </c>
      <c r="H512" s="25">
        <v>4.8195839996506953</v>
      </c>
      <c r="I512" s="25">
        <v>-0.94680683807267807</v>
      </c>
      <c r="J512" s="25">
        <v>-3.5570235385241178E-2</v>
      </c>
      <c r="K512" s="25">
        <v>-0.24651104403971161</v>
      </c>
      <c r="L512" s="25">
        <v>0.99990000000000001</v>
      </c>
      <c r="M512" s="24">
        <v>1</v>
      </c>
      <c r="N512" s="108">
        <v>0</v>
      </c>
      <c r="O512" s="24">
        <v>3</v>
      </c>
      <c r="P512" s="24">
        <v>7</v>
      </c>
      <c r="Q512" s="24">
        <v>3</v>
      </c>
      <c r="R512" s="24">
        <v>3</v>
      </c>
      <c r="S512" s="24">
        <v>7</v>
      </c>
      <c r="T512" s="24">
        <v>9</v>
      </c>
      <c r="U512" s="24">
        <v>2539539000000</v>
      </c>
      <c r="V512" s="109">
        <v>-0.23796876794916511</v>
      </c>
      <c r="W512" s="109">
        <v>5.8869328960886209</v>
      </c>
      <c r="X512" s="109">
        <v>-0.11595896735588623</v>
      </c>
      <c r="Y512" s="109">
        <v>-0.21831527690655667</v>
      </c>
      <c r="Z512" s="109">
        <v>0.21786112661924761</v>
      </c>
      <c r="AA512" s="109">
        <v>5.7705197784454256</v>
      </c>
      <c r="AD512" s="111"/>
    </row>
    <row r="513" spans="1:30" ht="15" customHeight="1" x14ac:dyDescent="0.3">
      <c r="A513" s="22" t="s">
        <v>154</v>
      </c>
      <c r="B513" s="23">
        <v>64</v>
      </c>
      <c r="C513" s="3" t="s">
        <v>131</v>
      </c>
      <c r="D513" s="23">
        <v>2017</v>
      </c>
      <c r="E513" s="25">
        <v>335.18652662078955</v>
      </c>
      <c r="F513" s="25">
        <v>289.76819992756248</v>
      </c>
      <c r="G513" s="25">
        <v>0.10219415012418032</v>
      </c>
      <c r="H513" s="25">
        <v>0.1138265585352505</v>
      </c>
      <c r="I513" s="25">
        <v>0.13902439024390245</v>
      </c>
      <c r="J513" s="25">
        <v>5.0922865259885291E-4</v>
      </c>
      <c r="K513" s="25">
        <v>5.6719239763172301E-4</v>
      </c>
      <c r="L513" s="25">
        <v>0.99</v>
      </c>
      <c r="M513" s="24">
        <v>2</v>
      </c>
      <c r="N513" s="108">
        <v>0</v>
      </c>
      <c r="O513" s="24">
        <v>3</v>
      </c>
      <c r="P513" s="24">
        <v>0</v>
      </c>
      <c r="Q513" s="24">
        <v>3</v>
      </c>
      <c r="R513" s="24">
        <v>3</v>
      </c>
      <c r="S513" s="24">
        <v>0</v>
      </c>
      <c r="T513" s="24">
        <v>0</v>
      </c>
      <c r="U513" s="24">
        <v>111934000000</v>
      </c>
      <c r="V513" s="109">
        <v>0</v>
      </c>
      <c r="W513" s="109">
        <v>1.0815015705683706</v>
      </c>
      <c r="X513" s="109">
        <v>1.6600854074722603E-3</v>
      </c>
      <c r="Y513" s="109">
        <v>4.8028302392481284E-4</v>
      </c>
      <c r="Z513" s="109">
        <v>9.224560713349069</v>
      </c>
      <c r="AA513" s="109">
        <v>10.308202652348836</v>
      </c>
      <c r="AD513" s="111"/>
    </row>
    <row r="514" spans="1:30" ht="15" customHeight="1" x14ac:dyDescent="0.3">
      <c r="A514" s="22" t="s">
        <v>154</v>
      </c>
      <c r="B514" s="23">
        <v>64</v>
      </c>
      <c r="C514" s="3" t="s">
        <v>131</v>
      </c>
      <c r="D514" s="23">
        <v>2018</v>
      </c>
      <c r="E514" s="25">
        <v>4.470103867705344</v>
      </c>
      <c r="F514" s="25">
        <v>1.4797389640563072</v>
      </c>
      <c r="G514" s="25">
        <v>0.46300391350827325</v>
      </c>
      <c r="H514" s="25">
        <v>1.1488040574872853</v>
      </c>
      <c r="I514" s="25">
        <v>0.13106502642643192</v>
      </c>
      <c r="J514" s="25">
        <v>5.3765178230898866E-2</v>
      </c>
      <c r="K514" s="25">
        <v>0.13340201475873706</v>
      </c>
      <c r="L514" s="25">
        <v>0.99470000000000003</v>
      </c>
      <c r="M514" s="24">
        <v>2</v>
      </c>
      <c r="N514" s="108">
        <v>0</v>
      </c>
      <c r="O514" s="24">
        <v>3</v>
      </c>
      <c r="P514" s="24">
        <v>0</v>
      </c>
      <c r="Q514" s="24">
        <v>3</v>
      </c>
      <c r="R514" s="24">
        <v>3</v>
      </c>
      <c r="S514" s="24">
        <v>0</v>
      </c>
      <c r="T514" s="24">
        <v>0</v>
      </c>
      <c r="U514" s="24">
        <v>532259000000</v>
      </c>
      <c r="V514" s="109">
        <v>531.54146341463411</v>
      </c>
      <c r="W514" s="109">
        <v>1.2517463866275629</v>
      </c>
      <c r="X514" s="109">
        <v>0.17562972162048926</v>
      </c>
      <c r="Y514" s="109">
        <v>0.4363349421991925</v>
      </c>
      <c r="Z514" s="109">
        <v>0.91399398631704531</v>
      </c>
      <c r="AA514" s="109">
        <v>2.7777050367642899</v>
      </c>
      <c r="AD514" s="111"/>
    </row>
    <row r="515" spans="1:30" ht="15" customHeight="1" x14ac:dyDescent="0.3">
      <c r="A515" s="22" t="s">
        <v>154</v>
      </c>
      <c r="B515" s="23">
        <v>64</v>
      </c>
      <c r="C515" s="3" t="s">
        <v>131</v>
      </c>
      <c r="D515" s="23">
        <v>2019</v>
      </c>
      <c r="E515" s="25">
        <v>5.2846813973917159</v>
      </c>
      <c r="F515" s="25">
        <v>1.9718899925670654</v>
      </c>
      <c r="G515" s="25">
        <v>0.48180994173562286</v>
      </c>
      <c r="H515" s="25">
        <v>1.281771224935601</v>
      </c>
      <c r="I515" s="25">
        <v>9.1285536553209659E-2</v>
      </c>
      <c r="J515" s="25">
        <v>3.2884922838164167E-2</v>
      </c>
      <c r="K515" s="25">
        <v>8.7484595432684817E-2</v>
      </c>
      <c r="L515" s="25">
        <v>0.99470000000000003</v>
      </c>
      <c r="M515" s="24">
        <v>2</v>
      </c>
      <c r="N515" s="108">
        <v>0</v>
      </c>
      <c r="O515" s="24">
        <v>3</v>
      </c>
      <c r="P515" s="24">
        <v>0</v>
      </c>
      <c r="Q515" s="24">
        <v>3</v>
      </c>
      <c r="R515" s="24">
        <v>3</v>
      </c>
      <c r="S515" s="24">
        <v>0</v>
      </c>
      <c r="T515" s="24">
        <v>0</v>
      </c>
      <c r="U515" s="24">
        <v>597964000000</v>
      </c>
      <c r="V515" s="109">
        <v>-1.3419314653158806E-2</v>
      </c>
      <c r="W515" s="109">
        <v>1.3912644908389131</v>
      </c>
      <c r="X515" s="109">
        <v>0.20113993484557596</v>
      </c>
      <c r="Y515" s="109">
        <v>0.25279060277876259</v>
      </c>
      <c r="Z515" s="109">
        <v>0.8191789451762379</v>
      </c>
      <c r="AA515" s="109">
        <v>2.6643739736394894</v>
      </c>
      <c r="AD515" s="111"/>
    </row>
    <row r="516" spans="1:30" ht="15" customHeight="1" x14ac:dyDescent="0.3">
      <c r="A516" s="22" t="s">
        <v>154</v>
      </c>
      <c r="B516" s="23">
        <v>64</v>
      </c>
      <c r="C516" s="3" t="s">
        <v>131</v>
      </c>
      <c r="D516" s="23">
        <v>2020</v>
      </c>
      <c r="E516" s="25">
        <v>5.2704770477047704</v>
      </c>
      <c r="F516" s="25">
        <v>1.7268789378937894</v>
      </c>
      <c r="G516" s="25">
        <v>0.50569033567025212</v>
      </c>
      <c r="H516" s="25">
        <v>1.5383631873326309</v>
      </c>
      <c r="I516" s="25">
        <v>0.10458378935170283</v>
      </c>
      <c r="J516" s="25">
        <v>3.5583593105062775E-2</v>
      </c>
      <c r="K516" s="25">
        <v>0.10824903274708159</v>
      </c>
      <c r="L516" s="25">
        <v>0.99470000000000003</v>
      </c>
      <c r="M516" s="24">
        <v>2</v>
      </c>
      <c r="N516" s="108">
        <v>0</v>
      </c>
      <c r="O516" s="24">
        <v>4</v>
      </c>
      <c r="P516" s="24">
        <v>0</v>
      </c>
      <c r="Q516" s="24">
        <v>4</v>
      </c>
      <c r="R516" s="24">
        <v>3</v>
      </c>
      <c r="S516" s="24">
        <v>0</v>
      </c>
      <c r="T516" s="24">
        <v>0</v>
      </c>
      <c r="U516" s="24">
        <v>730449000000</v>
      </c>
      <c r="V516" s="109">
        <v>0.15373331105045215</v>
      </c>
      <c r="W516" s="109">
        <v>1.3634975747793481</v>
      </c>
      <c r="X516" s="109">
        <v>0.2237930916463709</v>
      </c>
      <c r="Y516" s="109">
        <v>0.26807358213920479</v>
      </c>
      <c r="Z516" s="109">
        <v>0.68254363380899408</v>
      </c>
      <c r="AA516" s="109">
        <v>2.5379078823739176</v>
      </c>
      <c r="AD516" s="111"/>
    </row>
    <row r="517" spans="1:30" ht="15" customHeight="1" x14ac:dyDescent="0.3">
      <c r="A517" s="22" t="s">
        <v>154</v>
      </c>
      <c r="B517" s="23">
        <v>64</v>
      </c>
      <c r="C517" s="3" t="s">
        <v>131</v>
      </c>
      <c r="D517" s="23">
        <v>2021</v>
      </c>
      <c r="E517" s="25">
        <v>5.8005472166108367</v>
      </c>
      <c r="F517" s="25">
        <v>2.2674968675684659</v>
      </c>
      <c r="G517" s="25">
        <v>0.5583740471161952</v>
      </c>
      <c r="H517" s="25">
        <v>1.9008261912659781</v>
      </c>
      <c r="I517" s="25">
        <v>9.8599933793809449E-2</v>
      </c>
      <c r="J517" s="25">
        <v>4.0160483308104386E-2</v>
      </c>
      <c r="K517" s="25">
        <v>0.13671498329874798</v>
      </c>
      <c r="L517" s="25">
        <v>0.99470000000000003</v>
      </c>
      <c r="M517" s="24">
        <v>2</v>
      </c>
      <c r="N517" s="108">
        <v>0</v>
      </c>
      <c r="O517" s="24">
        <v>4</v>
      </c>
      <c r="P517" s="24">
        <v>0</v>
      </c>
      <c r="Q517" s="24">
        <v>4</v>
      </c>
      <c r="R517" s="24">
        <v>3</v>
      </c>
      <c r="S517" s="24">
        <v>0</v>
      </c>
      <c r="T517" s="24">
        <v>0</v>
      </c>
      <c r="U517" s="24">
        <v>882584000000</v>
      </c>
      <c r="V517" s="109">
        <v>0.44644868988604908</v>
      </c>
      <c r="W517" s="109">
        <v>1.3953817427009778</v>
      </c>
      <c r="X517" s="109">
        <v>0.2576761645350471</v>
      </c>
      <c r="Y517" s="109">
        <v>0.31774009046164442</v>
      </c>
      <c r="Z517" s="109">
        <v>0.5523913784566935</v>
      </c>
      <c r="AA517" s="109">
        <v>2.5231893761543631</v>
      </c>
      <c r="AD517" s="111"/>
    </row>
    <row r="518" spans="1:30" ht="15" customHeight="1" x14ac:dyDescent="0.3">
      <c r="A518" s="22" t="s">
        <v>154</v>
      </c>
      <c r="B518" s="23">
        <v>64</v>
      </c>
      <c r="C518" s="3" t="s">
        <v>131</v>
      </c>
      <c r="D518" s="23">
        <v>2022</v>
      </c>
      <c r="E518" s="25">
        <v>1.9938719152216551</v>
      </c>
      <c r="F518" s="25">
        <v>0.91851989188028771</v>
      </c>
      <c r="G518" s="25">
        <v>0.56876746806362399</v>
      </c>
      <c r="H518" s="25">
        <v>1.9593073273022998</v>
      </c>
      <c r="I518" s="25">
        <v>0</v>
      </c>
      <c r="J518" s="25">
        <v>0</v>
      </c>
      <c r="K518" s="25">
        <v>0</v>
      </c>
      <c r="L518" s="25">
        <v>0.94499999999999995</v>
      </c>
      <c r="M518" s="24">
        <v>2</v>
      </c>
      <c r="N518" s="108">
        <v>0</v>
      </c>
      <c r="O518" s="24">
        <v>4</v>
      </c>
      <c r="P518" s="24">
        <v>0</v>
      </c>
      <c r="Q518" s="24">
        <v>4</v>
      </c>
      <c r="R518" s="24">
        <v>3</v>
      </c>
      <c r="S518" s="24">
        <v>0</v>
      </c>
      <c r="T518" s="24">
        <v>0</v>
      </c>
      <c r="U518" s="24">
        <v>1025085000000</v>
      </c>
      <c r="V518" s="109">
        <v>0.21238834659775288</v>
      </c>
      <c r="W518" s="109">
        <v>0.65179234892716209</v>
      </c>
      <c r="X518" s="109">
        <v>0.3027700532150992</v>
      </c>
      <c r="Y518" s="109">
        <v>0.39819090124233597</v>
      </c>
      <c r="Z518" s="109">
        <v>0.53590367645167103</v>
      </c>
      <c r="AA518" s="109">
        <v>1.8886569798362682</v>
      </c>
      <c r="AD518" s="111"/>
    </row>
    <row r="519" spans="1:30" ht="15" customHeight="1" x14ac:dyDescent="0.3">
      <c r="A519" s="22" t="s">
        <v>154</v>
      </c>
      <c r="B519" s="23">
        <v>64</v>
      </c>
      <c r="C519" s="3" t="s">
        <v>131</v>
      </c>
      <c r="D519" s="23">
        <v>2023</v>
      </c>
      <c r="E519" s="25">
        <v>1.9487166975700205</v>
      </c>
      <c r="F519" s="25">
        <v>1.2939494486191081</v>
      </c>
      <c r="G519" s="25">
        <v>0.59960635733632694</v>
      </c>
      <c r="H519" s="25">
        <v>2.4331412505449594</v>
      </c>
      <c r="I519" s="25">
        <v>0</v>
      </c>
      <c r="J519" s="25">
        <v>0</v>
      </c>
      <c r="K519" s="25">
        <v>0</v>
      </c>
      <c r="L519" s="25">
        <v>0.94499999999999995</v>
      </c>
      <c r="M519" s="24">
        <v>2</v>
      </c>
      <c r="N519" s="108">
        <v>0</v>
      </c>
      <c r="O519" s="24">
        <v>3</v>
      </c>
      <c r="P519" s="24">
        <v>0</v>
      </c>
      <c r="Q519" s="24">
        <v>3</v>
      </c>
      <c r="R519" s="24">
        <v>3</v>
      </c>
      <c r="S519" s="24">
        <v>0</v>
      </c>
      <c r="T519" s="24">
        <v>0</v>
      </c>
      <c r="U519" s="24">
        <v>1368246000000</v>
      </c>
      <c r="V519" s="109">
        <v>0.13604293387604885</v>
      </c>
      <c r="W519" s="109">
        <v>0.46609337794519401</v>
      </c>
      <c r="X519" s="109">
        <v>0.32011113498596011</v>
      </c>
      <c r="Y519" s="109">
        <v>0.40848093106064259</v>
      </c>
      <c r="Z519" s="109">
        <v>0.43154091434881875</v>
      </c>
      <c r="AA519" s="109">
        <v>1.6262263583406154</v>
      </c>
      <c r="AD519" s="111"/>
    </row>
    <row r="520" spans="1:30" ht="15" customHeight="1" x14ac:dyDescent="0.3">
      <c r="A520" s="22" t="s">
        <v>154</v>
      </c>
      <c r="B520" s="23">
        <v>64</v>
      </c>
      <c r="C520" s="3" t="s">
        <v>131</v>
      </c>
      <c r="D520" s="23">
        <v>2024</v>
      </c>
      <c r="E520" s="25">
        <v>1.2571052215606724</v>
      </c>
      <c r="F520" s="25">
        <v>0.87752779387744351</v>
      </c>
      <c r="G520" s="25">
        <v>0.94521970823227197</v>
      </c>
      <c r="H520" s="25">
        <v>4.5724936487091394</v>
      </c>
      <c r="I520" s="25">
        <v>0</v>
      </c>
      <c r="J520" s="25">
        <v>0</v>
      </c>
      <c r="K520" s="25">
        <v>0</v>
      </c>
      <c r="L520" s="25">
        <v>0.94499999999999995</v>
      </c>
      <c r="M520" s="24">
        <v>2</v>
      </c>
      <c r="N520" s="108">
        <v>0</v>
      </c>
      <c r="O520" s="24">
        <v>3</v>
      </c>
      <c r="P520" s="24">
        <v>0</v>
      </c>
      <c r="Q520" s="24">
        <v>3</v>
      </c>
      <c r="R520" s="24">
        <v>3</v>
      </c>
      <c r="S520" s="24">
        <v>0</v>
      </c>
      <c r="T520" s="24">
        <v>0</v>
      </c>
      <c r="U520" s="24">
        <v>1631846000000</v>
      </c>
      <c r="V520" s="109">
        <v>-1.0752840191870739E-2</v>
      </c>
      <c r="W520" s="109">
        <v>9.8079647221612817E-2</v>
      </c>
      <c r="X520" s="109">
        <v>0.27209185180464335</v>
      </c>
      <c r="Y520" s="109">
        <v>0.41371021530217922</v>
      </c>
      <c r="Z520" s="109">
        <v>0.22963399857240382</v>
      </c>
      <c r="AA520" s="109">
        <v>1.0135157129008392</v>
      </c>
      <c r="AD520" s="111"/>
    </row>
    <row r="521" spans="1:30" ht="15" customHeight="1" x14ac:dyDescent="0.3">
      <c r="A521" s="22" t="s">
        <v>154</v>
      </c>
      <c r="B521" s="23">
        <v>65</v>
      </c>
      <c r="C521" s="3" t="s">
        <v>64</v>
      </c>
      <c r="D521" s="23">
        <v>2022</v>
      </c>
      <c r="E521" s="25">
        <v>7.9252906855808289</v>
      </c>
      <c r="F521" s="25">
        <v>5.1468496862639129E-2</v>
      </c>
      <c r="G521" s="25">
        <v>0.56815003505833361</v>
      </c>
      <c r="H521" s="25">
        <v>1.3154355797942781</v>
      </c>
      <c r="I521" s="25">
        <v>0.20784605844392287</v>
      </c>
      <c r="J521" s="25">
        <v>5.3462960424047579E-2</v>
      </c>
      <c r="K521" s="25">
        <v>0.12378258559062638</v>
      </c>
      <c r="L521" s="25">
        <v>0</v>
      </c>
      <c r="M521" s="24">
        <v>0</v>
      </c>
      <c r="N521" s="108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16603575802000</v>
      </c>
      <c r="V521" s="109">
        <v>0</v>
      </c>
      <c r="W521" s="109">
        <v>4.8708460322009861</v>
      </c>
      <c r="X521" s="109">
        <v>1.3582622069773354</v>
      </c>
      <c r="Y521" s="109">
        <v>0.55277192521953344</v>
      </c>
      <c r="Z521" s="109">
        <v>0.79821468730852663</v>
      </c>
      <c r="AA521" s="109">
        <v>7.5800948517063818</v>
      </c>
      <c r="AD521" s="111"/>
    </row>
    <row r="522" spans="1:30" ht="15" customHeight="1" x14ac:dyDescent="0.3">
      <c r="A522" s="22" t="s">
        <v>154</v>
      </c>
      <c r="B522" s="23">
        <v>65</v>
      </c>
      <c r="C522" s="3" t="s">
        <v>64</v>
      </c>
      <c r="D522" s="23">
        <v>2023</v>
      </c>
      <c r="E522" s="25">
        <v>9.6267102062945646</v>
      </c>
      <c r="F522" s="25">
        <v>5.7456369952058488E-2</v>
      </c>
      <c r="G522" s="25">
        <v>0.57819548242291996</v>
      </c>
      <c r="H522" s="25">
        <v>1.3707664530104546</v>
      </c>
      <c r="I522" s="25">
        <v>0.24230693532696485</v>
      </c>
      <c r="J522" s="25">
        <v>6.6630074856390303E-2</v>
      </c>
      <c r="K522" s="25">
        <v>0.1579643462311055</v>
      </c>
      <c r="L522" s="25">
        <v>0.95699999999999996</v>
      </c>
      <c r="M522" s="24">
        <v>2</v>
      </c>
      <c r="N522" s="108">
        <v>0</v>
      </c>
      <c r="O522" s="24">
        <v>4</v>
      </c>
      <c r="P522" s="24">
        <v>0</v>
      </c>
      <c r="Q522" s="24">
        <v>4</v>
      </c>
      <c r="R522" s="24">
        <v>7</v>
      </c>
      <c r="S522" s="24">
        <v>0</v>
      </c>
      <c r="T522" s="24">
        <v>0</v>
      </c>
      <c r="U522" s="24">
        <v>18377880959000</v>
      </c>
      <c r="V522" s="109">
        <v>0.18327871089415282</v>
      </c>
      <c r="W522" s="109">
        <v>4.95549134397677</v>
      </c>
      <c r="X522" s="109">
        <v>1.3614264552076751</v>
      </c>
      <c r="Y522" s="109">
        <v>0.57220858261627394</v>
      </c>
      <c r="Z522" s="109">
        <v>0.76599481822305138</v>
      </c>
      <c r="AA522" s="109">
        <v>7.6551212000237703</v>
      </c>
      <c r="AD522" s="111"/>
    </row>
    <row r="523" spans="1:30" ht="15" customHeight="1" x14ac:dyDescent="0.3">
      <c r="A523" s="22" t="s">
        <v>154</v>
      </c>
      <c r="B523" s="23">
        <v>65</v>
      </c>
      <c r="C523" s="3" t="s">
        <v>64</v>
      </c>
      <c r="D523" s="23">
        <v>2024</v>
      </c>
      <c r="E523" s="25">
        <v>9.414802293970892</v>
      </c>
      <c r="F523" s="25">
        <v>4.2566310619787481E-2</v>
      </c>
      <c r="G523" s="25">
        <v>0.58574720211238296</v>
      </c>
      <c r="H523" s="25">
        <v>1.413984902695312</v>
      </c>
      <c r="I523" s="25">
        <v>0.22053178969679973</v>
      </c>
      <c r="J523" s="25">
        <v>6.5891986367145744E-2</v>
      </c>
      <c r="K523" s="25">
        <v>0.15906226029889514</v>
      </c>
      <c r="L523" s="25">
        <v>0.95699999999999996</v>
      </c>
      <c r="M523" s="24">
        <v>2</v>
      </c>
      <c r="N523" s="108">
        <v>0</v>
      </c>
      <c r="O523" s="24">
        <v>4</v>
      </c>
      <c r="P523" s="24">
        <v>0</v>
      </c>
      <c r="Q523" s="24">
        <v>4</v>
      </c>
      <c r="R523" s="24">
        <v>6</v>
      </c>
      <c r="S523" s="24">
        <v>0</v>
      </c>
      <c r="T523" s="24">
        <v>0</v>
      </c>
      <c r="U523" s="24">
        <v>20178714079000</v>
      </c>
      <c r="V523" s="109">
        <v>0.19303997039154358</v>
      </c>
      <c r="W523" s="109">
        <v>4.9818661712154979</v>
      </c>
      <c r="X523" s="109">
        <v>1.3681525776150028</v>
      </c>
      <c r="Y523" s="109">
        <v>0.56718617570536423</v>
      </c>
      <c r="Z523" s="109">
        <v>0.742582185989758</v>
      </c>
      <c r="AA523" s="109">
        <v>7.659787110525623</v>
      </c>
      <c r="AD523" s="111"/>
    </row>
    <row r="524" spans="1:30" ht="15" customHeight="1" x14ac:dyDescent="0.3">
      <c r="A524" s="22" t="s">
        <v>154</v>
      </c>
      <c r="B524" s="23">
        <v>66</v>
      </c>
      <c r="C524" s="2" t="s">
        <v>67</v>
      </c>
      <c r="D524" s="23">
        <v>2015</v>
      </c>
      <c r="E524" s="25">
        <v>1.6176698388110489</v>
      </c>
      <c r="F524" s="25">
        <v>0.30134663795653804</v>
      </c>
      <c r="G524" s="25">
        <v>0.70865113895178733</v>
      </c>
      <c r="H524" s="25">
        <v>2.5506818426329771</v>
      </c>
      <c r="I524" s="25">
        <v>0.14798223153003542</v>
      </c>
      <c r="J524" s="25">
        <v>8.7169782402470836E-2</v>
      </c>
      <c r="K524" s="25">
        <v>0.31375435525176926</v>
      </c>
      <c r="L524" s="25">
        <v>0.42459999999999998</v>
      </c>
      <c r="M524" s="24">
        <v>2</v>
      </c>
      <c r="N524" s="108">
        <v>0</v>
      </c>
      <c r="O524" s="24">
        <v>4</v>
      </c>
      <c r="P524" s="24">
        <v>8</v>
      </c>
      <c r="Q524" s="24">
        <v>4</v>
      </c>
      <c r="R524" s="24">
        <v>5</v>
      </c>
      <c r="S524" s="24">
        <v>8</v>
      </c>
      <c r="T524" s="24">
        <v>11</v>
      </c>
      <c r="U524" s="24">
        <v>2075168653798</v>
      </c>
      <c r="V524" s="109">
        <v>0</v>
      </c>
      <c r="W524" s="109">
        <v>0.61512625379327623</v>
      </c>
      <c r="X524" s="109">
        <v>0.28724845751869388</v>
      </c>
      <c r="Y524" s="109">
        <v>0.71147046765367972</v>
      </c>
      <c r="Z524" s="109">
        <v>0.41165463385120693</v>
      </c>
      <c r="AA524" s="109">
        <v>2.0254998128168569</v>
      </c>
      <c r="AD524" s="111"/>
    </row>
    <row r="525" spans="1:30" ht="15" customHeight="1" x14ac:dyDescent="0.3">
      <c r="A525" s="22" t="s">
        <v>154</v>
      </c>
      <c r="B525" s="23">
        <v>66</v>
      </c>
      <c r="C525" s="3" t="s">
        <v>67</v>
      </c>
      <c r="D525" s="23">
        <v>2016</v>
      </c>
      <c r="E525" s="25">
        <v>2.4407455885024825</v>
      </c>
      <c r="F525" s="25">
        <v>0.34650139232386457</v>
      </c>
      <c r="G525" s="25">
        <v>0.68536250467997606</v>
      </c>
      <c r="H525" s="25">
        <v>2.2996830324438418</v>
      </c>
      <c r="I525" s="25">
        <v>0.13567509294237268</v>
      </c>
      <c r="J525" s="25">
        <v>8.6130150459610408E-2</v>
      </c>
      <c r="K525" s="25">
        <v>0.28900332924732897</v>
      </c>
      <c r="L525" s="25">
        <v>0.42459999999999998</v>
      </c>
      <c r="M525" s="24">
        <v>3</v>
      </c>
      <c r="N525" s="108">
        <v>0</v>
      </c>
      <c r="O525" s="24">
        <v>5</v>
      </c>
      <c r="P525" s="24">
        <v>11</v>
      </c>
      <c r="Q525" s="24">
        <v>5</v>
      </c>
      <c r="R525" s="24">
        <v>5</v>
      </c>
      <c r="S525" s="24">
        <v>11</v>
      </c>
      <c r="T525" s="24">
        <v>11</v>
      </c>
      <c r="U525" s="24">
        <v>2313046000000</v>
      </c>
      <c r="V525" s="109">
        <v>0.20123937532211486</v>
      </c>
      <c r="W525" s="109">
        <v>1.1019871805402919</v>
      </c>
      <c r="X525" s="109">
        <v>0.28145939164201661</v>
      </c>
      <c r="Y525" s="109">
        <v>0.70682651361019189</v>
      </c>
      <c r="Z525" s="109">
        <v>0.45658466196716657</v>
      </c>
      <c r="AA525" s="109">
        <v>2.5468577477596668</v>
      </c>
      <c r="AD525" s="111"/>
    </row>
    <row r="526" spans="1:30" ht="15" customHeight="1" x14ac:dyDescent="0.3">
      <c r="A526" s="22" t="s">
        <v>154</v>
      </c>
      <c r="B526" s="23">
        <v>66</v>
      </c>
      <c r="C526" s="3" t="s">
        <v>67</v>
      </c>
      <c r="D526" s="23">
        <v>2017</v>
      </c>
      <c r="E526" s="25">
        <v>1.6923421981815607</v>
      </c>
      <c r="F526" s="25">
        <v>0.37023551570541913</v>
      </c>
      <c r="G526" s="25">
        <v>0.68032711937359358</v>
      </c>
      <c r="H526" s="25">
        <v>2.2502821538605287</v>
      </c>
      <c r="I526" s="25">
        <v>0.10116076194327986</v>
      </c>
      <c r="J526" s="25">
        <v>6.396349382283785E-2</v>
      </c>
      <c r="K526" s="25">
        <v>0.21156867711025271</v>
      </c>
      <c r="L526" s="25">
        <v>0.42459999999999998</v>
      </c>
      <c r="M526" s="24">
        <v>3</v>
      </c>
      <c r="N526" s="108">
        <v>0</v>
      </c>
      <c r="O526" s="24">
        <v>5</v>
      </c>
      <c r="P526" s="24">
        <v>11</v>
      </c>
      <c r="Q526" s="24">
        <v>5</v>
      </c>
      <c r="R526" s="24">
        <v>4</v>
      </c>
      <c r="S526" s="24">
        <v>11</v>
      </c>
      <c r="T526" s="24">
        <v>8</v>
      </c>
      <c r="U526" s="24">
        <v>2690394000000</v>
      </c>
      <c r="V526" s="109">
        <v>0.15850156260321729</v>
      </c>
      <c r="W526" s="109">
        <v>0.64352953507924859</v>
      </c>
      <c r="X526" s="109">
        <v>0.20317731157592531</v>
      </c>
      <c r="Y526" s="109">
        <v>0.50563716689823124</v>
      </c>
      <c r="Z526" s="109">
        <v>0.46660815320365312</v>
      </c>
      <c r="AA526" s="109">
        <v>1.8189521667570583</v>
      </c>
      <c r="AD526" s="111"/>
    </row>
    <row r="527" spans="1:30" ht="15" customHeight="1" x14ac:dyDescent="0.3">
      <c r="A527" s="22" t="s">
        <v>154</v>
      </c>
      <c r="B527" s="23">
        <v>66</v>
      </c>
      <c r="C527" s="3" t="s">
        <v>67</v>
      </c>
      <c r="D527" s="23">
        <v>2018</v>
      </c>
      <c r="E527" s="25">
        <v>1.7539977044540278</v>
      </c>
      <c r="F527" s="25">
        <v>0.24746765620298866</v>
      </c>
      <c r="G527" s="25">
        <v>0.66108106381819587</v>
      </c>
      <c r="H527" s="25">
        <v>1.9505580634289972</v>
      </c>
      <c r="I527" s="25">
        <v>8.135687225383352E-2</v>
      </c>
      <c r="J527" s="25">
        <v>6.0183840588830924E-2</v>
      </c>
      <c r="K527" s="25">
        <v>0.17757591613750046</v>
      </c>
      <c r="L527" s="25">
        <v>0.45669999999999999</v>
      </c>
      <c r="M527" s="24">
        <v>3</v>
      </c>
      <c r="N527" s="108">
        <v>0</v>
      </c>
      <c r="O527" s="24">
        <v>5</v>
      </c>
      <c r="P527" s="24">
        <v>19</v>
      </c>
      <c r="Q527" s="24">
        <v>5</v>
      </c>
      <c r="R527" s="24">
        <v>6</v>
      </c>
      <c r="S527" s="24">
        <v>19</v>
      </c>
      <c r="T527" s="24">
        <v>11</v>
      </c>
      <c r="U527" s="24">
        <v>2661545000000</v>
      </c>
      <c r="V527" s="109">
        <v>0.15740004843856178</v>
      </c>
      <c r="W527" s="109">
        <v>0.66708514039777644</v>
      </c>
      <c r="X527" s="109">
        <v>0.73778009389283283</v>
      </c>
      <c r="Y527" s="109">
        <v>0.52072491729427839</v>
      </c>
      <c r="Z527" s="109">
        <v>0.53830748219519553</v>
      </c>
      <c r="AA527" s="109">
        <v>2.4638976337800829</v>
      </c>
      <c r="AD527" s="111"/>
    </row>
    <row r="528" spans="1:30" ht="15" customHeight="1" x14ac:dyDescent="0.3">
      <c r="A528" s="22" t="s">
        <v>154</v>
      </c>
      <c r="B528" s="23">
        <v>66</v>
      </c>
      <c r="C528" s="3" t="s">
        <v>67</v>
      </c>
      <c r="D528" s="23">
        <v>2019</v>
      </c>
      <c r="E528" s="25">
        <v>4.0338897726586254</v>
      </c>
      <c r="F528" s="25">
        <v>0.36267493606653106</v>
      </c>
      <c r="G528" s="25">
        <v>0.71189488075125773</v>
      </c>
      <c r="H528" s="25">
        <v>2.4709553325799343</v>
      </c>
      <c r="I528" s="25">
        <v>4.1578238399659517E-2</v>
      </c>
      <c r="J528" s="25">
        <v>2.6281456564871915E-2</v>
      </c>
      <c r="K528" s="25">
        <v>9.1221761811810104E-2</v>
      </c>
      <c r="L528" s="25">
        <v>0.43030000000000002</v>
      </c>
      <c r="M528" s="24">
        <v>3</v>
      </c>
      <c r="N528" s="108">
        <v>0</v>
      </c>
      <c r="O528" s="24">
        <v>5</v>
      </c>
      <c r="P528" s="24">
        <v>11</v>
      </c>
      <c r="Q528" s="24">
        <v>5</v>
      </c>
      <c r="R528" s="24">
        <v>5</v>
      </c>
      <c r="S528" s="24">
        <v>11</v>
      </c>
      <c r="T528" s="24">
        <v>9</v>
      </c>
      <c r="U528" s="24">
        <v>3040661000000</v>
      </c>
      <c r="V528" s="109">
        <v>-2.3815558177462223E-2</v>
      </c>
      <c r="W528" s="109">
        <v>1.625253456403065</v>
      </c>
      <c r="X528" s="109">
        <v>0.60607272563432746</v>
      </c>
      <c r="Y528" s="109">
        <v>0.14186946851358964</v>
      </c>
      <c r="Z528" s="109">
        <v>0.42493685990822461</v>
      </c>
      <c r="AA528" s="109">
        <v>2.7981325104592063</v>
      </c>
      <c r="AD528" s="111"/>
    </row>
    <row r="529" spans="1:30" ht="15" customHeight="1" x14ac:dyDescent="0.3">
      <c r="A529" s="22" t="s">
        <v>154</v>
      </c>
      <c r="B529" s="23">
        <v>66</v>
      </c>
      <c r="C529" s="3" t="s">
        <v>67</v>
      </c>
      <c r="D529" s="23">
        <v>2020</v>
      </c>
      <c r="E529" s="25">
        <v>4.7921628954686453</v>
      </c>
      <c r="F529" s="25">
        <v>0.32358484984236197</v>
      </c>
      <c r="G529" s="25">
        <v>0.69732783622936756</v>
      </c>
      <c r="H529" s="25">
        <v>2.3039047514055784</v>
      </c>
      <c r="I529" s="25">
        <v>4.3492502526836001E-2</v>
      </c>
      <c r="J529" s="25">
        <v>2.5341911769612795E-2</v>
      </c>
      <c r="K529" s="25">
        <v>8.3727262705324657E-2</v>
      </c>
      <c r="L529" s="25">
        <v>0.43219999999999997</v>
      </c>
      <c r="M529" s="24">
        <v>3</v>
      </c>
      <c r="N529" s="108">
        <v>0</v>
      </c>
      <c r="O529" s="24">
        <v>5</v>
      </c>
      <c r="P529" s="24">
        <v>14</v>
      </c>
      <c r="Q529" s="24">
        <v>5</v>
      </c>
      <c r="R529" s="24">
        <v>5</v>
      </c>
      <c r="S529" s="24">
        <v>14</v>
      </c>
      <c r="T529" s="24">
        <v>5</v>
      </c>
      <c r="U529" s="24">
        <v>2996972000000</v>
      </c>
      <c r="V529" s="109">
        <v>-9.1434351149407053E-2</v>
      </c>
      <c r="W529" s="109">
        <v>1.9640652765524669</v>
      </c>
      <c r="X529" s="109">
        <v>0.64325937646397757</v>
      </c>
      <c r="Y529" s="109">
        <v>0.1597007112512229</v>
      </c>
      <c r="Z529" s="109">
        <v>0.45574800753347572</v>
      </c>
      <c r="AA529" s="109">
        <v>3.2227733718011433</v>
      </c>
      <c r="AD529" s="111"/>
    </row>
    <row r="530" spans="1:30" ht="15" customHeight="1" x14ac:dyDescent="0.3">
      <c r="A530" s="22" t="s">
        <v>154</v>
      </c>
      <c r="B530" s="23">
        <v>66</v>
      </c>
      <c r="C530" s="3" t="s">
        <v>67</v>
      </c>
      <c r="D530" s="23">
        <v>2021</v>
      </c>
      <c r="E530" s="25">
        <v>5.1000407302697779</v>
      </c>
      <c r="F530" s="25">
        <v>0.34591179900011182</v>
      </c>
      <c r="G530" s="25">
        <v>0.69190908481637692</v>
      </c>
      <c r="H530" s="25">
        <v>2.2457951556409808</v>
      </c>
      <c r="I530" s="25">
        <v>3.0428008766958559E-2</v>
      </c>
      <c r="J530" s="25">
        <v>2.4249855195026156E-2</v>
      </c>
      <c r="K530" s="25">
        <v>7.8710062517011167E-2</v>
      </c>
      <c r="L530" s="25">
        <v>0.43219999999999997</v>
      </c>
      <c r="M530" s="24">
        <v>3</v>
      </c>
      <c r="N530" s="108">
        <v>0</v>
      </c>
      <c r="O530" s="24">
        <v>5</v>
      </c>
      <c r="P530" s="24">
        <v>14</v>
      </c>
      <c r="Q530" s="24">
        <v>5</v>
      </c>
      <c r="R530" s="24">
        <v>5</v>
      </c>
      <c r="S530" s="24">
        <v>14</v>
      </c>
      <c r="T530" s="24">
        <v>5</v>
      </c>
      <c r="U530" s="24">
        <v>3088637000000</v>
      </c>
      <c r="V530" s="109">
        <v>0.40959653658829898</v>
      </c>
      <c r="W530" s="109">
        <v>2.1807607692325126</v>
      </c>
      <c r="X530" s="109">
        <v>0.65259381403512295</v>
      </c>
      <c r="Y530" s="109">
        <v>0.16341810319568145</v>
      </c>
      <c r="Z530" s="109">
        <v>0.46754041541260499</v>
      </c>
      <c r="AA530" s="109">
        <v>3.4643131018759217</v>
      </c>
      <c r="AD530" s="111"/>
    </row>
    <row r="531" spans="1:30" ht="15" customHeight="1" x14ac:dyDescent="0.3">
      <c r="A531" s="22" t="s">
        <v>154</v>
      </c>
      <c r="B531" s="23">
        <v>66</v>
      </c>
      <c r="C531" s="3" t="s">
        <v>67</v>
      </c>
      <c r="D531" s="23">
        <v>2022</v>
      </c>
      <c r="E531" s="25">
        <v>2.4200856283048062</v>
      </c>
      <c r="F531" s="25">
        <v>0.55979266938171046</v>
      </c>
      <c r="G531" s="25">
        <v>0.71753309216117245</v>
      </c>
      <c r="H531" s="25">
        <v>2.5402377136885312</v>
      </c>
      <c r="I531" s="25">
        <v>2.8516575771385777E-2</v>
      </c>
      <c r="J531" s="25">
        <v>2.6684986962563106E-2</v>
      </c>
      <c r="K531" s="25">
        <v>9.4471197234152676E-2</v>
      </c>
      <c r="L531" s="25">
        <v>0.4456</v>
      </c>
      <c r="M531" s="24">
        <v>3</v>
      </c>
      <c r="N531" s="108">
        <v>0</v>
      </c>
      <c r="O531" s="24">
        <v>4</v>
      </c>
      <c r="P531" s="24">
        <v>11</v>
      </c>
      <c r="Q531" s="24">
        <v>4</v>
      </c>
      <c r="R531" s="24">
        <v>5</v>
      </c>
      <c r="S531" s="24">
        <v>11</v>
      </c>
      <c r="T531" s="24">
        <v>5</v>
      </c>
      <c r="U531" s="24">
        <v>3550161000000</v>
      </c>
      <c r="V531" s="109">
        <v>0.34963142617453075</v>
      </c>
      <c r="W531" s="109">
        <v>1.3820683399992282</v>
      </c>
      <c r="X531" s="109">
        <v>0.60732055813806751</v>
      </c>
      <c r="Y531" s="109">
        <v>0.18042854957845572</v>
      </c>
      <c r="Z531" s="109">
        <v>0.4133471424118636</v>
      </c>
      <c r="AA531" s="109">
        <v>2.5831645901276148</v>
      </c>
      <c r="AD531" s="111"/>
    </row>
    <row r="532" spans="1:30" ht="15" customHeight="1" x14ac:dyDescent="0.3">
      <c r="A532" s="22" t="s">
        <v>154</v>
      </c>
      <c r="B532" s="23">
        <v>66</v>
      </c>
      <c r="C532" s="3" t="s">
        <v>67</v>
      </c>
      <c r="D532" s="23">
        <v>2023</v>
      </c>
      <c r="E532" s="25">
        <v>4.5144908154638381</v>
      </c>
      <c r="F532" s="25">
        <v>0.73170394281761586</v>
      </c>
      <c r="G532" s="25">
        <v>0.72013069475602831</v>
      </c>
      <c r="H532" s="25">
        <v>2.5730963748534892</v>
      </c>
      <c r="I532" s="25">
        <v>3.6817435607132749E-2</v>
      </c>
      <c r="J532" s="25">
        <v>3.3677201040276404E-2</v>
      </c>
      <c r="K532" s="25">
        <v>0.12033188495222377</v>
      </c>
      <c r="L532" s="25">
        <v>0.45679999999999998</v>
      </c>
      <c r="M532" s="24">
        <v>3</v>
      </c>
      <c r="N532" s="108">
        <v>0</v>
      </c>
      <c r="O532" s="24">
        <v>5</v>
      </c>
      <c r="P532" s="24">
        <v>16</v>
      </c>
      <c r="Q532" s="24">
        <v>5</v>
      </c>
      <c r="R532" s="24">
        <v>5</v>
      </c>
      <c r="S532" s="24">
        <v>16</v>
      </c>
      <c r="T532" s="24">
        <v>5</v>
      </c>
      <c r="U532" s="24">
        <v>3862435000000</v>
      </c>
      <c r="V532" s="109">
        <v>6.3471776307907735E-2</v>
      </c>
      <c r="W532" s="109">
        <v>1.9415820745203478</v>
      </c>
      <c r="X532" s="109">
        <v>0.60431077804545574</v>
      </c>
      <c r="Y532" s="109">
        <v>0.19083555321966583</v>
      </c>
      <c r="Z532" s="109">
        <v>0.40806866398845498</v>
      </c>
      <c r="AA532" s="109">
        <v>3.1447970697739245</v>
      </c>
      <c r="AD532" s="111"/>
    </row>
    <row r="533" spans="1:30" ht="15" customHeight="1" x14ac:dyDescent="0.3">
      <c r="A533" s="22" t="s">
        <v>154</v>
      </c>
      <c r="B533" s="23">
        <v>67</v>
      </c>
      <c r="C533" s="2" t="s">
        <v>68</v>
      </c>
      <c r="D533" s="23">
        <v>2015</v>
      </c>
      <c r="E533" s="25">
        <v>1.1678587460721233</v>
      </c>
      <c r="F533" s="25">
        <v>0.14852611102798144</v>
      </c>
      <c r="G533" s="25">
        <v>0.41454008233367268</v>
      </c>
      <c r="H533" s="25">
        <v>0.70805886077743863</v>
      </c>
      <c r="I533" s="25">
        <v>9.992816510377231E-2</v>
      </c>
      <c r="J533" s="25">
        <v>2.9840967990677234E-2</v>
      </c>
      <c r="K533" s="25">
        <v>4.8644255214584771E-2</v>
      </c>
      <c r="L533" s="25">
        <v>0</v>
      </c>
      <c r="M533" s="24">
        <v>0</v>
      </c>
      <c r="N533" s="108">
        <v>0</v>
      </c>
      <c r="O533" s="24">
        <v>0</v>
      </c>
      <c r="P533" s="24">
        <v>0</v>
      </c>
      <c r="Q533" s="24">
        <v>0</v>
      </c>
      <c r="R533" s="24">
        <v>0</v>
      </c>
      <c r="S533" s="24">
        <v>0</v>
      </c>
      <c r="T533" s="24">
        <v>0</v>
      </c>
      <c r="U533" s="24">
        <v>180728000000</v>
      </c>
      <c r="V533" s="109">
        <v>0.31254778043932524</v>
      </c>
      <c r="W533" s="109">
        <v>0.20359346642468237</v>
      </c>
      <c r="X533" s="109">
        <v>0.55997653932982161</v>
      </c>
      <c r="Y533" s="109">
        <v>0.22120136337479526</v>
      </c>
      <c r="Z533" s="109">
        <v>1.4829275617667079</v>
      </c>
      <c r="AA533" s="109">
        <v>2.4676989308960069</v>
      </c>
      <c r="AD533" s="111"/>
    </row>
    <row r="534" spans="1:30" ht="15" customHeight="1" x14ac:dyDescent="0.3">
      <c r="A534" s="22" t="s">
        <v>154</v>
      </c>
      <c r="B534" s="23">
        <v>67</v>
      </c>
      <c r="C534" s="3" t="s">
        <v>68</v>
      </c>
      <c r="D534" s="23">
        <v>2016</v>
      </c>
      <c r="E534" s="25">
        <v>1.6209425254543723</v>
      </c>
      <c r="F534" s="25">
        <v>0.25121324578932341</v>
      </c>
      <c r="G534" s="25">
        <v>0.3513082600402363</v>
      </c>
      <c r="H534" s="25">
        <v>0.54156909711670809</v>
      </c>
      <c r="I534" s="25">
        <v>0.14552774374234204</v>
      </c>
      <c r="J534" s="25">
        <v>0</v>
      </c>
      <c r="K534" s="25">
        <v>7.430777755930143E-2</v>
      </c>
      <c r="L534" s="25">
        <v>0.58109999999999995</v>
      </c>
      <c r="M534" s="24">
        <v>2</v>
      </c>
      <c r="N534" s="108">
        <v>0.04</v>
      </c>
      <c r="O534" s="24">
        <v>4</v>
      </c>
      <c r="P534" s="24">
        <v>16</v>
      </c>
      <c r="Q534" s="24">
        <v>4</v>
      </c>
      <c r="R534" s="24">
        <v>4</v>
      </c>
      <c r="S534" s="24">
        <v>16</v>
      </c>
      <c r="T534" s="24">
        <v>8</v>
      </c>
      <c r="U534" s="24">
        <v>172481000000</v>
      </c>
      <c r="V534" s="109">
        <v>0.10916962742928146</v>
      </c>
      <c r="W534" s="109">
        <v>0.49636982160353887</v>
      </c>
      <c r="X534" s="109">
        <v>0.64589131556519264</v>
      </c>
      <c r="Y534" s="109">
        <v>0.29294635351140125</v>
      </c>
      <c r="Z534" s="109">
        <v>1.9388107733438955</v>
      </c>
      <c r="AA534" s="109">
        <v>3.3740182640240279</v>
      </c>
      <c r="AD534" s="111"/>
    </row>
    <row r="535" spans="1:30" ht="15" customHeight="1" x14ac:dyDescent="0.3">
      <c r="A535" s="22" t="s">
        <v>154</v>
      </c>
      <c r="B535" s="23">
        <v>67</v>
      </c>
      <c r="C535" s="3" t="s">
        <v>68</v>
      </c>
      <c r="D535" s="23">
        <v>2017</v>
      </c>
      <c r="E535" s="25">
        <v>3.2297286839797268</v>
      </c>
      <c r="F535" s="25">
        <v>0.35582897067458047</v>
      </c>
      <c r="G535" s="25">
        <v>0.34991366338321794</v>
      </c>
      <c r="H535" s="25">
        <v>0.53825721857847286</v>
      </c>
      <c r="I535" s="25">
        <v>7.1171147759465078E-2</v>
      </c>
      <c r="J535" s="25">
        <v>2.4081373797167273E-2</v>
      </c>
      <c r="K535" s="25">
        <v>3.7043347076779046E-2</v>
      </c>
      <c r="L535" s="25">
        <v>0.58109999999999995</v>
      </c>
      <c r="M535" s="24">
        <v>2</v>
      </c>
      <c r="N535" s="108">
        <v>0.04</v>
      </c>
      <c r="O535" s="24">
        <v>4</v>
      </c>
      <c r="P535" s="24">
        <v>16</v>
      </c>
      <c r="Q535" s="24">
        <v>4</v>
      </c>
      <c r="R535" s="24">
        <v>5</v>
      </c>
      <c r="S535" s="24">
        <v>16</v>
      </c>
      <c r="T535" s="24">
        <v>11</v>
      </c>
      <c r="U535" s="24">
        <v>171728990000</v>
      </c>
      <c r="V535" s="109">
        <v>1.7083668825485735E-2</v>
      </c>
      <c r="W535" s="109">
        <v>1.3868298975030362</v>
      </c>
      <c r="X535" s="109">
        <v>0.66369058479875753</v>
      </c>
      <c r="Y535" s="109">
        <v>0.23939979382630736</v>
      </c>
      <c r="Z535" s="109">
        <v>1.9507402107361054</v>
      </c>
      <c r="AA535" s="109">
        <v>4.2406604868642068</v>
      </c>
      <c r="AD535" s="111"/>
    </row>
    <row r="536" spans="1:30" ht="15" customHeight="1" x14ac:dyDescent="0.3">
      <c r="A536" s="22" t="s">
        <v>154</v>
      </c>
      <c r="B536" s="23">
        <v>67</v>
      </c>
      <c r="C536" s="3" t="s">
        <v>68</v>
      </c>
      <c r="D536" s="23">
        <v>2018</v>
      </c>
      <c r="E536" s="25">
        <v>2.8454675478481191</v>
      </c>
      <c r="F536" s="25">
        <v>0.39856445815370811</v>
      </c>
      <c r="G536" s="25">
        <v>0.34317213670885038</v>
      </c>
      <c r="H536" s="25">
        <v>0.52246890835191895</v>
      </c>
      <c r="I536" s="25">
        <v>7.3581463769985908E-2</v>
      </c>
      <c r="J536" s="25">
        <v>2.5583680970234803E-2</v>
      </c>
      <c r="K536" s="25">
        <v>3.8950358838377143E-2</v>
      </c>
      <c r="L536" s="25">
        <v>0</v>
      </c>
      <c r="M536" s="24">
        <v>0</v>
      </c>
      <c r="N536" s="108">
        <v>0</v>
      </c>
      <c r="O536" s="24">
        <v>0</v>
      </c>
      <c r="P536" s="24">
        <v>0</v>
      </c>
      <c r="Q536" s="24">
        <v>0</v>
      </c>
      <c r="R536" s="24">
        <v>0</v>
      </c>
      <c r="S536" s="24">
        <v>0</v>
      </c>
      <c r="T536" s="24">
        <v>0</v>
      </c>
      <c r="U536" s="24">
        <v>171191550000</v>
      </c>
      <c r="V536" s="109">
        <v>2.4368055685825164E-2</v>
      </c>
      <c r="W536" s="109">
        <v>1.2593338584760754</v>
      </c>
      <c r="X536" s="109">
        <v>0.69575185457459787</v>
      </c>
      <c r="Y536" s="109">
        <v>0.23754723875097805</v>
      </c>
      <c r="Z536" s="109">
        <v>2.0096889656307595</v>
      </c>
      <c r="AA536" s="109">
        <v>4.2023219174324105</v>
      </c>
      <c r="AD536" s="111"/>
    </row>
    <row r="537" spans="1:30" ht="15" customHeight="1" x14ac:dyDescent="0.3">
      <c r="A537" s="22" t="s">
        <v>154</v>
      </c>
      <c r="B537" s="23">
        <v>67</v>
      </c>
      <c r="C537" s="3" t="s">
        <v>68</v>
      </c>
      <c r="D537" s="23">
        <v>2019</v>
      </c>
      <c r="E537" s="25">
        <v>2.7006078874792152</v>
      </c>
      <c r="F537" s="25">
        <v>0.20143516566553685</v>
      </c>
      <c r="G537" s="25">
        <v>0.38713306248474821</v>
      </c>
      <c r="H537" s="25">
        <v>0.63167560964396663</v>
      </c>
      <c r="I537" s="25">
        <v>7.4436172362750505E-2</v>
      </c>
      <c r="J537" s="25">
        <v>2.9254910215148432E-2</v>
      </c>
      <c r="K537" s="25">
        <v>4.77345260222031E-2</v>
      </c>
      <c r="L537" s="25">
        <v>0.58109999999999995</v>
      </c>
      <c r="M537" s="24">
        <v>2</v>
      </c>
      <c r="N537" s="108">
        <v>0.04</v>
      </c>
      <c r="O537" s="24">
        <v>4</v>
      </c>
      <c r="P537" s="24">
        <v>11</v>
      </c>
      <c r="Q537" s="24">
        <v>4</v>
      </c>
      <c r="R537" s="24">
        <v>5</v>
      </c>
      <c r="S537" s="24">
        <v>11</v>
      </c>
      <c r="T537" s="24">
        <v>11</v>
      </c>
      <c r="U537" s="24">
        <v>186330430000</v>
      </c>
      <c r="V537" s="109">
        <v>0.23032993559347548</v>
      </c>
      <c r="W537" s="109">
        <v>1.3121106885225347</v>
      </c>
      <c r="X537" s="109">
        <v>0.69075536722584707</v>
      </c>
      <c r="Y537" s="109">
        <v>0.29583511828958908</v>
      </c>
      <c r="Z537" s="109">
        <v>1.6622455956338331</v>
      </c>
      <c r="AA537" s="109">
        <v>3.9609467696718044</v>
      </c>
      <c r="AD537" s="111"/>
    </row>
    <row r="538" spans="1:30" ht="15" customHeight="1" x14ac:dyDescent="0.3">
      <c r="A538" s="22" t="s">
        <v>154</v>
      </c>
      <c r="B538" s="23">
        <v>67</v>
      </c>
      <c r="C538" s="3" t="s">
        <v>68</v>
      </c>
      <c r="D538" s="23">
        <v>2020</v>
      </c>
      <c r="E538" s="25">
        <v>3.0417073916175039</v>
      </c>
      <c r="F538" s="25">
        <v>0.20387195853017367</v>
      </c>
      <c r="G538" s="25">
        <v>0.43557137739965102</v>
      </c>
      <c r="H538" s="25">
        <v>0.77170320561163841</v>
      </c>
      <c r="I538" s="25">
        <v>0.11500801499480712</v>
      </c>
      <c r="J538" s="25">
        <v>4.0111619403607607E-2</v>
      </c>
      <c r="K538" s="25">
        <v>7.10658846796456E-2</v>
      </c>
      <c r="L538" s="25">
        <v>0.58109999999999995</v>
      </c>
      <c r="M538" s="24">
        <v>2</v>
      </c>
      <c r="N538" s="108">
        <v>0.04</v>
      </c>
      <c r="O538" s="24">
        <v>4</v>
      </c>
      <c r="P538" s="24">
        <v>11</v>
      </c>
      <c r="Q538" s="24">
        <v>4</v>
      </c>
      <c r="R538" s="24">
        <v>5</v>
      </c>
      <c r="S538" s="24">
        <v>11</v>
      </c>
      <c r="T538" s="24">
        <v>11</v>
      </c>
      <c r="U538" s="24">
        <v>211221340000</v>
      </c>
      <c r="V538" s="109">
        <v>5.9614974956166463E-3</v>
      </c>
      <c r="W538" s="109">
        <v>1.4253377693750071</v>
      </c>
      <c r="X538" s="109">
        <v>0.67187908286160858</v>
      </c>
      <c r="Y538" s="109">
        <v>0.28685392489224809</v>
      </c>
      <c r="Z538" s="109">
        <v>1.3606267181017973</v>
      </c>
      <c r="AA538" s="109">
        <v>3.7446974952306613</v>
      </c>
      <c r="AD538" s="111"/>
    </row>
    <row r="539" spans="1:30" ht="15" customHeight="1" x14ac:dyDescent="0.3">
      <c r="A539" s="22" t="s">
        <v>154</v>
      </c>
      <c r="B539" s="23">
        <v>67</v>
      </c>
      <c r="C539" s="3" t="s">
        <v>68</v>
      </c>
      <c r="D539" s="23">
        <v>2021</v>
      </c>
      <c r="E539" s="25">
        <v>2.5236219223620018</v>
      </c>
      <c r="F539" s="25">
        <v>0.2416480047030263</v>
      </c>
      <c r="G539" s="25">
        <v>0.39032380819161738</v>
      </c>
      <c r="H539" s="25">
        <v>0.64021494267943091</v>
      </c>
      <c r="I539" s="25">
        <v>0.12694457204341444</v>
      </c>
      <c r="J539" s="25">
        <v>3.9240423756226515E-2</v>
      </c>
      <c r="K539" s="25">
        <v>6.4362729402035662E-2</v>
      </c>
      <c r="L539" s="25">
        <v>0.58109999999999995</v>
      </c>
      <c r="M539" s="24">
        <v>2</v>
      </c>
      <c r="N539" s="108">
        <v>0.04</v>
      </c>
      <c r="O539" s="24">
        <v>4</v>
      </c>
      <c r="P539" s="24">
        <v>11</v>
      </c>
      <c r="Q539" s="24">
        <v>4</v>
      </c>
      <c r="R539" s="24">
        <v>5</v>
      </c>
      <c r="S539" s="24">
        <v>11</v>
      </c>
      <c r="T539" s="24">
        <v>15</v>
      </c>
      <c r="U539" s="24">
        <v>208178180000</v>
      </c>
      <c r="V539" s="109">
        <v>-0.12647592576278194</v>
      </c>
      <c r="W539" s="109">
        <v>1.1352022003458764</v>
      </c>
      <c r="X539" s="109">
        <v>0.70592567578408072</v>
      </c>
      <c r="Y539" s="109">
        <v>0.29114917615285135</v>
      </c>
      <c r="Z539" s="109">
        <v>1.6400741844692575</v>
      </c>
      <c r="AA539" s="109">
        <v>3.772351236752066</v>
      </c>
      <c r="AD539" s="111"/>
    </row>
    <row r="540" spans="1:30" ht="15" customHeight="1" x14ac:dyDescent="0.3">
      <c r="A540" s="22" t="s">
        <v>154</v>
      </c>
      <c r="B540" s="23">
        <v>67</v>
      </c>
      <c r="C540" s="3" t="s">
        <v>68</v>
      </c>
      <c r="D540" s="23">
        <v>2022</v>
      </c>
      <c r="E540" s="25">
        <v>2.7352334664963043</v>
      </c>
      <c r="F540" s="25">
        <v>0.35175939798770511</v>
      </c>
      <c r="G540" s="25">
        <v>0.43718555778929974</v>
      </c>
      <c r="H540" s="25">
        <v>0.77678454033990652</v>
      </c>
      <c r="I540" s="25">
        <v>7.8283381883824346E-2</v>
      </c>
      <c r="J540" s="25">
        <v>3.1614296731162353E-2</v>
      </c>
      <c r="K540" s="25">
        <v>5.6171793685647703E-2</v>
      </c>
      <c r="L540" s="25">
        <v>0.58109999999999995</v>
      </c>
      <c r="M540" s="24">
        <v>2</v>
      </c>
      <c r="N540" s="108">
        <v>0.04</v>
      </c>
      <c r="O540" s="24">
        <v>4</v>
      </c>
      <c r="P540" s="24">
        <v>11</v>
      </c>
      <c r="Q540" s="24">
        <v>4</v>
      </c>
      <c r="R540" s="24">
        <v>5</v>
      </c>
      <c r="S540" s="24">
        <v>11</v>
      </c>
      <c r="T540" s="24">
        <v>13</v>
      </c>
      <c r="U540" s="24">
        <v>217432640000</v>
      </c>
      <c r="V540" s="109">
        <v>0.36453262828254823</v>
      </c>
      <c r="W540" s="109">
        <v>1.4242358534578798</v>
      </c>
      <c r="X540" s="109">
        <v>0.71205283990480917</v>
      </c>
      <c r="Y540" s="109">
        <v>0.28644320558311759</v>
      </c>
      <c r="Z540" s="109">
        <v>1.3517261807766405</v>
      </c>
      <c r="AA540" s="109">
        <v>3.774458079722447</v>
      </c>
      <c r="AD540" s="111"/>
    </row>
    <row r="541" spans="1:30" ht="15" customHeight="1" x14ac:dyDescent="0.3">
      <c r="A541" s="22" t="s">
        <v>154</v>
      </c>
      <c r="B541" s="23">
        <v>67</v>
      </c>
      <c r="C541" s="3" t="s">
        <v>68</v>
      </c>
      <c r="D541" s="23">
        <v>2023</v>
      </c>
      <c r="E541" s="25">
        <v>6.2787208040960207</v>
      </c>
      <c r="F541" s="25">
        <v>0.23811252754377327</v>
      </c>
      <c r="G541" s="25">
        <v>0.68736079501484504</v>
      </c>
      <c r="H541" s="25">
        <v>2.1985751756485019</v>
      </c>
      <c r="I541" s="25">
        <v>5.5094687223083222E-2</v>
      </c>
      <c r="J541" s="25">
        <v>1.1826703530242462E-2</v>
      </c>
      <c r="K541" s="25">
        <v>3.7828600321588045E-2</v>
      </c>
      <c r="L541" s="25">
        <v>0.58530000000000004</v>
      </c>
      <c r="M541" s="24">
        <v>2</v>
      </c>
      <c r="N541" s="108">
        <v>0.04</v>
      </c>
      <c r="O541" s="24">
        <v>4</v>
      </c>
      <c r="P541" s="24">
        <v>11</v>
      </c>
      <c r="Q541" s="24">
        <v>4</v>
      </c>
      <c r="R541" s="24">
        <v>5</v>
      </c>
      <c r="S541" s="24">
        <v>11</v>
      </c>
      <c r="T541" s="24">
        <v>13</v>
      </c>
      <c r="U541" s="24">
        <v>408529730000</v>
      </c>
      <c r="V541" s="109">
        <v>-1.2909848690788055E-3</v>
      </c>
      <c r="W541" s="109">
        <v>3.4201570867314848</v>
      </c>
      <c r="X541" s="109">
        <v>0.35968278147100818</v>
      </c>
      <c r="Y541" s="109">
        <v>8.9206648436577676E-2</v>
      </c>
      <c r="Z541" s="109">
        <v>0.47758203204959188</v>
      </c>
      <c r="AA541" s="109">
        <v>4.3466285486886624</v>
      </c>
      <c r="AD541" s="111"/>
    </row>
    <row r="542" spans="1:30" ht="15" customHeight="1" x14ac:dyDescent="0.3">
      <c r="A542" s="22" t="s">
        <v>154</v>
      </c>
      <c r="B542" s="23">
        <v>67</v>
      </c>
      <c r="C542" s="3" t="s">
        <v>68</v>
      </c>
      <c r="D542" s="23">
        <v>2024</v>
      </c>
      <c r="E542" s="25">
        <v>3.6136043171302275</v>
      </c>
      <c r="F542" s="25">
        <v>0.25529713926316261</v>
      </c>
      <c r="G542" s="25">
        <v>0.57965726980447529</v>
      </c>
      <c r="H542" s="25">
        <v>1.379011050184797</v>
      </c>
      <c r="I542" s="25">
        <v>7.0525517334573254E-2</v>
      </c>
      <c r="J542" s="25">
        <v>1.3738527156596956E-2</v>
      </c>
      <c r="K542" s="25">
        <v>3.2684107918808075E-2</v>
      </c>
      <c r="L542" s="25">
        <v>0.58899999999999997</v>
      </c>
      <c r="M542" s="24">
        <v>2</v>
      </c>
      <c r="N542" s="108">
        <v>0.04</v>
      </c>
      <c r="O542" s="24">
        <v>3</v>
      </c>
      <c r="P542" s="24">
        <v>8</v>
      </c>
      <c r="Q542" s="24">
        <v>3</v>
      </c>
      <c r="R542" s="24">
        <v>5</v>
      </c>
      <c r="S542" s="24">
        <v>8</v>
      </c>
      <c r="T542" s="24">
        <v>9</v>
      </c>
      <c r="U542" s="24">
        <v>308465380000</v>
      </c>
      <c r="V542" s="109">
        <v>-0.31479161376110559</v>
      </c>
      <c r="W542" s="109">
        <v>2.3781388653728337</v>
      </c>
      <c r="X542" s="109">
        <v>0.49612316493993586</v>
      </c>
      <c r="Y542" s="109">
        <v>9.979611974607977E-2</v>
      </c>
      <c r="Z542" s="109">
        <v>0.76141521843446636</v>
      </c>
      <c r="AA542" s="109">
        <v>3.7354733684933157</v>
      </c>
      <c r="AD542" s="111"/>
    </row>
    <row r="543" spans="1:30" ht="15" customHeight="1" x14ac:dyDescent="0.3">
      <c r="A543" s="22" t="s">
        <v>154</v>
      </c>
      <c r="B543" s="23">
        <v>68</v>
      </c>
      <c r="C543" s="2" t="s">
        <v>69</v>
      </c>
      <c r="D543" s="23">
        <v>2015</v>
      </c>
      <c r="E543" s="25">
        <v>0.94723667723059202</v>
      </c>
      <c r="F543" s="25">
        <v>0.67799420507751129</v>
      </c>
      <c r="G543" s="25">
        <v>0.57089664024578479</v>
      </c>
      <c r="H543" s="25">
        <v>1.3295718398240559</v>
      </c>
      <c r="I543" s="25">
        <v>0.19476588259723893</v>
      </c>
      <c r="J543" s="25">
        <v>9.4340487689885177E-2</v>
      </c>
      <c r="K543" s="25">
        <v>0.21971132240984576</v>
      </c>
      <c r="L543" s="25">
        <v>0.2</v>
      </c>
      <c r="M543" s="24">
        <v>2</v>
      </c>
      <c r="N543" s="108">
        <v>0</v>
      </c>
      <c r="O543" s="24">
        <v>4</v>
      </c>
      <c r="P543" s="24">
        <v>9</v>
      </c>
      <c r="Q543" s="24">
        <v>4</v>
      </c>
      <c r="R543" s="24">
        <v>4</v>
      </c>
      <c r="S543" s="24">
        <v>9</v>
      </c>
      <c r="T543" s="24">
        <v>4</v>
      </c>
      <c r="U543" s="24">
        <v>2846759759000</v>
      </c>
      <c r="V543" s="109">
        <v>6.6449301310448947E-2</v>
      </c>
      <c r="W543" s="109">
        <v>-0.19208338649274828</v>
      </c>
      <c r="X543" s="109">
        <v>0.85064644900370734</v>
      </c>
      <c r="Y543" s="109">
        <v>0.6585447450397236</v>
      </c>
      <c r="Z543" s="109">
        <v>0.78972791732633862</v>
      </c>
      <c r="AA543" s="109">
        <v>2.1068357248770213</v>
      </c>
      <c r="AD543" s="111"/>
    </row>
    <row r="544" spans="1:30" ht="15" customHeight="1" x14ac:dyDescent="0.3">
      <c r="A544" s="22" t="s">
        <v>154</v>
      </c>
      <c r="B544" s="23">
        <v>68</v>
      </c>
      <c r="C544" s="3" t="s">
        <v>69</v>
      </c>
      <c r="D544" s="23">
        <v>2016</v>
      </c>
      <c r="E544" s="25">
        <v>0.77327801153213593</v>
      </c>
      <c r="F544" s="25">
        <v>0.56389678819013855</v>
      </c>
      <c r="G544" s="25">
        <v>0.56227999960226582</v>
      </c>
      <c r="H544" s="25">
        <v>1.2840198821660109</v>
      </c>
      <c r="I544" s="25">
        <v>0.13161686623933708</v>
      </c>
      <c r="J544" s="25">
        <v>6.1653013291666545E-2</v>
      </c>
      <c r="K544" s="25">
        <v>0.14079052236953546</v>
      </c>
      <c r="L544" s="25">
        <v>0.2</v>
      </c>
      <c r="M544" s="24">
        <v>2</v>
      </c>
      <c r="N544" s="108">
        <v>0</v>
      </c>
      <c r="O544" s="24">
        <v>4</v>
      </c>
      <c r="P544" s="24">
        <v>9</v>
      </c>
      <c r="Q544" s="24">
        <v>4</v>
      </c>
      <c r="R544" s="24">
        <v>4</v>
      </c>
      <c r="S544" s="24">
        <v>9</v>
      </c>
      <c r="T544" s="24">
        <v>4</v>
      </c>
      <c r="U544" s="24">
        <v>2813838947000</v>
      </c>
      <c r="V544" s="109">
        <v>-4.4114340814519121E-2</v>
      </c>
      <c r="W544" s="109">
        <v>-0.80848406430135322</v>
      </c>
      <c r="X544" s="109">
        <v>0.9690448489197061</v>
      </c>
      <c r="Y544" s="109">
        <v>0.47096698578747759</v>
      </c>
      <c r="Z544" s="109">
        <v>0.81774434694013987</v>
      </c>
      <c r="AA544" s="109">
        <v>1.4492721173459704</v>
      </c>
      <c r="AD544" s="111"/>
    </row>
    <row r="545" spans="1:30" ht="15" customHeight="1" x14ac:dyDescent="0.3">
      <c r="A545" s="22" t="s">
        <v>154</v>
      </c>
      <c r="B545" s="23">
        <v>68</v>
      </c>
      <c r="C545" s="3" t="s">
        <v>69</v>
      </c>
      <c r="D545" s="23">
        <v>2017</v>
      </c>
      <c r="E545" s="25">
        <v>0.52407710099060012</v>
      </c>
      <c r="F545" s="25">
        <v>0.32650576639565398</v>
      </c>
      <c r="G545" s="25">
        <v>0.53646469280001874</v>
      </c>
      <c r="H545" s="25">
        <v>1.1571427216763022</v>
      </c>
      <c r="I545" s="25">
        <v>0.12894026072800757</v>
      </c>
      <c r="J545" s="25">
        <v>5.4210821259621331E-2</v>
      </c>
      <c r="K545" s="25">
        <v>0.11693156716289227</v>
      </c>
      <c r="L545" s="25">
        <v>0.62329999999999997</v>
      </c>
      <c r="M545" s="24">
        <v>2</v>
      </c>
      <c r="N545" s="108">
        <v>0</v>
      </c>
      <c r="O545" s="24">
        <v>5</v>
      </c>
      <c r="P545" s="24">
        <v>12</v>
      </c>
      <c r="Q545" s="24">
        <v>5</v>
      </c>
      <c r="R545" s="24">
        <v>4</v>
      </c>
      <c r="S545" s="24">
        <v>12</v>
      </c>
      <c r="T545" s="24">
        <v>4</v>
      </c>
      <c r="U545" s="24">
        <v>2966605878000</v>
      </c>
      <c r="V545" s="109">
        <v>-5.3729507975927099E-2</v>
      </c>
      <c r="W545" s="109">
        <v>-1.6293395644920243</v>
      </c>
      <c r="X545" s="109">
        <v>1.0347877386899722</v>
      </c>
      <c r="Y545" s="109">
        <v>0.37380511267226718</v>
      </c>
      <c r="Z545" s="109">
        <v>0.90740751363748018</v>
      </c>
      <c r="AA545" s="109">
        <v>0.68666080050769529</v>
      </c>
      <c r="AD545" s="111"/>
    </row>
    <row r="546" spans="1:30" ht="15" customHeight="1" x14ac:dyDescent="0.3">
      <c r="A546" s="22" t="s">
        <v>154</v>
      </c>
      <c r="B546" s="23">
        <v>68</v>
      </c>
      <c r="C546" s="3" t="s">
        <v>69</v>
      </c>
      <c r="D546" s="23">
        <v>2018</v>
      </c>
      <c r="E546" s="25">
        <v>0.67606226959727067</v>
      </c>
      <c r="F546" s="25">
        <v>0.49054638184724153</v>
      </c>
      <c r="G546" s="25">
        <v>0.53834318782944102</v>
      </c>
      <c r="H546" s="25">
        <v>1.1660907856047753</v>
      </c>
      <c r="I546" s="25">
        <v>5.6771649601706387E-2</v>
      </c>
      <c r="J546" s="25">
        <v>2.3910093822826856E-2</v>
      </c>
      <c r="K546" s="25">
        <v>5.1791014951186633E-2</v>
      </c>
      <c r="L546" s="25">
        <v>0.62329999999999997</v>
      </c>
      <c r="M546" s="24">
        <v>2</v>
      </c>
      <c r="N546" s="108">
        <v>0</v>
      </c>
      <c r="O546" s="24">
        <v>4</v>
      </c>
      <c r="P546" s="24">
        <v>11</v>
      </c>
      <c r="Q546" s="24">
        <v>4</v>
      </c>
      <c r="R546" s="24">
        <v>3</v>
      </c>
      <c r="S546" s="24">
        <v>11</v>
      </c>
      <c r="T546" s="24">
        <v>7</v>
      </c>
      <c r="U546" s="24">
        <v>2890427512000</v>
      </c>
      <c r="V546" s="109">
        <v>-2.3989356888856894E-2</v>
      </c>
      <c r="W546" s="109">
        <v>-1.0656661687629272</v>
      </c>
      <c r="X546" s="109">
        <v>1.0781915218083489</v>
      </c>
      <c r="Y546" s="109">
        <v>0.11817421355903562</v>
      </c>
      <c r="Z546" s="109">
        <v>0.90044447050101117</v>
      </c>
      <c r="AA546" s="109">
        <v>1.0311440371054685</v>
      </c>
      <c r="AD546" s="111"/>
    </row>
    <row r="547" spans="1:30" ht="15" customHeight="1" x14ac:dyDescent="0.3">
      <c r="A547" s="22" t="s">
        <v>154</v>
      </c>
      <c r="B547" s="23">
        <v>68</v>
      </c>
      <c r="C547" s="3" t="s">
        <v>69</v>
      </c>
      <c r="D547" s="23">
        <v>2019</v>
      </c>
      <c r="E547" s="25">
        <v>0.97715692358767292</v>
      </c>
      <c r="F547" s="25">
        <v>0.85498806793246551</v>
      </c>
      <c r="G547" s="25">
        <v>0.51400241312402994</v>
      </c>
      <c r="H547" s="25">
        <v>1.0576245925815855</v>
      </c>
      <c r="I547" s="25">
        <v>7.9973159444467437E-2</v>
      </c>
      <c r="J547" s="25">
        <v>3.3928708553114084E-2</v>
      </c>
      <c r="K547" s="25">
        <v>6.9812583840239251E-2</v>
      </c>
      <c r="L547" s="25">
        <v>0.62329999999999997</v>
      </c>
      <c r="M547" s="24">
        <v>3</v>
      </c>
      <c r="N547" s="108">
        <v>0</v>
      </c>
      <c r="O547" s="24">
        <v>4</v>
      </c>
      <c r="P547" s="24">
        <v>11</v>
      </c>
      <c r="Q547" s="24">
        <v>4</v>
      </c>
      <c r="R547" s="24">
        <v>3</v>
      </c>
      <c r="S547" s="24">
        <v>11</v>
      </c>
      <c r="T547" s="24">
        <v>5</v>
      </c>
      <c r="U547" s="24">
        <v>2579654391000</v>
      </c>
      <c r="V547" s="109">
        <v>-0.10097296508674794</v>
      </c>
      <c r="W547" s="109">
        <v>-6.9751920190459338E-2</v>
      </c>
      <c r="X547" s="109">
        <v>1.171198720224224</v>
      </c>
      <c r="Y547" s="109">
        <v>0.20820094596927732</v>
      </c>
      <c r="Z547" s="109">
        <v>0.99279083274437263</v>
      </c>
      <c r="AA547" s="109">
        <v>2.3024385787474149</v>
      </c>
      <c r="AD547" s="111"/>
    </row>
    <row r="548" spans="1:30" ht="15" customHeight="1" x14ac:dyDescent="0.3">
      <c r="A548" s="22" t="s">
        <v>154</v>
      </c>
      <c r="B548" s="23">
        <v>68</v>
      </c>
      <c r="C548" s="3" t="s">
        <v>69</v>
      </c>
      <c r="D548" s="23">
        <v>2020</v>
      </c>
      <c r="E548" s="25">
        <v>0.7762374026899409</v>
      </c>
      <c r="F548" s="25">
        <v>0.64840588098499097</v>
      </c>
      <c r="G548" s="25">
        <v>0.44012984230481311</v>
      </c>
      <c r="H548" s="25">
        <v>0.78612841969768887</v>
      </c>
      <c r="I548" s="25">
        <v>0.15296376378869056</v>
      </c>
      <c r="J548" s="25">
        <v>5.5771777594504163E-2</v>
      </c>
      <c r="K548" s="25">
        <v>9.9615556978602693E-2</v>
      </c>
      <c r="L548" s="25">
        <v>0.62329999999999997</v>
      </c>
      <c r="M548" s="24">
        <v>3</v>
      </c>
      <c r="N548" s="108">
        <v>0</v>
      </c>
      <c r="O548" s="24">
        <v>4</v>
      </c>
      <c r="P548" s="24">
        <v>11</v>
      </c>
      <c r="Q548" s="24">
        <v>4</v>
      </c>
      <c r="R548" s="24">
        <v>4</v>
      </c>
      <c r="S548" s="24">
        <v>11</v>
      </c>
      <c r="T548" s="24">
        <v>8</v>
      </c>
      <c r="U548" s="24">
        <v>2477781648000</v>
      </c>
      <c r="V548" s="109">
        <v>-0.17452417903563022</v>
      </c>
      <c r="W548" s="109">
        <v>-0.57110968887118008</v>
      </c>
      <c r="X548" s="109">
        <v>1.3531734076916531</v>
      </c>
      <c r="Y548" s="109">
        <v>0.43630919032458659</v>
      </c>
      <c r="Z548" s="109">
        <v>1.3356596373958656</v>
      </c>
      <c r="AA548" s="109">
        <v>2.5540325465409253</v>
      </c>
      <c r="AD548" s="111"/>
    </row>
    <row r="549" spans="1:30" ht="15" customHeight="1" x14ac:dyDescent="0.3">
      <c r="A549" s="22" t="s">
        <v>154</v>
      </c>
      <c r="B549" s="23">
        <v>68</v>
      </c>
      <c r="C549" s="3" t="s">
        <v>69</v>
      </c>
      <c r="D549" s="23">
        <v>2021</v>
      </c>
      <c r="E549" s="25">
        <v>0.6548628288215349</v>
      </c>
      <c r="F549" s="25">
        <v>0.44649100247685092</v>
      </c>
      <c r="G549" s="25">
        <v>0.39416291668120923</v>
      </c>
      <c r="H549" s="25">
        <v>0.65060876518481647</v>
      </c>
      <c r="I549" s="25">
        <v>0.20240826040417731</v>
      </c>
      <c r="J549" s="25">
        <v>6.304405770726082E-2</v>
      </c>
      <c r="K549" s="25">
        <v>0.10406107424442211</v>
      </c>
      <c r="L549" s="25">
        <v>0.62329999999999997</v>
      </c>
      <c r="M549" s="24">
        <v>3</v>
      </c>
      <c r="N549" s="108">
        <v>0</v>
      </c>
      <c r="O549" s="24">
        <v>4</v>
      </c>
      <c r="P549" s="24">
        <v>11</v>
      </c>
      <c r="Q549" s="24">
        <v>4</v>
      </c>
      <c r="R549" s="24">
        <v>4</v>
      </c>
      <c r="S549" s="24">
        <v>11</v>
      </c>
      <c r="T549" s="24">
        <v>8</v>
      </c>
      <c r="U549" s="24">
        <v>2495890568000</v>
      </c>
      <c r="V549" s="109">
        <v>-0.13949676414292064</v>
      </c>
      <c r="W549" s="109">
        <v>-0.78251116278908905</v>
      </c>
      <c r="X549" s="109">
        <v>1.4945019837744744</v>
      </c>
      <c r="Y549" s="109">
        <v>0.47036672495650861</v>
      </c>
      <c r="Z549" s="109">
        <v>1.6138731234303763</v>
      </c>
      <c r="AA549" s="109">
        <v>2.7962306693722701</v>
      </c>
      <c r="AD549" s="111"/>
    </row>
    <row r="550" spans="1:30" ht="15" customHeight="1" x14ac:dyDescent="0.3">
      <c r="A550" s="22" t="s">
        <v>154</v>
      </c>
      <c r="B550" s="23">
        <v>68</v>
      </c>
      <c r="C550" s="3" t="s">
        <v>69</v>
      </c>
      <c r="D550" s="23">
        <v>2022</v>
      </c>
      <c r="E550" s="25">
        <v>0.7576719416691734</v>
      </c>
      <c r="F550" s="25">
        <v>0.5404150589516441</v>
      </c>
      <c r="G550" s="25">
        <v>0.3910098825522656</v>
      </c>
      <c r="H550" s="25">
        <v>0.6420627713812177</v>
      </c>
      <c r="I550" s="25">
        <v>0.12347146729075496</v>
      </c>
      <c r="J550" s="25">
        <v>3.686665612310551E-2</v>
      </c>
      <c r="K550" s="25">
        <v>6.0537363525064967E-2</v>
      </c>
      <c r="L550" s="25">
        <v>0.62329999999999997</v>
      </c>
      <c r="M550" s="24">
        <v>3</v>
      </c>
      <c r="N550" s="108">
        <v>0</v>
      </c>
      <c r="O550" s="24">
        <v>4</v>
      </c>
      <c r="P550" s="24">
        <v>11</v>
      </c>
      <c r="Q550" s="24">
        <v>4</v>
      </c>
      <c r="R550" s="24">
        <v>4</v>
      </c>
      <c r="S550" s="24">
        <v>11</v>
      </c>
      <c r="T550" s="24">
        <v>8</v>
      </c>
      <c r="U550" s="24">
        <v>2472105924000</v>
      </c>
      <c r="V550" s="109">
        <v>-5.0504854161542739E-2</v>
      </c>
      <c r="W550" s="109">
        <v>-0.53016359206782915</v>
      </c>
      <c r="X550" s="109">
        <v>1.5623474027887163</v>
      </c>
      <c r="Y550" s="109">
        <v>0.28811878628870596</v>
      </c>
      <c r="Z550" s="109">
        <v>1.6353541223722099</v>
      </c>
      <c r="AA550" s="109">
        <v>2.9556567193818033</v>
      </c>
      <c r="AD550" s="111"/>
    </row>
    <row r="551" spans="1:30" ht="15" customHeight="1" x14ac:dyDescent="0.3">
      <c r="A551" s="22" t="s">
        <v>154</v>
      </c>
      <c r="B551" s="23">
        <v>68</v>
      </c>
      <c r="C551" s="3" t="s">
        <v>69</v>
      </c>
      <c r="D551" s="23">
        <v>2023</v>
      </c>
      <c r="E551" s="25">
        <v>0.99571317741820486</v>
      </c>
      <c r="F551" s="25">
        <v>0.72759889533362399</v>
      </c>
      <c r="G551" s="25">
        <v>0.41869437706959239</v>
      </c>
      <c r="H551" s="25">
        <v>0.7202654860947687</v>
      </c>
      <c r="I551" s="25">
        <v>9.8896542798072182E-2</v>
      </c>
      <c r="J551" s="25">
        <v>3.1742273474155133E-2</v>
      </c>
      <c r="K551" s="25">
        <v>5.4605137507770567E-2</v>
      </c>
      <c r="L551" s="25">
        <v>0.94769999999999999</v>
      </c>
      <c r="M551" s="24">
        <v>2</v>
      </c>
      <c r="N551" s="108">
        <v>0</v>
      </c>
      <c r="O551" s="24">
        <v>4</v>
      </c>
      <c r="P551" s="24">
        <v>12</v>
      </c>
      <c r="Q551" s="24">
        <v>4</v>
      </c>
      <c r="R551" s="24">
        <v>3</v>
      </c>
      <c r="S551" s="24">
        <v>12</v>
      </c>
      <c r="T551" s="24">
        <v>5</v>
      </c>
      <c r="U551" s="24">
        <v>2664450707000</v>
      </c>
      <c r="V551" s="109">
        <v>0.15859165205188613</v>
      </c>
      <c r="W551" s="109">
        <v>-1.0482601223067024E-2</v>
      </c>
      <c r="X551" s="109">
        <v>1.5530493094612914</v>
      </c>
      <c r="Y551" s="109">
        <v>0.17296047401788167</v>
      </c>
      <c r="Z551" s="109">
        <v>1.4577957992864961</v>
      </c>
      <c r="AA551" s="109">
        <v>3.1733229815426021</v>
      </c>
      <c r="AD551" s="111"/>
    </row>
    <row r="552" spans="1:30" ht="15" customHeight="1" x14ac:dyDescent="0.3">
      <c r="A552" s="22" t="s">
        <v>154</v>
      </c>
      <c r="B552" s="23">
        <v>68</v>
      </c>
      <c r="C552" s="3" t="s">
        <v>69</v>
      </c>
      <c r="D552" s="23">
        <v>2024</v>
      </c>
      <c r="E552" s="25">
        <v>0.69253280780012494</v>
      </c>
      <c r="F552" s="25">
        <v>0.40392301475836501</v>
      </c>
      <c r="G552" s="25">
        <v>0.43345543488456806</v>
      </c>
      <c r="H552" s="25">
        <v>0.76508621134906241</v>
      </c>
      <c r="I552" s="25">
        <v>8.7385604394971006E-2</v>
      </c>
      <c r="J552" s="25">
        <v>2.9089023055715493E-2</v>
      </c>
      <c r="K552" s="25">
        <v>5.1344633497258388E-2</v>
      </c>
      <c r="L552" s="25">
        <v>0.86760000000000004</v>
      </c>
      <c r="M552" s="24">
        <v>2</v>
      </c>
      <c r="N552" s="108">
        <v>0</v>
      </c>
      <c r="O552" s="24">
        <v>4</v>
      </c>
      <c r="P552" s="24">
        <v>10</v>
      </c>
      <c r="Q552" s="24">
        <v>4</v>
      </c>
      <c r="R552" s="24">
        <v>4</v>
      </c>
      <c r="S552" s="24">
        <v>10</v>
      </c>
      <c r="T552" s="24">
        <v>6</v>
      </c>
      <c r="U552" s="24">
        <v>2751906616000</v>
      </c>
      <c r="V552" s="109">
        <v>7.1169811824050022E-2</v>
      </c>
      <c r="W552" s="109">
        <v>-0.76732296192132121</v>
      </c>
      <c r="X552" s="109">
        <v>1.5985316708290511</v>
      </c>
      <c r="Y552" s="109">
        <v>0.16476924695180134</v>
      </c>
      <c r="Z552" s="109">
        <v>1.3723943582103699</v>
      </c>
      <c r="AA552" s="109">
        <v>2.3683723140699011</v>
      </c>
      <c r="AD552" s="111"/>
    </row>
    <row r="553" spans="1:30" ht="15" customHeight="1" x14ac:dyDescent="0.3">
      <c r="A553" s="22" t="s">
        <v>154</v>
      </c>
      <c r="B553" s="23">
        <v>69</v>
      </c>
      <c r="C553" s="3" t="s">
        <v>70</v>
      </c>
      <c r="D553" s="23">
        <v>2017</v>
      </c>
      <c r="E553" s="25">
        <v>1.7519582457487686</v>
      </c>
      <c r="F553" s="25">
        <v>0.14459957460769449</v>
      </c>
      <c r="G553" s="25">
        <v>0.61135130565639362</v>
      </c>
      <c r="H553" s="25">
        <v>1.5730177781477241</v>
      </c>
      <c r="I553" s="25">
        <v>0.31797417394418032</v>
      </c>
      <c r="J553" s="25">
        <v>6.5455103022827213E-2</v>
      </c>
      <c r="K553" s="25">
        <v>0.16841714374822528</v>
      </c>
      <c r="L553" s="25">
        <v>0</v>
      </c>
      <c r="M553" s="24">
        <v>0</v>
      </c>
      <c r="N553" s="108">
        <v>0</v>
      </c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390722630000</v>
      </c>
      <c r="V553" s="109">
        <v>0</v>
      </c>
      <c r="W553" s="109">
        <v>0.66841521004299143</v>
      </c>
      <c r="X553" s="109">
        <v>0.61373634130175669</v>
      </c>
      <c r="Y553" s="109">
        <v>0.49464178105066497</v>
      </c>
      <c r="Z553" s="109">
        <v>0.66750675967337558</v>
      </c>
      <c r="AA553" s="109">
        <v>2.4443000920687887</v>
      </c>
      <c r="AD553" s="111"/>
    </row>
    <row r="554" spans="1:30" ht="15" customHeight="1" x14ac:dyDescent="0.3">
      <c r="A554" s="22" t="s">
        <v>154</v>
      </c>
      <c r="B554" s="23">
        <v>69</v>
      </c>
      <c r="C554" s="3" t="s">
        <v>70</v>
      </c>
      <c r="D554" s="23">
        <v>2018</v>
      </c>
      <c r="E554" s="25">
        <v>2.0730480530379443</v>
      </c>
      <c r="F554" s="25">
        <v>0.1322647251947035</v>
      </c>
      <c r="G554" s="25">
        <v>0.6315594177075029</v>
      </c>
      <c r="H554" s="25">
        <v>1.7141419444987211</v>
      </c>
      <c r="I554" s="25">
        <v>0.32323485814643854</v>
      </c>
      <c r="J554" s="25">
        <v>6.7760311068816942E-2</v>
      </c>
      <c r="K554" s="25">
        <v>0.18391110657007659</v>
      </c>
      <c r="L554" s="25">
        <v>0.75370000000000004</v>
      </c>
      <c r="M554" s="24">
        <v>2</v>
      </c>
      <c r="N554" s="108">
        <v>0</v>
      </c>
      <c r="O554" s="24">
        <v>3</v>
      </c>
      <c r="P554" s="24">
        <v>3</v>
      </c>
      <c r="Q554" s="24">
        <v>3</v>
      </c>
      <c r="R554" s="24">
        <v>3</v>
      </c>
      <c r="S554" s="24">
        <v>3</v>
      </c>
      <c r="T554" s="24">
        <v>9</v>
      </c>
      <c r="U554" s="24">
        <v>445745740000</v>
      </c>
      <c r="V554" s="109">
        <v>0.16178074459408384</v>
      </c>
      <c r="W554" s="109">
        <v>0.86485129212900602</v>
      </c>
      <c r="X554" s="109">
        <v>0.60442147803812996</v>
      </c>
      <c r="Y554" s="109">
        <v>0.50870893707251141</v>
      </c>
      <c r="Z554" s="109">
        <v>0.61255137205516497</v>
      </c>
      <c r="AA554" s="109">
        <v>2.5905330792948122</v>
      </c>
      <c r="AD554" s="111"/>
    </row>
    <row r="555" spans="1:30" ht="15" customHeight="1" x14ac:dyDescent="0.3">
      <c r="A555" s="22" t="s">
        <v>154</v>
      </c>
      <c r="B555" s="23">
        <v>69</v>
      </c>
      <c r="C555" s="3" t="s">
        <v>70</v>
      </c>
      <c r="D555" s="23">
        <v>2019</v>
      </c>
      <c r="E555" s="25">
        <v>2.8180534283050842</v>
      </c>
      <c r="F555" s="25">
        <v>0.64330535405477685</v>
      </c>
      <c r="G555" s="25">
        <v>0.67149637674406859</v>
      </c>
      <c r="H555" s="25">
        <v>2.0441064548652395</v>
      </c>
      <c r="I555" s="25">
        <v>0.35722962729946889</v>
      </c>
      <c r="J555" s="25">
        <v>6.8941506619770068E-2</v>
      </c>
      <c r="K555" s="25">
        <v>0.20986528530937668</v>
      </c>
      <c r="L555" s="25">
        <v>0.75370000000000004</v>
      </c>
      <c r="M555" s="24">
        <v>2</v>
      </c>
      <c r="N555" s="108">
        <v>0</v>
      </c>
      <c r="O555" s="24">
        <v>3</v>
      </c>
      <c r="P555" s="24">
        <v>5</v>
      </c>
      <c r="Q555" s="24">
        <v>3</v>
      </c>
      <c r="R555" s="24">
        <v>4</v>
      </c>
      <c r="S555" s="24">
        <v>5</v>
      </c>
      <c r="T555" s="24">
        <v>12</v>
      </c>
      <c r="U555" s="24">
        <v>541929699999.99994</v>
      </c>
      <c r="V555" s="109">
        <v>0.11926223284503655</v>
      </c>
      <c r="W555" s="109">
        <v>1.1175947227103442</v>
      </c>
      <c r="X555" s="109">
        <v>0.55048931992470607</v>
      </c>
      <c r="Y555" s="109">
        <v>0.54765519291524345</v>
      </c>
      <c r="Z555" s="109">
        <v>0.51367187726493557</v>
      </c>
      <c r="AA555" s="109">
        <v>2.729411112815229</v>
      </c>
      <c r="AD555" s="111"/>
    </row>
    <row r="556" spans="1:30" ht="15" customHeight="1" x14ac:dyDescent="0.3">
      <c r="A556" s="22" t="s">
        <v>154</v>
      </c>
      <c r="B556" s="23">
        <v>69</v>
      </c>
      <c r="C556" s="3" t="s">
        <v>70</v>
      </c>
      <c r="D556" s="23">
        <v>2020</v>
      </c>
      <c r="E556" s="25">
        <v>2.9809487932168621</v>
      </c>
      <c r="F556" s="25">
        <v>0.26913263458044401</v>
      </c>
      <c r="G556" s="25">
        <v>0.70892341016436711</v>
      </c>
      <c r="H556" s="25">
        <v>2.435522032091769</v>
      </c>
      <c r="I556" s="25">
        <v>0.39932921191636417</v>
      </c>
      <c r="J556" s="25">
        <v>6.4743300576653201E-2</v>
      </c>
      <c r="K556" s="25">
        <v>0.22242703897762231</v>
      </c>
      <c r="L556" s="25">
        <v>0.75370000000000004</v>
      </c>
      <c r="M556" s="24">
        <v>2</v>
      </c>
      <c r="N556" s="108">
        <v>0</v>
      </c>
      <c r="O556" s="24">
        <v>3</v>
      </c>
      <c r="P556" s="24">
        <v>5</v>
      </c>
      <c r="Q556" s="24">
        <v>3</v>
      </c>
      <c r="R556" s="24">
        <v>4</v>
      </c>
      <c r="S556" s="24">
        <v>5</v>
      </c>
      <c r="T556" s="24">
        <v>14</v>
      </c>
      <c r="U556" s="24">
        <v>651096710000</v>
      </c>
      <c r="V556" s="109">
        <v>9.3295846075957117E-3</v>
      </c>
      <c r="W556" s="109">
        <v>1.3775114471089867</v>
      </c>
      <c r="X556" s="109">
        <v>0.47763342007979115</v>
      </c>
      <c r="Y556" s="109">
        <v>0.48723621165279729</v>
      </c>
      <c r="Z556" s="109">
        <v>0.43111907269350319</v>
      </c>
      <c r="AA556" s="109">
        <v>2.7735001515350781</v>
      </c>
      <c r="AD556" s="111"/>
    </row>
    <row r="557" spans="1:30" ht="15" customHeight="1" x14ac:dyDescent="0.3">
      <c r="A557" s="22" t="s">
        <v>154</v>
      </c>
      <c r="B557" s="23">
        <v>69</v>
      </c>
      <c r="C557" s="3" t="s">
        <v>70</v>
      </c>
      <c r="D557" s="23">
        <v>2021</v>
      </c>
      <c r="E557" s="25">
        <v>2.3611799223148502</v>
      </c>
      <c r="F557" s="25">
        <v>0.25374048678305755</v>
      </c>
      <c r="G557" s="25">
        <v>0.70683667690829655</v>
      </c>
      <c r="H557" s="25">
        <v>2.4110678970820412</v>
      </c>
      <c r="I557" s="25">
        <v>0.35200915306264824</v>
      </c>
      <c r="J557" s="25">
        <v>4.9363094762724789E-2</v>
      </c>
      <c r="K557" s="25">
        <v>0.16838086784574918</v>
      </c>
      <c r="L557" s="25">
        <v>0.75370000000000004</v>
      </c>
      <c r="M557" s="24">
        <v>2</v>
      </c>
      <c r="N557" s="108">
        <v>0</v>
      </c>
      <c r="O557" s="24">
        <v>3</v>
      </c>
      <c r="P557" s="24">
        <v>7</v>
      </c>
      <c r="Q557" s="24">
        <v>3</v>
      </c>
      <c r="R557" s="24">
        <v>5</v>
      </c>
      <c r="S557" s="24">
        <v>7</v>
      </c>
      <c r="T557" s="24">
        <v>13</v>
      </c>
      <c r="U557" s="24">
        <v>638850140000</v>
      </c>
      <c r="V557" s="109">
        <v>-0.1513313452517184</v>
      </c>
      <c r="W557" s="109">
        <v>1.2699199170559776</v>
      </c>
      <c r="X557" s="109">
        <v>0.4302556089288796</v>
      </c>
      <c r="Y557" s="109">
        <v>0.35048981471617119</v>
      </c>
      <c r="Z557" s="109">
        <v>0.43549167622809243</v>
      </c>
      <c r="AA557" s="109">
        <v>2.4861570169291207</v>
      </c>
      <c r="AD557" s="111"/>
    </row>
    <row r="558" spans="1:30" ht="15" customHeight="1" x14ac:dyDescent="0.3">
      <c r="A558" s="22" t="s">
        <v>154</v>
      </c>
      <c r="B558" s="23">
        <v>69</v>
      </c>
      <c r="C558" s="3" t="s">
        <v>70</v>
      </c>
      <c r="D558" s="23">
        <v>2022</v>
      </c>
      <c r="E558" s="25">
        <v>3.2457192807771755</v>
      </c>
      <c r="F558" s="25">
        <v>0.53304169410415081</v>
      </c>
      <c r="G558" s="25">
        <v>0.71393133946421494</v>
      </c>
      <c r="H558" s="25">
        <v>2.4956642860741036</v>
      </c>
      <c r="I558" s="25">
        <v>0.30597185862006371</v>
      </c>
      <c r="J558" s="25">
        <v>5.9759504424913935E-2</v>
      </c>
      <c r="K558" s="25">
        <v>0.20889916537165901</v>
      </c>
      <c r="L558" s="25">
        <v>0.75370000000000004</v>
      </c>
      <c r="M558" s="24">
        <v>2</v>
      </c>
      <c r="N558" s="108">
        <v>0</v>
      </c>
      <c r="O558" s="24">
        <v>3</v>
      </c>
      <c r="P558" s="24">
        <v>7</v>
      </c>
      <c r="Q558" s="24">
        <v>3</v>
      </c>
      <c r="R558" s="24">
        <v>5</v>
      </c>
      <c r="S558" s="24">
        <v>7</v>
      </c>
      <c r="T558" s="24">
        <v>9</v>
      </c>
      <c r="U558" s="24">
        <v>717529210000</v>
      </c>
      <c r="V558" s="109">
        <v>0.5642914469094461</v>
      </c>
      <c r="W558" s="109">
        <v>1.523412997778864</v>
      </c>
      <c r="X558" s="109">
        <v>0.430429696374312</v>
      </c>
      <c r="Y558" s="109">
        <v>0.43582600351559203</v>
      </c>
      <c r="Z558" s="109">
        <v>0.42072966538770368</v>
      </c>
      <c r="AA558" s="109">
        <v>2.8103983630564717</v>
      </c>
      <c r="AD558" s="111"/>
    </row>
    <row r="559" spans="1:30" ht="15" customHeight="1" x14ac:dyDescent="0.3">
      <c r="A559" s="22" t="s">
        <v>154</v>
      </c>
      <c r="B559" s="23">
        <v>69</v>
      </c>
      <c r="C559" s="3" t="s">
        <v>70</v>
      </c>
      <c r="D559" s="23">
        <v>2023</v>
      </c>
      <c r="E559" s="25">
        <v>3.7143990752143923</v>
      </c>
      <c r="F559" s="25">
        <v>0.54433078269792912</v>
      </c>
      <c r="G559" s="25">
        <v>0.69929954353259938</v>
      </c>
      <c r="H559" s="25">
        <v>2.3255686131903546</v>
      </c>
      <c r="I559" s="25">
        <v>0.29482559662991775</v>
      </c>
      <c r="J559" s="25">
        <v>4.9098162356188517E-2</v>
      </c>
      <c r="K559" s="25">
        <v>0.16327930769706472</v>
      </c>
      <c r="L559" s="25">
        <v>0.67589999999999995</v>
      </c>
      <c r="M559" s="24">
        <v>2</v>
      </c>
      <c r="N559" s="108">
        <v>0</v>
      </c>
      <c r="O559" s="24">
        <v>3</v>
      </c>
      <c r="P559" s="24">
        <v>5</v>
      </c>
      <c r="Q559" s="24">
        <v>3</v>
      </c>
      <c r="R559" s="24">
        <v>4</v>
      </c>
      <c r="S559" s="24">
        <v>5</v>
      </c>
      <c r="T559" s="24">
        <v>13</v>
      </c>
      <c r="U559" s="24">
        <v>862563240000</v>
      </c>
      <c r="V559" s="109">
        <v>2.5004823714637033E-2</v>
      </c>
      <c r="W559" s="109">
        <v>1.6938418252092444</v>
      </c>
      <c r="X559" s="109">
        <v>0.36204613843733935</v>
      </c>
      <c r="Y559" s="109">
        <v>0.42563571895319807</v>
      </c>
      <c r="Z559" s="109">
        <v>0.45150248160579831</v>
      </c>
      <c r="AA559" s="109">
        <v>2.9330261642055802</v>
      </c>
      <c r="AD559" s="111"/>
    </row>
    <row r="560" spans="1:30" ht="15" customHeight="1" x14ac:dyDescent="0.3">
      <c r="A560" s="22" t="s">
        <v>154</v>
      </c>
      <c r="B560" s="23">
        <v>69</v>
      </c>
      <c r="C560" s="3" t="s">
        <v>70</v>
      </c>
      <c r="D560" s="23">
        <v>2024</v>
      </c>
      <c r="E560" s="25">
        <v>2.8147917236484363</v>
      </c>
      <c r="F560" s="25">
        <v>0.81307589210483355</v>
      </c>
      <c r="G560" s="25">
        <v>0.70029555679932387</v>
      </c>
      <c r="H560" s="25">
        <v>2.3366205362875458</v>
      </c>
      <c r="I560" s="25">
        <v>0.26830251062967098</v>
      </c>
      <c r="J560" s="25">
        <v>5.3392430698617342E-2</v>
      </c>
      <c r="K560" s="25">
        <v>0.17815028075131623</v>
      </c>
      <c r="L560" s="25">
        <v>0.67589999999999995</v>
      </c>
      <c r="M560" s="24">
        <v>2</v>
      </c>
      <c r="N560" s="108">
        <v>0</v>
      </c>
      <c r="O560" s="24">
        <v>3</v>
      </c>
      <c r="P560" s="24">
        <v>5</v>
      </c>
      <c r="Q560" s="24">
        <v>3</v>
      </c>
      <c r="R560" s="24">
        <v>4</v>
      </c>
      <c r="S560" s="24">
        <v>5</v>
      </c>
      <c r="T560" s="24">
        <v>11</v>
      </c>
      <c r="U560" s="24">
        <v>914639760000</v>
      </c>
      <c r="V560" s="109">
        <v>0.26710917374452436</v>
      </c>
      <c r="W560" s="109">
        <v>1.2396843294894595</v>
      </c>
      <c r="X560" s="109">
        <v>0.36482604561166243</v>
      </c>
      <c r="Y560" s="109">
        <v>0.42955743625227927</v>
      </c>
      <c r="Z560" s="109">
        <v>0.44936693129824762</v>
      </c>
      <c r="AA560" s="109">
        <v>2.483434742651649</v>
      </c>
      <c r="AD560" s="111"/>
    </row>
    <row r="561" spans="1:30" ht="15" customHeight="1" x14ac:dyDescent="0.3">
      <c r="A561" s="22" t="s">
        <v>154</v>
      </c>
      <c r="B561" s="23">
        <v>70</v>
      </c>
      <c r="C561" s="2" t="s">
        <v>71</v>
      </c>
      <c r="D561" s="23">
        <v>2015</v>
      </c>
      <c r="E561" s="25">
        <v>1.8507458883727157</v>
      </c>
      <c r="F561" s="25">
        <v>9.1670891293418377E-2</v>
      </c>
      <c r="G561" s="25">
        <v>0.67468803564894952</v>
      </c>
      <c r="H561" s="25">
        <v>2.0739724005996925</v>
      </c>
      <c r="I561" s="25">
        <v>0.15994745647502123</v>
      </c>
      <c r="J561" s="25">
        <v>5.7083204063706504E-2</v>
      </c>
      <c r="K561" s="25">
        <v>0.175472193829634</v>
      </c>
      <c r="L561" s="25">
        <v>0.35460000000000003</v>
      </c>
      <c r="M561" s="24">
        <v>2</v>
      </c>
      <c r="N561" s="108">
        <v>6.7999999999999996E-3</v>
      </c>
      <c r="O561" s="24">
        <v>4</v>
      </c>
      <c r="P561" s="24">
        <v>10</v>
      </c>
      <c r="Q561" s="24">
        <v>4</v>
      </c>
      <c r="R561" s="24">
        <v>4</v>
      </c>
      <c r="S561" s="24">
        <v>10</v>
      </c>
      <c r="T561" s="24">
        <v>10</v>
      </c>
      <c r="U561" s="24">
        <v>494002999000</v>
      </c>
      <c r="V561" s="109">
        <v>0.33623094632944622</v>
      </c>
      <c r="W561" s="109">
        <v>0.86063061556433995</v>
      </c>
      <c r="X561" s="109">
        <v>0.4925107819031681</v>
      </c>
      <c r="Y561" s="109">
        <v>0.41450601930455078</v>
      </c>
      <c r="Z561" s="109">
        <v>0.50627481816845343</v>
      </c>
      <c r="AA561" s="109">
        <v>2.2739222349405122</v>
      </c>
      <c r="AD561" s="111"/>
    </row>
    <row r="562" spans="1:30" ht="15" customHeight="1" x14ac:dyDescent="0.3">
      <c r="A562" s="22" t="s">
        <v>154</v>
      </c>
      <c r="B562" s="23">
        <v>70</v>
      </c>
      <c r="C562" s="3" t="s">
        <v>71</v>
      </c>
      <c r="D562" s="23">
        <v>2016</v>
      </c>
      <c r="E562" s="25">
        <v>4.3256644689743293</v>
      </c>
      <c r="F562" s="25">
        <v>0.35814234911022391</v>
      </c>
      <c r="G562" s="25">
        <v>0.66980032642400056</v>
      </c>
      <c r="H562" s="25">
        <v>2.0284705892352677</v>
      </c>
      <c r="I562" s="25">
        <v>7.5663671851891628E-2</v>
      </c>
      <c r="J562" s="25">
        <v>2.910213928409006E-2</v>
      </c>
      <c r="K562" s="25">
        <v>8.8134972905695053E-2</v>
      </c>
      <c r="L562" s="25">
        <v>0.35460000000000003</v>
      </c>
      <c r="M562" s="24">
        <v>3</v>
      </c>
      <c r="N562" s="108">
        <v>6.7999999999999996E-3</v>
      </c>
      <c r="O562" s="24">
        <v>6</v>
      </c>
      <c r="P562" s="24">
        <v>14</v>
      </c>
      <c r="Q562" s="24">
        <v>6</v>
      </c>
      <c r="R562" s="24">
        <v>3</v>
      </c>
      <c r="S562" s="24">
        <v>14</v>
      </c>
      <c r="T562" s="24">
        <v>7</v>
      </c>
      <c r="U562" s="24">
        <v>525898830000</v>
      </c>
      <c r="V562" s="109">
        <v>0.14730561005757351</v>
      </c>
      <c r="W562" s="109">
        <v>2.4233187503383489</v>
      </c>
      <c r="X562" s="109">
        <v>0.54191867987232445</v>
      </c>
      <c r="Y562" s="109">
        <v>0.23933911455935356</v>
      </c>
      <c r="Z562" s="109">
        <v>0.51763136501567386</v>
      </c>
      <c r="AA562" s="109">
        <v>3.722207909785701</v>
      </c>
      <c r="AD562" s="111"/>
    </row>
    <row r="563" spans="1:30" ht="15" customHeight="1" x14ac:dyDescent="0.3">
      <c r="A563" s="22" t="s">
        <v>154</v>
      </c>
      <c r="B563" s="23">
        <v>70</v>
      </c>
      <c r="C563" s="3" t="s">
        <v>71</v>
      </c>
      <c r="D563" s="23">
        <v>2017</v>
      </c>
      <c r="E563" s="25">
        <v>2.7792419955151653</v>
      </c>
      <c r="F563" s="25">
        <v>0.182977313493841</v>
      </c>
      <c r="G563" s="25">
        <v>0.63755901158467665</v>
      </c>
      <c r="H563" s="25">
        <v>1.7590698402303602</v>
      </c>
      <c r="I563" s="25">
        <v>5.9773659731403993E-2</v>
      </c>
      <c r="J563" s="25">
        <v>1.8303572336325586E-2</v>
      </c>
      <c r="K563" s="25">
        <v>5.0500834401630675E-2</v>
      </c>
      <c r="L563" s="25">
        <v>0.35460000000000003</v>
      </c>
      <c r="M563" s="24">
        <v>3</v>
      </c>
      <c r="N563" s="108">
        <v>6.7999999999999996E-3</v>
      </c>
      <c r="O563" s="24">
        <v>6</v>
      </c>
      <c r="P563" s="24">
        <v>14</v>
      </c>
      <c r="Q563" s="24">
        <v>6</v>
      </c>
      <c r="R563" s="24">
        <v>3</v>
      </c>
      <c r="S563" s="24">
        <v>14</v>
      </c>
      <c r="T563" s="24">
        <v>7</v>
      </c>
      <c r="U563" s="24">
        <v>738183659000</v>
      </c>
      <c r="V563" s="109">
        <v>0.11750823885604501</v>
      </c>
      <c r="W563" s="109">
        <v>1.8837626815578155</v>
      </c>
      <c r="X563" s="109">
        <v>0.42118160529478743</v>
      </c>
      <c r="Y563" s="109">
        <v>0.12680992625440926</v>
      </c>
      <c r="Z563" s="109">
        <v>0.59690637403145774</v>
      </c>
      <c r="AA563" s="109">
        <v>3.0286605871384698</v>
      </c>
      <c r="AD563" s="111"/>
    </row>
    <row r="564" spans="1:30" ht="15" customHeight="1" x14ac:dyDescent="0.3">
      <c r="A564" s="22" t="s">
        <v>154</v>
      </c>
      <c r="B564" s="23">
        <v>70</v>
      </c>
      <c r="C564" s="3" t="s">
        <v>71</v>
      </c>
      <c r="D564" s="23">
        <v>2018</v>
      </c>
      <c r="E564" s="25">
        <v>3.3601730315706191</v>
      </c>
      <c r="F564" s="25">
        <v>0.18312726336948867</v>
      </c>
      <c r="G564" s="25">
        <v>0.67824970578161592</v>
      </c>
      <c r="H564" s="25">
        <v>2.1080002659492902</v>
      </c>
      <c r="I564" s="25">
        <v>5.2610661154953837E-2</v>
      </c>
      <c r="J564" s="25">
        <v>1.5937050983792191E-2</v>
      </c>
      <c r="K564" s="25">
        <v>4.9532358696073531E-2</v>
      </c>
      <c r="L564" s="25">
        <v>0.35460000000000003</v>
      </c>
      <c r="M564" s="24">
        <v>4</v>
      </c>
      <c r="N564" s="108">
        <v>6.7999999999999996E-3</v>
      </c>
      <c r="O564" s="24">
        <v>7</v>
      </c>
      <c r="P564" s="24">
        <v>20</v>
      </c>
      <c r="Q564" s="24">
        <v>7</v>
      </c>
      <c r="R564" s="24">
        <v>3</v>
      </c>
      <c r="S564" s="24">
        <v>20</v>
      </c>
      <c r="T564" s="24">
        <v>7</v>
      </c>
      <c r="U564" s="24">
        <v>874472888000</v>
      </c>
      <c r="V564" s="109">
        <v>0.17189880551582215</v>
      </c>
      <c r="W564" s="109">
        <v>2.3180479411272494</v>
      </c>
      <c r="X564" s="109">
        <v>0.4210245693746425</v>
      </c>
      <c r="Y564" s="109">
        <v>0.11691976014698353</v>
      </c>
      <c r="Z564" s="109">
        <v>0.49810240395162203</v>
      </c>
      <c r="AA564" s="109">
        <v>3.3540946746004976</v>
      </c>
      <c r="AD564" s="111"/>
    </row>
    <row r="565" spans="1:30" ht="15" customHeight="1" x14ac:dyDescent="0.3">
      <c r="A565" s="22" t="s">
        <v>154</v>
      </c>
      <c r="B565" s="23">
        <v>70</v>
      </c>
      <c r="C565" s="3" t="s">
        <v>71</v>
      </c>
      <c r="D565" s="23">
        <v>2019</v>
      </c>
      <c r="E565" s="25">
        <v>5.3742192808517624</v>
      </c>
      <c r="F565" s="25">
        <v>0.30607874942037638</v>
      </c>
      <c r="G565" s="25">
        <v>0.66008338097213137</v>
      </c>
      <c r="H565" s="25">
        <v>1.9418979362053888</v>
      </c>
      <c r="I565" s="25">
        <v>3.1933479850117193E-2</v>
      </c>
      <c r="J565" s="25">
        <v>9.3397874524493198E-3</v>
      </c>
      <c r="K565" s="25">
        <v>2.747670143095764E-2</v>
      </c>
      <c r="L565" s="25">
        <v>0.35460000000000003</v>
      </c>
      <c r="M565" s="24">
        <v>3</v>
      </c>
      <c r="N565" s="108">
        <v>6.7999999999999996E-3</v>
      </c>
      <c r="O565" s="24">
        <v>5</v>
      </c>
      <c r="P565" s="24">
        <v>13</v>
      </c>
      <c r="Q565" s="24">
        <v>5</v>
      </c>
      <c r="R565" s="24">
        <v>4</v>
      </c>
      <c r="S565" s="24">
        <v>13</v>
      </c>
      <c r="T565" s="24">
        <v>13</v>
      </c>
      <c r="U565" s="24">
        <v>857520585000</v>
      </c>
      <c r="V565" s="109">
        <v>-5.3207631755938269E-2</v>
      </c>
      <c r="W565" s="109">
        <v>2.7819426787054913</v>
      </c>
      <c r="X565" s="109">
        <v>0.46710087693113511</v>
      </c>
      <c r="Y565" s="109">
        <v>6.2243965373729192E-2</v>
      </c>
      <c r="Z565" s="109">
        <v>0.54070812910578459</v>
      </c>
      <c r="AA565" s="109">
        <v>3.8519956501161401</v>
      </c>
      <c r="AD565" s="111"/>
    </row>
    <row r="566" spans="1:30" ht="15" customHeight="1" x14ac:dyDescent="0.3">
      <c r="A566" s="22" t="s">
        <v>154</v>
      </c>
      <c r="B566" s="23">
        <v>70</v>
      </c>
      <c r="C566" s="3" t="s">
        <v>71</v>
      </c>
      <c r="D566" s="23">
        <v>2020</v>
      </c>
      <c r="E566" s="25">
        <v>4.1893893727036824</v>
      </c>
      <c r="F566" s="25">
        <v>0.26291953581630162</v>
      </c>
      <c r="G566" s="25">
        <v>0.64007476162414423</v>
      </c>
      <c r="H566" s="25">
        <v>1.778354761984597</v>
      </c>
      <c r="I566" s="25">
        <v>0.10225209285977899</v>
      </c>
      <c r="J566" s="25">
        <v>2.7149736950497366E-2</v>
      </c>
      <c r="K566" s="25">
        <v>7.5431600943043534E-2</v>
      </c>
      <c r="L566" s="25">
        <v>0.35460000000000003</v>
      </c>
      <c r="M566" s="24">
        <v>3</v>
      </c>
      <c r="N566" s="108">
        <v>6.7999999999999996E-3</v>
      </c>
      <c r="O566" s="24">
        <v>5</v>
      </c>
      <c r="P566" s="24">
        <v>13</v>
      </c>
      <c r="Q566" s="24">
        <v>5</v>
      </c>
      <c r="R566" s="24">
        <v>4</v>
      </c>
      <c r="S566" s="24">
        <v>13</v>
      </c>
      <c r="T566" s="24">
        <v>13</v>
      </c>
      <c r="U566" s="24">
        <v>871769183000</v>
      </c>
      <c r="V566" s="109">
        <v>-7.7089402619377384E-2</v>
      </c>
      <c r="W566" s="109">
        <v>2.4473585232480048</v>
      </c>
      <c r="X566" s="109">
        <v>0.55760231015186046</v>
      </c>
      <c r="Y566" s="109">
        <v>0.14358901402001037</v>
      </c>
      <c r="Z566" s="109">
        <v>0.59043337271368046</v>
      </c>
      <c r="AA566" s="109">
        <v>3.738983220133556</v>
      </c>
      <c r="AD566" s="111"/>
    </row>
    <row r="567" spans="1:30" ht="15" customHeight="1" x14ac:dyDescent="0.3">
      <c r="A567" s="22" t="s">
        <v>154</v>
      </c>
      <c r="B567" s="23">
        <v>70</v>
      </c>
      <c r="C567" s="3" t="s">
        <v>71</v>
      </c>
      <c r="D567" s="23">
        <v>2021</v>
      </c>
      <c r="E567" s="25">
        <v>3.5477426214316514</v>
      </c>
      <c r="F567" s="25">
        <v>0.1521875102497959</v>
      </c>
      <c r="G567" s="25">
        <v>0.52261074455345413</v>
      </c>
      <c r="H567" s="25">
        <v>1.4024586077883134</v>
      </c>
      <c r="I567" s="25">
        <v>8.0182443629366121E-2</v>
      </c>
      <c r="J567" s="25">
        <v>1.7251420539297443E-2</v>
      </c>
      <c r="K567" s="25">
        <v>4.6295265614155645E-2</v>
      </c>
      <c r="L567" s="25">
        <v>0.35460000000000003</v>
      </c>
      <c r="M567" s="24">
        <v>3</v>
      </c>
      <c r="N567" s="108">
        <v>6.7999999999999996E-3</v>
      </c>
      <c r="O567" s="24">
        <v>5</v>
      </c>
      <c r="P567" s="24">
        <v>13</v>
      </c>
      <c r="Q567" s="24">
        <v>5</v>
      </c>
      <c r="R567" s="24">
        <v>4</v>
      </c>
      <c r="S567" s="24">
        <v>13</v>
      </c>
      <c r="T567" s="24">
        <v>16</v>
      </c>
      <c r="U567" s="24">
        <v>954657152000</v>
      </c>
      <c r="V567" s="109">
        <v>-0.1126436285827616</v>
      </c>
      <c r="W567" s="109">
        <v>2.2076351277154624</v>
      </c>
      <c r="X567" s="109">
        <v>0.57064216792250033</v>
      </c>
      <c r="Y567" s="109">
        <v>8.6687948889948713E-2</v>
      </c>
      <c r="Z567" s="109">
        <v>0.7486851976728619</v>
      </c>
      <c r="AA567" s="109">
        <v>3.6136504422007736</v>
      </c>
      <c r="AD567" s="111"/>
    </row>
    <row r="568" spans="1:30" ht="15" customHeight="1" x14ac:dyDescent="0.3">
      <c r="A568" s="22" t="s">
        <v>154</v>
      </c>
      <c r="B568" s="23">
        <v>70</v>
      </c>
      <c r="C568" s="3" t="s">
        <v>71</v>
      </c>
      <c r="D568" s="23">
        <v>2022</v>
      </c>
      <c r="E568" s="25">
        <v>5.5430853115141394</v>
      </c>
      <c r="F568" s="25">
        <v>0.2991773817631152</v>
      </c>
      <c r="G568" s="25">
        <v>0.62694734538847741</v>
      </c>
      <c r="H568" s="25">
        <v>1.6805867419475873</v>
      </c>
      <c r="I568" s="25">
        <v>2.3032523684388195E-2</v>
      </c>
      <c r="J568" s="25">
        <v>5.2006093729435781E-3</v>
      </c>
      <c r="K568" s="25">
        <v>1.394068453516091E-2</v>
      </c>
      <c r="L568" s="25">
        <v>0.35460000000000003</v>
      </c>
      <c r="M568" s="24">
        <v>3</v>
      </c>
      <c r="N568" s="108">
        <v>6.7999999999999996E-3</v>
      </c>
      <c r="O568" s="24">
        <v>5</v>
      </c>
      <c r="P568" s="24">
        <v>13</v>
      </c>
      <c r="Q568" s="24">
        <v>5</v>
      </c>
      <c r="R568" s="24">
        <v>5</v>
      </c>
      <c r="S568" s="24">
        <v>13</v>
      </c>
      <c r="T568" s="24">
        <v>17</v>
      </c>
      <c r="U568" s="24">
        <v>989810930000</v>
      </c>
      <c r="V568" s="109">
        <v>8.8107861671088777E-2</v>
      </c>
      <c r="W568" s="109">
        <v>2.7409073003467439</v>
      </c>
      <c r="X568" s="109">
        <v>0.58845348680883935</v>
      </c>
      <c r="Y568" s="109">
        <v>4.0585826224408331E-2</v>
      </c>
      <c r="Z568" s="109">
        <v>0.62478179423406788</v>
      </c>
      <c r="AA568" s="109">
        <v>3.9947284076140597</v>
      </c>
      <c r="AD568" s="111"/>
    </row>
    <row r="569" spans="1:30" ht="15" customHeight="1" x14ac:dyDescent="0.3">
      <c r="A569" s="22" t="s">
        <v>154</v>
      </c>
      <c r="B569" s="23">
        <v>70</v>
      </c>
      <c r="C569" s="3" t="s">
        <v>71</v>
      </c>
      <c r="D569" s="23">
        <v>2023</v>
      </c>
      <c r="E569" s="25">
        <v>5.1188382048953081</v>
      </c>
      <c r="F569" s="25">
        <v>0.17477503809457226</v>
      </c>
      <c r="G569" s="25">
        <v>0.60046844795112764</v>
      </c>
      <c r="H569" s="25">
        <v>1.5029312325192172</v>
      </c>
      <c r="I569" s="25">
        <v>3.1228365340865278E-2</v>
      </c>
      <c r="J569" s="25">
        <v>6.0048664085295125E-3</v>
      </c>
      <c r="K569" s="25">
        <v>1.5029767681014017E-2</v>
      </c>
      <c r="L569" s="25">
        <v>0.35460000000000003</v>
      </c>
      <c r="M569" s="24">
        <v>3</v>
      </c>
      <c r="N569" s="108">
        <v>6.7999999999999996E-3</v>
      </c>
      <c r="O569" s="24">
        <v>5</v>
      </c>
      <c r="P569" s="24">
        <v>13</v>
      </c>
      <c r="Q569" s="24">
        <v>5</v>
      </c>
      <c r="R569" s="24">
        <v>4</v>
      </c>
      <c r="S569" s="24">
        <v>13</v>
      </c>
      <c r="T569" s="24">
        <v>16</v>
      </c>
      <c r="U569" s="24">
        <v>970378457000</v>
      </c>
      <c r="V569" s="109">
        <v>-0.16510801527501945</v>
      </c>
      <c r="W569" s="109">
        <v>2.5795711919437219</v>
      </c>
      <c r="X569" s="109">
        <v>0.64318411322686642</v>
      </c>
      <c r="Y569" s="109">
        <v>4.7215966254700148E-2</v>
      </c>
      <c r="Z569" s="109">
        <v>0.69863475938282771</v>
      </c>
      <c r="AA569" s="109">
        <v>3.9686060308081164</v>
      </c>
      <c r="AD569" s="111"/>
    </row>
    <row r="570" spans="1:30" ht="15" customHeight="1" x14ac:dyDescent="0.3">
      <c r="A570" s="22" t="s">
        <v>154</v>
      </c>
      <c r="B570" s="23">
        <v>70</v>
      </c>
      <c r="C570" s="3" t="s">
        <v>71</v>
      </c>
      <c r="D570" s="23">
        <v>2024</v>
      </c>
      <c r="E570" s="25">
        <v>3.2760747225062765</v>
      </c>
      <c r="F570" s="25">
        <v>9.020807791086867E-2</v>
      </c>
      <c r="G570" s="25">
        <v>0.53266951082778702</v>
      </c>
      <c r="H570" s="25">
        <v>1.139813308075212</v>
      </c>
      <c r="I570" s="25">
        <v>5.9794244237588584E-2</v>
      </c>
      <c r="J570" s="25">
        <v>1.0956301893874022E-2</v>
      </c>
      <c r="K570" s="25">
        <v>2.3444440599801279E-2</v>
      </c>
      <c r="L570" s="25">
        <v>0.35460000000000003</v>
      </c>
      <c r="M570" s="24">
        <v>2</v>
      </c>
      <c r="N570" s="108">
        <v>6.7999999999999996E-3</v>
      </c>
      <c r="O570" s="24">
        <v>4</v>
      </c>
      <c r="P570" s="24">
        <v>13</v>
      </c>
      <c r="Q570" s="24">
        <v>4</v>
      </c>
      <c r="R570" s="24">
        <v>4</v>
      </c>
      <c r="S570" s="24">
        <v>13</v>
      </c>
      <c r="T570" s="24">
        <v>16</v>
      </c>
      <c r="U570" s="24">
        <v>903498744000</v>
      </c>
      <c r="V570" s="109">
        <v>-0.11276857096363273</v>
      </c>
      <c r="W570" s="109">
        <v>1.8297405565845477</v>
      </c>
      <c r="X570" s="109">
        <v>0.7584758729006047</v>
      </c>
      <c r="Y570" s="109">
        <v>1.5942859573028913E-2</v>
      </c>
      <c r="Z570" s="109">
        <v>0.92120349232728438</v>
      </c>
      <c r="AA570" s="109">
        <v>3.525362781385466</v>
      </c>
      <c r="AD570" s="111"/>
    </row>
    <row r="571" spans="1:30" ht="15" customHeight="1" x14ac:dyDescent="0.3">
      <c r="A571" s="22" t="s">
        <v>154</v>
      </c>
      <c r="B571" s="23">
        <v>71</v>
      </c>
      <c r="C571" s="2" t="s">
        <v>73</v>
      </c>
      <c r="D571" s="23">
        <v>2015</v>
      </c>
      <c r="E571" s="25">
        <v>2.3118228705710013</v>
      </c>
      <c r="F571" s="25">
        <v>0.10429700613422041</v>
      </c>
      <c r="G571" s="25">
        <v>0.63108111198928574</v>
      </c>
      <c r="H571" s="25">
        <v>1.7106229377200053</v>
      </c>
      <c r="I571" s="25">
        <v>0.19176423092450545</v>
      </c>
      <c r="J571" s="25">
        <v>6.3978266449466706E-2</v>
      </c>
      <c r="K571" s="25">
        <v>0.17342095655348666</v>
      </c>
      <c r="L571" s="25">
        <v>0.22220000000000001</v>
      </c>
      <c r="M571" s="24">
        <v>2</v>
      </c>
      <c r="N571" s="108">
        <v>0.32219999999999999</v>
      </c>
      <c r="O571" s="24">
        <v>4</v>
      </c>
      <c r="P571" s="24">
        <v>0</v>
      </c>
      <c r="Q571" s="24">
        <v>4</v>
      </c>
      <c r="R571" s="24">
        <v>3</v>
      </c>
      <c r="S571" s="24">
        <v>0</v>
      </c>
      <c r="T571" s="24">
        <v>0</v>
      </c>
      <c r="U571" s="24">
        <v>393493000000</v>
      </c>
      <c r="V571" s="109">
        <v>1.8677157533715103E-2</v>
      </c>
      <c r="W571" s="109">
        <v>1.4332062832121537</v>
      </c>
      <c r="X571" s="109">
        <v>0.79106322094675119</v>
      </c>
      <c r="Y571" s="109">
        <v>0.50593021985143316</v>
      </c>
      <c r="Z571" s="109">
        <v>0.61381148168133826</v>
      </c>
      <c r="AA571" s="109">
        <v>3.3440112056916762</v>
      </c>
      <c r="AD571" s="111"/>
    </row>
    <row r="572" spans="1:30" ht="15" customHeight="1" x14ac:dyDescent="0.3">
      <c r="A572" s="22" t="s">
        <v>154</v>
      </c>
      <c r="B572" s="23">
        <v>71</v>
      </c>
      <c r="C572" s="3" t="s">
        <v>73</v>
      </c>
      <c r="D572" s="23">
        <v>2016</v>
      </c>
      <c r="E572" s="25">
        <v>1.8635571945081741</v>
      </c>
      <c r="F572" s="25">
        <v>0.11184250039038571</v>
      </c>
      <c r="G572" s="25">
        <v>0.62535652782262408</v>
      </c>
      <c r="H572" s="25">
        <v>1.6692043883432388</v>
      </c>
      <c r="I572" s="25">
        <v>0.28150169974468564</v>
      </c>
      <c r="J572" s="25">
        <v>8.9497452732034591E-2</v>
      </c>
      <c r="K572" s="25">
        <v>0.23888699357788831</v>
      </c>
      <c r="L572" s="25">
        <v>0.22220000000000001</v>
      </c>
      <c r="M572" s="24">
        <v>2</v>
      </c>
      <c r="N572" s="108">
        <v>0.32219999999999999</v>
      </c>
      <c r="O572" s="24">
        <v>4</v>
      </c>
      <c r="P572" s="24">
        <v>0</v>
      </c>
      <c r="Q572" s="24">
        <v>4</v>
      </c>
      <c r="R572" s="24">
        <v>3</v>
      </c>
      <c r="S572" s="24">
        <v>0</v>
      </c>
      <c r="T572" s="24">
        <v>0</v>
      </c>
      <c r="U572" s="24">
        <v>445968000000</v>
      </c>
      <c r="V572" s="109">
        <v>8.0019195466213694E-2</v>
      </c>
      <c r="W572" s="109">
        <v>1.057500807232806</v>
      </c>
      <c r="X572" s="109">
        <v>0.85349415204678369</v>
      </c>
      <c r="Y572" s="109">
        <v>0.72486277042298997</v>
      </c>
      <c r="Z572" s="109">
        <v>0.62904219958478103</v>
      </c>
      <c r="AA572" s="109">
        <v>3.2648999292873606</v>
      </c>
      <c r="AD572" s="111"/>
    </row>
    <row r="573" spans="1:30" ht="15" customHeight="1" x14ac:dyDescent="0.3">
      <c r="A573" s="22" t="s">
        <v>154</v>
      </c>
      <c r="B573" s="23">
        <v>71</v>
      </c>
      <c r="C573" s="3" t="s">
        <v>73</v>
      </c>
      <c r="D573" s="23">
        <v>2017</v>
      </c>
      <c r="E573" s="25">
        <v>1.5892288038727895</v>
      </c>
      <c r="F573" s="25">
        <v>0.13043770591003834</v>
      </c>
      <c r="G573" s="25">
        <v>0.56104826746427894</v>
      </c>
      <c r="H573" s="25">
        <v>1.2781548080998222</v>
      </c>
      <c r="I573" s="25">
        <v>0.25811345915715278</v>
      </c>
      <c r="J573" s="25">
        <v>9.1656962276094336E-2</v>
      </c>
      <c r="K573" s="25">
        <v>0.20880874930510834</v>
      </c>
      <c r="L573" s="25">
        <v>0.25319999999999998</v>
      </c>
      <c r="M573" s="24">
        <v>2</v>
      </c>
      <c r="N573" s="108">
        <v>0.36709999999999998</v>
      </c>
      <c r="O573" s="24">
        <v>4</v>
      </c>
      <c r="P573" s="24">
        <v>0</v>
      </c>
      <c r="Q573" s="24">
        <v>4</v>
      </c>
      <c r="R573" s="24">
        <v>3</v>
      </c>
      <c r="S573" s="24">
        <v>0</v>
      </c>
      <c r="T573" s="24">
        <v>0</v>
      </c>
      <c r="U573" s="24">
        <v>413902000000</v>
      </c>
      <c r="V573" s="109">
        <v>3.6618566007927442E-2</v>
      </c>
      <c r="W573" s="109">
        <v>0.69447859638271858</v>
      </c>
      <c r="X573" s="109">
        <v>1.0339009717276069</v>
      </c>
      <c r="Y573" s="109">
        <v>0.77631130074268784</v>
      </c>
      <c r="Z573" s="109">
        <v>0.82149673368673548</v>
      </c>
      <c r="AA573" s="109">
        <v>3.3261876025397488</v>
      </c>
      <c r="AD573" s="111"/>
    </row>
    <row r="574" spans="1:30" ht="15" customHeight="1" x14ac:dyDescent="0.3">
      <c r="A574" s="22" t="s">
        <v>154</v>
      </c>
      <c r="B574" s="23">
        <v>71</v>
      </c>
      <c r="C574" s="3" t="s">
        <v>73</v>
      </c>
      <c r="D574" s="23">
        <v>2018</v>
      </c>
      <c r="E574" s="25">
        <v>1.4857977711334602</v>
      </c>
      <c r="F574" s="25">
        <v>0.12201005708072846</v>
      </c>
      <c r="G574" s="25">
        <v>0.56652916629401229</v>
      </c>
      <c r="H574" s="25">
        <v>1.3069602894626924</v>
      </c>
      <c r="I574" s="25">
        <v>0.26447063035875273</v>
      </c>
      <c r="J574" s="25">
        <v>9.0231074793367699E-2</v>
      </c>
      <c r="K574" s="25">
        <v>0.2081595064238374</v>
      </c>
      <c r="L574" s="25">
        <v>0.25319999999999998</v>
      </c>
      <c r="M574" s="24">
        <v>2</v>
      </c>
      <c r="N574" s="108">
        <v>0.36709999999999998</v>
      </c>
      <c r="O574" s="24">
        <v>4</v>
      </c>
      <c r="P574" s="24">
        <v>0</v>
      </c>
      <c r="Q574" s="24">
        <v>4</v>
      </c>
      <c r="R574" s="24">
        <v>3</v>
      </c>
      <c r="S574" s="24">
        <v>0</v>
      </c>
      <c r="T574" s="24">
        <v>0</v>
      </c>
      <c r="U574" s="24">
        <v>458423000000</v>
      </c>
      <c r="V574" s="109">
        <v>6.4125243233681226E-2</v>
      </c>
      <c r="W574" s="109">
        <v>0.61381004007216033</v>
      </c>
      <c r="X574" s="109">
        <v>1.0527835208966392</v>
      </c>
      <c r="Y574" s="109">
        <v>0.72598451648368423</v>
      </c>
      <c r="Z574" s="109">
        <v>0.80339089753956339</v>
      </c>
      <c r="AA574" s="109">
        <v>3.1959689749920472</v>
      </c>
      <c r="AD574" s="111"/>
    </row>
    <row r="575" spans="1:30" ht="15" customHeight="1" x14ac:dyDescent="0.3">
      <c r="A575" s="22" t="s">
        <v>154</v>
      </c>
      <c r="B575" s="23">
        <v>71</v>
      </c>
      <c r="C575" s="3" t="s">
        <v>73</v>
      </c>
      <c r="D575" s="23">
        <v>2019</v>
      </c>
      <c r="E575" s="25">
        <v>1.4446935008270803</v>
      </c>
      <c r="F575" s="25">
        <v>8.9947977848632316E-2</v>
      </c>
      <c r="G575" s="25">
        <v>0.56029554309407714</v>
      </c>
      <c r="H575" s="25">
        <v>1.2742548643621219</v>
      </c>
      <c r="I575" s="25">
        <v>0.24262544318606985</v>
      </c>
      <c r="J575" s="25">
        <v>8.5900096509874915E-2</v>
      </c>
      <c r="K575" s="25">
        <v>0.19535871233675875</v>
      </c>
      <c r="L575" s="25">
        <v>0.25319999999999998</v>
      </c>
      <c r="M575" s="24">
        <v>2</v>
      </c>
      <c r="N575" s="108">
        <v>0.36709999999999998</v>
      </c>
      <c r="O575" s="24">
        <v>4</v>
      </c>
      <c r="P575" s="24">
        <v>0</v>
      </c>
      <c r="Q575" s="24">
        <v>4</v>
      </c>
      <c r="R575" s="24">
        <v>3</v>
      </c>
      <c r="S575" s="24">
        <v>0</v>
      </c>
      <c r="T575" s="24">
        <v>0</v>
      </c>
      <c r="U575" s="24">
        <v>475599000000</v>
      </c>
      <c r="V575" s="109">
        <v>7.6596996221300104E-2</v>
      </c>
      <c r="W575" s="109">
        <v>0.51171142075572063</v>
      </c>
      <c r="X575" s="109">
        <v>1.0832873912686949</v>
      </c>
      <c r="Y575" s="109">
        <v>0.68175080267199883</v>
      </c>
      <c r="Z575" s="109">
        <v>0.82401098035095099</v>
      </c>
      <c r="AA575" s="109">
        <v>3.1007605950473653</v>
      </c>
      <c r="AD575" s="111"/>
    </row>
    <row r="576" spans="1:30" ht="15" customHeight="1" x14ac:dyDescent="0.3">
      <c r="A576" s="22" t="s">
        <v>154</v>
      </c>
      <c r="B576" s="23">
        <v>71</v>
      </c>
      <c r="C576" s="3" t="s">
        <v>73</v>
      </c>
      <c r="D576" s="23">
        <v>2020</v>
      </c>
      <c r="E576" s="25">
        <v>1.8664690889692372</v>
      </c>
      <c r="F576" s="25">
        <v>0.13478750518641455</v>
      </c>
      <c r="G576" s="25">
        <v>0.50952012856241991</v>
      </c>
      <c r="H576" s="25">
        <v>1.083767821214547</v>
      </c>
      <c r="I576" s="25">
        <v>0.3180718068167343</v>
      </c>
      <c r="J576" s="25">
        <v>0.10666815842470351</v>
      </c>
      <c r="K576" s="25">
        <v>0.22688704757371872</v>
      </c>
      <c r="L576" s="25">
        <v>0.25319999999999998</v>
      </c>
      <c r="M576" s="24">
        <v>2</v>
      </c>
      <c r="N576" s="108">
        <v>0.36709999999999998</v>
      </c>
      <c r="O576" s="24">
        <v>4</v>
      </c>
      <c r="P576" s="24">
        <v>0</v>
      </c>
      <c r="Q576" s="24">
        <v>4</v>
      </c>
      <c r="R576" s="24">
        <v>3</v>
      </c>
      <c r="S576" s="24">
        <v>0</v>
      </c>
      <c r="T576" s="24">
        <v>0</v>
      </c>
      <c r="U576" s="24">
        <v>491590000000</v>
      </c>
      <c r="V576" s="109">
        <v>-2.0928478528117446E-2</v>
      </c>
      <c r="W576" s="109">
        <v>0.97535946622185155</v>
      </c>
      <c r="X576" s="109">
        <v>1.1902557822575723</v>
      </c>
      <c r="Y576" s="109">
        <v>0.86530645456579658</v>
      </c>
      <c r="Z576" s="109">
        <v>0.96884219982034148</v>
      </c>
      <c r="AA576" s="109">
        <v>3.999763902865562</v>
      </c>
      <c r="AD576" s="111"/>
    </row>
    <row r="577" spans="1:30" ht="15" customHeight="1" x14ac:dyDescent="0.3">
      <c r="A577" s="22" t="s">
        <v>154</v>
      </c>
      <c r="B577" s="23">
        <v>71</v>
      </c>
      <c r="C577" s="3" t="s">
        <v>73</v>
      </c>
      <c r="D577" s="23">
        <v>2021</v>
      </c>
      <c r="E577" s="25">
        <v>2.768011546998189</v>
      </c>
      <c r="F577" s="25">
        <v>0.12625444246245182</v>
      </c>
      <c r="G577" s="25">
        <v>0.57779082715974239</v>
      </c>
      <c r="H577" s="25">
        <v>1.3684942543357503</v>
      </c>
      <c r="I577" s="25">
        <v>0.24533269799379323</v>
      </c>
      <c r="J577" s="25">
        <v>7.1897121537089881E-2</v>
      </c>
      <c r="K577" s="25">
        <v>0.17028791926387651</v>
      </c>
      <c r="L577" s="25">
        <v>0.25319999999999998</v>
      </c>
      <c r="M577" s="24">
        <v>2</v>
      </c>
      <c r="N577" s="108">
        <v>0.36709999999999998</v>
      </c>
      <c r="O577" s="24">
        <v>4</v>
      </c>
      <c r="P577" s="24">
        <v>0</v>
      </c>
      <c r="Q577" s="24">
        <v>4</v>
      </c>
      <c r="R577" s="24">
        <v>3</v>
      </c>
      <c r="S577" s="24">
        <v>0</v>
      </c>
      <c r="T577" s="24">
        <v>0</v>
      </c>
      <c r="U577" s="24">
        <v>558562000000</v>
      </c>
      <c r="V577" s="109">
        <v>-7.0787764089312684E-3</v>
      </c>
      <c r="W577" s="109">
        <v>1.5249103232944596</v>
      </c>
      <c r="X577" s="109">
        <v>1.0724063577543763</v>
      </c>
      <c r="Y577" s="109">
        <v>0.58560374676401183</v>
      </c>
      <c r="Z577" s="109">
        <v>0.76726664848852921</v>
      </c>
      <c r="AA577" s="109">
        <v>3.9501870763013773</v>
      </c>
      <c r="AD577" s="111"/>
    </row>
    <row r="578" spans="1:30" ht="15" customHeight="1" x14ac:dyDescent="0.3">
      <c r="A578" s="22" t="s">
        <v>154</v>
      </c>
      <c r="B578" s="23">
        <v>71</v>
      </c>
      <c r="C578" s="3" t="s">
        <v>73</v>
      </c>
      <c r="D578" s="23">
        <v>2022</v>
      </c>
      <c r="E578" s="25">
        <v>6.3133032617811731</v>
      </c>
      <c r="F578" s="25">
        <v>0.24543826642790761</v>
      </c>
      <c r="G578" s="25">
        <v>0.59316242826520671</v>
      </c>
      <c r="H578" s="25">
        <v>1.4579834053573439</v>
      </c>
      <c r="I578" s="25">
        <v>0.28939900768717958</v>
      </c>
      <c r="J578" s="25">
        <v>7.7487003622083814E-2</v>
      </c>
      <c r="K578" s="25">
        <v>0.1904617690339464</v>
      </c>
      <c r="L578" s="25">
        <v>0.25319999999999998</v>
      </c>
      <c r="M578" s="24">
        <v>2</v>
      </c>
      <c r="N578" s="108">
        <v>0.36709999999999998</v>
      </c>
      <c r="O578" s="24">
        <v>4</v>
      </c>
      <c r="P578" s="24">
        <v>0</v>
      </c>
      <c r="Q578" s="24">
        <v>4</v>
      </c>
      <c r="R578" s="24">
        <v>3</v>
      </c>
      <c r="S578" s="24">
        <v>0</v>
      </c>
      <c r="T578" s="24">
        <v>0</v>
      </c>
      <c r="U578" s="24">
        <v>633061000000</v>
      </c>
      <c r="V578" s="109">
        <v>3.5499596803753392E-2</v>
      </c>
      <c r="W578" s="109">
        <v>2.4290075048060138</v>
      </c>
      <c r="X578" s="109">
        <v>1.053362598548955</v>
      </c>
      <c r="Y578" s="109">
        <v>0.66116093077918237</v>
      </c>
      <c r="Z578" s="109">
        <v>0.72017280590559996</v>
      </c>
      <c r="AA578" s="109">
        <v>4.8637038400397508</v>
      </c>
      <c r="AD578" s="111"/>
    </row>
    <row r="579" spans="1:30" ht="15" customHeight="1" x14ac:dyDescent="0.3">
      <c r="A579" s="22" t="s">
        <v>154</v>
      </c>
      <c r="B579" s="23">
        <v>71</v>
      </c>
      <c r="C579" s="3" t="s">
        <v>73</v>
      </c>
      <c r="D579" s="23">
        <v>2023</v>
      </c>
      <c r="E579" s="25">
        <v>8.5877414149563815</v>
      </c>
      <c r="F579" s="25">
        <v>0.17989511371085673</v>
      </c>
      <c r="G579" s="25">
        <v>0.65894017672975003</v>
      </c>
      <c r="H579" s="25">
        <v>1.9320369383045659</v>
      </c>
      <c r="I579" s="25">
        <v>0.12808328677402045</v>
      </c>
      <c r="J579" s="25">
        <v>3.2139496017611902E-2</v>
      </c>
      <c r="K579" s="25">
        <v>9.4234189502130583E-2</v>
      </c>
      <c r="L579" s="25">
        <v>0.25319999999999998</v>
      </c>
      <c r="M579" s="24">
        <v>2</v>
      </c>
      <c r="N579" s="108">
        <v>0.36709999999999998</v>
      </c>
      <c r="O579" s="24">
        <v>4</v>
      </c>
      <c r="P579" s="24">
        <v>0</v>
      </c>
      <c r="Q579" s="24">
        <v>4</v>
      </c>
      <c r="R579" s="24">
        <v>3</v>
      </c>
      <c r="S579" s="24">
        <v>0</v>
      </c>
      <c r="T579" s="24">
        <v>0</v>
      </c>
      <c r="U579" s="24">
        <v>720422000000</v>
      </c>
      <c r="V579" s="109">
        <v>6.6488498728636075E-2</v>
      </c>
      <c r="W579" s="109">
        <v>2.7403371912573462</v>
      </c>
      <c r="X579" s="109">
        <v>0.87066583197070602</v>
      </c>
      <c r="Y579" s="109">
        <v>0.26027544966700072</v>
      </c>
      <c r="Z579" s="109">
        <v>0.54346787019580167</v>
      </c>
      <c r="AA579" s="109">
        <v>4.4147463430908545</v>
      </c>
      <c r="AD579" s="111"/>
    </row>
    <row r="580" spans="1:30" ht="15" customHeight="1" x14ac:dyDescent="0.3">
      <c r="A580" s="22" t="s">
        <v>154</v>
      </c>
      <c r="B580" s="23">
        <v>71</v>
      </c>
      <c r="C580" s="3" t="s">
        <v>73</v>
      </c>
      <c r="D580" s="23">
        <v>2024</v>
      </c>
      <c r="E580" s="25">
        <v>7.044453709252938</v>
      </c>
      <c r="F580" s="25">
        <v>0.28923574015686476</v>
      </c>
      <c r="G580" s="25">
        <v>0.55719461916815527</v>
      </c>
      <c r="H580" s="25">
        <v>1.2583284740610452</v>
      </c>
      <c r="I580" s="25">
        <v>0.44509856635740658</v>
      </c>
      <c r="J580" s="25">
        <v>0.11446401914388674</v>
      </c>
      <c r="K580" s="25">
        <v>0.258497353688108</v>
      </c>
      <c r="L580" s="25">
        <v>0.25319999999999998</v>
      </c>
      <c r="M580" s="24">
        <v>2</v>
      </c>
      <c r="N580" s="108">
        <v>0.36709999999999998</v>
      </c>
      <c r="O580" s="24">
        <v>4</v>
      </c>
      <c r="P580" s="24">
        <v>0</v>
      </c>
      <c r="Q580" s="24">
        <v>4</v>
      </c>
      <c r="R580" s="24">
        <v>3</v>
      </c>
      <c r="S580" s="24">
        <v>0</v>
      </c>
      <c r="T580" s="24">
        <v>0</v>
      </c>
      <c r="U580" s="24">
        <v>708738000000</v>
      </c>
      <c r="V580" s="109">
        <v>8.24238132907016E-3</v>
      </c>
      <c r="W580" s="109">
        <v>2.1470699750824704</v>
      </c>
      <c r="X580" s="109">
        <v>1.1970002737259748</v>
      </c>
      <c r="Y580" s="109">
        <v>0.31733159503229685</v>
      </c>
      <c r="Z580" s="109">
        <v>0.8344403084286095</v>
      </c>
      <c r="AA580" s="109">
        <v>4.4958421522693515</v>
      </c>
      <c r="AD580" s="111"/>
    </row>
    <row r="581" spans="1:30" ht="15" customHeight="1" x14ac:dyDescent="0.3">
      <c r="A581" s="22" t="s">
        <v>154</v>
      </c>
      <c r="B581" s="23">
        <v>72</v>
      </c>
      <c r="C581" s="2" t="s">
        <v>75</v>
      </c>
      <c r="D581" s="23">
        <v>2015</v>
      </c>
      <c r="E581" s="25">
        <v>2.7788752946458639</v>
      </c>
      <c r="F581" s="25">
        <v>0.45841284094735663</v>
      </c>
      <c r="G581" s="25">
        <v>0.68494847877070664</v>
      </c>
      <c r="H581" s="25">
        <v>2.1740840231404679</v>
      </c>
      <c r="I581" s="25">
        <v>8.0241216703118873E-2</v>
      </c>
      <c r="J581" s="25">
        <v>1.6838580964205745E-2</v>
      </c>
      <c r="K581" s="25">
        <v>5.344707081084267E-2</v>
      </c>
      <c r="L581" s="25">
        <v>0.6</v>
      </c>
      <c r="M581" s="24">
        <v>2</v>
      </c>
      <c r="N581" s="108">
        <v>0</v>
      </c>
      <c r="O581" s="24">
        <v>4</v>
      </c>
      <c r="P581" s="24">
        <v>0</v>
      </c>
      <c r="Q581" s="24">
        <v>4</v>
      </c>
      <c r="R581" s="24">
        <v>3</v>
      </c>
      <c r="S581" s="24">
        <v>0</v>
      </c>
      <c r="T581" s="24">
        <v>0</v>
      </c>
      <c r="U581" s="24">
        <v>376932000000</v>
      </c>
      <c r="V581" s="109">
        <v>8.3145313235986809</v>
      </c>
      <c r="W581" s="109">
        <v>2.2065068500419169</v>
      </c>
      <c r="X581" s="109">
        <v>-9.6087888531618433E-3</v>
      </c>
      <c r="Y581" s="109">
        <v>7.270319314889688E-2</v>
      </c>
      <c r="Z581" s="109">
        <v>0.48296201472621714</v>
      </c>
      <c r="AA581" s="109">
        <v>2.7525632690638693</v>
      </c>
      <c r="AD581" s="111"/>
    </row>
    <row r="582" spans="1:30" ht="15" customHeight="1" x14ac:dyDescent="0.3">
      <c r="A582" s="22" t="s">
        <v>154</v>
      </c>
      <c r="B582" s="23">
        <v>72</v>
      </c>
      <c r="C582" s="3" t="s">
        <v>75</v>
      </c>
      <c r="D582" s="23">
        <v>2016</v>
      </c>
      <c r="E582" s="25">
        <v>3.5699416327588045</v>
      </c>
      <c r="F582" s="25">
        <v>0.54424785504198481</v>
      </c>
      <c r="G582" s="25">
        <v>0.71227683909488526</v>
      </c>
      <c r="H582" s="25">
        <v>2.4755630963257063</v>
      </c>
      <c r="I582" s="25">
        <v>7.0099750181605566E-2</v>
      </c>
      <c r="J582" s="25">
        <v>3.1278596119525111E-2</v>
      </c>
      <c r="K582" s="25">
        <v>0.10871073437789791</v>
      </c>
      <c r="L582" s="25">
        <v>0.6</v>
      </c>
      <c r="M582" s="24">
        <v>2</v>
      </c>
      <c r="N582" s="108">
        <v>0</v>
      </c>
      <c r="O582" s="24">
        <v>4</v>
      </c>
      <c r="P582" s="24">
        <v>0</v>
      </c>
      <c r="Q582" s="24">
        <v>4</v>
      </c>
      <c r="R582" s="24">
        <v>3</v>
      </c>
      <c r="S582" s="24">
        <v>0</v>
      </c>
      <c r="T582" s="24">
        <v>0</v>
      </c>
      <c r="U582" s="24">
        <v>505969000000</v>
      </c>
      <c r="V582" s="109">
        <v>1.8541953754156184</v>
      </c>
      <c r="W582" s="109">
        <v>2.1864160057236708</v>
      </c>
      <c r="X582" s="109">
        <v>9.5235202156653861E-2</v>
      </c>
      <c r="Y582" s="109">
        <v>0.23718006439129669</v>
      </c>
      <c r="Z582" s="109">
        <v>0.42414592524764838</v>
      </c>
      <c r="AA582" s="109">
        <v>2.9429771975192698</v>
      </c>
      <c r="AD582" s="111"/>
    </row>
    <row r="583" spans="1:30" ht="15" customHeight="1" x14ac:dyDescent="0.3">
      <c r="A583" s="22" t="s">
        <v>154</v>
      </c>
      <c r="B583" s="23">
        <v>72</v>
      </c>
      <c r="C583" s="3" t="s">
        <v>75</v>
      </c>
      <c r="D583" s="23">
        <v>2017</v>
      </c>
      <c r="E583" s="25">
        <v>2.5571904562188359</v>
      </c>
      <c r="F583" s="25">
        <v>0.44430658464979728</v>
      </c>
      <c r="G583" s="25">
        <v>0.77634037404131895</v>
      </c>
      <c r="H583" s="25">
        <v>3.4710796403850743</v>
      </c>
      <c r="I583" s="25">
        <v>9.0707198548111712E-2</v>
      </c>
      <c r="J583" s="25">
        <v>3.8624329209235878E-2</v>
      </c>
      <c r="K583" s="25">
        <v>0.17269245195094507</v>
      </c>
      <c r="L583" s="25">
        <v>0.6</v>
      </c>
      <c r="M583" s="24">
        <v>2</v>
      </c>
      <c r="N583" s="108">
        <v>0</v>
      </c>
      <c r="O583" s="24">
        <v>4</v>
      </c>
      <c r="P583" s="24">
        <v>0</v>
      </c>
      <c r="Q583" s="24">
        <v>4</v>
      </c>
      <c r="R583" s="24">
        <v>3</v>
      </c>
      <c r="S583" s="24">
        <v>0</v>
      </c>
      <c r="T583" s="24">
        <v>0</v>
      </c>
      <c r="U583" s="24">
        <v>786758000000</v>
      </c>
      <c r="V583" s="109">
        <v>0.48390354529508689</v>
      </c>
      <c r="W583" s="109">
        <v>2.228968196065372</v>
      </c>
      <c r="X583" s="109">
        <v>0.15688862394789757</v>
      </c>
      <c r="Y583" s="109">
        <v>0.12887235973450539</v>
      </c>
      <c r="Z583" s="109">
        <v>0.30249954157880266</v>
      </c>
      <c r="AA583" s="109">
        <v>2.8172287213265776</v>
      </c>
      <c r="AD583" s="111"/>
    </row>
    <row r="584" spans="1:30" ht="15" customHeight="1" x14ac:dyDescent="0.3">
      <c r="A584" s="22" t="s">
        <v>154</v>
      </c>
      <c r="B584" s="23">
        <v>72</v>
      </c>
      <c r="C584" s="3" t="s">
        <v>75</v>
      </c>
      <c r="D584" s="23">
        <v>2018</v>
      </c>
      <c r="E584" s="25">
        <v>2.396557419598405</v>
      </c>
      <c r="F584" s="25">
        <v>0.31548728596934161</v>
      </c>
      <c r="G584" s="25">
        <v>0.79491517454277805</v>
      </c>
      <c r="H584" s="25">
        <v>3.8760311630593414</v>
      </c>
      <c r="I584" s="25">
        <v>0.10674544187179294</v>
      </c>
      <c r="J584" s="25">
        <v>4.5972667051264196E-2</v>
      </c>
      <c r="K584" s="25">
        <v>0.22416415719091562</v>
      </c>
      <c r="L584" s="25">
        <v>0.6</v>
      </c>
      <c r="M584" s="24">
        <v>2</v>
      </c>
      <c r="N584" s="108">
        <v>0</v>
      </c>
      <c r="O584" s="24">
        <v>4</v>
      </c>
      <c r="P584" s="24">
        <v>0</v>
      </c>
      <c r="Q584" s="24">
        <v>4</v>
      </c>
      <c r="R584" s="24">
        <v>3</v>
      </c>
      <c r="S584" s="24">
        <v>0</v>
      </c>
      <c r="T584" s="24">
        <v>0</v>
      </c>
      <c r="U584" s="24">
        <v>1105918000000</v>
      </c>
      <c r="V584" s="109">
        <v>0.42171623703031536</v>
      </c>
      <c r="W584" s="109">
        <v>2.1065033754763012</v>
      </c>
      <c r="X584" s="109">
        <v>0.27745659262259953</v>
      </c>
      <c r="Y584" s="109">
        <v>0.50128476071462802</v>
      </c>
      <c r="Z584" s="109">
        <v>0.27089565481492101</v>
      </c>
      <c r="AA584" s="109">
        <v>3.1561403836284496</v>
      </c>
      <c r="AD584" s="111"/>
    </row>
    <row r="585" spans="1:30" ht="15" customHeight="1" x14ac:dyDescent="0.3">
      <c r="A585" s="22" t="s">
        <v>154</v>
      </c>
      <c r="B585" s="23">
        <v>72</v>
      </c>
      <c r="C585" s="3" t="s">
        <v>75</v>
      </c>
      <c r="D585" s="23">
        <v>2019</v>
      </c>
      <c r="E585" s="25">
        <v>1.6899105000226391</v>
      </c>
      <c r="F585" s="25">
        <v>0.13112274929441417</v>
      </c>
      <c r="G585" s="25">
        <v>0.73084025262664731</v>
      </c>
      <c r="H585" s="25">
        <v>2.7152657845710322</v>
      </c>
      <c r="I585" s="25">
        <v>0.13409561132584197</v>
      </c>
      <c r="J585" s="25">
        <v>6.1619379999597379E-2</v>
      </c>
      <c r="K585" s="25">
        <v>0.22893237417898474</v>
      </c>
      <c r="L585" s="25">
        <v>0.6</v>
      </c>
      <c r="M585" s="24">
        <v>2</v>
      </c>
      <c r="N585" s="108">
        <v>0</v>
      </c>
      <c r="O585" s="24">
        <v>4</v>
      </c>
      <c r="P585" s="24">
        <v>0</v>
      </c>
      <c r="Q585" s="24">
        <v>4</v>
      </c>
      <c r="R585" s="24">
        <v>6</v>
      </c>
      <c r="S585" s="24">
        <v>0</v>
      </c>
      <c r="T585" s="24">
        <v>0</v>
      </c>
      <c r="U585" s="24">
        <v>1092838000000</v>
      </c>
      <c r="V585" s="109">
        <v>5.4351112342848507E-2</v>
      </c>
      <c r="W585" s="109">
        <v>1.3719635664206407</v>
      </c>
      <c r="X585" s="109">
        <v>0.39007073326513164</v>
      </c>
      <c r="Y585" s="109">
        <v>0.41877401774096434</v>
      </c>
      <c r="Z585" s="109">
        <v>0.3867024753033092</v>
      </c>
      <c r="AA585" s="109">
        <v>2.567510792730046</v>
      </c>
      <c r="AD585" s="111"/>
    </row>
    <row r="586" spans="1:30" ht="15" customHeight="1" x14ac:dyDescent="0.3">
      <c r="A586" s="22" t="s">
        <v>154</v>
      </c>
      <c r="B586" s="23">
        <v>72</v>
      </c>
      <c r="C586" s="3" t="s">
        <v>75</v>
      </c>
      <c r="D586" s="23">
        <v>2020</v>
      </c>
      <c r="E586" s="25">
        <v>2.0740155261466771</v>
      </c>
      <c r="F586" s="25">
        <v>0.15520648263016637</v>
      </c>
      <c r="G586" s="25">
        <v>0.71657500571423238</v>
      </c>
      <c r="H586" s="25">
        <v>2.5282703366370529</v>
      </c>
      <c r="I586" s="25">
        <v>2.5863177866629505E-2</v>
      </c>
      <c r="J586" s="25">
        <v>9.0037643963671483E-3</v>
      </c>
      <c r="K586" s="25">
        <v>3.1767714837771029E-2</v>
      </c>
      <c r="L586" s="25">
        <v>0.6</v>
      </c>
      <c r="M586" s="24">
        <v>2</v>
      </c>
      <c r="N586" s="108">
        <v>0</v>
      </c>
      <c r="O586" s="24">
        <v>4</v>
      </c>
      <c r="P586" s="24">
        <v>0</v>
      </c>
      <c r="Q586" s="24">
        <v>4</v>
      </c>
      <c r="R586" s="24">
        <v>6</v>
      </c>
      <c r="S586" s="24">
        <v>0</v>
      </c>
      <c r="T586" s="24">
        <v>0</v>
      </c>
      <c r="U586" s="24">
        <v>1071885000000</v>
      </c>
      <c r="V586" s="109">
        <v>-0.25692631511871267</v>
      </c>
      <c r="W586" s="109">
        <v>1.9127083222547192</v>
      </c>
      <c r="X586" s="109">
        <v>0.39977909943697315</v>
      </c>
      <c r="Y586" s="109">
        <v>4.7584209126911936E-3</v>
      </c>
      <c r="Z586" s="109">
        <v>0.41530368995138567</v>
      </c>
      <c r="AA586" s="109">
        <v>2.7325495325557689</v>
      </c>
      <c r="AD586" s="111"/>
    </row>
    <row r="587" spans="1:30" ht="15" customHeight="1" x14ac:dyDescent="0.3">
      <c r="A587" s="22" t="s">
        <v>154</v>
      </c>
      <c r="B587" s="23">
        <v>72</v>
      </c>
      <c r="C587" s="3" t="s">
        <v>75</v>
      </c>
      <c r="D587" s="23">
        <v>2021</v>
      </c>
      <c r="E587" s="25">
        <v>1.8870372977620145</v>
      </c>
      <c r="F587" s="25">
        <v>0.15667396585656643</v>
      </c>
      <c r="G587" s="25">
        <v>0.68775072048196262</v>
      </c>
      <c r="H587" s="25">
        <v>2.202575823895506</v>
      </c>
      <c r="I587" s="25">
        <v>2.8564054470512176E-2</v>
      </c>
      <c r="J587" s="25">
        <v>1.0117521831689621E-2</v>
      </c>
      <c r="K587" s="25">
        <v>3.2402160144009602E-2</v>
      </c>
      <c r="L587" s="25">
        <v>0.6</v>
      </c>
      <c r="M587" s="24">
        <v>2</v>
      </c>
      <c r="N587" s="108">
        <v>0</v>
      </c>
      <c r="O587" s="24">
        <v>4</v>
      </c>
      <c r="P587" s="24">
        <v>0</v>
      </c>
      <c r="Q587" s="24">
        <v>4</v>
      </c>
      <c r="R587" s="24">
        <v>6</v>
      </c>
      <c r="S587" s="24">
        <v>0</v>
      </c>
      <c r="T587" s="24">
        <v>0</v>
      </c>
      <c r="U587" s="24">
        <v>1104816000000</v>
      </c>
      <c r="V587" s="109">
        <v>4.8706171145579867E-2</v>
      </c>
      <c r="W587" s="109">
        <v>1.7582362311914381</v>
      </c>
      <c r="X587" s="109">
        <v>0.43564099361341613</v>
      </c>
      <c r="Y587" s="109">
        <v>0.11379067645653212</v>
      </c>
      <c r="Z587" s="109">
        <v>0.47671457600172668</v>
      </c>
      <c r="AA587" s="109">
        <v>2.7843824772631129</v>
      </c>
      <c r="AD587" s="111"/>
    </row>
    <row r="588" spans="1:30" ht="15" customHeight="1" x14ac:dyDescent="0.3">
      <c r="A588" s="22" t="s">
        <v>154</v>
      </c>
      <c r="B588" s="23">
        <v>72</v>
      </c>
      <c r="C588" s="3" t="s">
        <v>75</v>
      </c>
      <c r="D588" s="23">
        <v>2022</v>
      </c>
      <c r="E588" s="25">
        <v>2.0194588763905434</v>
      </c>
      <c r="F588" s="25">
        <v>9.0348940529172792E-2</v>
      </c>
      <c r="G588" s="25">
        <v>0.63958174566948556</v>
      </c>
      <c r="H588" s="25">
        <v>1.7745542518580921</v>
      </c>
      <c r="I588" s="25">
        <v>3.5667670851895032E-2</v>
      </c>
      <c r="J588" s="25">
        <v>1.5857827886085724E-2</v>
      </c>
      <c r="K588" s="25">
        <v>4.3998403786572965E-2</v>
      </c>
      <c r="L588" s="25">
        <v>0.6</v>
      </c>
      <c r="M588" s="24">
        <v>2</v>
      </c>
      <c r="N588" s="108">
        <v>0</v>
      </c>
      <c r="O588" s="24">
        <v>4</v>
      </c>
      <c r="P588" s="24">
        <v>0</v>
      </c>
      <c r="Q588" s="24">
        <v>4</v>
      </c>
      <c r="R588" s="24">
        <v>6</v>
      </c>
      <c r="S588" s="24">
        <v>0</v>
      </c>
      <c r="T588" s="24">
        <v>0</v>
      </c>
      <c r="U588" s="24">
        <v>1001209000000</v>
      </c>
      <c r="V588" s="109">
        <v>0.1374948572947198</v>
      </c>
      <c r="W588" s="109">
        <v>1.7214800106671035</v>
      </c>
      <c r="X588" s="109">
        <v>0.54298439187022884</v>
      </c>
      <c r="Y588" s="109">
        <v>0.1256129339628389</v>
      </c>
      <c r="Z588" s="109">
        <v>0.59169788632867715</v>
      </c>
      <c r="AA588" s="109">
        <v>2.9817752228288485</v>
      </c>
      <c r="AD588" s="111"/>
    </row>
    <row r="589" spans="1:30" ht="15" customHeight="1" x14ac:dyDescent="0.3">
      <c r="A589" s="22" t="s">
        <v>154</v>
      </c>
      <c r="B589" s="23">
        <v>72</v>
      </c>
      <c r="C589" s="3" t="s">
        <v>75</v>
      </c>
      <c r="D589" s="23">
        <v>2023</v>
      </c>
      <c r="E589" s="25">
        <v>1.7243634819758262</v>
      </c>
      <c r="F589" s="25">
        <v>0.1123243687890568</v>
      </c>
      <c r="G589" s="25">
        <v>0.64917580444028566</v>
      </c>
      <c r="H589" s="25">
        <v>1.8504305365956106</v>
      </c>
      <c r="I589" s="25">
        <v>4.0646338770805777E-2</v>
      </c>
      <c r="J589" s="25">
        <v>1.8480621411585709E-2</v>
      </c>
      <c r="K589" s="25">
        <v>5.2677727606846581E-2</v>
      </c>
      <c r="L589" s="25">
        <v>0.6</v>
      </c>
      <c r="M589" s="24">
        <v>2</v>
      </c>
      <c r="N589" s="108">
        <v>0</v>
      </c>
      <c r="O589" s="24">
        <v>4</v>
      </c>
      <c r="P589" s="24">
        <v>0</v>
      </c>
      <c r="Q589" s="24">
        <v>4</v>
      </c>
      <c r="R589" s="24">
        <v>6</v>
      </c>
      <c r="S589" s="24">
        <v>0</v>
      </c>
      <c r="T589" s="24">
        <v>0</v>
      </c>
      <c r="U589" s="24">
        <v>1085786000000</v>
      </c>
      <c r="V589" s="109">
        <v>0.10903609450573644</v>
      </c>
      <c r="W589" s="109">
        <v>1.3194119651570382</v>
      </c>
      <c r="X589" s="109">
        <v>0.55888193437749245</v>
      </c>
      <c r="Y589" s="109">
        <v>0.11520944274470291</v>
      </c>
      <c r="Z589" s="109">
        <v>0.56743551256550895</v>
      </c>
      <c r="AA589" s="109">
        <v>2.5609388548447423</v>
      </c>
      <c r="AD589" s="111"/>
    </row>
    <row r="590" spans="1:30" ht="15" customHeight="1" x14ac:dyDescent="0.3">
      <c r="A590" s="22" t="s">
        <v>154</v>
      </c>
      <c r="B590" s="23">
        <v>72</v>
      </c>
      <c r="C590" s="3" t="s">
        <v>75</v>
      </c>
      <c r="D590" s="23">
        <v>2024</v>
      </c>
      <c r="E590" s="25">
        <v>2.0831501802851711</v>
      </c>
      <c r="F590" s="25">
        <v>0.19769970200151737</v>
      </c>
      <c r="G590" s="25">
        <v>0.60006153540767204</v>
      </c>
      <c r="H590" s="25">
        <v>1.5003846554727789</v>
      </c>
      <c r="I590" s="25">
        <v>4.3594800591075705E-2</v>
      </c>
      <c r="J590" s="25">
        <v>2.1872859907696888E-2</v>
      </c>
      <c r="K590" s="25">
        <v>5.4690563284511044E-2</v>
      </c>
      <c r="L590" s="25">
        <v>0.6</v>
      </c>
      <c r="M590" s="24">
        <v>2</v>
      </c>
      <c r="N590" s="108">
        <v>0</v>
      </c>
      <c r="O590" s="24">
        <v>3</v>
      </c>
      <c r="P590" s="24">
        <v>0</v>
      </c>
      <c r="Q590" s="24">
        <v>3</v>
      </c>
      <c r="R590" s="24">
        <v>6</v>
      </c>
      <c r="S590" s="24">
        <v>0</v>
      </c>
      <c r="T590" s="24">
        <v>0</v>
      </c>
      <c r="U590" s="24">
        <v>1007550000000</v>
      </c>
      <c r="V590" s="109">
        <v>2.3995640839178971E-2</v>
      </c>
      <c r="W590" s="109">
        <v>1.803295201230708</v>
      </c>
      <c r="X590" s="109">
        <v>0.67380451590491786</v>
      </c>
      <c r="Y590" s="109">
        <v>0.19319291350305196</v>
      </c>
      <c r="Z590" s="109">
        <v>0.69982054013285</v>
      </c>
      <c r="AA590" s="109">
        <v>3.3701131707715279</v>
      </c>
      <c r="AD590" s="111"/>
    </row>
    <row r="591" spans="1:30" ht="15" customHeight="1" x14ac:dyDescent="0.3">
      <c r="A591" s="22" t="s">
        <v>154</v>
      </c>
      <c r="B591" s="23">
        <v>73</v>
      </c>
      <c r="C591" s="3" t="s">
        <v>96</v>
      </c>
      <c r="D591" s="23">
        <v>2020</v>
      </c>
      <c r="E591" s="25">
        <v>1.7739107113385046</v>
      </c>
      <c r="F591" s="25">
        <v>0.20056940089123618</v>
      </c>
      <c r="G591" s="25">
        <v>0.43761169421098933</v>
      </c>
      <c r="H591" s="25">
        <v>0.77813085675214344</v>
      </c>
      <c r="I591" s="25">
        <v>0.41356204770838917</v>
      </c>
      <c r="J591" s="25">
        <v>8.5371723867012656E-3</v>
      </c>
      <c r="K591" s="25">
        <v>1.5180209650205863E-2</v>
      </c>
      <c r="L591" s="25">
        <v>0.98</v>
      </c>
      <c r="M591" s="24">
        <v>1</v>
      </c>
      <c r="N591" s="108">
        <v>0</v>
      </c>
      <c r="O591" s="24">
        <v>3</v>
      </c>
      <c r="P591" s="24">
        <v>7</v>
      </c>
      <c r="Q591" s="24">
        <v>3</v>
      </c>
      <c r="R591" s="24">
        <v>4</v>
      </c>
      <c r="S591" s="24">
        <v>7</v>
      </c>
      <c r="T591" s="24">
        <v>0</v>
      </c>
      <c r="U591" s="24">
        <v>361478000000</v>
      </c>
      <c r="V591" s="109">
        <v>0</v>
      </c>
      <c r="W591" s="109">
        <v>1.3615505231300382</v>
      </c>
      <c r="X591" s="109">
        <v>2.9806239937146938E-2</v>
      </c>
      <c r="Y591" s="109">
        <v>1.8664704352685361E-2</v>
      </c>
      <c r="Z591" s="109">
        <v>1.3493874338599252</v>
      </c>
      <c r="AA591" s="109">
        <v>2.7594089012797958</v>
      </c>
      <c r="AD591" s="111"/>
    </row>
    <row r="592" spans="1:30" ht="15" customHeight="1" x14ac:dyDescent="0.3">
      <c r="A592" s="22" t="s">
        <v>154</v>
      </c>
      <c r="B592" s="23">
        <v>73</v>
      </c>
      <c r="C592" s="3" t="s">
        <v>96</v>
      </c>
      <c r="D592" s="23">
        <v>2021</v>
      </c>
      <c r="E592" s="25">
        <v>2.8185313341022682</v>
      </c>
      <c r="F592" s="25">
        <v>0.10650951557093426</v>
      </c>
      <c r="G592" s="25">
        <v>0.53846545615589014</v>
      </c>
      <c r="H592" s="25">
        <v>1.1666850582212649</v>
      </c>
      <c r="I592" s="25">
        <v>0.1130369751226272</v>
      </c>
      <c r="J592" s="25">
        <v>1.1379539415411869E-2</v>
      </c>
      <c r="K592" s="25">
        <v>2.4655878020812844E-2</v>
      </c>
      <c r="L592" s="25">
        <v>0.98</v>
      </c>
      <c r="M592" s="24">
        <v>1</v>
      </c>
      <c r="N592" s="108">
        <v>0</v>
      </c>
      <c r="O592" s="24">
        <v>3</v>
      </c>
      <c r="P592" s="24">
        <v>7</v>
      </c>
      <c r="Q592" s="24">
        <v>3</v>
      </c>
      <c r="R592" s="24">
        <v>4</v>
      </c>
      <c r="S592" s="24">
        <v>7</v>
      </c>
      <c r="T592" s="24">
        <v>0</v>
      </c>
      <c r="U592" s="24">
        <v>451600000000</v>
      </c>
      <c r="V592" s="109">
        <v>5.0926025194317877</v>
      </c>
      <c r="W592" s="109">
        <v>2.1986749335695301</v>
      </c>
      <c r="X592" s="109">
        <v>7.5508414526129317E-2</v>
      </c>
      <c r="Y592" s="109">
        <v>0.1098621789193977</v>
      </c>
      <c r="Z592" s="109">
        <v>0.89998581245296527</v>
      </c>
      <c r="AA592" s="109">
        <v>3.2840313394680223</v>
      </c>
      <c r="AD592" s="111"/>
    </row>
    <row r="593" spans="1:30" ht="15" customHeight="1" x14ac:dyDescent="0.3">
      <c r="A593" s="22" t="s">
        <v>154</v>
      </c>
      <c r="B593" s="23">
        <v>73</v>
      </c>
      <c r="C593" s="3" t="s">
        <v>96</v>
      </c>
      <c r="D593" s="23">
        <v>2022</v>
      </c>
      <c r="E593" s="25">
        <v>2.6881298885085387</v>
      </c>
      <c r="F593" s="25">
        <v>0.11138628062190434</v>
      </c>
      <c r="G593" s="25">
        <v>0.57598590478714906</v>
      </c>
      <c r="H593" s="25">
        <v>1.3584121643362108</v>
      </c>
      <c r="I593" s="25">
        <v>0.11311656274405286</v>
      </c>
      <c r="J593" s="25">
        <v>1.7784681590856822E-2</v>
      </c>
      <c r="K593" s="25">
        <v>4.1943609402723001E-2</v>
      </c>
      <c r="L593" s="25">
        <v>0.98</v>
      </c>
      <c r="M593" s="24">
        <v>1</v>
      </c>
      <c r="N593" s="108">
        <v>0</v>
      </c>
      <c r="O593" s="24">
        <v>3</v>
      </c>
      <c r="P593" s="24">
        <v>7</v>
      </c>
      <c r="Q593" s="24">
        <v>3</v>
      </c>
      <c r="R593" s="24">
        <v>3</v>
      </c>
      <c r="S593" s="24">
        <v>7</v>
      </c>
      <c r="T593" s="24">
        <v>3</v>
      </c>
      <c r="U593" s="24">
        <v>513082000000</v>
      </c>
      <c r="V593" s="109">
        <v>0.77438796383872599</v>
      </c>
      <c r="W593" s="109">
        <v>2.257251043692821</v>
      </c>
      <c r="X593" s="109">
        <v>0.11856751942184679</v>
      </c>
      <c r="Y593" s="109">
        <v>0.1231017264296935</v>
      </c>
      <c r="Z593" s="109">
        <v>0.77296127608889853</v>
      </c>
      <c r="AA593" s="109">
        <v>3.2718815656332598</v>
      </c>
      <c r="AD593" s="111"/>
    </row>
    <row r="594" spans="1:30" ht="15" customHeight="1" x14ac:dyDescent="0.3">
      <c r="A594" s="22" t="s">
        <v>154</v>
      </c>
      <c r="B594" s="23">
        <v>73</v>
      </c>
      <c r="C594" s="3" t="s">
        <v>96</v>
      </c>
      <c r="D594" s="23">
        <v>2023</v>
      </c>
      <c r="E594" s="25">
        <v>3.846230888072026</v>
      </c>
      <c r="F594" s="25">
        <v>7.4806882957753978E-2</v>
      </c>
      <c r="G594" s="25">
        <v>0.63225832285551831</v>
      </c>
      <c r="H594" s="25">
        <v>1.7193001559274197</v>
      </c>
      <c r="I594" s="25">
        <v>0.11794093157662731</v>
      </c>
      <c r="J594" s="25">
        <v>1.9284518727926515E-2</v>
      </c>
      <c r="K594" s="25">
        <v>5.2440394783835817E-2</v>
      </c>
      <c r="L594" s="25">
        <v>0.98</v>
      </c>
      <c r="M594" s="24">
        <v>1</v>
      </c>
      <c r="N594" s="108">
        <v>0</v>
      </c>
      <c r="O594" s="24">
        <v>3</v>
      </c>
      <c r="P594" s="24">
        <v>7</v>
      </c>
      <c r="Q594" s="24">
        <v>3</v>
      </c>
      <c r="R594" s="24">
        <v>3</v>
      </c>
      <c r="S594" s="24">
        <v>7</v>
      </c>
      <c r="T594" s="24">
        <v>3</v>
      </c>
      <c r="U594" s="24">
        <v>624335000000</v>
      </c>
      <c r="V594" s="109">
        <v>0.26547992413442584</v>
      </c>
      <c r="W594" s="109">
        <v>2.806814418541328</v>
      </c>
      <c r="X594" s="109">
        <v>0.14577017146243601</v>
      </c>
      <c r="Y594" s="109">
        <v>7.3815755964346058E-2</v>
      </c>
      <c r="Z594" s="109">
        <v>0.61071360715000478</v>
      </c>
      <c r="AA594" s="109">
        <v>3.6371139531181145</v>
      </c>
      <c r="AD594" s="111"/>
    </row>
    <row r="595" spans="1:30" ht="15" customHeight="1" x14ac:dyDescent="0.3">
      <c r="A595" s="22" t="s">
        <v>154</v>
      </c>
      <c r="B595" s="23">
        <v>73</v>
      </c>
      <c r="C595" s="3" t="s">
        <v>96</v>
      </c>
      <c r="D595" s="23">
        <v>2024</v>
      </c>
      <c r="E595" s="25">
        <v>3.6430833326974583</v>
      </c>
      <c r="F595" s="25">
        <v>4.065530739471817E-2</v>
      </c>
      <c r="G595" s="25">
        <v>0.65564051449466076</v>
      </c>
      <c r="H595" s="25">
        <v>1.903942078239907</v>
      </c>
      <c r="I595" s="25">
        <v>0.13170982540996121</v>
      </c>
      <c r="J595" s="25">
        <v>2.2948712923402562E-2</v>
      </c>
      <c r="K595" s="25">
        <v>6.6641733099716646E-2</v>
      </c>
      <c r="L595" s="25">
        <v>0.98</v>
      </c>
      <c r="M595" s="24">
        <v>1</v>
      </c>
      <c r="N595" s="108">
        <v>0</v>
      </c>
      <c r="O595" s="24">
        <v>3</v>
      </c>
      <c r="P595" s="24">
        <v>7</v>
      </c>
      <c r="Q595" s="24">
        <v>3</v>
      </c>
      <c r="R595" s="24">
        <v>4</v>
      </c>
      <c r="S595" s="24">
        <v>7</v>
      </c>
      <c r="T595" s="24">
        <v>4</v>
      </c>
      <c r="U595" s="24">
        <v>714332000000</v>
      </c>
      <c r="V595" s="109">
        <v>0.21920948229416662</v>
      </c>
      <c r="W595" s="109">
        <v>3.1809845282025719</v>
      </c>
      <c r="X595" s="109">
        <v>0.20992583280603413</v>
      </c>
      <c r="Y595" s="109">
        <v>0.17472346191966762</v>
      </c>
      <c r="Z595" s="109">
        <v>0.5514873650834321</v>
      </c>
      <c r="AA595" s="109">
        <v>4.1171211880117058</v>
      </c>
      <c r="AD595" s="111"/>
    </row>
    <row r="596" spans="1:30" ht="15" customHeight="1" x14ac:dyDescent="0.3">
      <c r="A596" s="22" t="s">
        <v>154</v>
      </c>
      <c r="B596" s="23">
        <v>74</v>
      </c>
      <c r="C596" s="2" t="s">
        <v>76</v>
      </c>
      <c r="D596" s="23">
        <v>2015</v>
      </c>
      <c r="E596" s="25">
        <v>2.9201420555947162</v>
      </c>
      <c r="F596" s="25">
        <v>0.22570042267752979</v>
      </c>
      <c r="G596" s="25">
        <v>0.53796204865206221</v>
      </c>
      <c r="H596" s="25">
        <v>1.1643244854003982</v>
      </c>
      <c r="I596" s="25">
        <v>0.11648953891881572</v>
      </c>
      <c r="J596" s="25">
        <v>1.6865116034049128E-2</v>
      </c>
      <c r="K596" s="25">
        <v>3.6501585189446212E-2</v>
      </c>
      <c r="L596" s="25">
        <v>0.33</v>
      </c>
      <c r="M596" s="24">
        <v>3</v>
      </c>
      <c r="N596" s="108">
        <v>0.33</v>
      </c>
      <c r="O596" s="24">
        <v>5</v>
      </c>
      <c r="P596" s="24">
        <v>0</v>
      </c>
      <c r="Q596" s="24">
        <v>5</v>
      </c>
      <c r="R596" s="24">
        <v>4</v>
      </c>
      <c r="S596" s="24">
        <v>0</v>
      </c>
      <c r="T596" s="24">
        <v>0</v>
      </c>
      <c r="U596" s="24">
        <v>9225611000000</v>
      </c>
      <c r="V596" s="109">
        <v>7.6367091331218204E-2</v>
      </c>
      <c r="W596" s="109">
        <v>1.9776283045101293</v>
      </c>
      <c r="X596" s="109">
        <v>0.74891216202374022</v>
      </c>
      <c r="Y596" s="109">
        <v>0.16289366633819702</v>
      </c>
      <c r="Z596" s="109">
        <v>0.9018104601990885</v>
      </c>
      <c r="AA596" s="109">
        <v>3.7912445930711547</v>
      </c>
      <c r="AD596" s="111"/>
    </row>
    <row r="597" spans="1:30" ht="15" customHeight="1" x14ac:dyDescent="0.3">
      <c r="A597" s="22" t="s">
        <v>154</v>
      </c>
      <c r="B597" s="23">
        <v>74</v>
      </c>
      <c r="C597" s="3" t="s">
        <v>76</v>
      </c>
      <c r="D597" s="23">
        <v>2016</v>
      </c>
      <c r="E597" s="25">
        <v>2.4969737373028544</v>
      </c>
      <c r="F597" s="25">
        <v>0.22485219557551622</v>
      </c>
      <c r="G597" s="25">
        <v>0.49887528303964834</v>
      </c>
      <c r="H597" s="25">
        <v>1.0046924878001542</v>
      </c>
      <c r="I597" s="25">
        <v>1.1246645602151859</v>
      </c>
      <c r="J597" s="25">
        <v>0.16332884621945581</v>
      </c>
      <c r="K597" s="25">
        <v>0.32893043695795277</v>
      </c>
      <c r="L597" s="25">
        <v>0.33</v>
      </c>
      <c r="M597" s="24">
        <v>3</v>
      </c>
      <c r="N597" s="108">
        <v>0.33</v>
      </c>
      <c r="O597" s="24">
        <v>5</v>
      </c>
      <c r="P597" s="24">
        <v>0</v>
      </c>
      <c r="Q597" s="24">
        <v>5</v>
      </c>
      <c r="R597" s="24">
        <v>4</v>
      </c>
      <c r="S597" s="24">
        <v>0</v>
      </c>
      <c r="T597" s="24">
        <v>0</v>
      </c>
      <c r="U597" s="24">
        <v>8734642000000</v>
      </c>
      <c r="V597" s="109">
        <v>-5.0297791736700445E-2</v>
      </c>
      <c r="W597" s="109">
        <v>1.6021213004494059</v>
      </c>
      <c r="X597" s="109">
        <v>0.97316089428736741</v>
      </c>
      <c r="Y597" s="109">
        <v>0.41822578189237747</v>
      </c>
      <c r="Z597" s="109">
        <v>1.0450959002381415</v>
      </c>
      <c r="AA597" s="109">
        <v>4.0386038768672927</v>
      </c>
      <c r="AD597" s="111"/>
    </row>
    <row r="598" spans="1:30" ht="15" customHeight="1" x14ac:dyDescent="0.3">
      <c r="A598" s="22" t="s">
        <v>154</v>
      </c>
      <c r="B598" s="23">
        <v>74</v>
      </c>
      <c r="C598" s="3" t="s">
        <v>76</v>
      </c>
      <c r="D598" s="23">
        <v>2017</v>
      </c>
      <c r="E598" s="25">
        <v>1.9644104539613976</v>
      </c>
      <c r="F598" s="25">
        <v>0.16770675994047171</v>
      </c>
      <c r="G598" s="25">
        <v>0.55254756555642526</v>
      </c>
      <c r="H598" s="25">
        <v>1.2348744202130459</v>
      </c>
      <c r="I598" s="25">
        <v>-0.33487806321614177</v>
      </c>
      <c r="J598" s="25">
        <v>-4.2505004377884605E-2</v>
      </c>
      <c r="K598" s="25">
        <v>-9.4993347015177823E-2</v>
      </c>
      <c r="L598" s="25">
        <v>0.33</v>
      </c>
      <c r="M598" s="24">
        <v>3</v>
      </c>
      <c r="N598" s="108">
        <v>0.33</v>
      </c>
      <c r="O598" s="24">
        <v>4</v>
      </c>
      <c r="P598" s="24">
        <v>0</v>
      </c>
      <c r="Q598" s="24">
        <v>4</v>
      </c>
      <c r="R598" s="24">
        <v>4</v>
      </c>
      <c r="S598" s="24">
        <v>0</v>
      </c>
      <c r="T598" s="24">
        <v>0</v>
      </c>
      <c r="U598" s="24">
        <v>8918691000000</v>
      </c>
      <c r="V598" s="109">
        <v>-0.10757959895434235</v>
      </c>
      <c r="W598" s="109">
        <v>1.4027860725301502</v>
      </c>
      <c r="X598" s="109">
        <v>1.0921626929333015</v>
      </c>
      <c r="Y598" s="109">
        <v>0.28298516901190995</v>
      </c>
      <c r="Z598" s="109">
        <v>0.85028888995761165</v>
      </c>
      <c r="AA598" s="109">
        <v>3.6282228244329731</v>
      </c>
      <c r="AD598" s="111"/>
    </row>
    <row r="599" spans="1:30" ht="15" customHeight="1" x14ac:dyDescent="0.3">
      <c r="A599" s="22" t="s">
        <v>154</v>
      </c>
      <c r="B599" s="23">
        <v>74</v>
      </c>
      <c r="C599" s="3" t="s">
        <v>76</v>
      </c>
      <c r="D599" s="23">
        <v>2018</v>
      </c>
      <c r="E599" s="25">
        <v>2.1309137297658878</v>
      </c>
      <c r="F599" s="25">
        <v>0.24168438910666801</v>
      </c>
      <c r="G599" s="25">
        <v>0.52190527994640579</v>
      </c>
      <c r="H599" s="25">
        <v>1.0916357325341315</v>
      </c>
      <c r="I599" s="25">
        <v>0.52848663416068409</v>
      </c>
      <c r="J599" s="25">
        <v>7.3442192306026652E-2</v>
      </c>
      <c r="K599" s="25">
        <v>0.15361431370292861</v>
      </c>
      <c r="L599" s="25">
        <v>0.33</v>
      </c>
      <c r="M599" s="24">
        <v>3</v>
      </c>
      <c r="N599" s="108">
        <v>0.33</v>
      </c>
      <c r="O599" s="24">
        <v>5</v>
      </c>
      <c r="P599" s="24">
        <v>0</v>
      </c>
      <c r="Q599" s="24">
        <v>5</v>
      </c>
      <c r="R599" s="24">
        <v>4</v>
      </c>
      <c r="S599" s="24">
        <v>0</v>
      </c>
      <c r="T599" s="24">
        <v>0</v>
      </c>
      <c r="U599" s="24">
        <v>9398031000000</v>
      </c>
      <c r="V599" s="109">
        <v>0.15370297900833996</v>
      </c>
      <c r="W599" s="109">
        <v>1.4350053878307061</v>
      </c>
      <c r="X599" s="109">
        <v>1.0760975442621969</v>
      </c>
      <c r="Y599" s="109">
        <v>0.23063152696559522</v>
      </c>
      <c r="Z599" s="109">
        <v>0.96185931690099791</v>
      </c>
      <c r="AA599" s="109">
        <v>3.7035937759594963</v>
      </c>
      <c r="AD599" s="111"/>
    </row>
    <row r="600" spans="1:30" ht="15" customHeight="1" x14ac:dyDescent="0.3">
      <c r="A600" s="22" t="s">
        <v>154</v>
      </c>
      <c r="B600" s="23">
        <v>74</v>
      </c>
      <c r="C600" s="3" t="s">
        <v>76</v>
      </c>
      <c r="D600" s="23">
        <v>2019</v>
      </c>
      <c r="E600" s="25">
        <v>2.5406502415815293</v>
      </c>
      <c r="F600" s="25">
        <v>0.20431896138383801</v>
      </c>
      <c r="G600" s="25">
        <v>0.48740622624030477</v>
      </c>
      <c r="H600" s="25">
        <v>0.95086255665056429</v>
      </c>
      <c r="I600" s="25">
        <v>0.77807904780074855</v>
      </c>
      <c r="J600" s="25">
        <v>0.1016704583325147</v>
      </c>
      <c r="K600" s="25">
        <v>0.1983450902784043</v>
      </c>
      <c r="L600" s="25">
        <v>0.33</v>
      </c>
      <c r="M600" s="24">
        <v>2</v>
      </c>
      <c r="N600" s="108">
        <v>0.33</v>
      </c>
      <c r="O600" s="24">
        <v>4</v>
      </c>
      <c r="P600" s="24">
        <v>0</v>
      </c>
      <c r="Q600" s="24">
        <v>4</v>
      </c>
      <c r="R600" s="24">
        <v>5</v>
      </c>
      <c r="S600" s="24">
        <v>0</v>
      </c>
      <c r="T600" s="24">
        <v>0</v>
      </c>
      <c r="U600" s="24">
        <v>10790332000000</v>
      </c>
      <c r="V600" s="109">
        <v>7.9586314409624381E-2</v>
      </c>
      <c r="W600" s="109">
        <v>1.5237085791243494</v>
      </c>
      <c r="X600" s="109">
        <v>0.99572019841465487</v>
      </c>
      <c r="Y600" s="109">
        <v>0.17492948317067539</v>
      </c>
      <c r="Z600" s="109">
        <v>1.1042605397131733</v>
      </c>
      <c r="AA600" s="109">
        <v>3.7986188004228532</v>
      </c>
      <c r="AD600" s="111"/>
    </row>
    <row r="601" spans="1:30" ht="15" customHeight="1" x14ac:dyDescent="0.3">
      <c r="A601" s="22" t="s">
        <v>154</v>
      </c>
      <c r="B601" s="23">
        <v>74</v>
      </c>
      <c r="C601" s="3" t="s">
        <v>76</v>
      </c>
      <c r="D601" s="23">
        <v>2020</v>
      </c>
      <c r="E601" s="25">
        <v>2.8101832698033147</v>
      </c>
      <c r="F601" s="25">
        <v>0.26564686329284642</v>
      </c>
      <c r="G601" s="25">
        <v>0.45692610429191205</v>
      </c>
      <c r="H601" s="25">
        <v>0.84137018434489874</v>
      </c>
      <c r="I601" s="25">
        <v>0.23182820418057792</v>
      </c>
      <c r="J601" s="25">
        <v>2.7959461151592334E-2</v>
      </c>
      <c r="K601" s="25">
        <v>5.1483722996641397E-2</v>
      </c>
      <c r="L601" s="25">
        <v>0.33</v>
      </c>
      <c r="M601" s="24">
        <v>2</v>
      </c>
      <c r="N601" s="108">
        <v>0.33</v>
      </c>
      <c r="O601" s="24">
        <v>4</v>
      </c>
      <c r="P601" s="24">
        <v>0</v>
      </c>
      <c r="Q601" s="24">
        <v>4</v>
      </c>
      <c r="R601" s="24">
        <v>5</v>
      </c>
      <c r="S601" s="24">
        <v>0</v>
      </c>
      <c r="T601" s="24">
        <v>0</v>
      </c>
      <c r="U601" s="24">
        <v>10589546000000</v>
      </c>
      <c r="V601" s="109">
        <v>-9.4196489680181739E-2</v>
      </c>
      <c r="W601" s="109">
        <v>1.5747660872335791</v>
      </c>
      <c r="X601" s="109">
        <v>1.0963951617944716</v>
      </c>
      <c r="Y601" s="109">
        <v>0.23680797647037935</v>
      </c>
      <c r="Z601" s="109">
        <v>1.2479643556867219</v>
      </c>
      <c r="AA601" s="109">
        <v>4.1559335811851525</v>
      </c>
      <c r="AD601" s="111"/>
    </row>
    <row r="602" spans="1:30" ht="15" customHeight="1" x14ac:dyDescent="0.3">
      <c r="A602" s="22" t="s">
        <v>154</v>
      </c>
      <c r="B602" s="23">
        <v>74</v>
      </c>
      <c r="C602" s="3" t="s">
        <v>76</v>
      </c>
      <c r="D602" s="23">
        <v>2021</v>
      </c>
      <c r="E602" s="25">
        <v>2.9250955287193818</v>
      </c>
      <c r="F602" s="25">
        <v>0.24181129304287172</v>
      </c>
      <c r="G602" s="25">
        <v>0.43872001914127678</v>
      </c>
      <c r="H602" s="25">
        <v>0.78856842673312966</v>
      </c>
      <c r="I602" s="25">
        <v>0.92774367516089917</v>
      </c>
      <c r="J602" s="25">
        <v>8.8144116986593135E-2</v>
      </c>
      <c r="K602" s="25">
        <v>0.15843286065210485</v>
      </c>
      <c r="L602" s="25">
        <v>0.33</v>
      </c>
      <c r="M602" s="24">
        <v>2</v>
      </c>
      <c r="N602" s="108">
        <v>0.33</v>
      </c>
      <c r="O602" s="24">
        <v>4</v>
      </c>
      <c r="P602" s="24">
        <v>0</v>
      </c>
      <c r="Q602" s="24">
        <v>4</v>
      </c>
      <c r="R602" s="24">
        <v>5</v>
      </c>
      <c r="S602" s="24">
        <v>0</v>
      </c>
      <c r="T602" s="24">
        <v>0</v>
      </c>
      <c r="U602" s="24">
        <v>12170557000000</v>
      </c>
      <c r="V602" s="109">
        <v>-9.4609535025024588E-2</v>
      </c>
      <c r="W602" s="109">
        <v>1.6051391304440707</v>
      </c>
      <c r="X602" s="109">
        <v>1.0215384012416193</v>
      </c>
      <c r="Y602" s="109">
        <v>0.18490252500358034</v>
      </c>
      <c r="Z602" s="109">
        <v>1.3315268078255751</v>
      </c>
      <c r="AA602" s="109">
        <v>4.143106864514845</v>
      </c>
      <c r="AD602" s="111"/>
    </row>
    <row r="603" spans="1:30" ht="15" customHeight="1" x14ac:dyDescent="0.3">
      <c r="A603" s="22" t="s">
        <v>154</v>
      </c>
      <c r="B603" s="23">
        <v>74</v>
      </c>
      <c r="C603" s="3" t="s">
        <v>76</v>
      </c>
      <c r="D603" s="23">
        <v>2022</v>
      </c>
      <c r="E603" s="25">
        <v>2.9011613356550523</v>
      </c>
      <c r="F603" s="25">
        <v>0.31742945291984725</v>
      </c>
      <c r="G603" s="25">
        <v>0.4757508010329049</v>
      </c>
      <c r="H603" s="25">
        <v>0.90748993280768309</v>
      </c>
      <c r="I603" s="25">
        <v>0.12855156328567616</v>
      </c>
      <c r="J603" s="25">
        <v>1.198920046257545E-2</v>
      </c>
      <c r="K603" s="25">
        <v>2.2869280931484815E-2</v>
      </c>
      <c r="L603" s="25">
        <v>0.33</v>
      </c>
      <c r="M603" s="24">
        <v>2</v>
      </c>
      <c r="N603" s="108">
        <v>0.33</v>
      </c>
      <c r="O603" s="24">
        <v>4</v>
      </c>
      <c r="P603" s="24">
        <v>0</v>
      </c>
      <c r="Q603" s="24">
        <v>4</v>
      </c>
      <c r="R603" s="24">
        <v>5</v>
      </c>
      <c r="S603" s="24">
        <v>0</v>
      </c>
      <c r="T603" s="24">
        <v>0</v>
      </c>
      <c r="U603" s="24">
        <v>13092783000000</v>
      </c>
      <c r="V603" s="109">
        <v>5.6012467201815422E-2</v>
      </c>
      <c r="W603" s="109">
        <v>1.8003121872561394</v>
      </c>
      <c r="X603" s="109">
        <v>1.0215985478412037</v>
      </c>
      <c r="Y603" s="109">
        <v>0.19936912114101335</v>
      </c>
      <c r="Z603" s="109">
        <v>1.1570376287827293</v>
      </c>
      <c r="AA603" s="109">
        <v>4.1783174850210862</v>
      </c>
      <c r="AD603" s="111"/>
    </row>
    <row r="604" spans="1:30" ht="15" customHeight="1" x14ac:dyDescent="0.3">
      <c r="A604" s="22" t="s">
        <v>154</v>
      </c>
      <c r="B604" s="23">
        <v>74</v>
      </c>
      <c r="C604" s="3" t="s">
        <v>76</v>
      </c>
      <c r="D604" s="23">
        <v>2023</v>
      </c>
      <c r="E604" s="25">
        <v>3.2163357261941372</v>
      </c>
      <c r="F604" s="25">
        <v>0.33113892216053481</v>
      </c>
      <c r="G604" s="25">
        <v>0.50217312673477477</v>
      </c>
      <c r="H604" s="25">
        <v>1.0087304516950693</v>
      </c>
      <c r="I604" s="25">
        <v>0.23185122696615471</v>
      </c>
      <c r="J604" s="25">
        <v>2.315475765826961E-2</v>
      </c>
      <c r="K604" s="25">
        <v>4.651166680978578E-2</v>
      </c>
      <c r="L604" s="25">
        <v>0.33</v>
      </c>
      <c r="M604" s="24">
        <v>2</v>
      </c>
      <c r="N604" s="108">
        <v>0.33</v>
      </c>
      <c r="O604" s="24">
        <v>4</v>
      </c>
      <c r="P604" s="24">
        <v>0</v>
      </c>
      <c r="Q604" s="24">
        <v>4</v>
      </c>
      <c r="R604" s="24">
        <v>5</v>
      </c>
      <c r="S604" s="24">
        <v>0</v>
      </c>
      <c r="T604" s="24">
        <v>0</v>
      </c>
      <c r="U604" s="24">
        <v>14409652000000</v>
      </c>
      <c r="V604" s="109">
        <v>0.17852691301648865</v>
      </c>
      <c r="W604" s="109">
        <v>1.994760711778466</v>
      </c>
      <c r="X604" s="109">
        <v>1.0153973336760664</v>
      </c>
      <c r="Y604" s="109">
        <v>0.21237158537902232</v>
      </c>
      <c r="Z604" s="109">
        <v>1.0409123648796181</v>
      </c>
      <c r="AA604" s="109">
        <v>4.2634419957131726</v>
      </c>
      <c r="AD604" s="111"/>
    </row>
    <row r="605" spans="1:30" ht="15" customHeight="1" x14ac:dyDescent="0.3">
      <c r="A605" s="22" t="s">
        <v>154</v>
      </c>
      <c r="B605" s="23">
        <v>74</v>
      </c>
      <c r="C605" s="3" t="s">
        <v>76</v>
      </c>
      <c r="D605" s="23">
        <v>2024</v>
      </c>
      <c r="E605" s="25">
        <v>3.1609970340469542</v>
      </c>
      <c r="F605" s="25">
        <v>0.35154698825919967</v>
      </c>
      <c r="G605" s="25">
        <v>0.47001010675972532</v>
      </c>
      <c r="H605" s="25">
        <v>0.88682843343701823</v>
      </c>
      <c r="I605" s="25">
        <v>9.4501032166023319E-2</v>
      </c>
      <c r="J605" s="25">
        <v>9.1219430021314083E-3</v>
      </c>
      <c r="K605" s="25">
        <v>1.7211541424613376E-2</v>
      </c>
      <c r="L605" s="25">
        <v>0.33</v>
      </c>
      <c r="M605" s="24">
        <v>2</v>
      </c>
      <c r="N605" s="108">
        <v>0.33</v>
      </c>
      <c r="O605" s="24">
        <v>4</v>
      </c>
      <c r="P605" s="24">
        <v>0</v>
      </c>
      <c r="Q605" s="24">
        <v>4</v>
      </c>
      <c r="R605" s="24">
        <v>5</v>
      </c>
      <c r="S605" s="24">
        <v>0</v>
      </c>
      <c r="T605" s="24">
        <v>0</v>
      </c>
      <c r="U605" s="24">
        <v>16164429000000</v>
      </c>
      <c r="V605" s="109">
        <v>8.4243522588768646E-2</v>
      </c>
      <c r="W605" s="109">
        <v>1.9249274218099506</v>
      </c>
      <c r="X605" s="109">
        <v>1.0292317668629063</v>
      </c>
      <c r="Y605" s="109">
        <v>0.26691211424789579</v>
      </c>
      <c r="Z605" s="109">
        <v>1.1839945139451487</v>
      </c>
      <c r="AA605" s="109">
        <v>4.4050658168659007</v>
      </c>
      <c r="AD605" s="111"/>
    </row>
    <row r="606" spans="1:30" ht="15" customHeight="1" x14ac:dyDescent="0.3">
      <c r="A606" s="22" t="s">
        <v>154</v>
      </c>
      <c r="B606" s="23">
        <v>76</v>
      </c>
      <c r="C606" s="3" t="s">
        <v>79</v>
      </c>
      <c r="D606" s="23">
        <v>2019</v>
      </c>
      <c r="E606" s="25">
        <v>3.6479084800586614</v>
      </c>
      <c r="F606" s="25">
        <v>0.20585527614773946</v>
      </c>
      <c r="G606" s="25">
        <v>0.711492737563865</v>
      </c>
      <c r="H606" s="25">
        <v>2.466117253188258</v>
      </c>
      <c r="I606" s="25">
        <v>0.12324636842499972</v>
      </c>
      <c r="J606" s="25">
        <v>2.1722526030659484E-2</v>
      </c>
      <c r="K606" s="25">
        <v>7.5292822257699885E-2</v>
      </c>
      <c r="L606" s="25">
        <v>0</v>
      </c>
      <c r="M606" s="24">
        <v>0</v>
      </c>
      <c r="N606" s="108">
        <v>0</v>
      </c>
      <c r="O606" s="24">
        <v>0</v>
      </c>
      <c r="P606" s="24">
        <v>0</v>
      </c>
      <c r="Q606" s="24">
        <v>0</v>
      </c>
      <c r="R606" s="24">
        <v>0</v>
      </c>
      <c r="S606" s="24">
        <v>0</v>
      </c>
      <c r="T606" s="24">
        <v>0</v>
      </c>
      <c r="U606" s="24">
        <v>1158038755000</v>
      </c>
      <c r="V606" s="109">
        <v>0</v>
      </c>
      <c r="W606" s="109">
        <v>3.07347612330988</v>
      </c>
      <c r="X606" s="109">
        <v>0.84509740512095377</v>
      </c>
      <c r="Y606" s="109">
        <v>0.19525095772809434</v>
      </c>
      <c r="Z606" s="109">
        <v>0.42577050975274344</v>
      </c>
      <c r="AA606" s="109">
        <v>4.5395949959116715</v>
      </c>
      <c r="AD606" s="111"/>
    </row>
    <row r="607" spans="1:30" ht="15" customHeight="1" x14ac:dyDescent="0.3">
      <c r="A607" s="22" t="s">
        <v>154</v>
      </c>
      <c r="B607" s="23">
        <v>76</v>
      </c>
      <c r="C607" s="3" t="s">
        <v>79</v>
      </c>
      <c r="D607" s="23">
        <v>2020</v>
      </c>
      <c r="E607" s="25">
        <v>3.8152758409940604</v>
      </c>
      <c r="F607" s="25">
        <v>0.11536548756678906</v>
      </c>
      <c r="G607" s="25">
        <v>0.59098569096743236</v>
      </c>
      <c r="H607" s="25">
        <v>1.4449022391546098</v>
      </c>
      <c r="I607" s="25">
        <v>0.1793915764581476</v>
      </c>
      <c r="J607" s="25">
        <v>3.7883586286263843E-2</v>
      </c>
      <c r="K607" s="25">
        <v>9.2621664938493331E-2</v>
      </c>
      <c r="L607" s="25">
        <v>0.73329999999999995</v>
      </c>
      <c r="M607" s="24">
        <v>2</v>
      </c>
      <c r="N607" s="108">
        <v>0</v>
      </c>
      <c r="O607" s="24">
        <v>4</v>
      </c>
      <c r="P607" s="24">
        <v>11</v>
      </c>
      <c r="Q607" s="24">
        <v>4</v>
      </c>
      <c r="R607" s="24">
        <v>5</v>
      </c>
      <c r="S607" s="24">
        <v>11</v>
      </c>
      <c r="T607" s="24">
        <v>7</v>
      </c>
      <c r="U607" s="24">
        <v>859876511000</v>
      </c>
      <c r="V607" s="109">
        <v>-0.11033637234562685</v>
      </c>
      <c r="W607" s="109">
        <v>2.656586128888919</v>
      </c>
      <c r="X607" s="109">
        <v>1.182980132038983</v>
      </c>
      <c r="Y607" s="109">
        <v>0.24274373714111139</v>
      </c>
      <c r="Z607" s="109">
        <v>0.72669276269814564</v>
      </c>
      <c r="AA607" s="109">
        <v>4.809002760767159</v>
      </c>
      <c r="AD607" s="111"/>
    </row>
    <row r="608" spans="1:30" ht="15" customHeight="1" x14ac:dyDescent="0.3">
      <c r="A608" s="22" t="s">
        <v>154</v>
      </c>
      <c r="B608" s="23">
        <v>76</v>
      </c>
      <c r="C608" s="3" t="s">
        <v>79</v>
      </c>
      <c r="D608" s="23">
        <v>2021</v>
      </c>
      <c r="E608" s="25">
        <v>3.6281104572436407</v>
      </c>
      <c r="F608" s="25">
        <v>9.6317639485881679E-2</v>
      </c>
      <c r="G608" s="25">
        <v>0.5625075035062489</v>
      </c>
      <c r="H608" s="25">
        <v>1.2857534883784765</v>
      </c>
      <c r="I608" s="25">
        <v>0.15357680039941077</v>
      </c>
      <c r="J608" s="25">
        <v>3.2186266771115496E-2</v>
      </c>
      <c r="K608" s="25">
        <v>7.3569871549957477E-2</v>
      </c>
      <c r="L608" s="25">
        <v>0.73329999999999995</v>
      </c>
      <c r="M608" s="24">
        <v>2</v>
      </c>
      <c r="N608" s="108">
        <v>0</v>
      </c>
      <c r="O608" s="24">
        <v>4</v>
      </c>
      <c r="P608" s="24">
        <v>11</v>
      </c>
      <c r="Q608" s="24">
        <v>4</v>
      </c>
      <c r="R608" s="24">
        <v>5</v>
      </c>
      <c r="S608" s="24">
        <v>11</v>
      </c>
      <c r="T608" s="24">
        <v>7</v>
      </c>
      <c r="U608" s="24">
        <v>822740369000</v>
      </c>
      <c r="V608" s="109">
        <v>-5.0439426731477784E-2</v>
      </c>
      <c r="W608" s="109">
        <v>2.4456985512035812</v>
      </c>
      <c r="X608" s="109">
        <v>1.2444769667792974</v>
      </c>
      <c r="Y608" s="109">
        <v>0.18653134099464616</v>
      </c>
      <c r="Z608" s="109">
        <v>0.81664176647438369</v>
      </c>
      <c r="AA608" s="109">
        <v>4.6933486254519092</v>
      </c>
      <c r="AD608" s="111"/>
    </row>
    <row r="609" spans="1:30" ht="15" customHeight="1" x14ac:dyDescent="0.3">
      <c r="A609" s="22" t="s">
        <v>154</v>
      </c>
      <c r="B609" s="23">
        <v>76</v>
      </c>
      <c r="C609" s="3" t="s">
        <v>79</v>
      </c>
      <c r="D609" s="23">
        <v>2022</v>
      </c>
      <c r="E609" s="25">
        <v>2.3485008473558295</v>
      </c>
      <c r="F609" s="25">
        <v>6.2966026747605597E-2</v>
      </c>
      <c r="G609" s="25">
        <v>0.92674037072238391</v>
      </c>
      <c r="H609" s="25">
        <v>2.2563387332702556</v>
      </c>
      <c r="I609" s="25">
        <v>9.1661471310600456E-2</v>
      </c>
      <c r="J609" s="25">
        <v>1.9408829113224658E-2</v>
      </c>
      <c r="K609" s="25">
        <v>4.7254759023237655E-2</v>
      </c>
      <c r="L609" s="25">
        <v>0.73329999999999995</v>
      </c>
      <c r="M609" s="24">
        <v>2</v>
      </c>
      <c r="N609" s="108">
        <v>0</v>
      </c>
      <c r="O609" s="24">
        <v>4</v>
      </c>
      <c r="P609" s="24">
        <v>11</v>
      </c>
      <c r="Q609" s="24">
        <v>4</v>
      </c>
      <c r="R609" s="24">
        <v>5</v>
      </c>
      <c r="S609" s="24">
        <v>11</v>
      </c>
      <c r="T609" s="24">
        <v>7</v>
      </c>
      <c r="U609" s="24">
        <v>888973513000</v>
      </c>
      <c r="V609" s="109">
        <v>9.1675428149568028E-2</v>
      </c>
      <c r="W609" s="109">
        <v>2.0404642149107537</v>
      </c>
      <c r="X609" s="109">
        <v>1.1905748612107412</v>
      </c>
      <c r="Y609" s="109">
        <v>0.18992366050393225</v>
      </c>
      <c r="Z609" s="109">
        <v>0.46535565982070792</v>
      </c>
      <c r="AA609" s="109">
        <v>3.8863183964461352</v>
      </c>
      <c r="AD609" s="111"/>
    </row>
    <row r="610" spans="1:30" ht="15" customHeight="1" x14ac:dyDescent="0.3">
      <c r="A610" s="22" t="s">
        <v>154</v>
      </c>
      <c r="B610" s="23">
        <v>76</v>
      </c>
      <c r="C610" s="3" t="s">
        <v>79</v>
      </c>
      <c r="D610" s="23">
        <v>2023</v>
      </c>
      <c r="E610" s="25">
        <v>3.4968699267953585</v>
      </c>
      <c r="F610" s="25">
        <v>8.6918025042337491E-2</v>
      </c>
      <c r="G610" s="25">
        <v>0.62182436269163255</v>
      </c>
      <c r="H610" s="25">
        <v>1.6442739863345348</v>
      </c>
      <c r="I610" s="25">
        <v>9.2762333712614109E-2</v>
      </c>
      <c r="J610" s="25">
        <v>1.9604623624836382E-2</v>
      </c>
      <c r="K610" s="25">
        <v>5.1839996263034295E-2</v>
      </c>
      <c r="L610" s="25">
        <v>0.73329999999999995</v>
      </c>
      <c r="M610" s="24">
        <v>1</v>
      </c>
      <c r="N610" s="108">
        <v>0</v>
      </c>
      <c r="O610" s="24">
        <v>3</v>
      </c>
      <c r="P610" s="24">
        <v>7</v>
      </c>
      <c r="Q610" s="24">
        <v>3</v>
      </c>
      <c r="R610" s="24">
        <v>4</v>
      </c>
      <c r="S610" s="24">
        <v>7</v>
      </c>
      <c r="T610" s="24">
        <v>5</v>
      </c>
      <c r="U610" s="24">
        <v>982940217000</v>
      </c>
      <c r="V610" s="109">
        <v>0.10360234339325755</v>
      </c>
      <c r="W610" s="109">
        <v>2.6253251885816367</v>
      </c>
      <c r="X610" s="109">
        <v>1.1045052677094807</v>
      </c>
      <c r="Y610" s="109">
        <v>0.18017476609159841</v>
      </c>
      <c r="Z610" s="109">
        <v>0.63857970674382059</v>
      </c>
      <c r="AA610" s="109">
        <v>4.5485849291265366</v>
      </c>
      <c r="AD610" s="111"/>
    </row>
    <row r="611" spans="1:30" ht="15" customHeight="1" x14ac:dyDescent="0.3">
      <c r="A611" s="22" t="s">
        <v>154</v>
      </c>
      <c r="B611" s="23">
        <v>76</v>
      </c>
      <c r="C611" s="3" t="s">
        <v>79</v>
      </c>
      <c r="D611" s="23">
        <v>2024</v>
      </c>
      <c r="E611" s="25">
        <v>3.8474065162850892</v>
      </c>
      <c r="F611" s="25">
        <v>9.1491130775426643E-2</v>
      </c>
      <c r="G611" s="25">
        <v>0.6319153011670805</v>
      </c>
      <c r="H611" s="25">
        <v>1.7167660138296559</v>
      </c>
      <c r="I611" s="25">
        <v>0.17464667322363051</v>
      </c>
      <c r="J611" s="25">
        <v>3.889546934002041E-2</v>
      </c>
      <c r="K611" s="25">
        <v>0.10566988919492085</v>
      </c>
      <c r="L611" s="25">
        <v>0.73329999999999995</v>
      </c>
      <c r="M611" s="24">
        <v>2</v>
      </c>
      <c r="N611" s="108">
        <v>0</v>
      </c>
      <c r="O611" s="24">
        <v>4</v>
      </c>
      <c r="P611" s="24">
        <v>8</v>
      </c>
      <c r="Q611" s="24">
        <v>4</v>
      </c>
      <c r="R611" s="24">
        <v>4</v>
      </c>
      <c r="S611" s="24">
        <v>8</v>
      </c>
      <c r="T611" s="24">
        <v>6</v>
      </c>
      <c r="U611" s="24">
        <v>1082550737000</v>
      </c>
      <c r="V611" s="109">
        <v>0.16057446643940884</v>
      </c>
      <c r="W611" s="109">
        <v>2.6265684132271758</v>
      </c>
      <c r="X611" s="109">
        <v>1.0473404641726274</v>
      </c>
      <c r="Y611" s="109">
        <v>2.0686799278212487</v>
      </c>
      <c r="Z611" s="109">
        <v>0.61161508996658476</v>
      </c>
      <c r="AA611" s="109">
        <v>6.354203895187637</v>
      </c>
      <c r="AD611" s="111"/>
    </row>
    <row r="612" spans="1:30" ht="15" customHeight="1" x14ac:dyDescent="0.3">
      <c r="A612" s="22" t="s">
        <v>154</v>
      </c>
      <c r="B612" s="23">
        <v>77</v>
      </c>
      <c r="C612" s="3" t="s">
        <v>119</v>
      </c>
      <c r="D612" s="23">
        <v>2018</v>
      </c>
      <c r="E612" s="25">
        <v>2.5020381520698476</v>
      </c>
      <c r="F612" s="25">
        <v>0.26021442188454347</v>
      </c>
      <c r="G612" s="25">
        <v>0.67728431249795151</v>
      </c>
      <c r="H612" s="25">
        <v>2.0987027861595733</v>
      </c>
      <c r="I612" s="25">
        <v>0.10443260698563404</v>
      </c>
      <c r="J612" s="25">
        <v>1.4114189191135097E-2</v>
      </c>
      <c r="K612" s="25">
        <v>4.3735677370953657E-2</v>
      </c>
      <c r="L612" s="25">
        <v>0</v>
      </c>
      <c r="M612" s="24">
        <v>0</v>
      </c>
      <c r="N612" s="108">
        <v>0</v>
      </c>
      <c r="O612" s="24">
        <v>0</v>
      </c>
      <c r="P612" s="24">
        <v>0</v>
      </c>
      <c r="Q612" s="24">
        <v>0</v>
      </c>
      <c r="R612" s="24">
        <v>0</v>
      </c>
      <c r="S612" s="24">
        <v>0</v>
      </c>
      <c r="T612" s="24">
        <v>0</v>
      </c>
      <c r="U612" s="24">
        <v>364590550000</v>
      </c>
      <c r="V612" s="109">
        <v>0</v>
      </c>
      <c r="W612" s="109">
        <v>2.569916382089442</v>
      </c>
      <c r="X612" s="109">
        <v>-0.67487227356825341</v>
      </c>
      <c r="Y612" s="109">
        <v>-9.2663202598092572E-3</v>
      </c>
      <c r="Z612" s="109">
        <v>0.50030905134566495</v>
      </c>
      <c r="AA612" s="109">
        <v>2.386086839607044</v>
      </c>
      <c r="AD612" s="111"/>
    </row>
    <row r="613" spans="1:30" ht="15" customHeight="1" x14ac:dyDescent="0.3">
      <c r="A613" s="22" t="s">
        <v>154</v>
      </c>
      <c r="B613" s="23">
        <v>77</v>
      </c>
      <c r="C613" s="3" t="s">
        <v>119</v>
      </c>
      <c r="D613" s="23">
        <v>2019</v>
      </c>
      <c r="E613" s="25">
        <v>2.5701399170253687</v>
      </c>
      <c r="F613" s="25">
        <v>0.32975006195601014</v>
      </c>
      <c r="G613" s="25">
        <v>0.53607399136800193</v>
      </c>
      <c r="H613" s="25">
        <v>1.1555161413535537</v>
      </c>
      <c r="I613" s="25">
        <v>3.3329554920147338E-2</v>
      </c>
      <c r="J613" s="25">
        <v>4.2845122392898231E-3</v>
      </c>
      <c r="K613" s="25">
        <v>9.2353352896160732E-3</v>
      </c>
      <c r="L613" s="25">
        <v>0.55810000000000004</v>
      </c>
      <c r="M613" s="24">
        <v>0</v>
      </c>
      <c r="N613" s="108">
        <v>5.67E-2</v>
      </c>
      <c r="O613" s="24">
        <v>4</v>
      </c>
      <c r="P613" s="24">
        <v>4</v>
      </c>
      <c r="Q613" s="24">
        <v>4</v>
      </c>
      <c r="R613" s="24">
        <v>3</v>
      </c>
      <c r="S613" s="24">
        <v>4</v>
      </c>
      <c r="T613" s="24">
        <v>9</v>
      </c>
      <c r="U613" s="24">
        <v>255980130000</v>
      </c>
      <c r="V613" s="109">
        <v>-0.33219001827301714</v>
      </c>
      <c r="W613" s="109">
        <v>2.2536266576628425</v>
      </c>
      <c r="X613" s="109">
        <v>-0.90795436739562552</v>
      </c>
      <c r="Y613" s="109">
        <v>0.19592945749343904</v>
      </c>
      <c r="Z613" s="109">
        <v>0.9086848399798606</v>
      </c>
      <c r="AA613" s="109">
        <v>2.4502865877405169</v>
      </c>
      <c r="AD613" s="111"/>
    </row>
    <row r="614" spans="1:30" ht="15" customHeight="1" x14ac:dyDescent="0.3">
      <c r="A614" s="22" t="s">
        <v>154</v>
      </c>
      <c r="B614" s="23">
        <v>77</v>
      </c>
      <c r="C614" s="3" t="s">
        <v>119</v>
      </c>
      <c r="D614" s="23">
        <v>2020</v>
      </c>
      <c r="E614" s="25">
        <v>4.7545773468095094</v>
      </c>
      <c r="F614" s="25">
        <v>0.21052472596797078</v>
      </c>
      <c r="G614" s="25">
        <v>0.66040331067845637</v>
      </c>
      <c r="H614" s="25">
        <v>1.9446694607000727</v>
      </c>
      <c r="I614" s="25">
        <v>-0.37275969028225775</v>
      </c>
      <c r="J614" s="25">
        <v>-3.8340874898825122E-2</v>
      </c>
      <c r="K614" s="25">
        <v>-0.11290120341109233</v>
      </c>
      <c r="L614" s="25">
        <v>0.55810000000000004</v>
      </c>
      <c r="M614" s="24">
        <v>0</v>
      </c>
      <c r="N614" s="108">
        <v>5.67E-2</v>
      </c>
      <c r="O614" s="24">
        <v>4</v>
      </c>
      <c r="P614" s="24">
        <v>4</v>
      </c>
      <c r="Q614" s="24">
        <v>4</v>
      </c>
      <c r="R614" s="24">
        <v>2</v>
      </c>
      <c r="S614" s="24">
        <v>4</v>
      </c>
      <c r="T614" s="24">
        <v>6</v>
      </c>
      <c r="U614" s="24">
        <v>314220790000</v>
      </c>
      <c r="V614" s="109">
        <v>-1.7822764868537167E-2</v>
      </c>
      <c r="W614" s="109">
        <v>3.3734273636063361</v>
      </c>
      <c r="X614" s="109">
        <v>-0.89181805697834304</v>
      </c>
      <c r="Y614" s="109">
        <v>-0.24159581802337138</v>
      </c>
      <c r="Z614" s="109">
        <v>0.539937517001992</v>
      </c>
      <c r="AA614" s="109">
        <v>2.7799510056066135</v>
      </c>
      <c r="AD614" s="111"/>
    </row>
    <row r="615" spans="1:30" ht="15" customHeight="1" x14ac:dyDescent="0.3">
      <c r="A615" s="22" t="s">
        <v>154</v>
      </c>
      <c r="B615" s="23">
        <v>77</v>
      </c>
      <c r="C615" s="3" t="s">
        <v>119</v>
      </c>
      <c r="D615" s="23">
        <v>2021</v>
      </c>
      <c r="E615" s="25">
        <v>3.6964747098628612</v>
      </c>
      <c r="F615" s="25">
        <v>0.12228165378169432</v>
      </c>
      <c r="G615" s="25">
        <v>0.63635563617178281</v>
      </c>
      <c r="H615" s="25">
        <v>1.7499394998801419</v>
      </c>
      <c r="I615" s="25">
        <v>-0.43776815300837807</v>
      </c>
      <c r="J615" s="25">
        <v>-7.9515575584468576E-2</v>
      </c>
      <c r="K615" s="25">
        <v>-0.21866302215543512</v>
      </c>
      <c r="L615" s="25">
        <v>0.55810000000000004</v>
      </c>
      <c r="M615" s="24">
        <v>0</v>
      </c>
      <c r="N615" s="108">
        <v>5.67E-2</v>
      </c>
      <c r="O615" s="24">
        <v>3</v>
      </c>
      <c r="P615" s="24">
        <v>3</v>
      </c>
      <c r="Q615" s="24">
        <v>3</v>
      </c>
      <c r="R615" s="24">
        <v>2</v>
      </c>
      <c r="S615" s="24">
        <v>3</v>
      </c>
      <c r="T615" s="24">
        <v>6</v>
      </c>
      <c r="U615" s="24">
        <v>240789680000</v>
      </c>
      <c r="V615" s="109">
        <v>0.35324963837900974</v>
      </c>
      <c r="W615" s="109">
        <v>2.6089445361611845</v>
      </c>
      <c r="X615" s="109">
        <v>-1.4244755389848933</v>
      </c>
      <c r="Y615" s="109">
        <v>-0.79660893108043496</v>
      </c>
      <c r="Z615" s="109">
        <v>0.60002074361537494</v>
      </c>
      <c r="AA615" s="109">
        <v>0.98788080971123116</v>
      </c>
      <c r="AD615" s="111"/>
    </row>
    <row r="616" spans="1:30" ht="15" customHeight="1" x14ac:dyDescent="0.3">
      <c r="A616" s="22" t="s">
        <v>154</v>
      </c>
      <c r="B616" s="23">
        <v>77</v>
      </c>
      <c r="C616" s="3" t="s">
        <v>119</v>
      </c>
      <c r="D616" s="23">
        <v>2022</v>
      </c>
      <c r="E616" s="25">
        <v>2.8972936462078409</v>
      </c>
      <c r="F616" s="25">
        <v>0.85875037450778979</v>
      </c>
      <c r="G616" s="25">
        <v>0.52779394879512997</v>
      </c>
      <c r="H616" s="25">
        <v>1.117719579087187</v>
      </c>
      <c r="I616" s="25">
        <v>-2.195171971163576</v>
      </c>
      <c r="J616" s="25">
        <v>-0.24936137711366085</v>
      </c>
      <c r="K616" s="25">
        <v>-0.52807747058174315</v>
      </c>
      <c r="L616" s="25">
        <v>0.38919999999999999</v>
      </c>
      <c r="M616" s="24">
        <v>2</v>
      </c>
      <c r="N616" s="108">
        <v>3.9600000000000003E-2</v>
      </c>
      <c r="O616" s="24">
        <v>3</v>
      </c>
      <c r="P616" s="24">
        <v>3</v>
      </c>
      <c r="Q616" s="24">
        <v>3</v>
      </c>
      <c r="R616" s="24">
        <v>3</v>
      </c>
      <c r="S616" s="24">
        <v>3</v>
      </c>
      <c r="T616" s="24">
        <v>10</v>
      </c>
      <c r="U616" s="24">
        <v>218360480000</v>
      </c>
      <c r="V616" s="109">
        <v>-0.43286197469447274</v>
      </c>
      <c r="W616" s="109">
        <v>2.1307452630622539</v>
      </c>
      <c r="X616" s="109">
        <v>-2.4202729633127751</v>
      </c>
      <c r="Y616" s="109">
        <v>-1.9979873867285876</v>
      </c>
      <c r="Z616" s="109">
        <v>0.93941272895792727</v>
      </c>
      <c r="AA616" s="109">
        <v>-1.3481023580211815</v>
      </c>
      <c r="AD616" s="111"/>
    </row>
    <row r="617" spans="1:30" ht="15" customHeight="1" x14ac:dyDescent="0.3">
      <c r="A617" s="22" t="s">
        <v>154</v>
      </c>
      <c r="B617" s="23">
        <v>77</v>
      </c>
      <c r="C617" s="3" t="s">
        <v>119</v>
      </c>
      <c r="D617" s="23">
        <v>2023</v>
      </c>
      <c r="E617" s="25">
        <v>0.69195955705344248</v>
      </c>
      <c r="F617" s="25">
        <v>0.18868025464077462</v>
      </c>
      <c r="G617" s="25">
        <v>0.58310137273094953</v>
      </c>
      <c r="H617" s="25">
        <v>1.3986513477012041</v>
      </c>
      <c r="I617" s="25">
        <v>-0.32159558679398503</v>
      </c>
      <c r="J617" s="25">
        <v>-9.1075266259050422E-2</v>
      </c>
      <c r="K617" s="25">
        <v>-0.2184569439424778</v>
      </c>
      <c r="L617" s="25">
        <v>0.38969999999999999</v>
      </c>
      <c r="M617" s="24">
        <v>0</v>
      </c>
      <c r="N617" s="108">
        <v>0.40639999999999998</v>
      </c>
      <c r="O617" s="24">
        <v>3</v>
      </c>
      <c r="P617" s="24">
        <v>3</v>
      </c>
      <c r="Q617" s="24">
        <v>3</v>
      </c>
      <c r="R617" s="24">
        <v>3</v>
      </c>
      <c r="S617" s="24">
        <v>3</v>
      </c>
      <c r="T617" s="24">
        <v>10</v>
      </c>
      <c r="U617" s="24">
        <v>252198000000</v>
      </c>
      <c r="V617" s="109">
        <v>1.8793690238236724</v>
      </c>
      <c r="W617" s="109">
        <v>-0.74889158518307042</v>
      </c>
      <c r="X617" s="109">
        <v>-2.4065247147082847</v>
      </c>
      <c r="Y617" s="109">
        <v>-1.0246349296980943</v>
      </c>
      <c r="Z617" s="109">
        <v>0.75072318896754331</v>
      </c>
      <c r="AA617" s="109">
        <v>-3.4293280406219062</v>
      </c>
      <c r="AD617" s="111"/>
    </row>
    <row r="618" spans="1:30" ht="15" customHeight="1" x14ac:dyDescent="0.3">
      <c r="A618" s="22" t="s">
        <v>154</v>
      </c>
      <c r="B618" s="23">
        <v>77</v>
      </c>
      <c r="C618" s="3" t="s">
        <v>119</v>
      </c>
      <c r="D618" s="23">
        <v>2024</v>
      </c>
      <c r="E618" s="25">
        <v>0.11541121947845334</v>
      </c>
      <c r="F618" s="25">
        <v>4.3983306817919808E-2</v>
      </c>
      <c r="G618" s="25">
        <v>0.34586395694859917</v>
      </c>
      <c r="H618" s="25">
        <v>0.52873398526584758</v>
      </c>
      <c r="I618" s="25">
        <v>7.5493359541473515E-2</v>
      </c>
      <c r="J618" s="25">
        <v>6.7795021595994778E-2</v>
      </c>
      <c r="K618" s="25">
        <v>0.1036405535456293</v>
      </c>
      <c r="L618" s="25">
        <v>0.48089999999999999</v>
      </c>
      <c r="M618" s="24">
        <v>2</v>
      </c>
      <c r="N618" s="108">
        <v>0.49509999999999998</v>
      </c>
      <c r="O618" s="24">
        <v>3</v>
      </c>
      <c r="P618" s="24">
        <v>3</v>
      </c>
      <c r="Q618" s="24">
        <v>3</v>
      </c>
      <c r="R618" s="24">
        <v>3</v>
      </c>
      <c r="S618" s="24">
        <v>3</v>
      </c>
      <c r="T618" s="24">
        <v>10</v>
      </c>
      <c r="U618" s="24">
        <v>256066000000</v>
      </c>
      <c r="V618" s="109">
        <v>2.2196522080031365</v>
      </c>
      <c r="W618" s="109">
        <v>-9.8286254325056817</v>
      </c>
      <c r="X618" s="109">
        <v>-2.1606446775440706</v>
      </c>
      <c r="Y618" s="109">
        <v>0.37638046441151884</v>
      </c>
      <c r="Z618" s="109">
        <v>1.9858757508694278</v>
      </c>
      <c r="AA618" s="109">
        <v>-9.6270138947688064</v>
      </c>
      <c r="AD618" s="111"/>
    </row>
    <row r="619" spans="1:30" ht="15" customHeight="1" x14ac:dyDescent="0.3">
      <c r="A619" s="22" t="s">
        <v>154</v>
      </c>
      <c r="B619" s="23">
        <v>78</v>
      </c>
      <c r="C619" s="2" t="s">
        <v>80</v>
      </c>
      <c r="D619" s="23">
        <v>2015</v>
      </c>
      <c r="E619" s="25">
        <v>2.5531588940186287</v>
      </c>
      <c r="F619" s="25">
        <v>0.5976221972676018</v>
      </c>
      <c r="G619" s="25">
        <v>0.29369181227350133</v>
      </c>
      <c r="H619" s="25">
        <v>0.4158125551663952</v>
      </c>
      <c r="I619" s="25">
        <v>5.2102569286838138E-2</v>
      </c>
      <c r="J619" s="25">
        <v>1.3390397306206676E-2</v>
      </c>
      <c r="K619" s="25">
        <v>1.8958292624793691E-2</v>
      </c>
      <c r="L619" s="25">
        <v>0</v>
      </c>
      <c r="M619" s="24">
        <v>0</v>
      </c>
      <c r="N619" s="108">
        <v>0</v>
      </c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0</v>
      </c>
      <c r="U619" s="24">
        <v>158115174000</v>
      </c>
      <c r="V619" s="109">
        <v>0.41940511987065282</v>
      </c>
      <c r="W619" s="109">
        <v>0.71177782443574955</v>
      </c>
      <c r="X619" s="109">
        <v>0.24077649195136705</v>
      </c>
      <c r="Y619" s="109">
        <v>0.11529737582301872</v>
      </c>
      <c r="Z619" s="109">
        <v>2.5251762770362305</v>
      </c>
      <c r="AA619" s="109">
        <v>3.593027969246366</v>
      </c>
      <c r="AD619" s="111"/>
    </row>
    <row r="620" spans="1:30" ht="15" customHeight="1" x14ac:dyDescent="0.3">
      <c r="A620" s="22" t="s">
        <v>154</v>
      </c>
      <c r="B620" s="23">
        <v>78</v>
      </c>
      <c r="C620" s="3" t="s">
        <v>80</v>
      </c>
      <c r="D620" s="23">
        <v>2016</v>
      </c>
      <c r="E620" s="25">
        <v>1.9096875736143051</v>
      </c>
      <c r="F620" s="25">
        <v>0.28393524116084606</v>
      </c>
      <c r="G620" s="25">
        <v>0.34189375762384988</v>
      </c>
      <c r="H620" s="25">
        <v>0.47376807237301793</v>
      </c>
      <c r="I620" s="25">
        <v>3.6618288559821598E-2</v>
      </c>
      <c r="J620" s="25">
        <v>1.3234408328057572E-2</v>
      </c>
      <c r="K620" s="25">
        <v>1.8339147711142253E-2</v>
      </c>
      <c r="L620" s="25">
        <v>0</v>
      </c>
      <c r="M620" s="24">
        <v>0</v>
      </c>
      <c r="N620" s="108">
        <v>0</v>
      </c>
      <c r="O620" s="24">
        <v>0</v>
      </c>
      <c r="P620" s="24">
        <v>0</v>
      </c>
      <c r="Q620" s="24">
        <v>0</v>
      </c>
      <c r="R620" s="24">
        <v>0</v>
      </c>
      <c r="S620" s="24">
        <v>0</v>
      </c>
      <c r="T620" s="24">
        <v>0</v>
      </c>
      <c r="U620" s="24">
        <v>157375377000</v>
      </c>
      <c r="V620" s="109">
        <v>0.39970140058084869</v>
      </c>
      <c r="W620" s="109">
        <v>0.61893275617061749</v>
      </c>
      <c r="X620" s="109">
        <v>0.2810919695525177</v>
      </c>
      <c r="Y620" s="109">
        <v>0.16101448652923639</v>
      </c>
      <c r="Z620" s="109">
        <v>2.216274293750403</v>
      </c>
      <c r="AA620" s="109">
        <v>3.2773135060027743</v>
      </c>
      <c r="AD620" s="111"/>
    </row>
    <row r="621" spans="1:30" ht="15" customHeight="1" x14ac:dyDescent="0.3">
      <c r="A621" s="22" t="s">
        <v>154</v>
      </c>
      <c r="B621" s="23">
        <v>78</v>
      </c>
      <c r="C621" s="3" t="s">
        <v>80</v>
      </c>
      <c r="D621" s="23">
        <v>2017</v>
      </c>
      <c r="E621" s="25">
        <v>2.3861692689740677</v>
      </c>
      <c r="F621" s="25">
        <v>0.81031538880051313</v>
      </c>
      <c r="G621" s="25">
        <v>0.30442640224305217</v>
      </c>
      <c r="H621" s="25">
        <v>0.43766238860237328</v>
      </c>
      <c r="I621" s="25">
        <v>2.2832067126682697E-2</v>
      </c>
      <c r="J621" s="25">
        <v>8.1303575594271899E-3</v>
      </c>
      <c r="K621" s="25">
        <v>1.1688709269077457E-2</v>
      </c>
      <c r="L621" s="25">
        <v>0</v>
      </c>
      <c r="M621" s="24">
        <v>0</v>
      </c>
      <c r="N621" s="108">
        <v>0</v>
      </c>
      <c r="O621" s="24">
        <v>0</v>
      </c>
      <c r="P621" s="24">
        <v>0</v>
      </c>
      <c r="Q621" s="24">
        <v>0</v>
      </c>
      <c r="R621" s="24">
        <v>0</v>
      </c>
      <c r="S621" s="24">
        <v>0</v>
      </c>
      <c r="T621" s="24">
        <v>0</v>
      </c>
      <c r="U621" s="24">
        <v>165304046000</v>
      </c>
      <c r="V621" s="109">
        <v>3.4914866615153951E-2</v>
      </c>
      <c r="W621" s="109">
        <v>0.66377241365283934</v>
      </c>
      <c r="X621" s="109">
        <v>0.29544639094919672</v>
      </c>
      <c r="Y621" s="109">
        <v>9.9193797107664267E-2</v>
      </c>
      <c r="Z621" s="109">
        <v>2.3991095130496811</v>
      </c>
      <c r="AA621" s="109">
        <v>3.4575221147593815</v>
      </c>
      <c r="AD621" s="111"/>
    </row>
    <row r="622" spans="1:30" ht="15" customHeight="1" x14ac:dyDescent="0.3">
      <c r="A622" s="22" t="s">
        <v>154</v>
      </c>
      <c r="B622" s="23">
        <v>78</v>
      </c>
      <c r="C622" s="3" t="s">
        <v>80</v>
      </c>
      <c r="D622" s="23">
        <v>2018</v>
      </c>
      <c r="E622" s="25">
        <v>3.0996690210529909</v>
      </c>
      <c r="F622" s="25">
        <v>0.78438598287098649</v>
      </c>
      <c r="G622" s="25">
        <v>0.44258259592804144</v>
      </c>
      <c r="H622" s="25">
        <v>0.79398775979177572</v>
      </c>
      <c r="I622" s="25">
        <v>9.7483876828049779E-2</v>
      </c>
      <c r="J622" s="25">
        <v>2.3379124350277315E-2</v>
      </c>
      <c r="K622" s="25">
        <v>4.1941862919047355E-2</v>
      </c>
      <c r="L622" s="25">
        <v>0.78</v>
      </c>
      <c r="M622" s="24">
        <v>2</v>
      </c>
      <c r="N622" s="108">
        <v>0</v>
      </c>
      <c r="O622" s="24">
        <v>3</v>
      </c>
      <c r="P622" s="24">
        <v>0</v>
      </c>
      <c r="Q622" s="24">
        <v>3</v>
      </c>
      <c r="R622" s="24">
        <v>3</v>
      </c>
      <c r="S622" s="24">
        <v>0</v>
      </c>
      <c r="T622" s="24">
        <v>0</v>
      </c>
      <c r="U622" s="24">
        <v>229521000000</v>
      </c>
      <c r="V622" s="109">
        <v>-6.4874328589281424E-2</v>
      </c>
      <c r="W622" s="109">
        <v>1.7587480012722148</v>
      </c>
      <c r="X622" s="109">
        <v>0.28899847944196827</v>
      </c>
      <c r="Y622" s="109">
        <v>0.20597330963179838</v>
      </c>
      <c r="Z622" s="109">
        <v>1.3224385225728967</v>
      </c>
      <c r="AA622" s="109">
        <v>3.5761583129188788</v>
      </c>
      <c r="AD622" s="111"/>
    </row>
    <row r="623" spans="1:30" ht="15" customHeight="1" x14ac:dyDescent="0.3">
      <c r="A623" s="22" t="s">
        <v>154</v>
      </c>
      <c r="B623" s="23">
        <v>78</v>
      </c>
      <c r="C623" s="3" t="s">
        <v>80</v>
      </c>
      <c r="D623" s="23">
        <v>2019</v>
      </c>
      <c r="E623" s="25">
        <v>4.2501264724759658</v>
      </c>
      <c r="F623" s="25">
        <v>1.6105485541997935</v>
      </c>
      <c r="G623" s="25">
        <v>0.38230909010226921</v>
      </c>
      <c r="H623" s="25">
        <v>0.61893267972094168</v>
      </c>
      <c r="I623" s="25">
        <v>5.6813657076554752E-2</v>
      </c>
      <c r="J623" s="25">
        <v>2.5286112695481752E-2</v>
      </c>
      <c r="K623" s="25">
        <v>4.0936514185821997E-2</v>
      </c>
      <c r="L623" s="25">
        <v>0.78</v>
      </c>
      <c r="M623" s="24">
        <v>2</v>
      </c>
      <c r="N623" s="108">
        <v>0</v>
      </c>
      <c r="O623" s="24">
        <v>3</v>
      </c>
      <c r="P623" s="24">
        <v>0</v>
      </c>
      <c r="Q623" s="24">
        <v>3</v>
      </c>
      <c r="R623" s="24">
        <v>3</v>
      </c>
      <c r="S623" s="24">
        <v>0</v>
      </c>
      <c r="T623" s="24">
        <v>0</v>
      </c>
      <c r="U623" s="24">
        <v>211559644000</v>
      </c>
      <c r="V623" s="109">
        <v>0.71058348623853207</v>
      </c>
      <c r="W623" s="109">
        <v>1.7273663175572369</v>
      </c>
      <c r="X623" s="109">
        <v>0.35946603965735541</v>
      </c>
      <c r="Y623" s="109">
        <v>0.24397570266283866</v>
      </c>
      <c r="Z623" s="109">
        <v>1.6964688315915293</v>
      </c>
      <c r="AA623" s="109">
        <v>4.0272768914689605</v>
      </c>
      <c r="AD623" s="111"/>
    </row>
    <row r="624" spans="1:30" ht="15" customHeight="1" x14ac:dyDescent="0.3">
      <c r="A624" s="22" t="s">
        <v>154</v>
      </c>
      <c r="B624" s="23">
        <v>78</v>
      </c>
      <c r="C624" s="3" t="s">
        <v>80</v>
      </c>
      <c r="D624" s="23">
        <v>2020</v>
      </c>
      <c r="E624" s="25">
        <v>3.8872234028231594</v>
      </c>
      <c r="F624" s="25">
        <v>1.6565684318270635</v>
      </c>
      <c r="G624" s="25">
        <v>0.36505965078562463</v>
      </c>
      <c r="H624" s="25">
        <v>0.57495109774850561</v>
      </c>
      <c r="I624" s="25">
        <v>1.1531100502391065E-2</v>
      </c>
      <c r="J624" s="25">
        <v>5.8794738594260968E-3</v>
      </c>
      <c r="K624" s="25">
        <v>9.2598838090867733E-3</v>
      </c>
      <c r="L624" s="25">
        <v>0.78</v>
      </c>
      <c r="M624" s="24">
        <v>2</v>
      </c>
      <c r="N624" s="108">
        <v>0</v>
      </c>
      <c r="O624" s="24">
        <v>3</v>
      </c>
      <c r="P624" s="24">
        <v>0</v>
      </c>
      <c r="Q624" s="24">
        <v>3</v>
      </c>
      <c r="R624" s="24">
        <v>3</v>
      </c>
      <c r="S624" s="24">
        <v>0</v>
      </c>
      <c r="T624" s="24">
        <v>0</v>
      </c>
      <c r="U624" s="24">
        <v>207903297000</v>
      </c>
      <c r="V624" s="109">
        <v>0.12581474362086931</v>
      </c>
      <c r="W624" s="109">
        <v>1.6714772064437247</v>
      </c>
      <c r="X624" s="109">
        <v>0.34600540894741072</v>
      </c>
      <c r="Y624" s="109">
        <v>0.11740332602806199</v>
      </c>
      <c r="Z624" s="109">
        <v>1.8262422736677506</v>
      </c>
      <c r="AA624" s="109">
        <v>3.9611282150869478</v>
      </c>
      <c r="AD624" s="111"/>
    </row>
    <row r="625" spans="1:30" ht="15" customHeight="1" x14ac:dyDescent="0.3">
      <c r="A625" s="22" t="s">
        <v>154</v>
      </c>
      <c r="B625" s="23">
        <v>78</v>
      </c>
      <c r="C625" s="3" t="s">
        <v>80</v>
      </c>
      <c r="D625" s="23">
        <v>2021</v>
      </c>
      <c r="E625" s="25">
        <v>2.0443718421152606</v>
      </c>
      <c r="F625" s="25">
        <v>1.2575314363864301</v>
      </c>
      <c r="G625" s="25">
        <v>0.42390191233108482</v>
      </c>
      <c r="H625" s="25">
        <v>0.75425079965538067</v>
      </c>
      <c r="I625" s="25">
        <v>-0.5081544923541379</v>
      </c>
      <c r="J625" s="25">
        <v>-0.17237137959438101</v>
      </c>
      <c r="K625" s="25">
        <v>-0.30670126063318842</v>
      </c>
      <c r="L625" s="25">
        <v>0.78</v>
      </c>
      <c r="M625" s="24">
        <v>2</v>
      </c>
      <c r="N625" s="108">
        <v>0</v>
      </c>
      <c r="O625" s="24">
        <v>3</v>
      </c>
      <c r="P625" s="24">
        <v>0</v>
      </c>
      <c r="Q625" s="24">
        <v>3</v>
      </c>
      <c r="R625" s="24">
        <v>3</v>
      </c>
      <c r="S625" s="24">
        <v>0</v>
      </c>
      <c r="T625" s="24">
        <v>0</v>
      </c>
      <c r="U625" s="24">
        <v>179676000000</v>
      </c>
      <c r="V625" s="109">
        <v>-0.42504960607436204</v>
      </c>
      <c r="W625" s="109">
        <v>1.0037008838130856</v>
      </c>
      <c r="X625" s="109">
        <v>1.8760658073421047E-2</v>
      </c>
      <c r="Y625" s="109">
        <v>-1.4736605890603085</v>
      </c>
      <c r="Z625" s="109">
        <v>1.3921098929954705</v>
      </c>
      <c r="AA625" s="109">
        <v>0.94091084582166862</v>
      </c>
      <c r="AD625" s="111"/>
    </row>
    <row r="626" spans="1:30" ht="15" customHeight="1" x14ac:dyDescent="0.3">
      <c r="A626" s="22" t="s">
        <v>154</v>
      </c>
      <c r="B626" s="23">
        <v>78</v>
      </c>
      <c r="C626" s="3" t="s">
        <v>80</v>
      </c>
      <c r="D626" s="23">
        <v>2022</v>
      </c>
      <c r="E626" s="25">
        <v>2.429381624750655</v>
      </c>
      <c r="F626" s="25">
        <v>1.7639730903117299</v>
      </c>
      <c r="G626" s="25">
        <v>0.5732680133656225</v>
      </c>
      <c r="H626" s="25">
        <v>1.3433912416244449</v>
      </c>
      <c r="I626" s="25">
        <v>9.2212847742523946E-2</v>
      </c>
      <c r="J626" s="25">
        <v>4.1991937607316232E-2</v>
      </c>
      <c r="K626" s="25">
        <v>9.8403538807825E-2</v>
      </c>
      <c r="L626" s="25">
        <v>0.78</v>
      </c>
      <c r="M626" s="24">
        <v>2</v>
      </c>
      <c r="N626" s="108">
        <v>0</v>
      </c>
      <c r="O626" s="24">
        <v>3</v>
      </c>
      <c r="P626" s="24">
        <v>0</v>
      </c>
      <c r="Q626" s="24">
        <v>3</v>
      </c>
      <c r="R626" s="24">
        <v>3</v>
      </c>
      <c r="S626" s="24">
        <v>0</v>
      </c>
      <c r="T626" s="24">
        <v>0</v>
      </c>
      <c r="U626" s="24">
        <v>269647000000</v>
      </c>
      <c r="V626" s="109">
        <v>1.0147010566384458</v>
      </c>
      <c r="W626" s="109">
        <v>1.7781410510778908</v>
      </c>
      <c r="X626" s="109">
        <v>2.8773915526595879E-2</v>
      </c>
      <c r="Y626" s="109">
        <v>0.33364865917291864</v>
      </c>
      <c r="Z626" s="109">
        <v>0.78160402380644323</v>
      </c>
      <c r="AA626" s="109">
        <v>2.9221676495838484</v>
      </c>
      <c r="AD626" s="111"/>
    </row>
    <row r="627" spans="1:30" ht="15" customHeight="1" x14ac:dyDescent="0.3">
      <c r="A627" s="22" t="s">
        <v>154</v>
      </c>
      <c r="B627" s="23">
        <v>78</v>
      </c>
      <c r="C627" s="3" t="s">
        <v>80</v>
      </c>
      <c r="D627" s="23">
        <v>2023</v>
      </c>
      <c r="E627" s="25">
        <v>2.2098755832037327</v>
      </c>
      <c r="F627" s="25">
        <v>1.5646811819595645</v>
      </c>
      <c r="G627" s="25">
        <v>0.6935718561020412</v>
      </c>
      <c r="H627" s="25">
        <v>2.2634078165255023</v>
      </c>
      <c r="I627" s="25">
        <v>1.6324420610748829E-2</v>
      </c>
      <c r="J627" s="25">
        <v>6.7619863367113162E-3</v>
      </c>
      <c r="K627" s="25">
        <v>2.2067119066462356E-2</v>
      </c>
      <c r="L627" s="25">
        <v>0.78</v>
      </c>
      <c r="M627" s="24">
        <v>2</v>
      </c>
      <c r="N627" s="108">
        <v>0</v>
      </c>
      <c r="O627" s="24">
        <v>3</v>
      </c>
      <c r="P627" s="24">
        <v>0</v>
      </c>
      <c r="Q627" s="24">
        <v>3</v>
      </c>
      <c r="R627" s="24">
        <v>3</v>
      </c>
      <c r="S627" s="24">
        <v>0</v>
      </c>
      <c r="T627" s="24">
        <v>0</v>
      </c>
      <c r="U627" s="24">
        <v>387608000000</v>
      </c>
      <c r="V627" s="109">
        <v>0.30755260929050754</v>
      </c>
      <c r="W627" s="109">
        <v>1.3166271077996325</v>
      </c>
      <c r="X627" s="109">
        <v>0.12553600544880394</v>
      </c>
      <c r="Y627" s="109">
        <v>3.1657550927741432E-2</v>
      </c>
      <c r="Z627" s="109">
        <v>0.46390225938683349</v>
      </c>
      <c r="AA627" s="109">
        <v>1.9377229235630113</v>
      </c>
      <c r="AD627" s="111"/>
    </row>
    <row r="628" spans="1:30" ht="15" customHeight="1" x14ac:dyDescent="0.3">
      <c r="A628" s="22" t="s">
        <v>154</v>
      </c>
      <c r="B628" s="23">
        <v>78</v>
      </c>
      <c r="C628" s="3" t="s">
        <v>80</v>
      </c>
      <c r="D628" s="23">
        <v>2024</v>
      </c>
      <c r="E628" s="25">
        <v>2.123734980538162</v>
      </c>
      <c r="F628" s="25">
        <v>1.7690302927737349</v>
      </c>
      <c r="G628" s="25">
        <v>0.71752383034770706</v>
      </c>
      <c r="H628" s="25">
        <v>2.5401216365646886</v>
      </c>
      <c r="I628" s="25">
        <v>0.14207280301600866</v>
      </c>
      <c r="J628" s="25">
        <v>6.6638207340076805E-2</v>
      </c>
      <c r="K628" s="25">
        <v>0.23590735962648973</v>
      </c>
      <c r="L628" s="25">
        <v>0.78</v>
      </c>
      <c r="M628" s="24">
        <v>2</v>
      </c>
      <c r="N628" s="108">
        <v>0</v>
      </c>
      <c r="O628" s="24">
        <v>3</v>
      </c>
      <c r="P628" s="24">
        <v>0</v>
      </c>
      <c r="Q628" s="24">
        <v>3</v>
      </c>
      <c r="R628" s="24">
        <v>3</v>
      </c>
      <c r="S628" s="24">
        <v>0</v>
      </c>
      <c r="T628" s="24">
        <v>0</v>
      </c>
      <c r="U628" s="24">
        <v>576261000000</v>
      </c>
      <c r="V628" s="109">
        <v>0.68345821110259908</v>
      </c>
      <c r="W628" s="109">
        <v>1.5117935796453341</v>
      </c>
      <c r="X628" s="109">
        <v>0.30167930850777686</v>
      </c>
      <c r="Y628" s="109">
        <v>0.55077876170693485</v>
      </c>
      <c r="Z628" s="109">
        <v>0.41336603132913002</v>
      </c>
      <c r="AA628" s="109">
        <v>2.777617681189176</v>
      </c>
      <c r="AD628" s="111"/>
    </row>
    <row r="629" spans="1:30" ht="15" customHeight="1" x14ac:dyDescent="0.3">
      <c r="A629" s="22" t="s">
        <v>154</v>
      </c>
      <c r="B629" s="23">
        <v>79</v>
      </c>
      <c r="C629" s="2" t="s">
        <v>97</v>
      </c>
      <c r="D629" s="23">
        <v>2015</v>
      </c>
      <c r="E629" s="25">
        <v>2.1061940870270637</v>
      </c>
      <c r="F629" s="25">
        <v>0.81007517971021026</v>
      </c>
      <c r="G629" s="25">
        <v>0.83180965557416042</v>
      </c>
      <c r="H629" s="25">
        <v>4.9456445220666723</v>
      </c>
      <c r="I629" s="25">
        <v>0.17169128772816036</v>
      </c>
      <c r="J629" s="25">
        <v>2.1191234002347258E-2</v>
      </c>
      <c r="K629" s="25">
        <v>0.12599554436188898</v>
      </c>
      <c r="L629" s="25">
        <v>0.99990000000000001</v>
      </c>
      <c r="M629" s="24">
        <v>1</v>
      </c>
      <c r="N629" s="108">
        <v>0</v>
      </c>
      <c r="O629" s="24">
        <v>3</v>
      </c>
      <c r="P629" s="24">
        <v>3</v>
      </c>
      <c r="Q629" s="24">
        <v>3</v>
      </c>
      <c r="R629" s="24">
        <v>3</v>
      </c>
      <c r="S629" s="24">
        <v>3</v>
      </c>
      <c r="T629" s="24">
        <v>3</v>
      </c>
      <c r="U629" s="24">
        <v>726345620000</v>
      </c>
      <c r="V629" s="109">
        <v>-0.10557323841490589</v>
      </c>
      <c r="W629" s="109">
        <v>1.4187300508537519</v>
      </c>
      <c r="X629" s="109">
        <v>0.1074778235738518</v>
      </c>
      <c r="Y629" s="109">
        <v>0.18544813858724721</v>
      </c>
      <c r="Z629" s="109">
        <v>0.21230802078779998</v>
      </c>
      <c r="AA629" s="109">
        <v>1.9239640338026511</v>
      </c>
      <c r="AD629" s="111"/>
    </row>
    <row r="630" spans="1:30" ht="15" customHeight="1" x14ac:dyDescent="0.3">
      <c r="A630" s="22" t="s">
        <v>154</v>
      </c>
      <c r="B630" s="23">
        <v>79</v>
      </c>
      <c r="C630" s="3" t="s">
        <v>97</v>
      </c>
      <c r="D630" s="23">
        <v>2016</v>
      </c>
      <c r="E630" s="25">
        <v>1.9011982323837295</v>
      </c>
      <c r="F630" s="25">
        <v>0.37576300815539948</v>
      </c>
      <c r="G630" s="25">
        <v>0.82980832103890534</v>
      </c>
      <c r="H630" s="25">
        <v>4.8757279210377673</v>
      </c>
      <c r="I630" s="25">
        <v>0.11336945327734935</v>
      </c>
      <c r="J630" s="25">
        <v>2.9204831831490391E-2</v>
      </c>
      <c r="K630" s="25">
        <v>0.17159964582150064</v>
      </c>
      <c r="L630" s="25">
        <v>0.99990000000000001</v>
      </c>
      <c r="M630" s="24">
        <v>1</v>
      </c>
      <c r="N630" s="108">
        <v>0</v>
      </c>
      <c r="O630" s="24">
        <v>3</v>
      </c>
      <c r="P630" s="24">
        <v>3</v>
      </c>
      <c r="Q630" s="24">
        <v>3</v>
      </c>
      <c r="R630" s="24">
        <v>3</v>
      </c>
      <c r="S630" s="24">
        <v>3</v>
      </c>
      <c r="T630" s="24">
        <v>3</v>
      </c>
      <c r="U630" s="24">
        <v>865785160000</v>
      </c>
      <c r="V630" s="109">
        <v>1.4878115734475135</v>
      </c>
      <c r="W630" s="109">
        <v>1.3495972788445576</v>
      </c>
      <c r="X630" s="109">
        <v>0.17621795642697316</v>
      </c>
      <c r="Y630" s="109">
        <v>0.30448734787738796</v>
      </c>
      <c r="Z630" s="109">
        <v>0.21535245957213181</v>
      </c>
      <c r="AA630" s="109">
        <v>2.0456550427210507</v>
      </c>
      <c r="AD630" s="111"/>
    </row>
    <row r="631" spans="1:30" ht="15" customHeight="1" x14ac:dyDescent="0.3">
      <c r="A631" s="22" t="s">
        <v>154</v>
      </c>
      <c r="B631" s="23">
        <v>79</v>
      </c>
      <c r="C631" s="3" t="s">
        <v>97</v>
      </c>
      <c r="D631" s="23">
        <v>2017</v>
      </c>
      <c r="E631" s="25">
        <v>2.1468967420450165</v>
      </c>
      <c r="F631" s="25">
        <v>0.40000644867306695</v>
      </c>
      <c r="G631" s="25">
        <v>0.78600192441130523</v>
      </c>
      <c r="H631" s="25">
        <v>3.6729390329783138</v>
      </c>
      <c r="I631" s="25">
        <v>5.1589978501760366E-3</v>
      </c>
      <c r="J631" s="25">
        <v>1.2282145948356487E-3</v>
      </c>
      <c r="K631" s="25">
        <v>5.7393718592028097E-3</v>
      </c>
      <c r="L631" s="25">
        <v>0.75</v>
      </c>
      <c r="M631" s="24">
        <v>1</v>
      </c>
      <c r="N631" s="108">
        <v>0</v>
      </c>
      <c r="O631" s="24">
        <v>3</v>
      </c>
      <c r="P631" s="24">
        <v>3</v>
      </c>
      <c r="Q631" s="24">
        <v>3</v>
      </c>
      <c r="R631" s="24">
        <v>3</v>
      </c>
      <c r="S631" s="24">
        <v>3</v>
      </c>
      <c r="T631" s="24">
        <v>3</v>
      </c>
      <c r="U631" s="24">
        <v>927525210000</v>
      </c>
      <c r="V631" s="109">
        <v>-9.9301524354060335E-3</v>
      </c>
      <c r="W631" s="109">
        <v>1.3685509533482114</v>
      </c>
      <c r="X631" s="109">
        <v>0.16915875289254939</v>
      </c>
      <c r="Y631" s="109">
        <v>1.0177099984161078E-2</v>
      </c>
      <c r="Z631" s="109">
        <v>0.28587460629548644</v>
      </c>
      <c r="AA631" s="109">
        <v>1.8337614125204083</v>
      </c>
      <c r="AD631" s="111"/>
    </row>
    <row r="632" spans="1:30" ht="15" customHeight="1" x14ac:dyDescent="0.3">
      <c r="A632" s="22" t="s">
        <v>154</v>
      </c>
      <c r="B632" s="23">
        <v>79</v>
      </c>
      <c r="C632" s="3" t="s">
        <v>97</v>
      </c>
      <c r="D632" s="23">
        <v>2018</v>
      </c>
      <c r="E632" s="25">
        <v>9.1439924728069908</v>
      </c>
      <c r="F632" s="25">
        <v>0.63429707932795298</v>
      </c>
      <c r="G632" s="25">
        <v>0.78771654013364345</v>
      </c>
      <c r="H632" s="25">
        <v>37.606924340332398</v>
      </c>
      <c r="I632" s="25">
        <v>-1.4067312469837132</v>
      </c>
      <c r="J632" s="25">
        <v>-0.16991025988499284</v>
      </c>
      <c r="K632" s="25">
        <v>-8.1118041358596464</v>
      </c>
      <c r="L632" s="25">
        <v>0.75</v>
      </c>
      <c r="M632" s="24">
        <v>4</v>
      </c>
      <c r="N632" s="108">
        <v>0</v>
      </c>
      <c r="O632" s="24">
        <v>7</v>
      </c>
      <c r="P632" s="24">
        <v>0</v>
      </c>
      <c r="Q632" s="24">
        <v>7</v>
      </c>
      <c r="R632" s="24">
        <v>6</v>
      </c>
      <c r="S632" s="24">
        <v>0</v>
      </c>
      <c r="T632" s="24">
        <v>0</v>
      </c>
      <c r="U632" s="24">
        <v>1045273900000</v>
      </c>
      <c r="V632" s="109">
        <v>-0.42825293110056928</v>
      </c>
      <c r="W632" s="109">
        <v>4.5390656347585061</v>
      </c>
      <c r="X632" s="109">
        <v>-0.40018083968230717</v>
      </c>
      <c r="Y632" s="109">
        <v>-1.2369343484038011</v>
      </c>
      <c r="Z632" s="109">
        <v>2.7920390152031228E-2</v>
      </c>
      <c r="AA632" s="109">
        <v>2.9298708368244286</v>
      </c>
      <c r="AD632" s="111"/>
    </row>
    <row r="633" spans="1:30" ht="15" customHeight="1" x14ac:dyDescent="0.3">
      <c r="A633" s="22" t="s">
        <v>154</v>
      </c>
      <c r="B633" s="23">
        <v>79</v>
      </c>
      <c r="C633" s="3" t="s">
        <v>97</v>
      </c>
      <c r="D633" s="23">
        <v>2019</v>
      </c>
      <c r="E633" s="25">
        <v>8.448176141661877</v>
      </c>
      <c r="F633" s="25">
        <v>0.22666954660801714</v>
      </c>
      <c r="G633" s="25">
        <v>0.6777905034399363</v>
      </c>
      <c r="H633" s="25">
        <v>3.7544607112544508</v>
      </c>
      <c r="I633" s="25">
        <v>-0.17991154689634378</v>
      </c>
      <c r="J633" s="25">
        <v>-4.3430295905621426E-2</v>
      </c>
      <c r="K633" s="25">
        <v>-0.24057188589727754</v>
      </c>
      <c r="L633" s="25">
        <v>0.8</v>
      </c>
      <c r="M633" s="24">
        <v>3</v>
      </c>
      <c r="N633" s="108">
        <v>0</v>
      </c>
      <c r="O633" s="24">
        <v>6</v>
      </c>
      <c r="P633" s="24">
        <v>0</v>
      </c>
      <c r="Q633" s="24">
        <v>6</v>
      </c>
      <c r="R633" s="24">
        <v>5</v>
      </c>
      <c r="S633" s="24">
        <v>0</v>
      </c>
      <c r="T633" s="24">
        <v>0</v>
      </c>
      <c r="U633" s="24">
        <v>617588470000</v>
      </c>
      <c r="V633" s="109">
        <v>0.18084896653988064</v>
      </c>
      <c r="W633" s="109">
        <v>4.4575915350233144</v>
      </c>
      <c r="X633" s="109">
        <v>-0.81226459198631085</v>
      </c>
      <c r="Y633" s="109">
        <v>-0.2257238565350807</v>
      </c>
      <c r="Z633" s="109">
        <v>0.27966732927914201</v>
      </c>
      <c r="AA633" s="109">
        <v>3.699270415781065</v>
      </c>
      <c r="AD633" s="111"/>
    </row>
    <row r="634" spans="1:30" ht="15" customHeight="1" x14ac:dyDescent="0.3">
      <c r="A634" s="22" t="s">
        <v>154</v>
      </c>
      <c r="B634" s="23">
        <v>79</v>
      </c>
      <c r="C634" s="3" t="s">
        <v>97</v>
      </c>
      <c r="D634" s="23">
        <v>2020</v>
      </c>
      <c r="E634" s="25">
        <v>3.8191570914781661</v>
      </c>
      <c r="F634" s="25">
        <v>0.31178527074464646</v>
      </c>
      <c r="G634" s="25">
        <v>0.79179788986210364</v>
      </c>
      <c r="H634" s="25">
        <v>6.4869579945799458</v>
      </c>
      <c r="I634" s="25">
        <v>3.6050411228871683E-2</v>
      </c>
      <c r="J634" s="25">
        <v>1.267815425448653E-2</v>
      </c>
      <c r="K634" s="25">
        <v>0.10386824106336301</v>
      </c>
      <c r="L634" s="25">
        <v>0.79869999999999997</v>
      </c>
      <c r="M634" s="24">
        <v>3</v>
      </c>
      <c r="N634" s="108">
        <v>0</v>
      </c>
      <c r="O634" s="24">
        <v>6</v>
      </c>
      <c r="P634" s="24">
        <v>0</v>
      </c>
      <c r="Q634" s="24">
        <v>6</v>
      </c>
      <c r="R634" s="24">
        <v>5</v>
      </c>
      <c r="S634" s="24">
        <v>0</v>
      </c>
      <c r="T634" s="24">
        <v>0</v>
      </c>
      <c r="U634" s="24">
        <v>1015763000000</v>
      </c>
      <c r="V634" s="109">
        <v>1.3961018119571666</v>
      </c>
      <c r="W634" s="109">
        <v>2.5362085418744331</v>
      </c>
      <c r="X634" s="109">
        <v>-0.45692692094514165</v>
      </c>
      <c r="Y634" s="109">
        <v>5.5744026903913606E-2</v>
      </c>
      <c r="Z634" s="109">
        <v>0.16186323402699812</v>
      </c>
      <c r="AA634" s="109">
        <v>2.2968888818602031</v>
      </c>
      <c r="AD634" s="111"/>
    </row>
    <row r="635" spans="1:30" ht="15" customHeight="1" x14ac:dyDescent="0.3">
      <c r="A635" s="22" t="s">
        <v>154</v>
      </c>
      <c r="B635" s="23">
        <v>79</v>
      </c>
      <c r="C635" s="3" t="s">
        <v>97</v>
      </c>
      <c r="D635" s="23">
        <v>2021</v>
      </c>
      <c r="E635" s="25">
        <v>2.2050256523418104</v>
      </c>
      <c r="F635" s="25">
        <v>0.65218479870656187</v>
      </c>
      <c r="G635" s="25">
        <v>0.96160745388216651</v>
      </c>
      <c r="H635" s="25">
        <v>-33.625625786416087</v>
      </c>
      <c r="I635" s="25">
        <v>-0.42001676568137913</v>
      </c>
      <c r="J635" s="25">
        <v>-0.12351885098743268</v>
      </c>
      <c r="K635" s="25">
        <v>4.3192246941343395</v>
      </c>
      <c r="L635" s="25">
        <v>0.79869999999999997</v>
      </c>
      <c r="M635" s="24">
        <v>2</v>
      </c>
      <c r="N635" s="108">
        <v>0</v>
      </c>
      <c r="O635" s="24">
        <v>5</v>
      </c>
      <c r="P635" s="24">
        <v>0</v>
      </c>
      <c r="Q635" s="24">
        <v>5</v>
      </c>
      <c r="R635" s="24">
        <v>4</v>
      </c>
      <c r="S635" s="24">
        <v>0</v>
      </c>
      <c r="T635" s="24">
        <v>0</v>
      </c>
      <c r="U635" s="24">
        <v>1306165000000</v>
      </c>
      <c r="V635" s="109">
        <v>7.5292115267256779E-2</v>
      </c>
      <c r="W635" s="109">
        <v>2.8523405235938797</v>
      </c>
      <c r="X635" s="109">
        <v>-0.75528102498535787</v>
      </c>
      <c r="Y635" s="109">
        <v>-0.85919729896299457</v>
      </c>
      <c r="Z635" s="109">
        <v>-3.1226184656589318E-2</v>
      </c>
      <c r="AA635" s="109">
        <v>1.2066360149889379</v>
      </c>
      <c r="AD635" s="111"/>
    </row>
    <row r="636" spans="1:30" ht="15" customHeight="1" x14ac:dyDescent="0.3">
      <c r="A636" s="22" t="s">
        <v>154</v>
      </c>
      <c r="B636" s="23">
        <v>79</v>
      </c>
      <c r="C636" s="3" t="s">
        <v>97</v>
      </c>
      <c r="D636" s="23">
        <v>2022</v>
      </c>
      <c r="E636" s="25">
        <v>2.3132451933653044</v>
      </c>
      <c r="F636" s="25">
        <v>0.49058471556161731</v>
      </c>
      <c r="G636" s="25">
        <v>0.81570691468656564</v>
      </c>
      <c r="H636" s="25">
        <v>7.2944875241629079</v>
      </c>
      <c r="I636" s="25">
        <v>-0.28241808616687647</v>
      </c>
      <c r="J636" s="25">
        <v>-6.4290269415204188E-2</v>
      </c>
      <c r="K636" s="25">
        <v>-0.57491797572229508</v>
      </c>
      <c r="L636" s="25">
        <v>0.79869999999999997</v>
      </c>
      <c r="M636" s="24">
        <v>3</v>
      </c>
      <c r="N636" s="108">
        <v>0</v>
      </c>
      <c r="O636" s="24">
        <v>6</v>
      </c>
      <c r="P636" s="24">
        <v>0</v>
      </c>
      <c r="Q636" s="24">
        <v>6</v>
      </c>
      <c r="R636" s="24">
        <v>3</v>
      </c>
      <c r="S636" s="24">
        <v>0</v>
      </c>
      <c r="T636" s="24">
        <v>0</v>
      </c>
      <c r="U636" s="24">
        <v>1207430000000</v>
      </c>
      <c r="V636" s="109">
        <v>-0.28443342931078469</v>
      </c>
      <c r="W636" s="109">
        <v>2.5947051174809301</v>
      </c>
      <c r="X636" s="109">
        <v>-1.0357627191638439</v>
      </c>
      <c r="Y636" s="109">
        <v>-0.41874010087541302</v>
      </c>
      <c r="Z636" s="109">
        <v>0.14394431363709745</v>
      </c>
      <c r="AA636" s="109">
        <v>1.2841466110787707</v>
      </c>
      <c r="AD636" s="111"/>
    </row>
    <row r="637" spans="1:30" ht="15" customHeight="1" x14ac:dyDescent="0.3">
      <c r="A637" s="22" t="s">
        <v>154</v>
      </c>
      <c r="B637" s="23">
        <v>79</v>
      </c>
      <c r="C637" s="3" t="s">
        <v>97</v>
      </c>
      <c r="D637" s="23">
        <v>2023</v>
      </c>
      <c r="E637" s="25">
        <v>2.0205114087221259</v>
      </c>
      <c r="F637" s="25">
        <v>0.55396025975287855</v>
      </c>
      <c r="G637" s="25">
        <v>0.77628628304050862</v>
      </c>
      <c r="H637" s="25">
        <v>5.8856631394701253</v>
      </c>
      <c r="I637" s="25">
        <v>-7.660191479078185E-2</v>
      </c>
      <c r="J637" s="25">
        <v>-3.1266822602021703E-2</v>
      </c>
      <c r="K637" s="25">
        <v>-0.23705943193571485</v>
      </c>
      <c r="L637" s="25">
        <v>0.79869999999999997</v>
      </c>
      <c r="M637" s="24">
        <v>3</v>
      </c>
      <c r="N637" s="108">
        <v>0</v>
      </c>
      <c r="O637" s="24">
        <v>6</v>
      </c>
      <c r="P637" s="24">
        <v>0</v>
      </c>
      <c r="Q637" s="24">
        <v>6</v>
      </c>
      <c r="R637" s="24">
        <v>3</v>
      </c>
      <c r="S637" s="24">
        <v>0</v>
      </c>
      <c r="T637" s="24">
        <v>0</v>
      </c>
      <c r="U637" s="24">
        <v>952959000000</v>
      </c>
      <c r="V637" s="109">
        <v>0.41515378626365229</v>
      </c>
      <c r="W637" s="109">
        <v>2.1690096635846872</v>
      </c>
      <c r="X637" s="109">
        <v>-1.3455655909645641</v>
      </c>
      <c r="Y637" s="109">
        <v>-0.15105489323255247</v>
      </c>
      <c r="Z637" s="109">
        <v>0.17839960852644543</v>
      </c>
      <c r="AA637" s="109">
        <v>0.85078878791401602</v>
      </c>
      <c r="AD637" s="111"/>
    </row>
    <row r="638" spans="1:30" ht="15" customHeight="1" x14ac:dyDescent="0.3">
      <c r="A638" s="22" t="s">
        <v>154</v>
      </c>
      <c r="B638" s="23">
        <v>79</v>
      </c>
      <c r="C638" s="3" t="s">
        <v>97</v>
      </c>
      <c r="D638" s="23">
        <v>2024</v>
      </c>
      <c r="E638" s="25">
        <v>3.5232768627017466</v>
      </c>
      <c r="F638" s="25">
        <v>0.72155510722971483</v>
      </c>
      <c r="G638" s="25">
        <v>0.72629708486808175</v>
      </c>
      <c r="H638" s="25">
        <v>5.7902068765624435</v>
      </c>
      <c r="I638" s="25">
        <v>-4.5511117992449057E-2</v>
      </c>
      <c r="J638" s="25">
        <v>-1.7366042314745173E-2</v>
      </c>
      <c r="K638" s="25">
        <v>-0.13844607079453644</v>
      </c>
      <c r="L638" s="25">
        <v>0.79869999999999997</v>
      </c>
      <c r="M638" s="24">
        <v>3</v>
      </c>
      <c r="N638" s="108">
        <v>0</v>
      </c>
      <c r="O638" s="24">
        <v>5</v>
      </c>
      <c r="P638" s="24">
        <v>0</v>
      </c>
      <c r="Q638" s="24">
        <v>5</v>
      </c>
      <c r="R638" s="24">
        <v>5</v>
      </c>
      <c r="S638" s="24">
        <v>0</v>
      </c>
      <c r="T638" s="24">
        <v>0</v>
      </c>
      <c r="U638" s="24">
        <v>880166000000</v>
      </c>
      <c r="V638" s="109">
        <v>-0.13656509980152812</v>
      </c>
      <c r="W638" s="109">
        <v>2.7219536314740629</v>
      </c>
      <c r="X638" s="109">
        <v>-1.5056803830186576</v>
      </c>
      <c r="Y638" s="109">
        <v>-0.13494727131018466</v>
      </c>
      <c r="Z638" s="109">
        <v>0.18134067096120213</v>
      </c>
      <c r="AA638" s="109">
        <v>1.2626666481064228</v>
      </c>
      <c r="AD638" s="111"/>
    </row>
    <row r="639" spans="1:30" ht="15" customHeight="1" x14ac:dyDescent="0.3">
      <c r="A639" s="22" t="s">
        <v>154</v>
      </c>
      <c r="B639" s="23">
        <v>80</v>
      </c>
      <c r="C639" s="2" t="s">
        <v>81</v>
      </c>
      <c r="D639" s="23">
        <v>2015</v>
      </c>
      <c r="E639" s="25">
        <v>2.6208185425422696</v>
      </c>
      <c r="F639" s="25">
        <v>0.25538752851460911</v>
      </c>
      <c r="G639" s="25">
        <v>0.87179584317258008</v>
      </c>
      <c r="H639" s="25">
        <v>6.800059099067548</v>
      </c>
      <c r="I639" s="25">
        <v>9.6810739365384785E-2</v>
      </c>
      <c r="J639" s="25">
        <v>1.5107189911141605E-2</v>
      </c>
      <c r="K639" s="25">
        <v>0.11783697412774154</v>
      </c>
      <c r="L639" s="25">
        <v>0.8</v>
      </c>
      <c r="M639" s="24">
        <v>2</v>
      </c>
      <c r="N639" s="108">
        <v>0</v>
      </c>
      <c r="O639" s="24">
        <v>3</v>
      </c>
      <c r="P639" s="24">
        <v>0</v>
      </c>
      <c r="Q639" s="24">
        <v>3</v>
      </c>
      <c r="R639" s="24">
        <v>3</v>
      </c>
      <c r="S639" s="24">
        <v>0</v>
      </c>
      <c r="T639" s="24">
        <v>0</v>
      </c>
      <c r="U639" s="24">
        <v>1425414000000</v>
      </c>
      <c r="V639" s="109">
        <v>7.7057912066627932E-2</v>
      </c>
      <c r="W639" s="109">
        <v>3.1751119043309521</v>
      </c>
      <c r="X639" s="109">
        <v>0.23225270693286301</v>
      </c>
      <c r="Y639" s="109">
        <v>0.12818036023218515</v>
      </c>
      <c r="Z639" s="109">
        <v>0.15441042271882319</v>
      </c>
      <c r="AA639" s="109">
        <v>3.6899553942148229</v>
      </c>
      <c r="AD639" s="111"/>
    </row>
    <row r="640" spans="1:30" ht="15" customHeight="1" x14ac:dyDescent="0.3">
      <c r="A640" s="22" t="s">
        <v>154</v>
      </c>
      <c r="B640" s="23">
        <v>80</v>
      </c>
      <c r="C640" s="3" t="s">
        <v>81</v>
      </c>
      <c r="D640" s="23">
        <v>2016</v>
      </c>
      <c r="E640" s="25">
        <v>3.3818483078069708</v>
      </c>
      <c r="F640" s="25">
        <v>0.27131140725045194</v>
      </c>
      <c r="G640" s="25">
        <v>0.86027449498490882</v>
      </c>
      <c r="H640" s="25">
        <v>6.1568895019702659</v>
      </c>
      <c r="I640" s="25">
        <v>9.2997940304979404E-2</v>
      </c>
      <c r="J640" s="25">
        <v>1.4223529582440721E-2</v>
      </c>
      <c r="K640" s="25">
        <v>0.10179622954953352</v>
      </c>
      <c r="L640" s="25">
        <v>0.8</v>
      </c>
      <c r="M640" s="24">
        <v>2</v>
      </c>
      <c r="N640" s="108">
        <v>0</v>
      </c>
      <c r="O640" s="24">
        <v>3</v>
      </c>
      <c r="P640" s="24">
        <v>0</v>
      </c>
      <c r="Q640" s="24">
        <v>3</v>
      </c>
      <c r="R640" s="24">
        <v>3</v>
      </c>
      <c r="S640" s="24">
        <v>0</v>
      </c>
      <c r="T640" s="24">
        <v>0</v>
      </c>
      <c r="U640" s="24">
        <v>1447531000000</v>
      </c>
      <c r="V640" s="109">
        <v>-4.6845356375374266E-3</v>
      </c>
      <c r="W640" s="109">
        <v>3.5048411674775872</v>
      </c>
      <c r="X640" s="109">
        <v>0.27196037943228851</v>
      </c>
      <c r="Y640" s="109">
        <v>0.12220156943098283</v>
      </c>
      <c r="Z640" s="109">
        <v>0.17054066012781124</v>
      </c>
      <c r="AA640" s="109">
        <v>4.0695437764686702</v>
      </c>
      <c r="AD640" s="111"/>
    </row>
    <row r="641" spans="1:30" ht="15" customHeight="1" x14ac:dyDescent="0.3">
      <c r="A641" s="22" t="s">
        <v>154</v>
      </c>
      <c r="B641" s="23">
        <v>80</v>
      </c>
      <c r="C641" s="3" t="s">
        <v>81</v>
      </c>
      <c r="D641" s="23">
        <v>2017</v>
      </c>
      <c r="E641" s="25">
        <v>3.1376844850065191</v>
      </c>
      <c r="F641" s="25">
        <v>0.15415123859191657</v>
      </c>
      <c r="G641" s="25">
        <v>0.85389939513991431</v>
      </c>
      <c r="H641" s="25">
        <v>6.2102226777754792</v>
      </c>
      <c r="I641" s="25">
        <v>4.8307813477263775E-2</v>
      </c>
      <c r="J641" s="25">
        <v>6.7409962736067397E-3</v>
      </c>
      <c r="K641" s="25">
        <v>4.9025784732278872E-2</v>
      </c>
      <c r="L641" s="25">
        <v>0.8</v>
      </c>
      <c r="M641" s="24">
        <v>2</v>
      </c>
      <c r="N641" s="108">
        <v>0</v>
      </c>
      <c r="O641" s="24">
        <v>3</v>
      </c>
      <c r="P641" s="24">
        <v>0</v>
      </c>
      <c r="Q641" s="24">
        <v>3</v>
      </c>
      <c r="R641" s="24">
        <v>3</v>
      </c>
      <c r="S641" s="24">
        <v>0</v>
      </c>
      <c r="T641" s="24">
        <v>0</v>
      </c>
      <c r="U641" s="24">
        <v>1546804000000</v>
      </c>
      <c r="V641" s="109">
        <v>-2.505510587555106E-2</v>
      </c>
      <c r="W641" s="109">
        <v>3.4767825270687167</v>
      </c>
      <c r="X641" s="109">
        <v>0.27542587166829152</v>
      </c>
      <c r="Y641" s="109">
        <v>5.3193345763264122E-2</v>
      </c>
      <c r="Z641" s="109">
        <v>0.16907606288541546</v>
      </c>
      <c r="AA641" s="109">
        <v>3.9744778073856879</v>
      </c>
      <c r="AD641" s="111"/>
    </row>
    <row r="642" spans="1:30" ht="15" customHeight="1" x14ac:dyDescent="0.3">
      <c r="A642" s="22" t="s">
        <v>154</v>
      </c>
      <c r="B642" s="23">
        <v>80</v>
      </c>
      <c r="C642" s="3" t="s">
        <v>81</v>
      </c>
      <c r="D642" s="23">
        <v>2018</v>
      </c>
      <c r="E642" s="25">
        <v>3.9313416449726781</v>
      </c>
      <c r="F642" s="25">
        <v>0.26629682921216857</v>
      </c>
      <c r="G642" s="25">
        <v>0.84630454010511469</v>
      </c>
      <c r="H642" s="25">
        <v>6.5310257144592851</v>
      </c>
      <c r="I642" s="25">
        <v>6.6070286589628047E-2</v>
      </c>
      <c r="J642" s="25">
        <v>9.9919086344822626E-3</v>
      </c>
      <c r="K642" s="25">
        <v>7.7108663768040472E-2</v>
      </c>
      <c r="L642" s="25">
        <v>0.8</v>
      </c>
      <c r="M642" s="24">
        <v>2</v>
      </c>
      <c r="N642" s="108">
        <v>0</v>
      </c>
      <c r="O642" s="24">
        <v>3</v>
      </c>
      <c r="P642" s="24">
        <v>0</v>
      </c>
      <c r="Q642" s="24">
        <v>3</v>
      </c>
      <c r="R642" s="24">
        <v>4</v>
      </c>
      <c r="S642" s="24">
        <v>0</v>
      </c>
      <c r="T642" s="24">
        <v>0</v>
      </c>
      <c r="U642" s="24">
        <v>1778439000000</v>
      </c>
      <c r="V642" s="109">
        <v>0.24606083068868864</v>
      </c>
      <c r="W642" s="109">
        <v>3.9001044848881512</v>
      </c>
      <c r="X642" s="109">
        <v>0.2721263085211244</v>
      </c>
      <c r="Y642" s="109">
        <v>9.1653590592648951E-2</v>
      </c>
      <c r="Z642" s="109">
        <v>0.16077107117728312</v>
      </c>
      <c r="AA642" s="109">
        <v>4.4246554551792077</v>
      </c>
      <c r="AD642" s="111"/>
    </row>
    <row r="643" spans="1:30" ht="15" customHeight="1" x14ac:dyDescent="0.3">
      <c r="A643" s="22" t="s">
        <v>154</v>
      </c>
      <c r="B643" s="23">
        <v>80</v>
      </c>
      <c r="C643" s="3" t="s">
        <v>81</v>
      </c>
      <c r="D643" s="23">
        <v>2019</v>
      </c>
      <c r="E643" s="25">
        <v>3.9780635847079875</v>
      </c>
      <c r="F643" s="25">
        <v>0.37692716042794266</v>
      </c>
      <c r="G643" s="25">
        <v>0.83177837046462944</v>
      </c>
      <c r="H643" s="25">
        <v>5.5142617387365309</v>
      </c>
      <c r="I643" s="25">
        <v>0.11944669813640163</v>
      </c>
      <c r="J643" s="25">
        <v>2.1768546698732991E-2</v>
      </c>
      <c r="K643" s="25">
        <v>0.14431424094578238</v>
      </c>
      <c r="L643" s="25">
        <v>0.8</v>
      </c>
      <c r="M643" s="24">
        <v>2</v>
      </c>
      <c r="N643" s="108">
        <v>0</v>
      </c>
      <c r="O643" s="24">
        <v>3</v>
      </c>
      <c r="P643" s="24">
        <v>0</v>
      </c>
      <c r="Q643" s="24">
        <v>3</v>
      </c>
      <c r="R643" s="24">
        <v>3</v>
      </c>
      <c r="S643" s="24">
        <v>0</v>
      </c>
      <c r="T643" s="24">
        <v>0</v>
      </c>
      <c r="U643" s="24">
        <v>1785466000000</v>
      </c>
      <c r="V643" s="109">
        <v>0.20983357872663186</v>
      </c>
      <c r="W643" s="109">
        <v>3.8955752279796982</v>
      </c>
      <c r="X643" s="109">
        <v>0.34202259802202895</v>
      </c>
      <c r="Y643" s="109">
        <v>0.18745223935936051</v>
      </c>
      <c r="Z643" s="109">
        <v>0.19041533567838656</v>
      </c>
      <c r="AA643" s="109">
        <v>4.615465401039474</v>
      </c>
      <c r="AD643" s="111"/>
    </row>
    <row r="644" spans="1:30" ht="15" customHeight="1" x14ac:dyDescent="0.3">
      <c r="A644" s="22" t="s">
        <v>154</v>
      </c>
      <c r="B644" s="23">
        <v>80</v>
      </c>
      <c r="C644" s="3" t="s">
        <v>81</v>
      </c>
      <c r="D644" s="23">
        <v>2020</v>
      </c>
      <c r="E644" s="25">
        <v>3.5526489477097551</v>
      </c>
      <c r="F644" s="25">
        <v>0.15700273761901756</v>
      </c>
      <c r="G644" s="25">
        <v>0.82323315021042354</v>
      </c>
      <c r="H644" s="25">
        <v>4.7120343484857594</v>
      </c>
      <c r="I644" s="25">
        <v>4.8166017972127058E-2</v>
      </c>
      <c r="J644" s="25">
        <v>8.2964502660956511E-3</v>
      </c>
      <c r="K644" s="25">
        <v>4.748734743535786E-2</v>
      </c>
      <c r="L644" s="25">
        <v>0.8</v>
      </c>
      <c r="M644" s="24">
        <v>2</v>
      </c>
      <c r="N644" s="108">
        <v>0</v>
      </c>
      <c r="O644" s="24">
        <v>2</v>
      </c>
      <c r="P644" s="24">
        <v>0</v>
      </c>
      <c r="Q644" s="24">
        <v>2</v>
      </c>
      <c r="R644" s="24">
        <v>4</v>
      </c>
      <c r="S644" s="24">
        <v>0</v>
      </c>
      <c r="T644" s="24">
        <v>0</v>
      </c>
      <c r="U644" s="24">
        <v>1618403000000</v>
      </c>
      <c r="V644" s="109">
        <v>-0.14329485666519151</v>
      </c>
      <c r="W644" s="109">
        <v>3.6056504591254463</v>
      </c>
      <c r="X644" s="109">
        <v>0.40064850349387632</v>
      </c>
      <c r="Y644" s="109">
        <v>7.5923734694016254E-2</v>
      </c>
      <c r="Z644" s="109">
        <v>0.22283368972839171</v>
      </c>
      <c r="AA644" s="109">
        <v>4.3050563870417307</v>
      </c>
      <c r="AD644" s="111"/>
    </row>
    <row r="645" spans="1:30" ht="15" customHeight="1" x14ac:dyDescent="0.3">
      <c r="A645" s="22" t="s">
        <v>154</v>
      </c>
      <c r="B645" s="23">
        <v>80</v>
      </c>
      <c r="C645" s="3" t="s">
        <v>81</v>
      </c>
      <c r="D645" s="23">
        <v>2021</v>
      </c>
      <c r="E645" s="25">
        <v>3.5855368784834005</v>
      </c>
      <c r="F645" s="25">
        <v>0.22392266746062001</v>
      </c>
      <c r="G645" s="25">
        <v>0.81984662012010023</v>
      </c>
      <c r="H645" s="25">
        <v>4.5508256390563169</v>
      </c>
      <c r="I645" s="25">
        <v>5.9417343210157396E-2</v>
      </c>
      <c r="J645" s="25">
        <v>1.005607966898437E-2</v>
      </c>
      <c r="K645" s="25">
        <v>5.5819544854991403E-2</v>
      </c>
      <c r="L645" s="25">
        <v>0.8</v>
      </c>
      <c r="M645" s="24">
        <v>2</v>
      </c>
      <c r="N645" s="108">
        <v>0</v>
      </c>
      <c r="O645" s="24">
        <v>3</v>
      </c>
      <c r="P645" s="24">
        <v>0</v>
      </c>
      <c r="Q645" s="24">
        <v>3</v>
      </c>
      <c r="R645" s="24">
        <v>4</v>
      </c>
      <c r="S645" s="24">
        <v>0</v>
      </c>
      <c r="T645" s="24">
        <v>0</v>
      </c>
      <c r="U645" s="24">
        <v>1662278000000</v>
      </c>
      <c r="V645" s="109">
        <v>9.2084730866500465E-3</v>
      </c>
      <c r="W645" s="109">
        <v>3.6669792176759843</v>
      </c>
      <c r="X645" s="109">
        <v>0.42066382398130753</v>
      </c>
      <c r="Y645" s="109">
        <v>7.8746683767697098E-2</v>
      </c>
      <c r="Z645" s="109">
        <v>0.23072736318188922</v>
      </c>
      <c r="AA645" s="109">
        <v>4.397117088606878</v>
      </c>
      <c r="AD645" s="111"/>
    </row>
    <row r="646" spans="1:30" ht="15" customHeight="1" x14ac:dyDescent="0.3">
      <c r="A646" s="22" t="s">
        <v>154</v>
      </c>
      <c r="B646" s="23">
        <v>80</v>
      </c>
      <c r="C646" s="3" t="s">
        <v>81</v>
      </c>
      <c r="D646" s="23">
        <v>2022</v>
      </c>
      <c r="E646" s="25">
        <v>3.1541046200840017</v>
      </c>
      <c r="F646" s="25">
        <v>0.15135547919053075</v>
      </c>
      <c r="G646" s="25">
        <v>0.84868411595075155</v>
      </c>
      <c r="H646" s="25">
        <v>5.7555610439326532</v>
      </c>
      <c r="I646" s="25">
        <v>2.7797043870576747E-2</v>
      </c>
      <c r="J646" s="25">
        <v>3.9561336843507502E-3</v>
      </c>
      <c r="K646" s="25">
        <v>2.6829498149297578E-2</v>
      </c>
      <c r="L646" s="25">
        <v>0.8</v>
      </c>
      <c r="M646" s="24">
        <v>2</v>
      </c>
      <c r="N646" s="108">
        <v>0</v>
      </c>
      <c r="O646" s="24">
        <v>2</v>
      </c>
      <c r="P646" s="24">
        <v>0</v>
      </c>
      <c r="Q646" s="24">
        <v>2</v>
      </c>
      <c r="R646" s="24">
        <v>4</v>
      </c>
      <c r="S646" s="24">
        <v>0</v>
      </c>
      <c r="T646" s="24">
        <v>0</v>
      </c>
      <c r="U646" s="24">
        <v>2086886000000</v>
      </c>
      <c r="V646" s="109">
        <v>5.5727752264228742E-2</v>
      </c>
      <c r="W646" s="109">
        <v>3.1921251472289334</v>
      </c>
      <c r="X646" s="109">
        <v>0.3472847294964842</v>
      </c>
      <c r="Y646" s="109">
        <v>2.8423900490970756E-2</v>
      </c>
      <c r="Z646" s="109">
        <v>0.18243225846885594</v>
      </c>
      <c r="AA646" s="109">
        <v>3.7502660356852444</v>
      </c>
      <c r="AD646" s="111"/>
    </row>
    <row r="647" spans="1:30" ht="15" customHeight="1" x14ac:dyDescent="0.3">
      <c r="A647" s="22" t="s">
        <v>154</v>
      </c>
      <c r="B647" s="23">
        <v>80</v>
      </c>
      <c r="C647" s="3" t="s">
        <v>81</v>
      </c>
      <c r="D647" s="23">
        <v>2023</v>
      </c>
      <c r="E647" s="25">
        <v>3.2961678206622333</v>
      </c>
      <c r="F647" s="25">
        <v>3.4362103242613289E-2</v>
      </c>
      <c r="G647" s="25">
        <v>0.79809126746201309</v>
      </c>
      <c r="H647" s="25">
        <v>3.9527327888696506</v>
      </c>
      <c r="I647" s="25">
        <v>5.961449676823638E-2</v>
      </c>
      <c r="J647" s="25">
        <v>1.1505113074211506E-2</v>
      </c>
      <c r="K647" s="25">
        <v>5.6981750762300235E-2</v>
      </c>
      <c r="L647" s="25">
        <v>0.8</v>
      </c>
      <c r="M647" s="24">
        <v>1</v>
      </c>
      <c r="N647" s="108">
        <v>0</v>
      </c>
      <c r="O647" s="24">
        <v>1</v>
      </c>
      <c r="P647" s="24">
        <v>0</v>
      </c>
      <c r="Q647" s="24">
        <v>1</v>
      </c>
      <c r="R647" s="24">
        <v>3</v>
      </c>
      <c r="S647" s="24">
        <v>0</v>
      </c>
      <c r="T647" s="24">
        <v>0</v>
      </c>
      <c r="U647" s="24">
        <v>1616151000000</v>
      </c>
      <c r="V647" s="109">
        <v>5.0146459715161108E-2</v>
      </c>
      <c r="W647" s="109">
        <v>3.3988462711714433</v>
      </c>
      <c r="X647" s="109">
        <v>0.48662451713979693</v>
      </c>
      <c r="Y647" s="109">
        <v>9.0299879157331217E-2</v>
      </c>
      <c r="Z647" s="109">
        <v>0.26563900371830218</v>
      </c>
      <c r="AA647" s="109">
        <v>4.2414096711868732</v>
      </c>
      <c r="AD647" s="111"/>
    </row>
    <row r="648" spans="1:30" ht="15" customHeight="1" x14ac:dyDescent="0.3">
      <c r="A648" s="22" t="s">
        <v>154</v>
      </c>
      <c r="B648" s="23">
        <v>80</v>
      </c>
      <c r="C648" s="3" t="s">
        <v>81</v>
      </c>
      <c r="D648" s="23">
        <v>2024</v>
      </c>
      <c r="E648" s="25">
        <v>1.7786533411422418</v>
      </c>
      <c r="F648" s="25">
        <v>1.8420207439874554E-2</v>
      </c>
      <c r="G648" s="25">
        <v>0.82916913106241352</v>
      </c>
      <c r="H648" s="25">
        <v>5.0049618219568188</v>
      </c>
      <c r="I648" s="25">
        <v>-0.29553712536824567</v>
      </c>
      <c r="J648" s="25">
        <v>-3.8781026324758903E-2</v>
      </c>
      <c r="K648" s="25">
        <v>-0.23408680919298538</v>
      </c>
      <c r="L648" s="25">
        <v>0.8</v>
      </c>
      <c r="M648" s="24">
        <v>2</v>
      </c>
      <c r="N648" s="108">
        <v>0</v>
      </c>
      <c r="O648" s="24">
        <v>3</v>
      </c>
      <c r="P648" s="24">
        <v>0</v>
      </c>
      <c r="Q648" s="24">
        <v>3</v>
      </c>
      <c r="R648" s="24">
        <v>4</v>
      </c>
      <c r="S648" s="24">
        <v>0</v>
      </c>
      <c r="T648" s="24">
        <v>0</v>
      </c>
      <c r="U648" s="24">
        <v>1596064000000</v>
      </c>
      <c r="V648" s="109">
        <v>-0.32851454293628807</v>
      </c>
      <c r="W648" s="109">
        <v>1.6939780860917859</v>
      </c>
      <c r="X648" s="109">
        <v>0.36406571415682576</v>
      </c>
      <c r="Y648" s="109">
        <v>-0.36945886881729051</v>
      </c>
      <c r="Z648" s="109">
        <v>0.20979181007807879</v>
      </c>
      <c r="AA648" s="109">
        <v>1.8983767415094004</v>
      </c>
      <c r="AD648" s="111"/>
    </row>
    <row r="649" spans="1:30" ht="15" customHeight="1" x14ac:dyDescent="0.3">
      <c r="A649" s="22" t="s">
        <v>154</v>
      </c>
      <c r="B649" s="23">
        <v>81</v>
      </c>
      <c r="C649" s="3" t="s">
        <v>82</v>
      </c>
      <c r="D649" s="23">
        <v>2018</v>
      </c>
      <c r="E649" s="25">
        <v>3.8573676184392709</v>
      </c>
      <c r="F649" s="25">
        <v>8.3630970660648701E-2</v>
      </c>
      <c r="G649" s="25">
        <v>0.58013218247355247</v>
      </c>
      <c r="H649" s="25">
        <v>1.3817019506073718</v>
      </c>
      <c r="I649" s="25">
        <v>-0.17796944925216385</v>
      </c>
      <c r="J649" s="25">
        <v>-3.9280009898150836E-2</v>
      </c>
      <c r="K649" s="25">
        <v>-9.3553276194302717E-2</v>
      </c>
      <c r="L649" s="25">
        <v>0</v>
      </c>
      <c r="M649" s="24">
        <v>0</v>
      </c>
      <c r="N649" s="108">
        <v>0</v>
      </c>
      <c r="O649" s="24">
        <v>0</v>
      </c>
      <c r="P649" s="24">
        <v>0</v>
      </c>
      <c r="Q649" s="24">
        <v>0</v>
      </c>
      <c r="R649" s="24">
        <v>0</v>
      </c>
      <c r="S649" s="24">
        <v>0</v>
      </c>
      <c r="T649" s="24">
        <v>0</v>
      </c>
      <c r="U649" s="24">
        <v>628464862000</v>
      </c>
      <c r="V649" s="109">
        <v>0</v>
      </c>
      <c r="W649" s="109">
        <v>3.3992158514026838</v>
      </c>
      <c r="X649" s="109">
        <v>0.19500385754263536</v>
      </c>
      <c r="Y649" s="109">
        <v>-0.28550730869659985</v>
      </c>
      <c r="Z649" s="109">
        <v>0.75993234252758968</v>
      </c>
      <c r="AA649" s="109">
        <v>4.0686447427763088</v>
      </c>
      <c r="AD649" s="111"/>
    </row>
    <row r="650" spans="1:30" ht="15" customHeight="1" x14ac:dyDescent="0.3">
      <c r="A650" s="22" t="s">
        <v>154</v>
      </c>
      <c r="B650" s="23">
        <v>81</v>
      </c>
      <c r="C650" s="3" t="s">
        <v>82</v>
      </c>
      <c r="D650" s="23">
        <v>2019</v>
      </c>
      <c r="E650" s="25">
        <v>2.7009302619816125</v>
      </c>
      <c r="F650" s="25">
        <v>2.9373943557270254E-2</v>
      </c>
      <c r="G650" s="25">
        <v>0.74421919704469652</v>
      </c>
      <c r="H650" s="25">
        <v>2.9095975477672789</v>
      </c>
      <c r="I650" s="25">
        <v>-1.0714271200113836</v>
      </c>
      <c r="J650" s="25">
        <v>-0.19742383986662293</v>
      </c>
      <c r="K650" s="25">
        <v>-0.77184776021334889</v>
      </c>
      <c r="L650" s="25">
        <v>0.62150000000000005</v>
      </c>
      <c r="M650" s="24">
        <v>3</v>
      </c>
      <c r="N650" s="108">
        <v>0</v>
      </c>
      <c r="O650" s="24">
        <v>4</v>
      </c>
      <c r="P650" s="24">
        <v>8</v>
      </c>
      <c r="Q650" s="24">
        <v>4</v>
      </c>
      <c r="R650" s="24">
        <v>3</v>
      </c>
      <c r="S650" s="24">
        <v>8</v>
      </c>
      <c r="T650" s="24">
        <v>6</v>
      </c>
      <c r="U650" s="24">
        <v>582236244000</v>
      </c>
      <c r="V650" s="109">
        <v>-0.22655566446078546</v>
      </c>
      <c r="W650" s="109">
        <v>3.0491058105960165</v>
      </c>
      <c r="X650" s="109">
        <v>-0.43594454295085067</v>
      </c>
      <c r="Y650" s="109">
        <v>-1.3267668837187676</v>
      </c>
      <c r="Z650" s="109">
        <v>0.36087465113714184</v>
      </c>
      <c r="AA650" s="109">
        <v>1.6472690350635402</v>
      </c>
      <c r="AD650" s="111"/>
    </row>
    <row r="651" spans="1:30" ht="15" customHeight="1" x14ac:dyDescent="0.3">
      <c r="A651" s="22" t="s">
        <v>154</v>
      </c>
      <c r="B651" s="23">
        <v>81</v>
      </c>
      <c r="C651" s="3" t="s">
        <v>82</v>
      </c>
      <c r="D651" s="23">
        <v>2020</v>
      </c>
      <c r="E651" s="25">
        <v>4.0729376868718452</v>
      </c>
      <c r="F651" s="25">
        <v>0.13350383919393102</v>
      </c>
      <c r="G651" s="25">
        <v>0.81727373970146111</v>
      </c>
      <c r="H651" s="25">
        <v>4.4726671380796379</v>
      </c>
      <c r="I651" s="25">
        <v>9.2274341888077732E-2</v>
      </c>
      <c r="J651" s="25">
        <v>2.1601422654387182E-2</v>
      </c>
      <c r="K651" s="25">
        <v>0.11821739589643376</v>
      </c>
      <c r="L651" s="25">
        <v>0.62150000000000005</v>
      </c>
      <c r="M651" s="24">
        <v>3</v>
      </c>
      <c r="N651" s="108">
        <v>0</v>
      </c>
      <c r="O651" s="24">
        <v>4</v>
      </c>
      <c r="P651" s="24">
        <v>8</v>
      </c>
      <c r="Q651" s="24">
        <v>4</v>
      </c>
      <c r="R651" s="24">
        <v>6</v>
      </c>
      <c r="S651" s="24">
        <v>8</v>
      </c>
      <c r="T651" s="24">
        <v>8</v>
      </c>
      <c r="U651" s="24">
        <v>577744818000</v>
      </c>
      <c r="V651" s="109">
        <v>0.26066954285000454</v>
      </c>
      <c r="W651" s="109">
        <v>3.50521153773464</v>
      </c>
      <c r="X651" s="109">
        <v>-0.71673491776779552</v>
      </c>
      <c r="Y651" s="109">
        <v>0.11395569398252915</v>
      </c>
      <c r="Z651" s="109">
        <v>0.23475925383770518</v>
      </c>
      <c r="AA651" s="109">
        <v>3.1371915677870783</v>
      </c>
      <c r="AD651" s="111"/>
    </row>
    <row r="652" spans="1:30" ht="15" customHeight="1" x14ac:dyDescent="0.3">
      <c r="A652" s="22" t="s">
        <v>154</v>
      </c>
      <c r="B652" s="23">
        <v>81</v>
      </c>
      <c r="C652" s="3" t="s">
        <v>82</v>
      </c>
      <c r="D652" s="23">
        <v>2021</v>
      </c>
      <c r="E652" s="25">
        <v>5.6901261597967148</v>
      </c>
      <c r="F652" s="25">
        <v>7.0328691968409143E-2</v>
      </c>
      <c r="G652" s="25">
        <v>0.81686080094887692</v>
      </c>
      <c r="H652" s="25">
        <v>4.4603274732071494</v>
      </c>
      <c r="I652" s="25">
        <v>8.4310186773973103E-2</v>
      </c>
      <c r="J652" s="25">
        <v>2.4841771660538674E-2</v>
      </c>
      <c r="K652" s="25">
        <v>0.13564420828117812</v>
      </c>
      <c r="L652" s="25">
        <v>0.62150000000000005</v>
      </c>
      <c r="M652" s="24">
        <v>3</v>
      </c>
      <c r="N652" s="108">
        <v>0</v>
      </c>
      <c r="O652" s="24">
        <v>4</v>
      </c>
      <c r="P652" s="24">
        <v>8</v>
      </c>
      <c r="Q652" s="24">
        <v>4</v>
      </c>
      <c r="R652" s="24">
        <v>6</v>
      </c>
      <c r="S652" s="24">
        <v>8</v>
      </c>
      <c r="T652" s="24">
        <v>8</v>
      </c>
      <c r="U652" s="24">
        <v>666903763000</v>
      </c>
      <c r="V652" s="109">
        <v>0.45287491450003603</v>
      </c>
      <c r="W652" s="109">
        <v>3.6184835108810147</v>
      </c>
      <c r="X652" s="109">
        <v>-0.54555817097706194</v>
      </c>
      <c r="Y652" s="109">
        <v>0.18520019009099517</v>
      </c>
      <c r="Z652" s="109">
        <v>0.23540872420405695</v>
      </c>
      <c r="AA652" s="109">
        <v>3.4935342541990044</v>
      </c>
      <c r="AD652" s="111"/>
    </row>
    <row r="653" spans="1:30" ht="15" customHeight="1" x14ac:dyDescent="0.3">
      <c r="A653" s="22" t="s">
        <v>154</v>
      </c>
      <c r="B653" s="23">
        <v>81</v>
      </c>
      <c r="C653" s="3" t="s">
        <v>82</v>
      </c>
      <c r="D653" s="23">
        <v>2022</v>
      </c>
      <c r="E653" s="25">
        <v>12.22959107457603</v>
      </c>
      <c r="F653" s="25">
        <v>0.22208383492913086</v>
      </c>
      <c r="G653" s="25">
        <v>0.77491493737468442</v>
      </c>
      <c r="H653" s="25">
        <v>3.4427648300439846</v>
      </c>
      <c r="I653" s="25">
        <v>-3.6765499005672456E-2</v>
      </c>
      <c r="J653" s="25">
        <v>-9.3027678029399836E-3</v>
      </c>
      <c r="K653" s="25">
        <v>-4.1330009616967305E-2</v>
      </c>
      <c r="L653" s="25">
        <v>0.62580000000000002</v>
      </c>
      <c r="M653" s="24">
        <v>3</v>
      </c>
      <c r="N653" s="108">
        <v>0</v>
      </c>
      <c r="O653" s="24">
        <v>4</v>
      </c>
      <c r="P653" s="24">
        <v>8</v>
      </c>
      <c r="Q653" s="24">
        <v>4</v>
      </c>
      <c r="R653" s="24">
        <v>6</v>
      </c>
      <c r="S653" s="24">
        <v>8</v>
      </c>
      <c r="T653" s="24">
        <v>8</v>
      </c>
      <c r="U653" s="24">
        <v>933279448000</v>
      </c>
      <c r="V653" s="109">
        <v>0.20175997714825616</v>
      </c>
      <c r="W653" s="109">
        <v>4.6197140581199214</v>
      </c>
      <c r="X653" s="109">
        <v>-0.41593649851807296</v>
      </c>
      <c r="Y653" s="109">
        <v>-5.0767611031760335E-2</v>
      </c>
      <c r="Z653" s="109">
        <v>0.30498743069435424</v>
      </c>
      <c r="AA653" s="109">
        <v>4.4579973792644418</v>
      </c>
      <c r="AD653" s="111"/>
    </row>
    <row r="654" spans="1:30" ht="15" customHeight="1" x14ac:dyDescent="0.3">
      <c r="A654" s="22" t="s">
        <v>154</v>
      </c>
      <c r="B654" s="23">
        <v>81</v>
      </c>
      <c r="C654" s="3" t="s">
        <v>82</v>
      </c>
      <c r="D654" s="23">
        <v>2023</v>
      </c>
      <c r="E654" s="25">
        <v>18.251035208739619</v>
      </c>
      <c r="F654" s="25">
        <v>0.32499032354416857</v>
      </c>
      <c r="G654" s="25">
        <v>0.78337913386090063</v>
      </c>
      <c r="H654" s="25">
        <v>3.6180348570839334</v>
      </c>
      <c r="I654" s="25">
        <v>2.2326678383933578E-2</v>
      </c>
      <c r="J654" s="25">
        <v>5.9263053162386782E-3</v>
      </c>
      <c r="K654" s="25">
        <v>2.7370628449341104E-2</v>
      </c>
      <c r="L654" s="25">
        <v>0.62580000000000002</v>
      </c>
      <c r="M654" s="24">
        <v>2</v>
      </c>
      <c r="N654" s="108">
        <v>0</v>
      </c>
      <c r="O654" s="24">
        <v>3</v>
      </c>
      <c r="P654" s="24">
        <v>5</v>
      </c>
      <c r="Q654" s="24">
        <v>3</v>
      </c>
      <c r="R654" s="24">
        <v>5</v>
      </c>
      <c r="S654" s="24">
        <v>5</v>
      </c>
      <c r="T654" s="24">
        <v>9</v>
      </c>
      <c r="U654" s="24">
        <v>997499063000</v>
      </c>
      <c r="V654" s="109">
        <v>0.1212152177611542</v>
      </c>
      <c r="W654" s="109">
        <v>4.4678711944614626</v>
      </c>
      <c r="X654" s="109">
        <v>-0.37288688929826092</v>
      </c>
      <c r="Y654" s="109">
        <v>9.8323629202246177E-3</v>
      </c>
      <c r="Z654" s="109">
        <v>0.29021279271098011</v>
      </c>
      <c r="AA654" s="109">
        <v>4.3950294607944063</v>
      </c>
      <c r="AD654" s="111"/>
    </row>
    <row r="655" spans="1:30" ht="15" customHeight="1" x14ac:dyDescent="0.3">
      <c r="A655" s="22" t="s">
        <v>154</v>
      </c>
      <c r="B655" s="23">
        <v>81</v>
      </c>
      <c r="C655" s="3" t="s">
        <v>82</v>
      </c>
      <c r="D655" s="23">
        <v>2024</v>
      </c>
      <c r="E655" s="25">
        <v>8.2321053743134645</v>
      </c>
      <c r="F655" s="25">
        <v>0.14360398307062636</v>
      </c>
      <c r="G655" s="25">
        <v>0.79151730631710815</v>
      </c>
      <c r="H655" s="25">
        <v>3.7965612029218527</v>
      </c>
      <c r="I655" s="25">
        <v>2.6196906578079372E-2</v>
      </c>
      <c r="J655" s="25">
        <v>6.7093830692509064E-3</v>
      </c>
      <c r="K655" s="25">
        <v>3.2181966525509642E-2</v>
      </c>
      <c r="L655" s="25">
        <v>0.62580000000000002</v>
      </c>
      <c r="M655" s="24">
        <v>2</v>
      </c>
      <c r="N655" s="108">
        <v>0</v>
      </c>
      <c r="O655" s="24">
        <v>3</v>
      </c>
      <c r="P655" s="24">
        <v>5</v>
      </c>
      <c r="Q655" s="24">
        <v>3</v>
      </c>
      <c r="R655" s="24">
        <v>5</v>
      </c>
      <c r="S655" s="24">
        <v>5</v>
      </c>
      <c r="T655" s="24">
        <v>9</v>
      </c>
      <c r="U655" s="24">
        <v>1071029173000</v>
      </c>
      <c r="V655" s="109">
        <v>3.6004103164738843E-2</v>
      </c>
      <c r="W655" s="109">
        <v>4.1870510820903659</v>
      </c>
      <c r="X655" s="109">
        <v>-0.3261706254569034</v>
      </c>
      <c r="Y655" s="109">
        <v>3.6533900538300274E-2</v>
      </c>
      <c r="Z655" s="109">
        <v>0.27656606699555236</v>
      </c>
      <c r="AA655" s="109">
        <v>4.1739804241673149</v>
      </c>
      <c r="AD655" s="111"/>
    </row>
    <row r="656" spans="1:30" ht="15" customHeight="1" x14ac:dyDescent="0.3">
      <c r="A656" s="22" t="s">
        <v>154</v>
      </c>
      <c r="B656" s="23">
        <v>82</v>
      </c>
      <c r="C656" s="3" t="s">
        <v>83</v>
      </c>
      <c r="D656" s="23">
        <v>2020</v>
      </c>
      <c r="E656" s="25">
        <v>1.7411135157570188</v>
      </c>
      <c r="F656" s="25">
        <v>9.9656102694850437E-2</v>
      </c>
      <c r="G656" s="25">
        <v>0.42197823443896237</v>
      </c>
      <c r="H656" s="25">
        <v>0.88866442727052064</v>
      </c>
      <c r="I656" s="25">
        <v>3.2410015266178477E-3</v>
      </c>
      <c r="J656" s="25">
        <v>1.4760723833177794E-3</v>
      </c>
      <c r="K656" s="25">
        <v>3.1085324125186943E-3</v>
      </c>
      <c r="L656" s="25">
        <v>0</v>
      </c>
      <c r="M656" s="24">
        <v>0</v>
      </c>
      <c r="N656" s="108">
        <v>0</v>
      </c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0</v>
      </c>
      <c r="U656" s="24">
        <v>268957000000</v>
      </c>
      <c r="V656" s="109">
        <v>0</v>
      </c>
      <c r="W656" s="109">
        <v>1.2194526262562417</v>
      </c>
      <c r="X656" s="109">
        <v>0.407153039333425</v>
      </c>
      <c r="Y656" s="109">
        <v>5.7216581089170387E-3</v>
      </c>
      <c r="Z656" s="109">
        <v>1.1815483637901563</v>
      </c>
      <c r="AA656" s="109">
        <v>2.8138756874887401</v>
      </c>
      <c r="AD656" s="111"/>
    </row>
    <row r="657" spans="1:30" ht="15" customHeight="1" x14ac:dyDescent="0.3">
      <c r="A657" s="22" t="s">
        <v>154</v>
      </c>
      <c r="B657" s="23">
        <v>82</v>
      </c>
      <c r="C657" s="3" t="s">
        <v>83</v>
      </c>
      <c r="D657" s="23">
        <v>2021</v>
      </c>
      <c r="E657" s="25">
        <v>1.5925949123576202</v>
      </c>
      <c r="F657" s="25">
        <v>0.33962652445844255</v>
      </c>
      <c r="G657" s="25">
        <v>0.48067697982309843</v>
      </c>
      <c r="H657" s="25">
        <v>1.1167121677326548</v>
      </c>
      <c r="I657" s="25">
        <v>1.1000124686551862E-2</v>
      </c>
      <c r="J657" s="25">
        <v>5.2864081386716734E-3</v>
      </c>
      <c r="K657" s="25">
        <v>1.2281420870681587E-2</v>
      </c>
      <c r="L657" s="25">
        <v>0.9919</v>
      </c>
      <c r="M657" s="24">
        <v>1</v>
      </c>
      <c r="N657" s="108">
        <v>0</v>
      </c>
      <c r="O657" s="24">
        <v>3</v>
      </c>
      <c r="P657" s="24">
        <v>8</v>
      </c>
      <c r="Q657" s="24">
        <v>3</v>
      </c>
      <c r="R657" s="24">
        <v>3</v>
      </c>
      <c r="S657" s="24">
        <v>8</v>
      </c>
      <c r="T657" s="24">
        <v>0</v>
      </c>
      <c r="U657" s="24">
        <v>300393000000</v>
      </c>
      <c r="V657" s="109">
        <v>0.17853265084535444</v>
      </c>
      <c r="W657" s="109">
        <v>1.4463127969027241</v>
      </c>
      <c r="X657" s="109">
        <v>0.3876820698218667</v>
      </c>
      <c r="Y657" s="109">
        <v>1.5279184268608123E-2</v>
      </c>
      <c r="Z657" s="109">
        <v>0.94026019447060782</v>
      </c>
      <c r="AA657" s="109">
        <v>2.7895342454638068</v>
      </c>
      <c r="AD657" s="111"/>
    </row>
    <row r="658" spans="1:30" ht="15" customHeight="1" x14ac:dyDescent="0.3">
      <c r="A658" s="22" t="s">
        <v>154</v>
      </c>
      <c r="B658" s="23">
        <v>82</v>
      </c>
      <c r="C658" s="3" t="s">
        <v>83</v>
      </c>
      <c r="D658" s="23">
        <v>2022</v>
      </c>
      <c r="E658" s="25">
        <v>2.4651520985752793</v>
      </c>
      <c r="F658" s="25">
        <v>0.83467737499312389</v>
      </c>
      <c r="G658" s="25">
        <v>0.50095967573689382</v>
      </c>
      <c r="H658" s="25">
        <v>1.1942831970328898</v>
      </c>
      <c r="I658" s="25">
        <v>1.6342746098873359E-2</v>
      </c>
      <c r="J658" s="25">
        <v>1.9199475456740084E-2</v>
      </c>
      <c r="K658" s="25">
        <v>4.5771370512210197E-2</v>
      </c>
      <c r="L658" s="25">
        <v>0.99229999999999996</v>
      </c>
      <c r="M658" s="24">
        <v>2</v>
      </c>
      <c r="N658" s="108">
        <v>0</v>
      </c>
      <c r="O658" s="24">
        <v>3</v>
      </c>
      <c r="P658" s="24">
        <v>8</v>
      </c>
      <c r="Q658" s="24">
        <v>3</v>
      </c>
      <c r="R658" s="24">
        <v>5</v>
      </c>
      <c r="S658" s="24">
        <v>8</v>
      </c>
      <c r="T658" s="24">
        <v>0</v>
      </c>
      <c r="U658" s="24">
        <v>335530000000</v>
      </c>
      <c r="V658" s="109">
        <v>1.7305038722101385</v>
      </c>
      <c r="W658" s="109">
        <v>2.6037254492891839</v>
      </c>
      <c r="X658" s="109">
        <v>0.38081751259201857</v>
      </c>
      <c r="Y658" s="109">
        <v>8.0332369683783864E-2</v>
      </c>
      <c r="Z658" s="109">
        <v>0.8791884559781542</v>
      </c>
      <c r="AA658" s="109">
        <v>3.9440637875431408</v>
      </c>
      <c r="AD658" s="111"/>
    </row>
    <row r="659" spans="1:30" ht="15" customHeight="1" x14ac:dyDescent="0.3">
      <c r="A659" s="22" t="s">
        <v>154</v>
      </c>
      <c r="B659" s="23">
        <v>82</v>
      </c>
      <c r="C659" s="3" t="s">
        <v>83</v>
      </c>
      <c r="D659" s="23">
        <v>2023</v>
      </c>
      <c r="E659" s="25">
        <v>5.9153883029721959</v>
      </c>
      <c r="F659" s="25">
        <v>4.8376228427612658</v>
      </c>
      <c r="G659" s="25">
        <v>0.61297049887134947</v>
      </c>
      <c r="H659" s="25">
        <v>1.8303373079502054</v>
      </c>
      <c r="I659" s="25">
        <v>8.8920300977918074E-2</v>
      </c>
      <c r="J659" s="25">
        <v>6.0066469315545698E-2</v>
      </c>
      <c r="K659" s="25">
        <v>0.17935920235561645</v>
      </c>
      <c r="L659" s="25">
        <v>0.99229999999999996</v>
      </c>
      <c r="M659" s="24">
        <v>2</v>
      </c>
      <c r="N659" s="108">
        <v>0</v>
      </c>
      <c r="O659" s="24">
        <v>3</v>
      </c>
      <c r="P659" s="24">
        <v>8</v>
      </c>
      <c r="Q659" s="24">
        <v>3</v>
      </c>
      <c r="R659" s="24">
        <v>6</v>
      </c>
      <c r="S659" s="24">
        <v>8</v>
      </c>
      <c r="T659" s="24">
        <v>0</v>
      </c>
      <c r="U659" s="24">
        <v>512116000000</v>
      </c>
      <c r="V659" s="109">
        <v>-0.12238540163021557</v>
      </c>
      <c r="W659" s="109">
        <v>4.2029827617180473</v>
      </c>
      <c r="X659" s="109">
        <v>0.44018491904177959</v>
      </c>
      <c r="Y659" s="109">
        <v>0.31529606573510688</v>
      </c>
      <c r="Z659" s="109">
        <v>0.57366475317923493</v>
      </c>
      <c r="AA659" s="109">
        <v>5.5321284996741689</v>
      </c>
      <c r="AD659" s="111"/>
    </row>
    <row r="660" spans="1:30" ht="15" customHeight="1" x14ac:dyDescent="0.3">
      <c r="A660" s="22" t="s">
        <v>154</v>
      </c>
      <c r="B660" s="23">
        <v>82</v>
      </c>
      <c r="C660" s="3" t="s">
        <v>83</v>
      </c>
      <c r="D660" s="23">
        <v>2024</v>
      </c>
      <c r="E660" s="25">
        <v>7.1995281265655047</v>
      </c>
      <c r="F660" s="25">
        <v>6.0145763643121475</v>
      </c>
      <c r="G660" s="25">
        <v>0.5296691405228463</v>
      </c>
      <c r="H660" s="25">
        <v>1.1261628486628679</v>
      </c>
      <c r="I660" s="25">
        <v>6.1586520257478225E-2</v>
      </c>
      <c r="J660" s="25">
        <v>5.2802250818356433E-2</v>
      </c>
      <c r="K660" s="25">
        <v>0.11226618401576796</v>
      </c>
      <c r="L660" s="25">
        <v>0.99519999999999997</v>
      </c>
      <c r="M660" s="24">
        <v>2</v>
      </c>
      <c r="N660" s="108">
        <v>0</v>
      </c>
      <c r="O660" s="24">
        <v>3</v>
      </c>
      <c r="P660" s="24">
        <v>8</v>
      </c>
      <c r="Q660" s="24">
        <v>3</v>
      </c>
      <c r="R660" s="24">
        <v>6</v>
      </c>
      <c r="S660" s="24">
        <v>8</v>
      </c>
      <c r="T660" s="24">
        <v>0</v>
      </c>
      <c r="U660" s="24">
        <v>554465000000</v>
      </c>
      <c r="V660" s="109">
        <v>0.37417290331532438</v>
      </c>
      <c r="W660" s="109">
        <v>4.5388482230618701</v>
      </c>
      <c r="X660" s="109">
        <v>0.57869975562028253</v>
      </c>
      <c r="Y660" s="109">
        <v>0.38778483763628002</v>
      </c>
      <c r="Z660" s="109">
        <v>0.93236959578865652</v>
      </c>
      <c r="AA660" s="109">
        <v>6.4377024121070887</v>
      </c>
      <c r="AD660" s="111"/>
    </row>
    <row r="661" spans="1:30" ht="15" customHeight="1" x14ac:dyDescent="0.3">
      <c r="A661" s="22" t="s">
        <v>154</v>
      </c>
      <c r="B661" s="23">
        <v>83</v>
      </c>
      <c r="C661" s="2" t="s">
        <v>98</v>
      </c>
      <c r="D661" s="23">
        <v>2015</v>
      </c>
      <c r="E661" s="25">
        <v>4.1726401742533525</v>
      </c>
      <c r="F661" s="25">
        <v>0.53559544944551696</v>
      </c>
      <c r="G661" s="25">
        <v>0.7940191579469531</v>
      </c>
      <c r="H661" s="25">
        <v>3.8548220715855246</v>
      </c>
      <c r="I661" s="25">
        <v>0.58358309398648733</v>
      </c>
      <c r="J661" s="25">
        <v>0.10000663512117083</v>
      </c>
      <c r="K661" s="25">
        <v>0.48551446210299681</v>
      </c>
      <c r="L661" s="25">
        <v>1</v>
      </c>
      <c r="M661" s="24">
        <v>1</v>
      </c>
      <c r="N661" s="108">
        <v>0</v>
      </c>
      <c r="O661" s="24">
        <v>5</v>
      </c>
      <c r="P661" s="24">
        <v>21</v>
      </c>
      <c r="Q661" s="24">
        <v>5</v>
      </c>
      <c r="R661" s="24">
        <v>5</v>
      </c>
      <c r="S661" s="24">
        <v>21</v>
      </c>
      <c r="T661" s="24">
        <v>15</v>
      </c>
      <c r="U661" s="24">
        <v>11393914000000</v>
      </c>
      <c r="V661" s="109">
        <v>0.14862558672948645</v>
      </c>
      <c r="W661" s="109">
        <v>3.8861234725836966</v>
      </c>
      <c r="X661" s="109">
        <v>0.11002139563279133</v>
      </c>
      <c r="Y661" s="109">
        <v>0.28483484077552279</v>
      </c>
      <c r="Z661" s="109">
        <v>0.27238611289992049</v>
      </c>
      <c r="AA661" s="109">
        <v>4.5533658218919308</v>
      </c>
      <c r="AD661" s="111"/>
    </row>
    <row r="662" spans="1:30" ht="15" customHeight="1" x14ac:dyDescent="0.3">
      <c r="A662" s="22" t="s">
        <v>154</v>
      </c>
      <c r="B662" s="23">
        <v>83</v>
      </c>
      <c r="C662" s="3" t="s">
        <v>98</v>
      </c>
      <c r="D662" s="23">
        <v>2016</v>
      </c>
      <c r="E662" s="25">
        <v>3.4949175687628387</v>
      </c>
      <c r="F662" s="25">
        <v>0.36454190638516476</v>
      </c>
      <c r="G662" s="25">
        <v>0.77639976310962344</v>
      </c>
      <c r="H662" s="25">
        <v>3.4722684619233188</v>
      </c>
      <c r="I662" s="25">
        <v>0.16001565167340581</v>
      </c>
      <c r="J662" s="25">
        <v>3.034098037903785E-2</v>
      </c>
      <c r="K662" s="25">
        <v>0.13569302088915272</v>
      </c>
      <c r="L662" s="25">
        <v>1</v>
      </c>
      <c r="M662" s="24">
        <v>1</v>
      </c>
      <c r="N662" s="108">
        <v>0</v>
      </c>
      <c r="O662" s="24">
        <v>4</v>
      </c>
      <c r="P662" s="24">
        <v>15</v>
      </c>
      <c r="Q662" s="24">
        <v>4</v>
      </c>
      <c r="R662" s="24">
        <v>4</v>
      </c>
      <c r="S662" s="24">
        <v>15</v>
      </c>
      <c r="T662" s="24">
        <v>12</v>
      </c>
      <c r="U662" s="24">
        <v>12076472000000</v>
      </c>
      <c r="V662" s="109">
        <v>0.17275737809699795</v>
      </c>
      <c r="W662" s="109">
        <v>3.7355588751416806</v>
      </c>
      <c r="X662" s="109">
        <v>9.9420444977639161E-2</v>
      </c>
      <c r="Y662" s="109">
        <v>0.26442856489875516</v>
      </c>
      <c r="Z662" s="109">
        <v>0.30239597298257176</v>
      </c>
      <c r="AA662" s="109">
        <v>4.4018038580006467</v>
      </c>
      <c r="AD662" s="111"/>
    </row>
    <row r="663" spans="1:30" ht="15" customHeight="1" x14ac:dyDescent="0.3">
      <c r="A663" s="22" t="s">
        <v>154</v>
      </c>
      <c r="B663" s="23">
        <v>83</v>
      </c>
      <c r="C663" s="3" t="s">
        <v>98</v>
      </c>
      <c r="D663" s="23">
        <v>2017</v>
      </c>
      <c r="E663" s="25">
        <v>2.6585685303062312</v>
      </c>
      <c r="F663" s="25">
        <v>0.46557295590214531</v>
      </c>
      <c r="G663" s="25">
        <v>0.73949837594848367</v>
      </c>
      <c r="H663" s="25">
        <v>2.8688397532914012</v>
      </c>
      <c r="I663" s="25">
        <v>0.13593943843072939</v>
      </c>
      <c r="J663" s="25">
        <v>2.676818159893439E-2</v>
      </c>
      <c r="K663" s="25">
        <v>0.11907106323351989</v>
      </c>
      <c r="L663" s="25">
        <v>1</v>
      </c>
      <c r="M663" s="24">
        <v>1</v>
      </c>
      <c r="N663" s="108">
        <v>0</v>
      </c>
      <c r="O663" s="24">
        <v>4</v>
      </c>
      <c r="P663" s="24">
        <v>15</v>
      </c>
      <c r="Q663" s="24">
        <v>4</v>
      </c>
      <c r="R663" s="24">
        <v>5</v>
      </c>
      <c r="S663" s="24">
        <v>15</v>
      </c>
      <c r="T663" s="24">
        <v>15</v>
      </c>
      <c r="U663" s="24">
        <v>11752706000000</v>
      </c>
      <c r="V663" s="109">
        <v>0.15883697236195718</v>
      </c>
      <c r="W663" s="109">
        <v>3.483952839456717</v>
      </c>
      <c r="X663" s="109">
        <v>0.26650646583008203</v>
      </c>
      <c r="Y663" s="109">
        <v>0.26143758211938595</v>
      </c>
      <c r="Z663" s="109">
        <v>0.36600162096727146</v>
      </c>
      <c r="AA663" s="109">
        <v>4.3778985083734563</v>
      </c>
      <c r="AD663" s="111"/>
    </row>
    <row r="664" spans="1:30" ht="15" customHeight="1" x14ac:dyDescent="0.3">
      <c r="A664" s="22" t="s">
        <v>154</v>
      </c>
      <c r="B664" s="23">
        <v>83</v>
      </c>
      <c r="C664" s="3" t="s">
        <v>98</v>
      </c>
      <c r="D664" s="23">
        <v>2018</v>
      </c>
      <c r="E664" s="25">
        <v>2.8884581896272428</v>
      </c>
      <c r="F664" s="25">
        <v>0.38343849991434692</v>
      </c>
      <c r="G664" s="25">
        <v>0.76377512364711686</v>
      </c>
      <c r="H664" s="25">
        <v>3.2489258125692873</v>
      </c>
      <c r="I664" s="25">
        <v>8.0466776766071502E-2</v>
      </c>
      <c r="J664" s="25">
        <v>0</v>
      </c>
      <c r="K664" s="25">
        <v>6.3627375964969438E-2</v>
      </c>
      <c r="L664" s="25">
        <v>1</v>
      </c>
      <c r="M664" s="24">
        <v>1</v>
      </c>
      <c r="N664" s="108">
        <v>0</v>
      </c>
      <c r="O664" s="24">
        <v>4</v>
      </c>
      <c r="P664" s="24">
        <v>17</v>
      </c>
      <c r="Q664" s="24">
        <v>4</v>
      </c>
      <c r="R664" s="24">
        <v>5</v>
      </c>
      <c r="S664" s="24">
        <v>17</v>
      </c>
      <c r="T664" s="24">
        <v>21</v>
      </c>
      <c r="U664" s="24">
        <v>13475850000000</v>
      </c>
      <c r="V664" s="109">
        <v>-5.5983198445562272E-2</v>
      </c>
      <c r="W664" s="109">
        <v>3.5042516857934753</v>
      </c>
      <c r="X664" s="109">
        <v>0.27647120441382173</v>
      </c>
      <c r="Y664" s="109">
        <v>0.11926437293380381</v>
      </c>
      <c r="Z664" s="109">
        <v>0.32318374151167467</v>
      </c>
      <c r="AA664" s="109">
        <v>4.2231710046527757</v>
      </c>
      <c r="AD664" s="111"/>
    </row>
    <row r="665" spans="1:30" ht="15" customHeight="1" x14ac:dyDescent="0.3">
      <c r="A665" s="22" t="s">
        <v>154</v>
      </c>
      <c r="B665" s="23">
        <v>83</v>
      </c>
      <c r="C665" s="3" t="s">
        <v>98</v>
      </c>
      <c r="D665" s="23">
        <v>2019</v>
      </c>
      <c r="E665" s="25">
        <v>2.9372561421402135</v>
      </c>
      <c r="F665" s="25">
        <v>0.38912698083912484</v>
      </c>
      <c r="G665" s="25">
        <v>0.74089307438913321</v>
      </c>
      <c r="H665" s="25">
        <v>2.8770911027421264</v>
      </c>
      <c r="I665" s="25">
        <v>4.0048481640435854E-2</v>
      </c>
      <c r="J665" s="25">
        <v>8.3959408690202336E-3</v>
      </c>
      <c r="K665" s="25">
        <v>3.2603742170654856E-2</v>
      </c>
      <c r="L665" s="25">
        <v>1</v>
      </c>
      <c r="M665" s="24">
        <v>0</v>
      </c>
      <c r="N665" s="108">
        <v>0</v>
      </c>
      <c r="O665" s="24">
        <v>5</v>
      </c>
      <c r="P665" s="24">
        <v>21</v>
      </c>
      <c r="Q665" s="24">
        <v>5</v>
      </c>
      <c r="R665" s="24">
        <v>5</v>
      </c>
      <c r="S665" s="24">
        <v>21</v>
      </c>
      <c r="T665" s="24">
        <v>21</v>
      </c>
      <c r="U665" s="24">
        <v>12688036000000</v>
      </c>
      <c r="V665" s="109">
        <v>6.1862851590553165E-2</v>
      </c>
      <c r="W665" s="109">
        <v>3.4332154795273278</v>
      </c>
      <c r="X665" s="109">
        <v>0.30964182478675184</v>
      </c>
      <c r="Y665" s="109">
        <v>7.628354144014092E-2</v>
      </c>
      <c r="Z665" s="109">
        <v>0.36495194712439094</v>
      </c>
      <c r="AA665" s="109">
        <v>4.1840927928786114</v>
      </c>
      <c r="AD665" s="111"/>
    </row>
    <row r="666" spans="1:30" ht="15" customHeight="1" x14ac:dyDescent="0.3">
      <c r="A666" s="22" t="s">
        <v>154</v>
      </c>
      <c r="B666" s="23">
        <v>83</v>
      </c>
      <c r="C666" s="3" t="s">
        <v>98</v>
      </c>
      <c r="D666" s="23">
        <v>2020</v>
      </c>
      <c r="E666" s="25">
        <v>3.5441176230275699</v>
      </c>
      <c r="F666" s="25">
        <v>0.68913610661817459</v>
      </c>
      <c r="G666" s="25">
        <v>0.93252569218478654</v>
      </c>
      <c r="H666" s="25">
        <v>14.064714770702267</v>
      </c>
      <c r="I666" s="25">
        <v>-0.10490829048080824</v>
      </c>
      <c r="J666" s="25">
        <v>-1.8177783105611561E-2</v>
      </c>
      <c r="K666" s="25">
        <v>-0.27416438676893329</v>
      </c>
      <c r="L666" s="25">
        <v>1</v>
      </c>
      <c r="M666" s="24">
        <v>2</v>
      </c>
      <c r="N666" s="108">
        <v>0</v>
      </c>
      <c r="O666" s="24">
        <v>5</v>
      </c>
      <c r="P666" s="24">
        <v>18</v>
      </c>
      <c r="Q666" s="24">
        <v>5</v>
      </c>
      <c r="R666" s="24">
        <v>6</v>
      </c>
      <c r="S666" s="24">
        <v>18</v>
      </c>
      <c r="T666" s="24">
        <v>18</v>
      </c>
      <c r="U666" s="24">
        <v>13914348000000</v>
      </c>
      <c r="V666" s="109">
        <v>-9.3607611497246598E-2</v>
      </c>
      <c r="W666" s="109">
        <v>3.6699726756869953</v>
      </c>
      <c r="X666" s="109">
        <v>-0.2758571871279919</v>
      </c>
      <c r="Y666" s="109">
        <v>-4.4107288390372298E-2</v>
      </c>
      <c r="Z666" s="109">
        <v>7.465490890630927E-2</v>
      </c>
      <c r="AA666" s="109">
        <v>3.42466310907494</v>
      </c>
      <c r="AD666" s="111"/>
    </row>
    <row r="667" spans="1:30" ht="15" customHeight="1" x14ac:dyDescent="0.3">
      <c r="A667" s="22" t="s">
        <v>154</v>
      </c>
      <c r="B667" s="23">
        <v>83</v>
      </c>
      <c r="C667" s="3" t="s">
        <v>98</v>
      </c>
      <c r="D667" s="23">
        <v>2021</v>
      </c>
      <c r="E667" s="25">
        <v>3.7599697533319714</v>
      </c>
      <c r="F667" s="25">
        <v>0.40567268374671639</v>
      </c>
      <c r="G667" s="25">
        <v>0.931927875042738</v>
      </c>
      <c r="H667" s="25">
        <v>13.973011115513575</v>
      </c>
      <c r="I667" s="25">
        <v>4.0163713481756527E-3</v>
      </c>
      <c r="J667" s="25">
        <v>6.6789471586734428E-4</v>
      </c>
      <c r="K667" s="25">
        <v>1.0014187297894911E-2</v>
      </c>
      <c r="L667" s="25">
        <v>1</v>
      </c>
      <c r="M667" s="24">
        <v>2</v>
      </c>
      <c r="N667" s="108">
        <v>0</v>
      </c>
      <c r="O667" s="24">
        <v>5</v>
      </c>
      <c r="P667" s="24">
        <v>18</v>
      </c>
      <c r="Q667" s="24">
        <v>5</v>
      </c>
      <c r="R667" s="24">
        <v>6</v>
      </c>
      <c r="S667" s="24">
        <v>18</v>
      </c>
      <c r="T667" s="24">
        <v>18</v>
      </c>
      <c r="U667" s="24">
        <v>14077069000000</v>
      </c>
      <c r="V667" s="109">
        <v>-2.9059943209862205E-2</v>
      </c>
      <c r="W667" s="109">
        <v>3.5888956372949505</v>
      </c>
      <c r="X667" s="109">
        <v>-0.26856020241145367</v>
      </c>
      <c r="Y667" s="109">
        <v>8.161344382129547E-2</v>
      </c>
      <c r="Z667" s="109">
        <v>7.5144862572551346E-2</v>
      </c>
      <c r="AA667" s="109">
        <v>3.4770937412773439</v>
      </c>
      <c r="AD667" s="111"/>
    </row>
    <row r="668" spans="1:30" ht="15" customHeight="1" x14ac:dyDescent="0.3">
      <c r="A668" s="22" t="s">
        <v>154</v>
      </c>
      <c r="B668" s="23">
        <v>83</v>
      </c>
      <c r="C668" s="3" t="s">
        <v>98</v>
      </c>
      <c r="D668" s="23">
        <v>2022</v>
      </c>
      <c r="E668" s="25">
        <v>3.2776630557107076</v>
      </c>
      <c r="F668" s="25">
        <v>0.33138461056609175</v>
      </c>
      <c r="G668" s="25">
        <v>0.99340437157774752</v>
      </c>
      <c r="H668" s="25">
        <v>4.6213555243114239</v>
      </c>
      <c r="I668" s="25">
        <v>0.15460736077682741</v>
      </c>
      <c r="J668" s="25">
        <v>1.8372264106295926E-2</v>
      </c>
      <c r="K668" s="25">
        <v>8.546848257461509E-2</v>
      </c>
      <c r="L668" s="25">
        <v>1</v>
      </c>
      <c r="M668" s="24">
        <v>3</v>
      </c>
      <c r="N668" s="108">
        <v>0</v>
      </c>
      <c r="O668" s="24">
        <v>5</v>
      </c>
      <c r="P668" s="24">
        <v>18</v>
      </c>
      <c r="Q668" s="24">
        <v>5</v>
      </c>
      <c r="R668" s="24">
        <v>6</v>
      </c>
      <c r="S668" s="24">
        <v>18</v>
      </c>
      <c r="T668" s="24">
        <v>18</v>
      </c>
      <c r="U668" s="24">
        <v>12576512000000</v>
      </c>
      <c r="V668" s="109">
        <v>-0.36158021700024651</v>
      </c>
      <c r="W668" s="109">
        <v>3.8690641220713657</v>
      </c>
      <c r="X668" s="109">
        <v>-0.28761070796099902</v>
      </c>
      <c r="Y668" s="109">
        <v>0.15293789565819202</v>
      </c>
      <c r="Z668" s="109">
        <v>0.2272060642113114</v>
      </c>
      <c r="AA668" s="109">
        <v>3.9615973739798704</v>
      </c>
      <c r="AD668" s="111"/>
    </row>
    <row r="669" spans="1:30" ht="15" customHeight="1" x14ac:dyDescent="0.3">
      <c r="A669" s="22" t="s">
        <v>154</v>
      </c>
      <c r="B669" s="23">
        <v>83</v>
      </c>
      <c r="C669" s="3" t="s">
        <v>98</v>
      </c>
      <c r="D669" s="23">
        <v>2023</v>
      </c>
      <c r="E669" s="25">
        <v>2.73202799428321</v>
      </c>
      <c r="F669" s="25">
        <v>0.14328057640485645</v>
      </c>
      <c r="G669" s="25">
        <v>0.99083771194964254</v>
      </c>
      <c r="H669" s="25">
        <v>4.2009292493799775</v>
      </c>
      <c r="I669" s="25">
        <v>8.0882110171796556E-2</v>
      </c>
      <c r="J669" s="25">
        <v>8.4649454964596041E-3</v>
      </c>
      <c r="K669" s="25">
        <v>3.5889466762940254E-2</v>
      </c>
      <c r="L669" s="25">
        <v>1</v>
      </c>
      <c r="M669" s="24">
        <v>2</v>
      </c>
      <c r="N669" s="108">
        <v>0</v>
      </c>
      <c r="O669" s="24">
        <v>3</v>
      </c>
      <c r="P669" s="24">
        <v>12</v>
      </c>
      <c r="Q669" s="24">
        <v>3</v>
      </c>
      <c r="R669" s="24">
        <v>6</v>
      </c>
      <c r="S669" s="24">
        <v>12</v>
      </c>
      <c r="T669" s="24">
        <v>16</v>
      </c>
      <c r="U669" s="24">
        <v>12154715000000</v>
      </c>
      <c r="V669" s="109">
        <v>-0.14881541449953797</v>
      </c>
      <c r="W669" s="109">
        <v>3.5129896241911056</v>
      </c>
      <c r="X669" s="109">
        <v>-0.26418098490997116</v>
      </c>
      <c r="Y669" s="109">
        <v>6.0269115318623258E-2</v>
      </c>
      <c r="Z669" s="109">
        <v>0.2499446997720734</v>
      </c>
      <c r="AA669" s="109">
        <v>3.5590224543718314</v>
      </c>
      <c r="AD669" s="111"/>
    </row>
    <row r="670" spans="1:30" ht="15" customHeight="1" x14ac:dyDescent="0.3">
      <c r="A670" s="22" t="s">
        <v>154</v>
      </c>
      <c r="B670" s="23">
        <v>83</v>
      </c>
      <c r="C670" s="3" t="s">
        <v>98</v>
      </c>
      <c r="D670" s="23">
        <v>2024</v>
      </c>
      <c r="E670" s="25">
        <v>2.7007070259557433</v>
      </c>
      <c r="F670" s="25">
        <v>0.20031536975334049</v>
      </c>
      <c r="G670" s="25">
        <v>0.78395358730994802</v>
      </c>
      <c r="H670" s="25">
        <v>3.9318328726558085</v>
      </c>
      <c r="I670" s="25">
        <v>0.10287918110965291</v>
      </c>
      <c r="J670" s="25">
        <v>1.048467882224427E-2</v>
      </c>
      <c r="K670" s="25">
        <v>5.2584751852458415E-2</v>
      </c>
      <c r="L670" s="25">
        <v>1</v>
      </c>
      <c r="M670" s="24">
        <v>0</v>
      </c>
      <c r="N670" s="108">
        <v>0</v>
      </c>
      <c r="O670" s="24">
        <v>2</v>
      </c>
      <c r="P670" s="24">
        <v>6</v>
      </c>
      <c r="Q670" s="24">
        <v>2</v>
      </c>
      <c r="R670" s="24">
        <v>5</v>
      </c>
      <c r="S670" s="24">
        <v>6</v>
      </c>
      <c r="T670" s="24">
        <v>13</v>
      </c>
      <c r="U670" s="24">
        <v>15005896000000</v>
      </c>
      <c r="V670" s="109">
        <v>0.20218994627721712</v>
      </c>
      <c r="W670" s="109">
        <v>2.8360703659414939</v>
      </c>
      <c r="X670" s="109">
        <v>-0.17980482338408849</v>
      </c>
      <c r="Y670" s="109">
        <v>4.7813718021236448E-2</v>
      </c>
      <c r="Z670" s="109">
        <v>0.26705102531246794</v>
      </c>
      <c r="AA670" s="109">
        <v>2.9711302858911099</v>
      </c>
      <c r="AD670" s="111"/>
    </row>
    <row r="671" spans="1:30" ht="15" customHeight="1" x14ac:dyDescent="0.3">
      <c r="A671" s="22" t="s">
        <v>154</v>
      </c>
      <c r="B671" s="23">
        <v>84</v>
      </c>
      <c r="C671" s="2" t="s">
        <v>84</v>
      </c>
      <c r="D671" s="23">
        <v>2015</v>
      </c>
      <c r="E671" s="25">
        <v>0.78610702610552741</v>
      </c>
      <c r="F671" s="25">
        <v>7.8068359576241822E-2</v>
      </c>
      <c r="G671" s="25">
        <v>0.57389581191695105</v>
      </c>
      <c r="H671" s="25">
        <v>2.3468438658131587</v>
      </c>
      <c r="I671" s="25">
        <v>0.11599332220367278</v>
      </c>
      <c r="J671" s="25">
        <v>1.1462595236666866</v>
      </c>
      <c r="K671" s="25">
        <v>0.11495283245896905</v>
      </c>
      <c r="L671" s="25">
        <v>0.90329999999999999</v>
      </c>
      <c r="M671" s="24">
        <v>2</v>
      </c>
      <c r="N671" s="108">
        <v>0</v>
      </c>
      <c r="O671" s="24">
        <v>3</v>
      </c>
      <c r="P671" s="24">
        <v>9</v>
      </c>
      <c r="Q671" s="24">
        <v>3</v>
      </c>
      <c r="R671" s="24">
        <v>4</v>
      </c>
      <c r="S671" s="24">
        <v>9</v>
      </c>
      <c r="T671" s="24">
        <v>6</v>
      </c>
      <c r="U671" s="24">
        <v>390083000000</v>
      </c>
      <c r="V671" s="109">
        <v>6.414935882941955E-2</v>
      </c>
      <c r="W671" s="109">
        <v>-0.76802936810883826</v>
      </c>
      <c r="X671" s="109">
        <v>0.46257078621729214</v>
      </c>
      <c r="Y671" s="109">
        <v>0.38047779575116064</v>
      </c>
      <c r="Z671" s="109">
        <v>0.77960038773021478</v>
      </c>
      <c r="AA671" s="109">
        <v>0.8546196015898293</v>
      </c>
      <c r="AD671" s="111"/>
    </row>
    <row r="672" spans="1:30" ht="15" customHeight="1" x14ac:dyDescent="0.3">
      <c r="A672" s="22" t="s">
        <v>154</v>
      </c>
      <c r="B672" s="23">
        <v>84</v>
      </c>
      <c r="C672" s="3" t="s">
        <v>84</v>
      </c>
      <c r="D672" s="23">
        <v>2016</v>
      </c>
      <c r="E672" s="25">
        <v>0.72793233262267532</v>
      </c>
      <c r="F672" s="25">
        <v>5.037276978589076E-2</v>
      </c>
      <c r="G672" s="25">
        <v>0.57023667073333506</v>
      </c>
      <c r="H672" s="25">
        <v>1.3268620933907262</v>
      </c>
      <c r="I672" s="25">
        <v>0.14973322100533559</v>
      </c>
      <c r="J672" s="25">
        <v>5.6185589944011106E-2</v>
      </c>
      <c r="K672" s="25">
        <v>0.13073611943551464</v>
      </c>
      <c r="L672" s="25">
        <v>0.87609999999999999</v>
      </c>
      <c r="M672" s="24">
        <v>2</v>
      </c>
      <c r="N672" s="108">
        <v>0</v>
      </c>
      <c r="O672" s="24">
        <v>3</v>
      </c>
      <c r="P672" s="24">
        <v>9</v>
      </c>
      <c r="Q672" s="24">
        <v>3</v>
      </c>
      <c r="R672" s="24">
        <v>4</v>
      </c>
      <c r="S672" s="24">
        <v>9</v>
      </c>
      <c r="T672" s="24">
        <v>6</v>
      </c>
      <c r="U672" s="24">
        <v>427049000000</v>
      </c>
      <c r="V672" s="109">
        <v>-2.7196843223554409E-2</v>
      </c>
      <c r="W672" s="109">
        <v>-0.96250425595189293</v>
      </c>
      <c r="X672" s="109">
        <v>0.55246461178927941</v>
      </c>
      <c r="Y672" s="109">
        <v>0.4444289999508253</v>
      </c>
      <c r="Z672" s="109">
        <v>0.79134071674078821</v>
      </c>
      <c r="AA672" s="109">
        <v>0.82573007252899999</v>
      </c>
      <c r="AD672" s="111"/>
    </row>
    <row r="673" spans="1:30" ht="15" customHeight="1" x14ac:dyDescent="0.3">
      <c r="A673" s="22" t="s">
        <v>154</v>
      </c>
      <c r="B673" s="23">
        <v>84</v>
      </c>
      <c r="C673" s="3" t="s">
        <v>84</v>
      </c>
      <c r="D673" s="23">
        <v>2017</v>
      </c>
      <c r="E673" s="25">
        <v>0.85163577316568917</v>
      </c>
      <c r="F673" s="25">
        <v>6.4419382603217418E-2</v>
      </c>
      <c r="G673" s="25">
        <v>0.5260250880952595</v>
      </c>
      <c r="H673" s="25">
        <v>1.1098163107016514</v>
      </c>
      <c r="I673" s="25">
        <v>0.24824187848923521</v>
      </c>
      <c r="J673" s="25">
        <v>7.9839411084311418E-2</v>
      </c>
      <c r="K673" s="25">
        <v>0.16844649174249446</v>
      </c>
      <c r="L673" s="25">
        <v>0.77439999999999998</v>
      </c>
      <c r="M673" s="24">
        <v>2</v>
      </c>
      <c r="N673" s="108">
        <v>0</v>
      </c>
      <c r="O673" s="24">
        <v>3</v>
      </c>
      <c r="P673" s="24">
        <v>9</v>
      </c>
      <c r="Q673" s="24">
        <v>3</v>
      </c>
      <c r="R673" s="24">
        <v>4</v>
      </c>
      <c r="S673" s="24">
        <v>9</v>
      </c>
      <c r="T673" s="24">
        <v>6</v>
      </c>
      <c r="U673" s="24">
        <v>446108000000</v>
      </c>
      <c r="V673" s="109">
        <v>-0.10463977035164904</v>
      </c>
      <c r="W673" s="109">
        <v>-0.49174854519533379</v>
      </c>
      <c r="X673" s="109">
        <v>0.63279111784590281</v>
      </c>
      <c r="Y673" s="109">
        <v>0.40114411756794316</v>
      </c>
      <c r="Z673" s="109">
        <v>0.94610251252855149</v>
      </c>
      <c r="AA673" s="109">
        <v>1.4882892027470636</v>
      </c>
      <c r="AD673" s="111"/>
    </row>
    <row r="674" spans="1:30" ht="15" customHeight="1" x14ac:dyDescent="0.3">
      <c r="A674" s="22" t="s">
        <v>154</v>
      </c>
      <c r="B674" s="23">
        <v>84</v>
      </c>
      <c r="C674" s="3" t="s">
        <v>84</v>
      </c>
      <c r="D674" s="23">
        <v>2018</v>
      </c>
      <c r="E674" s="25">
        <v>0.88536666147909604</v>
      </c>
      <c r="F674" s="25">
        <v>4.6592364694192714E-2</v>
      </c>
      <c r="G674" s="25">
        <v>0.54095297415135468</v>
      </c>
      <c r="H674" s="25">
        <v>1.1784260515603799</v>
      </c>
      <c r="I674" s="25">
        <v>0.1326000409340895</v>
      </c>
      <c r="J674" s="25">
        <v>4.1978183216669213E-2</v>
      </c>
      <c r="K674" s="25">
        <v>9.1446367916366914E-2</v>
      </c>
      <c r="L674" s="25">
        <v>0.77390000000000003</v>
      </c>
      <c r="M674" s="24">
        <v>2</v>
      </c>
      <c r="N674" s="108">
        <v>0</v>
      </c>
      <c r="O674" s="24">
        <v>3</v>
      </c>
      <c r="P674" s="24">
        <v>9</v>
      </c>
      <c r="Q674" s="24">
        <v>3</v>
      </c>
      <c r="R674" s="24">
        <v>4</v>
      </c>
      <c r="S674" s="24">
        <v>9</v>
      </c>
      <c r="T674" s="24">
        <v>6</v>
      </c>
      <c r="U674" s="24">
        <v>478439000000</v>
      </c>
      <c r="V674" s="109">
        <v>5.5660489137631816E-2</v>
      </c>
      <c r="W674" s="109">
        <v>-0.39388327456582761</v>
      </c>
      <c r="X674" s="109">
        <v>0.68449649798615908</v>
      </c>
      <c r="Y674" s="109">
        <v>0.41597679118968145</v>
      </c>
      <c r="Z674" s="109">
        <v>0.89101899827288433</v>
      </c>
      <c r="AA674" s="109">
        <v>1.5976090128828973</v>
      </c>
      <c r="AD674" s="111"/>
    </row>
    <row r="675" spans="1:30" ht="15" customHeight="1" x14ac:dyDescent="0.3">
      <c r="A675" s="22" t="s">
        <v>154</v>
      </c>
      <c r="B675" s="23">
        <v>84</v>
      </c>
      <c r="C675" s="3" t="s">
        <v>84</v>
      </c>
      <c r="D675" s="23">
        <v>2019</v>
      </c>
      <c r="E675" s="25">
        <v>0.92514702503042634</v>
      </c>
      <c r="F675" s="25">
        <v>3.9069082614875274E-2</v>
      </c>
      <c r="G675" s="25">
        <v>0.53232738401054347</v>
      </c>
      <c r="H675" s="25">
        <v>1.138247923463076</v>
      </c>
      <c r="I675" s="25">
        <v>2.2228927781130559E-2</v>
      </c>
      <c r="J675" s="25">
        <v>6.4176737328835972E-3</v>
      </c>
      <c r="K675" s="25">
        <v>1.372257753280188E-2</v>
      </c>
      <c r="L675" s="25">
        <v>0.77390000000000003</v>
      </c>
      <c r="M675" s="24">
        <v>2</v>
      </c>
      <c r="N675" s="108">
        <v>0</v>
      </c>
      <c r="O675" s="24">
        <v>4</v>
      </c>
      <c r="P675" s="24">
        <v>8</v>
      </c>
      <c r="Q675" s="24">
        <v>4</v>
      </c>
      <c r="R675" s="24">
        <v>4</v>
      </c>
      <c r="S675" s="24">
        <v>8</v>
      </c>
      <c r="T675" s="24">
        <v>6</v>
      </c>
      <c r="U675" s="24">
        <v>447670000000</v>
      </c>
      <c r="V675" s="109">
        <v>-0.146682688181272</v>
      </c>
      <c r="W675" s="109">
        <v>-0.25775772332298341</v>
      </c>
      <c r="X675" s="109">
        <v>0.6447979538499341</v>
      </c>
      <c r="Y675" s="109">
        <v>3.8998726740679515E-2</v>
      </c>
      <c r="Z675" s="109">
        <v>0.92247038483972355</v>
      </c>
      <c r="AA675" s="109">
        <v>1.3485093421073537</v>
      </c>
      <c r="AD675" s="111"/>
    </row>
    <row r="676" spans="1:30" ht="15" customHeight="1" x14ac:dyDescent="0.3">
      <c r="A676" s="22" t="s">
        <v>154</v>
      </c>
      <c r="B676" s="23">
        <v>84</v>
      </c>
      <c r="C676" s="3" t="s">
        <v>84</v>
      </c>
      <c r="D676" s="23">
        <v>2020</v>
      </c>
      <c r="E676" s="25">
        <v>1.1257039765672696</v>
      </c>
      <c r="F676" s="25">
        <v>7.0092400139937852E-2</v>
      </c>
      <c r="G676" s="25">
        <v>0.42713060880786519</v>
      </c>
      <c r="H676" s="25">
        <v>0.74559858734817575</v>
      </c>
      <c r="I676" s="25">
        <v>1.9203072491598655E-3</v>
      </c>
      <c r="J676" s="25">
        <v>4.7024857558425651E-4</v>
      </c>
      <c r="K676" s="25">
        <v>8.2086524924236996E-4</v>
      </c>
      <c r="L676" s="25">
        <v>0.77390000000000003</v>
      </c>
      <c r="M676" s="24">
        <v>2</v>
      </c>
      <c r="N676" s="108">
        <v>0</v>
      </c>
      <c r="O676" s="24">
        <v>4</v>
      </c>
      <c r="P676" s="24">
        <v>8</v>
      </c>
      <c r="Q676" s="24">
        <v>4</v>
      </c>
      <c r="R676" s="24">
        <v>4</v>
      </c>
      <c r="S676" s="24">
        <v>8</v>
      </c>
      <c r="T676" s="24">
        <v>4</v>
      </c>
      <c r="U676" s="24">
        <v>365764000000</v>
      </c>
      <c r="V676" s="109">
        <v>-0.30698822400693254</v>
      </c>
      <c r="W676" s="109">
        <v>0.32866001027985259</v>
      </c>
      <c r="X676" s="109">
        <v>0.73778797257247841</v>
      </c>
      <c r="Y676" s="109">
        <v>-0.11769425093776315</v>
      </c>
      <c r="Z676" s="109">
        <v>1.4082644707448682</v>
      </c>
      <c r="AA676" s="109">
        <v>2.357018202659436</v>
      </c>
      <c r="AD676" s="111"/>
    </row>
    <row r="677" spans="1:30" ht="15" customHeight="1" x14ac:dyDescent="0.3">
      <c r="A677" s="22" t="s">
        <v>154</v>
      </c>
      <c r="B677" s="23">
        <v>84</v>
      </c>
      <c r="C677" s="3" t="s">
        <v>84</v>
      </c>
      <c r="D677" s="23">
        <v>2021</v>
      </c>
      <c r="E677" s="25">
        <v>1.1417692404785167</v>
      </c>
      <c r="F677" s="25">
        <v>3.881053335265601E-2</v>
      </c>
      <c r="G677" s="25">
        <v>0.41564302114986779</v>
      </c>
      <c r="H677" s="25">
        <v>0.71128271962756195</v>
      </c>
      <c r="I677" s="25">
        <v>7.8168317369891605E-3</v>
      </c>
      <c r="J677" s="25">
        <v>1.3621242317922448E-3</v>
      </c>
      <c r="K677" s="25">
        <v>2.3309796598520362E-3</v>
      </c>
      <c r="L677" s="25">
        <v>0.77390000000000003</v>
      </c>
      <c r="M677" s="24">
        <v>2</v>
      </c>
      <c r="N677" s="108">
        <v>0</v>
      </c>
      <c r="O677" s="24">
        <v>4</v>
      </c>
      <c r="P677" s="24">
        <v>8</v>
      </c>
      <c r="Q677" s="24">
        <v>4</v>
      </c>
      <c r="R677" s="24">
        <v>5</v>
      </c>
      <c r="S677" s="24">
        <v>8</v>
      </c>
      <c r="T677" s="24">
        <v>7</v>
      </c>
      <c r="U677" s="24">
        <v>527852000000</v>
      </c>
      <c r="V677" s="109">
        <v>2.6928959796358114E-2</v>
      </c>
      <c r="W677" s="109">
        <v>0.3768832172654456</v>
      </c>
      <c r="X677" s="109">
        <v>0.50101967975872019</v>
      </c>
      <c r="Y677" s="109">
        <v>1.437311973810841E-2</v>
      </c>
      <c r="Z677" s="109">
        <v>1.4762062552985897</v>
      </c>
      <c r="AA677" s="109">
        <v>2.3684822720608638</v>
      </c>
      <c r="AD677" s="111"/>
    </row>
    <row r="678" spans="1:30" ht="15" customHeight="1" x14ac:dyDescent="0.3">
      <c r="A678" s="22" t="s">
        <v>154</v>
      </c>
      <c r="B678" s="23">
        <v>84</v>
      </c>
      <c r="C678" s="3" t="s">
        <v>84</v>
      </c>
      <c r="D678" s="23">
        <v>2022</v>
      </c>
      <c r="E678" s="25">
        <v>1.1799194567277322</v>
      </c>
      <c r="F678" s="25">
        <v>5.5190190416027435E-2</v>
      </c>
      <c r="G678" s="25">
        <v>0.36308292854967217</v>
      </c>
      <c r="H678" s="25">
        <v>0.57006311311909696</v>
      </c>
      <c r="I678" s="25">
        <v>0.12521340162185232</v>
      </c>
      <c r="J678" s="25">
        <v>1.8812420846759326E-2</v>
      </c>
      <c r="K678" s="25">
        <v>2.9536688039969543E-2</v>
      </c>
      <c r="L678" s="25">
        <v>0.77390000000000003</v>
      </c>
      <c r="M678" s="24">
        <v>2</v>
      </c>
      <c r="N678" s="108">
        <v>0</v>
      </c>
      <c r="O678" s="24">
        <v>4</v>
      </c>
      <c r="P678" s="24">
        <v>8</v>
      </c>
      <c r="Q678" s="24">
        <v>4</v>
      </c>
      <c r="R678" s="24">
        <v>5</v>
      </c>
      <c r="S678" s="24">
        <v>8</v>
      </c>
      <c r="T678" s="24">
        <v>7</v>
      </c>
      <c r="U678" s="24">
        <v>499032000000</v>
      </c>
      <c r="V678" s="109">
        <v>-0.18487513725660734</v>
      </c>
      <c r="W678" s="109">
        <v>0.41932669648439375</v>
      </c>
      <c r="X678" s="109">
        <v>0.53370421135317969</v>
      </c>
      <c r="Y678" s="109">
        <v>1.3843120280863753E-2</v>
      </c>
      <c r="Z678" s="109">
        <v>1.8419013190573432</v>
      </c>
      <c r="AA678" s="109">
        <v>2.8087753471757804</v>
      </c>
      <c r="AD678" s="111"/>
    </row>
    <row r="679" spans="1:30" ht="15" customHeight="1" x14ac:dyDescent="0.3">
      <c r="A679" s="22" t="s">
        <v>154</v>
      </c>
      <c r="B679" s="23">
        <v>84</v>
      </c>
      <c r="C679" s="3" t="s">
        <v>84</v>
      </c>
      <c r="D679" s="23">
        <v>2023</v>
      </c>
      <c r="E679" s="25">
        <v>1.1989859985261606</v>
      </c>
      <c r="F679" s="25">
        <v>5.870596904937362E-2</v>
      </c>
      <c r="G679" s="25">
        <v>0.34959085504378185</v>
      </c>
      <c r="H679" s="25">
        <v>0.53749375720618797</v>
      </c>
      <c r="I679" s="25">
        <v>6.8237137633846964E-2</v>
      </c>
      <c r="J679" s="25">
        <v>1.3097450889571967E-2</v>
      </c>
      <c r="K679" s="25">
        <v>2.0137248978031531E-2</v>
      </c>
      <c r="L679" s="25">
        <v>0.77390000000000003</v>
      </c>
      <c r="M679" s="24">
        <v>2</v>
      </c>
      <c r="N679" s="108">
        <v>0</v>
      </c>
      <c r="O679" s="24">
        <v>4</v>
      </c>
      <c r="P679" s="24">
        <v>8</v>
      </c>
      <c r="Q679" s="24">
        <v>4</v>
      </c>
      <c r="R679" s="24">
        <v>4</v>
      </c>
      <c r="S679" s="24">
        <v>8</v>
      </c>
      <c r="T679" s="24">
        <v>6</v>
      </c>
      <c r="U679" s="24">
        <v>498723000000</v>
      </c>
      <c r="V679" s="109">
        <v>0.27674189073836963</v>
      </c>
      <c r="W679" s="109">
        <v>0.44397326772577161</v>
      </c>
      <c r="X679" s="109">
        <v>0.560312397864145</v>
      </c>
      <c r="Y679" s="109">
        <v>6.4919724977592769E-2</v>
      </c>
      <c r="Z679" s="109">
        <v>1.9535110611474689</v>
      </c>
      <c r="AA679" s="109">
        <v>3.0227164517149783</v>
      </c>
      <c r="AD679" s="111"/>
    </row>
    <row r="680" spans="1:30" ht="15" customHeight="1" x14ac:dyDescent="0.3">
      <c r="A680" s="22" t="s">
        <v>154</v>
      </c>
      <c r="B680" s="23">
        <v>84</v>
      </c>
      <c r="C680" s="3" t="s">
        <v>84</v>
      </c>
      <c r="D680" s="23">
        <v>2024</v>
      </c>
      <c r="E680" s="25">
        <v>1.0409273239668402</v>
      </c>
      <c r="F680" s="25">
        <v>3.583403616316623E-2</v>
      </c>
      <c r="G680" s="25">
        <v>0.4295843665749392</v>
      </c>
      <c r="H680" s="25">
        <v>0.75310993375053881</v>
      </c>
      <c r="I680" s="25">
        <v>2.6079963235294119E-2</v>
      </c>
      <c r="J680" s="25">
        <v>4.750295585573331E-3</v>
      </c>
      <c r="K680" s="25">
        <v>8.327804901909831E-3</v>
      </c>
      <c r="L680" s="25">
        <v>0.77390000000000003</v>
      </c>
      <c r="M680" s="24">
        <v>2</v>
      </c>
      <c r="N680" s="108">
        <v>0</v>
      </c>
      <c r="O680" s="24">
        <v>4</v>
      </c>
      <c r="P680" s="24">
        <v>10</v>
      </c>
      <c r="Q680" s="24">
        <v>4</v>
      </c>
      <c r="R680" s="24">
        <v>4</v>
      </c>
      <c r="S680" s="24">
        <v>10</v>
      </c>
      <c r="T680" s="24">
        <v>10</v>
      </c>
      <c r="U680" s="24">
        <v>573438000000</v>
      </c>
      <c r="V680" s="109">
        <v>9.1125620266388097E-2</v>
      </c>
      <c r="W680" s="109">
        <v>0.11380285226999257</v>
      </c>
      <c r="X680" s="109">
        <v>0.51442506426152435</v>
      </c>
      <c r="Y680" s="109">
        <v>4.8715013654484003E-2</v>
      </c>
      <c r="Z680" s="109">
        <v>1.394218762685719</v>
      </c>
      <c r="AA680" s="109">
        <v>2.07116169287172</v>
      </c>
      <c r="AD680" s="111"/>
    </row>
    <row r="681" spans="1:30" ht="15" customHeight="1" x14ac:dyDescent="0.3">
      <c r="A681" s="22" t="s">
        <v>154</v>
      </c>
      <c r="B681" s="23">
        <v>85</v>
      </c>
      <c r="C681" s="2" t="s">
        <v>99</v>
      </c>
      <c r="D681" s="23">
        <v>2015</v>
      </c>
      <c r="E681" s="25">
        <v>0.66303195986026342</v>
      </c>
      <c r="F681" s="25">
        <v>9.3073180721686549E-2</v>
      </c>
      <c r="G681" s="25">
        <v>0.5489404396261558</v>
      </c>
      <c r="H681" s="25">
        <v>1.2170021164637028</v>
      </c>
      <c r="I681" s="25">
        <v>0.14070518814020652</v>
      </c>
      <c r="J681" s="25">
        <v>6.5039213690120612E-2</v>
      </c>
      <c r="K681" s="25">
        <v>0.14419207440413243</v>
      </c>
      <c r="L681" s="25">
        <v>0.93799999999999994</v>
      </c>
      <c r="M681" s="24">
        <v>1</v>
      </c>
      <c r="N681" s="108">
        <v>0</v>
      </c>
      <c r="O681" s="24">
        <v>4</v>
      </c>
      <c r="P681" s="24">
        <v>8</v>
      </c>
      <c r="Q681" s="24">
        <v>4</v>
      </c>
      <c r="R681" s="24">
        <v>4</v>
      </c>
      <c r="S681" s="24">
        <v>8</v>
      </c>
      <c r="T681" s="24">
        <v>10</v>
      </c>
      <c r="U681" s="24">
        <v>1561827000000</v>
      </c>
      <c r="V681" s="109">
        <v>0.14985084040640215</v>
      </c>
      <c r="W681" s="109">
        <v>-1.1886927809546126</v>
      </c>
      <c r="X681" s="109">
        <v>1.2835741090402457</v>
      </c>
      <c r="Y681" s="109">
        <v>0.55209495033700917</v>
      </c>
      <c r="Z681" s="109">
        <v>0.86277582084329629</v>
      </c>
      <c r="AA681" s="109">
        <v>1.5097520992659386</v>
      </c>
      <c r="AD681" s="111"/>
    </row>
    <row r="682" spans="1:30" ht="15" customHeight="1" x14ac:dyDescent="0.3">
      <c r="A682" s="22" t="s">
        <v>154</v>
      </c>
      <c r="B682" s="23">
        <v>85</v>
      </c>
      <c r="C682" s="3" t="s">
        <v>99</v>
      </c>
      <c r="D682" s="23">
        <v>2016</v>
      </c>
      <c r="E682" s="25">
        <v>0.71963513651025035</v>
      </c>
      <c r="F682" s="25">
        <v>8.4992036803456947E-2</v>
      </c>
      <c r="G682" s="25">
        <v>0.53692537581249444</v>
      </c>
      <c r="H682" s="25">
        <v>1.1594791590114979</v>
      </c>
      <c r="I682" s="25">
        <v>9.7869857017799822E-2</v>
      </c>
      <c r="J682" s="25">
        <v>3.839273836520405E-2</v>
      </c>
      <c r="K682" s="25">
        <v>8.290831835703931E-2</v>
      </c>
      <c r="L682" s="25">
        <v>0.93799999999999994</v>
      </c>
      <c r="M682" s="24">
        <v>1</v>
      </c>
      <c r="N682" s="108">
        <v>0</v>
      </c>
      <c r="O682" s="24">
        <v>4</v>
      </c>
      <c r="P682" s="24">
        <v>8</v>
      </c>
      <c r="Q682" s="24">
        <v>4</v>
      </c>
      <c r="R682" s="24">
        <v>4</v>
      </c>
      <c r="S682" s="24">
        <v>8</v>
      </c>
      <c r="T682" s="24">
        <v>10</v>
      </c>
      <c r="U682" s="24">
        <v>1616165000000</v>
      </c>
      <c r="V682" s="109">
        <v>-0.12181152042773934</v>
      </c>
      <c r="W682" s="109">
        <v>-0.96176585930273206</v>
      </c>
      <c r="X682" s="109">
        <v>1.3335286310494285</v>
      </c>
      <c r="Y682" s="109">
        <v>0.29614461394721453</v>
      </c>
      <c r="Z682" s="109">
        <v>0.90557901954457465</v>
      </c>
      <c r="AA682" s="109">
        <v>1.5734864052384858</v>
      </c>
      <c r="AD682" s="111"/>
    </row>
    <row r="683" spans="1:30" ht="15" customHeight="1" x14ac:dyDescent="0.3">
      <c r="A683" s="22" t="s">
        <v>154</v>
      </c>
      <c r="B683" s="23">
        <v>85</v>
      </c>
      <c r="C683" s="3" t="s">
        <v>99</v>
      </c>
      <c r="D683" s="23">
        <v>2017</v>
      </c>
      <c r="E683" s="25">
        <v>4.4445449429168677</v>
      </c>
      <c r="F683" s="25">
        <v>0.37097413839125692</v>
      </c>
      <c r="G683" s="25">
        <v>0.56904182335616094</v>
      </c>
      <c r="H683" s="25">
        <v>1.3204107827531479</v>
      </c>
      <c r="I683" s="25">
        <v>0.21155615207130038</v>
      </c>
      <c r="J683" s="25">
        <v>5.6901545845271483E-2</v>
      </c>
      <c r="K683" s="25">
        <v>0.13203496053469052</v>
      </c>
      <c r="L683" s="25">
        <v>0.93799999999999994</v>
      </c>
      <c r="M683" s="24">
        <v>1</v>
      </c>
      <c r="N683" s="108">
        <v>0</v>
      </c>
      <c r="O683" s="24">
        <v>3</v>
      </c>
      <c r="P683" s="24">
        <v>7</v>
      </c>
      <c r="Q683" s="24">
        <v>3</v>
      </c>
      <c r="R683" s="24">
        <v>4</v>
      </c>
      <c r="S683" s="24">
        <v>7</v>
      </c>
      <c r="T683" s="24">
        <v>10</v>
      </c>
      <c r="U683" s="24">
        <v>1972319000000</v>
      </c>
      <c r="V683" s="109">
        <v>-0.16326153991750725</v>
      </c>
      <c r="W683" s="109">
        <v>1.7099772602707777</v>
      </c>
      <c r="X683" s="109">
        <v>1.2490061496137288</v>
      </c>
      <c r="Y683" s="109">
        <v>0.47188439598259713</v>
      </c>
      <c r="Z683" s="109">
        <v>0.79520707776308619</v>
      </c>
      <c r="AA683" s="109">
        <v>4.22607488363019</v>
      </c>
      <c r="AD683" s="111"/>
    </row>
    <row r="684" spans="1:30" ht="15" customHeight="1" x14ac:dyDescent="0.3">
      <c r="A684" s="22" t="s">
        <v>154</v>
      </c>
      <c r="B684" s="23">
        <v>85</v>
      </c>
      <c r="C684" s="3" t="s">
        <v>99</v>
      </c>
      <c r="D684" s="23">
        <v>2018</v>
      </c>
      <c r="E684" s="25">
        <v>3.0639866993082725</v>
      </c>
      <c r="F684" s="25">
        <v>0</v>
      </c>
      <c r="G684" s="25">
        <v>0.57476345968944365</v>
      </c>
      <c r="H684" s="25">
        <v>1.3516338155861036</v>
      </c>
      <c r="I684" s="25">
        <v>0.11933771898770806</v>
      </c>
      <c r="J684" s="25">
        <v>3.6013117129838221E-2</v>
      </c>
      <c r="K684" s="25">
        <v>8.4689703384507833E-2</v>
      </c>
      <c r="L684" s="25">
        <v>0.93799999999999994</v>
      </c>
      <c r="M684" s="24">
        <v>1</v>
      </c>
      <c r="N684" s="108">
        <v>0</v>
      </c>
      <c r="O684" s="24">
        <v>3</v>
      </c>
      <c r="P684" s="24">
        <v>7</v>
      </c>
      <c r="Q684" s="24">
        <v>3</v>
      </c>
      <c r="R684" s="24">
        <v>4</v>
      </c>
      <c r="S684" s="24">
        <v>7</v>
      </c>
      <c r="T684" s="24">
        <v>12</v>
      </c>
      <c r="U684" s="24">
        <v>2152910000000</v>
      </c>
      <c r="V684" s="109">
        <v>0.22471007826755743</v>
      </c>
      <c r="W684" s="109">
        <v>1.6492523328889734</v>
      </c>
      <c r="X684" s="109">
        <v>1.2679159091648047</v>
      </c>
      <c r="Y684" s="109">
        <v>0.37283669080453896</v>
      </c>
      <c r="Z684" s="109">
        <v>0.77683762265498857</v>
      </c>
      <c r="AA684" s="109">
        <v>4.0668425555133059</v>
      </c>
      <c r="AD684" s="111"/>
    </row>
    <row r="685" spans="1:30" ht="15" customHeight="1" x14ac:dyDescent="0.3">
      <c r="A685" s="22" t="s">
        <v>154</v>
      </c>
      <c r="B685" s="23">
        <v>85</v>
      </c>
      <c r="C685" s="3" t="s">
        <v>99</v>
      </c>
      <c r="D685" s="23">
        <v>2019</v>
      </c>
      <c r="E685" s="25">
        <v>3.4295363824125196</v>
      </c>
      <c r="F685" s="25">
        <v>0.31899898717083053</v>
      </c>
      <c r="G685" s="25">
        <v>0.65873392908542372</v>
      </c>
      <c r="H685" s="25">
        <v>1.9302649317585225</v>
      </c>
      <c r="I685" s="25">
        <v>0.1918652362914112</v>
      </c>
      <c r="J685" s="25">
        <v>4.2994693666513865E-2</v>
      </c>
      <c r="K685" s="25">
        <v>0.12598584310268582</v>
      </c>
      <c r="L685" s="25">
        <v>0.93799999999999994</v>
      </c>
      <c r="M685" s="24">
        <v>1</v>
      </c>
      <c r="N685" s="108">
        <v>0</v>
      </c>
      <c r="O685" s="24">
        <v>3</v>
      </c>
      <c r="P685" s="24">
        <v>7</v>
      </c>
      <c r="Q685" s="24">
        <v>3</v>
      </c>
      <c r="R685" s="24">
        <v>4</v>
      </c>
      <c r="S685" s="24">
        <v>7</v>
      </c>
      <c r="T685" s="24">
        <v>12</v>
      </c>
      <c r="U685" s="24">
        <v>3001696000000</v>
      </c>
      <c r="V685" s="109">
        <v>3.5324321911546053E-2</v>
      </c>
      <c r="W685" s="109">
        <v>2.1388705585109213</v>
      </c>
      <c r="X685" s="109">
        <v>1.0173229267720647</v>
      </c>
      <c r="Y685" s="109">
        <v>0.33197520335170516</v>
      </c>
      <c r="Z685" s="109">
        <v>0.543966780271671</v>
      </c>
      <c r="AA685" s="109">
        <v>4.0321354689063629</v>
      </c>
      <c r="AD685" s="111"/>
    </row>
    <row r="686" spans="1:30" ht="15" customHeight="1" x14ac:dyDescent="0.3">
      <c r="A686" s="22" t="s">
        <v>154</v>
      </c>
      <c r="B686" s="23">
        <v>85</v>
      </c>
      <c r="C686" s="3" t="s">
        <v>99</v>
      </c>
      <c r="D686" s="23">
        <v>2020</v>
      </c>
      <c r="E686" s="25">
        <v>4.1693759375783985</v>
      </c>
      <c r="F686" s="25">
        <v>0.50679920334635487</v>
      </c>
      <c r="G686" s="25">
        <v>0.67396176194422419</v>
      </c>
      <c r="H686" s="25">
        <v>2.0671249052355902</v>
      </c>
      <c r="I686" s="25">
        <v>0.11850310097001243</v>
      </c>
      <c r="J686" s="25">
        <v>2.1049685983434211E-2</v>
      </c>
      <c r="K686" s="25">
        <v>6.4562016127179586E-2</v>
      </c>
      <c r="L686" s="25">
        <v>0.93799999999999994</v>
      </c>
      <c r="M686" s="24">
        <v>2</v>
      </c>
      <c r="N686" s="108">
        <v>0</v>
      </c>
      <c r="O686" s="24">
        <v>4</v>
      </c>
      <c r="P686" s="24">
        <v>12</v>
      </c>
      <c r="Q686" s="24">
        <v>4</v>
      </c>
      <c r="R686" s="24">
        <v>4</v>
      </c>
      <c r="S686" s="24">
        <v>12</v>
      </c>
      <c r="T686" s="24">
        <v>12</v>
      </c>
      <c r="U686" s="24">
        <v>3337722000000</v>
      </c>
      <c r="V686" s="109">
        <v>-0.11858427340465387</v>
      </c>
      <c r="W686" s="109">
        <v>2.4333101918014739</v>
      </c>
      <c r="X686" s="109">
        <v>0.96163652335335281</v>
      </c>
      <c r="Y686" s="109">
        <v>0.14625975440734729</v>
      </c>
      <c r="Z686" s="109">
        <v>0.50795188880002951</v>
      </c>
      <c r="AA686" s="109">
        <v>4.0491583583622042</v>
      </c>
      <c r="AD686" s="111"/>
    </row>
    <row r="687" spans="1:30" ht="15" customHeight="1" x14ac:dyDescent="0.3">
      <c r="A687" s="22" t="s">
        <v>154</v>
      </c>
      <c r="B687" s="23">
        <v>85</v>
      </c>
      <c r="C687" s="3" t="s">
        <v>99</v>
      </c>
      <c r="D687" s="23">
        <v>2021</v>
      </c>
      <c r="E687" s="25">
        <v>4.2787481640492597</v>
      </c>
      <c r="F687" s="25">
        <v>0.33521071065416336</v>
      </c>
      <c r="G687" s="25">
        <v>0.65724033025983497</v>
      </c>
      <c r="H687" s="25">
        <v>1.9174961008629388</v>
      </c>
      <c r="I687" s="25">
        <v>6.3535507216579634E-2</v>
      </c>
      <c r="J687" s="25">
        <v>1.1607654777745323E-2</v>
      </c>
      <c r="K687" s="25">
        <v>3.3865287554235048E-2</v>
      </c>
      <c r="L687" s="25">
        <v>0.93799999999999994</v>
      </c>
      <c r="M687" s="24">
        <v>2</v>
      </c>
      <c r="N687" s="108">
        <v>0</v>
      </c>
      <c r="O687" s="24">
        <v>4</v>
      </c>
      <c r="P687" s="24">
        <v>12</v>
      </c>
      <c r="Q687" s="24">
        <v>4</v>
      </c>
      <c r="R687" s="24">
        <v>4</v>
      </c>
      <c r="S687" s="24">
        <v>12</v>
      </c>
      <c r="T687" s="24">
        <v>10</v>
      </c>
      <c r="U687" s="24">
        <v>3327804000000</v>
      </c>
      <c r="V687" s="109">
        <v>2.5462193803457368E-2</v>
      </c>
      <c r="W687" s="109">
        <v>2.2882659195072788</v>
      </c>
      <c r="X687" s="109">
        <v>1.043186010954972</v>
      </c>
      <c r="Y687" s="109">
        <v>0.1441896457844272</v>
      </c>
      <c r="Z687" s="109">
        <v>0.54758911870927096</v>
      </c>
      <c r="AA687" s="109">
        <v>4.0232306949559486</v>
      </c>
      <c r="AD687" s="111"/>
    </row>
    <row r="688" spans="1:30" ht="15" customHeight="1" x14ac:dyDescent="0.3">
      <c r="A688" s="22" t="s">
        <v>154</v>
      </c>
      <c r="B688" s="23">
        <v>85</v>
      </c>
      <c r="C688" s="3" t="s">
        <v>99</v>
      </c>
      <c r="D688" s="23">
        <v>2022</v>
      </c>
      <c r="E688" s="25">
        <v>4.3675631787731986</v>
      </c>
      <c r="F688" s="25">
        <v>0.75336644366945749</v>
      </c>
      <c r="G688" s="25">
        <v>0.66580828706261164</v>
      </c>
      <c r="H688" s="25">
        <v>1.9922944264849334</v>
      </c>
      <c r="I688" s="25">
        <v>0.10237745269592403</v>
      </c>
      <c r="J688" s="25">
        <v>1.952855322148252E-2</v>
      </c>
      <c r="K688" s="25">
        <v>5.8435180961956538E-2</v>
      </c>
      <c r="L688" s="25">
        <v>0.93799999999999994</v>
      </c>
      <c r="M688" s="24">
        <v>2</v>
      </c>
      <c r="N688" s="108">
        <v>0</v>
      </c>
      <c r="O688" s="24">
        <v>4</v>
      </c>
      <c r="P688" s="24">
        <v>12</v>
      </c>
      <c r="Q688" s="24">
        <v>4</v>
      </c>
      <c r="R688" s="24">
        <v>4</v>
      </c>
      <c r="S688" s="24">
        <v>12</v>
      </c>
      <c r="T688" s="24">
        <v>10</v>
      </c>
      <c r="U688" s="24">
        <v>3595146000000</v>
      </c>
      <c r="V688" s="109">
        <v>0.1279674328714174</v>
      </c>
      <c r="W688" s="109">
        <v>2.7169431227549588</v>
      </c>
      <c r="X688" s="109">
        <v>1.0418591289477535</v>
      </c>
      <c r="Y688" s="109">
        <v>0.19958243698586928</v>
      </c>
      <c r="Z688" s="109">
        <v>0.52703053627096041</v>
      </c>
      <c r="AA688" s="109">
        <v>4.4854152249595423</v>
      </c>
      <c r="AD688" s="111"/>
    </row>
    <row r="689" spans="1:30" ht="15" customHeight="1" x14ac:dyDescent="0.3">
      <c r="A689" s="22" t="s">
        <v>154</v>
      </c>
      <c r="B689" s="23">
        <v>85</v>
      </c>
      <c r="C689" s="3" t="s">
        <v>99</v>
      </c>
      <c r="D689" s="23">
        <v>2023</v>
      </c>
      <c r="E689" s="25">
        <v>2.9063265920667614</v>
      </c>
      <c r="F689" s="25">
        <v>0.67942920526578598</v>
      </c>
      <c r="G689" s="25">
        <v>0.67959527455805302</v>
      </c>
      <c r="H689" s="25">
        <v>2.1210525956527642</v>
      </c>
      <c r="I689" s="25">
        <v>0.15294843509086195</v>
      </c>
      <c r="J689" s="25">
        <v>3.0542253551930628E-2</v>
      </c>
      <c r="K689" s="25">
        <v>9.5323979725337946E-2</v>
      </c>
      <c r="L689" s="25">
        <v>0.93799999999999994</v>
      </c>
      <c r="M689" s="24">
        <v>2</v>
      </c>
      <c r="N689" s="108">
        <v>0</v>
      </c>
      <c r="O689" s="24">
        <v>3</v>
      </c>
      <c r="P689" s="24">
        <v>9</v>
      </c>
      <c r="Q689" s="24">
        <v>3</v>
      </c>
      <c r="R689" s="24">
        <v>4</v>
      </c>
      <c r="S689" s="24">
        <v>9</v>
      </c>
      <c r="T689" s="24">
        <v>10</v>
      </c>
      <c r="U689" s="24">
        <v>4115086000000</v>
      </c>
      <c r="V689" s="109">
        <v>0.19826444786635869</v>
      </c>
      <c r="W689" s="109">
        <v>2.3917770272601837</v>
      </c>
      <c r="X689" s="109">
        <v>1.0015231613628488</v>
      </c>
      <c r="Y689" s="109">
        <v>0.24721408009455939</v>
      </c>
      <c r="Z689" s="109">
        <v>0.49503722922856491</v>
      </c>
      <c r="AA689" s="109">
        <v>4.1355514979461567</v>
      </c>
      <c r="AD689" s="111"/>
    </row>
    <row r="690" spans="1:30" ht="15" customHeight="1" x14ac:dyDescent="0.3">
      <c r="A690" s="22" t="s">
        <v>154</v>
      </c>
      <c r="B690" s="23">
        <v>85</v>
      </c>
      <c r="C690" s="3" t="s">
        <v>99</v>
      </c>
      <c r="D690" s="23">
        <v>2024</v>
      </c>
      <c r="E690" s="25">
        <v>2.0397426613936389</v>
      </c>
      <c r="F690" s="25">
        <v>0.40598920168946884</v>
      </c>
      <c r="G690" s="25">
        <v>0.66912875666808003</v>
      </c>
      <c r="H690" s="25">
        <v>2.0223236988801427</v>
      </c>
      <c r="I690" s="25">
        <v>0.15271211346792743</v>
      </c>
      <c r="J690" s="25">
        <v>2.8767638819196664E-2</v>
      </c>
      <c r="K690" s="25">
        <v>8.6945116564082436E-2</v>
      </c>
      <c r="L690" s="25">
        <v>0.93799999999999994</v>
      </c>
      <c r="M690" s="24">
        <v>2</v>
      </c>
      <c r="N690" s="108">
        <v>0</v>
      </c>
      <c r="O690" s="24">
        <v>4</v>
      </c>
      <c r="P690" s="24">
        <v>12</v>
      </c>
      <c r="Q690" s="24">
        <v>4</v>
      </c>
      <c r="R690" s="24">
        <v>4</v>
      </c>
      <c r="S690" s="24">
        <v>12</v>
      </c>
      <c r="T690" s="24" t="s">
        <v>205</v>
      </c>
      <c r="U690" s="24">
        <v>4320584000000</v>
      </c>
      <c r="V690" s="109">
        <v>-9.5370682489981633E-3</v>
      </c>
      <c r="W690" s="109">
        <v>1.643812484608562</v>
      </c>
      <c r="X690" s="109">
        <v>1.0666832539304871</v>
      </c>
      <c r="Y690" s="109">
        <v>0.29212028744262347</v>
      </c>
      <c r="Z690" s="109">
        <v>0.51920471514102084</v>
      </c>
      <c r="AA690" s="109">
        <v>3.5218207411226938</v>
      </c>
      <c r="AD690" s="111"/>
    </row>
    <row r="691" spans="1:30" ht="15" customHeight="1" x14ac:dyDescent="0.3">
      <c r="A691" s="22" t="s">
        <v>154</v>
      </c>
      <c r="B691" s="23">
        <v>86</v>
      </c>
      <c r="C691" s="3" t="s">
        <v>132</v>
      </c>
      <c r="D691" s="23">
        <v>2016</v>
      </c>
      <c r="E691" s="25">
        <v>0.84804461920665997</v>
      </c>
      <c r="F691" s="25">
        <v>0.25071979730507887</v>
      </c>
      <c r="G691" s="25">
        <v>0.55443564730996842</v>
      </c>
      <c r="H691" s="25">
        <v>1.6406712283387213</v>
      </c>
      <c r="I691" s="25">
        <v>0.18031323081284104</v>
      </c>
      <c r="J691" s="25">
        <v>4.9110399962941371E-2</v>
      </c>
      <c r="K691" s="25">
        <v>0.1453261900138221</v>
      </c>
      <c r="L691" s="25">
        <v>0.95499999999999996</v>
      </c>
      <c r="M691" s="24">
        <v>0</v>
      </c>
      <c r="N691" s="108">
        <v>0</v>
      </c>
      <c r="O691" s="24">
        <v>3</v>
      </c>
      <c r="P691" s="24">
        <v>3</v>
      </c>
      <c r="Q691" s="24">
        <v>3</v>
      </c>
      <c r="R691" s="24">
        <v>3</v>
      </c>
      <c r="S691" s="24">
        <v>3</v>
      </c>
      <c r="T691" s="24">
        <v>9</v>
      </c>
      <c r="U691" s="24">
        <v>259049000000</v>
      </c>
      <c r="V691" s="109">
        <v>0</v>
      </c>
      <c r="W691" s="109">
        <v>-0.23388687082366652</v>
      </c>
      <c r="X691" s="109">
        <v>0.16009990387918885</v>
      </c>
      <c r="Y691" s="109">
        <v>0.451322182289837</v>
      </c>
      <c r="Z691" s="109">
        <v>0.63998196705331911</v>
      </c>
      <c r="AA691" s="109">
        <v>1.0175171823986784</v>
      </c>
      <c r="AD691" s="111"/>
    </row>
    <row r="692" spans="1:30" ht="15" customHeight="1" x14ac:dyDescent="0.3">
      <c r="A692" s="22" t="s">
        <v>154</v>
      </c>
      <c r="B692" s="23">
        <v>86</v>
      </c>
      <c r="C692" s="3" t="s">
        <v>132</v>
      </c>
      <c r="D692" s="23">
        <v>2017</v>
      </c>
      <c r="E692" s="25">
        <v>1.1109925293489862</v>
      </c>
      <c r="F692" s="25">
        <v>0.2014727854855923</v>
      </c>
      <c r="G692" s="25">
        <v>0.51450928624841663</v>
      </c>
      <c r="H692" s="25">
        <v>1.417503179625172</v>
      </c>
      <c r="I692" s="25">
        <v>6.2512492504497308E-2</v>
      </c>
      <c r="J692" s="25">
        <v>1.4318525188090405E-2</v>
      </c>
      <c r="K692" s="25">
        <v>3.9448374449478123E-2</v>
      </c>
      <c r="L692" s="25">
        <v>0.96499999999999997</v>
      </c>
      <c r="M692" s="24">
        <v>2</v>
      </c>
      <c r="N692" s="108">
        <v>0</v>
      </c>
      <c r="O692" s="24">
        <v>3</v>
      </c>
      <c r="P692" s="24">
        <v>3</v>
      </c>
      <c r="Q692" s="24">
        <v>3</v>
      </c>
      <c r="R692" s="24">
        <v>3</v>
      </c>
      <c r="S692" s="24">
        <v>3</v>
      </c>
      <c r="T692" s="24">
        <v>9</v>
      </c>
      <c r="U692" s="24">
        <v>262108000000</v>
      </c>
      <c r="V692" s="109">
        <v>-0.14908936290836936</v>
      </c>
      <c r="W692" s="109">
        <v>0.13014482579699971</v>
      </c>
      <c r="X692" s="109">
        <v>1.3532131793001358E-2</v>
      </c>
      <c r="Y692" s="109">
        <v>3.2611900437987396E-2</v>
      </c>
      <c r="Z692" s="109">
        <v>0.74073907917275339</v>
      </c>
      <c r="AA692" s="109">
        <v>0.91702793720074183</v>
      </c>
      <c r="AD692" s="111"/>
    </row>
    <row r="693" spans="1:30" ht="15" customHeight="1" x14ac:dyDescent="0.3">
      <c r="A693" s="22" t="s">
        <v>154</v>
      </c>
      <c r="B693" s="23">
        <v>86</v>
      </c>
      <c r="C693" s="3" t="s">
        <v>132</v>
      </c>
      <c r="D693" s="23">
        <v>2018</v>
      </c>
      <c r="E693" s="25">
        <v>0.90216827172596736</v>
      </c>
      <c r="F693" s="25">
        <v>6.500490167810391E-2</v>
      </c>
      <c r="G693" s="25">
        <v>0.56426109595350449</v>
      </c>
      <c r="H693" s="25">
        <v>1.5014748649771499</v>
      </c>
      <c r="I693" s="25">
        <v>2.3850570404905031E-2</v>
      </c>
      <c r="J693" s="25">
        <v>6.2100649109864672E-3</v>
      </c>
      <c r="K693" s="25">
        <v>1.6524719567926879E-2</v>
      </c>
      <c r="L693" s="25">
        <v>0.96499999999999997</v>
      </c>
      <c r="M693" s="24">
        <v>0</v>
      </c>
      <c r="N693" s="108">
        <v>0</v>
      </c>
      <c r="O693" s="24">
        <v>2</v>
      </c>
      <c r="P693" s="24">
        <v>2</v>
      </c>
      <c r="Q693" s="24">
        <v>2</v>
      </c>
      <c r="R693" s="24">
        <v>1</v>
      </c>
      <c r="S693" s="24">
        <v>2</v>
      </c>
      <c r="T693" s="24">
        <v>6</v>
      </c>
      <c r="U693" s="24">
        <v>256197000000</v>
      </c>
      <c r="V693" s="109">
        <v>0.11111666333533213</v>
      </c>
      <c r="W693" s="109">
        <v>-0.17375753814447475</v>
      </c>
      <c r="X693" s="109">
        <v>2.0244811609815883E-2</v>
      </c>
      <c r="Y693" s="109">
        <v>3.6328294242321341E-2</v>
      </c>
      <c r="Z693" s="109">
        <v>0.69931240574978215</v>
      </c>
      <c r="AA693" s="109">
        <v>0.5821279734574446</v>
      </c>
      <c r="AD693" s="111"/>
    </row>
    <row r="694" spans="1:30" ht="15" customHeight="1" x14ac:dyDescent="0.3">
      <c r="A694" s="22" t="s">
        <v>154</v>
      </c>
      <c r="B694" s="23">
        <v>86</v>
      </c>
      <c r="C694" s="3" t="s">
        <v>132</v>
      </c>
      <c r="D694" s="23">
        <v>2019</v>
      </c>
      <c r="E694" s="25">
        <v>1.4036596167556006</v>
      </c>
      <c r="F694" s="25">
        <v>0.10112553738469182</v>
      </c>
      <c r="G694" s="25">
        <v>0.58610552529597426</v>
      </c>
      <c r="H694" s="25">
        <v>1.6908381916497786</v>
      </c>
      <c r="I694" s="25">
        <v>0.10501680725566055</v>
      </c>
      <c r="J694" s="25">
        <v>2.7563223289075921E-2</v>
      </c>
      <c r="K694" s="25">
        <v>7.9516313378218739E-2</v>
      </c>
      <c r="L694" s="25">
        <v>0.96499999999999997</v>
      </c>
      <c r="M694" s="24">
        <v>1</v>
      </c>
      <c r="N694" s="108">
        <v>0</v>
      </c>
      <c r="O694" s="24">
        <v>2</v>
      </c>
      <c r="P694" s="24">
        <v>4</v>
      </c>
      <c r="Q694" s="24">
        <v>2</v>
      </c>
      <c r="R694" s="24">
        <v>2</v>
      </c>
      <c r="S694" s="24">
        <v>4</v>
      </c>
      <c r="T694" s="24">
        <v>9</v>
      </c>
      <c r="U694" s="24">
        <v>300364000000</v>
      </c>
      <c r="V694" s="109">
        <v>0.18181000494700705</v>
      </c>
      <c r="W694" s="109">
        <v>0.81616705064521711</v>
      </c>
      <c r="X694" s="109">
        <v>0.25702168036116174</v>
      </c>
      <c r="Y694" s="109">
        <v>0.19106417546709992</v>
      </c>
      <c r="Z694" s="109">
        <v>0.62099377999943195</v>
      </c>
      <c r="AA694" s="109">
        <v>1.8852466864729105</v>
      </c>
      <c r="AD694" s="111"/>
    </row>
    <row r="695" spans="1:30" ht="15" customHeight="1" x14ac:dyDescent="0.3">
      <c r="A695" s="22" t="s">
        <v>154</v>
      </c>
      <c r="B695" s="23">
        <v>86</v>
      </c>
      <c r="C695" s="3" t="s">
        <v>132</v>
      </c>
      <c r="D695" s="23">
        <v>2020</v>
      </c>
      <c r="E695" s="25">
        <v>2.7721520231100283</v>
      </c>
      <c r="F695" s="25">
        <v>6.0015328079863227E-2</v>
      </c>
      <c r="G695" s="25">
        <v>0.8957183963999048</v>
      </c>
      <c r="H695" s="25">
        <v>12.979590557105684</v>
      </c>
      <c r="I695" s="25">
        <v>8.4819697557192715E-5</v>
      </c>
      <c r="J695" s="25">
        <v>1.5144631228229593E-5</v>
      </c>
      <c r="K695" s="25">
        <v>2.194563752076998E-4</v>
      </c>
      <c r="L695" s="25">
        <v>0.96499999999999997</v>
      </c>
      <c r="M695" s="24">
        <v>2</v>
      </c>
      <c r="N695" s="108">
        <v>0</v>
      </c>
      <c r="O695" s="24">
        <v>4</v>
      </c>
      <c r="P695" s="24">
        <v>0</v>
      </c>
      <c r="Q695" s="24">
        <v>4</v>
      </c>
      <c r="R695" s="24">
        <v>4</v>
      </c>
      <c r="S695" s="24">
        <v>0</v>
      </c>
      <c r="T695" s="24">
        <v>0</v>
      </c>
      <c r="U695" s="24">
        <v>462210000000</v>
      </c>
      <c r="V695" s="109">
        <v>4.6844675588253948E-2</v>
      </c>
      <c r="W695" s="109">
        <v>2.5597781095173189</v>
      </c>
      <c r="X695" s="109">
        <v>-0.41651911468812874</v>
      </c>
      <c r="Y695" s="109">
        <v>5.207814629713766E-2</v>
      </c>
      <c r="Z695" s="109">
        <v>8.0896234390473665E-2</v>
      </c>
      <c r="AA695" s="109">
        <v>2.2762333755168016</v>
      </c>
      <c r="AD695" s="111"/>
    </row>
    <row r="696" spans="1:30" ht="15" customHeight="1" x14ac:dyDescent="0.3">
      <c r="A696" s="22" t="s">
        <v>154</v>
      </c>
      <c r="B696" s="23">
        <v>86</v>
      </c>
      <c r="C696" s="3" t="s">
        <v>132</v>
      </c>
      <c r="D696" s="23">
        <v>2021</v>
      </c>
      <c r="E696" s="25">
        <v>2.6585197934595524</v>
      </c>
      <c r="F696" s="25">
        <v>0.10363412835013523</v>
      </c>
      <c r="G696" s="25">
        <v>1.0081559624500418</v>
      </c>
      <c r="H696" s="25">
        <v>11.538481995638531</v>
      </c>
      <c r="I696" s="25">
        <v>5.9857005390751915E-2</v>
      </c>
      <c r="J696" s="25">
        <v>1.3442234408402268E-2</v>
      </c>
      <c r="K696" s="25">
        <v>0.15384819956385298</v>
      </c>
      <c r="L696" s="25">
        <v>0.96499999999999997</v>
      </c>
      <c r="M696" s="24">
        <v>2</v>
      </c>
      <c r="N696" s="108">
        <v>0</v>
      </c>
      <c r="O696" s="24">
        <v>3</v>
      </c>
      <c r="P696" s="24">
        <v>0</v>
      </c>
      <c r="Q696" s="24">
        <v>3</v>
      </c>
      <c r="R696" s="24">
        <v>3</v>
      </c>
      <c r="S696" s="24">
        <v>0</v>
      </c>
      <c r="T696" s="24">
        <v>0</v>
      </c>
      <c r="U696" s="24">
        <v>430360000000</v>
      </c>
      <c r="V696" s="109">
        <v>0.17108132997285769</v>
      </c>
      <c r="W696" s="109">
        <v>2.5704359141184123</v>
      </c>
      <c r="X696" s="109">
        <v>-0.40047792545775629</v>
      </c>
      <c r="Y696" s="109">
        <v>0.11522186076772935</v>
      </c>
      <c r="Z696" s="109">
        <v>9.0999838661350169E-2</v>
      </c>
      <c r="AA696" s="109">
        <v>2.3761796880897359</v>
      </c>
      <c r="AD696" s="111"/>
    </row>
    <row r="697" spans="1:30" ht="15" customHeight="1" x14ac:dyDescent="0.3">
      <c r="A697" s="22" t="s">
        <v>154</v>
      </c>
      <c r="B697" s="23">
        <v>86</v>
      </c>
      <c r="C697" s="3" t="s">
        <v>132</v>
      </c>
      <c r="D697" s="23">
        <v>2022</v>
      </c>
      <c r="E697" s="25">
        <v>2.764787885414389</v>
      </c>
      <c r="F697" s="25">
        <v>4.0873970406006266E-2</v>
      </c>
      <c r="G697" s="25">
        <v>0.88395218691338628</v>
      </c>
      <c r="H697" s="25">
        <v>9.6376499952001531</v>
      </c>
      <c r="I697" s="25">
        <v>0.13588820783894731</v>
      </c>
      <c r="J697" s="25">
        <v>2.5531892413511354E-2</v>
      </c>
      <c r="K697" s="25">
        <v>0.27837189209945284</v>
      </c>
      <c r="L697" s="25">
        <v>0.96499999999999997</v>
      </c>
      <c r="M697" s="24">
        <v>2</v>
      </c>
      <c r="N697" s="108">
        <v>0</v>
      </c>
      <c r="O697" s="24">
        <v>3</v>
      </c>
      <c r="P697" s="24">
        <v>0</v>
      </c>
      <c r="Q697" s="24">
        <v>3</v>
      </c>
      <c r="R697" s="24">
        <v>4</v>
      </c>
      <c r="S697" s="24">
        <v>0</v>
      </c>
      <c r="T697" s="24">
        <v>0</v>
      </c>
      <c r="U697" s="24">
        <v>567878000000</v>
      </c>
      <c r="V697" s="109">
        <v>0.10399702008339627</v>
      </c>
      <c r="W697" s="109">
        <v>2.237452128802313</v>
      </c>
      <c r="X697" s="109">
        <v>0.22026375383445035</v>
      </c>
      <c r="Y697" s="109">
        <v>0.22341700153906296</v>
      </c>
      <c r="Z697" s="109">
        <v>0.10894772071230356</v>
      </c>
      <c r="AA697" s="109">
        <v>2.7900806048881304</v>
      </c>
      <c r="AD697" s="111"/>
    </row>
    <row r="698" spans="1:30" ht="15" customHeight="1" x14ac:dyDescent="0.3">
      <c r="A698" s="22" t="s">
        <v>154</v>
      </c>
      <c r="B698" s="23">
        <v>86</v>
      </c>
      <c r="C698" s="3" t="s">
        <v>132</v>
      </c>
      <c r="D698" s="23">
        <v>2023</v>
      </c>
      <c r="E698" s="25">
        <v>2.7003972462734058</v>
      </c>
      <c r="F698" s="25">
        <v>1.9939448869005148E-2</v>
      </c>
      <c r="G698" s="25">
        <v>0.85419651467144231</v>
      </c>
      <c r="H698" s="25">
        <v>8.0213612328390553</v>
      </c>
      <c r="I698" s="25">
        <v>9.5801654231248159E-2</v>
      </c>
      <c r="J698" s="25">
        <v>1.6295288607246178E-2</v>
      </c>
      <c r="K698" s="25">
        <v>0.15302145825584967</v>
      </c>
      <c r="L698" s="25">
        <v>0.96499999999999997</v>
      </c>
      <c r="M698" s="24">
        <v>2</v>
      </c>
      <c r="N698" s="108">
        <v>0</v>
      </c>
      <c r="O698" s="24">
        <v>3</v>
      </c>
      <c r="P698" s="24">
        <v>7</v>
      </c>
      <c r="Q698" s="24">
        <v>3</v>
      </c>
      <c r="R698" s="24">
        <v>3</v>
      </c>
      <c r="S698" s="24">
        <v>7</v>
      </c>
      <c r="T698" s="24">
        <v>7</v>
      </c>
      <c r="U698" s="24">
        <v>580720000000</v>
      </c>
      <c r="V698" s="109">
        <v>-7.4237567714483865E-2</v>
      </c>
      <c r="W698" s="109">
        <v>1.992162832346053</v>
      </c>
      <c r="X698" s="109">
        <v>-0.1622702162832346</v>
      </c>
      <c r="Y698" s="109">
        <v>0.14588621022179363</v>
      </c>
      <c r="Z698" s="109">
        <v>0.13090047555785819</v>
      </c>
      <c r="AA698" s="109">
        <v>2.1066793018424703</v>
      </c>
      <c r="AD698" s="111"/>
    </row>
    <row r="699" spans="1:30" ht="15" customHeight="1" x14ac:dyDescent="0.3">
      <c r="A699" s="22" t="s">
        <v>154</v>
      </c>
      <c r="B699" s="23">
        <v>86</v>
      </c>
      <c r="C699" s="3" t="s">
        <v>132</v>
      </c>
      <c r="D699" s="23">
        <v>2024</v>
      </c>
      <c r="E699" s="25">
        <v>2.3599171936733945</v>
      </c>
      <c r="F699" s="25">
        <v>1.1505787606821423E-2</v>
      </c>
      <c r="G699" s="25">
        <v>0.86158447025082008</v>
      </c>
      <c r="H699" s="25">
        <v>7.2551452953315856</v>
      </c>
      <c r="I699" s="25">
        <v>7.9068745881836155E-2</v>
      </c>
      <c r="J699" s="25">
        <v>1.6095406682243223E-2</v>
      </c>
      <c r="K699" s="25">
        <v>0.13553460873445256</v>
      </c>
      <c r="L699" s="25">
        <v>0.96499999999999997</v>
      </c>
      <c r="M699" s="24">
        <v>2</v>
      </c>
      <c r="N699" s="108">
        <v>0</v>
      </c>
      <c r="O699" s="24">
        <v>3</v>
      </c>
      <c r="P699" s="24">
        <v>7</v>
      </c>
      <c r="Q699" s="24">
        <v>3</v>
      </c>
      <c r="R699" s="24">
        <v>3</v>
      </c>
      <c r="S699" s="24">
        <v>7</v>
      </c>
      <c r="T699" s="24">
        <v>7</v>
      </c>
      <c r="U699" s="24">
        <v>603899000000</v>
      </c>
      <c r="V699" s="109">
        <v>0.24453060935237961</v>
      </c>
      <c r="W699" s="109">
        <v>2.3405736389694303</v>
      </c>
      <c r="X699" s="109">
        <v>-0.10357089513312655</v>
      </c>
      <c r="Y699" s="109">
        <v>0.13911836250763787</v>
      </c>
      <c r="Z699" s="109">
        <v>0.14472487555495761</v>
      </c>
      <c r="AA699" s="109">
        <v>2.5208459818988991</v>
      </c>
      <c r="AD699" s="111"/>
    </row>
    <row r="700" spans="1:30" ht="15" customHeight="1" x14ac:dyDescent="0.3">
      <c r="A700" s="22" t="s">
        <v>154</v>
      </c>
      <c r="B700" s="23">
        <v>89</v>
      </c>
      <c r="C700" s="2" t="s">
        <v>101</v>
      </c>
      <c r="D700" s="23">
        <v>2015</v>
      </c>
      <c r="E700" s="25">
        <v>1.0788947382288836</v>
      </c>
      <c r="F700" s="25">
        <v>0</v>
      </c>
      <c r="G700" s="25">
        <v>0.59712138693270578</v>
      </c>
      <c r="H700" s="25">
        <v>1.482137218420593</v>
      </c>
      <c r="I700" s="25">
        <v>5.0455084824974739E-2</v>
      </c>
      <c r="J700" s="25">
        <v>1.640381084947885E-2</v>
      </c>
      <c r="K700" s="25">
        <v>4.0716509433422976E-2</v>
      </c>
      <c r="L700" s="25">
        <v>0.52600000000000002</v>
      </c>
      <c r="M700" s="24">
        <v>2</v>
      </c>
      <c r="N700" s="108">
        <v>0</v>
      </c>
      <c r="O700" s="24">
        <v>3</v>
      </c>
      <c r="P700" s="24">
        <v>10</v>
      </c>
      <c r="Q700" s="24">
        <v>3</v>
      </c>
      <c r="R700" s="24">
        <v>4</v>
      </c>
      <c r="S700" s="24">
        <v>10</v>
      </c>
      <c r="T700" s="24">
        <v>8</v>
      </c>
      <c r="U700" s="24">
        <v>559080454850</v>
      </c>
      <c r="V700" s="109">
        <v>-0.10007474561750505</v>
      </c>
      <c r="W700" s="109">
        <v>0.12930410183034499</v>
      </c>
      <c r="X700" s="109">
        <v>0.26285149232470972</v>
      </c>
      <c r="Y700" s="109">
        <v>0.1136040482973432</v>
      </c>
      <c r="Z700" s="109">
        <v>0.7084364301430266</v>
      </c>
      <c r="AA700" s="109">
        <v>1.2141960725954246</v>
      </c>
      <c r="AD700" s="111"/>
    </row>
    <row r="701" spans="1:30" ht="15" customHeight="1" x14ac:dyDescent="0.3">
      <c r="A701" s="22" t="s">
        <v>154</v>
      </c>
      <c r="B701" s="23">
        <v>89</v>
      </c>
      <c r="C701" s="3" t="s">
        <v>101</v>
      </c>
      <c r="D701" s="23">
        <v>2016</v>
      </c>
      <c r="E701" s="25">
        <v>1.3144216028225142</v>
      </c>
      <c r="F701" s="25">
        <v>3.3802262147386929E-2</v>
      </c>
      <c r="G701" s="25">
        <v>0.5634549093140222</v>
      </c>
      <c r="H701" s="25">
        <v>1.2907141125527746</v>
      </c>
      <c r="I701" s="25">
        <v>0.28325491551151932</v>
      </c>
      <c r="J701" s="25">
        <v>6.7603500216291815E-2</v>
      </c>
      <c r="K701" s="25">
        <v>0.15486029200342422</v>
      </c>
      <c r="L701" s="25">
        <v>0.63200000000000001</v>
      </c>
      <c r="M701" s="24">
        <v>3</v>
      </c>
      <c r="N701" s="108">
        <v>0</v>
      </c>
      <c r="O701" s="24">
        <v>4</v>
      </c>
      <c r="P701" s="24">
        <v>11</v>
      </c>
      <c r="Q701" s="24">
        <v>4</v>
      </c>
      <c r="R701" s="24">
        <v>4</v>
      </c>
      <c r="S701" s="24">
        <v>11</v>
      </c>
      <c r="T701" s="24">
        <v>8</v>
      </c>
      <c r="U701" s="24">
        <v>617651155745</v>
      </c>
      <c r="V701" s="109">
        <v>-0.18899998248367567</v>
      </c>
      <c r="W701" s="109">
        <v>0.4899995899842044</v>
      </c>
      <c r="X701" s="109">
        <v>0.46644075905283722</v>
      </c>
      <c r="Y701" s="109">
        <v>0.48326548513185769</v>
      </c>
      <c r="Z701" s="109">
        <v>0.8135031528580019</v>
      </c>
      <c r="AA701" s="109">
        <v>2.253208987026901</v>
      </c>
      <c r="AD701" s="111"/>
    </row>
    <row r="702" spans="1:30" ht="15" customHeight="1" x14ac:dyDescent="0.3">
      <c r="A702" s="22" t="s">
        <v>154</v>
      </c>
      <c r="B702" s="23">
        <v>89</v>
      </c>
      <c r="C702" s="3" t="s">
        <v>101</v>
      </c>
      <c r="D702" s="23">
        <v>2017</v>
      </c>
      <c r="E702" s="25">
        <v>1.7262603374582466</v>
      </c>
      <c r="F702" s="25">
        <v>1.9712066200830405E-2</v>
      </c>
      <c r="G702" s="25">
        <v>0.47003673816117308</v>
      </c>
      <c r="H702" s="25">
        <v>0.88692324922726662</v>
      </c>
      <c r="I702" s="25">
        <v>0.42376328270518626</v>
      </c>
      <c r="J702" s="25">
        <v>6.1437866889065093E-2</v>
      </c>
      <c r="K702" s="25">
        <v>0.11592853941590701</v>
      </c>
      <c r="L702" s="25">
        <v>0.63500000000000001</v>
      </c>
      <c r="M702" s="24">
        <v>3</v>
      </c>
      <c r="N702" s="108">
        <v>0</v>
      </c>
      <c r="O702" s="24">
        <v>4</v>
      </c>
      <c r="P702" s="24">
        <v>11</v>
      </c>
      <c r="Q702" s="24">
        <v>4</v>
      </c>
      <c r="R702" s="24">
        <v>3</v>
      </c>
      <c r="S702" s="24">
        <v>11</v>
      </c>
      <c r="T702" s="24">
        <v>5</v>
      </c>
      <c r="U702" s="24">
        <v>858490283480</v>
      </c>
      <c r="V702" s="109">
        <v>-0.15566809003613896</v>
      </c>
      <c r="W702" s="109">
        <v>0.86238181865666697</v>
      </c>
      <c r="X702" s="109">
        <v>0.55076825742046431</v>
      </c>
      <c r="Y702" s="109">
        <v>0.41223710972911054</v>
      </c>
      <c r="Z702" s="109">
        <v>1.1838679399991083</v>
      </c>
      <c r="AA702" s="109">
        <v>3.0092551258053497</v>
      </c>
      <c r="AD702" s="111"/>
    </row>
    <row r="703" spans="1:30" ht="15" customHeight="1" x14ac:dyDescent="0.3">
      <c r="A703" s="22" t="s">
        <v>154</v>
      </c>
      <c r="B703" s="23">
        <v>89</v>
      </c>
      <c r="C703" s="3" t="s">
        <v>101</v>
      </c>
      <c r="D703" s="23">
        <v>2018</v>
      </c>
      <c r="E703" s="25">
        <v>1.744756590005752</v>
      </c>
      <c r="F703" s="25">
        <v>3.1153695938862802E-2</v>
      </c>
      <c r="G703" s="25">
        <v>0.46426207671793551</v>
      </c>
      <c r="H703" s="25">
        <v>0.8665843065089549</v>
      </c>
      <c r="I703" s="25">
        <v>0.51536136823812084</v>
      </c>
      <c r="J703" s="25">
        <v>7.2072188226241701E-2</v>
      </c>
      <c r="K703" s="25">
        <v>0.13452881547886222</v>
      </c>
      <c r="L703" s="25">
        <v>0.77659999999999996</v>
      </c>
      <c r="M703" s="24">
        <v>3</v>
      </c>
      <c r="N703" s="108">
        <v>0</v>
      </c>
      <c r="O703" s="24">
        <v>4</v>
      </c>
      <c r="P703" s="24">
        <v>11</v>
      </c>
      <c r="Q703" s="24">
        <v>4</v>
      </c>
      <c r="R703" s="24">
        <v>3</v>
      </c>
      <c r="S703" s="24">
        <v>11</v>
      </c>
      <c r="T703" s="24">
        <v>5</v>
      </c>
      <c r="U703" s="24">
        <v>969866560976</v>
      </c>
      <c r="V703" s="109">
        <v>8.9731851800267978E-2</v>
      </c>
      <c r="W703" s="109">
        <v>0.94646733277576645</v>
      </c>
      <c r="X703" s="109">
        <v>0.7185830849214585</v>
      </c>
      <c r="Y703" s="109">
        <v>0.50280947336571535</v>
      </c>
      <c r="Z703" s="109">
        <v>1.2116536061331846</v>
      </c>
      <c r="AA703" s="109">
        <v>3.3795134971961249</v>
      </c>
      <c r="AD703" s="111"/>
    </row>
    <row r="704" spans="1:30" ht="15" customHeight="1" x14ac:dyDescent="0.3">
      <c r="A704" s="22" t="s">
        <v>154</v>
      </c>
      <c r="B704" s="23">
        <v>89</v>
      </c>
      <c r="C704" s="3" t="s">
        <v>101</v>
      </c>
      <c r="D704" s="23">
        <v>2019</v>
      </c>
      <c r="E704" s="25">
        <v>1.934191220923634</v>
      </c>
      <c r="F704" s="25">
        <v>6.0855295109005413E-2</v>
      </c>
      <c r="G704" s="25">
        <v>0.45649108683806339</v>
      </c>
      <c r="H704" s="25">
        <v>0.83989622945162901</v>
      </c>
      <c r="I704" s="25">
        <v>5.3709363614883314E-2</v>
      </c>
      <c r="J704" s="25">
        <v>9.6429560691817431E-3</v>
      </c>
      <c r="K704" s="25">
        <v>1.7742038512455191E-2</v>
      </c>
      <c r="L704" s="25">
        <v>0.72629999999999995</v>
      </c>
      <c r="M704" s="24">
        <v>2</v>
      </c>
      <c r="N704" s="108">
        <v>0</v>
      </c>
      <c r="O704" s="24">
        <v>3</v>
      </c>
      <c r="P704" s="24">
        <v>10</v>
      </c>
      <c r="Q704" s="24">
        <v>3</v>
      </c>
      <c r="R704" s="24">
        <v>3</v>
      </c>
      <c r="S704" s="24">
        <v>10</v>
      </c>
      <c r="T704" s="24">
        <v>8</v>
      </c>
      <c r="U704" s="24">
        <v>975687462693</v>
      </c>
      <c r="V704" s="109">
        <v>0.2915257590895724</v>
      </c>
      <c r="W704" s="109">
        <v>1.0659577583107767</v>
      </c>
      <c r="X704" s="109">
        <v>0.74960001504275475</v>
      </c>
      <c r="Y704" s="109">
        <v>7.5857770484858977E-2</v>
      </c>
      <c r="Z704" s="109">
        <v>1.2501544395377848</v>
      </c>
      <c r="AA704" s="109">
        <v>3.1415699833761757</v>
      </c>
      <c r="AD704" s="111"/>
    </row>
    <row r="705" spans="1:30" ht="15" customHeight="1" x14ac:dyDescent="0.3">
      <c r="A705" s="22" t="s">
        <v>154</v>
      </c>
      <c r="B705" s="23">
        <v>89</v>
      </c>
      <c r="C705" s="3" t="s">
        <v>101</v>
      </c>
      <c r="D705" s="23">
        <v>2020</v>
      </c>
      <c r="E705" s="25">
        <v>4.1737821750879931</v>
      </c>
      <c r="F705" s="25">
        <v>0.21437121897134498</v>
      </c>
      <c r="G705" s="25">
        <v>0.55251865413486112</v>
      </c>
      <c r="H705" s="25">
        <v>1.2347300267157464</v>
      </c>
      <c r="I705" s="25">
        <v>-0.47705820465898097</v>
      </c>
      <c r="J705" s="25">
        <v>-8.9331313067208359E-2</v>
      </c>
      <c r="K705" s="25">
        <v>-0.19963136763723521</v>
      </c>
      <c r="L705" s="25">
        <v>0.69910000000000005</v>
      </c>
      <c r="M705" s="24">
        <v>2</v>
      </c>
      <c r="N705" s="108">
        <v>0</v>
      </c>
      <c r="O705" s="24">
        <v>3</v>
      </c>
      <c r="P705" s="24">
        <v>10</v>
      </c>
      <c r="Q705" s="24">
        <v>3</v>
      </c>
      <c r="R705" s="24">
        <v>3</v>
      </c>
      <c r="S705" s="24">
        <v>10</v>
      </c>
      <c r="T705" s="24">
        <v>8</v>
      </c>
      <c r="U705" s="24">
        <v>990991744064</v>
      </c>
      <c r="V705" s="109">
        <v>5.9330504749482947E-2</v>
      </c>
      <c r="W705" s="109">
        <v>2.719935163812953</v>
      </c>
      <c r="X705" s="109">
        <v>0.45187149459584214</v>
      </c>
      <c r="Y705" s="109">
        <v>-0.67799428417127994</v>
      </c>
      <c r="Z705" s="109">
        <v>0.8503883256106527</v>
      </c>
      <c r="AA705" s="109">
        <v>3.3442006998481681</v>
      </c>
      <c r="AD705" s="111"/>
    </row>
    <row r="706" spans="1:30" ht="15" customHeight="1" x14ac:dyDescent="0.3">
      <c r="A706" s="22" t="s">
        <v>154</v>
      </c>
      <c r="B706" s="23">
        <v>89</v>
      </c>
      <c r="C706" s="3" t="s">
        <v>101</v>
      </c>
      <c r="D706" s="23">
        <v>2021</v>
      </c>
      <c r="E706" s="25">
        <v>5.2436761015107081</v>
      </c>
      <c r="F706" s="25">
        <v>0.3218291667471439</v>
      </c>
      <c r="G706" s="25">
        <v>0.52819803949787758</v>
      </c>
      <c r="H706" s="25">
        <v>1.1195333714504596</v>
      </c>
      <c r="I706" s="25">
        <v>9.5577818283262173E-2</v>
      </c>
      <c r="J706" s="25">
        <v>1.9927628752809488E-2</v>
      </c>
      <c r="K706" s="25">
        <v>4.2237274155455411E-2</v>
      </c>
      <c r="L706" s="25">
        <v>0.69910000000000005</v>
      </c>
      <c r="M706" s="24">
        <v>2</v>
      </c>
      <c r="N706" s="108">
        <v>0</v>
      </c>
      <c r="O706" s="24">
        <v>3</v>
      </c>
      <c r="P706" s="24">
        <v>10</v>
      </c>
      <c r="Q706" s="24">
        <v>3</v>
      </c>
      <c r="R706" s="24">
        <v>3</v>
      </c>
      <c r="S706" s="24">
        <v>10</v>
      </c>
      <c r="T706" s="24">
        <v>8</v>
      </c>
      <c r="U706" s="24">
        <v>981089572950</v>
      </c>
      <c r="V706" s="109">
        <v>0.10231263739181452</v>
      </c>
      <c r="W706" s="109">
        <v>2.40580290200056</v>
      </c>
      <c r="X706" s="109">
        <v>0.52136584594298641</v>
      </c>
      <c r="Y706" s="109">
        <v>8.4304054553656138E-2</v>
      </c>
      <c r="Z706" s="109">
        <v>0.93789075589558113</v>
      </c>
      <c r="AA706" s="109">
        <v>3.9493635583927835</v>
      </c>
      <c r="AD706" s="111"/>
    </row>
    <row r="707" spans="1:30" ht="15" customHeight="1" x14ac:dyDescent="0.3">
      <c r="A707" s="22" t="s">
        <v>154</v>
      </c>
      <c r="B707" s="23">
        <v>89</v>
      </c>
      <c r="C707" s="3" t="s">
        <v>101</v>
      </c>
      <c r="D707" s="23">
        <v>2022</v>
      </c>
      <c r="E707" s="25">
        <v>3.7976192402605351</v>
      </c>
      <c r="F707" s="25">
        <v>0.54946253694455915</v>
      </c>
      <c r="G707" s="25">
        <v>0.64554519884471517</v>
      </c>
      <c r="H707" s="25">
        <v>1.8212341791976607</v>
      </c>
      <c r="I707" s="25">
        <v>-0.25469950694419136</v>
      </c>
      <c r="J707" s="25">
        <v>-8.1179309067806474E-2</v>
      </c>
      <c r="K707" s="25">
        <v>-0.22902584138574622</v>
      </c>
      <c r="L707" s="25">
        <v>0.69910000000000005</v>
      </c>
      <c r="M707" s="24">
        <v>2</v>
      </c>
      <c r="N707" s="108">
        <v>0</v>
      </c>
      <c r="O707" s="24">
        <v>3</v>
      </c>
      <c r="P707" s="24">
        <v>10</v>
      </c>
      <c r="Q707" s="24">
        <v>3</v>
      </c>
      <c r="R707" s="24">
        <v>3</v>
      </c>
      <c r="S707" s="24">
        <v>10</v>
      </c>
      <c r="T707" s="24">
        <v>8</v>
      </c>
      <c r="U707" s="24">
        <v>1063470852516</v>
      </c>
      <c r="V707" s="109">
        <v>0.65705020462857966</v>
      </c>
      <c r="W707" s="109">
        <v>2.8116754656311871</v>
      </c>
      <c r="X707" s="109">
        <v>0.22209791553438596</v>
      </c>
      <c r="Y707" s="109">
        <v>-0.54873986638194228</v>
      </c>
      <c r="Z707" s="109">
        <v>0.57653211871005761</v>
      </c>
      <c r="AA707" s="109">
        <v>3.061565633493688</v>
      </c>
      <c r="AD707" s="111"/>
    </row>
    <row r="708" spans="1:30" ht="15" customHeight="1" x14ac:dyDescent="0.3">
      <c r="A708" s="22" t="s">
        <v>154</v>
      </c>
      <c r="B708" s="23">
        <v>89</v>
      </c>
      <c r="C708" s="3" t="s">
        <v>101</v>
      </c>
      <c r="D708" s="23">
        <v>2023</v>
      </c>
      <c r="E708" s="25">
        <v>6.6828495542237283</v>
      </c>
      <c r="F708" s="25">
        <v>0.20482949828868385</v>
      </c>
      <c r="G708" s="25">
        <v>0.59894200969711453</v>
      </c>
      <c r="H708" s="25">
        <v>1.4934050042109466</v>
      </c>
      <c r="I708" s="25">
        <v>1.979947590876022E-2</v>
      </c>
      <c r="J708" s="25">
        <v>7.8756200824743675E-3</v>
      </c>
      <c r="K708" s="25">
        <v>1.9637110524905816E-2</v>
      </c>
      <c r="L708" s="25">
        <v>0.69030000000000002</v>
      </c>
      <c r="M708" s="24">
        <v>2</v>
      </c>
      <c r="N708" s="108">
        <v>0</v>
      </c>
      <c r="O708" s="24">
        <v>3</v>
      </c>
      <c r="P708" s="24">
        <v>10</v>
      </c>
      <c r="Q708" s="24">
        <v>3</v>
      </c>
      <c r="R708" s="24">
        <v>3</v>
      </c>
      <c r="S708" s="24">
        <v>10</v>
      </c>
      <c r="T708" s="24">
        <v>8</v>
      </c>
      <c r="U708" s="24">
        <v>961063073477</v>
      </c>
      <c r="V708" s="109">
        <v>0.12782084250433379</v>
      </c>
      <c r="W708" s="109">
        <v>2.9100688131320358</v>
      </c>
      <c r="X708" s="109">
        <v>0.2715598660574548</v>
      </c>
      <c r="Y708" s="109">
        <v>8.6351435045356653E-2</v>
      </c>
      <c r="Z708" s="109">
        <v>0.70309125591471866</v>
      </c>
      <c r="AA708" s="109">
        <v>3.9710713701495663</v>
      </c>
      <c r="AD708" s="111"/>
    </row>
    <row r="709" spans="1:30" ht="15" customHeight="1" x14ac:dyDescent="0.3">
      <c r="A709" s="22" t="s">
        <v>154</v>
      </c>
      <c r="B709" s="23">
        <v>89</v>
      </c>
      <c r="C709" s="3" t="s">
        <v>101</v>
      </c>
      <c r="D709" s="23">
        <v>2024</v>
      </c>
      <c r="E709" s="25">
        <v>7.9720252589135407</v>
      </c>
      <c r="F709" s="25">
        <v>0.23176183986842444</v>
      </c>
      <c r="G709" s="25">
        <v>0.647299487684871</v>
      </c>
      <c r="H709" s="25">
        <v>1.8352666499858248</v>
      </c>
      <c r="I709" s="25">
        <v>1.8924892841702363E-2</v>
      </c>
      <c r="J709" s="25">
        <v>6.3843309862422889E-3</v>
      </c>
      <c r="K709" s="25">
        <v>1.8101280727763871E-2</v>
      </c>
      <c r="L709" s="25">
        <v>0.69030000000000002</v>
      </c>
      <c r="M709" s="24">
        <v>2</v>
      </c>
      <c r="N709" s="108">
        <v>0</v>
      </c>
      <c r="O709" s="24">
        <v>3</v>
      </c>
      <c r="P709" s="24">
        <v>10</v>
      </c>
      <c r="Q709" s="24">
        <v>3</v>
      </c>
      <c r="R709" s="24">
        <v>3</v>
      </c>
      <c r="S709" s="24">
        <v>10</v>
      </c>
      <c r="T709" s="24">
        <v>8</v>
      </c>
      <c r="U709" s="24">
        <v>1108514523644</v>
      </c>
      <c r="V709" s="109">
        <v>-2.1771303343309539E-2</v>
      </c>
      <c r="W709" s="109">
        <v>3.3316799441939997</v>
      </c>
      <c r="X709" s="109">
        <v>0.25193811773817582</v>
      </c>
      <c r="Y709" s="109">
        <v>5.9022736074545196E-2</v>
      </c>
      <c r="Z709" s="109">
        <v>0.57212394722484061</v>
      </c>
      <c r="AA709" s="109">
        <v>4.2147647452315606</v>
      </c>
      <c r="AD709" s="111"/>
    </row>
    <row r="710" spans="1:30" ht="15" customHeight="1" x14ac:dyDescent="0.3">
      <c r="A710" s="22" t="s">
        <v>154</v>
      </c>
      <c r="B710" s="23">
        <v>90</v>
      </c>
      <c r="C710" s="2" t="s">
        <v>93</v>
      </c>
      <c r="D710" s="23">
        <v>2015</v>
      </c>
      <c r="E710" s="25">
        <v>2.1084136830667237</v>
      </c>
      <c r="F710" s="25">
        <v>9.3049805372543093E-2</v>
      </c>
      <c r="G710" s="25">
        <v>0.61824495607181307</v>
      </c>
      <c r="H710" s="25">
        <v>1.619480779376717</v>
      </c>
      <c r="I710" s="25">
        <v>0.36987129943882524</v>
      </c>
      <c r="J710" s="25">
        <v>7.64454630690697E-2</v>
      </c>
      <c r="K710" s="25">
        <v>0.20024742117998071</v>
      </c>
      <c r="L710" s="25">
        <v>0.56899999999999995</v>
      </c>
      <c r="M710" s="24">
        <v>1</v>
      </c>
      <c r="N710" s="108">
        <v>0.125</v>
      </c>
      <c r="O710" s="24">
        <v>3</v>
      </c>
      <c r="P710" s="24">
        <v>0</v>
      </c>
      <c r="Q710" s="24">
        <v>3</v>
      </c>
      <c r="R710" s="24">
        <v>3</v>
      </c>
      <c r="S710" s="24">
        <v>0</v>
      </c>
      <c r="T710" s="24">
        <v>0</v>
      </c>
      <c r="U710" s="24">
        <v>431955000000</v>
      </c>
      <c r="V710" s="109">
        <v>0.7978734116036007</v>
      </c>
      <c r="W710" s="109">
        <v>1.2238256299846049</v>
      </c>
      <c r="X710" s="109">
        <v>0.41441784445138963</v>
      </c>
      <c r="Y710" s="109">
        <v>0.61041691842900303</v>
      </c>
      <c r="Z710" s="109">
        <v>0.64835595048192507</v>
      </c>
      <c r="AA710" s="109">
        <v>2.8970163433469227</v>
      </c>
      <c r="AD710" s="111"/>
    </row>
    <row r="711" spans="1:30" ht="15" customHeight="1" x14ac:dyDescent="0.3">
      <c r="A711" s="22" t="s">
        <v>154</v>
      </c>
      <c r="B711" s="23">
        <v>90</v>
      </c>
      <c r="C711" s="3" t="s">
        <v>93</v>
      </c>
      <c r="D711" s="23">
        <v>2016</v>
      </c>
      <c r="E711" s="25">
        <v>2.9836182078801237</v>
      </c>
      <c r="F711" s="25">
        <v>7.8512147821583014E-2</v>
      </c>
      <c r="G711" s="25">
        <v>0.65313762456234847</v>
      </c>
      <c r="H711" s="25">
        <v>1.8829878096125476</v>
      </c>
      <c r="I711" s="25">
        <v>0.31148694665153237</v>
      </c>
      <c r="J711" s="25">
        <v>6.928864799353622E-2</v>
      </c>
      <c r="K711" s="25">
        <v>0.19975832750989983</v>
      </c>
      <c r="L711" s="25">
        <v>0.56899999999999995</v>
      </c>
      <c r="M711" s="24">
        <v>1</v>
      </c>
      <c r="N711" s="108">
        <v>0.125</v>
      </c>
      <c r="O711" s="24">
        <v>3</v>
      </c>
      <c r="P711" s="24">
        <v>0</v>
      </c>
      <c r="Q711" s="24">
        <v>3</v>
      </c>
      <c r="R711" s="24">
        <v>3</v>
      </c>
      <c r="S711" s="24">
        <v>0</v>
      </c>
      <c r="T711" s="24">
        <v>0</v>
      </c>
      <c r="U711" s="24">
        <v>594080000000</v>
      </c>
      <c r="V711" s="109">
        <v>0.48022446990826306</v>
      </c>
      <c r="W711" s="109">
        <v>1.8184212227309453</v>
      </c>
      <c r="X711" s="109">
        <v>0.52378511311607856</v>
      </c>
      <c r="Y711" s="109">
        <v>0.55144088338270936</v>
      </c>
      <c r="Z711" s="109">
        <v>0.55762442785864497</v>
      </c>
      <c r="AA711" s="109">
        <v>3.4512716470883786</v>
      </c>
      <c r="AD711" s="111"/>
    </row>
    <row r="712" spans="1:30" ht="15" customHeight="1" x14ac:dyDescent="0.3">
      <c r="A712" s="22" t="s">
        <v>154</v>
      </c>
      <c r="B712" s="23">
        <v>90</v>
      </c>
      <c r="C712" s="3" t="s">
        <v>93</v>
      </c>
      <c r="D712" s="23">
        <v>2017</v>
      </c>
      <c r="E712" s="25">
        <v>3.0826293632860478</v>
      </c>
      <c r="F712" s="25">
        <v>0.14073150379253119</v>
      </c>
      <c r="G712" s="25">
        <v>0.65140414204660124</v>
      </c>
      <c r="H712" s="25">
        <v>1.8686514116116739</v>
      </c>
      <c r="I712" s="25">
        <v>0.31642448052255406</v>
      </c>
      <c r="J712" s="25">
        <v>8.5389156697296451E-2</v>
      </c>
      <c r="K712" s="25">
        <v>0.2449517248960299</v>
      </c>
      <c r="L712" s="25">
        <v>0.56899999999999995</v>
      </c>
      <c r="M712" s="24">
        <v>2</v>
      </c>
      <c r="N712" s="108">
        <v>0.125</v>
      </c>
      <c r="O712" s="24">
        <v>4</v>
      </c>
      <c r="P712" s="24">
        <v>0</v>
      </c>
      <c r="Q712" s="24">
        <v>4</v>
      </c>
      <c r="R712" s="24">
        <v>3</v>
      </c>
      <c r="S712" s="24">
        <v>0</v>
      </c>
      <c r="T712" s="24">
        <v>0</v>
      </c>
      <c r="U712" s="24">
        <v>782898000000</v>
      </c>
      <c r="V712" s="109">
        <v>0.5987135830495649</v>
      </c>
      <c r="W712" s="109">
        <v>1.8612298409243604</v>
      </c>
      <c r="X712" s="109">
        <v>0.67624040424167631</v>
      </c>
      <c r="Y712" s="109">
        <v>0.71158020585057058</v>
      </c>
      <c r="Z712" s="109">
        <v>0.56190255361453223</v>
      </c>
      <c r="AA712" s="109">
        <v>3.8109530046311395</v>
      </c>
      <c r="AD712" s="111"/>
    </row>
    <row r="713" spans="1:30" ht="15" customHeight="1" x14ac:dyDescent="0.3">
      <c r="A713" s="22" t="s">
        <v>154</v>
      </c>
      <c r="B713" s="23">
        <v>90</v>
      </c>
      <c r="C713" s="3" t="s">
        <v>93</v>
      </c>
      <c r="D713" s="23">
        <v>2018</v>
      </c>
      <c r="E713" s="25">
        <v>4.4472413871621468</v>
      </c>
      <c r="F713" s="25">
        <v>0.42324156932395202</v>
      </c>
      <c r="G713" s="25">
        <v>0.67320849118821502</v>
      </c>
      <c r="H713" s="25">
        <v>2.0600550290795598</v>
      </c>
      <c r="I713" s="25">
        <v>0.24597553633108343</v>
      </c>
      <c r="J713" s="25">
        <v>6.049353010112779E-2</v>
      </c>
      <c r="K713" s="25">
        <v>0.18511353101273181</v>
      </c>
      <c r="L713" s="25">
        <v>0.56899999999999995</v>
      </c>
      <c r="M713" s="24">
        <v>2</v>
      </c>
      <c r="N713" s="108">
        <v>0.125</v>
      </c>
      <c r="O713" s="24">
        <v>3</v>
      </c>
      <c r="P713" s="24">
        <v>0</v>
      </c>
      <c r="Q713" s="24">
        <v>3</v>
      </c>
      <c r="R713" s="24">
        <v>2</v>
      </c>
      <c r="S713" s="24">
        <v>0</v>
      </c>
      <c r="T713" s="24">
        <v>0</v>
      </c>
      <c r="U713" s="24">
        <v>1026523000000</v>
      </c>
      <c r="V713" s="109">
        <v>0.19494485729161737</v>
      </c>
      <c r="W713" s="109">
        <v>1.9349489490250096</v>
      </c>
      <c r="X713" s="109">
        <v>0.71525306300979119</v>
      </c>
      <c r="Y713" s="109">
        <v>0.4895506871253737</v>
      </c>
      <c r="Z713" s="109">
        <v>0.50969512230415714</v>
      </c>
      <c r="AA713" s="109">
        <v>3.649447821464332</v>
      </c>
      <c r="AD713" s="111"/>
    </row>
    <row r="714" spans="1:30" ht="15" customHeight="1" x14ac:dyDescent="0.3">
      <c r="A714" s="22" t="s">
        <v>154</v>
      </c>
      <c r="B714" s="23">
        <v>90</v>
      </c>
      <c r="C714" s="3" t="s">
        <v>93</v>
      </c>
      <c r="D714" s="23">
        <v>2019</v>
      </c>
      <c r="E714" s="25">
        <v>3.5304168698438603</v>
      </c>
      <c r="F714" s="25">
        <v>0.18127718013275348</v>
      </c>
      <c r="G714" s="25">
        <v>0.62890121729334403</v>
      </c>
      <c r="H714" s="25">
        <v>1.6947002970647689</v>
      </c>
      <c r="I714" s="25">
        <v>0.27335663903407259</v>
      </c>
      <c r="J714" s="25">
        <v>7.1170756349103456E-2</v>
      </c>
      <c r="K714" s="25">
        <v>0.19178385827625338</v>
      </c>
      <c r="L714" s="25">
        <v>0.56899999999999995</v>
      </c>
      <c r="M714" s="24">
        <v>2</v>
      </c>
      <c r="N714" s="108">
        <v>0.125</v>
      </c>
      <c r="O714" s="24">
        <v>3</v>
      </c>
      <c r="P714" s="24">
        <v>0</v>
      </c>
      <c r="Q714" s="24">
        <v>3</v>
      </c>
      <c r="R714" s="24">
        <v>3</v>
      </c>
      <c r="S714" s="24">
        <v>0</v>
      </c>
      <c r="T714" s="24">
        <v>0</v>
      </c>
      <c r="U714" s="24">
        <v>1118465000000</v>
      </c>
      <c r="V714" s="109">
        <v>0.15347624932661533</v>
      </c>
      <c r="W714" s="109">
        <v>1.4913631092613537</v>
      </c>
      <c r="X714" s="109">
        <v>0.88454422802680455</v>
      </c>
      <c r="Y714" s="109">
        <v>0.55211469290500814</v>
      </c>
      <c r="Z714" s="109">
        <v>0.61957857788696113</v>
      </c>
      <c r="AA714" s="109">
        <v>3.5476006080801272</v>
      </c>
      <c r="AD714" s="111"/>
    </row>
    <row r="715" spans="1:30" ht="15" customHeight="1" x14ac:dyDescent="0.3">
      <c r="A715" s="22" t="s">
        <v>154</v>
      </c>
      <c r="B715" s="23">
        <v>90</v>
      </c>
      <c r="C715" s="3" t="s">
        <v>93</v>
      </c>
      <c r="D715" s="23">
        <v>2020</v>
      </c>
      <c r="E715" s="25">
        <v>7.6070846054117354</v>
      </c>
      <c r="F715" s="25">
        <v>0.33756011877378611</v>
      </c>
      <c r="G715" s="25">
        <v>0.69260254817112754</v>
      </c>
      <c r="H715" s="25">
        <v>2.2531174024067648</v>
      </c>
      <c r="I715" s="25">
        <v>0.33132114309661592</v>
      </c>
      <c r="J715" s="25">
        <v>6.3173139914395077E-2</v>
      </c>
      <c r="K715" s="25">
        <v>0.20550964082019602</v>
      </c>
      <c r="L715" s="25">
        <v>0.88</v>
      </c>
      <c r="M715" s="24">
        <v>2</v>
      </c>
      <c r="N715" s="108">
        <v>8.2500000000000004E-2</v>
      </c>
      <c r="O715" s="24">
        <v>3</v>
      </c>
      <c r="P715" s="24">
        <v>0</v>
      </c>
      <c r="Q715" s="24">
        <v>3</v>
      </c>
      <c r="R715" s="24">
        <v>3</v>
      </c>
      <c r="S715" s="24">
        <v>0</v>
      </c>
      <c r="T715" s="24">
        <v>0</v>
      </c>
      <c r="U715" s="24">
        <v>1702005000000</v>
      </c>
      <c r="V715" s="109">
        <v>0.11442229105569329</v>
      </c>
      <c r="W715" s="109">
        <v>3.0445325366259204</v>
      </c>
      <c r="X715" s="109">
        <v>0.77924305745282763</v>
      </c>
      <c r="Y715" s="109">
        <v>0.47386126362731013</v>
      </c>
      <c r="Z715" s="109">
        <v>0.46602098891003069</v>
      </c>
      <c r="AA715" s="109">
        <v>4.7636578466160886</v>
      </c>
      <c r="AD715" s="111"/>
    </row>
    <row r="716" spans="1:30" ht="15" customHeight="1" x14ac:dyDescent="0.3">
      <c r="A716" s="22" t="s">
        <v>154</v>
      </c>
      <c r="B716" s="23">
        <v>90</v>
      </c>
      <c r="C716" s="3" t="s">
        <v>93</v>
      </c>
      <c r="D716" s="23">
        <v>2021</v>
      </c>
      <c r="E716" s="25">
        <v>7.5682951603918873</v>
      </c>
      <c r="F716" s="25">
        <v>0.23981781840820474</v>
      </c>
      <c r="G716" s="25">
        <v>0.70014115410401734</v>
      </c>
      <c r="H716" s="25">
        <v>2.3349024505579785</v>
      </c>
      <c r="I716" s="25">
        <v>0.28243419002587689</v>
      </c>
      <c r="J716" s="25">
        <v>4.1198520376931357E-2</v>
      </c>
      <c r="K716" s="25">
        <v>0.13739304656439119</v>
      </c>
      <c r="L716" s="25">
        <v>0.88</v>
      </c>
      <c r="M716" s="24">
        <v>1</v>
      </c>
      <c r="N716" s="108">
        <v>8.2500000000000004E-2</v>
      </c>
      <c r="O716" s="24">
        <v>2</v>
      </c>
      <c r="P716" s="24">
        <v>0</v>
      </c>
      <c r="Q716" s="24">
        <v>2</v>
      </c>
      <c r="R716" s="24">
        <v>4</v>
      </c>
      <c r="S716" s="24">
        <v>0</v>
      </c>
      <c r="T716" s="24">
        <v>0</v>
      </c>
      <c r="U716" s="24">
        <v>2024029000000</v>
      </c>
      <c r="V716" s="109">
        <v>-9.0218844947337937E-2</v>
      </c>
      <c r="W716" s="109">
        <v>3.248479068234694</v>
      </c>
      <c r="X716" s="109">
        <v>0.79820536168207068</v>
      </c>
      <c r="Y716" s="109">
        <v>0.34101851307466446</v>
      </c>
      <c r="Z716" s="109">
        <v>0.44969758790097564</v>
      </c>
      <c r="AA716" s="109">
        <v>4.8374005308924044</v>
      </c>
      <c r="AD716" s="111"/>
    </row>
    <row r="717" spans="1:30" ht="15" customHeight="1" x14ac:dyDescent="0.3">
      <c r="A717" s="22" t="s">
        <v>154</v>
      </c>
      <c r="B717" s="23">
        <v>90</v>
      </c>
      <c r="C717" s="3" t="s">
        <v>93</v>
      </c>
      <c r="D717" s="23">
        <v>2022</v>
      </c>
      <c r="E717" s="25">
        <v>10.664566147265505</v>
      </c>
      <c r="F717" s="25">
        <v>0.39461121295447604</v>
      </c>
      <c r="G717" s="25">
        <v>0.66829636837587569</v>
      </c>
      <c r="H717" s="25">
        <v>2.0147393777502178</v>
      </c>
      <c r="I717" s="25">
        <v>0.22445600507950764</v>
      </c>
      <c r="J717" s="25">
        <v>3.1637276657687487E-2</v>
      </c>
      <c r="K717" s="25">
        <v>9.5378143744708252E-2</v>
      </c>
      <c r="L717" s="25">
        <v>0.96</v>
      </c>
      <c r="M717" s="24">
        <v>2</v>
      </c>
      <c r="N717" s="108">
        <v>2.75E-2</v>
      </c>
      <c r="O717" s="24">
        <v>3</v>
      </c>
      <c r="P717" s="24">
        <v>0</v>
      </c>
      <c r="Q717" s="24">
        <v>3</v>
      </c>
      <c r="R717" s="24">
        <v>4</v>
      </c>
      <c r="S717" s="24">
        <v>0</v>
      </c>
      <c r="T717" s="24">
        <v>0</v>
      </c>
      <c r="U717" s="24">
        <v>2022456000000</v>
      </c>
      <c r="V717" s="109">
        <v>-3.4469794475078239E-2</v>
      </c>
      <c r="W717" s="109">
        <v>3.2832435810717269</v>
      </c>
      <c r="X717" s="109">
        <v>0.90042433556032864</v>
      </c>
      <c r="Y717" s="109">
        <v>0.23419335698774166</v>
      </c>
      <c r="Z717" s="109">
        <v>0.52115921870375848</v>
      </c>
      <c r="AA717" s="109">
        <v>4.9390204923235554</v>
      </c>
      <c r="AD717" s="111"/>
    </row>
    <row r="718" spans="1:30" ht="15" customHeight="1" x14ac:dyDescent="0.3">
      <c r="A718" s="22" t="s">
        <v>154</v>
      </c>
      <c r="B718" s="23">
        <v>90</v>
      </c>
      <c r="C718" s="3" t="s">
        <v>93</v>
      </c>
      <c r="D718" s="23">
        <v>2023</v>
      </c>
      <c r="E718" s="25">
        <v>6.5501217973813564</v>
      </c>
      <c r="F718" s="25">
        <v>0.22134499108269173</v>
      </c>
      <c r="G718" s="25">
        <v>0.66611334332945216</v>
      </c>
      <c r="H718" s="25">
        <v>1.9950283427669844</v>
      </c>
      <c r="I718" s="25">
        <v>0.16399096248166886</v>
      </c>
      <c r="J718" s="25">
        <v>2.175272729303427E-2</v>
      </c>
      <c r="K718" s="25">
        <v>6.5150034775118576E-2</v>
      </c>
      <c r="L718" s="25">
        <v>0.995</v>
      </c>
      <c r="M718" s="24">
        <v>2</v>
      </c>
      <c r="N718" s="108">
        <v>5.0000000000000001E-3</v>
      </c>
      <c r="O718" s="24">
        <v>3</v>
      </c>
      <c r="P718" s="24">
        <v>0</v>
      </c>
      <c r="Q718" s="24">
        <v>3</v>
      </c>
      <c r="R718" s="24">
        <v>4</v>
      </c>
      <c r="S718" s="24">
        <v>0</v>
      </c>
      <c r="T718" s="24">
        <v>0</v>
      </c>
      <c r="U718" s="24">
        <v>2148834000000</v>
      </c>
      <c r="V718" s="109">
        <v>-1.1576225939866769E-4</v>
      </c>
      <c r="W718" s="109">
        <v>3.1161155491769024</v>
      </c>
      <c r="X718" s="109">
        <v>0.91992048711068408</v>
      </c>
      <c r="Y718" s="109">
        <v>0.15960685655569484</v>
      </c>
      <c r="Z718" s="109">
        <v>0.52630831226373109</v>
      </c>
      <c r="AA718" s="109">
        <v>4.7219512051070129</v>
      </c>
      <c r="AD718" s="111"/>
    </row>
    <row r="719" spans="1:30" ht="15" customHeight="1" x14ac:dyDescent="0.3">
      <c r="A719" s="22" t="s">
        <v>154</v>
      </c>
      <c r="B719" s="23">
        <v>90</v>
      </c>
      <c r="C719" s="3" t="s">
        <v>93</v>
      </c>
      <c r="D719" s="23">
        <v>2024</v>
      </c>
      <c r="E719" s="25">
        <v>5.972849931845289</v>
      </c>
      <c r="F719" s="25">
        <v>0.13301882773896745</v>
      </c>
      <c r="G719" s="25">
        <v>0.64580830900613329</v>
      </c>
      <c r="H719" s="25">
        <v>1.8233299239572403</v>
      </c>
      <c r="I719" s="25">
        <v>0.12551854613295146</v>
      </c>
      <c r="J719" s="25">
        <v>1.7909724490651934E-2</v>
      </c>
      <c r="K719" s="25">
        <v>5.0565061084287453E-2</v>
      </c>
      <c r="L719" s="25">
        <v>0.99990000000000001</v>
      </c>
      <c r="M719" s="24">
        <v>1</v>
      </c>
      <c r="N719" s="108">
        <v>1E-4</v>
      </c>
      <c r="O719" s="24">
        <v>2</v>
      </c>
      <c r="P719" s="24">
        <v>0</v>
      </c>
      <c r="Q719" s="24">
        <v>2</v>
      </c>
      <c r="R719" s="24">
        <v>3</v>
      </c>
      <c r="S719" s="24">
        <v>0</v>
      </c>
      <c r="T719" s="24">
        <v>0</v>
      </c>
      <c r="U719" s="24">
        <v>2133757000000</v>
      </c>
      <c r="V719" s="109">
        <v>6.8142747882708729E-2</v>
      </c>
      <c r="W719" s="109">
        <v>2.8712983530926905</v>
      </c>
      <c r="X719" s="109">
        <v>0.98483684880705724</v>
      </c>
      <c r="Y719" s="109">
        <v>0.12792759437930373</v>
      </c>
      <c r="Z719" s="109">
        <v>0.57586944973795318</v>
      </c>
      <c r="AA719" s="109">
        <v>4.5599322460170049</v>
      </c>
      <c r="AD719" s="111"/>
    </row>
    <row r="720" spans="1:30" ht="15" customHeight="1" x14ac:dyDescent="0.3">
      <c r="A720" s="22" t="s">
        <v>154</v>
      </c>
      <c r="B720" s="23">
        <v>91</v>
      </c>
      <c r="C720" s="2" t="s">
        <v>88</v>
      </c>
      <c r="D720" s="23">
        <v>2015</v>
      </c>
      <c r="E720" s="25">
        <v>4.5619848420159519</v>
      </c>
      <c r="F720" s="25">
        <v>5.0741446779812197E-2</v>
      </c>
      <c r="G720" s="25">
        <v>0.75180854626092541</v>
      </c>
      <c r="H720" s="25">
        <v>3.0291475993017354</v>
      </c>
      <c r="I720" s="25">
        <v>0.32612945703166552</v>
      </c>
      <c r="J720" s="25">
        <v>6.076073066225663E-2</v>
      </c>
      <c r="K720" s="25">
        <v>0.24481395207965065</v>
      </c>
      <c r="L720" s="25">
        <v>0.8</v>
      </c>
      <c r="M720" s="24">
        <v>2</v>
      </c>
      <c r="N720" s="108">
        <v>0</v>
      </c>
      <c r="O720" s="24">
        <v>4</v>
      </c>
      <c r="P720" s="24">
        <v>0</v>
      </c>
      <c r="Q720" s="24">
        <v>4</v>
      </c>
      <c r="R720" s="24">
        <v>4</v>
      </c>
      <c r="S720" s="24">
        <v>0</v>
      </c>
      <c r="T720" s="24">
        <v>0</v>
      </c>
      <c r="U720" s="24">
        <v>2926660000000</v>
      </c>
      <c r="V720" s="109">
        <v>7.9730251835200723E-3</v>
      </c>
      <c r="W720" s="109">
        <v>2.9359533666363702</v>
      </c>
      <c r="X720" s="109">
        <v>0.64675242768206753</v>
      </c>
      <c r="Y720" s="109">
        <v>0.55979947106941019</v>
      </c>
      <c r="Z720" s="109">
        <v>0.34663216815253278</v>
      </c>
      <c r="AA720" s="109">
        <v>4.48913743354038</v>
      </c>
      <c r="AD720" s="111"/>
    </row>
    <row r="721" spans="1:30" ht="15" customHeight="1" x14ac:dyDescent="0.3">
      <c r="A721" s="22" t="s">
        <v>154</v>
      </c>
      <c r="B721" s="23">
        <v>91</v>
      </c>
      <c r="C721" s="3" t="s">
        <v>88</v>
      </c>
      <c r="D721" s="23">
        <v>2016</v>
      </c>
      <c r="E721" s="25">
        <v>3.6712877961381194</v>
      </c>
      <c r="F721" s="25">
        <v>7.4349035712490644E-2</v>
      </c>
      <c r="G721" s="25">
        <v>0.68608471027519735</v>
      </c>
      <c r="H721" s="25">
        <v>2.1855727730772889</v>
      </c>
      <c r="I721" s="25">
        <v>0.3200646186199958</v>
      </c>
      <c r="J721" s="25">
        <v>6.1648637700950748E-2</v>
      </c>
      <c r="K721" s="25">
        <v>0.19638622175745477</v>
      </c>
      <c r="L721" s="25">
        <v>0.8</v>
      </c>
      <c r="M721" s="24">
        <v>3</v>
      </c>
      <c r="N721" s="108">
        <v>0</v>
      </c>
      <c r="O721" s="24">
        <v>4</v>
      </c>
      <c r="P721" s="24">
        <v>0</v>
      </c>
      <c r="Q721" s="24">
        <v>4</v>
      </c>
      <c r="R721" s="24">
        <v>5</v>
      </c>
      <c r="S721" s="24">
        <v>0</v>
      </c>
      <c r="T721" s="24">
        <v>0</v>
      </c>
      <c r="U721" s="24">
        <v>2513178000000</v>
      </c>
      <c r="V721" s="109">
        <v>-0.11222311475951011</v>
      </c>
      <c r="W721" s="109">
        <v>2.3583709231896823</v>
      </c>
      <c r="X721" s="109">
        <v>0.82267466132522238</v>
      </c>
      <c r="Y721" s="109">
        <v>0.51679904885368244</v>
      </c>
      <c r="Z721" s="109">
        <v>0.48042326155152404</v>
      </c>
      <c r="AA721" s="109">
        <v>4.1782678949201113</v>
      </c>
      <c r="AD721" s="111"/>
    </row>
    <row r="722" spans="1:30" ht="15" customHeight="1" x14ac:dyDescent="0.3">
      <c r="A722" s="22" t="s">
        <v>154</v>
      </c>
      <c r="B722" s="23">
        <v>91</v>
      </c>
      <c r="C722" s="3" t="s">
        <v>88</v>
      </c>
      <c r="D722" s="23">
        <v>2017</v>
      </c>
      <c r="E722" s="25">
        <v>3.9872852012304123</v>
      </c>
      <c r="F722" s="25">
        <v>8.7288422205401575E-2</v>
      </c>
      <c r="G722" s="25">
        <v>0.66908534761407146</v>
      </c>
      <c r="H722" s="25">
        <v>2.0219272334721281</v>
      </c>
      <c r="I722" s="25">
        <v>0.26715373905874734</v>
      </c>
      <c r="J722" s="25">
        <v>4.9866648033244955E-2</v>
      </c>
      <c r="K722" s="25">
        <v>0.15069338173363228</v>
      </c>
      <c r="L722" s="25">
        <v>0.8</v>
      </c>
      <c r="M722" s="24">
        <v>3</v>
      </c>
      <c r="N722" s="108">
        <v>0</v>
      </c>
      <c r="O722" s="24">
        <v>4</v>
      </c>
      <c r="P722" s="24">
        <v>0</v>
      </c>
      <c r="Q722" s="24">
        <v>4</v>
      </c>
      <c r="R722" s="24">
        <v>5</v>
      </c>
      <c r="S722" s="24">
        <v>0</v>
      </c>
      <c r="T722" s="24">
        <v>0</v>
      </c>
      <c r="U722" s="24">
        <v>2547394000000</v>
      </c>
      <c r="V722" s="109">
        <v>-1.7718475182359611E-2</v>
      </c>
      <c r="W722" s="109">
        <v>2.8660139420914077</v>
      </c>
      <c r="X722" s="109">
        <v>0.89961827656028082</v>
      </c>
      <c r="Y722" s="109">
        <v>0.35407629915121097</v>
      </c>
      <c r="Z722" s="109">
        <v>0.51930652232073715</v>
      </c>
      <c r="AA722" s="109">
        <v>4.6390150401236365</v>
      </c>
      <c r="AD722" s="111"/>
    </row>
    <row r="723" spans="1:30" ht="15" customHeight="1" x14ac:dyDescent="0.3">
      <c r="A723" s="22" t="s">
        <v>154</v>
      </c>
      <c r="B723" s="23">
        <v>91</v>
      </c>
      <c r="C723" s="3" t="s">
        <v>88</v>
      </c>
      <c r="D723" s="23">
        <v>2018</v>
      </c>
      <c r="E723" s="25">
        <v>2.3172493145609927</v>
      </c>
      <c r="F723" s="25">
        <v>2.6988901172103671E-2</v>
      </c>
      <c r="G723" s="25">
        <v>0.74063347450720041</v>
      </c>
      <c r="H723" s="25">
        <v>2.8555476582800647</v>
      </c>
      <c r="I723" s="25">
        <v>0.15832604040947146</v>
      </c>
      <c r="J723" s="25">
        <v>2.4610783944708055E-2</v>
      </c>
      <c r="K723" s="25">
        <v>9.488805040645576E-2</v>
      </c>
      <c r="L723" s="25">
        <v>0.8</v>
      </c>
      <c r="M723" s="24">
        <v>3</v>
      </c>
      <c r="N723" s="108">
        <v>0</v>
      </c>
      <c r="O723" s="24">
        <v>4</v>
      </c>
      <c r="P723" s="24">
        <v>0</v>
      </c>
      <c r="Q723" s="24">
        <v>4</v>
      </c>
      <c r="R723" s="24">
        <v>5</v>
      </c>
      <c r="S723" s="24">
        <v>0</v>
      </c>
      <c r="T723" s="24">
        <v>0</v>
      </c>
      <c r="U723" s="24">
        <v>3374090000000</v>
      </c>
      <c r="V723" s="109">
        <v>0.10302338199851102</v>
      </c>
      <c r="W723" s="109">
        <v>2.1568020295842731</v>
      </c>
      <c r="X723" s="109">
        <v>0.71026877172808067</v>
      </c>
      <c r="Y723" s="109">
        <v>0.29181628231612078</v>
      </c>
      <c r="Z723" s="109">
        <v>0.36770529707510796</v>
      </c>
      <c r="AA723" s="109">
        <v>3.5265923807035828</v>
      </c>
      <c r="AD723" s="111"/>
    </row>
    <row r="724" spans="1:30" ht="15" customHeight="1" x14ac:dyDescent="0.3">
      <c r="A724" s="22" t="s">
        <v>154</v>
      </c>
      <c r="B724" s="23">
        <v>91</v>
      </c>
      <c r="C724" s="3" t="s">
        <v>88</v>
      </c>
      <c r="D724" s="23">
        <v>2019</v>
      </c>
      <c r="E724" s="25">
        <v>2.4879095430361913</v>
      </c>
      <c r="F724" s="25">
        <v>3.5549807583117786E-2</v>
      </c>
      <c r="G724" s="25">
        <v>0.72602705432446202</v>
      </c>
      <c r="H724" s="25">
        <v>2.6499954312433633</v>
      </c>
      <c r="I724" s="25">
        <v>0.24386725176276614</v>
      </c>
      <c r="J724" s="25">
        <v>3.8474863534212124E-2</v>
      </c>
      <c r="K724" s="25">
        <v>0.14043307611758615</v>
      </c>
      <c r="L724" s="25">
        <v>0.8</v>
      </c>
      <c r="M724" s="24">
        <v>2</v>
      </c>
      <c r="N724" s="108">
        <v>0</v>
      </c>
      <c r="O724" s="24">
        <v>4</v>
      </c>
      <c r="P724" s="24">
        <v>0</v>
      </c>
      <c r="Q724" s="24">
        <v>4</v>
      </c>
      <c r="R724" s="24">
        <v>5</v>
      </c>
      <c r="S724" s="24">
        <v>0</v>
      </c>
      <c r="T724" s="24">
        <v>0</v>
      </c>
      <c r="U724" s="24">
        <v>3475230000000</v>
      </c>
      <c r="V724" s="109">
        <v>4.5387726152138971E-2</v>
      </c>
      <c r="W724" s="109">
        <v>2.1369517643436549</v>
      </c>
      <c r="X724" s="109">
        <v>0.76182236571392392</v>
      </c>
      <c r="Y724" s="109">
        <v>0.27501254305470429</v>
      </c>
      <c r="Z724" s="109">
        <v>0.39622709821327717</v>
      </c>
      <c r="AA724" s="109">
        <v>3.5700137713255602</v>
      </c>
      <c r="AD724" s="111"/>
    </row>
    <row r="725" spans="1:30" ht="15" customHeight="1" x14ac:dyDescent="0.3">
      <c r="A725" s="22" t="s">
        <v>154</v>
      </c>
      <c r="B725" s="23">
        <v>91</v>
      </c>
      <c r="C725" s="3" t="s">
        <v>88</v>
      </c>
      <c r="D725" s="23">
        <v>2020</v>
      </c>
      <c r="E725" s="25">
        <v>3.992409654765364</v>
      </c>
      <c r="F725" s="25">
        <v>4.6560826220329192E-2</v>
      </c>
      <c r="G725" s="25">
        <v>0.80333612288640244</v>
      </c>
      <c r="H725" s="25">
        <v>4.0848178866237701</v>
      </c>
      <c r="I725" s="25">
        <v>0.18513778414445659</v>
      </c>
      <c r="J725" s="25">
        <v>1.8944337711948013E-2</v>
      </c>
      <c r="K725" s="25">
        <v>9.6328507247954484E-2</v>
      </c>
      <c r="L725" s="25">
        <v>0.8</v>
      </c>
      <c r="M725" s="24">
        <v>2</v>
      </c>
      <c r="N725" s="108">
        <v>0</v>
      </c>
      <c r="O725" s="24">
        <v>4</v>
      </c>
      <c r="P725" s="24">
        <v>0</v>
      </c>
      <c r="Q725" s="24">
        <v>4</v>
      </c>
      <c r="R725" s="24">
        <v>5</v>
      </c>
      <c r="S725" s="24">
        <v>0</v>
      </c>
      <c r="T725" s="24">
        <v>0</v>
      </c>
      <c r="U725" s="24">
        <v>5184821000000</v>
      </c>
      <c r="V725" s="109">
        <v>-3.2366319767420652E-2</v>
      </c>
      <c r="W725" s="109">
        <v>3.3484686472300589</v>
      </c>
      <c r="X725" s="109">
        <v>0.55309805680851853</v>
      </c>
      <c r="Y725" s="109">
        <v>0.11566964414007735</v>
      </c>
      <c r="Z725" s="109">
        <v>0.25704940321534331</v>
      </c>
      <c r="AA725" s="109">
        <v>4.2742857513939985</v>
      </c>
      <c r="AD725" s="111"/>
    </row>
    <row r="726" spans="1:30" ht="15" customHeight="1" x14ac:dyDescent="0.3">
      <c r="A726" s="22" t="s">
        <v>154</v>
      </c>
      <c r="B726" s="23">
        <v>91</v>
      </c>
      <c r="C726" s="3" t="s">
        <v>88</v>
      </c>
      <c r="D726" s="23">
        <v>2021</v>
      </c>
      <c r="E726" s="25">
        <v>3.5691058349940303</v>
      </c>
      <c r="F726" s="25">
        <v>8.7363912288641501E-2</v>
      </c>
      <c r="G726" s="25">
        <v>0.78437819066479053</v>
      </c>
      <c r="H726" s="25">
        <v>3.6377497855301941</v>
      </c>
      <c r="I726" s="25">
        <v>0.24559235741662377</v>
      </c>
      <c r="J726" s="25">
        <v>2.9537815803327077E-2</v>
      </c>
      <c r="K726" s="25">
        <v>0.13698899890691052</v>
      </c>
      <c r="L726" s="25">
        <v>0.8</v>
      </c>
      <c r="M726" s="24">
        <v>2</v>
      </c>
      <c r="N726" s="108">
        <v>0</v>
      </c>
      <c r="O726" s="24">
        <v>4</v>
      </c>
      <c r="P726" s="24">
        <v>0</v>
      </c>
      <c r="Q726" s="24">
        <v>4</v>
      </c>
      <c r="R726" s="24">
        <v>5</v>
      </c>
      <c r="S726" s="24">
        <v>0</v>
      </c>
      <c r="T726" s="24">
        <v>0</v>
      </c>
      <c r="U726" s="24">
        <v>5087106000000</v>
      </c>
      <c r="V726" s="109">
        <v>0.15323067063746371</v>
      </c>
      <c r="W726" s="109">
        <v>2.9940366408720398</v>
      </c>
      <c r="X726" s="109">
        <v>0.61321007661330418</v>
      </c>
      <c r="Y726" s="109">
        <v>0.26081167563640306</v>
      </c>
      <c r="Z726" s="109">
        <v>0.28863997303403449</v>
      </c>
      <c r="AA726" s="109">
        <v>4.1566983661557817</v>
      </c>
      <c r="AD726" s="111"/>
    </row>
    <row r="727" spans="1:30" ht="15" customHeight="1" x14ac:dyDescent="0.3">
      <c r="A727" s="22" t="s">
        <v>154</v>
      </c>
      <c r="B727" s="23">
        <v>91</v>
      </c>
      <c r="C727" s="3" t="s">
        <v>88</v>
      </c>
      <c r="D727" s="23">
        <v>2022</v>
      </c>
      <c r="E727" s="25">
        <v>2.5201755663147107</v>
      </c>
      <c r="F727" s="25">
        <v>2.7033452699751378E-2</v>
      </c>
      <c r="G727" s="25">
        <v>0.77183150320831206</v>
      </c>
      <c r="H727" s="25">
        <v>3.3827259856691554</v>
      </c>
      <c r="I727" s="25">
        <v>0.20019046424914397</v>
      </c>
      <c r="J727" s="25">
        <v>2.8805756168282008E-2</v>
      </c>
      <c r="K727" s="25">
        <v>0.12624773609557913</v>
      </c>
      <c r="L727" s="25">
        <v>0.8</v>
      </c>
      <c r="M727" s="24">
        <v>2</v>
      </c>
      <c r="N727" s="108">
        <v>0</v>
      </c>
      <c r="O727" s="24">
        <v>4</v>
      </c>
      <c r="P727" s="24">
        <v>0</v>
      </c>
      <c r="Q727" s="24">
        <v>4</v>
      </c>
      <c r="R727" s="24">
        <v>5</v>
      </c>
      <c r="S727" s="24">
        <v>0</v>
      </c>
      <c r="T727" s="24">
        <v>0</v>
      </c>
      <c r="U727" s="24">
        <v>4655875000000</v>
      </c>
      <c r="V727" s="109">
        <v>9.4971683542131452E-2</v>
      </c>
      <c r="W727" s="109">
        <v>2.3243185867318172</v>
      </c>
      <c r="X727" s="109">
        <v>0.64580261282787865</v>
      </c>
      <c r="Y727" s="109">
        <v>0.29047460251832363</v>
      </c>
      <c r="Z727" s="109">
        <v>0.31040054809295875</v>
      </c>
      <c r="AA727" s="109">
        <v>3.5709963501709781</v>
      </c>
      <c r="AD727" s="111"/>
    </row>
    <row r="728" spans="1:30" ht="15" customHeight="1" x14ac:dyDescent="0.3">
      <c r="A728" s="22" t="s">
        <v>154</v>
      </c>
      <c r="B728" s="23">
        <v>91</v>
      </c>
      <c r="C728" s="3" t="s">
        <v>88</v>
      </c>
      <c r="D728" s="23">
        <v>2023</v>
      </c>
      <c r="E728" s="25">
        <v>2.3451189396688665</v>
      </c>
      <c r="F728" s="25">
        <v>2.222332870207679E-2</v>
      </c>
      <c r="G728" s="25">
        <v>0.7138524517798811</v>
      </c>
      <c r="H728" s="25">
        <v>2.4947005704579741</v>
      </c>
      <c r="I728" s="25">
        <v>0.28686815205411365</v>
      </c>
      <c r="J728" s="25">
        <v>4.9344132037860519E-2</v>
      </c>
      <c r="K728" s="25">
        <v>0.17244296638146475</v>
      </c>
      <c r="L728" s="25">
        <v>0.8</v>
      </c>
      <c r="M728" s="24">
        <v>2</v>
      </c>
      <c r="N728" s="108">
        <v>0</v>
      </c>
      <c r="O728" s="24">
        <v>4</v>
      </c>
      <c r="P728" s="24">
        <v>0</v>
      </c>
      <c r="Q728" s="24">
        <v>4</v>
      </c>
      <c r="R728" s="24">
        <v>5</v>
      </c>
      <c r="S728" s="24">
        <v>0</v>
      </c>
      <c r="T728" s="24">
        <v>0</v>
      </c>
      <c r="U728" s="24">
        <v>4304220000000</v>
      </c>
      <c r="V728" s="109">
        <v>0.10512253299539363</v>
      </c>
      <c r="W728" s="109">
        <v>2.1410035360646065</v>
      </c>
      <c r="X728" s="109">
        <v>0.82680553503306053</v>
      </c>
      <c r="Y728" s="109">
        <v>0.3895839524931346</v>
      </c>
      <c r="Z728" s="109">
        <v>0.42089219541375356</v>
      </c>
      <c r="AA728" s="109">
        <v>3.7782852190045553</v>
      </c>
      <c r="AD728" s="111"/>
    </row>
    <row r="729" spans="1:30" ht="15" customHeight="1" x14ac:dyDescent="0.3">
      <c r="A729" s="22" t="s">
        <v>154</v>
      </c>
      <c r="B729" s="23">
        <v>91</v>
      </c>
      <c r="C729" s="3" t="s">
        <v>88</v>
      </c>
      <c r="D729" s="23">
        <v>2024</v>
      </c>
      <c r="E729" s="25">
        <v>2.3043493818729068</v>
      </c>
      <c r="F729" s="25">
        <v>8.152407280936004E-3</v>
      </c>
      <c r="G729" s="25">
        <v>0.72698360068540224</v>
      </c>
      <c r="H729" s="25">
        <v>2.6627836368455533</v>
      </c>
      <c r="I729" s="25">
        <v>0.12391086656712269</v>
      </c>
      <c r="J729" s="25">
        <v>2.524589291073313E-2</v>
      </c>
      <c r="K729" s="25">
        <v>9.2470243450988462E-2</v>
      </c>
      <c r="L729" s="25">
        <v>0.8</v>
      </c>
      <c r="M729" s="24">
        <v>2</v>
      </c>
      <c r="N729" s="108">
        <v>0</v>
      </c>
      <c r="O729" s="24">
        <v>4</v>
      </c>
      <c r="P729" s="24">
        <v>0</v>
      </c>
      <c r="Q729" s="24">
        <v>4</v>
      </c>
      <c r="R729" s="24">
        <v>5</v>
      </c>
      <c r="S729" s="24">
        <v>0</v>
      </c>
      <c r="T729" s="24">
        <v>0</v>
      </c>
      <c r="U729" s="24">
        <v>4131880000000</v>
      </c>
      <c r="V729" s="109">
        <v>0.13705481598340286</v>
      </c>
      <c r="W729" s="109">
        <v>2.0255382053689845</v>
      </c>
      <c r="X729" s="109">
        <v>0.77957526840082481</v>
      </c>
      <c r="Y729" s="109">
        <v>0.21674255786712102</v>
      </c>
      <c r="Z729" s="109">
        <v>0.39432418972045163</v>
      </c>
      <c r="AA729" s="109">
        <v>3.416180221357382</v>
      </c>
      <c r="AD729" s="111"/>
    </row>
    <row r="730" spans="1:30" ht="15" customHeight="1" x14ac:dyDescent="0.3">
      <c r="A730" s="22" t="s">
        <v>154</v>
      </c>
      <c r="B730" s="23">
        <v>92</v>
      </c>
      <c r="C730" s="2" t="s">
        <v>94</v>
      </c>
      <c r="D730" s="23">
        <v>2015</v>
      </c>
      <c r="E730" s="25">
        <v>2.2398242951155543</v>
      </c>
      <c r="F730" s="25">
        <v>9.9500718565433188E-2</v>
      </c>
      <c r="G730" s="25">
        <v>0.4259380585526597</v>
      </c>
      <c r="H730" s="25">
        <v>0.74197229915429219</v>
      </c>
      <c r="I730" s="25">
        <v>0.25591903738692251</v>
      </c>
      <c r="J730" s="25">
        <v>7.373064336430149E-2</v>
      </c>
      <c r="K730" s="25">
        <v>0.12843673833943742</v>
      </c>
      <c r="L730" s="25">
        <v>0.55610000000000004</v>
      </c>
      <c r="M730" s="24">
        <v>2</v>
      </c>
      <c r="N730" s="108">
        <v>0</v>
      </c>
      <c r="O730" s="24">
        <v>4</v>
      </c>
      <c r="P730" s="24">
        <v>0</v>
      </c>
      <c r="Q730" s="24">
        <v>4</v>
      </c>
      <c r="R730" s="24">
        <v>6</v>
      </c>
      <c r="S730" s="24">
        <v>0</v>
      </c>
      <c r="T730" s="24">
        <v>0</v>
      </c>
      <c r="U730" s="24">
        <v>2627811764000</v>
      </c>
      <c r="V730" s="109">
        <v>3.8414504484744531E-2</v>
      </c>
      <c r="W730" s="109">
        <v>0.572455140770882</v>
      </c>
      <c r="X730" s="109">
        <v>0.97831705498065491</v>
      </c>
      <c r="Y730" s="109">
        <v>0.54200899860192575</v>
      </c>
      <c r="Z730" s="109">
        <v>1.4151471708536842</v>
      </c>
      <c r="AA730" s="109">
        <v>3.5079283652071469</v>
      </c>
      <c r="AD730" s="111"/>
    </row>
    <row r="731" spans="1:30" ht="15" customHeight="1" x14ac:dyDescent="0.3">
      <c r="A731" s="22" t="s">
        <v>154</v>
      </c>
      <c r="B731" s="23">
        <v>92</v>
      </c>
      <c r="C731" s="3" t="s">
        <v>94</v>
      </c>
      <c r="D731" s="23">
        <v>2016</v>
      </c>
      <c r="E731" s="25">
        <v>3.5877112224517176</v>
      </c>
      <c r="F731" s="25">
        <v>0.19664080259449199</v>
      </c>
      <c r="G731" s="25">
        <v>0.48674065081111989</v>
      </c>
      <c r="H731" s="25">
        <v>0.94833275142543705</v>
      </c>
      <c r="I731" s="25">
        <v>0.17419045150914184</v>
      </c>
      <c r="J731" s="25">
        <v>3.791958436321799E-2</v>
      </c>
      <c r="K731" s="25">
        <v>7.3879968135297486E-2</v>
      </c>
      <c r="L731" s="25">
        <v>0.8</v>
      </c>
      <c r="M731" s="24">
        <v>2</v>
      </c>
      <c r="N731" s="108">
        <v>0</v>
      </c>
      <c r="O731" s="24">
        <v>4</v>
      </c>
      <c r="P731" s="24">
        <v>0</v>
      </c>
      <c r="Q731" s="24">
        <v>4</v>
      </c>
      <c r="R731" s="24">
        <v>6</v>
      </c>
      <c r="S731" s="24">
        <v>0</v>
      </c>
      <c r="T731" s="24">
        <v>0</v>
      </c>
      <c r="U731" s="24">
        <v>3436388457000</v>
      </c>
      <c r="V731" s="109">
        <v>-1.1897967675928803E-2</v>
      </c>
      <c r="W731" s="109">
        <v>1.3271980110367365</v>
      </c>
      <c r="X731" s="109">
        <v>0.87171492463781131</v>
      </c>
      <c r="Y731" s="109">
        <v>0.27152072077862877</v>
      </c>
      <c r="Z731" s="109">
        <v>1.107206303295702</v>
      </c>
      <c r="AA731" s="109">
        <v>3.5776399597488782</v>
      </c>
      <c r="AD731" s="111"/>
    </row>
    <row r="732" spans="1:30" ht="15" customHeight="1" x14ac:dyDescent="0.3">
      <c r="A732" s="22" t="s">
        <v>154</v>
      </c>
      <c r="B732" s="23">
        <v>92</v>
      </c>
      <c r="C732" s="3" t="s">
        <v>94</v>
      </c>
      <c r="D732" s="23">
        <v>2017</v>
      </c>
      <c r="E732" s="25">
        <v>3.8204865079517494</v>
      </c>
      <c r="F732" s="25">
        <v>0.17530802565609716</v>
      </c>
      <c r="G732" s="25">
        <v>0.52301825703450466</v>
      </c>
      <c r="H732" s="25">
        <v>1.0965163022441713</v>
      </c>
      <c r="I732" s="25">
        <v>0.16024953343468404</v>
      </c>
      <c r="J732" s="25">
        <v>3.1693117554199041E-2</v>
      </c>
      <c r="K732" s="25">
        <v>6.6445137621319206E-2</v>
      </c>
      <c r="L732" s="25">
        <v>0.8</v>
      </c>
      <c r="M732" s="24">
        <v>2</v>
      </c>
      <c r="N732" s="108">
        <v>0</v>
      </c>
      <c r="O732" s="24">
        <v>4</v>
      </c>
      <c r="P732" s="24">
        <v>0</v>
      </c>
      <c r="Q732" s="24">
        <v>4</v>
      </c>
      <c r="R732" s="24">
        <v>7</v>
      </c>
      <c r="S732" s="24">
        <v>0</v>
      </c>
      <c r="T732" s="24">
        <v>0</v>
      </c>
      <c r="U732" s="24">
        <v>3886960940000</v>
      </c>
      <c r="V732" s="109">
        <v>2.7630271677526509E-2</v>
      </c>
      <c r="W732" s="109">
        <v>1.6676764978862895</v>
      </c>
      <c r="X732" s="109">
        <v>0.84042772043394898</v>
      </c>
      <c r="Y732" s="109">
        <v>0.23462989917259111</v>
      </c>
      <c r="Z732" s="109">
        <v>0.95757810244228081</v>
      </c>
      <c r="AA732" s="109">
        <v>3.7003122199351104</v>
      </c>
      <c r="AD732" s="111"/>
    </row>
    <row r="733" spans="1:30" ht="15" customHeight="1" x14ac:dyDescent="0.3">
      <c r="A733" s="22" t="s">
        <v>154</v>
      </c>
      <c r="B733" s="23">
        <v>92</v>
      </c>
      <c r="C733" s="3" t="s">
        <v>94</v>
      </c>
      <c r="D733" s="23">
        <v>2018</v>
      </c>
      <c r="E733" s="25">
        <v>4.8751644103193765</v>
      </c>
      <c r="F733" s="25">
        <v>0.18479027641067997</v>
      </c>
      <c r="G733" s="25">
        <v>0.57336599295930502</v>
      </c>
      <c r="H733" s="25">
        <v>1.3439294184174444</v>
      </c>
      <c r="I733" s="25">
        <v>3.8783780215397641E-2</v>
      </c>
      <c r="J733" s="25">
        <v>6.5986210619616379E-3</v>
      </c>
      <c r="K733" s="25">
        <v>1.5466702028120841E-2</v>
      </c>
      <c r="L733" s="25">
        <v>0.8</v>
      </c>
      <c r="M733" s="24">
        <v>2</v>
      </c>
      <c r="N733" s="108">
        <v>0</v>
      </c>
      <c r="O733" s="24">
        <v>4</v>
      </c>
      <c r="P733" s="24">
        <v>0</v>
      </c>
      <c r="Q733" s="24">
        <v>4</v>
      </c>
      <c r="R733" s="24">
        <v>8</v>
      </c>
      <c r="S733" s="24">
        <v>0</v>
      </c>
      <c r="T733" s="24">
        <v>0</v>
      </c>
      <c r="U733" s="24">
        <v>4280729979000</v>
      </c>
      <c r="V733" s="109">
        <v>-5.2580058007953935E-2</v>
      </c>
      <c r="W733" s="109">
        <v>2.1377498399975581</v>
      </c>
      <c r="X733" s="109">
        <v>0.78463128522407555</v>
      </c>
      <c r="Y733" s="109">
        <v>8.5293886872372618E-2</v>
      </c>
      <c r="Z733" s="109">
        <v>0.78129103032541436</v>
      </c>
      <c r="AA733" s="109">
        <v>3.7889660424194203</v>
      </c>
      <c r="AD733" s="111"/>
    </row>
    <row r="734" spans="1:30" ht="15" customHeight="1" x14ac:dyDescent="0.3">
      <c r="A734" s="22" t="s">
        <v>154</v>
      </c>
      <c r="B734" s="23">
        <v>92</v>
      </c>
      <c r="C734" s="3" t="s">
        <v>94</v>
      </c>
      <c r="D734" s="23">
        <v>2019</v>
      </c>
      <c r="E734" s="25">
        <v>4.3614932305718126</v>
      </c>
      <c r="F734" s="25">
        <v>0.10848854641860591</v>
      </c>
      <c r="G734" s="25">
        <v>0.5782903626975654</v>
      </c>
      <c r="H734" s="25">
        <v>1.3712998507616196</v>
      </c>
      <c r="I734" s="25">
        <v>9.3718351710841322E-2</v>
      </c>
      <c r="J734" s="25">
        <v>1.5791257179547234E-2</v>
      </c>
      <c r="K734" s="25">
        <v>3.7445805793198707E-2</v>
      </c>
      <c r="L734" s="25">
        <v>0.8</v>
      </c>
      <c r="M734" s="24">
        <v>2</v>
      </c>
      <c r="N734" s="108">
        <v>0</v>
      </c>
      <c r="O734" s="24">
        <v>4</v>
      </c>
      <c r="P734" s="24">
        <v>9</v>
      </c>
      <c r="Q734" s="24">
        <v>4</v>
      </c>
      <c r="R734" s="24">
        <v>6</v>
      </c>
      <c r="S734" s="24">
        <v>9</v>
      </c>
      <c r="T734" s="24">
        <v>14</v>
      </c>
      <c r="U734" s="24">
        <v>4626630367000</v>
      </c>
      <c r="V734" s="109">
        <v>7.0375063610973218E-2</v>
      </c>
      <c r="W734" s="109">
        <v>1.8875882983283934</v>
      </c>
      <c r="X734" s="109">
        <v>0.77744945897900808</v>
      </c>
      <c r="Y734" s="109">
        <v>0.11464786957336806</v>
      </c>
      <c r="Z734" s="109">
        <v>0.76569686740418608</v>
      </c>
      <c r="AA734" s="109">
        <v>3.5453824942849557</v>
      </c>
      <c r="AD734" s="111"/>
    </row>
    <row r="735" spans="1:30" ht="15" customHeight="1" x14ac:dyDescent="0.3">
      <c r="A735" s="22" t="s">
        <v>154</v>
      </c>
      <c r="B735" s="23">
        <v>92</v>
      </c>
      <c r="C735" s="3" t="s">
        <v>94</v>
      </c>
      <c r="D735" s="23">
        <v>2020</v>
      </c>
      <c r="E735" s="25">
        <v>5.5078956277195417</v>
      </c>
      <c r="F735" s="25">
        <v>1.9810705118785239</v>
      </c>
      <c r="G735" s="25">
        <v>0.57645776311083541</v>
      </c>
      <c r="H735" s="25">
        <v>1.3610396151864466</v>
      </c>
      <c r="I735" s="25">
        <v>0.13969476478492376</v>
      </c>
      <c r="J735" s="25">
        <v>2.2640979891140802E-2</v>
      </c>
      <c r="K735" s="25">
        <v>5.3456250449623155E-2</v>
      </c>
      <c r="L735" s="25">
        <v>0.8</v>
      </c>
      <c r="M735" s="24">
        <v>2</v>
      </c>
      <c r="N735" s="108">
        <v>0</v>
      </c>
      <c r="O735" s="24">
        <v>4</v>
      </c>
      <c r="P735" s="24">
        <v>9</v>
      </c>
      <c r="Q735" s="24">
        <v>4</v>
      </c>
      <c r="R735" s="24">
        <v>6</v>
      </c>
      <c r="S735" s="24">
        <v>9</v>
      </c>
      <c r="T735" s="24">
        <v>14</v>
      </c>
      <c r="U735" s="24">
        <v>4737130041000</v>
      </c>
      <c r="V735" s="109">
        <v>-1.5142205841742293E-2</v>
      </c>
      <c r="W735" s="109">
        <v>3.1586975999251443</v>
      </c>
      <c r="X735" s="109">
        <v>0.72986493054983448</v>
      </c>
      <c r="Y735" s="109">
        <v>0.17569856506288803</v>
      </c>
      <c r="Z735" s="109">
        <v>0.77146909486257842</v>
      </c>
      <c r="AA735" s="109">
        <v>4.8357301904004455</v>
      </c>
      <c r="AD735" s="111"/>
    </row>
    <row r="736" spans="1:30" ht="15" customHeight="1" x14ac:dyDescent="0.3">
      <c r="A736" s="22" t="s">
        <v>154</v>
      </c>
      <c r="B736" s="23">
        <v>92</v>
      </c>
      <c r="C736" s="3" t="s">
        <v>94</v>
      </c>
      <c r="D736" s="23">
        <v>2021</v>
      </c>
      <c r="E736" s="25">
        <v>4.0474924339509792</v>
      </c>
      <c r="F736" s="25">
        <v>0.21307074869521869</v>
      </c>
      <c r="G736" s="25">
        <v>0.60029339497645928</v>
      </c>
      <c r="H736" s="25">
        <v>1.5018350645997078</v>
      </c>
      <c r="I736" s="25">
        <v>0.18980546872677159</v>
      </c>
      <c r="J736" s="25">
        <v>3.2117841707773036E-2</v>
      </c>
      <c r="K736" s="25">
        <v>8.0353542583769547E-2</v>
      </c>
      <c r="L736" s="25">
        <v>0.8</v>
      </c>
      <c r="M736" s="24">
        <v>2</v>
      </c>
      <c r="N736" s="108">
        <v>0</v>
      </c>
      <c r="O736" s="24">
        <v>4</v>
      </c>
      <c r="P736" s="24">
        <v>9</v>
      </c>
      <c r="Q736" s="24">
        <v>4</v>
      </c>
      <c r="R736" s="24">
        <v>6</v>
      </c>
      <c r="S736" s="24">
        <v>9</v>
      </c>
      <c r="T736" s="24">
        <v>14</v>
      </c>
      <c r="U736" s="24">
        <v>4652817906000</v>
      </c>
      <c r="V736" s="109">
        <v>2.5470787434537283E-2</v>
      </c>
      <c r="W736" s="109">
        <v>2.0977855943799746</v>
      </c>
      <c r="X736" s="109">
        <v>0.67257767223697573</v>
      </c>
      <c r="Y736" s="109">
        <v>0.23277461663035476</v>
      </c>
      <c r="Z736" s="109">
        <v>0.69914468289489717</v>
      </c>
      <c r="AA736" s="109">
        <v>3.7022825661422023</v>
      </c>
      <c r="AD736" s="111"/>
    </row>
    <row r="737" spans="1:30" ht="15" customHeight="1" x14ac:dyDescent="0.3">
      <c r="A737" s="22" t="s">
        <v>154</v>
      </c>
      <c r="B737" s="23">
        <v>92</v>
      </c>
      <c r="C737" s="3" t="s">
        <v>94</v>
      </c>
      <c r="D737" s="23">
        <v>2022</v>
      </c>
      <c r="E737" s="25">
        <v>4.1139915718791151</v>
      </c>
      <c r="F737" s="25">
        <v>0.1580123232803172</v>
      </c>
      <c r="G737" s="25">
        <v>0.63867564534288912</v>
      </c>
      <c r="H737" s="25">
        <v>1.7675964465472549</v>
      </c>
      <c r="I737" s="25">
        <v>0.19325091650448456</v>
      </c>
      <c r="J737" s="25">
        <v>3.6077340742870063E-2</v>
      </c>
      <c r="K737" s="25">
        <v>9.98475200408417E-2</v>
      </c>
      <c r="L737" s="25">
        <v>0.8</v>
      </c>
      <c r="M737" s="24">
        <v>2</v>
      </c>
      <c r="N737" s="108">
        <v>0</v>
      </c>
      <c r="O737" s="24">
        <v>4</v>
      </c>
      <c r="P737" s="24">
        <v>9</v>
      </c>
      <c r="Q737" s="24">
        <v>4</v>
      </c>
      <c r="R737" s="24">
        <v>6</v>
      </c>
      <c r="S737" s="24">
        <v>9</v>
      </c>
      <c r="T737" s="24">
        <v>14</v>
      </c>
      <c r="U737" s="24">
        <v>4705846343000</v>
      </c>
      <c r="V737" s="109">
        <v>0.11582737020333954</v>
      </c>
      <c r="W737" s="109">
        <v>2.1264128464043219</v>
      </c>
      <c r="X737" s="109">
        <v>0.60990049028891546</v>
      </c>
      <c r="Y737" s="109">
        <v>0.27533824696324127</v>
      </c>
      <c r="Z737" s="109">
        <v>0.59402699187986252</v>
      </c>
      <c r="AA737" s="109">
        <v>3.605678575536341</v>
      </c>
      <c r="AD737" s="111"/>
    </row>
    <row r="738" spans="1:30" ht="15" customHeight="1" x14ac:dyDescent="0.3">
      <c r="A738" s="22" t="s">
        <v>154</v>
      </c>
      <c r="B738" s="23">
        <v>92</v>
      </c>
      <c r="C738" s="3" t="s">
        <v>94</v>
      </c>
      <c r="D738" s="23">
        <v>2023</v>
      </c>
      <c r="E738" s="25">
        <v>4.3454947451852801</v>
      </c>
      <c r="F738" s="25">
        <v>0.18592381552538312</v>
      </c>
      <c r="G738" s="25">
        <v>0.66660350209476527</v>
      </c>
      <c r="H738" s="25">
        <v>1.9994316265560836</v>
      </c>
      <c r="I738" s="25">
        <v>0.16019699042385166</v>
      </c>
      <c r="J738" s="25">
        <v>2.894328655571354E-2</v>
      </c>
      <c r="K738" s="25">
        <v>8.6813409071682696E-2</v>
      </c>
      <c r="L738" s="25">
        <v>0.8</v>
      </c>
      <c r="M738" s="24">
        <v>2</v>
      </c>
      <c r="N738" s="108">
        <v>0</v>
      </c>
      <c r="O738" s="24">
        <v>4</v>
      </c>
      <c r="P738" s="24">
        <v>9</v>
      </c>
      <c r="Q738" s="24">
        <v>4</v>
      </c>
      <c r="R738" s="24">
        <v>6</v>
      </c>
      <c r="S738" s="24">
        <v>9</v>
      </c>
      <c r="T738" s="24">
        <v>14</v>
      </c>
      <c r="U738" s="24">
        <v>5116000794000</v>
      </c>
      <c r="V738" s="109">
        <v>5.2139672041281601E-2</v>
      </c>
      <c r="W738" s="109">
        <v>2.2421151773105059</v>
      </c>
      <c r="X738" s="109">
        <v>0.59181496317805304</v>
      </c>
      <c r="Y738" s="109">
        <v>0.20722583992624768</v>
      </c>
      <c r="Z738" s="109">
        <v>0.52514924044117983</v>
      </c>
      <c r="AA738" s="109">
        <v>3.5663052208559867</v>
      </c>
      <c r="AD738" s="111"/>
    </row>
    <row r="739" spans="1:30" ht="15" customHeight="1" x14ac:dyDescent="0.3">
      <c r="A739" s="22" t="s">
        <v>154</v>
      </c>
      <c r="B739" s="23">
        <v>92</v>
      </c>
      <c r="C739" s="3" t="s">
        <v>94</v>
      </c>
      <c r="D739" s="23">
        <v>2024</v>
      </c>
      <c r="E739" s="25">
        <v>4.0495062481086652</v>
      </c>
      <c r="F739" s="25">
        <v>0.14644888856684096</v>
      </c>
      <c r="G739" s="25">
        <v>0.66128264058271535</v>
      </c>
      <c r="H739" s="25">
        <v>1.9523139933552822</v>
      </c>
      <c r="I739" s="25">
        <v>0.21996265269581883</v>
      </c>
      <c r="J739" s="25">
        <v>4.2596864280938632E-2</v>
      </c>
      <c r="K739" s="25">
        <v>0.1257593184896709</v>
      </c>
      <c r="L739" s="25">
        <v>0.8</v>
      </c>
      <c r="M739" s="24">
        <v>2</v>
      </c>
      <c r="N739" s="108">
        <v>0</v>
      </c>
      <c r="O739" s="24">
        <v>4</v>
      </c>
      <c r="P739" s="24">
        <v>9</v>
      </c>
      <c r="Q739" s="24">
        <v>4</v>
      </c>
      <c r="R739" s="24">
        <v>6</v>
      </c>
      <c r="S739" s="24">
        <v>9</v>
      </c>
      <c r="T739" s="24">
        <v>14</v>
      </c>
      <c r="U739" s="24">
        <v>5366438278000</v>
      </c>
      <c r="V739" s="109">
        <v>0.12432204365614928</v>
      </c>
      <c r="W739" s="109">
        <v>2.2050408196644873</v>
      </c>
      <c r="X739" s="109">
        <v>0.61278717214755218</v>
      </c>
      <c r="Y739" s="109">
        <v>0.31012081280477177</v>
      </c>
      <c r="Z739" s="109">
        <v>0.53782332328390015</v>
      </c>
      <c r="AA739" s="109">
        <v>3.6657721279007114</v>
      </c>
      <c r="AD739" s="111"/>
    </row>
    <row r="740" spans="1:30" ht="15" customHeight="1" x14ac:dyDescent="0.3">
      <c r="A740" s="22" t="s">
        <v>154</v>
      </c>
      <c r="B740" s="23">
        <v>93</v>
      </c>
      <c r="C740" s="2" t="s">
        <v>102</v>
      </c>
      <c r="D740" s="23">
        <v>2015</v>
      </c>
      <c r="E740" s="25">
        <v>2.6956372753140396</v>
      </c>
      <c r="F740" s="25">
        <v>0.11702321465750573</v>
      </c>
      <c r="G740" s="25">
        <v>0.82153293364471869</v>
      </c>
      <c r="H740" s="25">
        <v>5.2433236621833315</v>
      </c>
      <c r="I740" s="25">
        <v>4.8446347750197884E-2</v>
      </c>
      <c r="J740" s="25">
        <v>3.4667758839044003E-3</v>
      </c>
      <c r="K740" s="25">
        <v>2.2126231681204291E-2</v>
      </c>
      <c r="L740" s="25">
        <v>0.63590000000000002</v>
      </c>
      <c r="M740" s="24">
        <v>1</v>
      </c>
      <c r="N740" s="108">
        <v>0</v>
      </c>
      <c r="O740" s="24">
        <v>3</v>
      </c>
      <c r="P740" s="24">
        <v>7</v>
      </c>
      <c r="Q740" s="24">
        <v>3</v>
      </c>
      <c r="R740" s="24">
        <v>3</v>
      </c>
      <c r="S740" s="24">
        <v>7</v>
      </c>
      <c r="T740" s="24">
        <v>7</v>
      </c>
      <c r="U740" s="24">
        <v>688536000000</v>
      </c>
      <c r="V740" s="109">
        <v>-0.21762258638211382</v>
      </c>
      <c r="W740" s="109">
        <v>3.7244655907606861</v>
      </c>
      <c r="X740" s="109">
        <v>3.3071763858389391E-2</v>
      </c>
      <c r="Y740" s="109">
        <v>2.9425912370594998E-2</v>
      </c>
      <c r="Z740" s="109">
        <v>0.20025466052629254</v>
      </c>
      <c r="AA740" s="109">
        <v>3.9872179275159629</v>
      </c>
      <c r="AD740" s="111"/>
    </row>
    <row r="741" spans="1:30" ht="15" customHeight="1" x14ac:dyDescent="0.3">
      <c r="A741" s="22" t="s">
        <v>154</v>
      </c>
      <c r="B741" s="23">
        <v>93</v>
      </c>
      <c r="C741" s="3" t="s">
        <v>102</v>
      </c>
      <c r="D741" s="23">
        <v>2016</v>
      </c>
      <c r="E741" s="25">
        <v>2.5133260977970724</v>
      </c>
      <c r="F741" s="25">
        <v>8.2314980493385356E-2</v>
      </c>
      <c r="G741" s="25">
        <v>0.62616891106705863</v>
      </c>
      <c r="H741" s="25">
        <v>1.675004914263249</v>
      </c>
      <c r="I741" s="25">
        <v>0.20040530312278731</v>
      </c>
      <c r="J741" s="25">
        <v>1.4026932804702987E-2</v>
      </c>
      <c r="K741" s="25">
        <v>3.7522114184620869E-2</v>
      </c>
      <c r="L741" s="25">
        <v>0.67779999999999996</v>
      </c>
      <c r="M741" s="24">
        <v>2</v>
      </c>
      <c r="N741" s="108">
        <v>0</v>
      </c>
      <c r="O741" s="24">
        <v>3</v>
      </c>
      <c r="P741" s="24">
        <v>3</v>
      </c>
      <c r="Q741" s="24">
        <v>3</v>
      </c>
      <c r="R741" s="24">
        <v>3</v>
      </c>
      <c r="S741" s="24">
        <v>3</v>
      </c>
      <c r="T741" s="24">
        <v>7</v>
      </c>
      <c r="U741" s="24">
        <v>585160000000</v>
      </c>
      <c r="V741" s="109">
        <v>-0.1687402325911794</v>
      </c>
      <c r="W741" s="109">
        <v>2.891821450543441</v>
      </c>
      <c r="X741" s="109">
        <v>8.852518969170825E-2</v>
      </c>
      <c r="Y741" s="109">
        <v>0.11582801285118599</v>
      </c>
      <c r="Z741" s="109">
        <v>0.62686383249319744</v>
      </c>
      <c r="AA741" s="109">
        <v>3.7230384855795329</v>
      </c>
      <c r="AD741" s="111"/>
    </row>
    <row r="742" spans="1:30" ht="15" customHeight="1" x14ac:dyDescent="0.3">
      <c r="A742" s="22" t="s">
        <v>154</v>
      </c>
      <c r="B742" s="23">
        <v>93</v>
      </c>
      <c r="C742" s="3" t="s">
        <v>102</v>
      </c>
      <c r="D742" s="23">
        <v>2017</v>
      </c>
      <c r="E742" s="25">
        <v>3.488747734225274</v>
      </c>
      <c r="F742" s="25">
        <v>5.462789356961447E-2</v>
      </c>
      <c r="G742" s="25">
        <v>0.71825115311184629</v>
      </c>
      <c r="H742" s="25">
        <v>2.5492603112479513</v>
      </c>
      <c r="I742" s="25">
        <v>0.16407497396737244</v>
      </c>
      <c r="J742" s="25">
        <v>1.1766345811584138E-2</v>
      </c>
      <c r="K742" s="25">
        <v>4.1761824197474144E-2</v>
      </c>
      <c r="L742" s="25">
        <v>0.67779999999999996</v>
      </c>
      <c r="M742" s="24">
        <v>2</v>
      </c>
      <c r="N742" s="108">
        <v>0</v>
      </c>
      <c r="O742" s="24">
        <v>4</v>
      </c>
      <c r="P742" s="24">
        <v>0</v>
      </c>
      <c r="Q742" s="24">
        <v>4</v>
      </c>
      <c r="R742" s="24">
        <v>4</v>
      </c>
      <c r="S742" s="24">
        <v>0</v>
      </c>
      <c r="T742" s="24">
        <v>0</v>
      </c>
      <c r="U742" s="24">
        <v>803478000000</v>
      </c>
      <c r="V742" s="109">
        <v>0.40684132138584367</v>
      </c>
      <c r="W742" s="109">
        <v>3.9122755819076565</v>
      </c>
      <c r="X742" s="109">
        <v>0.16231065442986614</v>
      </c>
      <c r="Y742" s="109">
        <v>0.10640221636435596</v>
      </c>
      <c r="Z742" s="109">
        <v>0.41188418278319666</v>
      </c>
      <c r="AA742" s="109">
        <v>4.5928726354850751</v>
      </c>
      <c r="AD742" s="111"/>
    </row>
    <row r="743" spans="1:30" ht="15" customHeight="1" x14ac:dyDescent="0.3">
      <c r="A743" s="22" t="s">
        <v>154</v>
      </c>
      <c r="B743" s="23">
        <v>93</v>
      </c>
      <c r="C743" s="3" t="s">
        <v>102</v>
      </c>
      <c r="D743" s="23">
        <v>2018</v>
      </c>
      <c r="E743" s="25">
        <v>4.1847903273592584</v>
      </c>
      <c r="F743" s="25">
        <v>0.1161817335321034</v>
      </c>
      <c r="G743" s="25">
        <v>0.77444380009447622</v>
      </c>
      <c r="H743" s="25">
        <v>3.4334848717031892</v>
      </c>
      <c r="I743" s="25">
        <v>0.18192017316931525</v>
      </c>
      <c r="J743" s="25">
        <v>1.3233390812764274E-2</v>
      </c>
      <c r="K743" s="25">
        <v>5.8670037969726377E-2</v>
      </c>
      <c r="L743" s="25">
        <v>0.70399999999999996</v>
      </c>
      <c r="M743" s="24">
        <v>1</v>
      </c>
      <c r="N743" s="108">
        <v>0</v>
      </c>
      <c r="O743" s="24">
        <v>3</v>
      </c>
      <c r="P743" s="24">
        <v>3</v>
      </c>
      <c r="Q743" s="24">
        <v>3</v>
      </c>
      <c r="R743" s="24">
        <v>4</v>
      </c>
      <c r="S743" s="24">
        <v>3</v>
      </c>
      <c r="T743" s="24">
        <v>6</v>
      </c>
      <c r="U743" s="24">
        <v>1041532000000</v>
      </c>
      <c r="V743" s="109">
        <v>0.3148906629642485</v>
      </c>
      <c r="W743" s="109">
        <v>4.2653932092340892</v>
      </c>
      <c r="X743" s="109">
        <v>0.15060330359508875</v>
      </c>
      <c r="Y743" s="109">
        <v>0.11160083415583967</v>
      </c>
      <c r="Z743" s="109">
        <v>0.30581174498641228</v>
      </c>
      <c r="AA743" s="109">
        <v>4.8334090919714301</v>
      </c>
      <c r="AD743" s="111"/>
    </row>
    <row r="744" spans="1:30" ht="15" customHeight="1" x14ac:dyDescent="0.3">
      <c r="A744" s="22" t="s">
        <v>154</v>
      </c>
      <c r="B744" s="23">
        <v>93</v>
      </c>
      <c r="C744" s="3" t="s">
        <v>102</v>
      </c>
      <c r="D744" s="23">
        <v>2019</v>
      </c>
      <c r="E744" s="25">
        <v>5.0348706233242906</v>
      </c>
      <c r="F744" s="25">
        <v>9.2946022982670448E-2</v>
      </c>
      <c r="G744" s="25">
        <v>0.85032255951796176</v>
      </c>
      <c r="H744" s="25">
        <v>5.681033539720393</v>
      </c>
      <c r="I744" s="25">
        <v>0.1897196834938355</v>
      </c>
      <c r="J744" s="25">
        <v>1.7725218587287553E-2</v>
      </c>
      <c r="K744" s="25">
        <v>0.11842277988054346</v>
      </c>
      <c r="L744" s="25">
        <v>0.79800000000000004</v>
      </c>
      <c r="M744" s="24">
        <v>2</v>
      </c>
      <c r="N744" s="108">
        <v>0</v>
      </c>
      <c r="O744" s="24">
        <v>4</v>
      </c>
      <c r="P744" s="24">
        <v>0</v>
      </c>
      <c r="Q744" s="24">
        <v>4</v>
      </c>
      <c r="R744" s="24">
        <v>5</v>
      </c>
      <c r="S744" s="24">
        <v>0</v>
      </c>
      <c r="T744" s="24">
        <v>0</v>
      </c>
      <c r="U744" s="24">
        <v>1221480000000</v>
      </c>
      <c r="V744" s="109">
        <v>0.50626946834908404</v>
      </c>
      <c r="W744" s="109">
        <v>4.0976638176638174</v>
      </c>
      <c r="X744" s="109">
        <v>-0.25485530667714573</v>
      </c>
      <c r="Y744" s="109">
        <v>0.16659161017781707</v>
      </c>
      <c r="Z744" s="109">
        <v>0.18482552385206982</v>
      </c>
      <c r="AA744" s="109">
        <v>4.1942256450165587</v>
      </c>
      <c r="AD744" s="111"/>
    </row>
    <row r="745" spans="1:30" ht="15" customHeight="1" x14ac:dyDescent="0.3">
      <c r="A745" s="22" t="s">
        <v>154</v>
      </c>
      <c r="B745" s="23">
        <v>93</v>
      </c>
      <c r="C745" s="3" t="s">
        <v>102</v>
      </c>
      <c r="D745" s="23">
        <v>2020</v>
      </c>
      <c r="E745" s="25">
        <v>7.6703697082684235</v>
      </c>
      <c r="F745" s="25">
        <v>0.25004469188140049</v>
      </c>
      <c r="G745" s="25">
        <v>0.8051266888314329</v>
      </c>
      <c r="H745" s="25">
        <v>4.2068254705313084</v>
      </c>
      <c r="I745" s="25">
        <v>0.2581733627049897</v>
      </c>
      <c r="J745" s="25">
        <v>2.4529635477357804E-2</v>
      </c>
      <c r="K745" s="25">
        <v>0.12816851899267026</v>
      </c>
      <c r="L745" s="25">
        <v>0.79800000000000004</v>
      </c>
      <c r="M745" s="24">
        <v>2</v>
      </c>
      <c r="N745" s="108">
        <v>0</v>
      </c>
      <c r="O745" s="24">
        <v>4</v>
      </c>
      <c r="P745" s="24">
        <v>0</v>
      </c>
      <c r="Q745" s="24">
        <v>4</v>
      </c>
      <c r="R745" s="24">
        <v>5</v>
      </c>
      <c r="S745" s="24">
        <v>0</v>
      </c>
      <c r="T745" s="24">
        <v>0</v>
      </c>
      <c r="U745" s="24">
        <v>1204013000000</v>
      </c>
      <c r="V745" s="109">
        <v>2.4097230132929083E-3</v>
      </c>
      <c r="W745" s="109">
        <v>4.2692661956307774</v>
      </c>
      <c r="X745" s="109">
        <v>-0.17748396404357758</v>
      </c>
      <c r="Y745" s="109">
        <v>0.17099536300687782</v>
      </c>
      <c r="Z745" s="109">
        <v>0.24959438116822766</v>
      </c>
      <c r="AA745" s="109">
        <v>4.5123719757623046</v>
      </c>
      <c r="AD745" s="111"/>
    </row>
    <row r="746" spans="1:30" ht="15" customHeight="1" x14ac:dyDescent="0.3">
      <c r="A746" s="22" t="s">
        <v>154</v>
      </c>
      <c r="B746" s="23">
        <v>93</v>
      </c>
      <c r="C746" s="3" t="s">
        <v>102</v>
      </c>
      <c r="D746" s="23">
        <v>2021</v>
      </c>
      <c r="E746" s="25">
        <v>9.27537308070041</v>
      </c>
      <c r="F746" s="25">
        <v>0.25483667489081052</v>
      </c>
      <c r="G746" s="25">
        <v>0.8369485392081295</v>
      </c>
      <c r="H746" s="25">
        <v>5.1330330629571321</v>
      </c>
      <c r="I746" s="25">
        <v>0.18247382765348497</v>
      </c>
      <c r="J746" s="25">
        <v>1.5621120878463832E-2</v>
      </c>
      <c r="K746" s="25">
        <v>9.5804850828068638E-2</v>
      </c>
      <c r="L746" s="25">
        <v>0.79800000000000004</v>
      </c>
      <c r="M746" s="24">
        <v>2</v>
      </c>
      <c r="N746" s="108">
        <v>0</v>
      </c>
      <c r="O746" s="24">
        <v>3</v>
      </c>
      <c r="P746" s="24">
        <v>0</v>
      </c>
      <c r="Q746" s="24">
        <v>3</v>
      </c>
      <c r="R746" s="24">
        <v>5</v>
      </c>
      <c r="S746" s="24">
        <v>0</v>
      </c>
      <c r="T746" s="24">
        <v>0</v>
      </c>
      <c r="U746" s="24">
        <v>1538686000000</v>
      </c>
      <c r="V746" s="109">
        <v>0.15146508619182489</v>
      </c>
      <c r="W746" s="109">
        <v>4.4186331454240824</v>
      </c>
      <c r="X746" s="109">
        <v>-8.8817640506250128E-2</v>
      </c>
      <c r="Y746" s="109">
        <v>0.12512057690782916</v>
      </c>
      <c r="Z746" s="109">
        <v>0.2045574199740488</v>
      </c>
      <c r="AA746" s="109">
        <v>4.6594935017997097</v>
      </c>
      <c r="AD746" s="111"/>
    </row>
    <row r="747" spans="1:30" ht="15" customHeight="1" x14ac:dyDescent="0.3">
      <c r="A747" s="22" t="s">
        <v>154</v>
      </c>
      <c r="B747" s="23">
        <v>93</v>
      </c>
      <c r="C747" s="3" t="s">
        <v>102</v>
      </c>
      <c r="D747" s="23">
        <v>2022</v>
      </c>
      <c r="E747" s="25">
        <v>7.2142351783998944</v>
      </c>
      <c r="F747" s="25">
        <v>0.23249794364139406</v>
      </c>
      <c r="G747" s="25">
        <v>0.82363862099494389</v>
      </c>
      <c r="H747" s="25">
        <v>4.6701756679467277</v>
      </c>
      <c r="I747" s="25">
        <v>0.30878163370707895</v>
      </c>
      <c r="J747" s="25">
        <v>3.2048518328095854E-2</v>
      </c>
      <c r="K747" s="25">
        <v>0.18172072881771387</v>
      </c>
      <c r="L747" s="25">
        <v>0.79800000000000004</v>
      </c>
      <c r="M747" s="24">
        <v>2</v>
      </c>
      <c r="N747" s="108">
        <v>0</v>
      </c>
      <c r="O747" s="24">
        <v>3</v>
      </c>
      <c r="P747" s="24">
        <v>0</v>
      </c>
      <c r="Q747" s="24">
        <v>3</v>
      </c>
      <c r="R747" s="24">
        <v>6</v>
      </c>
      <c r="S747" s="24">
        <v>0</v>
      </c>
      <c r="T747" s="24">
        <v>0</v>
      </c>
      <c r="U747" s="24">
        <v>1734932000000</v>
      </c>
      <c r="V747" s="109">
        <v>0.36702777798865804</v>
      </c>
      <c r="W747" s="109">
        <v>4.0849454387837678</v>
      </c>
      <c r="X747" s="109">
        <v>2.5708973031796058E-2</v>
      </c>
      <c r="Y747" s="109">
        <v>0.21060182185814774</v>
      </c>
      <c r="Z747" s="109">
        <v>0.22483094312844965</v>
      </c>
      <c r="AA747" s="109">
        <v>4.5460871768021613</v>
      </c>
      <c r="AD747" s="111"/>
    </row>
    <row r="748" spans="1:30" ht="15" customHeight="1" x14ac:dyDescent="0.3">
      <c r="A748" s="22" t="s">
        <v>154</v>
      </c>
      <c r="B748" s="23">
        <v>93</v>
      </c>
      <c r="C748" s="3" t="s">
        <v>102</v>
      </c>
      <c r="D748" s="23">
        <v>2023</v>
      </c>
      <c r="E748" s="25">
        <v>10.310908907401226</v>
      </c>
      <c r="F748" s="25">
        <v>0.42095292811502838</v>
      </c>
      <c r="G748" s="25">
        <v>0.78725349309094461</v>
      </c>
      <c r="H748" s="25">
        <v>3.9088310905747825</v>
      </c>
      <c r="I748" s="25">
        <v>0.19470893059114097</v>
      </c>
      <c r="J748" s="25">
        <v>3.8270031043396102E-2</v>
      </c>
      <c r="K748" s="25">
        <v>0.19001641592260018</v>
      </c>
      <c r="L748" s="25">
        <v>0.79820000000000002</v>
      </c>
      <c r="M748" s="24">
        <v>2</v>
      </c>
      <c r="N748" s="108">
        <v>0</v>
      </c>
      <c r="O748" s="24">
        <v>4</v>
      </c>
      <c r="P748" s="24">
        <v>0</v>
      </c>
      <c r="Q748" s="24">
        <v>4</v>
      </c>
      <c r="R748" s="24">
        <v>4</v>
      </c>
      <c r="S748" s="24">
        <v>0</v>
      </c>
      <c r="T748" s="24">
        <v>0</v>
      </c>
      <c r="U748" s="24">
        <v>1763338000000</v>
      </c>
      <c r="V748" s="109">
        <v>0.92472885393932325</v>
      </c>
      <c r="W748" s="109">
        <v>4.4615557992852191</v>
      </c>
      <c r="X748" s="109">
        <v>0.11984073388085552</v>
      </c>
      <c r="Y748" s="109">
        <v>0.26574544415194368</v>
      </c>
      <c r="Z748" s="109">
        <v>0.26862250521180758</v>
      </c>
      <c r="AA748" s="109">
        <v>5.1157644825298254</v>
      </c>
      <c r="AD748" s="111"/>
    </row>
    <row r="749" spans="1:30" ht="15" customHeight="1" x14ac:dyDescent="0.3">
      <c r="A749" s="22" t="s">
        <v>154</v>
      </c>
      <c r="B749" s="23">
        <v>93</v>
      </c>
      <c r="C749" s="3" t="s">
        <v>102</v>
      </c>
      <c r="D749" s="23">
        <v>2024</v>
      </c>
      <c r="E749" s="25">
        <v>5.4322674267187301</v>
      </c>
      <c r="F749" s="25">
        <v>3.64576432111164E-2</v>
      </c>
      <c r="G749" s="25">
        <v>0.93635072566380662</v>
      </c>
      <c r="H749" s="25">
        <v>14.711098208567677</v>
      </c>
      <c r="I749" s="25">
        <v>0.16371662368461215</v>
      </c>
      <c r="J749" s="25">
        <v>1.3270740230375102E-2</v>
      </c>
      <c r="K749" s="25">
        <v>0.20849790305981325</v>
      </c>
      <c r="L749" s="25">
        <v>0.79820000000000002</v>
      </c>
      <c r="M749" s="24">
        <v>2</v>
      </c>
      <c r="N749" s="108">
        <v>0</v>
      </c>
      <c r="O749" s="24">
        <v>3</v>
      </c>
      <c r="P749" s="24">
        <v>0</v>
      </c>
      <c r="Q749" s="24">
        <v>3</v>
      </c>
      <c r="R749" s="24">
        <v>5</v>
      </c>
      <c r="S749" s="24">
        <v>0</v>
      </c>
      <c r="T749" s="24">
        <v>0</v>
      </c>
      <c r="U749" s="24">
        <v>6304848000000</v>
      </c>
      <c r="V749" s="109">
        <v>0.47458047688294902</v>
      </c>
      <c r="W749" s="109">
        <v>5.0465657919112399</v>
      </c>
      <c r="X749" s="109">
        <v>5.8620401316574165E-2</v>
      </c>
      <c r="Y749" s="109">
        <v>8.9179374348120691E-2</v>
      </c>
      <c r="Z749" s="109">
        <v>7.1374684956455853E-2</v>
      </c>
      <c r="AA749" s="109">
        <v>5.2657402525323906</v>
      </c>
      <c r="AD749" s="111"/>
    </row>
    <row r="750" spans="1:30" ht="15" customHeight="1" x14ac:dyDescent="0.3">
      <c r="A750" s="22" t="s">
        <v>154</v>
      </c>
      <c r="B750" s="23">
        <v>94</v>
      </c>
      <c r="C750" s="2" t="s">
        <v>114</v>
      </c>
      <c r="D750" s="23">
        <v>2015</v>
      </c>
      <c r="E750" s="25">
        <v>1.8698198870461353</v>
      </c>
      <c r="F750" s="25">
        <v>1.2732931414397133</v>
      </c>
      <c r="G750" s="25">
        <v>0.78562189810547345</v>
      </c>
      <c r="H750" s="25">
        <v>3.6646555369353795</v>
      </c>
      <c r="I750" s="25">
        <v>0.14740973803238311</v>
      </c>
      <c r="J750" s="25">
        <v>4.5992365475445968E-2</v>
      </c>
      <c r="K750" s="25">
        <v>0.21453854227179461</v>
      </c>
      <c r="L750" s="25">
        <v>0.6</v>
      </c>
      <c r="M750" s="24">
        <v>2</v>
      </c>
      <c r="N750" s="108">
        <v>0</v>
      </c>
      <c r="O750" s="24">
        <v>3</v>
      </c>
      <c r="P750" s="24">
        <v>0</v>
      </c>
      <c r="Q750" s="24">
        <v>3</v>
      </c>
      <c r="R750" s="24">
        <v>5</v>
      </c>
      <c r="S750" s="24">
        <v>0</v>
      </c>
      <c r="T750" s="24">
        <v>0</v>
      </c>
      <c r="U750" s="24">
        <v>1609399500000</v>
      </c>
      <c r="V750" s="109">
        <v>0.22472822307792983</v>
      </c>
      <c r="W750" s="109">
        <v>2.4421376594189321</v>
      </c>
      <c r="X750" s="109">
        <v>0.62663533261940241</v>
      </c>
      <c r="Y750" s="109">
        <v>0.33705102853579855</v>
      </c>
      <c r="Z750" s="109">
        <v>0.28652079013081749</v>
      </c>
      <c r="AA750" s="109">
        <v>3.6923448107049506</v>
      </c>
      <c r="AD750" s="111"/>
    </row>
    <row r="751" spans="1:30" ht="15" customHeight="1" x14ac:dyDescent="0.3">
      <c r="A751" s="22" t="s">
        <v>154</v>
      </c>
      <c r="B751" s="23">
        <v>94</v>
      </c>
      <c r="C751" s="3" t="s">
        <v>114</v>
      </c>
      <c r="D751" s="23">
        <v>2016</v>
      </c>
      <c r="E751" s="25">
        <v>1.1158943048166186</v>
      </c>
      <c r="F751" s="25">
        <v>0.46663547868678423</v>
      </c>
      <c r="G751" s="25">
        <v>0.75762912708196029</v>
      </c>
      <c r="H751" s="25">
        <v>3.1259083154689167</v>
      </c>
      <c r="I751" s="25">
        <v>0.10523826222876601</v>
      </c>
      <c r="J751" s="25">
        <v>3.264989879981877E-2</v>
      </c>
      <c r="K751" s="25">
        <v>0.13471048895739088</v>
      </c>
      <c r="L751" s="25">
        <v>0.6</v>
      </c>
      <c r="M751" s="24">
        <v>2</v>
      </c>
      <c r="N751" s="108">
        <v>0</v>
      </c>
      <c r="O751" s="24">
        <v>3</v>
      </c>
      <c r="P751" s="24">
        <v>0</v>
      </c>
      <c r="Q751" s="24">
        <v>3</v>
      </c>
      <c r="R751" s="24">
        <v>5</v>
      </c>
      <c r="S751" s="24">
        <v>0</v>
      </c>
      <c r="T751" s="24">
        <v>0</v>
      </c>
      <c r="U751" s="24">
        <v>1527605960000</v>
      </c>
      <c r="V751" s="109">
        <v>-5.6164993555561572E-2</v>
      </c>
      <c r="W751" s="109">
        <v>0.29921547988723474</v>
      </c>
      <c r="X751" s="109">
        <v>0.7186275543203563</v>
      </c>
      <c r="Y751" s="109">
        <v>0.22661479534944989</v>
      </c>
      <c r="Z751" s="109">
        <v>0.33590236629908637</v>
      </c>
      <c r="AA751" s="109">
        <v>1.5803601958561273</v>
      </c>
      <c r="AD751" s="111"/>
    </row>
    <row r="752" spans="1:30" ht="15" customHeight="1" x14ac:dyDescent="0.3">
      <c r="A752" s="22" t="s">
        <v>154</v>
      </c>
      <c r="B752" s="23">
        <v>94</v>
      </c>
      <c r="C752" s="3" t="s">
        <v>114</v>
      </c>
      <c r="D752" s="23">
        <v>2017</v>
      </c>
      <c r="E752" s="25">
        <v>0.86608516094450017</v>
      </c>
      <c r="F752" s="25">
        <v>0.25581937181544911</v>
      </c>
      <c r="G752" s="25">
        <v>0.7513159931635417</v>
      </c>
      <c r="H752" s="25">
        <v>3.0211673147828453</v>
      </c>
      <c r="I752" s="25">
        <v>0.10117952931867291</v>
      </c>
      <c r="J752" s="25">
        <v>2.9170894536912677E-2</v>
      </c>
      <c r="K752" s="25">
        <v>0.11730104765481073</v>
      </c>
      <c r="L752" s="25">
        <v>0.6</v>
      </c>
      <c r="M752" s="24">
        <v>2</v>
      </c>
      <c r="N752" s="108">
        <v>0</v>
      </c>
      <c r="O752" s="24">
        <v>3</v>
      </c>
      <c r="P752" s="24">
        <v>0</v>
      </c>
      <c r="Q752" s="24">
        <v>3</v>
      </c>
      <c r="R752" s="24">
        <v>5</v>
      </c>
      <c r="S752" s="24">
        <v>0</v>
      </c>
      <c r="T752" s="24">
        <v>0</v>
      </c>
      <c r="U752" s="24">
        <v>1595563000000</v>
      </c>
      <c r="V752" s="109">
        <v>-2.9374864696864005E-2</v>
      </c>
      <c r="W752" s="109">
        <v>-0.36155664176218671</v>
      </c>
      <c r="X752" s="109">
        <v>0.73150653405725741</v>
      </c>
      <c r="Y752" s="109">
        <v>0.18103904389861133</v>
      </c>
      <c r="Z752" s="109">
        <v>0.34754778223048255</v>
      </c>
      <c r="AA752" s="109">
        <v>0.8985367184241646</v>
      </c>
      <c r="AD752" s="111"/>
    </row>
    <row r="753" spans="1:30" ht="15" customHeight="1" x14ac:dyDescent="0.3">
      <c r="A753" s="22" t="s">
        <v>154</v>
      </c>
      <c r="B753" s="23">
        <v>94</v>
      </c>
      <c r="C753" s="3" t="s">
        <v>114</v>
      </c>
      <c r="D753" s="23">
        <v>2018</v>
      </c>
      <c r="E753" s="25">
        <v>0.78818300354751802</v>
      </c>
      <c r="F753" s="25">
        <v>0.23026435588424113</v>
      </c>
      <c r="G753" s="25">
        <v>0.75630745732151983</v>
      </c>
      <c r="H753" s="25">
        <v>3.1035313966064475</v>
      </c>
      <c r="I753" s="25">
        <v>0.10791333807352879</v>
      </c>
      <c r="J753" s="25">
        <v>2.9630607920712485E-2</v>
      </c>
      <c r="K753" s="25">
        <v>0.12159012990317937</v>
      </c>
      <c r="L753" s="25">
        <v>0.6</v>
      </c>
      <c r="M753" s="24">
        <v>2</v>
      </c>
      <c r="N753" s="108">
        <v>0</v>
      </c>
      <c r="O753" s="24">
        <v>3</v>
      </c>
      <c r="P753" s="24">
        <v>0</v>
      </c>
      <c r="Q753" s="24">
        <v>3</v>
      </c>
      <c r="R753" s="24">
        <v>5</v>
      </c>
      <c r="S753" s="24">
        <v>0</v>
      </c>
      <c r="T753" s="24">
        <v>0</v>
      </c>
      <c r="U753" s="24">
        <v>1741510000000</v>
      </c>
      <c r="V753" s="109">
        <v>3.9490102475142064E-2</v>
      </c>
      <c r="W753" s="109">
        <v>-0.60029211431458906</v>
      </c>
      <c r="X753" s="109">
        <v>0.7319898134377637</v>
      </c>
      <c r="Y753" s="109">
        <v>0.21205211569270344</v>
      </c>
      <c r="Z753" s="109">
        <v>0.33832427187561925</v>
      </c>
      <c r="AA753" s="109">
        <v>0.68207408669149738</v>
      </c>
      <c r="AD753" s="111"/>
    </row>
    <row r="754" spans="1:30" ht="15" customHeight="1" x14ac:dyDescent="0.3">
      <c r="A754" s="22" t="s">
        <v>154</v>
      </c>
      <c r="B754" s="23">
        <v>94</v>
      </c>
      <c r="C754" s="3" t="s">
        <v>114</v>
      </c>
      <c r="D754" s="23">
        <v>2019</v>
      </c>
      <c r="E754" s="25">
        <v>0.73511525512984244</v>
      </c>
      <c r="F754" s="25">
        <v>0.17463781686184451</v>
      </c>
      <c r="G754" s="25">
        <v>0.74093647881606728</v>
      </c>
      <c r="H754" s="25">
        <v>2.8600571606143235</v>
      </c>
      <c r="I754" s="25">
        <v>0.12054220004934076</v>
      </c>
      <c r="J754" s="25">
        <v>3.490308886525418E-2</v>
      </c>
      <c r="K754" s="25">
        <v>0.13472791810188245</v>
      </c>
      <c r="L754" s="25">
        <v>0.6</v>
      </c>
      <c r="M754" s="24">
        <v>2</v>
      </c>
      <c r="N754" s="108">
        <v>0</v>
      </c>
      <c r="O754" s="24">
        <v>3</v>
      </c>
      <c r="P754" s="24">
        <v>0</v>
      </c>
      <c r="Q754" s="24">
        <v>3</v>
      </c>
      <c r="R754" s="24">
        <v>5</v>
      </c>
      <c r="S754" s="24">
        <v>0</v>
      </c>
      <c r="T754" s="24">
        <v>0</v>
      </c>
      <c r="U754" s="24">
        <v>1763884000000</v>
      </c>
      <c r="V754" s="109">
        <v>6.8078966079718931E-2</v>
      </c>
      <c r="W754" s="109">
        <v>-0.69964174514877397</v>
      </c>
      <c r="X754" s="109">
        <v>0.78270835270346573</v>
      </c>
      <c r="Y754" s="109">
        <v>0.24322361334418818</v>
      </c>
      <c r="Z754" s="109">
        <v>0.36712552967803841</v>
      </c>
      <c r="AA754" s="109">
        <v>0.69341575057691829</v>
      </c>
      <c r="AD754" s="111"/>
    </row>
    <row r="755" spans="1:30" ht="15" customHeight="1" x14ac:dyDescent="0.3">
      <c r="A755" s="22" t="s">
        <v>154</v>
      </c>
      <c r="B755" s="23">
        <v>94</v>
      </c>
      <c r="C755" s="3" t="s">
        <v>114</v>
      </c>
      <c r="D755" s="23">
        <v>2020</v>
      </c>
      <c r="E755" s="25">
        <v>0.51009614942264347</v>
      </c>
      <c r="F755" s="25">
        <v>2.1235681096747481E-2</v>
      </c>
      <c r="G755" s="25">
        <v>0.68015019002112487</v>
      </c>
      <c r="H755" s="25">
        <v>2.1264673881345946</v>
      </c>
      <c r="I755" s="25">
        <v>0.16046111116641615</v>
      </c>
      <c r="J755" s="25">
        <v>5.1843475083689063E-2</v>
      </c>
      <c r="K755" s="25">
        <v>0.16208693413672226</v>
      </c>
      <c r="L755" s="25">
        <v>0.6</v>
      </c>
      <c r="M755" s="24">
        <v>2</v>
      </c>
      <c r="N755" s="108">
        <v>0</v>
      </c>
      <c r="O755" s="24">
        <v>3</v>
      </c>
      <c r="P755" s="24">
        <v>0</v>
      </c>
      <c r="Q755" s="24">
        <v>3</v>
      </c>
      <c r="R755" s="24">
        <v>6</v>
      </c>
      <c r="S755" s="24">
        <v>0</v>
      </c>
      <c r="T755" s="24">
        <v>0</v>
      </c>
      <c r="U755" s="24">
        <v>1554564000000</v>
      </c>
      <c r="V755" s="109">
        <v>-1.6582017253599722E-2</v>
      </c>
      <c r="W755" s="109">
        <v>-1.123429180143114</v>
      </c>
      <c r="X755" s="109">
        <v>0.97220752571138913</v>
      </c>
      <c r="Y755" s="109">
        <v>0.3924110940430886</v>
      </c>
      <c r="Z755" s="109">
        <v>0.49377667668870001</v>
      </c>
      <c r="AA755" s="109">
        <v>0.73496611630006381</v>
      </c>
      <c r="AD755" s="111"/>
    </row>
    <row r="756" spans="1:30" ht="15" customHeight="1" x14ac:dyDescent="0.3">
      <c r="A756" s="22" t="s">
        <v>154</v>
      </c>
      <c r="B756" s="23">
        <v>94</v>
      </c>
      <c r="C756" s="3" t="s">
        <v>114</v>
      </c>
      <c r="D756" s="23">
        <v>2021</v>
      </c>
      <c r="E756" s="25">
        <v>0.6102759331761517</v>
      </c>
      <c r="F756" s="25">
        <v>2.0516536523112198E-2</v>
      </c>
      <c r="G756" s="25">
        <v>0.66842452529889496</v>
      </c>
      <c r="H756" s="25">
        <v>2.0159046018148312</v>
      </c>
      <c r="I756" s="25">
        <v>0.19825770670067627</v>
      </c>
      <c r="J756" s="25">
        <v>5.7635525656239445E-2</v>
      </c>
      <c r="K756" s="25">
        <v>0.17382324705466931</v>
      </c>
      <c r="L756" s="25">
        <v>0.6</v>
      </c>
      <c r="M756" s="24">
        <v>2</v>
      </c>
      <c r="N756" s="108">
        <v>0</v>
      </c>
      <c r="O756" s="24">
        <v>3</v>
      </c>
      <c r="P756" s="24">
        <v>0</v>
      </c>
      <c r="Q756" s="24">
        <v>3</v>
      </c>
      <c r="R756" s="24">
        <v>6</v>
      </c>
      <c r="S756" s="24">
        <v>0</v>
      </c>
      <c r="T756" s="24">
        <v>0</v>
      </c>
      <c r="U756" s="24">
        <v>1639874000000</v>
      </c>
      <c r="V756" s="109">
        <v>-5.0843678138034705E-2</v>
      </c>
      <c r="W756" s="109">
        <v>-0.86489844951502359</v>
      </c>
      <c r="X756" s="109">
        <v>1.0139597676406844</v>
      </c>
      <c r="Y756" s="109">
        <v>0.44031265816763965</v>
      </c>
      <c r="Z756" s="109">
        <v>0.5208579806081749</v>
      </c>
      <c r="AA756" s="109">
        <v>1.1102319569014754</v>
      </c>
      <c r="AD756" s="111"/>
    </row>
    <row r="757" spans="1:30" ht="15" customHeight="1" x14ac:dyDescent="0.3">
      <c r="A757" s="22" t="s">
        <v>154</v>
      </c>
      <c r="B757" s="23">
        <v>94</v>
      </c>
      <c r="C757" s="3" t="s">
        <v>114</v>
      </c>
      <c r="D757" s="23">
        <v>2022</v>
      </c>
      <c r="E757" s="25">
        <v>0.63123511408699484</v>
      </c>
      <c r="F757" s="25">
        <v>3.5474290265310522E-2</v>
      </c>
      <c r="G757" s="25">
        <v>0.66427077510761656</v>
      </c>
      <c r="H757" s="25">
        <v>1.9785908579169591</v>
      </c>
      <c r="I757" s="25">
        <v>0.21287068823614574</v>
      </c>
      <c r="J757" s="25">
        <v>5.5348034231049267E-2</v>
      </c>
      <c r="K757" s="25">
        <v>0.16485914876427826</v>
      </c>
      <c r="L757" s="25">
        <v>0.6</v>
      </c>
      <c r="M757" s="24">
        <v>2</v>
      </c>
      <c r="N757" s="108">
        <v>0</v>
      </c>
      <c r="O757" s="24">
        <v>3</v>
      </c>
      <c r="P757" s="24">
        <v>0</v>
      </c>
      <c r="Q757" s="24">
        <v>3</v>
      </c>
      <c r="R757" s="24">
        <v>6</v>
      </c>
      <c r="S757" s="24">
        <v>0</v>
      </c>
      <c r="T757" s="24">
        <v>0</v>
      </c>
      <c r="U757" s="24">
        <v>1939292000000</v>
      </c>
      <c r="V757" s="109">
        <v>5.7691178198050044E-2</v>
      </c>
      <c r="W757" s="109">
        <v>-0.82698353832223304</v>
      </c>
      <c r="X757" s="109">
        <v>1.0383881643403881</v>
      </c>
      <c r="Y757" s="109">
        <v>0.43661987983243372</v>
      </c>
      <c r="Z757" s="109">
        <v>0.53068070935364053</v>
      </c>
      <c r="AA757" s="109">
        <v>1.1787052152042292</v>
      </c>
      <c r="AD757" s="111"/>
    </row>
    <row r="758" spans="1:30" ht="15" customHeight="1" x14ac:dyDescent="0.3">
      <c r="A758" s="22" t="s">
        <v>154</v>
      </c>
      <c r="B758" s="23">
        <v>94</v>
      </c>
      <c r="C758" s="3" t="s">
        <v>114</v>
      </c>
      <c r="D758" s="23">
        <v>2023</v>
      </c>
      <c r="E758" s="25">
        <v>0.6957898836396007</v>
      </c>
      <c r="F758" s="25">
        <v>9.2800862635382883E-2</v>
      </c>
      <c r="G758" s="25">
        <v>0.67694789085290097</v>
      </c>
      <c r="H758" s="25">
        <v>2.0954758433248872</v>
      </c>
      <c r="I758" s="25">
        <v>0.18246559124850362</v>
      </c>
      <c r="J758" s="25">
        <v>5.046468779738944E-2</v>
      </c>
      <c r="K758" s="25">
        <v>0.15621222201775123</v>
      </c>
      <c r="L758" s="25">
        <v>0.6</v>
      </c>
      <c r="M758" s="24">
        <v>2</v>
      </c>
      <c r="N758" s="108">
        <v>0</v>
      </c>
      <c r="O758" s="24">
        <v>3</v>
      </c>
      <c r="P758" s="24">
        <v>12</v>
      </c>
      <c r="Q758" s="24">
        <v>3</v>
      </c>
      <c r="R758" s="24">
        <v>6</v>
      </c>
      <c r="S758" s="24">
        <v>12</v>
      </c>
      <c r="T758" s="24">
        <v>8</v>
      </c>
      <c r="U758" s="24">
        <v>2186737000000</v>
      </c>
      <c r="V758" s="109">
        <v>0.19942645335173759</v>
      </c>
      <c r="W758" s="109">
        <v>-0.68891884117751701</v>
      </c>
      <c r="X758" s="109">
        <v>0.60557273234046882</v>
      </c>
      <c r="Y758" s="109">
        <v>0.38397725926803267</v>
      </c>
      <c r="Z758" s="109">
        <v>0.50107950580521476</v>
      </c>
      <c r="AA758" s="109">
        <v>0.8017106562361993</v>
      </c>
      <c r="AD758" s="111"/>
    </row>
    <row r="759" spans="1:30" ht="15" customHeight="1" x14ac:dyDescent="0.3">
      <c r="A759" s="22" t="s">
        <v>154</v>
      </c>
      <c r="B759" s="23">
        <v>94</v>
      </c>
      <c r="C759" s="3" t="s">
        <v>114</v>
      </c>
      <c r="D759" s="23">
        <v>2024</v>
      </c>
      <c r="E759" s="25">
        <v>0.67046694038837185</v>
      </c>
      <c r="F759" s="25">
        <v>6.8671350622732261E-2</v>
      </c>
      <c r="G759" s="25">
        <v>0.66064457157238465</v>
      </c>
      <c r="H759" s="25">
        <v>1.9467629400638875</v>
      </c>
      <c r="I759" s="25">
        <v>0.2010645474515543</v>
      </c>
      <c r="J759" s="25">
        <v>5.6909148186970411E-2</v>
      </c>
      <c r="K759" s="25">
        <v>0.16769776882796839</v>
      </c>
      <c r="L759" s="25">
        <v>0.6</v>
      </c>
      <c r="M759" s="24">
        <v>2</v>
      </c>
      <c r="N759" s="108">
        <v>0</v>
      </c>
      <c r="O759" s="24">
        <v>3</v>
      </c>
      <c r="P759" s="24">
        <v>12</v>
      </c>
      <c r="Q759" s="24">
        <v>3</v>
      </c>
      <c r="R759" s="24">
        <v>6</v>
      </c>
      <c r="S759" s="24">
        <v>12</v>
      </c>
      <c r="T759" s="24">
        <v>8</v>
      </c>
      <c r="U759" s="24">
        <v>2288683000000</v>
      </c>
      <c r="V759" s="109">
        <v>7.109764082620687E-2</v>
      </c>
      <c r="W759" s="109">
        <v>-0.71613650295825149</v>
      </c>
      <c r="X759" s="109">
        <v>0.39374830852503379</v>
      </c>
      <c r="Y759" s="109">
        <v>0.42593788654872689</v>
      </c>
      <c r="Z759" s="109">
        <v>0.53935688747266874</v>
      </c>
      <c r="AA759" s="109">
        <v>0.64290657958817787</v>
      </c>
      <c r="AD759" s="111"/>
    </row>
    <row r="760" spans="1:30" ht="15" customHeight="1" x14ac:dyDescent="0.3">
      <c r="A760" s="22" t="s">
        <v>154</v>
      </c>
      <c r="B760" s="23">
        <v>95</v>
      </c>
      <c r="C760" s="3" t="s">
        <v>115</v>
      </c>
      <c r="D760" s="23">
        <v>2019</v>
      </c>
      <c r="E760" s="25">
        <v>1.7114112592219275</v>
      </c>
      <c r="F760" s="25">
        <v>0.13673396853177078</v>
      </c>
      <c r="G760" s="25">
        <v>0.43310717579924896</v>
      </c>
      <c r="H760" s="25">
        <v>0.76400186650779467</v>
      </c>
      <c r="I760" s="25">
        <v>0.13027117094823848</v>
      </c>
      <c r="J760" s="25">
        <v>2.6535481369128186E-2</v>
      </c>
      <c r="K760" s="25">
        <v>4.6808638663824932E-2</v>
      </c>
      <c r="L760" s="25">
        <v>0.22600000000000001</v>
      </c>
      <c r="M760" s="24">
        <v>1</v>
      </c>
      <c r="N760" s="108">
        <v>0</v>
      </c>
      <c r="O760" s="24">
        <v>2</v>
      </c>
      <c r="P760" s="24">
        <v>0</v>
      </c>
      <c r="Q760" s="24">
        <v>2</v>
      </c>
      <c r="R760" s="24">
        <v>3</v>
      </c>
      <c r="S760" s="24">
        <v>0</v>
      </c>
      <c r="T760" s="24">
        <v>0</v>
      </c>
      <c r="U760" s="24">
        <v>196174651501</v>
      </c>
      <c r="V760" s="109">
        <v>0</v>
      </c>
      <c r="W760" s="109">
        <v>1.0152447524152464</v>
      </c>
      <c r="X760" s="109">
        <v>-0.94217230447980582</v>
      </c>
      <c r="Y760" s="109">
        <v>0.24055048376318611</v>
      </c>
      <c r="Z760" s="109">
        <v>1.3743421921198766</v>
      </c>
      <c r="AA760" s="109">
        <v>1.6879651238185032</v>
      </c>
      <c r="AD760" s="111"/>
    </row>
    <row r="761" spans="1:30" ht="15" customHeight="1" x14ac:dyDescent="0.3">
      <c r="A761" s="22" t="s">
        <v>154</v>
      </c>
      <c r="B761" s="23">
        <v>95</v>
      </c>
      <c r="C761" s="3" t="s">
        <v>115</v>
      </c>
      <c r="D761" s="23">
        <v>2020</v>
      </c>
      <c r="E761" s="25">
        <v>1.0099373234176598</v>
      </c>
      <c r="F761" s="25">
        <v>6.7888805897444227E-2</v>
      </c>
      <c r="G761" s="25">
        <v>0.44222104293495673</v>
      </c>
      <c r="H761" s="25">
        <v>0.79282489476093454</v>
      </c>
      <c r="I761" s="25">
        <v>6.4924680973550385E-3</v>
      </c>
      <c r="J761" s="25">
        <v>1.0163008651073375E-3</v>
      </c>
      <c r="K761" s="25">
        <v>1.8220494915315089E-3</v>
      </c>
      <c r="L761" s="25">
        <v>0.22600000000000001</v>
      </c>
      <c r="M761" s="24">
        <v>1</v>
      </c>
      <c r="N761" s="108">
        <v>0</v>
      </c>
      <c r="O761" s="24">
        <v>2</v>
      </c>
      <c r="P761" s="24">
        <v>0</v>
      </c>
      <c r="Q761" s="24">
        <v>2</v>
      </c>
      <c r="R761" s="24">
        <v>3</v>
      </c>
      <c r="S761" s="24">
        <v>0</v>
      </c>
      <c r="T761" s="24">
        <v>0</v>
      </c>
      <c r="U761" s="24">
        <v>199744000000</v>
      </c>
      <c r="V761" s="109">
        <v>-0.21753545070368854</v>
      </c>
      <c r="W761" s="109">
        <v>2.0099327138737584E-2</v>
      </c>
      <c r="X761" s="109">
        <v>-0.91504706023710336</v>
      </c>
      <c r="Y761" s="109">
        <v>0.12606055751361742</v>
      </c>
      <c r="Z761" s="109">
        <v>1.3243781911220296</v>
      </c>
      <c r="AA761" s="109">
        <v>0.55549101553728131</v>
      </c>
      <c r="AD761" s="111"/>
    </row>
    <row r="762" spans="1:30" ht="15" customHeight="1" x14ac:dyDescent="0.3">
      <c r="A762" s="22" t="s">
        <v>154</v>
      </c>
      <c r="B762" s="23">
        <v>95</v>
      </c>
      <c r="C762" s="3" t="s">
        <v>115</v>
      </c>
      <c r="D762" s="23">
        <v>2021</v>
      </c>
      <c r="E762" s="25">
        <v>1.5492131157114077</v>
      </c>
      <c r="F762" s="25">
        <v>0.10771117404887734</v>
      </c>
      <c r="G762" s="25">
        <v>0.33380845759660221</v>
      </c>
      <c r="H762" s="25">
        <v>0.50106979201857194</v>
      </c>
      <c r="I762" s="25">
        <v>0.14679734751876411</v>
      </c>
      <c r="J762" s="25">
        <v>2.3250311619962143E-2</v>
      </c>
      <c r="K762" s="25">
        <v>3.4900340427743565E-2</v>
      </c>
      <c r="L762" s="25">
        <v>0.22600000000000001</v>
      </c>
      <c r="M762" s="24">
        <v>1</v>
      </c>
      <c r="N762" s="108">
        <v>0</v>
      </c>
      <c r="O762" s="24">
        <v>2</v>
      </c>
      <c r="P762" s="24">
        <v>0</v>
      </c>
      <c r="Q762" s="24">
        <v>2</v>
      </c>
      <c r="R762" s="24">
        <v>3</v>
      </c>
      <c r="S762" s="24">
        <v>0</v>
      </c>
      <c r="T762" s="24">
        <v>0</v>
      </c>
      <c r="U762" s="24">
        <v>173288000000</v>
      </c>
      <c r="V762" s="109">
        <v>-0.12220552019701282</v>
      </c>
      <c r="W762" s="109">
        <v>0.71207238816305807</v>
      </c>
      <c r="X762" s="109">
        <v>-1.0461881953741747</v>
      </c>
      <c r="Y762" s="109">
        <v>1.1323576935506209E-2</v>
      </c>
      <c r="Z762" s="109">
        <v>2.0955164664188781</v>
      </c>
      <c r="AA762" s="109">
        <v>1.7727242361432678</v>
      </c>
      <c r="AD762" s="111"/>
    </row>
    <row r="763" spans="1:30" ht="15" customHeight="1" x14ac:dyDescent="0.3">
      <c r="A763" s="22" t="s">
        <v>154</v>
      </c>
      <c r="B763" s="23">
        <v>95</v>
      </c>
      <c r="C763" s="3" t="s">
        <v>115</v>
      </c>
      <c r="D763" s="23">
        <v>2022</v>
      </c>
      <c r="E763" s="25">
        <v>1.4467557699393696</v>
      </c>
      <c r="F763" s="25">
        <v>0.14383814022041336</v>
      </c>
      <c r="G763" s="25">
        <v>0.37315185090068609</v>
      </c>
      <c r="H763" s="25">
        <v>0.5952826875804752</v>
      </c>
      <c r="I763" s="25">
        <v>-0.86746745403301573</v>
      </c>
      <c r="J763" s="25">
        <v>-7.9043915324503791E-2</v>
      </c>
      <c r="K763" s="25">
        <v>-0.12609738967575793</v>
      </c>
      <c r="L763" s="25">
        <v>0.22600000000000001</v>
      </c>
      <c r="M763" s="24">
        <v>1</v>
      </c>
      <c r="N763" s="108">
        <v>0</v>
      </c>
      <c r="O763" s="24">
        <v>2</v>
      </c>
      <c r="P763" s="24">
        <v>0</v>
      </c>
      <c r="Q763" s="24">
        <v>2</v>
      </c>
      <c r="R763" s="24">
        <v>3</v>
      </c>
      <c r="S763" s="24">
        <v>0</v>
      </c>
      <c r="T763" s="24">
        <v>0</v>
      </c>
      <c r="U763" s="24">
        <v>163542000000</v>
      </c>
      <c r="V763" s="109">
        <v>-0.45704292064417401</v>
      </c>
      <c r="W763" s="109">
        <v>0.534974012791821</v>
      </c>
      <c r="X763" s="109">
        <v>-1.3610941531838916</v>
      </c>
      <c r="Y763" s="109">
        <v>-0.67297795061818977</v>
      </c>
      <c r="Z763" s="109">
        <v>1.7638678596008259</v>
      </c>
      <c r="AA763" s="109">
        <v>0.26476976859056567</v>
      </c>
      <c r="AD763" s="111"/>
    </row>
    <row r="764" spans="1:30" ht="15" customHeight="1" x14ac:dyDescent="0.3">
      <c r="A764" s="22" t="s">
        <v>154</v>
      </c>
      <c r="B764" s="23">
        <v>95</v>
      </c>
      <c r="C764" s="3" t="s">
        <v>115</v>
      </c>
      <c r="D764" s="23">
        <v>2023</v>
      </c>
      <c r="E764" s="25">
        <v>1.2223282235857853</v>
      </c>
      <c r="F764" s="25">
        <v>7.5670518852583427E-2</v>
      </c>
      <c r="G764" s="25">
        <v>0.4448487932216888</v>
      </c>
      <c r="H764" s="25">
        <v>0.8013110442527247</v>
      </c>
      <c r="I764" s="25">
        <v>-4.4052500360579401E-2</v>
      </c>
      <c r="J764" s="25">
        <v>-1.1824436431210318E-2</v>
      </c>
      <c r="K764" s="25">
        <v>-2.129948793560342E-2</v>
      </c>
      <c r="L764" s="25">
        <v>0.22600000000000001</v>
      </c>
      <c r="M764" s="24">
        <v>1</v>
      </c>
      <c r="N764" s="108">
        <v>0</v>
      </c>
      <c r="O764" s="24">
        <v>2</v>
      </c>
      <c r="P764" s="24">
        <v>0</v>
      </c>
      <c r="Q764" s="24">
        <v>2</v>
      </c>
      <c r="R764" s="24">
        <v>3</v>
      </c>
      <c r="S764" s="24">
        <v>0</v>
      </c>
      <c r="T764" s="24">
        <v>0</v>
      </c>
      <c r="U764" s="24">
        <v>180812000000</v>
      </c>
      <c r="V764" s="109">
        <v>2.2568111662864045</v>
      </c>
      <c r="W764" s="109">
        <v>0.37202309581222487</v>
      </c>
      <c r="X764" s="109">
        <v>-1.3277307922040573</v>
      </c>
      <c r="Y764" s="109">
        <v>-0.20028582173749529</v>
      </c>
      <c r="Z764" s="109">
        <v>1.3103525872143622</v>
      </c>
      <c r="AA764" s="109">
        <v>0.15435906908503449</v>
      </c>
      <c r="AD764" s="111"/>
    </row>
    <row r="765" spans="1:30" ht="15" customHeight="1" x14ac:dyDescent="0.3">
      <c r="A765" s="22" t="s">
        <v>154</v>
      </c>
      <c r="B765" s="23">
        <v>95</v>
      </c>
      <c r="C765" s="3" t="s">
        <v>115</v>
      </c>
      <c r="D765" s="23">
        <v>2024</v>
      </c>
      <c r="E765" s="25">
        <v>1.595068299478138</v>
      </c>
      <c r="F765" s="25">
        <v>0.35174751023972389</v>
      </c>
      <c r="G765" s="25">
        <v>0.40996254145089728</v>
      </c>
      <c r="H765" s="25">
        <v>0.69481261425959784</v>
      </c>
      <c r="I765" s="25">
        <v>-4.2557390800202306E-3</v>
      </c>
      <c r="J765" s="25">
        <v>-1.4536782272710036E-3</v>
      </c>
      <c r="K765" s="25">
        <v>-2.4637225776965267E-3</v>
      </c>
      <c r="L765" s="25">
        <v>0.64339999999999997</v>
      </c>
      <c r="M765" s="24">
        <v>2</v>
      </c>
      <c r="N765" s="108">
        <v>0</v>
      </c>
      <c r="O765" s="24">
        <v>3</v>
      </c>
      <c r="P765" s="24">
        <v>0</v>
      </c>
      <c r="Q765" s="24">
        <v>3</v>
      </c>
      <c r="R765" s="24">
        <v>3</v>
      </c>
      <c r="S765" s="24">
        <v>0</v>
      </c>
      <c r="T765" s="24">
        <v>0</v>
      </c>
      <c r="U765" s="24">
        <v>237329000000</v>
      </c>
      <c r="V765" s="109">
        <v>0.67034801063194116</v>
      </c>
      <c r="W765" s="109">
        <v>0.79111174782685634</v>
      </c>
      <c r="X765" s="109">
        <v>-1.0213830589603461</v>
      </c>
      <c r="Y765" s="109">
        <v>-3.8791719511732659E-2</v>
      </c>
      <c r="Z765" s="109">
        <v>1.5111988159842131</v>
      </c>
      <c r="AA765" s="109">
        <v>1.2421357853389907</v>
      </c>
      <c r="AD765" s="111"/>
    </row>
    <row r="766" spans="1:30" ht="15" customHeight="1" x14ac:dyDescent="0.3">
      <c r="A766" s="22" t="s">
        <v>154</v>
      </c>
      <c r="B766" s="23">
        <v>96</v>
      </c>
      <c r="C766" s="2" t="s">
        <v>116</v>
      </c>
      <c r="D766" s="23">
        <v>2015</v>
      </c>
      <c r="E766" s="25">
        <v>5.7478090034363678</v>
      </c>
      <c r="F766" s="25">
        <v>0.25737280367514759</v>
      </c>
      <c r="G766" s="25">
        <v>0.80703553939657224</v>
      </c>
      <c r="H766" s="25">
        <v>4.182301429355725</v>
      </c>
      <c r="I766" s="25">
        <v>0.20344950299785161</v>
      </c>
      <c r="J766" s="25">
        <v>4.4528455391553153E-2</v>
      </c>
      <c r="K766" s="25">
        <v>0.23075987802264855</v>
      </c>
      <c r="L766" s="25">
        <v>0</v>
      </c>
      <c r="M766" s="24">
        <v>0</v>
      </c>
      <c r="N766" s="108">
        <v>0</v>
      </c>
      <c r="O766" s="24">
        <v>0</v>
      </c>
      <c r="P766" s="24">
        <v>0</v>
      </c>
      <c r="Q766" s="24">
        <v>0</v>
      </c>
      <c r="R766" s="24">
        <v>0</v>
      </c>
      <c r="S766" s="24">
        <v>0</v>
      </c>
      <c r="T766" s="24">
        <v>0</v>
      </c>
      <c r="U766" s="24">
        <v>1422094069358</v>
      </c>
      <c r="V766" s="109">
        <v>0</v>
      </c>
      <c r="W766" s="109">
        <v>3.0974387325119186</v>
      </c>
      <c r="X766" s="109">
        <v>0.36946973022230489</v>
      </c>
      <c r="Y766" s="109">
        <v>0.37557333736460774</v>
      </c>
      <c r="Z766" s="109">
        <v>0.25105794446808927</v>
      </c>
      <c r="AA766" s="109">
        <v>4.0935397445669199</v>
      </c>
      <c r="AD766" s="111"/>
    </row>
    <row r="767" spans="1:30" ht="15" customHeight="1" x14ac:dyDescent="0.3">
      <c r="A767" s="22" t="s">
        <v>154</v>
      </c>
      <c r="B767" s="23">
        <v>96</v>
      </c>
      <c r="C767" s="3" t="s">
        <v>116</v>
      </c>
      <c r="D767" s="23">
        <v>2016</v>
      </c>
      <c r="E767" s="25">
        <v>8.0175048797792599</v>
      </c>
      <c r="F767" s="25">
        <v>0</v>
      </c>
      <c r="G767" s="25">
        <v>0.78357718277360744</v>
      </c>
      <c r="H767" s="25">
        <v>3.6205965548666863</v>
      </c>
      <c r="I767" s="25">
        <v>0.18943543450975478</v>
      </c>
      <c r="J767" s="25">
        <v>4.4146492237611391E-2</v>
      </c>
      <c r="K767" s="25">
        <v>0.20398327212537659</v>
      </c>
      <c r="L767" s="25">
        <v>0.25559999999999999</v>
      </c>
      <c r="M767" s="24">
        <v>0</v>
      </c>
      <c r="N767" s="108">
        <v>0.46860000000000002</v>
      </c>
      <c r="O767" s="24">
        <v>4</v>
      </c>
      <c r="P767" s="24">
        <v>21</v>
      </c>
      <c r="Q767" s="24">
        <v>4</v>
      </c>
      <c r="R767" s="24">
        <v>5</v>
      </c>
      <c r="S767" s="24">
        <v>21</v>
      </c>
      <c r="T767" s="24">
        <v>9</v>
      </c>
      <c r="U767" s="24">
        <v>1434654843880</v>
      </c>
      <c r="V767" s="109">
        <v>7.4170174165802766E-2</v>
      </c>
      <c r="W767" s="109">
        <v>4.6578091987668477</v>
      </c>
      <c r="X767" s="109">
        <v>0.46811553795320671</v>
      </c>
      <c r="Y767" s="109">
        <v>0.36455759652555625</v>
      </c>
      <c r="Z767" s="109">
        <v>0.2900074570829011</v>
      </c>
      <c r="AA767" s="109">
        <v>5.7804897903285122</v>
      </c>
      <c r="AD767" s="111"/>
    </row>
    <row r="768" spans="1:30" ht="15" customHeight="1" x14ac:dyDescent="0.3">
      <c r="A768" s="22" t="s">
        <v>154</v>
      </c>
      <c r="B768" s="23">
        <v>96</v>
      </c>
      <c r="C768" s="3" t="s">
        <v>116</v>
      </c>
      <c r="D768" s="23">
        <v>2017</v>
      </c>
      <c r="E768" s="25">
        <v>4.4735295456068149</v>
      </c>
      <c r="F768" s="25">
        <v>0</v>
      </c>
      <c r="G768" s="25">
        <v>0.74882644155032452</v>
      </c>
      <c r="H768" s="25">
        <v>2.9813107962968859</v>
      </c>
      <c r="I768" s="25">
        <v>0.18541859574603292</v>
      </c>
      <c r="J768" s="25">
        <v>4.2585494456494323E-2</v>
      </c>
      <c r="K768" s="25">
        <v>0.16954608884528202</v>
      </c>
      <c r="L768" s="25">
        <v>0.27689999999999998</v>
      </c>
      <c r="M768" s="24">
        <v>3</v>
      </c>
      <c r="N768" s="108">
        <v>0.46860000000000002</v>
      </c>
      <c r="O768" s="24">
        <v>4</v>
      </c>
      <c r="P768" s="24">
        <v>21</v>
      </c>
      <c r="Q768" s="24">
        <v>4</v>
      </c>
      <c r="R768" s="24">
        <v>5</v>
      </c>
      <c r="S768" s="24">
        <v>21</v>
      </c>
      <c r="T768" s="24">
        <v>9</v>
      </c>
      <c r="U768" s="24">
        <v>1418524795003</v>
      </c>
      <c r="V768" s="109">
        <v>-2.554244741015484E-2</v>
      </c>
      <c r="W768" s="109">
        <v>2.830682738553377</v>
      </c>
      <c r="X768" s="109">
        <v>0.5613727076948668</v>
      </c>
      <c r="Y768" s="109">
        <v>0.34982233761489556</v>
      </c>
      <c r="Z768" s="109">
        <v>0.35219407560735194</v>
      </c>
      <c r="AA768" s="109">
        <v>4.0940718594704917</v>
      </c>
      <c r="AD768" s="111"/>
    </row>
    <row r="769" spans="1:30" ht="15" customHeight="1" x14ac:dyDescent="0.3">
      <c r="A769" s="22" t="s">
        <v>154</v>
      </c>
      <c r="B769" s="23">
        <v>96</v>
      </c>
      <c r="C769" s="3" t="s">
        <v>116</v>
      </c>
      <c r="D769" s="23">
        <v>2018</v>
      </c>
      <c r="E769" s="25">
        <v>4.8974858496804696</v>
      </c>
      <c r="F769" s="25">
        <v>0.28761373973998233</v>
      </c>
      <c r="G769" s="25">
        <v>0.72545101512163934</v>
      </c>
      <c r="H769" s="25">
        <v>2.6423372697700978</v>
      </c>
      <c r="I769" s="25">
        <v>0.2012701029813804</v>
      </c>
      <c r="J769" s="25">
        <v>4.8000690907042634E-2</v>
      </c>
      <c r="K769" s="25">
        <v>0.174834705465436</v>
      </c>
      <c r="L769" s="25">
        <v>0.27689999999999998</v>
      </c>
      <c r="M769" s="24">
        <v>3</v>
      </c>
      <c r="N769" s="108">
        <v>0.46860000000000002</v>
      </c>
      <c r="O769" s="24">
        <v>4</v>
      </c>
      <c r="P769" s="24">
        <v>21</v>
      </c>
      <c r="Q769" s="24">
        <v>4</v>
      </c>
      <c r="R769" s="24">
        <v>5</v>
      </c>
      <c r="S769" s="24">
        <v>21</v>
      </c>
      <c r="T769" s="24">
        <v>7</v>
      </c>
      <c r="U769" s="24">
        <v>1478007061719</v>
      </c>
      <c r="V769" s="109">
        <v>8.1930567191825163E-2</v>
      </c>
      <c r="W769" s="109">
        <v>2.861860752131983</v>
      </c>
      <c r="X769" s="109">
        <v>0.66231267964414486</v>
      </c>
      <c r="Y769" s="109">
        <v>0.40101069476229878</v>
      </c>
      <c r="Z769" s="109">
        <v>0.39737546452249739</v>
      </c>
      <c r="AA769" s="109">
        <v>4.3225595910609238</v>
      </c>
      <c r="AD769" s="111"/>
    </row>
    <row r="770" spans="1:30" ht="15" customHeight="1" x14ac:dyDescent="0.3">
      <c r="A770" s="22" t="s">
        <v>154</v>
      </c>
      <c r="B770" s="23">
        <v>96</v>
      </c>
      <c r="C770" s="3" t="s">
        <v>116</v>
      </c>
      <c r="D770" s="23">
        <v>2019</v>
      </c>
      <c r="E770" s="25">
        <v>5.0296584741378529</v>
      </c>
      <c r="F770" s="25">
        <v>0.20566690206062696</v>
      </c>
      <c r="G770" s="25">
        <v>0.71363775487738434</v>
      </c>
      <c r="H770" s="25">
        <v>2.4920804576448838</v>
      </c>
      <c r="I770" s="25">
        <v>0.17109082966921224</v>
      </c>
      <c r="J770" s="25">
        <v>3.9750715994779424E-2</v>
      </c>
      <c r="K770" s="25">
        <v>0.13881269850276115</v>
      </c>
      <c r="L770" s="25">
        <v>0.27689999999999998</v>
      </c>
      <c r="M770" s="24">
        <v>3</v>
      </c>
      <c r="N770" s="108">
        <v>0.46860000000000002</v>
      </c>
      <c r="O770" s="24">
        <v>4</v>
      </c>
      <c r="P770" s="24">
        <v>21</v>
      </c>
      <c r="Q770" s="24">
        <v>4</v>
      </c>
      <c r="R770" s="24">
        <v>5</v>
      </c>
      <c r="S770" s="24">
        <v>21</v>
      </c>
      <c r="T770" s="24">
        <v>7</v>
      </c>
      <c r="U770" s="24">
        <v>1548001829554</v>
      </c>
      <c r="V770" s="109">
        <v>2.0340121426353656E-2</v>
      </c>
      <c r="W770" s="109">
        <v>2.9863572422844973</v>
      </c>
      <c r="X770" s="109">
        <v>0.60829438811715042</v>
      </c>
      <c r="Y770" s="109">
        <v>0.32562528660717982</v>
      </c>
      <c r="Z770" s="109">
        <v>0.42133471123652733</v>
      </c>
      <c r="AA770" s="109">
        <v>4.3416116282453547</v>
      </c>
      <c r="AD770" s="111"/>
    </row>
    <row r="771" spans="1:30" ht="15" customHeight="1" x14ac:dyDescent="0.3">
      <c r="A771" s="22" t="s">
        <v>154</v>
      </c>
      <c r="B771" s="23">
        <v>96</v>
      </c>
      <c r="C771" s="3" t="s">
        <v>116</v>
      </c>
      <c r="D771" s="23">
        <v>2020</v>
      </c>
      <c r="E771" s="25">
        <v>6.0472026286501679</v>
      </c>
      <c r="F771" s="25">
        <v>0.46267319085171849</v>
      </c>
      <c r="G771" s="25">
        <v>0.66820948164233607</v>
      </c>
      <c r="H771" s="25">
        <v>2.0139499011301427</v>
      </c>
      <c r="I771" s="25">
        <v>0.22496162825616348</v>
      </c>
      <c r="J771" s="25">
        <v>5.0296819427617455E-2</v>
      </c>
      <c r="K771" s="25">
        <v>0.15159209394102829</v>
      </c>
      <c r="L771" s="25">
        <v>0.31</v>
      </c>
      <c r="M771" s="24">
        <v>2</v>
      </c>
      <c r="N771" s="108">
        <v>0.50170000000000003</v>
      </c>
      <c r="O771" s="24">
        <v>3</v>
      </c>
      <c r="P771" s="24">
        <v>15</v>
      </c>
      <c r="Q771" s="24">
        <v>3</v>
      </c>
      <c r="R771" s="24">
        <v>5</v>
      </c>
      <c r="S771" s="24">
        <v>15</v>
      </c>
      <c r="T771" s="24">
        <v>7</v>
      </c>
      <c r="U771" s="24">
        <v>1516562973028</v>
      </c>
      <c r="V771" s="109">
        <v>-5.7236344593606568E-2</v>
      </c>
      <c r="W771" s="109">
        <v>3.6935968883300565</v>
      </c>
      <c r="X771" s="109">
        <v>0.73952869312201863</v>
      </c>
      <c r="Y771" s="109">
        <v>0.34043612303399401</v>
      </c>
      <c r="Z771" s="109">
        <v>0.52136351525466684</v>
      </c>
      <c r="AA771" s="109">
        <v>5.2949252197407359</v>
      </c>
      <c r="AD771" s="111"/>
    </row>
    <row r="772" spans="1:30" ht="15" customHeight="1" x14ac:dyDescent="0.3">
      <c r="A772" s="22" t="s">
        <v>154</v>
      </c>
      <c r="B772" s="23">
        <v>96</v>
      </c>
      <c r="C772" s="3" t="s">
        <v>116</v>
      </c>
      <c r="D772" s="23">
        <v>2021</v>
      </c>
      <c r="E772" s="25">
        <v>3.2776339622540149</v>
      </c>
      <c r="F772" s="25">
        <v>0.28531835565096941</v>
      </c>
      <c r="G772" s="25">
        <v>0.61092559285611869</v>
      </c>
      <c r="H772" s="25">
        <v>1.5702024642042209</v>
      </c>
      <c r="I772" s="25">
        <v>0.1783660497694099</v>
      </c>
      <c r="J772" s="25">
        <v>4.2421814343542009E-2</v>
      </c>
      <c r="K772" s="25">
        <v>0.10903265176178564</v>
      </c>
      <c r="L772" s="25">
        <v>0.31509999999999999</v>
      </c>
      <c r="M772" s="24">
        <v>2</v>
      </c>
      <c r="N772" s="108">
        <v>0.50680000000000003</v>
      </c>
      <c r="O772" s="24">
        <v>3</v>
      </c>
      <c r="P772" s="24">
        <v>15</v>
      </c>
      <c r="Q772" s="24">
        <v>3</v>
      </c>
      <c r="R772" s="24">
        <v>5</v>
      </c>
      <c r="S772" s="24">
        <v>15</v>
      </c>
      <c r="T772" s="24">
        <v>7</v>
      </c>
      <c r="U772" s="24">
        <v>1411160148272</v>
      </c>
      <c r="V772" s="109">
        <v>-1.01695187893922E-2</v>
      </c>
      <c r="W772" s="109">
        <v>2.3587378316578871</v>
      </c>
      <c r="X772" s="109">
        <v>0.90701604091284993</v>
      </c>
      <c r="Y772" s="109">
        <v>0.37033378330289213</v>
      </c>
      <c r="Z772" s="109">
        <v>0.66870357418025084</v>
      </c>
      <c r="AA772" s="109">
        <v>4.3047912300538798</v>
      </c>
      <c r="AD772" s="111"/>
    </row>
    <row r="773" spans="1:30" ht="15" customHeight="1" x14ac:dyDescent="0.3">
      <c r="A773" s="22" t="s">
        <v>154</v>
      </c>
      <c r="B773" s="23">
        <v>96</v>
      </c>
      <c r="C773" s="3" t="s">
        <v>116</v>
      </c>
      <c r="D773" s="23">
        <v>2022</v>
      </c>
      <c r="E773" s="25">
        <v>3.7610095975731852</v>
      </c>
      <c r="F773" s="25">
        <v>0.27085620759311685</v>
      </c>
      <c r="G773" s="25">
        <v>0.62260197781729665</v>
      </c>
      <c r="H773" s="25">
        <v>1.649722418301087</v>
      </c>
      <c r="I773" s="25">
        <v>0.18742476848597112</v>
      </c>
      <c r="J773" s="25">
        <v>5.0274242092802977E-2</v>
      </c>
      <c r="K773" s="25">
        <v>0.13321278633639622</v>
      </c>
      <c r="L773" s="25">
        <v>0.31509999999999999</v>
      </c>
      <c r="M773" s="24">
        <v>2</v>
      </c>
      <c r="N773" s="108">
        <v>0.50680000000000003</v>
      </c>
      <c r="O773" s="24">
        <v>3</v>
      </c>
      <c r="P773" s="24">
        <v>15</v>
      </c>
      <c r="Q773" s="24">
        <v>3</v>
      </c>
      <c r="R773" s="24">
        <v>5</v>
      </c>
      <c r="S773" s="24">
        <v>15</v>
      </c>
      <c r="T773" s="24">
        <v>7</v>
      </c>
      <c r="U773" s="24">
        <v>1627241657686</v>
      </c>
      <c r="V773" s="109">
        <v>0.30052065691008384</v>
      </c>
      <c r="W773" s="109">
        <v>2.47756643209381</v>
      </c>
      <c r="X773" s="109">
        <v>0.91158892827642857</v>
      </c>
      <c r="Y773" s="109">
        <v>0.37205140729671765</v>
      </c>
      <c r="Z773" s="109">
        <v>0.63647071067950234</v>
      </c>
      <c r="AA773" s="109">
        <v>4.3976774783464583</v>
      </c>
      <c r="AD773" s="111"/>
    </row>
    <row r="774" spans="1:30" ht="15" customHeight="1" x14ac:dyDescent="0.3">
      <c r="A774" s="22" t="s">
        <v>154</v>
      </c>
      <c r="B774" s="23">
        <v>96</v>
      </c>
      <c r="C774" s="3" t="s">
        <v>116</v>
      </c>
      <c r="D774" s="23">
        <v>2023</v>
      </c>
      <c r="E774" s="25">
        <v>3.2297782334471821</v>
      </c>
      <c r="F774" s="25">
        <v>0.16916439863214738</v>
      </c>
      <c r="G774" s="25">
        <v>0.6334069813058697</v>
      </c>
      <c r="H774" s="25">
        <v>1.7278206321609133</v>
      </c>
      <c r="I774" s="25">
        <v>0.1610724153057515</v>
      </c>
      <c r="J774" s="25">
        <v>4.5463544554117684E-2</v>
      </c>
      <c r="K774" s="25">
        <v>0.12401639484588914</v>
      </c>
      <c r="L774" s="25">
        <v>0.31509999999999999</v>
      </c>
      <c r="M774" s="24">
        <v>2</v>
      </c>
      <c r="N774" s="108">
        <v>0.50680000000000003</v>
      </c>
      <c r="O774" s="24">
        <v>4</v>
      </c>
      <c r="P774" s="24">
        <v>18</v>
      </c>
      <c r="Q774" s="24">
        <v>4</v>
      </c>
      <c r="R774" s="24">
        <v>5</v>
      </c>
      <c r="S774" s="24">
        <v>18</v>
      </c>
      <c r="T774" s="24">
        <v>9</v>
      </c>
      <c r="U774" s="24">
        <v>1850769013354</v>
      </c>
      <c r="V774" s="109">
        <v>0.19680594600123832</v>
      </c>
      <c r="W774" s="109">
        <v>2.4753765347041696</v>
      </c>
      <c r="X774" s="109">
        <v>0.91651941728841346</v>
      </c>
      <c r="Y774" s="109">
        <v>0.38571286860529347</v>
      </c>
      <c r="Z774" s="109">
        <v>0.60770196885935368</v>
      </c>
      <c r="AA774" s="109">
        <v>4.3853107894572307</v>
      </c>
      <c r="AD774" s="111"/>
    </row>
    <row r="775" spans="1:30" ht="15" customHeight="1" x14ac:dyDescent="0.3">
      <c r="A775" s="22" t="s">
        <v>154</v>
      </c>
      <c r="B775" s="23">
        <v>96</v>
      </c>
      <c r="C775" s="3" t="s">
        <v>116</v>
      </c>
      <c r="D775" s="23">
        <v>2024</v>
      </c>
      <c r="E775" s="25">
        <v>2.8716616838128401</v>
      </c>
      <c r="F775" s="25">
        <v>0.23723392439863034</v>
      </c>
      <c r="G775" s="25">
        <v>0.60629013532228915</v>
      </c>
      <c r="H775" s="25">
        <v>1.5399414383954937</v>
      </c>
      <c r="I775" s="25">
        <v>7.0837257395675909E-2</v>
      </c>
      <c r="J775" s="25">
        <v>1.7041265972060619E-2</v>
      </c>
      <c r="K775" s="25">
        <v>4.328381760515583E-2</v>
      </c>
      <c r="L775" s="25">
        <v>0.31509999999999999</v>
      </c>
      <c r="M775" s="24">
        <v>2</v>
      </c>
      <c r="N775" s="108">
        <v>0.50680000000000003</v>
      </c>
      <c r="O775" s="24">
        <v>4</v>
      </c>
      <c r="P775" s="24">
        <v>18</v>
      </c>
      <c r="Q775" s="24">
        <v>4</v>
      </c>
      <c r="R775" s="24">
        <v>5</v>
      </c>
      <c r="S775" s="24">
        <v>18</v>
      </c>
      <c r="T775" s="24">
        <v>9</v>
      </c>
      <c r="U775" s="24">
        <v>1748726624469</v>
      </c>
      <c r="V775" s="109">
        <v>-0.19468145958966515</v>
      </c>
      <c r="W775" s="109">
        <v>2.4426520051297831</v>
      </c>
      <c r="X775" s="109">
        <v>0.99389695763866981</v>
      </c>
      <c r="Y775" s="109">
        <v>0.16107611974038047</v>
      </c>
      <c r="Z775" s="109">
        <v>0.68184411031501502</v>
      </c>
      <c r="AA775" s="109">
        <v>4.2794691928238482</v>
      </c>
      <c r="AD775" s="111"/>
    </row>
    <row r="776" spans="1:30" ht="15" customHeight="1" x14ac:dyDescent="0.3">
      <c r="A776" s="22" t="s">
        <v>154</v>
      </c>
      <c r="B776" s="23">
        <v>97</v>
      </c>
      <c r="C776" s="3" t="s">
        <v>117</v>
      </c>
      <c r="D776" s="23">
        <v>2017</v>
      </c>
      <c r="E776" s="25">
        <v>4.9998900645870554</v>
      </c>
      <c r="F776" s="25">
        <v>0.13596262195959874</v>
      </c>
      <c r="G776" s="25">
        <v>0.51936992736700305</v>
      </c>
      <c r="H776" s="25">
        <v>1.0806022280748702</v>
      </c>
      <c r="I776" s="25">
        <v>6.363149603855138E-2</v>
      </c>
      <c r="J776" s="25">
        <v>3.7004695534841953E-2</v>
      </c>
      <c r="K776" s="25">
        <v>7.6992051979024367E-2</v>
      </c>
      <c r="L776" s="25">
        <v>0</v>
      </c>
      <c r="M776" s="24">
        <v>0</v>
      </c>
      <c r="N776" s="108">
        <v>0</v>
      </c>
      <c r="O776" s="24">
        <v>0</v>
      </c>
      <c r="P776" s="24">
        <v>0</v>
      </c>
      <c r="Q776" s="24">
        <v>0</v>
      </c>
      <c r="R776" s="24">
        <v>0</v>
      </c>
      <c r="S776" s="24">
        <v>0</v>
      </c>
      <c r="T776" s="24">
        <v>0</v>
      </c>
      <c r="U776" s="24">
        <v>443187000000</v>
      </c>
      <c r="V776" s="109">
        <v>0</v>
      </c>
      <c r="W776" s="109">
        <v>2.1542061477435031</v>
      </c>
      <c r="X776" s="109">
        <v>1.1823878407985793</v>
      </c>
      <c r="Y776" s="109">
        <v>0.40324215286098192</v>
      </c>
      <c r="Z776" s="109">
        <v>0.97168039517243188</v>
      </c>
      <c r="AA776" s="109">
        <v>4.7115165365754965</v>
      </c>
      <c r="AD776" s="111"/>
    </row>
    <row r="777" spans="1:30" ht="15" customHeight="1" x14ac:dyDescent="0.3">
      <c r="A777" s="22" t="s">
        <v>154</v>
      </c>
      <c r="B777" s="23">
        <v>97</v>
      </c>
      <c r="C777" s="3" t="s">
        <v>117</v>
      </c>
      <c r="D777" s="23">
        <v>2018</v>
      </c>
      <c r="E777" s="25">
        <v>4.3605823068309073</v>
      </c>
      <c r="F777" s="25">
        <v>0.18577441402479053</v>
      </c>
      <c r="G777" s="25">
        <v>0.5303113876386315</v>
      </c>
      <c r="H777" s="25">
        <v>1.1290701406884889</v>
      </c>
      <c r="I777" s="25">
        <v>0.11511072302160225</v>
      </c>
      <c r="J777" s="25">
        <v>7.8045479951754773E-2</v>
      </c>
      <c r="K777" s="25">
        <v>0.16616430098098317</v>
      </c>
      <c r="L777" s="25">
        <v>0.95</v>
      </c>
      <c r="M777" s="24">
        <v>3</v>
      </c>
      <c r="N777" s="108">
        <v>0</v>
      </c>
      <c r="O777" s="24">
        <v>4</v>
      </c>
      <c r="P777" s="24">
        <v>0</v>
      </c>
      <c r="Q777" s="24">
        <v>4</v>
      </c>
      <c r="R777" s="24">
        <v>4</v>
      </c>
      <c r="S777" s="24">
        <v>0</v>
      </c>
      <c r="T777" s="24">
        <v>0</v>
      </c>
      <c r="U777" s="24">
        <v>543888000000</v>
      </c>
      <c r="V777" s="109">
        <v>0.43076970830391026</v>
      </c>
      <c r="W777" s="109">
        <v>2.0993669284852761</v>
      </c>
      <c r="X777" s="109">
        <v>1.2179026932015413</v>
      </c>
      <c r="Y777" s="109">
        <v>0.68529697290618663</v>
      </c>
      <c r="Z777" s="109">
        <v>0.92996879658842702</v>
      </c>
      <c r="AA777" s="109">
        <v>4.9325353911814309</v>
      </c>
      <c r="AD777" s="111"/>
    </row>
    <row r="778" spans="1:30" ht="15" customHeight="1" x14ac:dyDescent="0.3">
      <c r="A778" s="22" t="s">
        <v>154</v>
      </c>
      <c r="B778" s="23">
        <v>97</v>
      </c>
      <c r="C778" s="3" t="s">
        <v>117</v>
      </c>
      <c r="D778" s="23">
        <v>2019</v>
      </c>
      <c r="E778" s="25">
        <v>3.6981545198623711</v>
      </c>
      <c r="F778" s="25">
        <v>0.90381607757272442</v>
      </c>
      <c r="G778" s="25">
        <v>0.52539499011184587</v>
      </c>
      <c r="H778" s="25">
        <v>1.1070191108037382</v>
      </c>
      <c r="I778" s="25">
        <v>5.7007276848605536E-2</v>
      </c>
      <c r="J778" s="25">
        <v>5.326243111692433E-2</v>
      </c>
      <c r="K778" s="25">
        <v>0.11222514535540395</v>
      </c>
      <c r="L778" s="25">
        <v>0.95</v>
      </c>
      <c r="M778" s="24">
        <v>2</v>
      </c>
      <c r="N778" s="108">
        <v>0</v>
      </c>
      <c r="O778" s="24">
        <v>4</v>
      </c>
      <c r="P778" s="24">
        <v>0</v>
      </c>
      <c r="Q778" s="24">
        <v>4</v>
      </c>
      <c r="R778" s="24">
        <v>3</v>
      </c>
      <c r="S778" s="24">
        <v>0</v>
      </c>
      <c r="T778" s="24">
        <v>0</v>
      </c>
      <c r="U778" s="24">
        <v>606281000000</v>
      </c>
      <c r="V778" s="109">
        <v>0.53611311483411883</v>
      </c>
      <c r="W778" s="109">
        <v>1.6800098964011736</v>
      </c>
      <c r="X778" s="109">
        <v>1.2661649631111644</v>
      </c>
      <c r="Y778" s="109">
        <v>0.48426970332238684</v>
      </c>
      <c r="Z778" s="109">
        <v>0.94849311069043796</v>
      </c>
      <c r="AA778" s="109">
        <v>4.3789376735251624</v>
      </c>
      <c r="AD778" s="111"/>
    </row>
    <row r="779" spans="1:30" ht="15" customHeight="1" x14ac:dyDescent="0.3">
      <c r="A779" s="22" t="s">
        <v>154</v>
      </c>
      <c r="B779" s="23">
        <v>97</v>
      </c>
      <c r="C779" s="3" t="s">
        <v>117</v>
      </c>
      <c r="D779" s="23">
        <v>2020</v>
      </c>
      <c r="E779" s="25">
        <v>5.4095631165693581</v>
      </c>
      <c r="F779" s="25">
        <v>0.90185222468290716</v>
      </c>
      <c r="G779" s="25">
        <v>0.46639123909422264</v>
      </c>
      <c r="H779" s="25">
        <v>0.87403490118748106</v>
      </c>
      <c r="I779" s="25">
        <v>5.5902134178239096E-2</v>
      </c>
      <c r="J779" s="25">
        <v>5.9042105783979018E-2</v>
      </c>
      <c r="K779" s="25">
        <v>0.11064714936546105</v>
      </c>
      <c r="L779" s="25">
        <v>0.95</v>
      </c>
      <c r="M779" s="24">
        <v>2</v>
      </c>
      <c r="N779" s="108">
        <v>0</v>
      </c>
      <c r="O779" s="24">
        <v>4</v>
      </c>
      <c r="P779" s="24">
        <v>0</v>
      </c>
      <c r="Q779" s="24">
        <v>4</v>
      </c>
      <c r="R779" s="24">
        <v>3</v>
      </c>
      <c r="S779" s="24">
        <v>0</v>
      </c>
      <c r="T779" s="24">
        <v>0</v>
      </c>
      <c r="U779" s="24">
        <v>606330000000</v>
      </c>
      <c r="V779" s="109">
        <v>0.13051898300656364</v>
      </c>
      <c r="W779" s="109">
        <v>2.3696516418451998</v>
      </c>
      <c r="X779" s="109">
        <v>1.4585452806227632</v>
      </c>
      <c r="Y779" s="109">
        <v>0.45103676215922023</v>
      </c>
      <c r="Z779" s="109">
        <v>1.2013250255492651</v>
      </c>
      <c r="AA779" s="109">
        <v>5.4805587101764477</v>
      </c>
      <c r="AD779" s="111"/>
    </row>
    <row r="780" spans="1:30" ht="15" customHeight="1" x14ac:dyDescent="0.3">
      <c r="A780" s="22" t="s">
        <v>154</v>
      </c>
      <c r="B780" s="23">
        <v>97</v>
      </c>
      <c r="C780" s="3" t="s">
        <v>117</v>
      </c>
      <c r="D780" s="23">
        <v>2021</v>
      </c>
      <c r="E780" s="25">
        <v>2.8078260182514914</v>
      </c>
      <c r="F780" s="25">
        <v>0.26561450638012091</v>
      </c>
      <c r="G780" s="25">
        <v>0.49346209458042767</v>
      </c>
      <c r="H780" s="25">
        <v>0.97418853683972861</v>
      </c>
      <c r="I780" s="25">
        <v>6.4609420936867099E-2</v>
      </c>
      <c r="J780" s="25">
        <v>6.058931007534521E-2</v>
      </c>
      <c r="K780" s="25">
        <v>0.11961488426100139</v>
      </c>
      <c r="L780" s="25">
        <v>0.95</v>
      </c>
      <c r="M780" s="24">
        <v>2</v>
      </c>
      <c r="N780" s="108">
        <v>0</v>
      </c>
      <c r="O780" s="24">
        <v>4</v>
      </c>
      <c r="P780" s="24">
        <v>0</v>
      </c>
      <c r="Q780" s="24">
        <v>4</v>
      </c>
      <c r="R780" s="24">
        <v>3</v>
      </c>
      <c r="S780" s="24">
        <v>0</v>
      </c>
      <c r="T780" s="24">
        <v>0</v>
      </c>
      <c r="U780" s="24">
        <v>734486000000</v>
      </c>
      <c r="V780" s="109">
        <v>7.5576175031660545E-2</v>
      </c>
      <c r="W780" s="109">
        <v>1.6348599701015403</v>
      </c>
      <c r="X780" s="109">
        <v>1.4193276386479796</v>
      </c>
      <c r="Y780" s="109">
        <v>0.53128811168626766</v>
      </c>
      <c r="Z780" s="109">
        <v>1.0778201141703063</v>
      </c>
      <c r="AA780" s="109">
        <v>4.6632958346060942</v>
      </c>
      <c r="AD780" s="111"/>
    </row>
    <row r="781" spans="1:30" ht="15" customHeight="1" x14ac:dyDescent="0.3">
      <c r="A781" s="22" t="s">
        <v>154</v>
      </c>
      <c r="B781" s="23">
        <v>97</v>
      </c>
      <c r="C781" s="3" t="s">
        <v>117</v>
      </c>
      <c r="D781" s="23">
        <v>2022</v>
      </c>
      <c r="E781" s="25">
        <v>4.7123399336020864</v>
      </c>
      <c r="F781" s="25">
        <v>0.1381017310884515</v>
      </c>
      <c r="G781" s="25">
        <v>0.45671849717484791</v>
      </c>
      <c r="H781" s="25">
        <v>0.8406663852898314</v>
      </c>
      <c r="I781" s="25">
        <v>5.2078516664791066E-3</v>
      </c>
      <c r="J781" s="25">
        <v>6.740561915392536E-3</v>
      </c>
      <c r="K781" s="25">
        <v>1.2407125735627881E-2</v>
      </c>
      <c r="L781" s="25">
        <v>0.95</v>
      </c>
      <c r="M781" s="24">
        <v>2</v>
      </c>
      <c r="N781" s="108">
        <v>0</v>
      </c>
      <c r="O781" s="24">
        <v>4</v>
      </c>
      <c r="P781" s="24">
        <v>0</v>
      </c>
      <c r="Q781" s="24">
        <v>4</v>
      </c>
      <c r="R781" s="24">
        <v>3</v>
      </c>
      <c r="S781" s="24">
        <v>0</v>
      </c>
      <c r="T781" s="24">
        <v>0</v>
      </c>
      <c r="U781" s="24">
        <v>693414000000</v>
      </c>
      <c r="V781" s="109">
        <v>0.3030060178430134</v>
      </c>
      <c r="W781" s="109">
        <v>2.3696409936920797</v>
      </c>
      <c r="X781" s="109">
        <v>1.5253755764954269</v>
      </c>
      <c r="Y781" s="109">
        <v>0.14498974638527631</v>
      </c>
      <c r="Z781" s="109">
        <v>1.2490091412873585</v>
      </c>
      <c r="AA781" s="109">
        <v>5.2890154578601418</v>
      </c>
      <c r="AD781" s="111"/>
    </row>
    <row r="782" spans="1:30" ht="15" customHeight="1" x14ac:dyDescent="0.3">
      <c r="A782" s="22" t="s">
        <v>154</v>
      </c>
      <c r="B782" s="23">
        <v>97</v>
      </c>
      <c r="C782" s="3" t="s">
        <v>117</v>
      </c>
      <c r="D782" s="23">
        <v>2023</v>
      </c>
      <c r="E782" s="25">
        <v>2.0597125351624217</v>
      </c>
      <c r="F782" s="25">
        <v>0.29246657161573736</v>
      </c>
      <c r="G782" s="25">
        <v>0.53138886021459442</v>
      </c>
      <c r="H782" s="25">
        <v>1.1339654888655382</v>
      </c>
      <c r="I782" s="25">
        <v>1.3374841570417953E-2</v>
      </c>
      <c r="J782" s="25">
        <v>1.687828295951941E-2</v>
      </c>
      <c r="K782" s="25">
        <v>3.6017673346921721E-2</v>
      </c>
      <c r="L782" s="25">
        <v>0.95</v>
      </c>
      <c r="M782" s="24">
        <v>2</v>
      </c>
      <c r="N782" s="108">
        <v>0</v>
      </c>
      <c r="O782" s="24">
        <v>4</v>
      </c>
      <c r="P782" s="24">
        <v>0</v>
      </c>
      <c r="Q782" s="24">
        <v>4</v>
      </c>
      <c r="R782" s="24">
        <v>2</v>
      </c>
      <c r="S782" s="24">
        <v>0</v>
      </c>
      <c r="T782" s="24">
        <v>0</v>
      </c>
      <c r="U782" s="24">
        <v>842799000000</v>
      </c>
      <c r="V782" s="109">
        <v>0.18504140988600443</v>
      </c>
      <c r="W782" s="109">
        <v>1.0702666709381476</v>
      </c>
      <c r="X782" s="109">
        <v>1.3255041118938204</v>
      </c>
      <c r="Y782" s="109">
        <v>0.14945399792833167</v>
      </c>
      <c r="Z782" s="109">
        <v>0.92595410557905033</v>
      </c>
      <c r="AA782" s="109">
        <v>3.47117888633935</v>
      </c>
      <c r="AD782" s="111"/>
    </row>
    <row r="783" spans="1:30" ht="15" customHeight="1" x14ac:dyDescent="0.3">
      <c r="A783" s="22" t="s">
        <v>154</v>
      </c>
      <c r="B783" s="23">
        <v>97</v>
      </c>
      <c r="C783" s="3" t="s">
        <v>117</v>
      </c>
      <c r="D783" s="23">
        <v>2024</v>
      </c>
      <c r="E783" s="25">
        <v>1.8904155177331938</v>
      </c>
      <c r="F783" s="25">
        <v>0.19735394395468561</v>
      </c>
      <c r="G783" s="25">
        <v>0.5959615530065594</v>
      </c>
      <c r="H783" s="25">
        <v>1.4750119881938728</v>
      </c>
      <c r="I783" s="25">
        <v>-3.6700521386274095E-3</v>
      </c>
      <c r="J783" s="25">
        <v>-5.1576245916535174E-3</v>
      </c>
      <c r="K783" s="25">
        <v>-1.2765182694945983E-2</v>
      </c>
      <c r="L783" s="25">
        <v>0.95</v>
      </c>
      <c r="M783" s="24">
        <v>2</v>
      </c>
      <c r="N783" s="108">
        <v>0</v>
      </c>
      <c r="O783" s="24">
        <v>4</v>
      </c>
      <c r="P783" s="24">
        <v>0</v>
      </c>
      <c r="Q783" s="24">
        <v>4</v>
      </c>
      <c r="R783" s="24">
        <v>2</v>
      </c>
      <c r="S783" s="24">
        <v>0</v>
      </c>
      <c r="T783" s="24">
        <v>0</v>
      </c>
      <c r="U783" s="24">
        <v>965173000000</v>
      </c>
      <c r="V783" s="109">
        <v>0.27531958584532762</v>
      </c>
      <c r="W783" s="109">
        <v>0.89106893790025199</v>
      </c>
      <c r="X783" s="109">
        <v>1.1406266026919527</v>
      </c>
      <c r="Y783" s="109">
        <v>-2.2426155725450255E-2</v>
      </c>
      <c r="Z783" s="109">
        <v>0.71185862108531561</v>
      </c>
      <c r="AA783" s="109">
        <v>2.7211280059520702</v>
      </c>
      <c r="AD783" s="111"/>
    </row>
    <row r="784" spans="1:30" ht="15" customHeight="1" x14ac:dyDescent="0.3">
      <c r="A784" s="22" t="s">
        <v>154</v>
      </c>
      <c r="B784" s="23">
        <v>98</v>
      </c>
      <c r="C784" s="3" t="s">
        <v>103</v>
      </c>
      <c r="D784" s="23">
        <v>2017</v>
      </c>
      <c r="E784" s="25">
        <v>2.0904591090806774</v>
      </c>
      <c r="F784" s="25">
        <v>0.31258343193497556</v>
      </c>
      <c r="G784" s="25">
        <v>0.6444338648815322</v>
      </c>
      <c r="H784" s="25">
        <v>1.8124163164943119</v>
      </c>
      <c r="I784" s="25">
        <v>9.1399194511769376E-3</v>
      </c>
      <c r="J784" s="25">
        <v>3.1451571140309834E-3</v>
      </c>
      <c r="K784" s="25">
        <v>8.8454911854388991E-3</v>
      </c>
      <c r="L784" s="25">
        <v>0</v>
      </c>
      <c r="M784" s="24">
        <v>0</v>
      </c>
      <c r="N784" s="108">
        <v>0</v>
      </c>
      <c r="O784" s="24">
        <v>0</v>
      </c>
      <c r="P784" s="24">
        <v>0</v>
      </c>
      <c r="Q784" s="24">
        <v>0</v>
      </c>
      <c r="R784" s="24">
        <v>0</v>
      </c>
      <c r="S784" s="24">
        <v>0</v>
      </c>
      <c r="T784" s="24">
        <v>0</v>
      </c>
      <c r="U784" s="24">
        <v>438728480000</v>
      </c>
      <c r="V784" s="109">
        <v>0</v>
      </c>
      <c r="W784" s="109">
        <v>1.167311284646942</v>
      </c>
      <c r="X784" s="109">
        <v>0.1910859413548899</v>
      </c>
      <c r="Y784" s="109">
        <v>2.1201165695921995E-2</v>
      </c>
      <c r="Z784" s="109">
        <v>0.5793370929428483</v>
      </c>
      <c r="AA784" s="109">
        <v>1.9589354846406022</v>
      </c>
      <c r="AD784" s="111"/>
    </row>
    <row r="785" spans="1:30" ht="15" customHeight="1" x14ac:dyDescent="0.3">
      <c r="A785" s="22" t="s">
        <v>154</v>
      </c>
      <c r="B785" s="23">
        <v>98</v>
      </c>
      <c r="C785" s="3" t="s">
        <v>103</v>
      </c>
      <c r="D785" s="23">
        <v>2018</v>
      </c>
      <c r="E785" s="25">
        <v>1.8558522198350447</v>
      </c>
      <c r="F785" s="25">
        <v>0.18232767039419617</v>
      </c>
      <c r="G785" s="25">
        <v>0.66135351764156103</v>
      </c>
      <c r="H785" s="25">
        <v>1.952931898290188</v>
      </c>
      <c r="I785" s="25">
        <v>1.2001874020000147E-2</v>
      </c>
      <c r="J785" s="25">
        <v>3.5509852803240695E-3</v>
      </c>
      <c r="K785" s="25">
        <v>1.048581770462787E-2</v>
      </c>
      <c r="L785" s="25">
        <v>0.35</v>
      </c>
      <c r="M785" s="24">
        <v>2</v>
      </c>
      <c r="N785" s="108">
        <v>0</v>
      </c>
      <c r="O785" s="24">
        <v>3</v>
      </c>
      <c r="P785" s="24">
        <v>0</v>
      </c>
      <c r="Q785" s="24">
        <v>3</v>
      </c>
      <c r="R785" s="24">
        <v>3</v>
      </c>
      <c r="S785" s="24">
        <v>0</v>
      </c>
      <c r="T785" s="24">
        <v>0</v>
      </c>
      <c r="U785" s="24">
        <v>465529950000</v>
      </c>
      <c r="V785" s="109">
        <v>-8.7670683377338243E-2</v>
      </c>
      <c r="W785" s="109">
        <v>1.0879935832270298</v>
      </c>
      <c r="X785" s="109">
        <v>0.1883307937545157</v>
      </c>
      <c r="Y785" s="109">
        <v>2.1675405416987672E-2</v>
      </c>
      <c r="Z785" s="109">
        <v>0.53765315673285163</v>
      </c>
      <c r="AA785" s="109">
        <v>1.8356529391313847</v>
      </c>
      <c r="AD785" s="111"/>
    </row>
    <row r="786" spans="1:30" ht="15" customHeight="1" x14ac:dyDescent="0.3">
      <c r="A786" s="22" t="s">
        <v>154</v>
      </c>
      <c r="B786" s="23">
        <v>98</v>
      </c>
      <c r="C786" s="3" t="s">
        <v>103</v>
      </c>
      <c r="D786" s="23">
        <v>2019</v>
      </c>
      <c r="E786" s="25">
        <v>3.1744800066107062</v>
      </c>
      <c r="F786" s="25">
        <v>0.13111353385217903</v>
      </c>
      <c r="G786" s="25">
        <v>0.69471728793753118</v>
      </c>
      <c r="H786" s="25">
        <v>2.2756522413079643</v>
      </c>
      <c r="I786" s="25">
        <v>2.5376827227866713E-2</v>
      </c>
      <c r="J786" s="25">
        <v>8.2995862527004676E-3</v>
      </c>
      <c r="K786" s="25">
        <v>2.7186558310587056E-2</v>
      </c>
      <c r="L786" s="25">
        <v>0.35</v>
      </c>
      <c r="M786" s="24">
        <v>2</v>
      </c>
      <c r="N786" s="108">
        <v>0</v>
      </c>
      <c r="O786" s="24">
        <v>3</v>
      </c>
      <c r="P786" s="24">
        <v>0</v>
      </c>
      <c r="Q786" s="24">
        <v>3</v>
      </c>
      <c r="R786" s="24">
        <v>3</v>
      </c>
      <c r="S786" s="24">
        <v>0</v>
      </c>
      <c r="T786" s="24">
        <v>0</v>
      </c>
      <c r="U786" s="24">
        <v>530838510000</v>
      </c>
      <c r="V786" s="109">
        <v>0.26047462250062603</v>
      </c>
      <c r="W786" s="109">
        <v>1.8145675286444456</v>
      </c>
      <c r="X786" s="109">
        <v>0.19104959246457082</v>
      </c>
      <c r="Y786" s="109">
        <v>3.9829188730109273E-2</v>
      </c>
      <c r="Z786" s="109">
        <v>0.46140617662938577</v>
      </c>
      <c r="AA786" s="109">
        <v>2.506852486468512</v>
      </c>
      <c r="AD786" s="111"/>
    </row>
    <row r="787" spans="1:30" ht="15" customHeight="1" x14ac:dyDescent="0.3">
      <c r="A787" s="22" t="s">
        <v>154</v>
      </c>
      <c r="B787" s="23">
        <v>98</v>
      </c>
      <c r="C787" s="3" t="s">
        <v>103</v>
      </c>
      <c r="D787" s="23">
        <v>2020</v>
      </c>
      <c r="E787" s="25">
        <v>2.0919446885236916</v>
      </c>
      <c r="F787" s="25">
        <v>9.2654345655649978E-2</v>
      </c>
      <c r="G787" s="25">
        <v>0.67367330641716783</v>
      </c>
      <c r="H787" s="25">
        <v>2.0644137291397153</v>
      </c>
      <c r="I787" s="25">
        <v>0.11191722842280417</v>
      </c>
      <c r="J787" s="25">
        <v>2.4523789587870316E-2</v>
      </c>
      <c r="K787" s="25">
        <v>7.5151037503603399E-2</v>
      </c>
      <c r="L787" s="25">
        <v>0.39960000000000001</v>
      </c>
      <c r="M787" s="24">
        <v>1</v>
      </c>
      <c r="N787" s="108">
        <v>0.39960000000000001</v>
      </c>
      <c r="O787" s="24">
        <v>2</v>
      </c>
      <c r="P787" s="24">
        <v>0</v>
      </c>
      <c r="Q787" s="24">
        <v>2</v>
      </c>
      <c r="R787" s="24">
        <v>3</v>
      </c>
      <c r="S787" s="24">
        <v>0</v>
      </c>
      <c r="T787" s="24">
        <v>0</v>
      </c>
      <c r="U787" s="24">
        <v>602525150000</v>
      </c>
      <c r="V787" s="109">
        <v>-0.23952617066307122</v>
      </c>
      <c r="W787" s="109">
        <v>1.1837346527360728</v>
      </c>
      <c r="X787" s="109">
        <v>0.24717992601636629</v>
      </c>
      <c r="Y787" s="109">
        <v>0.20049590826208663</v>
      </c>
      <c r="Z787" s="109">
        <v>0.50861897747480933</v>
      </c>
      <c r="AA787" s="109">
        <v>2.1400294644893352</v>
      </c>
      <c r="AD787" s="111"/>
    </row>
    <row r="788" spans="1:30" ht="15" customHeight="1" x14ac:dyDescent="0.3">
      <c r="A788" s="22" t="s">
        <v>154</v>
      </c>
      <c r="B788" s="23">
        <v>98</v>
      </c>
      <c r="C788" s="3" t="s">
        <v>103</v>
      </c>
      <c r="D788" s="23">
        <v>2021</v>
      </c>
      <c r="E788" s="25">
        <v>1.6480698677727297</v>
      </c>
      <c r="F788" s="25">
        <v>0.13856527677338254</v>
      </c>
      <c r="G788" s="25">
        <v>0.65914647852651498</v>
      </c>
      <c r="H788" s="25">
        <v>1.9338115554067705</v>
      </c>
      <c r="I788" s="25">
        <v>8.1043632244970701E-2</v>
      </c>
      <c r="J788" s="25">
        <v>1.9794793546836168E-2</v>
      </c>
      <c r="K788" s="25">
        <v>5.807419404459932E-2</v>
      </c>
      <c r="L788" s="25">
        <v>0.39960000000000001</v>
      </c>
      <c r="M788" s="24">
        <v>1</v>
      </c>
      <c r="N788" s="108">
        <v>0.39960000000000001</v>
      </c>
      <c r="O788" s="24">
        <v>2</v>
      </c>
      <c r="P788" s="24">
        <v>0</v>
      </c>
      <c r="Q788" s="24">
        <v>2</v>
      </c>
      <c r="R788" s="24">
        <v>3</v>
      </c>
      <c r="S788" s="24">
        <v>0</v>
      </c>
      <c r="T788" s="24">
        <v>0</v>
      </c>
      <c r="U788" s="24">
        <v>612411540000</v>
      </c>
      <c r="V788" s="109">
        <v>0.13294709687563835</v>
      </c>
      <c r="W788" s="109">
        <v>0.73176406571306574</v>
      </c>
      <c r="X788" s="109">
        <v>6.6719774418359259E-2</v>
      </c>
      <c r="Y788" s="109">
        <v>0.17488514341189584</v>
      </c>
      <c r="Z788" s="109">
        <v>0.54296914146794217</v>
      </c>
      <c r="AA788" s="109">
        <v>1.5163381250112631</v>
      </c>
      <c r="AD788" s="111"/>
    </row>
    <row r="789" spans="1:30" ht="15" customHeight="1" x14ac:dyDescent="0.3">
      <c r="A789" s="22" t="s">
        <v>154</v>
      </c>
      <c r="B789" s="23">
        <v>98</v>
      </c>
      <c r="C789" s="3" t="s">
        <v>103</v>
      </c>
      <c r="D789" s="23">
        <v>2022</v>
      </c>
      <c r="E789" s="25">
        <v>2.1521748407105696</v>
      </c>
      <c r="F789" s="25">
        <v>0.28002606229610633</v>
      </c>
      <c r="G789" s="25">
        <v>0.70439411847255085</v>
      </c>
      <c r="H789" s="25">
        <v>2.382882623420139</v>
      </c>
      <c r="I789" s="25">
        <v>7.3905265834821141E-2</v>
      </c>
      <c r="J789" s="25">
        <v>2.3677655022170164E-2</v>
      </c>
      <c r="K789" s="25">
        <v>8.0098727737836037E-2</v>
      </c>
      <c r="L789" s="25">
        <v>0.39960000000000001</v>
      </c>
      <c r="M789" s="24">
        <v>1</v>
      </c>
      <c r="N789" s="108">
        <v>0.39960000000000001</v>
      </c>
      <c r="O789" s="24">
        <v>2</v>
      </c>
      <c r="P789" s="24">
        <v>0</v>
      </c>
      <c r="Q789" s="24">
        <v>2</v>
      </c>
      <c r="R789" s="24">
        <v>3</v>
      </c>
      <c r="S789" s="24">
        <v>0</v>
      </c>
      <c r="T789" s="24">
        <v>0</v>
      </c>
      <c r="U789" s="24">
        <v>767599240000</v>
      </c>
      <c r="V789" s="109">
        <v>0.64407791755966315</v>
      </c>
      <c r="W789" s="109">
        <v>1.0475953488437535</v>
      </c>
      <c r="X789" s="109">
        <v>0.12893202343452032</v>
      </c>
      <c r="Y789" s="109">
        <v>0.17696860877558973</v>
      </c>
      <c r="Z789" s="109">
        <v>0.44064277009706021</v>
      </c>
      <c r="AA789" s="109">
        <v>1.7941387511509239</v>
      </c>
      <c r="AD789" s="111"/>
    </row>
    <row r="790" spans="1:30" ht="15" customHeight="1" x14ac:dyDescent="0.3">
      <c r="A790" s="22" t="s">
        <v>154</v>
      </c>
      <c r="B790" s="23">
        <v>98</v>
      </c>
      <c r="C790" s="3" t="s">
        <v>103</v>
      </c>
      <c r="D790" s="23">
        <v>2023</v>
      </c>
      <c r="E790" s="25">
        <v>3.1763533302211071</v>
      </c>
      <c r="F790" s="25">
        <v>0.42663113449184731</v>
      </c>
      <c r="G790" s="25">
        <v>0.71884038256091443</v>
      </c>
      <c r="H790" s="25">
        <v>2.5566985369677218</v>
      </c>
      <c r="I790" s="25">
        <v>7.6093033916027855E-2</v>
      </c>
      <c r="J790" s="25">
        <v>3.3113872494387277E-2</v>
      </c>
      <c r="K790" s="25">
        <v>0.1177760618541229</v>
      </c>
      <c r="L790" s="25">
        <v>0.39960000000000001</v>
      </c>
      <c r="M790" s="24">
        <v>2</v>
      </c>
      <c r="N790" s="108">
        <v>0.39960000000000001</v>
      </c>
      <c r="O790" s="24">
        <v>3</v>
      </c>
      <c r="P790" s="24">
        <v>0</v>
      </c>
      <c r="Q790" s="24">
        <v>3</v>
      </c>
      <c r="R790" s="24">
        <v>3</v>
      </c>
      <c r="S790" s="24">
        <v>0</v>
      </c>
      <c r="T790" s="24">
        <v>0</v>
      </c>
      <c r="U790" s="24">
        <v>914778240000</v>
      </c>
      <c r="V790" s="109">
        <v>0.61876220558480555</v>
      </c>
      <c r="W790" s="109">
        <v>1.6789267956351908</v>
      </c>
      <c r="X790" s="109">
        <v>0.21675759537087369</v>
      </c>
      <c r="Y790" s="109">
        <v>0.30036168765885818</v>
      </c>
      <c r="Z790" s="109">
        <v>0.41068588447870502</v>
      </c>
      <c r="AA790" s="109">
        <v>2.6067319631436274</v>
      </c>
      <c r="AD790" s="111"/>
    </row>
    <row r="791" spans="1:30" ht="15" customHeight="1" x14ac:dyDescent="0.3">
      <c r="A791" s="22" t="s">
        <v>154</v>
      </c>
      <c r="B791" s="23">
        <v>98</v>
      </c>
      <c r="C791" s="3" t="s">
        <v>103</v>
      </c>
      <c r="D791" s="23">
        <v>2024</v>
      </c>
      <c r="E791" s="25">
        <v>3.5974063390137085</v>
      </c>
      <c r="F791" s="25">
        <v>0.76084465443814275</v>
      </c>
      <c r="G791" s="25">
        <v>0.67081497312099292</v>
      </c>
      <c r="H791" s="25">
        <v>2.0378052412680141</v>
      </c>
      <c r="I791" s="25">
        <v>9.0508377224350955E-2</v>
      </c>
      <c r="J791" s="25">
        <v>4.2140172166177756E-2</v>
      </c>
      <c r="K791" s="25">
        <v>0.12801363587435127</v>
      </c>
      <c r="L791" s="25">
        <v>0.41689999999999999</v>
      </c>
      <c r="M791" s="24">
        <v>2</v>
      </c>
      <c r="N791" s="108">
        <v>0.41689999999999999</v>
      </c>
      <c r="O791" s="24">
        <v>3</v>
      </c>
      <c r="P791" s="24">
        <v>0</v>
      </c>
      <c r="Q791" s="24">
        <v>3</v>
      </c>
      <c r="R791" s="24">
        <v>3</v>
      </c>
      <c r="S791" s="24">
        <v>0</v>
      </c>
      <c r="T791" s="24">
        <v>0</v>
      </c>
      <c r="U791" s="24">
        <v>896022680000</v>
      </c>
      <c r="V791" s="109">
        <v>4.7962235442136326E-2</v>
      </c>
      <c r="W791" s="109">
        <v>1.5748739538601857</v>
      </c>
      <c r="X791" s="109">
        <v>0.36002681494624666</v>
      </c>
      <c r="Y791" s="109">
        <v>0.36557134647529232</v>
      </c>
      <c r="Z791" s="109">
        <v>0.51526023131957532</v>
      </c>
      <c r="AA791" s="109">
        <v>2.8157323466013002</v>
      </c>
      <c r="AD791" s="111"/>
    </row>
    <row r="792" spans="1:30" ht="15" customHeight="1" x14ac:dyDescent="0.3">
      <c r="A792" s="22" t="s">
        <v>154</v>
      </c>
      <c r="B792" s="23">
        <v>99</v>
      </c>
      <c r="C792" s="3" t="s">
        <v>118</v>
      </c>
      <c r="D792" s="23">
        <v>2021</v>
      </c>
      <c r="E792" s="25">
        <v>3.5999514583678454</v>
      </c>
      <c r="F792" s="25">
        <v>0.17365576277781417</v>
      </c>
      <c r="G792" s="25">
        <v>0.75501005763297868</v>
      </c>
      <c r="H792" s="25">
        <v>3.0818002173407271</v>
      </c>
      <c r="I792" s="25">
        <v>0.3606710264429912</v>
      </c>
      <c r="J792" s="25">
        <v>2.2880032784708935E-2</v>
      </c>
      <c r="K792" s="25">
        <v>9.3391722793387894E-2</v>
      </c>
      <c r="L792" s="25">
        <v>0</v>
      </c>
      <c r="M792" s="24">
        <v>0</v>
      </c>
      <c r="N792" s="108">
        <v>0</v>
      </c>
      <c r="O792" s="24">
        <v>0</v>
      </c>
      <c r="P792" s="24">
        <v>0</v>
      </c>
      <c r="Q792" s="24">
        <v>0</v>
      </c>
      <c r="R792" s="24">
        <v>0</v>
      </c>
      <c r="S792" s="24">
        <v>0</v>
      </c>
      <c r="T792" s="24">
        <v>0</v>
      </c>
      <c r="U792" s="24">
        <v>1386012000000</v>
      </c>
      <c r="V792" s="109">
        <v>0</v>
      </c>
      <c r="W792" s="109">
        <v>3.1941717099130451</v>
      </c>
      <c r="X792" s="109">
        <v>0.74870685102293477</v>
      </c>
      <c r="Y792" s="109">
        <v>0.17860209002519459</v>
      </c>
      <c r="Z792" s="109">
        <v>0.34070995066190268</v>
      </c>
      <c r="AA792" s="109">
        <v>4.4621906016230772</v>
      </c>
      <c r="AD792" s="111"/>
    </row>
    <row r="793" spans="1:30" ht="15" customHeight="1" x14ac:dyDescent="0.3">
      <c r="A793" s="22" t="s">
        <v>154</v>
      </c>
      <c r="B793" s="23">
        <v>99</v>
      </c>
      <c r="C793" s="3" t="s">
        <v>118</v>
      </c>
      <c r="D793" s="23">
        <v>2022</v>
      </c>
      <c r="E793" s="25">
        <v>2.7764305838344621</v>
      </c>
      <c r="F793" s="25">
        <v>0.2799730100857048</v>
      </c>
      <c r="G793" s="25">
        <v>0.77871845280362673</v>
      </c>
      <c r="H793" s="25">
        <v>2.6061300256585214</v>
      </c>
      <c r="I793" s="25">
        <v>0.54259493737115827</v>
      </c>
      <c r="J793" s="25">
        <v>4.0196221313330831E-2</v>
      </c>
      <c r="K793" s="25">
        <v>0.13452433149045134</v>
      </c>
      <c r="L793" s="25">
        <v>0.7</v>
      </c>
      <c r="M793" s="24">
        <v>2</v>
      </c>
      <c r="N793" s="108">
        <v>0</v>
      </c>
      <c r="O793" s="24">
        <v>4</v>
      </c>
      <c r="P793" s="24">
        <v>0</v>
      </c>
      <c r="Q793" s="24">
        <v>4</v>
      </c>
      <c r="R793" s="24">
        <v>4</v>
      </c>
      <c r="S793" s="24">
        <v>0</v>
      </c>
      <c r="T793" s="24">
        <v>0</v>
      </c>
      <c r="U793" s="24">
        <v>1289972000000</v>
      </c>
      <c r="V793" s="109">
        <v>8.6869491043502986E-2</v>
      </c>
      <c r="W793" s="109">
        <v>3.0525664743110701</v>
      </c>
      <c r="X793" s="109">
        <v>0.93386875063954877</v>
      </c>
      <c r="Y793" s="109">
        <v>0.37223356786038764</v>
      </c>
      <c r="Z793" s="109">
        <v>0.40289624449366618</v>
      </c>
      <c r="AA793" s="109">
        <v>4.7615650373046723</v>
      </c>
      <c r="AD793" s="111"/>
    </row>
    <row r="794" spans="1:30" ht="15" customHeight="1" x14ac:dyDescent="0.3">
      <c r="A794" s="22" t="s">
        <v>154</v>
      </c>
      <c r="B794" s="23">
        <v>99</v>
      </c>
      <c r="C794" s="3" t="s">
        <v>118</v>
      </c>
      <c r="D794" s="23">
        <v>2023</v>
      </c>
      <c r="E794" s="25">
        <v>2.6937832356557703</v>
      </c>
      <c r="F794" s="25">
        <v>6.1289343830344453E-3</v>
      </c>
      <c r="G794" s="25">
        <v>0.70046084675347242</v>
      </c>
      <c r="H794" s="25">
        <v>2.3384617308341564</v>
      </c>
      <c r="I794" s="25">
        <v>0.2731491291265839</v>
      </c>
      <c r="J794" s="25">
        <v>1.9313314366103493E-2</v>
      </c>
      <c r="K794" s="25">
        <v>6.4476760906806041E-2</v>
      </c>
      <c r="L794" s="25">
        <v>0.7</v>
      </c>
      <c r="M794" s="24">
        <v>2</v>
      </c>
      <c r="N794" s="108">
        <v>0</v>
      </c>
      <c r="O794" s="24">
        <v>4</v>
      </c>
      <c r="P794" s="24">
        <v>0</v>
      </c>
      <c r="Q794" s="24">
        <v>4</v>
      </c>
      <c r="R794" s="24">
        <v>4</v>
      </c>
      <c r="S794" s="24">
        <v>0</v>
      </c>
      <c r="T794" s="24">
        <v>0</v>
      </c>
      <c r="U794" s="24">
        <v>1334934000000</v>
      </c>
      <c r="V794" s="109">
        <v>-1.2295553718489373E-2</v>
      </c>
      <c r="W794" s="109">
        <v>2.6061048111741854</v>
      </c>
      <c r="X794" s="109">
        <v>0.87667321380682495</v>
      </c>
      <c r="Y794" s="109">
        <v>0.16100607221031152</v>
      </c>
      <c r="Z794" s="109">
        <v>0.4490131209568492</v>
      </c>
      <c r="AA794" s="109">
        <v>4.0927972181481707</v>
      </c>
      <c r="AD794" s="111"/>
    </row>
    <row r="795" spans="1:30" ht="15" customHeight="1" x14ac:dyDescent="0.3">
      <c r="A795" s="22" t="s">
        <v>154</v>
      </c>
      <c r="B795" s="23">
        <v>99</v>
      </c>
      <c r="C795" s="3" t="s">
        <v>118</v>
      </c>
      <c r="D795" s="23">
        <v>2024</v>
      </c>
      <c r="E795" s="25">
        <v>2.2717078441259093</v>
      </c>
      <c r="F795" s="25">
        <v>5.9641287906072177E-3</v>
      </c>
      <c r="G795" s="25">
        <v>0.6834011206731021</v>
      </c>
      <c r="H795" s="25">
        <v>2.1585708772123282</v>
      </c>
      <c r="I795" s="25">
        <v>0.37102247732366928</v>
      </c>
      <c r="J795" s="25">
        <v>2.5764280435933689E-2</v>
      </c>
      <c r="K795" s="25">
        <v>8.1378305857271502E-2</v>
      </c>
      <c r="L795" s="25">
        <v>0.7</v>
      </c>
      <c r="M795" s="24">
        <v>2</v>
      </c>
      <c r="N795" s="108">
        <v>0</v>
      </c>
      <c r="O795" s="24">
        <v>4</v>
      </c>
      <c r="P795" s="24">
        <v>0</v>
      </c>
      <c r="Q795" s="24">
        <v>4</v>
      </c>
      <c r="R795" s="24">
        <v>4</v>
      </c>
      <c r="S795" s="24">
        <v>0</v>
      </c>
      <c r="T795" s="24">
        <v>0</v>
      </c>
      <c r="U795" s="24">
        <v>1374888000000</v>
      </c>
      <c r="V795" s="109">
        <v>1.1505699877103022E-2</v>
      </c>
      <c r="W795" s="109">
        <v>2.1059458515893659</v>
      </c>
      <c r="X795" s="109">
        <v>0.90670949197316442</v>
      </c>
      <c r="Y795" s="109">
        <v>0.21364498053659645</v>
      </c>
      <c r="Z795" s="109">
        <v>0.4864329501915709</v>
      </c>
      <c r="AA795" s="109">
        <v>3.7127332742906973</v>
      </c>
      <c r="AD795" s="111"/>
    </row>
    <row r="796" spans="1:30" ht="15" customHeight="1" x14ac:dyDescent="0.3">
      <c r="A796" s="22" t="s">
        <v>154</v>
      </c>
      <c r="B796" s="23">
        <v>100</v>
      </c>
      <c r="C796" s="2" t="s">
        <v>104</v>
      </c>
      <c r="D796" s="23">
        <v>2015</v>
      </c>
      <c r="E796" s="25">
        <v>1.0974936767072889</v>
      </c>
      <c r="F796" s="25">
        <v>0.35962290181650952</v>
      </c>
      <c r="G796" s="25">
        <v>7.6363934023656529E-2</v>
      </c>
      <c r="H796" s="25">
        <v>0</v>
      </c>
      <c r="I796" s="25">
        <v>0.7577524516300026</v>
      </c>
      <c r="J796" s="25">
        <v>4.6805549871076005E-2</v>
      </c>
      <c r="K796" s="25">
        <v>0</v>
      </c>
      <c r="L796" s="25">
        <v>0.99</v>
      </c>
      <c r="M796" s="24">
        <v>2</v>
      </c>
      <c r="N796" s="108">
        <v>0</v>
      </c>
      <c r="O796" s="24">
        <v>4</v>
      </c>
      <c r="P796" s="24">
        <v>0</v>
      </c>
      <c r="Q796" s="24">
        <v>4</v>
      </c>
      <c r="R796" s="24">
        <v>3</v>
      </c>
      <c r="S796" s="24">
        <v>0</v>
      </c>
      <c r="T796" s="24">
        <v>0</v>
      </c>
      <c r="U796" s="24">
        <v>122165000000</v>
      </c>
      <c r="V796" s="109">
        <v>227.66666666666666</v>
      </c>
      <c r="W796" s="109">
        <v>2.2767895878524944E-2</v>
      </c>
      <c r="X796" s="109">
        <v>0.34253149429050872</v>
      </c>
      <c r="Y796" s="109">
        <v>0.1980822657880735</v>
      </c>
      <c r="Z796" s="109">
        <v>12.699946403687427</v>
      </c>
      <c r="AA796" s="109">
        <v>13.263328059644534</v>
      </c>
      <c r="AD796" s="111"/>
    </row>
    <row r="797" spans="1:30" ht="15" customHeight="1" x14ac:dyDescent="0.3">
      <c r="A797" s="22" t="s">
        <v>154</v>
      </c>
      <c r="B797" s="23">
        <v>100</v>
      </c>
      <c r="C797" s="3" t="s">
        <v>104</v>
      </c>
      <c r="D797" s="23">
        <v>2016</v>
      </c>
      <c r="E797" s="25">
        <v>1.1064547206165702</v>
      </c>
      <c r="F797" s="25">
        <v>0.47013487475915222</v>
      </c>
      <c r="G797" s="25">
        <v>0.12279058339347963</v>
      </c>
      <c r="H797" s="25">
        <v>0</v>
      </c>
      <c r="I797" s="25">
        <v>0.12337151350878726</v>
      </c>
      <c r="J797" s="25">
        <v>1.0834011578801886E-2</v>
      </c>
      <c r="K797" s="25">
        <v>0</v>
      </c>
      <c r="L797" s="25">
        <v>0.99</v>
      </c>
      <c r="M797" s="24">
        <v>2</v>
      </c>
      <c r="N797" s="108">
        <v>0</v>
      </c>
      <c r="O797" s="24">
        <v>4</v>
      </c>
      <c r="P797" s="24">
        <v>0</v>
      </c>
      <c r="Q797" s="24">
        <v>4</v>
      </c>
      <c r="R797" s="24">
        <v>3</v>
      </c>
      <c r="S797" s="24">
        <v>0</v>
      </c>
      <c r="T797" s="24">
        <v>0</v>
      </c>
      <c r="U797" s="24">
        <v>130238000000</v>
      </c>
      <c r="V797" s="109">
        <v>0.51563742380068911</v>
      </c>
      <c r="W797" s="109">
        <v>3.3394861714706917E-2</v>
      </c>
      <c r="X797" s="109">
        <v>0.356593006649365</v>
      </c>
      <c r="Y797" s="109">
        <v>0.13915938512569295</v>
      </c>
      <c r="Z797" s="109">
        <v>7.501144322161081</v>
      </c>
      <c r="AA797" s="109">
        <v>8.0302915756508462</v>
      </c>
      <c r="AD797" s="111"/>
    </row>
    <row r="798" spans="1:30" ht="15" customHeight="1" x14ac:dyDescent="0.3">
      <c r="A798" s="22" t="s">
        <v>154</v>
      </c>
      <c r="B798" s="23">
        <v>100</v>
      </c>
      <c r="C798" s="3" t="s">
        <v>104</v>
      </c>
      <c r="D798" s="23">
        <v>2017</v>
      </c>
      <c r="E798" s="25">
        <v>0.87574626865671645</v>
      </c>
      <c r="F798" s="25">
        <v>0.12723880597014925</v>
      </c>
      <c r="G798" s="25">
        <v>0.10409330365946418</v>
      </c>
      <c r="H798" s="25">
        <v>0.11618766115338658</v>
      </c>
      <c r="I798" s="25">
        <v>0.65637065637065639</v>
      </c>
      <c r="J798" s="25">
        <v>5.0764853367890245E-2</v>
      </c>
      <c r="K798" s="25">
        <v>5.6663102949500034E-2</v>
      </c>
      <c r="L798" s="25">
        <v>0.85</v>
      </c>
      <c r="M798" s="24">
        <v>2</v>
      </c>
      <c r="N798" s="108">
        <v>0</v>
      </c>
      <c r="O798" s="24">
        <v>3</v>
      </c>
      <c r="P798" s="24">
        <v>0</v>
      </c>
      <c r="Q798" s="24">
        <v>3</v>
      </c>
      <c r="R798" s="24">
        <v>3</v>
      </c>
      <c r="S798" s="24">
        <v>0</v>
      </c>
      <c r="T798" s="24">
        <v>0</v>
      </c>
      <c r="U798" s="24">
        <v>177485000000</v>
      </c>
      <c r="V798" s="109">
        <v>0.20022733234239748</v>
      </c>
      <c r="W798" s="109">
        <v>-3.6923909062737695E-2</v>
      </c>
      <c r="X798" s="109">
        <v>0.16549342197932218</v>
      </c>
      <c r="Y798" s="109">
        <v>0.22740130151843818</v>
      </c>
      <c r="Z798" s="109">
        <v>9.0371041948579158</v>
      </c>
      <c r="AA798" s="109">
        <v>9.3930750092929394</v>
      </c>
      <c r="AD798" s="111"/>
    </row>
    <row r="799" spans="1:30" ht="15" customHeight="1" x14ac:dyDescent="0.3">
      <c r="A799" s="22" t="s">
        <v>154</v>
      </c>
      <c r="B799" s="23">
        <v>100</v>
      </c>
      <c r="C799" s="3" t="s">
        <v>104</v>
      </c>
      <c r="D799" s="23">
        <v>2018</v>
      </c>
      <c r="E799" s="25">
        <v>1.3975096845600443</v>
      </c>
      <c r="F799" s="25">
        <v>8.6828998339789701E-2</v>
      </c>
      <c r="G799" s="25">
        <v>0.13735669964245056</v>
      </c>
      <c r="H799" s="25">
        <v>0.1592276895740323</v>
      </c>
      <c r="I799" s="25">
        <v>0.3434527284590817</v>
      </c>
      <c r="J799" s="25">
        <v>3.207041959948051E-2</v>
      </c>
      <c r="K799" s="25">
        <v>3.7176918415975556E-2</v>
      </c>
      <c r="L799" s="25">
        <v>0.69</v>
      </c>
      <c r="M799" s="24">
        <v>2</v>
      </c>
      <c r="N799" s="108">
        <v>0</v>
      </c>
      <c r="O799" s="24">
        <v>3</v>
      </c>
      <c r="P799" s="24">
        <v>0</v>
      </c>
      <c r="Q799" s="24">
        <v>3</v>
      </c>
      <c r="R799" s="24">
        <v>3</v>
      </c>
      <c r="S799" s="24">
        <v>0</v>
      </c>
      <c r="T799" s="24">
        <v>0</v>
      </c>
      <c r="U799" s="24">
        <v>311845000000</v>
      </c>
      <c r="V799" s="109">
        <v>1.1212938005390836</v>
      </c>
      <c r="W799" s="109">
        <v>0.15110224630826211</v>
      </c>
      <c r="X799" s="109">
        <v>0.19873930959290673</v>
      </c>
      <c r="Y799" s="109">
        <v>0.13716044829963603</v>
      </c>
      <c r="Z799" s="109">
        <v>6.5943304384367565</v>
      </c>
      <c r="AA799" s="109">
        <v>7.081332442637561</v>
      </c>
      <c r="AD799" s="111"/>
    </row>
    <row r="800" spans="1:30" ht="15" customHeight="1" x14ac:dyDescent="0.3">
      <c r="A800" s="22" t="s">
        <v>154</v>
      </c>
      <c r="B800" s="23">
        <v>100</v>
      </c>
      <c r="C800" s="3" t="s">
        <v>104</v>
      </c>
      <c r="D800" s="23">
        <v>2019</v>
      </c>
      <c r="E800" s="25">
        <v>2.6567740020774595</v>
      </c>
      <c r="F800" s="25">
        <v>0.25394470000494634</v>
      </c>
      <c r="G800" s="25">
        <v>0.62785116609489722</v>
      </c>
      <c r="H800" s="25">
        <v>1.687096959317621</v>
      </c>
      <c r="I800" s="25">
        <v>0.14922868299063263</v>
      </c>
      <c r="J800" s="25">
        <v>6.9765612003111391E-2</v>
      </c>
      <c r="K800" s="25">
        <v>0.18746696387849351</v>
      </c>
      <c r="L800" s="25">
        <v>0.68600000000000005</v>
      </c>
      <c r="M800" s="24">
        <v>2</v>
      </c>
      <c r="N800" s="108">
        <v>0</v>
      </c>
      <c r="O800" s="24">
        <v>3</v>
      </c>
      <c r="P800" s="24">
        <v>0</v>
      </c>
      <c r="Q800" s="24">
        <v>3</v>
      </c>
      <c r="R800" s="24">
        <v>4</v>
      </c>
      <c r="S800" s="24">
        <v>0</v>
      </c>
      <c r="T800" s="24">
        <v>0</v>
      </c>
      <c r="U800" s="24">
        <v>889636000000</v>
      </c>
      <c r="V800" s="109">
        <v>13.283182801607198</v>
      </c>
      <c r="W800" s="109">
        <v>1.7288985607596814</v>
      </c>
      <c r="X800" s="109">
        <v>0.2970232319735262</v>
      </c>
      <c r="Y800" s="109">
        <v>0.46791092087100794</v>
      </c>
      <c r="Z800" s="109">
        <v>0.62237086861012003</v>
      </c>
      <c r="AA800" s="109">
        <v>3.116203582214335</v>
      </c>
      <c r="AD800" s="111"/>
    </row>
    <row r="801" spans="1:30" ht="15" customHeight="1" x14ac:dyDescent="0.3">
      <c r="A801" s="22" t="s">
        <v>154</v>
      </c>
      <c r="B801" s="23">
        <v>100</v>
      </c>
      <c r="C801" s="3" t="s">
        <v>104</v>
      </c>
      <c r="D801" s="23">
        <v>2020</v>
      </c>
      <c r="E801" s="25">
        <v>0.71376626204343807</v>
      </c>
      <c r="F801" s="25">
        <v>7.6305045996407375E-2</v>
      </c>
      <c r="G801" s="25">
        <v>0.59501360270202974</v>
      </c>
      <c r="H801" s="25">
        <v>1.4692187359178051</v>
      </c>
      <c r="I801" s="25">
        <v>2.0474940115226197E-2</v>
      </c>
      <c r="J801" s="25">
        <v>1.2512921589254452E-2</v>
      </c>
      <c r="K801" s="25">
        <v>3.0897140429257491E-2</v>
      </c>
      <c r="L801" s="25">
        <v>0.68600000000000005</v>
      </c>
      <c r="M801" s="24">
        <v>2</v>
      </c>
      <c r="N801" s="108">
        <v>0</v>
      </c>
      <c r="O801" s="24">
        <v>3</v>
      </c>
      <c r="P801" s="24">
        <v>0</v>
      </c>
      <c r="Q801" s="24">
        <v>3</v>
      </c>
      <c r="R801" s="24">
        <v>4</v>
      </c>
      <c r="S801" s="24">
        <v>0</v>
      </c>
      <c r="T801" s="24">
        <v>0</v>
      </c>
      <c r="U801" s="24">
        <v>767127000000</v>
      </c>
      <c r="V801" s="109">
        <v>0.12720238896689684</v>
      </c>
      <c r="W801" s="109">
        <v>-0.22483307196852673</v>
      </c>
      <c r="X801" s="109">
        <v>0.25855976911254586</v>
      </c>
      <c r="Y801" s="109">
        <v>0.18640313794195745</v>
      </c>
      <c r="Z801" s="109">
        <v>0.71466553912687236</v>
      </c>
      <c r="AA801" s="109">
        <v>0.93479537421284897</v>
      </c>
      <c r="AD801" s="111"/>
    </row>
    <row r="802" spans="1:30" ht="15" customHeight="1" x14ac:dyDescent="0.3">
      <c r="A802" s="22" t="s">
        <v>154</v>
      </c>
      <c r="B802" s="23">
        <v>100</v>
      </c>
      <c r="C802" s="3" t="s">
        <v>104</v>
      </c>
      <c r="D802" s="23">
        <v>2021</v>
      </c>
      <c r="E802" s="25">
        <v>0.73672800338409472</v>
      </c>
      <c r="F802" s="25">
        <v>9.2666032148900165E-2</v>
      </c>
      <c r="G802" s="25">
        <v>0.55046456098677454</v>
      </c>
      <c r="H802" s="25">
        <v>1.2245220914039752</v>
      </c>
      <c r="I802" s="25">
        <v>0.18711992043194089</v>
      </c>
      <c r="J802" s="25">
        <v>6.5172153558747475E-2</v>
      </c>
      <c r="K802" s="25">
        <v>0.14497707469850338</v>
      </c>
      <c r="L802" s="25">
        <v>0.68600000000000005</v>
      </c>
      <c r="M802" s="24">
        <v>2</v>
      </c>
      <c r="N802" s="108">
        <v>0</v>
      </c>
      <c r="O802" s="24">
        <v>3</v>
      </c>
      <c r="P802" s="24">
        <v>0</v>
      </c>
      <c r="Q802" s="24">
        <v>3</v>
      </c>
      <c r="R802" s="24">
        <v>4</v>
      </c>
      <c r="S802" s="24">
        <v>0</v>
      </c>
      <c r="T802" s="24">
        <v>0</v>
      </c>
      <c r="U802" s="24">
        <v>808290000000</v>
      </c>
      <c r="V802" s="109">
        <v>-0.39950983006162322</v>
      </c>
      <c r="W802" s="109">
        <v>-0.24245436662583975</v>
      </c>
      <c r="X802" s="109">
        <v>0.45633304878199654</v>
      </c>
      <c r="Y802" s="109">
        <v>0.6020555988568459</v>
      </c>
      <c r="Z802" s="109">
        <v>0.85747738433703802</v>
      </c>
      <c r="AA802" s="109">
        <v>1.6734116653500406</v>
      </c>
      <c r="AD802" s="111"/>
    </row>
    <row r="803" spans="1:30" ht="15" customHeight="1" x14ac:dyDescent="0.3">
      <c r="A803" s="22" t="s">
        <v>154</v>
      </c>
      <c r="B803" s="23">
        <v>100</v>
      </c>
      <c r="C803" s="3" t="s">
        <v>104</v>
      </c>
      <c r="D803" s="23">
        <v>2022</v>
      </c>
      <c r="E803" s="25">
        <v>1.3976431391905233</v>
      </c>
      <c r="F803" s="25">
        <v>3.9455824284304046E-2</v>
      </c>
      <c r="G803" s="25">
        <v>0.44532910550588317</v>
      </c>
      <c r="H803" s="25">
        <v>0.80287087338888052</v>
      </c>
      <c r="I803" s="25">
        <v>0.2375605477929835</v>
      </c>
      <c r="J803" s="25">
        <v>0.15982904682630411</v>
      </c>
      <c r="K803" s="25">
        <v>0.28815113324465114</v>
      </c>
      <c r="L803" s="25">
        <v>0.68600000000000005</v>
      </c>
      <c r="M803" s="24">
        <v>2</v>
      </c>
      <c r="N803" s="108">
        <v>0</v>
      </c>
      <c r="O803" s="24">
        <v>3</v>
      </c>
      <c r="P803" s="24">
        <v>0</v>
      </c>
      <c r="Q803" s="24">
        <v>3</v>
      </c>
      <c r="R803" s="24">
        <v>4</v>
      </c>
      <c r="S803" s="24">
        <v>0</v>
      </c>
      <c r="T803" s="24">
        <v>0</v>
      </c>
      <c r="U803" s="24">
        <v>920252000000</v>
      </c>
      <c r="V803" s="109">
        <v>1.1992718101733446</v>
      </c>
      <c r="W803" s="109">
        <v>0.27565840661036323</v>
      </c>
      <c r="X803" s="109">
        <v>0.91291846146490307</v>
      </c>
      <c r="Y803" s="109">
        <v>1.0588257998895956</v>
      </c>
      <c r="Z803" s="109">
        <v>1.3078068152703048</v>
      </c>
      <c r="AA803" s="109">
        <v>3.5552094832351666</v>
      </c>
      <c r="AD803" s="111"/>
    </row>
    <row r="804" spans="1:30" ht="15" customHeight="1" x14ac:dyDescent="0.3">
      <c r="A804" s="22" t="s">
        <v>154</v>
      </c>
      <c r="B804" s="23">
        <v>100</v>
      </c>
      <c r="C804" s="3" t="s">
        <v>104</v>
      </c>
      <c r="D804" s="23">
        <v>2023</v>
      </c>
      <c r="E804" s="25">
        <v>7.8453176146589518</v>
      </c>
      <c r="F804" s="25">
        <v>2.2306465834833129</v>
      </c>
      <c r="G804" s="25">
        <v>0.46370175641321931</v>
      </c>
      <c r="H804" s="25">
        <v>0.86463411349618902</v>
      </c>
      <c r="I804" s="25">
        <v>0.12129762163142292</v>
      </c>
      <c r="J804" s="25">
        <v>0.18756627333161136</v>
      </c>
      <c r="K804" s="25">
        <v>0.34974247179547302</v>
      </c>
      <c r="L804" s="25">
        <v>0.68600000000000005</v>
      </c>
      <c r="M804" s="24">
        <v>2</v>
      </c>
      <c r="N804" s="108">
        <v>0</v>
      </c>
      <c r="O804" s="24">
        <v>3</v>
      </c>
      <c r="P804" s="24">
        <v>0</v>
      </c>
      <c r="Q804" s="24">
        <v>3</v>
      </c>
      <c r="R804" s="24">
        <v>4</v>
      </c>
      <c r="S804" s="24">
        <v>0</v>
      </c>
      <c r="T804" s="24">
        <v>0</v>
      </c>
      <c r="U804" s="24">
        <v>1176944000000</v>
      </c>
      <c r="V804" s="109">
        <v>1.9394772417825399</v>
      </c>
      <c r="W804" s="109">
        <v>3.1587429138514662</v>
      </c>
      <c r="X804" s="109">
        <v>1.0446234995037997</v>
      </c>
      <c r="Y804" s="109">
        <v>1.1821995948830191</v>
      </c>
      <c r="Z804" s="109">
        <v>1.2143865059340251</v>
      </c>
      <c r="AA804" s="109">
        <v>6.5999525141723101</v>
      </c>
      <c r="AD804" s="111"/>
    </row>
    <row r="805" spans="1:30" ht="15" customHeight="1" x14ac:dyDescent="0.3">
      <c r="A805" s="22" t="s">
        <v>154</v>
      </c>
      <c r="B805" s="23">
        <v>100</v>
      </c>
      <c r="C805" s="3" t="s">
        <v>104</v>
      </c>
      <c r="D805" s="23">
        <v>2024</v>
      </c>
      <c r="E805" s="25">
        <v>11.031109088064181</v>
      </c>
      <c r="F805" s="25">
        <v>3.3718012546051979</v>
      </c>
      <c r="G805" s="25">
        <v>0.56150404052935121</v>
      </c>
      <c r="H805" s="25">
        <v>1.2805227241026289</v>
      </c>
      <c r="I805" s="25">
        <v>3.8527921720170229E-2</v>
      </c>
      <c r="J805" s="25">
        <v>7.7192142245097559E-2</v>
      </c>
      <c r="K805" s="25">
        <v>0.17603843451210752</v>
      </c>
      <c r="L805" s="25">
        <v>0.68600000000000005</v>
      </c>
      <c r="M805" s="24">
        <v>2</v>
      </c>
      <c r="N805" s="108">
        <v>0</v>
      </c>
      <c r="O805" s="24">
        <v>3</v>
      </c>
      <c r="P805" s="24">
        <v>0</v>
      </c>
      <c r="Q805" s="24">
        <v>3</v>
      </c>
      <c r="R805" s="24">
        <v>4</v>
      </c>
      <c r="S805" s="24">
        <v>0</v>
      </c>
      <c r="T805" s="24">
        <v>0</v>
      </c>
      <c r="U805" s="24">
        <v>1733065000000</v>
      </c>
      <c r="V805" s="109">
        <v>0.90789337040405071</v>
      </c>
      <c r="W805" s="109">
        <v>2.6693126455153151</v>
      </c>
      <c r="X805" s="109">
        <v>0.96106011026707017</v>
      </c>
      <c r="Y805" s="109">
        <v>0.47072745684668488</v>
      </c>
      <c r="Z805" s="109">
        <v>0.81997763900349696</v>
      </c>
      <c r="AA805" s="109">
        <v>4.9210778516325675</v>
      </c>
      <c r="AD805" s="111"/>
    </row>
    <row r="806" spans="1:30" ht="15" customHeight="1" x14ac:dyDescent="0.3">
      <c r="A806" s="22" t="s">
        <v>154</v>
      </c>
      <c r="B806" s="23">
        <v>101</v>
      </c>
      <c r="C806" s="2" t="s">
        <v>120</v>
      </c>
      <c r="D806" s="23">
        <v>2015</v>
      </c>
      <c r="E806" s="25">
        <v>3.1840986211932476</v>
      </c>
      <c r="F806" s="25">
        <v>0.14068696934553213</v>
      </c>
      <c r="G806" s="25">
        <v>0.56988596698376071</v>
      </c>
      <c r="H806" s="25">
        <v>1.3249648308085873</v>
      </c>
      <c r="I806" s="25">
        <v>0.40360369676210173</v>
      </c>
      <c r="J806" s="25">
        <v>7.5653519762675384E-2</v>
      </c>
      <c r="K806" s="25">
        <v>0.17589177277510268</v>
      </c>
      <c r="L806" s="25">
        <v>0.99990000000000001</v>
      </c>
      <c r="M806" s="24">
        <v>2</v>
      </c>
      <c r="N806" s="108">
        <v>0</v>
      </c>
      <c r="O806" s="24">
        <v>4</v>
      </c>
      <c r="P806" s="24">
        <v>0</v>
      </c>
      <c r="Q806" s="24">
        <v>4</v>
      </c>
      <c r="R806" s="24">
        <v>6</v>
      </c>
      <c r="S806" s="24">
        <v>0</v>
      </c>
      <c r="T806" s="24">
        <v>0</v>
      </c>
      <c r="U806" s="24">
        <v>6191014000000</v>
      </c>
      <c r="V806" s="109">
        <v>0.22897043841459927</v>
      </c>
      <c r="W806" s="109">
        <v>1.1314496268301122</v>
      </c>
      <c r="X806" s="109">
        <v>1.3086361297196225</v>
      </c>
      <c r="Y806" s="109">
        <v>0.53761940774160744</v>
      </c>
      <c r="Z806" s="109">
        <v>0.79247386465285707</v>
      </c>
      <c r="AA806" s="109">
        <v>3.7701790289441992</v>
      </c>
      <c r="AD806" s="111"/>
    </row>
    <row r="807" spans="1:30" ht="15" customHeight="1" x14ac:dyDescent="0.3">
      <c r="A807" s="22" t="s">
        <v>154</v>
      </c>
      <c r="B807" s="23">
        <v>101</v>
      </c>
      <c r="C807" s="3" t="s">
        <v>120</v>
      </c>
      <c r="D807" s="23">
        <v>2016</v>
      </c>
      <c r="E807" s="25">
        <v>2.5071610910151567</v>
      </c>
      <c r="F807" s="25">
        <v>9.9544168400075794E-2</v>
      </c>
      <c r="G807" s="25">
        <v>0.5424619457581491</v>
      </c>
      <c r="H807" s="25">
        <v>1.1856105535462369</v>
      </c>
      <c r="I807" s="25">
        <v>0.40348542601739706</v>
      </c>
      <c r="J807" s="25">
        <v>8.1635564233085892E-2</v>
      </c>
      <c r="K807" s="25">
        <v>0.17842355073253421</v>
      </c>
      <c r="L807" s="25">
        <v>0.99990000000000001</v>
      </c>
      <c r="M807" s="24">
        <v>2</v>
      </c>
      <c r="N807" s="108">
        <v>0</v>
      </c>
      <c r="O807" s="24">
        <v>4</v>
      </c>
      <c r="P807" s="24">
        <v>0</v>
      </c>
      <c r="Q807" s="24">
        <v>4</v>
      </c>
      <c r="R807" s="24">
        <v>6</v>
      </c>
      <c r="S807" s="24">
        <v>0</v>
      </c>
      <c r="T807" s="24">
        <v>0</v>
      </c>
      <c r="U807" s="24">
        <v>5916686000000</v>
      </c>
      <c r="V807" s="109">
        <v>3.155949072578039E-2</v>
      </c>
      <c r="W807" s="109">
        <v>0.78486909732914667</v>
      </c>
      <c r="X807" s="109">
        <v>1.3975954512373987</v>
      </c>
      <c r="Y807" s="109">
        <v>0.58701412243272666</v>
      </c>
      <c r="Z807" s="109">
        <v>0.88561964707498853</v>
      </c>
      <c r="AA807" s="109">
        <v>3.6550983180742604</v>
      </c>
      <c r="AD807" s="111"/>
    </row>
    <row r="808" spans="1:30" ht="15" customHeight="1" x14ac:dyDescent="0.3">
      <c r="A808" s="22" t="s">
        <v>154</v>
      </c>
      <c r="B808" s="23">
        <v>101</v>
      </c>
      <c r="C808" s="3" t="s">
        <v>120</v>
      </c>
      <c r="D808" s="23">
        <v>2017</v>
      </c>
      <c r="E808" s="25">
        <v>1.8343976036645773</v>
      </c>
      <c r="F808" s="25">
        <v>7.6833649558989858E-2</v>
      </c>
      <c r="G808" s="25">
        <v>0.89392213769931872</v>
      </c>
      <c r="H808" s="25">
        <v>8.4270376335965995</v>
      </c>
      <c r="I808" s="25">
        <v>5.3758640302148344E-2</v>
      </c>
      <c r="J808" s="25">
        <v>1.8159528052071886E-2</v>
      </c>
      <c r="K808" s="25">
        <v>0.17119055435523484</v>
      </c>
      <c r="L808" s="25">
        <v>0.99990000000000001</v>
      </c>
      <c r="M808" s="24">
        <v>2</v>
      </c>
      <c r="N808" s="108">
        <v>0</v>
      </c>
      <c r="O808" s="24">
        <v>4</v>
      </c>
      <c r="P808" s="24">
        <v>0</v>
      </c>
      <c r="Q808" s="24">
        <v>4</v>
      </c>
      <c r="R808" s="24">
        <v>6</v>
      </c>
      <c r="S808" s="24">
        <v>0</v>
      </c>
      <c r="T808" s="24">
        <v>0</v>
      </c>
      <c r="U808" s="24">
        <v>31271077000000</v>
      </c>
      <c r="V808" s="109">
        <v>7.8240721945302774</v>
      </c>
      <c r="W808" s="109">
        <v>0.28376256820319939</v>
      </c>
      <c r="X808" s="109">
        <v>0.32242020126137644</v>
      </c>
      <c r="Y808" s="109">
        <v>0.13784615605020575</v>
      </c>
      <c r="Z808" s="109">
        <v>0.12459894516358858</v>
      </c>
      <c r="AA808" s="109">
        <v>0.86862787067837022</v>
      </c>
      <c r="AD808" s="111"/>
    </row>
    <row r="809" spans="1:30" ht="15" customHeight="1" x14ac:dyDescent="0.3">
      <c r="A809" s="22" t="s">
        <v>154</v>
      </c>
      <c r="B809" s="23">
        <v>101</v>
      </c>
      <c r="C809" s="3" t="s">
        <v>120</v>
      </c>
      <c r="D809" s="23">
        <v>2018</v>
      </c>
      <c r="E809" s="25">
        <v>1.4040361415746201</v>
      </c>
      <c r="F809" s="25">
        <v>0</v>
      </c>
      <c r="G809" s="25">
        <v>0.90263769681043937</v>
      </c>
      <c r="H809" s="25">
        <v>9.2709180490226863</v>
      </c>
      <c r="I809" s="25">
        <v>2.2563327702475475E-2</v>
      </c>
      <c r="J809" s="25">
        <v>1.424337708593853E-2</v>
      </c>
      <c r="K809" s="25">
        <v>0.14629256253275558</v>
      </c>
      <c r="L809" s="25">
        <v>0.99990000000000001</v>
      </c>
      <c r="M809" s="24">
        <v>2</v>
      </c>
      <c r="N809" s="108">
        <v>0</v>
      </c>
      <c r="O809" s="24">
        <v>4</v>
      </c>
      <c r="P809" s="24">
        <v>0</v>
      </c>
      <c r="Q809" s="24">
        <v>4</v>
      </c>
      <c r="R809" s="24">
        <v>6</v>
      </c>
      <c r="S809" s="24">
        <v>0</v>
      </c>
      <c r="T809" s="24">
        <v>0</v>
      </c>
      <c r="U809" s="24">
        <v>39097329000000</v>
      </c>
      <c r="V809" s="109">
        <v>1.3364569819548611</v>
      </c>
      <c r="W809" s="109">
        <v>0.12916264024071822</v>
      </c>
      <c r="X809" s="109">
        <v>0.29495068115778444</v>
      </c>
      <c r="Y809" s="109">
        <v>9.5544130904696836E-2</v>
      </c>
      <c r="Z809" s="109">
        <v>0.11325739203472822</v>
      </c>
      <c r="AA809" s="109">
        <v>0.63291484433792766</v>
      </c>
      <c r="AD809" s="111"/>
    </row>
    <row r="810" spans="1:30" ht="15" customHeight="1" x14ac:dyDescent="0.3">
      <c r="A810" s="22" t="s">
        <v>154</v>
      </c>
      <c r="B810" s="23">
        <v>101</v>
      </c>
      <c r="C810" s="3" t="s">
        <v>120</v>
      </c>
      <c r="D810" s="23">
        <v>2019</v>
      </c>
      <c r="E810" s="25">
        <v>1.5466762602637791</v>
      </c>
      <c r="F810" s="25">
        <v>0.15145695767803641</v>
      </c>
      <c r="G810" s="25">
        <v>0.90183267730913608</v>
      </c>
      <c r="H810" s="25">
        <v>9.1866912397325002</v>
      </c>
      <c r="I810" s="25">
        <v>2.6406349176480756E-2</v>
      </c>
      <c r="J810" s="25">
        <v>1.6999335810271091E-2</v>
      </c>
      <c r="K810" s="25">
        <v>0.17316698906437633</v>
      </c>
      <c r="L810" s="25">
        <v>0.99990000000000001</v>
      </c>
      <c r="M810" s="24">
        <v>2</v>
      </c>
      <c r="N810" s="108">
        <v>0</v>
      </c>
      <c r="O810" s="24">
        <v>4</v>
      </c>
      <c r="P810" s="24">
        <v>0</v>
      </c>
      <c r="Q810" s="24">
        <v>4</v>
      </c>
      <c r="R810" s="24">
        <v>6</v>
      </c>
      <c r="S810" s="24">
        <v>0</v>
      </c>
      <c r="T810" s="24">
        <v>0</v>
      </c>
      <c r="U810" s="24">
        <v>44577624000000</v>
      </c>
      <c r="V810" s="109">
        <v>0.16274263727383717</v>
      </c>
      <c r="W810" s="109">
        <v>0.1438973992871401</v>
      </c>
      <c r="X810" s="109">
        <v>0.30028364993163387</v>
      </c>
      <c r="Y810" s="109">
        <v>0.11328552100488801</v>
      </c>
      <c r="Z810" s="109">
        <v>0.11429577555178334</v>
      </c>
      <c r="AA810" s="109">
        <v>0.67176234577544536</v>
      </c>
      <c r="AD810" s="111"/>
    </row>
    <row r="811" spans="1:30" ht="15" customHeight="1" x14ac:dyDescent="0.3">
      <c r="A811" s="22" t="s">
        <v>154</v>
      </c>
      <c r="B811" s="23">
        <v>101</v>
      </c>
      <c r="C811" s="3" t="s">
        <v>120</v>
      </c>
      <c r="D811" s="23">
        <v>2020</v>
      </c>
      <c r="E811" s="25">
        <v>1.4984089664639921</v>
      </c>
      <c r="F811" s="25">
        <v>0.26673154325841386</v>
      </c>
      <c r="G811" s="25">
        <v>0.88846412045685752</v>
      </c>
      <c r="H811" s="25">
        <v>7.9657263827426101</v>
      </c>
      <c r="I811" s="25">
        <v>3.0467211290352906E-2</v>
      </c>
      <c r="J811" s="25">
        <v>1.9934700635112802E-2</v>
      </c>
      <c r="K811" s="25">
        <v>0.17872907540660188</v>
      </c>
      <c r="L811" s="25">
        <v>0.99990000000000001</v>
      </c>
      <c r="M811" s="24">
        <v>2</v>
      </c>
      <c r="N811" s="108">
        <v>0</v>
      </c>
      <c r="O811" s="24">
        <v>4</v>
      </c>
      <c r="P811" s="24">
        <v>0</v>
      </c>
      <c r="Q811" s="24">
        <v>4</v>
      </c>
      <c r="R811" s="24">
        <v>6</v>
      </c>
      <c r="S811" s="24">
        <v>0</v>
      </c>
      <c r="T811" s="24">
        <v>0</v>
      </c>
      <c r="U811" s="24">
        <v>44790941000000</v>
      </c>
      <c r="V811" s="109">
        <v>2.1237354848972542E-2</v>
      </c>
      <c r="W811" s="109">
        <v>0.14064408961624628</v>
      </c>
      <c r="X811" s="109">
        <v>0.3439793993164823</v>
      </c>
      <c r="Y811" s="109">
        <v>0.13616978486788209</v>
      </c>
      <c r="Z811" s="109">
        <v>0.13181472091167706</v>
      </c>
      <c r="AA811" s="109">
        <v>0.75260799471228768</v>
      </c>
      <c r="AD811" s="111"/>
    </row>
    <row r="812" spans="1:30" ht="15" customHeight="1" x14ac:dyDescent="0.3">
      <c r="A812" s="22" t="s">
        <v>154</v>
      </c>
      <c r="B812" s="23">
        <v>101</v>
      </c>
      <c r="C812" s="3" t="s">
        <v>120</v>
      </c>
      <c r="D812" s="23">
        <v>2021</v>
      </c>
      <c r="E812" s="25">
        <v>2.4787379389396946</v>
      </c>
      <c r="F812" s="25">
        <v>0.2623251720845009</v>
      </c>
      <c r="G812" s="25">
        <v>0.90547886392842325</v>
      </c>
      <c r="H812" s="25">
        <v>9.5796443161955125</v>
      </c>
      <c r="I812" s="25">
        <v>7.0489064140311867E-3</v>
      </c>
      <c r="J812" s="25">
        <v>3.9368103083004665E-3</v>
      </c>
      <c r="K812" s="25">
        <v>4.1650052802150936E-2</v>
      </c>
      <c r="L812" s="25">
        <v>0.99990000000000001</v>
      </c>
      <c r="M812" s="24">
        <v>2</v>
      </c>
      <c r="N812" s="108">
        <v>0</v>
      </c>
      <c r="O812" s="24">
        <v>5</v>
      </c>
      <c r="P812" s="24">
        <v>0</v>
      </c>
      <c r="Q812" s="24">
        <v>5</v>
      </c>
      <c r="R812" s="24">
        <v>7</v>
      </c>
      <c r="S812" s="24">
        <v>0</v>
      </c>
      <c r="T812" s="24">
        <v>0</v>
      </c>
      <c r="U812" s="24">
        <v>47706642000000</v>
      </c>
      <c r="V812" s="109">
        <v>-9.0852408282209959E-2</v>
      </c>
      <c r="W812" s="109">
        <v>0.38263511567215314</v>
      </c>
      <c r="X812" s="109">
        <v>0.28903584494586726</v>
      </c>
      <c r="Y812" s="109">
        <v>3.0947982463322404E-2</v>
      </c>
      <c r="Z812" s="109">
        <v>0.10960740976832009</v>
      </c>
      <c r="AA812" s="109">
        <v>0.81222635284966294</v>
      </c>
      <c r="AD812" s="111"/>
    </row>
    <row r="813" spans="1:30" ht="15" customHeight="1" x14ac:dyDescent="0.3">
      <c r="A813" s="22" t="s">
        <v>154</v>
      </c>
      <c r="B813" s="23">
        <v>101</v>
      </c>
      <c r="C813" s="3" t="s">
        <v>120</v>
      </c>
      <c r="D813" s="23">
        <v>2022</v>
      </c>
      <c r="E813" s="25">
        <v>1.7780036715050265</v>
      </c>
      <c r="F813" s="25">
        <v>0.14473189027105221</v>
      </c>
      <c r="G813" s="25">
        <v>0.89145691018169892</v>
      </c>
      <c r="H813" s="25">
        <v>8.2129159064375585</v>
      </c>
      <c r="I813" s="25">
        <v>1.679362027518564E-2</v>
      </c>
      <c r="J813" s="25">
        <v>7.8451665793101508E-3</v>
      </c>
      <c r="K813" s="25">
        <v>7.2276845523286185E-2</v>
      </c>
      <c r="L813" s="25">
        <v>0.99990000000000001</v>
      </c>
      <c r="M813" s="24">
        <v>2</v>
      </c>
      <c r="N813" s="108">
        <v>0</v>
      </c>
      <c r="O813" s="24">
        <v>4</v>
      </c>
      <c r="P813" s="24">
        <v>0</v>
      </c>
      <c r="Q813" s="24">
        <v>4</v>
      </c>
      <c r="R813" s="24">
        <v>6</v>
      </c>
      <c r="S813" s="24">
        <v>0</v>
      </c>
      <c r="T813" s="24">
        <v>0</v>
      </c>
      <c r="U813" s="24">
        <v>45035755000000</v>
      </c>
      <c r="V813" s="109">
        <v>-0.21038808055792246</v>
      </c>
      <c r="W813" s="109">
        <v>0.33545443703563976</v>
      </c>
      <c r="X813" s="109">
        <v>0.33126835688665596</v>
      </c>
      <c r="Y813" s="109">
        <v>7.9061149524416771E-2</v>
      </c>
      <c r="Z813" s="109">
        <v>0.12784740668986699</v>
      </c>
      <c r="AA813" s="109">
        <v>0.87363135013657955</v>
      </c>
      <c r="AD813" s="111"/>
    </row>
    <row r="814" spans="1:30" ht="15" customHeight="1" x14ac:dyDescent="0.3">
      <c r="A814" s="22" t="s">
        <v>154</v>
      </c>
      <c r="B814" s="23">
        <v>101</v>
      </c>
      <c r="C814" s="3" t="s">
        <v>120</v>
      </c>
      <c r="D814" s="23">
        <v>2023</v>
      </c>
      <c r="E814" s="25">
        <v>2.0621617971986779</v>
      </c>
      <c r="F814" s="25">
        <v>0.26775035080131437</v>
      </c>
      <c r="G814" s="25">
        <v>0.86306570022639029</v>
      </c>
      <c r="H814" s="25">
        <v>6.3027722174303777</v>
      </c>
      <c r="I814" s="25">
        <v>4.4047074616353418E-2</v>
      </c>
      <c r="J814" s="25">
        <v>1.6593889814814584E-2</v>
      </c>
      <c r="K814" s="25">
        <v>0.12118139751872888</v>
      </c>
      <c r="L814" s="25">
        <v>0.99990000000000001</v>
      </c>
      <c r="M814" s="24">
        <v>2</v>
      </c>
      <c r="N814" s="108">
        <v>0</v>
      </c>
      <c r="O814" s="24">
        <v>4</v>
      </c>
      <c r="P814" s="24">
        <v>0</v>
      </c>
      <c r="Q814" s="24">
        <v>4</v>
      </c>
      <c r="R814" s="24">
        <v>6</v>
      </c>
      <c r="S814" s="24">
        <v>0</v>
      </c>
      <c r="T814" s="24">
        <v>0</v>
      </c>
      <c r="U814" s="24">
        <v>40386010000000</v>
      </c>
      <c r="V814" s="109">
        <v>-0.27681935877158687</v>
      </c>
      <c r="W814" s="109">
        <v>0.44078978834502341</v>
      </c>
      <c r="X814" s="109">
        <v>0.41809679341930533</v>
      </c>
      <c r="Y814" s="109">
        <v>0.11692025035402109</v>
      </c>
      <c r="Z814" s="109">
        <v>0.16659335983874124</v>
      </c>
      <c r="AA814" s="109">
        <v>1.142400191957091</v>
      </c>
      <c r="AD814" s="111"/>
    </row>
    <row r="815" spans="1:30" ht="15" customHeight="1" x14ac:dyDescent="0.3">
      <c r="A815" s="22" t="s">
        <v>154</v>
      </c>
      <c r="B815" s="23">
        <v>101</v>
      </c>
      <c r="C815" s="3" t="s">
        <v>120</v>
      </c>
      <c r="D815" s="23">
        <v>2024</v>
      </c>
      <c r="E815" s="25">
        <v>1.688608075987529</v>
      </c>
      <c r="F815" s="25">
        <v>0.15961304759896874</v>
      </c>
      <c r="G815" s="25">
        <v>0.84847339727356497</v>
      </c>
      <c r="H815" s="25">
        <v>5.5995012229330596</v>
      </c>
      <c r="I815" s="25">
        <v>4.2900983235218439E-2</v>
      </c>
      <c r="J815" s="25">
        <v>1.5592400331426665E-2</v>
      </c>
      <c r="K815" s="25">
        <v>0.10290206505571213</v>
      </c>
      <c r="L815" s="25">
        <v>0.99990000000000001</v>
      </c>
      <c r="M815" s="24">
        <v>2</v>
      </c>
      <c r="N815" s="108">
        <v>0</v>
      </c>
      <c r="O815" s="24">
        <v>3</v>
      </c>
      <c r="P815" s="24">
        <v>0</v>
      </c>
      <c r="Q815" s="24">
        <v>3</v>
      </c>
      <c r="R815" s="24">
        <v>6</v>
      </c>
      <c r="S815" s="24">
        <v>0</v>
      </c>
      <c r="T815" s="24">
        <v>0</v>
      </c>
      <c r="U815" s="24">
        <v>40268335000000</v>
      </c>
      <c r="V815" s="109">
        <v>-3.8061463638936512E-2</v>
      </c>
      <c r="W815" s="109">
        <v>0.29105237154702324</v>
      </c>
      <c r="X815" s="109">
        <v>0.46924608876925256</v>
      </c>
      <c r="Y815" s="109">
        <v>0.12907973274782777</v>
      </c>
      <c r="Z815" s="109">
        <v>0.18751670161257727</v>
      </c>
      <c r="AA815" s="109">
        <v>1.076894894676681</v>
      </c>
      <c r="AD815" s="111"/>
    </row>
    <row r="816" spans="1:30" ht="15" customHeight="1" x14ac:dyDescent="0.3">
      <c r="A816" s="22" t="s">
        <v>154</v>
      </c>
      <c r="B816" s="23">
        <v>102</v>
      </c>
      <c r="C816" s="1" t="s">
        <v>134</v>
      </c>
      <c r="D816" s="23">
        <v>2015</v>
      </c>
      <c r="E816" s="25">
        <v>9.6507462686567163</v>
      </c>
      <c r="F816" s="25">
        <v>5.2619402985074624</v>
      </c>
      <c r="G816" s="25">
        <v>6.8319846296627976E-2</v>
      </c>
      <c r="H816" s="25">
        <v>7.3624368332397536E-2</v>
      </c>
      <c r="I816" s="25">
        <v>2.5392817059483725E-2</v>
      </c>
      <c r="J816" s="25">
        <v>2.9470667730432942E-3</v>
      </c>
      <c r="K816" s="25">
        <v>3.1758843346434587E-3</v>
      </c>
      <c r="L816" s="25">
        <v>0</v>
      </c>
      <c r="M816" s="24">
        <v>0</v>
      </c>
      <c r="N816" s="108">
        <v>0</v>
      </c>
      <c r="O816" s="24">
        <v>0</v>
      </c>
      <c r="P816" s="24">
        <v>0</v>
      </c>
      <c r="Q816" s="24">
        <v>0</v>
      </c>
      <c r="R816" s="24">
        <v>0</v>
      </c>
      <c r="S816" s="24">
        <v>0</v>
      </c>
      <c r="T816" s="24">
        <v>0</v>
      </c>
      <c r="U816" s="24">
        <v>61417000000</v>
      </c>
      <c r="V816" s="109">
        <v>0</v>
      </c>
      <c r="W816" s="109">
        <v>1.2381510005373104</v>
      </c>
      <c r="X816" s="109">
        <v>2.6004839051077062</v>
      </c>
      <c r="Y816" s="109">
        <v>5.9631698064053926E-2</v>
      </c>
      <c r="Z816" s="109">
        <v>14.261582459485224</v>
      </c>
      <c r="AA816" s="109">
        <v>18.159849063194294</v>
      </c>
      <c r="AD816" s="111"/>
    </row>
    <row r="817" spans="1:30" ht="15" customHeight="1" x14ac:dyDescent="0.3">
      <c r="A817" s="22" t="s">
        <v>154</v>
      </c>
      <c r="B817" s="23">
        <v>102</v>
      </c>
      <c r="C817" s="3" t="s">
        <v>134</v>
      </c>
      <c r="D817" s="23">
        <v>2016</v>
      </c>
      <c r="E817" s="25">
        <v>9.5469940728196452</v>
      </c>
      <c r="F817" s="25">
        <v>3.0609652836579171</v>
      </c>
      <c r="G817" s="25">
        <v>7.802486591157079E-2</v>
      </c>
      <c r="H817" s="25">
        <v>8.7085541776016739E-2</v>
      </c>
      <c r="I817" s="25">
        <v>2.9042224510813595E-2</v>
      </c>
      <c r="J817" s="25">
        <v>4.3338609783460632E-3</v>
      </c>
      <c r="K817" s="25">
        <v>4.8371327123964388E-3</v>
      </c>
      <c r="L817" s="25">
        <v>0.6</v>
      </c>
      <c r="M817" s="24">
        <v>2</v>
      </c>
      <c r="N817" s="108">
        <v>0.9</v>
      </c>
      <c r="O817" s="24">
        <v>4</v>
      </c>
      <c r="P817" s="24">
        <v>0</v>
      </c>
      <c r="Q817" s="24">
        <v>4</v>
      </c>
      <c r="R817" s="24">
        <v>3</v>
      </c>
      <c r="S817" s="24">
        <v>0</v>
      </c>
      <c r="T817" s="24">
        <v>0</v>
      </c>
      <c r="U817" s="24">
        <v>65069000000</v>
      </c>
      <c r="V817" s="109">
        <v>0.36223344556677889</v>
      </c>
      <c r="W817" s="109">
        <v>1.0176372773517344</v>
      </c>
      <c r="X817" s="109">
        <v>2.4686600378060213</v>
      </c>
      <c r="Y817" s="109">
        <v>5.9589666354177867E-2</v>
      </c>
      <c r="Z817" s="109">
        <v>12.057110498325782</v>
      </c>
      <c r="AA817" s="109">
        <v>15.602997479837715</v>
      </c>
      <c r="AD817" s="111"/>
    </row>
    <row r="818" spans="1:30" ht="15" customHeight="1" x14ac:dyDescent="0.3">
      <c r="A818" s="22" t="s">
        <v>154</v>
      </c>
      <c r="B818" s="23">
        <v>102</v>
      </c>
      <c r="C818" s="3" t="s">
        <v>134</v>
      </c>
      <c r="D818" s="23">
        <v>2017</v>
      </c>
      <c r="E818" s="25">
        <v>122.53153153153153</v>
      </c>
      <c r="F818" s="25">
        <v>44.846846846846844</v>
      </c>
      <c r="G818" s="25">
        <v>9.3226163086025035E-2</v>
      </c>
      <c r="H818" s="25">
        <v>0.10818683033392282</v>
      </c>
      <c r="I818" s="25">
        <v>-2.4030759371996156E-4</v>
      </c>
      <c r="J818" s="25">
        <v>-4.4820270714435116E-5</v>
      </c>
      <c r="K818" s="25">
        <v>-5.2012899199001353E-5</v>
      </c>
      <c r="L818" s="25">
        <v>0.6</v>
      </c>
      <c r="M818" s="24">
        <v>2</v>
      </c>
      <c r="N818" s="108">
        <v>0.9</v>
      </c>
      <c r="O818" s="24">
        <v>4</v>
      </c>
      <c r="P818" s="24">
        <v>0</v>
      </c>
      <c r="Q818" s="24">
        <v>4</v>
      </c>
      <c r="R818" s="24">
        <v>3</v>
      </c>
      <c r="S818" s="24">
        <v>0</v>
      </c>
      <c r="T818" s="24">
        <v>0</v>
      </c>
      <c r="U818" s="24">
        <v>66934000000</v>
      </c>
      <c r="V818" s="109">
        <v>0.28568486096807416</v>
      </c>
      <c r="W818" s="109">
        <v>1.3221143215705022</v>
      </c>
      <c r="X818" s="109">
        <v>2.3680709355484506</v>
      </c>
      <c r="Y818" s="109">
        <v>1.9075507216063586E-2</v>
      </c>
      <c r="Z818" s="109">
        <v>9.7054326923076921</v>
      </c>
      <c r="AA818" s="109">
        <v>13.414693456642709</v>
      </c>
      <c r="AD818" s="111"/>
    </row>
    <row r="819" spans="1:30" ht="15" customHeight="1" x14ac:dyDescent="0.3">
      <c r="A819" s="22" t="s">
        <v>154</v>
      </c>
      <c r="B819" s="23">
        <v>102</v>
      </c>
      <c r="C819" s="3" t="s">
        <v>134</v>
      </c>
      <c r="D819" s="23">
        <v>2018</v>
      </c>
      <c r="E819" s="25">
        <v>8.1255332114564283</v>
      </c>
      <c r="F819" s="25">
        <v>2.2656916514320535</v>
      </c>
      <c r="G819" s="25">
        <v>8.3234589688642377E-2</v>
      </c>
      <c r="H819" s="25">
        <v>9.7422429437714855E-2</v>
      </c>
      <c r="I819" s="25">
        <v>-3.5540803108808292E-2</v>
      </c>
      <c r="J819" s="25">
        <v>-5.5338459599142825E-3</v>
      </c>
      <c r="K819" s="25">
        <v>-6.4771235079746818E-3</v>
      </c>
      <c r="L819" s="25">
        <v>0.6</v>
      </c>
      <c r="M819" s="24">
        <v>2</v>
      </c>
      <c r="N819" s="108">
        <v>0.9</v>
      </c>
      <c r="O819" s="24">
        <v>4</v>
      </c>
      <c r="P819" s="24">
        <v>0</v>
      </c>
      <c r="Q819" s="24">
        <v>4</v>
      </c>
      <c r="R819" s="24">
        <v>3</v>
      </c>
      <c r="S819" s="24">
        <v>0</v>
      </c>
      <c r="T819" s="24">
        <v>0</v>
      </c>
      <c r="U819" s="24">
        <v>79330000000</v>
      </c>
      <c r="V819" s="109">
        <v>-1.0573534123678308E-2</v>
      </c>
      <c r="W819" s="109">
        <v>0.96692398840287397</v>
      </c>
      <c r="X819" s="109">
        <v>2.4043784192613131</v>
      </c>
      <c r="Y819" s="109">
        <v>-3.3883776629270133E-3</v>
      </c>
      <c r="Z819" s="109">
        <v>10.777805542935029</v>
      </c>
      <c r="AA819" s="109">
        <v>14.14571957293629</v>
      </c>
      <c r="AD819" s="111"/>
    </row>
    <row r="820" spans="1:30" ht="15" customHeight="1" x14ac:dyDescent="0.3">
      <c r="A820" s="22" t="s">
        <v>154</v>
      </c>
      <c r="B820" s="23">
        <v>102</v>
      </c>
      <c r="C820" s="3" t="s">
        <v>134</v>
      </c>
      <c r="D820" s="23">
        <v>2019</v>
      </c>
      <c r="E820" s="25">
        <v>46.065693430656935</v>
      </c>
      <c r="F820" s="25">
        <v>20.459854014598541</v>
      </c>
      <c r="G820" s="25">
        <v>7.9065565635616397E-2</v>
      </c>
      <c r="H820" s="25">
        <v>9.3279493222450729E-2</v>
      </c>
      <c r="I820" s="25">
        <v>-9.1182187665665312E-2</v>
      </c>
      <c r="J820" s="25">
        <v>-1.3130940414540736E-2</v>
      </c>
      <c r="K820" s="25">
        <v>-1.5491541198192654E-2</v>
      </c>
      <c r="L820" s="25">
        <v>0.6</v>
      </c>
      <c r="M820" s="24">
        <v>2</v>
      </c>
      <c r="N820" s="108">
        <v>0.9</v>
      </c>
      <c r="O820" s="24">
        <v>4</v>
      </c>
      <c r="P820" s="24">
        <v>0</v>
      </c>
      <c r="Q820" s="24">
        <v>4</v>
      </c>
      <c r="R820" s="24">
        <v>3</v>
      </c>
      <c r="S820" s="24">
        <v>0</v>
      </c>
      <c r="T820" s="24">
        <v>0</v>
      </c>
      <c r="U820" s="24">
        <v>78593000000</v>
      </c>
      <c r="V820" s="109">
        <v>-8.3711139896373063E-2</v>
      </c>
      <c r="W820" s="109">
        <v>1.0306627816726681</v>
      </c>
      <c r="X820" s="109">
        <v>2.3941979565610167</v>
      </c>
      <c r="Y820" s="109">
        <v>-0.19383711017520644</v>
      </c>
      <c r="Z820" s="109">
        <v>11.256493401995494</v>
      </c>
      <c r="AA820" s="109">
        <v>14.487517030053972</v>
      </c>
      <c r="AD820" s="111"/>
    </row>
    <row r="821" spans="1:30" ht="15" customHeight="1" x14ac:dyDescent="0.3">
      <c r="A821" s="22" t="s">
        <v>154</v>
      </c>
      <c r="B821" s="23">
        <v>102</v>
      </c>
      <c r="C821" s="3" t="s">
        <v>134</v>
      </c>
      <c r="D821" s="23">
        <v>2020</v>
      </c>
      <c r="E821" s="25">
        <v>9.9771428571428569</v>
      </c>
      <c r="F821" s="25">
        <v>6.75</v>
      </c>
      <c r="G821" s="25">
        <v>9.8026324616602489E-2</v>
      </c>
      <c r="H821" s="25">
        <v>0.10514953513140093</v>
      </c>
      <c r="I821" s="25">
        <v>-0.62182943878570007</v>
      </c>
      <c r="J821" s="25">
        <v>-8.354912720881244E-2</v>
      </c>
      <c r="K821" s="25">
        <v>-8.9620333323738519E-2</v>
      </c>
      <c r="L821" s="25">
        <v>0.6</v>
      </c>
      <c r="M821" s="24">
        <v>2</v>
      </c>
      <c r="N821" s="108">
        <v>0.9</v>
      </c>
      <c r="O821" s="24">
        <v>4</v>
      </c>
      <c r="P821" s="24">
        <v>0</v>
      </c>
      <c r="Q821" s="24">
        <v>4</v>
      </c>
      <c r="R821" s="24">
        <v>3</v>
      </c>
      <c r="S821" s="24">
        <v>0</v>
      </c>
      <c r="T821" s="24">
        <v>0</v>
      </c>
      <c r="U821" s="24">
        <v>74531000000</v>
      </c>
      <c r="V821" s="109">
        <v>-0.11521470224421276</v>
      </c>
      <c r="W821" s="109">
        <v>0.55309924729307269</v>
      </c>
      <c r="X821" s="109">
        <v>2.243259314915941</v>
      </c>
      <c r="Y821" s="109">
        <v>-0.57894191678630369</v>
      </c>
      <c r="Z821" s="109">
        <v>9.9857788119353952</v>
      </c>
      <c r="AA821" s="109">
        <v>12.203195457358106</v>
      </c>
      <c r="AD821" s="111"/>
    </row>
    <row r="822" spans="1:30" ht="15" customHeight="1" x14ac:dyDescent="0.3">
      <c r="A822" s="22" t="s">
        <v>154</v>
      </c>
      <c r="B822" s="23">
        <v>102</v>
      </c>
      <c r="C822" s="3" t="s">
        <v>134</v>
      </c>
      <c r="D822" s="23">
        <v>2021</v>
      </c>
      <c r="E822" s="25">
        <v>8.4582074521651567</v>
      </c>
      <c r="F822" s="25">
        <v>6.9224572004028193</v>
      </c>
      <c r="G822" s="25">
        <v>0.10178958930532858</v>
      </c>
      <c r="H822" s="25">
        <v>0.1284439336060309</v>
      </c>
      <c r="I822" s="25">
        <v>-9.980217606330366E-2</v>
      </c>
      <c r="J822" s="25">
        <v>-1.3515685696680687E-2</v>
      </c>
      <c r="K822" s="25">
        <v>-1.7054866299313749E-2</v>
      </c>
      <c r="L822" s="25">
        <v>0.6</v>
      </c>
      <c r="M822" s="24">
        <v>2</v>
      </c>
      <c r="N822" s="108">
        <v>1</v>
      </c>
      <c r="O822" s="24">
        <v>4</v>
      </c>
      <c r="P822" s="24">
        <v>0</v>
      </c>
      <c r="Q822" s="24">
        <v>4</v>
      </c>
      <c r="R822" s="24">
        <v>3</v>
      </c>
      <c r="S822" s="24">
        <v>0</v>
      </c>
      <c r="T822" s="24">
        <v>0</v>
      </c>
      <c r="U822" s="24">
        <v>74654000000</v>
      </c>
      <c r="V822" s="109">
        <v>9.586578789694428E-3</v>
      </c>
      <c r="W822" s="109">
        <v>0.65078040024647033</v>
      </c>
      <c r="X822" s="109">
        <v>2.1928384279475983</v>
      </c>
      <c r="Y822" s="109">
        <v>-9.2175636938409189E-2</v>
      </c>
      <c r="Z822" s="109">
        <v>8.1747729964469009</v>
      </c>
      <c r="AA822" s="109">
        <v>10.926216187702561</v>
      </c>
      <c r="AD822" s="111"/>
    </row>
    <row r="823" spans="1:30" ht="15" customHeight="1" x14ac:dyDescent="0.3">
      <c r="A823" s="22" t="s">
        <v>154</v>
      </c>
      <c r="B823" s="23">
        <v>102</v>
      </c>
      <c r="C823" s="3" t="s">
        <v>134</v>
      </c>
      <c r="D823" s="23">
        <v>2022</v>
      </c>
      <c r="E823" s="25">
        <v>10.850450450450451</v>
      </c>
      <c r="F823" s="25">
        <v>7.9927927927927929</v>
      </c>
      <c r="G823" s="25">
        <v>9.3593238822246461E-2</v>
      </c>
      <c r="H823" s="25">
        <v>0.10504413812095528</v>
      </c>
      <c r="I823" s="25">
        <v>-0.11034352228636321</v>
      </c>
      <c r="J823" s="25">
        <v>-1.589422028353326E-2</v>
      </c>
      <c r="K823" s="25">
        <v>-1.7838838486605571E-2</v>
      </c>
      <c r="L823" s="25">
        <v>0.6</v>
      </c>
      <c r="M823" s="24">
        <v>2</v>
      </c>
      <c r="N823" s="108">
        <v>1</v>
      </c>
      <c r="O823" s="24">
        <v>4</v>
      </c>
      <c r="P823" s="24">
        <v>0</v>
      </c>
      <c r="Q823" s="24">
        <v>4</v>
      </c>
      <c r="R823" s="24">
        <v>3</v>
      </c>
      <c r="S823" s="24">
        <v>0</v>
      </c>
      <c r="T823" s="24">
        <v>0</v>
      </c>
      <c r="U823" s="24">
        <v>73360000000</v>
      </c>
      <c r="V823" s="109">
        <v>4.5202769535113749E-2</v>
      </c>
      <c r="W823" s="109">
        <v>0.48887022900763361</v>
      </c>
      <c r="X823" s="109">
        <v>1.6264449291166847</v>
      </c>
      <c r="Y823" s="109">
        <v>-0.12888549618320611</v>
      </c>
      <c r="Z823" s="109">
        <v>9.9957981357413352</v>
      </c>
      <c r="AA823" s="109">
        <v>11.982227797682448</v>
      </c>
      <c r="AD823" s="111"/>
    </row>
    <row r="824" spans="1:30" ht="15" customHeight="1" x14ac:dyDescent="0.3">
      <c r="A824" s="22" t="s">
        <v>154</v>
      </c>
      <c r="B824" s="23">
        <v>102</v>
      </c>
      <c r="C824" s="3" t="s">
        <v>134</v>
      </c>
      <c r="D824" s="23">
        <v>2023</v>
      </c>
      <c r="E824" s="25">
        <v>6.7377717391304346</v>
      </c>
      <c r="F824" s="25">
        <v>4.9524456521739131</v>
      </c>
      <c r="G824" s="25">
        <v>0.11000754676297773</v>
      </c>
      <c r="H824" s="25">
        <v>0.14940151542882243</v>
      </c>
      <c r="I824" s="25">
        <v>-0.15414815580121913</v>
      </c>
      <c r="J824" s="25">
        <v>-2.0106732790685138E-2</v>
      </c>
      <c r="K824" s="25">
        <v>-2.7307002452505582E-2</v>
      </c>
      <c r="L824" s="25">
        <v>0.6</v>
      </c>
      <c r="M824" s="24">
        <v>2</v>
      </c>
      <c r="N824" s="108">
        <v>1</v>
      </c>
      <c r="O824" s="24">
        <v>4</v>
      </c>
      <c r="P824" s="24">
        <v>0</v>
      </c>
      <c r="Q824" s="24">
        <v>4</v>
      </c>
      <c r="R824" s="24">
        <v>3</v>
      </c>
      <c r="S824" s="24">
        <v>0</v>
      </c>
      <c r="T824" s="24">
        <v>0</v>
      </c>
      <c r="U824" s="24">
        <v>74204000000</v>
      </c>
      <c r="V824" s="109">
        <v>-8.4035203936784333E-2</v>
      </c>
      <c r="W824" s="109">
        <v>0.37333405207266451</v>
      </c>
      <c r="X824" s="109">
        <v>1.5423977144089267</v>
      </c>
      <c r="Y824" s="109">
        <v>-0.17496415287585576</v>
      </c>
      <c r="Z824" s="109">
        <v>7.0280411613377431</v>
      </c>
      <c r="AA824" s="109">
        <v>8.7688087749434782</v>
      </c>
      <c r="AD824" s="111"/>
    </row>
    <row r="825" spans="1:30" ht="15" customHeight="1" x14ac:dyDescent="0.3">
      <c r="A825" s="22" t="s">
        <v>154</v>
      </c>
      <c r="B825" s="23">
        <v>102</v>
      </c>
      <c r="C825" s="3" t="s">
        <v>134</v>
      </c>
      <c r="D825" s="23">
        <v>2024</v>
      </c>
      <c r="E825" s="25">
        <v>47.333333333333336</v>
      </c>
      <c r="F825" s="25">
        <v>29.146341463414632</v>
      </c>
      <c r="G825" s="25">
        <v>3.9559561337299647E-2</v>
      </c>
      <c r="H825" s="25">
        <v>5.1010476899295817E-2</v>
      </c>
      <c r="I825" s="25">
        <v>-0.26472269868496284</v>
      </c>
      <c r="J825" s="25">
        <v>-2.7409018928798708E-2</v>
      </c>
      <c r="K825" s="25">
        <v>-3.5342836968760137E-2</v>
      </c>
      <c r="L825" s="25">
        <v>0.6</v>
      </c>
      <c r="M825" s="24">
        <v>2</v>
      </c>
      <c r="N825" s="108">
        <v>1</v>
      </c>
      <c r="O825" s="24">
        <v>3</v>
      </c>
      <c r="P825" s="24">
        <v>3</v>
      </c>
      <c r="Q825" s="24">
        <v>3</v>
      </c>
      <c r="R825" s="24">
        <v>3</v>
      </c>
      <c r="S825" s="24">
        <v>3</v>
      </c>
      <c r="T825" s="24">
        <v>5</v>
      </c>
      <c r="U825" s="24">
        <v>67569000000</v>
      </c>
      <c r="V825" s="109">
        <v>-0.27719805765058375</v>
      </c>
      <c r="W825" s="109">
        <v>0.55329278219301747</v>
      </c>
      <c r="X825" s="109">
        <v>1.6044532255916173</v>
      </c>
      <c r="Y825" s="109">
        <v>-0.28394086045375838</v>
      </c>
      <c r="Z825" s="109">
        <v>20.584006734006735</v>
      </c>
      <c r="AA825" s="109">
        <v>22.457811881337612</v>
      </c>
      <c r="AD825" s="111"/>
    </row>
    <row r="826" spans="1:30" ht="15" customHeight="1" x14ac:dyDescent="0.3">
      <c r="A826" s="22" t="s">
        <v>154</v>
      </c>
      <c r="B826" s="23">
        <v>103</v>
      </c>
      <c r="C826" s="2" t="s">
        <v>122</v>
      </c>
      <c r="D826" s="23">
        <v>2015</v>
      </c>
      <c r="E826" s="25">
        <v>3.550575029440505</v>
      </c>
      <c r="F826" s="25">
        <v>0.31111723584976575</v>
      </c>
      <c r="G826" s="25">
        <v>0.53144914215686279</v>
      </c>
      <c r="H826" s="25">
        <v>1.1920252196844103</v>
      </c>
      <c r="I826" s="25">
        <v>0.11138405626409126</v>
      </c>
      <c r="J826" s="25">
        <v>1.2676164215686275E-2</v>
      </c>
      <c r="K826" s="25">
        <v>2.8432273637011778E-2</v>
      </c>
      <c r="L826" s="25">
        <v>0.68979999999999997</v>
      </c>
      <c r="M826" s="24">
        <v>2</v>
      </c>
      <c r="N826" s="108">
        <v>0</v>
      </c>
      <c r="O826" s="24">
        <v>4</v>
      </c>
      <c r="P826" s="24">
        <v>0</v>
      </c>
      <c r="Q826" s="24">
        <v>4</v>
      </c>
      <c r="R826" s="24">
        <v>3</v>
      </c>
      <c r="S826" s="24">
        <v>0</v>
      </c>
      <c r="T826" s="24">
        <v>0</v>
      </c>
      <c r="U826" s="24">
        <v>261120000000</v>
      </c>
      <c r="V826" s="109">
        <v>-6.1014914054600605E-2</v>
      </c>
      <c r="W826" s="109">
        <v>2.557375</v>
      </c>
      <c r="X826" s="109">
        <v>0.37171890318627449</v>
      </c>
      <c r="Y826" s="109">
        <v>6.0580882352941172E-2</v>
      </c>
      <c r="Z826" s="109">
        <v>0.88085384659729637</v>
      </c>
      <c r="AA826" s="109">
        <v>3.8705286321365122</v>
      </c>
      <c r="AD826" s="111"/>
    </row>
    <row r="827" spans="1:30" ht="15" customHeight="1" x14ac:dyDescent="0.3">
      <c r="A827" s="22" t="s">
        <v>154</v>
      </c>
      <c r="B827" s="23">
        <v>103</v>
      </c>
      <c r="C827" s="3" t="s">
        <v>122</v>
      </c>
      <c r="D827" s="23">
        <v>2016</v>
      </c>
      <c r="E827" s="25">
        <v>3.7574259974259974</v>
      </c>
      <c r="F827" s="25">
        <v>0.55191763191763188</v>
      </c>
      <c r="G827" s="25">
        <v>0.33288281670829051</v>
      </c>
      <c r="H827" s="25">
        <v>0.52818958818958817</v>
      </c>
      <c r="I827" s="25">
        <v>0.20228921489601806</v>
      </c>
      <c r="J827" s="25">
        <v>3.0723275059987266E-2</v>
      </c>
      <c r="K827" s="25">
        <v>4.8749028749028749E-2</v>
      </c>
      <c r="L827" s="25">
        <v>0.63680000000000003</v>
      </c>
      <c r="M827" s="24">
        <v>2</v>
      </c>
      <c r="N827" s="108">
        <v>0</v>
      </c>
      <c r="O827" s="24">
        <v>4</v>
      </c>
      <c r="P827" s="24">
        <v>0</v>
      </c>
      <c r="Q827" s="24">
        <v>4</v>
      </c>
      <c r="R827" s="24">
        <v>3</v>
      </c>
      <c r="S827" s="24">
        <v>0</v>
      </c>
      <c r="T827" s="24">
        <v>0</v>
      </c>
      <c r="U827" s="24">
        <v>204210000000</v>
      </c>
      <c r="V827" s="109">
        <v>4.3678702426220684E-2</v>
      </c>
      <c r="W827" s="109">
        <v>1.7206467851721265</v>
      </c>
      <c r="X827" s="109">
        <v>0.54299809020126333</v>
      </c>
      <c r="Y827" s="109">
        <v>0.13735507565741148</v>
      </c>
      <c r="Z827" s="109">
        <v>1.9879225631822059</v>
      </c>
      <c r="AA827" s="109">
        <v>4.3889225142130073</v>
      </c>
      <c r="AD827" s="111"/>
    </row>
    <row r="828" spans="1:30" ht="15" customHeight="1" x14ac:dyDescent="0.3">
      <c r="A828" s="22" t="s">
        <v>154</v>
      </c>
      <c r="B828" s="23">
        <v>103</v>
      </c>
      <c r="C828" s="3" t="s">
        <v>122</v>
      </c>
      <c r="D828" s="23">
        <v>2017</v>
      </c>
      <c r="E828" s="25">
        <v>4.0632494004796165</v>
      </c>
      <c r="F828" s="25">
        <v>0.24835131894484413</v>
      </c>
      <c r="G828" s="25">
        <v>0.33050887152680192</v>
      </c>
      <c r="H828" s="25">
        <v>0.52902234218023692</v>
      </c>
      <c r="I828" s="25">
        <v>0.1003107253830494</v>
      </c>
      <c r="J828" s="25">
        <v>2.1925880126655799E-2</v>
      </c>
      <c r="K828" s="25">
        <v>3.5095216674164043E-2</v>
      </c>
      <c r="L828" s="25">
        <v>0.63680000000000003</v>
      </c>
      <c r="M828" s="24">
        <v>1</v>
      </c>
      <c r="N828" s="108">
        <v>0</v>
      </c>
      <c r="O828" s="24">
        <v>3</v>
      </c>
      <c r="P828" s="24">
        <v>0</v>
      </c>
      <c r="Q828" s="24">
        <v>3</v>
      </c>
      <c r="R828" s="24">
        <v>2</v>
      </c>
      <c r="S828" s="24">
        <v>0</v>
      </c>
      <c r="T828" s="24">
        <v>0</v>
      </c>
      <c r="U828" s="24">
        <v>213492000000</v>
      </c>
      <c r="V828" s="109">
        <v>0.50459455102369821</v>
      </c>
      <c r="W828" s="109">
        <v>1.8840042718228316</v>
      </c>
      <c r="X828" s="109">
        <v>0.59650310081876601</v>
      </c>
      <c r="Y828" s="109">
        <v>0.16562981282671013</v>
      </c>
      <c r="Z828" s="109">
        <v>1.9847932994146908</v>
      </c>
      <c r="AA828" s="109">
        <v>4.6309304848829989</v>
      </c>
      <c r="AD828" s="111"/>
    </row>
    <row r="829" spans="1:30" ht="15" customHeight="1" x14ac:dyDescent="0.3">
      <c r="A829" s="22" t="s">
        <v>154</v>
      </c>
      <c r="B829" s="23">
        <v>103</v>
      </c>
      <c r="C829" s="3" t="s">
        <v>122</v>
      </c>
      <c r="D829" s="23">
        <v>2018</v>
      </c>
      <c r="E829" s="25">
        <v>5.8266346379189127</v>
      </c>
      <c r="F829" s="25">
        <v>0.54015748031496058</v>
      </c>
      <c r="G829" s="25">
        <v>0.35526887573029464</v>
      </c>
      <c r="H829" s="25">
        <v>0.70736141092981186</v>
      </c>
      <c r="I829" s="25">
        <v>0.12109468550652065</v>
      </c>
      <c r="J829" s="25">
        <v>2.4414118225433348E-2</v>
      </c>
      <c r="K829" s="25">
        <v>4.8609957962262175E-2</v>
      </c>
      <c r="L829" s="25">
        <v>0</v>
      </c>
      <c r="M829" s="24">
        <v>0</v>
      </c>
      <c r="N829" s="108">
        <v>0</v>
      </c>
      <c r="O829" s="24">
        <v>0</v>
      </c>
      <c r="P829" s="24">
        <v>0</v>
      </c>
      <c r="Q829" s="24">
        <v>0</v>
      </c>
      <c r="R829" s="24">
        <v>0</v>
      </c>
      <c r="S829" s="24">
        <v>0</v>
      </c>
      <c r="T829" s="24">
        <v>0</v>
      </c>
      <c r="U829" s="24">
        <v>227819000000</v>
      </c>
      <c r="V829" s="109">
        <v>-1.5729133183327977E-2</v>
      </c>
      <c r="W829" s="109">
        <v>2.3721434998836797</v>
      </c>
      <c r="X829" s="109">
        <v>0.60033087670475238</v>
      </c>
      <c r="Y829" s="109">
        <v>0.10002466870629755</v>
      </c>
      <c r="Z829" s="109">
        <v>1.8508676983630021</v>
      </c>
      <c r="AA829" s="109">
        <v>4.9233667436577315</v>
      </c>
      <c r="AD829" s="111"/>
    </row>
    <row r="830" spans="1:30" ht="15" customHeight="1" x14ac:dyDescent="0.3">
      <c r="A830" s="22" t="s">
        <v>154</v>
      </c>
      <c r="B830" s="23">
        <v>103</v>
      </c>
      <c r="C830" s="3" t="s">
        <v>122</v>
      </c>
      <c r="D830" s="23">
        <v>2019</v>
      </c>
      <c r="E830" s="25">
        <v>5.5687754547922887</v>
      </c>
      <c r="F830" s="25">
        <v>0</v>
      </c>
      <c r="G830" s="25">
        <v>0</v>
      </c>
      <c r="H830" s="25">
        <v>0</v>
      </c>
      <c r="I830" s="25">
        <v>0.10564918342732341</v>
      </c>
      <c r="J830" s="25">
        <v>2.7141439476097359E-2</v>
      </c>
      <c r="K830" s="25">
        <v>0</v>
      </c>
      <c r="L830" s="25">
        <v>0.63680000000000003</v>
      </c>
      <c r="M830" s="24">
        <v>2</v>
      </c>
      <c r="N830" s="108">
        <v>0</v>
      </c>
      <c r="O830" s="24">
        <v>3</v>
      </c>
      <c r="P830" s="24">
        <v>0</v>
      </c>
      <c r="Q830" s="24">
        <v>3</v>
      </c>
      <c r="R830" s="24">
        <v>3</v>
      </c>
      <c r="S830" s="24">
        <v>0</v>
      </c>
      <c r="T830" s="24">
        <v>0</v>
      </c>
      <c r="U830" s="24">
        <v>238823000000</v>
      </c>
      <c r="V830" s="109">
        <v>0.33578628812784395</v>
      </c>
      <c r="W830" s="109">
        <v>2.3109961770851215</v>
      </c>
      <c r="X830" s="109">
        <v>0.64640884671911825</v>
      </c>
      <c r="Y830" s="109">
        <v>0.16657692098332239</v>
      </c>
      <c r="Z830" s="109">
        <v>1.4843897105155861</v>
      </c>
      <c r="AA830" s="109">
        <v>4.6083716553031486</v>
      </c>
      <c r="AD830" s="111"/>
    </row>
    <row r="831" spans="1:30" ht="15" customHeight="1" x14ac:dyDescent="0.3">
      <c r="A831" s="22" t="s">
        <v>154</v>
      </c>
      <c r="B831" s="23">
        <v>103</v>
      </c>
      <c r="C831" s="3" t="s">
        <v>122</v>
      </c>
      <c r="D831" s="23">
        <v>2020</v>
      </c>
      <c r="E831" s="25">
        <v>4.4934229843208646</v>
      </c>
      <c r="F831" s="25">
        <v>1.8867813729520231</v>
      </c>
      <c r="G831" s="25">
        <v>0.40115084808136231</v>
      </c>
      <c r="H831" s="25">
        <v>0.66987335266283432</v>
      </c>
      <c r="I831" s="25">
        <v>2.6161797312296522E-2</v>
      </c>
      <c r="J831" s="25">
        <v>6.6080090997290147E-2</v>
      </c>
      <c r="K831" s="25">
        <v>0.11034575225836728</v>
      </c>
      <c r="L831" s="25">
        <v>0.63680000000000003</v>
      </c>
      <c r="M831" s="24">
        <v>2</v>
      </c>
      <c r="N831" s="108">
        <v>0</v>
      </c>
      <c r="O831" s="24">
        <v>3</v>
      </c>
      <c r="P831" s="24">
        <v>0</v>
      </c>
      <c r="Q831" s="24">
        <v>3</v>
      </c>
      <c r="R831" s="24">
        <v>3</v>
      </c>
      <c r="S831" s="24">
        <v>0</v>
      </c>
      <c r="T831" s="24">
        <v>0</v>
      </c>
      <c r="U831" s="24">
        <v>298910000000</v>
      </c>
      <c r="V831" s="109">
        <v>11.305538351207746</v>
      </c>
      <c r="W831" s="109">
        <v>2.6111613529155933</v>
      </c>
      <c r="X831" s="109">
        <v>0.75914342109665112</v>
      </c>
      <c r="Y831" s="109">
        <v>0.49140463684721153</v>
      </c>
      <c r="Z831" s="109">
        <v>1.5674604696934316</v>
      </c>
      <c r="AA831" s="109">
        <v>5.4291698805528874</v>
      </c>
      <c r="AD831" s="111"/>
    </row>
    <row r="832" spans="1:30" ht="15" customHeight="1" x14ac:dyDescent="0.3">
      <c r="A832" s="22" t="s">
        <v>154</v>
      </c>
      <c r="B832" s="23">
        <v>103</v>
      </c>
      <c r="C832" s="3" t="s">
        <v>122</v>
      </c>
      <c r="D832" s="23">
        <v>2021</v>
      </c>
      <c r="E832" s="25">
        <v>2.7356131524761724</v>
      </c>
      <c r="F832" s="25">
        <v>0.64822008533401265</v>
      </c>
      <c r="G832" s="25">
        <v>0.13531469736660692</v>
      </c>
      <c r="H832" s="25">
        <v>0.32944508549249973</v>
      </c>
      <c r="I832" s="25">
        <v>-2.3937174547002265E-2</v>
      </c>
      <c r="J832" s="25">
        <v>-5.444011673330576E-2</v>
      </c>
      <c r="K832" s="25">
        <v>-0.13254309591244448</v>
      </c>
      <c r="L832" s="25">
        <v>0.63680000000000003</v>
      </c>
      <c r="M832" s="24">
        <v>2</v>
      </c>
      <c r="N832" s="108">
        <v>0</v>
      </c>
      <c r="O832" s="24">
        <v>3</v>
      </c>
      <c r="P832" s="24">
        <v>0</v>
      </c>
      <c r="Q832" s="24">
        <v>3</v>
      </c>
      <c r="R832" s="24">
        <v>3</v>
      </c>
      <c r="S832" s="24">
        <v>0</v>
      </c>
      <c r="T832" s="24">
        <v>0</v>
      </c>
      <c r="U832" s="24">
        <v>348144000000</v>
      </c>
      <c r="V832" s="109">
        <v>4.8724890528931357E-2</v>
      </c>
      <c r="W832" s="109">
        <v>1.5406420331816717</v>
      </c>
      <c r="X832" s="109">
        <v>0.43240808401121367</v>
      </c>
      <c r="Y832" s="109">
        <v>-0.41175789328553702</v>
      </c>
      <c r="Z832" s="109">
        <v>3.1871776093740052</v>
      </c>
      <c r="AA832" s="109">
        <v>4.7484698332813533</v>
      </c>
      <c r="AD832" s="111"/>
    </row>
    <row r="833" spans="1:30" ht="15" customHeight="1" x14ac:dyDescent="0.3">
      <c r="A833" s="22" t="s">
        <v>154</v>
      </c>
      <c r="B833" s="23">
        <v>103</v>
      </c>
      <c r="C833" s="3" t="s">
        <v>122</v>
      </c>
      <c r="D833" s="23">
        <v>2022</v>
      </c>
      <c r="E833" s="25">
        <v>1.784686867447709</v>
      </c>
      <c r="F833" s="25">
        <v>0.4542415506348525</v>
      </c>
      <c r="G833" s="25">
        <v>0.17993935062677457</v>
      </c>
      <c r="H833" s="25">
        <v>0.42314405663376875</v>
      </c>
      <c r="I833" s="25">
        <v>5.4758293278701443E-2</v>
      </c>
      <c r="J833" s="25">
        <v>3.0680636073408367E-2</v>
      </c>
      <c r="K833" s="25">
        <v>7.2148358671883614E-2</v>
      </c>
      <c r="L833" s="25">
        <v>0.63680000000000003</v>
      </c>
      <c r="M833" s="24">
        <v>2</v>
      </c>
      <c r="N833" s="108">
        <v>0</v>
      </c>
      <c r="O833" s="24">
        <v>3</v>
      </c>
      <c r="P833" s="24">
        <v>0</v>
      </c>
      <c r="Q833" s="24">
        <v>3</v>
      </c>
      <c r="R833" s="24">
        <v>3</v>
      </c>
      <c r="S833" s="24">
        <v>0</v>
      </c>
      <c r="T833" s="24">
        <v>0</v>
      </c>
      <c r="U833" s="24">
        <v>362411000000</v>
      </c>
      <c r="V833" s="109">
        <v>-0.74354524799155319</v>
      </c>
      <c r="W833" s="109">
        <v>0.92624605765277535</v>
      </c>
      <c r="X833" s="109">
        <v>0.52527224615146884</v>
      </c>
      <c r="Y833" s="109">
        <v>0.22393757363876921</v>
      </c>
      <c r="Z833" s="109">
        <v>2.4814244310863032</v>
      </c>
      <c r="AA833" s="109">
        <v>4.1568803085293169</v>
      </c>
      <c r="AD833" s="111"/>
    </row>
    <row r="834" spans="1:30" ht="15" customHeight="1" x14ac:dyDescent="0.3">
      <c r="A834" s="22" t="s">
        <v>154</v>
      </c>
      <c r="B834" s="23">
        <v>103</v>
      </c>
      <c r="C834" s="3" t="s">
        <v>122</v>
      </c>
      <c r="D834" s="23">
        <v>2023</v>
      </c>
      <c r="E834" s="25">
        <v>1.82682625815425</v>
      </c>
      <c r="F834" s="25">
        <v>0.34681763864673731</v>
      </c>
      <c r="G834" s="25">
        <v>0.59522558203795917</v>
      </c>
      <c r="H834" s="25">
        <v>1.4705118595063447</v>
      </c>
      <c r="I834" s="25">
        <v>-5.132021538559575E-3</v>
      </c>
      <c r="J834" s="25">
        <v>-6.1088927056299341E-3</v>
      </c>
      <c r="K834" s="25">
        <v>-1.5092091877710554E-2</v>
      </c>
      <c r="L834" s="25">
        <v>0.63680000000000003</v>
      </c>
      <c r="M834" s="24">
        <v>2</v>
      </c>
      <c r="N834" s="108">
        <v>0</v>
      </c>
      <c r="O834" s="24">
        <v>3</v>
      </c>
      <c r="P834" s="24">
        <v>0</v>
      </c>
      <c r="Q834" s="24">
        <v>3</v>
      </c>
      <c r="R834" s="24">
        <v>3</v>
      </c>
      <c r="S834" s="24">
        <v>0</v>
      </c>
      <c r="T834" s="24">
        <v>0</v>
      </c>
      <c r="U834" s="24">
        <v>369134000000</v>
      </c>
      <c r="V834" s="109">
        <v>1.163925222598692</v>
      </c>
      <c r="W834" s="109">
        <v>0.75007428196806569</v>
      </c>
      <c r="X834" s="109">
        <v>0.52300915114836344</v>
      </c>
      <c r="Y834" s="109">
        <v>7.0252211933877665E-2</v>
      </c>
      <c r="Z834" s="109">
        <v>0.71403708389845166</v>
      </c>
      <c r="AA834" s="109">
        <v>2.0573727289487587</v>
      </c>
      <c r="AD834" s="111"/>
    </row>
    <row r="835" spans="1:30" ht="15" customHeight="1" x14ac:dyDescent="0.3">
      <c r="A835" s="22" t="s">
        <v>154</v>
      </c>
      <c r="B835" s="23">
        <v>103</v>
      </c>
      <c r="C835" s="3" t="s">
        <v>122</v>
      </c>
      <c r="D835" s="23">
        <v>2024</v>
      </c>
      <c r="E835" s="25">
        <v>2.3340335612181478</v>
      </c>
      <c r="F835" s="25">
        <v>0.57236793039154754</v>
      </c>
      <c r="G835" s="25">
        <v>0.54325063689664599</v>
      </c>
      <c r="H835" s="25">
        <v>1.1893845526254589</v>
      </c>
      <c r="I835" s="25">
        <v>4.8353818752534958E-2</v>
      </c>
      <c r="J835" s="25">
        <v>1.9099063330947692E-2</v>
      </c>
      <c r="K835" s="25">
        <v>4.1815194226392217E-2</v>
      </c>
      <c r="L835" s="25">
        <v>0.85</v>
      </c>
      <c r="M835" s="24">
        <v>2</v>
      </c>
      <c r="N835" s="108">
        <v>0</v>
      </c>
      <c r="O835" s="24">
        <v>4</v>
      </c>
      <c r="P835" s="24">
        <v>0</v>
      </c>
      <c r="Q835" s="24">
        <v>4</v>
      </c>
      <c r="R835" s="24">
        <v>4</v>
      </c>
      <c r="S835" s="24">
        <v>0</v>
      </c>
      <c r="T835" s="24">
        <v>0</v>
      </c>
      <c r="U835" s="24">
        <v>574269000000</v>
      </c>
      <c r="V835" s="109">
        <v>-0.48377552924683315</v>
      </c>
      <c r="W835" s="109">
        <v>1.2259740295924033</v>
      </c>
      <c r="X835" s="109">
        <v>0.37952126964889277</v>
      </c>
      <c r="Y835" s="109">
        <v>0.11463115717547002</v>
      </c>
      <c r="Z835" s="109">
        <v>0.88280951495647053</v>
      </c>
      <c r="AA835" s="109">
        <v>2.6029359713732365</v>
      </c>
      <c r="AD835" s="111"/>
    </row>
    <row r="836" spans="1:30" ht="15" customHeight="1" x14ac:dyDescent="0.3">
      <c r="A836" s="22" t="s">
        <v>154</v>
      </c>
      <c r="B836" s="23">
        <v>104</v>
      </c>
      <c r="C836" s="2" t="s">
        <v>123</v>
      </c>
      <c r="D836" s="23">
        <v>2015</v>
      </c>
      <c r="E836" s="25">
        <v>0.86376203153798892</v>
      </c>
      <c r="F836" s="25">
        <v>2.4165472045873437E-2</v>
      </c>
      <c r="G836" s="25">
        <v>0.75932690136402103</v>
      </c>
      <c r="H836" s="25">
        <v>3.1550136083655635</v>
      </c>
      <c r="I836" s="25">
        <v>0.32064286320074631</v>
      </c>
      <c r="J836" s="25">
        <v>0.13034132416746103</v>
      </c>
      <c r="K836" s="25">
        <v>0.54156997564818798</v>
      </c>
      <c r="L836" s="25">
        <v>0.51</v>
      </c>
      <c r="M836" s="24">
        <v>2</v>
      </c>
      <c r="N836" s="108">
        <v>0</v>
      </c>
      <c r="O836" s="24">
        <v>4</v>
      </c>
      <c r="P836" s="24">
        <v>0</v>
      </c>
      <c r="Q836" s="24">
        <v>4</v>
      </c>
      <c r="R836" s="24">
        <v>3</v>
      </c>
      <c r="S836" s="24">
        <v>0</v>
      </c>
      <c r="T836" s="24">
        <v>0</v>
      </c>
      <c r="U836" s="24">
        <v>580123000000</v>
      </c>
      <c r="V836" s="109">
        <v>0.20399869297063269</v>
      </c>
      <c r="W836" s="109">
        <v>-3.0090446336380389E-2</v>
      </c>
      <c r="X836" s="109">
        <v>0.22248716220525644</v>
      </c>
      <c r="Y836" s="109">
        <v>1.0165320113148417</v>
      </c>
      <c r="Z836" s="109">
        <v>0.3328036358435697</v>
      </c>
      <c r="AA836" s="109">
        <v>1.5417323630272874</v>
      </c>
      <c r="AD836" s="111"/>
    </row>
    <row r="837" spans="1:30" ht="15" customHeight="1" x14ac:dyDescent="0.3">
      <c r="A837" s="22" t="s">
        <v>154</v>
      </c>
      <c r="B837" s="23">
        <v>104</v>
      </c>
      <c r="C837" s="3" t="s">
        <v>123</v>
      </c>
      <c r="D837" s="23">
        <v>2016</v>
      </c>
      <c r="E837" s="25">
        <v>0.48604431763271128</v>
      </c>
      <c r="F837" s="25">
        <v>3.5205596079063025E-3</v>
      </c>
      <c r="G837" s="25">
        <v>0.79213671798987084</v>
      </c>
      <c r="H837" s="25">
        <v>3.8108544728513909</v>
      </c>
      <c r="I837" s="25">
        <v>0.28485287222053124</v>
      </c>
      <c r="J837" s="25">
        <v>0.11925971975154082</v>
      </c>
      <c r="K837" s="25">
        <v>0.57374115619770349</v>
      </c>
      <c r="L837" s="25">
        <v>0.51</v>
      </c>
      <c r="M837" s="24">
        <v>2</v>
      </c>
      <c r="N837" s="108">
        <v>0</v>
      </c>
      <c r="O837" s="24">
        <v>4</v>
      </c>
      <c r="P837" s="24">
        <v>0</v>
      </c>
      <c r="Q837" s="24">
        <v>4</v>
      </c>
      <c r="R837" s="24">
        <v>3</v>
      </c>
      <c r="S837" s="24">
        <v>0</v>
      </c>
      <c r="T837" s="24">
        <v>0</v>
      </c>
      <c r="U837" s="24">
        <v>580699000000</v>
      </c>
      <c r="V837" s="109">
        <v>3.0964294801119497E-2</v>
      </c>
      <c r="W837" s="109">
        <v>-0.25232376842391668</v>
      </c>
      <c r="X837" s="109">
        <v>0.11631488946941529</v>
      </c>
      <c r="Y837" s="109">
        <v>0.93926250949286971</v>
      </c>
      <c r="Z837" s="109">
        <v>0.2755287580463181</v>
      </c>
      <c r="AA837" s="109">
        <v>1.0787823885846863</v>
      </c>
      <c r="AD837" s="111"/>
    </row>
    <row r="838" spans="1:30" ht="15" customHeight="1" x14ac:dyDescent="0.3">
      <c r="A838" s="22" t="s">
        <v>154</v>
      </c>
      <c r="B838" s="23">
        <v>104</v>
      </c>
      <c r="C838" s="3" t="s">
        <v>123</v>
      </c>
      <c r="D838" s="23">
        <v>2017</v>
      </c>
      <c r="E838" s="25">
        <v>8.0345848615262852E-2</v>
      </c>
      <c r="F838" s="25">
        <v>2.4627756930752543E-3</v>
      </c>
      <c r="G838" s="25">
        <v>0.75965602631800233</v>
      </c>
      <c r="H838" s="25">
        <v>3.1607260160511812</v>
      </c>
      <c r="I838" s="25">
        <v>0.37002451219116261</v>
      </c>
      <c r="J838" s="25">
        <v>0.15646821195121491</v>
      </c>
      <c r="K838" s="25">
        <v>0.65102247736554997</v>
      </c>
      <c r="L838" s="25">
        <v>0.51</v>
      </c>
      <c r="M838" s="24">
        <v>2</v>
      </c>
      <c r="N838" s="108">
        <v>0</v>
      </c>
      <c r="O838" s="24">
        <v>2</v>
      </c>
      <c r="P838" s="24">
        <v>0</v>
      </c>
      <c r="Q838" s="24">
        <v>2</v>
      </c>
      <c r="R838" s="24">
        <v>3</v>
      </c>
      <c r="S838" s="24">
        <v>0</v>
      </c>
      <c r="T838" s="24">
        <v>0</v>
      </c>
      <c r="U838" s="24">
        <v>582719000000</v>
      </c>
      <c r="V838" s="109">
        <v>1.3515848010463882E-2</v>
      </c>
      <c r="W838" s="109">
        <v>-2.9300640617518905</v>
      </c>
      <c r="X838" s="109">
        <v>0.2244890247271841</v>
      </c>
      <c r="Y838" s="109">
        <v>1.2804947839353102</v>
      </c>
      <c r="Z838" s="109">
        <v>0.33220215693095928</v>
      </c>
      <c r="AA838" s="109">
        <v>-1.092878096158437</v>
      </c>
      <c r="AD838" s="111"/>
    </row>
    <row r="839" spans="1:30" ht="15" customHeight="1" x14ac:dyDescent="0.3">
      <c r="A839" s="22" t="s">
        <v>154</v>
      </c>
      <c r="B839" s="23">
        <v>104</v>
      </c>
      <c r="C839" s="3" t="s">
        <v>123</v>
      </c>
      <c r="D839" s="23">
        <v>2018</v>
      </c>
      <c r="E839" s="25">
        <v>8.7517564322352123E-2</v>
      </c>
      <c r="F839" s="25">
        <v>1.8483335795487731E-3</v>
      </c>
      <c r="G839" s="25">
        <v>0.76816021550093871</v>
      </c>
      <c r="H839" s="25">
        <v>3.3133235400503445</v>
      </c>
      <c r="I839" s="25">
        <v>0.29322246506187283</v>
      </c>
      <c r="J839" s="25">
        <v>0.1304181149486662</v>
      </c>
      <c r="K839" s="25">
        <v>0.56253552525707373</v>
      </c>
      <c r="L839" s="25">
        <v>0.51</v>
      </c>
      <c r="M839" s="24">
        <v>2</v>
      </c>
      <c r="N839" s="108">
        <v>0</v>
      </c>
      <c r="O839" s="24">
        <v>2</v>
      </c>
      <c r="P839" s="24">
        <v>0</v>
      </c>
      <c r="Q839" s="24">
        <v>2</v>
      </c>
      <c r="R839" s="24">
        <v>3</v>
      </c>
      <c r="S839" s="24">
        <v>0</v>
      </c>
      <c r="T839" s="24">
        <v>0</v>
      </c>
      <c r="U839" s="24">
        <v>584313000000</v>
      </c>
      <c r="V839" s="109">
        <v>5.470601603844031E-2</v>
      </c>
      <c r="W839" s="109">
        <v>-2.9818426767845314</v>
      </c>
      <c r="X839" s="109">
        <v>0.19720245827150859</v>
      </c>
      <c r="Y839" s="109">
        <v>1.0641814233125055</v>
      </c>
      <c r="Z839" s="109">
        <v>0.316902345125054</v>
      </c>
      <c r="AA839" s="109">
        <v>-1.4035564500754631</v>
      </c>
      <c r="AD839" s="111"/>
    </row>
    <row r="840" spans="1:30" ht="15" customHeight="1" x14ac:dyDescent="0.3">
      <c r="A840" s="22" t="s">
        <v>154</v>
      </c>
      <c r="B840" s="23">
        <v>104</v>
      </c>
      <c r="C840" s="3" t="s">
        <v>123</v>
      </c>
      <c r="D840" s="23">
        <v>2019</v>
      </c>
      <c r="E840" s="25">
        <v>6.339018333211599E-2</v>
      </c>
      <c r="F840" s="25">
        <v>2.2779563216711709E-3</v>
      </c>
      <c r="G840" s="25">
        <v>0.7032558347147011</v>
      </c>
      <c r="H840" s="25">
        <v>2.369906191882726</v>
      </c>
      <c r="I840" s="25">
        <v>0.31857203264746009</v>
      </c>
      <c r="J840" s="25">
        <v>0.16202885553767837</v>
      </c>
      <c r="K840" s="25">
        <v>0.54602204354009409</v>
      </c>
      <c r="L840" s="25">
        <v>0.51</v>
      </c>
      <c r="M840" s="24">
        <v>2</v>
      </c>
      <c r="N840" s="108">
        <v>0</v>
      </c>
      <c r="O840" s="24">
        <v>4</v>
      </c>
      <c r="P840" s="24">
        <v>0</v>
      </c>
      <c r="Q840" s="24">
        <v>4</v>
      </c>
      <c r="R840" s="24">
        <v>4</v>
      </c>
      <c r="S840" s="24">
        <v>0</v>
      </c>
      <c r="T840" s="24">
        <v>0</v>
      </c>
      <c r="U840" s="24">
        <v>492869000000</v>
      </c>
      <c r="V840" s="109">
        <v>-3.5438342670688912E-2</v>
      </c>
      <c r="W840" s="109">
        <v>-2.7307767378350025</v>
      </c>
      <c r="X840" s="109">
        <v>0.30599230221417856</v>
      </c>
      <c r="Y840" s="109">
        <v>1.2951641105445868</v>
      </c>
      <c r="Z840" s="109">
        <v>0.44305551147821925</v>
      </c>
      <c r="AA840" s="109">
        <v>-0.68656481359801802</v>
      </c>
      <c r="AD840" s="111"/>
    </row>
    <row r="841" spans="1:30" ht="15" customHeight="1" x14ac:dyDescent="0.3">
      <c r="A841" s="22" t="s">
        <v>154</v>
      </c>
      <c r="B841" s="23">
        <v>104</v>
      </c>
      <c r="C841" s="3" t="s">
        <v>123</v>
      </c>
      <c r="D841" s="23">
        <v>2020</v>
      </c>
      <c r="E841" s="25">
        <v>4.5575624563049227E-2</v>
      </c>
      <c r="F841" s="25">
        <v>1.9911680634341895E-3</v>
      </c>
      <c r="G841" s="25">
        <v>0.5774891591237602</v>
      </c>
      <c r="H841" s="25">
        <v>1.3668031758099104</v>
      </c>
      <c r="I841" s="25">
        <v>0.50375507680962173</v>
      </c>
      <c r="J841" s="25">
        <v>0.28151732873536744</v>
      </c>
      <c r="K841" s="25">
        <v>0.66629610769639025</v>
      </c>
      <c r="L841" s="25">
        <v>0.51</v>
      </c>
      <c r="M841" s="24">
        <v>2</v>
      </c>
      <c r="N841" s="108">
        <v>0</v>
      </c>
      <c r="O841" s="24">
        <v>4</v>
      </c>
      <c r="P841" s="24">
        <v>0</v>
      </c>
      <c r="Q841" s="24">
        <v>4</v>
      </c>
      <c r="R841" s="24">
        <v>4</v>
      </c>
      <c r="S841" s="24">
        <v>0</v>
      </c>
      <c r="T841" s="24">
        <v>0</v>
      </c>
      <c r="U841" s="24">
        <v>330001000000</v>
      </c>
      <c r="V841" s="109">
        <v>-0.26432714478334757</v>
      </c>
      <c r="W841" s="109">
        <v>-2.143900897270008</v>
      </c>
      <c r="X841" s="109">
        <v>0.38957869824636893</v>
      </c>
      <c r="Y841" s="109">
        <v>2.3110620876906429</v>
      </c>
      <c r="Z841" s="109">
        <v>0.76821594987721187</v>
      </c>
      <c r="AA841" s="109">
        <v>1.3249558385442157</v>
      </c>
      <c r="AD841" s="111"/>
    </row>
    <row r="842" spans="1:30" ht="15" customHeight="1" x14ac:dyDescent="0.3">
      <c r="A842" s="22" t="s">
        <v>154</v>
      </c>
      <c r="B842" s="23">
        <v>104</v>
      </c>
      <c r="C842" s="3" t="s">
        <v>123</v>
      </c>
      <c r="D842" s="23">
        <v>2021</v>
      </c>
      <c r="E842" s="25">
        <v>8.1843109203624226E-2</v>
      </c>
      <c r="F842" s="25">
        <v>7.20274996026069E-3</v>
      </c>
      <c r="G842" s="25">
        <v>0.50675570547489091</v>
      </c>
      <c r="H842" s="25">
        <v>1.0273929391576451</v>
      </c>
      <c r="I842" s="25">
        <v>0.3853799836166637</v>
      </c>
      <c r="J842" s="25">
        <v>0.1420036221285918</v>
      </c>
      <c r="K842" s="25">
        <v>0.2878971408383173</v>
      </c>
      <c r="L842" s="25">
        <v>0.51</v>
      </c>
      <c r="M842" s="24">
        <v>2</v>
      </c>
      <c r="N842" s="108">
        <v>0</v>
      </c>
      <c r="O842" s="24">
        <v>3</v>
      </c>
      <c r="P842" s="24">
        <v>0</v>
      </c>
      <c r="Q842" s="24">
        <v>3</v>
      </c>
      <c r="R842" s="24">
        <v>4</v>
      </c>
      <c r="S842" s="24">
        <v>0</v>
      </c>
      <c r="T842" s="24">
        <v>0</v>
      </c>
      <c r="U842" s="24">
        <v>321358000000</v>
      </c>
      <c r="V842" s="109">
        <v>-0.35790626677583953</v>
      </c>
      <c r="W842" s="109">
        <v>-1.8865628986986476</v>
      </c>
      <c r="X842" s="109">
        <v>0.59395751778390449</v>
      </c>
      <c r="Y842" s="109">
        <v>1.1271167980881134</v>
      </c>
      <c r="Z842" s="109">
        <v>1.0220042984341418</v>
      </c>
      <c r="AA842" s="109">
        <v>0.85651571560751205</v>
      </c>
      <c r="AD842" s="111"/>
    </row>
    <row r="843" spans="1:30" ht="15" customHeight="1" x14ac:dyDescent="0.3">
      <c r="A843" s="22" t="s">
        <v>154</v>
      </c>
      <c r="B843" s="23">
        <v>104</v>
      </c>
      <c r="C843" s="3" t="s">
        <v>123</v>
      </c>
      <c r="D843" s="23">
        <v>2022</v>
      </c>
      <c r="E843" s="25">
        <v>4.2902790218859045E-2</v>
      </c>
      <c r="F843" s="25">
        <v>1.93858042434857E-3</v>
      </c>
      <c r="G843" s="25">
        <v>0.58234371040121646</v>
      </c>
      <c r="H843" s="25">
        <v>1.3943132784152201</v>
      </c>
      <c r="I843" s="25">
        <v>0.31840668470778144</v>
      </c>
      <c r="J843" s="25">
        <v>8.5841842938584934E-2</v>
      </c>
      <c r="K843" s="25">
        <v>0.2055322643914877</v>
      </c>
      <c r="L843" s="25">
        <v>0.51</v>
      </c>
      <c r="M843" s="24">
        <v>2</v>
      </c>
      <c r="N843" s="108">
        <v>0</v>
      </c>
      <c r="O843" s="24">
        <v>3</v>
      </c>
      <c r="P843" s="24">
        <v>0</v>
      </c>
      <c r="Q843" s="24">
        <v>3</v>
      </c>
      <c r="R843" s="24">
        <v>4</v>
      </c>
      <c r="S843" s="24">
        <v>0</v>
      </c>
      <c r="T843" s="24">
        <v>0</v>
      </c>
      <c r="U843" s="24">
        <v>390637000000</v>
      </c>
      <c r="V843" s="109">
        <v>-0.11061285500747384</v>
      </c>
      <c r="W843" s="109">
        <v>-2.404366611457696</v>
      </c>
      <c r="X843" s="109">
        <v>0.52646600296438895</v>
      </c>
      <c r="Y843" s="109">
        <v>0.66564017233390582</v>
      </c>
      <c r="Z843" s="109">
        <v>0.75305888300327495</v>
      </c>
      <c r="AA843" s="109">
        <v>-0.45920155315612643</v>
      </c>
      <c r="AD843" s="111"/>
    </row>
    <row r="844" spans="1:30" ht="15" customHeight="1" x14ac:dyDescent="0.3">
      <c r="A844" s="22" t="s">
        <v>154</v>
      </c>
      <c r="B844" s="23">
        <v>104</v>
      </c>
      <c r="C844" s="3" t="s">
        <v>123</v>
      </c>
      <c r="D844" s="23">
        <v>2023</v>
      </c>
      <c r="E844" s="25">
        <v>6.2014092546302677E-2</v>
      </c>
      <c r="F844" s="25">
        <v>1.4712539610683567E-3</v>
      </c>
      <c r="G844" s="25">
        <v>0.61477467739756275</v>
      </c>
      <c r="H844" s="25">
        <v>1.5958833475545597</v>
      </c>
      <c r="I844" s="25">
        <v>0.29165242652084755</v>
      </c>
      <c r="J844" s="25">
        <v>8.2603163207895319E-2</v>
      </c>
      <c r="K844" s="25">
        <v>0.21442817582670695</v>
      </c>
      <c r="L844" s="25">
        <v>0.51</v>
      </c>
      <c r="M844" s="24">
        <v>2</v>
      </c>
      <c r="N844" s="108">
        <v>0</v>
      </c>
      <c r="O844" s="24">
        <v>3</v>
      </c>
      <c r="P844" s="24">
        <v>0</v>
      </c>
      <c r="Q844" s="24">
        <v>3</v>
      </c>
      <c r="R844" s="24">
        <v>4</v>
      </c>
      <c r="S844" s="24">
        <v>0</v>
      </c>
      <c r="T844" s="24">
        <v>0</v>
      </c>
      <c r="U844" s="24">
        <v>495889000000</v>
      </c>
      <c r="V844" s="109">
        <v>0.33359920239282154</v>
      </c>
      <c r="W844" s="109">
        <v>-2.5217336944356497</v>
      </c>
      <c r="X844" s="109">
        <v>0.59724603691551936</v>
      </c>
      <c r="Y844" s="109">
        <v>0.63126578730320693</v>
      </c>
      <c r="Z844" s="109">
        <v>0.65794282621531197</v>
      </c>
      <c r="AA844" s="109">
        <v>-0.63527904400161139</v>
      </c>
      <c r="AD844" s="111"/>
    </row>
    <row r="845" spans="1:30" ht="15" customHeight="1" x14ac:dyDescent="0.3">
      <c r="A845" s="22" t="s">
        <v>154</v>
      </c>
      <c r="B845" s="23">
        <v>104</v>
      </c>
      <c r="C845" s="3" t="s">
        <v>123</v>
      </c>
      <c r="D845" s="23">
        <v>2024</v>
      </c>
      <c r="E845" s="25">
        <v>5.8188452956489403E-2</v>
      </c>
      <c r="F845" s="25">
        <v>2.2700508243461014E-3</v>
      </c>
      <c r="G845" s="25">
        <v>0.61006748159200697</v>
      </c>
      <c r="H845" s="25">
        <v>1.5645463068399006</v>
      </c>
      <c r="I845" s="25">
        <v>0.31652482191418851</v>
      </c>
      <c r="J845" s="25">
        <v>9.0212894145999353E-2</v>
      </c>
      <c r="K845" s="25">
        <v>0.23135514451146152</v>
      </c>
      <c r="L845" s="25">
        <v>0.51</v>
      </c>
      <c r="M845" s="24">
        <v>2</v>
      </c>
      <c r="N845" s="108">
        <v>0</v>
      </c>
      <c r="O845" s="24">
        <v>3</v>
      </c>
      <c r="P845" s="24">
        <v>0</v>
      </c>
      <c r="Q845" s="24">
        <v>3</v>
      </c>
      <c r="R845" s="24">
        <v>4</v>
      </c>
      <c r="S845" s="24">
        <v>0</v>
      </c>
      <c r="T845" s="24">
        <v>0</v>
      </c>
      <c r="U845" s="24">
        <v>637359000000</v>
      </c>
      <c r="V845" s="109">
        <v>0.29338972431077692</v>
      </c>
      <c r="W845" s="109">
        <v>-2.5023367991979399</v>
      </c>
      <c r="X845" s="109">
        <v>0.75888107016610729</v>
      </c>
      <c r="Y845" s="109">
        <v>0.69441655330826102</v>
      </c>
      <c r="Z845" s="109">
        <v>0.67112107542589094</v>
      </c>
      <c r="AA845" s="109">
        <v>-0.3779181002976808</v>
      </c>
      <c r="AD845" s="111"/>
    </row>
    <row r="846" spans="1:30" ht="15" customHeight="1" x14ac:dyDescent="0.3">
      <c r="A846" s="22" t="s">
        <v>154</v>
      </c>
      <c r="B846" s="23">
        <v>105</v>
      </c>
      <c r="C846" s="3" t="s">
        <v>135</v>
      </c>
      <c r="D846" s="23">
        <v>2016</v>
      </c>
      <c r="E846" s="25">
        <v>2.6816005108013194</v>
      </c>
      <c r="F846" s="25">
        <v>0.57294881345110138</v>
      </c>
      <c r="G846" s="25">
        <v>0.52655550062175083</v>
      </c>
      <c r="H846" s="25">
        <v>2.4059419496166483</v>
      </c>
      <c r="I846" s="25">
        <v>-0.52814132600850971</v>
      </c>
      <c r="J846" s="25">
        <v>-0.2203694548069576</v>
      </c>
      <c r="K846" s="25">
        <v>-1.0069140197152244</v>
      </c>
      <c r="L846" s="25">
        <v>0</v>
      </c>
      <c r="M846" s="24">
        <v>0</v>
      </c>
      <c r="N846" s="108">
        <v>0</v>
      </c>
      <c r="O846" s="24">
        <v>0</v>
      </c>
      <c r="P846" s="24">
        <v>0</v>
      </c>
      <c r="Q846" s="24">
        <v>0</v>
      </c>
      <c r="R846" s="24">
        <v>0</v>
      </c>
      <c r="S846" s="24">
        <v>0</v>
      </c>
      <c r="T846" s="24">
        <v>0</v>
      </c>
      <c r="U846" s="24">
        <v>133494000000</v>
      </c>
      <c r="V846" s="109">
        <v>0</v>
      </c>
      <c r="W846" s="109">
        <v>0.77652269015835917</v>
      </c>
      <c r="X846" s="109">
        <v>-0.50755719358173401</v>
      </c>
      <c r="Y846" s="109">
        <v>-1.3168268236774687</v>
      </c>
      <c r="Z846" s="109">
        <v>0.43641950719854322</v>
      </c>
      <c r="AA846" s="109">
        <v>-0.61144181990230018</v>
      </c>
      <c r="AD846" s="111"/>
    </row>
    <row r="847" spans="1:30" ht="15" customHeight="1" x14ac:dyDescent="0.3">
      <c r="A847" s="22" t="s">
        <v>154</v>
      </c>
      <c r="B847" s="23">
        <v>105</v>
      </c>
      <c r="C847" s="3" t="s">
        <v>135</v>
      </c>
      <c r="D847" s="23">
        <v>2017</v>
      </c>
      <c r="E847" s="25">
        <v>1.1884371200864514</v>
      </c>
      <c r="F847" s="25">
        <v>0.24841280561934351</v>
      </c>
      <c r="G847" s="25">
        <v>0.54766279582537114</v>
      </c>
      <c r="H847" s="25">
        <v>4.0737129840546693</v>
      </c>
      <c r="I847" s="25">
        <v>-0.14625074564019791</v>
      </c>
      <c r="J847" s="25">
        <v>-5.1055906707824977E-2</v>
      </c>
      <c r="K847" s="25">
        <v>-0.3797722095671982</v>
      </c>
      <c r="L847" s="25">
        <v>0.95</v>
      </c>
      <c r="M847" s="24">
        <v>0</v>
      </c>
      <c r="N847" s="108">
        <v>0</v>
      </c>
      <c r="O847" s="24">
        <v>1</v>
      </c>
      <c r="P847" s="24">
        <v>0</v>
      </c>
      <c r="Q847" s="24">
        <v>1</v>
      </c>
      <c r="R847" s="24">
        <v>1</v>
      </c>
      <c r="S847" s="24">
        <v>0</v>
      </c>
      <c r="T847" s="24">
        <v>0</v>
      </c>
      <c r="U847" s="24">
        <v>81636000000</v>
      </c>
      <c r="V847" s="109">
        <v>-0.48835748011705354</v>
      </c>
      <c r="W847" s="109">
        <v>0.11209760399823607</v>
      </c>
      <c r="X847" s="109">
        <v>-1.5584394139840265</v>
      </c>
      <c r="Y847" s="109">
        <v>-0.20982507717183596</v>
      </c>
      <c r="Z847" s="109">
        <v>0.25775011742602161</v>
      </c>
      <c r="AA847" s="109">
        <v>-1.3984167697316048</v>
      </c>
      <c r="AD847" s="111"/>
    </row>
    <row r="848" spans="1:30" ht="15" customHeight="1" x14ac:dyDescent="0.3">
      <c r="A848" s="22" t="s">
        <v>154</v>
      </c>
      <c r="B848" s="23">
        <v>105</v>
      </c>
      <c r="C848" s="3" t="s">
        <v>135</v>
      </c>
      <c r="D848" s="23">
        <v>2018</v>
      </c>
      <c r="E848" s="25">
        <v>1.768985791278785</v>
      </c>
      <c r="F848" s="25">
        <v>0.35962763351298382</v>
      </c>
      <c r="G848" s="25">
        <v>0.31442313574356151</v>
      </c>
      <c r="H848" s="25">
        <v>0.65670616794965986</v>
      </c>
      <c r="I848" s="25">
        <v>0.1250324703437527</v>
      </c>
      <c r="J848" s="25">
        <v>1.1041781366611611E-2</v>
      </c>
      <c r="K848" s="25">
        <v>2.3061935030504362E-2</v>
      </c>
      <c r="L848" s="25">
        <v>0.95</v>
      </c>
      <c r="M848" s="24">
        <v>2</v>
      </c>
      <c r="N848" s="108">
        <v>0</v>
      </c>
      <c r="O848" s="24">
        <v>3</v>
      </c>
      <c r="P848" s="24">
        <v>0</v>
      </c>
      <c r="Q848" s="24">
        <v>3</v>
      </c>
      <c r="R848" s="24">
        <v>2</v>
      </c>
      <c r="S848" s="24">
        <v>0</v>
      </c>
      <c r="T848" s="24">
        <v>0</v>
      </c>
      <c r="U848" s="24">
        <v>130776000000</v>
      </c>
      <c r="V848" s="109">
        <v>-0.59475771079687012</v>
      </c>
      <c r="W848" s="109">
        <v>0.15745886095308007</v>
      </c>
      <c r="X848" s="109">
        <v>-0.93684865724597777</v>
      </c>
      <c r="Y848" s="109">
        <v>3.1447972104973389E-2</v>
      </c>
      <c r="Z848" s="109">
        <v>1.5988885916486295</v>
      </c>
      <c r="AA848" s="109">
        <v>0.85094676746070519</v>
      </c>
      <c r="AD848" s="111"/>
    </row>
    <row r="849" spans="1:30" ht="15" customHeight="1" x14ac:dyDescent="0.3">
      <c r="A849" s="22" t="s">
        <v>154</v>
      </c>
      <c r="B849" s="23">
        <v>105</v>
      </c>
      <c r="C849" s="3" t="s">
        <v>135</v>
      </c>
      <c r="D849" s="23">
        <v>2019</v>
      </c>
      <c r="E849" s="25">
        <v>0.96720359123316613</v>
      </c>
      <c r="F849" s="25">
        <v>0.12880908370742011</v>
      </c>
      <c r="G849" s="25">
        <v>0.36244128495318556</v>
      </c>
      <c r="H849" s="25">
        <v>0.87735229926283176</v>
      </c>
      <c r="I849" s="25">
        <v>4.6720694389088172E-2</v>
      </c>
      <c r="J849" s="25">
        <v>6.6517449008543237E-3</v>
      </c>
      <c r="K849" s="25">
        <v>1.61017078493918E-2</v>
      </c>
      <c r="L849" s="25">
        <v>0.95</v>
      </c>
      <c r="M849" s="24">
        <v>2</v>
      </c>
      <c r="N849" s="108">
        <v>2.5000000000000001E-2</v>
      </c>
      <c r="O849" s="24">
        <v>3</v>
      </c>
      <c r="P849" s="24">
        <v>0</v>
      </c>
      <c r="Q849" s="24">
        <v>3</v>
      </c>
      <c r="R849" s="24">
        <v>3</v>
      </c>
      <c r="S849" s="24">
        <v>0</v>
      </c>
      <c r="T849" s="24">
        <v>0</v>
      </c>
      <c r="U849" s="24">
        <v>158605000000</v>
      </c>
      <c r="V849" s="109">
        <v>0.95523421941293618</v>
      </c>
      <c r="W849" s="109">
        <v>-2.5684940575643894E-2</v>
      </c>
      <c r="X849" s="109">
        <v>-0.75078351880457739</v>
      </c>
      <c r="Y849" s="109">
        <v>2.5718230825005517E-2</v>
      </c>
      <c r="Z849" s="109">
        <v>1.1967826389492913</v>
      </c>
      <c r="AA849" s="109">
        <v>0.4460324103940756</v>
      </c>
      <c r="AD849" s="111"/>
    </row>
    <row r="850" spans="1:30" ht="15" customHeight="1" x14ac:dyDescent="0.3">
      <c r="A850" s="22" t="s">
        <v>154</v>
      </c>
      <c r="B850" s="23">
        <v>105</v>
      </c>
      <c r="C850" s="3" t="s">
        <v>135</v>
      </c>
      <c r="D850" s="23">
        <v>2020</v>
      </c>
      <c r="E850" s="25">
        <v>1.8350766236925322</v>
      </c>
      <c r="F850" s="25">
        <v>0.15859888105083922</v>
      </c>
      <c r="G850" s="25">
        <v>0.36558724583712415</v>
      </c>
      <c r="H850" s="25">
        <v>1.0053529608564737</v>
      </c>
      <c r="I850" s="25">
        <v>0.11051563391894463</v>
      </c>
      <c r="J850" s="25">
        <v>1.8434081628335063E-2</v>
      </c>
      <c r="K850" s="25">
        <v>5.0693121154377643E-2</v>
      </c>
      <c r="L850" s="25">
        <v>0.95</v>
      </c>
      <c r="M850" s="24">
        <v>2</v>
      </c>
      <c r="N850" s="108">
        <v>2.5000000000000001E-2</v>
      </c>
      <c r="O850" s="24">
        <v>3</v>
      </c>
      <c r="P850" s="24">
        <v>0</v>
      </c>
      <c r="Q850" s="24">
        <v>3</v>
      </c>
      <c r="R850" s="24">
        <v>4</v>
      </c>
      <c r="S850" s="24">
        <v>0</v>
      </c>
      <c r="T850" s="24">
        <v>0</v>
      </c>
      <c r="U850" s="24">
        <v>189052000000</v>
      </c>
      <c r="V850" s="109">
        <v>0.39648376954076436</v>
      </c>
      <c r="W850" s="109">
        <v>0.59561602098893429</v>
      </c>
      <c r="X850" s="109">
        <v>-0.56761853881471769</v>
      </c>
      <c r="Y850" s="109">
        <v>0.15274019846391468</v>
      </c>
      <c r="Z850" s="109">
        <v>1.0444093178036606</v>
      </c>
      <c r="AA850" s="109">
        <v>1.225146998441792</v>
      </c>
      <c r="AD850" s="111"/>
    </row>
    <row r="851" spans="1:30" ht="15" customHeight="1" x14ac:dyDescent="0.3">
      <c r="A851" s="22" t="s">
        <v>154</v>
      </c>
      <c r="B851" s="23">
        <v>105</v>
      </c>
      <c r="C851" s="3" t="s">
        <v>135</v>
      </c>
      <c r="D851" s="23">
        <v>2021</v>
      </c>
      <c r="E851" s="25">
        <v>2.8308692377819176</v>
      </c>
      <c r="F851" s="25">
        <v>7.8045106821514929E-2</v>
      </c>
      <c r="G851" s="25">
        <v>0.48395452381619108</v>
      </c>
      <c r="H851" s="25">
        <v>1.4688301202600678</v>
      </c>
      <c r="I851" s="25">
        <v>4.949274675263108E-2</v>
      </c>
      <c r="J851" s="25">
        <v>1.2181120663101005E-2</v>
      </c>
      <c r="K851" s="25">
        <v>3.6970409507486153E-2</v>
      </c>
      <c r="L851" s="25">
        <v>0.95</v>
      </c>
      <c r="M851" s="24">
        <v>2</v>
      </c>
      <c r="N851" s="108">
        <v>2.5000000000000001E-2</v>
      </c>
      <c r="O851" s="24">
        <v>3</v>
      </c>
      <c r="P851" s="24">
        <v>0</v>
      </c>
      <c r="Q851" s="24">
        <v>3</v>
      </c>
      <c r="R851" s="24">
        <v>3</v>
      </c>
      <c r="S851" s="24">
        <v>0</v>
      </c>
      <c r="T851" s="24">
        <v>0</v>
      </c>
      <c r="U851" s="24">
        <v>214266000000</v>
      </c>
      <c r="V851" s="109">
        <v>0.67232193822540753</v>
      </c>
      <c r="W851" s="109">
        <v>1.414190585533869</v>
      </c>
      <c r="X851" s="109">
        <v>-0.42093080563411828</v>
      </c>
      <c r="Y851" s="109">
        <v>8.2170759709893307E-2</v>
      </c>
      <c r="Z851" s="109">
        <v>0.71485462172718062</v>
      </c>
      <c r="AA851" s="109">
        <v>1.7902851613368247</v>
      </c>
      <c r="AD851" s="111"/>
    </row>
    <row r="852" spans="1:30" ht="15" customHeight="1" x14ac:dyDescent="0.3">
      <c r="A852" s="22" t="s">
        <v>154</v>
      </c>
      <c r="B852" s="23">
        <v>105</v>
      </c>
      <c r="C852" s="3" t="s">
        <v>135</v>
      </c>
      <c r="D852" s="23">
        <v>2022</v>
      </c>
      <c r="E852" s="25">
        <v>2.5357142857142856</v>
      </c>
      <c r="F852" s="25">
        <v>0.21081962756558381</v>
      </c>
      <c r="G852" s="25">
        <v>0.6266817971786578</v>
      </c>
      <c r="H852" s="25">
        <v>2.3638647169642057</v>
      </c>
      <c r="I852" s="25">
        <v>0.10215643064000646</v>
      </c>
      <c r="J852" s="25">
        <v>3.0082085292598735E-2</v>
      </c>
      <c r="K852" s="25">
        <v>0.11347063271347832</v>
      </c>
      <c r="L852" s="25">
        <v>0.95</v>
      </c>
      <c r="M852" s="24">
        <v>2</v>
      </c>
      <c r="N852" s="108">
        <v>2.5000000000000001E-2</v>
      </c>
      <c r="O852" s="24">
        <v>3</v>
      </c>
      <c r="P852" s="24">
        <v>0</v>
      </c>
      <c r="Q852" s="24">
        <v>3</v>
      </c>
      <c r="R852" s="24">
        <v>3</v>
      </c>
      <c r="S852" s="24">
        <v>0</v>
      </c>
      <c r="T852" s="24">
        <v>0</v>
      </c>
      <c r="U852" s="24">
        <v>294328000000</v>
      </c>
      <c r="V852" s="109">
        <v>0.64351948421352045</v>
      </c>
      <c r="W852" s="109">
        <v>1.0072642765893833</v>
      </c>
      <c r="X852" s="109">
        <v>-0.20169538745888937</v>
      </c>
      <c r="Y852" s="109">
        <v>0.24060014677502647</v>
      </c>
      <c r="Z852" s="109">
        <v>0.44418785578747627</v>
      </c>
      <c r="AA852" s="109">
        <v>1.4903568916929968</v>
      </c>
      <c r="AD852" s="111"/>
    </row>
    <row r="853" spans="1:30" ht="15" customHeight="1" x14ac:dyDescent="0.3">
      <c r="A853" s="22" t="s">
        <v>154</v>
      </c>
      <c r="B853" s="23">
        <v>105</v>
      </c>
      <c r="C853" s="3" t="s">
        <v>135</v>
      </c>
      <c r="D853" s="23">
        <v>2023</v>
      </c>
      <c r="E853" s="25">
        <v>2.7549197895693966</v>
      </c>
      <c r="F853" s="25">
        <v>0.16324608690004547</v>
      </c>
      <c r="G853" s="25">
        <v>0.71811505134387499</v>
      </c>
      <c r="H853" s="25">
        <v>2.8786982248520712</v>
      </c>
      <c r="I853" s="25">
        <v>0.109464682527145</v>
      </c>
      <c r="J853" s="25">
        <v>2.8839137323015542E-2</v>
      </c>
      <c r="K853" s="25">
        <v>0.11560706499977755</v>
      </c>
      <c r="L853" s="25">
        <v>0.95</v>
      </c>
      <c r="M853" s="24">
        <v>2</v>
      </c>
      <c r="N853" s="108">
        <v>2.5000000000000001E-2</v>
      </c>
      <c r="O853" s="24">
        <v>3</v>
      </c>
      <c r="P853" s="24">
        <v>0</v>
      </c>
      <c r="Q853" s="24">
        <v>3</v>
      </c>
      <c r="R853" s="24">
        <v>3</v>
      </c>
      <c r="S853" s="24">
        <v>0</v>
      </c>
      <c r="T853" s="24">
        <v>0</v>
      </c>
      <c r="U853" s="24">
        <v>360413000000</v>
      </c>
      <c r="V853" s="109">
        <v>9.5556760623507292E-2</v>
      </c>
      <c r="W853" s="109">
        <v>0.98361868190104118</v>
      </c>
      <c r="X853" s="109">
        <v>-0.10116127886618961</v>
      </c>
      <c r="Y853" s="109">
        <v>0.26802584812423524</v>
      </c>
      <c r="Z853" s="109">
        <v>0.36474820143884895</v>
      </c>
      <c r="AA853" s="109">
        <v>1.5152314525979358</v>
      </c>
      <c r="AD853" s="111"/>
    </row>
    <row r="854" spans="1:30" ht="15" customHeight="1" x14ac:dyDescent="0.3">
      <c r="A854" s="22" t="s">
        <v>154</v>
      </c>
      <c r="B854" s="23">
        <v>105</v>
      </c>
      <c r="C854" s="3" t="s">
        <v>135</v>
      </c>
      <c r="D854" s="23">
        <v>2024</v>
      </c>
      <c r="E854" s="25">
        <v>2.2819653179190751</v>
      </c>
      <c r="F854" s="25">
        <v>0.18878612716763005</v>
      </c>
      <c r="G854" s="25">
        <v>0.63260074764819452</v>
      </c>
      <c r="H854" s="25">
        <v>2.3916568304653043</v>
      </c>
      <c r="I854" s="25">
        <v>4.520028078796122E-2</v>
      </c>
      <c r="J854" s="25">
        <v>1.1285927508250148E-2</v>
      </c>
      <c r="K854" s="25">
        <v>4.2668406121223419E-2</v>
      </c>
      <c r="L854" s="25">
        <v>0.95</v>
      </c>
      <c r="M854" s="24">
        <v>2</v>
      </c>
      <c r="N854" s="108">
        <v>9.5200000000000007E-2</v>
      </c>
      <c r="O854" s="24">
        <v>3</v>
      </c>
      <c r="P854" s="24">
        <v>0</v>
      </c>
      <c r="Q854" s="24">
        <v>3</v>
      </c>
      <c r="R854" s="24">
        <v>3</v>
      </c>
      <c r="S854" s="24">
        <v>0</v>
      </c>
      <c r="T854" s="24">
        <v>0</v>
      </c>
      <c r="U854" s="24">
        <v>365145000000</v>
      </c>
      <c r="V854" s="109">
        <v>-3.9819700272766524E-2</v>
      </c>
      <c r="W854" s="109">
        <v>0.59765714989935503</v>
      </c>
      <c r="X854" s="109">
        <v>-6.3058182365909432E-2</v>
      </c>
      <c r="Y854" s="109">
        <v>0.10217705295156719</v>
      </c>
      <c r="Z854" s="109">
        <v>0.43902619582581143</v>
      </c>
      <c r="AA854" s="109">
        <v>1.0758022163108243</v>
      </c>
      <c r="AD854" s="111"/>
    </row>
    <row r="855" spans="1:30" ht="15" customHeight="1" x14ac:dyDescent="0.3">
      <c r="A855" s="22" t="s">
        <v>154</v>
      </c>
      <c r="B855" s="23">
        <v>106</v>
      </c>
      <c r="C855" s="2" t="s">
        <v>124</v>
      </c>
      <c r="D855" s="23">
        <v>2015</v>
      </c>
      <c r="E855" s="25">
        <v>3.2245341250927844</v>
      </c>
      <c r="F855" s="25">
        <v>0.10275813571902957</v>
      </c>
      <c r="G855" s="25">
        <v>0.73693415410459306</v>
      </c>
      <c r="H855" s="25">
        <v>2.8013296503628706</v>
      </c>
      <c r="I855" s="25">
        <v>0.30410516008646332</v>
      </c>
      <c r="J855" s="25">
        <v>5.6848102979532293E-2</v>
      </c>
      <c r="K855" s="25">
        <v>0.21609837942297797</v>
      </c>
      <c r="L855" s="25">
        <v>0.6</v>
      </c>
      <c r="M855" s="24">
        <v>0</v>
      </c>
      <c r="N855" s="108">
        <v>0</v>
      </c>
      <c r="O855" s="24">
        <v>4</v>
      </c>
      <c r="P855" s="24">
        <v>0</v>
      </c>
      <c r="Q855" s="24">
        <v>4</v>
      </c>
      <c r="R855" s="24">
        <v>4</v>
      </c>
      <c r="S855" s="24">
        <v>0</v>
      </c>
      <c r="T855" s="24">
        <v>0</v>
      </c>
      <c r="U855" s="24">
        <v>2895488000000</v>
      </c>
      <c r="V855" s="109">
        <v>0.14837154732176766</v>
      </c>
      <c r="W855" s="109">
        <v>2.5801217894876443</v>
      </c>
      <c r="X855" s="109">
        <v>0.41163426683170501</v>
      </c>
      <c r="Y855" s="109">
        <v>0.46258299809911141</v>
      </c>
      <c r="Z855" s="109">
        <v>0.37482200635115837</v>
      </c>
      <c r="AA855" s="109">
        <v>3.8291610607696192</v>
      </c>
      <c r="AD855" s="111"/>
    </row>
    <row r="856" spans="1:30" ht="15" customHeight="1" x14ac:dyDescent="0.3">
      <c r="A856" s="22" t="s">
        <v>154</v>
      </c>
      <c r="B856" s="23">
        <v>106</v>
      </c>
      <c r="C856" s="3" t="s">
        <v>124</v>
      </c>
      <c r="D856" s="23">
        <v>2016</v>
      </c>
      <c r="E856" s="25">
        <v>2.4540203623742753</v>
      </c>
      <c r="F856" s="25">
        <v>0.12575280714274711</v>
      </c>
      <c r="G856" s="25">
        <v>0.79046713086191212</v>
      </c>
      <c r="H856" s="25">
        <v>2.3371609957824049</v>
      </c>
      <c r="I856" s="25">
        <v>0.169303033645093</v>
      </c>
      <c r="J856" s="25">
        <v>4.0052558798230761E-2</v>
      </c>
      <c r="K856" s="25">
        <v>0.11842273327979665</v>
      </c>
      <c r="L856" s="25">
        <v>0.6</v>
      </c>
      <c r="M856" s="24">
        <v>0</v>
      </c>
      <c r="N856" s="108">
        <v>0</v>
      </c>
      <c r="O856" s="24">
        <v>4</v>
      </c>
      <c r="P856" s="24">
        <v>0</v>
      </c>
      <c r="Q856" s="24">
        <v>4</v>
      </c>
      <c r="R856" s="24">
        <v>4</v>
      </c>
      <c r="S856" s="24">
        <v>0</v>
      </c>
      <c r="T856" s="24">
        <v>0</v>
      </c>
      <c r="U856" s="24">
        <v>2337953000000</v>
      </c>
      <c r="V856" s="109">
        <v>2.185046280045079E-2</v>
      </c>
      <c r="W856" s="109">
        <v>2.3838784098739367</v>
      </c>
      <c r="X856" s="109">
        <v>0.54411860289749192</v>
      </c>
      <c r="Y856" s="109">
        <v>0.3175968036996466</v>
      </c>
      <c r="Z856" s="109">
        <v>0.44926301692301451</v>
      </c>
      <c r="AA856" s="109">
        <v>3.6948568333940894</v>
      </c>
      <c r="AD856" s="111"/>
    </row>
    <row r="857" spans="1:30" ht="15" customHeight="1" x14ac:dyDescent="0.3">
      <c r="A857" s="22" t="s">
        <v>154</v>
      </c>
      <c r="B857" s="23">
        <v>106</v>
      </c>
      <c r="C857" s="3" t="s">
        <v>124</v>
      </c>
      <c r="D857" s="23">
        <v>2017</v>
      </c>
      <c r="E857" s="25">
        <v>1.5659659595579705</v>
      </c>
      <c r="F857" s="25">
        <v>4.6094631468604215E-2</v>
      </c>
      <c r="G857" s="25">
        <v>0.66501978440114062</v>
      </c>
      <c r="H857" s="25">
        <v>1.9852509295578982</v>
      </c>
      <c r="I857" s="25">
        <v>0.20043515471700651</v>
      </c>
      <c r="J857" s="25">
        <v>5.098691034421992E-2</v>
      </c>
      <c r="K857" s="25">
        <v>0.15220872150036774</v>
      </c>
      <c r="L857" s="25">
        <v>0.6</v>
      </c>
      <c r="M857" s="24">
        <v>0</v>
      </c>
      <c r="N857" s="108">
        <v>0</v>
      </c>
      <c r="O857" s="24">
        <v>4</v>
      </c>
      <c r="P857" s="24">
        <v>0</v>
      </c>
      <c r="Q857" s="24">
        <v>4</v>
      </c>
      <c r="R857" s="24">
        <v>4</v>
      </c>
      <c r="S857" s="24">
        <v>0</v>
      </c>
      <c r="T857" s="24">
        <v>0</v>
      </c>
      <c r="U857" s="24">
        <v>2337953000000</v>
      </c>
      <c r="V857" s="109">
        <v>7.5274318971175036E-2</v>
      </c>
      <c r="W857" s="109">
        <v>0.99227185490897385</v>
      </c>
      <c r="X857" s="109">
        <v>0.51095461713729906</v>
      </c>
      <c r="Y857" s="109">
        <v>0.40439806959335795</v>
      </c>
      <c r="Z857" s="109">
        <v>0.52890039458831939</v>
      </c>
      <c r="AA857" s="109">
        <v>2.4365249362279502</v>
      </c>
      <c r="AD857" s="111"/>
    </row>
    <row r="858" spans="1:30" ht="15" customHeight="1" x14ac:dyDescent="0.3">
      <c r="A858" s="22" t="s">
        <v>154</v>
      </c>
      <c r="B858" s="23">
        <v>106</v>
      </c>
      <c r="C858" s="3" t="s">
        <v>124</v>
      </c>
      <c r="D858" s="23">
        <v>2018</v>
      </c>
      <c r="E858" s="25">
        <v>2.951066884366174</v>
      </c>
      <c r="F858" s="25">
        <v>9.8603094826949053E-2</v>
      </c>
      <c r="G858" s="25">
        <v>0.70973619400862109</v>
      </c>
      <c r="H858" s="25">
        <v>2.4451418997437826</v>
      </c>
      <c r="I858" s="25">
        <v>0.19029513131425527</v>
      </c>
      <c r="J858" s="25">
        <v>4.4017900443514849E-2</v>
      </c>
      <c r="K858" s="25">
        <v>0.15164791315670342</v>
      </c>
      <c r="L858" s="25">
        <v>0.6</v>
      </c>
      <c r="M858" s="24">
        <v>2</v>
      </c>
      <c r="N858" s="108">
        <v>0</v>
      </c>
      <c r="O858" s="24">
        <v>4</v>
      </c>
      <c r="P858" s="24">
        <v>0</v>
      </c>
      <c r="Q858" s="24">
        <v>4</v>
      </c>
      <c r="R858" s="24">
        <v>3</v>
      </c>
      <c r="S858" s="24">
        <v>0</v>
      </c>
      <c r="T858" s="24">
        <v>0</v>
      </c>
      <c r="U858" s="24">
        <v>2952776000000</v>
      </c>
      <c r="V858" s="109">
        <v>0.1484486263537633</v>
      </c>
      <c r="W858" s="109">
        <v>1.9353268111092745</v>
      </c>
      <c r="X858" s="109">
        <v>0.53502943670633996</v>
      </c>
      <c r="Y858" s="109">
        <v>0.3522270839372848</v>
      </c>
      <c r="Z858" s="109">
        <v>0.42942293046879026</v>
      </c>
      <c r="AA858" s="109">
        <v>3.2520062622216894</v>
      </c>
      <c r="AD858" s="111"/>
    </row>
    <row r="859" spans="1:30" ht="15" customHeight="1" x14ac:dyDescent="0.3">
      <c r="A859" s="22" t="s">
        <v>154</v>
      </c>
      <c r="B859" s="23">
        <v>106</v>
      </c>
      <c r="C859" s="3" t="s">
        <v>124</v>
      </c>
      <c r="D859" s="23">
        <v>2019</v>
      </c>
      <c r="E859" s="25">
        <v>3.4066868846057621</v>
      </c>
      <c r="F859" s="25">
        <v>9.6629901817510105E-2</v>
      </c>
      <c r="G859" s="25">
        <v>0.71001599833528461</v>
      </c>
      <c r="H859" s="25">
        <v>2.4484661024721555</v>
      </c>
      <c r="I859" s="25">
        <v>0.19675015708291951</v>
      </c>
      <c r="J859" s="25">
        <v>4.5391842310306914E-2</v>
      </c>
      <c r="K859" s="25">
        <v>0.15653222953585477</v>
      </c>
      <c r="L859" s="25">
        <v>0.6</v>
      </c>
      <c r="M859" s="24">
        <v>2</v>
      </c>
      <c r="N859" s="108">
        <v>0</v>
      </c>
      <c r="O859" s="24">
        <v>4</v>
      </c>
      <c r="P859" s="24">
        <v>0</v>
      </c>
      <c r="Q859" s="24">
        <v>4</v>
      </c>
      <c r="R859" s="24">
        <v>5</v>
      </c>
      <c r="S859" s="24">
        <v>0</v>
      </c>
      <c r="T859" s="24">
        <v>0</v>
      </c>
      <c r="U859" s="24">
        <v>3421606000000</v>
      </c>
      <c r="V859" s="109">
        <v>0.15574113712962176</v>
      </c>
      <c r="W859" s="109">
        <v>1.9733552022062151</v>
      </c>
      <c r="X859" s="109">
        <v>0.5708096022744874</v>
      </c>
      <c r="Y859" s="109">
        <v>0.37951553744060534</v>
      </c>
      <c r="Z859" s="109">
        <v>0.42883991693405149</v>
      </c>
      <c r="AA859" s="109">
        <v>3.3525202588553591</v>
      </c>
      <c r="AD859" s="111"/>
    </row>
    <row r="860" spans="1:30" ht="15" customHeight="1" x14ac:dyDescent="0.3">
      <c r="A860" s="22" t="s">
        <v>154</v>
      </c>
      <c r="B860" s="23">
        <v>106</v>
      </c>
      <c r="C860" s="3" t="s">
        <v>124</v>
      </c>
      <c r="D860" s="23">
        <v>2020</v>
      </c>
      <c r="E860" s="25">
        <v>3.482763263940182</v>
      </c>
      <c r="F860" s="25">
        <v>0.10199466531484346</v>
      </c>
      <c r="G860" s="25">
        <v>0.70488175205368098</v>
      </c>
      <c r="H860" s="25">
        <v>2.38847227156857</v>
      </c>
      <c r="I860" s="25">
        <v>0.22788909079125189</v>
      </c>
      <c r="J860" s="25">
        <v>4.8322774163041329E-2</v>
      </c>
      <c r="K860" s="25">
        <v>0.16374038033673566</v>
      </c>
      <c r="L860" s="25">
        <v>0.6</v>
      </c>
      <c r="M860" s="24">
        <v>1</v>
      </c>
      <c r="N860" s="108">
        <v>0</v>
      </c>
      <c r="O860" s="24">
        <v>3</v>
      </c>
      <c r="P860" s="24">
        <v>0</v>
      </c>
      <c r="Q860" s="24">
        <v>3</v>
      </c>
      <c r="R860" s="24">
        <v>5</v>
      </c>
      <c r="S860" s="24">
        <v>0</v>
      </c>
      <c r="T860" s="24">
        <v>0</v>
      </c>
      <c r="U860" s="24">
        <v>3929286000000</v>
      </c>
      <c r="V860" s="109">
        <v>5.5478140138232969E-2</v>
      </c>
      <c r="W860" s="109">
        <v>2.0932172613548619</v>
      </c>
      <c r="X860" s="109">
        <v>0.60886294354750448</v>
      </c>
      <c r="Y860" s="109">
        <v>0.41692777771839462</v>
      </c>
      <c r="Z860" s="109">
        <v>0.4396115510733723</v>
      </c>
      <c r="AA860" s="109">
        <v>3.5586195336941331</v>
      </c>
      <c r="AD860" s="111"/>
    </row>
    <row r="861" spans="1:30" ht="15" customHeight="1" x14ac:dyDescent="0.3">
      <c r="A861" s="22" t="s">
        <v>154</v>
      </c>
      <c r="B861" s="23">
        <v>106</v>
      </c>
      <c r="C861" s="3" t="s">
        <v>124</v>
      </c>
      <c r="D861" s="23">
        <v>2021</v>
      </c>
      <c r="E861" s="25">
        <v>4.37611389799285</v>
      </c>
      <c r="F861" s="25">
        <v>9.5132695052496385E-2</v>
      </c>
      <c r="G861" s="25">
        <v>0.69751758097203609</v>
      </c>
      <c r="H861" s="25">
        <v>2.3059772637812443</v>
      </c>
      <c r="I861" s="25">
        <v>0.23508175143623053</v>
      </c>
      <c r="J861" s="25">
        <v>5.1462339532192668E-2</v>
      </c>
      <c r="K861" s="25">
        <v>0.1701333244344197</v>
      </c>
      <c r="L861" s="25">
        <v>0.6</v>
      </c>
      <c r="M861" s="24">
        <v>2</v>
      </c>
      <c r="N861" s="108">
        <v>0</v>
      </c>
      <c r="O861" s="24">
        <v>4</v>
      </c>
      <c r="P861" s="24">
        <v>0</v>
      </c>
      <c r="Q861" s="24">
        <v>4</v>
      </c>
      <c r="R861" s="24">
        <v>4</v>
      </c>
      <c r="S861" s="24">
        <v>0</v>
      </c>
      <c r="T861" s="24">
        <v>0</v>
      </c>
      <c r="U861" s="24">
        <v>4358974000000</v>
      </c>
      <c r="V861" s="109">
        <v>0.14528328608497981</v>
      </c>
      <c r="W861" s="109">
        <v>2.5594747387802728</v>
      </c>
      <c r="X861" s="109">
        <v>0.67237171866590628</v>
      </c>
      <c r="Y861" s="109">
        <v>0.41109255526644572</v>
      </c>
      <c r="Z861" s="109">
        <v>0.45533840098590317</v>
      </c>
      <c r="AA861" s="109">
        <v>4.0982774136985283</v>
      </c>
      <c r="AD861" s="111"/>
    </row>
    <row r="862" spans="1:30" ht="15" customHeight="1" x14ac:dyDescent="0.3">
      <c r="A862" s="22" t="s">
        <v>154</v>
      </c>
      <c r="B862" s="23">
        <v>106</v>
      </c>
      <c r="C862" s="3" t="s">
        <v>124</v>
      </c>
      <c r="D862" s="23">
        <v>2022</v>
      </c>
      <c r="E862" s="25">
        <v>3.3903713118157106</v>
      </c>
      <c r="F862" s="25">
        <v>9.5108189920513855E-2</v>
      </c>
      <c r="G862" s="25">
        <v>0.68597237348482298</v>
      </c>
      <c r="H862" s="25">
        <v>2.1844332012988352</v>
      </c>
      <c r="I862" s="25">
        <v>0.25147139080956155</v>
      </c>
      <c r="J862" s="25">
        <v>5.711668619786614E-2</v>
      </c>
      <c r="K862" s="25">
        <v>0.18188427187665185</v>
      </c>
      <c r="L862" s="25">
        <v>0.6</v>
      </c>
      <c r="M862" s="24">
        <v>2</v>
      </c>
      <c r="N862" s="108">
        <v>0</v>
      </c>
      <c r="O862" s="24">
        <v>4</v>
      </c>
      <c r="P862" s="24">
        <v>0</v>
      </c>
      <c r="Q862" s="24">
        <v>4</v>
      </c>
      <c r="R862" s="24">
        <v>4</v>
      </c>
      <c r="S862" s="24">
        <v>0</v>
      </c>
      <c r="T862" s="24">
        <v>0</v>
      </c>
      <c r="U862" s="24">
        <v>4638732000000</v>
      </c>
      <c r="V862" s="109">
        <v>0.10412645116397026</v>
      </c>
      <c r="W862" s="109">
        <v>2.1251413705297049</v>
      </c>
      <c r="X862" s="109">
        <v>0.75846992238396171</v>
      </c>
      <c r="Y862" s="109">
        <v>0.45133658077250416</v>
      </c>
      <c r="Z862" s="109">
        <v>0.48067388802536232</v>
      </c>
      <c r="AA862" s="109">
        <v>3.8156217617115336</v>
      </c>
      <c r="AD862" s="111"/>
    </row>
    <row r="863" spans="1:30" ht="15" customHeight="1" x14ac:dyDescent="0.3">
      <c r="A863" s="22" t="s">
        <v>154</v>
      </c>
      <c r="B863" s="23">
        <v>106</v>
      </c>
      <c r="C863" s="3" t="s">
        <v>124</v>
      </c>
      <c r="D863" s="23">
        <v>2023</v>
      </c>
      <c r="E863" s="25">
        <v>4.9503092375961701</v>
      </c>
      <c r="F863" s="25">
        <v>6.4433678003618211E-2</v>
      </c>
      <c r="G863" s="25">
        <v>0.75372741761994866</v>
      </c>
      <c r="H863" s="25">
        <v>3.0605413332483185</v>
      </c>
      <c r="I863" s="25">
        <v>0.2346793225213524</v>
      </c>
      <c r="J863" s="25">
        <v>4.056647159180983E-2</v>
      </c>
      <c r="K863" s="25">
        <v>0.16472183464258752</v>
      </c>
      <c r="L863" s="25">
        <v>0.8</v>
      </c>
      <c r="M863" s="24">
        <v>2</v>
      </c>
      <c r="N863" s="108">
        <v>0</v>
      </c>
      <c r="O863" s="24">
        <v>4</v>
      </c>
      <c r="P863" s="24">
        <v>0</v>
      </c>
      <c r="Q863" s="24">
        <v>4</v>
      </c>
      <c r="R863" s="24">
        <v>4</v>
      </c>
      <c r="S863" s="24">
        <v>0</v>
      </c>
      <c r="T863" s="24">
        <v>0</v>
      </c>
      <c r="U863" s="24">
        <v>5986249000000</v>
      </c>
      <c r="V863" s="109">
        <v>-1.7859803814558727E-2</v>
      </c>
      <c r="W863" s="109">
        <v>2.8690346291976829</v>
      </c>
      <c r="X863" s="109">
        <v>0.60016194782408816</v>
      </c>
      <c r="Y863" s="109">
        <v>0.3198007700648603</v>
      </c>
      <c r="Z863" s="109">
        <v>0.34307656250000007</v>
      </c>
      <c r="AA863" s="109">
        <v>4.132073909586631</v>
      </c>
      <c r="AD863" s="111"/>
    </row>
    <row r="864" spans="1:30" ht="15" customHeight="1" x14ac:dyDescent="0.3">
      <c r="A864" s="22" t="s">
        <v>154</v>
      </c>
      <c r="B864" s="23">
        <v>106</v>
      </c>
      <c r="C864" s="3" t="s">
        <v>124</v>
      </c>
      <c r="D864" s="23">
        <v>2024</v>
      </c>
      <c r="E864" s="25">
        <v>3.5892761324437918</v>
      </c>
      <c r="F864" s="25">
        <v>3.725160292847074E-2</v>
      </c>
      <c r="G864" s="25">
        <v>0.70909274671519984</v>
      </c>
      <c r="H864" s="25">
        <v>2.4375217142523202</v>
      </c>
      <c r="I864" s="25">
        <v>0.27311115059335367</v>
      </c>
      <c r="J864" s="25">
        <v>5.5424854575050149E-2</v>
      </c>
      <c r="K864" s="25">
        <v>0.19052414111101193</v>
      </c>
      <c r="L864" s="25">
        <v>0.8</v>
      </c>
      <c r="M864" s="24">
        <v>2</v>
      </c>
      <c r="N864" s="108">
        <v>0</v>
      </c>
      <c r="O864" s="24">
        <v>4</v>
      </c>
      <c r="P864" s="24">
        <v>0</v>
      </c>
      <c r="Q864" s="24">
        <v>4</v>
      </c>
      <c r="R864" s="24">
        <v>4</v>
      </c>
      <c r="S864" s="24">
        <v>0</v>
      </c>
      <c r="T864" s="24">
        <v>0</v>
      </c>
      <c r="U864" s="24">
        <v>5352761000000</v>
      </c>
      <c r="V864" s="109">
        <v>4.9773961178146427E-2</v>
      </c>
      <c r="W864" s="109">
        <v>2.4424032980362842</v>
      </c>
      <c r="X864" s="109">
        <v>0.7344889301054166</v>
      </c>
      <c r="Y864" s="109">
        <v>0.44013759627975174</v>
      </c>
      <c r="Z864" s="109">
        <v>0.43076539333397273</v>
      </c>
      <c r="AA864" s="109">
        <v>4.0477952177554251</v>
      </c>
      <c r="AD864" s="111"/>
    </row>
    <row r="865" spans="1:30" ht="15" customHeight="1" x14ac:dyDescent="0.3">
      <c r="A865" s="22" t="s">
        <v>154</v>
      </c>
      <c r="B865" s="23">
        <v>107</v>
      </c>
      <c r="C865" s="3" t="s">
        <v>105</v>
      </c>
      <c r="D865" s="23">
        <v>2019</v>
      </c>
      <c r="E865" s="25">
        <v>1.603030767462355</v>
      </c>
      <c r="F865" s="25">
        <v>0.12529215678761638</v>
      </c>
      <c r="G865" s="25">
        <v>0.54226081433680207</v>
      </c>
      <c r="H865" s="25">
        <v>1.1846563257191376</v>
      </c>
      <c r="I865" s="25">
        <v>-0.2482638888888889</v>
      </c>
      <c r="J865" s="25">
        <v>-1.6944613627261157E-2</v>
      </c>
      <c r="K865" s="25">
        <v>-3.7018245076314536E-2</v>
      </c>
      <c r="L865" s="25">
        <v>0.47249999999999998</v>
      </c>
      <c r="M865" s="24">
        <v>2</v>
      </c>
      <c r="N865" s="108">
        <v>7.7499999999999999E-2</v>
      </c>
      <c r="O865" s="24">
        <v>4</v>
      </c>
      <c r="P865" s="24">
        <v>0</v>
      </c>
      <c r="Q865" s="24">
        <v>4</v>
      </c>
      <c r="R865" s="24">
        <v>3</v>
      </c>
      <c r="S865" s="24">
        <v>0</v>
      </c>
      <c r="T865" s="24">
        <v>0</v>
      </c>
      <c r="U865" s="24">
        <v>421963000000</v>
      </c>
      <c r="V865" s="109">
        <v>0</v>
      </c>
      <c r="W865" s="109">
        <v>0.48935361631233065</v>
      </c>
      <c r="X865" s="109">
        <v>-5.7008647677639981E-2</v>
      </c>
      <c r="Y865" s="109">
        <v>-0.17225093195374949</v>
      </c>
      <c r="Z865" s="109">
        <v>0.88633300409939952</v>
      </c>
      <c r="AA865" s="109">
        <v>1.1464270407803407</v>
      </c>
      <c r="AD865" s="111"/>
    </row>
    <row r="866" spans="1:30" ht="15" customHeight="1" x14ac:dyDescent="0.3">
      <c r="A866" s="22" t="s">
        <v>154</v>
      </c>
      <c r="B866" s="23">
        <v>107</v>
      </c>
      <c r="C866" s="3" t="s">
        <v>105</v>
      </c>
      <c r="D866" s="23">
        <v>2020</v>
      </c>
      <c r="E866" s="25">
        <v>1.5777417163559513</v>
      </c>
      <c r="F866" s="25">
        <v>0.10232218783807583</v>
      </c>
      <c r="G866" s="25">
        <v>0.63758258368073328</v>
      </c>
      <c r="H866" s="25">
        <v>1.7592492936902999</v>
      </c>
      <c r="I866" s="25">
        <v>0.11180291153415453</v>
      </c>
      <c r="J866" s="25">
        <v>2.6078507172634286E-2</v>
      </c>
      <c r="K866" s="25">
        <v>7.1957102496588571E-2</v>
      </c>
      <c r="L866" s="25">
        <v>0.47249999999999998</v>
      </c>
      <c r="M866" s="24">
        <v>2</v>
      </c>
      <c r="N866" s="108">
        <v>7.7499999999999999E-2</v>
      </c>
      <c r="O866" s="24">
        <v>4</v>
      </c>
      <c r="P866" s="24">
        <v>0</v>
      </c>
      <c r="Q866" s="24">
        <v>4</v>
      </c>
      <c r="R866" s="24">
        <v>3</v>
      </c>
      <c r="S866" s="24">
        <v>0</v>
      </c>
      <c r="T866" s="24">
        <v>0</v>
      </c>
      <c r="U866" s="24">
        <v>574266000000</v>
      </c>
      <c r="V866" s="109">
        <v>3.6510416666666665</v>
      </c>
      <c r="W866" s="109">
        <v>0.52463687559423677</v>
      </c>
      <c r="X866" s="109">
        <v>3.0410680764663064E-2</v>
      </c>
      <c r="Y866" s="109">
        <v>9.8916112045637383E-2</v>
      </c>
      <c r="Z866" s="109">
        <v>0.596845486177494</v>
      </c>
      <c r="AA866" s="109">
        <v>1.250809154582031</v>
      </c>
      <c r="AD866" s="111"/>
    </row>
    <row r="867" spans="1:30" ht="15" customHeight="1" x14ac:dyDescent="0.3">
      <c r="A867" s="22" t="s">
        <v>154</v>
      </c>
      <c r="B867" s="23">
        <v>107</v>
      </c>
      <c r="C867" s="3" t="s">
        <v>105</v>
      </c>
      <c r="D867" s="23">
        <v>2021</v>
      </c>
      <c r="E867" s="25">
        <v>2.9042759746706972</v>
      </c>
      <c r="F867" s="25">
        <v>0.105983716876641</v>
      </c>
      <c r="G867" s="25">
        <v>0.69456529328671257</v>
      </c>
      <c r="H867" s="25">
        <v>2.274022165852629</v>
      </c>
      <c r="I867" s="25">
        <v>8.700013043497816E-2</v>
      </c>
      <c r="J867" s="25">
        <v>2.5973101733240953E-2</v>
      </c>
      <c r="K867" s="25">
        <v>8.5036510790576211E-2</v>
      </c>
      <c r="L867" s="25">
        <v>0.3725</v>
      </c>
      <c r="M867" s="24">
        <v>2</v>
      </c>
      <c r="N867" s="108">
        <v>7.7499999999999999E-2</v>
      </c>
      <c r="O867" s="24">
        <v>4</v>
      </c>
      <c r="P867" s="24">
        <v>0</v>
      </c>
      <c r="Q867" s="24">
        <v>4</v>
      </c>
      <c r="R867" s="24">
        <v>3</v>
      </c>
      <c r="S867" s="24">
        <v>0</v>
      </c>
      <c r="T867" s="24">
        <v>0</v>
      </c>
      <c r="U867" s="24">
        <v>744732000000</v>
      </c>
      <c r="V867" s="109">
        <v>0.65982082866741321</v>
      </c>
      <c r="W867" s="109">
        <v>1.5204857586353211</v>
      </c>
      <c r="X867" s="109">
        <v>0.10933028257144851</v>
      </c>
      <c r="Y867" s="109">
        <v>0.21698522421488534</v>
      </c>
      <c r="Z867" s="109">
        <v>0.4617369240138034</v>
      </c>
      <c r="AA867" s="109">
        <v>2.3085381894354584</v>
      </c>
      <c r="AD867" s="111"/>
    </row>
    <row r="868" spans="1:30" ht="15" customHeight="1" x14ac:dyDescent="0.3">
      <c r="A868" s="22" t="s">
        <v>154</v>
      </c>
      <c r="B868" s="23">
        <v>107</v>
      </c>
      <c r="C868" s="3" t="s">
        <v>105</v>
      </c>
      <c r="D868" s="23">
        <v>2022</v>
      </c>
      <c r="E868" s="25">
        <v>1.8150799284193269</v>
      </c>
      <c r="F868" s="25">
        <v>0.24904275845521709</v>
      </c>
      <c r="G868" s="25">
        <v>0.72658865333929923</v>
      </c>
      <c r="H868" s="25">
        <v>2.6574926835095263</v>
      </c>
      <c r="I868" s="25">
        <v>7.4207095399272907E-2</v>
      </c>
      <c r="J868" s="25">
        <v>2.5777275542941624E-2</v>
      </c>
      <c r="K868" s="25">
        <v>9.4280196699118038E-2</v>
      </c>
      <c r="L868" s="25">
        <v>0.3725</v>
      </c>
      <c r="M868" s="24">
        <v>2</v>
      </c>
      <c r="N868" s="108">
        <v>7.7499999999999999E-2</v>
      </c>
      <c r="O868" s="24">
        <v>4</v>
      </c>
      <c r="P868" s="24">
        <v>0</v>
      </c>
      <c r="Q868" s="24">
        <v>4</v>
      </c>
      <c r="R868" s="24">
        <v>3</v>
      </c>
      <c r="S868" s="24">
        <v>0</v>
      </c>
      <c r="T868" s="24">
        <v>0</v>
      </c>
      <c r="U868" s="24">
        <v>918561000000</v>
      </c>
      <c r="V868" s="109">
        <v>0.43514458042665732</v>
      </c>
      <c r="W868" s="109">
        <v>0.58225507070297988</v>
      </c>
      <c r="X868" s="109">
        <v>0.18721485018414671</v>
      </c>
      <c r="Y868" s="109">
        <v>0.22097345739695021</v>
      </c>
      <c r="Z868" s="109">
        <v>0.39510927217807185</v>
      </c>
      <c r="AA868" s="109">
        <v>1.3855526504621487</v>
      </c>
      <c r="AD868" s="111"/>
    </row>
    <row r="869" spans="1:30" ht="15" customHeight="1" x14ac:dyDescent="0.3">
      <c r="A869" s="22" t="s">
        <v>154</v>
      </c>
      <c r="B869" s="23">
        <v>107</v>
      </c>
      <c r="C869" s="3" t="s">
        <v>105</v>
      </c>
      <c r="D869" s="23">
        <v>2023</v>
      </c>
      <c r="E869" s="25">
        <v>2.5422958593242821</v>
      </c>
      <c r="F869" s="25">
        <v>0.38673120889666657</v>
      </c>
      <c r="G869" s="25">
        <v>0.70853453111055642</v>
      </c>
      <c r="H869" s="25">
        <v>2.4309381615950958</v>
      </c>
      <c r="I869" s="25">
        <v>0.16947943286331382</v>
      </c>
      <c r="J869" s="25">
        <v>6.0163622950683789E-2</v>
      </c>
      <c r="K869" s="25">
        <v>0.20641766992131955</v>
      </c>
      <c r="L869" s="25">
        <v>0.3725</v>
      </c>
      <c r="M869" s="24">
        <v>2</v>
      </c>
      <c r="N869" s="108">
        <v>7.7499999999999999E-2</v>
      </c>
      <c r="O869" s="24">
        <v>4</v>
      </c>
      <c r="P869" s="24">
        <v>0</v>
      </c>
      <c r="Q869" s="24">
        <v>4</v>
      </c>
      <c r="R869" s="24">
        <v>3</v>
      </c>
      <c r="S869" s="24">
        <v>0</v>
      </c>
      <c r="T869" s="24">
        <v>0</v>
      </c>
      <c r="U869" s="24">
        <v>1085789000000</v>
      </c>
      <c r="V869" s="109">
        <v>0.20798859220258242</v>
      </c>
      <c r="W869" s="109">
        <v>0.66025999526611523</v>
      </c>
      <c r="X869" s="109">
        <v>0.36063327221034658</v>
      </c>
      <c r="Y869" s="109">
        <v>0.44731342829960513</v>
      </c>
      <c r="Z869" s="109">
        <v>0.43193200739875137</v>
      </c>
      <c r="AA869" s="109">
        <v>1.9001387031748185</v>
      </c>
      <c r="AD869" s="111"/>
    </row>
    <row r="870" spans="1:30" ht="15" customHeight="1" x14ac:dyDescent="0.3">
      <c r="A870" s="22" t="s">
        <v>154</v>
      </c>
      <c r="B870" s="23">
        <v>107</v>
      </c>
      <c r="C870" s="3" t="s">
        <v>105</v>
      </c>
      <c r="D870" s="23">
        <v>2024</v>
      </c>
      <c r="E870" s="25">
        <v>2.4343839169909209</v>
      </c>
      <c r="F870" s="25">
        <v>0.31682230869001299</v>
      </c>
      <c r="G870" s="25">
        <v>0.6941410540228502</v>
      </c>
      <c r="H870" s="25">
        <v>2.2693070874587247</v>
      </c>
      <c r="I870" s="25">
        <v>0.17022400580419897</v>
      </c>
      <c r="J870" s="25">
        <v>5.8648046106664624E-2</v>
      </c>
      <c r="K870" s="25">
        <v>0.19173397960564789</v>
      </c>
      <c r="L870" s="25">
        <v>0.3725</v>
      </c>
      <c r="M870" s="24">
        <v>2</v>
      </c>
      <c r="N870" s="108">
        <v>7.7499999999999999E-2</v>
      </c>
      <c r="O870" s="24">
        <v>3</v>
      </c>
      <c r="P870" s="24">
        <v>0</v>
      </c>
      <c r="Q870" s="24">
        <v>3</v>
      </c>
      <c r="R870" s="24">
        <v>3</v>
      </c>
      <c r="S870" s="24">
        <v>0</v>
      </c>
      <c r="T870" s="24">
        <v>0</v>
      </c>
      <c r="U870" s="24">
        <v>1280162000000</v>
      </c>
      <c r="V870" s="109">
        <v>0.14428777127735476</v>
      </c>
      <c r="W870" s="109">
        <v>0.56670715112618553</v>
      </c>
      <c r="X870" s="109">
        <v>0.51234348465272361</v>
      </c>
      <c r="Y870" s="109">
        <v>0.46267644251274442</v>
      </c>
      <c r="Z870" s="109">
        <v>0.46269630311507937</v>
      </c>
      <c r="AA870" s="109">
        <v>2.0044233814067329</v>
      </c>
      <c r="AD870" s="111"/>
    </row>
    <row r="871" spans="1:30" ht="15" customHeight="1" x14ac:dyDescent="0.3">
      <c r="A871" s="22" t="s">
        <v>154</v>
      </c>
      <c r="B871" s="23">
        <v>108</v>
      </c>
      <c r="C871" s="1" t="s">
        <v>125</v>
      </c>
      <c r="D871" s="23">
        <v>2015</v>
      </c>
      <c r="E871" s="25">
        <v>5.8033790298914179</v>
      </c>
      <c r="F871" s="25">
        <v>0.31318492432817674</v>
      </c>
      <c r="G871" s="25">
        <v>0.6917181580615156</v>
      </c>
      <c r="H871" s="25">
        <v>2.3894658581950363</v>
      </c>
      <c r="I871" s="25">
        <v>0.39610379750679481</v>
      </c>
      <c r="J871" s="25">
        <v>9.7137954737220741E-2</v>
      </c>
      <c r="K871" s="25">
        <v>0.33555259996346959</v>
      </c>
      <c r="L871" s="25">
        <v>0.66</v>
      </c>
      <c r="M871" s="24">
        <v>2</v>
      </c>
      <c r="N871" s="108">
        <v>0</v>
      </c>
      <c r="O871" s="24">
        <v>4</v>
      </c>
      <c r="P871" s="24">
        <v>0</v>
      </c>
      <c r="Q871" s="24">
        <v>4</v>
      </c>
      <c r="R871" s="24">
        <v>4</v>
      </c>
      <c r="S871" s="24">
        <v>0</v>
      </c>
      <c r="T871" s="24">
        <v>0</v>
      </c>
      <c r="U871" s="24">
        <v>1342781000000</v>
      </c>
      <c r="V871" s="109">
        <v>9.7294877377177864E-3</v>
      </c>
      <c r="W871" s="109">
        <v>2.798714012188138</v>
      </c>
      <c r="X871" s="109">
        <v>0.59895942823140924</v>
      </c>
      <c r="Y871" s="109">
        <v>8.4636765042102907E-2</v>
      </c>
      <c r="Z871" s="109">
        <v>0.43942875199445319</v>
      </c>
      <c r="AA871" s="109">
        <v>3.9217389574561032</v>
      </c>
      <c r="AD871" s="111"/>
    </row>
    <row r="872" spans="1:30" ht="15" customHeight="1" x14ac:dyDescent="0.3">
      <c r="A872" s="22" t="s">
        <v>154</v>
      </c>
      <c r="B872" s="23">
        <v>108</v>
      </c>
      <c r="C872" s="3" t="s">
        <v>125</v>
      </c>
      <c r="D872" s="23">
        <v>2016</v>
      </c>
      <c r="E872" s="25">
        <v>3.7808484674467016</v>
      </c>
      <c r="F872" s="25">
        <v>0.23313252679414476</v>
      </c>
      <c r="G872" s="25">
        <v>0.67819625053071786</v>
      </c>
      <c r="H872" s="25">
        <v>2.1549269601774288</v>
      </c>
      <c r="I872" s="25">
        <v>8.6764517499207799E-2</v>
      </c>
      <c r="J872" s="25">
        <v>1.954864489413366E-2</v>
      </c>
      <c r="K872" s="25">
        <v>6.2114619307225789E-2</v>
      </c>
      <c r="L872" s="25">
        <v>0.66</v>
      </c>
      <c r="M872" s="24">
        <v>1</v>
      </c>
      <c r="N872" s="108">
        <v>0</v>
      </c>
      <c r="O872" s="24">
        <v>3</v>
      </c>
      <c r="P872" s="24">
        <v>0</v>
      </c>
      <c r="Q872" s="24">
        <v>3</v>
      </c>
      <c r="R872" s="24">
        <v>4</v>
      </c>
      <c r="S872" s="24">
        <v>0</v>
      </c>
      <c r="T872" s="24">
        <v>0</v>
      </c>
      <c r="U872" s="24">
        <v>1316613000000</v>
      </c>
      <c r="V872" s="109">
        <v>-9.9160327366039566E-2</v>
      </c>
      <c r="W872" s="109">
        <v>2.5092773654824918</v>
      </c>
      <c r="X872" s="109">
        <v>0.66276190497891174</v>
      </c>
      <c r="Y872" s="109">
        <v>0.20449198055920759</v>
      </c>
      <c r="Z872" s="109">
        <v>0.48725549376093324</v>
      </c>
      <c r="AA872" s="109">
        <v>3.8637867447815442</v>
      </c>
      <c r="AD872" s="111"/>
    </row>
    <row r="873" spans="1:30" ht="15" customHeight="1" x14ac:dyDescent="0.3">
      <c r="A873" s="22" t="s">
        <v>154</v>
      </c>
      <c r="B873" s="23">
        <v>108</v>
      </c>
      <c r="C873" s="3" t="s">
        <v>125</v>
      </c>
      <c r="D873" s="23">
        <v>2017</v>
      </c>
      <c r="E873" s="25">
        <v>2.7236564485381329</v>
      </c>
      <c r="F873" s="25">
        <v>5.8965311254046096E-2</v>
      </c>
      <c r="G873" s="25">
        <v>0.69884394059226873</v>
      </c>
      <c r="H873" s="25">
        <v>2.3205375378023292</v>
      </c>
      <c r="I873" s="25">
        <v>0.1210948417064361</v>
      </c>
      <c r="J873" s="25">
        <v>2.4566621260641588E-2</v>
      </c>
      <c r="K873" s="25">
        <v>8.1574388072933171E-2</v>
      </c>
      <c r="L873" s="25">
        <v>0</v>
      </c>
      <c r="M873" s="24">
        <v>0</v>
      </c>
      <c r="N873" s="108">
        <v>0</v>
      </c>
      <c r="O873" s="24">
        <v>0</v>
      </c>
      <c r="P873" s="24">
        <v>0</v>
      </c>
      <c r="Q873" s="24">
        <v>0</v>
      </c>
      <c r="R873" s="24">
        <v>0</v>
      </c>
      <c r="S873" s="24">
        <v>0</v>
      </c>
      <c r="T873" s="24">
        <v>0</v>
      </c>
      <c r="U873" s="24">
        <v>1393354000000</v>
      </c>
      <c r="V873" s="109">
        <v>-4.7097174371801699E-2</v>
      </c>
      <c r="W873" s="109">
        <v>2.0730877580284695</v>
      </c>
      <c r="X873" s="109">
        <v>0.48444207286877561</v>
      </c>
      <c r="Y873" s="109">
        <v>0.19633523139130471</v>
      </c>
      <c r="Z873" s="109">
        <v>0.45248136817230938</v>
      </c>
      <c r="AA873" s="109">
        <v>3.2063464304608589</v>
      </c>
      <c r="AD873" s="111"/>
    </row>
    <row r="874" spans="1:30" ht="15" customHeight="1" x14ac:dyDescent="0.3">
      <c r="A874" s="22" t="s">
        <v>154</v>
      </c>
      <c r="B874" s="23">
        <v>108</v>
      </c>
      <c r="C874" s="3" t="s">
        <v>125</v>
      </c>
      <c r="D874" s="23">
        <v>2018</v>
      </c>
      <c r="E874" s="25">
        <v>3.2958059541836269</v>
      </c>
      <c r="F874" s="25">
        <v>0</v>
      </c>
      <c r="G874" s="25">
        <v>0.75099777543295365</v>
      </c>
      <c r="H874" s="25">
        <v>3.0160283778137091</v>
      </c>
      <c r="I874" s="25">
        <v>0.11586524905040721</v>
      </c>
      <c r="J874" s="25">
        <v>1.9750242304773603E-2</v>
      </c>
      <c r="K874" s="25">
        <v>7.9317533564667628E-2</v>
      </c>
      <c r="L874" s="25">
        <v>0.63</v>
      </c>
      <c r="M874" s="24">
        <v>3</v>
      </c>
      <c r="N874" s="108">
        <v>0</v>
      </c>
      <c r="O874" s="24">
        <v>4</v>
      </c>
      <c r="P874" s="24">
        <v>0</v>
      </c>
      <c r="Q874" s="24">
        <v>4</v>
      </c>
      <c r="R874" s="24">
        <v>4</v>
      </c>
      <c r="S874" s="24">
        <v>0</v>
      </c>
      <c r="T874" s="24">
        <v>0</v>
      </c>
      <c r="U874" s="24">
        <v>1768434000000</v>
      </c>
      <c r="V874" s="109">
        <v>6.6416434653714038E-2</v>
      </c>
      <c r="W874" s="109">
        <v>2.4521108279981045</v>
      </c>
      <c r="X874" s="109">
        <v>0.42022295432003676</v>
      </c>
      <c r="Y874" s="109">
        <v>0.17919148806231952</v>
      </c>
      <c r="Z874" s="109">
        <v>0.34813996039425044</v>
      </c>
      <c r="AA874" s="109">
        <v>3.3996652307747111</v>
      </c>
      <c r="AD874" s="111"/>
    </row>
    <row r="875" spans="1:30" ht="15" customHeight="1" x14ac:dyDescent="0.3">
      <c r="A875" s="22" t="s">
        <v>154</v>
      </c>
      <c r="B875" s="23">
        <v>108</v>
      </c>
      <c r="C875" s="3" t="s">
        <v>125</v>
      </c>
      <c r="D875" s="23">
        <v>2019</v>
      </c>
      <c r="E875" s="25">
        <v>2.1004888601691345</v>
      </c>
      <c r="F875" s="25">
        <v>8.9711460118562639E-2</v>
      </c>
      <c r="G875" s="25">
        <v>0.72355258102642761</v>
      </c>
      <c r="H875" s="25">
        <v>2.6173299752386487</v>
      </c>
      <c r="I875" s="25">
        <v>0.15202808699690015</v>
      </c>
      <c r="J875" s="25">
        <v>2.8421938651314343E-2</v>
      </c>
      <c r="K875" s="25">
        <v>0.10281159094332896</v>
      </c>
      <c r="L875" s="25">
        <v>0</v>
      </c>
      <c r="M875" s="24">
        <v>0</v>
      </c>
      <c r="N875" s="108">
        <v>0</v>
      </c>
      <c r="O875" s="24">
        <v>0</v>
      </c>
      <c r="P875" s="24">
        <v>0</v>
      </c>
      <c r="Q875" s="24">
        <v>0</v>
      </c>
      <c r="R875" s="24">
        <v>0</v>
      </c>
      <c r="S875" s="24">
        <v>0</v>
      </c>
      <c r="T875" s="24">
        <v>0</v>
      </c>
      <c r="U875" s="24">
        <v>1704845000000</v>
      </c>
      <c r="V875" s="109">
        <v>5.7320572575428351E-2</v>
      </c>
      <c r="W875" s="109">
        <v>1.5071940968240514</v>
      </c>
      <c r="X875" s="109">
        <v>0.4755806774222876</v>
      </c>
      <c r="Y875" s="109">
        <v>0.18900486554496157</v>
      </c>
      <c r="Z875" s="109">
        <v>0.40117219071861993</v>
      </c>
      <c r="AA875" s="109">
        <v>2.5729518305099206</v>
      </c>
      <c r="AD875" s="111"/>
    </row>
    <row r="876" spans="1:30" ht="15" customHeight="1" x14ac:dyDescent="0.3">
      <c r="A876" s="22" t="s">
        <v>154</v>
      </c>
      <c r="B876" s="23">
        <v>108</v>
      </c>
      <c r="C876" s="3" t="s">
        <v>125</v>
      </c>
      <c r="D876" s="23">
        <v>2020</v>
      </c>
      <c r="E876" s="25">
        <v>2.1756057371618827</v>
      </c>
      <c r="F876" s="25">
        <v>0.10364206723555093</v>
      </c>
      <c r="G876" s="25">
        <v>0.73952812643414101</v>
      </c>
      <c r="H876" s="25">
        <v>2.8391861136866861</v>
      </c>
      <c r="I876" s="25">
        <v>0.11892551065343315</v>
      </c>
      <c r="J876" s="25">
        <v>1.8800400769623332E-2</v>
      </c>
      <c r="K876" s="25">
        <v>7.2178237566482395E-2</v>
      </c>
      <c r="L876" s="25">
        <v>0.63</v>
      </c>
      <c r="M876" s="24">
        <v>3</v>
      </c>
      <c r="N876" s="108">
        <v>0</v>
      </c>
      <c r="O876" s="24">
        <v>4</v>
      </c>
      <c r="P876" s="24">
        <v>0</v>
      </c>
      <c r="Q876" s="24">
        <v>4</v>
      </c>
      <c r="R876" s="24">
        <v>4</v>
      </c>
      <c r="S876" s="24">
        <v>0</v>
      </c>
      <c r="T876" s="24">
        <v>0</v>
      </c>
      <c r="U876" s="24">
        <v>1867407000000</v>
      </c>
      <c r="V876" s="109">
        <v>-7.3775429525231861E-2</v>
      </c>
      <c r="W876" s="109">
        <v>1.4586618557175806</v>
      </c>
      <c r="X876" s="109">
        <v>0.45248434861816411</v>
      </c>
      <c r="Y876" s="109">
        <v>0.12864537832406112</v>
      </c>
      <c r="Z876" s="109">
        <v>0.36982429398986244</v>
      </c>
      <c r="AA876" s="109">
        <v>2.4096158766496685</v>
      </c>
      <c r="AD876" s="111"/>
    </row>
    <row r="877" spans="1:30" ht="15" customHeight="1" x14ac:dyDescent="0.3">
      <c r="A877" s="22" t="s">
        <v>154</v>
      </c>
      <c r="B877" s="23">
        <v>108</v>
      </c>
      <c r="C877" s="3" t="s">
        <v>125</v>
      </c>
      <c r="D877" s="23">
        <v>2021</v>
      </c>
      <c r="E877" s="25">
        <v>3.4675900694057602</v>
      </c>
      <c r="F877" s="25">
        <v>9.5171707743033074E-2</v>
      </c>
      <c r="G877" s="25">
        <v>0.77606114501478696</v>
      </c>
      <c r="H877" s="25">
        <v>3.4655046578050559</v>
      </c>
      <c r="I877" s="25">
        <v>0.14798023737498703</v>
      </c>
      <c r="J877" s="25">
        <v>2.3859836970650083E-2</v>
      </c>
      <c r="K877" s="25">
        <v>0.10654621312690724</v>
      </c>
      <c r="L877" s="25">
        <v>0.629</v>
      </c>
      <c r="M877" s="24">
        <v>2</v>
      </c>
      <c r="N877" s="108">
        <v>0</v>
      </c>
      <c r="O877" s="24">
        <v>3</v>
      </c>
      <c r="P877" s="24">
        <v>0</v>
      </c>
      <c r="Q877" s="24">
        <v>3</v>
      </c>
      <c r="R877" s="24">
        <v>4</v>
      </c>
      <c r="S877" s="24">
        <v>0</v>
      </c>
      <c r="T877" s="24">
        <v>0</v>
      </c>
      <c r="U877" s="24">
        <v>2331114000000</v>
      </c>
      <c r="V877" s="109">
        <v>0.27319873988008536</v>
      </c>
      <c r="W877" s="109">
        <v>2.3061563870321229</v>
      </c>
      <c r="X877" s="109">
        <v>0.42034462493039804</v>
      </c>
      <c r="Y877" s="109">
        <v>0.22046633497975646</v>
      </c>
      <c r="Z877" s="109">
        <v>0.30298617479424705</v>
      </c>
      <c r="AA877" s="109">
        <v>3.2499535217365247</v>
      </c>
      <c r="AD877" s="111"/>
    </row>
    <row r="878" spans="1:30" ht="15" customHeight="1" x14ac:dyDescent="0.3">
      <c r="A878" s="22" t="s">
        <v>154</v>
      </c>
      <c r="B878" s="23">
        <v>108</v>
      </c>
      <c r="C878" s="3" t="s">
        <v>125</v>
      </c>
      <c r="D878" s="23">
        <v>2022</v>
      </c>
      <c r="E878" s="25">
        <v>2.9001555388120006</v>
      </c>
      <c r="F878" s="25">
        <v>0.10309843888382177</v>
      </c>
      <c r="G878" s="25">
        <v>0.79898791126156909</v>
      </c>
      <c r="H878" s="25">
        <v>3.9748251773118999</v>
      </c>
      <c r="I878" s="25">
        <v>0.19364893091507251</v>
      </c>
      <c r="J878" s="25">
        <v>2.760102302521537E-2</v>
      </c>
      <c r="K878" s="25">
        <v>0.13731026426540688</v>
      </c>
      <c r="L878" s="25">
        <v>0.629</v>
      </c>
      <c r="M878" s="24">
        <v>2</v>
      </c>
      <c r="N878" s="108">
        <v>0</v>
      </c>
      <c r="O878" s="24">
        <v>3</v>
      </c>
      <c r="P878" s="24">
        <v>0</v>
      </c>
      <c r="Q878" s="24">
        <v>3</v>
      </c>
      <c r="R878" s="24">
        <v>4</v>
      </c>
      <c r="S878" s="24">
        <v>0</v>
      </c>
      <c r="T878" s="24">
        <v>0</v>
      </c>
      <c r="U878" s="24">
        <v>2797976000000</v>
      </c>
      <c r="V878" s="109">
        <v>6.1027879987548592E-2</v>
      </c>
      <c r="W878" s="109">
        <v>2.0221572736864073</v>
      </c>
      <c r="X878" s="109">
        <v>0.40631972540150452</v>
      </c>
      <c r="Y878" s="109">
        <v>0.2439347299619439</v>
      </c>
      <c r="Z878" s="109">
        <v>0.26416256141108968</v>
      </c>
      <c r="AA878" s="109">
        <v>2.9365742904609458</v>
      </c>
      <c r="AD878" s="111"/>
    </row>
    <row r="879" spans="1:30" ht="15" customHeight="1" x14ac:dyDescent="0.3">
      <c r="A879" s="22" t="s">
        <v>154</v>
      </c>
      <c r="B879" s="23">
        <v>108</v>
      </c>
      <c r="C879" s="3" t="s">
        <v>125</v>
      </c>
      <c r="D879" s="23">
        <v>2023</v>
      </c>
      <c r="E879" s="25">
        <v>3.9294538047156857</v>
      </c>
      <c r="F879" s="25">
        <v>0.38149008451103716</v>
      </c>
      <c r="G879" s="25">
        <v>0.81972997654397806</v>
      </c>
      <c r="H879" s="25">
        <v>4.547233981716083</v>
      </c>
      <c r="I879" s="25">
        <v>0.2159735134519789</v>
      </c>
      <c r="J879" s="25">
        <v>3.2597026345714444E-2</v>
      </c>
      <c r="K879" s="25">
        <v>0.18082333224784158</v>
      </c>
      <c r="L879" s="25">
        <v>0.63</v>
      </c>
      <c r="M879" s="24">
        <v>2</v>
      </c>
      <c r="N879" s="108">
        <v>0</v>
      </c>
      <c r="O879" s="24">
        <v>3</v>
      </c>
      <c r="P879" s="24">
        <v>0</v>
      </c>
      <c r="Q879" s="24">
        <v>3</v>
      </c>
      <c r="R879" s="24">
        <v>4</v>
      </c>
      <c r="S879" s="24">
        <v>0</v>
      </c>
      <c r="T879" s="24">
        <v>0</v>
      </c>
      <c r="U879" s="24">
        <v>3492067000000</v>
      </c>
      <c r="V879" s="109">
        <v>0.32161815852095921</v>
      </c>
      <c r="W879" s="109">
        <v>2.5610522593065936</v>
      </c>
      <c r="X879" s="109">
        <v>0.37798097230093231</v>
      </c>
      <c r="Y879" s="109">
        <v>0.23823982758635501</v>
      </c>
      <c r="Z879" s="109">
        <v>0.23090960443688011</v>
      </c>
      <c r="AA879" s="109">
        <v>3.4081826636307611</v>
      </c>
      <c r="AD879" s="111"/>
    </row>
    <row r="880" spans="1:30" ht="15" customHeight="1" x14ac:dyDescent="0.3">
      <c r="A880" s="22" t="s">
        <v>154</v>
      </c>
      <c r="B880" s="23">
        <v>108</v>
      </c>
      <c r="C880" s="3" t="s">
        <v>125</v>
      </c>
      <c r="D880" s="23">
        <v>2024</v>
      </c>
      <c r="E880" s="25">
        <v>4.198797935307141</v>
      </c>
      <c r="F880" s="25">
        <v>0.40110933641860436</v>
      </c>
      <c r="G880" s="25">
        <v>0.82161701337971726</v>
      </c>
      <c r="H880" s="25">
        <v>4.6059157823647325</v>
      </c>
      <c r="I880" s="25">
        <v>0.14891731102455161</v>
      </c>
      <c r="J880" s="25">
        <v>2.9584608211561475E-2</v>
      </c>
      <c r="K880" s="25">
        <v>0.16584882208826973</v>
      </c>
      <c r="L880" s="25">
        <v>0.63</v>
      </c>
      <c r="M880" s="24">
        <v>2</v>
      </c>
      <c r="N880" s="108">
        <v>0</v>
      </c>
      <c r="O880" s="24">
        <v>3</v>
      </c>
      <c r="P880" s="24">
        <v>0</v>
      </c>
      <c r="Q880" s="24">
        <v>3</v>
      </c>
      <c r="R880" s="24">
        <v>4</v>
      </c>
      <c r="S880" s="24">
        <v>0</v>
      </c>
      <c r="T880" s="24">
        <v>0</v>
      </c>
      <c r="U880" s="24">
        <v>3901353000000</v>
      </c>
      <c r="V880" s="109">
        <v>0.47053656130231852</v>
      </c>
      <c r="W880" s="109">
        <v>2.5290051323220428</v>
      </c>
      <c r="X880" s="109">
        <v>0.40059944844775641</v>
      </c>
      <c r="Y880" s="109">
        <v>0.25825649716905902</v>
      </c>
      <c r="Z880" s="109">
        <v>0.22796769407297271</v>
      </c>
      <c r="AA880" s="109">
        <v>3.4158287720118312</v>
      </c>
      <c r="AD880" s="111"/>
    </row>
    <row r="881" spans="1:30" ht="15" customHeight="1" x14ac:dyDescent="0.3">
      <c r="A881" s="22" t="s">
        <v>154</v>
      </c>
      <c r="B881" s="23">
        <v>109</v>
      </c>
      <c r="C881" s="2" t="s">
        <v>106</v>
      </c>
      <c r="D881" s="23">
        <v>2015</v>
      </c>
      <c r="E881" s="25">
        <v>3.888850589631256</v>
      </c>
      <c r="F881" s="25">
        <v>1.8373488630342244E-2</v>
      </c>
      <c r="G881" s="25">
        <v>0.64253244115745467</v>
      </c>
      <c r="H881" s="25">
        <v>1.7974566509977274</v>
      </c>
      <c r="I881" s="25">
        <v>0.15070636669570714</v>
      </c>
      <c r="J881" s="25">
        <v>4.9087107331517971E-2</v>
      </c>
      <c r="K881" s="25">
        <v>0.13731905488279425</v>
      </c>
      <c r="L881" s="25">
        <v>0.95</v>
      </c>
      <c r="M881" s="24">
        <v>2</v>
      </c>
      <c r="N881" s="108">
        <v>0</v>
      </c>
      <c r="O881" s="24">
        <v>5</v>
      </c>
      <c r="P881" s="24">
        <v>21</v>
      </c>
      <c r="Q881" s="24">
        <v>5</v>
      </c>
      <c r="R881" s="24">
        <v>4</v>
      </c>
      <c r="S881" s="24">
        <v>21</v>
      </c>
      <c r="T881" s="24">
        <v>11</v>
      </c>
      <c r="U881" s="24">
        <v>9091174000000</v>
      </c>
      <c r="V881" s="109">
        <v>-0.52392376794668893</v>
      </c>
      <c r="W881" s="109">
        <v>2.9390864062221227</v>
      </c>
      <c r="X881" s="109">
        <v>0.81522501494306454</v>
      </c>
      <c r="Y881" s="109">
        <v>0.13520830642995063</v>
      </c>
      <c r="Z881" s="109">
        <v>0.60127188880284832</v>
      </c>
      <c r="AA881" s="109">
        <v>4.4907916163979866</v>
      </c>
      <c r="AD881" s="111"/>
    </row>
    <row r="882" spans="1:30" ht="15" customHeight="1" x14ac:dyDescent="0.3">
      <c r="A882" s="22" t="s">
        <v>154</v>
      </c>
      <c r="B882" s="23">
        <v>109</v>
      </c>
      <c r="C882" s="3" t="s">
        <v>106</v>
      </c>
      <c r="D882" s="23">
        <v>2016</v>
      </c>
      <c r="E882" s="25">
        <v>3.1188585241773503</v>
      </c>
      <c r="F882" s="25">
        <v>0</v>
      </c>
      <c r="G882" s="25">
        <v>0.6707064951834284</v>
      </c>
      <c r="H882" s="25">
        <v>2.0368045083580868</v>
      </c>
      <c r="I882" s="25">
        <v>0.13549817762087235</v>
      </c>
      <c r="J882" s="25">
        <v>4.5970432018514827E-2</v>
      </c>
      <c r="K882" s="25">
        <v>0.13960321520499477</v>
      </c>
      <c r="L882" s="25">
        <v>0.95</v>
      </c>
      <c r="M882" s="24">
        <v>2</v>
      </c>
      <c r="N882" s="108">
        <v>0</v>
      </c>
      <c r="O882" s="24">
        <v>5</v>
      </c>
      <c r="P882" s="24">
        <v>16</v>
      </c>
      <c r="Q882" s="24">
        <v>5</v>
      </c>
      <c r="R882" s="24">
        <v>4</v>
      </c>
      <c r="S882" s="24">
        <v>16</v>
      </c>
      <c r="T882" s="24">
        <v>11</v>
      </c>
      <c r="U882" s="24">
        <v>8872768000000</v>
      </c>
      <c r="V882" s="109">
        <v>0.31420762226891474</v>
      </c>
      <c r="W882" s="109">
        <v>2.9512587368451424</v>
      </c>
      <c r="X882" s="109">
        <v>0.89312520737609724</v>
      </c>
      <c r="Y882" s="109">
        <v>0.15731482216147205</v>
      </c>
      <c r="Z882" s="109">
        <v>0.6508566431810191</v>
      </c>
      <c r="AA882" s="109">
        <v>4.65255540956373</v>
      </c>
      <c r="AD882" s="111"/>
    </row>
    <row r="883" spans="1:30" ht="15" customHeight="1" x14ac:dyDescent="0.3">
      <c r="A883" s="22" t="s">
        <v>154</v>
      </c>
      <c r="B883" s="23">
        <v>109</v>
      </c>
      <c r="C883" s="3" t="s">
        <v>106</v>
      </c>
      <c r="D883" s="23">
        <v>2017</v>
      </c>
      <c r="E883" s="25">
        <v>2.6177570685026885</v>
      </c>
      <c r="F883" s="25">
        <v>0.11033539243245109</v>
      </c>
      <c r="G883" s="25">
        <v>0.5448845119320096</v>
      </c>
      <c r="H883" s="25">
        <v>1.1994858261142209</v>
      </c>
      <c r="I883" s="25">
        <v>0.41226166776942125</v>
      </c>
      <c r="J883" s="25">
        <v>3.4948732999738288E-2</v>
      </c>
      <c r="K883" s="25">
        <v>7.6934669559973162E-2</v>
      </c>
      <c r="L883" s="25">
        <v>0.95</v>
      </c>
      <c r="M883" s="24">
        <v>3</v>
      </c>
      <c r="N883" s="108">
        <v>0</v>
      </c>
      <c r="O883" s="24">
        <v>6</v>
      </c>
      <c r="P883" s="24">
        <v>22</v>
      </c>
      <c r="Q883" s="24">
        <v>6</v>
      </c>
      <c r="R883" s="24">
        <v>5</v>
      </c>
      <c r="S883" s="24">
        <v>22</v>
      </c>
      <c r="T883" s="24">
        <v>9</v>
      </c>
      <c r="U883" s="24">
        <v>8165389000000</v>
      </c>
      <c r="V883" s="109">
        <v>0.7995174984791843</v>
      </c>
      <c r="W883" s="109">
        <v>1.8068986547977077</v>
      </c>
      <c r="X883" s="109">
        <v>1.069340049812691</v>
      </c>
      <c r="Y883" s="109">
        <v>0.29028770092888406</v>
      </c>
      <c r="Z883" s="109">
        <v>0.87537507917164326</v>
      </c>
      <c r="AA883" s="109">
        <v>4.0419014847109258</v>
      </c>
      <c r="AD883" s="111"/>
    </row>
    <row r="884" spans="1:30" ht="15" customHeight="1" x14ac:dyDescent="0.3">
      <c r="A884" s="22" t="s">
        <v>154</v>
      </c>
      <c r="B884" s="23">
        <v>109</v>
      </c>
      <c r="C884" s="3" t="s">
        <v>106</v>
      </c>
      <c r="D884" s="23">
        <v>2018</v>
      </c>
      <c r="E884" s="25">
        <v>2.7292273701879961</v>
      </c>
      <c r="F884" s="25">
        <v>3.7415669332000481E-2</v>
      </c>
      <c r="G884" s="25">
        <v>0.55346564737681092</v>
      </c>
      <c r="H884" s="25">
        <v>1.2394693580134393</v>
      </c>
      <c r="I884" s="25">
        <v>0.28564595168532397</v>
      </c>
      <c r="J884" s="25">
        <v>2.170981772218069E-2</v>
      </c>
      <c r="K884" s="25">
        <v>4.8618471556880774E-2</v>
      </c>
      <c r="L884" s="25">
        <v>0.58499999999999996</v>
      </c>
      <c r="M884" s="24">
        <v>3</v>
      </c>
      <c r="N884" s="108">
        <v>0</v>
      </c>
      <c r="O884" s="24">
        <v>6</v>
      </c>
      <c r="P884" s="24">
        <v>17</v>
      </c>
      <c r="Q884" s="24">
        <v>6</v>
      </c>
      <c r="R884" s="24">
        <v>5</v>
      </c>
      <c r="S884" s="24">
        <v>17</v>
      </c>
      <c r="T884" s="24">
        <v>9</v>
      </c>
      <c r="U884" s="24">
        <v>10452506000000</v>
      </c>
      <c r="V884" s="109">
        <v>0.14765980069516879</v>
      </c>
      <c r="W884" s="109">
        <v>1.962867607059972</v>
      </c>
      <c r="X884" s="109">
        <v>1.1094700715790069</v>
      </c>
      <c r="Y884" s="109">
        <v>0.18707466324343655</v>
      </c>
      <c r="Z884" s="109">
        <v>0.84713671476549346</v>
      </c>
      <c r="AA884" s="109">
        <v>4.1065490566479088</v>
      </c>
      <c r="AD884" s="111"/>
    </row>
    <row r="885" spans="1:30" ht="15" customHeight="1" x14ac:dyDescent="0.3">
      <c r="A885" s="22" t="s">
        <v>154</v>
      </c>
      <c r="B885" s="23">
        <v>109</v>
      </c>
      <c r="C885" s="3" t="s">
        <v>106</v>
      </c>
      <c r="D885" s="23">
        <v>2019</v>
      </c>
      <c r="E885" s="25">
        <v>4.5534472929624679</v>
      </c>
      <c r="F885" s="25">
        <v>9.0703093757179207E-2</v>
      </c>
      <c r="G885" s="25">
        <v>0.60892127695375575</v>
      </c>
      <c r="H885" s="25">
        <v>1.5570299304719577</v>
      </c>
      <c r="I885" s="25">
        <v>0.39651313998850818</v>
      </c>
      <c r="J885" s="25">
        <v>2.6531652922934388E-2</v>
      </c>
      <c r="K885" s="25">
        <v>6.7842230628837027E-2</v>
      </c>
      <c r="L885" s="25">
        <v>0.58499999999999996</v>
      </c>
      <c r="M885" s="24">
        <v>3</v>
      </c>
      <c r="N885" s="108">
        <v>0</v>
      </c>
      <c r="O885" s="24">
        <v>6</v>
      </c>
      <c r="P885" s="24">
        <v>22</v>
      </c>
      <c r="Q885" s="24">
        <v>6</v>
      </c>
      <c r="R885" s="24">
        <v>4</v>
      </c>
      <c r="S885" s="24">
        <v>22</v>
      </c>
      <c r="T885" s="24">
        <v>8</v>
      </c>
      <c r="U885" s="24">
        <v>12848766000000</v>
      </c>
      <c r="V885" s="109">
        <v>8.2230113403917587E-2</v>
      </c>
      <c r="W885" s="109">
        <v>3.4115357817240968</v>
      </c>
      <c r="X885" s="109">
        <v>0.98280983714700698</v>
      </c>
      <c r="Y885" s="109">
        <v>0.23379373240978937</v>
      </c>
      <c r="Z885" s="109">
        <v>0.67436083240977274</v>
      </c>
      <c r="AA885" s="109">
        <v>5.3025001836906664</v>
      </c>
      <c r="AD885" s="111"/>
    </row>
    <row r="886" spans="1:30" ht="15" customHeight="1" x14ac:dyDescent="0.3">
      <c r="A886" s="22" t="s">
        <v>154</v>
      </c>
      <c r="B886" s="23">
        <v>109</v>
      </c>
      <c r="C886" s="3" t="s">
        <v>106</v>
      </c>
      <c r="D886" s="23">
        <v>2020</v>
      </c>
      <c r="E886" s="25">
        <v>3.541028353177055</v>
      </c>
      <c r="F886" s="25">
        <v>0.11640246780374068</v>
      </c>
      <c r="G886" s="25">
        <v>0.57799497981194148</v>
      </c>
      <c r="H886" s="25">
        <v>1.3696403192282538</v>
      </c>
      <c r="I886" s="25">
        <v>0.34145290444221937</v>
      </c>
      <c r="J886" s="25">
        <v>1.9799265255102325E-2</v>
      </c>
      <c r="K886" s="25">
        <v>4.6917141033485085E-2</v>
      </c>
      <c r="L886" s="25">
        <v>0.58499999999999996</v>
      </c>
      <c r="M886" s="24">
        <v>3</v>
      </c>
      <c r="N886" s="108">
        <v>0</v>
      </c>
      <c r="O886" s="24">
        <v>6</v>
      </c>
      <c r="P886" s="24">
        <v>24</v>
      </c>
      <c r="Q886" s="24">
        <v>6</v>
      </c>
      <c r="R886" s="24">
        <v>6</v>
      </c>
      <c r="S886" s="24">
        <v>24</v>
      </c>
      <c r="T886" s="24">
        <v>12</v>
      </c>
      <c r="U886" s="24">
        <v>12366469000000</v>
      </c>
      <c r="V886" s="109">
        <v>-0.16594280609764325</v>
      </c>
      <c r="W886" s="109">
        <v>2.4760641893817872</v>
      </c>
      <c r="X886" s="109">
        <v>1.0533760865773405</v>
      </c>
      <c r="Y886" s="109">
        <v>0.16660794605153662</v>
      </c>
      <c r="Z886" s="109">
        <v>0.76662462783779584</v>
      </c>
      <c r="AA886" s="109">
        <v>4.4626728498484605</v>
      </c>
      <c r="AD886" s="111"/>
    </row>
    <row r="887" spans="1:30" ht="15" customHeight="1" x14ac:dyDescent="0.3">
      <c r="A887" s="22" t="s">
        <v>154</v>
      </c>
      <c r="B887" s="23">
        <v>109</v>
      </c>
      <c r="C887" s="3" t="s">
        <v>106</v>
      </c>
      <c r="D887" s="23">
        <v>2021</v>
      </c>
      <c r="E887" s="25">
        <v>3.1702351519110525</v>
      </c>
      <c r="F887" s="25">
        <v>0.16458135053166972</v>
      </c>
      <c r="G887" s="25">
        <v>0.58402560594023911</v>
      </c>
      <c r="H887" s="25">
        <v>1.4039941262738764</v>
      </c>
      <c r="I887" s="25">
        <v>0.27499590975003529</v>
      </c>
      <c r="J887" s="25">
        <v>1.9114489793835947E-2</v>
      </c>
      <c r="K887" s="25">
        <v>4.5951121191103575E-2</v>
      </c>
      <c r="L887" s="25">
        <v>0.58499999999999996</v>
      </c>
      <c r="M887" s="24">
        <v>3</v>
      </c>
      <c r="N887" s="108">
        <v>0</v>
      </c>
      <c r="O887" s="24">
        <v>6</v>
      </c>
      <c r="P887" s="24">
        <v>24</v>
      </c>
      <c r="Q887" s="24">
        <v>6</v>
      </c>
      <c r="R887" s="24">
        <v>6</v>
      </c>
      <c r="S887" s="24">
        <v>24</v>
      </c>
      <c r="T887" s="24">
        <v>12</v>
      </c>
      <c r="U887" s="24">
        <v>12838271000000</v>
      </c>
      <c r="V887" s="109">
        <v>0.24445454722943519</v>
      </c>
      <c r="W887" s="109">
        <v>2.4852749221448898</v>
      </c>
      <c r="X887" s="109">
        <v>1.0508219821812452</v>
      </c>
      <c r="Y887" s="109">
        <v>0.15065610003091537</v>
      </c>
      <c r="Z887" s="109">
        <v>0.74786637661130562</v>
      </c>
      <c r="AA887" s="109">
        <v>4.4346193809683561</v>
      </c>
      <c r="AD887" s="111"/>
    </row>
    <row r="888" spans="1:30" ht="15" customHeight="1" x14ac:dyDescent="0.3">
      <c r="A888" s="22" t="s">
        <v>154</v>
      </c>
      <c r="B888" s="23">
        <v>109</v>
      </c>
      <c r="C888" s="3" t="s">
        <v>106</v>
      </c>
      <c r="D888" s="23">
        <v>2022</v>
      </c>
      <c r="E888" s="25">
        <v>3.4245119215964186</v>
      </c>
      <c r="F888" s="25">
        <v>0.15808436822080993</v>
      </c>
      <c r="G888" s="25">
        <v>0.58051466432510568</v>
      </c>
      <c r="H888" s="25">
        <v>1.3838735587529831</v>
      </c>
      <c r="I888" s="25">
        <v>0.37693100678371488</v>
      </c>
      <c r="J888" s="25">
        <v>2.9752346988197124E-2</v>
      </c>
      <c r="K888" s="25">
        <v>7.0925833296007074E-2</v>
      </c>
      <c r="L888" s="25">
        <v>0.58499999999999996</v>
      </c>
      <c r="M888" s="24">
        <v>3</v>
      </c>
      <c r="N888" s="108">
        <v>0</v>
      </c>
      <c r="O888" s="24">
        <v>5</v>
      </c>
      <c r="P888" s="24">
        <v>19</v>
      </c>
      <c r="Q888" s="24">
        <v>5</v>
      </c>
      <c r="R888" s="24">
        <v>5</v>
      </c>
      <c r="S888" s="24">
        <v>19</v>
      </c>
      <c r="T888" s="24">
        <v>11</v>
      </c>
      <c r="U888" s="24">
        <v>13358610000000</v>
      </c>
      <c r="V888" s="109">
        <v>0.18161942521342139</v>
      </c>
      <c r="W888" s="109">
        <v>2.557006395126439</v>
      </c>
      <c r="X888" s="109">
        <v>1.075990031897031</v>
      </c>
      <c r="Y888" s="109">
        <v>0.25079476382647597</v>
      </c>
      <c r="Z888" s="109">
        <v>0.75873983815845258</v>
      </c>
      <c r="AA888" s="109">
        <v>4.6425310290083983</v>
      </c>
      <c r="AD888" s="111"/>
    </row>
    <row r="889" spans="1:30" ht="15" customHeight="1" x14ac:dyDescent="0.3">
      <c r="A889" s="22" t="s">
        <v>154</v>
      </c>
      <c r="B889" s="23">
        <v>109</v>
      </c>
      <c r="C889" s="3" t="s">
        <v>106</v>
      </c>
      <c r="D889" s="23">
        <v>2023</v>
      </c>
      <c r="E889" s="25">
        <v>2.6010748429203727</v>
      </c>
      <c r="F889" s="25">
        <v>8.9280738765274842E-2</v>
      </c>
      <c r="G889" s="25">
        <v>0.58434061331777198</v>
      </c>
      <c r="H889" s="25">
        <v>1.4058162040436823</v>
      </c>
      <c r="I889" s="25">
        <v>1.0746069942807881</v>
      </c>
      <c r="J889" s="25">
        <v>7.7265174778175336E-2</v>
      </c>
      <c r="K889" s="25">
        <v>0.18588582110474805</v>
      </c>
      <c r="L889" s="25">
        <v>0.58499999999999996</v>
      </c>
      <c r="M889" s="24">
        <v>3</v>
      </c>
      <c r="N889" s="108">
        <v>0</v>
      </c>
      <c r="O889" s="24">
        <v>5</v>
      </c>
      <c r="P889" s="24">
        <v>16</v>
      </c>
      <c r="Q889" s="24">
        <v>5</v>
      </c>
      <c r="R889" s="24">
        <v>5</v>
      </c>
      <c r="S889" s="24">
        <v>16</v>
      </c>
      <c r="T889" s="24">
        <v>9</v>
      </c>
      <c r="U889" s="24">
        <v>16003743000000</v>
      </c>
      <c r="V889" s="109">
        <v>9.1277146003032897E-2</v>
      </c>
      <c r="W889" s="109">
        <v>2.0115240690880878</v>
      </c>
      <c r="X889" s="109">
        <v>1.1032686115991739</v>
      </c>
      <c r="Y889" s="109">
        <v>0.65604066748634982</v>
      </c>
      <c r="Z889" s="109">
        <v>0.74689706732628736</v>
      </c>
      <c r="AA889" s="109">
        <v>4.5177304154998987</v>
      </c>
      <c r="AD889" s="111"/>
    </row>
    <row r="890" spans="1:30" ht="15" customHeight="1" x14ac:dyDescent="0.3">
      <c r="A890" s="22" t="s">
        <v>154</v>
      </c>
      <c r="B890" s="23">
        <v>109</v>
      </c>
      <c r="C890" s="3" t="s">
        <v>106</v>
      </c>
      <c r="D890" s="23">
        <v>2024</v>
      </c>
      <c r="E890" s="25">
        <v>3.1727498224869901</v>
      </c>
      <c r="F890" s="25">
        <v>5.8953153516264338E-2</v>
      </c>
      <c r="G890" s="25">
        <v>0.63403668989602524</v>
      </c>
      <c r="H890" s="25">
        <v>1.7325146601128427</v>
      </c>
      <c r="I890" s="25">
        <v>0.46510500540508659</v>
      </c>
      <c r="J890" s="25">
        <v>4.1028642873308201E-2</v>
      </c>
      <c r="K890" s="25">
        <v>0.11211137524895839</v>
      </c>
      <c r="L890" s="25">
        <v>0.58499999999999996</v>
      </c>
      <c r="M890" s="24">
        <v>3</v>
      </c>
      <c r="N890" s="108">
        <v>0</v>
      </c>
      <c r="O890" s="24">
        <v>5</v>
      </c>
      <c r="P890" s="24">
        <v>16</v>
      </c>
      <c r="Q890" s="24">
        <v>5</v>
      </c>
      <c r="R890" s="24">
        <v>5</v>
      </c>
      <c r="S890" s="24">
        <v>16</v>
      </c>
      <c r="T890" s="24">
        <v>9</v>
      </c>
      <c r="U890" s="24">
        <v>15761233000000</v>
      </c>
      <c r="V890" s="109">
        <v>0.20828846867469147</v>
      </c>
      <c r="W890" s="109">
        <v>2.4007367951479428</v>
      </c>
      <c r="X890" s="109">
        <v>1.1633518913145944</v>
      </c>
      <c r="Y890" s="109">
        <v>0.34243950330535688</v>
      </c>
      <c r="Z890" s="109">
        <v>0.60605547772485291</v>
      </c>
      <c r="AA890" s="109">
        <v>4.5125836674927475</v>
      </c>
      <c r="AD890" s="111"/>
    </row>
    <row r="891" spans="1:30" ht="15" customHeight="1" x14ac:dyDescent="0.3">
      <c r="A891" s="22" t="s">
        <v>154</v>
      </c>
      <c r="B891" s="23">
        <v>110</v>
      </c>
      <c r="C891" s="2" t="s">
        <v>66</v>
      </c>
      <c r="D891" s="23">
        <v>2015</v>
      </c>
      <c r="E891" s="25">
        <v>0.44499266214663752</v>
      </c>
      <c r="F891" s="25">
        <v>0</v>
      </c>
      <c r="G891" s="25">
        <v>0</v>
      </c>
      <c r="H891" s="25">
        <v>0</v>
      </c>
      <c r="I891" s="25">
        <v>0</v>
      </c>
      <c r="J891" s="25">
        <v>0</v>
      </c>
      <c r="K891" s="25">
        <v>0</v>
      </c>
      <c r="L891" s="25">
        <v>0</v>
      </c>
      <c r="M891" s="24">
        <v>0</v>
      </c>
      <c r="N891" s="108">
        <v>0</v>
      </c>
      <c r="O891" s="24">
        <v>0</v>
      </c>
      <c r="P891" s="24">
        <v>0</v>
      </c>
      <c r="Q891" s="24">
        <v>0</v>
      </c>
      <c r="R891" s="24">
        <v>0</v>
      </c>
      <c r="S891" s="24">
        <v>0</v>
      </c>
      <c r="T891" s="24">
        <v>0</v>
      </c>
      <c r="U891" s="24">
        <v>898627000000</v>
      </c>
      <c r="V891" s="109">
        <v>0</v>
      </c>
      <c r="W891" s="109">
        <v>-1.2202430596899492</v>
      </c>
      <c r="X891" s="109">
        <v>0.45661483574386258</v>
      </c>
      <c r="Y891" s="109">
        <v>0.34037205648172153</v>
      </c>
      <c r="Z891" s="109">
        <v>0.58415873307273858</v>
      </c>
      <c r="AA891" s="109">
        <v>0.16090256560837357</v>
      </c>
      <c r="AD891" s="111"/>
    </row>
    <row r="892" spans="1:30" ht="15" customHeight="1" x14ac:dyDescent="0.3">
      <c r="A892" s="22" t="s">
        <v>154</v>
      </c>
      <c r="B892" s="23">
        <v>110</v>
      </c>
      <c r="C892" s="3" t="s">
        <v>66</v>
      </c>
      <c r="D892" s="23">
        <v>2016</v>
      </c>
      <c r="E892" s="25">
        <v>0.43974677189948963</v>
      </c>
      <c r="F892" s="25">
        <v>0</v>
      </c>
      <c r="G892" s="25">
        <v>0</v>
      </c>
      <c r="H892" s="25">
        <v>0</v>
      </c>
      <c r="I892" s="25">
        <v>0</v>
      </c>
      <c r="J892" s="25">
        <v>0</v>
      </c>
      <c r="K892" s="25">
        <v>0</v>
      </c>
      <c r="L892" s="25">
        <v>0.75</v>
      </c>
      <c r="M892" s="24">
        <v>2</v>
      </c>
      <c r="N892" s="108">
        <v>0</v>
      </c>
      <c r="O892" s="24">
        <v>4</v>
      </c>
      <c r="P892" s="24">
        <v>8</v>
      </c>
      <c r="Q892" s="24">
        <v>4</v>
      </c>
      <c r="R892" s="24">
        <v>4</v>
      </c>
      <c r="S892" s="24">
        <v>8</v>
      </c>
      <c r="T892" s="24">
        <v>10</v>
      </c>
      <c r="U892" s="24">
        <v>1133794000000</v>
      </c>
      <c r="V892" s="109">
        <v>0</v>
      </c>
      <c r="W892" s="109">
        <v>-1.2785587505314016</v>
      </c>
      <c r="X892" s="109">
        <v>0.52386562285565108</v>
      </c>
      <c r="Y892" s="109">
        <v>0.36430321557531614</v>
      </c>
      <c r="Z892" s="109">
        <v>0.51551339153624931</v>
      </c>
      <c r="AA892" s="109">
        <v>0.12512347943581498</v>
      </c>
      <c r="AD892" s="111"/>
    </row>
    <row r="893" spans="1:30" ht="15" customHeight="1" x14ac:dyDescent="0.3">
      <c r="A893" s="22" t="s">
        <v>154</v>
      </c>
      <c r="B893" s="23">
        <v>110</v>
      </c>
      <c r="C893" s="3" t="s">
        <v>66</v>
      </c>
      <c r="D893" s="23">
        <v>2017</v>
      </c>
      <c r="E893" s="25">
        <v>0.3812488121972315</v>
      </c>
      <c r="F893" s="25">
        <v>1.4193515857409368E-2</v>
      </c>
      <c r="G893" s="25">
        <v>0.68870130551040742</v>
      </c>
      <c r="H893" s="25">
        <v>2.2123488395594033</v>
      </c>
      <c r="I893" s="25">
        <v>0.13887382388419783</v>
      </c>
      <c r="J893" s="25">
        <v>5.0300774218354043E-2</v>
      </c>
      <c r="K893" s="25">
        <v>0.16158363368926915</v>
      </c>
      <c r="L893" s="25">
        <v>0.75</v>
      </c>
      <c r="M893" s="24">
        <v>2</v>
      </c>
      <c r="N893" s="108">
        <v>0</v>
      </c>
      <c r="O893" s="24">
        <v>4</v>
      </c>
      <c r="P893" s="24">
        <v>8</v>
      </c>
      <c r="Q893" s="24">
        <v>4</v>
      </c>
      <c r="R893" s="24">
        <v>4</v>
      </c>
      <c r="S893" s="24">
        <v>8</v>
      </c>
      <c r="T893" s="24">
        <v>10</v>
      </c>
      <c r="U893" s="24">
        <v>1430475000000</v>
      </c>
      <c r="V893" s="109">
        <v>0</v>
      </c>
      <c r="W893" s="109">
        <v>-1.4631921844142679</v>
      </c>
      <c r="X893" s="109">
        <v>0.55919605725370936</v>
      </c>
      <c r="Y893" s="109">
        <v>0.32925052167986157</v>
      </c>
      <c r="Z893" s="109">
        <v>0.47460869697615643</v>
      </c>
      <c r="AA893" s="109">
        <v>-0.10013690850454054</v>
      </c>
      <c r="AD893" s="111"/>
    </row>
    <row r="894" spans="1:30" ht="15" customHeight="1" x14ac:dyDescent="0.3">
      <c r="A894" s="22" t="s">
        <v>154</v>
      </c>
      <c r="B894" s="23">
        <v>110</v>
      </c>
      <c r="C894" s="3" t="s">
        <v>66</v>
      </c>
      <c r="D894" s="23">
        <v>2018</v>
      </c>
      <c r="E894" s="25">
        <v>0.47855587999316052</v>
      </c>
      <c r="F894" s="25">
        <v>2.1075839482302804E-2</v>
      </c>
      <c r="G894" s="25">
        <v>0.70245107202537738</v>
      </c>
      <c r="H894" s="25">
        <v>2.3607963036645425</v>
      </c>
      <c r="I894" s="25">
        <v>0.13046939747714353</v>
      </c>
      <c r="J894" s="25">
        <v>4.5300931826549977E-2</v>
      </c>
      <c r="K894" s="25">
        <v>0.15224729047721489</v>
      </c>
      <c r="L894" s="25">
        <v>0.75</v>
      </c>
      <c r="M894" s="24">
        <v>2</v>
      </c>
      <c r="N894" s="108">
        <v>0</v>
      </c>
      <c r="O894" s="24">
        <v>4</v>
      </c>
      <c r="P894" s="24">
        <v>8</v>
      </c>
      <c r="Q894" s="24">
        <v>4</v>
      </c>
      <c r="R894" s="24">
        <v>4</v>
      </c>
      <c r="S894" s="24">
        <v>8</v>
      </c>
      <c r="T894" s="24">
        <v>10</v>
      </c>
      <c r="U894" s="24">
        <v>1765350000000</v>
      </c>
      <c r="V894" s="109">
        <v>0.18302726176115802</v>
      </c>
      <c r="W894" s="109">
        <v>-1.1785555498909563</v>
      </c>
      <c r="X894" s="109">
        <v>0.61424135723794149</v>
      </c>
      <c r="Y894" s="109">
        <v>0.37994160931260085</v>
      </c>
      <c r="Z894" s="109">
        <v>0.44476518298937484</v>
      </c>
      <c r="AA894" s="109">
        <v>0.26039259964896083</v>
      </c>
      <c r="AD894" s="111"/>
    </row>
    <row r="895" spans="1:30" ht="15" customHeight="1" x14ac:dyDescent="0.3">
      <c r="A895" s="22" t="s">
        <v>154</v>
      </c>
      <c r="B895" s="23">
        <v>110</v>
      </c>
      <c r="C895" s="3" t="s">
        <v>66</v>
      </c>
      <c r="D895" s="23">
        <v>2019</v>
      </c>
      <c r="E895" s="25">
        <v>0.56805872040048366</v>
      </c>
      <c r="F895" s="25">
        <v>1.3286458629437335E-2</v>
      </c>
      <c r="G895" s="25">
        <v>0.67762946511341215</v>
      </c>
      <c r="H895" s="25">
        <v>2.1020204757603134</v>
      </c>
      <c r="I895" s="25">
        <v>0.19091188935735134</v>
      </c>
      <c r="J895" s="25">
        <v>6.7426015428356759E-2</v>
      </c>
      <c r="K895" s="25">
        <v>0.20915688045769346</v>
      </c>
      <c r="L895" s="25">
        <v>0.75</v>
      </c>
      <c r="M895" s="24">
        <v>2</v>
      </c>
      <c r="N895" s="108">
        <v>0</v>
      </c>
      <c r="O895" s="24">
        <v>4</v>
      </c>
      <c r="P895" s="24">
        <v>8</v>
      </c>
      <c r="Q895" s="24">
        <v>4</v>
      </c>
      <c r="R895" s="24">
        <v>5</v>
      </c>
      <c r="S895" s="24">
        <v>8</v>
      </c>
      <c r="T895" s="24">
        <v>13</v>
      </c>
      <c r="U895" s="24">
        <v>2060362000000</v>
      </c>
      <c r="V895" s="109">
        <v>0.18715862149974877</v>
      </c>
      <c r="W895" s="109">
        <v>-0.8950375128254161</v>
      </c>
      <c r="X895" s="109">
        <v>0.72165459273661614</v>
      </c>
      <c r="Y895" s="109">
        <v>0.47081637110371866</v>
      </c>
      <c r="Z895" s="109">
        <v>0.49951939674622287</v>
      </c>
      <c r="AA895" s="109">
        <v>0.79695284776114161</v>
      </c>
      <c r="AD895" s="111"/>
    </row>
    <row r="896" spans="1:30" ht="15" customHeight="1" x14ac:dyDescent="0.3">
      <c r="A896" s="22" t="s">
        <v>154</v>
      </c>
      <c r="B896" s="23">
        <v>110</v>
      </c>
      <c r="C896" s="3" t="s">
        <v>66</v>
      </c>
      <c r="D896" s="23">
        <v>2020</v>
      </c>
      <c r="E896" s="25">
        <v>0.76907198987544456</v>
      </c>
      <c r="F896" s="25">
        <v>3.4977023647549017E-2</v>
      </c>
      <c r="G896" s="25">
        <v>0.62297423072945557</v>
      </c>
      <c r="H896" s="25">
        <v>1.652338597265548</v>
      </c>
      <c r="I896" s="25">
        <v>0.2050029145501481</v>
      </c>
      <c r="J896" s="25">
        <v>6.4804873692028545E-2</v>
      </c>
      <c r="K896" s="25">
        <v>0.17188446778428601</v>
      </c>
      <c r="L896" s="25">
        <v>0.75</v>
      </c>
      <c r="M896" s="24">
        <v>2</v>
      </c>
      <c r="N896" s="108">
        <v>0</v>
      </c>
      <c r="O896" s="24">
        <v>4</v>
      </c>
      <c r="P896" s="24">
        <v>8</v>
      </c>
      <c r="Q896" s="24">
        <v>4</v>
      </c>
      <c r="R896" s="24">
        <v>5</v>
      </c>
      <c r="S896" s="24">
        <v>8</v>
      </c>
      <c r="T896" s="24">
        <v>13</v>
      </c>
      <c r="U896" s="24">
        <v>2127340000000</v>
      </c>
      <c r="V896" s="109">
        <v>-7.584144591823834E-2</v>
      </c>
      <c r="W896" s="109">
        <v>-0.35223450882322521</v>
      </c>
      <c r="X896" s="109">
        <v>0.88828234320794974</v>
      </c>
      <c r="Y896" s="109">
        <v>0.46883383004127216</v>
      </c>
      <c r="Z896" s="109">
        <v>0.63546297456080914</v>
      </c>
      <c r="AA896" s="109">
        <v>1.6403446389868059</v>
      </c>
      <c r="AD896" s="111"/>
    </row>
    <row r="897" spans="1:30" ht="15" customHeight="1" x14ac:dyDescent="0.3">
      <c r="A897" s="22" t="s">
        <v>154</v>
      </c>
      <c r="B897" s="23">
        <v>110</v>
      </c>
      <c r="C897" s="3" t="s">
        <v>66</v>
      </c>
      <c r="D897" s="23">
        <v>2021</v>
      </c>
      <c r="E897" s="25">
        <v>1.2103605588793436</v>
      </c>
      <c r="F897" s="25">
        <v>2.421501922833115E-2</v>
      </c>
      <c r="G897" s="25">
        <v>0.59716448519001752</v>
      </c>
      <c r="H897" s="25">
        <v>1.4824043715846995</v>
      </c>
      <c r="I897" s="25">
        <v>0.20048243420344541</v>
      </c>
      <c r="J897" s="25">
        <v>5.4940593509702138E-2</v>
      </c>
      <c r="K897" s="25">
        <v>0.1363848286629519</v>
      </c>
      <c r="L897" s="25">
        <v>0.75</v>
      </c>
      <c r="M897" s="24">
        <v>2</v>
      </c>
      <c r="N897" s="108">
        <v>0</v>
      </c>
      <c r="O897" s="24">
        <v>4</v>
      </c>
      <c r="P897" s="24">
        <v>8</v>
      </c>
      <c r="Q897" s="24">
        <v>4</v>
      </c>
      <c r="R897" s="24">
        <v>5</v>
      </c>
      <c r="S897" s="24">
        <v>8</v>
      </c>
      <c r="T897" s="24">
        <v>13</v>
      </c>
      <c r="U897" s="24">
        <v>2305472000000</v>
      </c>
      <c r="V897" s="109">
        <v>-6.0509629911611809E-2</v>
      </c>
      <c r="W897" s="109">
        <v>0.29743865030674849</v>
      </c>
      <c r="X897" s="109">
        <v>1.0092774321266966</v>
      </c>
      <c r="Y897" s="109">
        <v>0.45166352052855119</v>
      </c>
      <c r="Z897" s="109">
        <v>0.70830875847832497</v>
      </c>
      <c r="AA897" s="109">
        <v>2.4666883614403217</v>
      </c>
      <c r="AD897" s="111"/>
    </row>
    <row r="898" spans="1:30" ht="15" customHeight="1" x14ac:dyDescent="0.3">
      <c r="A898" s="22" t="s">
        <v>154</v>
      </c>
      <c r="B898" s="23">
        <v>110</v>
      </c>
      <c r="C898" s="3" t="s">
        <v>66</v>
      </c>
      <c r="D898" s="23">
        <v>2022</v>
      </c>
      <c r="E898" s="25">
        <v>0.5659404448614177</v>
      </c>
      <c r="F898" s="25">
        <v>2.9846394036154727E-2</v>
      </c>
      <c r="G898" s="25">
        <v>0.56246671877897647</v>
      </c>
      <c r="H898" s="25">
        <v>1.2855392133828298</v>
      </c>
      <c r="I898" s="25">
        <v>0.20166008494150958</v>
      </c>
      <c r="J898" s="25">
        <v>5.5644762363343966E-2</v>
      </c>
      <c r="K898" s="25">
        <v>0.12717823410554016</v>
      </c>
      <c r="L898" s="25">
        <v>0.75</v>
      </c>
      <c r="M898" s="24">
        <v>3</v>
      </c>
      <c r="N898" s="108">
        <v>0</v>
      </c>
      <c r="O898" s="24">
        <v>5</v>
      </c>
      <c r="P898" s="24">
        <v>11</v>
      </c>
      <c r="Q898" s="24">
        <v>5</v>
      </c>
      <c r="R898" s="24">
        <v>4</v>
      </c>
      <c r="S898" s="24">
        <v>11</v>
      </c>
      <c r="T898" s="24">
        <v>10</v>
      </c>
      <c r="U898" s="24">
        <v>2431927000000</v>
      </c>
      <c r="V898" s="109">
        <v>6.2130814376792506E-2</v>
      </c>
      <c r="W898" s="109">
        <v>-0.6464599307462765</v>
      </c>
      <c r="X898" s="109">
        <v>1.1567663667536072</v>
      </c>
      <c r="Y898" s="109">
        <v>0.48544338707535212</v>
      </c>
      <c r="Z898" s="109">
        <v>0.81677788516227334</v>
      </c>
      <c r="AA898" s="109">
        <v>1.8125277082449562</v>
      </c>
      <c r="AD898" s="111"/>
    </row>
    <row r="899" spans="1:30" ht="15" customHeight="1" x14ac:dyDescent="0.3">
      <c r="A899" s="22" t="s">
        <v>154</v>
      </c>
      <c r="B899" s="23">
        <v>110</v>
      </c>
      <c r="C899" s="3" t="s">
        <v>66</v>
      </c>
      <c r="D899" s="23">
        <v>2023</v>
      </c>
      <c r="E899" s="25">
        <v>0.83415419098711863</v>
      </c>
      <c r="F899" s="25">
        <v>4.7574467392277699E-2</v>
      </c>
      <c r="G899" s="25">
        <v>0.58600915409007903</v>
      </c>
      <c r="H899" s="25">
        <v>1.4155123473855431</v>
      </c>
      <c r="I899" s="25">
        <v>0.22856425556410723</v>
      </c>
      <c r="J899" s="25">
        <v>5.9974361627481036E-2</v>
      </c>
      <c r="K899" s="25">
        <v>0.14486881103774615</v>
      </c>
      <c r="L899" s="25">
        <v>0.75</v>
      </c>
      <c r="M899" s="24">
        <v>2</v>
      </c>
      <c r="N899" s="108">
        <v>0</v>
      </c>
      <c r="O899" s="24">
        <v>4</v>
      </c>
      <c r="P899" s="24">
        <v>8</v>
      </c>
      <c r="Q899" s="24">
        <v>4</v>
      </c>
      <c r="R899" s="24">
        <v>4</v>
      </c>
      <c r="S899" s="24">
        <v>8</v>
      </c>
      <c r="T899" s="24">
        <v>10</v>
      </c>
      <c r="U899" s="24">
        <v>3005651000000</v>
      </c>
      <c r="V899" s="109">
        <v>0.175279040309962</v>
      </c>
      <c r="W899" s="109">
        <v>-0.26678248406085736</v>
      </c>
      <c r="X899" s="109">
        <v>1.1288187550716966</v>
      </c>
      <c r="Y899" s="109">
        <v>0.47570201596925255</v>
      </c>
      <c r="Z899" s="109">
        <v>0.74178088374810303</v>
      </c>
      <c r="AA899" s="109">
        <v>2.0795191707281946</v>
      </c>
      <c r="AD899" s="111"/>
    </row>
    <row r="900" spans="1:30" ht="15" customHeight="1" x14ac:dyDescent="0.3">
      <c r="A900" s="22" t="s">
        <v>154</v>
      </c>
      <c r="B900" s="23">
        <v>110</v>
      </c>
      <c r="C900" s="3" t="s">
        <v>66</v>
      </c>
      <c r="D900" s="23">
        <v>2024</v>
      </c>
      <c r="E900" s="25">
        <v>0.64549577929044599</v>
      </c>
      <c r="F900" s="25">
        <v>5.3734723040189192E-3</v>
      </c>
      <c r="G900" s="25">
        <v>0.59342254791938409</v>
      </c>
      <c r="H900" s="25">
        <v>1.4563790430183905</v>
      </c>
      <c r="I900" s="25">
        <v>0.23305333652844962</v>
      </c>
      <c r="J900" s="25">
        <v>6.4978672932539769E-2</v>
      </c>
      <c r="K900" s="25">
        <v>0.15947081524605827</v>
      </c>
      <c r="L900" s="25">
        <v>0.75</v>
      </c>
      <c r="M900" s="24">
        <v>2</v>
      </c>
      <c r="N900" s="108">
        <v>0</v>
      </c>
      <c r="O900" s="24">
        <v>4</v>
      </c>
      <c r="P900" s="24">
        <v>8</v>
      </c>
      <c r="Q900" s="24">
        <v>4</v>
      </c>
      <c r="R900" s="24">
        <v>5</v>
      </c>
      <c r="S900" s="24">
        <v>8</v>
      </c>
      <c r="T900" s="24">
        <v>13</v>
      </c>
      <c r="U900" s="24">
        <v>3382556000000</v>
      </c>
      <c r="V900" s="109">
        <v>0.19581676009387944</v>
      </c>
      <c r="W900" s="109">
        <v>-0.60236772428896956</v>
      </c>
      <c r="X900" s="109">
        <v>1.1357353196813296</v>
      </c>
      <c r="Y900" s="109">
        <v>0.52690086431680661</v>
      </c>
      <c r="Z900" s="109">
        <v>0.72096615577758028</v>
      </c>
      <c r="AA900" s="109">
        <v>1.7812346154867469</v>
      </c>
      <c r="AD900" s="111"/>
    </row>
    <row r="901" spans="1:30" ht="15" customHeight="1" x14ac:dyDescent="0.3">
      <c r="A901" s="22" t="s">
        <v>154</v>
      </c>
      <c r="B901" s="23">
        <v>111</v>
      </c>
      <c r="C901" s="2" t="s">
        <v>74</v>
      </c>
      <c r="D901" s="23">
        <v>2015</v>
      </c>
      <c r="E901" s="25">
        <v>3.737943556093521</v>
      </c>
      <c r="F901" s="25">
        <v>0.19956042555902401</v>
      </c>
      <c r="G901" s="25">
        <v>0.65726757274440828</v>
      </c>
      <c r="H901" s="25">
        <v>2.2240039249102694</v>
      </c>
      <c r="I901" s="25">
        <v>4.5409728308501311E-2</v>
      </c>
      <c r="J901" s="25">
        <v>1.8978792896879603E-2</v>
      </c>
      <c r="K901" s="25">
        <v>6.4218762103958479E-2</v>
      </c>
      <c r="L901" s="25">
        <v>0.99450000000000005</v>
      </c>
      <c r="M901" s="24">
        <v>2</v>
      </c>
      <c r="N901" s="108">
        <v>0</v>
      </c>
      <c r="O901" s="24">
        <v>3</v>
      </c>
      <c r="P901" s="24">
        <v>9</v>
      </c>
      <c r="Q901" s="24">
        <v>3</v>
      </c>
      <c r="R901" s="24">
        <v>4</v>
      </c>
      <c r="S901" s="24">
        <v>9</v>
      </c>
      <c r="T901" s="24">
        <v>12</v>
      </c>
      <c r="U901" s="24">
        <v>655205000000</v>
      </c>
      <c r="V901" s="109">
        <v>0</v>
      </c>
      <c r="W901" s="109">
        <v>1.7211858883860778</v>
      </c>
      <c r="X901" s="109">
        <v>0.1037848307018414</v>
      </c>
      <c r="Y901" s="109">
        <v>7.588660037698125E-2</v>
      </c>
      <c r="Z901" s="109">
        <v>0.4721214689593517</v>
      </c>
      <c r="AA901" s="109">
        <v>2.3729787884242524</v>
      </c>
      <c r="AD901" s="111"/>
    </row>
    <row r="902" spans="1:30" ht="15" customHeight="1" x14ac:dyDescent="0.3">
      <c r="A902" s="22" t="s">
        <v>154</v>
      </c>
      <c r="B902" s="23">
        <v>111</v>
      </c>
      <c r="C902" s="3" t="s">
        <v>74</v>
      </c>
      <c r="D902" s="23">
        <v>2016</v>
      </c>
      <c r="E902" s="25">
        <v>3.8859233361567158</v>
      </c>
      <c r="F902" s="25">
        <v>0.33909423489340229</v>
      </c>
      <c r="G902" s="25">
        <v>0.60686350866457117</v>
      </c>
      <c r="H902" s="25">
        <v>1.7415982821380676</v>
      </c>
      <c r="I902" s="25">
        <v>0.20451284470389369</v>
      </c>
      <c r="J902" s="25">
        <v>7.235542822174626E-2</v>
      </c>
      <c r="K902" s="25">
        <v>0.20764815760904273</v>
      </c>
      <c r="L902" s="25">
        <v>0.99450000000000005</v>
      </c>
      <c r="M902" s="24">
        <v>2</v>
      </c>
      <c r="N902" s="108">
        <v>0</v>
      </c>
      <c r="O902" s="24">
        <v>3</v>
      </c>
      <c r="P902" s="24">
        <v>9</v>
      </c>
      <c r="Q902" s="24">
        <v>3</v>
      </c>
      <c r="R902" s="24">
        <v>4</v>
      </c>
      <c r="S902" s="24">
        <v>9</v>
      </c>
      <c r="T902" s="24">
        <v>12</v>
      </c>
      <c r="U902" s="24">
        <v>719020000000</v>
      </c>
      <c r="V902" s="109">
        <v>-7.1045135845749341E-2</v>
      </c>
      <c r="W902" s="109">
        <v>1.4610146032099247</v>
      </c>
      <c r="X902" s="109">
        <v>7.6247420099579979E-2</v>
      </c>
      <c r="Y902" s="109">
        <v>2.1935189563572641E-2</v>
      </c>
      <c r="Z902" s="109">
        <v>0.60289448535225409</v>
      </c>
      <c r="AA902" s="109">
        <v>2.1620916982253315</v>
      </c>
      <c r="AD902" s="111"/>
    </row>
    <row r="903" spans="1:30" ht="15" customHeight="1" x14ac:dyDescent="0.3">
      <c r="A903" s="22" t="s">
        <v>154</v>
      </c>
      <c r="B903" s="23">
        <v>111</v>
      </c>
      <c r="C903" s="3" t="s">
        <v>74</v>
      </c>
      <c r="D903" s="23">
        <v>2017</v>
      </c>
      <c r="E903" s="25">
        <v>2.1027694478744046</v>
      </c>
      <c r="F903" s="25">
        <v>0.25229317339918855</v>
      </c>
      <c r="G903" s="25">
        <v>0.63241895126491932</v>
      </c>
      <c r="H903" s="25">
        <v>1.8576370897669932</v>
      </c>
      <c r="I903" s="25">
        <v>4.2393752024039943E-2</v>
      </c>
      <c r="J903" s="25">
        <v>1.5276187167894225E-2</v>
      </c>
      <c r="K903" s="25">
        <v>4.4871539375194308E-2</v>
      </c>
      <c r="L903" s="25">
        <v>0.99970000000000003</v>
      </c>
      <c r="M903" s="24">
        <v>2</v>
      </c>
      <c r="N903" s="108">
        <v>0</v>
      </c>
      <c r="O903" s="24">
        <v>2</v>
      </c>
      <c r="P903" s="24">
        <v>6</v>
      </c>
      <c r="Q903" s="24">
        <v>2</v>
      </c>
      <c r="R903" s="24">
        <v>4</v>
      </c>
      <c r="S903" s="24">
        <v>6</v>
      </c>
      <c r="T903" s="24">
        <v>12</v>
      </c>
      <c r="U903" s="24">
        <v>736964000000</v>
      </c>
      <c r="V903" s="109">
        <v>4.3921614875090907E-2</v>
      </c>
      <c r="W903" s="109">
        <v>1.1129579192470731</v>
      </c>
      <c r="X903" s="109">
        <v>0.32504716648303039</v>
      </c>
      <c r="Y903" s="109">
        <v>6.3510293582861574E-2</v>
      </c>
      <c r="Z903" s="109">
        <v>0.56523419228871197</v>
      </c>
      <c r="AA903" s="109">
        <v>2.0667495716016768</v>
      </c>
      <c r="AD903" s="111"/>
    </row>
    <row r="904" spans="1:30" ht="15" customHeight="1" x14ac:dyDescent="0.3">
      <c r="A904" s="22" t="s">
        <v>154</v>
      </c>
      <c r="B904" s="23">
        <v>111</v>
      </c>
      <c r="C904" s="3" t="s">
        <v>74</v>
      </c>
      <c r="D904" s="23">
        <v>2018</v>
      </c>
      <c r="E904" s="25">
        <v>3.0231708697307362</v>
      </c>
      <c r="F904" s="25">
        <v>0.25055817925528084</v>
      </c>
      <c r="G904" s="25">
        <v>0.67257665589756332</v>
      </c>
      <c r="H904" s="25">
        <v>2.2142077950412191</v>
      </c>
      <c r="I904" s="25">
        <v>4.3641661626911507E-2</v>
      </c>
      <c r="J904" s="25">
        <v>1.3151323652974521E-2</v>
      </c>
      <c r="K904" s="25">
        <v>4.3295828203649737E-2</v>
      </c>
      <c r="L904" s="25">
        <v>0.99970000000000003</v>
      </c>
      <c r="M904" s="24">
        <v>2</v>
      </c>
      <c r="N904" s="108">
        <v>0</v>
      </c>
      <c r="O904" s="24">
        <v>3</v>
      </c>
      <c r="P904" s="24">
        <v>9</v>
      </c>
      <c r="Q904" s="24">
        <v>3</v>
      </c>
      <c r="R904" s="24">
        <v>4</v>
      </c>
      <c r="S904" s="24">
        <v>9</v>
      </c>
      <c r="T904" s="24">
        <v>12</v>
      </c>
      <c r="U904" s="24">
        <v>845010000000</v>
      </c>
      <c r="V904" s="109">
        <v>-4.1105897769978687E-2</v>
      </c>
      <c r="W904" s="109">
        <v>1.5265133430373603</v>
      </c>
      <c r="X904" s="109">
        <v>0.32449154447876355</v>
      </c>
      <c r="Y904" s="109">
        <v>0.12717747718961905</v>
      </c>
      <c r="Z904" s="109">
        <v>0.4742102355305155</v>
      </c>
      <c r="AA904" s="109">
        <v>2.4523926002362582</v>
      </c>
      <c r="AD904" s="111"/>
    </row>
    <row r="905" spans="1:30" ht="15" customHeight="1" x14ac:dyDescent="0.3">
      <c r="A905" s="22" t="s">
        <v>154</v>
      </c>
      <c r="B905" s="23">
        <v>111</v>
      </c>
      <c r="C905" s="3" t="s">
        <v>74</v>
      </c>
      <c r="D905" s="23">
        <v>2019</v>
      </c>
      <c r="E905" s="25">
        <v>2.8828565225033342</v>
      </c>
      <c r="F905" s="25">
        <v>0.35625885296580817</v>
      </c>
      <c r="G905" s="25">
        <v>0.60811041337855531</v>
      </c>
      <c r="H905" s="25">
        <v>1.6507555095313799</v>
      </c>
      <c r="I905" s="25">
        <v>0.10453754879604221</v>
      </c>
      <c r="J905" s="25">
        <v>3.6330299875751371E-2</v>
      </c>
      <c r="K905" s="25">
        <v>9.8620976328340354E-2</v>
      </c>
      <c r="L905" s="25">
        <v>0.99970000000000003</v>
      </c>
      <c r="M905" s="24">
        <v>2</v>
      </c>
      <c r="N905" s="108">
        <v>0</v>
      </c>
      <c r="O905" s="24">
        <v>3</v>
      </c>
      <c r="P905" s="24">
        <v>5</v>
      </c>
      <c r="Q905" s="24">
        <v>3</v>
      </c>
      <c r="R905" s="24">
        <v>4</v>
      </c>
      <c r="S905" s="24">
        <v>5</v>
      </c>
      <c r="T905" s="24">
        <v>12</v>
      </c>
      <c r="U905" s="24">
        <v>744475000000</v>
      </c>
      <c r="V905" s="109">
        <v>1.6053910980906527E-2</v>
      </c>
      <c r="W905" s="109">
        <v>1.6046589610127941</v>
      </c>
      <c r="X905" s="109">
        <v>0.39324495785620733</v>
      </c>
      <c r="Y905" s="109">
        <v>0.17507790053393329</v>
      </c>
      <c r="Z905" s="109">
        <v>0.63607238863499327</v>
      </c>
      <c r="AA905" s="109">
        <v>2.8090542080379279</v>
      </c>
      <c r="AD905" s="111"/>
    </row>
    <row r="906" spans="1:30" ht="15" customHeight="1" x14ac:dyDescent="0.3">
      <c r="A906" s="22" t="s">
        <v>154</v>
      </c>
      <c r="B906" s="23">
        <v>111</v>
      </c>
      <c r="C906" s="3" t="s">
        <v>74</v>
      </c>
      <c r="D906" s="23">
        <v>2020</v>
      </c>
      <c r="E906" s="25">
        <v>1.3562470777702738</v>
      </c>
      <c r="F906" s="25">
        <v>0.31906073042755467</v>
      </c>
      <c r="G906" s="25">
        <v>0.59798640981604079</v>
      </c>
      <c r="H906" s="25">
        <v>1.5846662186379927</v>
      </c>
      <c r="I906" s="25">
        <v>0.10540709449140795</v>
      </c>
      <c r="J906" s="25">
        <v>3.1604292615849766E-2</v>
      </c>
      <c r="K906" s="25">
        <v>8.375149342891279E-2</v>
      </c>
      <c r="L906" s="25">
        <v>0.99970000000000003</v>
      </c>
      <c r="M906" s="24">
        <v>1</v>
      </c>
      <c r="N906" s="108">
        <v>0</v>
      </c>
      <c r="O906" s="24">
        <v>3</v>
      </c>
      <c r="P906" s="24">
        <v>5</v>
      </c>
      <c r="Q906" s="24">
        <v>3</v>
      </c>
      <c r="R906" s="24">
        <v>3</v>
      </c>
      <c r="S906" s="24">
        <v>5</v>
      </c>
      <c r="T906" s="24">
        <v>7</v>
      </c>
      <c r="U906" s="24">
        <v>709777000000</v>
      </c>
      <c r="V906" s="109">
        <v>-0.17747072237467632</v>
      </c>
      <c r="W906" s="109">
        <v>0.31689209427749837</v>
      </c>
      <c r="X906" s="109">
        <v>0.36353071457655006</v>
      </c>
      <c r="Y906" s="109">
        <v>0.18025672852177513</v>
      </c>
      <c r="Z906" s="109">
        <v>0.66260010319552731</v>
      </c>
      <c r="AA906" s="109">
        <v>1.5232796405713509</v>
      </c>
      <c r="AD906" s="111"/>
    </row>
    <row r="907" spans="1:30" ht="15" customHeight="1" x14ac:dyDescent="0.3">
      <c r="A907" s="22" t="s">
        <v>154</v>
      </c>
      <c r="B907" s="23">
        <v>111</v>
      </c>
      <c r="C907" s="3" t="s">
        <v>74</v>
      </c>
      <c r="D907" s="23">
        <v>2021</v>
      </c>
      <c r="E907" s="25">
        <v>1.5916320120332685</v>
      </c>
      <c r="F907" s="25">
        <v>0.31117280127411079</v>
      </c>
      <c r="G907" s="25">
        <v>0.59451154255674488</v>
      </c>
      <c r="H907" s="25">
        <v>1.517171316542983</v>
      </c>
      <c r="I907" s="25">
        <v>0.10650724399078038</v>
      </c>
      <c r="J907" s="25">
        <v>3.5278655983683772E-2</v>
      </c>
      <c r="K907" s="25">
        <v>9.0029816266391116E-2</v>
      </c>
      <c r="L907" s="25">
        <v>0.99970000000000003</v>
      </c>
      <c r="M907" s="24">
        <v>1</v>
      </c>
      <c r="N907" s="108">
        <v>0</v>
      </c>
      <c r="O907" s="24">
        <v>2</v>
      </c>
      <c r="P907" s="24">
        <v>4</v>
      </c>
      <c r="Q907" s="24">
        <v>2</v>
      </c>
      <c r="R907" s="24">
        <v>3</v>
      </c>
      <c r="S907" s="24">
        <v>4</v>
      </c>
      <c r="T907" s="24">
        <v>7</v>
      </c>
      <c r="U907" s="24">
        <v>733503000000</v>
      </c>
      <c r="V907" s="109">
        <v>0.14165957906706828</v>
      </c>
      <c r="W907" s="109">
        <v>0.47840851366661075</v>
      </c>
      <c r="X907" s="109">
        <v>0.41470941495808467</v>
      </c>
      <c r="Y907" s="109">
        <v>0.19520443679166957</v>
      </c>
      <c r="Z907" s="109">
        <v>0.69207741311147608</v>
      </c>
      <c r="AA907" s="109">
        <v>1.7803997785278409</v>
      </c>
      <c r="AD907" s="111"/>
    </row>
    <row r="908" spans="1:30" ht="15" customHeight="1" x14ac:dyDescent="0.3">
      <c r="A908" s="22" t="s">
        <v>154</v>
      </c>
      <c r="B908" s="23">
        <v>111</v>
      </c>
      <c r="C908" s="3" t="s">
        <v>74</v>
      </c>
      <c r="D908" s="23">
        <v>2022</v>
      </c>
      <c r="E908" s="25">
        <v>1.7303782933208582</v>
      </c>
      <c r="F908" s="25">
        <v>0.30892891317753629</v>
      </c>
      <c r="G908" s="25">
        <v>0.59965283001975833</v>
      </c>
      <c r="H908" s="25">
        <v>1.5458397843361638</v>
      </c>
      <c r="I908" s="25">
        <v>0.16865405881581166</v>
      </c>
      <c r="J908" s="25">
        <v>5.5943855949327111E-2</v>
      </c>
      <c r="K908" s="25">
        <v>0.1442171768167787</v>
      </c>
      <c r="L908" s="25">
        <v>0.99970000000000003</v>
      </c>
      <c r="M908" s="24">
        <v>2</v>
      </c>
      <c r="N908" s="108">
        <v>0</v>
      </c>
      <c r="O908" s="24">
        <v>3</v>
      </c>
      <c r="P908" s="24">
        <v>7</v>
      </c>
      <c r="Q908" s="24">
        <v>3</v>
      </c>
      <c r="R908" s="24">
        <v>3</v>
      </c>
      <c r="S908" s="24">
        <v>7</v>
      </c>
      <c r="T908" s="24">
        <v>9</v>
      </c>
      <c r="U908" s="24">
        <v>804217000000</v>
      </c>
      <c r="V908" s="109">
        <v>9.7979091208429375E-2</v>
      </c>
      <c r="W908" s="109">
        <v>0.56034527994309991</v>
      </c>
      <c r="X908" s="109">
        <v>0.41176391446587179</v>
      </c>
      <c r="Y908" s="109">
        <v>0.2608310940952504</v>
      </c>
      <c r="Z908" s="109">
        <v>0.67924244843452897</v>
      </c>
      <c r="AA908" s="109">
        <v>1.912182736938751</v>
      </c>
      <c r="AD908" s="111"/>
    </row>
    <row r="909" spans="1:30" ht="15" customHeight="1" x14ac:dyDescent="0.3">
      <c r="A909" s="22" t="s">
        <v>154</v>
      </c>
      <c r="B909" s="23">
        <v>111</v>
      </c>
      <c r="C909" s="3" t="s">
        <v>74</v>
      </c>
      <c r="D909" s="23">
        <v>2023</v>
      </c>
      <c r="E909" s="25">
        <v>1.1139246004169563</v>
      </c>
      <c r="F909" s="25">
        <v>0.3914393676164003</v>
      </c>
      <c r="G909" s="25">
        <v>0.60567618354852393</v>
      </c>
      <c r="H909" s="25">
        <v>1.5648535040625451</v>
      </c>
      <c r="I909" s="25">
        <v>0.12689982607938122</v>
      </c>
      <c r="J909" s="25">
        <v>4.94477783839486E-2</v>
      </c>
      <c r="K909" s="25">
        <v>0.12775560831678454</v>
      </c>
      <c r="L909" s="25">
        <v>0.99970000000000003</v>
      </c>
      <c r="M909" s="24">
        <v>2</v>
      </c>
      <c r="N909" s="108">
        <v>0</v>
      </c>
      <c r="O909" s="24">
        <v>3</v>
      </c>
      <c r="P909" s="24">
        <v>7</v>
      </c>
      <c r="Q909" s="24">
        <v>3</v>
      </c>
      <c r="R909" s="24">
        <v>3</v>
      </c>
      <c r="S909" s="24">
        <v>7</v>
      </c>
      <c r="T909" s="24">
        <v>9</v>
      </c>
      <c r="U909" s="24">
        <v>824850000000</v>
      </c>
      <c r="V909" s="109">
        <v>0.20484696268251082</v>
      </c>
      <c r="W909" s="109">
        <v>0.12516370249136205</v>
      </c>
      <c r="X909" s="109">
        <v>0.42814943323028426</v>
      </c>
      <c r="Y909" s="109">
        <v>0.35792747772322242</v>
      </c>
      <c r="Z909" s="109">
        <v>0.67098932729106953</v>
      </c>
      <c r="AA909" s="109">
        <v>1.5822299407359384</v>
      </c>
      <c r="AD909" s="111"/>
    </row>
    <row r="910" spans="1:30" ht="15" customHeight="1" x14ac:dyDescent="0.3">
      <c r="A910" s="22" t="s">
        <v>154</v>
      </c>
      <c r="B910" s="23">
        <v>111</v>
      </c>
      <c r="C910" s="3" t="s">
        <v>74</v>
      </c>
      <c r="D910" s="23">
        <v>2024</v>
      </c>
      <c r="E910" s="25">
        <v>1.4395030264415418</v>
      </c>
      <c r="F910" s="25">
        <v>0.4940426887543804</v>
      </c>
      <c r="G910" s="25">
        <v>0.60775250107306766</v>
      </c>
      <c r="H910" s="25">
        <v>1.5494107744107743</v>
      </c>
      <c r="I910" s="25">
        <v>0.13276369697630583</v>
      </c>
      <c r="J910" s="25">
        <v>6.2531412450519658E-2</v>
      </c>
      <c r="K910" s="25">
        <v>0.15941825664047887</v>
      </c>
      <c r="L910" s="25">
        <v>0.99970000000000003</v>
      </c>
      <c r="M910" s="24">
        <v>1</v>
      </c>
      <c r="N910" s="108">
        <v>0</v>
      </c>
      <c r="O910" s="24">
        <v>3</v>
      </c>
      <c r="P910" s="24">
        <v>15</v>
      </c>
      <c r="Q910" s="24">
        <v>3</v>
      </c>
      <c r="R910" s="24">
        <v>4</v>
      </c>
      <c r="S910" s="24">
        <v>15</v>
      </c>
      <c r="T910" s="24">
        <v>10</v>
      </c>
      <c r="U910" s="24">
        <v>817749000000</v>
      </c>
      <c r="V910" s="109">
        <v>0.19833484230471266</v>
      </c>
      <c r="W910" s="109">
        <v>0.44268723043378833</v>
      </c>
      <c r="X910" s="109">
        <v>0.43344199748333534</v>
      </c>
      <c r="Y910" s="109">
        <v>0.44134696587828293</v>
      </c>
      <c r="Z910" s="109">
        <v>0.67767697071766186</v>
      </c>
      <c r="AA910" s="109">
        <v>1.9951531645130682</v>
      </c>
      <c r="AD910" s="111"/>
    </row>
    <row r="911" spans="1:30" ht="15" customHeight="1" x14ac:dyDescent="0.3">
      <c r="A911" s="22" t="s">
        <v>154</v>
      </c>
      <c r="B911" s="23">
        <v>112</v>
      </c>
      <c r="C911" s="2" t="s">
        <v>91</v>
      </c>
      <c r="D911" s="23">
        <v>2015</v>
      </c>
      <c r="E911" s="25">
        <v>1.2402976286066056</v>
      </c>
      <c r="F911" s="25">
        <v>0</v>
      </c>
      <c r="G911" s="25">
        <v>0.61438010824828082</v>
      </c>
      <c r="H911" s="25">
        <v>1.5932226650731658</v>
      </c>
      <c r="I911" s="25">
        <v>0.18170719536169452</v>
      </c>
      <c r="J911" s="25">
        <v>8.6316372083895171E-2</v>
      </c>
      <c r="K911" s="25">
        <v>0.2238373256631804</v>
      </c>
      <c r="L911" s="25">
        <v>0</v>
      </c>
      <c r="M911" s="24">
        <v>0</v>
      </c>
      <c r="N911" s="108">
        <v>0</v>
      </c>
      <c r="O911" s="24">
        <v>0</v>
      </c>
      <c r="P911" s="24">
        <v>0</v>
      </c>
      <c r="Q911" s="24">
        <v>0</v>
      </c>
      <c r="R911" s="24">
        <v>0</v>
      </c>
      <c r="S911" s="24">
        <v>0</v>
      </c>
      <c r="T911" s="24">
        <v>0</v>
      </c>
      <c r="U911" s="24">
        <v>906989000000</v>
      </c>
      <c r="V911" s="109">
        <v>0</v>
      </c>
      <c r="W911" s="109">
        <v>0.45454769572729103</v>
      </c>
      <c r="X911" s="109">
        <v>1.0414658171157531</v>
      </c>
      <c r="Y911" s="109">
        <v>0.72844349821221643</v>
      </c>
      <c r="Z911" s="109">
        <v>0.65904159099555659</v>
      </c>
      <c r="AA911" s="109">
        <v>2.8834986020508171</v>
      </c>
      <c r="AD911" s="111"/>
    </row>
    <row r="912" spans="1:30" ht="15" customHeight="1" x14ac:dyDescent="0.3">
      <c r="A912" s="22" t="s">
        <v>154</v>
      </c>
      <c r="B912" s="23">
        <v>112</v>
      </c>
      <c r="C912" s="3" t="s">
        <v>91</v>
      </c>
      <c r="D912" s="23">
        <v>2016</v>
      </c>
      <c r="E912" s="25">
        <v>1.9825987577639752</v>
      </c>
      <c r="F912" s="25">
        <v>0</v>
      </c>
      <c r="G912" s="25">
        <v>0.65659394598644583</v>
      </c>
      <c r="H912" s="25">
        <v>1.9120045739220726</v>
      </c>
      <c r="I912" s="25">
        <v>0.21334804314879202</v>
      </c>
      <c r="J912" s="25">
        <v>8.6411756873559897E-2</v>
      </c>
      <c r="K912" s="25">
        <v>0.25163143125644849</v>
      </c>
      <c r="L912" s="25">
        <v>0.99990000000000001</v>
      </c>
      <c r="M912" s="24">
        <v>2</v>
      </c>
      <c r="N912" s="108">
        <v>0</v>
      </c>
      <c r="O912" s="24">
        <v>3</v>
      </c>
      <c r="P912" s="24">
        <v>0</v>
      </c>
      <c r="Q912" s="24">
        <v>3</v>
      </c>
      <c r="R912" s="24">
        <v>4</v>
      </c>
      <c r="S912" s="24">
        <v>0</v>
      </c>
      <c r="T912" s="24">
        <v>0</v>
      </c>
      <c r="U912" s="24">
        <v>886222000000</v>
      </c>
      <c r="V912" s="109">
        <v>-0.16688754940849071</v>
      </c>
      <c r="W912" s="109">
        <v>1.4637719217081047</v>
      </c>
      <c r="X912" s="109">
        <v>0.89879154433087871</v>
      </c>
      <c r="Y912" s="109">
        <v>0.67095964667995156</v>
      </c>
      <c r="Z912" s="109">
        <v>0.54916186620105589</v>
      </c>
      <c r="AA912" s="109">
        <v>3.5826849789199908</v>
      </c>
      <c r="AD912" s="111"/>
    </row>
    <row r="913" spans="1:30" ht="15" customHeight="1" x14ac:dyDescent="0.3">
      <c r="A913" s="22" t="s">
        <v>154</v>
      </c>
      <c r="B913" s="23">
        <v>112</v>
      </c>
      <c r="C913" s="3" t="s">
        <v>91</v>
      </c>
      <c r="D913" s="23">
        <v>2017</v>
      </c>
      <c r="E913" s="25">
        <v>2.6043903427192872</v>
      </c>
      <c r="F913" s="25">
        <v>0.10600173109150844</v>
      </c>
      <c r="G913" s="25">
        <v>0.65188813048001681</v>
      </c>
      <c r="H913" s="25">
        <v>1.8726397677244253</v>
      </c>
      <c r="I913" s="25">
        <v>0.17959337241262446</v>
      </c>
      <c r="J913" s="25">
        <v>6.8697342126628286E-2</v>
      </c>
      <c r="K913" s="25">
        <v>0.19734271692992283</v>
      </c>
      <c r="L913" s="25">
        <v>0.99990000000000001</v>
      </c>
      <c r="M913" s="24">
        <v>2</v>
      </c>
      <c r="N913" s="108">
        <v>0</v>
      </c>
      <c r="O913" s="24">
        <v>3</v>
      </c>
      <c r="P913" s="24">
        <v>0</v>
      </c>
      <c r="Q913" s="24">
        <v>3</v>
      </c>
      <c r="R913" s="24">
        <v>4</v>
      </c>
      <c r="S913" s="24">
        <v>0</v>
      </c>
      <c r="T913" s="24">
        <v>0</v>
      </c>
      <c r="U913" s="24">
        <v>910239000000</v>
      </c>
      <c r="V913" s="109">
        <v>-2.998517874654542E-2</v>
      </c>
      <c r="W913" s="109">
        <v>2.5114599572200267</v>
      </c>
      <c r="X913" s="109">
        <v>0.30759514808748029</v>
      </c>
      <c r="Y913" s="109">
        <v>0.55535445086400381</v>
      </c>
      <c r="Z913" s="109">
        <v>0.56070581117473972</v>
      </c>
      <c r="AA913" s="109">
        <v>3.9351153673462504</v>
      </c>
      <c r="AD913" s="111"/>
    </row>
    <row r="914" spans="1:30" ht="15" customHeight="1" x14ac:dyDescent="0.3">
      <c r="A914" s="22" t="s">
        <v>154</v>
      </c>
      <c r="B914" s="23">
        <v>112</v>
      </c>
      <c r="C914" s="3" t="s">
        <v>91</v>
      </c>
      <c r="D914" s="23">
        <v>2018</v>
      </c>
      <c r="E914" s="25">
        <v>2.3528512389036118</v>
      </c>
      <c r="F914" s="25">
        <v>7.4190589151022071E-2</v>
      </c>
      <c r="G914" s="25">
        <v>0.70705396598419179</v>
      </c>
      <c r="H914" s="25">
        <v>2.3982674775895783</v>
      </c>
      <c r="I914" s="25">
        <v>0.90784394984682637</v>
      </c>
      <c r="J914" s="25">
        <v>0.31366078898557126</v>
      </c>
      <c r="K914" s="25">
        <v>1.0639109677747023</v>
      </c>
      <c r="L914" s="25">
        <v>0.99990000000000001</v>
      </c>
      <c r="M914" s="24">
        <v>2</v>
      </c>
      <c r="N914" s="108">
        <v>0</v>
      </c>
      <c r="O914" s="24">
        <v>3</v>
      </c>
      <c r="P914" s="24">
        <v>0</v>
      </c>
      <c r="Q914" s="24">
        <v>3</v>
      </c>
      <c r="R914" s="24">
        <v>4</v>
      </c>
      <c r="S914" s="24">
        <v>0</v>
      </c>
      <c r="T914" s="24">
        <v>0</v>
      </c>
      <c r="U914" s="24">
        <v>1068562000000</v>
      </c>
      <c r="V914" s="109">
        <v>6.0336434210942008E-2</v>
      </c>
      <c r="W914" s="109">
        <v>1.7925779131206236</v>
      </c>
      <c r="X914" s="109">
        <v>0.25642828399288015</v>
      </c>
      <c r="Y914" s="109">
        <v>0.25759658307145489</v>
      </c>
      <c r="Z914" s="109">
        <v>0.43781605255111972</v>
      </c>
      <c r="AA914" s="109">
        <v>2.7444188327360783</v>
      </c>
      <c r="AD914" s="111"/>
    </row>
    <row r="915" spans="1:30" ht="15" customHeight="1" x14ac:dyDescent="0.3">
      <c r="A915" s="22" t="s">
        <v>154</v>
      </c>
      <c r="B915" s="23">
        <v>112</v>
      </c>
      <c r="C915" s="3" t="s">
        <v>91</v>
      </c>
      <c r="D915" s="23">
        <v>2019</v>
      </c>
      <c r="E915" s="25">
        <v>4.5620713248669125</v>
      </c>
      <c r="F915" s="25">
        <v>0.12508552642557949</v>
      </c>
      <c r="G915" s="25">
        <v>0.66568442440512443</v>
      </c>
      <c r="H915" s="25">
        <v>1.9910773604016685</v>
      </c>
      <c r="I915" s="25">
        <v>0.17436081398382469</v>
      </c>
      <c r="J915" s="25">
        <v>4.8671515065447923E-2</v>
      </c>
      <c r="K915" s="25">
        <v>0.14557761634555691</v>
      </c>
      <c r="L915" s="25">
        <v>0.99990000000000001</v>
      </c>
      <c r="M915" s="24">
        <v>2</v>
      </c>
      <c r="N915" s="108">
        <v>0</v>
      </c>
      <c r="O915" s="24">
        <v>3</v>
      </c>
      <c r="P915" s="24">
        <v>0</v>
      </c>
      <c r="Q915" s="24">
        <v>3</v>
      </c>
      <c r="R915" s="24">
        <v>2</v>
      </c>
      <c r="S915" s="24">
        <v>0</v>
      </c>
      <c r="T915" s="24">
        <v>0</v>
      </c>
      <c r="U915" s="24">
        <v>1098507000000</v>
      </c>
      <c r="V915" s="109">
        <v>-0.1694227076104651</v>
      </c>
      <c r="W915" s="109">
        <v>2.5493365085520616</v>
      </c>
      <c r="X915" s="109">
        <v>0.40439767793923931</v>
      </c>
      <c r="Y915" s="109">
        <v>0.3373314507781926</v>
      </c>
      <c r="Z915" s="109">
        <v>0.52735268899254573</v>
      </c>
      <c r="AA915" s="109">
        <v>3.8184183262620395</v>
      </c>
      <c r="AD915" s="111"/>
    </row>
    <row r="916" spans="1:30" ht="15" customHeight="1" x14ac:dyDescent="0.3">
      <c r="A916" s="22" t="s">
        <v>154</v>
      </c>
      <c r="B916" s="23">
        <v>112</v>
      </c>
      <c r="C916" s="3" t="s">
        <v>91</v>
      </c>
      <c r="D916" s="23">
        <v>2020</v>
      </c>
      <c r="E916" s="25">
        <v>4.2240313596759265</v>
      </c>
      <c r="F916" s="25">
        <v>0.18233486406732902</v>
      </c>
      <c r="G916" s="25">
        <v>0.57456226690147216</v>
      </c>
      <c r="H916" s="25">
        <v>1.3505202341053475</v>
      </c>
      <c r="I916" s="25">
        <v>0.15256777771532423</v>
      </c>
      <c r="J916" s="25">
        <v>3.465899115223163E-2</v>
      </c>
      <c r="K916" s="25">
        <v>8.1466659996998647E-2</v>
      </c>
      <c r="L916" s="25">
        <v>0.99990000000000001</v>
      </c>
      <c r="M916" s="24">
        <v>2</v>
      </c>
      <c r="N916" s="108">
        <v>0</v>
      </c>
      <c r="O916" s="24">
        <v>3</v>
      </c>
      <c r="P916" s="24">
        <v>0</v>
      </c>
      <c r="Q916" s="24">
        <v>3</v>
      </c>
      <c r="R916" s="24">
        <v>4</v>
      </c>
      <c r="S916" s="24">
        <v>0</v>
      </c>
      <c r="T916" s="24">
        <v>0</v>
      </c>
      <c r="U916" s="24">
        <v>939785000000</v>
      </c>
      <c r="V916" s="109">
        <v>-0.3037698930341769</v>
      </c>
      <c r="W916" s="109">
        <v>2.5777414195800104</v>
      </c>
      <c r="X916" s="109">
        <v>0.58568544933149602</v>
      </c>
      <c r="Y916" s="109">
        <v>0.30235477263416627</v>
      </c>
      <c r="Z916" s="109">
        <v>0.77747816988138119</v>
      </c>
      <c r="AA916" s="109">
        <v>4.2432598114270537</v>
      </c>
      <c r="AD916" s="111"/>
    </row>
    <row r="917" spans="1:30" ht="15" customHeight="1" x14ac:dyDescent="0.3">
      <c r="A917" s="22" t="s">
        <v>154</v>
      </c>
      <c r="B917" s="23">
        <v>112</v>
      </c>
      <c r="C917" s="3" t="s">
        <v>91</v>
      </c>
      <c r="D917" s="23">
        <v>2021</v>
      </c>
      <c r="E917" s="25">
        <v>3.6512103386436112</v>
      </c>
      <c r="F917" s="25">
        <v>0.12894694606683554</v>
      </c>
      <c r="G917" s="25">
        <v>0.59287148072262841</v>
      </c>
      <c r="H917" s="25">
        <v>1.4562268488951335</v>
      </c>
      <c r="I917" s="25">
        <v>0.11043841552544552</v>
      </c>
      <c r="J917" s="25">
        <v>3.0217304770342242E-2</v>
      </c>
      <c r="K917" s="25">
        <v>7.4220555278161612E-2</v>
      </c>
      <c r="L917" s="25">
        <v>0.99990000000000001</v>
      </c>
      <c r="M917" s="24">
        <v>2</v>
      </c>
      <c r="N917" s="108">
        <v>0</v>
      </c>
      <c r="O917" s="24">
        <v>3</v>
      </c>
      <c r="P917" s="24">
        <v>0</v>
      </c>
      <c r="Q917" s="24">
        <v>3</v>
      </c>
      <c r="R917" s="24">
        <v>4</v>
      </c>
      <c r="S917" s="24">
        <v>0</v>
      </c>
      <c r="T917" s="24">
        <v>0</v>
      </c>
      <c r="U917" s="24">
        <v>1057639000000</v>
      </c>
      <c r="V917" s="109">
        <v>0.35547467820808276</v>
      </c>
      <c r="W917" s="109">
        <v>2.3565571239335918</v>
      </c>
      <c r="X917" s="109">
        <v>0.61999054497801231</v>
      </c>
      <c r="Y917" s="109">
        <v>0.24650739997295862</v>
      </c>
      <c r="Z917" s="109">
        <v>0.72104150585923799</v>
      </c>
      <c r="AA917" s="109">
        <v>3.944096574743801</v>
      </c>
      <c r="AD917" s="111"/>
    </row>
    <row r="918" spans="1:30" ht="15" customHeight="1" x14ac:dyDescent="0.3">
      <c r="A918" s="22" t="s">
        <v>154</v>
      </c>
      <c r="B918" s="23">
        <v>112</v>
      </c>
      <c r="C918" s="3" t="s">
        <v>91</v>
      </c>
      <c r="D918" s="23">
        <v>2022</v>
      </c>
      <c r="E918" s="25">
        <v>1.884382113956232</v>
      </c>
      <c r="F918" s="25">
        <v>4.4263139529087253E-2</v>
      </c>
      <c r="G918" s="25">
        <v>0.62480160212820013</v>
      </c>
      <c r="H918" s="25">
        <v>1.6652565833761537</v>
      </c>
      <c r="I918" s="25">
        <v>0.15807683209642368</v>
      </c>
      <c r="J918" s="25">
        <v>5.3432171092944361E-2</v>
      </c>
      <c r="K918" s="25">
        <v>0.14241044576955098</v>
      </c>
      <c r="L918" s="25">
        <v>0.99990000000000001</v>
      </c>
      <c r="M918" s="24">
        <v>2</v>
      </c>
      <c r="N918" s="108">
        <v>0</v>
      </c>
      <c r="O918" s="24">
        <v>3</v>
      </c>
      <c r="P918" s="24">
        <v>0</v>
      </c>
      <c r="Q918" s="24">
        <v>3</v>
      </c>
      <c r="R918" s="24">
        <v>4</v>
      </c>
      <c r="S918" s="24">
        <v>0</v>
      </c>
      <c r="T918" s="24">
        <v>0</v>
      </c>
      <c r="U918" s="24">
        <v>1338220000000</v>
      </c>
      <c r="V918" s="109">
        <v>0.56310840650625638</v>
      </c>
      <c r="W918" s="109">
        <v>1.3045047899448521</v>
      </c>
      <c r="X918" s="109">
        <v>0.64993421111625882</v>
      </c>
      <c r="Y918" s="109">
        <v>0.3950790751894307</v>
      </c>
      <c r="Z918" s="109">
        <v>0.6305334628200191</v>
      </c>
      <c r="AA918" s="109">
        <v>2.9800515390705606</v>
      </c>
      <c r="AD918" s="111"/>
    </row>
    <row r="919" spans="1:30" ht="15" customHeight="1" x14ac:dyDescent="0.3">
      <c r="A919" s="22" t="s">
        <v>154</v>
      </c>
      <c r="B919" s="23">
        <v>112</v>
      </c>
      <c r="C919" s="3" t="s">
        <v>91</v>
      </c>
      <c r="D919" s="23">
        <v>2023</v>
      </c>
      <c r="E919" s="25">
        <v>1.6515346282924845</v>
      </c>
      <c r="F919" s="25">
        <v>3.433540120004068E-2</v>
      </c>
      <c r="G919" s="25">
        <v>0.64379621204069304</v>
      </c>
      <c r="H919" s="25">
        <v>1.8073817118257058</v>
      </c>
      <c r="I919" s="25">
        <v>7.9934095700861504E-2</v>
      </c>
      <c r="J919" s="25">
        <v>4.8807076434978176E-2</v>
      </c>
      <c r="K919" s="25">
        <v>0.13702009379123711</v>
      </c>
      <c r="L919" s="25">
        <v>0.99990000000000001</v>
      </c>
      <c r="M919" s="24">
        <v>2</v>
      </c>
      <c r="N919" s="108">
        <v>0</v>
      </c>
      <c r="O919" s="24">
        <v>3</v>
      </c>
      <c r="P919" s="24">
        <v>0</v>
      </c>
      <c r="Q919" s="24">
        <v>3</v>
      </c>
      <c r="R919" s="24">
        <v>3</v>
      </c>
      <c r="S919" s="24">
        <v>0</v>
      </c>
      <c r="T919" s="24">
        <v>0</v>
      </c>
      <c r="U919" s="24">
        <v>1759417000000</v>
      </c>
      <c r="V919" s="109">
        <v>1.3749660098554839</v>
      </c>
      <c r="W919" s="109">
        <v>1.1943417166027155</v>
      </c>
      <c r="X919" s="109">
        <v>0.70975928958285617</v>
      </c>
      <c r="Y919" s="109">
        <v>0.3934679726295699</v>
      </c>
      <c r="Z919" s="109">
        <v>0.58095088222363089</v>
      </c>
      <c r="AA919" s="109">
        <v>2.8785198610387726</v>
      </c>
      <c r="AD919" s="111"/>
    </row>
    <row r="920" spans="1:30" ht="15" customHeight="1" x14ac:dyDescent="0.3">
      <c r="A920" s="22" t="s">
        <v>154</v>
      </c>
      <c r="B920" s="23">
        <v>112</v>
      </c>
      <c r="C920" s="3" t="s">
        <v>91</v>
      </c>
      <c r="D920" s="23">
        <v>2024</v>
      </c>
      <c r="E920" s="25">
        <v>2.0054993888184902</v>
      </c>
      <c r="F920" s="25">
        <v>2.5246401995613434E-2</v>
      </c>
      <c r="G920" s="25">
        <v>0.59934347849356862</v>
      </c>
      <c r="H920" s="25">
        <v>1.4959034642443672</v>
      </c>
      <c r="I920" s="25">
        <v>0.12368789384355013</v>
      </c>
      <c r="J920" s="25">
        <v>5.7001855386866002E-2</v>
      </c>
      <c r="K920" s="25">
        <v>0.1422711283284353</v>
      </c>
      <c r="L920" s="25">
        <v>0.99990000000000001</v>
      </c>
      <c r="M920" s="24">
        <v>2</v>
      </c>
      <c r="N920" s="108">
        <v>0</v>
      </c>
      <c r="O920" s="24">
        <v>3</v>
      </c>
      <c r="P920" s="24">
        <v>10</v>
      </c>
      <c r="Q920" s="24">
        <v>3</v>
      </c>
      <c r="R920" s="24">
        <v>3</v>
      </c>
      <c r="S920" s="24">
        <v>10</v>
      </c>
      <c r="T920" s="24">
        <v>7</v>
      </c>
      <c r="U920" s="24">
        <v>1793696000000</v>
      </c>
      <c r="V920" s="109">
        <v>-0.2305310043424231</v>
      </c>
      <c r="W920" s="109">
        <v>1.4771278968119457</v>
      </c>
      <c r="X920" s="109">
        <v>0.88202125666779652</v>
      </c>
      <c r="Y920" s="109">
        <v>0.45678268781331949</v>
      </c>
      <c r="Z920" s="109">
        <v>0.70191695192737014</v>
      </c>
      <c r="AA920" s="109">
        <v>3.5178487932204319</v>
      </c>
      <c r="AD920" s="111"/>
    </row>
    <row r="921" spans="1:30" ht="15" customHeight="1" x14ac:dyDescent="0.3">
      <c r="A921" s="22" t="s">
        <v>154</v>
      </c>
      <c r="B921" s="23">
        <v>113</v>
      </c>
      <c r="C921" s="3" t="s">
        <v>90</v>
      </c>
      <c r="D921" s="23">
        <v>2018</v>
      </c>
      <c r="E921" s="25">
        <v>7.3169997165532878</v>
      </c>
      <c r="F921" s="25">
        <v>0.63764880952380953</v>
      </c>
      <c r="G921" s="25">
        <v>0.64146514879591476</v>
      </c>
      <c r="H921" s="25">
        <v>1.7891291366561737</v>
      </c>
      <c r="I921" s="25">
        <v>0.15572376638425306</v>
      </c>
      <c r="J921" s="25">
        <v>2.7351276771766971E-2</v>
      </c>
      <c r="K921" s="25">
        <v>7.6286242968882464E-2</v>
      </c>
      <c r="L921" s="25">
        <v>0</v>
      </c>
      <c r="M921" s="24">
        <v>0</v>
      </c>
      <c r="N921" s="108">
        <v>0</v>
      </c>
      <c r="O921" s="24">
        <v>0</v>
      </c>
      <c r="P921" s="24">
        <v>0</v>
      </c>
      <c r="Q921" s="24">
        <v>0</v>
      </c>
      <c r="R921" s="24">
        <v>0</v>
      </c>
      <c r="S921" s="24">
        <v>0</v>
      </c>
      <c r="T921" s="24">
        <v>0</v>
      </c>
      <c r="U921" s="24">
        <v>378337000000</v>
      </c>
      <c r="V921" s="109">
        <v>0</v>
      </c>
      <c r="W921" s="109">
        <v>3.0913946032241095</v>
      </c>
      <c r="X921" s="109">
        <v>0.63392742449192119</v>
      </c>
      <c r="Y921" s="109">
        <v>0.22813438812487277</v>
      </c>
      <c r="Z921" s="109">
        <v>0.58687770406691664</v>
      </c>
      <c r="AA921" s="109">
        <v>4.5403341199078202</v>
      </c>
      <c r="AD921" s="111"/>
    </row>
    <row r="922" spans="1:30" ht="15" customHeight="1" x14ac:dyDescent="0.3">
      <c r="A922" s="22" t="s">
        <v>154</v>
      </c>
      <c r="B922" s="23">
        <v>113</v>
      </c>
      <c r="C922" s="3" t="s">
        <v>90</v>
      </c>
      <c r="D922" s="23">
        <v>2019</v>
      </c>
      <c r="E922" s="25">
        <v>9.8287678259977422</v>
      </c>
      <c r="F922" s="25">
        <v>0.51195239560890526</v>
      </c>
      <c r="G922" s="25">
        <v>0.70049723601021818</v>
      </c>
      <c r="H922" s="25">
        <v>2.3388842993173617</v>
      </c>
      <c r="I922" s="25">
        <v>2.916774323199265E-2</v>
      </c>
      <c r="J922" s="25">
        <v>4.4102294751783514E-3</v>
      </c>
      <c r="K922" s="25">
        <v>1.4725277910633796E-2</v>
      </c>
      <c r="L922" s="25">
        <v>0.93369999999999997</v>
      </c>
      <c r="M922" s="24">
        <v>2</v>
      </c>
      <c r="N922" s="108">
        <v>0.05</v>
      </c>
      <c r="O922" s="24">
        <v>4</v>
      </c>
      <c r="P922" s="24">
        <v>0</v>
      </c>
      <c r="Q922" s="24">
        <v>4</v>
      </c>
      <c r="R922" s="24">
        <v>3</v>
      </c>
      <c r="S922" s="24">
        <v>0</v>
      </c>
      <c r="T922" s="24">
        <v>0</v>
      </c>
      <c r="U922" s="24">
        <v>460747000000</v>
      </c>
      <c r="V922" s="109">
        <v>4.8381514198431924E-2</v>
      </c>
      <c r="W922" s="109">
        <v>3.6756456797331287</v>
      </c>
      <c r="X922" s="109">
        <v>0.53066706891200599</v>
      </c>
      <c r="Y922" s="109">
        <v>-1.5897661840446058E-3</v>
      </c>
      <c r="Z922" s="109">
        <v>0.44893199732302203</v>
      </c>
      <c r="AA922" s="109">
        <v>4.6536549797841129</v>
      </c>
      <c r="AD922" s="111"/>
    </row>
    <row r="923" spans="1:30" ht="15" customHeight="1" x14ac:dyDescent="0.3">
      <c r="A923" s="22" t="s">
        <v>154</v>
      </c>
      <c r="B923" s="23">
        <v>113</v>
      </c>
      <c r="C923" s="3" t="s">
        <v>90</v>
      </c>
      <c r="D923" s="23">
        <v>2020</v>
      </c>
      <c r="E923" s="25">
        <v>15.230716468167364</v>
      </c>
      <c r="F923" s="25">
        <v>0.83481947995260963</v>
      </c>
      <c r="G923" s="25">
        <v>0.6732293155846738</v>
      </c>
      <c r="H923" s="25">
        <v>2.060250039838329</v>
      </c>
      <c r="I923" s="25">
        <v>1.8603743515522093E-2</v>
      </c>
      <c r="J923" s="25">
        <v>2.7077435785766357E-3</v>
      </c>
      <c r="K923" s="25">
        <v>8.2863723942111292E-3</v>
      </c>
      <c r="L923" s="25">
        <v>0.93369999999999997</v>
      </c>
      <c r="M923" s="24">
        <v>2</v>
      </c>
      <c r="N923" s="108">
        <v>0.05</v>
      </c>
      <c r="O923" s="24">
        <v>4</v>
      </c>
      <c r="P923" s="24">
        <v>0</v>
      </c>
      <c r="Q923" s="24">
        <v>4</v>
      </c>
      <c r="R923" s="24">
        <v>3</v>
      </c>
      <c r="S923" s="24">
        <v>0</v>
      </c>
      <c r="T923" s="24">
        <v>0</v>
      </c>
      <c r="U923" s="24">
        <v>422492000000</v>
      </c>
      <c r="V923" s="109">
        <v>-0.11731691212356099</v>
      </c>
      <c r="W923" s="109">
        <v>3.5435229069426164</v>
      </c>
      <c r="X923" s="109">
        <v>4.7415572365867284E-2</v>
      </c>
      <c r="Y923" s="109">
        <v>9.2729803167870637E-3</v>
      </c>
      <c r="Z923" s="109">
        <v>0.50964687765878902</v>
      </c>
      <c r="AA923" s="109">
        <v>4.1098583372840594</v>
      </c>
      <c r="AD923" s="111"/>
    </row>
    <row r="924" spans="1:30" ht="15" customHeight="1" x14ac:dyDescent="0.3">
      <c r="A924" s="22" t="s">
        <v>154</v>
      </c>
      <c r="B924" s="23">
        <v>113</v>
      </c>
      <c r="C924" s="3" t="s">
        <v>90</v>
      </c>
      <c r="D924" s="23">
        <v>2021</v>
      </c>
      <c r="E924" s="25">
        <v>13.514824797843666</v>
      </c>
      <c r="F924" s="25">
        <v>0.91220639199075859</v>
      </c>
      <c r="G924" s="25">
        <v>0.66011713640147462</v>
      </c>
      <c r="H924" s="25">
        <v>1.942190110476457</v>
      </c>
      <c r="I924" s="25">
        <v>-0.67984189723320154</v>
      </c>
      <c r="J924" s="25">
        <v>-7.0567249375668925E-2</v>
      </c>
      <c r="K924" s="25">
        <v>-0.20762226323661906</v>
      </c>
      <c r="L924" s="25">
        <v>0.9476</v>
      </c>
      <c r="M924" s="24">
        <v>2</v>
      </c>
      <c r="N924" s="108">
        <v>0.05</v>
      </c>
      <c r="O924" s="24">
        <v>4</v>
      </c>
      <c r="P924" s="24">
        <v>0</v>
      </c>
      <c r="Q924" s="24">
        <v>4</v>
      </c>
      <c r="R924" s="24">
        <v>2</v>
      </c>
      <c r="S924" s="24">
        <v>0</v>
      </c>
      <c r="T924" s="24">
        <v>0</v>
      </c>
      <c r="U924" s="24">
        <v>336360000000</v>
      </c>
      <c r="V924" s="109">
        <v>-0.43222805847820078</v>
      </c>
      <c r="W924" s="109">
        <v>3.1693209656320609</v>
      </c>
      <c r="X924" s="109">
        <v>-0.1104306100606493</v>
      </c>
      <c r="Y924" s="109">
        <v>-0.54369746699964316</v>
      </c>
      <c r="Z924" s="109">
        <v>0.54062678742732073</v>
      </c>
      <c r="AA924" s="109">
        <v>3.0558196759990892</v>
      </c>
      <c r="AD924" s="111"/>
    </row>
    <row r="925" spans="1:30" ht="15" customHeight="1" x14ac:dyDescent="0.3">
      <c r="A925" s="22" t="s">
        <v>154</v>
      </c>
      <c r="B925" s="23">
        <v>113</v>
      </c>
      <c r="C925" s="3" t="s">
        <v>90</v>
      </c>
      <c r="D925" s="23">
        <v>2022</v>
      </c>
      <c r="E925" s="25">
        <v>14.349294449670744</v>
      </c>
      <c r="F925" s="25">
        <v>6.0835371589840079</v>
      </c>
      <c r="G925" s="25">
        <v>0.33847519382252172</v>
      </c>
      <c r="H925" s="25">
        <v>0.84041069925531842</v>
      </c>
      <c r="I925" s="25">
        <v>-3.6533872209391838</v>
      </c>
      <c r="J925" s="25">
        <v>-9.8246540177416186E-2</v>
      </c>
      <c r="K925" s="25">
        <v>-0.24393942314488201</v>
      </c>
      <c r="L925" s="25">
        <v>0.99850000000000005</v>
      </c>
      <c r="M925" s="24">
        <v>1</v>
      </c>
      <c r="N925" s="108">
        <v>0</v>
      </c>
      <c r="O925" s="24">
        <v>3</v>
      </c>
      <c r="P925" s="24">
        <v>0</v>
      </c>
      <c r="Q925" s="24">
        <v>3</v>
      </c>
      <c r="R925" s="24">
        <v>3</v>
      </c>
      <c r="S925" s="24">
        <v>0</v>
      </c>
      <c r="T925" s="24">
        <v>0</v>
      </c>
      <c r="U925" s="24">
        <v>386436000000</v>
      </c>
      <c r="V925" s="109">
        <v>-0.70235435641862864</v>
      </c>
      <c r="W925" s="109">
        <v>2.408894823463652</v>
      </c>
      <c r="X925" s="109">
        <v>-0.34794558477988591</v>
      </c>
      <c r="Y925" s="109">
        <v>-0.5004403316461199</v>
      </c>
      <c r="Z925" s="109">
        <v>1.2493891390606962</v>
      </c>
      <c r="AA925" s="109">
        <v>2.8098980460983425</v>
      </c>
      <c r="AD925" s="111"/>
    </row>
    <row r="926" spans="1:30" ht="15" customHeight="1" x14ac:dyDescent="0.3">
      <c r="A926" s="22" t="s">
        <v>154</v>
      </c>
      <c r="B926" s="23">
        <v>113</v>
      </c>
      <c r="C926" s="3" t="s">
        <v>90</v>
      </c>
      <c r="D926" s="23">
        <v>2023</v>
      </c>
      <c r="E926" s="25">
        <v>5.0211508354899514</v>
      </c>
      <c r="F926" s="25">
        <v>1.1577366689031598</v>
      </c>
      <c r="G926" s="25">
        <v>0.61053435840721115</v>
      </c>
      <c r="H926" s="25">
        <v>1.5676205888414769</v>
      </c>
      <c r="I926" s="25">
        <v>-0.43453105431197192</v>
      </c>
      <c r="J926" s="25">
        <v>-7.3235701586961827E-2</v>
      </c>
      <c r="K926" s="25">
        <v>-0.18804149523293359</v>
      </c>
      <c r="L926" s="25">
        <v>0.99850000000000005</v>
      </c>
      <c r="M926" s="24">
        <v>2</v>
      </c>
      <c r="N926" s="108">
        <v>0</v>
      </c>
      <c r="O926" s="24">
        <v>3</v>
      </c>
      <c r="P926" s="24">
        <v>0</v>
      </c>
      <c r="Q926" s="24">
        <v>3</v>
      </c>
      <c r="R926" s="24">
        <v>3</v>
      </c>
      <c r="S926" s="24">
        <v>0</v>
      </c>
      <c r="T926" s="24">
        <v>0</v>
      </c>
      <c r="U926" s="24">
        <v>336366000000</v>
      </c>
      <c r="V926" s="109">
        <v>4.4552540415704387</v>
      </c>
      <c r="W926" s="109">
        <v>2.454553908540102</v>
      </c>
      <c r="X926" s="109">
        <v>-0.643130042869969</v>
      </c>
      <c r="Y926" s="109">
        <v>-0.50171349066195747</v>
      </c>
      <c r="Z926" s="109">
        <v>0.6698049307811047</v>
      </c>
      <c r="AA926" s="109">
        <v>1.9795153057892803</v>
      </c>
      <c r="AD926" s="111"/>
    </row>
    <row r="927" spans="1:30" ht="15" customHeight="1" x14ac:dyDescent="0.3">
      <c r="A927" s="22" t="s">
        <v>154</v>
      </c>
      <c r="B927" s="23">
        <v>113</v>
      </c>
      <c r="C927" s="3" t="s">
        <v>90</v>
      </c>
      <c r="D927" s="23">
        <v>2024</v>
      </c>
      <c r="E927" s="25">
        <v>1.6630839168679734</v>
      </c>
      <c r="F927" s="25">
        <v>0.46104332935816283</v>
      </c>
      <c r="G927" s="25">
        <v>1.4959355894018107</v>
      </c>
      <c r="H927" s="25">
        <v>1.8217214427034005</v>
      </c>
      <c r="I927" s="25">
        <v>0.36865713484721052</v>
      </c>
      <c r="J927" s="25">
        <v>0.45858508138508247</v>
      </c>
      <c r="K927" s="25">
        <v>0.55845604715985886</v>
      </c>
      <c r="L927" s="25">
        <v>0.99850000000000005</v>
      </c>
      <c r="M927" s="24">
        <v>2</v>
      </c>
      <c r="N927" s="108">
        <v>0</v>
      </c>
      <c r="O927" s="24">
        <v>3</v>
      </c>
      <c r="P927" s="24">
        <v>0</v>
      </c>
      <c r="Q927" s="24">
        <v>3</v>
      </c>
      <c r="R927" s="24">
        <v>3</v>
      </c>
      <c r="S927" s="24">
        <v>0</v>
      </c>
      <c r="T927" s="24">
        <v>0</v>
      </c>
      <c r="U927" s="24">
        <v>361307000000</v>
      </c>
      <c r="V927" s="109">
        <v>6.9279250674710271</v>
      </c>
      <c r="W927" s="109">
        <v>2.362298654606747</v>
      </c>
      <c r="X927" s="109">
        <v>0.89530515600306648</v>
      </c>
      <c r="Y927" s="109">
        <v>3.389656331042576</v>
      </c>
      <c r="Z927" s="109">
        <v>0.57637791123642912</v>
      </c>
      <c r="AA927" s="109">
        <v>7.2236380528888189</v>
      </c>
      <c r="AD927" s="111"/>
    </row>
    <row r="928" spans="1:30" ht="15" customHeight="1" x14ac:dyDescent="0.3">
      <c r="A928" s="22" t="s">
        <v>154</v>
      </c>
      <c r="B928" s="23">
        <v>114</v>
      </c>
      <c r="C928" s="2" t="s">
        <v>107</v>
      </c>
      <c r="D928" s="23">
        <v>2015</v>
      </c>
      <c r="E928" s="25">
        <v>1.8020521584221043</v>
      </c>
      <c r="F928" s="25">
        <v>0.25890958713597739</v>
      </c>
      <c r="G928" s="25">
        <v>0.27372801374417671</v>
      </c>
      <c r="H928" s="25">
        <v>0.37689463303594678</v>
      </c>
      <c r="I928" s="25">
        <v>0.30995512595592006</v>
      </c>
      <c r="J928" s="25">
        <v>8.4702507772228958E-2</v>
      </c>
      <c r="K928" s="25">
        <v>0.11662642835626762</v>
      </c>
      <c r="L928" s="25">
        <v>0.54</v>
      </c>
      <c r="M928" s="24">
        <v>2</v>
      </c>
      <c r="N928" s="108">
        <v>0.23</v>
      </c>
      <c r="O928" s="24">
        <v>3</v>
      </c>
      <c r="P928" s="24">
        <v>5</v>
      </c>
      <c r="Q928" s="24">
        <v>3</v>
      </c>
      <c r="R928" s="24">
        <v>3</v>
      </c>
      <c r="S928" s="24">
        <v>5</v>
      </c>
      <c r="T928" s="24">
        <v>5</v>
      </c>
      <c r="U928" s="24">
        <v>159252900000</v>
      </c>
      <c r="V928" s="109">
        <v>0.21897467354587163</v>
      </c>
      <c r="W928" s="109">
        <v>0.68322401915443953</v>
      </c>
      <c r="X928" s="109">
        <v>0.89356682107515784</v>
      </c>
      <c r="Y928" s="109">
        <v>0.70533607865225689</v>
      </c>
      <c r="Z928" s="109">
        <v>2.7859245209784005</v>
      </c>
      <c r="AA928" s="109">
        <v>5.0680514398602545</v>
      </c>
      <c r="AD928" s="111"/>
    </row>
    <row r="929" spans="1:30" ht="15" customHeight="1" x14ac:dyDescent="0.3">
      <c r="A929" s="22" t="s">
        <v>154</v>
      </c>
      <c r="B929" s="23">
        <v>114</v>
      </c>
      <c r="C929" s="3" t="s">
        <v>107</v>
      </c>
      <c r="D929" s="23">
        <v>2016</v>
      </c>
      <c r="E929" s="25">
        <v>1.988174742037577</v>
      </c>
      <c r="F929" s="25">
        <v>0.27575537965500402</v>
      </c>
      <c r="G929" s="25">
        <v>0.25652218254476161</v>
      </c>
      <c r="H929" s="25">
        <v>0.34503004194904002</v>
      </c>
      <c r="I929" s="25">
        <v>0.17642431656095192</v>
      </c>
      <c r="J929" s="25">
        <v>5.2065939097254897E-2</v>
      </c>
      <c r="K929" s="25">
        <v>7.0030252248096919E-2</v>
      </c>
      <c r="L929" s="25">
        <v>0.54</v>
      </c>
      <c r="M929" s="24">
        <v>2</v>
      </c>
      <c r="N929" s="108">
        <v>0.23</v>
      </c>
      <c r="O929" s="24">
        <v>3</v>
      </c>
      <c r="P929" s="24">
        <v>5</v>
      </c>
      <c r="Q929" s="24">
        <v>3</v>
      </c>
      <c r="R929" s="24">
        <v>2</v>
      </c>
      <c r="S929" s="24">
        <v>5</v>
      </c>
      <c r="T929" s="24">
        <v>2</v>
      </c>
      <c r="U929" s="24">
        <v>161493870000</v>
      </c>
      <c r="V929" s="109">
        <v>9.5132100279437373E-2</v>
      </c>
      <c r="W929" s="109">
        <v>0.79813979812360636</v>
      </c>
      <c r="X929" s="109">
        <v>0.90815823783280436</v>
      </c>
      <c r="Y929" s="109">
        <v>0.44480140825159487</v>
      </c>
      <c r="Z929" s="109">
        <v>3.043213263600629</v>
      </c>
      <c r="AA929" s="109">
        <v>5.1943127078086349</v>
      </c>
      <c r="AD929" s="111"/>
    </row>
    <row r="930" spans="1:30" ht="15" customHeight="1" x14ac:dyDescent="0.3">
      <c r="A930" s="22" t="s">
        <v>154</v>
      </c>
      <c r="B930" s="23">
        <v>114</v>
      </c>
      <c r="C930" s="3" t="s">
        <v>107</v>
      </c>
      <c r="D930" s="23">
        <v>2017</v>
      </c>
      <c r="E930" s="25">
        <v>1.9322930744317064</v>
      </c>
      <c r="F930" s="25">
        <v>0.18709733014760518</v>
      </c>
      <c r="G930" s="25">
        <v>0.23170112209815674</v>
      </c>
      <c r="H930" s="25">
        <v>0.30157680658198038</v>
      </c>
      <c r="I930" s="25">
        <v>0.12221081187992251</v>
      </c>
      <c r="J930" s="25">
        <v>3.5033156627967688E-2</v>
      </c>
      <c r="K930" s="25">
        <v>4.5598344128316523E-2</v>
      </c>
      <c r="L930" s="25">
        <v>0.54</v>
      </c>
      <c r="M930" s="24">
        <v>2</v>
      </c>
      <c r="N930" s="108">
        <v>0.23</v>
      </c>
      <c r="O930" s="24">
        <v>3</v>
      </c>
      <c r="P930" s="24">
        <v>5</v>
      </c>
      <c r="Q930" s="24">
        <v>3</v>
      </c>
      <c r="R930" s="24">
        <v>4</v>
      </c>
      <c r="S930" s="24">
        <v>5</v>
      </c>
      <c r="T930" s="24">
        <v>4</v>
      </c>
      <c r="U930" s="24">
        <v>161558950000</v>
      </c>
      <c r="V930" s="109">
        <v>-2.8261613060929884E-2</v>
      </c>
      <c r="W930" s="109">
        <v>0.80390691323507613</v>
      </c>
      <c r="X930" s="109">
        <v>0.96541746031402143</v>
      </c>
      <c r="Y930" s="109">
        <v>0.27612699389294121</v>
      </c>
      <c r="Z930" s="109">
        <v>3.4817001078448948</v>
      </c>
      <c r="AA930" s="109">
        <v>5.5271514752869333</v>
      </c>
      <c r="AD930" s="111"/>
    </row>
    <row r="931" spans="1:30" ht="15" customHeight="1" x14ac:dyDescent="0.3">
      <c r="A931" s="22" t="s">
        <v>154</v>
      </c>
      <c r="B931" s="23">
        <v>114</v>
      </c>
      <c r="C931" s="3" t="s">
        <v>107</v>
      </c>
      <c r="D931" s="23">
        <v>2018</v>
      </c>
      <c r="E931" s="25">
        <v>2.3142448381210654</v>
      </c>
      <c r="F931" s="25">
        <v>0.30869154357976286</v>
      </c>
      <c r="G931" s="25">
        <v>0.22840958144971626</v>
      </c>
      <c r="H931" s="25">
        <v>0.29602438801516956</v>
      </c>
      <c r="I931" s="25">
        <v>7.0094517861513633E-2</v>
      </c>
      <c r="J931" s="25">
        <v>2.0103703866147318E-2</v>
      </c>
      <c r="K931" s="25">
        <v>2.6054890499961774E-2</v>
      </c>
      <c r="L931" s="25">
        <v>0.54</v>
      </c>
      <c r="M931" s="24">
        <v>2</v>
      </c>
      <c r="N931" s="108">
        <v>0.23</v>
      </c>
      <c r="O931" s="24">
        <v>3</v>
      </c>
      <c r="P931" s="24">
        <v>5</v>
      </c>
      <c r="Q931" s="24">
        <v>3</v>
      </c>
      <c r="R931" s="24">
        <v>3</v>
      </c>
      <c r="S931" s="24">
        <v>5</v>
      </c>
      <c r="T931" s="24">
        <v>3</v>
      </c>
      <c r="U931" s="24">
        <v>163247530000</v>
      </c>
      <c r="V931" s="109">
        <v>1.0969331130340753E-2</v>
      </c>
      <c r="W931" s="109">
        <v>1.060180353111621</v>
      </c>
      <c r="X931" s="109">
        <v>0.98327121519082095</v>
      </c>
      <c r="Y931" s="109">
        <v>0.16271825736046358</v>
      </c>
      <c r="Z931" s="109">
        <v>3.5470050526586805</v>
      </c>
      <c r="AA931" s="109">
        <v>5.7531748783215857</v>
      </c>
      <c r="AD931" s="111"/>
    </row>
    <row r="932" spans="1:30" ht="15" customHeight="1" x14ac:dyDescent="0.3">
      <c r="A932" s="22" t="s">
        <v>154</v>
      </c>
      <c r="B932" s="23">
        <v>114</v>
      </c>
      <c r="C932" s="3" t="s">
        <v>107</v>
      </c>
      <c r="D932" s="23">
        <v>2019</v>
      </c>
      <c r="E932" s="25">
        <v>1.6125286597810773</v>
      </c>
      <c r="F932" s="25">
        <v>0.12435550666985319</v>
      </c>
      <c r="G932" s="25">
        <v>0.31176372002884378</v>
      </c>
      <c r="H932" s="25">
        <v>0.45298937167611936</v>
      </c>
      <c r="I932" s="25">
        <v>8.7423234805061673E-2</v>
      </c>
      <c r="J932" s="25">
        <v>2.6263239500225011E-2</v>
      </c>
      <c r="K932" s="25">
        <v>3.8160207859611377E-2</v>
      </c>
      <c r="L932" s="25">
        <v>0.54</v>
      </c>
      <c r="M932" s="24">
        <v>2</v>
      </c>
      <c r="N932" s="108">
        <v>0.23</v>
      </c>
      <c r="O932" s="24">
        <v>4</v>
      </c>
      <c r="P932" s="24">
        <v>6</v>
      </c>
      <c r="Q932" s="24">
        <v>4</v>
      </c>
      <c r="R932" s="24">
        <v>4</v>
      </c>
      <c r="S932" s="24">
        <v>6</v>
      </c>
      <c r="T932" s="24">
        <v>8</v>
      </c>
      <c r="U932" s="24">
        <v>190280030000</v>
      </c>
      <c r="V932" s="109">
        <v>0.22088846020933439</v>
      </c>
      <c r="W932" s="109">
        <v>0.80673093860664224</v>
      </c>
      <c r="X932" s="109">
        <v>0.93260844766526463</v>
      </c>
      <c r="Y932" s="109">
        <v>0.21660448130053375</v>
      </c>
      <c r="Z932" s="109">
        <v>2.3179351782909698</v>
      </c>
      <c r="AA932" s="109">
        <v>4.2738790458634099</v>
      </c>
      <c r="AD932" s="111"/>
    </row>
    <row r="933" spans="1:30" ht="15" customHeight="1" x14ac:dyDescent="0.3">
      <c r="A933" s="22" t="s">
        <v>154</v>
      </c>
      <c r="B933" s="23">
        <v>114</v>
      </c>
      <c r="C933" s="3" t="s">
        <v>107</v>
      </c>
      <c r="D933" s="23">
        <v>2020</v>
      </c>
      <c r="E933" s="25">
        <v>1.5842157444511447</v>
      </c>
      <c r="F933" s="25">
        <v>8.0085636725036533E-2</v>
      </c>
      <c r="G933" s="25">
        <v>0.33018785541042373</v>
      </c>
      <c r="H933" s="25">
        <v>0.49295591021680346</v>
      </c>
      <c r="I933" s="25">
        <v>5.4490641162899235E-2</v>
      </c>
      <c r="J933" s="25">
        <v>1.2188850400172785E-2</v>
      </c>
      <c r="K933" s="25">
        <v>1.8197416243686409E-2</v>
      </c>
      <c r="L933" s="25">
        <v>0.54</v>
      </c>
      <c r="M933" s="24">
        <v>2</v>
      </c>
      <c r="N933" s="108">
        <v>0.23</v>
      </c>
      <c r="O933" s="24">
        <v>4</v>
      </c>
      <c r="P933" s="24">
        <v>6</v>
      </c>
      <c r="Q933" s="24">
        <v>4</v>
      </c>
      <c r="R933" s="24">
        <v>4</v>
      </c>
      <c r="S933" s="24">
        <v>6</v>
      </c>
      <c r="T933" s="24">
        <v>8</v>
      </c>
      <c r="U933" s="24">
        <v>199137730000</v>
      </c>
      <c r="V933" s="109">
        <v>-0.22074473063409078</v>
      </c>
      <c r="W933" s="109">
        <v>0.84031514068177826</v>
      </c>
      <c r="X933" s="109">
        <v>0.94102215185439742</v>
      </c>
      <c r="Y933" s="109">
        <v>0.15477773297907935</v>
      </c>
      <c r="Z933" s="109">
        <v>2.1300079342556355</v>
      </c>
      <c r="AA933" s="109">
        <v>4.0661229597708903</v>
      </c>
      <c r="AD933" s="111"/>
    </row>
    <row r="934" spans="1:30" ht="15" customHeight="1" x14ac:dyDescent="0.3">
      <c r="A934" s="22" t="s">
        <v>154</v>
      </c>
      <c r="B934" s="23">
        <v>114</v>
      </c>
      <c r="C934" s="3" t="s">
        <v>107</v>
      </c>
      <c r="D934" s="23">
        <v>2021</v>
      </c>
      <c r="E934" s="25">
        <v>2.1088771310118437</v>
      </c>
      <c r="F934" s="25">
        <v>0.11169743371804862</v>
      </c>
      <c r="G934" s="25">
        <v>0.3700250786938849</v>
      </c>
      <c r="H934" s="25">
        <v>0.58736477624651928</v>
      </c>
      <c r="I934" s="25">
        <v>8.4634331100671339E-2</v>
      </c>
      <c r="J934" s="25">
        <v>1.8927441471136779E-2</v>
      </c>
      <c r="K934" s="25">
        <v>3.004475389575012E-2</v>
      </c>
      <c r="L934" s="25">
        <v>0.54</v>
      </c>
      <c r="M934" s="24">
        <v>2</v>
      </c>
      <c r="N934" s="108">
        <v>0</v>
      </c>
      <c r="O934" s="24">
        <v>4</v>
      </c>
      <c r="P934" s="24">
        <v>6</v>
      </c>
      <c r="Q934" s="24">
        <v>4</v>
      </c>
      <c r="R934" s="24">
        <v>2</v>
      </c>
      <c r="S934" s="24">
        <v>6</v>
      </c>
      <c r="T934" s="24">
        <v>4</v>
      </c>
      <c r="U934" s="24">
        <v>218288880000</v>
      </c>
      <c r="V934" s="109">
        <v>9.592939918773416E-2</v>
      </c>
      <c r="W934" s="109">
        <v>1.3432102414012115</v>
      </c>
      <c r="X934" s="109">
        <v>0.92139043454710101</v>
      </c>
      <c r="Y934" s="109">
        <v>0.16144829732050481</v>
      </c>
      <c r="Z934" s="109">
        <v>1.7876455015057133</v>
      </c>
      <c r="AA934" s="109">
        <v>4.2136944747745311</v>
      </c>
      <c r="AD934" s="111"/>
    </row>
    <row r="935" spans="1:30" ht="15" customHeight="1" x14ac:dyDescent="0.3">
      <c r="A935" s="22" t="s">
        <v>154</v>
      </c>
      <c r="B935" s="23">
        <v>114</v>
      </c>
      <c r="C935" s="3" t="s">
        <v>107</v>
      </c>
      <c r="D935" s="23">
        <v>2022</v>
      </c>
      <c r="E935" s="25">
        <v>2.3133828413054935</v>
      </c>
      <c r="F935" s="25">
        <v>0.10998485407555111</v>
      </c>
      <c r="G935" s="25">
        <v>0.3764501811295537</v>
      </c>
      <c r="H935" s="25">
        <v>0.60372109771676163</v>
      </c>
      <c r="I935" s="25">
        <v>5.3284101378591193E-2</v>
      </c>
      <c r="J935" s="25">
        <v>1.1634822208430944E-2</v>
      </c>
      <c r="K935" s="25">
        <v>1.8659009843844231E-2</v>
      </c>
      <c r="L935" s="25">
        <v>0.54</v>
      </c>
      <c r="M935" s="24">
        <v>1</v>
      </c>
      <c r="N935" s="108">
        <v>0</v>
      </c>
      <c r="O935" s="24">
        <v>3</v>
      </c>
      <c r="P935" s="24">
        <v>5</v>
      </c>
      <c r="Q935" s="24">
        <v>3</v>
      </c>
      <c r="R935" s="24">
        <v>3</v>
      </c>
      <c r="S935" s="24">
        <v>5</v>
      </c>
      <c r="T935" s="24">
        <v>5</v>
      </c>
      <c r="U935" s="24">
        <v>224731410000</v>
      </c>
      <c r="V935" s="109">
        <v>5.1917687164849766E-3</v>
      </c>
      <c r="W935" s="109">
        <v>1.6665772034269704</v>
      </c>
      <c r="X935" s="109">
        <v>0.9252336342303018</v>
      </c>
      <c r="Y935" s="109">
        <v>9.9503399191061007E-2</v>
      </c>
      <c r="Z935" s="109">
        <v>1.739213693162355</v>
      </c>
      <c r="AA935" s="109">
        <v>4.4305279300106886</v>
      </c>
      <c r="AD935" s="111"/>
    </row>
    <row r="936" spans="1:30" ht="15" customHeight="1" x14ac:dyDescent="0.3">
      <c r="A936" s="22" t="s">
        <v>154</v>
      </c>
      <c r="B936" s="23">
        <v>114</v>
      </c>
      <c r="C936" s="3" t="s">
        <v>107</v>
      </c>
      <c r="D936" s="23">
        <v>2023</v>
      </c>
      <c r="E936" s="25">
        <v>2.6068501424396961</v>
      </c>
      <c r="F936" s="25">
        <v>0.1148938857365767</v>
      </c>
      <c r="G936" s="25">
        <v>0.39802836245392675</v>
      </c>
      <c r="H936" s="25">
        <v>0.66120783377184067</v>
      </c>
      <c r="I936" s="25">
        <v>7.3790291388999632E-2</v>
      </c>
      <c r="J936" s="25">
        <v>2.1610267713094353E-2</v>
      </c>
      <c r="K936" s="25">
        <v>3.5899146014899019E-2</v>
      </c>
      <c r="L936" s="25">
        <v>0.54</v>
      </c>
      <c r="M936" s="24">
        <v>1</v>
      </c>
      <c r="N936" s="108">
        <v>0</v>
      </c>
      <c r="O936" s="24">
        <v>3</v>
      </c>
      <c r="P936" s="24">
        <v>5</v>
      </c>
      <c r="Q936" s="24">
        <v>3</v>
      </c>
      <c r="R936" s="24">
        <v>3</v>
      </c>
      <c r="S936" s="24">
        <v>5</v>
      </c>
      <c r="T936" s="24">
        <v>5</v>
      </c>
      <c r="U936" s="24">
        <v>241455130000</v>
      </c>
      <c r="V936" s="109">
        <v>0.44102487186452477</v>
      </c>
      <c r="W936" s="109">
        <v>1.7144870204248712</v>
      </c>
      <c r="X936" s="109">
        <v>0.91819388720380457</v>
      </c>
      <c r="Y936" s="109">
        <v>0.17207593642760871</v>
      </c>
      <c r="Z936" s="109">
        <v>1.5880029642273079</v>
      </c>
      <c r="AA936" s="109">
        <v>4.3927598082835928</v>
      </c>
      <c r="AD936" s="111"/>
    </row>
    <row r="937" spans="1:30" ht="15" customHeight="1" x14ac:dyDescent="0.3">
      <c r="A937" s="22" t="s">
        <v>154</v>
      </c>
      <c r="B937" s="23">
        <v>114</v>
      </c>
      <c r="C937" s="3" t="s">
        <v>107</v>
      </c>
      <c r="D937" s="23">
        <v>2024</v>
      </c>
      <c r="E937" s="25">
        <v>1.7056233254411977</v>
      </c>
      <c r="F937" s="25">
        <v>0.12603329649776487</v>
      </c>
      <c r="G937" s="25">
        <v>0.40595762500934679</v>
      </c>
      <c r="H937" s="25">
        <v>0.68338159380588659</v>
      </c>
      <c r="I937" s="25">
        <v>-0.25244132404236369</v>
      </c>
      <c r="J937" s="25">
        <v>-6.698231999394498E-2</v>
      </c>
      <c r="K937" s="25">
        <v>-0.11275680458822301</v>
      </c>
      <c r="L937" s="25">
        <v>0.54</v>
      </c>
      <c r="M937" s="24">
        <v>2</v>
      </c>
      <c r="N937" s="108">
        <v>0</v>
      </c>
      <c r="O937" s="24">
        <v>4</v>
      </c>
      <c r="P937" s="24">
        <v>8</v>
      </c>
      <c r="Q937" s="24">
        <v>4</v>
      </c>
      <c r="R937" s="24">
        <v>4</v>
      </c>
      <c r="S937" s="24">
        <v>8</v>
      </c>
      <c r="T937" s="24">
        <v>6</v>
      </c>
      <c r="U937" s="24">
        <v>218925830000</v>
      </c>
      <c r="V937" s="109">
        <v>-0.17851548286453253</v>
      </c>
      <c r="W937" s="109">
        <v>1.0067971458644238</v>
      </c>
      <c r="X937" s="109">
        <v>0.78488425874644385</v>
      </c>
      <c r="Y937" s="109">
        <v>-0.45012119035931025</v>
      </c>
      <c r="Z937" s="109">
        <v>1.5364768520503211</v>
      </c>
      <c r="AA937" s="109">
        <v>2.8780370663018786</v>
      </c>
      <c r="AD937" s="111"/>
    </row>
    <row r="938" spans="1:30" ht="15" customHeight="1" x14ac:dyDescent="0.3">
      <c r="A938" s="22" t="s">
        <v>154</v>
      </c>
      <c r="B938" s="23">
        <v>115</v>
      </c>
      <c r="C938" s="3" t="s">
        <v>128</v>
      </c>
      <c r="D938" s="23">
        <v>2022</v>
      </c>
      <c r="E938" s="25">
        <v>46.462215572352953</v>
      </c>
      <c r="F938" s="25">
        <v>45.212220430212</v>
      </c>
      <c r="G938" s="25">
        <v>6.8131135921172658E-3</v>
      </c>
      <c r="H938" s="25">
        <v>6.8598505330237031E-3</v>
      </c>
      <c r="I938" s="25">
        <v>0</v>
      </c>
      <c r="J938" s="25">
        <v>-3.9444052684565738E-2</v>
      </c>
      <c r="K938" s="25">
        <v>-3.9714632990398568E-2</v>
      </c>
      <c r="L938" s="25">
        <v>0.42309999999999998</v>
      </c>
      <c r="M938" s="24">
        <v>2</v>
      </c>
      <c r="N938" s="108">
        <v>0.42309999999999998</v>
      </c>
      <c r="O938" s="24">
        <v>3</v>
      </c>
      <c r="P938" s="24">
        <v>0</v>
      </c>
      <c r="Q938" s="24">
        <v>3</v>
      </c>
      <c r="R938" s="24">
        <v>3</v>
      </c>
      <c r="S938" s="24">
        <v>0</v>
      </c>
      <c r="T938" s="24">
        <v>0</v>
      </c>
      <c r="U938" s="24">
        <v>151070430000</v>
      </c>
      <c r="V938" s="109">
        <v>0</v>
      </c>
      <c r="W938" s="109">
        <v>2.0318894068150861</v>
      </c>
      <c r="X938" s="109">
        <v>-0.12858761175168429</v>
      </c>
      <c r="Y938" s="109">
        <v>-0.22323396577344753</v>
      </c>
      <c r="Z938" s="109">
        <v>153.06455948934186</v>
      </c>
      <c r="AA938" s="109">
        <v>154.74462731863181</v>
      </c>
      <c r="AD938" s="111"/>
    </row>
    <row r="939" spans="1:30" ht="15" customHeight="1" x14ac:dyDescent="0.3">
      <c r="A939" s="22" t="s">
        <v>154</v>
      </c>
      <c r="B939" s="23">
        <v>115</v>
      </c>
      <c r="C939" s="3" t="s">
        <v>128</v>
      </c>
      <c r="D939" s="23">
        <v>2023</v>
      </c>
      <c r="E939" s="25">
        <v>1.7927294273557743</v>
      </c>
      <c r="F939" s="25">
        <v>1.0637319151581361</v>
      </c>
      <c r="G939" s="25">
        <v>8.3710545744922413E-2</v>
      </c>
      <c r="H939" s="25">
        <v>9.1358189659595246E-2</v>
      </c>
      <c r="I939" s="25">
        <v>-8.148507662170303</v>
      </c>
      <c r="J939" s="25">
        <v>-0.14438123167487119</v>
      </c>
      <c r="K939" s="25">
        <v>-0.15757163962151002</v>
      </c>
      <c r="L939" s="25">
        <v>0.42309999999999998</v>
      </c>
      <c r="M939" s="24">
        <v>2</v>
      </c>
      <c r="N939" s="108">
        <v>0.42309999999999998</v>
      </c>
      <c r="O939" s="24">
        <v>3</v>
      </c>
      <c r="P939" s="24">
        <v>0</v>
      </c>
      <c r="Q939" s="24">
        <v>3</v>
      </c>
      <c r="R939" s="24">
        <v>3</v>
      </c>
      <c r="S939" s="24">
        <v>0</v>
      </c>
      <c r="T939" s="24">
        <v>0</v>
      </c>
      <c r="U939" s="24">
        <v>141458760000</v>
      </c>
      <c r="V939" s="109">
        <v>0</v>
      </c>
      <c r="W939" s="109">
        <v>0.27795333707152525</v>
      </c>
      <c r="X939" s="109">
        <v>-0.60301056929949048</v>
      </c>
      <c r="Y939" s="109">
        <v>-0.95994089019301443</v>
      </c>
      <c r="Z939" s="109">
        <v>11.493222489547433</v>
      </c>
      <c r="AA939" s="109">
        <v>10.208224367126453</v>
      </c>
      <c r="AD939" s="111"/>
    </row>
    <row r="940" spans="1:30" ht="15" customHeight="1" x14ac:dyDescent="0.3">
      <c r="A940" s="22" t="s">
        <v>154</v>
      </c>
      <c r="B940" s="23">
        <v>115</v>
      </c>
      <c r="C940" s="3" t="s">
        <v>128</v>
      </c>
      <c r="D940" s="23">
        <v>2024</v>
      </c>
      <c r="E940" s="25">
        <v>0.99987949877261939</v>
      </c>
      <c r="F940" s="25">
        <v>0.15181531130445824</v>
      </c>
      <c r="G940" s="25">
        <v>0.35155336920170671</v>
      </c>
      <c r="H940" s="25">
        <v>0.54214695937106572</v>
      </c>
      <c r="I940" s="25">
        <v>-1.3517749476484611</v>
      </c>
      <c r="J940" s="25">
        <v>-0.16005555221150011</v>
      </c>
      <c r="K940" s="25">
        <v>-0.24682918317342173</v>
      </c>
      <c r="L940" s="25">
        <v>0.42309999999999998</v>
      </c>
      <c r="M940" s="24">
        <v>2</v>
      </c>
      <c r="N940" s="108">
        <v>0.42309999999999998</v>
      </c>
      <c r="O940" s="24">
        <v>4</v>
      </c>
      <c r="P940" s="24">
        <v>0</v>
      </c>
      <c r="Q940" s="24">
        <v>4</v>
      </c>
      <c r="R940" s="24">
        <v>3</v>
      </c>
      <c r="S940" s="24">
        <v>0</v>
      </c>
      <c r="T940" s="24">
        <v>0</v>
      </c>
      <c r="U940" s="24">
        <v>160317650000</v>
      </c>
      <c r="V940" s="109">
        <v>6.5733002988266369</v>
      </c>
      <c r="W940" s="109">
        <v>-1.3666866998097199E-4</v>
      </c>
      <c r="X940" s="109">
        <v>-1.0282955706997949</v>
      </c>
      <c r="Y940" s="109">
        <v>-1.0228826582724984</v>
      </c>
      <c r="Z940" s="109">
        <v>1.9367442385328231</v>
      </c>
      <c r="AA940" s="109">
        <v>-0.1145706591094513</v>
      </c>
      <c r="AD940" s="111"/>
    </row>
    <row r="941" spans="1:30" ht="15" customHeight="1" x14ac:dyDescent="0.3">
      <c r="A941" s="22" t="s">
        <v>154</v>
      </c>
      <c r="B941" s="23">
        <v>116</v>
      </c>
      <c r="C941" s="1" t="s">
        <v>127</v>
      </c>
      <c r="D941" s="23">
        <v>2015</v>
      </c>
      <c r="E941" s="25">
        <v>2.3841135596017669</v>
      </c>
      <c r="F941" s="25">
        <v>6.608065767466885E-2</v>
      </c>
      <c r="G941" s="25">
        <v>0.71562879197975071</v>
      </c>
      <c r="H941" s="25">
        <v>2.5165304074271568</v>
      </c>
      <c r="I941" s="25">
        <v>0.13802011025756034</v>
      </c>
      <c r="J941" s="25">
        <v>3.8511035954382843E-2</v>
      </c>
      <c r="K941" s="25">
        <v>0.13542522895510781</v>
      </c>
      <c r="L941" s="25">
        <v>0.72809999999999997</v>
      </c>
      <c r="M941" s="24">
        <v>2</v>
      </c>
      <c r="N941" s="108">
        <v>0.25</v>
      </c>
      <c r="O941" s="24">
        <v>4</v>
      </c>
      <c r="P941" s="24">
        <v>0</v>
      </c>
      <c r="Q941" s="24">
        <v>4</v>
      </c>
      <c r="R941" s="24">
        <v>6</v>
      </c>
      <c r="S941" s="24">
        <v>0</v>
      </c>
      <c r="T941" s="24">
        <v>0</v>
      </c>
      <c r="U941" s="24">
        <v>3020355000000</v>
      </c>
      <c r="V941" s="109">
        <v>-0.11231680264929123</v>
      </c>
      <c r="W941" s="109">
        <v>2.3132663014778063</v>
      </c>
      <c r="X941" s="109">
        <v>0.58364194937350078</v>
      </c>
      <c r="Y941" s="109">
        <v>0.21723740421241874</v>
      </c>
      <c r="Z941" s="109">
        <v>0.41724113362631526</v>
      </c>
      <c r="AA941" s="109">
        <v>3.5313867886900407</v>
      </c>
      <c r="AD941" s="111"/>
    </row>
    <row r="942" spans="1:30" ht="15" customHeight="1" x14ac:dyDescent="0.3">
      <c r="A942" s="22" t="s">
        <v>154</v>
      </c>
      <c r="B942" s="23">
        <v>116</v>
      </c>
      <c r="C942" s="3" t="s">
        <v>127</v>
      </c>
      <c r="D942" s="23">
        <v>2016</v>
      </c>
      <c r="E942" s="25">
        <v>2.892908699666294</v>
      </c>
      <c r="F942" s="25">
        <v>9.1791768823139372E-2</v>
      </c>
      <c r="G942" s="25">
        <v>0.70173065033901227</v>
      </c>
      <c r="H942" s="25">
        <v>2.3526718469304591</v>
      </c>
      <c r="I942" s="25">
        <v>0.11039526076908084</v>
      </c>
      <c r="J942" s="25">
        <v>3.0275801218464893E-2</v>
      </c>
      <c r="K942" s="25">
        <v>0.10150479409091491</v>
      </c>
      <c r="L942" s="25">
        <v>0.72809999999999997</v>
      </c>
      <c r="M942" s="24">
        <v>2</v>
      </c>
      <c r="N942" s="108">
        <v>0.25</v>
      </c>
      <c r="O942" s="24">
        <v>4</v>
      </c>
      <c r="P942" s="24">
        <v>0</v>
      </c>
      <c r="Q942" s="24">
        <v>4</v>
      </c>
      <c r="R942" s="24">
        <v>6</v>
      </c>
      <c r="S942" s="24">
        <v>0</v>
      </c>
      <c r="T942" s="24">
        <v>0</v>
      </c>
      <c r="U942" s="24">
        <v>3142807000000</v>
      </c>
      <c r="V942" s="109">
        <v>2.2732612363750276E-2</v>
      </c>
      <c r="W942" s="109">
        <v>2.1868475665225384</v>
      </c>
      <c r="X942" s="109">
        <v>0.59530446508487478</v>
      </c>
      <c r="Y942" s="109">
        <v>0.14293545865209029</v>
      </c>
      <c r="Z942" s="109">
        <v>0.44630108587814299</v>
      </c>
      <c r="AA942" s="109">
        <v>3.3713885761376461</v>
      </c>
      <c r="AD942" s="111"/>
    </row>
    <row r="943" spans="1:30" ht="15" customHeight="1" x14ac:dyDescent="0.3">
      <c r="A943" s="22" t="s">
        <v>154</v>
      </c>
      <c r="B943" s="23">
        <v>116</v>
      </c>
      <c r="C943" s="3" t="s">
        <v>127</v>
      </c>
      <c r="D943" s="23">
        <v>2017</v>
      </c>
      <c r="E943" s="25">
        <v>4.3558621092069014</v>
      </c>
      <c r="F943" s="25">
        <v>0.13999382462418949</v>
      </c>
      <c r="G943" s="25">
        <v>0.69475836746084607</v>
      </c>
      <c r="H943" s="25">
        <v>2.2760930797070347</v>
      </c>
      <c r="I943" s="25">
        <v>9.0562845288140528E-2</v>
      </c>
      <c r="J943" s="25">
        <v>2.423210811449783E-2</v>
      </c>
      <c r="K943" s="25">
        <v>7.9386641700619029E-2</v>
      </c>
      <c r="L943" s="25">
        <v>0.72809999999999997</v>
      </c>
      <c r="M943" s="24">
        <v>2</v>
      </c>
      <c r="N943" s="108">
        <v>0.25</v>
      </c>
      <c r="O943" s="24">
        <v>4</v>
      </c>
      <c r="P943" s="24">
        <v>0</v>
      </c>
      <c r="Q943" s="24">
        <v>4</v>
      </c>
      <c r="R943" s="24">
        <v>6</v>
      </c>
      <c r="S943" s="24">
        <v>0</v>
      </c>
      <c r="T943" s="24">
        <v>0</v>
      </c>
      <c r="U943" s="24">
        <v>3282298000000</v>
      </c>
      <c r="V943" s="109">
        <v>1.8957851845664057E-2</v>
      </c>
      <c r="W943" s="109">
        <v>2.7586732466095398</v>
      </c>
      <c r="X943" s="109">
        <v>0.61822740043713276</v>
      </c>
      <c r="Y943" s="109">
        <v>0.15791999385796171</v>
      </c>
      <c r="Z943" s="109">
        <v>0.46131681053006401</v>
      </c>
      <c r="AA943" s="109">
        <v>3.9961374514346986</v>
      </c>
      <c r="AD943" s="111"/>
    </row>
    <row r="944" spans="1:30" ht="15" customHeight="1" x14ac:dyDescent="0.3">
      <c r="A944" s="22" t="s">
        <v>154</v>
      </c>
      <c r="B944" s="23">
        <v>116</v>
      </c>
      <c r="C944" s="3" t="s">
        <v>127</v>
      </c>
      <c r="D944" s="23">
        <v>2018</v>
      </c>
      <c r="E944" s="25">
        <v>4.4600481934174407</v>
      </c>
      <c r="F944" s="25">
        <v>0.10106758702085997</v>
      </c>
      <c r="G944" s="25">
        <v>0.7230894033857691</v>
      </c>
      <c r="H944" s="25">
        <v>2.6112764785417397</v>
      </c>
      <c r="I944" s="25">
        <v>1.3509322425806337E-2</v>
      </c>
      <c r="J944" s="25">
        <v>3.3946440061236715E-3</v>
      </c>
      <c r="K944" s="25">
        <v>1.2259001452250989E-2</v>
      </c>
      <c r="L944" s="25">
        <v>0.73409999999999997</v>
      </c>
      <c r="M944" s="24">
        <v>2</v>
      </c>
      <c r="N944" s="108">
        <v>0.25</v>
      </c>
      <c r="O944" s="24">
        <v>4</v>
      </c>
      <c r="P944" s="24">
        <v>0</v>
      </c>
      <c r="Q944" s="24">
        <v>4</v>
      </c>
      <c r="R944" s="24">
        <v>6</v>
      </c>
      <c r="S944" s="24">
        <v>0</v>
      </c>
      <c r="T944" s="24">
        <v>0</v>
      </c>
      <c r="U944" s="24">
        <v>3605680000000</v>
      </c>
      <c r="V944" s="109">
        <v>3.1641260139458831E-2</v>
      </c>
      <c r="W944" s="109">
        <v>2.8161762996161612</v>
      </c>
      <c r="X944" s="109">
        <v>0.61266134543276163</v>
      </c>
      <c r="Y944" s="109">
        <v>0.16947979854008119</v>
      </c>
      <c r="Z944" s="109">
        <v>0.40210219355491983</v>
      </c>
      <c r="AA944" s="109">
        <v>4.0004196371439242</v>
      </c>
      <c r="AD944" s="111"/>
    </row>
    <row r="945" spans="1:30" ht="15" customHeight="1" x14ac:dyDescent="0.3">
      <c r="A945" s="22" t="s">
        <v>154</v>
      </c>
      <c r="B945" s="23">
        <v>116</v>
      </c>
      <c r="C945" s="3" t="s">
        <v>127</v>
      </c>
      <c r="D945" s="23">
        <v>2019</v>
      </c>
      <c r="E945" s="25">
        <v>5.0291413077630249</v>
      </c>
      <c r="F945" s="25">
        <v>9.7878579823816231E-2</v>
      </c>
      <c r="G945" s="25">
        <v>0.70407381383365675</v>
      </c>
      <c r="H945" s="25">
        <v>2.3792210583144859</v>
      </c>
      <c r="I945" s="25">
        <v>0.20547049909261558</v>
      </c>
      <c r="J945" s="25">
        <v>4.2587310229154615E-2</v>
      </c>
      <c r="K945" s="25">
        <v>0.14391193554333118</v>
      </c>
      <c r="L945" s="25">
        <v>0.73409999999999997</v>
      </c>
      <c r="M945" s="24">
        <v>2</v>
      </c>
      <c r="N945" s="108">
        <v>0.25</v>
      </c>
      <c r="O945" s="24">
        <v>4</v>
      </c>
      <c r="P945" s="24">
        <v>0</v>
      </c>
      <c r="Q945" s="24">
        <v>4</v>
      </c>
      <c r="R945" s="24">
        <v>6</v>
      </c>
      <c r="S945" s="24">
        <v>0</v>
      </c>
      <c r="T945" s="24">
        <v>0</v>
      </c>
      <c r="U945" s="24">
        <v>3868218000000</v>
      </c>
      <c r="V945" s="109">
        <v>-0.11510075151124508</v>
      </c>
      <c r="W945" s="109">
        <v>2.9358602229760575</v>
      </c>
      <c r="X945" s="109">
        <v>0.65505620417463539</v>
      </c>
      <c r="Y945" s="109">
        <v>0.251869403430727</v>
      </c>
      <c r="Z945" s="109">
        <v>0.44132090892968673</v>
      </c>
      <c r="AA945" s="109">
        <v>4.284106739511107</v>
      </c>
      <c r="AD945" s="111"/>
    </row>
    <row r="946" spans="1:30" ht="15" customHeight="1" x14ac:dyDescent="0.3">
      <c r="A946" s="22" t="s">
        <v>154</v>
      </c>
      <c r="B946" s="23">
        <v>116</v>
      </c>
      <c r="C946" s="3" t="s">
        <v>127</v>
      </c>
      <c r="D946" s="23">
        <v>2020</v>
      </c>
      <c r="E946" s="25">
        <v>4.0361727997711263</v>
      </c>
      <c r="F946" s="25">
        <v>8.9774474711713209E-2</v>
      </c>
      <c r="G946" s="25">
        <v>0.70694503633722994</v>
      </c>
      <c r="H946" s="25">
        <v>2.4123291668614746</v>
      </c>
      <c r="I946" s="25">
        <v>0.16320243685357394</v>
      </c>
      <c r="J946" s="25">
        <v>3.0148656169769656E-2</v>
      </c>
      <c r="K946" s="25">
        <v>0.10287713878978315</v>
      </c>
      <c r="L946" s="25">
        <v>0.73409999999999997</v>
      </c>
      <c r="M946" s="24">
        <v>2</v>
      </c>
      <c r="N946" s="108">
        <v>0.25</v>
      </c>
      <c r="O946" s="24">
        <v>4</v>
      </c>
      <c r="P946" s="24">
        <v>0</v>
      </c>
      <c r="Q946" s="24">
        <v>4</v>
      </c>
      <c r="R946" s="24">
        <v>6</v>
      </c>
      <c r="S946" s="24">
        <v>0</v>
      </c>
      <c r="T946" s="24">
        <v>0</v>
      </c>
      <c r="U946" s="24">
        <v>4233124000000</v>
      </c>
      <c r="V946" s="109">
        <v>-2.4649674775960237E-2</v>
      </c>
      <c r="W946" s="109">
        <v>2.8945148216777965</v>
      </c>
      <c r="X946" s="109">
        <v>0.68995998227313904</v>
      </c>
      <c r="Y946" s="109">
        <v>0.21845630791821832</v>
      </c>
      <c r="Z946" s="109">
        <v>0.43526398238847608</v>
      </c>
      <c r="AA946" s="109">
        <v>4.2381950942576294</v>
      </c>
      <c r="AD946" s="111"/>
    </row>
    <row r="947" spans="1:30" ht="15" customHeight="1" x14ac:dyDescent="0.3">
      <c r="A947" s="22" t="s">
        <v>154</v>
      </c>
      <c r="B947" s="23">
        <v>116</v>
      </c>
      <c r="C947" s="3" t="s">
        <v>127</v>
      </c>
      <c r="D947" s="23">
        <v>2021</v>
      </c>
      <c r="E947" s="25">
        <v>3.834049631946971</v>
      </c>
      <c r="F947" s="25">
        <v>6.6937509632296513E-2</v>
      </c>
      <c r="G947" s="25">
        <v>0.69272516329240286</v>
      </c>
      <c r="H947" s="25">
        <v>2.2544155281794209</v>
      </c>
      <c r="I947" s="25">
        <v>0.13919578390845552</v>
      </c>
      <c r="J947" s="25">
        <v>2.7135144673994818E-2</v>
      </c>
      <c r="K947" s="25">
        <v>8.8309036186443854E-2</v>
      </c>
      <c r="L947" s="25">
        <v>0.73409999999999997</v>
      </c>
      <c r="M947" s="24">
        <v>2</v>
      </c>
      <c r="N947" s="108">
        <v>0.25</v>
      </c>
      <c r="O947" s="24">
        <v>4</v>
      </c>
      <c r="P947" s="24">
        <v>0</v>
      </c>
      <c r="Q947" s="24">
        <v>4</v>
      </c>
      <c r="R947" s="24">
        <v>6</v>
      </c>
      <c r="S947" s="24">
        <v>0</v>
      </c>
      <c r="T947" s="24">
        <v>0</v>
      </c>
      <c r="U947" s="24">
        <v>4261374000000</v>
      </c>
      <c r="V947" s="109">
        <v>6.2315215500925843E-2</v>
      </c>
      <c r="W947" s="109">
        <v>2.7458926064691807</v>
      </c>
      <c r="X947" s="109">
        <v>0.71275277410525328</v>
      </c>
      <c r="Y947" s="109">
        <v>0.24424054776698784</v>
      </c>
      <c r="Z947" s="109">
        <v>0.4657526471386309</v>
      </c>
      <c r="AA947" s="109">
        <v>4.1686385754800526</v>
      </c>
      <c r="AD947" s="111"/>
    </row>
    <row r="948" spans="1:30" ht="15" customHeight="1" x14ac:dyDescent="0.3">
      <c r="A948" s="22" t="s">
        <v>154</v>
      </c>
      <c r="B948" s="23">
        <v>116</v>
      </c>
      <c r="C948" s="3" t="s">
        <v>127</v>
      </c>
      <c r="D948" s="23">
        <v>2022</v>
      </c>
      <c r="E948" s="25">
        <v>3.3198531392752155</v>
      </c>
      <c r="F948" s="25">
        <v>4.7442360308688911E-2</v>
      </c>
      <c r="G948" s="25">
        <v>0.69541493269287602</v>
      </c>
      <c r="H948" s="25">
        <v>2.2831550438146211</v>
      </c>
      <c r="I948" s="25">
        <v>0.10878020380282824</v>
      </c>
      <c r="J948" s="25">
        <v>2.3840984657338679E-2</v>
      </c>
      <c r="K948" s="25">
        <v>7.8273649027248468E-2</v>
      </c>
      <c r="L948" s="25">
        <v>0.73409999999999997</v>
      </c>
      <c r="M948" s="24">
        <v>2</v>
      </c>
      <c r="N948" s="108">
        <v>0.25</v>
      </c>
      <c r="O948" s="24">
        <v>4</v>
      </c>
      <c r="P948" s="24">
        <v>0</v>
      </c>
      <c r="Q948" s="24">
        <v>4</v>
      </c>
      <c r="R948" s="24">
        <v>6</v>
      </c>
      <c r="S948" s="24">
        <v>0</v>
      </c>
      <c r="T948" s="24">
        <v>0</v>
      </c>
      <c r="U948" s="24">
        <v>4365214000000</v>
      </c>
      <c r="V948" s="109">
        <v>0.15165964064994064</v>
      </c>
      <c r="W948" s="109">
        <v>2.3292208262870959</v>
      </c>
      <c r="X948" s="109">
        <v>0.72681142780170682</v>
      </c>
      <c r="Y948" s="109">
        <v>0.27623464966436923</v>
      </c>
      <c r="Z948" s="109">
        <v>0.45988992418390223</v>
      </c>
      <c r="AA948" s="109">
        <v>3.7921568279370739</v>
      </c>
      <c r="AD948" s="111"/>
    </row>
    <row r="949" spans="1:30" ht="15" customHeight="1" x14ac:dyDescent="0.3">
      <c r="A949" s="22" t="s">
        <v>154</v>
      </c>
      <c r="B949" s="23">
        <v>116</v>
      </c>
      <c r="C949" s="3" t="s">
        <v>127</v>
      </c>
      <c r="D949" s="23">
        <v>2023</v>
      </c>
      <c r="E949" s="25">
        <v>2.8748395133776263</v>
      </c>
      <c r="F949" s="25">
        <v>4.5930597952953851E-2</v>
      </c>
      <c r="G949" s="25">
        <v>0.69801124801826386</v>
      </c>
      <c r="H949" s="25">
        <v>2.3113816108637</v>
      </c>
      <c r="I949" s="25">
        <v>0.24419654417064995</v>
      </c>
      <c r="J949" s="25">
        <v>4.8751458795355883E-2</v>
      </c>
      <c r="K949" s="25">
        <v>0.16143468415772089</v>
      </c>
      <c r="L949" s="25">
        <v>0.73409999999999997</v>
      </c>
      <c r="M949" s="24">
        <v>2</v>
      </c>
      <c r="N949" s="108">
        <v>0.25</v>
      </c>
      <c r="O949" s="24">
        <v>4</v>
      </c>
      <c r="P949" s="24">
        <v>0</v>
      </c>
      <c r="Q949" s="24">
        <v>4</v>
      </c>
      <c r="R949" s="24">
        <v>6</v>
      </c>
      <c r="S949" s="24">
        <v>0</v>
      </c>
      <c r="T949" s="24">
        <v>0</v>
      </c>
      <c r="U949" s="24">
        <v>5010127000000</v>
      </c>
      <c r="V949" s="109">
        <v>4.5483004759022859E-2</v>
      </c>
      <c r="W949" s="109">
        <v>2.1873405444612479</v>
      </c>
      <c r="X949" s="109">
        <v>0.72975234759518071</v>
      </c>
      <c r="Y949" s="109">
        <v>0.33636033577591945</v>
      </c>
      <c r="Z949" s="109">
        <v>0.454273753440326</v>
      </c>
      <c r="AA949" s="109">
        <v>3.7077269812726739</v>
      </c>
      <c r="AD949" s="111"/>
    </row>
    <row r="950" spans="1:30" ht="15" customHeight="1" x14ac:dyDescent="0.3">
      <c r="A950" s="22" t="s">
        <v>154</v>
      </c>
      <c r="B950" s="23">
        <v>116</v>
      </c>
      <c r="C950" s="3" t="s">
        <v>127</v>
      </c>
      <c r="D950" s="23">
        <v>2024</v>
      </c>
      <c r="E950" s="25">
        <v>2.5811204007925319</v>
      </c>
      <c r="F950" s="25">
        <v>4.1146639507295246E-2</v>
      </c>
      <c r="G950" s="25">
        <v>0.70246503226576684</v>
      </c>
      <c r="H950" s="25">
        <v>2.3609494965083528</v>
      </c>
      <c r="I950" s="25">
        <v>0.17349340700031379</v>
      </c>
      <c r="J950" s="25">
        <v>3.2898856592829151E-2</v>
      </c>
      <c r="K950" s="25">
        <v>0.11057139550136966</v>
      </c>
      <c r="L950" s="25">
        <v>0.73409999999999997</v>
      </c>
      <c r="M950" s="24">
        <v>2</v>
      </c>
      <c r="N950" s="108">
        <v>0.25</v>
      </c>
      <c r="O950" s="24">
        <v>4</v>
      </c>
      <c r="P950" s="24">
        <v>0</v>
      </c>
      <c r="Q950" s="24">
        <v>4</v>
      </c>
      <c r="R950" s="24">
        <v>6</v>
      </c>
      <c r="S950" s="24">
        <v>0</v>
      </c>
      <c r="T950" s="24">
        <v>0</v>
      </c>
      <c r="U950" s="24">
        <v>5226747000000</v>
      </c>
      <c r="V950" s="109">
        <v>-9.093972044234136E-3</v>
      </c>
      <c r="W950" s="109">
        <v>2.0692398694637411</v>
      </c>
      <c r="X950" s="109">
        <v>0.72571474379762391</v>
      </c>
      <c r="Y950" s="109">
        <v>0.37219570796137635</v>
      </c>
      <c r="Z950" s="109">
        <v>0.44473632390394724</v>
      </c>
      <c r="AA950" s="109">
        <v>3.6118866451266882</v>
      </c>
      <c r="AD950" s="111"/>
    </row>
    <row r="951" spans="1:30" ht="15" customHeight="1" x14ac:dyDescent="0.3">
      <c r="A951" s="22" t="s">
        <v>154</v>
      </c>
      <c r="B951" s="23">
        <v>117</v>
      </c>
      <c r="C951" s="2" t="s">
        <v>65</v>
      </c>
      <c r="D951" s="23">
        <v>2015</v>
      </c>
      <c r="E951" s="25">
        <v>3.9068487350481633</v>
      </c>
      <c r="F951" s="25">
        <v>0.98216364983592674</v>
      </c>
      <c r="G951" s="25">
        <v>0.41797823590973288</v>
      </c>
      <c r="H951" s="25">
        <v>0.71815507624625752</v>
      </c>
      <c r="I951" s="25">
        <v>9.695323974450934E-2</v>
      </c>
      <c r="J951" s="25">
        <v>2.8840975827838122E-2</v>
      </c>
      <c r="K951" s="25">
        <v>4.955352077023123E-2</v>
      </c>
      <c r="L951" s="25">
        <v>0.99650000000000005</v>
      </c>
      <c r="M951" s="24">
        <v>1</v>
      </c>
      <c r="N951" s="108">
        <v>0</v>
      </c>
      <c r="O951" s="24">
        <v>2</v>
      </c>
      <c r="P951" s="24">
        <v>0</v>
      </c>
      <c r="Q951" s="24">
        <v>2</v>
      </c>
      <c r="R951" s="24">
        <v>3</v>
      </c>
      <c r="S951" s="24">
        <v>0</v>
      </c>
      <c r="T951" s="24">
        <v>0</v>
      </c>
      <c r="U951" s="24">
        <v>196838000000</v>
      </c>
      <c r="V951" s="109">
        <v>0.47587840903362405</v>
      </c>
      <c r="W951" s="109">
        <v>1.8303799063189017</v>
      </c>
      <c r="X951" s="109">
        <v>-0.22714567309157782</v>
      </c>
      <c r="Y951" s="109">
        <v>0.25912069823916112</v>
      </c>
      <c r="Z951" s="109">
        <v>1.4620797578821985</v>
      </c>
      <c r="AA951" s="109">
        <v>3.3244346893486836</v>
      </c>
      <c r="AD951" s="111"/>
    </row>
    <row r="952" spans="1:30" ht="15" customHeight="1" x14ac:dyDescent="0.3">
      <c r="A952" s="22" t="s">
        <v>154</v>
      </c>
      <c r="B952" s="23">
        <v>117</v>
      </c>
      <c r="C952" s="3" t="s">
        <v>65</v>
      </c>
      <c r="D952" s="23">
        <v>2016</v>
      </c>
      <c r="E952" s="25">
        <v>3.2205345529308103</v>
      </c>
      <c r="F952" s="25">
        <v>0.80766164561742126</v>
      </c>
      <c r="G952" s="25">
        <v>0.41952338773510234</v>
      </c>
      <c r="H952" s="25">
        <v>0.72272815817668257</v>
      </c>
      <c r="I952" s="25">
        <v>0.12722884296273948</v>
      </c>
      <c r="J952" s="25">
        <v>3.9736534619878632E-2</v>
      </c>
      <c r="K952" s="25">
        <v>6.8455569624362847E-2</v>
      </c>
      <c r="L952" s="25">
        <v>0.99650000000000005</v>
      </c>
      <c r="M952" s="24">
        <v>2</v>
      </c>
      <c r="N952" s="108">
        <v>0</v>
      </c>
      <c r="O952" s="24">
        <v>3</v>
      </c>
      <c r="P952" s="24">
        <v>0</v>
      </c>
      <c r="Q952" s="24">
        <v>3</v>
      </c>
      <c r="R952" s="24">
        <v>3</v>
      </c>
      <c r="S952" s="24">
        <v>0</v>
      </c>
      <c r="T952" s="24">
        <v>0</v>
      </c>
      <c r="U952" s="24">
        <v>212248000000</v>
      </c>
      <c r="V952" s="109">
        <v>0.13211736175154559</v>
      </c>
      <c r="W952" s="109">
        <v>1.635672986317892</v>
      </c>
      <c r="X952" s="109">
        <v>-8.0222098677019335E-2</v>
      </c>
      <c r="Y952" s="109">
        <v>0.32465267046097018</v>
      </c>
      <c r="Z952" s="109">
        <v>1.4528284087463361</v>
      </c>
      <c r="AA952" s="109">
        <v>3.3329319668481792</v>
      </c>
      <c r="AD952" s="111"/>
    </row>
    <row r="953" spans="1:30" ht="15" customHeight="1" x14ac:dyDescent="0.3">
      <c r="A953" s="22" t="s">
        <v>154</v>
      </c>
      <c r="B953" s="23">
        <v>117</v>
      </c>
      <c r="C953" s="3" t="s">
        <v>65</v>
      </c>
      <c r="D953" s="23">
        <v>2017</v>
      </c>
      <c r="E953" s="25">
        <v>3.0834763334763333</v>
      </c>
      <c r="F953" s="25">
        <v>0.7878950378950379</v>
      </c>
      <c r="G953" s="25">
        <v>0.47916658229898557</v>
      </c>
      <c r="H953" s="25">
        <v>0.91999968898703077</v>
      </c>
      <c r="I953" s="25">
        <v>5.9487285385568467E-2</v>
      </c>
      <c r="J953" s="25">
        <v>1.6332233178771742E-2</v>
      </c>
      <c r="K953" s="25">
        <v>3.135788262370541E-2</v>
      </c>
      <c r="L953" s="25">
        <v>0.99650000000000005</v>
      </c>
      <c r="M953" s="24">
        <v>2</v>
      </c>
      <c r="N953" s="108">
        <v>0</v>
      </c>
      <c r="O953" s="24">
        <v>3</v>
      </c>
      <c r="P953" s="24">
        <v>0</v>
      </c>
      <c r="Q953" s="24">
        <v>3</v>
      </c>
      <c r="R953" s="24">
        <v>3</v>
      </c>
      <c r="S953" s="24">
        <v>0</v>
      </c>
      <c r="T953" s="24">
        <v>0</v>
      </c>
      <c r="U953" s="24">
        <v>246935000000</v>
      </c>
      <c r="V953" s="109">
        <v>2.2718358726806456E-2</v>
      </c>
      <c r="W953" s="109">
        <v>1.5482221637272966</v>
      </c>
      <c r="X953" s="109">
        <v>-1.8601413327393845E-2</v>
      </c>
      <c r="Y953" s="109">
        <v>0.10158851519630673</v>
      </c>
      <c r="Z953" s="109">
        <v>1.1413047336527977</v>
      </c>
      <c r="AA953" s="109">
        <v>2.7725139992490071</v>
      </c>
      <c r="AD953" s="111"/>
    </row>
    <row r="954" spans="1:30" ht="15" customHeight="1" x14ac:dyDescent="0.3">
      <c r="A954" s="22" t="s">
        <v>154</v>
      </c>
      <c r="B954" s="23">
        <v>117</v>
      </c>
      <c r="C954" s="3" t="s">
        <v>65</v>
      </c>
      <c r="D954" s="23">
        <v>2018</v>
      </c>
      <c r="E954" s="25">
        <v>3.1695868880530838</v>
      </c>
      <c r="F954" s="25">
        <v>0.73693544934715471</v>
      </c>
      <c r="G954" s="25">
        <v>0.50054056407316838</v>
      </c>
      <c r="H954" s="25">
        <v>1.0021645964988741</v>
      </c>
      <c r="I954" s="25">
        <v>0.13187319353761473</v>
      </c>
      <c r="J954" s="25">
        <v>4.154724675117364E-2</v>
      </c>
      <c r="K954" s="25">
        <v>8.3184426527202732E-2</v>
      </c>
      <c r="L954" s="25">
        <v>0.99650000000000005</v>
      </c>
      <c r="M954" s="24">
        <v>2</v>
      </c>
      <c r="N954" s="108">
        <v>0</v>
      </c>
      <c r="O954" s="24">
        <v>3</v>
      </c>
      <c r="P954" s="24">
        <v>0</v>
      </c>
      <c r="Q954" s="24">
        <v>3</v>
      </c>
      <c r="R954" s="24">
        <v>3</v>
      </c>
      <c r="S954" s="24">
        <v>0</v>
      </c>
      <c r="T954" s="24">
        <v>0</v>
      </c>
      <c r="U954" s="24">
        <v>275638000000</v>
      </c>
      <c r="V954" s="109">
        <v>0.28091627824650423</v>
      </c>
      <c r="W954" s="109">
        <v>1.6886101335810011</v>
      </c>
      <c r="X954" s="109">
        <v>0.11907530891967</v>
      </c>
      <c r="Y954" s="109">
        <v>0.21824799193144628</v>
      </c>
      <c r="Z954" s="109">
        <v>1.0477320828018091</v>
      </c>
      <c r="AA954" s="109">
        <v>3.073665517233926</v>
      </c>
      <c r="AD954" s="111"/>
    </row>
    <row r="955" spans="1:30" ht="15" customHeight="1" x14ac:dyDescent="0.3">
      <c r="A955" s="22" t="s">
        <v>154</v>
      </c>
      <c r="B955" s="23">
        <v>117</v>
      </c>
      <c r="C955" s="3" t="s">
        <v>65</v>
      </c>
      <c r="D955" s="23">
        <v>2019</v>
      </c>
      <c r="E955" s="25">
        <v>4.305823665449819</v>
      </c>
      <c r="F955" s="25">
        <v>0.44171556354045222</v>
      </c>
      <c r="G955" s="25">
        <v>0.65335368970934071</v>
      </c>
      <c r="H955" s="25">
        <v>1.8847974150644893</v>
      </c>
      <c r="I955" s="25">
        <v>9.2302524573933953E-2</v>
      </c>
      <c r="J955" s="25">
        <v>2.426498610375245E-2</v>
      </c>
      <c r="K955" s="25">
        <v>6.9999731853162786E-2</v>
      </c>
      <c r="L955" s="25">
        <v>0.99650000000000005</v>
      </c>
      <c r="M955" s="24">
        <v>2</v>
      </c>
      <c r="N955" s="108">
        <v>0</v>
      </c>
      <c r="O955" s="24">
        <v>3</v>
      </c>
      <c r="P955" s="24">
        <v>0</v>
      </c>
      <c r="Q955" s="24">
        <v>3</v>
      </c>
      <c r="R955" s="24">
        <v>3</v>
      </c>
      <c r="S955" s="24">
        <v>0</v>
      </c>
      <c r="T955" s="24">
        <v>0</v>
      </c>
      <c r="U955" s="24">
        <v>430332000000</v>
      </c>
      <c r="V955" s="109">
        <v>0.30270264045784823</v>
      </c>
      <c r="W955" s="109">
        <v>2.6366708494836542</v>
      </c>
      <c r="X955" s="109">
        <v>0.14685196545922682</v>
      </c>
      <c r="Y955" s="109">
        <v>0.18365801288307632</v>
      </c>
      <c r="Z955" s="109">
        <v>0.55708904925682623</v>
      </c>
      <c r="AA955" s="109">
        <v>3.5242698770827832</v>
      </c>
      <c r="AD955" s="111"/>
    </row>
    <row r="956" spans="1:30" ht="15" customHeight="1" x14ac:dyDescent="0.3">
      <c r="A956" s="22" t="s">
        <v>154</v>
      </c>
      <c r="B956" s="23">
        <v>117</v>
      </c>
      <c r="C956" s="3" t="s">
        <v>65</v>
      </c>
      <c r="D956" s="23">
        <v>2020</v>
      </c>
      <c r="E956" s="25">
        <v>3.2002860106232518</v>
      </c>
      <c r="F956" s="25">
        <v>0.31960901404909325</v>
      </c>
      <c r="G956" s="25">
        <v>0.62361304666356976</v>
      </c>
      <c r="H956" s="25">
        <v>1.6568504043374943</v>
      </c>
      <c r="I956" s="25">
        <v>6.0620792819745702E-2</v>
      </c>
      <c r="J956" s="25">
        <v>1.8731525585114619E-2</v>
      </c>
      <c r="K956" s="25">
        <v>4.9766976341497862E-2</v>
      </c>
      <c r="L956" s="25">
        <v>0.99650000000000005</v>
      </c>
      <c r="M956" s="24">
        <v>2</v>
      </c>
      <c r="N956" s="108">
        <v>0</v>
      </c>
      <c r="O956" s="24">
        <v>3</v>
      </c>
      <c r="P956" s="24">
        <v>0</v>
      </c>
      <c r="Q956" s="24">
        <v>3</v>
      </c>
      <c r="R956" s="24">
        <v>3</v>
      </c>
      <c r="S956" s="24">
        <v>0</v>
      </c>
      <c r="T956" s="24">
        <v>0</v>
      </c>
      <c r="U956" s="24">
        <v>432693000000</v>
      </c>
      <c r="V956" s="109">
        <v>0.18184711123682909</v>
      </c>
      <c r="W956" s="109">
        <v>2.1227181396509764</v>
      </c>
      <c r="X956" s="109">
        <v>0.20659557700263234</v>
      </c>
      <c r="Y956" s="109">
        <v>0.18874389000977598</v>
      </c>
      <c r="Z956" s="109">
        <v>0.63373253086168113</v>
      </c>
      <c r="AA956" s="109">
        <v>3.1517901375250661</v>
      </c>
      <c r="AD956" s="111"/>
    </row>
    <row r="957" spans="1:30" ht="15" customHeight="1" x14ac:dyDescent="0.3">
      <c r="A957" s="22" t="s">
        <v>154</v>
      </c>
      <c r="B957" s="23">
        <v>117</v>
      </c>
      <c r="C957" s="3" t="s">
        <v>65</v>
      </c>
      <c r="D957" s="23">
        <v>2021</v>
      </c>
      <c r="E957" s="25">
        <v>4.9849582327311079</v>
      </c>
      <c r="F957" s="25">
        <v>0.2034523908639303</v>
      </c>
      <c r="G957" s="25">
        <v>0.60419700104733443</v>
      </c>
      <c r="H957" s="25">
        <v>1.5265094065636193</v>
      </c>
      <c r="I957" s="25">
        <v>0.15740162846587036</v>
      </c>
      <c r="J957" s="25">
        <v>4.6706431314447253E-2</v>
      </c>
      <c r="K957" s="25">
        <v>0.11800423806296859</v>
      </c>
      <c r="L957" s="25">
        <v>0.99650000000000005</v>
      </c>
      <c r="M957" s="24">
        <v>2</v>
      </c>
      <c r="N957" s="108">
        <v>0</v>
      </c>
      <c r="O957" s="24">
        <v>3</v>
      </c>
      <c r="P957" s="24">
        <v>0</v>
      </c>
      <c r="Q957" s="24">
        <v>3</v>
      </c>
      <c r="R957" s="24">
        <v>3</v>
      </c>
      <c r="S957" s="24">
        <v>0</v>
      </c>
      <c r="T957" s="24">
        <v>0</v>
      </c>
      <c r="U957" s="24">
        <v>469764000000</v>
      </c>
      <c r="V957" s="109">
        <v>4.2595362752430817E-2</v>
      </c>
      <c r="W957" s="109">
        <v>4.0103132636813381</v>
      </c>
      <c r="X957" s="109">
        <v>0.34452610246847354</v>
      </c>
      <c r="Y957" s="109">
        <v>0.35247656269956829</v>
      </c>
      <c r="Z957" s="109">
        <v>0.6878437797273016</v>
      </c>
      <c r="AA957" s="109">
        <v>5.3951597085766814</v>
      </c>
      <c r="AD957" s="111"/>
    </row>
    <row r="958" spans="1:30" ht="15" customHeight="1" x14ac:dyDescent="0.3">
      <c r="A958" s="22" t="s">
        <v>154</v>
      </c>
      <c r="B958" s="23">
        <v>117</v>
      </c>
      <c r="C958" s="3" t="s">
        <v>65</v>
      </c>
      <c r="D958" s="23">
        <v>2022</v>
      </c>
      <c r="E958" s="25">
        <v>2.8921707523004048</v>
      </c>
      <c r="F958" s="25">
        <v>0.28502125101961961</v>
      </c>
      <c r="G958" s="25">
        <v>0.5935461208525743</v>
      </c>
      <c r="H958" s="25">
        <v>1.4603111227914123</v>
      </c>
      <c r="I958" s="25">
        <v>0.12796914776921539</v>
      </c>
      <c r="J958" s="25">
        <v>3.8103317940543294E-2</v>
      </c>
      <c r="K958" s="25">
        <v>9.3746209517648491E-2</v>
      </c>
      <c r="L958" s="25">
        <v>0.99650000000000005</v>
      </c>
      <c r="M958" s="24">
        <v>2</v>
      </c>
      <c r="N958" s="108">
        <v>0</v>
      </c>
      <c r="O958" s="24">
        <v>3</v>
      </c>
      <c r="P958" s="24">
        <v>0</v>
      </c>
      <c r="Q958" s="24">
        <v>3</v>
      </c>
      <c r="R958" s="24">
        <v>3</v>
      </c>
      <c r="S958" s="24">
        <v>0</v>
      </c>
      <c r="T958" s="24">
        <v>0</v>
      </c>
      <c r="U958" s="24">
        <v>486808000000</v>
      </c>
      <c r="V958" s="109">
        <v>3.9843609885576954E-2</v>
      </c>
      <c r="W958" s="109">
        <v>1.7817761417232256</v>
      </c>
      <c r="X958" s="109">
        <v>0.45934573795007472</v>
      </c>
      <c r="Y958" s="109">
        <v>0.33301276889451281</v>
      </c>
      <c r="Z958" s="109">
        <v>0.71902485957437978</v>
      </c>
      <c r="AA958" s="109">
        <v>3.2931595081421925</v>
      </c>
      <c r="AD958" s="111"/>
    </row>
    <row r="959" spans="1:30" ht="15" customHeight="1" x14ac:dyDescent="0.3">
      <c r="A959" s="22" t="s">
        <v>154</v>
      </c>
      <c r="B959" s="23">
        <v>117</v>
      </c>
      <c r="C959" s="3" t="s">
        <v>65</v>
      </c>
      <c r="D959" s="23">
        <v>2023</v>
      </c>
      <c r="E959" s="25">
        <v>3.2804213854342912</v>
      </c>
      <c r="F959" s="25">
        <v>0.32343678600980597</v>
      </c>
      <c r="G959" s="25">
        <v>0.62410864556466272</v>
      </c>
      <c r="H959" s="25">
        <v>1.6603431768261776</v>
      </c>
      <c r="I959" s="25">
        <v>0.10306037733457549</v>
      </c>
      <c r="J959" s="25">
        <v>2.8689175314113125E-2</v>
      </c>
      <c r="K959" s="25">
        <v>7.6323051795670865E-2</v>
      </c>
      <c r="L959" s="25">
        <v>0.99650000000000005</v>
      </c>
      <c r="M959" s="24">
        <v>2</v>
      </c>
      <c r="N959" s="108">
        <v>0</v>
      </c>
      <c r="O959" s="24">
        <v>4</v>
      </c>
      <c r="P959" s="24">
        <v>0</v>
      </c>
      <c r="Q959" s="24">
        <v>4</v>
      </c>
      <c r="R959" s="24">
        <v>3</v>
      </c>
      <c r="S959" s="24">
        <v>0</v>
      </c>
      <c r="T959" s="24">
        <v>0</v>
      </c>
      <c r="U959" s="24">
        <v>566834000000</v>
      </c>
      <c r="V959" s="109">
        <v>8.8596678831865006E-2</v>
      </c>
      <c r="W959" s="109">
        <v>2.1369411150354423</v>
      </c>
      <c r="X959" s="109">
        <v>0.36216726590148085</v>
      </c>
      <c r="Y959" s="109">
        <v>0.25234054414519946</v>
      </c>
      <c r="Z959" s="109">
        <v>0.63239938264276396</v>
      </c>
      <c r="AA959" s="109">
        <v>3.3838483077248864</v>
      </c>
      <c r="AD959" s="111"/>
    </row>
    <row r="960" spans="1:30" ht="15" customHeight="1" x14ac:dyDescent="0.3">
      <c r="A960" s="22" t="s">
        <v>154</v>
      </c>
      <c r="B960" s="23">
        <v>117</v>
      </c>
      <c r="C960" s="3" t="s">
        <v>65</v>
      </c>
      <c r="D960" s="23">
        <v>2024</v>
      </c>
      <c r="E960" s="25">
        <v>3.2709012161926601</v>
      </c>
      <c r="F960" s="25">
        <v>0.18089357308553575</v>
      </c>
      <c r="G960" s="25">
        <v>0.73637509434334569</v>
      </c>
      <c r="H960" s="25">
        <v>2.7932683086567023</v>
      </c>
      <c r="I960" s="25">
        <v>6.7756175540313948E-3</v>
      </c>
      <c r="J960" s="25">
        <v>1.7092794388235816E-3</v>
      </c>
      <c r="K960" s="25">
        <v>6.483755525928005E-3</v>
      </c>
      <c r="L960" s="25">
        <v>0.99650000000000005</v>
      </c>
      <c r="M960" s="24">
        <v>2</v>
      </c>
      <c r="N960" s="108">
        <v>0</v>
      </c>
      <c r="O960" s="24">
        <v>3</v>
      </c>
      <c r="P960" s="24">
        <v>0</v>
      </c>
      <c r="Q960" s="24">
        <v>3</v>
      </c>
      <c r="R960" s="24">
        <v>3</v>
      </c>
      <c r="S960" s="24">
        <v>0</v>
      </c>
      <c r="T960" s="24">
        <v>0</v>
      </c>
      <c r="U960" s="24">
        <v>810868000000</v>
      </c>
      <c r="V960" s="109">
        <v>0.29637938792453311</v>
      </c>
      <c r="W960" s="109">
        <v>2.7402287918625472</v>
      </c>
      <c r="X960" s="109">
        <v>0.26031980544305611</v>
      </c>
      <c r="Y960" s="109">
        <v>2.5218605247709861E-2</v>
      </c>
      <c r="Z960" s="109">
        <v>0.37590373855097026</v>
      </c>
      <c r="AA960" s="109">
        <v>3.4016709411042836</v>
      </c>
      <c r="AD960" s="111"/>
    </row>
    <row r="961" spans="1:30" ht="15" customHeight="1" x14ac:dyDescent="0.3">
      <c r="A961" s="22" t="s">
        <v>154</v>
      </c>
      <c r="B961" s="23">
        <v>118</v>
      </c>
      <c r="C961" s="3" t="s">
        <v>89</v>
      </c>
      <c r="D961" s="23">
        <v>2018</v>
      </c>
      <c r="E961" s="25">
        <v>1.0079266224011794</v>
      </c>
      <c r="F961" s="25">
        <v>0.12806208247176204</v>
      </c>
      <c r="G961" s="25">
        <v>0.79682502461152704</v>
      </c>
      <c r="H961" s="25">
        <v>3.9233859976996737</v>
      </c>
      <c r="I961" s="25">
        <v>-4.5448069219474502E-2</v>
      </c>
      <c r="J961" s="25">
        <v>-1.1506153429607049E-2</v>
      </c>
      <c r="K961" s="25">
        <v>-5.6653694172209015E-2</v>
      </c>
      <c r="L961" s="25">
        <v>0</v>
      </c>
      <c r="M961" s="24">
        <v>0</v>
      </c>
      <c r="N961" s="108">
        <v>0</v>
      </c>
      <c r="O961" s="24">
        <v>0</v>
      </c>
      <c r="P961" s="24">
        <v>0</v>
      </c>
      <c r="Q961" s="24">
        <v>0</v>
      </c>
      <c r="R961" s="24">
        <v>0</v>
      </c>
      <c r="S961" s="24">
        <v>0</v>
      </c>
      <c r="T961" s="24">
        <v>0</v>
      </c>
      <c r="U961" s="24">
        <v>2759490493000</v>
      </c>
      <c r="V961" s="109">
        <v>0</v>
      </c>
      <c r="W961" s="109">
        <v>6.1314257407010381E-3</v>
      </c>
      <c r="X961" s="109">
        <v>4.5373510884568938E-2</v>
      </c>
      <c r="Y961" s="109">
        <v>-3.050215221016889E-2</v>
      </c>
      <c r="Z961" s="109">
        <v>0.26762597425173745</v>
      </c>
      <c r="AA961" s="109">
        <v>0.28862875866683851</v>
      </c>
      <c r="AD961" s="111"/>
    </row>
    <row r="962" spans="1:30" ht="15" customHeight="1" x14ac:dyDescent="0.3">
      <c r="A962" s="22" t="s">
        <v>154</v>
      </c>
      <c r="B962" s="23">
        <v>118</v>
      </c>
      <c r="C962" s="3" t="s">
        <v>89</v>
      </c>
      <c r="D962" s="23">
        <v>2019</v>
      </c>
      <c r="E962" s="25">
        <v>0.98651347957639324</v>
      </c>
      <c r="F962" s="25">
        <v>0.15100911972977271</v>
      </c>
      <c r="G962" s="25">
        <v>0.79012922939827357</v>
      </c>
      <c r="H962" s="25">
        <v>3.7665249286585456</v>
      </c>
      <c r="I962" s="25">
        <v>-0.10323436376180022</v>
      </c>
      <c r="J962" s="25">
        <v>-1.972033182570726E-2</v>
      </c>
      <c r="K962" s="25">
        <v>-9.4006294994947795E-2</v>
      </c>
      <c r="L962" s="25">
        <v>0.8</v>
      </c>
      <c r="M962" s="24">
        <v>2</v>
      </c>
      <c r="N962" s="108">
        <v>0</v>
      </c>
      <c r="O962" s="24">
        <v>4</v>
      </c>
      <c r="P962" s="24">
        <v>0</v>
      </c>
      <c r="Q962" s="24">
        <v>4</v>
      </c>
      <c r="R962" s="24">
        <v>3</v>
      </c>
      <c r="S962" s="24">
        <v>0</v>
      </c>
      <c r="T962" s="24">
        <v>0</v>
      </c>
      <c r="U962" s="24">
        <v>2404841887000</v>
      </c>
      <c r="V962" s="109">
        <v>-0.34244386323863385</v>
      </c>
      <c r="W962" s="109">
        <v>-1.2672631030232882E-2</v>
      </c>
      <c r="X962" s="109">
        <v>2.0628101360079143E-2</v>
      </c>
      <c r="Y962" s="109">
        <v>-0.19094181907020316</v>
      </c>
      <c r="Z962" s="109">
        <v>0.27877155199765519</v>
      </c>
      <c r="AA962" s="109">
        <v>9.5785203257298279E-2</v>
      </c>
      <c r="AD962" s="111"/>
    </row>
    <row r="963" spans="1:30" ht="15" customHeight="1" x14ac:dyDescent="0.3">
      <c r="A963" s="22" t="s">
        <v>154</v>
      </c>
      <c r="B963" s="23">
        <v>118</v>
      </c>
      <c r="C963" s="3" t="s">
        <v>89</v>
      </c>
      <c r="D963" s="23">
        <v>2020</v>
      </c>
      <c r="E963" s="25">
        <v>0.96036393062715664</v>
      </c>
      <c r="F963" s="25">
        <v>0.18918093878966943</v>
      </c>
      <c r="G963" s="25">
        <v>0.84295721307274096</v>
      </c>
      <c r="H963" s="25">
        <v>5.3801199703466711</v>
      </c>
      <c r="I963" s="25">
        <v>0.17597478220428636</v>
      </c>
      <c r="J963" s="25">
        <v>3.3120594105765996E-2</v>
      </c>
      <c r="K963" s="25">
        <v>0.21139005279832768</v>
      </c>
      <c r="L963" s="25">
        <v>0.8</v>
      </c>
      <c r="M963" s="24">
        <v>2</v>
      </c>
      <c r="N963" s="108">
        <v>0</v>
      </c>
      <c r="O963" s="24">
        <v>4</v>
      </c>
      <c r="P963" s="24">
        <v>0</v>
      </c>
      <c r="Q963" s="24">
        <v>4</v>
      </c>
      <c r="R963" s="24">
        <v>5</v>
      </c>
      <c r="S963" s="24">
        <v>0</v>
      </c>
      <c r="T963" s="24">
        <v>0</v>
      </c>
      <c r="U963" s="24">
        <v>2701070570000</v>
      </c>
      <c r="V963" s="109">
        <v>0.10664200933322475</v>
      </c>
      <c r="W963" s="109">
        <v>-4.0866428040049314E-2</v>
      </c>
      <c r="X963" s="109">
        <v>-0.12666311196008478</v>
      </c>
      <c r="Y963" s="109">
        <v>-0.12432513118677975</v>
      </c>
      <c r="Z963" s="109">
        <v>0.19516293424444639</v>
      </c>
      <c r="AA963" s="109">
        <v>-9.6691736942467438E-2</v>
      </c>
      <c r="AD963" s="111"/>
    </row>
    <row r="964" spans="1:30" ht="15" customHeight="1" x14ac:dyDescent="0.3">
      <c r="A964" s="22" t="s">
        <v>154</v>
      </c>
      <c r="B964" s="23">
        <v>118</v>
      </c>
      <c r="C964" s="3" t="s">
        <v>89</v>
      </c>
      <c r="D964" s="23">
        <v>2021</v>
      </c>
      <c r="E964" s="25">
        <v>0.97739887969761807</v>
      </c>
      <c r="F964" s="25">
        <v>0.16117234534359057</v>
      </c>
      <c r="G964" s="25">
        <v>0.8376041736378933</v>
      </c>
      <c r="H964" s="25">
        <v>5.171742693807861</v>
      </c>
      <c r="I964" s="25">
        <v>-2.918994325106064E-2</v>
      </c>
      <c r="J964" s="25">
        <v>-5.6778437204100122E-3</v>
      </c>
      <c r="K964" s="25">
        <v>-3.5057545917038253E-2</v>
      </c>
      <c r="L964" s="25">
        <v>0.8</v>
      </c>
      <c r="M964" s="24">
        <v>2</v>
      </c>
      <c r="N964" s="108">
        <v>0</v>
      </c>
      <c r="O964" s="24">
        <v>4</v>
      </c>
      <c r="P964" s="24">
        <v>8</v>
      </c>
      <c r="Q964" s="24">
        <v>4</v>
      </c>
      <c r="R964" s="24">
        <v>5</v>
      </c>
      <c r="S964" s="24">
        <v>8</v>
      </c>
      <c r="T964" s="24">
        <v>9</v>
      </c>
      <c r="U964" s="24">
        <v>2509362304000</v>
      </c>
      <c r="V964" s="109">
        <v>-3.9870219253596066E-2</v>
      </c>
      <c r="W964" s="109">
        <v>-2.3682374021985787E-2</v>
      </c>
      <c r="X964" s="109">
        <v>-0.15570760250808327</v>
      </c>
      <c r="Y964" s="109">
        <v>-0.12928618881492529</v>
      </c>
      <c r="Z964" s="109">
        <v>0.2030263418280974</v>
      </c>
      <c r="AA964" s="109">
        <v>-0.10564982351689692</v>
      </c>
      <c r="AD964" s="111"/>
    </row>
    <row r="965" spans="1:30" ht="15" customHeight="1" x14ac:dyDescent="0.3">
      <c r="A965" s="22" t="s">
        <v>154</v>
      </c>
      <c r="B965" s="23">
        <v>118</v>
      </c>
      <c r="C965" s="3" t="s">
        <v>89</v>
      </c>
      <c r="D965" s="23">
        <v>2022</v>
      </c>
      <c r="E965" s="25">
        <v>0.84458941439307444</v>
      </c>
      <c r="F965" s="25">
        <v>0.21578709487499015</v>
      </c>
      <c r="G965" s="25">
        <v>0.84572243684789505</v>
      </c>
      <c r="H965" s="25">
        <v>5.5000993066693864</v>
      </c>
      <c r="I965" s="25">
        <v>1.1141844061288729E-2</v>
      </c>
      <c r="J965" s="25">
        <v>2.5425370810091079E-3</v>
      </c>
      <c r="K965" s="25">
        <v>1.6535219863103252E-2</v>
      </c>
      <c r="L965" s="25">
        <v>0.8</v>
      </c>
      <c r="M965" s="24">
        <v>2</v>
      </c>
      <c r="N965" s="108">
        <v>0</v>
      </c>
      <c r="O965" s="24">
        <v>4</v>
      </c>
      <c r="P965" s="24">
        <v>8</v>
      </c>
      <c r="Q965" s="24">
        <v>4</v>
      </c>
      <c r="R965" s="24">
        <v>3</v>
      </c>
      <c r="S965" s="24">
        <v>8</v>
      </c>
      <c r="T965" s="24">
        <v>7</v>
      </c>
      <c r="U965" s="24">
        <v>2534662345000</v>
      </c>
      <c r="V965" s="109">
        <v>0.18499571242136845</v>
      </c>
      <c r="W965" s="109">
        <v>-0.1307444193873484</v>
      </c>
      <c r="X965" s="109">
        <v>-0.14628314476341028</v>
      </c>
      <c r="Y965" s="109">
        <v>9.0028817151974541E-3</v>
      </c>
      <c r="Z965" s="109">
        <v>0.19090564396296927</v>
      </c>
      <c r="AA965" s="109">
        <v>-7.7119038472591939E-2</v>
      </c>
      <c r="AD965" s="111"/>
    </row>
    <row r="966" spans="1:30" ht="15" customHeight="1" x14ac:dyDescent="0.3">
      <c r="A966" s="22" t="s">
        <v>154</v>
      </c>
      <c r="B966" s="23">
        <v>118</v>
      </c>
      <c r="C966" s="3" t="s">
        <v>89</v>
      </c>
      <c r="D966" s="23">
        <v>2023</v>
      </c>
      <c r="E966" s="25">
        <v>0.86011050131966593</v>
      </c>
      <c r="F966" s="25">
        <v>0.1297467339634025</v>
      </c>
      <c r="G966" s="25">
        <v>0.84147747872005496</v>
      </c>
      <c r="H966" s="25">
        <v>5.3374349661914415</v>
      </c>
      <c r="I966" s="25">
        <v>1.8234510497828389E-2</v>
      </c>
      <c r="J966" s="25">
        <v>4.1277700833456188E-3</v>
      </c>
      <c r="K966" s="25">
        <v>2.6182167594977827E-2</v>
      </c>
      <c r="L966" s="25">
        <v>0.8</v>
      </c>
      <c r="M966" s="24">
        <v>2</v>
      </c>
      <c r="N966" s="108">
        <v>0</v>
      </c>
      <c r="O966" s="24">
        <v>3</v>
      </c>
      <c r="P966" s="24">
        <v>5</v>
      </c>
      <c r="Q966" s="24">
        <v>3</v>
      </c>
      <c r="R966" s="24">
        <v>3</v>
      </c>
      <c r="S966" s="24">
        <v>5</v>
      </c>
      <c r="T966" s="24">
        <v>7</v>
      </c>
      <c r="U966" s="24">
        <v>2567838757000</v>
      </c>
      <c r="V966" s="109">
        <v>4.9832112825028028E-3</v>
      </c>
      <c r="W966" s="109">
        <v>-0.10511362524777096</v>
      </c>
      <c r="X966" s="109">
        <v>-0.13120118098599132</v>
      </c>
      <c r="Y966" s="109">
        <v>7.2077834130143551E-3</v>
      </c>
      <c r="Z966" s="109">
        <v>0.19672370842004541</v>
      </c>
      <c r="AA966" s="109">
        <v>-3.2383314400702495E-2</v>
      </c>
      <c r="AD966" s="111"/>
    </row>
    <row r="967" spans="1:30" ht="15" customHeight="1" x14ac:dyDescent="0.3">
      <c r="A967" s="22" t="s">
        <v>154</v>
      </c>
      <c r="B967" s="23">
        <v>118</v>
      </c>
      <c r="C967" s="3" t="s">
        <v>89</v>
      </c>
      <c r="D967" s="23">
        <v>2024</v>
      </c>
      <c r="E967" s="25">
        <v>0.81855960303070663</v>
      </c>
      <c r="F967" s="25">
        <v>9.1262226200533328E-2</v>
      </c>
      <c r="G967" s="25">
        <v>0.8589730587664417</v>
      </c>
      <c r="H967" s="25">
        <v>8.4437895726654428</v>
      </c>
      <c r="I967" s="25">
        <v>-6.1688699464225963E-2</v>
      </c>
      <c r="J967" s="25">
        <v>-1.5394927277954924E-2</v>
      </c>
      <c r="K967" s="25">
        <v>-0.15133364788904727</v>
      </c>
      <c r="L967" s="25">
        <v>0.8</v>
      </c>
      <c r="M967" s="24">
        <v>2</v>
      </c>
      <c r="N967" s="108">
        <v>0</v>
      </c>
      <c r="O967" s="24">
        <v>4</v>
      </c>
      <c r="P967" s="24">
        <v>10</v>
      </c>
      <c r="Q967" s="24">
        <v>4</v>
      </c>
      <c r="R967" s="24">
        <v>4</v>
      </c>
      <c r="S967" s="24">
        <v>10</v>
      </c>
      <c r="T967" s="24">
        <v>8</v>
      </c>
      <c r="U967" s="24">
        <v>2544622608000</v>
      </c>
      <c r="V967" s="109">
        <v>9.246182360405561E-2</v>
      </c>
      <c r="W967" s="109">
        <v>-0.18884770835927431</v>
      </c>
      <c r="X967" s="109">
        <v>-0.18257697238851223</v>
      </c>
      <c r="Y967" s="109">
        <v>2.4942931042291516E-2</v>
      </c>
      <c r="Z967" s="109">
        <v>0.12435174881656218</v>
      </c>
      <c r="AA967" s="109">
        <v>-0.22213000088893287</v>
      </c>
      <c r="AD967" s="111"/>
    </row>
    <row r="968" spans="1:30" ht="15" customHeight="1" x14ac:dyDescent="0.3">
      <c r="A968" s="22" t="s">
        <v>154</v>
      </c>
      <c r="B968" s="23">
        <v>119</v>
      </c>
      <c r="C968" s="2" t="s">
        <v>72</v>
      </c>
      <c r="D968" s="23">
        <v>2015</v>
      </c>
      <c r="E968" s="25">
        <v>6.8760695710530735</v>
      </c>
      <c r="F968" s="25">
        <v>1.3209552038476595</v>
      </c>
      <c r="G968" s="25">
        <v>0.61955080152231579</v>
      </c>
      <c r="H968" s="25">
        <v>1.6284718275169565</v>
      </c>
      <c r="I968" s="25">
        <v>-9.1683411810574933E-2</v>
      </c>
      <c r="J968" s="25">
        <v>-3.3051983623572832E-2</v>
      </c>
      <c r="K968" s="25">
        <v>-8.6876207798112989E-2</v>
      </c>
      <c r="L968" s="25">
        <v>0</v>
      </c>
      <c r="M968" s="24">
        <v>0</v>
      </c>
      <c r="N968" s="108">
        <v>0</v>
      </c>
      <c r="O968" s="24">
        <v>0</v>
      </c>
      <c r="P968" s="24">
        <v>0</v>
      </c>
      <c r="Q968" s="24">
        <v>0</v>
      </c>
      <c r="R968" s="24">
        <v>0</v>
      </c>
      <c r="S968" s="24">
        <v>0</v>
      </c>
      <c r="T968" s="24">
        <v>0</v>
      </c>
      <c r="U968" s="24">
        <v>277472000000</v>
      </c>
      <c r="V968" s="109">
        <v>0</v>
      </c>
      <c r="W968" s="109">
        <v>2.484067581593818</v>
      </c>
      <c r="X968" s="109">
        <v>0.31960623053857684</v>
      </c>
      <c r="Y968" s="109">
        <v>0.16512282320378271</v>
      </c>
      <c r="Z968" s="109">
        <v>0.64477627568234175</v>
      </c>
      <c r="AA968" s="109">
        <v>3.6135729110185193</v>
      </c>
      <c r="AD968" s="111"/>
    </row>
    <row r="969" spans="1:30" ht="15" customHeight="1" x14ac:dyDescent="0.3">
      <c r="A969" s="22" t="s">
        <v>154</v>
      </c>
      <c r="B969" s="23">
        <v>119</v>
      </c>
      <c r="C969" s="3" t="s">
        <v>72</v>
      </c>
      <c r="D969" s="23">
        <v>2016</v>
      </c>
      <c r="E969" s="25">
        <v>3.5257980545280176</v>
      </c>
      <c r="F969" s="25">
        <v>0.47609261542677078</v>
      </c>
      <c r="G969" s="25">
        <v>0.63699309591813635</v>
      </c>
      <c r="H969" s="25">
        <v>1.7547685422933019</v>
      </c>
      <c r="I969" s="25">
        <v>4.0331075996990221E-2</v>
      </c>
      <c r="J969" s="25">
        <v>1.1597792291662506E-2</v>
      </c>
      <c r="K969" s="25">
        <v>3.1949233365123612E-2</v>
      </c>
      <c r="L969" s="25">
        <v>0.98799999999999999</v>
      </c>
      <c r="M969" s="24">
        <v>1</v>
      </c>
      <c r="N969" s="108">
        <v>0</v>
      </c>
      <c r="O969" s="24">
        <v>3</v>
      </c>
      <c r="P969" s="24">
        <v>7</v>
      </c>
      <c r="Q969" s="24">
        <v>3</v>
      </c>
      <c r="R969" s="24">
        <v>4</v>
      </c>
      <c r="S969" s="24">
        <v>7</v>
      </c>
      <c r="T969" s="24">
        <v>8</v>
      </c>
      <c r="U969" s="24">
        <v>300402000000</v>
      </c>
      <c r="V969" s="109">
        <v>-0.13640044387127734</v>
      </c>
      <c r="W969" s="109">
        <v>2.0129501135145569</v>
      </c>
      <c r="X969" s="109">
        <v>0.32142908502606504</v>
      </c>
      <c r="Y969" s="109">
        <v>8.9569576767132036E-2</v>
      </c>
      <c r="Z969" s="109">
        <v>0.59836951409429651</v>
      </c>
      <c r="AA969" s="109">
        <v>3.0223182894020502</v>
      </c>
      <c r="AD969" s="111"/>
    </row>
    <row r="970" spans="1:30" ht="15" customHeight="1" x14ac:dyDescent="0.3">
      <c r="A970" s="22" t="s">
        <v>154</v>
      </c>
      <c r="B970" s="23">
        <v>119</v>
      </c>
      <c r="C970" s="3" t="s">
        <v>72</v>
      </c>
      <c r="D970" s="23">
        <v>2017</v>
      </c>
      <c r="E970" s="25">
        <v>3.9886319090552727</v>
      </c>
      <c r="F970" s="25">
        <v>0.22494949190362754</v>
      </c>
      <c r="G970" s="25">
        <v>0.60897807440230201</v>
      </c>
      <c r="H970" s="25">
        <v>1.5574013489689773</v>
      </c>
      <c r="I970" s="25">
        <v>7.3170373632826843E-2</v>
      </c>
      <c r="J970" s="25">
        <v>1.7093254954951866E-2</v>
      </c>
      <c r="K970" s="25">
        <v>4.3714313280064553E-2</v>
      </c>
      <c r="L970" s="25">
        <v>0.98799999999999999</v>
      </c>
      <c r="M970" s="24">
        <v>1</v>
      </c>
      <c r="N970" s="108">
        <v>0</v>
      </c>
      <c r="O970" s="24">
        <v>1</v>
      </c>
      <c r="P970" s="24">
        <v>2</v>
      </c>
      <c r="Q970" s="24">
        <v>1</v>
      </c>
      <c r="R970" s="24">
        <v>4</v>
      </c>
      <c r="S970" s="24">
        <v>2</v>
      </c>
      <c r="T970" s="24">
        <v>6</v>
      </c>
      <c r="U970" s="24">
        <v>291577000000</v>
      </c>
      <c r="V970" s="109">
        <v>-0.21149505122417087</v>
      </c>
      <c r="W970" s="109">
        <v>2.2298559900129296</v>
      </c>
      <c r="X970" s="109">
        <v>0.37178782962990903</v>
      </c>
      <c r="Y970" s="109">
        <v>0.13146057473669046</v>
      </c>
      <c r="Z970" s="109">
        <v>0.67420000675812675</v>
      </c>
      <c r="AA970" s="109">
        <v>3.4073044011376559</v>
      </c>
      <c r="AD970" s="111"/>
    </row>
    <row r="971" spans="1:30" ht="15" customHeight="1" x14ac:dyDescent="0.3">
      <c r="A971" s="22" t="s">
        <v>154</v>
      </c>
      <c r="B971" s="23">
        <v>119</v>
      </c>
      <c r="C971" s="3" t="s">
        <v>72</v>
      </c>
      <c r="D971" s="23">
        <v>2018</v>
      </c>
      <c r="E971" s="25">
        <v>4.3148948712910196</v>
      </c>
      <c r="F971" s="25">
        <v>0.3641432501473767</v>
      </c>
      <c r="G971" s="25">
        <v>0.67349261489591206</v>
      </c>
      <c r="H971" s="25">
        <v>2.0627178606732222</v>
      </c>
      <c r="I971" s="25">
        <v>6.7281033573168406E-2</v>
      </c>
      <c r="J971" s="25">
        <v>1.697002641480588E-2</v>
      </c>
      <c r="K971" s="25">
        <v>5.1974402996722333E-2</v>
      </c>
      <c r="L971" s="25">
        <v>0.98799999999999999</v>
      </c>
      <c r="M971" s="24">
        <v>2</v>
      </c>
      <c r="N971" s="108">
        <v>0</v>
      </c>
      <c r="O971" s="24">
        <v>3</v>
      </c>
      <c r="P971" s="24">
        <v>5</v>
      </c>
      <c r="Q971" s="24">
        <v>3</v>
      </c>
      <c r="R971" s="24">
        <v>4</v>
      </c>
      <c r="S971" s="24">
        <v>5</v>
      </c>
      <c r="T971" s="24">
        <v>8</v>
      </c>
      <c r="U971" s="24">
        <v>353211000000</v>
      </c>
      <c r="V971" s="109">
        <v>0.30792042868677971</v>
      </c>
      <c r="W971" s="109">
        <v>2.5064659934147011</v>
      </c>
      <c r="X971" s="109">
        <v>0.3670246962863557</v>
      </c>
      <c r="Y971" s="109">
        <v>0.17299846267528474</v>
      </c>
      <c r="Z971" s="109">
        <v>0.50903713979443854</v>
      </c>
      <c r="AA971" s="109">
        <v>3.5555262921707795</v>
      </c>
      <c r="AD971" s="111"/>
    </row>
    <row r="972" spans="1:30" ht="15" customHeight="1" x14ac:dyDescent="0.3">
      <c r="A972" s="22" t="s">
        <v>154</v>
      </c>
      <c r="B972" s="23">
        <v>119</v>
      </c>
      <c r="C972" s="3" t="s">
        <v>72</v>
      </c>
      <c r="D972" s="23">
        <v>2019</v>
      </c>
      <c r="E972" s="25">
        <v>6.1678075088155984</v>
      </c>
      <c r="F972" s="25">
        <v>0.54975627463181909</v>
      </c>
      <c r="G972" s="25">
        <v>0.68128241277504686</v>
      </c>
      <c r="H972" s="25">
        <v>2.1375739528744391</v>
      </c>
      <c r="I972" s="25">
        <v>0.17194355337543335</v>
      </c>
      <c r="J972" s="25">
        <v>2.9931812661359591E-2</v>
      </c>
      <c r="K972" s="25">
        <v>9.3913275768599203E-2</v>
      </c>
      <c r="L972" s="25">
        <v>0.98799999999999999</v>
      </c>
      <c r="M972" s="24">
        <v>2</v>
      </c>
      <c r="N972" s="108">
        <v>0</v>
      </c>
      <c r="O972" s="24">
        <v>3</v>
      </c>
      <c r="P972" s="24">
        <v>5</v>
      </c>
      <c r="Q972" s="24">
        <v>3</v>
      </c>
      <c r="R972" s="24">
        <v>5</v>
      </c>
      <c r="S972" s="24">
        <v>5</v>
      </c>
      <c r="T972" s="24">
        <v>9</v>
      </c>
      <c r="U972" s="24">
        <v>399341000000</v>
      </c>
      <c r="V972" s="109">
        <v>-0.21969042193761296</v>
      </c>
      <c r="W972" s="109">
        <v>3.274110897703967</v>
      </c>
      <c r="X972" s="109">
        <v>0.42220543345161149</v>
      </c>
      <c r="Y972" s="109">
        <v>0.22079656233644929</v>
      </c>
      <c r="Z972" s="109">
        <v>0.49121107533521524</v>
      </c>
      <c r="AA972" s="109">
        <v>4.4083239688272435</v>
      </c>
      <c r="AD972" s="111"/>
    </row>
    <row r="973" spans="1:30" ht="15" customHeight="1" x14ac:dyDescent="0.3">
      <c r="A973" s="22" t="s">
        <v>154</v>
      </c>
      <c r="B973" s="23">
        <v>119</v>
      </c>
      <c r="C973" s="3" t="s">
        <v>72</v>
      </c>
      <c r="D973" s="23">
        <v>2020</v>
      </c>
      <c r="E973" s="25">
        <v>4.4706373693810413</v>
      </c>
      <c r="F973" s="25">
        <v>0.72662495951451511</v>
      </c>
      <c r="G973" s="25">
        <v>0.66872267936663887</v>
      </c>
      <c r="H973" s="25">
        <v>2.0186189567342678</v>
      </c>
      <c r="I973" s="25">
        <v>0.13177297243802266</v>
      </c>
      <c r="J973" s="25">
        <v>2.4226379734628805E-2</v>
      </c>
      <c r="K973" s="25">
        <v>7.3130209119993406E-2</v>
      </c>
      <c r="L973" s="25">
        <v>0.98799999999999999</v>
      </c>
      <c r="M973" s="24">
        <v>2</v>
      </c>
      <c r="N973" s="108">
        <v>0</v>
      </c>
      <c r="O973" s="24">
        <v>3</v>
      </c>
      <c r="P973" s="24">
        <v>5</v>
      </c>
      <c r="Q973" s="24">
        <v>3</v>
      </c>
      <c r="R973" s="24">
        <v>4</v>
      </c>
      <c r="S973" s="24">
        <v>5</v>
      </c>
      <c r="T973" s="24">
        <v>8</v>
      </c>
      <c r="U973" s="24">
        <v>439686000000</v>
      </c>
      <c r="V973" s="109">
        <v>0.16282348202597927</v>
      </c>
      <c r="W973" s="109">
        <v>3.0376288533180493</v>
      </c>
      <c r="X973" s="109">
        <v>0.15447123629135337</v>
      </c>
      <c r="Y973" s="109">
        <v>0.1975868233239175</v>
      </c>
      <c r="Z973" s="109">
        <v>0.52015760403771072</v>
      </c>
      <c r="AA973" s="109">
        <v>3.9098445169710305</v>
      </c>
      <c r="AD973" s="111"/>
    </row>
    <row r="974" spans="1:30" ht="15" customHeight="1" x14ac:dyDescent="0.3">
      <c r="A974" s="22" t="s">
        <v>154</v>
      </c>
      <c r="B974" s="23">
        <v>119</v>
      </c>
      <c r="C974" s="3" t="s">
        <v>72</v>
      </c>
      <c r="D974" s="23">
        <v>2021</v>
      </c>
      <c r="E974" s="25">
        <v>11.611554408198389</v>
      </c>
      <c r="F974" s="25">
        <v>0.84432449346788707</v>
      </c>
      <c r="G974" s="25">
        <v>0.67686365539832449</v>
      </c>
      <c r="H974" s="25">
        <v>2.0946689120738879</v>
      </c>
      <c r="I974" s="25">
        <v>0.1121463991388286</v>
      </c>
      <c r="J974" s="25">
        <v>1.3508831225700579E-2</v>
      </c>
      <c r="K974" s="25">
        <v>4.1805360032628573E-2</v>
      </c>
      <c r="L974" s="25">
        <v>0.98770000000000002</v>
      </c>
      <c r="M974" s="24">
        <v>2</v>
      </c>
      <c r="N974" s="108">
        <v>0</v>
      </c>
      <c r="O974" s="24">
        <v>3</v>
      </c>
      <c r="P974" s="24">
        <v>5</v>
      </c>
      <c r="Q974" s="24">
        <v>3</v>
      </c>
      <c r="R974" s="24">
        <v>4</v>
      </c>
      <c r="S974" s="24">
        <v>5</v>
      </c>
      <c r="T974" s="24">
        <v>8</v>
      </c>
      <c r="U974" s="24">
        <v>470433000000</v>
      </c>
      <c r="V974" s="109">
        <v>-0.2989880746202187</v>
      </c>
      <c r="W974" s="109">
        <v>3.7831002501950328</v>
      </c>
      <c r="X974" s="109">
        <v>0.16192137881483654</v>
      </c>
      <c r="Y974" s="109">
        <v>8.6036821396458144E-2</v>
      </c>
      <c r="Z974" s="109">
        <v>0.50127253712875175</v>
      </c>
      <c r="AA974" s="109">
        <v>4.5323309875350786</v>
      </c>
      <c r="AD974" s="111"/>
    </row>
    <row r="975" spans="1:30" ht="15" customHeight="1" x14ac:dyDescent="0.3">
      <c r="A975" s="22" t="s">
        <v>154</v>
      </c>
      <c r="B975" s="23">
        <v>119</v>
      </c>
      <c r="C975" s="3" t="s">
        <v>72</v>
      </c>
      <c r="D975" s="23">
        <v>2022</v>
      </c>
      <c r="E975" s="25">
        <v>4.1501236723410448</v>
      </c>
      <c r="F975" s="25">
        <v>0.76397497453804741</v>
      </c>
      <c r="G975" s="25">
        <v>0.66579522037338912</v>
      </c>
      <c r="H975" s="25">
        <v>1.9921774341984171</v>
      </c>
      <c r="I975" s="25">
        <v>1.7044407591671274E-3</v>
      </c>
      <c r="J975" s="25">
        <v>2.4385850055582163E-4</v>
      </c>
      <c r="K975" s="25">
        <v>7.2966790250059165E-4</v>
      </c>
      <c r="L975" s="25">
        <v>0.98770000000000002</v>
      </c>
      <c r="M975" s="24">
        <v>1</v>
      </c>
      <c r="N975" s="108">
        <v>0</v>
      </c>
      <c r="O975" s="24">
        <v>3</v>
      </c>
      <c r="P975" s="24">
        <v>3</v>
      </c>
      <c r="Q975" s="24">
        <v>3</v>
      </c>
      <c r="R975" s="24">
        <v>3</v>
      </c>
      <c r="S975" s="24">
        <v>3</v>
      </c>
      <c r="T975" s="24">
        <v>5</v>
      </c>
      <c r="U975" s="24">
        <v>455182000000</v>
      </c>
      <c r="V975" s="109">
        <v>0.14924029858647891</v>
      </c>
      <c r="W975" s="109">
        <v>1.5601369122680597</v>
      </c>
      <c r="X975" s="109">
        <v>0.20738201422727612</v>
      </c>
      <c r="Y975" s="109">
        <v>9.4942945898563655E-2</v>
      </c>
      <c r="Z975" s="109">
        <v>0.52706148658012653</v>
      </c>
      <c r="AA975" s="109">
        <v>2.3895233589740261</v>
      </c>
      <c r="AD975" s="111"/>
    </row>
    <row r="976" spans="1:30" ht="15" customHeight="1" x14ac:dyDescent="0.3">
      <c r="A976" s="22" t="s">
        <v>154</v>
      </c>
      <c r="B976" s="23">
        <v>119</v>
      </c>
      <c r="C976" s="3" t="s">
        <v>72</v>
      </c>
      <c r="D976" s="23">
        <v>2023</v>
      </c>
      <c r="E976" s="25">
        <v>4.7075007320848385</v>
      </c>
      <c r="F976" s="25">
        <v>0.41792980352237391</v>
      </c>
      <c r="G976" s="25">
        <v>0.72011544997958743</v>
      </c>
      <c r="H976" s="25">
        <v>2.5729017551239171</v>
      </c>
      <c r="I976" s="25">
        <v>3.8819123154879932E-2</v>
      </c>
      <c r="J976" s="25">
        <v>5.0186561850237834E-3</v>
      </c>
      <c r="K976" s="25">
        <v>1.7931165491834978E-2</v>
      </c>
      <c r="L976" s="25">
        <v>0.98770000000000002</v>
      </c>
      <c r="M976" s="24">
        <v>2</v>
      </c>
      <c r="N976" s="108">
        <v>0</v>
      </c>
      <c r="O976" s="24">
        <v>4</v>
      </c>
      <c r="P976" s="24">
        <v>6</v>
      </c>
      <c r="Q976" s="24">
        <v>4</v>
      </c>
      <c r="R976" s="24">
        <v>3</v>
      </c>
      <c r="S976" s="24">
        <v>6</v>
      </c>
      <c r="T976" s="24">
        <v>5</v>
      </c>
      <c r="U976" s="24">
        <v>526635000000</v>
      </c>
      <c r="V976" s="109">
        <v>4.5467108899944722E-2</v>
      </c>
      <c r="W976" s="109">
        <v>3.3118698149572285</v>
      </c>
      <c r="X976" s="109">
        <v>0.19887402090632031</v>
      </c>
      <c r="Y976" s="109">
        <v>5.8122988407530829E-2</v>
      </c>
      <c r="Z976" s="109">
        <v>0.40809953116512587</v>
      </c>
      <c r="AA976" s="109">
        <v>3.9769663554362058</v>
      </c>
      <c r="AD976" s="111"/>
    </row>
    <row r="977" spans="1:30" ht="15" customHeight="1" x14ac:dyDescent="0.3">
      <c r="A977" s="22" t="s">
        <v>154</v>
      </c>
      <c r="B977" s="23">
        <v>120</v>
      </c>
      <c r="C977" s="2" t="s">
        <v>108</v>
      </c>
      <c r="D977" s="23">
        <v>2015</v>
      </c>
      <c r="E977" s="25">
        <v>5.2905601369767279</v>
      </c>
      <c r="F977" s="25">
        <v>1.1142288070445174</v>
      </c>
      <c r="G977" s="25">
        <v>0.71292555861328899</v>
      </c>
      <c r="H977" s="25">
        <v>2.4834170369521833</v>
      </c>
      <c r="I977" s="25">
        <v>0.25176586015142316</v>
      </c>
      <c r="J977" s="25">
        <v>4.2340954589773321E-2</v>
      </c>
      <c r="K977" s="25">
        <v>0.14749120257883513</v>
      </c>
      <c r="L977" s="25">
        <v>0.9</v>
      </c>
      <c r="M977" s="24">
        <v>2</v>
      </c>
      <c r="N977" s="108">
        <v>0</v>
      </c>
      <c r="O977" s="24">
        <v>4</v>
      </c>
      <c r="P977" s="24">
        <v>0</v>
      </c>
      <c r="Q977" s="24">
        <v>4</v>
      </c>
      <c r="R977" s="24">
        <v>4</v>
      </c>
      <c r="S977" s="24">
        <v>0</v>
      </c>
      <c r="T977" s="24">
        <v>0</v>
      </c>
      <c r="U977" s="24">
        <v>1733310000000</v>
      </c>
      <c r="V977" s="109">
        <v>0.42341422921041066</v>
      </c>
      <c r="W977" s="109">
        <v>3.7176701686368854</v>
      </c>
      <c r="X977" s="109">
        <v>0.36583710934570274</v>
      </c>
      <c r="Y977" s="109">
        <v>0.40293403949668555</v>
      </c>
      <c r="Z977" s="109">
        <v>0.42280454083081859</v>
      </c>
      <c r="AA977" s="109">
        <v>4.9092458583100917</v>
      </c>
      <c r="AD977" s="111"/>
    </row>
    <row r="978" spans="1:30" ht="15" customHeight="1" x14ac:dyDescent="0.3">
      <c r="A978" s="22" t="s">
        <v>154</v>
      </c>
      <c r="B978" s="23">
        <v>120</v>
      </c>
      <c r="C978" s="3" t="s">
        <v>108</v>
      </c>
      <c r="D978" s="23">
        <v>2016</v>
      </c>
      <c r="E978" s="25">
        <v>4.6026979904050593</v>
      </c>
      <c r="F978" s="25">
        <v>0.1515228087401316</v>
      </c>
      <c r="G978" s="25">
        <v>0.72707732932862601</v>
      </c>
      <c r="H978" s="25">
        <v>2.66404153066529</v>
      </c>
      <c r="I978" s="25">
        <v>0.28224357054217125</v>
      </c>
      <c r="J978" s="25">
        <v>5.0926828515008966E-2</v>
      </c>
      <c r="K978" s="25">
        <v>0.18659801470406218</v>
      </c>
      <c r="L978" s="25">
        <v>0.9</v>
      </c>
      <c r="M978" s="24">
        <v>2</v>
      </c>
      <c r="N978" s="108">
        <v>0</v>
      </c>
      <c r="O978" s="24">
        <v>4</v>
      </c>
      <c r="P978" s="24">
        <v>0</v>
      </c>
      <c r="Q978" s="24">
        <v>4</v>
      </c>
      <c r="R978" s="24">
        <v>5</v>
      </c>
      <c r="S978" s="24">
        <v>0</v>
      </c>
      <c r="T978" s="24">
        <v>0</v>
      </c>
      <c r="U978" s="24">
        <v>2072228000000</v>
      </c>
      <c r="V978" s="109">
        <v>0.28268513658615235</v>
      </c>
      <c r="W978" s="109">
        <v>3.1594162804479042</v>
      </c>
      <c r="X978" s="109">
        <v>0.4158780018414962</v>
      </c>
      <c r="Y978" s="109">
        <v>0.44351335856865165</v>
      </c>
      <c r="Z978" s="109">
        <v>0.39413799969469099</v>
      </c>
      <c r="AA978" s="109">
        <v>4.412945640552743</v>
      </c>
      <c r="AD978" s="111"/>
    </row>
    <row r="979" spans="1:30" ht="15" customHeight="1" x14ac:dyDescent="0.3">
      <c r="A979" s="22" t="s">
        <v>154</v>
      </c>
      <c r="B979" s="23">
        <v>120</v>
      </c>
      <c r="C979" s="3" t="s">
        <v>108</v>
      </c>
      <c r="D979" s="23">
        <v>2017</v>
      </c>
      <c r="E979" s="25">
        <v>1.9010516951781209</v>
      </c>
      <c r="F979" s="25">
        <v>0.11936330596311752</v>
      </c>
      <c r="G979" s="25">
        <v>0.70941700659157403</v>
      </c>
      <c r="H979" s="25">
        <v>2.4413614823920908</v>
      </c>
      <c r="I979" s="25">
        <v>0.28521384381714454</v>
      </c>
      <c r="J979" s="25">
        <v>5.6560535406982401E-2</v>
      </c>
      <c r="K979" s="25">
        <v>0.19464533734469536</v>
      </c>
      <c r="L979" s="25">
        <v>0.9</v>
      </c>
      <c r="M979" s="24">
        <v>2</v>
      </c>
      <c r="N979" s="108">
        <v>0</v>
      </c>
      <c r="O979" s="24">
        <v>3</v>
      </c>
      <c r="P979" s="24">
        <v>0</v>
      </c>
      <c r="Q979" s="24">
        <v>3</v>
      </c>
      <c r="R979" s="24">
        <v>5</v>
      </c>
      <c r="S979" s="24">
        <v>0</v>
      </c>
      <c r="T979" s="24">
        <v>0</v>
      </c>
      <c r="U979" s="24">
        <v>2177932000000</v>
      </c>
      <c r="V979" s="109">
        <v>0.15512003081004749</v>
      </c>
      <c r="W979" s="109">
        <v>1.854929538663282</v>
      </c>
      <c r="X979" s="109">
        <v>0.50190449472251653</v>
      </c>
      <c r="Y979" s="109">
        <v>0.49836619325121262</v>
      </c>
      <c r="Z979" s="109">
        <v>0.43008788644080304</v>
      </c>
      <c r="AA979" s="109">
        <v>3.2852881130778142</v>
      </c>
      <c r="AD979" s="111"/>
    </row>
    <row r="980" spans="1:30" ht="15" customHeight="1" x14ac:dyDescent="0.3">
      <c r="A980" s="22" t="s">
        <v>154</v>
      </c>
      <c r="B980" s="23">
        <v>120</v>
      </c>
      <c r="C980" s="3" t="s">
        <v>108</v>
      </c>
      <c r="D980" s="23">
        <v>2018</v>
      </c>
      <c r="E980" s="25">
        <v>2.3414116852170679</v>
      </c>
      <c r="F980" s="25">
        <v>0.15202055147171734</v>
      </c>
      <c r="G980" s="25">
        <v>0.69657039780452257</v>
      </c>
      <c r="H980" s="25">
        <v>2.2956573543400465</v>
      </c>
      <c r="I980" s="25">
        <v>0.2802827955998895</v>
      </c>
      <c r="J980" s="25">
        <v>5.9681123694282232E-2</v>
      </c>
      <c r="K980" s="25">
        <v>0.19668853421833923</v>
      </c>
      <c r="L980" s="25">
        <v>0.9</v>
      </c>
      <c r="M980" s="24">
        <v>2</v>
      </c>
      <c r="N980" s="108">
        <v>0</v>
      </c>
      <c r="O980" s="24">
        <v>3</v>
      </c>
      <c r="P980" s="24">
        <v>0</v>
      </c>
      <c r="Q980" s="24">
        <v>3</v>
      </c>
      <c r="R980" s="24">
        <v>5</v>
      </c>
      <c r="S980" s="24">
        <v>0</v>
      </c>
      <c r="T980" s="24">
        <v>0</v>
      </c>
      <c r="U980" s="24">
        <v>2345549000000</v>
      </c>
      <c r="V980" s="109">
        <v>0.15637271245461953</v>
      </c>
      <c r="W980" s="109">
        <v>2.0766727789528163</v>
      </c>
      <c r="X980" s="109">
        <v>0.56682369884406592</v>
      </c>
      <c r="Y980" s="109">
        <v>0.55357547422799525</v>
      </c>
      <c r="Z980" s="109">
        <v>0.45738533148900751</v>
      </c>
      <c r="AA980" s="109">
        <v>3.6544572835138851</v>
      </c>
      <c r="AD980" s="111"/>
    </row>
    <row r="981" spans="1:30" ht="15" customHeight="1" x14ac:dyDescent="0.3">
      <c r="A981" s="22" t="s">
        <v>154</v>
      </c>
      <c r="B981" s="23">
        <v>120</v>
      </c>
      <c r="C981" s="3" t="s">
        <v>108</v>
      </c>
      <c r="D981" s="23">
        <v>2019</v>
      </c>
      <c r="E981" s="25">
        <v>2.5627812543945998</v>
      </c>
      <c r="F981" s="25">
        <v>0.20332055969624527</v>
      </c>
      <c r="G981" s="25">
        <v>0.67555131069007912</v>
      </c>
      <c r="H981" s="25">
        <v>2.0821539310239876</v>
      </c>
      <c r="I981" s="25">
        <v>0.30397840096950196</v>
      </c>
      <c r="J981" s="25">
        <v>6.8793822589224785E-2</v>
      </c>
      <c r="K981" s="25">
        <v>0.21203323251345851</v>
      </c>
      <c r="L981" s="25">
        <v>0.9</v>
      </c>
      <c r="M981" s="24">
        <v>2</v>
      </c>
      <c r="N981" s="108">
        <v>0</v>
      </c>
      <c r="O981" s="24">
        <v>3</v>
      </c>
      <c r="P981" s="24">
        <v>0</v>
      </c>
      <c r="Q981" s="24">
        <v>3</v>
      </c>
      <c r="R981" s="24">
        <v>5</v>
      </c>
      <c r="S981" s="24">
        <v>0</v>
      </c>
      <c r="T981" s="24">
        <v>0</v>
      </c>
      <c r="U981" s="24">
        <v>2592413000000</v>
      </c>
      <c r="V981" s="109">
        <v>0.17469696180937927</v>
      </c>
      <c r="W981" s="109">
        <v>1.799734718194979</v>
      </c>
      <c r="X981" s="109">
        <v>0.68068946576027811</v>
      </c>
      <c r="Y981" s="109">
        <v>0.62862428170202822</v>
      </c>
      <c r="Z981" s="109">
        <v>0.50428548262213158</v>
      </c>
      <c r="AA981" s="109">
        <v>3.6133339482794167</v>
      </c>
      <c r="AD981" s="111"/>
    </row>
    <row r="982" spans="1:30" ht="15" customHeight="1" x14ac:dyDescent="0.3">
      <c r="A982" s="22" t="s">
        <v>154</v>
      </c>
      <c r="B982" s="23">
        <v>120</v>
      </c>
      <c r="C982" s="3" t="s">
        <v>108</v>
      </c>
      <c r="D982" s="23">
        <v>2020</v>
      </c>
      <c r="E982" s="25">
        <v>2.9125071288123188</v>
      </c>
      <c r="F982" s="25">
        <v>0.15911934695823154</v>
      </c>
      <c r="G982" s="25">
        <v>0.65876858954667061</v>
      </c>
      <c r="H982" s="25">
        <v>1.9305625723947566</v>
      </c>
      <c r="I982" s="25">
        <v>0.26789147986826728</v>
      </c>
      <c r="J982" s="25">
        <v>6.8325400596707983E-2</v>
      </c>
      <c r="K982" s="25">
        <v>0.20023186173259078</v>
      </c>
      <c r="L982" s="25">
        <v>0.9</v>
      </c>
      <c r="M982" s="24">
        <v>2</v>
      </c>
      <c r="N982" s="108">
        <v>0</v>
      </c>
      <c r="O982" s="24">
        <v>3</v>
      </c>
      <c r="P982" s="24">
        <v>0</v>
      </c>
      <c r="Q982" s="24">
        <v>3</v>
      </c>
      <c r="R982" s="24">
        <v>5</v>
      </c>
      <c r="S982" s="24">
        <v>0</v>
      </c>
      <c r="T982" s="24">
        <v>0</v>
      </c>
      <c r="U982" s="24">
        <v>2952533000000</v>
      </c>
      <c r="V982" s="109">
        <v>0.28353329594864773</v>
      </c>
      <c r="W982" s="109">
        <v>1.9968239067946065</v>
      </c>
      <c r="X982" s="109">
        <v>0.78102322988430606</v>
      </c>
      <c r="Y982" s="109">
        <v>0.64507409739366162</v>
      </c>
      <c r="Z982" s="109">
        <v>0.54388291527766064</v>
      </c>
      <c r="AA982" s="109">
        <v>3.9668041493502351</v>
      </c>
      <c r="AD982" s="111"/>
    </row>
    <row r="983" spans="1:30" ht="15" customHeight="1" x14ac:dyDescent="0.3">
      <c r="A983" s="22" t="s">
        <v>154</v>
      </c>
      <c r="B983" s="23">
        <v>120</v>
      </c>
      <c r="C983" s="3" t="s">
        <v>108</v>
      </c>
      <c r="D983" s="23">
        <v>2021</v>
      </c>
      <c r="E983" s="25">
        <v>2.6438847967781252</v>
      </c>
      <c r="F983" s="25">
        <v>0.25010598272481588</v>
      </c>
      <c r="G983" s="25">
        <v>0.6619691136857041</v>
      </c>
      <c r="H983" s="25">
        <v>1.958309552430116</v>
      </c>
      <c r="I983" s="25">
        <v>0.31544649142291342</v>
      </c>
      <c r="J983" s="25">
        <v>7.6915615148968414E-2</v>
      </c>
      <c r="K983" s="25">
        <v>0.22754019902623179</v>
      </c>
      <c r="L983" s="25">
        <v>0.9</v>
      </c>
      <c r="M983" s="24">
        <v>2</v>
      </c>
      <c r="N983" s="108">
        <v>0</v>
      </c>
      <c r="O983" s="24">
        <v>3</v>
      </c>
      <c r="P983" s="24">
        <v>0</v>
      </c>
      <c r="Q983" s="24">
        <v>3</v>
      </c>
      <c r="R983" s="24">
        <v>5</v>
      </c>
      <c r="S983" s="24">
        <v>0</v>
      </c>
      <c r="T983" s="24">
        <v>0</v>
      </c>
      <c r="U983" s="24">
        <v>3711223000000</v>
      </c>
      <c r="V983" s="109">
        <v>0.20167720174227133</v>
      </c>
      <c r="W983" s="109">
        <v>1.7547007442021134</v>
      </c>
      <c r="X983" s="109">
        <v>0.83666109527775623</v>
      </c>
      <c r="Y983" s="109">
        <v>0.71207982920993962</v>
      </c>
      <c r="Z983" s="109">
        <v>0.5361767237958005</v>
      </c>
      <c r="AA983" s="109">
        <v>3.8396183924856095</v>
      </c>
      <c r="AD983" s="111"/>
    </row>
    <row r="984" spans="1:30" ht="15" customHeight="1" x14ac:dyDescent="0.3">
      <c r="A984" s="22" t="s">
        <v>154</v>
      </c>
      <c r="B984" s="23">
        <v>120</v>
      </c>
      <c r="C984" s="3" t="s">
        <v>108</v>
      </c>
      <c r="D984" s="23">
        <v>2022</v>
      </c>
      <c r="E984" s="25">
        <v>3.4680952698739405</v>
      </c>
      <c r="F984" s="25">
        <v>0.34662126326363596</v>
      </c>
      <c r="G984" s="25">
        <v>0.67055143473644785</v>
      </c>
      <c r="H984" s="25">
        <v>2.0353751858048628</v>
      </c>
      <c r="I984" s="25">
        <v>0.32518298170404619</v>
      </c>
      <c r="J984" s="25">
        <v>7.7783588917435587E-2</v>
      </c>
      <c r="K984" s="25">
        <v>0.23610237566283007</v>
      </c>
      <c r="L984" s="25">
        <v>0.9</v>
      </c>
      <c r="M984" s="24">
        <v>2</v>
      </c>
      <c r="N984" s="108">
        <v>0</v>
      </c>
      <c r="O984" s="24">
        <v>3</v>
      </c>
      <c r="P984" s="24">
        <v>0</v>
      </c>
      <c r="Q984" s="24">
        <v>3</v>
      </c>
      <c r="R984" s="24">
        <v>5</v>
      </c>
      <c r="S984" s="24">
        <v>0</v>
      </c>
      <c r="T984" s="24">
        <v>0</v>
      </c>
      <c r="U984" s="24">
        <v>4715082000000</v>
      </c>
      <c r="V984" s="109">
        <v>0.2463601392844158</v>
      </c>
      <c r="W984" s="109">
        <v>1.9552606041634057</v>
      </c>
      <c r="X984" s="109">
        <v>0.86276767615070105</v>
      </c>
      <c r="Y984" s="109">
        <v>0.70631743838177152</v>
      </c>
      <c r="Z984" s="109">
        <v>0.51587540583324509</v>
      </c>
      <c r="AA984" s="109">
        <v>4.0402211245291237</v>
      </c>
      <c r="AD984" s="111"/>
    </row>
    <row r="985" spans="1:30" ht="15" customHeight="1" x14ac:dyDescent="0.3">
      <c r="A985" s="22" t="s">
        <v>154</v>
      </c>
      <c r="B985" s="23">
        <v>120</v>
      </c>
      <c r="C985" s="3" t="s">
        <v>108</v>
      </c>
      <c r="D985" s="23">
        <v>2023</v>
      </c>
      <c r="E985" s="25">
        <v>4.0183923477093471</v>
      </c>
      <c r="F985" s="25">
        <v>0.48326771399434598</v>
      </c>
      <c r="G985" s="25">
        <v>0.68894263605756478</v>
      </c>
      <c r="H985" s="25">
        <v>2.2148411062374391</v>
      </c>
      <c r="I985" s="25">
        <v>0.34583114285651789</v>
      </c>
      <c r="J985" s="25">
        <v>7.6222127584350471E-2</v>
      </c>
      <c r="K985" s="25">
        <v>0.24504202896304447</v>
      </c>
      <c r="L985" s="25">
        <v>0.9</v>
      </c>
      <c r="M985" s="24">
        <v>1</v>
      </c>
      <c r="N985" s="108">
        <v>0</v>
      </c>
      <c r="O985" s="24">
        <v>2</v>
      </c>
      <c r="P985" s="24">
        <v>0</v>
      </c>
      <c r="Q985" s="24">
        <v>2</v>
      </c>
      <c r="R985" s="24">
        <v>4</v>
      </c>
      <c r="S985" s="24">
        <v>0</v>
      </c>
      <c r="T985" s="24">
        <v>0</v>
      </c>
      <c r="U985" s="24">
        <v>6222550000000</v>
      </c>
      <c r="V985" s="109">
        <v>0.21600663211700188</v>
      </c>
      <c r="W985" s="109">
        <v>2.4650621497617533</v>
      </c>
      <c r="X985" s="109">
        <v>0.85420272396364827</v>
      </c>
      <c r="Y985" s="109">
        <v>0.6759655511004331</v>
      </c>
      <c r="Z985" s="109">
        <v>0.47407463995633292</v>
      </c>
      <c r="AA985" s="109">
        <v>4.4693050647821675</v>
      </c>
      <c r="AD985" s="111"/>
    </row>
    <row r="986" spans="1:30" ht="15" customHeight="1" x14ac:dyDescent="0.3">
      <c r="A986" s="22" t="s">
        <v>154</v>
      </c>
      <c r="B986" s="23">
        <v>120</v>
      </c>
      <c r="C986" s="3" t="s">
        <v>108</v>
      </c>
      <c r="D986" s="23">
        <v>2024</v>
      </c>
      <c r="E986" s="25">
        <v>4.2187904997863361</v>
      </c>
      <c r="F986" s="25">
        <v>0.58255126178361349</v>
      </c>
      <c r="G986" s="25">
        <v>0.66153589269968749</v>
      </c>
      <c r="H986" s="25">
        <v>1.9545230304515566</v>
      </c>
      <c r="I986" s="25">
        <v>0.4336428939205566</v>
      </c>
      <c r="J986" s="25">
        <v>9.3296472852388179E-2</v>
      </c>
      <c r="K986" s="25">
        <v>0.27564657770227929</v>
      </c>
      <c r="L986" s="25">
        <v>0.9</v>
      </c>
      <c r="M986" s="24">
        <v>3</v>
      </c>
      <c r="N986" s="108">
        <v>0</v>
      </c>
      <c r="O986" s="24">
        <v>4</v>
      </c>
      <c r="P986" s="24">
        <v>0</v>
      </c>
      <c r="Q986" s="24">
        <v>4</v>
      </c>
      <c r="R986" s="24">
        <v>5</v>
      </c>
      <c r="S986" s="24">
        <v>0</v>
      </c>
      <c r="T986" s="24">
        <v>0</v>
      </c>
      <c r="U986" s="24">
        <v>7402327000000</v>
      </c>
      <c r="V986" s="109">
        <v>0.16122371154391613</v>
      </c>
      <c r="W986" s="109">
        <v>2.4431411149493933</v>
      </c>
      <c r="X986" s="109">
        <v>0.96998728102662857</v>
      </c>
      <c r="Y986" s="109">
        <v>0.82082236031993727</v>
      </c>
      <c r="Z986" s="109">
        <v>0.53721546568700029</v>
      </c>
      <c r="AA986" s="109">
        <v>4.7711662219829591</v>
      </c>
      <c r="AD986" s="111"/>
    </row>
    <row r="987" spans="1:30" ht="15" customHeight="1" x14ac:dyDescent="0.3">
      <c r="A987" s="22" t="s">
        <v>154</v>
      </c>
      <c r="B987" s="23">
        <v>121</v>
      </c>
      <c r="C987" s="2" t="s">
        <v>77</v>
      </c>
      <c r="D987" s="23">
        <v>2015</v>
      </c>
      <c r="E987" s="25">
        <v>3.8471115588013096</v>
      </c>
      <c r="F987" s="25">
        <v>0.6517149332661798</v>
      </c>
      <c r="G987" s="25">
        <v>0.69069037007128109</v>
      </c>
      <c r="H987" s="25">
        <v>2.2330063575144816</v>
      </c>
      <c r="I987" s="25">
        <v>0.26015914137675794</v>
      </c>
      <c r="J987" s="25">
        <v>2.7291398133337474E-2</v>
      </c>
      <c r="K987" s="25">
        <v>8.8233263670538908E-2</v>
      </c>
      <c r="L987" s="25">
        <v>0.55000000000000004</v>
      </c>
      <c r="M987" s="24">
        <v>2</v>
      </c>
      <c r="N987" s="108">
        <v>0</v>
      </c>
      <c r="O987" s="24">
        <v>4</v>
      </c>
      <c r="P987" s="24">
        <v>0</v>
      </c>
      <c r="Q987" s="24">
        <v>4</v>
      </c>
      <c r="R987" s="24">
        <v>3</v>
      </c>
      <c r="S987" s="24">
        <v>0</v>
      </c>
      <c r="T987" s="24">
        <v>0</v>
      </c>
      <c r="U987" s="24">
        <v>515144000000</v>
      </c>
      <c r="V987" s="109">
        <v>0.31468191217613428</v>
      </c>
      <c r="W987" s="109">
        <v>3.5993126582081905</v>
      </c>
      <c r="X987" s="109">
        <v>0.37551663224263504</v>
      </c>
      <c r="Y987" s="109">
        <v>0.22115012501358844</v>
      </c>
      <c r="Z987" s="109">
        <v>0.47021809699132949</v>
      </c>
      <c r="AA987" s="109">
        <v>4.6661975124557431</v>
      </c>
      <c r="AD987" s="111"/>
    </row>
    <row r="988" spans="1:30" ht="15" customHeight="1" x14ac:dyDescent="0.3">
      <c r="A988" s="22" t="s">
        <v>154</v>
      </c>
      <c r="B988" s="23">
        <v>121</v>
      </c>
      <c r="C988" s="2" t="s">
        <v>77</v>
      </c>
      <c r="D988" s="23">
        <v>2016</v>
      </c>
      <c r="E988" s="25">
        <v>2.9565597233142675</v>
      </c>
      <c r="F988" s="25">
        <v>0.35061077450421146</v>
      </c>
      <c r="G988" s="25">
        <v>0.77624166866998168</v>
      </c>
      <c r="H988" s="25">
        <v>3.4691073358297104</v>
      </c>
      <c r="I988" s="25">
        <v>7.93664427685489E-2</v>
      </c>
      <c r="J988" s="25">
        <v>6.4949579725609111E-3</v>
      </c>
      <c r="K988" s="25">
        <v>2.902666432107763E-2</v>
      </c>
      <c r="L988" s="25">
        <v>0.55000000000000004</v>
      </c>
      <c r="M988" s="24">
        <v>2</v>
      </c>
      <c r="N988" s="108">
        <v>0</v>
      </c>
      <c r="O988" s="24">
        <v>4</v>
      </c>
      <c r="P988" s="24">
        <v>0</v>
      </c>
      <c r="Q988" s="24">
        <v>4</v>
      </c>
      <c r="R988" s="24">
        <v>3</v>
      </c>
      <c r="S988" s="24">
        <v>0</v>
      </c>
      <c r="T988" s="24">
        <v>0</v>
      </c>
      <c r="U988" s="24">
        <v>711321000000</v>
      </c>
      <c r="V988" s="109">
        <v>7.7183567727609176E-2</v>
      </c>
      <c r="W988" s="109">
        <v>3.5111517866054847</v>
      </c>
      <c r="X988" s="109">
        <v>0.27114993090320683</v>
      </c>
      <c r="Y988" s="109">
        <v>5.9923663156296526E-2</v>
      </c>
      <c r="Z988" s="109">
        <v>0.30267152277341408</v>
      </c>
      <c r="AA988" s="109">
        <v>4.1448969034384024</v>
      </c>
      <c r="AD988" s="111"/>
    </row>
    <row r="989" spans="1:30" ht="15" customHeight="1" x14ac:dyDescent="0.3">
      <c r="A989" s="22" t="s">
        <v>154</v>
      </c>
      <c r="B989" s="23">
        <v>121</v>
      </c>
      <c r="C989" s="2" t="s">
        <v>77</v>
      </c>
      <c r="D989" s="23">
        <v>2017</v>
      </c>
      <c r="E989" s="25">
        <v>3.4136175315643844</v>
      </c>
      <c r="F989" s="25">
        <v>0.5297951079504406</v>
      </c>
      <c r="G989" s="25">
        <v>0.8024502839650951</v>
      </c>
      <c r="H989" s="25">
        <v>4.0620168941336825</v>
      </c>
      <c r="I989" s="25">
        <v>0.13043782445044566</v>
      </c>
      <c r="J989" s="25">
        <v>1.1009035628791663E-2</v>
      </c>
      <c r="K989" s="25">
        <v>5.572792434106303E-2</v>
      </c>
      <c r="L989" s="25">
        <v>0.55000000000000004</v>
      </c>
      <c r="M989" s="24">
        <v>2</v>
      </c>
      <c r="N989" s="108">
        <v>0</v>
      </c>
      <c r="O989" s="24">
        <v>4</v>
      </c>
      <c r="P989" s="24">
        <v>0</v>
      </c>
      <c r="Q989" s="24">
        <v>4</v>
      </c>
      <c r="R989" s="24">
        <v>3</v>
      </c>
      <c r="S989" s="24">
        <v>0</v>
      </c>
      <c r="T989" s="24">
        <v>0</v>
      </c>
      <c r="U989" s="24">
        <v>846759000000</v>
      </c>
      <c r="V989" s="109">
        <v>0.22772328254110047</v>
      </c>
      <c r="W989" s="109">
        <v>3.8046898350061822</v>
      </c>
      <c r="X989" s="109">
        <v>0.26041608060853205</v>
      </c>
      <c r="Y989" s="109">
        <v>9.7178063652113525E-2</v>
      </c>
      <c r="Z989" s="109">
        <v>0.25849227794113749</v>
      </c>
      <c r="AA989" s="109">
        <v>4.4207762572079643</v>
      </c>
      <c r="AD989" s="111"/>
    </row>
    <row r="990" spans="1:30" ht="15" customHeight="1" x14ac:dyDescent="0.3">
      <c r="A990" s="22" t="s">
        <v>154</v>
      </c>
      <c r="B990" s="23">
        <v>121</v>
      </c>
      <c r="C990" s="2" t="s">
        <v>77</v>
      </c>
      <c r="D990" s="23">
        <v>2018</v>
      </c>
      <c r="E990" s="25">
        <v>0.95263887415838</v>
      </c>
      <c r="F990" s="25">
        <v>0.26360580914380594</v>
      </c>
      <c r="G990" s="25">
        <v>0.81773642926015688</v>
      </c>
      <c r="H990" s="25">
        <v>4.4865599084929944</v>
      </c>
      <c r="I990" s="25">
        <v>0.18086816720257234</v>
      </c>
      <c r="J990" s="25">
        <v>1.7590493315612542E-2</v>
      </c>
      <c r="K990" s="25">
        <v>9.6511295396053756E-2</v>
      </c>
      <c r="L990" s="25">
        <v>0.55000000000000004</v>
      </c>
      <c r="M990" s="24">
        <v>2</v>
      </c>
      <c r="N990" s="108">
        <v>0</v>
      </c>
      <c r="O990" s="24">
        <v>4</v>
      </c>
      <c r="P990" s="24">
        <v>0</v>
      </c>
      <c r="Q990" s="24">
        <v>4</v>
      </c>
      <c r="R990" s="24">
        <v>2</v>
      </c>
      <c r="S990" s="24">
        <v>0</v>
      </c>
      <c r="T990" s="24">
        <v>0</v>
      </c>
      <c r="U990" s="24">
        <v>997698000000</v>
      </c>
      <c r="V990" s="109">
        <v>0.35771754795919797</v>
      </c>
      <c r="W990" s="109">
        <v>-8.5148010720678999E-2</v>
      </c>
      <c r="X990" s="109">
        <v>0.26788451014234771</v>
      </c>
      <c r="Y990" s="109">
        <v>0.14824173246814165</v>
      </c>
      <c r="Z990" s="109">
        <v>0.23403231460530929</v>
      </c>
      <c r="AA990" s="109">
        <v>0.56501054649511961</v>
      </c>
      <c r="AD990" s="111"/>
    </row>
    <row r="991" spans="1:30" ht="15" customHeight="1" x14ac:dyDescent="0.3">
      <c r="A991" s="22" t="s">
        <v>154</v>
      </c>
      <c r="B991" s="23">
        <v>121</v>
      </c>
      <c r="C991" s="2" t="s">
        <v>77</v>
      </c>
      <c r="D991" s="23">
        <v>2019</v>
      </c>
      <c r="E991" s="25">
        <v>3.5154486359067803</v>
      </c>
      <c r="F991" s="25">
        <v>0.27242456452417624</v>
      </c>
      <c r="G991" s="25">
        <v>0.84230585620485365</v>
      </c>
      <c r="H991" s="25">
        <v>5.3413895781637715</v>
      </c>
      <c r="I991" s="25">
        <v>0.14619778650481971</v>
      </c>
      <c r="J991" s="25">
        <v>1.5382809381823305E-2</v>
      </c>
      <c r="K991" s="25">
        <v>9.75483870967742E-2</v>
      </c>
      <c r="L991" s="25">
        <v>0.55000000000000004</v>
      </c>
      <c r="M991" s="24">
        <v>2</v>
      </c>
      <c r="N991" s="108">
        <v>0</v>
      </c>
      <c r="O991" s="24">
        <v>4</v>
      </c>
      <c r="P991" s="24">
        <v>0</v>
      </c>
      <c r="Q991" s="24">
        <v>4</v>
      </c>
      <c r="R991" s="24">
        <v>3</v>
      </c>
      <c r="S991" s="24">
        <v>0</v>
      </c>
      <c r="T991" s="24">
        <v>0</v>
      </c>
      <c r="U991" s="24">
        <v>1277790000000</v>
      </c>
      <c r="V991" s="109">
        <v>0.38560474894880037</v>
      </c>
      <c r="W991" s="109">
        <v>3.5719269050469951</v>
      </c>
      <c r="X991" s="109">
        <v>0.26060814374819019</v>
      </c>
      <c r="Y991" s="109">
        <v>0.13560012208578875</v>
      </c>
      <c r="Z991" s="109">
        <v>0.19657805981659218</v>
      </c>
      <c r="AA991" s="109">
        <v>4.1647132306975658</v>
      </c>
      <c r="AD991" s="111"/>
    </row>
    <row r="992" spans="1:30" ht="15" customHeight="1" x14ac:dyDescent="0.3">
      <c r="A992" s="22" t="s">
        <v>154</v>
      </c>
      <c r="B992" s="23">
        <v>121</v>
      </c>
      <c r="C992" s="2" t="s">
        <v>77</v>
      </c>
      <c r="D992" s="23">
        <v>2020</v>
      </c>
      <c r="E992" s="25">
        <v>4.1790881320681139</v>
      </c>
      <c r="F992" s="25">
        <v>0.34640582347588716</v>
      </c>
      <c r="G992" s="25">
        <v>0.8603886430242802</v>
      </c>
      <c r="H992" s="25">
        <v>6.1627127219207063</v>
      </c>
      <c r="I992" s="25">
        <v>0.16452024449536334</v>
      </c>
      <c r="J992" s="25">
        <v>1.6644020866670606E-2</v>
      </c>
      <c r="K992" s="25">
        <v>0.11921626345322417</v>
      </c>
      <c r="L992" s="25">
        <v>0.55000000000000004</v>
      </c>
      <c r="M992" s="24">
        <v>2</v>
      </c>
      <c r="N992" s="108">
        <v>0</v>
      </c>
      <c r="O992" s="24">
        <v>4</v>
      </c>
      <c r="P992" s="24">
        <v>0</v>
      </c>
      <c r="Q992" s="24">
        <v>4</v>
      </c>
      <c r="R992" s="24">
        <v>3</v>
      </c>
      <c r="S992" s="24">
        <v>0</v>
      </c>
      <c r="T992" s="24">
        <v>0</v>
      </c>
      <c r="U992" s="24">
        <v>1557316000000</v>
      </c>
      <c r="V992" s="109">
        <v>0.17182107580625966</v>
      </c>
      <c r="W992" s="109">
        <v>4.1208365161598541</v>
      </c>
      <c r="X992" s="109">
        <v>0.24369050340457554</v>
      </c>
      <c r="Y992" s="109">
        <v>0.16136809741889249</v>
      </c>
      <c r="Z992" s="109">
        <v>0.17037951424624431</v>
      </c>
      <c r="AA992" s="109">
        <v>4.6962746312295671</v>
      </c>
      <c r="AD992" s="111"/>
    </row>
    <row r="993" spans="1:30" ht="15" customHeight="1" x14ac:dyDescent="0.3">
      <c r="A993" s="22" t="s">
        <v>154</v>
      </c>
      <c r="B993" s="23">
        <v>121</v>
      </c>
      <c r="C993" s="2" t="s">
        <v>77</v>
      </c>
      <c r="D993" s="23">
        <v>2021</v>
      </c>
      <c r="E993" s="25">
        <v>4.7910762405822078</v>
      </c>
      <c r="F993" s="25">
        <v>0.39756191453868855</v>
      </c>
      <c r="G993" s="25">
        <v>0.83906626354527014</v>
      </c>
      <c r="H993" s="25">
        <v>5.21373754210508</v>
      </c>
      <c r="I993" s="25">
        <v>0.20266378452474315</v>
      </c>
      <c r="J993" s="25">
        <v>1.9095485499862459E-2</v>
      </c>
      <c r="K993" s="25">
        <v>0.11865433513521856</v>
      </c>
      <c r="L993" s="25">
        <v>0.55000000000000004</v>
      </c>
      <c r="M993" s="24">
        <v>2</v>
      </c>
      <c r="N993" s="108">
        <v>0</v>
      </c>
      <c r="O993" s="24">
        <v>4</v>
      </c>
      <c r="P993" s="24">
        <v>0</v>
      </c>
      <c r="Q993" s="24">
        <v>4</v>
      </c>
      <c r="R993" s="24">
        <v>3</v>
      </c>
      <c r="S993" s="24">
        <v>0</v>
      </c>
      <c r="T993" s="24">
        <v>0</v>
      </c>
      <c r="U993" s="24">
        <v>1610433000000</v>
      </c>
      <c r="V993" s="109">
        <v>-3.6877415915048652E-2</v>
      </c>
      <c r="W993" s="109">
        <v>4.2120781181210267</v>
      </c>
      <c r="X993" s="109">
        <v>0.27767934462346461</v>
      </c>
      <c r="Y993" s="109">
        <v>0.16252185592322063</v>
      </c>
      <c r="Z993" s="109">
        <v>0.20139103503396832</v>
      </c>
      <c r="AA993" s="109">
        <v>4.8536703537016805</v>
      </c>
      <c r="AD993" s="111"/>
    </row>
    <row r="994" spans="1:30" ht="15" customHeight="1" x14ac:dyDescent="0.3">
      <c r="A994" s="22" t="s">
        <v>154</v>
      </c>
      <c r="B994" s="23">
        <v>121</v>
      </c>
      <c r="C994" s="2" t="s">
        <v>77</v>
      </c>
      <c r="D994" s="23">
        <v>2022</v>
      </c>
      <c r="E994" s="25">
        <v>2.7481966419766364</v>
      </c>
      <c r="F994" s="25">
        <v>0.12501310677653954</v>
      </c>
      <c r="G994" s="25">
        <v>0.79724009105354454</v>
      </c>
      <c r="H994" s="25">
        <v>3.9319414532982373</v>
      </c>
      <c r="I994" s="25">
        <v>0.28210969419338866</v>
      </c>
      <c r="J994" s="25">
        <v>3.838710155650886E-2</v>
      </c>
      <c r="K994" s="25">
        <v>0.18932293743851533</v>
      </c>
      <c r="L994" s="25">
        <v>0.55000000000000004</v>
      </c>
      <c r="M994" s="24">
        <v>2</v>
      </c>
      <c r="N994" s="108">
        <v>0</v>
      </c>
      <c r="O994" s="24">
        <v>4</v>
      </c>
      <c r="P994" s="24">
        <v>0</v>
      </c>
      <c r="Q994" s="24">
        <v>4</v>
      </c>
      <c r="R994" s="24">
        <v>3</v>
      </c>
      <c r="S994" s="24">
        <v>0</v>
      </c>
      <c r="T994" s="24">
        <v>0</v>
      </c>
      <c r="U994" s="24">
        <v>1483962000000</v>
      </c>
      <c r="V994" s="109">
        <v>0.33073896625126037</v>
      </c>
      <c r="W994" s="109">
        <v>2.874418940646728</v>
      </c>
      <c r="X994" s="109">
        <v>0.39298504948239915</v>
      </c>
      <c r="Y994" s="109">
        <v>0.31887307087378247</v>
      </c>
      <c r="Z994" s="109">
        <v>0.2670436506930251</v>
      </c>
      <c r="AA994" s="109">
        <v>3.8533207116959343</v>
      </c>
      <c r="AD994" s="111"/>
    </row>
    <row r="995" spans="1:30" ht="15" customHeight="1" x14ac:dyDescent="0.3">
      <c r="A995" s="22" t="s">
        <v>154</v>
      </c>
      <c r="B995" s="23">
        <v>121</v>
      </c>
      <c r="C995" s="2" t="s">
        <v>77</v>
      </c>
      <c r="D995" s="23">
        <v>2023</v>
      </c>
      <c r="E995" s="25">
        <v>2.5305997030690972</v>
      </c>
      <c r="F995" s="25">
        <v>2.4834497529632245E-2</v>
      </c>
      <c r="G995" s="25">
        <v>0.82687616632588368</v>
      </c>
      <c r="H995" s="25">
        <v>4.7762121989648954</v>
      </c>
      <c r="I995" s="25">
        <v>0.20638219888000667</v>
      </c>
      <c r="J995" s="25">
        <v>1.9859014080734306E-2</v>
      </c>
      <c r="K995" s="25">
        <v>0.11470987939255313</v>
      </c>
      <c r="L995" s="25">
        <v>0.55000000000000004</v>
      </c>
      <c r="M995" s="24">
        <v>3</v>
      </c>
      <c r="N995" s="108">
        <v>0</v>
      </c>
      <c r="O995" s="24">
        <v>5</v>
      </c>
      <c r="P995" s="24">
        <v>0</v>
      </c>
      <c r="Q995" s="24">
        <v>5</v>
      </c>
      <c r="R995" s="24">
        <v>3</v>
      </c>
      <c r="S995" s="24">
        <v>0</v>
      </c>
      <c r="T995" s="24">
        <v>0</v>
      </c>
      <c r="U995" s="24">
        <v>2239940000000</v>
      </c>
      <c r="V995" s="109">
        <v>6.7411167512690356E-2</v>
      </c>
      <c r="W995" s="109">
        <v>2.9468192183719202</v>
      </c>
      <c r="X995" s="109">
        <v>0.31405556398832107</v>
      </c>
      <c r="Y995" s="109">
        <v>0.16538843004723341</v>
      </c>
      <c r="Z995" s="109">
        <v>0.21983947870397316</v>
      </c>
      <c r="AA995" s="109">
        <v>3.646102691111448</v>
      </c>
      <c r="AD995" s="111"/>
    </row>
    <row r="996" spans="1:30" ht="15" customHeight="1" x14ac:dyDescent="0.3">
      <c r="A996" s="22" t="s">
        <v>154</v>
      </c>
      <c r="B996" s="23">
        <v>121</v>
      </c>
      <c r="C996" s="2" t="s">
        <v>77</v>
      </c>
      <c r="D996" s="23">
        <v>2024</v>
      </c>
      <c r="E996" s="25">
        <v>3.4730356381673277</v>
      </c>
      <c r="F996" s="25">
        <v>1.7513379920861483E-2</v>
      </c>
      <c r="G996" s="25">
        <v>0.8044024241701444</v>
      </c>
      <c r="H996" s="25">
        <v>4.112537799905402</v>
      </c>
      <c r="I996" s="25">
        <v>0</v>
      </c>
      <c r="J996" s="25">
        <v>0</v>
      </c>
      <c r="K996" s="25">
        <v>0</v>
      </c>
      <c r="L996" s="25">
        <v>0.55000000000000004</v>
      </c>
      <c r="M996" s="24">
        <v>3</v>
      </c>
      <c r="N996" s="108">
        <v>0</v>
      </c>
      <c r="O996" s="24">
        <v>5</v>
      </c>
      <c r="P996" s="24">
        <v>0</v>
      </c>
      <c r="Q996" s="24">
        <v>5</v>
      </c>
      <c r="R996" s="24">
        <v>3</v>
      </c>
      <c r="S996" s="24">
        <v>0</v>
      </c>
      <c r="T996" s="24">
        <v>0</v>
      </c>
      <c r="U996" s="24">
        <v>2280698000000</v>
      </c>
      <c r="V996" s="109">
        <v>6.2615699392679677E-2</v>
      </c>
      <c r="W996" s="109">
        <v>3.3041063744520311</v>
      </c>
      <c r="X996" s="109">
        <v>0.3917935386447482</v>
      </c>
      <c r="Y996" s="109">
        <v>0.24363446629058294</v>
      </c>
      <c r="Z996" s="109">
        <v>0.25531680220037184</v>
      </c>
      <c r="AA996" s="109">
        <v>4.1948511815877341</v>
      </c>
      <c r="AD996" s="111"/>
    </row>
    <row r="997" spans="1:30" ht="15" customHeight="1" x14ac:dyDescent="0.3">
      <c r="A997" s="22" t="s">
        <v>154</v>
      </c>
      <c r="B997" s="23">
        <v>123</v>
      </c>
      <c r="C997" s="3" t="s">
        <v>78</v>
      </c>
      <c r="D997" s="23">
        <v>2019</v>
      </c>
      <c r="E997" s="25">
        <v>2.9680396974971286</v>
      </c>
      <c r="F997" s="25">
        <v>3.0722721726933036E-2</v>
      </c>
      <c r="G997" s="25">
        <v>0.67446487180372894</v>
      </c>
      <c r="H997" s="25">
        <v>2.0718651026720587</v>
      </c>
      <c r="I997" s="25">
        <v>9.9374065030457953E-3</v>
      </c>
      <c r="J997" s="25">
        <v>1.4708791330728802E-3</v>
      </c>
      <c r="K997" s="25">
        <v>4.5183422791351116E-3</v>
      </c>
      <c r="L997" s="25">
        <v>0.99990000000000001</v>
      </c>
      <c r="M997" s="24">
        <v>2</v>
      </c>
      <c r="N997" s="108">
        <v>0</v>
      </c>
      <c r="O997" s="24">
        <v>3</v>
      </c>
      <c r="P997" s="24">
        <v>0</v>
      </c>
      <c r="Q997" s="24">
        <v>3</v>
      </c>
      <c r="R997" s="24">
        <v>2</v>
      </c>
      <c r="S997" s="24">
        <v>0</v>
      </c>
      <c r="T997" s="24">
        <v>0</v>
      </c>
      <c r="U997" s="24">
        <v>348268361065</v>
      </c>
      <c r="V997" s="109">
        <v>0</v>
      </c>
      <c r="W997" s="109">
        <v>3.9821853057827377</v>
      </c>
      <c r="X997" s="109">
        <v>0.33673426028864067</v>
      </c>
      <c r="Y997" s="109">
        <v>-8.4863106542382404E-3</v>
      </c>
      <c r="Z997" s="109">
        <v>0.50678975124675263</v>
      </c>
      <c r="AA997" s="109">
        <v>4.8172230066638928</v>
      </c>
      <c r="AD997" s="111"/>
    </row>
    <row r="998" spans="1:30" ht="15" customHeight="1" x14ac:dyDescent="0.3">
      <c r="A998" s="22" t="s">
        <v>154</v>
      </c>
      <c r="B998" s="23">
        <v>123</v>
      </c>
      <c r="C998" s="3" t="s">
        <v>78</v>
      </c>
      <c r="D998" s="23">
        <v>2020</v>
      </c>
      <c r="E998" s="25">
        <v>1.9663100801493896</v>
      </c>
      <c r="F998" s="25">
        <v>3.0611287063822535E-2</v>
      </c>
      <c r="G998" s="25">
        <v>0.7054576080918733</v>
      </c>
      <c r="H998" s="25">
        <v>2.3950970300802021</v>
      </c>
      <c r="I998" s="25">
        <v>9.8212856264217555E-3</v>
      </c>
      <c r="J998" s="25">
        <v>1.0400006364069149E-3</v>
      </c>
      <c r="K998" s="25">
        <v>3.5309030719466372E-3</v>
      </c>
      <c r="L998" s="25">
        <v>0.99990000000000001</v>
      </c>
      <c r="M998" s="24">
        <v>2</v>
      </c>
      <c r="N998" s="108">
        <v>0</v>
      </c>
      <c r="O998" s="24">
        <v>3</v>
      </c>
      <c r="P998" s="24">
        <v>0</v>
      </c>
      <c r="Q998" s="24">
        <v>3</v>
      </c>
      <c r="R998" s="24">
        <v>3</v>
      </c>
      <c r="S998" s="24">
        <v>0</v>
      </c>
      <c r="T998" s="24">
        <v>0</v>
      </c>
      <c r="U998" s="24">
        <v>394436443248</v>
      </c>
      <c r="V998" s="109">
        <v>-0.1897401036385204</v>
      </c>
      <c r="W998" s="109">
        <v>2.9270351716599756</v>
      </c>
      <c r="X998" s="109">
        <v>0.30314416503299679</v>
      </c>
      <c r="Y998" s="109">
        <v>-1.0966762478385505E-2</v>
      </c>
      <c r="Z998" s="109">
        <v>0.43839560018361334</v>
      </c>
      <c r="AA998" s="109">
        <v>3.6576081743982001</v>
      </c>
      <c r="AD998" s="111"/>
    </row>
    <row r="999" spans="1:30" ht="15" customHeight="1" x14ac:dyDescent="0.3">
      <c r="A999" s="22" t="s">
        <v>154</v>
      </c>
      <c r="B999" s="23">
        <v>123</v>
      </c>
      <c r="C999" s="3" t="s">
        <v>78</v>
      </c>
      <c r="D999" s="23">
        <v>2021</v>
      </c>
      <c r="E999" s="25">
        <v>3.0776850385444559</v>
      </c>
      <c r="F999" s="25">
        <v>0.26688742857798153</v>
      </c>
      <c r="G999" s="25">
        <v>0.55318515736259999</v>
      </c>
      <c r="H999" s="25">
        <v>1.2380635211161097</v>
      </c>
      <c r="I999" s="25">
        <v>2.8106620059243373E-2</v>
      </c>
      <c r="J999" s="25">
        <v>8.5983236160228679E-3</v>
      </c>
      <c r="K999" s="25">
        <v>1.9243594427771939E-2</v>
      </c>
      <c r="L999" s="25">
        <v>0.99990000000000001</v>
      </c>
      <c r="M999" s="24">
        <v>2</v>
      </c>
      <c r="N999" s="108">
        <v>0</v>
      </c>
      <c r="O999" s="24">
        <v>3</v>
      </c>
      <c r="P999" s="24">
        <v>0</v>
      </c>
      <c r="Q999" s="24">
        <v>3</v>
      </c>
      <c r="R999" s="24">
        <v>5</v>
      </c>
      <c r="S999" s="24">
        <v>0</v>
      </c>
      <c r="T999" s="24">
        <v>0</v>
      </c>
      <c r="U999" s="24">
        <v>268539063091</v>
      </c>
      <c r="V999" s="109">
        <v>0.96684590344606125</v>
      </c>
      <c r="W999" s="109">
        <v>3.7850050386767178</v>
      </c>
      <c r="X999" s="109">
        <v>0.47329575959811138</v>
      </c>
      <c r="Y999" s="109">
        <v>-2.7959134958386735E-2</v>
      </c>
      <c r="Z999" s="109">
        <v>0.84809864929501266</v>
      </c>
      <c r="AA999" s="109">
        <v>5.0784403126114555</v>
      </c>
      <c r="AD999" s="111"/>
    </row>
    <row r="1000" spans="1:30" ht="15" customHeight="1" x14ac:dyDescent="0.3">
      <c r="A1000" s="22" t="s">
        <v>154</v>
      </c>
      <c r="B1000" s="23">
        <v>123</v>
      </c>
      <c r="C1000" s="3" t="s">
        <v>78</v>
      </c>
      <c r="D1000" s="23">
        <v>2022</v>
      </c>
      <c r="E1000" s="25">
        <v>2.4254155913426136</v>
      </c>
      <c r="F1000" s="25">
        <v>0.55805191772456575</v>
      </c>
      <c r="G1000" s="25">
        <v>0.6935112310789765</v>
      </c>
      <c r="H1000" s="25">
        <v>2.2627622980312023</v>
      </c>
      <c r="I1000" s="25">
        <v>1.4665893771791824E-2</v>
      </c>
      <c r="J1000" s="25">
        <v>1.4155452678025357E-2</v>
      </c>
      <c r="K1000" s="25">
        <v>4.6185877309538478E-2</v>
      </c>
      <c r="L1000" s="25">
        <v>0.99990000000000001</v>
      </c>
      <c r="M1000" s="24">
        <v>2</v>
      </c>
      <c r="N1000" s="108">
        <v>0</v>
      </c>
      <c r="O1000" s="24">
        <v>3</v>
      </c>
      <c r="P1000" s="24">
        <v>0</v>
      </c>
      <c r="Q1000" s="24">
        <v>3</v>
      </c>
      <c r="R1000" s="24">
        <v>4</v>
      </c>
      <c r="S1000" s="24">
        <v>0</v>
      </c>
      <c r="T1000" s="24">
        <v>0</v>
      </c>
      <c r="U1000" s="24">
        <v>410446680382</v>
      </c>
      <c r="V1000" s="109">
        <v>3.8223568178623717</v>
      </c>
      <c r="W1000" s="109">
        <v>2.7577208354406242</v>
      </c>
      <c r="X1000" s="109">
        <v>0.35580551075989281</v>
      </c>
      <c r="Y1000" s="109">
        <v>0.16718416777617898</v>
      </c>
      <c r="Z1000" s="109">
        <v>0.46403460094486737</v>
      </c>
      <c r="AA1000" s="109">
        <v>3.7447451149215634</v>
      </c>
      <c r="AD1000" s="111"/>
    </row>
    <row r="1001" spans="1:30" ht="15" customHeight="1" x14ac:dyDescent="0.3">
      <c r="A1001" s="22" t="s">
        <v>154</v>
      </c>
      <c r="B1001" s="23">
        <v>123</v>
      </c>
      <c r="C1001" s="3" t="s">
        <v>78</v>
      </c>
      <c r="D1001" s="23">
        <v>2023</v>
      </c>
      <c r="E1001" s="25">
        <v>3.5313224252997584</v>
      </c>
      <c r="F1001" s="25">
        <v>1.0196875705253661</v>
      </c>
      <c r="G1001" s="25">
        <v>0.66309732236746377</v>
      </c>
      <c r="H1001" s="25">
        <v>1.9682162428246177</v>
      </c>
      <c r="I1001" s="25">
        <v>0.2072945765147933</v>
      </c>
      <c r="J1001" s="25">
        <v>0.17827501344955901</v>
      </c>
      <c r="K1001" s="25">
        <v>0.52915879061075832</v>
      </c>
      <c r="L1001" s="25">
        <v>0.99990000000000001</v>
      </c>
      <c r="M1001" s="24">
        <v>1</v>
      </c>
      <c r="N1001" s="108">
        <v>0</v>
      </c>
      <c r="O1001" s="24">
        <v>2</v>
      </c>
      <c r="P1001" s="24">
        <v>0</v>
      </c>
      <c r="Q1001" s="24">
        <v>2</v>
      </c>
      <c r="R1001" s="24">
        <v>3</v>
      </c>
      <c r="S1001" s="24">
        <v>0</v>
      </c>
      <c r="T1001" s="24">
        <v>0</v>
      </c>
      <c r="U1001" s="24">
        <v>862379828144</v>
      </c>
      <c r="V1001" s="109">
        <v>0.87210047209367136</v>
      </c>
      <c r="W1001" s="109">
        <v>3.7970162124546696</v>
      </c>
      <c r="X1001" s="109">
        <v>0.75052093942044862</v>
      </c>
      <c r="Y1001" s="109">
        <v>1.6010567678183769</v>
      </c>
      <c r="Z1001" s="109">
        <v>0.53347796708207673</v>
      </c>
      <c r="AA1001" s="109">
        <v>6.6820718867755717</v>
      </c>
      <c r="AD1001" s="111"/>
    </row>
    <row r="1002" spans="1:30" ht="15" customHeight="1" x14ac:dyDescent="0.3">
      <c r="A1002" s="22" t="s">
        <v>154</v>
      </c>
      <c r="B1002" s="23">
        <v>123</v>
      </c>
      <c r="C1002" s="3" t="s">
        <v>78</v>
      </c>
      <c r="D1002" s="23">
        <v>2024</v>
      </c>
      <c r="E1002" s="25">
        <v>4.8424664774023007</v>
      </c>
      <c r="F1002" s="25">
        <v>1.7710394416463859</v>
      </c>
      <c r="G1002" s="25">
        <v>0.76578169232439508</v>
      </c>
      <c r="H1002" s="25">
        <v>3.2695210717046588</v>
      </c>
      <c r="I1002" s="25">
        <v>4.4998885880205348E-2</v>
      </c>
      <c r="J1002" s="25">
        <v>9.6518633558790742E-2</v>
      </c>
      <c r="K1002" s="25">
        <v>0.41208833979139747</v>
      </c>
      <c r="L1002" s="25">
        <v>0.99990000000000001</v>
      </c>
      <c r="M1002" s="24">
        <v>2</v>
      </c>
      <c r="N1002" s="108">
        <v>0</v>
      </c>
      <c r="O1002" s="24">
        <v>3</v>
      </c>
      <c r="P1002" s="24">
        <v>0</v>
      </c>
      <c r="Q1002" s="24">
        <v>3</v>
      </c>
      <c r="R1002" s="24">
        <v>4</v>
      </c>
      <c r="S1002" s="24">
        <v>0</v>
      </c>
      <c r="T1002" s="24">
        <v>0</v>
      </c>
      <c r="U1002" s="24">
        <v>930448689416</v>
      </c>
      <c r="V1002" s="109">
        <v>1.6909194914955883</v>
      </c>
      <c r="W1002" s="109">
        <v>3.9212748333112537</v>
      </c>
      <c r="X1002" s="109">
        <v>0.44121257565240712</v>
      </c>
      <c r="Y1002" s="109">
        <v>0.68880360320096889</v>
      </c>
      <c r="Z1002" s="109">
        <v>0.32114795316261791</v>
      </c>
      <c r="AA1002" s="109">
        <v>5.3724389653272482</v>
      </c>
      <c r="AD1002" s="111"/>
    </row>
    <row r="1003" spans="1:30" ht="15" customHeight="1" x14ac:dyDescent="0.3">
      <c r="A1003" s="22" t="s">
        <v>154</v>
      </c>
      <c r="B1003" s="23">
        <v>124</v>
      </c>
      <c r="C1003" s="3" t="s">
        <v>110</v>
      </c>
      <c r="D1003" s="23">
        <v>2015</v>
      </c>
      <c r="E1003" s="25">
        <v>7.3357948128927468</v>
      </c>
      <c r="F1003" s="25">
        <v>1.5823695139790384</v>
      </c>
      <c r="G1003" s="25">
        <v>0.76528717776114241</v>
      </c>
      <c r="H1003" s="25">
        <v>3.2605256519916117</v>
      </c>
      <c r="I1003" s="25">
        <v>4.7751528022228984E-2</v>
      </c>
      <c r="J1003" s="25">
        <v>2.527756771308317E-2</v>
      </c>
      <c r="K1003" s="25">
        <v>0.1076957256615458</v>
      </c>
      <c r="L1003" s="25">
        <v>0.55000000000000004</v>
      </c>
      <c r="M1003" s="24">
        <v>3</v>
      </c>
      <c r="N1003" s="108">
        <v>0</v>
      </c>
      <c r="O1003" s="24">
        <v>6</v>
      </c>
      <c r="P1003" s="24">
        <v>20</v>
      </c>
      <c r="Q1003" s="24">
        <v>6</v>
      </c>
      <c r="R1003" s="24">
        <v>3</v>
      </c>
      <c r="S1003" s="24">
        <v>20</v>
      </c>
      <c r="T1003" s="24">
        <v>3</v>
      </c>
      <c r="U1003" s="24">
        <v>921927252120</v>
      </c>
      <c r="V1003" s="109">
        <v>0.41059865901619846</v>
      </c>
      <c r="W1003" s="109">
        <v>3.0846947288609674</v>
      </c>
      <c r="X1003" s="109">
        <v>0.39871283130172014</v>
      </c>
      <c r="Y1003" s="109">
        <v>0.18908477690258127</v>
      </c>
      <c r="Z1003" s="109">
        <v>0.32203396386672606</v>
      </c>
      <c r="AA1003" s="109">
        <v>3.9945263009319949</v>
      </c>
      <c r="AD1003" s="111"/>
    </row>
    <row r="1004" spans="1:30" ht="15" customHeight="1" x14ac:dyDescent="0.3">
      <c r="A1004" s="22" t="s">
        <v>154</v>
      </c>
      <c r="B1004" s="23">
        <v>124</v>
      </c>
      <c r="C1004" s="3" t="s">
        <v>110</v>
      </c>
      <c r="D1004" s="23">
        <v>2016</v>
      </c>
      <c r="E1004" s="25">
        <v>5.689707762629558</v>
      </c>
      <c r="F1004" s="25">
        <v>0.72130227434688732</v>
      </c>
      <c r="G1004" s="25">
        <v>0.64796632391781506</v>
      </c>
      <c r="H1004" s="25">
        <v>1.9738039534748901</v>
      </c>
      <c r="I1004" s="25">
        <v>4.6537066277730264E-2</v>
      </c>
      <c r="J1004" s="25">
        <v>2.0189889908708666E-2</v>
      </c>
      <c r="K1004" s="25">
        <v>6.1501474769677149E-2</v>
      </c>
      <c r="L1004" s="25">
        <v>0.55000000000000004</v>
      </c>
      <c r="M1004" s="24">
        <v>2</v>
      </c>
      <c r="N1004" s="108">
        <v>0</v>
      </c>
      <c r="O1004" s="24">
        <v>4</v>
      </c>
      <c r="P1004" s="24">
        <v>13</v>
      </c>
      <c r="Q1004" s="24">
        <v>4</v>
      </c>
      <c r="R1004" s="24">
        <v>3</v>
      </c>
      <c r="S1004" s="24">
        <v>13</v>
      </c>
      <c r="T1004" s="24">
        <v>3</v>
      </c>
      <c r="U1004" s="24">
        <v>1136810730112</v>
      </c>
      <c r="V1004" s="109">
        <v>1.059803933328733E-2</v>
      </c>
      <c r="W1004" s="109">
        <v>2.0891129482673509</v>
      </c>
      <c r="X1004" s="109">
        <v>0.38916594064367549</v>
      </c>
      <c r="Y1004" s="109">
        <v>0.13298761497916667</v>
      </c>
      <c r="Z1004" s="109">
        <v>0.53196772564543227</v>
      </c>
      <c r="AA1004" s="109">
        <v>3.1432342295356257</v>
      </c>
      <c r="AD1004" s="111"/>
    </row>
    <row r="1005" spans="1:30" ht="15" customHeight="1" x14ac:dyDescent="0.3">
      <c r="A1005" s="22" t="s">
        <v>154</v>
      </c>
      <c r="B1005" s="23">
        <v>124</v>
      </c>
      <c r="C1005" s="3" t="s">
        <v>110</v>
      </c>
      <c r="D1005" s="23">
        <v>2017</v>
      </c>
      <c r="E1005" s="25">
        <v>8.766729212888718</v>
      </c>
      <c r="F1005" s="25">
        <v>1.1901896297863623</v>
      </c>
      <c r="G1005" s="25">
        <v>0.72326940577783905</v>
      </c>
      <c r="H1005" s="25">
        <v>2.6136228551484058</v>
      </c>
      <c r="I1005" s="25">
        <v>-7.3347130659164927E-2</v>
      </c>
      <c r="J1005" s="25">
        <v>-3.2156267243005403E-2</v>
      </c>
      <c r="K1005" s="25">
        <v>-0.11620062224558435</v>
      </c>
      <c r="L1005" s="25">
        <v>0.76290000000000002</v>
      </c>
      <c r="M1005" s="24">
        <v>2</v>
      </c>
      <c r="N1005" s="108">
        <v>0</v>
      </c>
      <c r="O1005" s="24">
        <v>4</v>
      </c>
      <c r="P1005" s="24">
        <v>13</v>
      </c>
      <c r="Q1005" s="24">
        <v>4</v>
      </c>
      <c r="R1005" s="24">
        <v>3</v>
      </c>
      <c r="S1005" s="24">
        <v>13</v>
      </c>
      <c r="T1005" s="24">
        <v>3</v>
      </c>
      <c r="U1005" s="24">
        <v>1327250439408</v>
      </c>
      <c r="V1005" s="109">
        <v>0.17981052152175797</v>
      </c>
      <c r="W1005" s="109">
        <v>2.4034363964057559</v>
      </c>
      <c r="X1005" s="109">
        <v>0.22849712750055692</v>
      </c>
      <c r="Y1005" s="109">
        <v>-0.34054206027601008</v>
      </c>
      <c r="Z1005" s="109">
        <v>0.40174120682013215</v>
      </c>
      <c r="AA1005" s="109">
        <v>2.6931326704504346</v>
      </c>
      <c r="AD1005" s="111"/>
    </row>
    <row r="1006" spans="1:30" ht="15" customHeight="1" x14ac:dyDescent="0.3">
      <c r="A1006" s="22" t="s">
        <v>154</v>
      </c>
      <c r="B1006" s="23">
        <v>124</v>
      </c>
      <c r="C1006" s="3" t="s">
        <v>110</v>
      </c>
      <c r="D1006" s="23">
        <v>2018</v>
      </c>
      <c r="E1006" s="25">
        <v>7.5183020259917148</v>
      </c>
      <c r="F1006" s="25">
        <v>0.68896960066587221</v>
      </c>
      <c r="G1006" s="25">
        <v>0.61222135920767218</v>
      </c>
      <c r="H1006" s="25">
        <v>1.5787908224051541</v>
      </c>
      <c r="I1006" s="25">
        <v>6.4214633043084932E-2</v>
      </c>
      <c r="J1006" s="25">
        <v>1.8282136001255618E-2</v>
      </c>
      <c r="K1006" s="25">
        <v>4.7145804534000857E-2</v>
      </c>
      <c r="L1006" s="25">
        <v>0.76390000000000002</v>
      </c>
      <c r="M1006" s="24">
        <v>2</v>
      </c>
      <c r="N1006" s="108">
        <v>0</v>
      </c>
      <c r="O1006" s="24">
        <v>4</v>
      </c>
      <c r="P1006" s="24">
        <v>13</v>
      </c>
      <c r="Q1006" s="24">
        <v>4</v>
      </c>
      <c r="R1006" s="24">
        <v>3</v>
      </c>
      <c r="S1006" s="24">
        <v>13</v>
      </c>
      <c r="T1006" s="24">
        <v>3</v>
      </c>
      <c r="U1006" s="24">
        <v>1242415000000</v>
      </c>
      <c r="V1006" s="109">
        <v>-0.39211106520855449</v>
      </c>
      <c r="W1006" s="109">
        <v>1.8193800944128975</v>
      </c>
      <c r="X1006" s="109">
        <v>0.2958524486584595</v>
      </c>
      <c r="Y1006" s="109">
        <v>0.14636809761633593</v>
      </c>
      <c r="Z1006" s="109">
        <v>0.66506593850122198</v>
      </c>
      <c r="AA1006" s="109">
        <v>2.9266665791889146</v>
      </c>
      <c r="AD1006" s="111"/>
    </row>
    <row r="1007" spans="1:30" ht="15" customHeight="1" x14ac:dyDescent="0.3">
      <c r="A1007" s="22" t="s">
        <v>154</v>
      </c>
      <c r="B1007" s="23">
        <v>124</v>
      </c>
      <c r="C1007" s="3" t="s">
        <v>110</v>
      </c>
      <c r="D1007" s="23">
        <v>2019</v>
      </c>
      <c r="E1007" s="25">
        <v>4.4165221344738743</v>
      </c>
      <c r="F1007" s="25">
        <v>2.262346978294913</v>
      </c>
      <c r="G1007" s="25">
        <v>0.56338514470191647</v>
      </c>
      <c r="H1007" s="25">
        <v>1.2903480902345501</v>
      </c>
      <c r="I1007" s="25">
        <v>0.22294338029655428</v>
      </c>
      <c r="J1007" s="25">
        <v>1.4698054986380382E-2</v>
      </c>
      <c r="K1007" s="25">
        <v>3.3663662168218714E-2</v>
      </c>
      <c r="L1007" s="25">
        <v>0.95</v>
      </c>
      <c r="M1007" s="24">
        <v>2</v>
      </c>
      <c r="N1007" s="108">
        <v>0</v>
      </c>
      <c r="O1007" s="24">
        <v>4</v>
      </c>
      <c r="P1007" s="24">
        <v>11</v>
      </c>
      <c r="Q1007" s="24">
        <v>4</v>
      </c>
      <c r="R1007" s="24">
        <v>3</v>
      </c>
      <c r="S1007" s="24">
        <v>11</v>
      </c>
      <c r="T1007" s="24">
        <v>3</v>
      </c>
      <c r="U1007" s="24">
        <v>1149812000000</v>
      </c>
      <c r="V1007" s="109">
        <v>-0.78569489992084129</v>
      </c>
      <c r="W1007" s="109">
        <v>1.1575843007378597</v>
      </c>
      <c r="X1007" s="109">
        <v>0.37707355637269396</v>
      </c>
      <c r="Y1007" s="109">
        <v>9.3510939179622402E-2</v>
      </c>
      <c r="Z1007" s="109">
        <v>0.81373391253606508</v>
      </c>
      <c r="AA1007" s="109">
        <v>2.4419027088262411</v>
      </c>
      <c r="AD1007" s="111"/>
    </row>
    <row r="1008" spans="1:30" ht="15" customHeight="1" x14ac:dyDescent="0.3">
      <c r="A1008" s="22" t="s">
        <v>154</v>
      </c>
      <c r="B1008" s="23">
        <v>124</v>
      </c>
      <c r="C1008" s="3" t="s">
        <v>110</v>
      </c>
      <c r="D1008" s="23">
        <v>2020</v>
      </c>
      <c r="E1008" s="25">
        <v>5.1861416696868021</v>
      </c>
      <c r="F1008" s="25">
        <v>0.85647146848732125</v>
      </c>
      <c r="G1008" s="25">
        <v>0.5400119776533201</v>
      </c>
      <c r="H1008" s="25">
        <v>1.1739696501191248</v>
      </c>
      <c r="I1008" s="25">
        <v>0.10970091076759264</v>
      </c>
      <c r="J1008" s="25">
        <v>2.0088683380831925E-2</v>
      </c>
      <c r="K1008" s="25">
        <v>4.3672187980781055E-2</v>
      </c>
      <c r="L1008" s="25">
        <v>0.95</v>
      </c>
      <c r="M1008" s="24">
        <v>2</v>
      </c>
      <c r="N1008" s="108">
        <v>0</v>
      </c>
      <c r="O1008" s="24">
        <v>4</v>
      </c>
      <c r="P1008" s="24">
        <v>11</v>
      </c>
      <c r="Q1008" s="24">
        <v>4</v>
      </c>
      <c r="R1008" s="24">
        <v>4</v>
      </c>
      <c r="S1008" s="24">
        <v>11</v>
      </c>
      <c r="T1008" s="24">
        <v>6</v>
      </c>
      <c r="U1008" s="24">
        <v>1148806000000</v>
      </c>
      <c r="V1008" s="109">
        <v>1.7752097514643026</v>
      </c>
      <c r="W1008" s="109">
        <v>2.044678736009387</v>
      </c>
      <c r="X1008" s="109">
        <v>0.44244734097837224</v>
      </c>
      <c r="Y1008" s="109">
        <v>0.19910703808998212</v>
      </c>
      <c r="Z1008" s="109">
        <v>0.89440131599096673</v>
      </c>
      <c r="AA1008" s="109">
        <v>3.5806344310687077</v>
      </c>
      <c r="AD1008" s="111"/>
    </row>
    <row r="1009" spans="1:30" ht="15" customHeight="1" x14ac:dyDescent="0.3">
      <c r="A1009" s="22" t="s">
        <v>154</v>
      </c>
      <c r="B1009" s="23">
        <v>124</v>
      </c>
      <c r="C1009" s="3" t="s">
        <v>110</v>
      </c>
      <c r="D1009" s="23">
        <v>2021</v>
      </c>
      <c r="E1009" s="25">
        <v>2.8933159775710147</v>
      </c>
      <c r="F1009" s="25">
        <v>0.44072339638917984</v>
      </c>
      <c r="G1009" s="25">
        <v>0.52993197335741515</v>
      </c>
      <c r="H1009" s="25">
        <v>1.1273516668266137</v>
      </c>
      <c r="I1009" s="25">
        <v>0.16495537678481281</v>
      </c>
      <c r="J1009" s="25">
        <v>2.9754450803696812E-2</v>
      </c>
      <c r="K1009" s="25">
        <v>6.329818051275489E-2</v>
      </c>
      <c r="L1009" s="25">
        <v>0.95</v>
      </c>
      <c r="M1009" s="24">
        <v>1</v>
      </c>
      <c r="N1009" s="108">
        <v>0</v>
      </c>
      <c r="O1009" s="24">
        <v>3</v>
      </c>
      <c r="P1009" s="24">
        <v>8</v>
      </c>
      <c r="Q1009" s="24">
        <v>3</v>
      </c>
      <c r="R1009" s="24">
        <v>4</v>
      </c>
      <c r="S1009" s="24">
        <v>8</v>
      </c>
      <c r="T1009" s="24">
        <v>6</v>
      </c>
      <c r="U1009" s="24">
        <v>1197031000000</v>
      </c>
      <c r="V1009" s="109">
        <v>2.6367577434259312E-2</v>
      </c>
      <c r="W1009" s="109">
        <v>1.3471107097477009</v>
      </c>
      <c r="X1009" s="109">
        <v>0.52154019403006269</v>
      </c>
      <c r="Y1009" s="109">
        <v>0.23309431418233945</v>
      </c>
      <c r="Z1009" s="109">
        <v>0.93138639068645612</v>
      </c>
      <c r="AA1009" s="109">
        <v>3.033131608646559</v>
      </c>
      <c r="AD1009" s="111"/>
    </row>
    <row r="1010" spans="1:30" ht="15" customHeight="1" x14ac:dyDescent="0.3">
      <c r="A1010" s="22" t="s">
        <v>154</v>
      </c>
      <c r="B1010" s="23">
        <v>124</v>
      </c>
      <c r="C1010" s="3" t="s">
        <v>110</v>
      </c>
      <c r="D1010" s="23">
        <v>2022</v>
      </c>
      <c r="E1010" s="25">
        <v>4.2187531283675961</v>
      </c>
      <c r="F1010" s="25">
        <v>0.42419781293981168</v>
      </c>
      <c r="G1010" s="25">
        <v>0.68573643421098718</v>
      </c>
      <c r="H1010" s="25">
        <v>2.1820424282698117</v>
      </c>
      <c r="I1010" s="25">
        <v>-0.32611009773032423</v>
      </c>
      <c r="J1010" s="25">
        <v>-4.0289116241938247E-2</v>
      </c>
      <c r="K1010" s="25">
        <v>-0.12820167727934187</v>
      </c>
      <c r="L1010" s="25">
        <v>0.95</v>
      </c>
      <c r="M1010" s="24">
        <v>2</v>
      </c>
      <c r="N1010" s="108">
        <v>0</v>
      </c>
      <c r="O1010" s="24">
        <v>4</v>
      </c>
      <c r="P1010" s="24">
        <v>9</v>
      </c>
      <c r="Q1010" s="24">
        <v>4</v>
      </c>
      <c r="R1010" s="24">
        <v>4</v>
      </c>
      <c r="S1010" s="24">
        <v>9</v>
      </c>
      <c r="T1010" s="24">
        <v>6</v>
      </c>
      <c r="U1010" s="24">
        <v>1513163000000</v>
      </c>
      <c r="V1010" s="109">
        <v>-0.13419847257536391</v>
      </c>
      <c r="W1010" s="109">
        <v>2.3696650261736507</v>
      </c>
      <c r="X1010" s="109">
        <v>0.24610671817907256</v>
      </c>
      <c r="Y1010" s="109">
        <v>-0.37011087371287821</v>
      </c>
      <c r="Z1010" s="109">
        <v>0.48120054238934651</v>
      </c>
      <c r="AA1010" s="109">
        <v>2.7268614130291913</v>
      </c>
      <c r="AD1010" s="111"/>
    </row>
    <row r="1011" spans="1:30" ht="15" customHeight="1" x14ac:dyDescent="0.3">
      <c r="A1011" s="22" t="s">
        <v>154</v>
      </c>
      <c r="B1011" s="23">
        <v>124</v>
      </c>
      <c r="C1011" s="3" t="s">
        <v>110</v>
      </c>
      <c r="D1011" s="23">
        <v>2023</v>
      </c>
      <c r="E1011" s="25">
        <v>3.0357189872306813</v>
      </c>
      <c r="F1011" s="25">
        <v>0.78178405911083959</v>
      </c>
      <c r="G1011" s="25">
        <v>0.67546913072371129</v>
      </c>
      <c r="H1011" s="25">
        <v>2.0813709716737359</v>
      </c>
      <c r="I1011" s="25">
        <v>0.11032676993323691</v>
      </c>
      <c r="J1011" s="25">
        <v>2.0613904623271416E-2</v>
      </c>
      <c r="K1011" s="25">
        <v>6.3519087318999565E-2</v>
      </c>
      <c r="L1011" s="25">
        <v>0.95</v>
      </c>
      <c r="M1011" s="24">
        <v>2</v>
      </c>
      <c r="N1011" s="108">
        <v>0</v>
      </c>
      <c r="O1011" s="24">
        <v>4</v>
      </c>
      <c r="P1011" s="24">
        <v>9</v>
      </c>
      <c r="Q1011" s="24">
        <v>4</v>
      </c>
      <c r="R1011" s="24">
        <v>4</v>
      </c>
      <c r="S1011" s="24">
        <v>9</v>
      </c>
      <c r="T1011" s="24">
        <v>6</v>
      </c>
      <c r="U1011" s="24">
        <v>1580050000000</v>
      </c>
      <c r="V1011" s="109">
        <v>0.57921398501147403</v>
      </c>
      <c r="W1011" s="109">
        <v>2.5039142811936328</v>
      </c>
      <c r="X1011" s="109">
        <v>0.30169519951900253</v>
      </c>
      <c r="Y1011" s="109">
        <v>0.15306229549697795</v>
      </c>
      <c r="Z1011" s="109">
        <v>0.50447518212269571</v>
      </c>
      <c r="AA1011" s="109">
        <v>3.4631469583323091</v>
      </c>
      <c r="AD1011" s="111"/>
    </row>
    <row r="1012" spans="1:30" ht="15" customHeight="1" x14ac:dyDescent="0.3">
      <c r="A1012" s="22" t="s">
        <v>154</v>
      </c>
      <c r="B1012" s="23">
        <v>124</v>
      </c>
      <c r="C1012" s="3" t="s">
        <v>110</v>
      </c>
      <c r="D1012" s="23">
        <v>2024</v>
      </c>
      <c r="E1012" s="25">
        <v>2.7078783360762153</v>
      </c>
      <c r="F1012" s="25">
        <v>0.57392356361959329</v>
      </c>
      <c r="G1012" s="25">
        <v>0.65602710887483218</v>
      </c>
      <c r="H1012" s="25">
        <v>1.9072058461610317</v>
      </c>
      <c r="I1012" s="25">
        <v>0.14887188688190836</v>
      </c>
      <c r="J1012" s="25">
        <v>2.9685552623237185E-2</v>
      </c>
      <c r="K1012" s="25">
        <v>8.6302012132796091E-2</v>
      </c>
      <c r="L1012" s="25">
        <v>0.95</v>
      </c>
      <c r="M1012" s="24">
        <v>2</v>
      </c>
      <c r="N1012" s="108">
        <v>0</v>
      </c>
      <c r="O1012" s="24">
        <v>3</v>
      </c>
      <c r="P1012" s="24">
        <v>8</v>
      </c>
      <c r="Q1012" s="24">
        <v>3</v>
      </c>
      <c r="R1012" s="24">
        <v>3</v>
      </c>
      <c r="S1012" s="24">
        <v>8</v>
      </c>
      <c r="T1012" s="24">
        <v>3</v>
      </c>
      <c r="U1012" s="24">
        <v>1618363000000</v>
      </c>
      <c r="V1012" s="109">
        <v>9.3095727636396897E-2</v>
      </c>
      <c r="W1012" s="109">
        <v>2.1916146130379897</v>
      </c>
      <c r="X1012" s="109">
        <v>0.39218188997153292</v>
      </c>
      <c r="Y1012" s="109">
        <v>0.21398689910730784</v>
      </c>
      <c r="Z1012" s="109">
        <v>0.55054361442605659</v>
      </c>
      <c r="AA1012" s="109">
        <v>3.3483270165428869</v>
      </c>
      <c r="AD1012" s="111"/>
    </row>
    <row r="1013" spans="1:30" ht="15" customHeight="1" x14ac:dyDescent="0.3">
      <c r="A1013" s="22" t="s">
        <v>154</v>
      </c>
      <c r="B1013" s="23">
        <v>126</v>
      </c>
      <c r="C1013" s="3" t="s">
        <v>86</v>
      </c>
      <c r="D1013" s="23">
        <v>2016</v>
      </c>
      <c r="E1013" s="25">
        <v>7.1502802731756994</v>
      </c>
      <c r="F1013" s="25">
        <v>0.14128272627638128</v>
      </c>
      <c r="G1013" s="25">
        <v>0.48453655830897879</v>
      </c>
      <c r="H1013" s="25">
        <v>0.94000179085332569</v>
      </c>
      <c r="I1013" s="25">
        <v>8.3843041173708499E-2</v>
      </c>
      <c r="J1013" s="25">
        <v>3.6140642080223516E-2</v>
      </c>
      <c r="K1013" s="25">
        <v>7.0112910358222688E-2</v>
      </c>
      <c r="L1013" s="25">
        <v>0.5887</v>
      </c>
      <c r="M1013" s="24">
        <v>2</v>
      </c>
      <c r="N1013" s="108">
        <v>0</v>
      </c>
      <c r="O1013" s="24">
        <v>3</v>
      </c>
      <c r="P1013" s="24">
        <v>9</v>
      </c>
      <c r="Q1013" s="24">
        <v>3</v>
      </c>
      <c r="R1013" s="24">
        <v>3</v>
      </c>
      <c r="S1013" s="24">
        <v>9</v>
      </c>
      <c r="T1013" s="24">
        <v>5</v>
      </c>
      <c r="U1013" s="24">
        <v>2300958312318</v>
      </c>
      <c r="V1013" s="109">
        <v>0</v>
      </c>
      <c r="W1013" s="109">
        <v>2.1955538650705524</v>
      </c>
      <c r="X1013" s="109">
        <v>0.77660325094675597</v>
      </c>
      <c r="Y1013" s="109">
        <v>0.25096572869575434</v>
      </c>
      <c r="Z1013" s="109">
        <v>1.1170191484920671</v>
      </c>
      <c r="AA1013" s="109">
        <v>4.3401419932051297</v>
      </c>
      <c r="AD1013" s="111"/>
    </row>
    <row r="1014" spans="1:30" ht="15" customHeight="1" x14ac:dyDescent="0.3">
      <c r="A1014" s="22" t="s">
        <v>154</v>
      </c>
      <c r="B1014" s="23">
        <v>126</v>
      </c>
      <c r="C1014" s="3" t="s">
        <v>86</v>
      </c>
      <c r="D1014" s="23">
        <v>2017</v>
      </c>
      <c r="E1014" s="25">
        <v>7.6043613505684178</v>
      </c>
      <c r="F1014" s="25">
        <v>0.19547545961238993</v>
      </c>
      <c r="G1014" s="25">
        <v>0.54655575955586955</v>
      </c>
      <c r="H1014" s="25">
        <v>1.2053428201459571</v>
      </c>
      <c r="I1014" s="25">
        <v>8.2960017209700324E-2</v>
      </c>
      <c r="J1014" s="25">
        <v>3.8878600400401982E-2</v>
      </c>
      <c r="K1014" s="25">
        <v>8.5740642250350232E-2</v>
      </c>
      <c r="L1014" s="25">
        <v>0.65790000000000004</v>
      </c>
      <c r="M1014" s="24">
        <v>2</v>
      </c>
      <c r="N1014" s="108">
        <v>0</v>
      </c>
      <c r="O1014" s="24">
        <v>3</v>
      </c>
      <c r="P1014" s="24">
        <v>9</v>
      </c>
      <c r="Q1014" s="24">
        <v>3</v>
      </c>
      <c r="R1014" s="24">
        <v>3</v>
      </c>
      <c r="S1014" s="24">
        <v>9</v>
      </c>
      <c r="T1014" s="24">
        <v>5</v>
      </c>
      <c r="U1014" s="24">
        <v>2363109344956</v>
      </c>
      <c r="V1014" s="109">
        <v>0.11657529545828146</v>
      </c>
      <c r="W1014" s="109">
        <v>2.2767880034572072</v>
      </c>
      <c r="X1014" s="109">
        <v>0.84444534559345819</v>
      </c>
      <c r="Y1014" s="109">
        <v>0.27526924347302761</v>
      </c>
      <c r="Z1014" s="109">
        <v>0.87112146225158893</v>
      </c>
      <c r="AA1014" s="109">
        <v>4.2676240547752817</v>
      </c>
      <c r="AD1014" s="111"/>
    </row>
    <row r="1015" spans="1:30" ht="15" customHeight="1" x14ac:dyDescent="0.3">
      <c r="A1015" s="22" t="s">
        <v>154</v>
      </c>
      <c r="B1015" s="23">
        <v>126</v>
      </c>
      <c r="C1015" s="3" t="s">
        <v>86</v>
      </c>
      <c r="D1015" s="23">
        <v>2018</v>
      </c>
      <c r="E1015" s="25">
        <v>9.8502673619705892</v>
      </c>
      <c r="F1015" s="25">
        <v>0.1376823126508091</v>
      </c>
      <c r="G1015" s="25">
        <v>0.64597448075797259</v>
      </c>
      <c r="H1015" s="25">
        <v>1.8246551326045966</v>
      </c>
      <c r="I1015" s="25">
        <v>6.0655093909114277E-2</v>
      </c>
      <c r="J1015" s="25">
        <v>2.7638617730143086E-2</v>
      </c>
      <c r="K1015" s="25">
        <v>7.8069563429545075E-2</v>
      </c>
      <c r="L1015" s="25">
        <v>0.65790000000000004</v>
      </c>
      <c r="M1015" s="24">
        <v>2</v>
      </c>
      <c r="N1015" s="108">
        <v>0</v>
      </c>
      <c r="O1015" s="24">
        <v>3</v>
      </c>
      <c r="P1015" s="24">
        <v>9</v>
      </c>
      <c r="Q1015" s="24">
        <v>3</v>
      </c>
      <c r="R1015" s="24">
        <v>3</v>
      </c>
      <c r="S1015" s="24">
        <v>9</v>
      </c>
      <c r="T1015" s="24">
        <v>5</v>
      </c>
      <c r="U1015" s="24">
        <v>2485186649117</v>
      </c>
      <c r="V1015" s="109">
        <v>2.2545036953517249E-2</v>
      </c>
      <c r="W1015" s="109">
        <v>2.7985508418410019</v>
      </c>
      <c r="X1015" s="109">
        <v>0.84593234152851193</v>
      </c>
      <c r="Y1015" s="109">
        <v>0.21116693151380819</v>
      </c>
      <c r="Z1015" s="109">
        <v>0.57545120786807624</v>
      </c>
      <c r="AA1015" s="109">
        <v>4.4311013227513989</v>
      </c>
      <c r="AD1015" s="111"/>
    </row>
    <row r="1016" spans="1:30" ht="15" customHeight="1" x14ac:dyDescent="0.3">
      <c r="A1016" s="22" t="s">
        <v>154</v>
      </c>
      <c r="B1016" s="23">
        <v>126</v>
      </c>
      <c r="C1016" s="3" t="s">
        <v>86</v>
      </c>
      <c r="D1016" s="23">
        <v>2019</v>
      </c>
      <c r="E1016" s="25">
        <v>8.6268165260209653</v>
      </c>
      <c r="F1016" s="25">
        <v>0.13057702898550586</v>
      </c>
      <c r="G1016" s="25">
        <v>0.64991145045445919</v>
      </c>
      <c r="H1016" s="25">
        <v>1.8564201865445937</v>
      </c>
      <c r="I1016" s="25">
        <v>6.852520533830854E-2</v>
      </c>
      <c r="J1016" s="25">
        <v>3.3008352539873304E-2</v>
      </c>
      <c r="K1016" s="25">
        <v>9.4285724519474617E-2</v>
      </c>
      <c r="L1016" s="25">
        <v>0.65790000000000004</v>
      </c>
      <c r="M1016" s="24">
        <v>2</v>
      </c>
      <c r="N1016" s="108">
        <v>0</v>
      </c>
      <c r="O1016" s="24">
        <v>3</v>
      </c>
      <c r="P1016" s="24">
        <v>5</v>
      </c>
      <c r="Q1016" s="24">
        <v>3</v>
      </c>
      <c r="R1016" s="24">
        <v>3</v>
      </c>
      <c r="S1016" s="24">
        <v>5</v>
      </c>
      <c r="T1016" s="24">
        <v>5</v>
      </c>
      <c r="U1016" s="24">
        <v>2423706043201</v>
      </c>
      <c r="V1016" s="109">
        <v>3.0968503472819355E-2</v>
      </c>
      <c r="W1016" s="109">
        <v>2.768930991810282</v>
      </c>
      <c r="X1016" s="109">
        <v>0.9073699658891673</v>
      </c>
      <c r="Y1016" s="109">
        <v>0.24336345827266806</v>
      </c>
      <c r="Z1016" s="109">
        <v>0.56560470932736084</v>
      </c>
      <c r="AA1016" s="109">
        <v>4.4852691252994781</v>
      </c>
      <c r="AD1016" s="111"/>
    </row>
    <row r="1017" spans="1:30" ht="15" customHeight="1" x14ac:dyDescent="0.3">
      <c r="A1017" s="22" t="s">
        <v>154</v>
      </c>
      <c r="B1017" s="23">
        <v>126</v>
      </c>
      <c r="C1017" s="3" t="s">
        <v>86</v>
      </c>
      <c r="D1017" s="23">
        <v>2020</v>
      </c>
      <c r="E1017" s="25">
        <v>7.2577420985271344</v>
      </c>
      <c r="F1017" s="25">
        <v>0.12539826106111687</v>
      </c>
      <c r="G1017" s="25">
        <v>0.6941731483922684</v>
      </c>
      <c r="H1017" s="25">
        <v>2.2698240679096702</v>
      </c>
      <c r="I1017" s="25">
        <v>7.6145593315773835E-2</v>
      </c>
      <c r="J1017" s="25">
        <v>3.2998010379626179E-2</v>
      </c>
      <c r="K1017" s="25">
        <v>0.10789768853243478</v>
      </c>
      <c r="L1017" s="25">
        <v>0.65790000000000004</v>
      </c>
      <c r="M1017" s="24">
        <v>2</v>
      </c>
      <c r="N1017" s="108">
        <v>0</v>
      </c>
      <c r="O1017" s="24">
        <v>3</v>
      </c>
      <c r="P1017" s="24">
        <v>4</v>
      </c>
      <c r="Q1017" s="24">
        <v>3</v>
      </c>
      <c r="R1017" s="24">
        <v>3</v>
      </c>
      <c r="S1017" s="24">
        <v>4</v>
      </c>
      <c r="T1017" s="24">
        <v>5</v>
      </c>
      <c r="U1017" s="24">
        <v>2815578393095</v>
      </c>
      <c r="V1017" s="109">
        <v>4.5098331510139089E-2</v>
      </c>
      <c r="W1017" s="109">
        <v>2.8025685498542168</v>
      </c>
      <c r="X1017" s="109">
        <v>0.85345860313851374</v>
      </c>
      <c r="Y1017" s="109">
        <v>0.26710829371950812</v>
      </c>
      <c r="Z1017" s="109">
        <v>0.4625909183203647</v>
      </c>
      <c r="AA1017" s="109">
        <v>4.3857263650326033</v>
      </c>
      <c r="AD1017" s="111"/>
    </row>
    <row r="1018" spans="1:30" ht="15" customHeight="1" x14ac:dyDescent="0.3">
      <c r="A1018" s="22" t="s">
        <v>154</v>
      </c>
      <c r="B1018" s="23">
        <v>126</v>
      </c>
      <c r="C1018" s="3" t="s">
        <v>86</v>
      </c>
      <c r="D1018" s="23">
        <v>2021</v>
      </c>
      <c r="E1018" s="25">
        <v>7.5937235623924471</v>
      </c>
      <c r="F1018" s="25">
        <v>0.1591162839120244</v>
      </c>
      <c r="G1018" s="25">
        <v>0.70176211442046366</v>
      </c>
      <c r="H1018" s="25">
        <v>2.3530280636774181</v>
      </c>
      <c r="I1018" s="25">
        <v>5.6099013665877835E-2</v>
      </c>
      <c r="J1018" s="25">
        <v>3.3655536456726837E-2</v>
      </c>
      <c r="K1018" s="25">
        <v>0.11284795823752354</v>
      </c>
      <c r="L1018" s="25">
        <v>0.65790000000000004</v>
      </c>
      <c r="M1018" s="24">
        <v>2</v>
      </c>
      <c r="N1018" s="108">
        <v>0</v>
      </c>
      <c r="O1018" s="24">
        <v>3</v>
      </c>
      <c r="P1018" s="24">
        <v>2</v>
      </c>
      <c r="Q1018" s="24">
        <v>3</v>
      </c>
      <c r="R1018" s="24">
        <v>4</v>
      </c>
      <c r="S1018" s="24">
        <v>2</v>
      </c>
      <c r="T1018" s="24">
        <v>10</v>
      </c>
      <c r="U1018" s="24">
        <v>2923286260687</v>
      </c>
      <c r="V1018" s="109">
        <v>0.43734834659209509</v>
      </c>
      <c r="W1018" s="109">
        <v>2.7457457678282089</v>
      </c>
      <c r="X1018" s="109">
        <v>0.88935640459901855</v>
      </c>
      <c r="Y1018" s="109">
        <v>0.33852634599639664</v>
      </c>
      <c r="Z1018" s="109">
        <v>0.44623352190666726</v>
      </c>
      <c r="AA1018" s="109">
        <v>4.4198620403302913</v>
      </c>
      <c r="AD1018" s="111"/>
    </row>
    <row r="1019" spans="1:30" ht="15" customHeight="1" x14ac:dyDescent="0.3">
      <c r="A1019" s="22" t="s">
        <v>154</v>
      </c>
      <c r="B1019" s="23">
        <v>126</v>
      </c>
      <c r="C1019" s="3" t="s">
        <v>86</v>
      </c>
      <c r="D1019" s="23">
        <v>2022</v>
      </c>
      <c r="E1019" s="25">
        <v>9.0928593025984927</v>
      </c>
      <c r="F1019" s="25">
        <v>0.2251015138369262</v>
      </c>
      <c r="G1019" s="25">
        <v>0.75085901486341433</v>
      </c>
      <c r="H1019" s="25">
        <v>3.0137916266638096</v>
      </c>
      <c r="I1019" s="25">
        <v>3.5565783621703144E-2</v>
      </c>
      <c r="J1019" s="25">
        <v>2.5195210525068752E-2</v>
      </c>
      <c r="K1019" s="25">
        <v>0.10112832503755284</v>
      </c>
      <c r="L1019" s="25">
        <v>0.65790000000000004</v>
      </c>
      <c r="M1019" s="24">
        <v>2</v>
      </c>
      <c r="N1019" s="108">
        <v>0</v>
      </c>
      <c r="O1019" s="24">
        <v>3</v>
      </c>
      <c r="P1019" s="24">
        <v>2</v>
      </c>
      <c r="Q1019" s="24">
        <v>3</v>
      </c>
      <c r="R1019" s="24">
        <v>3</v>
      </c>
      <c r="S1019" s="24">
        <v>2</v>
      </c>
      <c r="T1019" s="24">
        <v>9</v>
      </c>
      <c r="U1019" s="24">
        <v>2930664711078</v>
      </c>
      <c r="V1019" s="109">
        <v>0.18380210313232098</v>
      </c>
      <c r="W1019" s="109">
        <v>3.2449120674898029</v>
      </c>
      <c r="X1019" s="109">
        <v>0.82680111391369238</v>
      </c>
      <c r="Y1019" s="109">
        <v>0.22608515466364631</v>
      </c>
      <c r="Z1019" s="109">
        <v>0.34839834005455883</v>
      </c>
      <c r="AA1019" s="109">
        <v>4.6461966761217015</v>
      </c>
      <c r="AD1019" s="111"/>
    </row>
    <row r="1020" spans="1:30" ht="15" customHeight="1" x14ac:dyDescent="0.3">
      <c r="A1020" s="22" t="s">
        <v>154</v>
      </c>
      <c r="B1020" s="23">
        <v>126</v>
      </c>
      <c r="C1020" s="3" t="s">
        <v>86</v>
      </c>
      <c r="D1020" s="23">
        <v>2023</v>
      </c>
      <c r="E1020" s="25">
        <v>5.9934670534735321</v>
      </c>
      <c r="F1020" s="25">
        <v>9.1996072641342741E-2</v>
      </c>
      <c r="G1020" s="25">
        <v>0.69533612425278835</v>
      </c>
      <c r="H1020" s="25">
        <v>2.2823057789421966</v>
      </c>
      <c r="I1020" s="25">
        <v>8.2410439320279028E-3</v>
      </c>
      <c r="J1020" s="25">
        <v>8.9857280033561471E-3</v>
      </c>
      <c r="K1020" s="25">
        <v>2.9493906953418608E-2</v>
      </c>
      <c r="L1020" s="25">
        <v>0.59460000000000002</v>
      </c>
      <c r="M1020" s="24">
        <v>3</v>
      </c>
      <c r="N1020" s="108">
        <v>0</v>
      </c>
      <c r="O1020" s="24">
        <v>6</v>
      </c>
      <c r="P1020" s="24">
        <v>7</v>
      </c>
      <c r="Q1020" s="24">
        <v>6</v>
      </c>
      <c r="R1020" s="24">
        <v>4</v>
      </c>
      <c r="S1020" s="24">
        <v>7</v>
      </c>
      <c r="T1020" s="24">
        <v>12</v>
      </c>
      <c r="U1020" s="24">
        <v>2769428113972</v>
      </c>
      <c r="V1020" s="109">
        <v>0.45448548392522942</v>
      </c>
      <c r="W1020" s="109">
        <v>2.7029888130608626</v>
      </c>
      <c r="X1020" s="109">
        <v>0.76206731608440581</v>
      </c>
      <c r="Y1020" s="109">
        <v>3.6091317223990074E-2</v>
      </c>
      <c r="Z1020" s="109">
        <v>0.46006105303148914</v>
      </c>
      <c r="AA1020" s="109">
        <v>3.9612084994007475</v>
      </c>
      <c r="AD1020" s="111"/>
    </row>
    <row r="1021" spans="1:30" ht="15" customHeight="1" x14ac:dyDescent="0.3">
      <c r="A1021" s="22" t="s">
        <v>154</v>
      </c>
      <c r="B1021" s="23">
        <v>126</v>
      </c>
      <c r="C1021" s="3" t="s">
        <v>86</v>
      </c>
      <c r="D1021" s="23">
        <v>2024</v>
      </c>
      <c r="E1021" s="25">
        <v>3.6034039567837666</v>
      </c>
      <c r="F1021" s="25">
        <v>3.7349352208089194E-2</v>
      </c>
      <c r="G1021" s="25">
        <v>0.70924170285575183</v>
      </c>
      <c r="H1021" s="25">
        <v>2.4392827644876789</v>
      </c>
      <c r="I1021" s="25">
        <v>2.1984609424738732E-2</v>
      </c>
      <c r="J1021" s="25">
        <v>2.0258113288939731E-2</v>
      </c>
      <c r="K1021" s="25">
        <v>6.9673379875689223E-2</v>
      </c>
      <c r="L1021" s="25">
        <v>0.59460000000000002</v>
      </c>
      <c r="M1021" s="24">
        <v>3</v>
      </c>
      <c r="N1021" s="108">
        <v>0</v>
      </c>
      <c r="O1021" s="24">
        <v>6</v>
      </c>
      <c r="P1021" s="24">
        <v>7</v>
      </c>
      <c r="Q1021" s="24">
        <v>6</v>
      </c>
      <c r="R1021" s="24">
        <v>4</v>
      </c>
      <c r="S1021" s="24">
        <v>7</v>
      </c>
      <c r="T1021" s="24">
        <v>12</v>
      </c>
      <c r="U1021" s="24">
        <v>3074044644967</v>
      </c>
      <c r="V1021" s="109">
        <v>-6.1942897887614867E-2</v>
      </c>
      <c r="W1021" s="109">
        <v>2.288864930112299</v>
      </c>
      <c r="X1021" s="109">
        <v>0.74400318722822978</v>
      </c>
      <c r="Y1021" s="109">
        <v>0.16357163844179556</v>
      </c>
      <c r="Z1021" s="109">
        <v>0.43045440048461581</v>
      </c>
      <c r="AA1021" s="109">
        <v>3.6268941562669403</v>
      </c>
      <c r="AD1021" s="111"/>
    </row>
    <row r="1022" spans="1:30" ht="15" customHeight="1" x14ac:dyDescent="0.3">
      <c r="A1022" s="22" t="s">
        <v>154</v>
      </c>
      <c r="B1022" s="23">
        <v>127</v>
      </c>
      <c r="C1022" s="3" t="s">
        <v>112</v>
      </c>
      <c r="D1022" s="23">
        <v>2016</v>
      </c>
      <c r="E1022" s="25">
        <v>0.80115942238054483</v>
      </c>
      <c r="F1022" s="25">
        <v>0</v>
      </c>
      <c r="G1022" s="25">
        <v>0.59212603247965323</v>
      </c>
      <c r="H1022" s="25">
        <v>1.4517377420203952</v>
      </c>
      <c r="I1022" s="25">
        <v>-0.15262646013422149</v>
      </c>
      <c r="J1022" s="25">
        <v>-1.8081314783637122E-2</v>
      </c>
      <c r="K1022" s="25">
        <v>-4.433064188519583E-2</v>
      </c>
      <c r="L1022" s="25">
        <v>0</v>
      </c>
      <c r="M1022" s="24">
        <v>0</v>
      </c>
      <c r="N1022" s="108">
        <v>0</v>
      </c>
      <c r="O1022" s="24">
        <v>0</v>
      </c>
      <c r="P1022" s="24">
        <v>0</v>
      </c>
      <c r="Q1022" s="24">
        <v>0</v>
      </c>
      <c r="R1022" s="24">
        <v>0</v>
      </c>
      <c r="S1022" s="24">
        <v>0</v>
      </c>
      <c r="T1022" s="24">
        <v>0</v>
      </c>
      <c r="U1022" s="24">
        <v>276987702218</v>
      </c>
      <c r="V1022" s="109">
        <v>0</v>
      </c>
      <c r="W1022" s="109">
        <v>-0.75932613859162201</v>
      </c>
      <c r="X1022" s="109">
        <v>-0.24113946592651103</v>
      </c>
      <c r="Y1022" s="109">
        <v>-0.17037733699923521</v>
      </c>
      <c r="Z1022" s="109">
        <v>0.72327113197367621</v>
      </c>
      <c r="AA1022" s="109">
        <v>-0.44757180954369202</v>
      </c>
      <c r="AD1022" s="111"/>
    </row>
    <row r="1023" spans="1:30" ht="15" customHeight="1" x14ac:dyDescent="0.3">
      <c r="A1023" s="22" t="s">
        <v>154</v>
      </c>
      <c r="B1023" s="23">
        <v>127</v>
      </c>
      <c r="C1023" s="3" t="s">
        <v>112</v>
      </c>
      <c r="D1023" s="23">
        <v>2017</v>
      </c>
      <c r="E1023" s="25">
        <v>0.68859315274016508</v>
      </c>
      <c r="F1023" s="25">
        <v>2.7052689690886082E-2</v>
      </c>
      <c r="G1023" s="25">
        <v>0.55332051055306497</v>
      </c>
      <c r="H1023" s="25">
        <v>1.238741700986024</v>
      </c>
      <c r="I1023" s="25">
        <v>-9.937622605965242E-2</v>
      </c>
      <c r="J1023" s="25">
        <v>-1.1905436212901242E-2</v>
      </c>
      <c r="K1023" s="25">
        <v>-2.6653196518251137E-2</v>
      </c>
      <c r="L1023" s="25">
        <v>0.45900000000000002</v>
      </c>
      <c r="M1023" s="24">
        <v>2</v>
      </c>
      <c r="N1023" s="108">
        <v>0.1028</v>
      </c>
      <c r="O1023" s="24">
        <v>4</v>
      </c>
      <c r="P1023" s="24">
        <v>8</v>
      </c>
      <c r="Q1023" s="24">
        <v>4</v>
      </c>
      <c r="R1023" s="24">
        <v>4</v>
      </c>
      <c r="S1023" s="24">
        <v>8</v>
      </c>
      <c r="T1023" s="24">
        <v>7</v>
      </c>
      <c r="U1023" s="24">
        <v>299619149119</v>
      </c>
      <c r="V1023" s="109">
        <v>9.3885123663401335E-2</v>
      </c>
      <c r="W1023" s="109">
        <v>-1.1099736245263587</v>
      </c>
      <c r="X1023" s="109">
        <v>-0.25865382378734475</v>
      </c>
      <c r="Y1023" s="109">
        <v>-7.0605648676740379E-2</v>
      </c>
      <c r="Z1023" s="109">
        <v>0.84763433665324428</v>
      </c>
      <c r="AA1023" s="109">
        <v>-0.5915987603371996</v>
      </c>
      <c r="AD1023" s="111"/>
    </row>
    <row r="1024" spans="1:30" ht="15" customHeight="1" x14ac:dyDescent="0.3">
      <c r="A1024" s="22" t="s">
        <v>154</v>
      </c>
      <c r="B1024" s="23">
        <v>127</v>
      </c>
      <c r="C1024" s="3" t="s">
        <v>112</v>
      </c>
      <c r="D1024" s="23">
        <v>2018</v>
      </c>
      <c r="E1024" s="25">
        <v>0.75606978231702349</v>
      </c>
      <c r="F1024" s="25">
        <v>6.5053952841327145E-2</v>
      </c>
      <c r="G1024" s="25">
        <v>0.59722516620805499</v>
      </c>
      <c r="H1024" s="25">
        <v>1.4827767678170132</v>
      </c>
      <c r="I1024" s="25">
        <v>2.6861792116855771E-2</v>
      </c>
      <c r="J1024" s="25">
        <v>2.8269748271048212E-3</v>
      </c>
      <c r="K1024" s="25">
        <v>7.0187474239393668E-3</v>
      </c>
      <c r="L1024" s="25">
        <v>0.45900000000000002</v>
      </c>
      <c r="M1024" s="24">
        <v>2</v>
      </c>
      <c r="N1024" s="108">
        <v>7.1599999999999997E-2</v>
      </c>
      <c r="O1024" s="24">
        <v>3</v>
      </c>
      <c r="P1024" s="24">
        <v>8</v>
      </c>
      <c r="Q1024" s="24">
        <v>3</v>
      </c>
      <c r="R1024" s="24">
        <v>3</v>
      </c>
      <c r="S1024" s="24">
        <v>8</v>
      </c>
      <c r="T1024" s="24">
        <v>6</v>
      </c>
      <c r="U1024" s="24">
        <v>320972898768</v>
      </c>
      <c r="V1024" s="109">
        <v>-5.8927802668389373E-2</v>
      </c>
      <c r="W1024" s="109">
        <v>-0.93825090631565822</v>
      </c>
      <c r="X1024" s="109">
        <v>-0.26160653419120194</v>
      </c>
      <c r="Y1024" s="109">
        <v>-3.4667484440182771E-2</v>
      </c>
      <c r="Z1024" s="109">
        <v>0.70813086823975568</v>
      </c>
      <c r="AA1024" s="109">
        <v>-0.52639405670728723</v>
      </c>
      <c r="AD1024" s="111"/>
    </row>
    <row r="1025" spans="1:30" ht="15" customHeight="1" x14ac:dyDescent="0.3">
      <c r="A1025" s="22" t="s">
        <v>154</v>
      </c>
      <c r="B1025" s="23">
        <v>127</v>
      </c>
      <c r="C1025" s="3" t="s">
        <v>112</v>
      </c>
      <c r="D1025" s="23">
        <v>2019</v>
      </c>
      <c r="E1025" s="25">
        <v>0.8303977456995798</v>
      </c>
      <c r="F1025" s="25">
        <v>4.4916936967310472E-2</v>
      </c>
      <c r="G1025" s="25">
        <v>0.6924129854197304</v>
      </c>
      <c r="H1025" s="25">
        <v>2.2511125392097289</v>
      </c>
      <c r="I1025" s="25">
        <v>2.6447367690918912E-2</v>
      </c>
      <c r="J1025" s="25">
        <v>2.3401655986635557E-3</v>
      </c>
      <c r="K1025" s="25">
        <v>7.6081417216423272E-3</v>
      </c>
      <c r="L1025" s="25">
        <v>0.45900000000000002</v>
      </c>
      <c r="M1025" s="24">
        <v>2</v>
      </c>
      <c r="N1025" s="108">
        <v>7.1599999999999997E-2</v>
      </c>
      <c r="O1025" s="24">
        <v>3</v>
      </c>
      <c r="P1025" s="24">
        <v>5</v>
      </c>
      <c r="Q1025" s="24">
        <v>3</v>
      </c>
      <c r="R1025" s="24">
        <v>3</v>
      </c>
      <c r="S1025" s="24">
        <v>5</v>
      </c>
      <c r="T1025" s="24">
        <v>6</v>
      </c>
      <c r="U1025" s="24">
        <v>423659163508</v>
      </c>
      <c r="V1025" s="109">
        <v>0.10975068050391741</v>
      </c>
      <c r="W1025" s="109">
        <v>-0.76013835641234484</v>
      </c>
      <c r="X1025" s="109">
        <v>-0.1933577436919835</v>
      </c>
      <c r="Y1025" s="109">
        <v>5.0561779817694191E-2</v>
      </c>
      <c r="Z1025" s="109">
        <v>0.46643603183366877</v>
      </c>
      <c r="AA1025" s="109">
        <v>-0.43649828845296534</v>
      </c>
      <c r="AD1025" s="111"/>
    </row>
    <row r="1026" spans="1:30" ht="15" customHeight="1" x14ac:dyDescent="0.3">
      <c r="A1026" s="22" t="s">
        <v>154</v>
      </c>
      <c r="B1026" s="23">
        <v>127</v>
      </c>
      <c r="C1026" s="3" t="s">
        <v>112</v>
      </c>
      <c r="D1026" s="23">
        <v>2020</v>
      </c>
      <c r="E1026" s="25">
        <v>1.0095276665970878</v>
      </c>
      <c r="F1026" s="25">
        <v>2.0655345372122248E-2</v>
      </c>
      <c r="G1026" s="25">
        <v>0.75751952725691296</v>
      </c>
      <c r="H1026" s="25">
        <v>3.124043427857881</v>
      </c>
      <c r="I1026" s="25">
        <v>8.2413254044557169E-2</v>
      </c>
      <c r="J1026" s="25">
        <v>5.5552699017701029E-3</v>
      </c>
      <c r="K1026" s="25">
        <v>2.2910174328371689E-2</v>
      </c>
      <c r="L1026" s="25">
        <v>0.6865</v>
      </c>
      <c r="M1026" s="24">
        <v>2</v>
      </c>
      <c r="N1026" s="108">
        <v>7.1599999999999997E-2</v>
      </c>
      <c r="O1026" s="24">
        <v>3</v>
      </c>
      <c r="P1026" s="24">
        <v>5</v>
      </c>
      <c r="Q1026" s="24">
        <v>3</v>
      </c>
      <c r="R1026" s="24">
        <v>3</v>
      </c>
      <c r="S1026" s="24">
        <v>5</v>
      </c>
      <c r="T1026" s="24">
        <v>6</v>
      </c>
      <c r="U1026" s="24">
        <v>551011466072</v>
      </c>
      <c r="V1026" s="109">
        <v>-9.1954420656427827E-3</v>
      </c>
      <c r="W1026" s="109">
        <v>4.654575215857433E-2</v>
      </c>
      <c r="X1026" s="109">
        <v>-0.13079993547154678</v>
      </c>
      <c r="Y1026" s="109">
        <v>8.7771860961892267E-2</v>
      </c>
      <c r="Z1026" s="109">
        <v>0.33610288212925787</v>
      </c>
      <c r="AA1026" s="109">
        <v>0.33962055977817768</v>
      </c>
      <c r="AD1026" s="111"/>
    </row>
    <row r="1027" spans="1:30" ht="15" customHeight="1" x14ac:dyDescent="0.3">
      <c r="A1027" s="22" t="s">
        <v>154</v>
      </c>
      <c r="B1027" s="23">
        <v>127</v>
      </c>
      <c r="C1027" s="3" t="s">
        <v>112</v>
      </c>
      <c r="D1027" s="23">
        <v>2021</v>
      </c>
      <c r="E1027" s="25">
        <v>0.92596342305694701</v>
      </c>
      <c r="F1027" s="25">
        <v>1.224812080853231E-2</v>
      </c>
      <c r="G1027" s="25">
        <v>0.74303959819087817</v>
      </c>
      <c r="H1027" s="25">
        <v>2.8916502035314804</v>
      </c>
      <c r="I1027" s="25">
        <v>0.11240347275552721</v>
      </c>
      <c r="J1027" s="25">
        <v>7.0853854686031836E-3</v>
      </c>
      <c r="K1027" s="25">
        <v>2.7573841800988572E-2</v>
      </c>
      <c r="L1027" s="25">
        <v>0.6865</v>
      </c>
      <c r="M1027" s="24">
        <v>2</v>
      </c>
      <c r="N1027" s="108">
        <v>7.1599999999999997E-2</v>
      </c>
      <c r="O1027" s="24">
        <v>3</v>
      </c>
      <c r="P1027" s="24">
        <v>5</v>
      </c>
      <c r="Q1027" s="24">
        <v>3</v>
      </c>
      <c r="R1027" s="24">
        <v>3</v>
      </c>
      <c r="S1027" s="24">
        <v>5</v>
      </c>
      <c r="T1027" s="24">
        <v>6</v>
      </c>
      <c r="U1027" s="24">
        <v>534962808558</v>
      </c>
      <c r="V1027" s="109">
        <v>-9.2098767627492847E-2</v>
      </c>
      <c r="W1027" s="109">
        <v>-0.35492501732649767</v>
      </c>
      <c r="X1027" s="109">
        <v>-0.11129958195578865</v>
      </c>
      <c r="Y1027" s="109">
        <v>7.2532975840082323E-2</v>
      </c>
      <c r="Z1027" s="109">
        <v>0.36311445925156111</v>
      </c>
      <c r="AA1027" s="109">
        <v>-3.057716419064288E-2</v>
      </c>
      <c r="AD1027" s="111"/>
    </row>
    <row r="1028" spans="1:30" ht="15" customHeight="1" x14ac:dyDescent="0.3">
      <c r="A1028" s="22" t="s">
        <v>154</v>
      </c>
      <c r="B1028" s="23">
        <v>127</v>
      </c>
      <c r="C1028" s="3" t="s">
        <v>112</v>
      </c>
      <c r="D1028" s="23">
        <v>2022</v>
      </c>
      <c r="E1028" s="25">
        <v>0.87678629753821502</v>
      </c>
      <c r="F1028" s="25">
        <v>1.7255486801361995E-2</v>
      </c>
      <c r="G1028" s="25">
        <v>0.75749457007627841</v>
      </c>
      <c r="H1028" s="25">
        <v>3.1236190064467548</v>
      </c>
      <c r="I1028" s="25">
        <v>-0.34522490527028937</v>
      </c>
      <c r="J1028" s="25">
        <v>-8.2733067444622777E-3</v>
      </c>
      <c r="K1028" s="25">
        <v>-3.4115964937628772E-2</v>
      </c>
      <c r="L1028" s="25">
        <v>0.6865</v>
      </c>
      <c r="M1028" s="24">
        <v>2</v>
      </c>
      <c r="N1028" s="108">
        <v>5.6399999999999999E-2</v>
      </c>
      <c r="O1028" s="24">
        <v>3</v>
      </c>
      <c r="P1028" s="24">
        <v>5</v>
      </c>
      <c r="Q1028" s="24">
        <v>3</v>
      </c>
      <c r="R1028" s="24">
        <v>3</v>
      </c>
      <c r="S1028" s="24">
        <v>5</v>
      </c>
      <c r="T1028" s="24">
        <v>6</v>
      </c>
      <c r="U1028" s="24">
        <v>989741834422</v>
      </c>
      <c r="V1028" s="109">
        <v>-0.29661744709981425</v>
      </c>
      <c r="W1028" s="109">
        <v>-0.6072306106283355</v>
      </c>
      <c r="X1028" s="109">
        <v>-0.19703938273259788</v>
      </c>
      <c r="Y1028" s="109">
        <v>-7.3546388452812861E-2</v>
      </c>
      <c r="Z1028" s="109">
        <v>0.33614855007378713</v>
      </c>
      <c r="AA1028" s="109">
        <v>-0.54166783173995925</v>
      </c>
      <c r="AD1028" s="111"/>
    </row>
    <row r="1029" spans="1:30" ht="15" customHeight="1" x14ac:dyDescent="0.3">
      <c r="A1029" s="22" t="s">
        <v>154</v>
      </c>
      <c r="B1029" s="23">
        <v>127</v>
      </c>
      <c r="C1029" s="3" t="s">
        <v>112</v>
      </c>
      <c r="D1029" s="23">
        <v>2023</v>
      </c>
      <c r="E1029" s="25">
        <v>0.855479582449163</v>
      </c>
      <c r="F1029" s="25">
        <v>1.2035688853645981E-2</v>
      </c>
      <c r="G1029" s="25">
        <v>0.82752575746206247</v>
      </c>
      <c r="H1029" s="25">
        <v>4.7979671937393187</v>
      </c>
      <c r="I1029" s="25">
        <v>0.22447869848844956</v>
      </c>
      <c r="J1029" s="25">
        <v>7.9276199523811153E-3</v>
      </c>
      <c r="K1029" s="25">
        <v>4.5964080408338964E-2</v>
      </c>
      <c r="L1029" s="25">
        <v>0.86560000000000004</v>
      </c>
      <c r="M1029" s="24">
        <v>2</v>
      </c>
      <c r="N1029" s="108">
        <v>5.6399999999999999E-2</v>
      </c>
      <c r="O1029" s="24">
        <v>4</v>
      </c>
      <c r="P1029" s="24">
        <v>8</v>
      </c>
      <c r="Q1029" s="24">
        <v>4</v>
      </c>
      <c r="R1029" s="24">
        <v>3</v>
      </c>
      <c r="S1029" s="24">
        <v>8</v>
      </c>
      <c r="T1029" s="24">
        <v>6</v>
      </c>
      <c r="U1029" s="24">
        <v>1627392898057</v>
      </c>
      <c r="V1029" s="109">
        <v>1.4230432590464166</v>
      </c>
      <c r="W1029" s="109">
        <v>-0.77793531739380717</v>
      </c>
      <c r="X1029" s="109">
        <v>-2.8054697336857171E-2</v>
      </c>
      <c r="Y1029" s="109">
        <v>4.570633736244481E-2</v>
      </c>
      <c r="Z1029" s="109">
        <v>0.21884268016048639</v>
      </c>
      <c r="AA1029" s="109">
        <v>-0.5414409972077332</v>
      </c>
      <c r="AD1029" s="111"/>
    </row>
    <row r="1030" spans="1:30" ht="15" customHeight="1" x14ac:dyDescent="0.3">
      <c r="A1030" s="22" t="s">
        <v>154</v>
      </c>
      <c r="B1030" s="23">
        <v>127</v>
      </c>
      <c r="C1030" s="3" t="s">
        <v>112</v>
      </c>
      <c r="D1030" s="23">
        <v>2024</v>
      </c>
      <c r="E1030" s="25">
        <v>0.91312234597984576</v>
      </c>
      <c r="F1030" s="25">
        <v>1.9745464968128387E-2</v>
      </c>
      <c r="G1030" s="25">
        <v>0.86097122309715712</v>
      </c>
      <c r="H1030" s="25">
        <v>6.1927555019694029</v>
      </c>
      <c r="I1030" s="25">
        <v>0.49240568660132983</v>
      </c>
      <c r="J1030" s="25">
        <v>2.9472994487502981E-2</v>
      </c>
      <c r="K1030" s="25">
        <v>0.21199204325950094</v>
      </c>
      <c r="L1030" s="25">
        <v>0.87270000000000003</v>
      </c>
      <c r="M1030" s="24">
        <v>2</v>
      </c>
      <c r="N1030" s="108">
        <v>5.6399999999999999E-2</v>
      </c>
      <c r="O1030" s="24">
        <v>4</v>
      </c>
      <c r="P1030" s="24">
        <v>8</v>
      </c>
      <c r="Q1030" s="24">
        <v>4</v>
      </c>
      <c r="R1030" s="24">
        <v>4</v>
      </c>
      <c r="S1030" s="24">
        <v>8</v>
      </c>
      <c r="T1030" s="24">
        <v>7</v>
      </c>
      <c r="U1030" s="24">
        <v>2562013170057</v>
      </c>
      <c r="V1030" s="109">
        <v>1.6682250568733363</v>
      </c>
      <c r="W1030" s="109">
        <v>-0.48803166020291078</v>
      </c>
      <c r="X1030" s="109">
        <v>7.8261593018961365E-2</v>
      </c>
      <c r="Y1030" s="109">
        <v>0.23387182000789999</v>
      </c>
      <c r="Z1030" s="109">
        <v>0.1695529558152396</v>
      </c>
      <c r="AA1030" s="109">
        <v>-6.3452913608098294E-3</v>
      </c>
      <c r="AD1030" s="111"/>
    </row>
    <row r="1031" spans="1:30" ht="15" customHeight="1" x14ac:dyDescent="0.3">
      <c r="A1031" s="22" t="s">
        <v>154</v>
      </c>
      <c r="B1031" s="23">
        <v>128</v>
      </c>
      <c r="C1031" s="3" t="s">
        <v>92</v>
      </c>
      <c r="D1031" s="23">
        <v>2018</v>
      </c>
      <c r="E1031" s="25">
        <v>2.986685896195719</v>
      </c>
      <c r="F1031" s="25">
        <v>9.1299224369910476E-2</v>
      </c>
      <c r="G1031" s="25">
        <v>0.49246425534214472</v>
      </c>
      <c r="H1031" s="25">
        <v>0.49246425534214472</v>
      </c>
      <c r="I1031" s="25">
        <v>0.44781306401443877</v>
      </c>
      <c r="J1031" s="25">
        <v>6.6335600171790521E-2</v>
      </c>
      <c r="K1031" s="25">
        <v>6.6335600171790521E-2</v>
      </c>
      <c r="L1031" s="25">
        <v>0</v>
      </c>
      <c r="M1031" s="24">
        <v>0</v>
      </c>
      <c r="N1031" s="108">
        <v>0</v>
      </c>
      <c r="O1031" s="24">
        <v>0</v>
      </c>
      <c r="P1031" s="24">
        <v>0</v>
      </c>
      <c r="Q1031" s="24">
        <v>0</v>
      </c>
      <c r="R1031" s="24">
        <v>0</v>
      </c>
      <c r="S1031" s="24">
        <v>0</v>
      </c>
      <c r="T1031" s="24">
        <v>0</v>
      </c>
      <c r="U1031" s="24">
        <v>351591000000</v>
      </c>
      <c r="V1031" s="109">
        <v>0</v>
      </c>
      <c r="W1031" s="109">
        <v>2.1075565643034091</v>
      </c>
      <c r="X1031" s="109">
        <v>1.1027167362076957</v>
      </c>
      <c r="Y1031" s="109">
        <v>0.56106555628557042</v>
      </c>
      <c r="Z1031" s="109">
        <v>2.1321344414540331</v>
      </c>
      <c r="AA1031" s="109">
        <v>5.9034732982507085</v>
      </c>
      <c r="AD1031" s="111"/>
    </row>
    <row r="1032" spans="1:30" ht="15" customHeight="1" x14ac:dyDescent="0.3">
      <c r="A1032" s="22" t="s">
        <v>154</v>
      </c>
      <c r="B1032" s="23">
        <v>128</v>
      </c>
      <c r="C1032" s="3" t="s">
        <v>92</v>
      </c>
      <c r="D1032" s="23">
        <v>2019</v>
      </c>
      <c r="E1032" s="25">
        <v>4.6548343475321161</v>
      </c>
      <c r="F1032" s="25">
        <v>0.27527813633290305</v>
      </c>
      <c r="G1032" s="25">
        <v>0.59661489365999476</v>
      </c>
      <c r="H1032" s="25">
        <v>0.59661489365999476</v>
      </c>
      <c r="I1032" s="25">
        <v>0.41273475089244138</v>
      </c>
      <c r="J1032" s="25">
        <v>4.2968229282381691E-2</v>
      </c>
      <c r="K1032" s="25">
        <v>4.2968229282381691E-2</v>
      </c>
      <c r="L1032" s="25">
        <v>0.51</v>
      </c>
      <c r="M1032" s="24">
        <v>2</v>
      </c>
      <c r="N1032" s="108">
        <v>0</v>
      </c>
      <c r="O1032" s="24">
        <v>3</v>
      </c>
      <c r="P1032" s="24">
        <v>0</v>
      </c>
      <c r="Q1032" s="24">
        <v>3</v>
      </c>
      <c r="R1032" s="24">
        <v>3</v>
      </c>
      <c r="S1032" s="24">
        <v>0</v>
      </c>
      <c r="T1032" s="24">
        <v>0</v>
      </c>
      <c r="U1032" s="24">
        <v>495110000000</v>
      </c>
      <c r="V1032" s="109">
        <v>-1.032986444452978E-2</v>
      </c>
      <c r="W1032" s="109">
        <v>3.1513068207065094</v>
      </c>
      <c r="X1032" s="109">
        <v>0.91999806103694126</v>
      </c>
      <c r="Y1032" s="109">
        <v>0.35646090767708183</v>
      </c>
      <c r="Z1032" s="109">
        <v>1.7599292460814517</v>
      </c>
      <c r="AA1032" s="109">
        <v>6.1876950355019842</v>
      </c>
      <c r="AD1032" s="111"/>
    </row>
    <row r="1033" spans="1:30" ht="15" customHeight="1" x14ac:dyDescent="0.3">
      <c r="A1033" s="22" t="s">
        <v>154</v>
      </c>
      <c r="B1033" s="23">
        <v>128</v>
      </c>
      <c r="C1033" s="3" t="s">
        <v>92</v>
      </c>
      <c r="D1033" s="23">
        <v>2020</v>
      </c>
      <c r="E1033" s="25">
        <v>5.0889283987585587</v>
      </c>
      <c r="F1033" s="25">
        <v>0.59676538935416956</v>
      </c>
      <c r="G1033" s="25">
        <v>0.57241097462256074</v>
      </c>
      <c r="H1033" s="25">
        <v>1.3387004130997182</v>
      </c>
      <c r="I1033" s="25">
        <v>0.34861849407091533</v>
      </c>
      <c r="J1033" s="25">
        <v>3.5177893570367574E-2</v>
      </c>
      <c r="K1033" s="25">
        <v>8.2270715871024663E-2</v>
      </c>
      <c r="L1033" s="25">
        <v>0.51</v>
      </c>
      <c r="M1033" s="24">
        <v>2</v>
      </c>
      <c r="N1033" s="108">
        <v>0</v>
      </c>
      <c r="O1033" s="24">
        <v>3</v>
      </c>
      <c r="P1033" s="24">
        <v>0</v>
      </c>
      <c r="Q1033" s="24">
        <v>3</v>
      </c>
      <c r="R1033" s="24">
        <v>3</v>
      </c>
      <c r="S1033" s="24">
        <v>0</v>
      </c>
      <c r="T1033" s="24">
        <v>0</v>
      </c>
      <c r="U1033" s="24">
        <v>508956000000</v>
      </c>
      <c r="V1033" s="109">
        <v>-3.6279683377308707E-3</v>
      </c>
      <c r="W1033" s="109">
        <v>3.3792463002695712</v>
      </c>
      <c r="X1033" s="109">
        <v>1.0118595320617105</v>
      </c>
      <c r="Y1033" s="109">
        <v>0.29628651592672056</v>
      </c>
      <c r="Z1033" s="109">
        <v>0.78434277731248203</v>
      </c>
      <c r="AA1033" s="109">
        <v>5.4717351255704845</v>
      </c>
      <c r="AD1033" s="111"/>
    </row>
    <row r="1034" spans="1:30" ht="15" customHeight="1" x14ac:dyDescent="0.3">
      <c r="A1034" s="22" t="s">
        <v>154</v>
      </c>
      <c r="B1034" s="23">
        <v>128</v>
      </c>
      <c r="C1034" s="3" t="s">
        <v>92</v>
      </c>
      <c r="D1034" s="23">
        <v>2021</v>
      </c>
      <c r="E1034" s="25">
        <v>4.3503462775166959</v>
      </c>
      <c r="F1034" s="25">
        <v>0.47166707890180559</v>
      </c>
      <c r="G1034" s="25">
        <v>0.57891453958193251</v>
      </c>
      <c r="H1034" s="25">
        <v>1.3748205119741208</v>
      </c>
      <c r="I1034" s="25">
        <v>0.44892995226080484</v>
      </c>
      <c r="J1034" s="25">
        <v>4.2970847167854223E-2</v>
      </c>
      <c r="K1034" s="25">
        <v>0.10204822657578108</v>
      </c>
      <c r="L1034" s="25">
        <v>0.51</v>
      </c>
      <c r="M1034" s="24">
        <v>2</v>
      </c>
      <c r="N1034" s="108">
        <v>0</v>
      </c>
      <c r="O1034" s="24">
        <v>3</v>
      </c>
      <c r="P1034" s="24">
        <v>0</v>
      </c>
      <c r="Q1034" s="24">
        <v>3</v>
      </c>
      <c r="R1034" s="24">
        <v>3</v>
      </c>
      <c r="S1034" s="24">
        <v>0</v>
      </c>
      <c r="T1034" s="24">
        <v>0</v>
      </c>
      <c r="U1034" s="24">
        <v>575553000000</v>
      </c>
      <c r="V1034" s="109">
        <v>7.2706739100804177E-2</v>
      </c>
      <c r="W1034" s="109">
        <v>3.0877487216642079</v>
      </c>
      <c r="X1034" s="109">
        <v>1.0312715944491644</v>
      </c>
      <c r="Y1034" s="109">
        <v>0.35206988756899882</v>
      </c>
      <c r="Z1034" s="109">
        <v>0.76373605925641375</v>
      </c>
      <c r="AA1034" s="109">
        <v>5.2348262629387854</v>
      </c>
      <c r="AD1034" s="111"/>
    </row>
    <row r="1035" spans="1:30" ht="15" customHeight="1" x14ac:dyDescent="0.3">
      <c r="A1035" s="22" t="s">
        <v>154</v>
      </c>
      <c r="B1035" s="23">
        <v>128</v>
      </c>
      <c r="C1035" s="3" t="s">
        <v>92</v>
      </c>
      <c r="D1035" s="23">
        <v>2022</v>
      </c>
      <c r="E1035" s="25">
        <v>8.5121356058489344</v>
      </c>
      <c r="F1035" s="25">
        <v>0.41374685666387256</v>
      </c>
      <c r="G1035" s="25">
        <v>0.6131318097338343</v>
      </c>
      <c r="H1035" s="25">
        <v>1.5848655359097352</v>
      </c>
      <c r="I1035" s="25">
        <v>0.50610014044706164</v>
      </c>
      <c r="J1035" s="25">
        <v>4.2498138601706231E-2</v>
      </c>
      <c r="K1035" s="25">
        <v>0.10985212990237489</v>
      </c>
      <c r="L1035" s="25">
        <v>0.51</v>
      </c>
      <c r="M1035" s="24">
        <v>2</v>
      </c>
      <c r="N1035" s="108">
        <v>0</v>
      </c>
      <c r="O1035" s="24">
        <v>3</v>
      </c>
      <c r="P1035" s="24">
        <v>0</v>
      </c>
      <c r="Q1035" s="24">
        <v>3</v>
      </c>
      <c r="R1035" s="24">
        <v>3</v>
      </c>
      <c r="S1035" s="24">
        <v>0</v>
      </c>
      <c r="T1035" s="24">
        <v>0</v>
      </c>
      <c r="U1035" s="24">
        <v>703772000000</v>
      </c>
      <c r="V1035" s="109">
        <v>7.2716051623677183E-2</v>
      </c>
      <c r="W1035" s="109">
        <v>3.7591376752698316</v>
      </c>
      <c r="X1035" s="109">
        <v>0.98254139124602846</v>
      </c>
      <c r="Y1035" s="109">
        <v>0.36308349863308004</v>
      </c>
      <c r="Z1035" s="109">
        <v>0.66251677269093057</v>
      </c>
      <c r="AA1035" s="109">
        <v>5.767279337839871</v>
      </c>
      <c r="AD1035" s="111"/>
    </row>
    <row r="1036" spans="1:30" ht="15" customHeight="1" x14ac:dyDescent="0.3">
      <c r="A1036" s="22" t="s">
        <v>154</v>
      </c>
      <c r="B1036" s="23">
        <v>128</v>
      </c>
      <c r="C1036" s="3" t="s">
        <v>92</v>
      </c>
      <c r="D1036" s="23">
        <v>2023</v>
      </c>
      <c r="E1036" s="25">
        <v>7.6732614164499209</v>
      </c>
      <c r="F1036" s="25">
        <v>0.49346920791938487</v>
      </c>
      <c r="G1036" s="25">
        <v>0.6186276830042664</v>
      </c>
      <c r="H1036" s="25">
        <v>1.62211506507423</v>
      </c>
      <c r="I1036" s="25">
        <v>0.34857354119169387</v>
      </c>
      <c r="J1036" s="25">
        <v>2.9263611756657315E-2</v>
      </c>
      <c r="K1036" s="25">
        <v>7.6732656479955516E-2</v>
      </c>
      <c r="L1036" s="25">
        <v>0.51</v>
      </c>
      <c r="M1036" s="24">
        <v>2</v>
      </c>
      <c r="N1036" s="108">
        <v>0</v>
      </c>
      <c r="O1036" s="24">
        <v>3</v>
      </c>
      <c r="P1036" s="24">
        <v>0</v>
      </c>
      <c r="Q1036" s="24">
        <v>3</v>
      </c>
      <c r="R1036" s="24">
        <v>3</v>
      </c>
      <c r="S1036" s="24">
        <v>0</v>
      </c>
      <c r="T1036" s="24">
        <v>0</v>
      </c>
      <c r="U1036" s="24">
        <v>773247000000</v>
      </c>
      <c r="V1036" s="109">
        <v>9.8465235121918196E-2</v>
      </c>
      <c r="W1036" s="109">
        <v>3.9833034463761252</v>
      </c>
      <c r="X1036" s="109">
        <v>0.98767105465653271</v>
      </c>
      <c r="Y1036" s="109">
        <v>0.23007561620025685</v>
      </c>
      <c r="Z1036" s="109">
        <v>0.64730303207679707</v>
      </c>
      <c r="AA1036" s="109">
        <v>5.8483531493097125</v>
      </c>
      <c r="AD1036" s="111"/>
    </row>
    <row r="1037" spans="1:30" ht="15" customHeight="1" x14ac:dyDescent="0.3">
      <c r="A1037" s="22" t="s">
        <v>154</v>
      </c>
      <c r="B1037" s="23">
        <v>128</v>
      </c>
      <c r="C1037" s="3" t="s">
        <v>92</v>
      </c>
      <c r="D1037" s="23">
        <v>2024</v>
      </c>
      <c r="E1037" s="25">
        <v>9.9376288501184646</v>
      </c>
      <c r="F1037" s="25">
        <v>3.0100310778793196</v>
      </c>
      <c r="G1037" s="25">
        <v>0.44179952940496636</v>
      </c>
      <c r="H1037" s="25">
        <v>0.79147108015515366</v>
      </c>
      <c r="I1037" s="25">
        <v>0.26613507038035339</v>
      </c>
      <c r="J1037" s="25">
        <v>2.5675058282635114E-2</v>
      </c>
      <c r="K1037" s="25">
        <v>4.5996124394638856E-2</v>
      </c>
      <c r="L1037" s="25">
        <v>0.51</v>
      </c>
      <c r="M1037" s="24">
        <v>2</v>
      </c>
      <c r="N1037" s="108">
        <v>0</v>
      </c>
      <c r="O1037" s="24">
        <v>3</v>
      </c>
      <c r="P1037" s="24">
        <v>0</v>
      </c>
      <c r="Q1037" s="24">
        <v>3</v>
      </c>
      <c r="R1037" s="24">
        <v>3</v>
      </c>
      <c r="S1037" s="24">
        <v>0</v>
      </c>
      <c r="T1037" s="24">
        <v>0</v>
      </c>
      <c r="U1037" s="24">
        <v>553767000000</v>
      </c>
      <c r="V1037" s="109">
        <v>-0.1770287756485304</v>
      </c>
      <c r="W1037" s="109">
        <v>3.440876469706573</v>
      </c>
      <c r="X1037" s="109">
        <v>1.4650858574093435</v>
      </c>
      <c r="Y1037" s="109">
        <v>0.19113945034644533</v>
      </c>
      <c r="Z1037" s="109">
        <v>1.3266435455786538</v>
      </c>
      <c r="AA1037" s="109">
        <v>6.4237453230410155</v>
      </c>
      <c r="AD1037" s="111"/>
    </row>
    <row r="1038" spans="1:30" ht="15" customHeight="1" x14ac:dyDescent="0.3">
      <c r="A1038" s="22" t="s">
        <v>154</v>
      </c>
      <c r="B1038" s="23">
        <v>129</v>
      </c>
      <c r="C1038" s="2" t="s">
        <v>87</v>
      </c>
      <c r="D1038" s="23">
        <v>2015</v>
      </c>
      <c r="E1038" s="25">
        <v>2.3637103684661525</v>
      </c>
      <c r="F1038" s="25">
        <v>0</v>
      </c>
      <c r="G1038" s="25">
        <v>0.54534340765831579</v>
      </c>
      <c r="H1038" s="25">
        <v>1.1994622245540398</v>
      </c>
      <c r="I1038" s="25">
        <v>4.5480954704966416E-2</v>
      </c>
      <c r="J1038" s="25">
        <v>1.1670552875297429E-2</v>
      </c>
      <c r="K1038" s="25">
        <v>2.5668940188877231E-2</v>
      </c>
      <c r="L1038" s="25">
        <v>0</v>
      </c>
      <c r="M1038" s="24">
        <v>0</v>
      </c>
      <c r="N1038" s="108">
        <v>0</v>
      </c>
      <c r="O1038" s="24">
        <v>0</v>
      </c>
      <c r="P1038" s="24">
        <v>0</v>
      </c>
      <c r="Q1038" s="24">
        <v>0</v>
      </c>
      <c r="R1038" s="24">
        <v>0</v>
      </c>
      <c r="S1038" s="24">
        <v>0</v>
      </c>
      <c r="T1038" s="24">
        <v>0</v>
      </c>
      <c r="U1038" s="24">
        <v>335374000000</v>
      </c>
      <c r="V1038" s="109">
        <v>0</v>
      </c>
      <c r="W1038" s="109">
        <v>1.8677497957504159</v>
      </c>
      <c r="X1038" s="109">
        <v>0.17229570568976724</v>
      </c>
      <c r="Y1038" s="109">
        <v>0.15601066272281094</v>
      </c>
      <c r="Z1038" s="109">
        <v>0.87539230373877763</v>
      </c>
      <c r="AA1038" s="109">
        <v>3.0714484679017717</v>
      </c>
      <c r="AD1038" s="111"/>
    </row>
    <row r="1039" spans="1:30" ht="15" customHeight="1" x14ac:dyDescent="0.3">
      <c r="A1039" s="22" t="s">
        <v>154</v>
      </c>
      <c r="B1039" s="23">
        <v>129</v>
      </c>
      <c r="C1039" s="3" t="s">
        <v>87</v>
      </c>
      <c r="D1039" s="23">
        <v>2016</v>
      </c>
      <c r="E1039" s="25">
        <v>4.4944147442431301</v>
      </c>
      <c r="F1039" s="25">
        <v>0.19197886547542278</v>
      </c>
      <c r="G1039" s="25">
        <v>0.56125645705832528</v>
      </c>
      <c r="H1039" s="25">
        <v>1.2792358225838028</v>
      </c>
      <c r="I1039" s="25">
        <v>6.181347850427598E-2</v>
      </c>
      <c r="J1039" s="25">
        <v>1.5279815802345418E-2</v>
      </c>
      <c r="K1039" s="25">
        <v>3.4826303539187746E-2</v>
      </c>
      <c r="L1039" s="25">
        <v>0.99970000000000003</v>
      </c>
      <c r="M1039" s="24">
        <v>2</v>
      </c>
      <c r="N1039" s="108">
        <v>0</v>
      </c>
      <c r="O1039" s="24">
        <v>3</v>
      </c>
      <c r="P1039" s="24">
        <v>0</v>
      </c>
      <c r="Q1039" s="24">
        <v>3</v>
      </c>
      <c r="R1039" s="24">
        <v>4</v>
      </c>
      <c r="S1039" s="24">
        <v>0</v>
      </c>
      <c r="T1039" s="24">
        <v>0</v>
      </c>
      <c r="U1039" s="24">
        <v>419115000000</v>
      </c>
      <c r="V1039" s="109">
        <v>0.20386251132956842</v>
      </c>
      <c r="W1039" s="109">
        <v>2.6293373417797024</v>
      </c>
      <c r="X1039" s="109">
        <v>0.15769714756093195</v>
      </c>
      <c r="Y1039" s="109">
        <v>3.8128341863211762E-2</v>
      </c>
      <c r="Z1039" s="109">
        <v>0.82080253027874728</v>
      </c>
      <c r="AA1039" s="109">
        <v>3.6459653614825935</v>
      </c>
      <c r="AD1039" s="111"/>
    </row>
    <row r="1040" spans="1:30" ht="15" customHeight="1" x14ac:dyDescent="0.3">
      <c r="A1040" s="22" t="s">
        <v>154</v>
      </c>
      <c r="B1040" s="23">
        <v>129</v>
      </c>
      <c r="C1040" s="3" t="s">
        <v>87</v>
      </c>
      <c r="D1040" s="23">
        <v>2017</v>
      </c>
      <c r="E1040" s="25">
        <v>2.8706342576229797</v>
      </c>
      <c r="F1040" s="25">
        <v>0.78060437618481504</v>
      </c>
      <c r="G1040" s="25">
        <v>0.654483695413418</v>
      </c>
      <c r="H1040" s="25">
        <v>0.654483695413418</v>
      </c>
      <c r="I1040" s="25">
        <v>-1.7296779472714329E-3</v>
      </c>
      <c r="J1040" s="25">
        <v>-4.5688338754430453E-4</v>
      </c>
      <c r="K1040" s="25">
        <v>-4.5688338754430453E-4</v>
      </c>
      <c r="L1040" s="25">
        <v>0.99980000000000002</v>
      </c>
      <c r="M1040" s="24">
        <v>2</v>
      </c>
      <c r="N1040" s="108">
        <v>0</v>
      </c>
      <c r="O1040" s="24">
        <v>3</v>
      </c>
      <c r="P1040" s="24">
        <v>0</v>
      </c>
      <c r="Q1040" s="24">
        <v>3</v>
      </c>
      <c r="R1040" s="24">
        <v>4</v>
      </c>
      <c r="S1040" s="24">
        <v>0</v>
      </c>
      <c r="T1040" s="24">
        <v>0</v>
      </c>
      <c r="U1040" s="24">
        <v>569073000000</v>
      </c>
      <c r="V1040" s="109">
        <v>0.45090828362386826</v>
      </c>
      <c r="W1040" s="109">
        <v>2.6845171709077746</v>
      </c>
      <c r="X1040" s="109">
        <v>0.14239617764329005</v>
      </c>
      <c r="Y1040" s="109">
        <v>8.013369110817066E-2</v>
      </c>
      <c r="Z1040" s="109">
        <v>1.6043180408592856</v>
      </c>
      <c r="AA1040" s="109">
        <v>4.5113650805185213</v>
      </c>
      <c r="AD1040" s="111"/>
    </row>
    <row r="1041" spans="1:30" ht="15" customHeight="1" x14ac:dyDescent="0.3">
      <c r="A1041" s="22" t="s">
        <v>154</v>
      </c>
      <c r="B1041" s="23">
        <v>129</v>
      </c>
      <c r="C1041" s="3" t="s">
        <v>87</v>
      </c>
      <c r="D1041" s="23">
        <v>2018</v>
      </c>
      <c r="E1041" s="25">
        <v>7.7328828979496267</v>
      </c>
      <c r="F1041" s="25">
        <v>0.35779509649797636</v>
      </c>
      <c r="G1041" s="25">
        <v>0.583240246576476</v>
      </c>
      <c r="H1041" s="25">
        <v>1.3994639400407007</v>
      </c>
      <c r="I1041" s="25">
        <v>5.7923925237601336E-2</v>
      </c>
      <c r="J1041" s="25">
        <v>2.2642836456911175E-2</v>
      </c>
      <c r="K1041" s="25">
        <v>5.4330669578597307E-2</v>
      </c>
      <c r="L1041" s="25">
        <v>0.99980000000000002</v>
      </c>
      <c r="M1041" s="24">
        <v>2</v>
      </c>
      <c r="N1041" s="108">
        <v>0</v>
      </c>
      <c r="O1041" s="24">
        <v>3</v>
      </c>
      <c r="P1041" s="24">
        <v>0</v>
      </c>
      <c r="Q1041" s="24">
        <v>3</v>
      </c>
      <c r="R1041" s="24">
        <v>4</v>
      </c>
      <c r="S1041" s="24">
        <v>0</v>
      </c>
      <c r="T1041" s="24">
        <v>0</v>
      </c>
      <c r="U1041" s="24">
        <v>483420000000</v>
      </c>
      <c r="V1041" s="109">
        <v>0.25715654250683556</v>
      </c>
      <c r="W1041" s="109">
        <v>2.7315420959000454</v>
      </c>
      <c r="X1041" s="109">
        <v>0.20315150386827188</v>
      </c>
      <c r="Y1041" s="109">
        <v>0.18766290182450043</v>
      </c>
      <c r="Z1041" s="109">
        <v>0.75028728497960628</v>
      </c>
      <c r="AA1041" s="109">
        <v>3.8726437865724241</v>
      </c>
      <c r="AD1041" s="111"/>
    </row>
    <row r="1042" spans="1:30" ht="15" customHeight="1" x14ac:dyDescent="0.3">
      <c r="A1042" s="22" t="s">
        <v>154</v>
      </c>
      <c r="B1042" s="23">
        <v>129</v>
      </c>
      <c r="C1042" s="3" t="s">
        <v>87</v>
      </c>
      <c r="D1042" s="23">
        <v>2019</v>
      </c>
      <c r="E1042" s="25">
        <v>5.2093304157549234</v>
      </c>
      <c r="F1042" s="25">
        <v>0.58329978118161929</v>
      </c>
      <c r="G1042" s="25">
        <v>0.66303310460733877</v>
      </c>
      <c r="H1042" s="25">
        <v>1.9676505724240916</v>
      </c>
      <c r="I1042" s="25">
        <v>2.937890511855009E-2</v>
      </c>
      <c r="J1042" s="25">
        <v>9.5269883814351197E-3</v>
      </c>
      <c r="K1042" s="25">
        <v>2.8272772523643602E-2</v>
      </c>
      <c r="L1042" s="25">
        <v>0.99980000000000002</v>
      </c>
      <c r="M1042" s="24">
        <v>2</v>
      </c>
      <c r="N1042" s="108">
        <v>0</v>
      </c>
      <c r="O1042" s="24">
        <v>3</v>
      </c>
      <c r="P1042" s="24">
        <v>0</v>
      </c>
      <c r="Q1042" s="24">
        <v>3</v>
      </c>
      <c r="R1042" s="24">
        <v>4</v>
      </c>
      <c r="S1042" s="24">
        <v>0</v>
      </c>
      <c r="T1042" s="24">
        <v>0</v>
      </c>
      <c r="U1042" s="24">
        <v>596201000000</v>
      </c>
      <c r="V1042" s="109">
        <v>2.3093368329699639E-2</v>
      </c>
      <c r="W1042" s="109">
        <v>2.6457595341168498</v>
      </c>
      <c r="X1042" s="109">
        <v>0.16205923841120695</v>
      </c>
      <c r="Y1042" s="109">
        <v>5.5894706650944891E-2</v>
      </c>
      <c r="Z1042" s="109">
        <v>0.53363133409730812</v>
      </c>
      <c r="AA1042" s="109">
        <v>3.3973448132763098</v>
      </c>
      <c r="AD1042" s="111"/>
    </row>
    <row r="1043" spans="1:30" ht="15" customHeight="1" x14ac:dyDescent="0.3">
      <c r="A1043" s="22" t="s">
        <v>154</v>
      </c>
      <c r="B1043" s="23">
        <v>129</v>
      </c>
      <c r="C1043" s="3" t="s">
        <v>87</v>
      </c>
      <c r="D1043" s="23">
        <v>2020</v>
      </c>
      <c r="E1043" s="25">
        <v>7.2609505588561074</v>
      </c>
      <c r="F1043" s="25">
        <v>0.36224952169972813</v>
      </c>
      <c r="G1043" s="25">
        <v>0.64529806699780323</v>
      </c>
      <c r="H1043" s="25">
        <v>1.8192685377719851</v>
      </c>
      <c r="I1043" s="25">
        <v>1.271860925113121E-2</v>
      </c>
      <c r="J1043" s="25">
        <v>4.3000696974776573E-3</v>
      </c>
      <c r="K1043" s="25">
        <v>1.2123051208325457E-2</v>
      </c>
      <c r="L1043" s="25">
        <v>0.99980000000000002</v>
      </c>
      <c r="M1043" s="24">
        <v>2</v>
      </c>
      <c r="N1043" s="108">
        <v>0</v>
      </c>
      <c r="O1043" s="24">
        <v>3</v>
      </c>
      <c r="P1043" s="24">
        <v>0</v>
      </c>
      <c r="Q1043" s="24">
        <v>3</v>
      </c>
      <c r="R1043" s="24">
        <v>3</v>
      </c>
      <c r="S1043" s="24">
        <v>0</v>
      </c>
      <c r="T1043" s="24">
        <v>0</v>
      </c>
      <c r="U1043" s="24">
        <v>566735000000</v>
      </c>
      <c r="V1043" s="109">
        <v>-8.9326354119253527E-3</v>
      </c>
      <c r="W1043" s="109">
        <v>2.8788368461450236</v>
      </c>
      <c r="X1043" s="109">
        <v>0.20649418158398544</v>
      </c>
      <c r="Y1043" s="109">
        <v>0.10646753773809628</v>
      </c>
      <c r="Z1043" s="109">
        <v>0.57715503687317649</v>
      </c>
      <c r="AA1043" s="109">
        <v>3.7689536023402814</v>
      </c>
      <c r="AD1043" s="111"/>
    </row>
    <row r="1044" spans="1:30" ht="15" customHeight="1" x14ac:dyDescent="0.3">
      <c r="A1044" s="22" t="s">
        <v>154</v>
      </c>
      <c r="B1044" s="23">
        <v>129</v>
      </c>
      <c r="C1044" s="3" t="s">
        <v>87</v>
      </c>
      <c r="D1044" s="23">
        <v>2021</v>
      </c>
      <c r="E1044" s="25">
        <v>7.6838413340323024</v>
      </c>
      <c r="F1044" s="25">
        <v>1.5797199131281361</v>
      </c>
      <c r="G1044" s="25">
        <v>0.64698887097674562</v>
      </c>
      <c r="H1044" s="25">
        <v>1.8327718810647626</v>
      </c>
      <c r="I1044" s="25">
        <v>6.674268912156367E-2</v>
      </c>
      <c r="J1044" s="25">
        <v>2.3959794098691211E-2</v>
      </c>
      <c r="K1044" s="25">
        <v>6.7872630998873903E-2</v>
      </c>
      <c r="L1044" s="25">
        <v>0.99980000000000002</v>
      </c>
      <c r="M1044" s="24">
        <v>1</v>
      </c>
      <c r="N1044" s="108">
        <v>0</v>
      </c>
      <c r="O1044" s="24">
        <v>2</v>
      </c>
      <c r="P1044" s="24">
        <v>0</v>
      </c>
      <c r="Q1044" s="24">
        <v>2</v>
      </c>
      <c r="R1044" s="24">
        <v>3</v>
      </c>
      <c r="S1044" s="24">
        <v>0</v>
      </c>
      <c r="T1044" s="24">
        <v>0</v>
      </c>
      <c r="U1044" s="24">
        <v>591157000000</v>
      </c>
      <c r="V1044" s="109">
        <v>0.10755757819309114</v>
      </c>
      <c r="W1044" s="109">
        <v>2.9711682006641214</v>
      </c>
      <c r="X1044" s="109">
        <v>0.24401595515235378</v>
      </c>
      <c r="Y1044" s="109">
        <v>0.2627265514913974</v>
      </c>
      <c r="Z1044" s="109">
        <v>0.5729027222907821</v>
      </c>
      <c r="AA1044" s="109">
        <v>4.0508134295986542</v>
      </c>
      <c r="AD1044" s="111"/>
    </row>
    <row r="1045" spans="1:30" ht="15" customHeight="1" x14ac:dyDescent="0.3">
      <c r="A1045" s="22" t="s">
        <v>154</v>
      </c>
      <c r="B1045" s="23">
        <v>129</v>
      </c>
      <c r="C1045" s="3" t="s">
        <v>87</v>
      </c>
      <c r="D1045" s="23">
        <v>2022</v>
      </c>
      <c r="E1045" s="25">
        <v>4.3475831883427576</v>
      </c>
      <c r="F1045" s="25">
        <v>0.61488690735102214</v>
      </c>
      <c r="G1045" s="25">
        <v>0.6780983030459522</v>
      </c>
      <c r="H1045" s="25">
        <v>2.106538454013656</v>
      </c>
      <c r="I1045" s="25">
        <v>4.3874806422691336E-2</v>
      </c>
      <c r="J1045" s="25">
        <v>1.6950646946018031E-2</v>
      </c>
      <c r="K1045" s="25">
        <v>5.2657836558214155E-2</v>
      </c>
      <c r="L1045" s="25">
        <v>0.99980000000000002</v>
      </c>
      <c r="M1045" s="24">
        <v>2</v>
      </c>
      <c r="N1045" s="108">
        <v>0</v>
      </c>
      <c r="O1045" s="24">
        <v>3</v>
      </c>
      <c r="P1045" s="24">
        <v>0</v>
      </c>
      <c r="Q1045" s="24">
        <v>3</v>
      </c>
      <c r="R1045" s="24">
        <v>3</v>
      </c>
      <c r="S1045" s="24">
        <v>0</v>
      </c>
      <c r="T1045" s="24">
        <v>0</v>
      </c>
      <c r="U1045" s="24">
        <v>635138000000</v>
      </c>
      <c r="V1045" s="109">
        <v>0.15626384189842521</v>
      </c>
      <c r="W1045" s="109">
        <v>2.5436424839956042</v>
      </c>
      <c r="X1045" s="109">
        <v>0.25823855603034296</v>
      </c>
      <c r="Y1045" s="109">
        <v>0.27080476998699493</v>
      </c>
      <c r="Z1045" s="109">
        <v>0.49844805728535413</v>
      </c>
      <c r="AA1045" s="109">
        <v>3.5711338672982964</v>
      </c>
      <c r="AD1045" s="111"/>
    </row>
    <row r="1046" spans="1:30" ht="15" customHeight="1" x14ac:dyDescent="0.3">
      <c r="A1046" s="22" t="s">
        <v>154</v>
      </c>
      <c r="B1046" s="23">
        <v>129</v>
      </c>
      <c r="C1046" s="3" t="s">
        <v>87</v>
      </c>
      <c r="D1046" s="23">
        <v>2023</v>
      </c>
      <c r="E1046" s="25">
        <v>6.1555882952212277</v>
      </c>
      <c r="F1046" s="25">
        <v>1.8715264172531072</v>
      </c>
      <c r="G1046" s="25">
        <v>0.66080218765055931</v>
      </c>
      <c r="H1046" s="25">
        <v>1.948132221353488</v>
      </c>
      <c r="I1046" s="25">
        <v>0.15842387211148146</v>
      </c>
      <c r="J1046" s="25">
        <v>6.0434436047907894E-2</v>
      </c>
      <c r="K1046" s="25">
        <v>0.17816870819216402</v>
      </c>
      <c r="L1046" s="25">
        <v>0.99980000000000002</v>
      </c>
      <c r="M1046" s="24">
        <v>2</v>
      </c>
      <c r="N1046" s="108">
        <v>0</v>
      </c>
      <c r="O1046" s="24">
        <v>3</v>
      </c>
      <c r="P1046" s="24">
        <v>0</v>
      </c>
      <c r="Q1046" s="24">
        <v>3</v>
      </c>
      <c r="R1046" s="24">
        <v>4</v>
      </c>
      <c r="S1046" s="24">
        <v>0</v>
      </c>
      <c r="T1046" s="24">
        <v>0</v>
      </c>
      <c r="U1046" s="24">
        <v>678719000000</v>
      </c>
      <c r="V1046" s="109">
        <v>5.5151194066346075E-2</v>
      </c>
      <c r="W1046" s="109">
        <v>3.1793120864452002</v>
      </c>
      <c r="X1046" s="109">
        <v>0.2704230469457905</v>
      </c>
      <c r="Y1046" s="109">
        <v>0.26078256244484094</v>
      </c>
      <c r="Z1046" s="109">
        <v>0.53897779036296634</v>
      </c>
      <c r="AA1046" s="109">
        <v>4.2494954861987981</v>
      </c>
      <c r="AD1046" s="111"/>
    </row>
    <row r="1047" spans="1:30" ht="15" customHeight="1" x14ac:dyDescent="0.3">
      <c r="A1047" s="22" t="s">
        <v>154</v>
      </c>
      <c r="B1047" s="23">
        <v>129</v>
      </c>
      <c r="C1047" s="3" t="s">
        <v>87</v>
      </c>
      <c r="D1047" s="23">
        <v>2024</v>
      </c>
      <c r="E1047" s="25">
        <v>3.2889135204831814</v>
      </c>
      <c r="F1047" s="25">
        <v>0.30276879227271697</v>
      </c>
      <c r="G1047" s="25">
        <v>0.65909552006416761</v>
      </c>
      <c r="H1047" s="25">
        <v>1.9333730087332013</v>
      </c>
      <c r="I1047" s="25">
        <v>-1.6808649729097E-2</v>
      </c>
      <c r="J1047" s="25">
        <v>-7.7237019037957964E-3</v>
      </c>
      <c r="K1047" s="25">
        <v>-2.2656498692095829E-2</v>
      </c>
      <c r="L1047" s="25">
        <v>0.99980000000000002</v>
      </c>
      <c r="M1047" s="24">
        <v>1</v>
      </c>
      <c r="N1047" s="108">
        <v>0</v>
      </c>
      <c r="O1047" s="24">
        <v>3</v>
      </c>
      <c r="P1047" s="24">
        <v>0</v>
      </c>
      <c r="Q1047" s="24">
        <v>3</v>
      </c>
      <c r="R1047" s="24">
        <v>4</v>
      </c>
      <c r="S1047" s="24">
        <v>0</v>
      </c>
      <c r="T1047" s="24">
        <v>0</v>
      </c>
      <c r="U1047" s="24">
        <v>635835000000</v>
      </c>
      <c r="V1047" s="109">
        <v>0.12845241451761788</v>
      </c>
      <c r="W1047" s="109">
        <v>2.0879006660532999</v>
      </c>
      <c r="X1047" s="109">
        <v>0.3152715091179315</v>
      </c>
      <c r="Y1047" s="109">
        <v>0.18875840430300314</v>
      </c>
      <c r="Z1047" s="109">
        <v>0.54309230306674683</v>
      </c>
      <c r="AA1047" s="109">
        <v>3.1350228825409814</v>
      </c>
      <c r="AD1047" s="111"/>
    </row>
    <row r="1048" spans="1:30" ht="15" customHeight="1" x14ac:dyDescent="0.3">
      <c r="A1048" s="22" t="s">
        <v>154</v>
      </c>
      <c r="B1048" s="23">
        <v>130</v>
      </c>
      <c r="C1048" s="3" t="s">
        <v>113</v>
      </c>
      <c r="D1048" s="23">
        <v>2019</v>
      </c>
      <c r="E1048" s="25">
        <v>4.0091452303258892</v>
      </c>
      <c r="F1048" s="25">
        <v>0.12715175657922617</v>
      </c>
      <c r="G1048" s="25">
        <v>0.80202346581882855</v>
      </c>
      <c r="H1048" s="25">
        <v>4.0511036782009935</v>
      </c>
      <c r="I1048" s="25">
        <v>2.1328162869607369E-3</v>
      </c>
      <c r="J1048" s="25">
        <v>8.7789210986377575E-4</v>
      </c>
      <c r="K1048" s="25">
        <v>4.4343240651965486E-3</v>
      </c>
      <c r="L1048" s="25">
        <v>0</v>
      </c>
      <c r="M1048" s="24">
        <v>0</v>
      </c>
      <c r="N1048" s="108">
        <v>0</v>
      </c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927221000000</v>
      </c>
      <c r="V1048" s="109">
        <v>0</v>
      </c>
      <c r="W1048" s="109">
        <v>2.5118316345294165</v>
      </c>
      <c r="X1048" s="109">
        <v>0.48713605494267276</v>
      </c>
      <c r="Y1048" s="109">
        <v>1.9488428325070292E-2</v>
      </c>
      <c r="Z1048" s="109">
        <v>0.25918862695370021</v>
      </c>
      <c r="AA1048" s="109">
        <v>3.2776447447508597</v>
      </c>
      <c r="AD1048" s="111"/>
    </row>
    <row r="1049" spans="1:30" ht="15" customHeight="1" x14ac:dyDescent="0.3">
      <c r="A1049" s="22" t="s">
        <v>154</v>
      </c>
      <c r="B1049" s="23">
        <v>130</v>
      </c>
      <c r="C1049" s="3" t="s">
        <v>113</v>
      </c>
      <c r="D1049" s="23">
        <v>2020</v>
      </c>
      <c r="E1049" s="25">
        <v>7.9970140706806285</v>
      </c>
      <c r="F1049" s="25">
        <v>0.26331397251308902</v>
      </c>
      <c r="G1049" s="25">
        <v>0.7963032309494833</v>
      </c>
      <c r="H1049" s="25">
        <v>3.9092852566780869</v>
      </c>
      <c r="I1049" s="25">
        <v>-0.15487462766056267</v>
      </c>
      <c r="J1049" s="25">
        <v>-3.5474060772148416E-2</v>
      </c>
      <c r="K1049" s="25">
        <v>-0.1741525305701791</v>
      </c>
      <c r="L1049" s="25">
        <v>0.55000000000000004</v>
      </c>
      <c r="M1049" s="24">
        <v>2</v>
      </c>
      <c r="N1049" s="108">
        <v>0</v>
      </c>
      <c r="O1049" s="24">
        <v>3</v>
      </c>
      <c r="P1049" s="24">
        <v>0</v>
      </c>
      <c r="Q1049" s="24">
        <v>3</v>
      </c>
      <c r="R1049" s="24">
        <v>3</v>
      </c>
      <c r="S1049" s="24">
        <v>0</v>
      </c>
      <c r="T1049" s="24">
        <v>0</v>
      </c>
      <c r="U1049" s="24">
        <v>704994000000</v>
      </c>
      <c r="V1049" s="109">
        <v>-0.57689798378116364</v>
      </c>
      <c r="W1049" s="109">
        <v>3.1834973914671614</v>
      </c>
      <c r="X1049" s="109">
        <v>0.51489479343086597</v>
      </c>
      <c r="Y1049" s="109">
        <v>-0.22367781853462582</v>
      </c>
      <c r="Z1049" s="109">
        <v>0.26859129765634882</v>
      </c>
      <c r="AA1049" s="109">
        <v>3.7433056640197502</v>
      </c>
      <c r="AD1049" s="111"/>
    </row>
    <row r="1050" spans="1:30" ht="15" customHeight="1" x14ac:dyDescent="0.3">
      <c r="A1050" s="22" t="s">
        <v>154</v>
      </c>
      <c r="B1050" s="23">
        <v>130</v>
      </c>
      <c r="C1050" s="3" t="s">
        <v>113</v>
      </c>
      <c r="D1050" s="23">
        <v>2021</v>
      </c>
      <c r="E1050" s="25">
        <v>10.698133137385474</v>
      </c>
      <c r="F1050" s="25">
        <v>0.9458081701072355</v>
      </c>
      <c r="G1050" s="25">
        <v>0.84343186851377117</v>
      </c>
      <c r="H1050" s="25">
        <v>5.3870458429303811</v>
      </c>
      <c r="I1050" s="25">
        <v>-2.7484474123539231</v>
      </c>
      <c r="J1050" s="25">
        <v>-0.17954448624196059</v>
      </c>
      <c r="K1050" s="25">
        <v>-1.1467605319860317</v>
      </c>
      <c r="L1050" s="25">
        <v>0.55000000000000004</v>
      </c>
      <c r="M1050" s="24">
        <v>2</v>
      </c>
      <c r="N1050" s="108">
        <v>0</v>
      </c>
      <c r="O1050" s="24">
        <v>3</v>
      </c>
      <c r="P1050" s="24">
        <v>0</v>
      </c>
      <c r="Q1050" s="24">
        <v>3</v>
      </c>
      <c r="R1050" s="24">
        <v>2</v>
      </c>
      <c r="S1050" s="24">
        <v>0</v>
      </c>
      <c r="T1050" s="24">
        <v>0</v>
      </c>
      <c r="U1050" s="24">
        <v>687707000000</v>
      </c>
      <c r="V1050" s="109">
        <v>-0.72179044953213733</v>
      </c>
      <c r="W1050" s="109">
        <v>4.0287166482237344</v>
      </c>
      <c r="X1050" s="109">
        <v>-9.9505545239469709E-2</v>
      </c>
      <c r="Y1050" s="109">
        <v>-1.428383657575101</v>
      </c>
      <c r="Z1050" s="109">
        <v>0.19491202239868699</v>
      </c>
      <c r="AA1050" s="109">
        <v>2.6957394678078508</v>
      </c>
      <c r="AD1050" s="111"/>
    </row>
    <row r="1051" spans="1:30" ht="15" customHeight="1" x14ac:dyDescent="0.3">
      <c r="A1051" s="22" t="s">
        <v>154</v>
      </c>
      <c r="B1051" s="23">
        <v>130</v>
      </c>
      <c r="C1051" s="3" t="s">
        <v>113</v>
      </c>
      <c r="D1051" s="23">
        <v>2022</v>
      </c>
      <c r="E1051" s="25">
        <v>11.400517066694617</v>
      </c>
      <c r="F1051" s="25">
        <v>0.20899276805366312</v>
      </c>
      <c r="G1051" s="25">
        <v>0.86642924376459274</v>
      </c>
      <c r="H1051" s="25">
        <v>6.4866687004270895</v>
      </c>
      <c r="I1051" s="25">
        <v>-6.0562842919952037E-2</v>
      </c>
      <c r="J1051" s="25">
        <v>-1.3583225012529898E-2</v>
      </c>
      <c r="K1051" s="25">
        <v>-0.10169310555216596</v>
      </c>
      <c r="L1051" s="25">
        <v>0.55000000000000004</v>
      </c>
      <c r="M1051" s="24">
        <v>2</v>
      </c>
      <c r="N1051" s="108">
        <v>0</v>
      </c>
      <c r="O1051" s="24">
        <v>3</v>
      </c>
      <c r="P1051" s="24">
        <v>0</v>
      </c>
      <c r="Q1051" s="24">
        <v>3</v>
      </c>
      <c r="R1051" s="24">
        <v>3</v>
      </c>
      <c r="S1051" s="24">
        <v>0</v>
      </c>
      <c r="T1051" s="24">
        <v>0</v>
      </c>
      <c r="U1051" s="24">
        <v>490826000000</v>
      </c>
      <c r="V1051" s="109">
        <v>1.45039510294936</v>
      </c>
      <c r="W1051" s="109">
        <v>3.9787473361231878</v>
      </c>
      <c r="X1051" s="109">
        <v>-0.16166963445294258</v>
      </c>
      <c r="Y1051" s="109">
        <v>-0.16046093727716135</v>
      </c>
      <c r="Z1051" s="109">
        <v>0.16187045284598345</v>
      </c>
      <c r="AA1051" s="109">
        <v>3.8184872172390674</v>
      </c>
      <c r="AD1051" s="111"/>
    </row>
    <row r="1052" spans="1:30" ht="15" customHeight="1" x14ac:dyDescent="0.3">
      <c r="A1052" s="22" t="s">
        <v>154</v>
      </c>
      <c r="B1052" s="23">
        <v>130</v>
      </c>
      <c r="C1052" s="3" t="s">
        <v>113</v>
      </c>
      <c r="D1052" s="23">
        <v>2023</v>
      </c>
      <c r="E1052" s="25">
        <v>7.2851347905704547</v>
      </c>
      <c r="F1052" s="25">
        <v>1.1388933960733409</v>
      </c>
      <c r="G1052" s="25">
        <v>0.6024927449452766</v>
      </c>
      <c r="H1052" s="25">
        <v>2.6494789835503925</v>
      </c>
      <c r="I1052" s="25">
        <v>0.13008772448015124</v>
      </c>
      <c r="J1052" s="25">
        <v>2.9967713730680121E-2</v>
      </c>
      <c r="K1052" s="25">
        <v>0.1317838735497191</v>
      </c>
      <c r="L1052" s="25">
        <v>0.68479999999999996</v>
      </c>
      <c r="M1052" s="24">
        <v>2</v>
      </c>
      <c r="N1052" s="108">
        <v>0</v>
      </c>
      <c r="O1052" s="24">
        <v>3</v>
      </c>
      <c r="P1052" s="24">
        <v>0</v>
      </c>
      <c r="Q1052" s="24">
        <v>3</v>
      </c>
      <c r="R1052" s="24">
        <v>3</v>
      </c>
      <c r="S1052" s="24">
        <v>0</v>
      </c>
      <c r="T1052" s="24">
        <v>0</v>
      </c>
      <c r="U1052" s="24">
        <v>587866000000</v>
      </c>
      <c r="V1052" s="109">
        <v>0.2301878565459104</v>
      </c>
      <c r="W1052" s="109">
        <v>3.0257308978576747</v>
      </c>
      <c r="X1052" s="109">
        <v>-3.3771982050331197E-2</v>
      </c>
      <c r="Y1052" s="109">
        <v>0.21671224394674976</v>
      </c>
      <c r="Z1052" s="109">
        <v>0.39630433248161273</v>
      </c>
      <c r="AA1052" s="109">
        <v>3.604975492235706</v>
      </c>
      <c r="AD1052" s="111"/>
    </row>
    <row r="1053" spans="1:30" ht="15" customHeight="1" x14ac:dyDescent="0.3">
      <c r="A1053" s="22" t="s">
        <v>154</v>
      </c>
      <c r="B1053" s="23">
        <v>130</v>
      </c>
      <c r="C1053" s="3" t="s">
        <v>113</v>
      </c>
      <c r="D1053" s="23">
        <v>2024</v>
      </c>
      <c r="E1053" s="25">
        <v>11.257546468401488</v>
      </c>
      <c r="F1053" s="25">
        <v>1.9947583643122677</v>
      </c>
      <c r="G1053" s="25">
        <v>0.5670961325926076</v>
      </c>
      <c r="H1053" s="25">
        <v>2.2830052737131399</v>
      </c>
      <c r="I1053" s="25">
        <v>9.4982131349229601E-3</v>
      </c>
      <c r="J1053" s="25">
        <v>2.3930286665276731E-3</v>
      </c>
      <c r="K1053" s="25">
        <v>9.6338111862140675E-3</v>
      </c>
      <c r="L1053" s="25">
        <v>0.68479999999999996</v>
      </c>
      <c r="M1053" s="24">
        <v>2</v>
      </c>
      <c r="N1053" s="108">
        <v>0</v>
      </c>
      <c r="O1053" s="24">
        <v>3</v>
      </c>
      <c r="P1053" s="24">
        <v>0</v>
      </c>
      <c r="Q1053" s="24">
        <v>3</v>
      </c>
      <c r="R1053" s="24">
        <v>3</v>
      </c>
      <c r="S1053" s="24">
        <v>0</v>
      </c>
      <c r="T1053" s="24">
        <v>0</v>
      </c>
      <c r="U1053" s="24">
        <v>541991000000</v>
      </c>
      <c r="V1053" s="109">
        <v>8.3293950850661623E-3</v>
      </c>
      <c r="W1053" s="109">
        <v>3.3397006223350569</v>
      </c>
      <c r="X1053" s="109">
        <v>-2.4703030124116451E-2</v>
      </c>
      <c r="Y1053" s="109">
        <v>2.6595275567306464E-2</v>
      </c>
      <c r="Z1053" s="109">
        <v>0.45992009396117273</v>
      </c>
      <c r="AA1053" s="109">
        <v>3.8015129617394203</v>
      </c>
      <c r="AD1053" s="111"/>
    </row>
    <row r="1054" spans="1:30" ht="15" customHeight="1" x14ac:dyDescent="0.3">
      <c r="A1054" s="22" t="s">
        <v>154</v>
      </c>
      <c r="B1054" s="23">
        <v>131</v>
      </c>
      <c r="C1054" s="2" t="s">
        <v>121</v>
      </c>
      <c r="D1054" s="23">
        <v>2015</v>
      </c>
      <c r="E1054" s="25">
        <v>2.7504245542180712</v>
      </c>
      <c r="F1054" s="25">
        <v>0.10740909544977774</v>
      </c>
      <c r="G1054" s="25">
        <v>0.75883251887298109</v>
      </c>
      <c r="H1054" s="25">
        <v>3.1464960173188374</v>
      </c>
      <c r="I1054" s="25">
        <v>0.21140851194840396</v>
      </c>
      <c r="J1054" s="25">
        <v>4.0248864116349294E-2</v>
      </c>
      <c r="K1054" s="25">
        <v>0.16689175476004942</v>
      </c>
      <c r="L1054" s="25">
        <v>0</v>
      </c>
      <c r="M1054" s="24">
        <v>0</v>
      </c>
      <c r="N1054" s="108">
        <v>0</v>
      </c>
      <c r="O1054" s="24">
        <v>0</v>
      </c>
      <c r="P1054" s="24">
        <v>0</v>
      </c>
      <c r="Q1054" s="24">
        <v>0</v>
      </c>
      <c r="R1054" s="24">
        <v>0</v>
      </c>
      <c r="S1054" s="24">
        <v>0</v>
      </c>
      <c r="T1054" s="24">
        <v>0</v>
      </c>
      <c r="U1054" s="24">
        <v>1654879000000</v>
      </c>
      <c r="V1054" s="109">
        <v>0</v>
      </c>
      <c r="W1054" s="109">
        <v>2.2227301452251189</v>
      </c>
      <c r="X1054" s="109">
        <v>0.47645970490893891</v>
      </c>
      <c r="Y1054" s="109">
        <v>0.35666926705819579</v>
      </c>
      <c r="Z1054" s="109">
        <v>0.33370453807048395</v>
      </c>
      <c r="AA1054" s="109">
        <v>3.3895636552627373</v>
      </c>
      <c r="AD1054" s="111"/>
    </row>
    <row r="1055" spans="1:30" ht="15" customHeight="1" x14ac:dyDescent="0.3">
      <c r="A1055" s="22" t="s">
        <v>154</v>
      </c>
      <c r="B1055" s="23">
        <v>131</v>
      </c>
      <c r="C1055" s="3" t="s">
        <v>121</v>
      </c>
      <c r="D1055" s="23">
        <v>2016</v>
      </c>
      <c r="E1055" s="25">
        <v>3.3237430599312829</v>
      </c>
      <c r="F1055" s="25">
        <v>0.2700117698809934</v>
      </c>
      <c r="G1055" s="25">
        <v>0.72347573513303687</v>
      </c>
      <c r="H1055" s="25">
        <v>2.6163191699690578</v>
      </c>
      <c r="I1055" s="25">
        <v>0.1364543276198574</v>
      </c>
      <c r="J1055" s="25">
        <v>2.7139197743196345E-2</v>
      </c>
      <c r="K1055" s="25">
        <v>9.814400105630193E-2</v>
      </c>
      <c r="L1055" s="25">
        <v>0.8</v>
      </c>
      <c r="M1055" s="24">
        <v>2</v>
      </c>
      <c r="N1055" s="108">
        <v>0</v>
      </c>
      <c r="O1055" s="24">
        <v>4</v>
      </c>
      <c r="P1055" s="24">
        <v>0</v>
      </c>
      <c r="Q1055" s="24">
        <v>4</v>
      </c>
      <c r="R1055" s="24">
        <v>4</v>
      </c>
      <c r="S1055" s="24">
        <v>0</v>
      </c>
      <c r="T1055" s="24">
        <v>0</v>
      </c>
      <c r="U1055" s="24">
        <v>2081528000000</v>
      </c>
      <c r="V1055" s="109">
        <v>0.31399751795672609</v>
      </c>
      <c r="W1055" s="109">
        <v>2.4639551713933225</v>
      </c>
      <c r="X1055" s="109">
        <v>0.46727238836085794</v>
      </c>
      <c r="Y1055" s="109">
        <v>0.23602169175720913</v>
      </c>
      <c r="Z1055" s="109">
        <v>0.40132718211609403</v>
      </c>
      <c r="AA1055" s="109">
        <v>3.5685764336274839</v>
      </c>
      <c r="AD1055" s="111"/>
    </row>
    <row r="1056" spans="1:30" ht="15" customHeight="1" x14ac:dyDescent="0.3">
      <c r="A1056" s="22" t="s">
        <v>154</v>
      </c>
      <c r="B1056" s="23">
        <v>131</v>
      </c>
      <c r="C1056" s="3" t="s">
        <v>121</v>
      </c>
      <c r="D1056" s="23">
        <v>2017</v>
      </c>
      <c r="E1056" s="25">
        <v>2.2163628596122007</v>
      </c>
      <c r="F1056" s="25">
        <v>0.12769149294310583</v>
      </c>
      <c r="G1056" s="25">
        <v>0.7218841641352165</v>
      </c>
      <c r="H1056" s="25">
        <v>2.5962640238859369</v>
      </c>
      <c r="I1056" s="25">
        <v>-4.9578536311877808E-2</v>
      </c>
      <c r="J1056" s="25">
        <v>-1.1137052220276418E-2</v>
      </c>
      <c r="K1056" s="25">
        <v>-4.0054525986563443E-2</v>
      </c>
      <c r="L1056" s="25">
        <v>0.8</v>
      </c>
      <c r="M1056" s="24">
        <v>2</v>
      </c>
      <c r="N1056" s="108">
        <v>0</v>
      </c>
      <c r="O1056" s="24">
        <v>4</v>
      </c>
      <c r="P1056" s="24">
        <v>0</v>
      </c>
      <c r="Q1056" s="24">
        <v>4</v>
      </c>
      <c r="R1056" s="24">
        <v>5</v>
      </c>
      <c r="S1056" s="24">
        <v>0</v>
      </c>
      <c r="T1056" s="24">
        <v>0</v>
      </c>
      <c r="U1056" s="24">
        <v>2509102000000</v>
      </c>
      <c r="V1056" s="109">
        <v>0.36145384451873463</v>
      </c>
      <c r="W1056" s="109">
        <v>1.6153389061106322</v>
      </c>
      <c r="X1056" s="109">
        <v>0.3513380962591397</v>
      </c>
      <c r="Y1056" s="109">
        <v>-8.7102014983846801E-2</v>
      </c>
      <c r="Z1056" s="109">
        <v>0.40442728102376163</v>
      </c>
      <c r="AA1056" s="109">
        <v>2.2840022684096866</v>
      </c>
      <c r="AD1056" s="111"/>
    </row>
    <row r="1057" spans="1:30" ht="15" customHeight="1" x14ac:dyDescent="0.3">
      <c r="A1057" s="22" t="s">
        <v>154</v>
      </c>
      <c r="B1057" s="23">
        <v>131</v>
      </c>
      <c r="C1057" s="3" t="s">
        <v>121</v>
      </c>
      <c r="D1057" s="23">
        <v>2018</v>
      </c>
      <c r="E1057" s="25">
        <v>2.1638853136431377</v>
      </c>
      <c r="F1057" s="25">
        <v>0.11768391816826988</v>
      </c>
      <c r="G1057" s="25">
        <v>0.72192687087303364</v>
      </c>
      <c r="H1057" s="25">
        <v>2.6044638912894613</v>
      </c>
      <c r="I1057" s="25">
        <v>4.2611673175920677E-2</v>
      </c>
      <c r="J1057" s="25">
        <v>1.0365085325918788E-2</v>
      </c>
      <c r="K1057" s="25">
        <v>3.7393663472927413E-2</v>
      </c>
      <c r="L1057" s="25">
        <v>0.8</v>
      </c>
      <c r="M1057" s="24">
        <v>2</v>
      </c>
      <c r="N1057" s="108">
        <v>0</v>
      </c>
      <c r="O1057" s="24">
        <v>4</v>
      </c>
      <c r="P1057" s="24">
        <v>0</v>
      </c>
      <c r="Q1057" s="24">
        <v>4</v>
      </c>
      <c r="R1057" s="24">
        <v>5</v>
      </c>
      <c r="S1057" s="24">
        <v>0</v>
      </c>
      <c r="T1057" s="24">
        <v>0</v>
      </c>
      <c r="U1057" s="24">
        <v>3176819000000</v>
      </c>
      <c r="V1057" s="109">
        <v>0.37101401448820237</v>
      </c>
      <c r="W1057" s="109">
        <v>1.419144924529852</v>
      </c>
      <c r="X1057" s="109">
        <v>0.31128257543158738</v>
      </c>
      <c r="Y1057" s="109">
        <v>5.6026459171894909E-2</v>
      </c>
      <c r="Z1057" s="109">
        <v>0.40315398632005939</v>
      </c>
      <c r="AA1057" s="109">
        <v>2.1896079454533934</v>
      </c>
      <c r="AD1057" s="111"/>
    </row>
    <row r="1058" spans="1:30" ht="15" customHeight="1" x14ac:dyDescent="0.3">
      <c r="A1058" s="22" t="s">
        <v>154</v>
      </c>
      <c r="B1058" s="23">
        <v>131</v>
      </c>
      <c r="C1058" s="3" t="s">
        <v>121</v>
      </c>
      <c r="D1058" s="23">
        <v>2019</v>
      </c>
      <c r="E1058" s="25">
        <v>2.320104508775525</v>
      </c>
      <c r="F1058" s="25">
        <v>9.1144722777596249E-2</v>
      </c>
      <c r="G1058" s="25">
        <v>0.73728296535253712</v>
      </c>
      <c r="H1058" s="25">
        <v>2.7889643254413641</v>
      </c>
      <c r="I1058" s="25">
        <v>0.10346409161877748</v>
      </c>
      <c r="J1058" s="25">
        <v>2.3345343649165025E-2</v>
      </c>
      <c r="K1058" s="25">
        <v>8.8309826297909746E-2</v>
      </c>
      <c r="L1058" s="25">
        <v>0.8</v>
      </c>
      <c r="M1058" s="24">
        <v>2</v>
      </c>
      <c r="N1058" s="108">
        <v>0</v>
      </c>
      <c r="O1058" s="24">
        <v>4</v>
      </c>
      <c r="P1058" s="24">
        <v>0</v>
      </c>
      <c r="Q1058" s="24">
        <v>4</v>
      </c>
      <c r="R1058" s="24">
        <v>5</v>
      </c>
      <c r="S1058" s="24">
        <v>0</v>
      </c>
      <c r="T1058" s="24">
        <v>0</v>
      </c>
      <c r="U1058" s="24">
        <v>3778141000000</v>
      </c>
      <c r="V1058" s="109">
        <v>0.10319432258465265</v>
      </c>
      <c r="W1058" s="109">
        <v>1.6554387779598483</v>
      </c>
      <c r="X1058" s="109">
        <v>0.33637492089363524</v>
      </c>
      <c r="Y1058" s="109">
        <v>0.19911837064842206</v>
      </c>
      <c r="Z1058" s="109">
        <v>0.37648384040689864</v>
      </c>
      <c r="AA1058" s="109">
        <v>2.5674159099088043</v>
      </c>
      <c r="AD1058" s="111"/>
    </row>
    <row r="1059" spans="1:30" ht="15" customHeight="1" x14ac:dyDescent="0.3">
      <c r="A1059" s="22" t="s">
        <v>154</v>
      </c>
      <c r="B1059" s="23">
        <v>131</v>
      </c>
      <c r="C1059" s="3" t="s">
        <v>121</v>
      </c>
      <c r="D1059" s="23">
        <v>2020</v>
      </c>
      <c r="E1059" s="25">
        <v>2.5513547274416646</v>
      </c>
      <c r="F1059" s="25">
        <v>0.10240616249018476</v>
      </c>
      <c r="G1059" s="25">
        <v>0.72265897747224606</v>
      </c>
      <c r="H1059" s="25">
        <v>2.6007273339293406</v>
      </c>
      <c r="I1059" s="25">
        <v>0.11502745006424483</v>
      </c>
      <c r="J1059" s="25">
        <v>2.6740786129277935E-2</v>
      </c>
      <c r="K1059" s="25">
        <v>9.6235562810596378E-2</v>
      </c>
      <c r="L1059" s="25">
        <v>0.8</v>
      </c>
      <c r="M1059" s="24">
        <v>2</v>
      </c>
      <c r="N1059" s="108">
        <v>0</v>
      </c>
      <c r="O1059" s="24">
        <v>4</v>
      </c>
      <c r="P1059" s="24">
        <v>0</v>
      </c>
      <c r="Q1059" s="24">
        <v>4</v>
      </c>
      <c r="R1059" s="24">
        <v>5</v>
      </c>
      <c r="S1059" s="24">
        <v>0</v>
      </c>
      <c r="T1059" s="24">
        <v>0</v>
      </c>
      <c r="U1059" s="24">
        <v>3977183000000</v>
      </c>
      <c r="V1059" s="109">
        <v>8.4574698324553166E-2</v>
      </c>
      <c r="W1059" s="109">
        <v>1.9910852882555314</v>
      </c>
      <c r="X1059" s="109">
        <v>0.40191483268433958</v>
      </c>
      <c r="Y1059" s="109">
        <v>0.26239235157145147</v>
      </c>
      <c r="Z1059" s="109">
        <v>0.40373321197558792</v>
      </c>
      <c r="AA1059" s="109">
        <v>3.0591256844869106</v>
      </c>
      <c r="AD1059" s="111"/>
    </row>
    <row r="1060" spans="1:30" ht="15" customHeight="1" x14ac:dyDescent="0.3">
      <c r="A1060" s="22" t="s">
        <v>154</v>
      </c>
      <c r="B1060" s="23">
        <v>131</v>
      </c>
      <c r="C1060" s="3" t="s">
        <v>121</v>
      </c>
      <c r="D1060" s="23">
        <v>2021</v>
      </c>
      <c r="E1060" s="25">
        <v>2.3241175229413615</v>
      </c>
      <c r="F1060" s="25">
        <v>0.12317850961731389</v>
      </c>
      <c r="G1060" s="25">
        <v>0.70448755772695448</v>
      </c>
      <c r="H1060" s="25">
        <v>2.3498488897441843</v>
      </c>
      <c r="I1060" s="25">
        <v>9.8191621475954893E-2</v>
      </c>
      <c r="J1060" s="25">
        <v>2.4031983551915579E-2</v>
      </c>
      <c r="K1060" s="25">
        <v>8.0159726383282087E-2</v>
      </c>
      <c r="L1060" s="25">
        <v>0.8</v>
      </c>
      <c r="M1060" s="24">
        <v>2</v>
      </c>
      <c r="N1060" s="108">
        <v>0</v>
      </c>
      <c r="O1060" s="24">
        <v>4</v>
      </c>
      <c r="P1060" s="24">
        <v>0</v>
      </c>
      <c r="Q1060" s="24">
        <v>4</v>
      </c>
      <c r="R1060" s="24">
        <v>5</v>
      </c>
      <c r="S1060" s="24">
        <v>0</v>
      </c>
      <c r="T1060" s="24">
        <v>0</v>
      </c>
      <c r="U1060" s="24">
        <v>3813210000000</v>
      </c>
      <c r="V1060" s="109">
        <v>9.3868836714298687E-3</v>
      </c>
      <c r="W1060" s="109">
        <v>1.7597275995814547</v>
      </c>
      <c r="X1060" s="109">
        <v>0.44978084605883234</v>
      </c>
      <c r="Y1060" s="109">
        <v>0.2026198399773419</v>
      </c>
      <c r="Z1060" s="109">
        <v>0.44683724327239954</v>
      </c>
      <c r="AA1060" s="109">
        <v>2.8589655288900282</v>
      </c>
      <c r="AD1060" s="111"/>
    </row>
    <row r="1061" spans="1:30" ht="15" customHeight="1" x14ac:dyDescent="0.3">
      <c r="A1061" s="22" t="s">
        <v>154</v>
      </c>
      <c r="B1061" s="23">
        <v>131</v>
      </c>
      <c r="C1061" s="3" t="s">
        <v>121</v>
      </c>
      <c r="D1061" s="23">
        <v>2022</v>
      </c>
      <c r="E1061" s="25">
        <v>2.1586730272327546</v>
      </c>
      <c r="F1061" s="25">
        <v>0.12783699485217476</v>
      </c>
      <c r="G1061" s="25">
        <v>0.72904831854818652</v>
      </c>
      <c r="H1061" s="25">
        <v>2.6469066616667707</v>
      </c>
      <c r="I1061" s="25">
        <v>6.4754350341781106E-2</v>
      </c>
      <c r="J1061" s="25">
        <v>1.5813460412913E-2</v>
      </c>
      <c r="K1061" s="25">
        <v>5.7412866398616695E-2</v>
      </c>
      <c r="L1061" s="25">
        <v>0.8</v>
      </c>
      <c r="M1061" s="24">
        <v>2</v>
      </c>
      <c r="N1061" s="108">
        <v>0</v>
      </c>
      <c r="O1061" s="24">
        <v>4</v>
      </c>
      <c r="P1061" s="24">
        <v>0</v>
      </c>
      <c r="Q1061" s="24">
        <v>4</v>
      </c>
      <c r="R1061" s="24">
        <v>6</v>
      </c>
      <c r="S1061" s="24">
        <v>0</v>
      </c>
      <c r="T1061" s="24">
        <v>0</v>
      </c>
      <c r="U1061" s="24">
        <v>4182576000000</v>
      </c>
      <c r="V1061" s="109">
        <v>9.4449926976953008E-2</v>
      </c>
      <c r="W1061" s="109">
        <v>1.8201618524086591</v>
      </c>
      <c r="X1061" s="109">
        <v>0.4226255016047526</v>
      </c>
      <c r="Y1061" s="109">
        <v>0.14697774768468044</v>
      </c>
      <c r="Z1061" s="109">
        <v>0.3966894697143607</v>
      </c>
      <c r="AA1061" s="109">
        <v>2.7864545714124529</v>
      </c>
      <c r="AD1061" s="111"/>
    </row>
    <row r="1062" spans="1:30" ht="15" customHeight="1" x14ac:dyDescent="0.3">
      <c r="A1062" s="22" t="s">
        <v>154</v>
      </c>
      <c r="B1062" s="23">
        <v>131</v>
      </c>
      <c r="C1062" s="3" t="s">
        <v>121</v>
      </c>
      <c r="D1062" s="23">
        <v>2023</v>
      </c>
      <c r="E1062" s="25">
        <v>2.2559527284112435</v>
      </c>
      <c r="F1062" s="25">
        <v>0.17616069580722021</v>
      </c>
      <c r="G1062" s="25">
        <v>0.69110892066544594</v>
      </c>
      <c r="H1062" s="25">
        <v>2.2872303577911071</v>
      </c>
      <c r="I1062" s="25">
        <v>8.6031582165247589E-2</v>
      </c>
      <c r="J1062" s="25">
        <v>2.5913508927911024E-2</v>
      </c>
      <c r="K1062" s="25">
        <v>8.5760959704788198E-2</v>
      </c>
      <c r="L1062" s="25">
        <v>0.8</v>
      </c>
      <c r="M1062" s="24">
        <v>2</v>
      </c>
      <c r="N1062" s="108">
        <v>0</v>
      </c>
      <c r="O1062" s="24">
        <v>4</v>
      </c>
      <c r="P1062" s="24">
        <v>0</v>
      </c>
      <c r="Q1062" s="24">
        <v>4</v>
      </c>
      <c r="R1062" s="24">
        <v>6</v>
      </c>
      <c r="S1062" s="24">
        <v>0</v>
      </c>
      <c r="T1062" s="24">
        <v>0</v>
      </c>
      <c r="U1062" s="24">
        <v>3974838000000</v>
      </c>
      <c r="V1062" s="109">
        <v>0.17215742098698472</v>
      </c>
      <c r="W1062" s="109">
        <v>1.5624196810033515</v>
      </c>
      <c r="X1062" s="109">
        <v>0.48701874139273094</v>
      </c>
      <c r="Y1062" s="109">
        <v>0.21031667705702722</v>
      </c>
      <c r="Z1062" s="109">
        <v>0.45907050701007557</v>
      </c>
      <c r="AA1062" s="109">
        <v>2.7188256064631853</v>
      </c>
      <c r="AD1062" s="111"/>
    </row>
    <row r="1063" spans="1:30" ht="15" customHeight="1" x14ac:dyDescent="0.3">
      <c r="A1063" s="22" t="s">
        <v>154</v>
      </c>
      <c r="B1063" s="23">
        <v>131</v>
      </c>
      <c r="C1063" s="3" t="s">
        <v>121</v>
      </c>
      <c r="D1063" s="23">
        <v>2024</v>
      </c>
      <c r="E1063" s="25">
        <v>1.4860981794409556</v>
      </c>
      <c r="F1063" s="25">
        <v>0.15183541670793796</v>
      </c>
      <c r="G1063" s="25">
        <v>0.69269065232671445</v>
      </c>
      <c r="H1063" s="25">
        <v>2.4058896792185354</v>
      </c>
      <c r="I1063" s="25">
        <v>0.13527322347451096</v>
      </c>
      <c r="J1063" s="25">
        <v>3.4795551185216343E-2</v>
      </c>
      <c r="K1063" s="25">
        <v>0.1208537421402182</v>
      </c>
      <c r="L1063" s="25">
        <v>0.8</v>
      </c>
      <c r="M1063" s="24">
        <v>2</v>
      </c>
      <c r="N1063" s="108">
        <v>0</v>
      </c>
      <c r="O1063" s="24">
        <v>4</v>
      </c>
      <c r="P1063" s="24">
        <v>0</v>
      </c>
      <c r="Q1063" s="24">
        <v>4</v>
      </c>
      <c r="R1063" s="24">
        <v>4</v>
      </c>
      <c r="S1063" s="24">
        <v>0</v>
      </c>
      <c r="T1063" s="24">
        <v>0</v>
      </c>
      <c r="U1063" s="24">
        <v>4478676000000</v>
      </c>
      <c r="V1063" s="109">
        <v>-3.7781330339826502E-2</v>
      </c>
      <c r="W1063" s="109">
        <v>0.86258156651653284</v>
      </c>
      <c r="X1063" s="109">
        <v>0.49833640120428446</v>
      </c>
      <c r="Y1063" s="109">
        <v>0.24347845657957842</v>
      </c>
      <c r="Z1063" s="109">
        <v>0.4364289888558206</v>
      </c>
      <c r="AA1063" s="109">
        <v>2.0408254131562167</v>
      </c>
      <c r="AD1063" s="111"/>
    </row>
    <row r="1064" spans="1:30" ht="15" customHeight="1" x14ac:dyDescent="0.3">
      <c r="A1064" s="22" t="s">
        <v>154</v>
      </c>
      <c r="B1064" s="23">
        <v>132</v>
      </c>
      <c r="C1064" s="3" t="s">
        <v>85</v>
      </c>
      <c r="D1064" s="23">
        <v>2016</v>
      </c>
      <c r="E1064" s="25">
        <v>3.2541542431692561</v>
      </c>
      <c r="F1064" s="25">
        <v>2.5928057052187408E-2</v>
      </c>
      <c r="G1064" s="25">
        <v>0.61468614586474035</v>
      </c>
      <c r="H1064" s="25">
        <v>1.595297221791091</v>
      </c>
      <c r="I1064" s="25">
        <v>-6.0781302170283803E-2</v>
      </c>
      <c r="J1064" s="25">
        <v>-1.1340162514919627E-2</v>
      </c>
      <c r="K1064" s="25">
        <v>-2.9431165606084123E-2</v>
      </c>
      <c r="L1064" s="25">
        <v>0</v>
      </c>
      <c r="M1064" s="24">
        <v>0</v>
      </c>
      <c r="N1064" s="108">
        <v>0</v>
      </c>
      <c r="O1064" s="24">
        <v>0</v>
      </c>
      <c r="P1064" s="24">
        <v>0</v>
      </c>
      <c r="Q1064" s="24">
        <v>0</v>
      </c>
      <c r="R1064" s="24">
        <v>0</v>
      </c>
      <c r="S1064" s="24">
        <v>0</v>
      </c>
      <c r="T1064" s="24">
        <v>0</v>
      </c>
      <c r="U1064" s="24">
        <v>401317000000</v>
      </c>
      <c r="V1064" s="109">
        <v>0</v>
      </c>
      <c r="W1064" s="109">
        <v>2.113201484113556</v>
      </c>
      <c r="X1064" s="109">
        <v>-1.4210658407194312</v>
      </c>
      <c r="Y1064" s="109">
        <v>-0.18444471577331634</v>
      </c>
      <c r="Z1064" s="109">
        <v>0.65818456000389158</v>
      </c>
      <c r="AA1064" s="109">
        <v>1.1658754876246999</v>
      </c>
      <c r="AD1064" s="111"/>
    </row>
    <row r="1065" spans="1:30" ht="15" customHeight="1" x14ac:dyDescent="0.3">
      <c r="A1065" s="22" t="s">
        <v>154</v>
      </c>
      <c r="B1065" s="23">
        <v>132</v>
      </c>
      <c r="C1065" s="3" t="s">
        <v>85</v>
      </c>
      <c r="D1065" s="23">
        <v>2017</v>
      </c>
      <c r="E1065" s="25">
        <v>3.1670309085232593</v>
      </c>
      <c r="F1065" s="25">
        <v>5.3595587470080135E-2</v>
      </c>
      <c r="G1065" s="25">
        <v>0.60789220694138701</v>
      </c>
      <c r="H1065" s="25">
        <v>1.5503191155665661</v>
      </c>
      <c r="I1065" s="25">
        <v>1.8080492521770974E-2</v>
      </c>
      <c r="J1065" s="25">
        <v>3.965933136375388E-3</v>
      </c>
      <c r="K1065" s="25">
        <v>1.0114395088757017E-2</v>
      </c>
      <c r="L1065" s="25">
        <v>0.99</v>
      </c>
      <c r="M1065" s="24">
        <v>2</v>
      </c>
      <c r="N1065" s="108">
        <v>0</v>
      </c>
      <c r="O1065" s="24">
        <v>3</v>
      </c>
      <c r="P1065" s="24">
        <v>0</v>
      </c>
      <c r="Q1065" s="24">
        <v>3</v>
      </c>
      <c r="R1065" s="24">
        <v>3</v>
      </c>
      <c r="S1065" s="24">
        <v>0</v>
      </c>
      <c r="T1065" s="24">
        <v>0</v>
      </c>
      <c r="U1065" s="24">
        <v>398393000000</v>
      </c>
      <c r="V1065" s="109">
        <v>0.1671051752921536</v>
      </c>
      <c r="W1065" s="109">
        <v>2.0572481946218932</v>
      </c>
      <c r="X1065" s="109">
        <v>-1.4314793683623959</v>
      </c>
      <c r="Y1065" s="109">
        <v>0.14410132708155013</v>
      </c>
      <c r="Z1065" s="109">
        <v>0.67727991576513336</v>
      </c>
      <c r="AA1065" s="109">
        <v>1.4471500691061809</v>
      </c>
      <c r="AD1065" s="111"/>
    </row>
    <row r="1066" spans="1:30" ht="15" customHeight="1" x14ac:dyDescent="0.3">
      <c r="A1066" s="22" t="s">
        <v>154</v>
      </c>
      <c r="B1066" s="23">
        <v>132</v>
      </c>
      <c r="C1066" s="3" t="s">
        <v>85</v>
      </c>
      <c r="D1066" s="23">
        <v>2018</v>
      </c>
      <c r="E1066" s="25">
        <v>3.1667656289761643</v>
      </c>
      <c r="F1066" s="25">
        <v>3.5753668674187805E-2</v>
      </c>
      <c r="G1066" s="25">
        <v>0.69933560681479601</v>
      </c>
      <c r="H1066" s="25">
        <v>2.3259674995303401</v>
      </c>
      <c r="I1066" s="25">
        <v>3.8061135371179042E-2</v>
      </c>
      <c r="J1066" s="25">
        <v>1.0256555087208961E-2</v>
      </c>
      <c r="K1066" s="25">
        <v>3.4112968877199577E-2</v>
      </c>
      <c r="L1066" s="25">
        <v>0.99</v>
      </c>
      <c r="M1066" s="24">
        <v>2</v>
      </c>
      <c r="N1066" s="108">
        <v>0</v>
      </c>
      <c r="O1066" s="24">
        <v>3</v>
      </c>
      <c r="P1066" s="24">
        <v>0</v>
      </c>
      <c r="Q1066" s="24">
        <v>3</v>
      </c>
      <c r="R1066" s="24">
        <v>3</v>
      </c>
      <c r="S1066" s="24">
        <v>0</v>
      </c>
      <c r="T1066" s="24">
        <v>0</v>
      </c>
      <c r="U1066" s="24">
        <v>424899000000</v>
      </c>
      <c r="V1066" s="109">
        <v>0.31026354034352938</v>
      </c>
      <c r="W1066" s="109">
        <v>2.3662372469692796</v>
      </c>
      <c r="X1066" s="109">
        <v>-1.5601925634091867</v>
      </c>
      <c r="Y1066" s="109">
        <v>3.0365804579441234E-2</v>
      </c>
      <c r="Z1066" s="109">
        <v>0.45142505224686769</v>
      </c>
      <c r="AA1066" s="109">
        <v>1.2878355403864019</v>
      </c>
      <c r="AD1066" s="111"/>
    </row>
    <row r="1067" spans="1:30" ht="15" customHeight="1" x14ac:dyDescent="0.3">
      <c r="A1067" s="22" t="s">
        <v>154</v>
      </c>
      <c r="B1067" s="23">
        <v>132</v>
      </c>
      <c r="C1067" s="3" t="s">
        <v>85</v>
      </c>
      <c r="D1067" s="23">
        <v>2019</v>
      </c>
      <c r="E1067" s="25">
        <v>3.1065553913612249</v>
      </c>
      <c r="F1067" s="25">
        <v>0.12822500545071344</v>
      </c>
      <c r="G1067" s="25">
        <v>0.69684068858019821</v>
      </c>
      <c r="H1067" s="25">
        <v>2.2985956964892411</v>
      </c>
      <c r="I1067" s="25">
        <v>2.9786775381845158E-2</v>
      </c>
      <c r="J1067" s="25">
        <v>1.0753057342772586E-2</v>
      </c>
      <c r="K1067" s="25">
        <v>3.5469988674971691E-2</v>
      </c>
      <c r="L1067" s="25">
        <v>0.99</v>
      </c>
      <c r="M1067" s="24">
        <v>2</v>
      </c>
      <c r="N1067" s="108">
        <v>0</v>
      </c>
      <c r="O1067" s="24">
        <v>3</v>
      </c>
      <c r="P1067" s="24">
        <v>0</v>
      </c>
      <c r="Q1067" s="24">
        <v>3</v>
      </c>
      <c r="R1067" s="24">
        <v>3</v>
      </c>
      <c r="S1067" s="24">
        <v>0</v>
      </c>
      <c r="T1067" s="24">
        <v>0</v>
      </c>
      <c r="U1067" s="24">
        <v>436899000000</v>
      </c>
      <c r="V1067" s="109">
        <v>0.37747598253275111</v>
      </c>
      <c r="W1067" s="109">
        <v>2.6112883755742171</v>
      </c>
      <c r="X1067" s="109">
        <v>-1.4832250474365929</v>
      </c>
      <c r="Y1067" s="109">
        <v>0.10217684178723228</v>
      </c>
      <c r="Z1067" s="109">
        <v>0.45680064641368506</v>
      </c>
      <c r="AA1067" s="109">
        <v>1.6870408163385415</v>
      </c>
      <c r="AD1067" s="111"/>
    </row>
    <row r="1068" spans="1:30" ht="15" customHeight="1" x14ac:dyDescent="0.3">
      <c r="A1068" s="22" t="s">
        <v>154</v>
      </c>
      <c r="B1068" s="23">
        <v>132</v>
      </c>
      <c r="C1068" s="3" t="s">
        <v>85</v>
      </c>
      <c r="D1068" s="23">
        <v>2020</v>
      </c>
      <c r="E1068" s="25">
        <v>3.7503430902562367</v>
      </c>
      <c r="F1068" s="25">
        <v>4.4893125035248997E-2</v>
      </c>
      <c r="G1068" s="25">
        <v>0.77394176941689063</v>
      </c>
      <c r="H1068" s="25">
        <v>3.4236660215648329</v>
      </c>
      <c r="I1068" s="25">
        <v>4.6037607100995484E-2</v>
      </c>
      <c r="J1068" s="25">
        <v>1.4938885565565208E-2</v>
      </c>
      <c r="K1068" s="25">
        <v>6.6084758481772587E-2</v>
      </c>
      <c r="L1068" s="25">
        <v>0.9909</v>
      </c>
      <c r="M1068" s="24">
        <v>2</v>
      </c>
      <c r="N1068" s="108">
        <v>0</v>
      </c>
      <c r="O1068" s="24">
        <v>3</v>
      </c>
      <c r="P1068" s="24">
        <v>0</v>
      </c>
      <c r="Q1068" s="24">
        <v>3</v>
      </c>
      <c r="R1068" s="24">
        <v>4</v>
      </c>
      <c r="S1068" s="24">
        <v>0</v>
      </c>
      <c r="T1068" s="24">
        <v>0</v>
      </c>
      <c r="U1068" s="24">
        <v>560015000000</v>
      </c>
      <c r="V1068" s="109">
        <v>0.15216743490086926</v>
      </c>
      <c r="W1068" s="109">
        <v>3.4274847638009693</v>
      </c>
      <c r="X1068" s="109">
        <v>4.6669142790818095E-2</v>
      </c>
      <c r="Y1068" s="109">
        <v>0.14568809764024176</v>
      </c>
      <c r="Z1068" s="109">
        <v>0.30668879306167934</v>
      </c>
      <c r="AA1068" s="109">
        <v>3.9265307972937085</v>
      </c>
      <c r="AD1068" s="111"/>
    </row>
    <row r="1069" spans="1:30" ht="15" customHeight="1" x14ac:dyDescent="0.3">
      <c r="A1069" s="22" t="s">
        <v>154</v>
      </c>
      <c r="B1069" s="23">
        <v>132</v>
      </c>
      <c r="C1069" s="3" t="s">
        <v>85</v>
      </c>
      <c r="D1069" s="23">
        <v>2021</v>
      </c>
      <c r="E1069" s="25">
        <v>3.3027441082381945</v>
      </c>
      <c r="F1069" s="25">
        <v>0.18160420274117337</v>
      </c>
      <c r="G1069" s="25">
        <v>0.81519985387683036</v>
      </c>
      <c r="H1069" s="25">
        <v>4.411251132526151</v>
      </c>
      <c r="I1069" s="25">
        <v>5.4295867946147235E-2</v>
      </c>
      <c r="J1069" s="25">
        <v>1.6786175862555663E-2</v>
      </c>
      <c r="K1069" s="25">
        <v>9.0834213147037463E-2</v>
      </c>
      <c r="L1069" s="25">
        <v>0.9909</v>
      </c>
      <c r="M1069" s="24">
        <v>2</v>
      </c>
      <c r="N1069" s="108">
        <v>0</v>
      </c>
      <c r="O1069" s="24">
        <v>3</v>
      </c>
      <c r="P1069" s="24">
        <v>0</v>
      </c>
      <c r="Q1069" s="24">
        <v>3</v>
      </c>
      <c r="R1069" s="24">
        <v>3</v>
      </c>
      <c r="S1069" s="24">
        <v>0</v>
      </c>
      <c r="T1069" s="24">
        <v>0</v>
      </c>
      <c r="U1069" s="24">
        <v>722678000000</v>
      </c>
      <c r="V1069" s="109">
        <v>0.22948916195706606</v>
      </c>
      <c r="W1069" s="109">
        <v>3.5611073258076207</v>
      </c>
      <c r="X1069" s="109">
        <v>6.8652899354899405E-2</v>
      </c>
      <c r="Y1069" s="109">
        <v>0.1384397477161336</v>
      </c>
      <c r="Z1069" s="109">
        <v>0.2380277087962358</v>
      </c>
      <c r="AA1069" s="109">
        <v>4.0062276816748899</v>
      </c>
      <c r="AD1069" s="111"/>
    </row>
    <row r="1070" spans="1:30" ht="15" customHeight="1" x14ac:dyDescent="0.3">
      <c r="A1070" s="22" t="s">
        <v>154</v>
      </c>
      <c r="B1070" s="23">
        <v>132</v>
      </c>
      <c r="C1070" s="3" t="s">
        <v>85</v>
      </c>
      <c r="D1070" s="23">
        <v>2022</v>
      </c>
      <c r="E1070" s="25">
        <v>3.510606941215543</v>
      </c>
      <c r="F1070" s="25">
        <v>0.3585671980515886</v>
      </c>
      <c r="G1070" s="25">
        <v>0.80690895772192628</v>
      </c>
      <c r="H1070" s="25">
        <v>4.1789041490587779</v>
      </c>
      <c r="I1070" s="25">
        <v>-3.0699048033470417E-2</v>
      </c>
      <c r="J1070" s="25">
        <v>-1.3301435850360005E-2</v>
      </c>
      <c r="K1070" s="25">
        <v>-6.8886861313868619E-2</v>
      </c>
      <c r="L1070" s="25">
        <v>0.9909</v>
      </c>
      <c r="M1070" s="24">
        <v>2</v>
      </c>
      <c r="N1070" s="108">
        <v>0</v>
      </c>
      <c r="O1070" s="24">
        <v>3</v>
      </c>
      <c r="P1070" s="24">
        <v>0</v>
      </c>
      <c r="Q1070" s="24">
        <v>3</v>
      </c>
      <c r="R1070" s="24">
        <v>3</v>
      </c>
      <c r="S1070" s="24">
        <v>0</v>
      </c>
      <c r="T1070" s="24">
        <v>0</v>
      </c>
      <c r="U1070" s="24">
        <v>647073000000</v>
      </c>
      <c r="V1070" s="109">
        <v>0.2548651890575766</v>
      </c>
      <c r="W1070" s="109">
        <v>3.6785890927298777</v>
      </c>
      <c r="X1070" s="109">
        <v>3.4273999996909159E-2</v>
      </c>
      <c r="Y1070" s="109">
        <v>-0.12100866517379028</v>
      </c>
      <c r="Z1070" s="109">
        <v>0.25126204443729422</v>
      </c>
      <c r="AA1070" s="109">
        <v>3.8431164719902906</v>
      </c>
      <c r="AD1070" s="111"/>
    </row>
    <row r="1071" spans="1:30" ht="15" customHeight="1" x14ac:dyDescent="0.3">
      <c r="A1071" s="22" t="s">
        <v>154</v>
      </c>
      <c r="B1071" s="23">
        <v>132</v>
      </c>
      <c r="C1071" s="3" t="s">
        <v>85</v>
      </c>
      <c r="D1071" s="23">
        <v>2023</v>
      </c>
      <c r="E1071" s="25">
        <v>2.4159137349516238</v>
      </c>
      <c r="F1071" s="25">
        <v>0.27418613620883492</v>
      </c>
      <c r="G1071" s="25">
        <v>0.82780633318632824</v>
      </c>
      <c r="H1071" s="25">
        <v>4.8074145147398797</v>
      </c>
      <c r="I1071" s="25">
        <v>-7.2386180357092322E-2</v>
      </c>
      <c r="J1071" s="25">
        <v>-3.3280385491510786E-2</v>
      </c>
      <c r="K1071" s="25">
        <v>-0.19327299375953824</v>
      </c>
      <c r="L1071" s="25">
        <v>0.9909</v>
      </c>
      <c r="M1071" s="24">
        <v>2</v>
      </c>
      <c r="N1071" s="108">
        <v>0</v>
      </c>
      <c r="O1071" s="24">
        <v>3</v>
      </c>
      <c r="P1071" s="24">
        <v>0</v>
      </c>
      <c r="Q1071" s="24">
        <v>3</v>
      </c>
      <c r="R1071" s="24">
        <v>3</v>
      </c>
      <c r="S1071" s="24">
        <v>0</v>
      </c>
      <c r="T1071" s="24">
        <v>0</v>
      </c>
      <c r="U1071" s="24">
        <v>768681000000</v>
      </c>
      <c r="V1071" s="109">
        <v>0.26052638149282903</v>
      </c>
      <c r="W1071" s="109">
        <v>2.9449299254176959</v>
      </c>
      <c r="X1071" s="109">
        <v>-8.1046103650278839E-2</v>
      </c>
      <c r="Y1071" s="109">
        <v>-0.23791153937719287</v>
      </c>
      <c r="Z1071" s="109">
        <v>0.21841262008520884</v>
      </c>
      <c r="AA1071" s="109">
        <v>2.8443849024754333</v>
      </c>
      <c r="AD1071" s="111"/>
    </row>
    <row r="1072" spans="1:30" ht="15" customHeight="1" x14ac:dyDescent="0.3">
      <c r="A1072" s="22" t="s">
        <v>154</v>
      </c>
      <c r="B1072" s="23">
        <v>132</v>
      </c>
      <c r="C1072" s="3" t="s">
        <v>85</v>
      </c>
      <c r="D1072" s="23">
        <v>2024</v>
      </c>
      <c r="E1072" s="25">
        <v>3.77489030768808</v>
      </c>
      <c r="F1072" s="25">
        <v>0.22674019181269409</v>
      </c>
      <c r="G1072" s="25">
        <v>0.72314645187663706</v>
      </c>
      <c r="H1072" s="25">
        <v>2.8454297952448186</v>
      </c>
      <c r="I1072" s="25">
        <v>6.16543898560281E-3</v>
      </c>
      <c r="J1072" s="25">
        <v>5.2945540432103441E-3</v>
      </c>
      <c r="K1072" s="25">
        <v>2.0832960997027267E-2</v>
      </c>
      <c r="L1072" s="25">
        <v>0.9909</v>
      </c>
      <c r="M1072" s="24">
        <v>2</v>
      </c>
      <c r="N1072" s="108">
        <v>0</v>
      </c>
      <c r="O1072" s="24">
        <v>3</v>
      </c>
      <c r="P1072" s="24">
        <v>0</v>
      </c>
      <c r="Q1072" s="24">
        <v>3</v>
      </c>
      <c r="R1072" s="24">
        <v>2</v>
      </c>
      <c r="S1072" s="24">
        <v>0</v>
      </c>
      <c r="T1072" s="24">
        <v>0</v>
      </c>
      <c r="U1072" s="24">
        <v>660490000000</v>
      </c>
      <c r="V1072" s="109">
        <v>0.60491780085453162</v>
      </c>
      <c r="W1072" s="109">
        <v>3.0087267331829399</v>
      </c>
      <c r="X1072" s="109">
        <v>-7.7061545216430216E-2</v>
      </c>
      <c r="Y1072" s="109">
        <v>4.7920786083059545E-2</v>
      </c>
      <c r="Z1072" s="109">
        <v>0.36901279439567364</v>
      </c>
      <c r="AA1072" s="109">
        <v>3.348598768445243</v>
      </c>
      <c r="AD1072" s="111"/>
    </row>
    <row r="1073" spans="1:30" ht="15" customHeight="1" x14ac:dyDescent="0.3">
      <c r="A1073" s="22" t="s">
        <v>154</v>
      </c>
      <c r="B1073" s="23">
        <v>133</v>
      </c>
      <c r="C1073" s="1" t="s">
        <v>126</v>
      </c>
      <c r="D1073" s="23">
        <v>2015</v>
      </c>
      <c r="E1073" s="25">
        <v>3.1085954562556055</v>
      </c>
      <c r="F1073" s="25">
        <v>0.19641165543968483</v>
      </c>
      <c r="G1073" s="25">
        <v>0.21855059743316138</v>
      </c>
      <c r="H1073" s="25">
        <v>0.27967338219887933</v>
      </c>
      <c r="I1073" s="25">
        <v>0.49590329182786475</v>
      </c>
      <c r="J1073" s="25">
        <v>8.0588764403149382E-2</v>
      </c>
      <c r="K1073" s="25">
        <v>0.10312729671100682</v>
      </c>
      <c r="L1073" s="25">
        <v>0.73370000000000002</v>
      </c>
      <c r="M1073" s="24">
        <v>2</v>
      </c>
      <c r="N1073" s="108">
        <v>0</v>
      </c>
      <c r="O1073" s="24">
        <v>3</v>
      </c>
      <c r="P1073" s="24">
        <v>5</v>
      </c>
      <c r="Q1073" s="24">
        <v>3</v>
      </c>
      <c r="R1073" s="24">
        <v>3</v>
      </c>
      <c r="S1073" s="24">
        <v>5</v>
      </c>
      <c r="T1073" s="24">
        <v>5</v>
      </c>
      <c r="U1073" s="24">
        <v>210608052893</v>
      </c>
      <c r="V1073" s="109">
        <v>0.84275025779710144</v>
      </c>
      <c r="W1073" s="109">
        <v>0.84297898758486101</v>
      </c>
      <c r="X1073" s="109">
        <v>0.26271945204256258</v>
      </c>
      <c r="Y1073" s="109">
        <v>0.5520374430105387</v>
      </c>
      <c r="Z1073" s="109">
        <v>3.7543794541495967</v>
      </c>
      <c r="AA1073" s="109">
        <v>5.4121153367875596</v>
      </c>
      <c r="AD1073" s="111"/>
    </row>
    <row r="1074" spans="1:30" ht="15" customHeight="1" x14ac:dyDescent="0.3">
      <c r="A1074" s="22" t="s">
        <v>154</v>
      </c>
      <c r="B1074" s="23">
        <v>133</v>
      </c>
      <c r="C1074" s="3" t="s">
        <v>126</v>
      </c>
      <c r="D1074" s="23">
        <v>2016</v>
      </c>
      <c r="E1074" s="25">
        <v>3.0218970016884055</v>
      </c>
      <c r="F1074" s="25">
        <v>9.4842658397722143E-2</v>
      </c>
      <c r="G1074" s="25">
        <v>0.28480362703945367</v>
      </c>
      <c r="H1074" s="25">
        <v>0.39821738169687948</v>
      </c>
      <c r="I1074" s="25">
        <v>0.20959232486276272</v>
      </c>
      <c r="J1074" s="25">
        <v>3.4173716632740242E-2</v>
      </c>
      <c r="K1074" s="25">
        <v>4.7782284593081162E-2</v>
      </c>
      <c r="L1074" s="25">
        <v>0.73370000000000002</v>
      </c>
      <c r="M1074" s="24">
        <v>2</v>
      </c>
      <c r="N1074" s="108">
        <v>0</v>
      </c>
      <c r="O1074" s="24">
        <v>3</v>
      </c>
      <c r="P1074" s="24">
        <v>5</v>
      </c>
      <c r="Q1074" s="24">
        <v>3</v>
      </c>
      <c r="R1074" s="24">
        <v>4</v>
      </c>
      <c r="S1074" s="24">
        <v>5</v>
      </c>
      <c r="T1074" s="24">
        <v>6</v>
      </c>
      <c r="U1074" s="24">
        <v>233874624756</v>
      </c>
      <c r="V1074" s="109">
        <v>0.11415974609351674</v>
      </c>
      <c r="W1074" s="109">
        <v>1.1215716507652058</v>
      </c>
      <c r="X1074" s="109">
        <v>0.34798962366588276</v>
      </c>
      <c r="Y1074" s="109">
        <v>0.23658741618560511</v>
      </c>
      <c r="Z1074" s="109">
        <v>2.6367508005947702</v>
      </c>
      <c r="AA1074" s="109">
        <v>4.3428994912114636</v>
      </c>
      <c r="AD1074" s="111"/>
    </row>
    <row r="1075" spans="1:30" ht="15" customHeight="1" x14ac:dyDescent="0.3">
      <c r="A1075" s="22" t="s">
        <v>154</v>
      </c>
      <c r="B1075" s="23">
        <v>133</v>
      </c>
      <c r="C1075" s="3" t="s">
        <v>126</v>
      </c>
      <c r="D1075" s="23">
        <v>2017</v>
      </c>
      <c r="E1075" s="25">
        <v>5.1769440485824409</v>
      </c>
      <c r="F1075" s="25">
        <v>0.23980817387461859</v>
      </c>
      <c r="G1075" s="25">
        <v>0.25130181497258663</v>
      </c>
      <c r="H1075" s="25">
        <v>0.33565169516657145</v>
      </c>
      <c r="I1075" s="25">
        <v>0.25935735784224723</v>
      </c>
      <c r="J1075" s="25">
        <v>3.4752730562159426E-2</v>
      </c>
      <c r="K1075" s="25">
        <v>4.641754348701535E-2</v>
      </c>
      <c r="L1075" s="25">
        <v>0.73350000000000004</v>
      </c>
      <c r="M1075" s="24">
        <v>2</v>
      </c>
      <c r="N1075" s="108">
        <v>0</v>
      </c>
      <c r="O1075" s="24">
        <v>3</v>
      </c>
      <c r="P1075" s="24">
        <v>5</v>
      </c>
      <c r="Q1075" s="24">
        <v>3</v>
      </c>
      <c r="R1075" s="24">
        <v>4</v>
      </c>
      <c r="S1075" s="24">
        <v>5</v>
      </c>
      <c r="T1075" s="24">
        <v>6</v>
      </c>
      <c r="U1075" s="24">
        <v>253642764681</v>
      </c>
      <c r="V1075" s="109">
        <v>-0.10872259710417595</v>
      </c>
      <c r="W1075" s="109">
        <v>1.1153919902639842</v>
      </c>
      <c r="X1075" s="109">
        <v>0.43417788146010294</v>
      </c>
      <c r="Y1075" s="109">
        <v>0.22553054474179163</v>
      </c>
      <c r="Z1075" s="109">
        <v>3.1282428038354584</v>
      </c>
      <c r="AA1075" s="109">
        <v>4.9033432203013376</v>
      </c>
      <c r="AD1075" s="111"/>
    </row>
    <row r="1076" spans="1:30" ht="15" customHeight="1" x14ac:dyDescent="0.3">
      <c r="A1076" s="22" t="s">
        <v>154</v>
      </c>
      <c r="B1076" s="23">
        <v>133</v>
      </c>
      <c r="C1076" s="3" t="s">
        <v>126</v>
      </c>
      <c r="D1076" s="23">
        <v>2018</v>
      </c>
      <c r="E1076" s="25">
        <v>4.0764104293615402</v>
      </c>
      <c r="F1076" s="25">
        <v>0.11630389848585693</v>
      </c>
      <c r="G1076" s="25">
        <v>0.31432452966210361</v>
      </c>
      <c r="H1076" s="25">
        <v>0.45841588806904021</v>
      </c>
      <c r="I1076" s="25">
        <v>0.15544309627022787</v>
      </c>
      <c r="J1076" s="25">
        <v>1.5060577382518677E-2</v>
      </c>
      <c r="K1076" s="25">
        <v>2.1964585338158475E-2</v>
      </c>
      <c r="L1076" s="25">
        <v>0.73280000000000001</v>
      </c>
      <c r="M1076" s="24">
        <v>2</v>
      </c>
      <c r="N1076" s="108">
        <v>0</v>
      </c>
      <c r="O1076" s="24">
        <v>3</v>
      </c>
      <c r="P1076" s="24">
        <v>5</v>
      </c>
      <c r="Q1076" s="24">
        <v>3</v>
      </c>
      <c r="R1076" s="24">
        <v>3</v>
      </c>
      <c r="S1076" s="24">
        <v>5</v>
      </c>
      <c r="T1076" s="24">
        <v>5</v>
      </c>
      <c r="U1076" s="24">
        <v>262118630829</v>
      </c>
      <c r="V1076" s="109">
        <v>-0.25276838931109374</v>
      </c>
      <c r="W1076" s="109">
        <v>1.3361748612172704</v>
      </c>
      <c r="X1076" s="109">
        <v>0.44241572112145316</v>
      </c>
      <c r="Y1076" s="109">
        <v>0.12288696350429845</v>
      </c>
      <c r="Z1076" s="109">
        <v>2.2904965279952592</v>
      </c>
      <c r="AA1076" s="109">
        <v>4.1919740738382814</v>
      </c>
      <c r="AD1076" s="111"/>
    </row>
    <row r="1077" spans="1:30" ht="15" customHeight="1" x14ac:dyDescent="0.3">
      <c r="A1077" s="22" t="s">
        <v>154</v>
      </c>
      <c r="B1077" s="23">
        <v>133</v>
      </c>
      <c r="C1077" s="3" t="s">
        <v>126</v>
      </c>
      <c r="D1077" s="23">
        <v>2019</v>
      </c>
      <c r="E1077" s="25">
        <v>4.095497210218892</v>
      </c>
      <c r="F1077" s="25">
        <v>9.8435420857514083E-2</v>
      </c>
      <c r="G1077" s="25">
        <v>0.34429518153820038</v>
      </c>
      <c r="H1077" s="25">
        <v>0.52507648540066132</v>
      </c>
      <c r="I1077" s="25">
        <v>0.83492076509931656</v>
      </c>
      <c r="J1077" s="25">
        <v>7.6735604446017208E-2</v>
      </c>
      <c r="K1077" s="25">
        <v>0.11702766593362728</v>
      </c>
      <c r="L1077" s="25">
        <v>0.73150000000000004</v>
      </c>
      <c r="M1077" s="24">
        <v>2</v>
      </c>
      <c r="N1077" s="108">
        <v>0</v>
      </c>
      <c r="O1077" s="24">
        <v>3</v>
      </c>
      <c r="P1077" s="24">
        <v>5</v>
      </c>
      <c r="Q1077" s="24">
        <v>3</v>
      </c>
      <c r="R1077" s="24">
        <v>3</v>
      </c>
      <c r="S1077" s="24">
        <v>5</v>
      </c>
      <c r="T1077" s="24">
        <v>5</v>
      </c>
      <c r="U1077" s="24">
        <v>284170955431</v>
      </c>
      <c r="V1077" s="109">
        <v>2.8402844455678353E-2</v>
      </c>
      <c r="W1077" s="109">
        <v>1.5554891223102802</v>
      </c>
      <c r="X1077" s="109">
        <v>0.51248946488045211</v>
      </c>
      <c r="Y1077" s="109">
        <v>0.52167228591633941</v>
      </c>
      <c r="Z1077" s="109">
        <v>1.999708669488016</v>
      </c>
      <c r="AA1077" s="109">
        <v>4.5893595425950879</v>
      </c>
      <c r="AD1077" s="111"/>
    </row>
    <row r="1078" spans="1:30" ht="15" customHeight="1" x14ac:dyDescent="0.3">
      <c r="A1078" s="22" t="s">
        <v>154</v>
      </c>
      <c r="B1078" s="23">
        <v>133</v>
      </c>
      <c r="C1078" s="3" t="s">
        <v>126</v>
      </c>
      <c r="D1078" s="23">
        <v>2020</v>
      </c>
      <c r="E1078" s="25">
        <v>2.6327798560614908</v>
      </c>
      <c r="F1078" s="25">
        <v>8.4320466780897579E-2</v>
      </c>
      <c r="G1078" s="25">
        <v>0.42841184500786184</v>
      </c>
      <c r="H1078" s="25">
        <v>0.74951141178521152</v>
      </c>
      <c r="I1078" s="25">
        <v>0.23431358377776296</v>
      </c>
      <c r="J1078" s="25">
        <v>1.927033489962179E-2</v>
      </c>
      <c r="K1078" s="25">
        <v>3.3713670815811149E-2</v>
      </c>
      <c r="L1078" s="25">
        <v>0.72950000000000004</v>
      </c>
      <c r="M1078" s="24">
        <v>2</v>
      </c>
      <c r="N1078" s="108">
        <v>0</v>
      </c>
      <c r="O1078" s="24">
        <v>3</v>
      </c>
      <c r="P1078" s="24">
        <v>5</v>
      </c>
      <c r="Q1078" s="24">
        <v>3</v>
      </c>
      <c r="R1078" s="24">
        <v>4</v>
      </c>
      <c r="S1078" s="24">
        <v>5</v>
      </c>
      <c r="T1078" s="24">
        <v>4</v>
      </c>
      <c r="U1078" s="24">
        <v>322342387320</v>
      </c>
      <c r="V1078" s="109">
        <v>1.5027644258146265E-2</v>
      </c>
      <c r="W1078" s="109">
        <v>1.7520081946524686</v>
      </c>
      <c r="X1078" s="109">
        <v>0.37301738656906586</v>
      </c>
      <c r="Y1078" s="109">
        <v>0.13232884755840307</v>
      </c>
      <c r="Z1078" s="109">
        <v>1.4009126258652616</v>
      </c>
      <c r="AA1078" s="109">
        <v>3.658267054645199</v>
      </c>
      <c r="AD1078" s="111"/>
    </row>
    <row r="1079" spans="1:30" ht="15" customHeight="1" x14ac:dyDescent="0.3">
      <c r="A1079" s="22" t="s">
        <v>154</v>
      </c>
      <c r="B1079" s="23">
        <v>133</v>
      </c>
      <c r="C1079" s="3" t="s">
        <v>126</v>
      </c>
      <c r="D1079" s="23">
        <v>2021</v>
      </c>
      <c r="E1079" s="25">
        <v>3.191031994139252</v>
      </c>
      <c r="F1079" s="25">
        <v>0.1182093634124252</v>
      </c>
      <c r="G1079" s="25">
        <v>0.32526134274367441</v>
      </c>
      <c r="H1079" s="25">
        <v>0.48205529540322639</v>
      </c>
      <c r="I1079" s="25">
        <v>0.40022512019281298</v>
      </c>
      <c r="J1079" s="25">
        <v>3.4518835671970685E-2</v>
      </c>
      <c r="K1079" s="25">
        <v>5.1158823198797942E-2</v>
      </c>
      <c r="L1079" s="25">
        <v>0.72950000000000004</v>
      </c>
      <c r="M1079" s="24">
        <v>2</v>
      </c>
      <c r="N1079" s="108">
        <v>0</v>
      </c>
      <c r="O1079" s="24">
        <v>3</v>
      </c>
      <c r="P1079" s="24">
        <v>5</v>
      </c>
      <c r="Q1079" s="24">
        <v>3</v>
      </c>
      <c r="R1079" s="24">
        <v>4</v>
      </c>
      <c r="S1079" s="24">
        <v>5</v>
      </c>
      <c r="T1079" s="24">
        <v>4</v>
      </c>
      <c r="U1079" s="24">
        <v>356588372475</v>
      </c>
      <c r="V1079" s="109">
        <v>0.16013828416513382</v>
      </c>
      <c r="W1079" s="109">
        <v>1.4292065238811738</v>
      </c>
      <c r="X1079" s="109">
        <v>0.40575693037916966</v>
      </c>
      <c r="Y1079" s="109">
        <v>0.22011707413433099</v>
      </c>
      <c r="Z1079" s="109">
        <v>2.1781733548258257</v>
      </c>
      <c r="AA1079" s="109">
        <v>4.2332538832205007</v>
      </c>
      <c r="AD1079" s="111"/>
    </row>
    <row r="1080" spans="1:30" ht="15" customHeight="1" x14ac:dyDescent="0.3">
      <c r="A1080" s="22" t="s">
        <v>154</v>
      </c>
      <c r="B1080" s="23">
        <v>133</v>
      </c>
      <c r="C1080" s="3" t="s">
        <v>126</v>
      </c>
      <c r="D1080" s="23">
        <v>2022</v>
      </c>
      <c r="E1080" s="25">
        <v>2.9501525004364004</v>
      </c>
      <c r="F1080" s="25">
        <v>0.18589873601202228</v>
      </c>
      <c r="G1080" s="25">
        <v>0.37203313021874801</v>
      </c>
      <c r="H1080" s="25">
        <v>0.59244069730675952</v>
      </c>
      <c r="I1080" s="25">
        <v>0.29152651276270175</v>
      </c>
      <c r="J1080" s="25">
        <v>2.9165662152160973E-2</v>
      </c>
      <c r="K1080" s="25">
        <v>4.6444587375000589E-2</v>
      </c>
      <c r="L1080" s="25">
        <v>0.72950000000000004</v>
      </c>
      <c r="M1080" s="24">
        <v>2</v>
      </c>
      <c r="N1080" s="108">
        <v>0</v>
      </c>
      <c r="O1080" s="24">
        <v>3</v>
      </c>
      <c r="P1080" s="24">
        <v>5</v>
      </c>
      <c r="Q1080" s="24">
        <v>3</v>
      </c>
      <c r="R1080" s="24">
        <v>3</v>
      </c>
      <c r="S1080" s="24">
        <v>5</v>
      </c>
      <c r="T1080" s="24">
        <v>3</v>
      </c>
      <c r="U1080" s="24">
        <v>297046208202</v>
      </c>
      <c r="V1080" s="109">
        <v>-3.3729271318165777E-2</v>
      </c>
      <c r="W1080" s="109">
        <v>1.4421007360445941</v>
      </c>
      <c r="X1080" s="109">
        <v>0.52763708484222527</v>
      </c>
      <c r="Y1080" s="109">
        <v>0.20700905611164766</v>
      </c>
      <c r="Z1080" s="109">
        <v>1.7723292892829763</v>
      </c>
      <c r="AA1080" s="109">
        <v>3.9490761662814431</v>
      </c>
      <c r="AD1080" s="111"/>
    </row>
    <row r="1081" spans="1:30" ht="15" customHeight="1" x14ac:dyDescent="0.3">
      <c r="A1081" s="22" t="s">
        <v>154</v>
      </c>
      <c r="B1081" s="23">
        <v>133</v>
      </c>
      <c r="C1081" s="3" t="s">
        <v>126</v>
      </c>
      <c r="D1081" s="23">
        <v>2023</v>
      </c>
      <c r="E1081" s="25">
        <v>2.8467846107990105</v>
      </c>
      <c r="F1081" s="25">
        <v>0.11615605574160461</v>
      </c>
      <c r="G1081" s="25">
        <v>0.36761119086296823</v>
      </c>
      <c r="H1081" s="25">
        <v>0.58130565492551411</v>
      </c>
      <c r="I1081" s="25">
        <v>0.12818716226684285</v>
      </c>
      <c r="J1081" s="25">
        <v>2.6669918956889038E-2</v>
      </c>
      <c r="K1081" s="25">
        <v>4.2173293662933806E-2</v>
      </c>
      <c r="L1081" s="25">
        <v>0.72950000000000004</v>
      </c>
      <c r="M1081" s="24">
        <v>2</v>
      </c>
      <c r="N1081" s="108">
        <v>0</v>
      </c>
      <c r="O1081" s="24">
        <v>3</v>
      </c>
      <c r="P1081" s="24">
        <v>5</v>
      </c>
      <c r="Q1081" s="24">
        <v>3</v>
      </c>
      <c r="R1081" s="24">
        <v>3</v>
      </c>
      <c r="S1081" s="24">
        <v>5</v>
      </c>
      <c r="T1081" s="24">
        <v>3</v>
      </c>
      <c r="U1081" s="24">
        <v>242935248490</v>
      </c>
      <c r="V1081" s="109">
        <v>0.70078688936901001</v>
      </c>
      <c r="W1081" s="109">
        <v>1.3577056091411002</v>
      </c>
      <c r="X1081" s="109">
        <v>0.63991998369137115</v>
      </c>
      <c r="Y1081" s="109">
        <v>0.17367346915890935</v>
      </c>
      <c r="Z1081" s="109">
        <v>1.80627866098179</v>
      </c>
      <c r="AA1081" s="109">
        <v>3.9775777229731708</v>
      </c>
      <c r="AD1081" s="111"/>
    </row>
    <row r="1082" spans="1:30" ht="15" customHeight="1" x14ac:dyDescent="0.3">
      <c r="A1082" s="22" t="s">
        <v>154</v>
      </c>
      <c r="B1082" s="23">
        <v>133</v>
      </c>
      <c r="C1082" s="3" t="s">
        <v>126</v>
      </c>
      <c r="D1082" s="23">
        <v>2024</v>
      </c>
      <c r="E1082" s="25">
        <v>2.1955869268996984</v>
      </c>
      <c r="F1082" s="25">
        <v>3.6210329546945773E-2</v>
      </c>
      <c r="G1082" s="25">
        <v>0.37427430627863106</v>
      </c>
      <c r="H1082" s="25">
        <v>0.59814437865371184</v>
      </c>
      <c r="I1082" s="25">
        <v>0.12818895886929552</v>
      </c>
      <c r="J1082" s="25">
        <v>2.8820808533198915E-2</v>
      </c>
      <c r="K1082" s="25">
        <v>4.6059813145586777E-2</v>
      </c>
      <c r="L1082" s="25">
        <v>0.72950000000000004</v>
      </c>
      <c r="M1082" s="24">
        <v>2</v>
      </c>
      <c r="N1082" s="108">
        <v>0</v>
      </c>
      <c r="O1082" s="24">
        <v>3</v>
      </c>
      <c r="P1082" s="24">
        <v>5</v>
      </c>
      <c r="Q1082" s="24">
        <v>3</v>
      </c>
      <c r="R1082" s="24">
        <v>3</v>
      </c>
      <c r="S1082" s="24">
        <v>5</v>
      </c>
      <c r="T1082" s="24">
        <v>3</v>
      </c>
      <c r="U1082" s="24">
        <v>243101289401</v>
      </c>
      <c r="V1082" s="109">
        <v>8.137196676768077E-2</v>
      </c>
      <c r="W1082" s="109">
        <v>1.1178814325917026</v>
      </c>
      <c r="X1082" s="109">
        <v>0.7336279504159896</v>
      </c>
      <c r="Y1082" s="109">
        <v>0.20556708341191723</v>
      </c>
      <c r="Z1082" s="109">
        <v>1.7554290192667419</v>
      </c>
      <c r="AA1082" s="109">
        <v>3.8125054856863514</v>
      </c>
      <c r="AD1082" s="111"/>
    </row>
    <row r="1083" spans="1:30" ht="15" customHeight="1" x14ac:dyDescent="0.3">
      <c r="A1083" s="22" t="s">
        <v>154</v>
      </c>
      <c r="B1083" s="23">
        <v>134</v>
      </c>
      <c r="C1083" s="3" t="s">
        <v>95</v>
      </c>
      <c r="D1083" s="23">
        <v>2020</v>
      </c>
      <c r="E1083" s="25">
        <v>4.0761562475098554</v>
      </c>
      <c r="F1083" s="25">
        <v>0</v>
      </c>
      <c r="G1083" s="25">
        <v>0.47041017294701321</v>
      </c>
      <c r="H1083" s="25">
        <v>0.93693348969470935</v>
      </c>
      <c r="I1083" s="25">
        <v>0.14602842125494381</v>
      </c>
      <c r="J1083" s="25">
        <v>3.3710404773892005E-2</v>
      </c>
      <c r="K1083" s="25">
        <v>6.7142270725045472E-2</v>
      </c>
      <c r="L1083" s="25">
        <v>0</v>
      </c>
      <c r="M1083" s="24">
        <v>0</v>
      </c>
      <c r="N1083" s="108">
        <v>0</v>
      </c>
      <c r="O1083" s="24">
        <v>0</v>
      </c>
      <c r="P1083" s="24">
        <v>0</v>
      </c>
      <c r="Q1083" s="24">
        <v>0</v>
      </c>
      <c r="R1083" s="24">
        <v>0</v>
      </c>
      <c r="S1083" s="24">
        <v>0</v>
      </c>
      <c r="T1083" s="24">
        <v>0</v>
      </c>
      <c r="U1083" s="24">
        <v>9083071000000</v>
      </c>
      <c r="V1083" s="109">
        <v>0</v>
      </c>
      <c r="W1083" s="109">
        <v>1.8958930696457177</v>
      </c>
      <c r="X1083" s="109">
        <v>0.36867034948862559</v>
      </c>
      <c r="Y1083" s="109">
        <v>0.28711406527594024</v>
      </c>
      <c r="Z1083" s="109">
        <v>1.1206772001950025</v>
      </c>
      <c r="AA1083" s="109">
        <v>3.6723546846052857</v>
      </c>
      <c r="AD1083" s="111"/>
    </row>
    <row r="1084" spans="1:30" ht="15" customHeight="1" x14ac:dyDescent="0.3">
      <c r="A1084" s="22" t="s">
        <v>154</v>
      </c>
      <c r="B1084" s="23">
        <v>134</v>
      </c>
      <c r="C1084" s="3" t="s">
        <v>95</v>
      </c>
      <c r="D1084" s="23">
        <v>2021</v>
      </c>
      <c r="E1084" s="25">
        <v>2.2158584265493295</v>
      </c>
      <c r="F1084" s="25">
        <v>0</v>
      </c>
      <c r="G1084" s="25">
        <v>0.4729997251708582</v>
      </c>
      <c r="H1084" s="25">
        <v>0.95475287191667513</v>
      </c>
      <c r="I1084" s="25">
        <v>0.11239519995132149</v>
      </c>
      <c r="J1084" s="25">
        <v>2.3680405185834748E-2</v>
      </c>
      <c r="K1084" s="25">
        <v>4.7799044388787744E-2</v>
      </c>
      <c r="L1084" s="25">
        <v>0.8</v>
      </c>
      <c r="M1084" s="24">
        <v>3</v>
      </c>
      <c r="N1084" s="108">
        <v>0</v>
      </c>
      <c r="O1084" s="24">
        <v>6</v>
      </c>
      <c r="P1084" s="24">
        <v>0</v>
      </c>
      <c r="Q1084" s="24">
        <v>6</v>
      </c>
      <c r="R1084" s="24">
        <v>6</v>
      </c>
      <c r="S1084" s="24">
        <v>0</v>
      </c>
      <c r="T1084" s="24">
        <v>0</v>
      </c>
      <c r="U1084" s="24">
        <v>8736337000000</v>
      </c>
      <c r="V1084" s="109">
        <v>-0.12216790163729588</v>
      </c>
      <c r="W1084" s="109">
        <v>1.3777113039480962</v>
      </c>
      <c r="X1084" s="109">
        <v>0.40174143923248379</v>
      </c>
      <c r="Y1084" s="109">
        <v>0.1821445120535071</v>
      </c>
      <c r="Z1084" s="109">
        <v>1.0997610280994656</v>
      </c>
      <c r="AA1084" s="109">
        <v>3.0613582833335524</v>
      </c>
      <c r="AD1084" s="111"/>
    </row>
    <row r="1085" spans="1:30" ht="15" customHeight="1" x14ac:dyDescent="0.3">
      <c r="A1085" s="22" t="s">
        <v>154</v>
      </c>
      <c r="B1085" s="23">
        <v>134</v>
      </c>
      <c r="C1085" s="3" t="s">
        <v>95</v>
      </c>
      <c r="D1085" s="23">
        <v>2022</v>
      </c>
      <c r="E1085" s="25">
        <v>5.1557911096056905</v>
      </c>
      <c r="F1085" s="25">
        <v>0.1106892868035748</v>
      </c>
      <c r="G1085" s="25">
        <v>0.48005134130890359</v>
      </c>
      <c r="H1085" s="25">
        <v>0.98654423575365968</v>
      </c>
      <c r="I1085" s="25">
        <v>8.5527791460070307E-2</v>
      </c>
      <c r="J1085" s="25">
        <v>1.6848795604214064E-2</v>
      </c>
      <c r="K1085" s="25">
        <v>3.4625634286131496E-2</v>
      </c>
      <c r="L1085" s="25">
        <v>0.8</v>
      </c>
      <c r="M1085" s="24">
        <v>5</v>
      </c>
      <c r="N1085" s="108">
        <v>0</v>
      </c>
      <c r="O1085" s="24">
        <v>8</v>
      </c>
      <c r="P1085" s="24">
        <v>0</v>
      </c>
      <c r="Q1085" s="24">
        <v>8</v>
      </c>
      <c r="R1085" s="24">
        <v>6</v>
      </c>
      <c r="S1085" s="24">
        <v>0</v>
      </c>
      <c r="T1085" s="24">
        <v>0</v>
      </c>
      <c r="U1085" s="24">
        <v>9007172000000</v>
      </c>
      <c r="V1085" s="109">
        <v>-3.5994932219522692E-2</v>
      </c>
      <c r="W1085" s="109">
        <v>1.9747903115428462</v>
      </c>
      <c r="X1085" s="109">
        <v>0.42932515111291308</v>
      </c>
      <c r="Y1085" s="109">
        <v>0.197351745919807</v>
      </c>
      <c r="Z1085" s="109">
        <v>1.0643212559017832</v>
      </c>
      <c r="AA1085" s="109">
        <v>3.66578846447735</v>
      </c>
      <c r="AD1085" s="111"/>
    </row>
    <row r="1086" spans="1:30" ht="15" customHeight="1" x14ac:dyDescent="0.3">
      <c r="A1086" s="22" t="s">
        <v>154</v>
      </c>
      <c r="B1086" s="23">
        <v>134</v>
      </c>
      <c r="C1086" s="3" t="s">
        <v>95</v>
      </c>
      <c r="D1086" s="23">
        <v>2023</v>
      </c>
      <c r="E1086" s="25">
        <v>4.8596360869922615</v>
      </c>
      <c r="F1086" s="25">
        <v>0.12579965604112034</v>
      </c>
      <c r="G1086" s="25">
        <v>0.4894078078999391</v>
      </c>
      <c r="H1086" s="25">
        <v>1.0328797885245968</v>
      </c>
      <c r="I1086" s="25">
        <v>4.8522430362798311E-2</v>
      </c>
      <c r="J1086" s="25">
        <v>1.0584283841065228E-2</v>
      </c>
      <c r="K1086" s="25">
        <v>2.2337798210360593E-2</v>
      </c>
      <c r="L1086" s="25">
        <v>0.8</v>
      </c>
      <c r="M1086" s="24">
        <v>5</v>
      </c>
      <c r="N1086" s="108">
        <v>0</v>
      </c>
      <c r="O1086" s="24">
        <v>8</v>
      </c>
      <c r="P1086" s="24">
        <v>0</v>
      </c>
      <c r="Q1086" s="24">
        <v>8</v>
      </c>
      <c r="R1086" s="24">
        <v>5</v>
      </c>
      <c r="S1086" s="24">
        <v>0</v>
      </c>
      <c r="T1086" s="24">
        <v>0</v>
      </c>
      <c r="U1086" s="24">
        <v>9230856000000</v>
      </c>
      <c r="V1086" s="109">
        <v>0.13477784528126222</v>
      </c>
      <c r="W1086" s="109">
        <v>1.7017513782037115</v>
      </c>
      <c r="X1086" s="109">
        <v>0.41143494601150743</v>
      </c>
      <c r="Y1086" s="109">
        <v>6.0553742794817726E-2</v>
      </c>
      <c r="Z1086" s="109">
        <v>1.0165752216914403</v>
      </c>
      <c r="AA1086" s="109">
        <v>3.190315288701477</v>
      </c>
      <c r="AD1086" s="111"/>
    </row>
    <row r="1087" spans="1:30" ht="15" customHeight="1" x14ac:dyDescent="0.3">
      <c r="A1087" s="22" t="s">
        <v>154</v>
      </c>
      <c r="B1087" s="23">
        <v>134</v>
      </c>
      <c r="C1087" s="3" t="s">
        <v>95</v>
      </c>
      <c r="D1087" s="23">
        <v>2024</v>
      </c>
      <c r="E1087" s="25">
        <v>4.0339090077615527</v>
      </c>
      <c r="F1087" s="25">
        <v>0.18915279866119591</v>
      </c>
      <c r="G1087" s="25">
        <v>0.48528302517880567</v>
      </c>
      <c r="H1087" s="25">
        <v>1.021692032231206</v>
      </c>
      <c r="I1087" s="25">
        <v>4.7921181440629207E-2</v>
      </c>
      <c r="J1087" s="25">
        <v>1.2509750210227183E-2</v>
      </c>
      <c r="K1087" s="25">
        <v>2.6337439085742764E-2</v>
      </c>
      <c r="L1087" s="25">
        <v>0.8</v>
      </c>
      <c r="M1087" s="24">
        <v>3</v>
      </c>
      <c r="N1087" s="108">
        <v>0</v>
      </c>
      <c r="O1087" s="24">
        <v>6</v>
      </c>
      <c r="P1087" s="24">
        <v>0</v>
      </c>
      <c r="Q1087" s="24">
        <v>6</v>
      </c>
      <c r="R1087" s="24">
        <v>5</v>
      </c>
      <c r="S1087" s="24">
        <v>0</v>
      </c>
      <c r="T1087" s="24">
        <v>0</v>
      </c>
      <c r="U1087" s="24">
        <v>9328004000000</v>
      </c>
      <c r="V1087" s="109">
        <v>0.2093414444091832</v>
      </c>
      <c r="W1087" s="109">
        <v>1.5069821325119501</v>
      </c>
      <c r="X1087" s="109">
        <v>0.44388508624138662</v>
      </c>
      <c r="Y1087" s="109">
        <v>0.12280564202159432</v>
      </c>
      <c r="Z1087" s="109">
        <v>1.0277069477648506</v>
      </c>
      <c r="AA1087" s="109">
        <v>3.1013798085397815</v>
      </c>
      <c r="AD1087" s="111"/>
    </row>
    <row r="1088" spans="1:30" ht="15" customHeight="1" x14ac:dyDescent="0.3">
      <c r="A1088" s="22" t="s">
        <v>154</v>
      </c>
      <c r="B1088" s="23">
        <v>135</v>
      </c>
      <c r="C1088" s="3" t="s">
        <v>133</v>
      </c>
      <c r="D1088" s="23">
        <v>2020</v>
      </c>
      <c r="E1088" s="25">
        <v>4.0367996833507247</v>
      </c>
      <c r="F1088" s="25">
        <v>3.9165305314670218</v>
      </c>
      <c r="G1088" s="25">
        <v>0.3936710666833847</v>
      </c>
      <c r="H1088" s="25">
        <v>0.87319106144945247</v>
      </c>
      <c r="I1088" s="25">
        <v>0.15202048362483861</v>
      </c>
      <c r="J1088" s="25">
        <v>1.2798569989419454E-2</v>
      </c>
      <c r="K1088" s="25">
        <v>2.8388159201662655E-2</v>
      </c>
      <c r="L1088" s="25">
        <v>0</v>
      </c>
      <c r="M1088" s="24">
        <v>0</v>
      </c>
      <c r="N1088" s="108">
        <v>0</v>
      </c>
      <c r="O1088" s="24">
        <v>0</v>
      </c>
      <c r="P1088" s="24">
        <v>0</v>
      </c>
      <c r="Q1088" s="24">
        <v>0</v>
      </c>
      <c r="R1088" s="24">
        <v>0</v>
      </c>
      <c r="S1088" s="24">
        <v>0</v>
      </c>
      <c r="T1088" s="24">
        <v>0</v>
      </c>
      <c r="U1088" s="24">
        <v>1619009000000</v>
      </c>
      <c r="V1088" s="109">
        <v>0</v>
      </c>
      <c r="W1088" s="109">
        <v>3.4195967533225571</v>
      </c>
      <c r="X1088" s="109">
        <v>-0.25309661651047027</v>
      </c>
      <c r="Y1088" s="109">
        <v>0.10356379735998997</v>
      </c>
      <c r="Z1088" s="109">
        <v>1.202485969401764</v>
      </c>
      <c r="AA1088" s="109">
        <v>4.4725499035738405</v>
      </c>
      <c r="AD1088" s="111"/>
    </row>
    <row r="1089" spans="1:30" ht="15" customHeight="1" x14ac:dyDescent="0.3">
      <c r="A1089" s="22" t="s">
        <v>154</v>
      </c>
      <c r="B1089" s="23">
        <v>135</v>
      </c>
      <c r="C1089" s="3" t="s">
        <v>133</v>
      </c>
      <c r="D1089" s="23">
        <v>2021</v>
      </c>
      <c r="E1089" s="25">
        <v>3.1724164565939428</v>
      </c>
      <c r="F1089" s="25">
        <v>2.8421189374416302</v>
      </c>
      <c r="G1089" s="25">
        <v>0.46084639222937612</v>
      </c>
      <c r="H1089" s="25">
        <v>1.5563660020206198</v>
      </c>
      <c r="I1089" s="25">
        <v>0</v>
      </c>
      <c r="J1089" s="25">
        <v>-1.865159223399222E-2</v>
      </c>
      <c r="K1089" s="25">
        <v>-6.2989977845131773E-2</v>
      </c>
      <c r="L1089" s="25">
        <v>0.99729999999999996</v>
      </c>
      <c r="M1089" s="24">
        <v>3</v>
      </c>
      <c r="N1089" s="108">
        <v>0</v>
      </c>
      <c r="O1089" s="24">
        <v>4</v>
      </c>
      <c r="P1089" s="24">
        <v>0</v>
      </c>
      <c r="Q1089" s="24">
        <v>4</v>
      </c>
      <c r="R1089" s="24">
        <v>3</v>
      </c>
      <c r="S1089" s="24">
        <v>0</v>
      </c>
      <c r="T1089" s="24">
        <v>0</v>
      </c>
      <c r="U1089" s="24">
        <v>1126499000000</v>
      </c>
      <c r="V1089" s="109">
        <v>0</v>
      </c>
      <c r="W1089" s="109">
        <v>1.801605292148506</v>
      </c>
      <c r="X1089" s="109">
        <v>-1.5170603613496327</v>
      </c>
      <c r="Y1089" s="109">
        <v>-0.11021048398622633</v>
      </c>
      <c r="Z1089" s="109">
        <v>0.67464850725137393</v>
      </c>
      <c r="AA1089" s="109">
        <v>0.8489829540640208</v>
      </c>
      <c r="AD1089" s="111"/>
    </row>
    <row r="1090" spans="1:30" ht="15" customHeight="1" x14ac:dyDescent="0.3">
      <c r="A1090" s="22" t="s">
        <v>154</v>
      </c>
      <c r="B1090" s="23">
        <v>135</v>
      </c>
      <c r="C1090" s="3" t="s">
        <v>133</v>
      </c>
      <c r="D1090" s="23">
        <v>2022</v>
      </c>
      <c r="E1090" s="25">
        <v>1.9280306490352324</v>
      </c>
      <c r="F1090" s="25">
        <v>1.4986217606000849</v>
      </c>
      <c r="G1090" s="25">
        <v>0.5181960587665646</v>
      </c>
      <c r="H1090" s="25">
        <v>2.0605540446601704</v>
      </c>
      <c r="I1090" s="25">
        <v>2.7656439545792961E-2</v>
      </c>
      <c r="J1090" s="25">
        <v>4.0729605868988989E-3</v>
      </c>
      <c r="K1090" s="25">
        <v>1.6195714477358927E-2</v>
      </c>
      <c r="L1090" s="25">
        <v>0.99729999999999996</v>
      </c>
      <c r="M1090" s="24">
        <v>2</v>
      </c>
      <c r="N1090" s="108">
        <v>0</v>
      </c>
      <c r="O1090" s="24">
        <v>3</v>
      </c>
      <c r="P1090" s="24">
        <v>0</v>
      </c>
      <c r="Q1090" s="24">
        <v>3</v>
      </c>
      <c r="R1090" s="24">
        <v>3</v>
      </c>
      <c r="S1090" s="24">
        <v>0</v>
      </c>
      <c r="T1090" s="24">
        <v>0</v>
      </c>
      <c r="U1090" s="24">
        <v>1304211000000</v>
      </c>
      <c r="V1090" s="109">
        <v>0</v>
      </c>
      <c r="W1090" s="109">
        <v>0.86872237697734478</v>
      </c>
      <c r="X1090" s="109">
        <v>-1.2936256786670253</v>
      </c>
      <c r="Y1090" s="109">
        <v>2.73702951439606E-2</v>
      </c>
      <c r="Z1090" s="109">
        <v>0.50957168666409203</v>
      </c>
      <c r="AA1090" s="109">
        <v>0.11203868011837215</v>
      </c>
      <c r="AD1090" s="111"/>
    </row>
    <row r="1091" spans="1:30" ht="15" customHeight="1" x14ac:dyDescent="0.3">
      <c r="A1091" s="22" t="s">
        <v>154</v>
      </c>
      <c r="B1091" s="23">
        <v>135</v>
      </c>
      <c r="C1091" s="3" t="s">
        <v>133</v>
      </c>
      <c r="D1091" s="23">
        <v>2023</v>
      </c>
      <c r="E1091" s="25">
        <v>1.3506944724347245</v>
      </c>
      <c r="F1091" s="25">
        <v>0.9909029350831513</v>
      </c>
      <c r="G1091" s="25">
        <v>0.5617298433884006</v>
      </c>
      <c r="H1091" s="25">
        <v>2.545005678171135</v>
      </c>
      <c r="I1091" s="25">
        <v>5.0772094086858205E-2</v>
      </c>
      <c r="J1091" s="25">
        <v>1.0248027129770307E-2</v>
      </c>
      <c r="K1091" s="25">
        <v>4.6430303716805933E-2</v>
      </c>
      <c r="L1091" s="25">
        <v>0.99729999999999996</v>
      </c>
      <c r="M1091" s="24">
        <v>2</v>
      </c>
      <c r="N1091" s="108">
        <v>0</v>
      </c>
      <c r="O1091" s="24">
        <v>3</v>
      </c>
      <c r="P1091" s="24">
        <v>0</v>
      </c>
      <c r="Q1091" s="24">
        <v>3</v>
      </c>
      <c r="R1091" s="24">
        <v>3</v>
      </c>
      <c r="S1091" s="24">
        <v>0</v>
      </c>
      <c r="T1091" s="24">
        <v>0</v>
      </c>
      <c r="U1091" s="24">
        <v>1559910000000</v>
      </c>
      <c r="V1091" s="109">
        <v>0.63927922486996991</v>
      </c>
      <c r="W1091" s="109">
        <v>0.36590090453936441</v>
      </c>
      <c r="X1091" s="109">
        <v>-1.0510449320794149</v>
      </c>
      <c r="Y1091" s="109">
        <v>6.8866742312056459E-2</v>
      </c>
      <c r="Z1091" s="109">
        <v>0.41257275337575666</v>
      </c>
      <c r="AA1091" s="109">
        <v>-0.2037045318522373</v>
      </c>
      <c r="AD1091" s="111"/>
    </row>
    <row r="1092" spans="1:30" ht="15" customHeight="1" x14ac:dyDescent="0.3">
      <c r="A1092" s="22" t="s">
        <v>154</v>
      </c>
      <c r="B1092" s="23">
        <v>135</v>
      </c>
      <c r="C1092" s="3" t="s">
        <v>133</v>
      </c>
      <c r="D1092" s="23">
        <v>2024</v>
      </c>
      <c r="E1092" s="25">
        <v>0.72878825578502116</v>
      </c>
      <c r="F1092" s="25">
        <v>0.4442597661109729</v>
      </c>
      <c r="G1092" s="25">
        <v>0.56148513531529132</v>
      </c>
      <c r="H1092" s="25">
        <v>25.104727103094387</v>
      </c>
      <c r="I1092" s="25">
        <v>0.11158484930970182</v>
      </c>
      <c r="J1092" s="25">
        <v>2.5424436162134904E-2</v>
      </c>
      <c r="K1092" s="25">
        <v>1.1367594464313482</v>
      </c>
      <c r="L1092" s="25">
        <v>0.99729999999999996</v>
      </c>
      <c r="M1092" s="24">
        <v>2</v>
      </c>
      <c r="N1092" s="108">
        <v>0</v>
      </c>
      <c r="O1092" s="24">
        <v>3</v>
      </c>
      <c r="P1092" s="24">
        <v>0</v>
      </c>
      <c r="Q1092" s="24">
        <v>3</v>
      </c>
      <c r="R1092" s="24">
        <v>3</v>
      </c>
      <c r="S1092" s="24">
        <v>0</v>
      </c>
      <c r="T1092" s="24">
        <v>0</v>
      </c>
      <c r="U1092" s="24">
        <v>1725230000000</v>
      </c>
      <c r="V1092" s="109">
        <v>0.24847073919036519</v>
      </c>
      <c r="W1092" s="109">
        <v>-0.31084551045367864</v>
      </c>
      <c r="X1092" s="109">
        <v>-0.86520203103354321</v>
      </c>
      <c r="Y1092" s="109">
        <v>0.17085221100954656</v>
      </c>
      <c r="Z1092" s="109">
        <v>4.1824792426067757E-2</v>
      </c>
      <c r="AA1092" s="109">
        <v>-0.96337053805160755</v>
      </c>
      <c r="AD1092" s="111"/>
    </row>
    <row r="1093" spans="1:30" ht="15" customHeight="1" x14ac:dyDescent="0.3">
      <c r="A1093" s="22" t="s">
        <v>155</v>
      </c>
      <c r="B1093" s="23">
        <v>136</v>
      </c>
      <c r="C1093" s="3" t="s">
        <v>142</v>
      </c>
      <c r="D1093" s="23">
        <v>2022</v>
      </c>
      <c r="E1093" s="25">
        <v>2.0199119574119573</v>
      </c>
      <c r="F1093" s="25">
        <v>8.2770270270270271E-2</v>
      </c>
      <c r="G1093" s="25">
        <v>0.18593199117802678</v>
      </c>
      <c r="H1093" s="25">
        <v>0.22839859712345956</v>
      </c>
      <c r="I1093" s="25">
        <v>0.29599663759588107</v>
      </c>
      <c r="J1093" s="25">
        <v>1.4757421930251929E-2</v>
      </c>
      <c r="K1093" s="25">
        <v>1.8127996396280446E-2</v>
      </c>
      <c r="L1093" s="25">
        <v>0.5</v>
      </c>
      <c r="M1093" s="24">
        <v>1</v>
      </c>
      <c r="N1093" s="108">
        <v>0</v>
      </c>
      <c r="O1093" s="24">
        <v>3</v>
      </c>
      <c r="P1093" s="24">
        <v>0</v>
      </c>
      <c r="Q1093" s="24">
        <v>3</v>
      </c>
      <c r="R1093" s="24">
        <v>3</v>
      </c>
      <c r="S1093" s="24">
        <v>0</v>
      </c>
      <c r="T1093" s="24">
        <v>0</v>
      </c>
      <c r="U1093" s="24">
        <v>381774000000</v>
      </c>
      <c r="V1093" s="109">
        <v>0</v>
      </c>
      <c r="W1093" s="109">
        <v>0.34237009330127244</v>
      </c>
      <c r="X1093" s="109">
        <v>7.7125000654837683E-2</v>
      </c>
      <c r="Y1093" s="109">
        <v>2.0013515849691178E-2</v>
      </c>
      <c r="Z1093" s="109">
        <v>4.5972261354671478</v>
      </c>
      <c r="AA1093" s="109">
        <v>5.0367347452729492</v>
      </c>
      <c r="AD1093" s="111"/>
    </row>
    <row r="1094" spans="1:30" ht="15" customHeight="1" x14ac:dyDescent="0.3">
      <c r="A1094" s="22" t="s">
        <v>155</v>
      </c>
      <c r="B1094" s="23">
        <v>136</v>
      </c>
      <c r="C1094" s="3" t="s">
        <v>142</v>
      </c>
      <c r="D1094" s="23">
        <v>2023</v>
      </c>
      <c r="E1094" s="25">
        <v>1.4559146358407202</v>
      </c>
      <c r="F1094" s="25">
        <v>4.6483452357795871E-2</v>
      </c>
      <c r="G1094" s="25">
        <v>0.58037618376059141</v>
      </c>
      <c r="H1094" s="25">
        <v>1.383086853748712</v>
      </c>
      <c r="I1094" s="25">
        <v>8.8363140736374857E-2</v>
      </c>
      <c r="J1094" s="25">
        <v>2.4403239692206351E-2</v>
      </c>
      <c r="K1094" s="25">
        <v>5.8155039699375723E-2</v>
      </c>
      <c r="L1094" s="25">
        <v>0.5</v>
      </c>
      <c r="M1094" s="24">
        <v>1</v>
      </c>
      <c r="N1094" s="108">
        <v>0</v>
      </c>
      <c r="O1094" s="24">
        <v>4</v>
      </c>
      <c r="P1094" s="24">
        <v>13</v>
      </c>
      <c r="Q1094" s="24">
        <v>4</v>
      </c>
      <c r="R1094" s="24">
        <v>5</v>
      </c>
      <c r="S1094" s="24">
        <v>13</v>
      </c>
      <c r="T1094" s="24">
        <v>12</v>
      </c>
      <c r="U1094" s="24">
        <v>786371000000</v>
      </c>
      <c r="V1094" s="109">
        <v>10.40968792686771</v>
      </c>
      <c r="W1094" s="109">
        <v>0.68434568416180142</v>
      </c>
      <c r="X1094" s="109">
        <v>0.1226773622119839</v>
      </c>
      <c r="Y1094" s="109">
        <v>0.1706296900572376</v>
      </c>
      <c r="Z1094" s="109">
        <v>0.75917141223205542</v>
      </c>
      <c r="AA1094" s="109">
        <v>1.7368241486630782</v>
      </c>
      <c r="AD1094" s="111"/>
    </row>
    <row r="1095" spans="1:30" ht="15" customHeight="1" x14ac:dyDescent="0.3">
      <c r="A1095" s="22" t="s">
        <v>155</v>
      </c>
      <c r="B1095" s="23">
        <v>136</v>
      </c>
      <c r="C1095" s="3" t="s">
        <v>142</v>
      </c>
      <c r="D1095" s="23">
        <v>2024</v>
      </c>
      <c r="E1095" s="25">
        <v>2.1054061162301387</v>
      </c>
      <c r="F1095" s="25">
        <v>1.9385293477472247E-2</v>
      </c>
      <c r="G1095" s="25">
        <v>0.62773085293812836</v>
      </c>
      <c r="H1095" s="25">
        <v>1.6862285201244422</v>
      </c>
      <c r="I1095" s="25">
        <v>9.4578598484848481E-2</v>
      </c>
      <c r="J1095" s="25">
        <v>2.8982277956264898E-2</v>
      </c>
      <c r="K1095" s="25">
        <v>7.7853021624292709E-2</v>
      </c>
      <c r="L1095" s="25">
        <v>0.5</v>
      </c>
      <c r="M1095" s="24">
        <v>1</v>
      </c>
      <c r="N1095" s="108">
        <v>0</v>
      </c>
      <c r="O1095" s="24">
        <v>3</v>
      </c>
      <c r="P1095" s="24">
        <v>10</v>
      </c>
      <c r="Q1095" s="24">
        <v>3</v>
      </c>
      <c r="R1095" s="24">
        <v>5</v>
      </c>
      <c r="S1095" s="24">
        <v>10</v>
      </c>
      <c r="T1095" s="24">
        <v>12</v>
      </c>
      <c r="U1095" s="24">
        <v>1543840000000</v>
      </c>
      <c r="V1095" s="109">
        <v>1.1784023723131896</v>
      </c>
      <c r="W1095" s="109">
        <v>1.0358268214322728</v>
      </c>
      <c r="X1095" s="109">
        <v>0.13045996994507203</v>
      </c>
      <c r="Y1095" s="109">
        <v>0.13792662452067572</v>
      </c>
      <c r="Z1095" s="109">
        <v>0.62269140123576538</v>
      </c>
      <c r="AA1095" s="109">
        <v>1.9269048171337861</v>
      </c>
      <c r="AD1095" s="111"/>
    </row>
    <row r="1096" spans="1:30" ht="15" customHeight="1" x14ac:dyDescent="0.3">
      <c r="A1096" s="22" t="s">
        <v>155</v>
      </c>
      <c r="B1096" s="23">
        <v>137</v>
      </c>
      <c r="C1096" s="3" t="s">
        <v>136</v>
      </c>
      <c r="D1096" s="23">
        <v>2016</v>
      </c>
      <c r="E1096" s="25">
        <v>3.125548457865531</v>
      </c>
      <c r="F1096" s="25">
        <v>5.4361853142340946E-2</v>
      </c>
      <c r="G1096" s="25">
        <v>0.59295432742258058</v>
      </c>
      <c r="H1096" s="25">
        <v>1.4567267689347603</v>
      </c>
      <c r="I1096" s="25">
        <v>0.17194670372437201</v>
      </c>
      <c r="J1096" s="25">
        <v>7.7469893119962302E-2</v>
      </c>
      <c r="K1096" s="25">
        <v>0.19032236021432619</v>
      </c>
      <c r="L1096" s="25">
        <v>0</v>
      </c>
      <c r="M1096" s="24">
        <v>0</v>
      </c>
      <c r="N1096" s="108">
        <v>0</v>
      </c>
      <c r="O1096" s="24">
        <v>0</v>
      </c>
      <c r="P1096" s="24">
        <v>0</v>
      </c>
      <c r="Q1096" s="24">
        <v>0</v>
      </c>
      <c r="R1096" s="24">
        <v>0</v>
      </c>
      <c r="S1096" s="24">
        <v>0</v>
      </c>
      <c r="T1096" s="24">
        <v>0</v>
      </c>
      <c r="U1096" s="24">
        <v>1833551000000</v>
      </c>
      <c r="V1096" s="109">
        <v>0</v>
      </c>
      <c r="W1096" s="109">
        <v>1.4142909360034162</v>
      </c>
      <c r="X1096" s="109">
        <v>1.1844680949698154</v>
      </c>
      <c r="Y1096" s="109">
        <v>0.58545020018532345</v>
      </c>
      <c r="Z1096" s="109">
        <v>0.72079405856447509</v>
      </c>
      <c r="AA1096" s="109">
        <v>3.9050032897230298</v>
      </c>
      <c r="AD1096" s="111"/>
    </row>
    <row r="1097" spans="1:30" ht="15" customHeight="1" x14ac:dyDescent="0.3">
      <c r="A1097" s="22" t="s">
        <v>155</v>
      </c>
      <c r="B1097" s="23">
        <v>137</v>
      </c>
      <c r="C1097" s="3" t="s">
        <v>136</v>
      </c>
      <c r="D1097" s="23">
        <v>2017</v>
      </c>
      <c r="E1097" s="25">
        <v>3.2489566521984647</v>
      </c>
      <c r="F1097" s="25">
        <v>3.7841197285457956E-2</v>
      </c>
      <c r="G1097" s="25">
        <v>0.52884074516977153</v>
      </c>
      <c r="H1097" s="25">
        <v>1.1224246149220338</v>
      </c>
      <c r="I1097" s="25">
        <v>0.18430930683587787</v>
      </c>
      <c r="J1097" s="25">
        <v>5.8273853918835772E-2</v>
      </c>
      <c r="K1097" s="25">
        <v>0.12368186196370787</v>
      </c>
      <c r="L1097" s="25">
        <v>0.58750000000000002</v>
      </c>
      <c r="M1097" s="24">
        <v>1</v>
      </c>
      <c r="N1097" s="108">
        <v>0</v>
      </c>
      <c r="O1097" s="24">
        <v>3</v>
      </c>
      <c r="P1097" s="24">
        <v>5</v>
      </c>
      <c r="Q1097" s="24">
        <v>3</v>
      </c>
      <c r="R1097" s="24">
        <v>4</v>
      </c>
      <c r="S1097" s="24">
        <v>5</v>
      </c>
      <c r="T1097" s="24">
        <v>8</v>
      </c>
      <c r="U1097" s="24">
        <v>2879988000000</v>
      </c>
      <c r="V1097" s="109">
        <v>0.10226256175107341</v>
      </c>
      <c r="W1097" s="109">
        <v>1.5330897767629585</v>
      </c>
      <c r="X1097" s="109">
        <v>0.90980640197111928</v>
      </c>
      <c r="Y1097" s="109">
        <v>0.43177813240888507</v>
      </c>
      <c r="Z1097" s="109">
        <v>0.93547485153195387</v>
      </c>
      <c r="AA1097" s="109">
        <v>3.8101491626749171</v>
      </c>
      <c r="AD1097" s="111"/>
    </row>
    <row r="1098" spans="1:30" ht="15" customHeight="1" x14ac:dyDescent="0.3">
      <c r="A1098" s="22" t="s">
        <v>155</v>
      </c>
      <c r="B1098" s="23">
        <v>137</v>
      </c>
      <c r="C1098" s="3" t="s">
        <v>136</v>
      </c>
      <c r="D1098" s="23">
        <v>2018</v>
      </c>
      <c r="E1098" s="25">
        <v>2.6714299937546953</v>
      </c>
      <c r="F1098" s="25">
        <v>1.6051338214928993E-2</v>
      </c>
      <c r="G1098" s="25">
        <v>0.5883763524267952</v>
      </c>
      <c r="H1098" s="25">
        <v>1.4294036698223367</v>
      </c>
      <c r="I1098" s="25">
        <v>8.2966154842103138E-2</v>
      </c>
      <c r="J1098" s="25">
        <v>2.3936721280282774E-2</v>
      </c>
      <c r="K1098" s="25">
        <v>5.8151958521833393E-2</v>
      </c>
      <c r="L1098" s="25">
        <v>0.58750000000000002</v>
      </c>
      <c r="M1098" s="24">
        <v>1</v>
      </c>
      <c r="N1098" s="108">
        <v>0</v>
      </c>
      <c r="O1098" s="24">
        <v>3</v>
      </c>
      <c r="P1098" s="24">
        <v>5</v>
      </c>
      <c r="Q1098" s="24">
        <v>3</v>
      </c>
      <c r="R1098" s="24">
        <v>4</v>
      </c>
      <c r="S1098" s="24">
        <v>5</v>
      </c>
      <c r="T1098" s="24">
        <v>11</v>
      </c>
      <c r="U1098" s="24">
        <v>3426618000000</v>
      </c>
      <c r="V1098" s="109">
        <v>8.5706002121729269E-2</v>
      </c>
      <c r="W1098" s="109">
        <v>1.767631781540866</v>
      </c>
      <c r="X1098" s="109">
        <v>0.87124103124421803</v>
      </c>
      <c r="Y1098" s="109">
        <v>0.31642824499258448</v>
      </c>
      <c r="Z1098" s="109">
        <v>0.73457206118024487</v>
      </c>
      <c r="AA1098" s="109">
        <v>3.6898731189579133</v>
      </c>
      <c r="AD1098" s="111"/>
    </row>
    <row r="1099" spans="1:30" ht="15" customHeight="1" x14ac:dyDescent="0.3">
      <c r="A1099" s="22" t="s">
        <v>155</v>
      </c>
      <c r="B1099" s="23">
        <v>137</v>
      </c>
      <c r="C1099" s="3" t="s">
        <v>136</v>
      </c>
      <c r="D1099" s="23">
        <v>2019</v>
      </c>
      <c r="E1099" s="25">
        <v>2.7274941393408683</v>
      </c>
      <c r="F1099" s="25">
        <v>5.5184000189298865E-2</v>
      </c>
      <c r="G1099" s="25">
        <v>0.5926329534765945</v>
      </c>
      <c r="H1099" s="25">
        <v>1.454788644624804</v>
      </c>
      <c r="I1099" s="25">
        <v>0.17184012669698034</v>
      </c>
      <c r="J1099" s="25">
        <v>5.3759080028368586E-2</v>
      </c>
      <c r="K1099" s="25">
        <v>0.13196717919911527</v>
      </c>
      <c r="L1099" s="25">
        <v>0.58750000000000002</v>
      </c>
      <c r="M1099" s="24">
        <v>1</v>
      </c>
      <c r="N1099" s="108">
        <v>0</v>
      </c>
      <c r="O1099" s="24">
        <v>3</v>
      </c>
      <c r="P1099" s="24">
        <v>5</v>
      </c>
      <c r="Q1099" s="24">
        <v>3</v>
      </c>
      <c r="R1099" s="24">
        <v>4</v>
      </c>
      <c r="S1099" s="24">
        <v>5</v>
      </c>
      <c r="T1099" s="24">
        <v>11</v>
      </c>
      <c r="U1099" s="24">
        <v>3915599000000</v>
      </c>
      <c r="V1099" s="109">
        <v>0.23907062369767959</v>
      </c>
      <c r="W1099" s="109">
        <v>1.7123487466413183</v>
      </c>
      <c r="X1099" s="109">
        <v>0.88841183686072045</v>
      </c>
      <c r="Y1099" s="109">
        <v>0.33170783831541484</v>
      </c>
      <c r="Z1099" s="109">
        <v>0.72175432759911273</v>
      </c>
      <c r="AA1099" s="109">
        <v>3.6542227494165669</v>
      </c>
      <c r="AD1099" s="111"/>
    </row>
    <row r="1100" spans="1:30" ht="15" customHeight="1" x14ac:dyDescent="0.3">
      <c r="A1100" s="22" t="s">
        <v>155</v>
      </c>
      <c r="B1100" s="23">
        <v>137</v>
      </c>
      <c r="C1100" s="3" t="s">
        <v>136</v>
      </c>
      <c r="D1100" s="23">
        <v>2020</v>
      </c>
      <c r="E1100" s="25">
        <v>2.5718468349295378</v>
      </c>
      <c r="F1100" s="25">
        <v>3.4146427500573222E-2</v>
      </c>
      <c r="G1100" s="25">
        <v>0.58228506106446176</v>
      </c>
      <c r="H1100" s="25">
        <v>1.3939771044538103</v>
      </c>
      <c r="I1100" s="25">
        <v>0.14841034083724036</v>
      </c>
      <c r="J1100" s="25">
        <v>4.4393929120735982E-2</v>
      </c>
      <c r="K1100" s="25">
        <v>0.10627804989178721</v>
      </c>
      <c r="L1100" s="25">
        <v>0.64700000000000002</v>
      </c>
      <c r="M1100" s="24">
        <v>1</v>
      </c>
      <c r="N1100" s="108">
        <v>0</v>
      </c>
      <c r="O1100" s="24">
        <v>3</v>
      </c>
      <c r="P1100" s="24">
        <v>10</v>
      </c>
      <c r="Q1100" s="24">
        <v>3</v>
      </c>
      <c r="R1100" s="24">
        <v>4</v>
      </c>
      <c r="S1100" s="24">
        <v>10</v>
      </c>
      <c r="T1100" s="24">
        <v>10</v>
      </c>
      <c r="U1100" s="24">
        <v>4203345000000</v>
      </c>
      <c r="V1100" s="109">
        <v>2.6429218674743054E-2</v>
      </c>
      <c r="W1100" s="109">
        <v>1.3908461951136535</v>
      </c>
      <c r="X1100" s="109">
        <v>0.89183657777317826</v>
      </c>
      <c r="Y1100" s="109">
        <v>0.18026283352901082</v>
      </c>
      <c r="Z1100" s="109">
        <v>0.75324049200321141</v>
      </c>
      <c r="AA1100" s="109">
        <v>3.2161860984190538</v>
      </c>
      <c r="AD1100" s="111"/>
    </row>
    <row r="1101" spans="1:30" ht="15" customHeight="1" x14ac:dyDescent="0.3">
      <c r="A1101" s="22" t="s">
        <v>155</v>
      </c>
      <c r="B1101" s="23">
        <v>137</v>
      </c>
      <c r="C1101" s="3" t="s">
        <v>136</v>
      </c>
      <c r="D1101" s="23">
        <v>2021</v>
      </c>
      <c r="E1101" s="25">
        <v>2.3533771792462677</v>
      </c>
      <c r="F1101" s="25">
        <v>1.639188403203436E-2</v>
      </c>
      <c r="G1101" s="25">
        <v>0.65261381655672934</v>
      </c>
      <c r="H1101" s="25">
        <v>1.8786406819294339</v>
      </c>
      <c r="I1101" s="25">
        <v>-0.27391948073483602</v>
      </c>
      <c r="J1101" s="25">
        <v>-8.7132577063901942E-2</v>
      </c>
      <c r="K1101" s="25">
        <v>-0.25082338105749963</v>
      </c>
      <c r="L1101" s="25">
        <v>0.64629999999999999</v>
      </c>
      <c r="M1101" s="24">
        <v>1</v>
      </c>
      <c r="N1101" s="108">
        <v>0</v>
      </c>
      <c r="O1101" s="24">
        <v>3</v>
      </c>
      <c r="P1101" s="24">
        <v>10</v>
      </c>
      <c r="Q1101" s="24">
        <v>3</v>
      </c>
      <c r="R1101" s="24">
        <v>5</v>
      </c>
      <c r="S1101" s="24">
        <v>10</v>
      </c>
      <c r="T1101" s="24">
        <v>11</v>
      </c>
      <c r="U1101" s="24">
        <v>3981209000000</v>
      </c>
      <c r="V1101" s="109">
        <v>7.2056595445164212E-3</v>
      </c>
      <c r="W1101" s="109">
        <v>1.1962333652917994</v>
      </c>
      <c r="X1101" s="109">
        <v>0.68283056227392225</v>
      </c>
      <c r="Y1101" s="109">
        <v>-0.50066013615462035</v>
      </c>
      <c r="Z1101" s="109">
        <v>0.55891475687708991</v>
      </c>
      <c r="AA1101" s="109">
        <v>1.9373185482881912</v>
      </c>
      <c r="AD1101" s="111"/>
    </row>
    <row r="1102" spans="1:30" ht="15" customHeight="1" x14ac:dyDescent="0.3">
      <c r="A1102" s="22" t="s">
        <v>155</v>
      </c>
      <c r="B1102" s="23">
        <v>137</v>
      </c>
      <c r="C1102" s="3" t="s">
        <v>136</v>
      </c>
      <c r="D1102" s="23">
        <v>2022</v>
      </c>
      <c r="E1102" s="25">
        <v>3.3476594201255865</v>
      </c>
      <c r="F1102" s="25">
        <v>1.3392877383084352E-2</v>
      </c>
      <c r="G1102" s="25">
        <v>0.67407257742772841</v>
      </c>
      <c r="H1102" s="25">
        <v>2.0681677292074396</v>
      </c>
      <c r="I1102" s="25">
        <v>9.5415259616412756E-3</v>
      </c>
      <c r="J1102" s="25">
        <v>2.9355179945713215E-3</v>
      </c>
      <c r="K1102" s="25">
        <v>9.0066615794514686E-3</v>
      </c>
      <c r="L1102" s="25">
        <v>0.64700000000000002</v>
      </c>
      <c r="M1102" s="24">
        <v>1</v>
      </c>
      <c r="N1102" s="108">
        <v>0</v>
      </c>
      <c r="O1102" s="24">
        <v>3</v>
      </c>
      <c r="P1102" s="24">
        <v>10</v>
      </c>
      <c r="Q1102" s="24">
        <v>3</v>
      </c>
      <c r="R1102" s="24">
        <v>5</v>
      </c>
      <c r="S1102" s="24">
        <v>10</v>
      </c>
      <c r="T1102" s="24">
        <v>11</v>
      </c>
      <c r="U1102" s="24">
        <v>4286126000000</v>
      </c>
      <c r="V1102" s="109">
        <v>4.1260102415893812E-2</v>
      </c>
      <c r="W1102" s="109">
        <v>1.5850413356956841</v>
      </c>
      <c r="X1102" s="109">
        <v>0.66265652479651782</v>
      </c>
      <c r="Y1102" s="109">
        <v>6.7980381351364846E-2</v>
      </c>
      <c r="Z1102" s="109">
        <v>0.50769576624347568</v>
      </c>
      <c r="AA1102" s="109">
        <v>2.8233740080870424</v>
      </c>
      <c r="AD1102" s="111"/>
    </row>
    <row r="1103" spans="1:30" ht="15" customHeight="1" x14ac:dyDescent="0.3">
      <c r="A1103" s="22" t="s">
        <v>155</v>
      </c>
      <c r="B1103" s="23">
        <v>137</v>
      </c>
      <c r="C1103" s="3" t="s">
        <v>136</v>
      </c>
      <c r="D1103" s="23">
        <v>2023</v>
      </c>
      <c r="E1103" s="25">
        <v>5.3048657278267557</v>
      </c>
      <c r="F1103" s="25">
        <v>2.4171053057906254E-2</v>
      </c>
      <c r="G1103" s="25">
        <v>0.6968226034800985</v>
      </c>
      <c r="H1103" s="25">
        <v>2.2983989290717353</v>
      </c>
      <c r="I1103" s="25">
        <v>3.8881309686221006E-2</v>
      </c>
      <c r="J1103" s="25">
        <v>1.2062402662151524E-2</v>
      </c>
      <c r="K1103" s="25">
        <v>3.9786616022872638E-2</v>
      </c>
      <c r="L1103" s="25">
        <v>0.59599999999999997</v>
      </c>
      <c r="M1103" s="24">
        <v>1</v>
      </c>
      <c r="N1103" s="108">
        <v>0</v>
      </c>
      <c r="O1103" s="24">
        <v>3</v>
      </c>
      <c r="P1103" s="24">
        <v>10</v>
      </c>
      <c r="Q1103" s="24">
        <v>3</v>
      </c>
      <c r="R1103" s="24">
        <v>5</v>
      </c>
      <c r="S1103" s="24">
        <v>10</v>
      </c>
      <c r="T1103" s="24">
        <v>11</v>
      </c>
      <c r="U1103" s="24">
        <v>4772681000000</v>
      </c>
      <c r="V1103" s="109">
        <v>0.12285454064248702</v>
      </c>
      <c r="W1103" s="109">
        <v>2.0088013089498333</v>
      </c>
      <c r="X1103" s="109">
        <v>0.63214006131983258</v>
      </c>
      <c r="Y1103" s="109">
        <v>9.8727101182752422E-2</v>
      </c>
      <c r="Z1103" s="109">
        <v>0.45683975341220168</v>
      </c>
      <c r="AA1103" s="109">
        <v>3.1965082248646199</v>
      </c>
      <c r="AD1103" s="111"/>
    </row>
    <row r="1104" spans="1:30" ht="15" customHeight="1" x14ac:dyDescent="0.3">
      <c r="A1104" s="22" t="s">
        <v>155</v>
      </c>
      <c r="B1104" s="23">
        <v>137</v>
      </c>
      <c r="C1104" s="3" t="s">
        <v>136</v>
      </c>
      <c r="D1104" s="23">
        <v>2024</v>
      </c>
      <c r="E1104" s="25">
        <v>5.0869000234467912</v>
      </c>
      <c r="F1104" s="25">
        <v>1.3556765246770417E-2</v>
      </c>
      <c r="G1104" s="25">
        <v>0.70735981402512205</v>
      </c>
      <c r="H1104" s="25">
        <v>2.4171656796508674</v>
      </c>
      <c r="I1104" s="25">
        <v>8.4048116042428171E-3</v>
      </c>
      <c r="J1104" s="25">
        <v>2.7852331693863181E-3</v>
      </c>
      <c r="K1104" s="25">
        <v>9.517603196252139E-3</v>
      </c>
      <c r="L1104" s="25">
        <v>0.59279999999999999</v>
      </c>
      <c r="M1104" s="24">
        <v>1</v>
      </c>
      <c r="N1104" s="108">
        <v>0</v>
      </c>
      <c r="O1104" s="24">
        <v>3</v>
      </c>
      <c r="P1104" s="24">
        <v>10</v>
      </c>
      <c r="Q1104" s="24">
        <v>3</v>
      </c>
      <c r="R1104" s="24">
        <v>3</v>
      </c>
      <c r="S1104" s="24">
        <v>10</v>
      </c>
      <c r="T1104" s="24">
        <v>7</v>
      </c>
      <c r="U1104" s="24">
        <v>4965832000000</v>
      </c>
      <c r="V1104" s="109">
        <v>0.11139964610376454</v>
      </c>
      <c r="W1104" s="109">
        <v>1.9111752149488745</v>
      </c>
      <c r="X1104" s="109">
        <v>0.63256840344175957</v>
      </c>
      <c r="Y1104" s="109">
        <v>5.4977035066832707E-2</v>
      </c>
      <c r="Z1104" s="109">
        <v>0.43439306160910773</v>
      </c>
      <c r="AA1104" s="109">
        <v>3.0331137150665741</v>
      </c>
      <c r="AD1104" s="111"/>
    </row>
    <row r="1105" spans="1:30" ht="15" customHeight="1" x14ac:dyDescent="0.3">
      <c r="A1105" s="22" t="s">
        <v>155</v>
      </c>
      <c r="B1105" s="23">
        <v>138</v>
      </c>
      <c r="C1105" s="3" t="s">
        <v>143</v>
      </c>
      <c r="D1105" s="23">
        <v>2024</v>
      </c>
      <c r="E1105" s="25">
        <v>4.2759041660308252</v>
      </c>
      <c r="F1105" s="25">
        <v>0</v>
      </c>
      <c r="G1105" s="25">
        <v>5.2415362482153505E-2</v>
      </c>
      <c r="H1105" s="25">
        <v>5.5314702673370776E-2</v>
      </c>
      <c r="I1105" s="25">
        <v>1.7635217074945428</v>
      </c>
      <c r="J1105" s="25">
        <v>2.6515835288926329E-2</v>
      </c>
      <c r="K1105" s="25">
        <v>2.7982550834069361E-2</v>
      </c>
      <c r="L1105" s="25">
        <v>0.99990000000000001</v>
      </c>
      <c r="M1105" s="24">
        <v>2</v>
      </c>
      <c r="N1105" s="108">
        <v>0</v>
      </c>
      <c r="O1105" s="24">
        <v>3</v>
      </c>
      <c r="P1105" s="24">
        <v>5</v>
      </c>
      <c r="Q1105" s="24">
        <v>3</v>
      </c>
      <c r="R1105" s="24">
        <v>3</v>
      </c>
      <c r="S1105" s="24">
        <v>5</v>
      </c>
      <c r="T1105" s="24">
        <v>7</v>
      </c>
      <c r="U1105" s="24">
        <v>548427000000</v>
      </c>
      <c r="V1105" s="109">
        <v>0</v>
      </c>
      <c r="W1105" s="109">
        <v>0.25677714627470927</v>
      </c>
      <c r="X1105" s="109">
        <v>7.7436048918087544E-2</v>
      </c>
      <c r="Y1105" s="109">
        <v>5.1684107456416259E-2</v>
      </c>
      <c r="Z1105" s="109">
        <v>18.982294927989983</v>
      </c>
      <c r="AA1105" s="109">
        <v>19.368192230639195</v>
      </c>
      <c r="AD1105" s="111"/>
    </row>
    <row r="1106" spans="1:30" ht="15" customHeight="1" x14ac:dyDescent="0.3">
      <c r="A1106" s="22" t="s">
        <v>155</v>
      </c>
      <c r="B1106" s="23">
        <v>139</v>
      </c>
      <c r="C1106" s="1" t="s">
        <v>137</v>
      </c>
      <c r="D1106" s="23">
        <v>2015</v>
      </c>
      <c r="E1106" s="25">
        <v>0.57048699589157459</v>
      </c>
      <c r="F1106" s="25">
        <v>2.3354182836501768E-2</v>
      </c>
      <c r="G1106" s="25">
        <v>0.70987137987810689</v>
      </c>
      <c r="H1106" s="25">
        <v>2.446747168822887</v>
      </c>
      <c r="I1106" s="25">
        <v>7.6495769209721454E-2</v>
      </c>
      <c r="J1106" s="25">
        <v>3.2052044499482762E-2</v>
      </c>
      <c r="K1106" s="25">
        <v>0.1104752936335605</v>
      </c>
      <c r="L1106" s="25">
        <v>0.99990000000000001</v>
      </c>
      <c r="M1106" s="24">
        <v>0</v>
      </c>
      <c r="N1106" s="108">
        <v>0</v>
      </c>
      <c r="O1106" s="24">
        <v>3</v>
      </c>
      <c r="P1106" s="24">
        <v>5</v>
      </c>
      <c r="Q1106" s="24">
        <v>3</v>
      </c>
      <c r="R1106" s="24">
        <v>2</v>
      </c>
      <c r="S1106" s="24">
        <v>5</v>
      </c>
      <c r="T1106" s="24">
        <v>6</v>
      </c>
      <c r="U1106" s="24">
        <v>6542316085964</v>
      </c>
      <c r="V1106" s="109">
        <v>0.73313885253165345</v>
      </c>
      <c r="W1106" s="109">
        <v>-1.637177276729368</v>
      </c>
      <c r="X1106" s="109">
        <v>0.31823419841102374</v>
      </c>
      <c r="Y1106" s="109">
        <v>0.21708670764295063</v>
      </c>
      <c r="Z1106" s="109">
        <v>0.42914119340951268</v>
      </c>
      <c r="AA1106" s="109">
        <v>-0.67271517726588104</v>
      </c>
      <c r="AD1106" s="111"/>
    </row>
    <row r="1107" spans="1:30" ht="15" customHeight="1" x14ac:dyDescent="0.3">
      <c r="A1107" s="22" t="s">
        <v>155</v>
      </c>
      <c r="B1107" s="23">
        <v>139</v>
      </c>
      <c r="C1107" s="3" t="s">
        <v>137</v>
      </c>
      <c r="D1107" s="23">
        <v>2016</v>
      </c>
      <c r="E1107" s="25">
        <v>0.60198398438936784</v>
      </c>
      <c r="F1107" s="25">
        <v>2.3592601858308183E-2</v>
      </c>
      <c r="G1107" s="25">
        <v>0.66903536570375066</v>
      </c>
      <c r="H1107" s="25">
        <v>2.0214708656462514</v>
      </c>
      <c r="I1107" s="25">
        <v>7.5281481615993975E-2</v>
      </c>
      <c r="J1107" s="25">
        <v>3.746575883498509E-2</v>
      </c>
      <c r="K1107" s="25">
        <v>0.11320169878401753</v>
      </c>
      <c r="L1107" s="25">
        <v>1</v>
      </c>
      <c r="M1107" s="24">
        <v>1</v>
      </c>
      <c r="N1107" s="108">
        <v>0</v>
      </c>
      <c r="O1107" s="24">
        <v>4</v>
      </c>
      <c r="P1107" s="24">
        <v>13</v>
      </c>
      <c r="Q1107" s="24">
        <v>4</v>
      </c>
      <c r="R1107" s="24">
        <v>4</v>
      </c>
      <c r="S1107" s="24">
        <v>13</v>
      </c>
      <c r="T1107" s="24">
        <v>13</v>
      </c>
      <c r="U1107" s="24">
        <v>7102552587845</v>
      </c>
      <c r="V1107" s="109">
        <v>0.28946924884385872</v>
      </c>
      <c r="W1107" s="109">
        <v>-1.5123188384594004</v>
      </c>
      <c r="X1107" s="109">
        <v>0.31411226365064221</v>
      </c>
      <c r="Y1107" s="109">
        <v>0.27085390284295102</v>
      </c>
      <c r="Z1107" s="109">
        <v>0.51942376110591226</v>
      </c>
      <c r="AA1107" s="109">
        <v>-0.40792891085989491</v>
      </c>
      <c r="AD1107" s="111"/>
    </row>
    <row r="1108" spans="1:30" ht="15" customHeight="1" x14ac:dyDescent="0.3">
      <c r="A1108" s="22" t="s">
        <v>155</v>
      </c>
      <c r="B1108" s="23">
        <v>139</v>
      </c>
      <c r="C1108" s="3" t="s">
        <v>137</v>
      </c>
      <c r="D1108" s="23">
        <v>2017</v>
      </c>
      <c r="E1108" s="25">
        <v>0.56058341355295493</v>
      </c>
      <c r="F1108" s="25">
        <v>4.0702004350453451E-2</v>
      </c>
      <c r="G1108" s="25">
        <v>0.64348017122533518</v>
      </c>
      <c r="H1108" s="25">
        <v>1.8048930782810431</v>
      </c>
      <c r="I1108" s="25">
        <v>3.9913608734471799E-2</v>
      </c>
      <c r="J1108" s="25">
        <v>1.9273534367242277E-2</v>
      </c>
      <c r="K1108" s="25">
        <v>5.4060203140689669E-2</v>
      </c>
      <c r="L1108" s="25">
        <v>1</v>
      </c>
      <c r="M1108" s="24">
        <v>1</v>
      </c>
      <c r="N1108" s="108">
        <v>0</v>
      </c>
      <c r="O1108" s="24">
        <v>4</v>
      </c>
      <c r="P1108" s="24">
        <v>13</v>
      </c>
      <c r="Q1108" s="24">
        <v>4</v>
      </c>
      <c r="R1108" s="24">
        <v>4</v>
      </c>
      <c r="S1108" s="24">
        <v>13</v>
      </c>
      <c r="T1108" s="24">
        <v>13</v>
      </c>
      <c r="U1108" s="24">
        <v>8087703411676</v>
      </c>
      <c r="V1108" s="109">
        <v>0.10485363828543537</v>
      </c>
      <c r="W1108" s="109">
        <v>-1.6533436567328963</v>
      </c>
      <c r="X1108" s="109">
        <v>0.32365325894679869</v>
      </c>
      <c r="Y1108" s="109">
        <v>0.13617544240017698</v>
      </c>
      <c r="Z1108" s="109">
        <v>0.58175191241799573</v>
      </c>
      <c r="AA1108" s="109">
        <v>-0.61176304296792483</v>
      </c>
      <c r="AD1108" s="111"/>
    </row>
    <row r="1109" spans="1:30" ht="15" customHeight="1" x14ac:dyDescent="0.3">
      <c r="A1109" s="22" t="s">
        <v>155</v>
      </c>
      <c r="B1109" s="23">
        <v>139</v>
      </c>
      <c r="C1109" s="3" t="s">
        <v>137</v>
      </c>
      <c r="D1109" s="23">
        <v>2018</v>
      </c>
      <c r="E1109" s="25">
        <v>0.55099261709521241</v>
      </c>
      <c r="F1109" s="25">
        <v>1.3082275005234543E-2</v>
      </c>
      <c r="G1109" s="25">
        <v>0.66578272153839857</v>
      </c>
      <c r="H1109" s="25">
        <v>1.9920655347413201</v>
      </c>
      <c r="I1109" s="25">
        <v>4.9168406256603944E-2</v>
      </c>
      <c r="J1109" s="25">
        <v>2.3400043761561851E-2</v>
      </c>
      <c r="K1109" s="25">
        <v>7.0014464450407848E-2</v>
      </c>
      <c r="L1109" s="25">
        <v>1</v>
      </c>
      <c r="M1109" s="24">
        <v>1</v>
      </c>
      <c r="N1109" s="108">
        <v>0</v>
      </c>
      <c r="O1109" s="24">
        <v>4</v>
      </c>
      <c r="P1109" s="24">
        <v>13</v>
      </c>
      <c r="Q1109" s="24">
        <v>4</v>
      </c>
      <c r="R1109" s="24">
        <v>4</v>
      </c>
      <c r="S1109" s="24">
        <v>13</v>
      </c>
      <c r="T1109" s="24">
        <v>13</v>
      </c>
      <c r="U1109" s="24">
        <v>8691696386615</v>
      </c>
      <c r="V1109" s="109">
        <v>5.9179342915871701E-2</v>
      </c>
      <c r="W1109" s="109">
        <v>-1.7759956716813279</v>
      </c>
      <c r="X1109" s="109">
        <v>0.3931978394659198</v>
      </c>
      <c r="Y1109" s="109">
        <v>0.15508252100085082</v>
      </c>
      <c r="Z1109" s="109">
        <v>0.5270910929827155</v>
      </c>
      <c r="AA1109" s="109">
        <v>-0.70062421823184184</v>
      </c>
      <c r="AD1109" s="111"/>
    </row>
    <row r="1110" spans="1:30" ht="15" customHeight="1" x14ac:dyDescent="0.3">
      <c r="A1110" s="22" t="s">
        <v>155</v>
      </c>
      <c r="B1110" s="23">
        <v>139</v>
      </c>
      <c r="C1110" s="3" t="s">
        <v>137</v>
      </c>
      <c r="D1110" s="23">
        <v>2019</v>
      </c>
      <c r="E1110" s="25">
        <v>0.59506946163237906</v>
      </c>
      <c r="F1110" s="25">
        <v>4.0885453517316032E-2</v>
      </c>
      <c r="G1110" s="25">
        <v>0.67020595810488715</v>
      </c>
      <c r="H1110" s="25">
        <v>2.0321954704022165</v>
      </c>
      <c r="I1110" s="25">
        <v>5.012628865551929E-2</v>
      </c>
      <c r="J1110" s="25">
        <v>2.2469796370409696E-2</v>
      </c>
      <c r="K1110" s="25">
        <v>6.8132814775216433E-2</v>
      </c>
      <c r="L1110" s="25">
        <v>1</v>
      </c>
      <c r="M1110" s="24">
        <v>1</v>
      </c>
      <c r="N1110" s="108">
        <v>0</v>
      </c>
      <c r="O1110" s="24">
        <v>4</v>
      </c>
      <c r="P1110" s="24">
        <v>13</v>
      </c>
      <c r="Q1110" s="24">
        <v>4</v>
      </c>
      <c r="R1110" s="24">
        <v>3</v>
      </c>
      <c r="S1110" s="24">
        <v>13</v>
      </c>
      <c r="T1110" s="24">
        <v>9</v>
      </c>
      <c r="U1110" s="24">
        <v>9783822105104</v>
      </c>
      <c r="V1110" s="109">
        <v>6.0246989152685199E-2</v>
      </c>
      <c r="W1110" s="109">
        <v>-1.6357191226196242</v>
      </c>
      <c r="X1110" s="109">
        <v>0.4188131556456221</v>
      </c>
      <c r="Y1110" s="109">
        <v>0.15913822479131939</v>
      </c>
      <c r="Z1110" s="109">
        <v>0.5166825806339298</v>
      </c>
      <c r="AA1110" s="109">
        <v>-0.54108516154875297</v>
      </c>
      <c r="AD1110" s="111"/>
    </row>
    <row r="1111" spans="1:30" ht="15" customHeight="1" x14ac:dyDescent="0.3">
      <c r="A1111" s="22" t="s">
        <v>155</v>
      </c>
      <c r="B1111" s="23">
        <v>139</v>
      </c>
      <c r="C1111" s="3" t="s">
        <v>137</v>
      </c>
      <c r="D1111" s="23">
        <v>2020</v>
      </c>
      <c r="E1111" s="25">
        <v>0.59341888264464404</v>
      </c>
      <c r="F1111" s="25">
        <v>1.6681449995384564E-2</v>
      </c>
      <c r="G1111" s="25">
        <v>0.67310672496010993</v>
      </c>
      <c r="H1111" s="25">
        <v>2.0591023932137245</v>
      </c>
      <c r="I1111" s="25">
        <v>2.3834733602643203E-2</v>
      </c>
      <c r="J1111" s="25">
        <v>9.9176574111209548E-3</v>
      </c>
      <c r="K1111" s="25">
        <v>3.0339129521433944E-2</v>
      </c>
      <c r="L1111" s="25">
        <v>1</v>
      </c>
      <c r="M1111" s="24">
        <v>1</v>
      </c>
      <c r="N1111" s="108">
        <v>0</v>
      </c>
      <c r="O1111" s="24">
        <v>4</v>
      </c>
      <c r="P1111" s="24">
        <v>13</v>
      </c>
      <c r="Q1111" s="24">
        <v>4</v>
      </c>
      <c r="R1111" s="24">
        <v>5</v>
      </c>
      <c r="S1111" s="24">
        <v>13</v>
      </c>
      <c r="T1111" s="24">
        <v>11</v>
      </c>
      <c r="U1111" s="24">
        <v>10491570839836</v>
      </c>
      <c r="V1111" s="109">
        <v>-4.6010372972386405E-3</v>
      </c>
      <c r="W1111" s="109">
        <v>-1.6621963606018295</v>
      </c>
      <c r="X1111" s="109">
        <v>0.42582793846651423</v>
      </c>
      <c r="Y1111" s="109">
        <v>6.0677638234805181E-2</v>
      </c>
      <c r="Z1111" s="109">
        <v>0.50993093080777907</v>
      </c>
      <c r="AA1111" s="109">
        <v>-0.66575985309273111</v>
      </c>
      <c r="AD1111" s="111"/>
    </row>
    <row r="1112" spans="1:30" ht="15" customHeight="1" x14ac:dyDescent="0.3">
      <c r="A1112" s="22" t="s">
        <v>155</v>
      </c>
      <c r="B1112" s="23">
        <v>139</v>
      </c>
      <c r="C1112" s="3" t="s">
        <v>137</v>
      </c>
      <c r="D1112" s="23">
        <v>2021</v>
      </c>
      <c r="E1112" s="25">
        <v>0.55473399860184969</v>
      </c>
      <c r="F1112" s="25">
        <v>1.9107403755576898E-2</v>
      </c>
      <c r="G1112" s="25">
        <v>0.75250570254170246</v>
      </c>
      <c r="H1112" s="25">
        <v>3.0404971357713757</v>
      </c>
      <c r="I1112" s="25">
        <v>-0.13072928289712871</v>
      </c>
      <c r="J1112" s="25">
        <v>-4.6548846823555361E-2</v>
      </c>
      <c r="K1112" s="25">
        <v>-0.18808048226403593</v>
      </c>
      <c r="L1112" s="25">
        <v>1</v>
      </c>
      <c r="M1112" s="24">
        <v>2</v>
      </c>
      <c r="N1112" s="108">
        <v>0</v>
      </c>
      <c r="O1112" s="24">
        <v>4</v>
      </c>
      <c r="P1112" s="24">
        <v>15</v>
      </c>
      <c r="Q1112" s="24">
        <v>4</v>
      </c>
      <c r="R1112" s="24">
        <v>5</v>
      </c>
      <c r="S1112" s="24">
        <v>15</v>
      </c>
      <c r="T1112" s="24">
        <v>13</v>
      </c>
      <c r="U1112" s="24">
        <v>11125019322948</v>
      </c>
      <c r="V1112" s="109">
        <v>-9.2602655054959626E-2</v>
      </c>
      <c r="W1112" s="109">
        <v>-2.0254205063933624</v>
      </c>
      <c r="X1112" s="109">
        <v>0.24824808161154047</v>
      </c>
      <c r="Y1112" s="109">
        <v>-0.3433853037145701</v>
      </c>
      <c r="Z1112" s="109">
        <v>0.34533826315663163</v>
      </c>
      <c r="AA1112" s="109">
        <v>-1.7752194653397604</v>
      </c>
      <c r="AD1112" s="111"/>
    </row>
    <row r="1113" spans="1:30" ht="15" customHeight="1" x14ac:dyDescent="0.3">
      <c r="A1113" s="22" t="s">
        <v>155</v>
      </c>
      <c r="B1113" s="23">
        <v>139</v>
      </c>
      <c r="C1113" s="3" t="s">
        <v>137</v>
      </c>
      <c r="D1113" s="23">
        <v>2022</v>
      </c>
      <c r="E1113" s="25">
        <v>0.54506557302018133</v>
      </c>
      <c r="F1113" s="25">
        <v>8.1513223242866955E-3</v>
      </c>
      <c r="G1113" s="25">
        <v>0.77464997600887553</v>
      </c>
      <c r="H1113" s="25">
        <v>3.4375411295247313</v>
      </c>
      <c r="I1113" s="25">
        <v>-5.249786769779545E-2</v>
      </c>
      <c r="J1113" s="25">
        <v>-1.9241751904818808E-2</v>
      </c>
      <c r="K1113" s="25">
        <v>-8.5386065481744308E-2</v>
      </c>
      <c r="L1113" s="25">
        <v>1</v>
      </c>
      <c r="M1113" s="24">
        <v>3</v>
      </c>
      <c r="N1113" s="108">
        <v>0</v>
      </c>
      <c r="O1113" s="24">
        <v>5</v>
      </c>
      <c r="P1113" s="24">
        <v>16</v>
      </c>
      <c r="Q1113" s="24">
        <v>5</v>
      </c>
      <c r="R1113" s="24">
        <v>5</v>
      </c>
      <c r="S1113" s="24">
        <v>16</v>
      </c>
      <c r="T1113" s="24">
        <v>13</v>
      </c>
      <c r="U1113" s="24">
        <v>11382483837823</v>
      </c>
      <c r="V1113" s="109">
        <v>5.3181368314171924E-2</v>
      </c>
      <c r="W1113" s="109">
        <v>-2.1612034130654263</v>
      </c>
      <c r="X1113" s="109">
        <v>0.18441837839116307</v>
      </c>
      <c r="Y1113" s="109">
        <v>-0.14351795970739181</v>
      </c>
      <c r="Z1113" s="109">
        <v>0.30545089074910103</v>
      </c>
      <c r="AA1113" s="109">
        <v>-1.8148521036325538</v>
      </c>
      <c r="AD1113" s="111"/>
    </row>
    <row r="1114" spans="1:30" ht="15" customHeight="1" x14ac:dyDescent="0.3">
      <c r="A1114" s="22" t="s">
        <v>155</v>
      </c>
      <c r="B1114" s="23">
        <v>139</v>
      </c>
      <c r="C1114" s="3" t="s">
        <v>137</v>
      </c>
      <c r="D1114" s="23">
        <v>2023</v>
      </c>
      <c r="E1114" s="25">
        <v>0.63335581141379693</v>
      </c>
      <c r="F1114" s="25">
        <v>1.6926120124824796E-2</v>
      </c>
      <c r="G1114" s="25">
        <v>0.80954659178111277</v>
      </c>
      <c r="H1114" s="25">
        <v>4.2506280110813481</v>
      </c>
      <c r="I1114" s="25">
        <v>1.6532643117369815E-2</v>
      </c>
      <c r="J1114" s="25">
        <v>3.9446329475200555E-3</v>
      </c>
      <c r="K1114" s="25">
        <v>2.0711800247683185E-2</v>
      </c>
      <c r="L1114" s="25">
        <v>1</v>
      </c>
      <c r="M1114" s="24">
        <v>3</v>
      </c>
      <c r="N1114" s="108">
        <v>0</v>
      </c>
      <c r="O1114" s="24">
        <v>5</v>
      </c>
      <c r="P1114" s="24">
        <v>16</v>
      </c>
      <c r="Q1114" s="24">
        <v>5</v>
      </c>
      <c r="R1114" s="24">
        <v>5</v>
      </c>
      <c r="S1114" s="24">
        <v>16</v>
      </c>
      <c r="T1114" s="24">
        <v>13</v>
      </c>
      <c r="U1114" s="24">
        <v>14206716404940</v>
      </c>
      <c r="V1114" s="109">
        <v>-0.18750999139038513</v>
      </c>
      <c r="W1114" s="109">
        <v>-1.8595042077634523</v>
      </c>
      <c r="X1114" s="109">
        <v>0.15473270989415402</v>
      </c>
      <c r="Y1114" s="109">
        <v>4.1380959235673776E-3</v>
      </c>
      <c r="Z1114" s="109">
        <v>0.24702232170461863</v>
      </c>
      <c r="AA1114" s="109">
        <v>-1.4536110802411124</v>
      </c>
      <c r="AD1114" s="111"/>
    </row>
    <row r="1115" spans="1:30" ht="15" customHeight="1" x14ac:dyDescent="0.3">
      <c r="A1115" s="22" t="s">
        <v>155</v>
      </c>
      <c r="B1115" s="23">
        <v>139</v>
      </c>
      <c r="C1115" s="3" t="s">
        <v>137</v>
      </c>
      <c r="D1115" s="23">
        <v>2024</v>
      </c>
      <c r="E1115" s="25">
        <v>0.61404605752038566</v>
      </c>
      <c r="F1115" s="25">
        <v>2.2909344850692317E-2</v>
      </c>
      <c r="G1115" s="25">
        <v>0.83493028663555646</v>
      </c>
      <c r="H1115" s="25">
        <v>5.0580465042196074</v>
      </c>
      <c r="I1115" s="25">
        <v>2.0740201649384719E-2</v>
      </c>
      <c r="J1115" s="25">
        <v>4.7578516788434246E-3</v>
      </c>
      <c r="K1115" s="25">
        <v>2.8823286730612799E-2</v>
      </c>
      <c r="L1115" s="25">
        <v>1</v>
      </c>
      <c r="M1115" s="24">
        <v>3</v>
      </c>
      <c r="N1115" s="108">
        <v>0</v>
      </c>
      <c r="O1115" s="24">
        <v>3</v>
      </c>
      <c r="P1115" s="24">
        <v>10</v>
      </c>
      <c r="Q1115" s="24">
        <v>3</v>
      </c>
      <c r="R1115" s="24">
        <v>5</v>
      </c>
      <c r="S1115" s="24">
        <v>10</v>
      </c>
      <c r="T1115" s="24">
        <v>13</v>
      </c>
      <c r="U1115" s="24">
        <v>15296696649798</v>
      </c>
      <c r="V1115" s="109">
        <v>3.5231696946505291E-2</v>
      </c>
      <c r="W1115" s="109">
        <v>-2.0019864356473485</v>
      </c>
      <c r="X1115" s="109">
        <v>0.16069827079841587</v>
      </c>
      <c r="Y1115" s="109">
        <v>4.473439707882527E-3</v>
      </c>
      <c r="Z1115" s="109">
        <v>0.20759002494817941</v>
      </c>
      <c r="AA1115" s="109">
        <v>-1.6292247001928706</v>
      </c>
      <c r="AD1115" s="111"/>
    </row>
    <row r="1116" spans="1:30" ht="15" customHeight="1" x14ac:dyDescent="0.3">
      <c r="A1116" s="22" t="s">
        <v>155</v>
      </c>
      <c r="B1116" s="23">
        <v>140</v>
      </c>
      <c r="C1116" s="1" t="s">
        <v>139</v>
      </c>
      <c r="D1116" s="23">
        <v>2015</v>
      </c>
      <c r="E1116" s="25">
        <v>2.4719026814701994</v>
      </c>
      <c r="F1116" s="25">
        <v>8.1706681630526273E-2</v>
      </c>
      <c r="G1116" s="25">
        <v>0.35782745642203245</v>
      </c>
      <c r="H1116" s="25">
        <v>0.55721565865334055</v>
      </c>
      <c r="I1116" s="25">
        <v>0.34255793867856627</v>
      </c>
      <c r="J1116" s="25">
        <v>0.13637340439248721</v>
      </c>
      <c r="K1116" s="25">
        <v>0.21236323537379409</v>
      </c>
      <c r="L1116" s="25">
        <v>0.4506</v>
      </c>
      <c r="M1116" s="24">
        <v>1</v>
      </c>
      <c r="N1116" s="108">
        <v>0</v>
      </c>
      <c r="O1116" s="24">
        <v>5</v>
      </c>
      <c r="P1116" s="24">
        <v>11</v>
      </c>
      <c r="Q1116" s="24">
        <v>5</v>
      </c>
      <c r="R1116" s="24">
        <v>3</v>
      </c>
      <c r="S1116" s="24">
        <v>11</v>
      </c>
      <c r="T1116" s="24">
        <v>3</v>
      </c>
      <c r="U1116" s="24">
        <v>488607000000</v>
      </c>
      <c r="V1116" s="109">
        <v>0.37018800673414903</v>
      </c>
      <c r="W1116" s="109">
        <v>0.98606692085868597</v>
      </c>
      <c r="X1116" s="109">
        <v>1.7590337019322277</v>
      </c>
      <c r="Y1116" s="109">
        <v>1.1706330854858813</v>
      </c>
      <c r="Z1116" s="109">
        <v>1.8843691552703377</v>
      </c>
      <c r="AA1116" s="109">
        <v>5.8001028635471323</v>
      </c>
      <c r="AD1116" s="111"/>
    </row>
    <row r="1117" spans="1:30" ht="15" customHeight="1" x14ac:dyDescent="0.3">
      <c r="A1117" s="22" t="s">
        <v>155</v>
      </c>
      <c r="B1117" s="23">
        <v>140</v>
      </c>
      <c r="C1117" s="3" t="s">
        <v>139</v>
      </c>
      <c r="D1117" s="23">
        <v>2016</v>
      </c>
      <c r="E1117" s="25">
        <v>2.4249584421752552</v>
      </c>
      <c r="F1117" s="25">
        <v>0.10867371170743291</v>
      </c>
      <c r="G1117" s="25">
        <v>0.28185204875493419</v>
      </c>
      <c r="H1117" s="25">
        <v>0.39247179158994827</v>
      </c>
      <c r="I1117" s="25">
        <v>0.37778978362462518</v>
      </c>
      <c r="J1117" s="25">
        <v>0.1361753588558676</v>
      </c>
      <c r="K1117" s="25">
        <v>0.18962071518251064</v>
      </c>
      <c r="L1117" s="25">
        <v>0.45129999999999998</v>
      </c>
      <c r="M1117" s="24">
        <v>1</v>
      </c>
      <c r="N1117" s="108">
        <v>0</v>
      </c>
      <c r="O1117" s="24">
        <v>4</v>
      </c>
      <c r="P1117" s="24">
        <v>8</v>
      </c>
      <c r="Q1117" s="24">
        <v>4</v>
      </c>
      <c r="R1117" s="24">
        <v>3</v>
      </c>
      <c r="S1117" s="24">
        <v>8</v>
      </c>
      <c r="T1117" s="24">
        <v>3</v>
      </c>
      <c r="U1117" s="24">
        <v>513507000000</v>
      </c>
      <c r="V1117" s="109">
        <v>-4.8433033786423739E-2</v>
      </c>
      <c r="W1117" s="109">
        <v>0.61324624591290866</v>
      </c>
      <c r="X1117" s="109">
        <v>2.0229309824403563</v>
      </c>
      <c r="Y1117" s="109">
        <v>1.1504326133820961</v>
      </c>
      <c r="Z1117" s="109">
        <v>2.6753515093309752</v>
      </c>
      <c r="AA1117" s="109">
        <v>6.4619613510663365</v>
      </c>
      <c r="AD1117" s="111"/>
    </row>
    <row r="1118" spans="1:30" ht="15" customHeight="1" x14ac:dyDescent="0.3">
      <c r="A1118" s="22" t="s">
        <v>155</v>
      </c>
      <c r="B1118" s="23">
        <v>140</v>
      </c>
      <c r="C1118" s="3" t="s">
        <v>139</v>
      </c>
      <c r="D1118" s="23">
        <v>2017</v>
      </c>
      <c r="E1118" s="25">
        <v>2.4735143345357891</v>
      </c>
      <c r="F1118" s="25">
        <v>0.10627491930890449</v>
      </c>
      <c r="G1118" s="25">
        <v>0.26954363126709519</v>
      </c>
      <c r="H1118" s="25">
        <v>0.36900716155663388</v>
      </c>
      <c r="I1118" s="25">
        <v>0.55077640415793305</v>
      </c>
      <c r="J1118" s="25">
        <v>0.13108214501449059</v>
      </c>
      <c r="K1118" s="25">
        <v>0.17945239527704282</v>
      </c>
      <c r="L1118" s="25">
        <v>0.45129999999999998</v>
      </c>
      <c r="M1118" s="24">
        <v>1</v>
      </c>
      <c r="N1118" s="108">
        <v>0</v>
      </c>
      <c r="O1118" s="24">
        <v>4</v>
      </c>
      <c r="P1118" s="24">
        <v>8</v>
      </c>
      <c r="Q1118" s="24">
        <v>4</v>
      </c>
      <c r="R1118" s="24">
        <v>3</v>
      </c>
      <c r="S1118" s="24">
        <v>8</v>
      </c>
      <c r="T1118" s="24">
        <v>3</v>
      </c>
      <c r="U1118" s="24">
        <v>589348000000</v>
      </c>
      <c r="V1118" s="109">
        <v>-0.24221615926956427</v>
      </c>
      <c r="W1118" s="109">
        <v>0.69109809484379348</v>
      </c>
      <c r="X1118" s="109">
        <v>2.1040194927275566</v>
      </c>
      <c r="Y1118" s="109">
        <v>1.0744738931836537</v>
      </c>
      <c r="Z1118" s="109">
        <v>2.8454732303043655</v>
      </c>
      <c r="AA1118" s="109">
        <v>6.7150647110593695</v>
      </c>
      <c r="AD1118" s="111"/>
    </row>
    <row r="1119" spans="1:30" ht="15" customHeight="1" x14ac:dyDescent="0.3">
      <c r="A1119" s="22" t="s">
        <v>155</v>
      </c>
      <c r="B1119" s="23">
        <v>140</v>
      </c>
      <c r="C1119" s="3" t="s">
        <v>139</v>
      </c>
      <c r="D1119" s="23">
        <v>2018</v>
      </c>
      <c r="E1119" s="25">
        <v>6.9825093615205951</v>
      </c>
      <c r="F1119" s="25">
        <v>5.5315921695027727E-2</v>
      </c>
      <c r="G1119" s="25">
        <v>0.5483902559451731</v>
      </c>
      <c r="H1119" s="25">
        <v>1.2143012040028009</v>
      </c>
      <c r="I1119" s="25">
        <v>0.18190671720362181</v>
      </c>
      <c r="J1119" s="25">
        <v>2.8200997909714778E-2</v>
      </c>
      <c r="K1119" s="25">
        <v>6.2445503625561907E-2</v>
      </c>
      <c r="L1119" s="25">
        <v>0.45140000000000002</v>
      </c>
      <c r="M1119" s="24">
        <v>1</v>
      </c>
      <c r="N1119" s="108">
        <v>0</v>
      </c>
      <c r="O1119" s="24">
        <v>5</v>
      </c>
      <c r="P1119" s="24">
        <v>7</v>
      </c>
      <c r="Q1119" s="24">
        <v>5</v>
      </c>
      <c r="R1119" s="24">
        <v>3</v>
      </c>
      <c r="S1119" s="24">
        <v>7</v>
      </c>
      <c r="T1119" s="24">
        <v>10</v>
      </c>
      <c r="U1119" s="24">
        <v>980249000000</v>
      </c>
      <c r="V1119" s="109">
        <v>8.3458099841724767E-2</v>
      </c>
      <c r="W1119" s="109">
        <v>2.5339192796932206</v>
      </c>
      <c r="X1119" s="109">
        <v>1.2998575259959457</v>
      </c>
      <c r="Y1119" s="109">
        <v>0.24654078708573024</v>
      </c>
      <c r="Z1119" s="109">
        <v>0.86469485209995567</v>
      </c>
      <c r="AA1119" s="109">
        <v>4.9450124448748527</v>
      </c>
      <c r="AD1119" s="111"/>
    </row>
    <row r="1120" spans="1:30" ht="15" customHeight="1" x14ac:dyDescent="0.3">
      <c r="A1120" s="22" t="s">
        <v>155</v>
      </c>
      <c r="B1120" s="23">
        <v>140</v>
      </c>
      <c r="C1120" s="3" t="s">
        <v>139</v>
      </c>
      <c r="D1120" s="23">
        <v>2019</v>
      </c>
      <c r="E1120" s="25">
        <v>3.2437174889799159</v>
      </c>
      <c r="F1120" s="25">
        <v>3.845336130285034E-2</v>
      </c>
      <c r="G1120" s="25">
        <v>0.414145221810445</v>
      </c>
      <c r="H1120" s="25">
        <v>0.70690764542411422</v>
      </c>
      <c r="I1120" s="25">
        <v>0.43412067614463229</v>
      </c>
      <c r="J1120" s="25">
        <v>7.6231332712776725E-2</v>
      </c>
      <c r="K1120" s="25">
        <v>0.13011984462830797</v>
      </c>
      <c r="L1120" s="25">
        <v>0.44519999999999998</v>
      </c>
      <c r="M1120" s="24">
        <v>1</v>
      </c>
      <c r="N1120" s="108">
        <v>0</v>
      </c>
      <c r="O1120" s="24">
        <v>5</v>
      </c>
      <c r="P1120" s="24">
        <v>7</v>
      </c>
      <c r="Q1120" s="24">
        <v>5</v>
      </c>
      <c r="R1120" s="24">
        <v>3</v>
      </c>
      <c r="S1120" s="24">
        <v>7</v>
      </c>
      <c r="T1120" s="24">
        <v>10</v>
      </c>
      <c r="U1120" s="24">
        <v>864815000000</v>
      </c>
      <c r="V1120" s="109">
        <v>-7.0409559907348913E-4</v>
      </c>
      <c r="W1120" s="109">
        <v>1.2007823176054992</v>
      </c>
      <c r="X1120" s="109">
        <v>1.7108671796858288</v>
      </c>
      <c r="Y1120" s="109">
        <v>0.60160362620907359</v>
      </c>
      <c r="Z1120" s="109">
        <v>1.485342543395531</v>
      </c>
      <c r="AA1120" s="109">
        <v>4.9985956668959322</v>
      </c>
      <c r="AD1120" s="111"/>
    </row>
    <row r="1121" spans="1:30" ht="15" customHeight="1" x14ac:dyDescent="0.3">
      <c r="A1121" s="22" t="s">
        <v>155</v>
      </c>
      <c r="B1121" s="23">
        <v>140</v>
      </c>
      <c r="C1121" s="3" t="s">
        <v>139</v>
      </c>
      <c r="D1121" s="23">
        <v>2020</v>
      </c>
      <c r="E1121" s="25">
        <v>2.3931430405248801</v>
      </c>
      <c r="F1121" s="25">
        <v>4.3288345308349234E-2</v>
      </c>
      <c r="G1121" s="25">
        <v>0.28978460220872149</v>
      </c>
      <c r="H1121" s="25">
        <v>0.40802354202673141</v>
      </c>
      <c r="I1121" s="25">
        <v>0.62877543949505144</v>
      </c>
      <c r="J1121" s="25">
        <v>0.10155544796074033</v>
      </c>
      <c r="K1121" s="25">
        <v>0.142992461549793</v>
      </c>
      <c r="L1121" s="25">
        <v>0.44519999999999998</v>
      </c>
      <c r="M1121" s="24">
        <v>1</v>
      </c>
      <c r="N1121" s="108">
        <v>0</v>
      </c>
      <c r="O1121" s="24">
        <v>5</v>
      </c>
      <c r="P1121" s="24">
        <v>7</v>
      </c>
      <c r="Q1121" s="24">
        <v>5</v>
      </c>
      <c r="R1121" s="24">
        <v>3</v>
      </c>
      <c r="S1121" s="24">
        <v>7</v>
      </c>
      <c r="T1121" s="24">
        <v>10</v>
      </c>
      <c r="U1121" s="24">
        <v>822014000000</v>
      </c>
      <c r="V1121" s="109">
        <v>-0.12573998590816601</v>
      </c>
      <c r="W1121" s="109">
        <v>0.62358840603688004</v>
      </c>
      <c r="X1121" s="109">
        <v>2.1059201668098106</v>
      </c>
      <c r="Y1121" s="109">
        <v>0.79421362653190819</v>
      </c>
      <c r="Z1121" s="109">
        <v>2.573380924993808</v>
      </c>
      <c r="AA1121" s="109">
        <v>6.0971031243724063</v>
      </c>
      <c r="AD1121" s="111"/>
    </row>
    <row r="1122" spans="1:30" ht="15" customHeight="1" x14ac:dyDescent="0.3">
      <c r="A1122" s="22" t="s">
        <v>155</v>
      </c>
      <c r="B1122" s="23">
        <v>140</v>
      </c>
      <c r="C1122" s="3" t="s">
        <v>139</v>
      </c>
      <c r="D1122" s="23">
        <v>2021</v>
      </c>
      <c r="E1122" s="25">
        <v>2.9082668668480811</v>
      </c>
      <c r="F1122" s="25">
        <v>7.6963498170216763E-2</v>
      </c>
      <c r="G1122" s="25">
        <v>0.28682324406868726</v>
      </c>
      <c r="H1122" s="25">
        <v>0.40217693816189326</v>
      </c>
      <c r="I1122" s="25">
        <v>0.43224992649778543</v>
      </c>
      <c r="J1122" s="25">
        <v>5.2289861324479152E-2</v>
      </c>
      <c r="K1122" s="25">
        <v>7.3319637648868174E-2</v>
      </c>
      <c r="L1122" s="25">
        <v>0.4415</v>
      </c>
      <c r="M1122" s="24">
        <v>1</v>
      </c>
      <c r="N1122" s="108">
        <v>0</v>
      </c>
      <c r="O1122" s="24">
        <v>5</v>
      </c>
      <c r="P1122" s="24">
        <v>7</v>
      </c>
      <c r="Q1122" s="24">
        <v>5</v>
      </c>
      <c r="R1122" s="24">
        <v>3</v>
      </c>
      <c r="S1122" s="24">
        <v>7</v>
      </c>
      <c r="T1122" s="24">
        <v>10</v>
      </c>
      <c r="U1122" s="24">
        <v>871603000000</v>
      </c>
      <c r="V1122" s="109">
        <v>-0.2058282994140066</v>
      </c>
      <c r="W1122" s="109">
        <v>0.76529557608223009</v>
      </c>
      <c r="X1122" s="109">
        <v>2.1274867801051625</v>
      </c>
      <c r="Y1122" s="109">
        <v>0.37748598846034259</v>
      </c>
      <c r="Z1122" s="109">
        <v>2.6107911726587627</v>
      </c>
      <c r="AA1122" s="109">
        <v>5.8810595173064977</v>
      </c>
      <c r="AD1122" s="111"/>
    </row>
    <row r="1123" spans="1:30" ht="15" customHeight="1" x14ac:dyDescent="0.3">
      <c r="A1123" s="22" t="s">
        <v>155</v>
      </c>
      <c r="B1123" s="23">
        <v>140</v>
      </c>
      <c r="C1123" s="3" t="s">
        <v>139</v>
      </c>
      <c r="D1123" s="23">
        <v>2022</v>
      </c>
      <c r="E1123" s="25">
        <v>2.1274558586269809</v>
      </c>
      <c r="F1123" s="25">
        <v>4.6410639164065681E-2</v>
      </c>
      <c r="G1123" s="25">
        <v>0.29668884080040608</v>
      </c>
      <c r="H1123" s="25">
        <v>0.42184641565624337</v>
      </c>
      <c r="I1123" s="25">
        <v>0.36303636202778022</v>
      </c>
      <c r="J1123" s="25">
        <v>4.3850284523523284E-2</v>
      </c>
      <c r="K1123" s="25">
        <v>6.2348436502871731E-2</v>
      </c>
      <c r="L1123" s="25">
        <v>0.4415</v>
      </c>
      <c r="M1123" s="24">
        <v>1</v>
      </c>
      <c r="N1123" s="108">
        <v>0</v>
      </c>
      <c r="O1123" s="24">
        <v>5</v>
      </c>
      <c r="P1123" s="24">
        <v>7</v>
      </c>
      <c r="Q1123" s="24">
        <v>5</v>
      </c>
      <c r="R1123" s="24">
        <v>3</v>
      </c>
      <c r="S1123" s="24">
        <v>7</v>
      </c>
      <c r="T1123" s="24">
        <v>10</v>
      </c>
      <c r="U1123" s="24">
        <v>935775000000</v>
      </c>
      <c r="V1123" s="109">
        <v>7.1994233632716551E-2</v>
      </c>
      <c r="W1123" s="109">
        <v>0.52418309956987519</v>
      </c>
      <c r="X1123" s="109">
        <v>2.1088631775800804</v>
      </c>
      <c r="Y1123" s="109">
        <v>0.39125405145467662</v>
      </c>
      <c r="Z1123" s="109">
        <v>2.4890575361807272</v>
      </c>
      <c r="AA1123" s="109">
        <v>5.5133578647853589</v>
      </c>
      <c r="AD1123" s="111"/>
    </row>
    <row r="1124" spans="1:30" ht="15" customHeight="1" x14ac:dyDescent="0.3">
      <c r="A1124" s="22" t="s">
        <v>155</v>
      </c>
      <c r="B1124" s="23">
        <v>140</v>
      </c>
      <c r="C1124" s="3" t="s">
        <v>139</v>
      </c>
      <c r="D1124" s="23">
        <v>2023</v>
      </c>
      <c r="E1124" s="25">
        <v>1.8092753328072899</v>
      </c>
      <c r="F1124" s="25">
        <v>4.8972942703693331E-2</v>
      </c>
      <c r="G1124" s="25">
        <v>0.28571344139827737</v>
      </c>
      <c r="H1124" s="25">
        <v>0.39999834514257976</v>
      </c>
      <c r="I1124" s="25">
        <v>0.61156437823489196</v>
      </c>
      <c r="J1124" s="25">
        <v>6.7855144642589779E-2</v>
      </c>
      <c r="K1124" s="25">
        <v>9.4997090209036072E-2</v>
      </c>
      <c r="L1124" s="25">
        <v>0.44080000000000003</v>
      </c>
      <c r="M1124" s="24">
        <v>1</v>
      </c>
      <c r="N1124" s="108">
        <v>0</v>
      </c>
      <c r="O1124" s="24">
        <v>5</v>
      </c>
      <c r="P1124" s="24">
        <v>7</v>
      </c>
      <c r="Q1124" s="24">
        <v>5</v>
      </c>
      <c r="R1124" s="24">
        <v>3</v>
      </c>
      <c r="S1124" s="24">
        <v>7</v>
      </c>
      <c r="T1124" s="24">
        <v>10</v>
      </c>
      <c r="U1124" s="24">
        <v>1015192000000</v>
      </c>
      <c r="V1124" s="109">
        <v>-3.4592586039104661E-3</v>
      </c>
      <c r="W1124" s="109">
        <v>0.41089496371129791</v>
      </c>
      <c r="X1124" s="109">
        <v>2.1513985925815016</v>
      </c>
      <c r="Y1124" s="109">
        <v>0.52717200293146516</v>
      </c>
      <c r="Z1124" s="109">
        <v>2.6250108600467503</v>
      </c>
      <c r="AA1124" s="109">
        <v>5.7144764192710147</v>
      </c>
      <c r="AD1124" s="111"/>
    </row>
    <row r="1125" spans="1:30" ht="15" customHeight="1" x14ac:dyDescent="0.3">
      <c r="A1125" s="22" t="s">
        <v>155</v>
      </c>
      <c r="B1125" s="23">
        <v>140</v>
      </c>
      <c r="C1125" s="3" t="s">
        <v>139</v>
      </c>
      <c r="D1125" s="23">
        <v>2024</v>
      </c>
      <c r="E1125" s="25">
        <v>2.6659619450317127</v>
      </c>
      <c r="F1125" s="25">
        <v>1.8028666078473806E-2</v>
      </c>
      <c r="G1125" s="25">
        <v>0.26645679663803018</v>
      </c>
      <c r="H1125" s="25">
        <v>0.3632466910765807</v>
      </c>
      <c r="I1125" s="25">
        <v>0.49275395852132936</v>
      </c>
      <c r="J1125" s="25">
        <v>6.0634848927745739E-2</v>
      </c>
      <c r="K1125" s="25">
        <v>8.2660335614754624E-2</v>
      </c>
      <c r="L1125" s="25">
        <v>0.439</v>
      </c>
      <c r="M1125" s="24">
        <v>0</v>
      </c>
      <c r="N1125" s="108">
        <v>0</v>
      </c>
      <c r="O1125" s="24">
        <v>3</v>
      </c>
      <c r="P1125" s="24">
        <v>7</v>
      </c>
      <c r="Q1125" s="24">
        <v>3</v>
      </c>
      <c r="R1125" s="24">
        <v>3</v>
      </c>
      <c r="S1125" s="24">
        <v>7</v>
      </c>
      <c r="T1125" s="24">
        <v>7</v>
      </c>
      <c r="U1125" s="24">
        <v>1053668000000</v>
      </c>
      <c r="V1125" s="109">
        <v>0.15108443789451256</v>
      </c>
      <c r="W1125" s="109">
        <v>0.62306016695961153</v>
      </c>
      <c r="X1125" s="109">
        <v>2.2279993698204748</v>
      </c>
      <c r="Y1125" s="109">
        <v>0.53375142834365275</v>
      </c>
      <c r="Z1125" s="109">
        <v>2.890597563017129</v>
      </c>
      <c r="AA1125" s="109">
        <v>6.2754085281408685</v>
      </c>
      <c r="AD1125" s="111"/>
    </row>
    <row r="1126" spans="1:30" ht="15" customHeight="1" x14ac:dyDescent="0.3">
      <c r="A1126" s="22" t="s">
        <v>155</v>
      </c>
      <c r="B1126" s="23">
        <v>141</v>
      </c>
      <c r="C1126" s="1" t="s">
        <v>140</v>
      </c>
      <c r="D1126" s="23">
        <v>2015</v>
      </c>
      <c r="E1126" s="25">
        <v>8.0399249337650875</v>
      </c>
      <c r="F1126" s="25">
        <v>8.7435342108583197E-2</v>
      </c>
      <c r="G1126" s="25">
        <v>0.7067926659662207</v>
      </c>
      <c r="H1126" s="25">
        <v>2.4597564810994705</v>
      </c>
      <c r="I1126" s="25">
        <v>0.11538452700625333</v>
      </c>
      <c r="J1126" s="25">
        <v>6.0992730342469499E-2</v>
      </c>
      <c r="K1126" s="25">
        <v>0.21226488471657659</v>
      </c>
      <c r="L1126" s="25">
        <v>0.99990000000000001</v>
      </c>
      <c r="M1126" s="24">
        <v>1</v>
      </c>
      <c r="N1126" s="108">
        <v>0</v>
      </c>
      <c r="O1126" s="24">
        <v>3</v>
      </c>
      <c r="P1126" s="24">
        <v>7</v>
      </c>
      <c r="Q1126" s="24">
        <v>3</v>
      </c>
      <c r="R1126" s="24">
        <v>3</v>
      </c>
      <c r="S1126" s="24">
        <v>7</v>
      </c>
      <c r="T1126" s="24">
        <v>7</v>
      </c>
      <c r="U1126" s="24">
        <v>4116425000000</v>
      </c>
      <c r="V1126" s="109">
        <v>0.47735383019344468</v>
      </c>
      <c r="W1126" s="109">
        <v>2.134200584244824</v>
      </c>
      <c r="X1126" s="109">
        <v>0.51066793151824696</v>
      </c>
      <c r="Y1126" s="109">
        <v>0.48189309898759242</v>
      </c>
      <c r="Z1126" s="109">
        <v>0.42687152491236346</v>
      </c>
      <c r="AA1126" s="109">
        <v>3.553633139663027</v>
      </c>
      <c r="AD1126" s="111"/>
    </row>
    <row r="1127" spans="1:30" ht="15" customHeight="1" x14ac:dyDescent="0.3">
      <c r="A1127" s="22" t="s">
        <v>155</v>
      </c>
      <c r="B1127" s="23">
        <v>141</v>
      </c>
      <c r="C1127" s="3" t="s">
        <v>140</v>
      </c>
      <c r="D1127" s="23">
        <v>2016</v>
      </c>
      <c r="E1127" s="25">
        <v>11.732269172702754</v>
      </c>
      <c r="F1127" s="25">
        <v>2.5908522897547682E-2</v>
      </c>
      <c r="G1127" s="25">
        <v>0.6968049155914019</v>
      </c>
      <c r="H1127" s="25">
        <v>2.357770483667208</v>
      </c>
      <c r="I1127" s="25">
        <v>0.13668590084028684</v>
      </c>
      <c r="J1127" s="25">
        <v>6.9922837615641484E-2</v>
      </c>
      <c r="K1127" s="25">
        <v>0.23659707182818987</v>
      </c>
      <c r="L1127" s="25">
        <v>0.99990000000000001</v>
      </c>
      <c r="M1127" s="24">
        <v>2</v>
      </c>
      <c r="N1127" s="108">
        <v>0</v>
      </c>
      <c r="O1127" s="24">
        <v>4</v>
      </c>
      <c r="P1127" s="24">
        <v>13</v>
      </c>
      <c r="Q1127" s="24">
        <v>4</v>
      </c>
      <c r="R1127" s="24">
        <v>2</v>
      </c>
      <c r="S1127" s="24">
        <v>13</v>
      </c>
      <c r="T1127" s="24">
        <v>6</v>
      </c>
      <c r="U1127" s="24">
        <v>4799748000000</v>
      </c>
      <c r="V1127" s="109">
        <v>0.12839993768264935</v>
      </c>
      <c r="W1127" s="109">
        <v>2.5941159910895322</v>
      </c>
      <c r="X1127" s="109">
        <v>0.59803493016716713</v>
      </c>
      <c r="Y1127" s="109">
        <v>0.57063075811480102</v>
      </c>
      <c r="Z1127" s="109">
        <v>0.44533596771762979</v>
      </c>
      <c r="AA1127" s="109">
        <v>4.2081176470891304</v>
      </c>
      <c r="AD1127" s="111"/>
    </row>
    <row r="1128" spans="1:30" ht="15" customHeight="1" x14ac:dyDescent="0.3">
      <c r="A1128" s="22" t="s">
        <v>155</v>
      </c>
      <c r="B1128" s="23">
        <v>141</v>
      </c>
      <c r="C1128" s="3" t="s">
        <v>140</v>
      </c>
      <c r="D1128" s="23">
        <v>2018</v>
      </c>
      <c r="E1128" s="25">
        <v>5.1680506150232333</v>
      </c>
      <c r="F1128" s="25">
        <v>2.4164034962338085E-2</v>
      </c>
      <c r="G1128" s="25">
        <v>0.67381450767393769</v>
      </c>
      <c r="H1128" s="25">
        <v>2.1322257926837347</v>
      </c>
      <c r="I1128" s="25">
        <v>7.5714474997093162E-2</v>
      </c>
      <c r="J1128" s="25">
        <v>5.0966340973294111E-2</v>
      </c>
      <c r="K1128" s="25">
        <v>0.16127843129575115</v>
      </c>
      <c r="L1128" s="25">
        <v>0.99990000000000001</v>
      </c>
      <c r="M1128" s="24">
        <v>2</v>
      </c>
      <c r="N1128" s="108">
        <v>0</v>
      </c>
      <c r="O1128" s="24">
        <v>4</v>
      </c>
      <c r="P1128" s="24">
        <v>16</v>
      </c>
      <c r="Q1128" s="24">
        <v>4</v>
      </c>
      <c r="R1128" s="24">
        <v>4</v>
      </c>
      <c r="S1128" s="24">
        <v>16</v>
      </c>
      <c r="T1128" s="24">
        <v>10</v>
      </c>
      <c r="U1128" s="24">
        <v>5493920000000</v>
      </c>
      <c r="V1128" s="109">
        <v>0</v>
      </c>
      <c r="W1128" s="109">
        <v>1.8454107522497596</v>
      </c>
      <c r="X1128" s="109">
        <v>0.1661502715729388</v>
      </c>
      <c r="Y1128" s="109">
        <v>0.42116445816466203</v>
      </c>
      <c r="Z1128" s="109">
        <v>0.49244315663136845</v>
      </c>
      <c r="AA1128" s="109">
        <v>2.9251686386187288</v>
      </c>
      <c r="AD1128" s="111"/>
    </row>
    <row r="1129" spans="1:30" ht="15" customHeight="1" x14ac:dyDescent="0.3">
      <c r="A1129" s="22" t="s">
        <v>155</v>
      </c>
      <c r="B1129" s="23">
        <v>141</v>
      </c>
      <c r="C1129" s="3" t="s">
        <v>140</v>
      </c>
      <c r="D1129" s="23">
        <v>2019</v>
      </c>
      <c r="E1129" s="25">
        <v>2.4691809952305945</v>
      </c>
      <c r="F1129" s="25">
        <v>4.2592410981440745E-2</v>
      </c>
      <c r="G1129" s="25">
        <v>0.67676631923532959</v>
      </c>
      <c r="H1129" s="25">
        <v>2.161607423321001</v>
      </c>
      <c r="I1129" s="25">
        <v>7.3508900567272217E-2</v>
      </c>
      <c r="J1129" s="25">
        <v>5.8190018763221177E-2</v>
      </c>
      <c r="K1129" s="25">
        <v>0.18586027842503905</v>
      </c>
      <c r="L1129" s="25">
        <v>0.99990000000000001</v>
      </c>
      <c r="M1129" s="24">
        <v>1</v>
      </c>
      <c r="N1129" s="108">
        <v>0</v>
      </c>
      <c r="O1129" s="24">
        <v>3</v>
      </c>
      <c r="P1129" s="24">
        <v>10</v>
      </c>
      <c r="Q1129" s="24">
        <v>3</v>
      </c>
      <c r="R1129" s="24">
        <v>4</v>
      </c>
      <c r="S1129" s="24">
        <v>10</v>
      </c>
      <c r="T1129" s="24">
        <v>10</v>
      </c>
      <c r="U1129" s="24">
        <v>6324607000000</v>
      </c>
      <c r="V1129" s="109">
        <v>0.35380228599550589</v>
      </c>
      <c r="W1129" s="109">
        <v>0.7613869067279595</v>
      </c>
      <c r="X1129" s="109">
        <v>0.18969946116810102</v>
      </c>
      <c r="Y1129" s="109">
        <v>0.46178671971238688</v>
      </c>
      <c r="Z1129" s="109">
        <v>0.48574962718569181</v>
      </c>
      <c r="AA1129" s="109">
        <v>1.8986227147941392</v>
      </c>
      <c r="AD1129" s="111"/>
    </row>
    <row r="1130" spans="1:30" ht="15" customHeight="1" x14ac:dyDescent="0.3">
      <c r="A1130" s="22" t="s">
        <v>155</v>
      </c>
      <c r="B1130" s="23">
        <v>141</v>
      </c>
      <c r="C1130" s="3" t="s">
        <v>140</v>
      </c>
      <c r="D1130" s="23">
        <v>2020</v>
      </c>
      <c r="E1130" s="25">
        <v>1.543867670942952</v>
      </c>
      <c r="F1130" s="25">
        <v>6.9327885643791276E-2</v>
      </c>
      <c r="G1130" s="25">
        <v>0.93759293156143297</v>
      </c>
      <c r="H1130" s="25">
        <v>10.433300223871967</v>
      </c>
      <c r="I1130" s="25">
        <v>-0.11241133283366392</v>
      </c>
      <c r="J1130" s="25">
        <v>-6.7970599417882402E-2</v>
      </c>
      <c r="K1130" s="25">
        <v>-0.75635987244730929</v>
      </c>
      <c r="L1130" s="25">
        <v>0.99990000000000001</v>
      </c>
      <c r="M1130" s="24">
        <v>2</v>
      </c>
      <c r="N1130" s="108">
        <v>0</v>
      </c>
      <c r="O1130" s="24">
        <v>4</v>
      </c>
      <c r="P1130" s="24">
        <v>11</v>
      </c>
      <c r="Q1130" s="24">
        <v>4</v>
      </c>
      <c r="R1130" s="24">
        <v>4</v>
      </c>
      <c r="S1130" s="24">
        <v>11</v>
      </c>
      <c r="T1130" s="24">
        <v>10</v>
      </c>
      <c r="U1130" s="24">
        <v>7987733000000</v>
      </c>
      <c r="V1130" s="109">
        <v>-3.5299667977671832E-2</v>
      </c>
      <c r="W1130" s="109">
        <v>0.39464547951214696</v>
      </c>
      <c r="X1130" s="109">
        <v>-0.39760351028257951</v>
      </c>
      <c r="Y1130" s="109">
        <v>-0.56376526356101286</v>
      </c>
      <c r="Z1130" s="109">
        <v>0.10063929700762773</v>
      </c>
      <c r="AA1130" s="109">
        <v>-0.46608399732381767</v>
      </c>
      <c r="AD1130" s="111"/>
    </row>
    <row r="1131" spans="1:30" ht="15" customHeight="1" x14ac:dyDescent="0.3">
      <c r="A1131" s="22" t="s">
        <v>155</v>
      </c>
      <c r="B1131" s="23">
        <v>141</v>
      </c>
      <c r="C1131" s="3" t="s">
        <v>140</v>
      </c>
      <c r="D1131" s="23">
        <v>2021</v>
      </c>
      <c r="E1131" s="25">
        <v>1.8550127015890392</v>
      </c>
      <c r="F1131" s="25">
        <v>0.11214931524726873</v>
      </c>
      <c r="G1131" s="25">
        <v>1.0596366971517912</v>
      </c>
      <c r="H1131" s="25">
        <v>1641.9726067746685</v>
      </c>
      <c r="I1131" s="25">
        <v>-0.13067545468760533</v>
      </c>
      <c r="J1131" s="25">
        <v>-7.037316358607712E-2</v>
      </c>
      <c r="K1131" s="25">
        <v>-109.04756995581738</v>
      </c>
      <c r="L1131" s="25">
        <v>0.99990000000000001</v>
      </c>
      <c r="M1131" s="24">
        <v>2</v>
      </c>
      <c r="N1131" s="108">
        <v>0</v>
      </c>
      <c r="O1131" s="24">
        <v>4</v>
      </c>
      <c r="P1131" s="24">
        <v>11</v>
      </c>
      <c r="Q1131" s="24">
        <v>4</v>
      </c>
      <c r="R1131" s="24">
        <v>4</v>
      </c>
      <c r="S1131" s="24">
        <v>11</v>
      </c>
      <c r="T1131" s="24">
        <v>10</v>
      </c>
      <c r="U1131" s="24">
        <v>10521525000000</v>
      </c>
      <c r="V1131" s="109">
        <v>0.17315988455151909</v>
      </c>
      <c r="W1131" s="109">
        <v>0.52693418492091215</v>
      </c>
      <c r="X1131" s="109">
        <v>-0.53126920859856341</v>
      </c>
      <c r="Y1131" s="109">
        <v>-0.63678994062172545</v>
      </c>
      <c r="Z1131" s="109">
        <v>6.3947473646501203E-4</v>
      </c>
      <c r="AA1131" s="109">
        <v>-0.64048548956291174</v>
      </c>
      <c r="AD1131" s="111"/>
    </row>
    <row r="1132" spans="1:30" ht="15" customHeight="1" x14ac:dyDescent="0.3">
      <c r="A1132" s="22" t="s">
        <v>155</v>
      </c>
      <c r="B1132" s="23">
        <v>141</v>
      </c>
      <c r="C1132" s="3" t="s">
        <v>140</v>
      </c>
      <c r="D1132" s="23">
        <v>2022</v>
      </c>
      <c r="E1132" s="25">
        <v>1.4058200459323575</v>
      </c>
      <c r="F1132" s="25">
        <v>2.740898419386522E-2</v>
      </c>
      <c r="G1132" s="25">
        <v>1.083065080571965</v>
      </c>
      <c r="H1132" s="25">
        <v>107.55026423457211</v>
      </c>
      <c r="I1132" s="25">
        <v>2.1390025696261059E-2</v>
      </c>
      <c r="J1132" s="25">
        <v>1.4672600587704018E-2</v>
      </c>
      <c r="K1132" s="25">
        <v>1.4570150017047392</v>
      </c>
      <c r="L1132" s="25">
        <v>0.99990000000000001</v>
      </c>
      <c r="M1132" s="24">
        <v>2</v>
      </c>
      <c r="N1132" s="108">
        <v>0</v>
      </c>
      <c r="O1132" s="24">
        <v>4</v>
      </c>
      <c r="P1132" s="24">
        <v>11</v>
      </c>
      <c r="Q1132" s="24">
        <v>4</v>
      </c>
      <c r="R1132" s="24">
        <v>4</v>
      </c>
      <c r="S1132" s="24">
        <v>11</v>
      </c>
      <c r="T1132" s="24">
        <v>10</v>
      </c>
      <c r="U1132" s="24">
        <v>11650082000000</v>
      </c>
      <c r="V1132" s="109">
        <v>0.41036988117958462</v>
      </c>
      <c r="W1132" s="109">
        <v>0.31292500087123848</v>
      </c>
      <c r="X1132" s="109">
        <v>-0.43197186423237194</v>
      </c>
      <c r="Y1132" s="109">
        <v>0.141612187794043</v>
      </c>
      <c r="Z1132" s="109">
        <v>9.762876990333574E-3</v>
      </c>
      <c r="AA1132" s="109">
        <v>3.2328201423243115E-2</v>
      </c>
      <c r="AD1132" s="111"/>
    </row>
    <row r="1133" spans="1:30" ht="15" customHeight="1" x14ac:dyDescent="0.3">
      <c r="A1133" s="22" t="s">
        <v>155</v>
      </c>
      <c r="B1133" s="23">
        <v>141</v>
      </c>
      <c r="C1133" s="3" t="s">
        <v>140</v>
      </c>
      <c r="D1133" s="23">
        <v>2023</v>
      </c>
      <c r="E1133" s="25">
        <v>1.2106455554829756</v>
      </c>
      <c r="F1133" s="25">
        <v>1.5672472879468376E-2</v>
      </c>
      <c r="G1133" s="25">
        <v>1.1741017046829609</v>
      </c>
      <c r="H1133" s="25">
        <v>-3976.6073713067317</v>
      </c>
      <c r="I1133" s="25">
        <v>0.23707467186849884</v>
      </c>
      <c r="J1133" s="25">
        <v>0.11048031663112939</v>
      </c>
      <c r="K1133" s="25">
        <v>-374.18976545842219</v>
      </c>
      <c r="L1133" s="25">
        <v>0.99990000000000001</v>
      </c>
      <c r="M1133" s="24">
        <v>2</v>
      </c>
      <c r="N1133" s="108">
        <v>0</v>
      </c>
      <c r="O1133" s="24">
        <v>4</v>
      </c>
      <c r="P1133" s="24">
        <v>11</v>
      </c>
      <c r="Q1133" s="24">
        <v>4</v>
      </c>
      <c r="R1133" s="24">
        <v>2</v>
      </c>
      <c r="S1133" s="24">
        <v>11</v>
      </c>
      <c r="T1133" s="24">
        <v>6</v>
      </c>
      <c r="U1133" s="24">
        <v>11119311000000</v>
      </c>
      <c r="V1133" s="109">
        <v>-0.35158529100217922</v>
      </c>
      <c r="W1133" s="109">
        <v>0.23400474363924167</v>
      </c>
      <c r="X1133" s="109">
        <v>-0.49181671778044517</v>
      </c>
      <c r="Y1133" s="109">
        <v>0.80812402854817178</v>
      </c>
      <c r="Z1133" s="109">
        <v>-2.64044171817487E-4</v>
      </c>
      <c r="AA1133" s="109">
        <v>0.55004801023515082</v>
      </c>
      <c r="AD1133" s="111"/>
    </row>
    <row r="1134" spans="1:30" ht="15" customHeight="1" x14ac:dyDescent="0.3">
      <c r="A1134" s="22" t="s">
        <v>155</v>
      </c>
      <c r="B1134" s="23">
        <v>141</v>
      </c>
      <c r="C1134" s="3" t="s">
        <v>140</v>
      </c>
      <c r="D1134" s="23">
        <v>2024</v>
      </c>
      <c r="E1134" s="25">
        <v>2.0973950595979849</v>
      </c>
      <c r="F1134" s="25">
        <v>5.4957881203918139E-2</v>
      </c>
      <c r="G1134" s="25">
        <v>1.3215794816379849</v>
      </c>
      <c r="H1134" s="25">
        <v>-5.9742583484838612</v>
      </c>
      <c r="I1134" s="25">
        <v>-0.4765425162272855</v>
      </c>
      <c r="J1134" s="25">
        <v>-0.15148383378053601</v>
      </c>
      <c r="K1134" s="25">
        <v>0.68478935334410163</v>
      </c>
      <c r="L1134" s="25">
        <v>0.99990000000000001</v>
      </c>
      <c r="M1134" s="24">
        <v>2</v>
      </c>
      <c r="N1134" s="108">
        <v>0</v>
      </c>
      <c r="O1134" s="24">
        <v>4</v>
      </c>
      <c r="P1134" s="24">
        <v>11</v>
      </c>
      <c r="Q1134" s="24">
        <v>4</v>
      </c>
      <c r="R1134" s="24">
        <v>4</v>
      </c>
      <c r="S1134" s="24">
        <v>11</v>
      </c>
      <c r="T1134" s="24">
        <v>6</v>
      </c>
      <c r="U1134" s="24">
        <v>9361527000000</v>
      </c>
      <c r="V1134" s="109">
        <v>-0.42570676703917815</v>
      </c>
      <c r="W1134" s="109">
        <v>1.2076503672958481</v>
      </c>
      <c r="X1134" s="109">
        <v>-0.49383729812454735</v>
      </c>
      <c r="Y1134" s="109">
        <v>-1.2079340133292356</v>
      </c>
      <c r="Z1134" s="109">
        <v>-0.17575403317910876</v>
      </c>
      <c r="AA1134" s="109">
        <v>-0.6698749773370436</v>
      </c>
      <c r="AD1134" s="111"/>
    </row>
    <row r="1135" spans="1:30" ht="15" customHeight="1" x14ac:dyDescent="0.3">
      <c r="A1135" s="22" t="s">
        <v>155</v>
      </c>
      <c r="B1135" s="23">
        <v>142</v>
      </c>
      <c r="C1135" s="3" t="s">
        <v>138</v>
      </c>
      <c r="D1135" s="23">
        <v>2017</v>
      </c>
      <c r="E1135" s="25">
        <v>1.4630630083768361</v>
      </c>
      <c r="F1135" s="25">
        <v>0</v>
      </c>
      <c r="G1135" s="25">
        <v>0</v>
      </c>
      <c r="H1135" s="25">
        <v>0</v>
      </c>
      <c r="I1135" s="25">
        <v>0</v>
      </c>
      <c r="J1135" s="25">
        <v>0</v>
      </c>
      <c r="K1135" s="25">
        <v>0</v>
      </c>
      <c r="L1135" s="25">
        <v>0.99</v>
      </c>
      <c r="M1135" s="24">
        <v>0</v>
      </c>
      <c r="N1135" s="108">
        <v>0</v>
      </c>
      <c r="O1135" s="24">
        <v>3</v>
      </c>
      <c r="P1135" s="24">
        <v>0</v>
      </c>
      <c r="Q1135" s="24">
        <v>3</v>
      </c>
      <c r="R1135" s="24">
        <v>3</v>
      </c>
      <c r="S1135" s="24">
        <v>0</v>
      </c>
      <c r="T1135" s="24">
        <v>0</v>
      </c>
      <c r="U1135" s="24">
        <v>392736000000</v>
      </c>
      <c r="V1135" s="109">
        <v>0</v>
      </c>
      <c r="W1135" s="109">
        <v>0.25484274423531328</v>
      </c>
      <c r="X1135" s="109">
        <v>8.4700765908905712E-2</v>
      </c>
      <c r="Y1135" s="109">
        <v>0.1785846981178196</v>
      </c>
      <c r="Z1135" s="109">
        <v>3.946520137643581</v>
      </c>
      <c r="AA1135" s="109">
        <v>4.4646483459056192</v>
      </c>
      <c r="AD1135" s="111"/>
    </row>
    <row r="1136" spans="1:30" ht="15" customHeight="1" x14ac:dyDescent="0.3">
      <c r="A1136" s="22" t="s">
        <v>155</v>
      </c>
      <c r="B1136" s="23">
        <v>142</v>
      </c>
      <c r="C1136" s="3" t="s">
        <v>138</v>
      </c>
      <c r="D1136" s="23">
        <v>2019</v>
      </c>
      <c r="E1136" s="25">
        <v>3.7438535187644142</v>
      </c>
      <c r="F1136" s="25">
        <v>1.8380040533929696E-2</v>
      </c>
      <c r="G1136" s="25">
        <v>0.61263775993510228</v>
      </c>
      <c r="H1136" s="25">
        <v>1.5815629314629702</v>
      </c>
      <c r="I1136" s="25">
        <v>0</v>
      </c>
      <c r="J1136" s="25">
        <v>0</v>
      </c>
      <c r="K1136" s="25">
        <v>0</v>
      </c>
      <c r="L1136" s="25">
        <v>0.99</v>
      </c>
      <c r="M1136" s="24">
        <v>1</v>
      </c>
      <c r="N1136" s="108">
        <v>0</v>
      </c>
      <c r="O1136" s="24">
        <v>4</v>
      </c>
      <c r="P1136" s="24">
        <v>0</v>
      </c>
      <c r="Q1136" s="24">
        <v>4</v>
      </c>
      <c r="R1136" s="24">
        <v>3</v>
      </c>
      <c r="S1136" s="24">
        <v>0</v>
      </c>
      <c r="T1136" s="24">
        <v>0</v>
      </c>
      <c r="U1136" s="24">
        <v>1168609000000</v>
      </c>
      <c r="V1136" s="109">
        <v>0</v>
      </c>
      <c r="W1136" s="109">
        <v>2.2039656377796164</v>
      </c>
      <c r="X1136" s="109">
        <v>0.42590849462908464</v>
      </c>
      <c r="Y1136" s="109">
        <v>0.5099880627309904</v>
      </c>
      <c r="Z1136" s="109">
        <v>0.66390023382043595</v>
      </c>
      <c r="AA1136" s="109">
        <v>3.8037624289601273</v>
      </c>
      <c r="AD1136" s="111"/>
    </row>
    <row r="1137" spans="1:30" ht="15" customHeight="1" x14ac:dyDescent="0.3">
      <c r="A1137" s="22" t="s">
        <v>155</v>
      </c>
      <c r="B1137" s="23">
        <v>142</v>
      </c>
      <c r="C1137" s="3" t="s">
        <v>138</v>
      </c>
      <c r="D1137" s="23">
        <v>2020</v>
      </c>
      <c r="E1137" s="25">
        <v>2.8256850138269605</v>
      </c>
      <c r="F1137" s="25">
        <v>7.8045991697327077E-3</v>
      </c>
      <c r="G1137" s="25">
        <v>0.69877128350963369</v>
      </c>
      <c r="H1137" s="25">
        <v>2.319736616253123</v>
      </c>
      <c r="I1137" s="25">
        <v>0.2941511707156938</v>
      </c>
      <c r="J1137" s="25">
        <v>8.4509746189734128E-2</v>
      </c>
      <c r="K1137" s="25">
        <v>0.28055009885631821</v>
      </c>
      <c r="L1137" s="25">
        <v>0.99</v>
      </c>
      <c r="M1137" s="24">
        <v>1</v>
      </c>
      <c r="N1137" s="108">
        <v>0</v>
      </c>
      <c r="O1137" s="24">
        <v>4</v>
      </c>
      <c r="P1137" s="24">
        <v>0</v>
      </c>
      <c r="Q1137" s="24">
        <v>4</v>
      </c>
      <c r="R1137" s="24">
        <v>3</v>
      </c>
      <c r="S1137" s="24">
        <v>0</v>
      </c>
      <c r="T1137" s="24">
        <v>0</v>
      </c>
      <c r="U1137" s="24">
        <v>2088765000000</v>
      </c>
      <c r="V1137" s="109">
        <v>1.684556162459347</v>
      </c>
      <c r="W1137" s="109">
        <v>2.6477336033493475</v>
      </c>
      <c r="X1137" s="109">
        <v>0.51378635701000352</v>
      </c>
      <c r="Y1137" s="109">
        <v>0.55937023073442915</v>
      </c>
      <c r="Z1137" s="109">
        <v>0.45263759370060613</v>
      </c>
      <c r="AA1137" s="109">
        <v>4.1735277847943859</v>
      </c>
      <c r="AD1137" s="111"/>
    </row>
    <row r="1138" spans="1:30" ht="15" customHeight="1" x14ac:dyDescent="0.3">
      <c r="A1138" s="22" t="s">
        <v>155</v>
      </c>
      <c r="B1138" s="23">
        <v>142</v>
      </c>
      <c r="C1138" s="3" t="s">
        <v>138</v>
      </c>
      <c r="D1138" s="23">
        <v>2021</v>
      </c>
      <c r="E1138" s="25">
        <v>17.464297810758382</v>
      </c>
      <c r="F1138" s="25">
        <v>0.57916371586045512</v>
      </c>
      <c r="G1138" s="25">
        <v>0.71040065974994493</v>
      </c>
      <c r="H1138" s="25">
        <v>2.45304654056376</v>
      </c>
      <c r="I1138" s="25">
        <v>8.0229407044587128E-2</v>
      </c>
      <c r="J1138" s="25">
        <v>2.7288681888888115E-2</v>
      </c>
      <c r="K1138" s="25">
        <v>9.4229088592970037E-2</v>
      </c>
      <c r="L1138" s="25">
        <v>0.99</v>
      </c>
      <c r="M1138" s="24">
        <v>1</v>
      </c>
      <c r="N1138" s="108">
        <v>0</v>
      </c>
      <c r="O1138" s="24">
        <v>4</v>
      </c>
      <c r="P1138" s="24">
        <v>0</v>
      </c>
      <c r="Q1138" s="24">
        <v>4</v>
      </c>
      <c r="R1138" s="24">
        <v>3</v>
      </c>
      <c r="S1138" s="24">
        <v>0</v>
      </c>
      <c r="T1138" s="24">
        <v>0</v>
      </c>
      <c r="U1138" s="24">
        <v>1864949000000</v>
      </c>
      <c r="V1138" s="109">
        <v>5.7036875336400582E-2</v>
      </c>
      <c r="W1138" s="109">
        <v>3.7617159075127526</v>
      </c>
      <c r="X1138" s="109">
        <v>0.4196827259083224</v>
      </c>
      <c r="Y1138" s="109">
        <v>0.19050009410445004</v>
      </c>
      <c r="Z1138" s="109">
        <v>0.4280391678825175</v>
      </c>
      <c r="AA1138" s="109">
        <v>4.7999378954080427</v>
      </c>
      <c r="AD1138" s="111"/>
    </row>
    <row r="1139" spans="1:30" ht="15" customHeight="1" x14ac:dyDescent="0.3">
      <c r="A1139" s="22" t="s">
        <v>155</v>
      </c>
      <c r="B1139" s="23">
        <v>142</v>
      </c>
      <c r="C1139" s="3" t="s">
        <v>138</v>
      </c>
      <c r="D1139" s="23">
        <v>2022</v>
      </c>
      <c r="E1139" s="25">
        <v>2.9323387007355026</v>
      </c>
      <c r="F1139" s="25">
        <v>2.8472829665403183E-3</v>
      </c>
      <c r="G1139" s="25">
        <v>0.80700729725256481</v>
      </c>
      <c r="H1139" s="25">
        <v>4.181543062323323</v>
      </c>
      <c r="I1139" s="25">
        <v>0.10233744137663528</v>
      </c>
      <c r="J1139" s="25">
        <v>1.5279249801503017E-2</v>
      </c>
      <c r="K1139" s="25">
        <v>7.9170090806482962E-2</v>
      </c>
      <c r="L1139" s="25">
        <v>0.99</v>
      </c>
      <c r="M1139" s="24">
        <v>1</v>
      </c>
      <c r="N1139" s="108">
        <v>0</v>
      </c>
      <c r="O1139" s="24">
        <v>4</v>
      </c>
      <c r="P1139" s="24">
        <v>0</v>
      </c>
      <c r="Q1139" s="24">
        <v>4</v>
      </c>
      <c r="R1139" s="24">
        <v>3</v>
      </c>
      <c r="S1139" s="24">
        <v>0</v>
      </c>
      <c r="T1139" s="24">
        <v>0</v>
      </c>
      <c r="U1139" s="24">
        <v>3039089000000</v>
      </c>
      <c r="V1139" s="109">
        <v>-0.28468890847207529</v>
      </c>
      <c r="W1139" s="109">
        <v>3.0470275269990443</v>
      </c>
      <c r="X1139" s="109">
        <v>0.31775112212903273</v>
      </c>
      <c r="Y1139" s="109">
        <v>0.1363043201433061</v>
      </c>
      <c r="Z1139" s="109">
        <v>0.25110347647994935</v>
      </c>
      <c r="AA1139" s="109">
        <v>3.7521864457513323</v>
      </c>
      <c r="AD1139" s="111"/>
    </row>
    <row r="1140" spans="1:30" ht="15" customHeight="1" x14ac:dyDescent="0.3">
      <c r="A1140" s="22" t="s">
        <v>155</v>
      </c>
      <c r="B1140" s="23">
        <v>142</v>
      </c>
      <c r="C1140" s="3" t="s">
        <v>138</v>
      </c>
      <c r="D1140" s="23">
        <v>2023</v>
      </c>
      <c r="E1140" s="25">
        <v>3.4826263235790327</v>
      </c>
      <c r="F1140" s="25">
        <v>2.8400600575938757E-2</v>
      </c>
      <c r="G1140" s="25">
        <v>0.78042216427133959</v>
      </c>
      <c r="H1140" s="25">
        <v>3.5541937176015019</v>
      </c>
      <c r="I1140" s="25">
        <v>0.21070312893060186</v>
      </c>
      <c r="J1140" s="25">
        <v>2.9810013136012736E-2</v>
      </c>
      <c r="K1140" s="25">
        <v>0.13576057454564744</v>
      </c>
      <c r="L1140" s="25">
        <v>0.99</v>
      </c>
      <c r="M1140" s="24">
        <v>1</v>
      </c>
      <c r="N1140" s="108">
        <v>0</v>
      </c>
      <c r="O1140" s="24">
        <v>4</v>
      </c>
      <c r="P1140" s="24">
        <v>0</v>
      </c>
      <c r="Q1140" s="24">
        <v>4</v>
      </c>
      <c r="R1140" s="24">
        <v>3</v>
      </c>
      <c r="S1140" s="24">
        <v>0</v>
      </c>
      <c r="T1140" s="24">
        <v>0</v>
      </c>
      <c r="U1140" s="24">
        <v>3090740000000</v>
      </c>
      <c r="V1140" s="109">
        <v>-3.6298000634719135E-2</v>
      </c>
      <c r="W1140" s="109">
        <v>2.9514863624892418</v>
      </c>
      <c r="X1140" s="109">
        <v>0.40175206584830814</v>
      </c>
      <c r="Y1140" s="109">
        <v>0.21326434446119696</v>
      </c>
      <c r="Z1140" s="109">
        <v>0.29542565302506302</v>
      </c>
      <c r="AA1140" s="109">
        <v>3.8619284258238102</v>
      </c>
      <c r="AD1140" s="111"/>
    </row>
    <row r="1141" spans="1:30" ht="15" customHeight="1" x14ac:dyDescent="0.3">
      <c r="A1141" s="22" t="s">
        <v>155</v>
      </c>
      <c r="B1141" s="23">
        <v>142</v>
      </c>
      <c r="C1141" s="3" t="s">
        <v>138</v>
      </c>
      <c r="D1141" s="23">
        <v>2024</v>
      </c>
      <c r="E1141" s="25">
        <v>3.1772751594628796</v>
      </c>
      <c r="F1141" s="25">
        <v>1.877033098633418E-3</v>
      </c>
      <c r="G1141" s="25">
        <v>0.72080717558077545</v>
      </c>
      <c r="H1141" s="25">
        <v>2.5817539439997965</v>
      </c>
      <c r="I1141" s="25">
        <v>0.40614888193113269</v>
      </c>
      <c r="J1141" s="25">
        <v>6.9469943371008744E-2</v>
      </c>
      <c r="K1141" s="25">
        <v>0.24882424365855305</v>
      </c>
      <c r="L1141" s="25">
        <v>0.99</v>
      </c>
      <c r="M1141" s="24">
        <v>2</v>
      </c>
      <c r="N1141" s="108">
        <v>0</v>
      </c>
      <c r="O1141" s="24">
        <v>3</v>
      </c>
      <c r="P1141" s="24">
        <v>0</v>
      </c>
      <c r="Q1141" s="24">
        <v>3</v>
      </c>
      <c r="R1141" s="24">
        <v>3</v>
      </c>
      <c r="S1141" s="24">
        <v>0</v>
      </c>
      <c r="T1141" s="24">
        <v>0</v>
      </c>
      <c r="U1141" s="24">
        <v>3235975000000</v>
      </c>
      <c r="V1141" s="109">
        <v>0.26579444467313401</v>
      </c>
      <c r="W1141" s="109">
        <v>2.5983780962461078</v>
      </c>
      <c r="X1141" s="109">
        <v>0.6249234558363399</v>
      </c>
      <c r="Y1141" s="109">
        <v>0.58398206413831988</v>
      </c>
      <c r="Z1141" s="109">
        <v>0.40670025989125902</v>
      </c>
      <c r="AA1141" s="109">
        <v>4.2139838761120263</v>
      </c>
      <c r="AD1141" s="111"/>
    </row>
    <row r="1142" spans="1:30" ht="15" customHeight="1" x14ac:dyDescent="0.3">
      <c r="A1142" s="22" t="s">
        <v>155</v>
      </c>
      <c r="B1142" s="23">
        <v>144</v>
      </c>
      <c r="C1142" s="3" t="s">
        <v>141</v>
      </c>
      <c r="D1142" s="23">
        <v>2017</v>
      </c>
      <c r="E1142" s="25">
        <v>8.3234461339499166</v>
      </c>
      <c r="F1142" s="25">
        <v>0.24564506015597445</v>
      </c>
      <c r="G1142" s="25">
        <v>0.6949546227963137</v>
      </c>
      <c r="H1142" s="25">
        <v>2.2782008013590564</v>
      </c>
      <c r="I1142" s="25">
        <v>0.22944823394080691</v>
      </c>
      <c r="J1142" s="25">
        <v>6.8834331151876649E-2</v>
      </c>
      <c r="K1142" s="25">
        <v>0.22565275954309669</v>
      </c>
      <c r="L1142" s="25">
        <v>0</v>
      </c>
      <c r="M1142" s="24">
        <v>0</v>
      </c>
      <c r="N1142" s="108">
        <v>0</v>
      </c>
      <c r="O1142" s="24">
        <v>0</v>
      </c>
      <c r="P1142" s="24">
        <v>0</v>
      </c>
      <c r="Q1142" s="24">
        <v>0</v>
      </c>
      <c r="R1142" s="24">
        <v>0</v>
      </c>
      <c r="S1142" s="24">
        <v>0</v>
      </c>
      <c r="T1142" s="24">
        <v>0</v>
      </c>
      <c r="U1142" s="24">
        <v>3465727000000</v>
      </c>
      <c r="V1142" s="109">
        <v>0</v>
      </c>
      <c r="W1142" s="109">
        <v>2.8297272808850784</v>
      </c>
      <c r="X1142" s="109">
        <v>0.49725312466908089</v>
      </c>
      <c r="Y1142" s="109">
        <v>0.44567424958746027</v>
      </c>
      <c r="Z1142" s="109">
        <v>0.46089001433658722</v>
      </c>
      <c r="AA1142" s="109">
        <v>4.2335446694782073</v>
      </c>
      <c r="AD1142" s="111"/>
    </row>
    <row r="1143" spans="1:30" ht="15" customHeight="1" x14ac:dyDescent="0.3">
      <c r="A1143" s="22" t="s">
        <v>155</v>
      </c>
      <c r="B1143" s="23">
        <v>144</v>
      </c>
      <c r="C1143" s="3" t="s">
        <v>141</v>
      </c>
      <c r="D1143" s="23">
        <v>2018</v>
      </c>
      <c r="E1143" s="25">
        <v>12.89604777481019</v>
      </c>
      <c r="F1143" s="25">
        <v>4.5314047354679948E-2</v>
      </c>
      <c r="G1143" s="25">
        <v>0.74324216108106311</v>
      </c>
      <c r="H1143" s="25">
        <v>2.8947204268833184</v>
      </c>
      <c r="I1143" s="25">
        <v>-0.10035960133866316</v>
      </c>
      <c r="J1143" s="25">
        <v>-3.3021901739871497E-2</v>
      </c>
      <c r="K1143" s="25">
        <v>-0.12861107524081131</v>
      </c>
      <c r="L1143" s="25">
        <v>0.65049999999999997</v>
      </c>
      <c r="M1143" s="24">
        <v>1</v>
      </c>
      <c r="N1143" s="108">
        <v>0</v>
      </c>
      <c r="O1143" s="24">
        <v>4</v>
      </c>
      <c r="P1143" s="24">
        <v>0</v>
      </c>
      <c r="Q1143" s="24">
        <v>4</v>
      </c>
      <c r="R1143" s="24">
        <v>5</v>
      </c>
      <c r="S1143" s="24">
        <v>0</v>
      </c>
      <c r="T1143" s="24">
        <v>0</v>
      </c>
      <c r="U1143" s="24">
        <v>3558941000000</v>
      </c>
      <c r="V1143" s="109">
        <v>0.12628737078202124</v>
      </c>
      <c r="W1143" s="109">
        <v>2.9227376570727075</v>
      </c>
      <c r="X1143" s="109">
        <v>0.41365130245204956</v>
      </c>
      <c r="Y1143" s="109">
        <v>-0.19375030943193494</v>
      </c>
      <c r="Z1143" s="109">
        <v>0.3627293296612108</v>
      </c>
      <c r="AA1143" s="109">
        <v>3.5053679797540327</v>
      </c>
      <c r="AD1143" s="111"/>
    </row>
    <row r="1144" spans="1:30" ht="15" customHeight="1" x14ac:dyDescent="0.3">
      <c r="A1144" s="22" t="s">
        <v>155</v>
      </c>
      <c r="B1144" s="23">
        <v>144</v>
      </c>
      <c r="C1144" s="3" t="s">
        <v>141</v>
      </c>
      <c r="D1144" s="23">
        <v>2019</v>
      </c>
      <c r="E1144" s="25">
        <v>19.105374577161932</v>
      </c>
      <c r="F1144" s="25">
        <v>5.8275782944359325E-2</v>
      </c>
      <c r="G1144" s="25">
        <v>0.71252072694949697</v>
      </c>
      <c r="H1144" s="25">
        <v>2.4785116484704783</v>
      </c>
      <c r="I1144" s="25">
        <v>0.11367714390541342</v>
      </c>
      <c r="J1144" s="25">
        <v>2.8656974627360159E-2</v>
      </c>
      <c r="K1144" s="25">
        <v>9.9683620051195257E-2</v>
      </c>
      <c r="L1144" s="25">
        <v>0.50739999999999996</v>
      </c>
      <c r="M1144" s="24">
        <v>1</v>
      </c>
      <c r="N1144" s="108">
        <v>0</v>
      </c>
      <c r="O1144" s="24">
        <v>4</v>
      </c>
      <c r="P1144" s="24">
        <v>0</v>
      </c>
      <c r="Q1144" s="24">
        <v>4</v>
      </c>
      <c r="R1144" s="24">
        <v>4</v>
      </c>
      <c r="S1144" s="24">
        <v>0</v>
      </c>
      <c r="T1144" s="24">
        <v>0</v>
      </c>
      <c r="U1144" s="24">
        <v>4941031000000</v>
      </c>
      <c r="V1144" s="109">
        <v>6.3679581629333085E-2</v>
      </c>
      <c r="W1144" s="109">
        <v>3.2474756948499208</v>
      </c>
      <c r="X1144" s="109">
        <v>0.36742430476554383</v>
      </c>
      <c r="Y1144" s="109">
        <v>0.17400760286668915</v>
      </c>
      <c r="Z1144" s="109">
        <v>0.42364134162854095</v>
      </c>
      <c r="AA1144" s="109">
        <v>4.2125489441106945</v>
      </c>
      <c r="AD1144" s="111"/>
    </row>
    <row r="1145" spans="1:30" ht="15" customHeight="1" x14ac:dyDescent="0.3">
      <c r="A1145" s="22" t="s">
        <v>155</v>
      </c>
      <c r="B1145" s="23">
        <v>144</v>
      </c>
      <c r="C1145" s="3" t="s">
        <v>141</v>
      </c>
      <c r="D1145" s="23">
        <v>2020</v>
      </c>
      <c r="E1145" s="25">
        <v>15.225337027798316</v>
      </c>
      <c r="F1145" s="25">
        <v>6.6320713649021215E-2</v>
      </c>
      <c r="G1145" s="25">
        <v>0.68404919416227117</v>
      </c>
      <c r="H1145" s="25">
        <v>2.1650496897722626</v>
      </c>
      <c r="I1145" s="25">
        <v>1.6977796575877339E-2</v>
      </c>
      <c r="J1145" s="25">
        <v>4.1666928793476724E-3</v>
      </c>
      <c r="K1145" s="25">
        <v>1.3187790005155648E-2</v>
      </c>
      <c r="L1145" s="25">
        <v>0.50739999999999996</v>
      </c>
      <c r="M1145" s="24">
        <v>1</v>
      </c>
      <c r="N1145" s="108">
        <v>0</v>
      </c>
      <c r="O1145" s="24">
        <v>4</v>
      </c>
      <c r="P1145" s="24">
        <v>0</v>
      </c>
      <c r="Q1145" s="24">
        <v>4</v>
      </c>
      <c r="R1145" s="24">
        <v>4</v>
      </c>
      <c r="S1145" s="24">
        <v>0</v>
      </c>
      <c r="T1145" s="24">
        <v>0</v>
      </c>
      <c r="U1145" s="24">
        <v>4450772000000</v>
      </c>
      <c r="V1145" s="109">
        <v>-0.12305824794534954</v>
      </c>
      <c r="W1145" s="109">
        <v>3.0343286063631205</v>
      </c>
      <c r="X1145" s="109">
        <v>0.39406636871086631</v>
      </c>
      <c r="Y1145" s="109">
        <v>3.6941510371683833E-2</v>
      </c>
      <c r="Z1145" s="109">
        <v>0.48497732174934399</v>
      </c>
      <c r="AA1145" s="109">
        <v>3.9503138071950143</v>
      </c>
      <c r="AD1145" s="111"/>
    </row>
    <row r="1146" spans="1:30" ht="15" customHeight="1" x14ac:dyDescent="0.3">
      <c r="A1146" s="22" t="s">
        <v>155</v>
      </c>
      <c r="B1146" s="23">
        <v>144</v>
      </c>
      <c r="C1146" s="3" t="s">
        <v>141</v>
      </c>
      <c r="D1146" s="23">
        <v>2021</v>
      </c>
      <c r="E1146" s="25">
        <v>12.3204536814092</v>
      </c>
      <c r="F1146" s="25">
        <v>7.6783677607400833E-2</v>
      </c>
      <c r="G1146" s="25">
        <v>0.67335163029716172</v>
      </c>
      <c r="H1146" s="25">
        <v>2.0613959619934112</v>
      </c>
      <c r="I1146" s="25">
        <v>2.1870224688527676E-2</v>
      </c>
      <c r="J1146" s="25">
        <v>5.8176808046864984E-3</v>
      </c>
      <c r="K1146" s="25">
        <v>1.7810224523633827E-2</v>
      </c>
      <c r="L1146" s="25">
        <v>0.50739999999999996</v>
      </c>
      <c r="M1146" s="24">
        <v>0</v>
      </c>
      <c r="N1146" s="108">
        <v>0</v>
      </c>
      <c r="O1146" s="24">
        <v>4</v>
      </c>
      <c r="P1146" s="24">
        <v>0</v>
      </c>
      <c r="Q1146" s="24">
        <v>4</v>
      </c>
      <c r="R1146" s="24">
        <v>4</v>
      </c>
      <c r="S1146" s="24">
        <v>0</v>
      </c>
      <c r="T1146" s="24">
        <v>0</v>
      </c>
      <c r="U1146" s="24">
        <v>4351906000000</v>
      </c>
      <c r="V1146" s="109">
        <v>5.9816407262047643E-2</v>
      </c>
      <c r="W1146" s="109">
        <v>2.6930858892632328</v>
      </c>
      <c r="X1146" s="109">
        <v>0.41565073786060636</v>
      </c>
      <c r="Y1146" s="109">
        <v>3.2387023065295985E-2</v>
      </c>
      <c r="Z1146" s="109">
        <v>0.50936356690280349</v>
      </c>
      <c r="AA1146" s="109">
        <v>3.6504872170919382</v>
      </c>
      <c r="AD1146" s="111"/>
    </row>
    <row r="1147" spans="1:30" ht="15" customHeight="1" x14ac:dyDescent="0.3">
      <c r="A1147" s="22" t="s">
        <v>155</v>
      </c>
      <c r="B1147" s="23">
        <v>144</v>
      </c>
      <c r="C1147" s="3" t="s">
        <v>141</v>
      </c>
      <c r="D1147" s="23">
        <v>2022</v>
      </c>
      <c r="E1147" s="25">
        <v>15.151891282254667</v>
      </c>
      <c r="F1147" s="25">
        <v>0.79462979946954859</v>
      </c>
      <c r="G1147" s="25">
        <v>0.71317082998889392</v>
      </c>
      <c r="H1147" s="25">
        <v>2.4863957524308979</v>
      </c>
      <c r="I1147" s="25">
        <v>7.5108760660005366E-2</v>
      </c>
      <c r="J1147" s="25">
        <v>1.7659021534214784E-2</v>
      </c>
      <c r="K1147" s="25">
        <v>6.1566337668972175E-2</v>
      </c>
      <c r="L1147" s="25">
        <v>0.50739999999999996</v>
      </c>
      <c r="M1147" s="24">
        <v>0</v>
      </c>
      <c r="N1147" s="108">
        <v>0</v>
      </c>
      <c r="O1147" s="24">
        <v>4</v>
      </c>
      <c r="P1147" s="24">
        <v>0</v>
      </c>
      <c r="Q1147" s="24">
        <v>4</v>
      </c>
      <c r="R1147" s="24">
        <v>4</v>
      </c>
      <c r="S1147" s="24">
        <v>0</v>
      </c>
      <c r="T1147" s="24">
        <v>0</v>
      </c>
      <c r="U1147" s="24">
        <v>5241287000000</v>
      </c>
      <c r="V1147" s="109">
        <v>6.4480795959390033E-2</v>
      </c>
      <c r="W1147" s="109">
        <v>2.8583049621209446</v>
      </c>
      <c r="X1147" s="109">
        <v>0.40143012966090191</v>
      </c>
      <c r="Y1147" s="109">
        <v>0.13860571268087399</v>
      </c>
      <c r="Z1147" s="109">
        <v>0.42229801871783151</v>
      </c>
      <c r="AA1147" s="109">
        <v>3.8206388231805519</v>
      </c>
      <c r="AD1147" s="111"/>
    </row>
    <row r="1148" spans="1:30" ht="15" customHeight="1" x14ac:dyDescent="0.3">
      <c r="A1148" s="22" t="s">
        <v>155</v>
      </c>
      <c r="B1148" s="23">
        <v>144</v>
      </c>
      <c r="C1148" s="3" t="s">
        <v>141</v>
      </c>
      <c r="D1148" s="23">
        <v>2023</v>
      </c>
      <c r="E1148" s="25">
        <v>13.891966818189102</v>
      </c>
      <c r="F1148" s="25">
        <v>0.86948950649267409</v>
      </c>
      <c r="G1148" s="25">
        <v>0.75698803789293689</v>
      </c>
      <c r="H1148" s="25">
        <v>3.1150237680869091</v>
      </c>
      <c r="I1148" s="25">
        <v>-2.7587911748346825E-2</v>
      </c>
      <c r="J1148" s="25">
        <v>-6.0365815625638636E-3</v>
      </c>
      <c r="K1148" s="25">
        <v>-2.4840676607945512E-2</v>
      </c>
      <c r="L1148" s="25">
        <v>0.50739999999999996</v>
      </c>
      <c r="M1148" s="24">
        <v>0</v>
      </c>
      <c r="N1148" s="108">
        <v>0</v>
      </c>
      <c r="O1148" s="24">
        <v>4</v>
      </c>
      <c r="P1148" s="24">
        <v>0</v>
      </c>
      <c r="Q1148" s="24">
        <v>4</v>
      </c>
      <c r="R1148" s="24">
        <v>4</v>
      </c>
      <c r="S1148" s="24">
        <v>0</v>
      </c>
      <c r="T1148" s="24">
        <v>0</v>
      </c>
      <c r="U1148" s="24">
        <v>5915931000000</v>
      </c>
      <c r="V1148" s="109">
        <v>5.0464459345301804E-2</v>
      </c>
      <c r="W1148" s="109">
        <v>2.6762783541593027</v>
      </c>
      <c r="X1148" s="109">
        <v>0.11013980048110771</v>
      </c>
      <c r="Y1148" s="109">
        <v>-8.4504190464696094E-2</v>
      </c>
      <c r="Z1148" s="109">
        <v>0.33707607972598469</v>
      </c>
      <c r="AA1148" s="109">
        <v>3.0389900439016992</v>
      </c>
      <c r="AD1148" s="111"/>
    </row>
    <row r="1149" spans="1:30" ht="15" customHeight="1" x14ac:dyDescent="0.3">
      <c r="A1149" s="22" t="s">
        <v>155</v>
      </c>
      <c r="B1149" s="23">
        <v>144</v>
      </c>
      <c r="C1149" s="3" t="s">
        <v>141</v>
      </c>
      <c r="D1149" s="23">
        <v>2024</v>
      </c>
      <c r="E1149" s="25">
        <v>10.349359935358299</v>
      </c>
      <c r="F1149" s="25">
        <v>0.42726538162488503</v>
      </c>
      <c r="G1149" s="25">
        <v>0.74359952544825791</v>
      </c>
      <c r="H1149" s="25">
        <v>2.900148787744143</v>
      </c>
      <c r="I1149" s="25">
        <v>5.2369012012509375E-2</v>
      </c>
      <c r="J1149" s="25">
        <v>1.4472986731062103E-2</v>
      </c>
      <c r="K1149" s="25">
        <v>5.644680165418893E-2</v>
      </c>
      <c r="L1149" s="25">
        <v>0.50739999999999996</v>
      </c>
      <c r="M1149" s="24">
        <v>0</v>
      </c>
      <c r="N1149" s="108">
        <v>0</v>
      </c>
      <c r="O1149" s="24">
        <v>4</v>
      </c>
      <c r="P1149" s="24">
        <v>0</v>
      </c>
      <c r="Q1149" s="24">
        <v>4</v>
      </c>
      <c r="R1149" s="24">
        <v>4</v>
      </c>
      <c r="S1149" s="24">
        <v>0</v>
      </c>
      <c r="T1149" s="24">
        <v>0</v>
      </c>
      <c r="U1149" s="24">
        <v>5942450000000</v>
      </c>
      <c r="V1149" s="109">
        <v>0.26868549533403374</v>
      </c>
      <c r="W1149" s="109">
        <v>2.0309279573239993</v>
      </c>
      <c r="X1149" s="109">
        <v>0.1681477437757154</v>
      </c>
      <c r="Y1149" s="109">
        <v>0.10873317234473996</v>
      </c>
      <c r="Z1149" s="109">
        <v>0.36205039011696155</v>
      </c>
      <c r="AA1149" s="109">
        <v>2.669859263561416</v>
      </c>
      <c r="AD1149" s="111"/>
    </row>
    <row r="1150" spans="1:30" ht="15" customHeight="1" x14ac:dyDescent="0.3">
      <c r="A1150" s="22" t="s">
        <v>156</v>
      </c>
      <c r="B1150" s="23">
        <v>145</v>
      </c>
      <c r="C1150" s="4" t="s">
        <v>145</v>
      </c>
      <c r="D1150" s="23">
        <v>2015</v>
      </c>
      <c r="E1150" s="25">
        <v>4.0930531319189747</v>
      </c>
      <c r="F1150" s="25">
        <v>0.50493144736674067</v>
      </c>
      <c r="G1150" s="25">
        <v>0.94379819237445006</v>
      </c>
      <c r="H1150" s="25">
        <v>16.793031255661411</v>
      </c>
      <c r="I1150" s="25">
        <v>8.314554306977788E-2</v>
      </c>
      <c r="J1150" s="25">
        <v>1.0730070710904786E-2</v>
      </c>
      <c r="K1150" s="25">
        <v>0.1909204894431403</v>
      </c>
      <c r="L1150" s="25">
        <v>1</v>
      </c>
      <c r="M1150" s="24">
        <v>0</v>
      </c>
      <c r="N1150" s="108">
        <v>0</v>
      </c>
      <c r="O1150" s="24">
        <v>4</v>
      </c>
      <c r="P1150" s="24">
        <v>16</v>
      </c>
      <c r="Q1150" s="24">
        <v>4</v>
      </c>
      <c r="R1150" s="24">
        <v>4</v>
      </c>
      <c r="S1150" s="24">
        <v>16</v>
      </c>
      <c r="T1150" s="24">
        <v>5</v>
      </c>
      <c r="U1150" s="24">
        <v>32312555000000</v>
      </c>
      <c r="V1150" s="109">
        <v>0.1969804438139629</v>
      </c>
      <c r="W1150" s="109">
        <v>1.0817051588770989</v>
      </c>
      <c r="X1150" s="109">
        <v>0.18976986375729185</v>
      </c>
      <c r="Y1150" s="109">
        <v>7.2267874824507056E-2</v>
      </c>
      <c r="Z1150" s="109">
        <v>6.2525936146639108E-2</v>
      </c>
      <c r="AA1150" s="109">
        <v>1.4062688336055369</v>
      </c>
      <c r="AD1150" s="111"/>
    </row>
    <row r="1151" spans="1:30" ht="15" customHeight="1" x14ac:dyDescent="0.3">
      <c r="A1151" s="22" t="s">
        <v>156</v>
      </c>
      <c r="B1151" s="23">
        <v>145</v>
      </c>
      <c r="C1151" s="3" t="s">
        <v>145</v>
      </c>
      <c r="D1151" s="23">
        <v>2016</v>
      </c>
      <c r="E1151" s="25">
        <v>13.200457581870674</v>
      </c>
      <c r="F1151" s="25">
        <v>5.6083495403645676E-2</v>
      </c>
      <c r="G1151" s="25">
        <v>0.95624823389866886</v>
      </c>
      <c r="H1151" s="25">
        <v>21.856233847183898</v>
      </c>
      <c r="I1151" s="25">
        <v>0.1037367800861997</v>
      </c>
      <c r="J1151" s="25">
        <v>1.4691121190874151E-2</v>
      </c>
      <c r="K1151" s="25">
        <v>0.33578371059150069</v>
      </c>
      <c r="L1151" s="25">
        <v>1</v>
      </c>
      <c r="M1151" s="24">
        <v>0</v>
      </c>
      <c r="N1151" s="108">
        <v>0</v>
      </c>
      <c r="O1151" s="24">
        <v>4</v>
      </c>
      <c r="P1151" s="24">
        <v>16</v>
      </c>
      <c r="Q1151" s="24">
        <v>4</v>
      </c>
      <c r="R1151" s="24">
        <v>4</v>
      </c>
      <c r="S1151" s="24">
        <v>16</v>
      </c>
      <c r="T1151" s="24">
        <v>5</v>
      </c>
      <c r="U1151" s="24">
        <v>36595437000000</v>
      </c>
      <c r="V1151" s="109">
        <v>0.24283709141678791</v>
      </c>
      <c r="W1151" s="109">
        <v>4.5262046937709748</v>
      </c>
      <c r="X1151" s="109">
        <v>0.21600059318870821</v>
      </c>
      <c r="Y1151" s="109">
        <v>0.10389074900239612</v>
      </c>
      <c r="Z1151" s="109">
        <v>4.8041213657461349E-2</v>
      </c>
      <c r="AA1151" s="109">
        <v>4.8941372496195399</v>
      </c>
      <c r="AD1151" s="111"/>
    </row>
    <row r="1152" spans="1:30" ht="15" customHeight="1" x14ac:dyDescent="0.3">
      <c r="A1152" s="22" t="s">
        <v>156</v>
      </c>
      <c r="B1152" s="23">
        <v>145</v>
      </c>
      <c r="C1152" s="3" t="s">
        <v>145</v>
      </c>
      <c r="D1152" s="23">
        <v>2017</v>
      </c>
      <c r="E1152" s="25">
        <v>9.7345851927584892</v>
      </c>
      <c r="F1152" s="25">
        <v>6.8512045390698037E-2</v>
      </c>
      <c r="G1152" s="25">
        <v>0.9735150311264944</v>
      </c>
      <c r="H1152" s="25">
        <v>36.757265442752932</v>
      </c>
      <c r="I1152" s="25">
        <v>0.20881559704679159</v>
      </c>
      <c r="J1152" s="25">
        <v>2.1066332841277926E-2</v>
      </c>
      <c r="K1152" s="25">
        <v>0.79540712099351407</v>
      </c>
      <c r="L1152" s="25">
        <v>1</v>
      </c>
      <c r="M1152" s="24">
        <v>0</v>
      </c>
      <c r="N1152" s="108">
        <v>0</v>
      </c>
      <c r="O1152" s="24">
        <v>4</v>
      </c>
      <c r="P1152" s="24">
        <v>16</v>
      </c>
      <c r="Q1152" s="24">
        <v>4</v>
      </c>
      <c r="R1152" s="24">
        <v>4</v>
      </c>
      <c r="S1152" s="24">
        <v>16</v>
      </c>
      <c r="T1152" s="24">
        <v>5</v>
      </c>
      <c r="U1152" s="24">
        <v>44801865000000</v>
      </c>
      <c r="V1152" s="109">
        <v>-0.12788654843682257</v>
      </c>
      <c r="W1152" s="109">
        <v>2.2216408464245854</v>
      </c>
      <c r="X1152" s="109">
        <v>0.12794989181811961</v>
      </c>
      <c r="Y1152" s="109">
        <v>0.14466072785139636</v>
      </c>
      <c r="Z1152" s="109">
        <v>2.8565781141562538E-2</v>
      </c>
      <c r="AA1152" s="109">
        <v>2.5228172472356638</v>
      </c>
      <c r="AD1152" s="111"/>
    </row>
    <row r="1153" spans="1:30" ht="15" customHeight="1" x14ac:dyDescent="0.3">
      <c r="A1153" s="22" t="s">
        <v>157</v>
      </c>
      <c r="B1153" s="23">
        <v>147</v>
      </c>
      <c r="C1153" s="4" t="s">
        <v>147</v>
      </c>
      <c r="D1153" s="23">
        <v>2015</v>
      </c>
      <c r="E1153" s="25">
        <v>7.9063702942097089</v>
      </c>
      <c r="F1153" s="25">
        <v>7.9063702942097089</v>
      </c>
      <c r="G1153" s="25">
        <v>0.16740831884445634</v>
      </c>
      <c r="H1153" s="25">
        <v>0.20106893046554633</v>
      </c>
      <c r="I1153" s="25">
        <v>0</v>
      </c>
      <c r="J1153" s="25">
        <v>0</v>
      </c>
      <c r="K1153" s="25">
        <v>0</v>
      </c>
      <c r="L1153" s="25">
        <v>1</v>
      </c>
      <c r="M1153" s="24">
        <v>0</v>
      </c>
      <c r="N1153" s="108">
        <v>0</v>
      </c>
      <c r="O1153" s="24">
        <v>0</v>
      </c>
      <c r="P1153" s="24">
        <v>0</v>
      </c>
      <c r="Q1153" s="24">
        <v>0</v>
      </c>
      <c r="R1153" s="24">
        <v>8</v>
      </c>
      <c r="S1153" s="24">
        <v>0</v>
      </c>
      <c r="T1153" s="24">
        <v>0</v>
      </c>
      <c r="U1153" s="24">
        <v>12150125000000</v>
      </c>
      <c r="V1153" s="109">
        <v>0</v>
      </c>
      <c r="W1153" s="109">
        <v>3.5976602775691608</v>
      </c>
      <c r="X1153" s="109">
        <v>-1.3219161317270398</v>
      </c>
      <c r="Y1153" s="109">
        <v>0</v>
      </c>
      <c r="Z1153" s="109">
        <v>5.2220897458840367</v>
      </c>
      <c r="AA1153" s="109">
        <v>7.4978338917261578</v>
      </c>
      <c r="AD1153" s="111"/>
    </row>
    <row r="1154" spans="1:30" ht="15" customHeight="1" x14ac:dyDescent="0.3">
      <c r="A1154" s="22" t="s">
        <v>157</v>
      </c>
      <c r="B1154" s="23">
        <v>147</v>
      </c>
      <c r="C1154" s="3" t="s">
        <v>147</v>
      </c>
      <c r="D1154" s="23">
        <v>2016</v>
      </c>
      <c r="E1154" s="25">
        <v>8.244044935650404</v>
      </c>
      <c r="F1154" s="25">
        <v>3.9255453355631498</v>
      </c>
      <c r="G1154" s="25">
        <v>0.14981641486788083</v>
      </c>
      <c r="H1154" s="25">
        <v>0.17621656306970396</v>
      </c>
      <c r="I1154" s="25">
        <v>0</v>
      </c>
      <c r="J1154" s="25">
        <v>0</v>
      </c>
      <c r="K1154" s="25">
        <v>0</v>
      </c>
      <c r="L1154" s="25">
        <v>1</v>
      </c>
      <c r="M1154" s="24">
        <v>0</v>
      </c>
      <c r="N1154" s="108">
        <v>0</v>
      </c>
      <c r="O1154" s="24">
        <v>0</v>
      </c>
      <c r="P1154" s="24">
        <v>0</v>
      </c>
      <c r="Q1154" s="24">
        <v>0</v>
      </c>
      <c r="R1154" s="24">
        <v>8</v>
      </c>
      <c r="S1154" s="24">
        <v>0</v>
      </c>
      <c r="T1154" s="24">
        <v>0</v>
      </c>
      <c r="U1154" s="24">
        <v>12167652000000</v>
      </c>
      <c r="V1154" s="109">
        <v>0</v>
      </c>
      <c r="W1154" s="109">
        <v>2.148501341096869</v>
      </c>
      <c r="X1154" s="109">
        <v>-3.0799637086925231</v>
      </c>
      <c r="Y1154" s="109">
        <v>0</v>
      </c>
      <c r="Z1154" s="109">
        <v>5.9585772285472602</v>
      </c>
      <c r="AA1154" s="109">
        <v>5.0271148609516061</v>
      </c>
      <c r="AD1154" s="111"/>
    </row>
    <row r="1155" spans="1:30" ht="15" customHeight="1" x14ac:dyDescent="0.3">
      <c r="A1155" s="22" t="s">
        <v>157</v>
      </c>
      <c r="B1155" s="23">
        <v>147</v>
      </c>
      <c r="C1155" s="3" t="s">
        <v>147</v>
      </c>
      <c r="D1155" s="23">
        <v>2017</v>
      </c>
      <c r="E1155" s="25">
        <v>7.4506781297212594</v>
      </c>
      <c r="F1155" s="25">
        <v>3.0321352247950606</v>
      </c>
      <c r="G1155" s="25">
        <v>0.19343442856607743</v>
      </c>
      <c r="H1155" s="25">
        <v>0.23987200538510328</v>
      </c>
      <c r="I1155" s="25">
        <v>0</v>
      </c>
      <c r="J1155" s="25">
        <v>0</v>
      </c>
      <c r="K1155" s="25">
        <v>0</v>
      </c>
      <c r="L1155" s="25">
        <v>1</v>
      </c>
      <c r="M1155" s="24">
        <v>0</v>
      </c>
      <c r="N1155" s="108">
        <v>0</v>
      </c>
      <c r="O1155" s="24">
        <v>0</v>
      </c>
      <c r="P1155" s="24">
        <v>0</v>
      </c>
      <c r="Q1155" s="24">
        <v>0</v>
      </c>
      <c r="R1155" s="24">
        <v>8</v>
      </c>
      <c r="S1155" s="24">
        <v>0</v>
      </c>
      <c r="T1155" s="24">
        <v>0</v>
      </c>
      <c r="U1155" s="24">
        <v>12600792000000</v>
      </c>
      <c r="V1155" s="109">
        <v>0</v>
      </c>
      <c r="W1155" s="109">
        <v>2.3272886085255591</v>
      </c>
      <c r="X1155" s="109">
        <v>-3.0204477480463132</v>
      </c>
      <c r="Y1155" s="109">
        <v>0</v>
      </c>
      <c r="Z1155" s="109">
        <v>4.3773344801710987</v>
      </c>
      <c r="AA1155" s="109">
        <v>3.6841753406503446</v>
      </c>
      <c r="AD1155" s="111"/>
    </row>
    <row r="1156" spans="1:30" ht="15" customHeight="1" x14ac:dyDescent="0.3">
      <c r="A1156" s="22" t="s">
        <v>157</v>
      </c>
      <c r="B1156" s="23">
        <v>147</v>
      </c>
      <c r="C1156" s="3" t="s">
        <v>147</v>
      </c>
      <c r="D1156" s="23">
        <v>2018</v>
      </c>
      <c r="E1156" s="25">
        <v>8.4048564829118302</v>
      </c>
      <c r="F1156" s="25">
        <v>3.4669932765444087</v>
      </c>
      <c r="G1156" s="25">
        <v>0.20225104767557189</v>
      </c>
      <c r="H1156" s="25">
        <v>0.25352718682521136</v>
      </c>
      <c r="I1156" s="25">
        <v>0</v>
      </c>
      <c r="J1156" s="25">
        <v>0</v>
      </c>
      <c r="K1156" s="25">
        <v>0</v>
      </c>
      <c r="L1156" s="25">
        <v>1</v>
      </c>
      <c r="M1156" s="24">
        <v>0</v>
      </c>
      <c r="N1156" s="108">
        <v>0</v>
      </c>
      <c r="O1156" s="24">
        <v>0</v>
      </c>
      <c r="P1156" s="24">
        <v>0</v>
      </c>
      <c r="Q1156" s="24">
        <v>0</v>
      </c>
      <c r="R1156" s="24">
        <v>8</v>
      </c>
      <c r="S1156" s="24">
        <v>0</v>
      </c>
      <c r="T1156" s="24">
        <v>0</v>
      </c>
      <c r="U1156" s="24">
        <v>12690713000000</v>
      </c>
      <c r="V1156" s="109">
        <v>0</v>
      </c>
      <c r="W1156" s="109">
        <v>2.6017054203337509</v>
      </c>
      <c r="X1156" s="109">
        <v>-3.0102767086451325</v>
      </c>
      <c r="Y1156" s="109">
        <v>0</v>
      </c>
      <c r="Z1156" s="109">
        <v>4.1415676683380669</v>
      </c>
      <c r="AA1156" s="109">
        <v>3.7329963800266852</v>
      </c>
      <c r="AD1156" s="111"/>
    </row>
    <row r="1157" spans="1:30" ht="15" customHeight="1" x14ac:dyDescent="0.3">
      <c r="A1157" s="22" t="s">
        <v>157</v>
      </c>
      <c r="B1157" s="23">
        <v>147</v>
      </c>
      <c r="C1157" s="3" t="s">
        <v>147</v>
      </c>
      <c r="D1157" s="23">
        <v>2019</v>
      </c>
      <c r="E1157" s="25">
        <v>9.1459609621040627</v>
      </c>
      <c r="F1157" s="25">
        <v>1.5290515839044421</v>
      </c>
      <c r="G1157" s="25">
        <v>0.22311751419006895</v>
      </c>
      <c r="H1157" s="25">
        <v>0.28719596369515271</v>
      </c>
      <c r="I1157" s="25">
        <v>0</v>
      </c>
      <c r="J1157" s="25">
        <v>0</v>
      </c>
      <c r="K1157" s="25">
        <v>0</v>
      </c>
      <c r="L1157" s="25">
        <v>1</v>
      </c>
      <c r="M1157" s="24">
        <v>0</v>
      </c>
      <c r="N1157" s="108">
        <v>0</v>
      </c>
      <c r="O1157" s="24">
        <v>0</v>
      </c>
      <c r="P1157" s="24">
        <v>0</v>
      </c>
      <c r="Q1157" s="24">
        <v>0</v>
      </c>
      <c r="R1157" s="24">
        <v>8</v>
      </c>
      <c r="S1157" s="24">
        <v>0</v>
      </c>
      <c r="T1157" s="24">
        <v>0</v>
      </c>
      <c r="U1157" s="24">
        <v>13262092000000</v>
      </c>
      <c r="V1157" s="109">
        <v>0</v>
      </c>
      <c r="W1157" s="109">
        <v>2.5934094017746219</v>
      </c>
      <c r="X1157" s="109">
        <v>-2.8386824597506939</v>
      </c>
      <c r="Y1157" s="109">
        <v>0</v>
      </c>
      <c r="Z1157" s="109">
        <v>3.6560402398779317</v>
      </c>
      <c r="AA1157" s="109">
        <v>3.4107671819018597</v>
      </c>
      <c r="AD1157" s="111"/>
    </row>
    <row r="1158" spans="1:30" ht="15" customHeight="1" x14ac:dyDescent="0.3">
      <c r="A1158" s="22" t="s">
        <v>157</v>
      </c>
      <c r="B1158" s="23">
        <v>147</v>
      </c>
      <c r="C1158" s="3" t="s">
        <v>147</v>
      </c>
      <c r="D1158" s="23">
        <v>2020</v>
      </c>
      <c r="E1158" s="25">
        <v>10.420679148458486</v>
      </c>
      <c r="F1158" s="25">
        <v>2.2516799171676638</v>
      </c>
      <c r="G1158" s="25">
        <v>0.24004802999115049</v>
      </c>
      <c r="H1158" s="25">
        <v>0.31587263335649379</v>
      </c>
      <c r="I1158" s="25">
        <v>0</v>
      </c>
      <c r="J1158" s="25">
        <v>0</v>
      </c>
      <c r="K1158" s="25">
        <v>0</v>
      </c>
      <c r="L1158" s="25">
        <v>1</v>
      </c>
      <c r="M1158" s="24">
        <v>0</v>
      </c>
      <c r="N1158" s="108">
        <v>0</v>
      </c>
      <c r="O1158" s="24">
        <v>0</v>
      </c>
      <c r="P1158" s="24">
        <v>0</v>
      </c>
      <c r="Q1158" s="24">
        <v>0</v>
      </c>
      <c r="R1158" s="24">
        <v>8</v>
      </c>
      <c r="S1158" s="24">
        <v>0</v>
      </c>
      <c r="T1158" s="24">
        <v>0</v>
      </c>
      <c r="U1158" s="24">
        <v>13372478000000</v>
      </c>
      <c r="V1158" s="109">
        <v>0</v>
      </c>
      <c r="W1158" s="109">
        <v>2.6512500076649967</v>
      </c>
      <c r="X1158" s="109">
        <v>-2.8508453751054965</v>
      </c>
      <c r="Y1158" s="109">
        <v>0</v>
      </c>
      <c r="Z1158" s="109">
        <v>3.3241246284700146</v>
      </c>
      <c r="AA1158" s="109">
        <v>3.1245292610295148</v>
      </c>
      <c r="AD1158" s="111"/>
    </row>
    <row r="1159" spans="1:30" ht="15" customHeight="1" x14ac:dyDescent="0.3">
      <c r="A1159" s="22" t="s">
        <v>157</v>
      </c>
      <c r="B1159" s="23">
        <v>147</v>
      </c>
      <c r="C1159" s="3" t="s">
        <v>147</v>
      </c>
      <c r="D1159" s="23">
        <v>2021</v>
      </c>
      <c r="E1159" s="25">
        <v>14.126578866638413</v>
      </c>
      <c r="F1159" s="25">
        <v>6.8331787641439679</v>
      </c>
      <c r="G1159" s="25">
        <v>0.2401950781901557</v>
      </c>
      <c r="H1159" s="25">
        <v>0.31612726991046264</v>
      </c>
      <c r="I1159" s="25">
        <v>0</v>
      </c>
      <c r="J1159" s="25">
        <v>0</v>
      </c>
      <c r="K1159" s="25">
        <v>0</v>
      </c>
      <c r="L1159" s="25">
        <v>1</v>
      </c>
      <c r="M1159" s="24">
        <v>0</v>
      </c>
      <c r="N1159" s="108">
        <v>0</v>
      </c>
      <c r="O1159" s="24">
        <v>0</v>
      </c>
      <c r="P1159" s="24">
        <v>0</v>
      </c>
      <c r="Q1159" s="24">
        <v>0</v>
      </c>
      <c r="R1159" s="24">
        <v>8</v>
      </c>
      <c r="S1159" s="24">
        <v>0</v>
      </c>
      <c r="T1159" s="24">
        <v>0</v>
      </c>
      <c r="U1159" s="24">
        <v>13991723000000</v>
      </c>
      <c r="V1159" s="109">
        <v>0</v>
      </c>
      <c r="W1159" s="109">
        <v>3.4706570563182249</v>
      </c>
      <c r="X1159" s="109">
        <v>-2.6122010377135108</v>
      </c>
      <c r="Y1159" s="109">
        <v>0</v>
      </c>
      <c r="Z1159" s="109">
        <v>3.3214470877422047</v>
      </c>
      <c r="AA1159" s="109">
        <v>4.1799031063469183</v>
      </c>
      <c r="AD1159" s="111"/>
    </row>
    <row r="1160" spans="1:30" ht="15" customHeight="1" x14ac:dyDescent="0.3">
      <c r="A1160" s="22" t="s">
        <v>157</v>
      </c>
      <c r="B1160" s="23">
        <v>147</v>
      </c>
      <c r="C1160" s="3" t="s">
        <v>147</v>
      </c>
      <c r="D1160" s="23">
        <v>2022</v>
      </c>
      <c r="E1160" s="25">
        <v>4.5254881765794401</v>
      </c>
      <c r="F1160" s="25">
        <v>2.2559771878504304</v>
      </c>
      <c r="G1160" s="25">
        <v>0.23984639787189629</v>
      </c>
      <c r="H1160" s="25">
        <v>0.31552359575805383</v>
      </c>
      <c r="I1160" s="25">
        <v>0</v>
      </c>
      <c r="J1160" s="25">
        <v>0</v>
      </c>
      <c r="K1160" s="25">
        <v>0</v>
      </c>
      <c r="L1160" s="25">
        <v>1</v>
      </c>
      <c r="M1160" s="24">
        <v>0</v>
      </c>
      <c r="N1160" s="108">
        <v>0</v>
      </c>
      <c r="O1160" s="24">
        <v>0</v>
      </c>
      <c r="P1160" s="24">
        <v>0</v>
      </c>
      <c r="Q1160" s="24">
        <v>0</v>
      </c>
      <c r="R1160" s="24">
        <v>8</v>
      </c>
      <c r="S1160" s="24">
        <v>0</v>
      </c>
      <c r="T1160" s="24">
        <v>0</v>
      </c>
      <c r="U1160" s="24">
        <v>14146679000000</v>
      </c>
      <c r="V1160" s="109">
        <v>0</v>
      </c>
      <c r="W1160" s="109">
        <v>2.7713988053309189</v>
      </c>
      <c r="X1160" s="109">
        <v>-2.5525005762836632</v>
      </c>
      <c r="Y1160" s="109">
        <v>0</v>
      </c>
      <c r="Z1160" s="109">
        <v>3.3278018319908758</v>
      </c>
      <c r="AA1160" s="109">
        <v>3.5467000610381314</v>
      </c>
      <c r="AD1160" s="111"/>
    </row>
    <row r="1161" spans="1:30" ht="15" customHeight="1" x14ac:dyDescent="0.3">
      <c r="A1161" s="22" t="s">
        <v>157</v>
      </c>
      <c r="B1161" s="23">
        <v>147</v>
      </c>
      <c r="C1161" s="3" t="s">
        <v>147</v>
      </c>
      <c r="D1161" s="23">
        <v>2023</v>
      </c>
      <c r="E1161" s="25">
        <v>10.844083030447811</v>
      </c>
      <c r="F1161" s="25">
        <v>3.2305783176185581</v>
      </c>
      <c r="G1161" s="25">
        <v>0.20144828631560124</v>
      </c>
      <c r="H1161" s="25">
        <v>0.25226705154278467</v>
      </c>
      <c r="I1161" s="25">
        <v>0</v>
      </c>
      <c r="J1161" s="25">
        <v>0</v>
      </c>
      <c r="K1161" s="25">
        <v>0</v>
      </c>
      <c r="L1161" s="25">
        <v>1</v>
      </c>
      <c r="M1161" s="24">
        <v>0</v>
      </c>
      <c r="N1161" s="108">
        <v>0</v>
      </c>
      <c r="O1161" s="24">
        <v>0</v>
      </c>
      <c r="P1161" s="24">
        <v>0</v>
      </c>
      <c r="Q1161" s="24">
        <v>0</v>
      </c>
      <c r="R1161" s="24">
        <v>8</v>
      </c>
      <c r="S1161" s="24">
        <v>0</v>
      </c>
      <c r="T1161" s="24">
        <v>0</v>
      </c>
      <c r="U1161" s="24">
        <v>12884607000000</v>
      </c>
      <c r="V1161" s="109">
        <v>0</v>
      </c>
      <c r="W1161" s="109">
        <v>3.1260771368501965</v>
      </c>
      <c r="X1161" s="109">
        <v>-2.9143414106460521</v>
      </c>
      <c r="Y1161" s="109">
        <v>0</v>
      </c>
      <c r="Z1161" s="109">
        <v>4.1622558062122481</v>
      </c>
      <c r="AA1161" s="109">
        <v>4.373991532416392</v>
      </c>
      <c r="AD1161" s="111"/>
    </row>
    <row r="1162" spans="1:30" ht="15" customHeight="1" x14ac:dyDescent="0.3">
      <c r="A1162" s="22" t="s">
        <v>157</v>
      </c>
      <c r="B1162" s="23">
        <v>147</v>
      </c>
      <c r="C1162" s="3" t="s">
        <v>147</v>
      </c>
      <c r="D1162" s="23">
        <v>2024</v>
      </c>
      <c r="E1162" s="25">
        <v>11.606416658065324</v>
      </c>
      <c r="F1162" s="25">
        <v>3.5028316748252517</v>
      </c>
      <c r="G1162" s="25">
        <v>0.21368150743841741</v>
      </c>
      <c r="H1162" s="25">
        <v>0.2717493095479786</v>
      </c>
      <c r="I1162" s="25">
        <v>0</v>
      </c>
      <c r="J1162" s="25">
        <v>0</v>
      </c>
      <c r="K1162" s="25">
        <v>0</v>
      </c>
      <c r="L1162" s="25">
        <v>1</v>
      </c>
      <c r="M1162" s="24">
        <v>0</v>
      </c>
      <c r="N1162" s="108">
        <v>0</v>
      </c>
      <c r="O1162" s="24">
        <v>0</v>
      </c>
      <c r="P1162" s="24">
        <v>0</v>
      </c>
      <c r="Q1162" s="24">
        <v>0</v>
      </c>
      <c r="R1162" s="24">
        <v>8</v>
      </c>
      <c r="S1162" s="24">
        <v>0</v>
      </c>
      <c r="T1162" s="24">
        <v>0</v>
      </c>
      <c r="U1162" s="24">
        <v>13457903000000</v>
      </c>
      <c r="V1162" s="109">
        <v>0</v>
      </c>
      <c r="W1162" s="109">
        <v>3.055466076698576</v>
      </c>
      <c r="X1162" s="109">
        <v>-2.7192912625391936</v>
      </c>
      <c r="Y1162" s="109">
        <v>0</v>
      </c>
      <c r="Z1162" s="109">
        <v>3.8638552633180385</v>
      </c>
      <c r="AA1162" s="109">
        <v>4.2000300774774209</v>
      </c>
      <c r="AD1162" s="111"/>
    </row>
    <row r="1163" spans="1:30" ht="15" customHeight="1" x14ac:dyDescent="0.3">
      <c r="A1163" s="22" t="s">
        <v>157</v>
      </c>
      <c r="B1163" s="23">
        <v>148</v>
      </c>
      <c r="C1163" s="4" t="s">
        <v>148</v>
      </c>
      <c r="D1163" s="23">
        <v>2015</v>
      </c>
      <c r="E1163" s="25">
        <v>8.0011612050265626</v>
      </c>
      <c r="F1163" s="25">
        <v>1.3625345570675906</v>
      </c>
      <c r="G1163" s="25">
        <v>0.19562929420296812</v>
      </c>
      <c r="H1163" s="25">
        <v>0.24320788013919989</v>
      </c>
      <c r="I1163" s="25">
        <v>0.19889638403211815</v>
      </c>
      <c r="J1163" s="25">
        <v>5.6369959269485972E-2</v>
      </c>
      <c r="K1163" s="25">
        <v>7.0079577566950699E-2</v>
      </c>
      <c r="L1163" s="25">
        <v>1</v>
      </c>
      <c r="M1163" s="24">
        <v>0</v>
      </c>
      <c r="N1163" s="108">
        <v>0</v>
      </c>
      <c r="O1163" s="24">
        <v>0</v>
      </c>
      <c r="P1163" s="24">
        <v>0</v>
      </c>
      <c r="Q1163" s="24">
        <v>0</v>
      </c>
      <c r="R1163" s="24">
        <v>7</v>
      </c>
      <c r="S1163" s="24">
        <v>0</v>
      </c>
      <c r="T1163" s="24">
        <v>0</v>
      </c>
      <c r="U1163" s="24">
        <v>11080636000000</v>
      </c>
      <c r="V1163" s="109">
        <v>0.28884992739865567</v>
      </c>
      <c r="W1163" s="109">
        <v>3.7871778912329579</v>
      </c>
      <c r="X1163" s="109">
        <v>3.5438991047084298E-2</v>
      </c>
      <c r="Y1163" s="109">
        <v>0.50287822467952203</v>
      </c>
      <c r="Z1163" s="109">
        <v>4.3172943220385509</v>
      </c>
      <c r="AA1163" s="109">
        <v>8.6427894289981158</v>
      </c>
      <c r="AD1163" s="111"/>
    </row>
    <row r="1164" spans="1:30" ht="15" customHeight="1" x14ac:dyDescent="0.3">
      <c r="A1164" s="22" t="s">
        <v>157</v>
      </c>
      <c r="B1164" s="23">
        <v>148</v>
      </c>
      <c r="C1164" s="3" t="s">
        <v>148</v>
      </c>
      <c r="D1164" s="23">
        <v>2016</v>
      </c>
      <c r="E1164" s="25">
        <v>5.2033596728819864</v>
      </c>
      <c r="F1164" s="25">
        <v>0.75765629359248576</v>
      </c>
      <c r="G1164" s="25">
        <v>0.22028701483346524</v>
      </c>
      <c r="H1164" s="25">
        <v>0.28252320921193236</v>
      </c>
      <c r="I1164" s="25">
        <v>0.22917096236911239</v>
      </c>
      <c r="J1164" s="25">
        <v>8.0219695315719083E-2</v>
      </c>
      <c r="K1164" s="25">
        <v>0.10288362107831946</v>
      </c>
      <c r="L1164" s="25">
        <v>1</v>
      </c>
      <c r="M1164" s="24">
        <v>0</v>
      </c>
      <c r="N1164" s="108">
        <v>0</v>
      </c>
      <c r="O1164" s="24">
        <v>0</v>
      </c>
      <c r="P1164" s="24">
        <v>0</v>
      </c>
      <c r="Q1164" s="24">
        <v>0</v>
      </c>
      <c r="R1164" s="24">
        <v>7</v>
      </c>
      <c r="S1164" s="24">
        <v>0</v>
      </c>
      <c r="T1164" s="24">
        <v>0</v>
      </c>
      <c r="U1164" s="24">
        <v>13369971000000</v>
      </c>
      <c r="V1164" s="109">
        <v>0.49027481814441709</v>
      </c>
      <c r="W1164" s="109">
        <v>2.8386349319680648</v>
      </c>
      <c r="X1164" s="109">
        <v>0.1738800480569479</v>
      </c>
      <c r="Y1164" s="109">
        <v>0.72511621154600858</v>
      </c>
      <c r="Z1164" s="109">
        <v>3.7165088239258655</v>
      </c>
      <c r="AA1164" s="109">
        <v>7.4541400154968862</v>
      </c>
      <c r="AD1164" s="111"/>
    </row>
    <row r="1165" spans="1:30" ht="15" customHeight="1" x14ac:dyDescent="0.3">
      <c r="A1165" s="22" t="s">
        <v>157</v>
      </c>
      <c r="B1165" s="23">
        <v>148</v>
      </c>
      <c r="C1165" s="3" t="s">
        <v>148</v>
      </c>
      <c r="D1165" s="23">
        <v>2017</v>
      </c>
      <c r="E1165" s="25">
        <v>6.3977985918921112</v>
      </c>
      <c r="F1165" s="25">
        <v>0.96011412705424193</v>
      </c>
      <c r="G1165" s="25">
        <v>0.17533392705522013</v>
      </c>
      <c r="H1165" s="25">
        <v>0.21261202904725368</v>
      </c>
      <c r="I1165" s="25">
        <v>0.27329160674831687</v>
      </c>
      <c r="J1165" s="25">
        <v>8.9896983211192369E-2</v>
      </c>
      <c r="K1165" s="25">
        <v>0.10901016321695088</v>
      </c>
      <c r="L1165" s="25">
        <v>1</v>
      </c>
      <c r="M1165" s="24">
        <v>0</v>
      </c>
      <c r="N1165" s="108">
        <v>0</v>
      </c>
      <c r="O1165" s="24">
        <v>0</v>
      </c>
      <c r="P1165" s="24">
        <v>0</v>
      </c>
      <c r="Q1165" s="24">
        <v>0</v>
      </c>
      <c r="R1165" s="24">
        <v>7</v>
      </c>
      <c r="S1165" s="24">
        <v>0</v>
      </c>
      <c r="T1165" s="24">
        <v>0</v>
      </c>
      <c r="U1165" s="24">
        <v>14455702000000</v>
      </c>
      <c r="V1165" s="109">
        <v>1.6029050878566858E-2</v>
      </c>
      <c r="W1165" s="109">
        <v>2.7172301587290608</v>
      </c>
      <c r="X1165" s="109">
        <v>0.32413966890020279</v>
      </c>
      <c r="Y1165" s="109">
        <v>0.78492575455692148</v>
      </c>
      <c r="Z1165" s="109">
        <v>4.9385728771095749</v>
      </c>
      <c r="AA1165" s="109">
        <v>8.7648684592957604</v>
      </c>
      <c r="AD1165" s="111"/>
    </row>
    <row r="1166" spans="1:30" ht="15" customHeight="1" x14ac:dyDescent="0.3">
      <c r="A1166" s="22" t="s">
        <v>157</v>
      </c>
      <c r="B1166" s="23">
        <v>148</v>
      </c>
      <c r="C1166" s="3" t="s">
        <v>148</v>
      </c>
      <c r="D1166" s="23">
        <v>2018</v>
      </c>
      <c r="E1166" s="25">
        <v>6.6714329563586601</v>
      </c>
      <c r="F1166" s="25">
        <v>1.0523691142452978</v>
      </c>
      <c r="G1166" s="25">
        <v>0.18047201049233827</v>
      </c>
      <c r="H1166" s="25">
        <v>0.22021457815096507</v>
      </c>
      <c r="I1166" s="25">
        <v>0.10882640075878616</v>
      </c>
      <c r="J1166" s="25">
        <v>3.3603798447295823E-2</v>
      </c>
      <c r="K1166" s="25">
        <v>4.1003844746637125E-2</v>
      </c>
      <c r="L1166" s="25">
        <v>1</v>
      </c>
      <c r="M1166" s="24">
        <v>0</v>
      </c>
      <c r="N1166" s="108">
        <v>0</v>
      </c>
      <c r="O1166" s="24">
        <v>0</v>
      </c>
      <c r="P1166" s="24">
        <v>0</v>
      </c>
      <c r="Q1166" s="24">
        <v>0</v>
      </c>
      <c r="R1166" s="24">
        <v>7</v>
      </c>
      <c r="S1166" s="24">
        <v>0</v>
      </c>
      <c r="T1166" s="24">
        <v>0</v>
      </c>
      <c r="U1166" s="24">
        <v>14924414000000</v>
      </c>
      <c r="V1166" s="109">
        <v>-3.0844683645834078E-2</v>
      </c>
      <c r="W1166" s="109">
        <v>3.0293361843218767</v>
      </c>
      <c r="X1166" s="109">
        <v>0.44295779653392087</v>
      </c>
      <c r="Y1166" s="109">
        <v>0.3571924927839713</v>
      </c>
      <c r="Z1166" s="109">
        <v>4.7680767041689087</v>
      </c>
      <c r="AA1166" s="109">
        <v>8.5975631778086772</v>
      </c>
      <c r="AD1166" s="111"/>
    </row>
    <row r="1167" spans="1:30" ht="15" customHeight="1" x14ac:dyDescent="0.3">
      <c r="A1167" s="22" t="s">
        <v>157</v>
      </c>
      <c r="B1167" s="23">
        <v>148</v>
      </c>
      <c r="C1167" s="3" t="s">
        <v>148</v>
      </c>
      <c r="D1167" s="23">
        <v>2019</v>
      </c>
      <c r="E1167" s="25">
        <v>4.6903857624374456</v>
      </c>
      <c r="F1167" s="25">
        <v>0.87395488459239656</v>
      </c>
      <c r="G1167" s="25">
        <v>0.22136011072059247</v>
      </c>
      <c r="H1167" s="25">
        <v>0.28429074051863723</v>
      </c>
      <c r="I1167" s="25">
        <v>6.7702910159212246E-2</v>
      </c>
      <c r="J1167" s="25">
        <v>2.0096615953825083E-2</v>
      </c>
      <c r="K1167" s="25">
        <v>2.5809897785256674E-2</v>
      </c>
      <c r="L1167" s="25">
        <v>1</v>
      </c>
      <c r="M1167" s="24">
        <v>0</v>
      </c>
      <c r="N1167" s="108">
        <v>0</v>
      </c>
      <c r="O1167" s="24">
        <v>0</v>
      </c>
      <c r="P1167" s="24">
        <v>0</v>
      </c>
      <c r="Q1167" s="24">
        <v>0</v>
      </c>
      <c r="R1167" s="24">
        <v>7</v>
      </c>
      <c r="S1167" s="24">
        <v>0</v>
      </c>
      <c r="T1167" s="24">
        <v>0</v>
      </c>
      <c r="U1167" s="24">
        <v>15837343000000</v>
      </c>
      <c r="V1167" s="109">
        <v>2.0108874790518993E-2</v>
      </c>
      <c r="W1167" s="109">
        <v>2.503808342093746</v>
      </c>
      <c r="X1167" s="109">
        <v>0.41281158840848492</v>
      </c>
      <c r="Y1167" s="109">
        <v>0.24036644025453005</v>
      </c>
      <c r="Z1167" s="109">
        <v>3.6934020365364848</v>
      </c>
      <c r="AA1167" s="109">
        <v>6.8503884072932459</v>
      </c>
      <c r="AD1167" s="111"/>
    </row>
    <row r="1168" spans="1:30" ht="15" customHeight="1" x14ac:dyDescent="0.3">
      <c r="A1168" s="22" t="s">
        <v>157</v>
      </c>
      <c r="B1168" s="23">
        <v>148</v>
      </c>
      <c r="C1168" s="3" t="s">
        <v>148</v>
      </c>
      <c r="D1168" s="23">
        <v>2020</v>
      </c>
      <c r="E1168" s="25">
        <v>5.3737301979394676</v>
      </c>
      <c r="F1168" s="25">
        <v>0.89288910846101976</v>
      </c>
      <c r="G1168" s="25">
        <v>0.22855946261387267</v>
      </c>
      <c r="H1168" s="25">
        <v>0.29627618920351384</v>
      </c>
      <c r="I1168" s="25">
        <v>1.5647766242539145E-2</v>
      </c>
      <c r="J1168" s="25">
        <v>4.0165875510086687E-3</v>
      </c>
      <c r="K1168" s="25">
        <v>5.2066068042237908E-3</v>
      </c>
      <c r="L1168" s="25">
        <v>1</v>
      </c>
      <c r="M1168" s="24">
        <v>0</v>
      </c>
      <c r="N1168" s="108">
        <v>0</v>
      </c>
      <c r="O1168" s="24">
        <v>0</v>
      </c>
      <c r="P1168" s="24">
        <v>0</v>
      </c>
      <c r="Q1168" s="24">
        <v>0</v>
      </c>
      <c r="R1168" s="24">
        <v>7</v>
      </c>
      <c r="S1168" s="24">
        <v>0</v>
      </c>
      <c r="T1168" s="24">
        <v>0</v>
      </c>
      <c r="U1168" s="24">
        <v>15801971000000</v>
      </c>
      <c r="V1168" s="109">
        <v>-0.13718392123687245</v>
      </c>
      <c r="W1168" s="109">
        <v>2.5175343506199317</v>
      </c>
      <c r="X1168" s="109">
        <v>0.42500187603179373</v>
      </c>
      <c r="Y1168" s="109">
        <v>0.18975380729403946</v>
      </c>
      <c r="Z1168" s="109">
        <v>3.5439905002921073</v>
      </c>
      <c r="AA1168" s="109">
        <v>6.6762805342378719</v>
      </c>
      <c r="AD1168" s="111"/>
    </row>
    <row r="1169" spans="1:30" ht="15" customHeight="1" x14ac:dyDescent="0.3">
      <c r="A1169" s="22" t="s">
        <v>157</v>
      </c>
      <c r="B1169" s="23">
        <v>148</v>
      </c>
      <c r="C1169" s="3" t="s">
        <v>148</v>
      </c>
      <c r="D1169" s="23">
        <v>2021</v>
      </c>
      <c r="E1169" s="25">
        <v>5.2922720221616872</v>
      </c>
      <c r="F1169" s="25">
        <v>1.0533268682771466</v>
      </c>
      <c r="G1169" s="25">
        <v>0.24614467510474949</v>
      </c>
      <c r="H1169" s="25">
        <v>0.32651447429777286</v>
      </c>
      <c r="I1169" s="25">
        <v>7.0987240420032297E-3</v>
      </c>
      <c r="J1169" s="25">
        <v>2.0518924384076219E-3</v>
      </c>
      <c r="K1169" s="25">
        <v>2.7218650192498621E-3</v>
      </c>
      <c r="L1169" s="25">
        <v>1</v>
      </c>
      <c r="M1169" s="24">
        <v>0</v>
      </c>
      <c r="N1169" s="108">
        <v>0</v>
      </c>
      <c r="O1169" s="24">
        <v>0</v>
      </c>
      <c r="P1169" s="24">
        <v>0</v>
      </c>
      <c r="Q1169" s="24">
        <v>0</v>
      </c>
      <c r="R1169" s="24">
        <v>7</v>
      </c>
      <c r="S1169" s="24">
        <v>0</v>
      </c>
      <c r="T1169" s="24">
        <v>0</v>
      </c>
      <c r="U1169" s="24">
        <v>16149482000000</v>
      </c>
      <c r="V1169" s="109">
        <v>0.15084476242366568</v>
      </c>
      <c r="W1169" s="109">
        <v>2.8335124854159406</v>
      </c>
      <c r="X1169" s="109">
        <v>0.4275125505573491</v>
      </c>
      <c r="Y1169" s="109">
        <v>7.9556949256948298E-2</v>
      </c>
      <c r="Z1169" s="109">
        <v>3.2157839319626205</v>
      </c>
      <c r="AA1169" s="109">
        <v>6.5563659171928581</v>
      </c>
      <c r="AD1169" s="111"/>
    </row>
    <row r="1170" spans="1:30" ht="15" customHeight="1" x14ac:dyDescent="0.3">
      <c r="A1170" s="22" t="s">
        <v>157</v>
      </c>
      <c r="B1170" s="23">
        <v>148</v>
      </c>
      <c r="C1170" s="3" t="s">
        <v>148</v>
      </c>
      <c r="D1170" s="23">
        <v>2022</v>
      </c>
      <c r="E1170" s="25">
        <v>4.857899755046355</v>
      </c>
      <c r="F1170" s="25">
        <v>0.98757919651070247</v>
      </c>
      <c r="G1170" s="25">
        <v>0.22144752852408311</v>
      </c>
      <c r="H1170" s="25">
        <v>0.28443494386997548</v>
      </c>
      <c r="I1170" s="25">
        <v>1.1745353982300885E-2</v>
      </c>
      <c r="J1170" s="25">
        <v>3.2237645656604374E-3</v>
      </c>
      <c r="K1170" s="25">
        <v>4.1407158589440796E-3</v>
      </c>
      <c r="L1170" s="25">
        <v>1</v>
      </c>
      <c r="M1170" s="24">
        <v>0</v>
      </c>
      <c r="N1170" s="108">
        <v>0</v>
      </c>
      <c r="O1170" s="24">
        <v>0</v>
      </c>
      <c r="P1170" s="24">
        <v>0</v>
      </c>
      <c r="Q1170" s="24">
        <v>0</v>
      </c>
      <c r="R1170" s="24">
        <v>7</v>
      </c>
      <c r="S1170" s="24">
        <v>0</v>
      </c>
      <c r="T1170" s="24">
        <v>0</v>
      </c>
      <c r="U1170" s="24">
        <v>16468014000000</v>
      </c>
      <c r="V1170" s="109">
        <v>-3.1709790570824216E-2</v>
      </c>
      <c r="W1170" s="109">
        <v>2.3790193425873936</v>
      </c>
      <c r="X1170" s="109">
        <v>0.44866097879197819</v>
      </c>
      <c r="Y1170" s="109">
        <v>7.1376067569532062E-2</v>
      </c>
      <c r="Z1170" s="109">
        <v>3.6915295487743918</v>
      </c>
      <c r="AA1170" s="109">
        <v>6.5905859377232954</v>
      </c>
      <c r="AD1170" s="111"/>
    </row>
    <row r="1171" spans="1:30" ht="15" customHeight="1" x14ac:dyDescent="0.3">
      <c r="A1171" s="22" t="s">
        <v>157</v>
      </c>
      <c r="B1171" s="23">
        <v>148</v>
      </c>
      <c r="C1171" s="3" t="s">
        <v>148</v>
      </c>
      <c r="D1171" s="23">
        <v>2023</v>
      </c>
      <c r="E1171" s="25">
        <v>5.767675640788541</v>
      </c>
      <c r="F1171" s="25">
        <v>6.7718842960479378E-2</v>
      </c>
      <c r="G1171" s="25">
        <v>0.25892098746708109</v>
      </c>
      <c r="H1171" s="25">
        <v>0.34938378106555773</v>
      </c>
      <c r="I1171" s="25">
        <v>9.7834479031958549E-2</v>
      </c>
      <c r="J1171" s="25">
        <v>2.786900704714956E-2</v>
      </c>
      <c r="K1171" s="25">
        <v>3.7605986103825345E-2</v>
      </c>
      <c r="L1171" s="25">
        <v>1</v>
      </c>
      <c r="M1171" s="24">
        <v>0</v>
      </c>
      <c r="N1171" s="108">
        <v>0</v>
      </c>
      <c r="O1171" s="24">
        <v>0</v>
      </c>
      <c r="P1171" s="24">
        <v>0</v>
      </c>
      <c r="Q1171" s="24">
        <v>0</v>
      </c>
      <c r="R1171" s="24">
        <v>7</v>
      </c>
      <c r="S1171" s="24">
        <v>0</v>
      </c>
      <c r="T1171" s="24">
        <v>0</v>
      </c>
      <c r="U1171" s="24">
        <v>16787071000000</v>
      </c>
      <c r="V1171" s="109">
        <v>5.7952212389380531E-2</v>
      </c>
      <c r="W1171" s="109">
        <v>2.4883177964756329</v>
      </c>
      <c r="X1171" s="109">
        <v>0.52758100564416499</v>
      </c>
      <c r="Y1171" s="109">
        <v>0.2387429325818661</v>
      </c>
      <c r="Z1171" s="109">
        <v>3.0052911923893224</v>
      </c>
      <c r="AA1171" s="109">
        <v>6.2599329270909863</v>
      </c>
      <c r="AD1171" s="111"/>
    </row>
    <row r="1172" spans="1:30" ht="15" customHeight="1" x14ac:dyDescent="0.3">
      <c r="A1172" s="22" t="s">
        <v>157</v>
      </c>
      <c r="B1172" s="23">
        <v>148</v>
      </c>
      <c r="C1172" s="3" t="s">
        <v>148</v>
      </c>
      <c r="D1172" s="23">
        <v>2024</v>
      </c>
      <c r="E1172" s="25">
        <v>6.824147275101434</v>
      </c>
      <c r="F1172" s="25">
        <v>1.136402925822827</v>
      </c>
      <c r="G1172" s="25">
        <v>0.2543659503174398</v>
      </c>
      <c r="H1172" s="25">
        <v>0.34114047021555871</v>
      </c>
      <c r="I1172" s="25">
        <v>5.3862905424984182E-2</v>
      </c>
      <c r="J1172" s="25">
        <v>1.6522637258290888E-2</v>
      </c>
      <c r="K1172" s="25">
        <v>2.2159177501785352E-2</v>
      </c>
      <c r="L1172" s="25">
        <v>1</v>
      </c>
      <c r="M1172" s="24">
        <v>0</v>
      </c>
      <c r="N1172" s="108">
        <v>0</v>
      </c>
      <c r="O1172" s="24">
        <v>0</v>
      </c>
      <c r="P1172" s="24">
        <v>0</v>
      </c>
      <c r="Q1172" s="24">
        <v>0</v>
      </c>
      <c r="R1172" s="24">
        <v>7</v>
      </c>
      <c r="S1172" s="24">
        <v>0</v>
      </c>
      <c r="T1172" s="24">
        <v>0</v>
      </c>
      <c r="U1172" s="24">
        <v>16807910000000</v>
      </c>
      <c r="V1172" s="109">
        <v>7.8198740930466776E-2</v>
      </c>
      <c r="W1172" s="109">
        <v>2.3378976969771967</v>
      </c>
      <c r="X1172" s="109">
        <v>0.58538338199097917</v>
      </c>
      <c r="Y1172" s="109">
        <v>0.1508373807332381</v>
      </c>
      <c r="Z1172" s="109">
        <v>3.0779109829347706</v>
      </c>
      <c r="AA1172" s="109">
        <v>6.1520294426361843</v>
      </c>
      <c r="AD1172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</vt:lpstr>
      <vt:lpstr>Current Ratio</vt:lpstr>
      <vt:lpstr>Cash Ratio</vt:lpstr>
      <vt:lpstr>DAR</vt:lpstr>
      <vt:lpstr>DER</vt:lpstr>
      <vt:lpstr>NPM</vt:lpstr>
      <vt:lpstr>ROA</vt:lpstr>
      <vt:lpstr>ROE</vt:lpstr>
      <vt:lpstr>KM</vt:lpstr>
      <vt:lpstr>KI</vt:lpstr>
      <vt:lpstr>IO</vt:lpstr>
      <vt:lpstr>BoC Size</vt:lpstr>
      <vt:lpstr>TMT E DK</vt:lpstr>
      <vt:lpstr>TMT E DD</vt:lpstr>
      <vt:lpstr>TMT Size</vt:lpstr>
      <vt:lpstr>TA</vt:lpstr>
      <vt:lpstr>PR</vt:lpstr>
      <vt:lpstr>Z Score</vt:lpstr>
      <vt:lpstr>Tabulasi Data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Rodhiyah Mardhiyyah</cp:lastModifiedBy>
  <dcterms:created xsi:type="dcterms:W3CDTF">2025-07-02T13:17:37Z</dcterms:created>
  <dcterms:modified xsi:type="dcterms:W3CDTF">2025-08-20T07:54:47Z</dcterms:modified>
</cp:coreProperties>
</file>